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drawings/drawing3.xml" ContentType="application/vnd.openxmlformats-officedocument.drawing+xml"/>
  <Override PartName="/xl/embeddings/oleObject10.bin" ContentType="application/vnd.openxmlformats-officedocument.oleObject"/>
  <Override PartName="/xl/drawings/drawing4.xml" ContentType="application/vnd.openxmlformats-officedocument.drawing+xml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drawings/drawing5.xml" ContentType="application/vnd.openxmlformats-officedocument.drawing+xml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embeddings/oleObject23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sepgob.sharepoint.com/sites/DAF/Documentos compartidos/General/IMP 2026-2030/Pliego tarifario/2026-07-03 Pliegos para publicar en la consulta/CP-09-26 ENSA/CPG 16/"/>
    </mc:Choice>
  </mc:AlternateContent>
  <xr:revisionPtr revIDLastSave="4" documentId="8_{7E7325E6-B395-4829-BD44-F72C5082B68D}" xr6:coauthVersionLast="47" xr6:coauthVersionMax="47" xr10:uidLastSave="{46D2508F-7B44-4972-8E5B-8D0A6C361776}"/>
  <bookViews>
    <workbookView xWindow="4785" yWindow="2205" windowWidth="21600" windowHeight="11295" tabRatio="869" firstSheet="14" activeTab="16" xr2:uid="{00000000-000D-0000-FFFF-FFFF00000000}"/>
  </bookViews>
  <sheets>
    <sheet name="PORTADA PORTADA PORTADA" sheetId="150" r:id="rId1"/>
    <sheet name="CONTENIDO 1" sheetId="56" r:id="rId2"/>
    <sheet name="Inf Ind Dem" sheetId="614" r:id="rId3"/>
    <sheet name="AjComDistAP100" sheetId="68" r:id="rId4"/>
    <sheet name="AjPérdDist200" sheetId="91" r:id="rId5"/>
    <sheet name="AjTran300" sheetId="39" r:id="rId6"/>
    <sheet name="AjPTran400" sheetId="40" r:id="rId7"/>
    <sheet name="AjGen500" sheetId="79" r:id="rId8"/>
    <sheet name="AjGen500PD" sheetId="411" r:id="rId9"/>
    <sheet name="AjGen500Extra" sheetId="477" r:id="rId10"/>
    <sheet name="MODELO IMP" sheetId="820" r:id="rId11"/>
    <sheet name="RAT1000VAD" sheetId="131" r:id="rId12"/>
    <sheet name="RAT1000PT" sheetId="66" r:id="rId13"/>
    <sheet name="ENSA Bal Reserva" sheetId="606" r:id="rId14"/>
    <sheet name="PD201BP1" sheetId="742" r:id="rId15"/>
    <sheet name="VPP1" sheetId="485" r:id="rId16"/>
    <sheet name="VPP2" sheetId="112" r:id="rId17"/>
    <sheet name="VPP3" sheetId="631" r:id="rId18"/>
    <sheet name="Formato FET ASEP" sheetId="771" r:id="rId19"/>
    <sheet name="Facturador Cáculo %FET" sheetId="644" state="hidden" r:id="rId20"/>
    <sheet name="VPP4 Cargos Tarifa CVC y FET" sheetId="858" state="hidden" r:id="rId21"/>
    <sheet name="CONTENIDO 2" sheetId="55" r:id="rId22"/>
    <sheet name="ComDistyAP100" sheetId="6" r:id="rId23"/>
    <sheet name="C101" sheetId="216" r:id="rId24"/>
    <sheet name="C102" sheetId="158" r:id="rId25"/>
    <sheet name="D103" sheetId="472" r:id="rId26"/>
    <sheet name="D104" sheetId="473" r:id="rId27"/>
    <sheet name="PDYG-200" sheetId="103" r:id="rId28"/>
    <sheet name="P201" sheetId="214" r:id="rId29"/>
    <sheet name="P202" sheetId="163" r:id="rId30"/>
    <sheet name="Pliego ETESA" sheetId="818" r:id="rId31"/>
    <sheet name="T302" sheetId="70" r:id="rId32"/>
    <sheet name="T303" sheetId="639" r:id="rId33"/>
    <sheet name="T304" sheetId="212" r:id="rId34"/>
    <sheet name="T305" sheetId="211" r:id="rId35"/>
    <sheet name="T306" sheetId="655" r:id="rId36"/>
    <sheet name="T307" sheetId="649" r:id="rId37"/>
    <sheet name="T308" sheetId="650" r:id="rId38"/>
    <sheet name="T322" sheetId="75" r:id="rId39"/>
    <sheet name="PT402" sheetId="19" r:id="rId40"/>
    <sheet name="PT403" sheetId="640" r:id="rId41"/>
    <sheet name="PT404" sheetId="207" r:id="rId42"/>
    <sheet name="PT405" sheetId="206" r:id="rId43"/>
    <sheet name="PT406" sheetId="656" r:id="rId44"/>
    <sheet name="PT407" sheetId="651" r:id="rId45"/>
    <sheet name="PT408" sheetId="652" r:id="rId46"/>
    <sheet name="PT422" sheetId="25" r:id="rId47"/>
    <sheet name="ComEne26" sheetId="608" r:id="rId48"/>
    <sheet name="G502" sheetId="127" r:id="rId49"/>
    <sheet name="G503E" sheetId="202" r:id="rId50"/>
    <sheet name="G504E" sheetId="813" r:id="rId51"/>
    <sheet name="G504EC1" sheetId="814" r:id="rId52"/>
    <sheet name="G504EC2" sheetId="815" r:id="rId53"/>
    <sheet name="G505E" sheetId="200" r:id="rId54"/>
    <sheet name="G506E" sheetId="657" r:id="rId55"/>
    <sheet name="G504P" sheetId="502" r:id="rId56"/>
    <sheet name="G505P" sheetId="508" r:id="rId57"/>
    <sheet name="G506P" sheetId="658" r:id="rId58"/>
    <sheet name="G507EP" sheetId="653" r:id="rId59"/>
    <sheet name="G508EP" sheetId="654" r:id="rId60"/>
    <sheet name="G503Ex" sheetId="486" r:id="rId61"/>
    <sheet name="G504Ex" sheetId="498" r:id="rId62"/>
    <sheet name="G505Ex" sheetId="506" r:id="rId63"/>
    <sheet name="G506Ex" sheetId="480" r:id="rId64"/>
    <sheet name="G507Ex" sheetId="481" r:id="rId65"/>
    <sheet name="G508Ex" sheetId="482" r:id="rId66"/>
    <sheet name="GEN506CVC" sheetId="445" r:id="rId67"/>
    <sheet name="Int509CVC" sheetId="381" r:id="rId68"/>
    <sheet name="Int509FET" sheetId="240" r:id="rId69"/>
    <sheet name="DTE Reconstrucción" sheetId="315" r:id="rId70"/>
    <sheet name="G522" sheetId="128" r:id="rId71"/>
    <sheet name="G522Bid" sheetId="451" r:id="rId72"/>
    <sheet name="G522Fia" sheetId="152" r:id="rId73"/>
    <sheet name="G531" sheetId="48" r:id="rId74"/>
    <sheet name="AP602" sheetId="113" r:id="rId75"/>
    <sheet name="AP603" sheetId="203" r:id="rId76"/>
    <sheet name="AP604" sheetId="186" r:id="rId77"/>
    <sheet name="AP622" sheetId="118" r:id="rId78"/>
    <sheet name="TI700" sheetId="36" r:id="rId79"/>
    <sheet name="811Cli" sheetId="459" r:id="rId80"/>
    <sheet name="811Ene" sheetId="460" r:id="rId81"/>
    <sheet name="F801C" sheetId="81" r:id="rId82"/>
    <sheet name="F801D" sheetId="130" r:id="rId83"/>
    <sheet name="F801EVE" sheetId="823" r:id="rId84"/>
    <sheet name="F801ENE" sheetId="129" r:id="rId85"/>
    <sheet name="MCDO800" sheetId="62" r:id="rId86"/>
    <sheet name="F821C" sheetId="86" r:id="rId87"/>
    <sheet name="F821D" sheetId="88" r:id="rId88"/>
    <sheet name="F821EVE" sheetId="87" r:id="rId89"/>
    <sheet name="F821EA" sheetId="120" r:id="rId90"/>
    <sheet name="F821ENE" sheetId="812" r:id="rId91"/>
    <sheet name="F821CVC" sheetId="633" r:id="rId92"/>
    <sheet name="F821CO" sheetId="144" r:id="rId93"/>
    <sheet name="F821DO" sheetId="146" r:id="rId94"/>
    <sheet name="F821EO" sheetId="145" r:id="rId95"/>
    <sheet name="MONOMICO ASEP REVISION" sheetId="831" r:id="rId96"/>
    <sheet name="PLIEGO UNIFICADO" sheetId="743" r:id="rId97"/>
    <sheet name="PROPUESTA PLIEGO FORMATO ASEP" sheetId="825" r:id="rId98"/>
  </sheets>
  <definedNames>
    <definedName name="\a">#REF!</definedName>
    <definedName name="\b">#REF!</definedName>
    <definedName name="\c">#REF!</definedName>
    <definedName name="___1_9_1___Consulta_PT_de_CPFL_BT_Rurales">#REF!</definedName>
    <definedName name="__1_9_1___Consulta_PT_de_CPFL_BT_Rurales">#REF!</definedName>
    <definedName name="__9_1___Consulta_PT_de_CPFL_BT_Rurales">#REF!</definedName>
    <definedName name="_1_9_1___Consulta_PT_de_CPFL_BT_Rurales">#REF!</definedName>
    <definedName name="_9_1___Consulta_PT_de_CPFL_BT_Rurales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557</definedName>
    <definedName name="_AtRisk_SimSetting_ReportOptionReportsFileType" hidden="1">1</definedName>
    <definedName name="_AtRisk_SimSetting_ReportOptionSelectiveQR" hidden="1">FALSE</definedName>
    <definedName name="_AtRisk_SimSetting_ReportsList" hidden="1">557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72" hidden="1">G522Fia!$B$3:$K$95</definedName>
    <definedName name="_MatMult_AxB" localSheetId="19" hidden="1">#REF!</definedName>
    <definedName name="_MatMult_AxB" hidden="1">#REF!</definedName>
    <definedName name="_MatMult_B" localSheetId="19" hidden="1">#REF!</definedName>
    <definedName name="_MatMult_B" hidden="1">#REF!</definedName>
    <definedName name="_Order1" hidden="1">0</definedName>
    <definedName name="A_pagar_Distribuidoras">#REF!</definedName>
    <definedName name="aa">#REF!</definedName>
    <definedName name="aaa" localSheetId="19" hidden="1">#REF!</definedName>
    <definedName name="aaa" localSheetId="96" hidden="1">#REF!</definedName>
    <definedName name="aaa" hidden="1">#REF!</definedName>
    <definedName name="ab" localSheetId="19" hidden="1">#REF!</definedName>
    <definedName name="ab" localSheetId="60" hidden="1">#REF!</definedName>
    <definedName name="ab" localSheetId="61" hidden="1">#REF!</definedName>
    <definedName name="ab" localSheetId="55" hidden="1">#REF!</definedName>
    <definedName name="ab" localSheetId="62" hidden="1">#REF!</definedName>
    <definedName name="ab" localSheetId="56" hidden="1">#REF!</definedName>
    <definedName name="ab" localSheetId="63" hidden="1">#REF!</definedName>
    <definedName name="ab" localSheetId="57" hidden="1">#REF!</definedName>
    <definedName name="ab" localSheetId="64" hidden="1">#REF!</definedName>
    <definedName name="ab" localSheetId="65" hidden="1">#REF!</definedName>
    <definedName name="ab" localSheetId="67" hidden="1">#REF!</definedName>
    <definedName name="ab" localSheetId="14" hidden="1">#REF!</definedName>
    <definedName name="ab" localSheetId="96" hidden="1">#REF!</definedName>
    <definedName name="ab" localSheetId="17" hidden="1">#REF!</definedName>
    <definedName name="ab" localSheetId="20" hidden="1">#REF!</definedName>
    <definedName name="ab" hidden="1">#REF!</definedName>
    <definedName name="ACP">#REF!</definedName>
    <definedName name="ad">#REF!</definedName>
    <definedName name="AES">#REF!</definedName>
    <definedName name="Analisis2">OFFSET(Full_Print,0,0,Last_Row)</definedName>
    <definedName name="ANDAMARCA">#REF!</definedName>
    <definedName name="_xlnm.Print_Area" localSheetId="79">'811Cli'!$A$1:$O$140</definedName>
    <definedName name="_xlnm.Print_Area" localSheetId="80">'811Ene'!$A$1:$O$140</definedName>
    <definedName name="_xlnm.Print_Area" localSheetId="3">AjComDistAP100!$A$1:$D$35</definedName>
    <definedName name="_xlnm.Print_Area" localSheetId="7">AjGen500!$A$1:$F$50</definedName>
    <definedName name="_xlnm.Print_Area" localSheetId="9">AjGen500Extra!$A$1:$G$27</definedName>
    <definedName name="_xlnm.Print_Area" localSheetId="4">AjPérdDist200!$A$1:$D$17</definedName>
    <definedName name="_xlnm.Print_Area" localSheetId="6">AjPTran400!$A$1:$E$24</definedName>
    <definedName name="_xlnm.Print_Area" localSheetId="5">AjTran300!$A$1:$E$52</definedName>
    <definedName name="_xlnm.Print_Area" localSheetId="74">'AP602'!$A$1:$N$78</definedName>
    <definedName name="_xlnm.Print_Area" localSheetId="75">'AP603'!$A$1:$J$146</definedName>
    <definedName name="_xlnm.Print_Area" localSheetId="76">'AP604'!$A$1:$J$146</definedName>
    <definedName name="_xlnm.Print_Area" localSheetId="77">'AP622'!$A$1:$M$78</definedName>
    <definedName name="_xlnm.Print_Area" localSheetId="23">'C101'!$A$1:$J$147</definedName>
    <definedName name="_xlnm.Print_Area" localSheetId="24">'C102'!$A$1:$J$147</definedName>
    <definedName name="_xlnm.Print_Area" localSheetId="22">ComDistyAP100!$A$1:$E$21</definedName>
    <definedName name="_xlnm.Print_Area" localSheetId="25">'D103'!$A$1:$J$148</definedName>
    <definedName name="_xlnm.Print_Area" localSheetId="26">'D104'!$A$1:$J$148</definedName>
    <definedName name="_xlnm.Print_Area" localSheetId="13">'ENSA Bal Reserva'!$B$2:$E$22</definedName>
    <definedName name="_xlnm.Print_Area" localSheetId="81">F801C!$A$1:$J$150</definedName>
    <definedName name="_xlnm.Print_Area" localSheetId="82">F801D!$A$1:$AE$148</definedName>
    <definedName name="_xlnm.Print_Area" localSheetId="84">F801ENE!$A$1:$AE$146</definedName>
    <definedName name="_xlnm.Print_Area" localSheetId="83">F801EVE!$A$1:$AE$146</definedName>
    <definedName name="_xlnm.Print_Area" localSheetId="86">F821C!$A$1:$J$151</definedName>
    <definedName name="_xlnm.Print_Area" localSheetId="92">F821CO!$A$1:$J$148</definedName>
    <definedName name="_xlnm.Print_Area" localSheetId="91">F821CVC!$A$1:$N$107</definedName>
    <definedName name="_xlnm.Print_Area" localSheetId="87">F821D!$A$1:$AE$151</definedName>
    <definedName name="_xlnm.Print_Area" localSheetId="93">F821DO!$A$1:$AE$148</definedName>
    <definedName name="_xlnm.Print_Area" localSheetId="89">F821EA!$A$1:$AE$150</definedName>
    <definedName name="_xlnm.Print_Area" localSheetId="90">F821ENE!$A$1:$AE$151</definedName>
    <definedName name="_xlnm.Print_Area" localSheetId="94">F821EO!$A$1:$AE$148</definedName>
    <definedName name="_xlnm.Print_Area" localSheetId="88">F821EVE!$A$1:$AE$151</definedName>
    <definedName name="_xlnm.Print_Area" localSheetId="48">'G502'!$A$1:$M$378</definedName>
    <definedName name="_xlnm.Print_Area" localSheetId="49">G503E!$A$1:$J$377</definedName>
    <definedName name="_xlnm.Print_Area" localSheetId="60">G503Ex!$A$1:$K$120</definedName>
    <definedName name="_xlnm.Print_Area" localSheetId="50">G504E!$A$1:$K$377</definedName>
    <definedName name="_xlnm.Print_Area" localSheetId="51">G504EC1!$A$1:$K$377</definedName>
    <definedName name="_xlnm.Print_Area" localSheetId="52">G504EC2!$A$1:$K$377</definedName>
    <definedName name="_xlnm.Print_Area" localSheetId="61">G504Ex!$A$1:$K$120</definedName>
    <definedName name="_xlnm.Print_Area" localSheetId="55">G504P!$A$1:$K$377</definedName>
    <definedName name="_xlnm.Print_Area" localSheetId="53">G505E!$A$1:$K$377</definedName>
    <definedName name="_xlnm.Print_Area" localSheetId="62">G505Ex!$A$1:$K$120</definedName>
    <definedName name="_xlnm.Print_Area" localSheetId="56">G505P!$A$1:$K$377</definedName>
    <definedName name="_xlnm.Print_Area" localSheetId="54">G506E!$A$1:$J$377</definedName>
    <definedName name="_xlnm.Print_Area" localSheetId="63">G506Ex!$A$1:$K$120</definedName>
    <definedName name="_xlnm.Print_Area" localSheetId="57">G506P!$A$1:$K$377</definedName>
    <definedName name="_xlnm.Print_Area" localSheetId="58">G507EP!$A$1:$K$377</definedName>
    <definedName name="_xlnm.Print_Area" localSheetId="64">G507Ex!$A$1:$K$120</definedName>
    <definedName name="_xlnm.Print_Area" localSheetId="59">G508EP!$A$1:$K$377</definedName>
    <definedName name="_xlnm.Print_Area" localSheetId="65">G508Ex!$A$1:$K$120</definedName>
    <definedName name="_xlnm.Print_Area" localSheetId="70">'G522'!$A$1:$N$453</definedName>
    <definedName name="_xlnm.Print_Area" localSheetId="72">G522Fia!$A$1:$L$101</definedName>
    <definedName name="_xlnm.Print_Area" localSheetId="73">'G531'!$A$1:$L$19</definedName>
    <definedName name="_xlnm.Print_Area" localSheetId="66">GEN506CVC!$A$1:$Q$116</definedName>
    <definedName name="_xlnm.Print_Area" localSheetId="67">Int509CVC!$A$2:$L$32</definedName>
    <definedName name="_xlnm.Print_Area" localSheetId="68">Int509FET!$A$1:$O$29</definedName>
    <definedName name="_xlnm.Print_Area" localSheetId="85">MCDO800!$A$1:$Q$110</definedName>
    <definedName name="_xlnm.Print_Area" localSheetId="28">'P201'!$A$1:$J$147</definedName>
    <definedName name="_xlnm.Print_Area" localSheetId="29">'P202'!$A$1:$J$147</definedName>
    <definedName name="_xlnm.Print_Area" localSheetId="14">PD201BP1!$A$1:$J$145</definedName>
    <definedName name="_xlnm.Print_Area" localSheetId="27">'PDYG-200'!$A$1:$H$41</definedName>
    <definedName name="_xlnm.Print_Area" localSheetId="96">'PLIEGO UNIFICADO'!$A$1:$E$473</definedName>
    <definedName name="_xlnm.Print_Area" localSheetId="0">'PORTADA PORTADA PORTADA'!$A$1:$C$31</definedName>
    <definedName name="_xlnm.Print_Area" localSheetId="39">'PT402'!$A$1:$F$23</definedName>
    <definedName name="_xlnm.Print_Area" localSheetId="40">'PT403'!$A$1:$K$112</definedName>
    <definedName name="_xlnm.Print_Area" localSheetId="41">'PT404'!$A$1:$K$112</definedName>
    <definedName name="_xlnm.Print_Area" localSheetId="42">'PT405'!$A$1:$K$112</definedName>
    <definedName name="_xlnm.Print_Area" localSheetId="43">'PT406'!$A$1:$K$112</definedName>
    <definedName name="_xlnm.Print_Area" localSheetId="44">'PT407'!$A$1:$K$112</definedName>
    <definedName name="_xlnm.Print_Area" localSheetId="45">'PT408'!$A$1:$K$112</definedName>
    <definedName name="_xlnm.Print_Area" localSheetId="46">'PT422'!$A$1:$G$22</definedName>
    <definedName name="_xlnm.Print_Area" localSheetId="12">RAT1000PT!$B$1:$R$144</definedName>
    <definedName name="_xlnm.Print_Area" localSheetId="11">RAT1000VAD!$B$2:$Q$76</definedName>
    <definedName name="_xlnm.Print_Area" localSheetId="31">'T302'!$A$1:$L$78</definedName>
    <definedName name="_xlnm.Print_Area" localSheetId="32">'T303'!$A$1:$J$147</definedName>
    <definedName name="_xlnm.Print_Area" localSheetId="33">'T304'!$A$1:$J$147</definedName>
    <definedName name="_xlnm.Print_Area" localSheetId="34">'T305'!$A$1:$J$147</definedName>
    <definedName name="_xlnm.Print_Area" localSheetId="35">'T306'!$A$1:$K$147</definedName>
    <definedName name="_xlnm.Print_Area" localSheetId="36">'T307'!$A$1:$K$147</definedName>
    <definedName name="_xlnm.Print_Area" localSheetId="37">'T308'!$A$1:$K$147</definedName>
    <definedName name="_xlnm.Print_Area" localSheetId="38">'T322'!$A$1:$L$79</definedName>
    <definedName name="_xlnm.Print_Area" localSheetId="78">'TI700'!$A$2:$E$26</definedName>
    <definedName name="_xlnm.Print_Area" localSheetId="16">'VPP2'!$A$2:$S$62</definedName>
    <definedName name="_xlnm.Print_Area" localSheetId="17">'VPP3'!$B$1:$H$29</definedName>
    <definedName name="_xlnm.Print_Area" localSheetId="20">'VPP4 Cargos Tarifa CVC y FET'!$B$1:$G$24</definedName>
    <definedName name="Área_impressão">#REF!</definedName>
    <definedName name="AumentoVendaEnergia">#REF!</definedName>
    <definedName name="BalancAislNasca">#REF!</definedName>
    <definedName name="BalancAislPisco">#REF!</definedName>
    <definedName name="BalancCastrovirreyna">#REF!</definedName>
    <definedName name="balance_aislados_nasca">#REF!</definedName>
    <definedName name="balance_aislados_pisco">#REF!</definedName>
    <definedName name="balance_castrovirreyna">#REF!</definedName>
    <definedName name="balance_chincha">#REF!</definedName>
    <definedName name="balance_coracora">#REF!</definedName>
    <definedName name="balance_ica">#REF!</definedName>
    <definedName name="balance_margen_comercial">#REF!</definedName>
    <definedName name="balance_nasca_palpa">#REF!</definedName>
    <definedName name="balance_pisco">#REF!</definedName>
    <definedName name="balance_puquio">#REF!</definedName>
    <definedName name="balance_regional">#REF!</definedName>
    <definedName name="Balance_Total">#REF!</definedName>
    <definedName name="BalanceChincha">#REF!</definedName>
    <definedName name="BalanceCoracora">#REF!</definedName>
    <definedName name="BalanceIca">#REF!</definedName>
    <definedName name="BalanceNAscaPalpa">#REF!</definedName>
    <definedName name="BalancePisco">#REF!</definedName>
    <definedName name="BalanceRegional">#REF!</definedName>
    <definedName name="baltrichincha">#REF!</definedName>
    <definedName name="Base">#REF!</definedName>
    <definedName name="_xlnm.Database">#REF!</definedName>
    <definedName name="BAY_Regulación">#REF!</definedName>
    <definedName name="BAY_Reserva_Efectiva">#REF!</definedName>
    <definedName name="BAYANO">#REF!</definedName>
    <definedName name="bbb">#REF!</definedName>
    <definedName name="bd">#REF!</definedName>
    <definedName name="Beg_Bal">#REF!</definedName>
    <definedName name="Carga">#REF!</definedName>
    <definedName name="CEMEX" localSheetId="19" hidden="1">#REF!</definedName>
    <definedName name="CEMEX" hidden="1">#REF!</definedName>
    <definedName name="Centros">#REF!</definedName>
    <definedName name="Check5">#REF!</definedName>
    <definedName name="CHINCHA">#REF!</definedName>
    <definedName name="CHIPAO">#REF!</definedName>
    <definedName name="CLASSE_TENSAO__REAL_mil">#REF!</definedName>
    <definedName name="CLIEN_CONS_X_PARTIDO_Y_TARIFA_1999_2">#REF!</definedName>
    <definedName name="CLIEN_CONS_X_PARTIDO_y_Tarifa_2004_2">#REF!</definedName>
    <definedName name="CLR" localSheetId="19">#REF!</definedName>
    <definedName name="CLR">#REF!</definedName>
    <definedName name="CLR_2017" localSheetId="19">#REF!</definedName>
    <definedName name="CLR_2017">#REF!</definedName>
    <definedName name="CLR_2020" localSheetId="19">#REF!</definedName>
    <definedName name="CLR_2020">#REF!</definedName>
    <definedName name="Combustible">#REF!</definedName>
    <definedName name="COMPRA_KWH">#REF!</definedName>
    <definedName name="Compra_Rmilhões">#REF!</definedName>
    <definedName name="COMPRA_SOLES">#REF!</definedName>
    <definedName name="Compra_SPOT_GWh">#REF!</definedName>
    <definedName name="Consulta48">#REF!</definedName>
    <definedName name="consumo_propio">#REF!</definedName>
    <definedName name="Consumo_Total_EDECH">#REF!</definedName>
    <definedName name="Consumo_Total_EDEMET">#REF!</definedName>
    <definedName name="Consumo_Total_ELEKTRA">#REF!</definedName>
    <definedName name="control2" localSheetId="19" hidden="1">{"'Sheet1'!$A$1:$G$85"}</definedName>
    <definedName name="control2" hidden="1">{"'Sheet1'!$A$1:$G$85"}</definedName>
    <definedName name="COPESA">#REF!</definedName>
    <definedName name="Costo_Energia_Fuera">#REF!</definedName>
    <definedName name="Costo_Energia_Punta">#REF!</definedName>
    <definedName name="Costo_Potencia_Contratada">#REF!</definedName>
    <definedName name="custo">#REF!</definedName>
    <definedName name="D1Desagregado_Total_200301">#REF!</definedName>
    <definedName name="Data">#REF!</definedName>
    <definedName name="dates">#REF!</definedName>
    <definedName name="Datos">#REF!</definedName>
    <definedName name="DensidadMT">OFFSET(#REF!,,,#REF!)</definedName>
    <definedName name="DensidadPTBT">OFFSET(#REF!,,,#REF!)</definedName>
    <definedName name="DensidadrealMT">OFFSET(#REF!,,,#REF!)</definedName>
    <definedName name="DensidadrealPTBT">OFFSET(#REF!,,,#REF!)</definedName>
    <definedName name="DensidadrealredBT">OFFSET(#REF!,,,#REF!)</definedName>
    <definedName name="DensidadredBT">OFFSET(#REF!,,,#REF!)</definedName>
    <definedName name="Descrip">#REF!</definedName>
    <definedName name="Desvio" localSheetId="19">#REF!</definedName>
    <definedName name="Desvio">#REF!</definedName>
    <definedName name="Determinación_del_IPSD_por_uso">#REF!</definedName>
    <definedName name="DFSE">#REF!</definedName>
    <definedName name="DiaMax_AT">#REF!</definedName>
    <definedName name="DiaMax_BT">#REF!</definedName>
    <definedName name="DiaMax_MT">#REF!</definedName>
    <definedName name="DIFOyM">#REF!</definedName>
    <definedName name="DimRegular">#REF!</definedName>
    <definedName name="DOyM">#REF!</definedName>
    <definedName name="DOyMC">#REF!</definedName>
    <definedName name="EBT">OFFSET(#REF!,,,#REF!)</definedName>
    <definedName name="EDECHI">#REF!</definedName>
    <definedName name="EDEMET__Deudor">#REF!</definedName>
    <definedName name="eee">#REF!</definedName>
    <definedName name="EGECHI">#REF!</definedName>
    <definedName name="EGEMINSA">#REF!</definedName>
    <definedName name="ELEKTRA">#REF!</definedName>
    <definedName name="EMT">OFFSET(#REF!,,,#REF!)</definedName>
    <definedName name="End_Bal">#REF!</definedName>
    <definedName name="Energia_Fuera">#REF!</definedName>
    <definedName name="Energia_Punta">#REF!</definedName>
    <definedName name="ENERO">#REF!</definedName>
    <definedName name="Entity">#REF!</definedName>
    <definedName name="estructura" localSheetId="19">#REF!</definedName>
    <definedName name="estructura">#REF!</definedName>
    <definedName name="ETESA">#REF!</definedName>
    <definedName name="Extra_Pay">#REF!</definedName>
    <definedName name="Factor">#REF!</definedName>
    <definedName name="fd">#REF!</definedName>
    <definedName name="FEBRERO">#REF!</definedName>
    <definedName name="Fecha_base" localSheetId="19">#REF!</definedName>
    <definedName name="Fecha_base">#REF!</definedName>
    <definedName name="Fecha_Fin_Historico">#REF!</definedName>
    <definedName name="fgt">#REF!</definedName>
    <definedName name="FOR_Reserva_Efectiva">#REF!</definedName>
    <definedName name="FORT_Regulación">#REF!</definedName>
    <definedName name="FORTUNA">#REF!</definedName>
    <definedName name="FP">#REF!</definedName>
    <definedName name="Full_Print">#REF!</definedName>
    <definedName name="G_OBLIGADA_DOLARES">#REF!</definedName>
    <definedName name="G_OBLIGADA_MWH">#REF!</definedName>
    <definedName name="_xlnm.Recorder">#REF!</definedName>
    <definedName name="Header_Row">ROW(#REF!)</definedName>
    <definedName name="hf">#REF!</definedName>
    <definedName name="hora">#REF!</definedName>
    <definedName name="HoraMax_AT">#REF!</definedName>
    <definedName name="HoraMax_BT">#REF!</definedName>
    <definedName name="HoraMax_MT">#REF!</definedName>
    <definedName name="HTML_CodePage" hidden="1">1252</definedName>
    <definedName name="HTML_Control" localSheetId="79" hidden="1">{"'Sheet1'!$A$1:$G$85"}</definedName>
    <definedName name="HTML_Control" localSheetId="8" hidden="1">{"'Sheet1'!$A$1:$G$85"}</definedName>
    <definedName name="HTML_Control" localSheetId="19" hidden="1">{"'Sheet1'!$A$1:$G$85"}</definedName>
    <definedName name="HTML_Control" localSheetId="96" hidden="1">{"'Sheet1'!$A$1:$G$85"}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UAYTARA">#REF!</definedName>
    <definedName name="ICE">#REF!</definedName>
    <definedName name="ImpactoResultado">#REF!</definedName>
    <definedName name="Indirectos">#REF!</definedName>
    <definedName name="Int">#REF!</definedName>
    <definedName name="intercambio">#REF!</definedName>
    <definedName name="Interest_Rate">#REF!</definedName>
    <definedName name="InversionesAT">#REF!</definedName>
    <definedName name="InversionesMT">#REF!</definedName>
    <definedName name="IOyM">#REF!</definedName>
    <definedName name="IOyM1">#REF!</definedName>
    <definedName name="kj">#REF!</definedName>
    <definedName name="kmBT">OFFSET(#REF!,,,#REF!)</definedName>
    <definedName name="Last_Row">IF(Values_Entered,Header_Row+Number_of_Payments,Header_Row)</definedName>
    <definedName name="LISTA_DE_ESTADO">#REF!</definedName>
    <definedName name="LMT">OFFSET(#REF!,,,#REF!)</definedName>
    <definedName name="Loan_Amount">#REF!</definedName>
    <definedName name="Loan_Start">#REF!</definedName>
    <definedName name="Loan_Years">#REF!</definedName>
    <definedName name="LUCANAS">#REF!</definedName>
    <definedName name="MARGEN">#REF!</definedName>
    <definedName name="Met_exclusion_outliers" localSheetId="19">#REF!</definedName>
    <definedName name="Met_exclusion_outliers">#REF!</definedName>
    <definedName name="Metodo_Porc_MO" localSheetId="19">#REF!</definedName>
    <definedName name="Metodo_Porc_MO">#REF!</definedName>
    <definedName name="Monto_a_pagar_EDECH">#REF!</definedName>
    <definedName name="Monto_a_pagar_EDEMET">#REF!</definedName>
    <definedName name="Monto_a_pagar_ELEKTRA">#REF!</definedName>
    <definedName name="Monto_a_Recaudar">#REF!</definedName>
    <definedName name="Monto_Máximo_RCP">#REF!</definedName>
    <definedName name="Monto_Máximo_SAG">#REF!</definedName>
    <definedName name="Monto_Máximo_SAS">#REF!</definedName>
    <definedName name="mwh_03_99a">#REF!</definedName>
    <definedName name="mwh_03_99b">#REF!</definedName>
    <definedName name="mwhcon_bay_elek">#REF!</definedName>
    <definedName name="mwhcon_chi_edch">#REF!</definedName>
    <definedName name="mwhcon_chi_elek">#REF!</definedName>
    <definedName name="mwhcon_chi_met">#REF!</definedName>
    <definedName name="mwhcont_bay_met">#REF!</definedName>
    <definedName name="N_1">#REF!</definedName>
    <definedName name="N_2">#REF!</definedName>
    <definedName name="N_3">#REF!</definedName>
    <definedName name="NISOvoro">#REF!</definedName>
    <definedName name="Norma">#REF!</definedName>
    <definedName name="Num_Pmt_Per_Year">#REF!</definedName>
    <definedName name="Number_of_Payments">MATCH(0.01,End_Bal,-1)+1</definedName>
    <definedName name="OK">#REF!</definedName>
    <definedName name="P">#REF!</definedName>
    <definedName name="Pal_Workbook_GUID" hidden="1">"MZ13F7WREF2M259BRMK8ILZK"</definedName>
    <definedName name="PANAM">#REF!</definedName>
    <definedName name="Parametros_seleccionados" localSheetId="19">#REF!</definedName>
    <definedName name="Parametros_seleccionados">#REF!</definedName>
    <definedName name="Path_Items_Costo">#REF!</definedName>
    <definedName name="Pay_Date">#REF!</definedName>
    <definedName name="Pay_Num">#REF!</definedName>
    <definedName name="Payment.Date" localSheetId="83">DATE(YEAR(#REF!),MONTH(#REF!)+Payment_Number,DAY(#REF!))</definedName>
    <definedName name="Payment.Date" localSheetId="90">DATE(YEAR(#REF!),MONTH(#REF!)+Payment_Number,DAY(#REF!))</definedName>
    <definedName name="Payment.Date" localSheetId="50">DATE(YEAR(#REF!),MONTH(#REF!)+Payment_Number,DAY(#REF!))</definedName>
    <definedName name="Payment.Date" localSheetId="51">DATE(YEAR(#REF!),MONTH(#REF!)+Payment_Number,DAY(#REF!))</definedName>
    <definedName name="Payment.Date" localSheetId="14">DATE(YEAR(#REF!),MONTH(#REF!)+Payment_Number,DAY(#REF!))</definedName>
    <definedName name="Payment.Date" localSheetId="20">DATE(YEAR(#REF!),MONTH(#REF!)+Payment_Number,DAY(#REF!))</definedName>
    <definedName name="Payment.Date">DATE(YEAR(Loan_Start),MONTH(Loan_Start)+Payment_Number,DAY(Loan_Start))</definedName>
    <definedName name="Payment_Date" localSheetId="83">DATE(YEAR(#REF!),MONTH(#REF!)+Payment_Number,DAY(#REF!))</definedName>
    <definedName name="Payment_Date" localSheetId="90">DATE(YEAR(#REF!),MONTH(#REF!)+Payment_Number,DAY(#REF!))</definedName>
    <definedName name="Payment_Date" localSheetId="50">DATE(YEAR(#REF!),MONTH(#REF!)+Payment_Number,DAY(#REF!))</definedName>
    <definedName name="Payment_Date" localSheetId="51">DATE(YEAR(#REF!),MONTH(#REF!)+Payment_Number,DAY(#REF!))</definedName>
    <definedName name="Payment_Date" localSheetId="14">DATE(YEAR(#REF!),MONTH(#REF!)+Payment_Number,DAY(#REF!))</definedName>
    <definedName name="Payment_Date" localSheetId="20">DATE(YEAR(#REF!),MONTH(#REF!)+Payment_Number,DAY(#REF!))</definedName>
    <definedName name="Payment_Date">DATE(YEAR(Loan_Start),MONTH(Loan_Start)+Payment_Number,DAY(Loan_Start))</definedName>
    <definedName name="PEBT">OFFSET(#REF!,,,#REF!)</definedName>
    <definedName name="PEMT">OFFSET(#REF!,,,#REF!)</definedName>
    <definedName name="PEpt">OFFSET(#REF!,,,#REF!)</definedName>
    <definedName name="PErealBT">OFFSET(#REF!,,,NISOvoro)</definedName>
    <definedName name="PErealMT">OFFSET(#REF!,,,NISOvoro)</definedName>
    <definedName name="PErealPT">OFFSET(#REF!,,,NISOvoro)</definedName>
    <definedName name="Periodo_analizado" localSheetId="19">#REF!</definedName>
    <definedName name="Periodo_analizado">#REF!</definedName>
    <definedName name="PlantasKw" localSheetId="19">#REF!</definedName>
    <definedName name="PlantasKw">#REF!</definedName>
    <definedName name="PlantasxNom" localSheetId="19">#REF!</definedName>
    <definedName name="PlantasxNom">#REF!</definedName>
    <definedName name="Porc_Lineas_Subt" localSheetId="19">#REF!</definedName>
    <definedName name="Porc_Lineas_Subt">#REF!</definedName>
    <definedName name="Porc_Lineas_Subt_2017" localSheetId="19">#REF!</definedName>
    <definedName name="Porc_Lineas_Subt_2017">#REF!</definedName>
    <definedName name="Porc_MO_AC" localSheetId="19">#REF!</definedName>
    <definedName name="Porc_MO_AC">#REF!</definedName>
    <definedName name="Porc_MO_AC_2017" localSheetId="19">#REF!</definedName>
    <definedName name="Porc_MO_AC_2017">#REF!</definedName>
    <definedName name="Porc_MO_AC_2020" localSheetId="19">#REF!</definedName>
    <definedName name="Porc_MO_AC_2020">#REF!</definedName>
    <definedName name="Porc_MO_AD" localSheetId="19">#REF!</definedName>
    <definedName name="Porc_MO_AD">#REF!</definedName>
    <definedName name="Porc_MO_AD_2017" localSheetId="19">#REF!</definedName>
    <definedName name="Porc_MO_AD_2017">#REF!</definedName>
    <definedName name="Porc_MO_AD_2020" localSheetId="19">#REF!</definedName>
    <definedName name="Porc_MO_AD_2020">#REF!</definedName>
    <definedName name="Porc_MO_ADM" localSheetId="19">#REF!</definedName>
    <definedName name="Porc_MO_ADM">#REF!</definedName>
    <definedName name="Porc_MO_ADM_2017" localSheetId="19">#REF!</definedName>
    <definedName name="Porc_MO_ADM_2017">#REF!</definedName>
    <definedName name="Porc_MO_ADM_2020" localSheetId="19">#REF!</definedName>
    <definedName name="Porc_MO_ADM_2020">#REF!</definedName>
    <definedName name="Porc_MO_COM" localSheetId="19">#REF!</definedName>
    <definedName name="Porc_MO_COM">#REF!</definedName>
    <definedName name="Porc_MO_COM_2017" localSheetId="19">#REF!</definedName>
    <definedName name="Porc_MO_COM_2017">#REF!</definedName>
    <definedName name="Porc_MO_COM_2020" localSheetId="19">#REF!</definedName>
    <definedName name="Porc_MO_COM_2020">#REF!</definedName>
    <definedName name="Porc_MO_OM" localSheetId="19">#REF!</definedName>
    <definedName name="Porc_MO_OM">#REF!</definedName>
    <definedName name="Porc_MO_OM_2017" localSheetId="19">#REF!</definedName>
    <definedName name="Porc_MO_OM_2017">#REF!</definedName>
    <definedName name="Porc_MO_OM_2020" localSheetId="19">#REF!</definedName>
    <definedName name="Porc_MO_OM_2020">#REF!</definedName>
    <definedName name="Porc_Nacional_AC" localSheetId="19">#REF!</definedName>
    <definedName name="Porc_Nacional_AC">#REF!</definedName>
    <definedName name="Porc_Nacional_AC_2017" localSheetId="19">#REF!</definedName>
    <definedName name="Porc_Nacional_AC_2017">#REF!</definedName>
    <definedName name="Porc_Nacional_AC_2020" localSheetId="19">#REF!</definedName>
    <definedName name="Porc_Nacional_AC_2020">#REF!</definedName>
    <definedName name="Porc_Nacional_AD" localSheetId="19">#REF!</definedName>
    <definedName name="Porc_Nacional_AD">#REF!</definedName>
    <definedName name="Porc_Nacional_AD_2017" localSheetId="19">#REF!</definedName>
    <definedName name="Porc_Nacional_AD_2017">#REF!</definedName>
    <definedName name="Porc_Nacional_AD_2020" localSheetId="19">#REF!</definedName>
    <definedName name="Porc_Nacional_AD_2020">#REF!</definedName>
    <definedName name="Porc_Nacional_ADM" localSheetId="19">#REF!</definedName>
    <definedName name="Porc_Nacional_ADM">#REF!</definedName>
    <definedName name="Porc_Nacional_ADM_2017" localSheetId="19">#REF!</definedName>
    <definedName name="Porc_Nacional_ADM_2017">#REF!</definedName>
    <definedName name="Porc_Nacional_ADM_2020" localSheetId="19">#REF!</definedName>
    <definedName name="Porc_Nacional_ADM_2020">#REF!</definedName>
    <definedName name="Porc_Nacional_COM" localSheetId="19">#REF!</definedName>
    <definedName name="Porc_Nacional_COM">#REF!</definedName>
    <definedName name="Porc_Nacional_COM_2017" localSheetId="19">#REF!</definedName>
    <definedName name="Porc_Nacional_COM_2017">#REF!</definedName>
    <definedName name="Porc_Nacional_COM_2020" localSheetId="19">#REF!</definedName>
    <definedName name="Porc_Nacional_COM_2020">#REF!</definedName>
    <definedName name="Porc_Nacional_OM" localSheetId="19">#REF!</definedName>
    <definedName name="Porc_Nacional_OM">#REF!</definedName>
    <definedName name="Porc_Nacional_OM_2017" localSheetId="19">#REF!</definedName>
    <definedName name="Porc_Nacional_OM_2017">#REF!</definedName>
    <definedName name="Porc_Nacional_OM_2020" localSheetId="19">#REF!</definedName>
    <definedName name="Porc_Nacional_OM_2020">#REF!</definedName>
    <definedName name="Potencia_Contratada">#REF!</definedName>
    <definedName name="Potencia_Total_de_Reserva">#REF!</definedName>
    <definedName name="PPP" localSheetId="19">#REF!</definedName>
    <definedName name="PPP">#REF!</definedName>
    <definedName name="PPP_2017" localSheetId="19">#REF!</definedName>
    <definedName name="PPP_2017">#REF!</definedName>
    <definedName name="PPP_2020" localSheetId="19">#REF!</definedName>
    <definedName name="PPP_2020">#REF!</definedName>
    <definedName name="pppp">#REF!</definedName>
    <definedName name="PRECIO">#REF!</definedName>
    <definedName name="Precio_del_MWH">#REF!</definedName>
    <definedName name="Precio_del_RCP">#REF!</definedName>
    <definedName name="Precio_del_SAS">#REF!</definedName>
    <definedName name="Precio_Energia_Fuera">#REF!</definedName>
    <definedName name="Precio_Energia_Punta">#REF!</definedName>
    <definedName name="Precio_Potencia_Contratada">#REF!</definedName>
    <definedName name="PreçoMAE">#REF!</definedName>
    <definedName name="Princ">#REF!</definedName>
    <definedName name="Print_Area_Reset">OFFSET(Full_Print,0,0,Last_Row)</definedName>
    <definedName name="produccion_energia">#REF!</definedName>
    <definedName name="PruebaHOY">#REF!</definedName>
    <definedName name="PT">OFFSET(#REF!,,,#REF!)</definedName>
    <definedName name="PT_particulares_MT__para_Willy_16_12_2003_">#REF!</definedName>
    <definedName name="PT_rurales__todos_">#REF!</definedName>
    <definedName name="Racionamento">#REF!</definedName>
    <definedName name="Rango_bi_R">OFFSET(#REF!,,,41,11-#REF!)</definedName>
    <definedName name="Rango_mo_R">OFFSET(#REF!,,,41,11-#REF!)</definedName>
    <definedName name="Rango_tri_R">OFFSET(#REF!,,,41,11-#REF!)</definedName>
    <definedName name="Receita_Rmilhões">#REF!</definedName>
    <definedName name="ReduçãoC_Inicial">#REF!</definedName>
    <definedName name="ReduçãoCI">#REF!</definedName>
    <definedName name="ReduçãoCompraEnergia">#REF!</definedName>
    <definedName name="ReduçãoFaturamento">#REF!</definedName>
    <definedName name="REM">#REF!</definedName>
    <definedName name="Rendimiento_esperado">#REF!</definedName>
    <definedName name="Reserva_Efectiva">#REF!</definedName>
    <definedName name="Reserva_Efectiva_Total">#REF!</definedName>
    <definedName name="Reserva_Real">#REF!</definedName>
    <definedName name="ResultadoMAE">#REF!</definedName>
    <definedName name="ResultadosInd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yM">#REF!</definedName>
    <definedName name="ROyMAT">#REF!</definedName>
    <definedName name="rrr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">#REF!</definedName>
    <definedName name="sdf">#REF!</definedName>
    <definedName name="sdfsdfas">#N/A</definedName>
    <definedName name="sdgf">#REF!</definedName>
    <definedName name="Secc_tri_u">#REF!</definedName>
    <definedName name="Soles_Nasca_Palpa.">#REF!</definedName>
    <definedName name="Soles_Region.">#REF!</definedName>
    <definedName name="solver_adj" localSheetId="47" hidden="1">ComEne26!#REF!</definedName>
    <definedName name="solver_adj" localSheetId="12" hidden="1">RAT1000PT!$R$148:$R$151</definedName>
    <definedName name="solver_cvg" localSheetId="47" hidden="1">0.0001</definedName>
    <definedName name="solver_cvg" localSheetId="12" hidden="1">0.0001</definedName>
    <definedName name="solver_drv" localSheetId="47" hidden="1">1</definedName>
    <definedName name="solver_drv" localSheetId="12" hidden="1">1</definedName>
    <definedName name="solver_eng" localSheetId="47" hidden="1">1</definedName>
    <definedName name="solver_eng" localSheetId="12" hidden="1">1</definedName>
    <definedName name="solver_est" localSheetId="47" hidden="1">1</definedName>
    <definedName name="solver_est" localSheetId="12" hidden="1">1</definedName>
    <definedName name="solver_itr" localSheetId="47" hidden="1">2147483647</definedName>
    <definedName name="solver_itr" localSheetId="12" hidden="1">2147483647</definedName>
    <definedName name="solver_lhs1" localSheetId="47" hidden="1">ComEne26!#REF!</definedName>
    <definedName name="solver_lhs1" localSheetId="12" hidden="1">RAT1000PT!$Q$148:$Q$151</definedName>
    <definedName name="solver_mip" localSheetId="47" hidden="1">2147483647</definedName>
    <definedName name="solver_mip" localSheetId="12" hidden="1">2147483647</definedName>
    <definedName name="solver_mni" localSheetId="47" hidden="1">30</definedName>
    <definedName name="solver_mni" localSheetId="12" hidden="1">30</definedName>
    <definedName name="solver_mrt" localSheetId="47" hidden="1">0.075</definedName>
    <definedName name="solver_mrt" localSheetId="12" hidden="1">0.075</definedName>
    <definedName name="solver_msl" localSheetId="47" hidden="1">2</definedName>
    <definedName name="solver_msl" localSheetId="12" hidden="1">2</definedName>
    <definedName name="solver_neg" localSheetId="47" hidden="1">1</definedName>
    <definedName name="solver_neg" localSheetId="12" hidden="1">1</definedName>
    <definedName name="solver_nod" localSheetId="47" hidden="1">2147483647</definedName>
    <definedName name="solver_nod" localSheetId="12" hidden="1">2147483647</definedName>
    <definedName name="solver_num" localSheetId="47" hidden="1">1</definedName>
    <definedName name="solver_num" localSheetId="12" hidden="1">1</definedName>
    <definedName name="solver_nwt" localSheetId="47" hidden="1">1</definedName>
    <definedName name="solver_nwt" localSheetId="12" hidden="1">1</definedName>
    <definedName name="solver_opt" localSheetId="47" hidden="1">ComEne26!#REF!</definedName>
    <definedName name="solver_opt" localSheetId="12" hidden="1">RAT1000PT!$Q$152</definedName>
    <definedName name="solver_pre" localSheetId="47" hidden="1">0.000001</definedName>
    <definedName name="solver_pre" localSheetId="12" hidden="1">0.000001</definedName>
    <definedName name="solver_rbv" localSheetId="47" hidden="1">1</definedName>
    <definedName name="solver_rbv" localSheetId="12" hidden="1">1</definedName>
    <definedName name="solver_rel1" localSheetId="47" hidden="1">2</definedName>
    <definedName name="solver_rel1" localSheetId="12" hidden="1">1</definedName>
    <definedName name="solver_rhs1" localSheetId="47" hidden="1">0</definedName>
    <definedName name="solver_rhs1" localSheetId="12" hidden="1">0</definedName>
    <definedName name="solver_rlx" localSheetId="47" hidden="1">2</definedName>
    <definedName name="solver_rlx" localSheetId="12" hidden="1">2</definedName>
    <definedName name="solver_rsd" localSheetId="47" hidden="1">0</definedName>
    <definedName name="solver_rsd" localSheetId="12" hidden="1">0</definedName>
    <definedName name="solver_scl" localSheetId="47" hidden="1">1</definedName>
    <definedName name="solver_scl" localSheetId="12" hidden="1">1</definedName>
    <definedName name="solver_sho" localSheetId="47" hidden="1">2</definedName>
    <definedName name="solver_sho" localSheetId="12" hidden="1">2</definedName>
    <definedName name="solver_ssz" localSheetId="47" hidden="1">100</definedName>
    <definedName name="solver_ssz" localSheetId="12" hidden="1">100</definedName>
    <definedName name="solver_tim" localSheetId="47" hidden="1">2147483647</definedName>
    <definedName name="solver_tim" localSheetId="12" hidden="1">2147483647</definedName>
    <definedName name="solver_tol" localSheetId="47" hidden="1">0.01</definedName>
    <definedName name="solver_tol" localSheetId="12" hidden="1">0.01</definedName>
    <definedName name="solver_typ" localSheetId="47" hidden="1">3</definedName>
    <definedName name="solver_typ" localSheetId="12" hidden="1">3</definedName>
    <definedName name="solver_val" localSheetId="47" hidden="1">0</definedName>
    <definedName name="solver_val" localSheetId="12" hidden="1">0</definedName>
    <definedName name="solver_ver" localSheetId="47" hidden="1">3</definedName>
    <definedName name="solver_ver" localSheetId="12" hidden="1">3</definedName>
    <definedName name="sss">#REF!</definedName>
    <definedName name="Subtotal_Costo_Energia_Fuera">#REF!</definedName>
    <definedName name="Subtotal_Costo_Energia_Punta">#REF!</definedName>
    <definedName name="Subtotal_Costo_Potencia_Contratada">#REF!</definedName>
    <definedName name="Subtotal_Energia_Fuera">#REF!</definedName>
    <definedName name="Subtotal_Energia_Punta">#REF!</definedName>
    <definedName name="Subtotal_Potencia_Contratada">#REF!</definedName>
    <definedName name="Subtotal_Precio_Energia_Fuera">#REF!</definedName>
    <definedName name="Subtotal_Precio_Energia_Punta">#REF!</definedName>
    <definedName name="Subtotal_Precio_Potencia_Contratada">#REF!</definedName>
    <definedName name="TAR_MED_VT_CHINCHA">#REF!</definedName>
    <definedName name="TAR_MED_VT_ICA">#REF!</definedName>
    <definedName name="TAR_MED_VT_NASC_PALP">#REF!</definedName>
    <definedName name="TAR_MED_VT_PISCO">#REF!</definedName>
    <definedName name="TARIFA_MEDIA_COMPRA">#REF!</definedName>
    <definedName name="Tarifa_Nasca_Palpa">#REF!</definedName>
    <definedName name="TARIFA_VENTA_REGION">#REF!</definedName>
    <definedName name="TENSAO_CLASSE__REAL_mil">#REF!</definedName>
    <definedName name="_xlnm.Print_Titles" localSheetId="96">'PLIEGO UNIFICADO'!$2:$3</definedName>
    <definedName name="_xlnm.Print_Titles" localSheetId="12">RAT1000PT!$2:$4</definedName>
    <definedName name="Total_Combustible">#REF!</definedName>
    <definedName name="Total_Costo_Energia_Fuera">#REF!</definedName>
    <definedName name="Total_Costo_Energia_Punta">#REF!</definedName>
    <definedName name="Total_Costo_Potencia_Contratada">#REF!</definedName>
    <definedName name="Total_Energía_consumida">#REF!</definedName>
    <definedName name="Total_Energia_Fuera">#REF!</definedName>
    <definedName name="Total_Energia_Punta">#REF!</definedName>
    <definedName name="Total_Interest">#REF!</definedName>
    <definedName name="Total_Pay">#REF!</definedName>
    <definedName name="Total_Payment" localSheetId="83">Scheduled_Payment+Extra_Payment</definedName>
    <definedName name="Total_Payment" localSheetId="90">Scheduled_Payment+Extra_Payment</definedName>
    <definedName name="Total_Payment" localSheetId="50">Scheduled_Payment+Extra_Payment</definedName>
    <definedName name="Total_Payment" localSheetId="51">Scheduled_Payment+Extra_Payment</definedName>
    <definedName name="Total_Payment" localSheetId="14">Scheduled_Payment+Extra_Payment</definedName>
    <definedName name="Total_Payment" localSheetId="20">Scheduled_Payment+Extra_Payment</definedName>
    <definedName name="Total_Payment">Scheduled_Payment+Extra_Payment</definedName>
    <definedName name="Total_Potencia_Contratada">#REF!</definedName>
    <definedName name="Total_Potencia_Efectiva">#REF!</definedName>
    <definedName name="Total_Precio_Energia_Fuera">#REF!</definedName>
    <definedName name="Total_Precio_Energia_Punta">#REF!</definedName>
    <definedName name="Total_Precio_Potencia_Contratada">#REF!</definedName>
    <definedName name="Values_Entered">IF(Loan_Amount*Interest_Rate*Loan_Years*Loan_Start&gt;0,1,0)</definedName>
    <definedName name="ValueSaveAsHTM">#REF!</definedName>
    <definedName name="VANDAMARCA">#REF!</definedName>
    <definedName name="Variables" localSheetId="19">#REF!</definedName>
    <definedName name="Variables">#REF!</definedName>
    <definedName name="VariaçãoCompraEnergia">#REF!</definedName>
    <definedName name="VariaçãoFaturamento">#REF!</definedName>
    <definedName name="VariaçãoVendaEnergia">#REF!</definedName>
    <definedName name="VCASTROV">#REF!</definedName>
    <definedName name="VCHANGUILLO">#REF!</definedName>
    <definedName name="VCHAVIÑA">#REF!</definedName>
    <definedName name="VCHIPAO">#REF!</definedName>
    <definedName name="VCORDOVA">#REF!</definedName>
    <definedName name="Venda_Rmilhões">#REF!</definedName>
    <definedName name="Venda_SPOT__GWh">#REF!</definedName>
    <definedName name="venta_aislados_nasca">#REF!</definedName>
    <definedName name="venta_aislados_pisco">#REF!</definedName>
    <definedName name="venta_castrovirreyna">#REF!</definedName>
    <definedName name="venta_chincha">#REF!</definedName>
    <definedName name="venta_coracora">#REF!</definedName>
    <definedName name="venta_ica">#REF!</definedName>
    <definedName name="venta_nasca_palpa">#REF!</definedName>
    <definedName name="venta_pisco">#REF!</definedName>
    <definedName name="venta_puquio">#REF!</definedName>
    <definedName name="venta_puquio_coracora">#REF!</definedName>
    <definedName name="venta_regional">#REF!</definedName>
    <definedName name="VENTACHAVIÑA">#REF!</definedName>
    <definedName name="VHUACHOS">#REF!</definedName>
    <definedName name="VINGENIO">#REF!</definedName>
    <definedName name="VLARAMATE">#REF!</definedName>
    <definedName name="voro">#REF!</definedName>
    <definedName name="voronoi">#REF!</definedName>
    <definedName name="VPAUZA">#REF!</definedName>
    <definedName name="VQUERCO">#REF!</definedName>
    <definedName name="VSANTIAGOCHOCORVO">#REF!</definedName>
    <definedName name="VTA_KWH_B3H">#REF!</definedName>
    <definedName name="VTAMBOQUEMADO">#REF!</definedName>
    <definedName name="VTANTARA">#REF!</definedName>
    <definedName name="VTICRAPO">#REF!</definedName>
  </definedNames>
  <calcPr calcId="191029" iterateDelta="9.9999999999999995E-7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0" i="654" l="1"/>
  <c r="E19" i="654"/>
  <c r="E20" i="653"/>
  <c r="E19" i="653"/>
  <c r="E20" i="658"/>
  <c r="E19" i="658"/>
  <c r="E20" i="508"/>
  <c r="E19" i="508"/>
  <c r="D56" i="743"/>
  <c r="D55" i="743"/>
  <c r="G56" i="743"/>
  <c r="G55" i="743"/>
  <c r="T93" i="66"/>
  <c r="O93" i="66" s="1"/>
  <c r="T94" i="66"/>
  <c r="O94" i="66" s="1"/>
  <c r="L94" i="66"/>
  <c r="L93" i="66"/>
  <c r="K93" i="66" l="1"/>
  <c r="K94" i="66"/>
  <c r="N93" i="66"/>
  <c r="E19" i="502" s="1"/>
  <c r="U94" i="66"/>
  <c r="F56" i="743"/>
  <c r="F55" i="743"/>
  <c r="N94" i="66"/>
  <c r="U93" i="66"/>
  <c r="E55" i="743" l="1"/>
  <c r="H55" i="743" s="1"/>
  <c r="E20" i="502"/>
  <c r="E56" i="743"/>
  <c r="H56" i="743" s="1"/>
  <c r="AM2" i="644"/>
  <c r="AJ2" i="644"/>
  <c r="AG2" i="644"/>
  <c r="Q20" i="631"/>
  <c r="Q21" i="631"/>
  <c r="Q23" i="631"/>
  <c r="Q24" i="631"/>
  <c r="Q25" i="631"/>
  <c r="Q26" i="631"/>
  <c r="Q27" i="631"/>
  <c r="Q28" i="631"/>
  <c r="G21" i="644"/>
  <c r="W36" i="644"/>
  <c r="Q36" i="644"/>
  <c r="G36" i="644"/>
  <c r="W30" i="644"/>
  <c r="Q30" i="644"/>
  <c r="G30" i="644"/>
  <c r="S35" i="644"/>
  <c r="K35" i="644"/>
  <c r="S32" i="644"/>
  <c r="K32" i="644"/>
  <c r="Y41" i="644"/>
  <c r="Y40" i="644"/>
  <c r="Y39" i="644"/>
  <c r="S78" i="644"/>
  <c r="S77" i="644"/>
  <c r="S76" i="644"/>
  <c r="S75" i="644"/>
  <c r="S64" i="644"/>
  <c r="S63" i="644"/>
  <c r="S62" i="644"/>
  <c r="S61" i="644"/>
  <c r="S56" i="644"/>
  <c r="S55" i="644"/>
  <c r="S54" i="644"/>
  <c r="S53" i="644"/>
  <c r="S50" i="644"/>
  <c r="S49" i="644"/>
  <c r="S48" i="644"/>
  <c r="S47" i="644"/>
  <c r="S41" i="644"/>
  <c r="S40" i="644"/>
  <c r="S39" i="644"/>
  <c r="S34" i="644"/>
  <c r="S33" i="644"/>
  <c r="S29" i="644"/>
  <c r="S28" i="644"/>
  <c r="S27" i="644"/>
  <c r="S26" i="644"/>
  <c r="S25" i="644"/>
  <c r="S24" i="644"/>
  <c r="S23" i="644"/>
  <c r="S20" i="644"/>
  <c r="S19" i="644"/>
  <c r="S18" i="644"/>
  <c r="S17" i="644"/>
  <c r="S16" i="644"/>
  <c r="S15" i="644"/>
  <c r="S13" i="644"/>
  <c r="Y78" i="644"/>
  <c r="Y63" i="644"/>
  <c r="Y56" i="644"/>
  <c r="Y50" i="644"/>
  <c r="Y35" i="644"/>
  <c r="Y13" i="644"/>
  <c r="S36" i="644" l="1"/>
  <c r="S21" i="644"/>
  <c r="S30" i="644"/>
  <c r="Y32" i="644"/>
  <c r="L35" i="644"/>
  <c r="M35" i="644" s="1"/>
  <c r="L32" i="644"/>
  <c r="Y33" i="644"/>
  <c r="Y15" i="644"/>
  <c r="Y16" i="644"/>
  <c r="Y18" i="644"/>
  <c r="Y17" i="644"/>
  <c r="Y19" i="644"/>
  <c r="Y75" i="644"/>
  <c r="Y47" i="644"/>
  <c r="Y49" i="644"/>
  <c r="Y64" i="644"/>
  <c r="Y76" i="644"/>
  <c r="Y48" i="644"/>
  <c r="Y77" i="644"/>
  <c r="Y23" i="644"/>
  <c r="Y24" i="644"/>
  <c r="Y25" i="644"/>
  <c r="Y53" i="644"/>
  <c r="Y26" i="644"/>
  <c r="Y54" i="644"/>
  <c r="Y27" i="644"/>
  <c r="Y55" i="644"/>
  <c r="Y28" i="644"/>
  <c r="Y29" i="644"/>
  <c r="Y20" i="644"/>
  <c r="Y61" i="644"/>
  <c r="Y34" i="644"/>
  <c r="Y62" i="644"/>
  <c r="H470" i="743"/>
  <c r="H467" i="743"/>
  <c r="H465" i="743"/>
  <c r="H462" i="743"/>
  <c r="H458" i="743"/>
  <c r="H455" i="743"/>
  <c r="H449" i="743"/>
  <c r="H448" i="743"/>
  <c r="H447" i="743"/>
  <c r="H444" i="743"/>
  <c r="H441" i="743"/>
  <c r="H439" i="743"/>
  <c r="H436" i="743"/>
  <c r="H433" i="743"/>
  <c r="H430" i="743"/>
  <c r="H425" i="743"/>
  <c r="H424" i="743"/>
  <c r="H423" i="743"/>
  <c r="H422" i="743"/>
  <c r="H421" i="743"/>
  <c r="H420" i="743"/>
  <c r="H417" i="743"/>
  <c r="H414" i="743"/>
  <c r="H412" i="743"/>
  <c r="H409" i="743"/>
  <c r="H405" i="743"/>
  <c r="H402" i="743"/>
  <c r="H396" i="743"/>
  <c r="H395" i="743"/>
  <c r="H394" i="743"/>
  <c r="H391" i="743"/>
  <c r="H388" i="743"/>
  <c r="H386" i="743"/>
  <c r="H383" i="743"/>
  <c r="H380" i="743"/>
  <c r="H377" i="743"/>
  <c r="H372" i="743"/>
  <c r="H371" i="743"/>
  <c r="H370" i="743"/>
  <c r="H369" i="743"/>
  <c r="H368" i="743"/>
  <c r="H367" i="743"/>
  <c r="H364" i="743"/>
  <c r="H361" i="743"/>
  <c r="H359" i="743"/>
  <c r="H356" i="743"/>
  <c r="H352" i="743"/>
  <c r="H349" i="743"/>
  <c r="H343" i="743"/>
  <c r="H342" i="743"/>
  <c r="H341" i="743"/>
  <c r="H338" i="743"/>
  <c r="H335" i="743"/>
  <c r="H333" i="743"/>
  <c r="H330" i="743"/>
  <c r="H327" i="743"/>
  <c r="H324" i="743"/>
  <c r="H319" i="743"/>
  <c r="H318" i="743"/>
  <c r="H317" i="743"/>
  <c r="H316" i="743"/>
  <c r="H315" i="743"/>
  <c r="H314" i="743"/>
  <c r="H313" i="743"/>
  <c r="H312" i="743"/>
  <c r="H311" i="743"/>
  <c r="H301" i="743"/>
  <c r="H300" i="743"/>
  <c r="H292" i="743"/>
  <c r="H290" i="743"/>
  <c r="H287" i="743"/>
  <c r="H285" i="743"/>
  <c r="H282" i="743"/>
  <c r="H278" i="743"/>
  <c r="H275" i="743"/>
  <c r="H274" i="743"/>
  <c r="H267" i="743"/>
  <c r="H266" i="743"/>
  <c r="H265" i="743"/>
  <c r="H264" i="743"/>
  <c r="H258" i="743"/>
  <c r="H256" i="743"/>
  <c r="H253" i="743"/>
  <c r="H251" i="743"/>
  <c r="H248" i="743"/>
  <c r="H245" i="743"/>
  <c r="H242" i="743"/>
  <c r="H241" i="743"/>
  <c r="H237" i="743"/>
  <c r="H236" i="743"/>
  <c r="H235" i="743"/>
  <c r="H234" i="743"/>
  <c r="H233" i="743"/>
  <c r="H232" i="743"/>
  <c r="H224" i="743"/>
  <c r="H222" i="743"/>
  <c r="H219" i="743"/>
  <c r="H217" i="743"/>
  <c r="H214" i="743"/>
  <c r="H210" i="743"/>
  <c r="H207" i="743"/>
  <c r="H206" i="743"/>
  <c r="H199" i="743"/>
  <c r="H198" i="743"/>
  <c r="H197" i="743"/>
  <c r="H196" i="743"/>
  <c r="H195" i="743"/>
  <c r="H189" i="743"/>
  <c r="H187" i="743"/>
  <c r="H184" i="743"/>
  <c r="H182" i="743"/>
  <c r="H179" i="743"/>
  <c r="H176" i="743"/>
  <c r="H173" i="743"/>
  <c r="H172" i="743"/>
  <c r="H168" i="743"/>
  <c r="H167" i="743"/>
  <c r="H166" i="743"/>
  <c r="H165" i="743"/>
  <c r="H164" i="743"/>
  <c r="H163" i="743"/>
  <c r="H155" i="743"/>
  <c r="H153" i="743"/>
  <c r="H150" i="743"/>
  <c r="H148" i="743"/>
  <c r="H145" i="743"/>
  <c r="H141" i="743"/>
  <c r="H138" i="743"/>
  <c r="H137" i="743"/>
  <c r="H130" i="743"/>
  <c r="H129" i="743"/>
  <c r="H128" i="743"/>
  <c r="H127" i="743"/>
  <c r="H126" i="743"/>
  <c r="H117" i="743"/>
  <c r="H115" i="743"/>
  <c r="H112" i="743"/>
  <c r="H110" i="743"/>
  <c r="H107" i="743"/>
  <c r="H104" i="743"/>
  <c r="H101" i="743"/>
  <c r="H100" i="743"/>
  <c r="H93" i="743"/>
  <c r="H92" i="743"/>
  <c r="H91" i="743"/>
  <c r="H90" i="743"/>
  <c r="H89" i="743"/>
  <c r="H82" i="743"/>
  <c r="H80" i="743"/>
  <c r="H78" i="743"/>
  <c r="H76" i="743"/>
  <c r="H74" i="743"/>
  <c r="H70" i="743"/>
  <c r="H67" i="743"/>
  <c r="H66" i="743"/>
  <c r="H61" i="743"/>
  <c r="H60" i="743"/>
  <c r="H59" i="743"/>
  <c r="H50" i="743"/>
  <c r="H48" i="743"/>
  <c r="H46" i="743"/>
  <c r="H44" i="743"/>
  <c r="H42" i="743"/>
  <c r="H40" i="743"/>
  <c r="H37" i="743"/>
  <c r="H36" i="743"/>
  <c r="H31" i="743"/>
  <c r="H29" i="743"/>
  <c r="H24" i="743"/>
  <c r="H22" i="743"/>
  <c r="H20" i="743"/>
  <c r="H18" i="743"/>
  <c r="H16" i="743"/>
  <c r="H14" i="743"/>
  <c r="H12" i="743"/>
  <c r="H11" i="743"/>
  <c r="D304" i="743"/>
  <c r="Y21" i="644" l="1"/>
  <c r="Y36" i="644"/>
  <c r="Y30" i="644"/>
  <c r="N35" i="644"/>
  <c r="M32" i="644"/>
  <c r="L144" i="130"/>
  <c r="K144" i="130"/>
  <c r="I175" i="130"/>
  <c r="P144" i="130" s="1"/>
  <c r="H175" i="130"/>
  <c r="O144" i="130" s="1"/>
  <c r="G175" i="130"/>
  <c r="N144" i="130" s="1"/>
  <c r="F175" i="130"/>
  <c r="M144" i="130" s="1"/>
  <c r="E175" i="130"/>
  <c r="D175" i="130"/>
  <c r="C9" i="818"/>
  <c r="C15" i="818"/>
  <c r="C13" i="818"/>
  <c r="C12" i="818"/>
  <c r="C11" i="818"/>
  <c r="C10" i="818"/>
  <c r="K116" i="812"/>
  <c r="L116" i="812"/>
  <c r="M116" i="812"/>
  <c r="N116" i="812"/>
  <c r="O116" i="812"/>
  <c r="P116" i="812"/>
  <c r="K124" i="812"/>
  <c r="L124" i="812"/>
  <c r="M124" i="812"/>
  <c r="M123" i="812" s="1"/>
  <c r="N124" i="812"/>
  <c r="O124" i="812"/>
  <c r="P124" i="812"/>
  <c r="P123" i="812" s="1"/>
  <c r="K125" i="812"/>
  <c r="L125" i="812"/>
  <c r="M125" i="812"/>
  <c r="N125" i="812"/>
  <c r="N123" i="812" s="1"/>
  <c r="O125" i="812"/>
  <c r="P125" i="812"/>
  <c r="Q125" i="812"/>
  <c r="K126" i="812"/>
  <c r="L126" i="812"/>
  <c r="M126" i="812"/>
  <c r="N126" i="812"/>
  <c r="O126" i="812"/>
  <c r="P126" i="812"/>
  <c r="K127" i="812"/>
  <c r="L127" i="812"/>
  <c r="M127" i="812"/>
  <c r="N127" i="812"/>
  <c r="O127" i="812"/>
  <c r="P127" i="812"/>
  <c r="W24" i="812"/>
  <c r="V24" i="812"/>
  <c r="U24" i="812"/>
  <c r="V23" i="812"/>
  <c r="U23" i="812"/>
  <c r="T23" i="812"/>
  <c r="S23" i="812"/>
  <c r="R23" i="812"/>
  <c r="AH26" i="812"/>
  <c r="AG26" i="812"/>
  <c r="AH25" i="812"/>
  <c r="AG25" i="812"/>
  <c r="AH24" i="812"/>
  <c r="T24" i="812" s="1"/>
  <c r="AG24" i="812"/>
  <c r="AH23" i="812"/>
  <c r="W23" i="812" s="1"/>
  <c r="AG23" i="812"/>
  <c r="AH22" i="812"/>
  <c r="W22" i="812" s="1"/>
  <c r="AG22" i="812"/>
  <c r="AH21" i="812"/>
  <c r="AG21" i="812"/>
  <c r="S12" i="812"/>
  <c r="R12" i="812"/>
  <c r="R10" i="812" s="1"/>
  <c r="W11" i="812"/>
  <c r="V11" i="812"/>
  <c r="U11" i="812"/>
  <c r="T11" i="812"/>
  <c r="S11" i="812"/>
  <c r="R11" i="812"/>
  <c r="AG10" i="812"/>
  <c r="AH10" i="812"/>
  <c r="AG11" i="812"/>
  <c r="AH11" i="812"/>
  <c r="AG12" i="812"/>
  <c r="AH12" i="812"/>
  <c r="T12" i="812" s="1"/>
  <c r="AG13" i="812"/>
  <c r="AH13" i="812"/>
  <c r="S6" i="812"/>
  <c r="T6" i="812"/>
  <c r="U6" i="812"/>
  <c r="V6" i="812"/>
  <c r="W6" i="812"/>
  <c r="AH6" i="812"/>
  <c r="AG6" i="812"/>
  <c r="R6" i="812"/>
  <c r="L123" i="812" l="1"/>
  <c r="W21" i="812"/>
  <c r="K123" i="812"/>
  <c r="Q144" i="130"/>
  <c r="V12" i="812"/>
  <c r="U12" i="812"/>
  <c r="W12" i="812"/>
  <c r="R24" i="812"/>
  <c r="S24" i="812"/>
  <c r="X24" i="812" s="1"/>
  <c r="Q126" i="812"/>
  <c r="J175" i="130"/>
  <c r="X11" i="812"/>
  <c r="O123" i="812"/>
  <c r="N32" i="644"/>
  <c r="Q123" i="812"/>
  <c r="Q124" i="812"/>
  <c r="Q127" i="812"/>
  <c r="X23" i="812"/>
  <c r="R22" i="812"/>
  <c r="S22" i="812"/>
  <c r="T22" i="812"/>
  <c r="U22" i="812"/>
  <c r="V22" i="812"/>
  <c r="S21" i="812"/>
  <c r="T21" i="812"/>
  <c r="X12" i="812"/>
  <c r="T10" i="812"/>
  <c r="U10" i="812"/>
  <c r="S10" i="812"/>
  <c r="W10" i="812"/>
  <c r="V10" i="812"/>
  <c r="X22" i="812" l="1"/>
  <c r="V21" i="812"/>
  <c r="R21" i="812"/>
  <c r="X21" i="812" s="1"/>
  <c r="U21" i="812"/>
  <c r="X10" i="812"/>
  <c r="F8" i="831" l="1"/>
  <c r="P12" i="631" l="1"/>
  <c r="P11" i="631"/>
  <c r="P10" i="631"/>
  <c r="P9" i="631"/>
  <c r="P8" i="631"/>
  <c r="P7" i="631"/>
  <c r="P6" i="631"/>
  <c r="O7" i="631"/>
  <c r="O8" i="631"/>
  <c r="O9" i="631"/>
  <c r="O10" i="631"/>
  <c r="O11" i="631"/>
  <c r="O12" i="631"/>
  <c r="O6" i="631"/>
  <c r="H520" i="608" l="1"/>
  <c r="I520" i="608" s="1"/>
  <c r="J520" i="608" s="1"/>
  <c r="K520" i="608" s="1"/>
  <c r="L520" i="608" s="1"/>
  <c r="E16" i="658"/>
  <c r="E16" i="508"/>
  <c r="E17" i="654"/>
  <c r="E18" i="654"/>
  <c r="E17" i="653"/>
  <c r="E18" i="653"/>
  <c r="E17" i="508"/>
  <c r="E18" i="508"/>
  <c r="F5" i="831" l="1"/>
  <c r="F6" i="831"/>
  <c r="F7" i="831"/>
  <c r="F10" i="831" s="1"/>
  <c r="F12" i="831"/>
  <c r="W163" i="825"/>
  <c r="W229" i="825"/>
  <c r="W299" i="825"/>
  <c r="W343" i="825"/>
  <c r="W407" i="825"/>
  <c r="W471" i="825"/>
  <c r="K368" i="128"/>
  <c r="L348" i="128"/>
  <c r="F13" i="831" l="1"/>
  <c r="F14" i="831"/>
  <c r="N422" i="128" l="1"/>
  <c r="N421" i="128"/>
  <c r="N420" i="128"/>
  <c r="K419" i="128"/>
  <c r="N419" i="128" s="1"/>
  <c r="N418" i="128"/>
  <c r="N415" i="128"/>
  <c r="N414" i="128"/>
  <c r="N413" i="128"/>
  <c r="N412" i="128"/>
  <c r="N411" i="128"/>
  <c r="N410" i="128"/>
  <c r="N409" i="128"/>
  <c r="N408" i="128"/>
  <c r="N407" i="128"/>
  <c r="N406" i="128"/>
  <c r="N405" i="128"/>
  <c r="N404" i="128"/>
  <c r="N403" i="128"/>
  <c r="N402" i="128"/>
  <c r="N401" i="128"/>
  <c r="N400" i="128"/>
  <c r="N399" i="128"/>
  <c r="N398" i="128"/>
  <c r="N397" i="128"/>
  <c r="N396" i="128"/>
  <c r="N395" i="128"/>
  <c r="N394" i="128"/>
  <c r="N393" i="128"/>
  <c r="N392" i="128"/>
  <c r="N391" i="128"/>
  <c r="N390" i="128"/>
  <c r="N389" i="128"/>
  <c r="N388" i="128"/>
  <c r="N387" i="128"/>
  <c r="N386" i="128"/>
  <c r="N385" i="128"/>
  <c r="N384" i="128"/>
  <c r="N383" i="128"/>
  <c r="N382" i="128"/>
  <c r="N381" i="128"/>
  <c r="N380" i="128"/>
  <c r="N379" i="128"/>
  <c r="N378" i="128"/>
  <c r="N377" i="128"/>
  <c r="N376" i="128"/>
  <c r="N375" i="128"/>
  <c r="N374" i="128"/>
  <c r="N373" i="128"/>
  <c r="N372" i="128"/>
  <c r="L371" i="128"/>
  <c r="N371" i="128" s="1"/>
  <c r="N370" i="128"/>
  <c r="N369" i="128"/>
  <c r="N368" i="128"/>
  <c r="N367" i="128"/>
  <c r="N366" i="128"/>
  <c r="N365" i="128"/>
  <c r="N364" i="128"/>
  <c r="N363" i="128"/>
  <c r="N362" i="128"/>
  <c r="N361" i="128"/>
  <c r="H360" i="128"/>
  <c r="N360" i="128" s="1"/>
  <c r="N359" i="128"/>
  <c r="N358" i="128"/>
  <c r="N357" i="128"/>
  <c r="N356" i="128"/>
  <c r="N355" i="128"/>
  <c r="N354" i="128"/>
  <c r="N353" i="128"/>
  <c r="N352" i="128"/>
  <c r="N351" i="128"/>
  <c r="N350" i="128"/>
  <c r="N349" i="128"/>
  <c r="N348" i="128"/>
  <c r="N347" i="128"/>
  <c r="N346" i="128"/>
  <c r="N345" i="128"/>
  <c r="N344" i="128"/>
  <c r="N343" i="128"/>
  <c r="N342" i="128"/>
  <c r="N341" i="128"/>
  <c r="N340" i="128"/>
  <c r="N339" i="128"/>
  <c r="N338" i="128"/>
  <c r="N337" i="128"/>
  <c r="N336" i="128"/>
  <c r="N335" i="128"/>
  <c r="N129" i="128"/>
  <c r="N128" i="128"/>
  <c r="N126" i="128"/>
  <c r="N125" i="128"/>
  <c r="N124" i="128"/>
  <c r="N123" i="128"/>
  <c r="N122" i="128"/>
  <c r="N121" i="128"/>
  <c r="N120" i="128"/>
  <c r="N119" i="128"/>
  <c r="N118" i="128"/>
  <c r="N117" i="128"/>
  <c r="N116" i="128"/>
  <c r="N115" i="128"/>
  <c r="N114" i="128"/>
  <c r="N113" i="128"/>
  <c r="N112" i="128"/>
  <c r="N111" i="128"/>
  <c r="N110" i="128"/>
  <c r="N109" i="128"/>
  <c r="N108" i="128"/>
  <c r="N107" i="128"/>
  <c r="N106" i="128"/>
  <c r="N105" i="128"/>
  <c r="N104" i="128"/>
  <c r="N103" i="128"/>
  <c r="N102" i="128"/>
  <c r="N101" i="128"/>
  <c r="N100" i="128"/>
  <c r="N99" i="128"/>
  <c r="N98" i="128"/>
  <c r="N97" i="128"/>
  <c r="N96" i="128"/>
  <c r="N95" i="128"/>
  <c r="N94" i="128"/>
  <c r="K93" i="152"/>
  <c r="K92" i="152"/>
  <c r="K91" i="152"/>
  <c r="K90" i="152"/>
  <c r="K89" i="152"/>
  <c r="K88" i="152"/>
  <c r="K87" i="152"/>
  <c r="K86" i="152"/>
  <c r="K85" i="152"/>
  <c r="K84" i="152"/>
  <c r="K83" i="152"/>
  <c r="K82" i="152"/>
  <c r="K81" i="152"/>
  <c r="K80" i="152"/>
  <c r="K79" i="152"/>
  <c r="K78" i="152"/>
  <c r="K77" i="152"/>
  <c r="K76" i="152"/>
  <c r="K75" i="152"/>
  <c r="K74" i="152"/>
  <c r="K73" i="152"/>
  <c r="E72" i="152"/>
  <c r="K71" i="152"/>
  <c r="K70" i="152"/>
  <c r="K69" i="152"/>
  <c r="K68" i="152"/>
  <c r="K67" i="152"/>
  <c r="K66" i="152"/>
  <c r="K65" i="152"/>
  <c r="K64" i="152"/>
  <c r="K63" i="152"/>
  <c r="K62" i="152"/>
  <c r="K61" i="152"/>
  <c r="K60" i="152"/>
  <c r="K59" i="152"/>
  <c r="K58" i="152"/>
  <c r="K57" i="152"/>
  <c r="K56" i="152"/>
  <c r="K55" i="152"/>
  <c r="K54" i="152"/>
  <c r="K53" i="152"/>
  <c r="K52" i="152"/>
  <c r="K51" i="152"/>
  <c r="K50" i="152"/>
  <c r="K49" i="152"/>
  <c r="K48" i="152"/>
  <c r="E47" i="152"/>
  <c r="G46" i="152"/>
  <c r="H46" i="152" s="1"/>
  <c r="I46" i="152" s="1"/>
  <c r="E45" i="152"/>
  <c r="F45" i="152" s="1"/>
  <c r="G45" i="152" s="1"/>
  <c r="H45" i="152" s="1"/>
  <c r="I45" i="152" s="1"/>
  <c r="J45" i="152" s="1"/>
  <c r="G44" i="152"/>
  <c r="E43" i="152"/>
  <c r="F43" i="152" s="1"/>
  <c r="G43" i="152" s="1"/>
  <c r="H43" i="152" s="1"/>
  <c r="I43" i="152" s="1"/>
  <c r="J43" i="152" s="1"/>
  <c r="E42" i="152"/>
  <c r="E41" i="152"/>
  <c r="F41" i="152" s="1"/>
  <c r="G41" i="152" s="1"/>
  <c r="H41" i="152" s="1"/>
  <c r="I41" i="152" s="1"/>
  <c r="J41" i="152" s="1"/>
  <c r="E40" i="152"/>
  <c r="E39" i="152"/>
  <c r="F39" i="152" s="1"/>
  <c r="G39" i="152" s="1"/>
  <c r="H39" i="152" s="1"/>
  <c r="I39" i="152" s="1"/>
  <c r="J39" i="152" s="1"/>
  <c r="E38" i="152"/>
  <c r="F38" i="152" s="1"/>
  <c r="G38" i="152" s="1"/>
  <c r="H38" i="152" s="1"/>
  <c r="I38" i="152" s="1"/>
  <c r="J38" i="152" s="1"/>
  <c r="E37" i="152"/>
  <c r="F37" i="152" s="1"/>
  <c r="G37" i="152" s="1"/>
  <c r="H37" i="152" s="1"/>
  <c r="I37" i="152" s="1"/>
  <c r="J37" i="152" s="1"/>
  <c r="E36" i="152"/>
  <c r="F36" i="152" s="1"/>
  <c r="G36" i="152" s="1"/>
  <c r="H36" i="152" s="1"/>
  <c r="I36" i="152" s="1"/>
  <c r="J36" i="152" s="1"/>
  <c r="E35" i="152"/>
  <c r="K34" i="152"/>
  <c r="E33" i="152"/>
  <c r="F33" i="152" s="1"/>
  <c r="G33" i="152" s="1"/>
  <c r="H33" i="152" s="1"/>
  <c r="I33" i="152" s="1"/>
  <c r="J33" i="152" s="1"/>
  <c r="E32" i="152"/>
  <c r="E31" i="152"/>
  <c r="F31" i="152" s="1"/>
  <c r="G31" i="152" s="1"/>
  <c r="H31" i="152" s="1"/>
  <c r="I31" i="152" s="1"/>
  <c r="J31" i="152" s="1"/>
  <c r="E30" i="152"/>
  <c r="K30" i="152" s="1"/>
  <c r="E29" i="152"/>
  <c r="K29" i="152" s="1"/>
  <c r="K28" i="152"/>
  <c r="E27" i="152"/>
  <c r="K27" i="152" s="1"/>
  <c r="K26" i="152"/>
  <c r="E25" i="152"/>
  <c r="K25" i="152" s="1"/>
  <c r="E24" i="152"/>
  <c r="K24" i="152" s="1"/>
  <c r="K23" i="152"/>
  <c r="E22" i="152"/>
  <c r="K22" i="152" s="1"/>
  <c r="K21" i="152"/>
  <c r="E20" i="152"/>
  <c r="E19" i="152"/>
  <c r="F19" i="152" s="1"/>
  <c r="G19" i="152" s="1"/>
  <c r="H19" i="152" s="1"/>
  <c r="I19" i="152" s="1"/>
  <c r="J19" i="152" s="1"/>
  <c r="K18" i="152"/>
  <c r="E17" i="152"/>
  <c r="F17" i="152" s="1"/>
  <c r="G17" i="152" s="1"/>
  <c r="H17" i="152" s="1"/>
  <c r="I17" i="152" s="1"/>
  <c r="J17" i="152" s="1"/>
  <c r="E16" i="152"/>
  <c r="K15" i="152"/>
  <c r="E14" i="152"/>
  <c r="E13" i="152"/>
  <c r="J12" i="152"/>
  <c r="K12" i="152" s="1"/>
  <c r="E11" i="152"/>
  <c r="F11" i="152" s="1"/>
  <c r="E10" i="152"/>
  <c r="E9" i="152"/>
  <c r="F9" i="152" s="1"/>
  <c r="G9" i="152" s="1"/>
  <c r="H9" i="152" s="1"/>
  <c r="I9" i="152" s="1"/>
  <c r="J9" i="152" s="1"/>
  <c r="E8" i="152"/>
  <c r="E7" i="152"/>
  <c r="F7" i="152" s="1"/>
  <c r="G7" i="152" s="1"/>
  <c r="H7" i="152" s="1"/>
  <c r="I7" i="152" s="1"/>
  <c r="J7" i="152" s="1"/>
  <c r="E6" i="152"/>
  <c r="F6" i="152" s="1"/>
  <c r="G6" i="152" s="1"/>
  <c r="H6" i="152" s="1"/>
  <c r="I6" i="152" s="1"/>
  <c r="J6" i="152" s="1"/>
  <c r="E5" i="152"/>
  <c r="L56" i="644"/>
  <c r="K56" i="644"/>
  <c r="L55" i="644"/>
  <c r="K55" i="644"/>
  <c r="L54" i="644"/>
  <c r="K54" i="644"/>
  <c r="L53" i="644"/>
  <c r="K53" i="644"/>
  <c r="G527" i="608"/>
  <c r="D320" i="128"/>
  <c r="M320" i="128" s="1"/>
  <c r="E320" i="128"/>
  <c r="F320" i="128"/>
  <c r="D321" i="128"/>
  <c r="J321" i="128" s="1"/>
  <c r="E321" i="128"/>
  <c r="F321" i="128"/>
  <c r="D322" i="128"/>
  <c r="M322" i="128" s="1"/>
  <c r="E322" i="128"/>
  <c r="F322" i="128"/>
  <c r="F319" i="128"/>
  <c r="E319" i="128"/>
  <c r="D319" i="128"/>
  <c r="K319" i="128" s="1"/>
  <c r="F318" i="128"/>
  <c r="E318" i="128"/>
  <c r="D318" i="128"/>
  <c r="L318" i="128" s="1"/>
  <c r="F317" i="128"/>
  <c r="E317" i="128"/>
  <c r="D317" i="128"/>
  <c r="K317" i="128" s="1"/>
  <c r="F316" i="128"/>
  <c r="E316" i="128"/>
  <c r="D316" i="128"/>
  <c r="H316" i="128" s="1"/>
  <c r="F315" i="128"/>
  <c r="E315" i="128"/>
  <c r="D315" i="128"/>
  <c r="K315" i="128" s="1"/>
  <c r="F314" i="128"/>
  <c r="E314" i="128"/>
  <c r="D314" i="128"/>
  <c r="J314" i="128" s="1"/>
  <c r="F313" i="128"/>
  <c r="E313" i="128"/>
  <c r="D313" i="128"/>
  <c r="M313" i="128" s="1"/>
  <c r="F312" i="128"/>
  <c r="E312" i="128"/>
  <c r="D312" i="128"/>
  <c r="J312" i="128" s="1"/>
  <c r="F311" i="128"/>
  <c r="E311" i="128"/>
  <c r="D311" i="128"/>
  <c r="L311" i="128" s="1"/>
  <c r="F310" i="128"/>
  <c r="E310" i="128"/>
  <c r="D310" i="128"/>
  <c r="J310" i="128" s="1"/>
  <c r="F309" i="128"/>
  <c r="E309" i="128"/>
  <c r="D309" i="128"/>
  <c r="L309" i="128" s="1"/>
  <c r="F308" i="128"/>
  <c r="E308" i="128"/>
  <c r="D308" i="128"/>
  <c r="K308" i="128" s="1"/>
  <c r="F307" i="128"/>
  <c r="E307" i="128"/>
  <c r="D307" i="128"/>
  <c r="L307" i="128" s="1"/>
  <c r="F306" i="128"/>
  <c r="E306" i="128"/>
  <c r="D306" i="128"/>
  <c r="L306" i="128" s="1"/>
  <c r="F305" i="128"/>
  <c r="E305" i="128"/>
  <c r="D305" i="128"/>
  <c r="L305" i="128" s="1"/>
  <c r="F304" i="128"/>
  <c r="E304" i="128"/>
  <c r="D304" i="128"/>
  <c r="H304" i="128" s="1"/>
  <c r="F303" i="128"/>
  <c r="E303" i="128"/>
  <c r="D303" i="128"/>
  <c r="M303" i="128" s="1"/>
  <c r="F302" i="128"/>
  <c r="E302" i="128"/>
  <c r="D302" i="128"/>
  <c r="L302" i="128" s="1"/>
  <c r="F301" i="128"/>
  <c r="E301" i="128"/>
  <c r="D301" i="128"/>
  <c r="J301" i="128" s="1"/>
  <c r="F300" i="128"/>
  <c r="E300" i="128"/>
  <c r="D300" i="128"/>
  <c r="M300" i="128" s="1"/>
  <c r="F299" i="128"/>
  <c r="E299" i="128"/>
  <c r="D299" i="128"/>
  <c r="K299" i="128" s="1"/>
  <c r="F298" i="128"/>
  <c r="E298" i="128"/>
  <c r="D298" i="128"/>
  <c r="L298" i="128" s="1"/>
  <c r="F297" i="128"/>
  <c r="E297" i="128"/>
  <c r="D297" i="128"/>
  <c r="K297" i="128" s="1"/>
  <c r="F296" i="128"/>
  <c r="E296" i="128"/>
  <c r="D296" i="128"/>
  <c r="M296" i="128" s="1"/>
  <c r="F295" i="128"/>
  <c r="E295" i="128"/>
  <c r="D295" i="128"/>
  <c r="J295" i="128" s="1"/>
  <c r="F294" i="128"/>
  <c r="E294" i="128"/>
  <c r="D294" i="128"/>
  <c r="H294" i="128" s="1"/>
  <c r="F293" i="128"/>
  <c r="E293" i="128"/>
  <c r="D293" i="128"/>
  <c r="K293" i="128" s="1"/>
  <c r="F292" i="128"/>
  <c r="E292" i="128"/>
  <c r="D292" i="128"/>
  <c r="H292" i="128" s="1"/>
  <c r="F291" i="128"/>
  <c r="E291" i="128"/>
  <c r="D291" i="128"/>
  <c r="M291" i="128" s="1"/>
  <c r="F290" i="128"/>
  <c r="E290" i="128"/>
  <c r="D290" i="128"/>
  <c r="I290" i="128" s="1"/>
  <c r="F289" i="128"/>
  <c r="E289" i="128"/>
  <c r="D289" i="128"/>
  <c r="J289" i="128" s="1"/>
  <c r="F288" i="128"/>
  <c r="E288" i="128"/>
  <c r="D288" i="128"/>
  <c r="M288" i="128" s="1"/>
  <c r="F287" i="128"/>
  <c r="E287" i="128"/>
  <c r="D287" i="128"/>
  <c r="M287" i="128" s="1"/>
  <c r="F286" i="128"/>
  <c r="E286" i="128"/>
  <c r="D286" i="128"/>
  <c r="L286" i="128" s="1"/>
  <c r="F285" i="128"/>
  <c r="E285" i="128"/>
  <c r="D285" i="128"/>
  <c r="K285" i="128" s="1"/>
  <c r="F284" i="128"/>
  <c r="E284" i="128"/>
  <c r="D284" i="128"/>
  <c r="H284" i="128" s="1"/>
  <c r="F283" i="128"/>
  <c r="E283" i="128"/>
  <c r="D283" i="128"/>
  <c r="M283" i="128" s="1"/>
  <c r="F282" i="128"/>
  <c r="E282" i="128"/>
  <c r="D282" i="128"/>
  <c r="J282" i="128" s="1"/>
  <c r="F281" i="128"/>
  <c r="E281" i="128"/>
  <c r="D281" i="128"/>
  <c r="J281" i="128" s="1"/>
  <c r="F280" i="128"/>
  <c r="E280" i="128"/>
  <c r="D280" i="128"/>
  <c r="J280" i="128" s="1"/>
  <c r="F279" i="128"/>
  <c r="E279" i="128"/>
  <c r="D279" i="128"/>
  <c r="M279" i="128" s="1"/>
  <c r="F278" i="128"/>
  <c r="E278" i="128"/>
  <c r="D278" i="128"/>
  <c r="L278" i="128" s="1"/>
  <c r="F277" i="128"/>
  <c r="E277" i="128"/>
  <c r="D277" i="128"/>
  <c r="H277" i="128" s="1"/>
  <c r="F276" i="128"/>
  <c r="E276" i="128"/>
  <c r="D276" i="128"/>
  <c r="F275" i="128"/>
  <c r="E275" i="128"/>
  <c r="D275" i="128"/>
  <c r="I275" i="128" s="1"/>
  <c r="F274" i="128"/>
  <c r="E274" i="128"/>
  <c r="D274" i="128"/>
  <c r="J274" i="128" s="1"/>
  <c r="F273" i="128"/>
  <c r="E273" i="128"/>
  <c r="D273" i="128"/>
  <c r="J273" i="128" s="1"/>
  <c r="F272" i="128"/>
  <c r="E272" i="128"/>
  <c r="D272" i="128"/>
  <c r="M272" i="128" s="1"/>
  <c r="F271" i="128"/>
  <c r="E271" i="128"/>
  <c r="D271" i="128"/>
  <c r="M271" i="128" s="1"/>
  <c r="F270" i="128"/>
  <c r="E270" i="128"/>
  <c r="D270" i="128"/>
  <c r="L270" i="128" s="1"/>
  <c r="F269" i="128"/>
  <c r="E269" i="128"/>
  <c r="D269" i="128"/>
  <c r="J269" i="128" s="1"/>
  <c r="F268" i="128"/>
  <c r="E268" i="128"/>
  <c r="D268" i="128"/>
  <c r="H268" i="128" s="1"/>
  <c r="F267" i="128"/>
  <c r="E267" i="128"/>
  <c r="D267" i="128"/>
  <c r="M267" i="128" s="1"/>
  <c r="F266" i="128"/>
  <c r="E266" i="128"/>
  <c r="D266" i="128"/>
  <c r="L266" i="128" s="1"/>
  <c r="F265" i="128"/>
  <c r="E265" i="128"/>
  <c r="D265" i="128"/>
  <c r="J265" i="128" s="1"/>
  <c r="F264" i="128"/>
  <c r="E264" i="128"/>
  <c r="D264" i="128"/>
  <c r="J264" i="128" s="1"/>
  <c r="F263" i="128"/>
  <c r="E263" i="128"/>
  <c r="D263" i="128"/>
  <c r="M263" i="128" s="1"/>
  <c r="F262" i="128"/>
  <c r="E262" i="128"/>
  <c r="D262" i="128"/>
  <c r="L262" i="128" s="1"/>
  <c r="F261" i="128"/>
  <c r="E261" i="128"/>
  <c r="D261" i="128"/>
  <c r="L261" i="128" s="1"/>
  <c r="F260" i="128"/>
  <c r="E260" i="128"/>
  <c r="D260" i="128"/>
  <c r="H260" i="128" s="1"/>
  <c r="F259" i="128"/>
  <c r="E259" i="128"/>
  <c r="D259" i="128"/>
  <c r="M259" i="128" s="1"/>
  <c r="F258" i="128"/>
  <c r="E258" i="128"/>
  <c r="D258" i="128"/>
  <c r="K258" i="128" s="1"/>
  <c r="F257" i="128"/>
  <c r="E257" i="128"/>
  <c r="D257" i="128"/>
  <c r="J257" i="128" s="1"/>
  <c r="F256" i="128"/>
  <c r="E256" i="128"/>
  <c r="D256" i="128"/>
  <c r="M256" i="128" s="1"/>
  <c r="F255" i="128"/>
  <c r="E255" i="128"/>
  <c r="D255" i="128"/>
  <c r="M255" i="128" s="1"/>
  <c r="F254" i="128"/>
  <c r="E254" i="128"/>
  <c r="D254" i="128"/>
  <c r="L254" i="128" s="1"/>
  <c r="F253" i="128"/>
  <c r="E253" i="128"/>
  <c r="D253" i="128"/>
  <c r="K253" i="128" s="1"/>
  <c r="F252" i="128"/>
  <c r="E252" i="128"/>
  <c r="D252" i="128"/>
  <c r="H252" i="128" s="1"/>
  <c r="L41" i="644"/>
  <c r="K41" i="644"/>
  <c r="L40" i="644"/>
  <c r="K40" i="644"/>
  <c r="L39" i="644"/>
  <c r="K39" i="644"/>
  <c r="M38" i="644"/>
  <c r="M40" i="644" s="1"/>
  <c r="G42" i="644"/>
  <c r="Y42" i="644" s="1"/>
  <c r="K23" i="644"/>
  <c r="K15" i="644"/>
  <c r="L15" i="644" s="1"/>
  <c r="K24" i="644"/>
  <c r="L24" i="644" s="1"/>
  <c r="M24" i="644" s="1"/>
  <c r="K25" i="644"/>
  <c r="K26" i="644"/>
  <c r="K27" i="644"/>
  <c r="L27" i="644" s="1"/>
  <c r="K28" i="644"/>
  <c r="K29" i="644"/>
  <c r="L29" i="644" s="1"/>
  <c r="M29" i="644" s="1"/>
  <c r="K33" i="644"/>
  <c r="L33" i="644" s="1"/>
  <c r="M33" i="644" s="1"/>
  <c r="K34" i="644"/>
  <c r="L34" i="644" s="1"/>
  <c r="M34" i="644" s="1"/>
  <c r="K19" i="644"/>
  <c r="L19" i="644" s="1"/>
  <c r="K18" i="644"/>
  <c r="L18" i="644" s="1"/>
  <c r="K17" i="644"/>
  <c r="L17" i="644" s="1"/>
  <c r="K16" i="644"/>
  <c r="L16" i="644" s="1"/>
  <c r="K20" i="644"/>
  <c r="L20" i="644" s="1"/>
  <c r="J18" i="211"/>
  <c r="C67" i="163"/>
  <c r="C66" i="163"/>
  <c r="C65" i="163"/>
  <c r="C64" i="163"/>
  <c r="C63" i="163"/>
  <c r="C62" i="163"/>
  <c r="C61" i="163"/>
  <c r="C69" i="473"/>
  <c r="C68" i="473"/>
  <c r="C67" i="473"/>
  <c r="C66" i="473"/>
  <c r="C65" i="473"/>
  <c r="C64" i="473"/>
  <c r="C63" i="473"/>
  <c r="C67" i="158"/>
  <c r="C66" i="158"/>
  <c r="C65" i="158"/>
  <c r="C64" i="158"/>
  <c r="C63" i="158"/>
  <c r="C62" i="158"/>
  <c r="C61" i="158"/>
  <c r="C67" i="216"/>
  <c r="C66" i="216"/>
  <c r="C65" i="216"/>
  <c r="C64" i="216"/>
  <c r="C63" i="216"/>
  <c r="C62" i="216"/>
  <c r="C61" i="216"/>
  <c r="M2" i="743"/>
  <c r="L2" i="743"/>
  <c r="G310" i="743"/>
  <c r="G309" i="743"/>
  <c r="G308" i="743"/>
  <c r="G307" i="743"/>
  <c r="G306" i="743"/>
  <c r="G305" i="743"/>
  <c r="G304" i="743"/>
  <c r="G303" i="743"/>
  <c r="G302" i="743"/>
  <c r="P137" i="66"/>
  <c r="P136" i="66"/>
  <c r="P135" i="66"/>
  <c r="P134" i="66"/>
  <c r="P133" i="66"/>
  <c r="S42" i="644" l="1"/>
  <c r="G497" i="608"/>
  <c r="G500" i="608"/>
  <c r="G501" i="608"/>
  <c r="F14" i="152"/>
  <c r="G14" i="152" s="1"/>
  <c r="H14" i="152" s="1"/>
  <c r="I14" i="152" s="1"/>
  <c r="J14" i="152" s="1"/>
  <c r="G498" i="608"/>
  <c r="M56" i="644"/>
  <c r="N56" i="644" s="1"/>
  <c r="K17" i="152"/>
  <c r="H276" i="128"/>
  <c r="K38" i="152"/>
  <c r="J46" i="152"/>
  <c r="K46" i="152" s="1"/>
  <c r="K9" i="152"/>
  <c r="H44" i="152"/>
  <c r="I44" i="152" s="1"/>
  <c r="J44" i="152" s="1"/>
  <c r="K19" i="152"/>
  <c r="K45" i="152"/>
  <c r="F72" i="152"/>
  <c r="G72" i="152" s="1"/>
  <c r="H72" i="152" s="1"/>
  <c r="I72" i="152" s="1"/>
  <c r="J72" i="152" s="1"/>
  <c r="F35" i="152"/>
  <c r="G35" i="152" s="1"/>
  <c r="H35" i="152" s="1"/>
  <c r="I35" i="152" s="1"/>
  <c r="J35" i="152" s="1"/>
  <c r="K36" i="152"/>
  <c r="K37" i="152"/>
  <c r="F5" i="152"/>
  <c r="G5" i="152" s="1"/>
  <c r="H5" i="152" s="1"/>
  <c r="I5" i="152" s="1"/>
  <c r="J5" i="152" s="1"/>
  <c r="G11" i="152"/>
  <c r="H11" i="152" s="1"/>
  <c r="K31" i="152"/>
  <c r="K39" i="152"/>
  <c r="K7" i="152"/>
  <c r="K41" i="152"/>
  <c r="K33" i="152"/>
  <c r="F16" i="152"/>
  <c r="G16" i="152" s="1"/>
  <c r="H16" i="152" s="1"/>
  <c r="I16" i="152" s="1"/>
  <c r="J16" i="152" s="1"/>
  <c r="K43" i="152"/>
  <c r="K6" i="152"/>
  <c r="F13" i="152"/>
  <c r="G13" i="152" s="1"/>
  <c r="H13" i="152" s="1"/>
  <c r="I13" i="152" s="1"/>
  <c r="J13" i="152" s="1"/>
  <c r="F47" i="152"/>
  <c r="G47" i="152" s="1"/>
  <c r="H47" i="152" s="1"/>
  <c r="I47" i="152" s="1"/>
  <c r="J47" i="152" s="1"/>
  <c r="F32" i="152"/>
  <c r="G32" i="152" s="1"/>
  <c r="H32" i="152" s="1"/>
  <c r="I32" i="152" s="1"/>
  <c r="J32" i="152" s="1"/>
  <c r="F42" i="152"/>
  <c r="G42" i="152" s="1"/>
  <c r="H42" i="152" s="1"/>
  <c r="I42" i="152" s="1"/>
  <c r="J42" i="152" s="1"/>
  <c r="F10" i="152"/>
  <c r="G10" i="152" s="1"/>
  <c r="H10" i="152" s="1"/>
  <c r="I10" i="152" s="1"/>
  <c r="J10" i="152" s="1"/>
  <c r="F8" i="152"/>
  <c r="G8" i="152" s="1"/>
  <c r="H8" i="152" s="1"/>
  <c r="I8" i="152" s="1"/>
  <c r="J8" i="152" s="1"/>
  <c r="F20" i="152"/>
  <c r="G20" i="152" s="1"/>
  <c r="H20" i="152" s="1"/>
  <c r="I20" i="152" s="1"/>
  <c r="J20" i="152" s="1"/>
  <c r="F40" i="152"/>
  <c r="G40" i="152" s="1"/>
  <c r="H40" i="152" s="1"/>
  <c r="I40" i="152" s="1"/>
  <c r="J40" i="152" s="1"/>
  <c r="M53" i="644"/>
  <c r="N53" i="644" s="1"/>
  <c r="M54" i="644"/>
  <c r="N54" i="644" s="1"/>
  <c r="M55" i="644"/>
  <c r="N55" i="644" s="1"/>
  <c r="J277" i="128"/>
  <c r="K277" i="128"/>
  <c r="L277" i="128"/>
  <c r="M277" i="128"/>
  <c r="K282" i="128"/>
  <c r="I277" i="128"/>
  <c r="L282" i="128"/>
  <c r="K292" i="128"/>
  <c r="H293" i="128"/>
  <c r="J292" i="128"/>
  <c r="I293" i="128"/>
  <c r="I292" i="128"/>
  <c r="M276" i="128"/>
  <c r="M304" i="128"/>
  <c r="M282" i="128"/>
  <c r="L292" i="128"/>
  <c r="K295" i="128"/>
  <c r="J316" i="128"/>
  <c r="M252" i="128"/>
  <c r="H271" i="128"/>
  <c r="H283" i="128"/>
  <c r="I304" i="128"/>
  <c r="M318" i="128"/>
  <c r="K257" i="128"/>
  <c r="M311" i="128"/>
  <c r="I316" i="128"/>
  <c r="L263" i="128"/>
  <c r="K316" i="128"/>
  <c r="I300" i="128"/>
  <c r="M316" i="128"/>
  <c r="L252" i="128"/>
  <c r="M270" i="128"/>
  <c r="H256" i="128"/>
  <c r="I271" i="128"/>
  <c r="I283" i="128"/>
  <c r="J304" i="128"/>
  <c r="H319" i="128"/>
  <c r="L257" i="128"/>
  <c r="M257" i="128"/>
  <c r="J263" i="128"/>
  <c r="K263" i="128"/>
  <c r="K252" i="128"/>
  <c r="I268" i="128"/>
  <c r="I256" i="128"/>
  <c r="J271" i="128"/>
  <c r="I284" i="128"/>
  <c r="K304" i="128"/>
  <c r="H322" i="128"/>
  <c r="H263" i="128"/>
  <c r="I263" i="128"/>
  <c r="M278" i="128"/>
  <c r="L295" i="128"/>
  <c r="I252" i="128"/>
  <c r="H279" i="128"/>
  <c r="M298" i="128"/>
  <c r="L316" i="128"/>
  <c r="J252" i="128"/>
  <c r="I267" i="128"/>
  <c r="J300" i="128"/>
  <c r="L317" i="128"/>
  <c r="K300" i="128"/>
  <c r="M317" i="128"/>
  <c r="J256" i="128"/>
  <c r="L276" i="128"/>
  <c r="K288" i="128"/>
  <c r="L304" i="128"/>
  <c r="I322" i="128"/>
  <c r="I309" i="128"/>
  <c r="I313" i="128"/>
  <c r="H320" i="128"/>
  <c r="K312" i="128"/>
  <c r="L312" i="128"/>
  <c r="H309" i="128"/>
  <c r="H313" i="128"/>
  <c r="M292" i="128"/>
  <c r="H296" i="128"/>
  <c r="J309" i="128"/>
  <c r="J313" i="128"/>
  <c r="I320" i="128"/>
  <c r="I260" i="128"/>
  <c r="K265" i="128"/>
  <c r="K271" i="128"/>
  <c r="M286" i="128"/>
  <c r="I296" i="128"/>
  <c r="J320" i="128"/>
  <c r="H287" i="128"/>
  <c r="K320" i="128"/>
  <c r="I287" i="128"/>
  <c r="J293" i="128"/>
  <c r="H305" i="128"/>
  <c r="M309" i="128"/>
  <c r="M254" i="128"/>
  <c r="L260" i="128"/>
  <c r="H266" i="128"/>
  <c r="H272" i="128"/>
  <c r="L321" i="128"/>
  <c r="H255" i="128"/>
  <c r="M260" i="128"/>
  <c r="I266" i="128"/>
  <c r="I272" i="128"/>
  <c r="K281" i="128"/>
  <c r="K287" i="128"/>
  <c r="L293" i="128"/>
  <c r="I299" i="128"/>
  <c r="J305" i="128"/>
  <c r="I255" i="128"/>
  <c r="H261" i="128"/>
  <c r="J266" i="128"/>
  <c r="J272" i="128"/>
  <c r="L281" i="128"/>
  <c r="L287" i="128"/>
  <c r="M293" i="128"/>
  <c r="J299" i="128"/>
  <c r="K305" i="128"/>
  <c r="H317" i="128"/>
  <c r="L299" i="128"/>
  <c r="M305" i="128"/>
  <c r="H312" i="128"/>
  <c r="I317" i="128"/>
  <c r="J322" i="128"/>
  <c r="L255" i="128"/>
  <c r="K261" i="128"/>
  <c r="M266" i="128"/>
  <c r="J276" i="128"/>
  <c r="I282" i="128"/>
  <c r="I288" i="128"/>
  <c r="M295" i="128"/>
  <c r="M299" i="128"/>
  <c r="M306" i="128"/>
  <c r="I312" i="128"/>
  <c r="J317" i="128"/>
  <c r="K322" i="128"/>
  <c r="M312" i="128"/>
  <c r="K309" i="128"/>
  <c r="K313" i="128"/>
  <c r="J260" i="128"/>
  <c r="L265" i="128"/>
  <c r="L271" i="128"/>
  <c r="K260" i="128"/>
  <c r="M265" i="128"/>
  <c r="K321" i="128"/>
  <c r="J287" i="128"/>
  <c r="H299" i="128"/>
  <c r="I305" i="128"/>
  <c r="M321" i="128"/>
  <c r="J255" i="128"/>
  <c r="I261" i="128"/>
  <c r="K266" i="128"/>
  <c r="K272" i="128"/>
  <c r="M281" i="128"/>
  <c r="K255" i="128"/>
  <c r="J261" i="128"/>
  <c r="I276" i="128"/>
  <c r="H282" i="128"/>
  <c r="H288" i="128"/>
  <c r="M262" i="128"/>
  <c r="H267" i="128"/>
  <c r="K276" i="128"/>
  <c r="J288" i="128"/>
  <c r="H300" i="128"/>
  <c r="H307" i="128"/>
  <c r="L322" i="128"/>
  <c r="K314" i="128"/>
  <c r="J284" i="128"/>
  <c r="L268" i="128"/>
  <c r="K279" i="128"/>
  <c r="M284" i="128"/>
  <c r="L279" i="128"/>
  <c r="H285" i="128"/>
  <c r="I297" i="128"/>
  <c r="M319" i="128"/>
  <c r="L274" i="128"/>
  <c r="K269" i="128"/>
  <c r="M302" i="128"/>
  <c r="L253" i="128"/>
  <c r="L285" i="128"/>
  <c r="M310" i="128"/>
  <c r="H254" i="128"/>
  <c r="L256" i="128"/>
  <c r="J259" i="128"/>
  <c r="H262" i="128"/>
  <c r="L264" i="128"/>
  <c r="J267" i="128"/>
  <c r="H270" i="128"/>
  <c r="L272" i="128"/>
  <c r="J275" i="128"/>
  <c r="H278" i="128"/>
  <c r="L280" i="128"/>
  <c r="J283" i="128"/>
  <c r="H286" i="128"/>
  <c r="L288" i="128"/>
  <c r="J291" i="128"/>
  <c r="L294" i="128"/>
  <c r="J296" i="128"/>
  <c r="H298" i="128"/>
  <c r="L300" i="128"/>
  <c r="J303" i="128"/>
  <c r="H306" i="128"/>
  <c r="L308" i="128"/>
  <c r="H311" i="128"/>
  <c r="L313" i="128"/>
  <c r="H318" i="128"/>
  <c r="L320" i="128"/>
  <c r="L314" i="128"/>
  <c r="I279" i="128"/>
  <c r="L284" i="128"/>
  <c r="H290" i="128"/>
  <c r="M268" i="128"/>
  <c r="I315" i="128"/>
  <c r="H297" i="128"/>
  <c r="H310" i="128"/>
  <c r="J315" i="128"/>
  <c r="I285" i="128"/>
  <c r="K290" i="128"/>
  <c r="I310" i="128"/>
  <c r="H264" i="128"/>
  <c r="L290" i="128"/>
  <c r="J297" i="128"/>
  <c r="L315" i="128"/>
  <c r="M274" i="128"/>
  <c r="I294" i="128"/>
  <c r="M315" i="128"/>
  <c r="H275" i="128"/>
  <c r="J294" i="128"/>
  <c r="M253" i="128"/>
  <c r="K256" i="128"/>
  <c r="I259" i="128"/>
  <c r="M261" i="128"/>
  <c r="K264" i="128"/>
  <c r="M285" i="128"/>
  <c r="I291" i="128"/>
  <c r="K294" i="128"/>
  <c r="I254" i="128"/>
  <c r="K259" i="128"/>
  <c r="I262" i="128"/>
  <c r="M264" i="128"/>
  <c r="K267" i="128"/>
  <c r="I270" i="128"/>
  <c r="K275" i="128"/>
  <c r="I278" i="128"/>
  <c r="M280" i="128"/>
  <c r="K283" i="128"/>
  <c r="I286" i="128"/>
  <c r="K291" i="128"/>
  <c r="M294" i="128"/>
  <c r="K296" i="128"/>
  <c r="I298" i="128"/>
  <c r="K303" i="128"/>
  <c r="I306" i="128"/>
  <c r="M308" i="128"/>
  <c r="I311" i="128"/>
  <c r="I318" i="128"/>
  <c r="K273" i="128"/>
  <c r="K289" i="128"/>
  <c r="J268" i="128"/>
  <c r="L289" i="128"/>
  <c r="M273" i="128"/>
  <c r="K284" i="128"/>
  <c r="M301" i="128"/>
  <c r="I307" i="128"/>
  <c r="I319" i="128"/>
  <c r="I274" i="128"/>
  <c r="H253" i="128"/>
  <c r="H269" i="128"/>
  <c r="J290" i="128"/>
  <c r="L319" i="128"/>
  <c r="I269" i="128"/>
  <c r="K302" i="128"/>
  <c r="J253" i="128"/>
  <c r="H280" i="128"/>
  <c r="H308" i="128"/>
  <c r="I264" i="128"/>
  <c r="M290" i="128"/>
  <c r="K310" i="128"/>
  <c r="L269" i="128"/>
  <c r="L297" i="128"/>
  <c r="H303" i="128"/>
  <c r="L310" i="128"/>
  <c r="M269" i="128"/>
  <c r="M297" i="128"/>
  <c r="I303" i="128"/>
  <c r="J254" i="128"/>
  <c r="H257" i="128"/>
  <c r="L259" i="128"/>
  <c r="J262" i="128"/>
  <c r="H265" i="128"/>
  <c r="L267" i="128"/>
  <c r="J270" i="128"/>
  <c r="H273" i="128"/>
  <c r="L275" i="128"/>
  <c r="J278" i="128"/>
  <c r="H281" i="128"/>
  <c r="L283" i="128"/>
  <c r="J286" i="128"/>
  <c r="H289" i="128"/>
  <c r="L291" i="128"/>
  <c r="H295" i="128"/>
  <c r="L296" i="128"/>
  <c r="J298" i="128"/>
  <c r="H301" i="128"/>
  <c r="L303" i="128"/>
  <c r="J306" i="128"/>
  <c r="J311" i="128"/>
  <c r="H314" i="128"/>
  <c r="J318" i="128"/>
  <c r="H321" i="128"/>
  <c r="K301" i="128"/>
  <c r="L301" i="128"/>
  <c r="M289" i="128"/>
  <c r="H274" i="128"/>
  <c r="H302" i="128"/>
  <c r="J319" i="128"/>
  <c r="J258" i="128"/>
  <c r="J302" i="128"/>
  <c r="I253" i="128"/>
  <c r="K274" i="128"/>
  <c r="M307" i="128"/>
  <c r="L258" i="128"/>
  <c r="J285" i="128"/>
  <c r="M258" i="128"/>
  <c r="I280" i="128"/>
  <c r="I308" i="128"/>
  <c r="H259" i="128"/>
  <c r="H291" i="128"/>
  <c r="K280" i="128"/>
  <c r="K254" i="128"/>
  <c r="I257" i="128"/>
  <c r="K262" i="128"/>
  <c r="I265" i="128"/>
  <c r="K270" i="128"/>
  <c r="I273" i="128"/>
  <c r="M275" i="128"/>
  <c r="K278" i="128"/>
  <c r="I281" i="128"/>
  <c r="K286" i="128"/>
  <c r="I289" i="128"/>
  <c r="I295" i="128"/>
  <c r="K298" i="128"/>
  <c r="I301" i="128"/>
  <c r="K306" i="128"/>
  <c r="K311" i="128"/>
  <c r="I314" i="128"/>
  <c r="K318" i="128"/>
  <c r="I321" i="128"/>
  <c r="L273" i="128"/>
  <c r="K268" i="128"/>
  <c r="M314" i="128"/>
  <c r="H258" i="128"/>
  <c r="J279" i="128"/>
  <c r="J307" i="128"/>
  <c r="H315" i="128"/>
  <c r="I258" i="128"/>
  <c r="I302" i="128"/>
  <c r="K307" i="128"/>
  <c r="J308" i="128"/>
  <c r="M41" i="644"/>
  <c r="N41" i="644" s="1"/>
  <c r="M39" i="644"/>
  <c r="N40" i="644"/>
  <c r="N33" i="644"/>
  <c r="L25" i="644"/>
  <c r="M25" i="644" s="1"/>
  <c r="L26" i="644"/>
  <c r="M26" i="644" s="1"/>
  <c r="N26" i="644" s="1"/>
  <c r="N24" i="644"/>
  <c r="M27" i="644"/>
  <c r="N27" i="644" s="1"/>
  <c r="L28" i="644"/>
  <c r="N29" i="644"/>
  <c r="N34" i="644"/>
  <c r="M15" i="644"/>
  <c r="N15" i="644" s="1"/>
  <c r="M17" i="644"/>
  <c r="N17" i="644" s="1"/>
  <c r="M19" i="644"/>
  <c r="N19" i="644" s="1"/>
  <c r="L23" i="644"/>
  <c r="M16" i="644"/>
  <c r="N16" i="644" s="1"/>
  <c r="M18" i="644"/>
  <c r="N18" i="644" s="1"/>
  <c r="M20" i="644"/>
  <c r="N20" i="644" s="1"/>
  <c r="C66" i="742"/>
  <c r="C65" i="742"/>
  <c r="C64" i="742"/>
  <c r="C63" i="742"/>
  <c r="C62" i="742"/>
  <c r="C61" i="742"/>
  <c r="C60" i="742"/>
  <c r="K13" i="152" l="1"/>
  <c r="K35" i="152"/>
  <c r="K5" i="152"/>
  <c r="K8" i="152"/>
  <c r="K11" i="152"/>
  <c r="K14" i="152"/>
  <c r="K20" i="152"/>
  <c r="K10" i="152"/>
  <c r="K42" i="152"/>
  <c r="K72" i="152"/>
  <c r="K16" i="152"/>
  <c r="K40" i="152"/>
  <c r="K47" i="152"/>
  <c r="K32" i="152"/>
  <c r="K44" i="152"/>
  <c r="N322" i="128"/>
  <c r="N263" i="128"/>
  <c r="N321" i="128"/>
  <c r="N320" i="128"/>
  <c r="N39" i="644"/>
  <c r="N25" i="644"/>
  <c r="M28" i="644"/>
  <c r="N28" i="644" s="1"/>
  <c r="M23" i="644"/>
  <c r="N23" i="644" s="1"/>
  <c r="C268" i="202"/>
  <c r="C267" i="202"/>
  <c r="C266" i="202"/>
  <c r="C265" i="202"/>
  <c r="C264" i="202"/>
  <c r="C263" i="202"/>
  <c r="C262" i="202"/>
  <c r="C173" i="202"/>
  <c r="C172" i="202"/>
  <c r="C171" i="202"/>
  <c r="C170" i="202"/>
  <c r="C169" i="202"/>
  <c r="C168" i="202"/>
  <c r="C167" i="202"/>
  <c r="C78" i="202"/>
  <c r="C77" i="202"/>
  <c r="C76" i="202"/>
  <c r="C75" i="202"/>
  <c r="C74" i="202"/>
  <c r="C73" i="202"/>
  <c r="C72" i="202"/>
  <c r="I145" i="120" l="1"/>
  <c r="H145" i="120"/>
  <c r="G145" i="120"/>
  <c r="F145" i="120"/>
  <c r="E145" i="120"/>
  <c r="D145" i="120"/>
  <c r="I134" i="120"/>
  <c r="H134" i="120"/>
  <c r="G134" i="120"/>
  <c r="F134" i="120"/>
  <c r="E134" i="120"/>
  <c r="D134" i="120"/>
  <c r="I105" i="120"/>
  <c r="H105" i="120"/>
  <c r="G105" i="120"/>
  <c r="F105" i="120"/>
  <c r="E105" i="120"/>
  <c r="D105" i="120"/>
  <c r="I104" i="120"/>
  <c r="H104" i="120"/>
  <c r="G104" i="120"/>
  <c r="F104" i="120"/>
  <c r="E104" i="120"/>
  <c r="D104" i="120"/>
  <c r="I103" i="120"/>
  <c r="H103" i="120"/>
  <c r="G103" i="120"/>
  <c r="F103" i="120"/>
  <c r="E103" i="120"/>
  <c r="D103" i="120"/>
  <c r="I102" i="120"/>
  <c r="H102" i="120"/>
  <c r="G102" i="120"/>
  <c r="F102" i="120"/>
  <c r="E102" i="120"/>
  <c r="D102" i="120"/>
  <c r="I101" i="120"/>
  <c r="H101" i="120"/>
  <c r="G101" i="120"/>
  <c r="F101" i="120"/>
  <c r="E101" i="120"/>
  <c r="D101" i="120"/>
  <c r="I100" i="120"/>
  <c r="H100" i="120"/>
  <c r="G100" i="120"/>
  <c r="F100" i="120"/>
  <c r="E100" i="120"/>
  <c r="D100" i="120"/>
  <c r="I98" i="120"/>
  <c r="H98" i="120"/>
  <c r="G98" i="120"/>
  <c r="F98" i="120"/>
  <c r="E98" i="120"/>
  <c r="D98" i="120"/>
  <c r="I97" i="120"/>
  <c r="H97" i="120"/>
  <c r="G97" i="120"/>
  <c r="F97" i="120"/>
  <c r="E97" i="120"/>
  <c r="D97" i="120"/>
  <c r="I96" i="120"/>
  <c r="H96" i="120"/>
  <c r="G96" i="120"/>
  <c r="F96" i="120"/>
  <c r="E96" i="120"/>
  <c r="D96" i="120"/>
  <c r="I95" i="120"/>
  <c r="H95" i="120"/>
  <c r="G95" i="120"/>
  <c r="F95" i="120"/>
  <c r="E95" i="120"/>
  <c r="D95" i="120"/>
  <c r="I94" i="120"/>
  <c r="H94" i="120"/>
  <c r="G94" i="120"/>
  <c r="F94" i="120"/>
  <c r="E94" i="120"/>
  <c r="D94" i="120"/>
  <c r="I93" i="120"/>
  <c r="H93" i="120"/>
  <c r="G93" i="120"/>
  <c r="F93" i="120"/>
  <c r="E93" i="120"/>
  <c r="D93" i="120"/>
  <c r="I91" i="120"/>
  <c r="H91" i="120"/>
  <c r="G91" i="120"/>
  <c r="F91" i="120"/>
  <c r="E91" i="120"/>
  <c r="D91" i="120"/>
  <c r="I90" i="120"/>
  <c r="H90" i="120"/>
  <c r="G90" i="120"/>
  <c r="F90" i="120"/>
  <c r="E90" i="120"/>
  <c r="D90" i="120"/>
  <c r="I89" i="120"/>
  <c r="H89" i="120"/>
  <c r="G89" i="120"/>
  <c r="F89" i="120"/>
  <c r="E89" i="120"/>
  <c r="D89" i="120"/>
  <c r="I88" i="120"/>
  <c r="H88" i="120"/>
  <c r="G88" i="120"/>
  <c r="F88" i="120"/>
  <c r="E88" i="120"/>
  <c r="D88" i="120"/>
  <c r="I87" i="120"/>
  <c r="H87" i="120"/>
  <c r="G87" i="120"/>
  <c r="F87" i="120"/>
  <c r="E87" i="120"/>
  <c r="D87" i="120"/>
  <c r="I84" i="120"/>
  <c r="H84" i="120"/>
  <c r="G84" i="120"/>
  <c r="F84" i="120"/>
  <c r="E84" i="120"/>
  <c r="D84" i="120"/>
  <c r="I83" i="120"/>
  <c r="H83" i="120"/>
  <c r="G83" i="120"/>
  <c r="F83" i="120"/>
  <c r="E83" i="120"/>
  <c r="D83" i="120"/>
  <c r="I82" i="120"/>
  <c r="H82" i="120"/>
  <c r="G82" i="120"/>
  <c r="F82" i="120"/>
  <c r="E82" i="120"/>
  <c r="D82" i="120"/>
  <c r="I81" i="120"/>
  <c r="H81" i="120"/>
  <c r="G81" i="120"/>
  <c r="F81" i="120"/>
  <c r="E81" i="120"/>
  <c r="D81" i="120"/>
  <c r="I80" i="120"/>
  <c r="H80" i="120"/>
  <c r="G80" i="120"/>
  <c r="F80" i="120"/>
  <c r="E80" i="120"/>
  <c r="D80" i="120"/>
  <c r="I79" i="120"/>
  <c r="H79" i="120"/>
  <c r="G79" i="120"/>
  <c r="F79" i="120"/>
  <c r="E79" i="120"/>
  <c r="D79" i="120"/>
  <c r="I77" i="120"/>
  <c r="H77" i="120"/>
  <c r="G77" i="120"/>
  <c r="F77" i="120"/>
  <c r="E77" i="120"/>
  <c r="D77" i="120"/>
  <c r="I76" i="120"/>
  <c r="H76" i="120"/>
  <c r="G76" i="120"/>
  <c r="F76" i="120"/>
  <c r="E76" i="120"/>
  <c r="D76" i="120"/>
  <c r="I75" i="120"/>
  <c r="H75" i="120"/>
  <c r="G75" i="120"/>
  <c r="F75" i="120"/>
  <c r="E75" i="120"/>
  <c r="D75" i="120"/>
  <c r="I74" i="120"/>
  <c r="H74" i="120"/>
  <c r="G74" i="120"/>
  <c r="F74" i="120"/>
  <c r="E74" i="120"/>
  <c r="D74" i="120"/>
  <c r="I73" i="120"/>
  <c r="H73" i="120"/>
  <c r="G73" i="120"/>
  <c r="F73" i="120"/>
  <c r="E73" i="120"/>
  <c r="D73" i="120"/>
  <c r="I72" i="120"/>
  <c r="H72" i="120"/>
  <c r="G72" i="120"/>
  <c r="F72" i="120"/>
  <c r="E72" i="120"/>
  <c r="D72" i="120"/>
  <c r="I70" i="120"/>
  <c r="H70" i="120"/>
  <c r="G70" i="120"/>
  <c r="F70" i="120"/>
  <c r="E70" i="120"/>
  <c r="D70" i="120"/>
  <c r="I69" i="120"/>
  <c r="H69" i="120"/>
  <c r="G69" i="120"/>
  <c r="F69" i="120"/>
  <c r="E69" i="120"/>
  <c r="D69" i="120"/>
  <c r="I68" i="120"/>
  <c r="H68" i="120"/>
  <c r="G68" i="120"/>
  <c r="F68" i="120"/>
  <c r="E68" i="120"/>
  <c r="D68" i="120"/>
  <c r="I67" i="120"/>
  <c r="H67" i="120"/>
  <c r="G67" i="120"/>
  <c r="F67" i="120"/>
  <c r="E67" i="120"/>
  <c r="D67" i="120"/>
  <c r="I66" i="120"/>
  <c r="H66" i="120"/>
  <c r="G66" i="120"/>
  <c r="F66" i="120"/>
  <c r="E66" i="120"/>
  <c r="D66" i="120"/>
  <c r="I64" i="120"/>
  <c r="H64" i="120"/>
  <c r="G64" i="120"/>
  <c r="F64" i="120"/>
  <c r="E64" i="120"/>
  <c r="D64" i="120"/>
  <c r="I63" i="120"/>
  <c r="H63" i="120"/>
  <c r="G63" i="120"/>
  <c r="F63" i="120"/>
  <c r="E63" i="120"/>
  <c r="D63" i="120"/>
  <c r="I62" i="120"/>
  <c r="H62" i="120"/>
  <c r="G62" i="120"/>
  <c r="F62" i="120"/>
  <c r="E62" i="120"/>
  <c r="D62" i="120"/>
  <c r="I61" i="120"/>
  <c r="H61" i="120"/>
  <c r="G61" i="120"/>
  <c r="F61" i="120"/>
  <c r="E61" i="120"/>
  <c r="D61" i="120"/>
  <c r="I60" i="120"/>
  <c r="H60" i="120"/>
  <c r="G60" i="120"/>
  <c r="F60" i="120"/>
  <c r="E60" i="120"/>
  <c r="D60" i="120"/>
  <c r="P56" i="120"/>
  <c r="O56" i="120"/>
  <c r="N56" i="120"/>
  <c r="M56" i="120"/>
  <c r="L56" i="120"/>
  <c r="K56" i="120"/>
  <c r="I56" i="120"/>
  <c r="H56" i="120"/>
  <c r="G56" i="120"/>
  <c r="F56" i="120"/>
  <c r="E56" i="120"/>
  <c r="D56" i="120"/>
  <c r="P55" i="120"/>
  <c r="O55" i="120"/>
  <c r="N55" i="120"/>
  <c r="M55" i="120"/>
  <c r="L55" i="120"/>
  <c r="K55" i="120"/>
  <c r="I55" i="120"/>
  <c r="H55" i="120"/>
  <c r="G55" i="120"/>
  <c r="F55" i="120"/>
  <c r="E55" i="120"/>
  <c r="D55" i="120"/>
  <c r="P54" i="120"/>
  <c r="O54" i="120"/>
  <c r="N54" i="120"/>
  <c r="M54" i="120"/>
  <c r="L54" i="120"/>
  <c r="K54" i="120"/>
  <c r="I54" i="120"/>
  <c r="H54" i="120"/>
  <c r="G54" i="120"/>
  <c r="F54" i="120"/>
  <c r="E54" i="120"/>
  <c r="D54" i="120"/>
  <c r="P53" i="120"/>
  <c r="O53" i="120"/>
  <c r="N53" i="120"/>
  <c r="M53" i="120"/>
  <c r="L53" i="120"/>
  <c r="K53" i="120"/>
  <c r="I53" i="120"/>
  <c r="H53" i="120"/>
  <c r="G53" i="120"/>
  <c r="F53" i="120"/>
  <c r="E53" i="120"/>
  <c r="D53" i="120"/>
  <c r="P52" i="120"/>
  <c r="O52" i="120"/>
  <c r="N52" i="120"/>
  <c r="M52" i="120"/>
  <c r="L52" i="120"/>
  <c r="K52" i="120"/>
  <c r="I52" i="120"/>
  <c r="H52" i="120"/>
  <c r="G52" i="120"/>
  <c r="F52" i="120"/>
  <c r="E52" i="120"/>
  <c r="D52" i="120"/>
  <c r="P51" i="120"/>
  <c r="O51" i="120"/>
  <c r="N51" i="120"/>
  <c r="M51" i="120"/>
  <c r="L51" i="120"/>
  <c r="K51" i="120"/>
  <c r="I51" i="120"/>
  <c r="H51" i="120"/>
  <c r="G51" i="120"/>
  <c r="F51" i="120"/>
  <c r="E51" i="120"/>
  <c r="D51" i="120"/>
  <c r="I48" i="120"/>
  <c r="H48" i="120"/>
  <c r="G48" i="120"/>
  <c r="F48" i="120"/>
  <c r="E48" i="120"/>
  <c r="D48" i="120"/>
  <c r="I47" i="120"/>
  <c r="H47" i="120"/>
  <c r="G47" i="120"/>
  <c r="F47" i="120"/>
  <c r="E47" i="120"/>
  <c r="D47" i="120"/>
  <c r="I46" i="120"/>
  <c r="H46" i="120"/>
  <c r="G46" i="120"/>
  <c r="F46" i="120"/>
  <c r="E46" i="120"/>
  <c r="D46" i="120"/>
  <c r="I45" i="120"/>
  <c r="H45" i="120"/>
  <c r="G45" i="120"/>
  <c r="F45" i="120"/>
  <c r="E45" i="120"/>
  <c r="D45" i="120"/>
  <c r="I43" i="120"/>
  <c r="H43" i="120"/>
  <c r="G43" i="120"/>
  <c r="F43" i="120"/>
  <c r="E43" i="120"/>
  <c r="D43" i="120"/>
  <c r="I42" i="120"/>
  <c r="H42" i="120"/>
  <c r="G42" i="120"/>
  <c r="F42" i="120"/>
  <c r="E42" i="120"/>
  <c r="D42" i="120"/>
  <c r="I41" i="120"/>
  <c r="H41" i="120"/>
  <c r="G41" i="120"/>
  <c r="F41" i="120"/>
  <c r="E41" i="120"/>
  <c r="D41" i="120"/>
  <c r="I40" i="120"/>
  <c r="H40" i="120"/>
  <c r="G40" i="120"/>
  <c r="F40" i="120"/>
  <c r="E40" i="120"/>
  <c r="D40" i="120"/>
  <c r="I38" i="120"/>
  <c r="H38" i="120"/>
  <c r="G38" i="120"/>
  <c r="F38" i="120"/>
  <c r="E38" i="120"/>
  <c r="D38" i="120"/>
  <c r="I37" i="120"/>
  <c r="H37" i="120"/>
  <c r="G37" i="120"/>
  <c r="F37" i="120"/>
  <c r="E37" i="120"/>
  <c r="D37" i="120"/>
  <c r="I36" i="120"/>
  <c r="H36" i="120"/>
  <c r="G36" i="120"/>
  <c r="F36" i="120"/>
  <c r="E36" i="120"/>
  <c r="D36" i="120"/>
  <c r="I35" i="120"/>
  <c r="H35" i="120"/>
  <c r="G35" i="120"/>
  <c r="F35" i="120"/>
  <c r="E35" i="120"/>
  <c r="D35" i="120"/>
  <c r="I33" i="120"/>
  <c r="H33" i="120"/>
  <c r="G33" i="120"/>
  <c r="F33" i="120"/>
  <c r="E33" i="120"/>
  <c r="D33" i="120"/>
  <c r="I32" i="120"/>
  <c r="H32" i="120"/>
  <c r="G32" i="120"/>
  <c r="F32" i="120"/>
  <c r="E32" i="120"/>
  <c r="D32" i="120"/>
  <c r="I31" i="120"/>
  <c r="H31" i="120"/>
  <c r="G31" i="120"/>
  <c r="F31" i="120"/>
  <c r="E31" i="120"/>
  <c r="D31" i="120"/>
  <c r="I30" i="120"/>
  <c r="H30" i="120"/>
  <c r="G30" i="120"/>
  <c r="F30" i="120"/>
  <c r="E30" i="120"/>
  <c r="D30" i="120"/>
  <c r="I29" i="120"/>
  <c r="H29" i="120"/>
  <c r="G29" i="120"/>
  <c r="F29" i="120"/>
  <c r="E29" i="120"/>
  <c r="D29" i="120"/>
  <c r="I28" i="120"/>
  <c r="H28" i="120"/>
  <c r="G28" i="120"/>
  <c r="F28" i="120"/>
  <c r="E28" i="120"/>
  <c r="D28" i="120"/>
  <c r="I24" i="120"/>
  <c r="H24" i="120"/>
  <c r="G24" i="120"/>
  <c r="F24" i="120"/>
  <c r="E24" i="120"/>
  <c r="D24" i="120"/>
  <c r="I23" i="120"/>
  <c r="H23" i="120"/>
  <c r="G23" i="120"/>
  <c r="F23" i="120"/>
  <c r="E23" i="120"/>
  <c r="D23" i="120"/>
  <c r="I22" i="120"/>
  <c r="H22" i="120"/>
  <c r="G22" i="120"/>
  <c r="F22" i="120"/>
  <c r="E22" i="120"/>
  <c r="D22" i="120"/>
  <c r="I18" i="120"/>
  <c r="H18" i="120"/>
  <c r="G18" i="120"/>
  <c r="F18" i="120"/>
  <c r="E18" i="120"/>
  <c r="D18" i="120"/>
  <c r="I17" i="120"/>
  <c r="H17" i="120"/>
  <c r="G17" i="120"/>
  <c r="F17" i="120"/>
  <c r="E17" i="120"/>
  <c r="D17" i="120"/>
  <c r="I16" i="120"/>
  <c r="H16" i="120"/>
  <c r="G16" i="120"/>
  <c r="F16" i="120"/>
  <c r="E16" i="120"/>
  <c r="D16" i="120"/>
  <c r="I15" i="120"/>
  <c r="H15" i="120"/>
  <c r="G15" i="120"/>
  <c r="F15" i="120"/>
  <c r="E15" i="120"/>
  <c r="D15" i="120"/>
  <c r="I12" i="120"/>
  <c r="H12" i="120"/>
  <c r="G12" i="120"/>
  <c r="F12" i="120"/>
  <c r="E12" i="120"/>
  <c r="D12" i="120"/>
  <c r="I11" i="120"/>
  <c r="H11" i="120"/>
  <c r="G11" i="120"/>
  <c r="F11" i="120"/>
  <c r="E11" i="120"/>
  <c r="D11" i="120"/>
  <c r="I7" i="120"/>
  <c r="H7" i="120"/>
  <c r="G7" i="120"/>
  <c r="F7" i="120"/>
  <c r="E7" i="120"/>
  <c r="D7" i="120"/>
  <c r="I6" i="120"/>
  <c r="H6" i="120"/>
  <c r="G6" i="120"/>
  <c r="F6" i="120"/>
  <c r="E6" i="120"/>
  <c r="D6" i="120"/>
  <c r="C268" i="508" l="1"/>
  <c r="C267" i="508"/>
  <c r="C266" i="508"/>
  <c r="C265" i="508"/>
  <c r="C264" i="508"/>
  <c r="C263" i="508"/>
  <c r="C262" i="508"/>
  <c r="C173" i="508"/>
  <c r="C172" i="508"/>
  <c r="C171" i="508"/>
  <c r="C170" i="508"/>
  <c r="C169" i="508"/>
  <c r="C168" i="508"/>
  <c r="C167" i="508"/>
  <c r="C78" i="508"/>
  <c r="C77" i="508"/>
  <c r="C76" i="508"/>
  <c r="C75" i="508"/>
  <c r="C74" i="508"/>
  <c r="C73" i="508"/>
  <c r="C72" i="508"/>
  <c r="C268" i="200"/>
  <c r="C267" i="200"/>
  <c r="C266" i="200"/>
  <c r="C265" i="200"/>
  <c r="C264" i="200"/>
  <c r="C263" i="200"/>
  <c r="C262" i="200"/>
  <c r="C173" i="200"/>
  <c r="C172" i="200"/>
  <c r="C171" i="200"/>
  <c r="C170" i="200"/>
  <c r="C169" i="200"/>
  <c r="C168" i="200"/>
  <c r="C167" i="200"/>
  <c r="C78" i="200"/>
  <c r="C77" i="200"/>
  <c r="C76" i="200"/>
  <c r="C75" i="200"/>
  <c r="C74" i="200"/>
  <c r="C73" i="200"/>
  <c r="C72" i="200"/>
  <c r="J164" i="823"/>
  <c r="W159" i="823"/>
  <c r="V159" i="823"/>
  <c r="U159" i="823"/>
  <c r="T159" i="823"/>
  <c r="S159" i="823"/>
  <c r="R159" i="823"/>
  <c r="P159" i="823"/>
  <c r="O159" i="823"/>
  <c r="N159" i="823"/>
  <c r="M159" i="823"/>
  <c r="L159" i="823"/>
  <c r="K159" i="823"/>
  <c r="I159" i="823"/>
  <c r="I152" i="823" s="1"/>
  <c r="I85" i="823" s="1"/>
  <c r="H159" i="823"/>
  <c r="G159" i="823"/>
  <c r="G152" i="823" s="1"/>
  <c r="F159" i="823"/>
  <c r="E159" i="823"/>
  <c r="E152" i="823" s="1"/>
  <c r="E19" i="823" s="1"/>
  <c r="D159" i="823"/>
  <c r="D152" i="823" s="1"/>
  <c r="D85" i="823" s="1"/>
  <c r="C150" i="823"/>
  <c r="W145" i="823"/>
  <c r="V145" i="823"/>
  <c r="U145" i="823"/>
  <c r="T145" i="823"/>
  <c r="S145" i="823"/>
  <c r="R145" i="823"/>
  <c r="Q145" i="823"/>
  <c r="J145" i="823"/>
  <c r="AH144" i="823"/>
  <c r="AH143" i="823"/>
  <c r="AH142" i="823"/>
  <c r="AH141" i="823"/>
  <c r="AH140" i="823"/>
  <c r="AH139" i="823"/>
  <c r="P138" i="823"/>
  <c r="O138" i="823"/>
  <c r="N138" i="823"/>
  <c r="M138" i="823"/>
  <c r="L138" i="823"/>
  <c r="K138" i="823"/>
  <c r="I138" i="823"/>
  <c r="H138" i="823"/>
  <c r="G138" i="823"/>
  <c r="F138" i="823"/>
  <c r="E138" i="823"/>
  <c r="D138" i="823"/>
  <c r="AH137" i="823"/>
  <c r="AH136" i="823"/>
  <c r="AH135" i="823"/>
  <c r="W134" i="823"/>
  <c r="V134" i="823"/>
  <c r="U134" i="823"/>
  <c r="T134" i="823"/>
  <c r="S134" i="823"/>
  <c r="R134" i="823"/>
  <c r="Q134" i="823"/>
  <c r="J134" i="823"/>
  <c r="AH133" i="823"/>
  <c r="AH132" i="823"/>
  <c r="AH131" i="823"/>
  <c r="AH130" i="823"/>
  <c r="AH129" i="823"/>
  <c r="AH128" i="823"/>
  <c r="AH126" i="823"/>
  <c r="AH125" i="823"/>
  <c r="AH124" i="823"/>
  <c r="AH123" i="823"/>
  <c r="AH122" i="823"/>
  <c r="W121" i="823"/>
  <c r="V121" i="823"/>
  <c r="U121" i="823"/>
  <c r="T121" i="823"/>
  <c r="S121" i="823"/>
  <c r="R121" i="823"/>
  <c r="Q121" i="823"/>
  <c r="J121" i="823"/>
  <c r="AH120" i="823"/>
  <c r="AH119" i="823"/>
  <c r="AH118" i="823"/>
  <c r="AH117" i="823"/>
  <c r="AH116" i="823"/>
  <c r="AH115" i="823"/>
  <c r="AH114" i="823"/>
  <c r="Q108" i="823"/>
  <c r="W106" i="823"/>
  <c r="V106" i="823"/>
  <c r="U106" i="823"/>
  <c r="T106" i="823"/>
  <c r="S106" i="823"/>
  <c r="R106" i="823"/>
  <c r="Q106" i="823"/>
  <c r="J106" i="823"/>
  <c r="AH105" i="823"/>
  <c r="AH104" i="823"/>
  <c r="AH103" i="823"/>
  <c r="AH102" i="823"/>
  <c r="AH101" i="823"/>
  <c r="AH100" i="823"/>
  <c r="AH99" i="823"/>
  <c r="AH98" i="823"/>
  <c r="AH97" i="823"/>
  <c r="AH96" i="823"/>
  <c r="AH95" i="823"/>
  <c r="AH94" i="823"/>
  <c r="AH93" i="823"/>
  <c r="AH92" i="823"/>
  <c r="AH91" i="823"/>
  <c r="AH90" i="823"/>
  <c r="AH89" i="823"/>
  <c r="AH88" i="823"/>
  <c r="AH87" i="823"/>
  <c r="AH86" i="823"/>
  <c r="Q85" i="823"/>
  <c r="AH84" i="823"/>
  <c r="AH83" i="823"/>
  <c r="AH82" i="823"/>
  <c r="AH81" i="823"/>
  <c r="AH80" i="823"/>
  <c r="AH79" i="823"/>
  <c r="AH78" i="823"/>
  <c r="AH77" i="823"/>
  <c r="AH76" i="823"/>
  <c r="AH75" i="823"/>
  <c r="AH74" i="823"/>
  <c r="AH73" i="823"/>
  <c r="AH72" i="823"/>
  <c r="AH71" i="823"/>
  <c r="AH70" i="823"/>
  <c r="AH69" i="823"/>
  <c r="AH68" i="823"/>
  <c r="AH67" i="823"/>
  <c r="AH66" i="823"/>
  <c r="AH65" i="823"/>
  <c r="W57" i="823"/>
  <c r="V57" i="823"/>
  <c r="U57" i="823"/>
  <c r="T57" i="823"/>
  <c r="S57" i="823"/>
  <c r="R57" i="823"/>
  <c r="Q57" i="823"/>
  <c r="J57" i="823"/>
  <c r="AH56" i="823"/>
  <c r="AH55" i="823"/>
  <c r="AH54" i="823"/>
  <c r="AH53" i="823"/>
  <c r="AH52" i="823"/>
  <c r="AH51" i="823"/>
  <c r="I51" i="823"/>
  <c r="H51" i="823"/>
  <c r="G51" i="823"/>
  <c r="F51" i="823"/>
  <c r="E51" i="823"/>
  <c r="D51" i="823"/>
  <c r="AH50" i="823"/>
  <c r="W49" i="823"/>
  <c r="V49" i="823"/>
  <c r="U49" i="823"/>
  <c r="T49" i="823"/>
  <c r="S49" i="823"/>
  <c r="R49" i="823"/>
  <c r="Q49" i="823"/>
  <c r="J49" i="823"/>
  <c r="AH48" i="823"/>
  <c r="AH47" i="823"/>
  <c r="AH46" i="823"/>
  <c r="AH45" i="823"/>
  <c r="AH44" i="823"/>
  <c r="AH43" i="823"/>
  <c r="AH42" i="823"/>
  <c r="AH41" i="823"/>
  <c r="AH40" i="823"/>
  <c r="AH39" i="823"/>
  <c r="AH38" i="823"/>
  <c r="AH37" i="823"/>
  <c r="AH36" i="823"/>
  <c r="AH35" i="823"/>
  <c r="AH34" i="823"/>
  <c r="AH33" i="823"/>
  <c r="AH32" i="823"/>
  <c r="AH31" i="823"/>
  <c r="AH30" i="823"/>
  <c r="AH29" i="823"/>
  <c r="AH28" i="823"/>
  <c r="AH27" i="823"/>
  <c r="W25" i="823"/>
  <c r="V25" i="823"/>
  <c r="U25" i="823"/>
  <c r="T25" i="823"/>
  <c r="S25" i="823"/>
  <c r="R25" i="823"/>
  <c r="Q25" i="823"/>
  <c r="J25" i="823"/>
  <c r="AH24" i="823"/>
  <c r="AH23" i="823"/>
  <c r="AH22" i="823"/>
  <c r="AH21" i="823"/>
  <c r="Q19" i="823"/>
  <c r="AH18" i="823"/>
  <c r="AH17" i="823"/>
  <c r="AH16" i="823"/>
  <c r="AH15" i="823"/>
  <c r="AH14" i="823"/>
  <c r="W13" i="823"/>
  <c r="V13" i="823"/>
  <c r="U13" i="823"/>
  <c r="T13" i="823"/>
  <c r="S13" i="823"/>
  <c r="R13" i="823"/>
  <c r="Q13" i="823"/>
  <c r="J13" i="823"/>
  <c r="AH12" i="823"/>
  <c r="AH11" i="823"/>
  <c r="AH10" i="823"/>
  <c r="W8" i="823"/>
  <c r="V8" i="823"/>
  <c r="U8" i="823"/>
  <c r="T8" i="823"/>
  <c r="S8" i="823"/>
  <c r="R8" i="823"/>
  <c r="Q8" i="823"/>
  <c r="J8" i="823"/>
  <c r="AH7" i="823"/>
  <c r="I7" i="823"/>
  <c r="H7" i="823"/>
  <c r="G7" i="823"/>
  <c r="F7" i="823"/>
  <c r="E7" i="823"/>
  <c r="D7" i="823"/>
  <c r="AH6" i="823"/>
  <c r="I4" i="823"/>
  <c r="H4" i="823"/>
  <c r="G4" i="823"/>
  <c r="F4" i="823"/>
  <c r="E4" i="823"/>
  <c r="D4" i="823"/>
  <c r="X145" i="823" l="1"/>
  <c r="X13" i="823"/>
  <c r="G29" i="200"/>
  <c r="I29" i="508"/>
  <c r="X57" i="823"/>
  <c r="M4" i="823"/>
  <c r="T4" i="823" s="1"/>
  <c r="E29" i="200"/>
  <c r="D29" i="200"/>
  <c r="E85" i="823"/>
  <c r="S85" i="823" s="1"/>
  <c r="H222" i="508"/>
  <c r="H213" i="823"/>
  <c r="F29" i="508"/>
  <c r="I213" i="823"/>
  <c r="I222" i="508"/>
  <c r="E113" i="823"/>
  <c r="N4" i="823"/>
  <c r="N164" i="823" s="1"/>
  <c r="F17" i="742"/>
  <c r="F29" i="202"/>
  <c r="F29" i="200"/>
  <c r="D164" i="823"/>
  <c r="D17" i="742"/>
  <c r="D29" i="202"/>
  <c r="D29" i="508"/>
  <c r="D113" i="823"/>
  <c r="K4" i="823"/>
  <c r="R4" i="823" s="1"/>
  <c r="R164" i="823" s="1"/>
  <c r="G113" i="823"/>
  <c r="G17" i="742"/>
  <c r="G29" i="202"/>
  <c r="G29" i="508"/>
  <c r="G164" i="823"/>
  <c r="H113" i="823"/>
  <c r="H17" i="742"/>
  <c r="H29" i="202"/>
  <c r="H29" i="200"/>
  <c r="H164" i="823"/>
  <c r="O4" i="823"/>
  <c r="O164" i="823" s="1"/>
  <c r="H29" i="508"/>
  <c r="I263" i="508"/>
  <c r="E164" i="823"/>
  <c r="E17" i="742"/>
  <c r="E29" i="202"/>
  <c r="E29" i="508"/>
  <c r="L4" i="823"/>
  <c r="S4" i="823" s="1"/>
  <c r="S113" i="823" s="1"/>
  <c r="H263" i="508"/>
  <c r="F222" i="508"/>
  <c r="J51" i="823"/>
  <c r="G222" i="508"/>
  <c r="D222" i="508"/>
  <c r="D263" i="508"/>
  <c r="I19" i="823"/>
  <c r="W19" i="823" s="1"/>
  <c r="E263" i="508"/>
  <c r="E222" i="508"/>
  <c r="F263" i="508"/>
  <c r="G263" i="508"/>
  <c r="I113" i="823"/>
  <c r="I17" i="742"/>
  <c r="I29" i="202"/>
  <c r="I29" i="200"/>
  <c r="F152" i="823"/>
  <c r="X25" i="823"/>
  <c r="X106" i="823"/>
  <c r="G85" i="823"/>
  <c r="U85" i="823" s="1"/>
  <c r="G19" i="823"/>
  <c r="U19" i="823" s="1"/>
  <c r="D19" i="823"/>
  <c r="P4" i="823"/>
  <c r="W4" i="823" s="1"/>
  <c r="X159" i="823"/>
  <c r="X134" i="823"/>
  <c r="G213" i="823"/>
  <c r="Q159" i="823"/>
  <c r="D213" i="823"/>
  <c r="J7" i="823"/>
  <c r="J213" i="823" s="1"/>
  <c r="X8" i="823"/>
  <c r="L164" i="823"/>
  <c r="E213" i="823"/>
  <c r="F213" i="823"/>
  <c r="F164" i="823"/>
  <c r="F113" i="823"/>
  <c r="X49" i="823"/>
  <c r="S19" i="823"/>
  <c r="W85" i="823"/>
  <c r="I164" i="823"/>
  <c r="X121" i="823"/>
  <c r="H152" i="823"/>
  <c r="E17" i="658"/>
  <c r="L113" i="823" l="1"/>
  <c r="K164" i="823"/>
  <c r="M113" i="823"/>
  <c r="M164" i="823"/>
  <c r="U4" i="823"/>
  <c r="U164" i="823" s="1"/>
  <c r="N113" i="823"/>
  <c r="O113" i="823"/>
  <c r="S164" i="823"/>
  <c r="P113" i="823"/>
  <c r="P164" i="823"/>
  <c r="F85" i="823"/>
  <c r="T85" i="823" s="1"/>
  <c r="F19" i="823"/>
  <c r="T19" i="823" s="1"/>
  <c r="R113" i="823"/>
  <c r="J152" i="823"/>
  <c r="H85" i="823"/>
  <c r="H19" i="823"/>
  <c r="V19" i="823" s="1"/>
  <c r="K113" i="823"/>
  <c r="V4" i="823"/>
  <c r="R85" i="823"/>
  <c r="R19" i="823"/>
  <c r="T164" i="823"/>
  <c r="T113" i="823"/>
  <c r="W113" i="823"/>
  <c r="W164" i="823"/>
  <c r="D13" i="203"/>
  <c r="J17" i="200"/>
  <c r="J17" i="657"/>
  <c r="E306" i="657" s="1"/>
  <c r="J17" i="653"/>
  <c r="I309" i="653" s="1"/>
  <c r="J17" i="654"/>
  <c r="J17" i="202"/>
  <c r="I309" i="658"/>
  <c r="H309" i="658"/>
  <c r="G309" i="658"/>
  <c r="F309" i="658"/>
  <c r="E309" i="658"/>
  <c r="D309" i="658"/>
  <c r="I308" i="658"/>
  <c r="H308" i="658"/>
  <c r="G308" i="658"/>
  <c r="F308" i="658"/>
  <c r="E308" i="658"/>
  <c r="D308" i="658"/>
  <c r="I307" i="658"/>
  <c r="H307" i="658"/>
  <c r="G307" i="658"/>
  <c r="F307" i="658"/>
  <c r="E307" i="658"/>
  <c r="D307" i="658"/>
  <c r="I306" i="658"/>
  <c r="H306" i="658"/>
  <c r="G306" i="658"/>
  <c r="F306" i="658"/>
  <c r="E306" i="658"/>
  <c r="D306" i="658"/>
  <c r="I305" i="658"/>
  <c r="H305" i="658"/>
  <c r="G305" i="658"/>
  <c r="F305" i="658"/>
  <c r="E305" i="658"/>
  <c r="D305" i="658"/>
  <c r="I304" i="658"/>
  <c r="H304" i="658"/>
  <c r="G304" i="658"/>
  <c r="F304" i="658"/>
  <c r="E304" i="658"/>
  <c r="D304" i="658"/>
  <c r="I302" i="658"/>
  <c r="H302" i="658"/>
  <c r="G302" i="658"/>
  <c r="F302" i="658"/>
  <c r="E302" i="658"/>
  <c r="D302" i="658"/>
  <c r="I301" i="658"/>
  <c r="H301" i="658"/>
  <c r="G301" i="658"/>
  <c r="F301" i="658"/>
  <c r="E301" i="658"/>
  <c r="D301" i="658"/>
  <c r="I300" i="658"/>
  <c r="H300" i="658"/>
  <c r="G300" i="658"/>
  <c r="F300" i="658"/>
  <c r="E300" i="658"/>
  <c r="D300" i="658"/>
  <c r="I299" i="658"/>
  <c r="H299" i="658"/>
  <c r="G299" i="658"/>
  <c r="F299" i="658"/>
  <c r="E299" i="658"/>
  <c r="D299" i="658"/>
  <c r="I298" i="658"/>
  <c r="H298" i="658"/>
  <c r="G298" i="658"/>
  <c r="F298" i="658"/>
  <c r="E298" i="658"/>
  <c r="D298" i="658"/>
  <c r="I297" i="658"/>
  <c r="H297" i="658"/>
  <c r="G297" i="658"/>
  <c r="F297" i="658"/>
  <c r="E297" i="658"/>
  <c r="D297" i="658"/>
  <c r="I295" i="658"/>
  <c r="H295" i="658"/>
  <c r="G295" i="658"/>
  <c r="F295" i="658"/>
  <c r="E295" i="658"/>
  <c r="D295" i="658"/>
  <c r="I294" i="658"/>
  <c r="H294" i="658"/>
  <c r="G294" i="658"/>
  <c r="F294" i="658"/>
  <c r="E294" i="658"/>
  <c r="D294" i="658"/>
  <c r="I293" i="658"/>
  <c r="H293" i="658"/>
  <c r="G293" i="658"/>
  <c r="F293" i="658"/>
  <c r="E293" i="658"/>
  <c r="D293" i="658"/>
  <c r="I292" i="658"/>
  <c r="H292" i="658"/>
  <c r="G292" i="658"/>
  <c r="F292" i="658"/>
  <c r="E292" i="658"/>
  <c r="D292" i="658"/>
  <c r="I291" i="658"/>
  <c r="H291" i="658"/>
  <c r="G291" i="658"/>
  <c r="F291" i="658"/>
  <c r="E291" i="658"/>
  <c r="D291" i="658"/>
  <c r="F17" i="200"/>
  <c r="F17" i="657"/>
  <c r="F17" i="653"/>
  <c r="H114" i="653" s="1"/>
  <c r="F17" i="654"/>
  <c r="F17" i="202"/>
  <c r="D13" i="206"/>
  <c r="D13" i="656"/>
  <c r="E106" i="656" s="1"/>
  <c r="D13" i="651"/>
  <c r="F105" i="651" s="1"/>
  <c r="D13" i="652"/>
  <c r="D104" i="652" s="1"/>
  <c r="D13" i="640"/>
  <c r="D13" i="650"/>
  <c r="F105" i="650" s="1"/>
  <c r="D13" i="649"/>
  <c r="E108" i="649" s="1"/>
  <c r="D13" i="655"/>
  <c r="D13" i="211"/>
  <c r="D13" i="639"/>
  <c r="E13" i="163"/>
  <c r="D13" i="473"/>
  <c r="D28" i="743"/>
  <c r="D27" i="743"/>
  <c r="G26" i="743"/>
  <c r="D26" i="743"/>
  <c r="D25" i="743"/>
  <c r="D23" i="743"/>
  <c r="D21" i="743"/>
  <c r="G19" i="743"/>
  <c r="D19" i="743"/>
  <c r="D17" i="743"/>
  <c r="U113" i="823" l="1"/>
  <c r="J19" i="823"/>
  <c r="V164" i="823"/>
  <c r="V113" i="823"/>
  <c r="E94" i="652"/>
  <c r="G100" i="652"/>
  <c r="D94" i="652"/>
  <c r="H100" i="652"/>
  <c r="F104" i="652"/>
  <c r="E100" i="652"/>
  <c r="H101" i="652"/>
  <c r="G105" i="652"/>
  <c r="H105" i="652"/>
  <c r="I97" i="656"/>
  <c r="G91" i="652"/>
  <c r="H91" i="652"/>
  <c r="H104" i="656"/>
  <c r="H92" i="652"/>
  <c r="D309" i="657"/>
  <c r="I92" i="652"/>
  <c r="H93" i="652"/>
  <c r="F309" i="657"/>
  <c r="H90" i="652"/>
  <c r="F108" i="652"/>
  <c r="E309" i="657"/>
  <c r="I93" i="652"/>
  <c r="G309" i="657"/>
  <c r="F96" i="652"/>
  <c r="I99" i="652"/>
  <c r="H291" i="653"/>
  <c r="D100" i="652"/>
  <c r="I291" i="653"/>
  <c r="F100" i="652"/>
  <c r="E99" i="652"/>
  <c r="F299" i="653"/>
  <c r="E90" i="652"/>
  <c r="F99" i="652"/>
  <c r="D107" i="652"/>
  <c r="D300" i="653"/>
  <c r="F90" i="652"/>
  <c r="G99" i="652"/>
  <c r="D108" i="652"/>
  <c r="D292" i="653"/>
  <c r="E211" i="653"/>
  <c r="E292" i="653"/>
  <c r="H96" i="652"/>
  <c r="I105" i="652"/>
  <c r="D293" i="653"/>
  <c r="D99" i="652"/>
  <c r="D106" i="652"/>
  <c r="E293" i="653"/>
  <c r="E106" i="652"/>
  <c r="G90" i="652"/>
  <c r="H99" i="652"/>
  <c r="E108" i="652"/>
  <c r="I99" i="656"/>
  <c r="D97" i="651"/>
  <c r="H104" i="651"/>
  <c r="F92" i="656"/>
  <c r="D100" i="656"/>
  <c r="I92" i="651"/>
  <c r="D93" i="651"/>
  <c r="D105" i="656"/>
  <c r="G101" i="651"/>
  <c r="E98" i="656"/>
  <c r="I90" i="656"/>
  <c r="I106" i="656"/>
  <c r="F94" i="651"/>
  <c r="H91" i="656"/>
  <c r="H98" i="656"/>
  <c r="F104" i="651"/>
  <c r="I91" i="656"/>
  <c r="H99" i="656"/>
  <c r="E107" i="656"/>
  <c r="I96" i="651"/>
  <c r="G104" i="651"/>
  <c r="D92" i="656"/>
  <c r="H107" i="656"/>
  <c r="D98" i="651"/>
  <c r="I104" i="651"/>
  <c r="F93" i="656"/>
  <c r="E100" i="656"/>
  <c r="F99" i="651"/>
  <c r="H108" i="651"/>
  <c r="E93" i="651"/>
  <c r="H106" i="656"/>
  <c r="F93" i="651"/>
  <c r="F103" i="651"/>
  <c r="H94" i="651"/>
  <c r="E98" i="651"/>
  <c r="F90" i="651"/>
  <c r="F98" i="651"/>
  <c r="E105" i="651"/>
  <c r="H103" i="656"/>
  <c r="G90" i="651"/>
  <c r="D107" i="651"/>
  <c r="I93" i="656"/>
  <c r="D293" i="657"/>
  <c r="D105" i="649"/>
  <c r="H90" i="651"/>
  <c r="H98" i="651"/>
  <c r="E107" i="651"/>
  <c r="E94" i="656"/>
  <c r="D104" i="656"/>
  <c r="E293" i="657"/>
  <c r="E105" i="649"/>
  <c r="F94" i="652"/>
  <c r="E104" i="652"/>
  <c r="F92" i="651"/>
  <c r="I98" i="651"/>
  <c r="F107" i="651"/>
  <c r="F97" i="656"/>
  <c r="E104" i="656"/>
  <c r="F293" i="657"/>
  <c r="F108" i="651"/>
  <c r="H99" i="651"/>
  <c r="D98" i="656"/>
  <c r="H90" i="656"/>
  <c r="D103" i="651"/>
  <c r="F98" i="656"/>
  <c r="D107" i="656"/>
  <c r="E90" i="651"/>
  <c r="D105" i="651"/>
  <c r="G93" i="656"/>
  <c r="F101" i="656"/>
  <c r="H93" i="656"/>
  <c r="G98" i="651"/>
  <c r="I103" i="656"/>
  <c r="G92" i="651"/>
  <c r="D99" i="651"/>
  <c r="G107" i="651"/>
  <c r="G97" i="656"/>
  <c r="F104" i="656"/>
  <c r="D294" i="657"/>
  <c r="G96" i="652"/>
  <c r="F105" i="652"/>
  <c r="H92" i="651"/>
  <c r="E99" i="651"/>
  <c r="I107" i="651"/>
  <c r="H97" i="656"/>
  <c r="G104" i="656"/>
  <c r="G299" i="657"/>
  <c r="E107" i="655"/>
  <c r="D100" i="655"/>
  <c r="F104" i="655"/>
  <c r="G107" i="655"/>
  <c r="E207" i="653"/>
  <c r="D199" i="653"/>
  <c r="G114" i="653"/>
  <c r="I107" i="653"/>
  <c r="E114" i="653"/>
  <c r="G104" i="653"/>
  <c r="E196" i="653"/>
  <c r="E205" i="653"/>
  <c r="E103" i="653"/>
  <c r="D205" i="653"/>
  <c r="D118" i="653"/>
  <c r="D207" i="653"/>
  <c r="I198" i="653"/>
  <c r="F114" i="653"/>
  <c r="H104" i="653"/>
  <c r="I206" i="653"/>
  <c r="H119" i="653"/>
  <c r="F205" i="653"/>
  <c r="G118" i="653"/>
  <c r="E104" i="653"/>
  <c r="D196" i="653"/>
  <c r="H111" i="653"/>
  <c r="E213" i="653"/>
  <c r="G111" i="653"/>
  <c r="G109" i="653"/>
  <c r="H198" i="653"/>
  <c r="G214" i="653"/>
  <c r="F213" i="653"/>
  <c r="E118" i="653"/>
  <c r="I102" i="653"/>
  <c r="I211" i="653"/>
  <c r="I204" i="653"/>
  <c r="I117" i="653"/>
  <c r="H102" i="653"/>
  <c r="G205" i="653"/>
  <c r="F196" i="653"/>
  <c r="G119" i="653"/>
  <c r="E112" i="653"/>
  <c r="F104" i="653"/>
  <c r="I111" i="653"/>
  <c r="F211" i="653"/>
  <c r="F92" i="655"/>
  <c r="E94" i="650"/>
  <c r="I107" i="649"/>
  <c r="E97" i="649"/>
  <c r="D93" i="649"/>
  <c r="E93" i="649"/>
  <c r="D90" i="649"/>
  <c r="D115" i="653"/>
  <c r="F108" i="649"/>
  <c r="E115" i="653"/>
  <c r="H211" i="653"/>
  <c r="D94" i="650"/>
  <c r="E117" i="653"/>
  <c r="G117" i="653"/>
  <c r="F101" i="650"/>
  <c r="G108" i="653"/>
  <c r="H204" i="653"/>
  <c r="F117" i="653"/>
  <c r="I97" i="650"/>
  <c r="H117" i="653"/>
  <c r="I200" i="653"/>
  <c r="E98" i="650"/>
  <c r="D108" i="653"/>
  <c r="D202" i="653"/>
  <c r="D101" i="650"/>
  <c r="E108" i="653"/>
  <c r="E202" i="653"/>
  <c r="E101" i="650"/>
  <c r="F108" i="653"/>
  <c r="F202" i="653"/>
  <c r="H108" i="653"/>
  <c r="F207" i="653"/>
  <c r="I114" i="653"/>
  <c r="G211" i="653"/>
  <c r="I93" i="650"/>
  <c r="H90" i="650"/>
  <c r="H105" i="650"/>
  <c r="H93" i="650"/>
  <c r="D91" i="650"/>
  <c r="I108" i="650"/>
  <c r="I90" i="650"/>
  <c r="D106" i="650"/>
  <c r="E199" i="653"/>
  <c r="G96" i="655"/>
  <c r="G200" i="653"/>
  <c r="I210" i="653"/>
  <c r="E102" i="653"/>
  <c r="F102" i="653"/>
  <c r="H200" i="653"/>
  <c r="D98" i="650"/>
  <c r="G102" i="653"/>
  <c r="H309" i="653"/>
  <c r="G291" i="653"/>
  <c r="G309" i="653"/>
  <c r="E302" i="653"/>
  <c r="H304" i="653"/>
  <c r="I302" i="653"/>
  <c r="H302" i="653"/>
  <c r="E300" i="653"/>
  <c r="D304" i="653"/>
  <c r="F97" i="649"/>
  <c r="I108" i="653"/>
  <c r="H210" i="653"/>
  <c r="F100" i="649"/>
  <c r="D109" i="653"/>
  <c r="H100" i="649"/>
  <c r="E109" i="653"/>
  <c r="D211" i="653"/>
  <c r="I90" i="652"/>
  <c r="I96" i="652"/>
  <c r="G103" i="652"/>
  <c r="G108" i="652"/>
  <c r="G94" i="651"/>
  <c r="F101" i="651"/>
  <c r="H107" i="651"/>
  <c r="D94" i="656"/>
  <c r="D101" i="656"/>
  <c r="F107" i="656"/>
  <c r="G300" i="657"/>
  <c r="E300" i="657"/>
  <c r="F301" i="657"/>
  <c r="H299" i="657"/>
  <c r="D97" i="652"/>
  <c r="H108" i="652"/>
  <c r="E91" i="652"/>
  <c r="E97" i="652"/>
  <c r="I103" i="652"/>
  <c r="I108" i="652"/>
  <c r="I94" i="651"/>
  <c r="H101" i="651"/>
  <c r="D108" i="651"/>
  <c r="F94" i="656"/>
  <c r="F103" i="656"/>
  <c r="H108" i="656"/>
  <c r="D305" i="657"/>
  <c r="D300" i="657"/>
  <c r="F300" i="657"/>
  <c r="D91" i="652"/>
  <c r="H103" i="652"/>
  <c r="F91" i="652"/>
  <c r="F97" i="652"/>
  <c r="D90" i="651"/>
  <c r="D96" i="651"/>
  <c r="I101" i="651"/>
  <c r="E108" i="651"/>
  <c r="G94" i="656"/>
  <c r="G103" i="656"/>
  <c r="I108" i="656"/>
  <c r="E305" i="657"/>
  <c r="F100" i="655"/>
  <c r="D101" i="649"/>
  <c r="G108" i="650"/>
  <c r="I105" i="650"/>
  <c r="E103" i="650"/>
  <c r="G99" i="650"/>
  <c r="I96" i="650"/>
  <c r="E93" i="650"/>
  <c r="G90" i="650"/>
  <c r="E108" i="650"/>
  <c r="G105" i="650"/>
  <c r="I101" i="650"/>
  <c r="E99" i="650"/>
  <c r="G96" i="650"/>
  <c r="I92" i="650"/>
  <c r="E90" i="650"/>
  <c r="I107" i="650"/>
  <c r="E105" i="650"/>
  <c r="G101" i="650"/>
  <c r="I98" i="650"/>
  <c r="E96" i="650"/>
  <c r="E91" i="650"/>
  <c r="F98" i="650"/>
  <c r="H101" i="650"/>
  <c r="E106" i="650"/>
  <c r="F90" i="649"/>
  <c r="H97" i="649"/>
  <c r="F101" i="649"/>
  <c r="H108" i="649"/>
  <c r="I92" i="655"/>
  <c r="F97" i="655"/>
  <c r="H100" i="655"/>
  <c r="D108" i="655"/>
  <c r="F91" i="650"/>
  <c r="F94" i="650"/>
  <c r="D103" i="650"/>
  <c r="G90" i="649"/>
  <c r="H93" i="649"/>
  <c r="I108" i="649"/>
  <c r="D93" i="655"/>
  <c r="H97" i="655"/>
  <c r="D105" i="655"/>
  <c r="H106" i="650"/>
  <c r="I90" i="649"/>
  <c r="D94" i="649"/>
  <c r="I101" i="649"/>
  <c r="E90" i="655"/>
  <c r="H93" i="655"/>
  <c r="D98" i="655"/>
  <c r="F105" i="655"/>
  <c r="I91" i="650"/>
  <c r="I94" i="650"/>
  <c r="H103" i="650"/>
  <c r="D91" i="649"/>
  <c r="E106" i="649"/>
  <c r="F90" i="655"/>
  <c r="F101" i="655"/>
  <c r="I308" i="653"/>
  <c r="G307" i="653"/>
  <c r="D302" i="653"/>
  <c r="E297" i="653"/>
  <c r="F291" i="653"/>
  <c r="F307" i="653"/>
  <c r="E301" i="653"/>
  <c r="D297" i="653"/>
  <c r="E291" i="653"/>
  <c r="E307" i="653"/>
  <c r="D301" i="653"/>
  <c r="I295" i="653"/>
  <c r="D291" i="653"/>
  <c r="D307" i="653"/>
  <c r="I300" i="653"/>
  <c r="H295" i="653"/>
  <c r="G306" i="653"/>
  <c r="H300" i="653"/>
  <c r="I294" i="653"/>
  <c r="F306" i="653"/>
  <c r="G300" i="653"/>
  <c r="H294" i="653"/>
  <c r="E306" i="653"/>
  <c r="F300" i="653"/>
  <c r="H293" i="653"/>
  <c r="H92" i="655"/>
  <c r="I104" i="655"/>
  <c r="G98" i="650"/>
  <c r="D98" i="649"/>
  <c r="E108" i="655"/>
  <c r="G91" i="650"/>
  <c r="G94" i="650"/>
  <c r="G106" i="650"/>
  <c r="F98" i="649"/>
  <c r="F93" i="655"/>
  <c r="F108" i="655"/>
  <c r="E101" i="655"/>
  <c r="H308" i="654"/>
  <c r="D305" i="654"/>
  <c r="F300" i="654"/>
  <c r="G295" i="654"/>
  <c r="G308" i="654"/>
  <c r="I304" i="654"/>
  <c r="D300" i="654"/>
  <c r="E295" i="654"/>
  <c r="F308" i="654"/>
  <c r="G304" i="654"/>
  <c r="I299" i="654"/>
  <c r="G294" i="654"/>
  <c r="E308" i="654"/>
  <c r="F304" i="654"/>
  <c r="H299" i="654"/>
  <c r="F294" i="654"/>
  <c r="F309" i="654"/>
  <c r="G302" i="654"/>
  <c r="E298" i="654"/>
  <c r="H291" i="654"/>
  <c r="I295" i="654"/>
  <c r="F301" i="654"/>
  <c r="H295" i="654"/>
  <c r="D309" i="654"/>
  <c r="F302" i="654"/>
  <c r="D298" i="654"/>
  <c r="D291" i="654"/>
  <c r="I308" i="654"/>
  <c r="E302" i="654"/>
  <c r="F297" i="654"/>
  <c r="G307" i="654"/>
  <c r="I307" i="654"/>
  <c r="D302" i="654"/>
  <c r="E297" i="654"/>
  <c r="H307" i="654"/>
  <c r="I301" i="654"/>
  <c r="D297" i="654"/>
  <c r="G301" i="654"/>
  <c r="E307" i="654"/>
  <c r="D307" i="654"/>
  <c r="H298" i="654"/>
  <c r="F306" i="654"/>
  <c r="G298" i="654"/>
  <c r="H293" i="654"/>
  <c r="F293" i="654"/>
  <c r="D293" i="654"/>
  <c r="E306" i="654"/>
  <c r="E293" i="654"/>
  <c r="D306" i="654"/>
  <c r="G293" i="654"/>
  <c r="I305" i="654"/>
  <c r="H305" i="654"/>
  <c r="G305" i="654"/>
  <c r="E301" i="654"/>
  <c r="I300" i="654"/>
  <c r="H300" i="654"/>
  <c r="G299" i="654"/>
  <c r="I298" i="654"/>
  <c r="G300" i="654"/>
  <c r="F299" i="654"/>
  <c r="I309" i="654"/>
  <c r="H309" i="654"/>
  <c r="E305" i="654"/>
  <c r="H302" i="654"/>
  <c r="G292" i="654"/>
  <c r="F292" i="654"/>
  <c r="E292" i="654"/>
  <c r="I291" i="654"/>
  <c r="G297" i="654"/>
  <c r="I302" i="654"/>
  <c r="E309" i="654"/>
  <c r="E304" i="654"/>
  <c r="G291" i="654"/>
  <c r="D301" i="654"/>
  <c r="D295" i="654"/>
  <c r="I293" i="654"/>
  <c r="I292" i="654"/>
  <c r="H304" i="654"/>
  <c r="E299" i="654"/>
  <c r="F307" i="654"/>
  <c r="I297" i="654"/>
  <c r="G306" i="654"/>
  <c r="E300" i="654"/>
  <c r="F291" i="654"/>
  <c r="H292" i="654"/>
  <c r="E291" i="654"/>
  <c r="D294" i="654"/>
  <c r="F295" i="654"/>
  <c r="I294" i="654"/>
  <c r="H297" i="654"/>
  <c r="G309" i="654"/>
  <c r="D299" i="654"/>
  <c r="D304" i="654"/>
  <c r="H301" i="654"/>
  <c r="H306" i="654"/>
  <c r="F305" i="654"/>
  <c r="D308" i="654"/>
  <c r="D292" i="654"/>
  <c r="H294" i="654"/>
  <c r="F298" i="654"/>
  <c r="I306" i="654"/>
  <c r="E294" i="654"/>
  <c r="F94" i="649"/>
  <c r="E98" i="655"/>
  <c r="D96" i="650"/>
  <c r="D107" i="650"/>
  <c r="E91" i="649"/>
  <c r="H94" i="649"/>
  <c r="D99" i="649"/>
  <c r="F106" i="649"/>
  <c r="E94" i="655"/>
  <c r="G101" i="655"/>
  <c r="E107" i="650"/>
  <c r="E99" i="649"/>
  <c r="F94" i="655"/>
  <c r="D106" i="655"/>
  <c r="H305" i="653"/>
  <c r="D100" i="650"/>
  <c r="G103" i="649"/>
  <c r="F91" i="655"/>
  <c r="F106" i="655"/>
  <c r="D213" i="653"/>
  <c r="F210" i="653"/>
  <c r="H206" i="653"/>
  <c r="D204" i="653"/>
  <c r="F200" i="653"/>
  <c r="H197" i="653"/>
  <c r="F119" i="653"/>
  <c r="H116" i="653"/>
  <c r="D114" i="653"/>
  <c r="F110" i="653"/>
  <c r="H107" i="653"/>
  <c r="D104" i="653"/>
  <c r="F101" i="653"/>
  <c r="I212" i="653"/>
  <c r="E210" i="653"/>
  <c r="G206" i="653"/>
  <c r="I203" i="653"/>
  <c r="E200" i="653"/>
  <c r="G197" i="653"/>
  <c r="E119" i="653"/>
  <c r="G116" i="653"/>
  <c r="I112" i="653"/>
  <c r="E110" i="653"/>
  <c r="G107" i="653"/>
  <c r="I103" i="653"/>
  <c r="E101" i="653"/>
  <c r="H212" i="653"/>
  <c r="D210" i="653"/>
  <c r="F206" i="653"/>
  <c r="H203" i="653"/>
  <c r="D200" i="653"/>
  <c r="F197" i="653"/>
  <c r="D119" i="653"/>
  <c r="F116" i="653"/>
  <c r="H112" i="653"/>
  <c r="D110" i="653"/>
  <c r="F107" i="653"/>
  <c r="H103" i="653"/>
  <c r="D101" i="653"/>
  <c r="G212" i="653"/>
  <c r="I209" i="653"/>
  <c r="E206" i="653"/>
  <c r="G203" i="653"/>
  <c r="I199" i="653"/>
  <c r="E197" i="653"/>
  <c r="I118" i="653"/>
  <c r="E116" i="653"/>
  <c r="G112" i="653"/>
  <c r="I109" i="653"/>
  <c r="E107" i="653"/>
  <c r="G103" i="653"/>
  <c r="F212" i="653"/>
  <c r="H209" i="653"/>
  <c r="D206" i="653"/>
  <c r="F203" i="653"/>
  <c r="H199" i="653"/>
  <c r="D197" i="653"/>
  <c r="H118" i="653"/>
  <c r="D116" i="653"/>
  <c r="F112" i="653"/>
  <c r="H109" i="653"/>
  <c r="D107" i="653"/>
  <c r="F103" i="653"/>
  <c r="I214" i="653"/>
  <c r="E212" i="653"/>
  <c r="G209" i="653"/>
  <c r="I205" i="653"/>
  <c r="E203" i="653"/>
  <c r="G199" i="653"/>
  <c r="I196" i="653"/>
  <c r="H214" i="653"/>
  <c r="D212" i="653"/>
  <c r="F209" i="653"/>
  <c r="H205" i="653"/>
  <c r="D203" i="653"/>
  <c r="F199" i="653"/>
  <c r="H196" i="653"/>
  <c r="F118" i="653"/>
  <c r="H115" i="653"/>
  <c r="D112" i="653"/>
  <c r="F109" i="653"/>
  <c r="H105" i="653"/>
  <c r="D103" i="653"/>
  <c r="I104" i="653"/>
  <c r="F297" i="653"/>
  <c r="G107" i="650"/>
  <c r="G99" i="649"/>
  <c r="D107" i="649"/>
  <c r="G91" i="655"/>
  <c r="H94" i="655"/>
  <c r="I98" i="655"/>
  <c r="D103" i="655"/>
  <c r="D105" i="653"/>
  <c r="H110" i="653"/>
  <c r="F115" i="653"/>
  <c r="I197" i="653"/>
  <c r="H213" i="653"/>
  <c r="G297" i="653"/>
  <c r="D306" i="653"/>
  <c r="E295" i="657"/>
  <c r="H305" i="657"/>
  <c r="H92" i="650"/>
  <c r="E97" i="650"/>
  <c r="F100" i="650"/>
  <c r="G104" i="650"/>
  <c r="H107" i="650"/>
  <c r="F92" i="649"/>
  <c r="G96" i="649"/>
  <c r="H99" i="649"/>
  <c r="I103" i="649"/>
  <c r="F107" i="649"/>
  <c r="H91" i="655"/>
  <c r="I94" i="655"/>
  <c r="D99" i="655"/>
  <c r="F103" i="655"/>
  <c r="I106" i="655"/>
  <c r="I107" i="652"/>
  <c r="E105" i="652"/>
  <c r="G101" i="652"/>
  <c r="I98" i="652"/>
  <c r="E96" i="652"/>
  <c r="G92" i="652"/>
  <c r="H107" i="652"/>
  <c r="D105" i="652"/>
  <c r="F101" i="652"/>
  <c r="H98" i="652"/>
  <c r="D96" i="652"/>
  <c r="F92" i="652"/>
  <c r="G107" i="652"/>
  <c r="I104" i="652"/>
  <c r="E101" i="652"/>
  <c r="G98" i="652"/>
  <c r="I94" i="652"/>
  <c r="E92" i="652"/>
  <c r="F107" i="652"/>
  <c r="H104" i="652"/>
  <c r="D101" i="652"/>
  <c r="F98" i="652"/>
  <c r="H94" i="652"/>
  <c r="D92" i="652"/>
  <c r="E107" i="652"/>
  <c r="G104" i="652"/>
  <c r="I100" i="652"/>
  <c r="E98" i="652"/>
  <c r="G94" i="652"/>
  <c r="I91" i="652"/>
  <c r="D93" i="652"/>
  <c r="G97" i="652"/>
  <c r="I101" i="652"/>
  <c r="F106" i="652"/>
  <c r="H91" i="651"/>
  <c r="E96" i="651"/>
  <c r="H100" i="651"/>
  <c r="D91" i="656"/>
  <c r="H94" i="656"/>
  <c r="F100" i="656"/>
  <c r="D106" i="656"/>
  <c r="G101" i="653"/>
  <c r="E105" i="653"/>
  <c r="I110" i="653"/>
  <c r="G115" i="653"/>
  <c r="D198" i="653"/>
  <c r="I202" i="653"/>
  <c r="I207" i="653"/>
  <c r="I213" i="653"/>
  <c r="H297" i="653"/>
  <c r="F308" i="653"/>
  <c r="F295" i="657"/>
  <c r="I305" i="657"/>
  <c r="H107" i="655"/>
  <c r="E90" i="649"/>
  <c r="G97" i="649"/>
  <c r="F105" i="649"/>
  <c r="D97" i="655"/>
  <c r="G100" i="655"/>
  <c r="I107" i="655"/>
  <c r="G105" i="649"/>
  <c r="F106" i="650"/>
  <c r="H105" i="649"/>
  <c r="I100" i="655"/>
  <c r="F103" i="650"/>
  <c r="H90" i="649"/>
  <c r="I93" i="649"/>
  <c r="I105" i="649"/>
  <c r="D90" i="655"/>
  <c r="I97" i="655"/>
  <c r="E105" i="655"/>
  <c r="G103" i="650"/>
  <c r="D106" i="649"/>
  <c r="I106" i="650"/>
  <c r="D103" i="649"/>
  <c r="G105" i="655"/>
  <c r="H99" i="650"/>
  <c r="F98" i="655"/>
  <c r="F293" i="653"/>
  <c r="E92" i="650"/>
  <c r="F96" i="650"/>
  <c r="F103" i="649"/>
  <c r="G293" i="653"/>
  <c r="H96" i="650"/>
  <c r="F107" i="650"/>
  <c r="H91" i="649"/>
  <c r="E96" i="649"/>
  <c r="F99" i="649"/>
  <c r="H106" i="649"/>
  <c r="G94" i="655"/>
  <c r="I119" i="653"/>
  <c r="G305" i="657"/>
  <c r="E100" i="650"/>
  <c r="D93" i="650"/>
  <c r="F97" i="650"/>
  <c r="G100" i="650"/>
  <c r="H104" i="650"/>
  <c r="D108" i="650"/>
  <c r="G92" i="649"/>
  <c r="H96" i="649"/>
  <c r="I99" i="649"/>
  <c r="D104" i="649"/>
  <c r="H107" i="649"/>
  <c r="I91" i="655"/>
  <c r="D96" i="655"/>
  <c r="E99" i="655"/>
  <c r="H103" i="655"/>
  <c r="D107" i="655"/>
  <c r="I106" i="651"/>
  <c r="E104" i="651"/>
  <c r="G100" i="651"/>
  <c r="I97" i="651"/>
  <c r="E94" i="651"/>
  <c r="G91" i="651"/>
  <c r="H106" i="651"/>
  <c r="D104" i="651"/>
  <c r="F100" i="651"/>
  <c r="H97" i="651"/>
  <c r="D94" i="651"/>
  <c r="F91" i="651"/>
  <c r="G106" i="651"/>
  <c r="I103" i="651"/>
  <c r="E100" i="651"/>
  <c r="G97" i="651"/>
  <c r="I93" i="651"/>
  <c r="E91" i="651"/>
  <c r="F106" i="651"/>
  <c r="H103" i="651"/>
  <c r="D100" i="651"/>
  <c r="F97" i="651"/>
  <c r="H93" i="651"/>
  <c r="D91" i="651"/>
  <c r="I108" i="651"/>
  <c r="E106" i="651"/>
  <c r="G103" i="651"/>
  <c r="I99" i="651"/>
  <c r="E97" i="651"/>
  <c r="G93" i="651"/>
  <c r="I90" i="651"/>
  <c r="G108" i="651"/>
  <c r="I105" i="651"/>
  <c r="E103" i="651"/>
  <c r="G99" i="651"/>
  <c r="E93" i="652"/>
  <c r="H97" i="652"/>
  <c r="D103" i="652"/>
  <c r="G106" i="652"/>
  <c r="I91" i="651"/>
  <c r="F96" i="651"/>
  <c r="I100" i="651"/>
  <c r="G105" i="651"/>
  <c r="E91" i="656"/>
  <c r="D96" i="656"/>
  <c r="G100" i="656"/>
  <c r="H101" i="653"/>
  <c r="F105" i="653"/>
  <c r="D111" i="653"/>
  <c r="I115" i="653"/>
  <c r="E198" i="653"/>
  <c r="E204" i="653"/>
  <c r="D209" i="653"/>
  <c r="D214" i="653"/>
  <c r="I297" i="653"/>
  <c r="D309" i="653"/>
  <c r="H295" i="657"/>
  <c r="D306" i="657"/>
  <c r="I304" i="653"/>
  <c r="D104" i="650"/>
  <c r="F91" i="649"/>
  <c r="G106" i="649"/>
  <c r="D91" i="655"/>
  <c r="G98" i="655"/>
  <c r="H101" i="655"/>
  <c r="F305" i="657"/>
  <c r="E104" i="650"/>
  <c r="H98" i="655"/>
  <c r="G213" i="653"/>
  <c r="D295" i="657"/>
  <c r="H106" i="655"/>
  <c r="H202" i="653"/>
  <c r="D90" i="650"/>
  <c r="F93" i="650"/>
  <c r="G97" i="650"/>
  <c r="H100" i="650"/>
  <c r="I104" i="650"/>
  <c r="F108" i="650"/>
  <c r="H92" i="649"/>
  <c r="I96" i="649"/>
  <c r="D100" i="649"/>
  <c r="F104" i="649"/>
  <c r="D92" i="655"/>
  <c r="E96" i="655"/>
  <c r="F99" i="655"/>
  <c r="D104" i="655"/>
  <c r="G108" i="656"/>
  <c r="I105" i="656"/>
  <c r="E103" i="656"/>
  <c r="G99" i="656"/>
  <c r="I96" i="656"/>
  <c r="E93" i="656"/>
  <c r="G90" i="656"/>
  <c r="F108" i="656"/>
  <c r="H105" i="656"/>
  <c r="D103" i="656"/>
  <c r="F99" i="656"/>
  <c r="H96" i="656"/>
  <c r="D93" i="656"/>
  <c r="F90" i="656"/>
  <c r="E108" i="656"/>
  <c r="G105" i="656"/>
  <c r="I101" i="656"/>
  <c r="E99" i="656"/>
  <c r="G96" i="656"/>
  <c r="I92" i="656"/>
  <c r="E90" i="656"/>
  <c r="D108" i="656"/>
  <c r="F105" i="656"/>
  <c r="H101" i="656"/>
  <c r="D99" i="656"/>
  <c r="F96" i="656"/>
  <c r="H92" i="656"/>
  <c r="D90" i="656"/>
  <c r="I107" i="656"/>
  <c r="E105" i="656"/>
  <c r="G101" i="656"/>
  <c r="I98" i="656"/>
  <c r="E96" i="656"/>
  <c r="G92" i="656"/>
  <c r="G107" i="656"/>
  <c r="I104" i="656"/>
  <c r="E101" i="656"/>
  <c r="G98" i="656"/>
  <c r="I94" i="656"/>
  <c r="E92" i="656"/>
  <c r="F93" i="652"/>
  <c r="I97" i="652"/>
  <c r="E103" i="652"/>
  <c r="H106" i="652"/>
  <c r="D92" i="651"/>
  <c r="G96" i="651"/>
  <c r="D101" i="651"/>
  <c r="H105" i="651"/>
  <c r="F91" i="656"/>
  <c r="D97" i="656"/>
  <c r="H100" i="656"/>
  <c r="F106" i="656"/>
  <c r="I101" i="653"/>
  <c r="G105" i="653"/>
  <c r="E111" i="653"/>
  <c r="I116" i="653"/>
  <c r="F198" i="653"/>
  <c r="F204" i="653"/>
  <c r="E209" i="653"/>
  <c r="E214" i="653"/>
  <c r="D298" i="653"/>
  <c r="E309" i="653"/>
  <c r="E299" i="657"/>
  <c r="G106" i="655"/>
  <c r="I103" i="655"/>
  <c r="E100" i="655"/>
  <c r="G97" i="655"/>
  <c r="I93" i="655"/>
  <c r="E91" i="655"/>
  <c r="I108" i="655"/>
  <c r="E106" i="655"/>
  <c r="G103" i="655"/>
  <c r="I99" i="655"/>
  <c r="E97" i="655"/>
  <c r="G93" i="655"/>
  <c r="I90" i="655"/>
  <c r="G108" i="655"/>
  <c r="I105" i="655"/>
  <c r="E103" i="655"/>
  <c r="G99" i="655"/>
  <c r="I96" i="655"/>
  <c r="E93" i="655"/>
  <c r="G90" i="655"/>
  <c r="G92" i="655"/>
  <c r="H96" i="655"/>
  <c r="G104" i="655"/>
  <c r="G107" i="649"/>
  <c r="I104" i="649"/>
  <c r="E101" i="649"/>
  <c r="G98" i="649"/>
  <c r="I94" i="649"/>
  <c r="E92" i="649"/>
  <c r="E107" i="649"/>
  <c r="G104" i="649"/>
  <c r="I100" i="649"/>
  <c r="E98" i="649"/>
  <c r="G94" i="649"/>
  <c r="I91" i="649"/>
  <c r="I106" i="649"/>
  <c r="E104" i="649"/>
  <c r="G100" i="649"/>
  <c r="I97" i="649"/>
  <c r="E94" i="649"/>
  <c r="G91" i="649"/>
  <c r="F93" i="649"/>
  <c r="G108" i="649"/>
  <c r="H104" i="655"/>
  <c r="G93" i="649"/>
  <c r="G101" i="649"/>
  <c r="H98" i="650"/>
  <c r="H101" i="649"/>
  <c r="D101" i="655"/>
  <c r="H91" i="650"/>
  <c r="H94" i="650"/>
  <c r="D99" i="650"/>
  <c r="H98" i="649"/>
  <c r="H108" i="655"/>
  <c r="F99" i="650"/>
  <c r="I98" i="649"/>
  <c r="D94" i="655"/>
  <c r="D92" i="650"/>
  <c r="I103" i="650"/>
  <c r="E103" i="649"/>
  <c r="H90" i="655"/>
  <c r="H105" i="655"/>
  <c r="H307" i="657"/>
  <c r="I308" i="657"/>
  <c r="D304" i="657"/>
  <c r="I297" i="657"/>
  <c r="I292" i="657"/>
  <c r="H308" i="657"/>
  <c r="I302" i="657"/>
  <c r="H297" i="657"/>
  <c r="H292" i="657"/>
  <c r="G308" i="657"/>
  <c r="H302" i="657"/>
  <c r="G297" i="657"/>
  <c r="G292" i="657"/>
  <c r="F308" i="657"/>
  <c r="D302" i="657"/>
  <c r="F297" i="657"/>
  <c r="F292" i="657"/>
  <c r="D308" i="657"/>
  <c r="I301" i="657"/>
  <c r="E297" i="657"/>
  <c r="F291" i="657"/>
  <c r="I307" i="657"/>
  <c r="H301" i="657"/>
  <c r="D297" i="657"/>
  <c r="E291" i="657"/>
  <c r="G306" i="657"/>
  <c r="G301" i="657"/>
  <c r="I295" i="657"/>
  <c r="D291" i="657"/>
  <c r="I99" i="650"/>
  <c r="D96" i="649"/>
  <c r="E294" i="657"/>
  <c r="F92" i="650"/>
  <c r="I101" i="655"/>
  <c r="G110" i="653"/>
  <c r="G196" i="653"/>
  <c r="G202" i="653"/>
  <c r="G207" i="653"/>
  <c r="I305" i="653"/>
  <c r="G92" i="650"/>
  <c r="D97" i="650"/>
  <c r="F104" i="650"/>
  <c r="D92" i="649"/>
  <c r="F96" i="649"/>
  <c r="H103" i="649"/>
  <c r="H207" i="653"/>
  <c r="F90" i="650"/>
  <c r="G93" i="650"/>
  <c r="H97" i="650"/>
  <c r="I100" i="650"/>
  <c r="D105" i="650"/>
  <c r="H108" i="650"/>
  <c r="I92" i="649"/>
  <c r="D97" i="649"/>
  <c r="E100" i="649"/>
  <c r="H104" i="649"/>
  <c r="D108" i="649"/>
  <c r="E92" i="655"/>
  <c r="F96" i="655"/>
  <c r="H99" i="655"/>
  <c r="E104" i="655"/>
  <c r="F107" i="655"/>
  <c r="D90" i="652"/>
  <c r="G93" i="652"/>
  <c r="D98" i="652"/>
  <c r="F103" i="652"/>
  <c r="I106" i="652"/>
  <c r="E92" i="651"/>
  <c r="H96" i="651"/>
  <c r="E101" i="651"/>
  <c r="D106" i="651"/>
  <c r="G91" i="656"/>
  <c r="E97" i="656"/>
  <c r="I100" i="656"/>
  <c r="G106" i="656"/>
  <c r="D102" i="653"/>
  <c r="I105" i="653"/>
  <c r="F111" i="653"/>
  <c r="D117" i="653"/>
  <c r="G198" i="653"/>
  <c r="G204" i="653"/>
  <c r="G210" i="653"/>
  <c r="F214" i="653"/>
  <c r="E298" i="653"/>
  <c r="F309" i="653"/>
  <c r="F299" i="657"/>
  <c r="F306" i="657"/>
  <c r="V85" i="823"/>
  <c r="X85" i="823" s="1"/>
  <c r="J85" i="823"/>
  <c r="X19" i="823"/>
  <c r="E304" i="653"/>
  <c r="F294" i="653"/>
  <c r="H299" i="653"/>
  <c r="F304" i="653"/>
  <c r="H308" i="653"/>
  <c r="G293" i="657"/>
  <c r="H298" i="657"/>
  <c r="E302" i="657"/>
  <c r="H306" i="657"/>
  <c r="I293" i="653"/>
  <c r="G299" i="653"/>
  <c r="G308" i="653"/>
  <c r="G294" i="653"/>
  <c r="I299" i="653"/>
  <c r="G304" i="653"/>
  <c r="H293" i="657"/>
  <c r="I298" i="657"/>
  <c r="F302" i="657"/>
  <c r="I306" i="657"/>
  <c r="I293" i="657"/>
  <c r="D299" i="657"/>
  <c r="G302" i="657"/>
  <c r="E308" i="653"/>
  <c r="G305" i="653"/>
  <c r="I301" i="653"/>
  <c r="E299" i="653"/>
  <c r="G295" i="653"/>
  <c r="I292" i="653"/>
  <c r="D305" i="653"/>
  <c r="D308" i="653"/>
  <c r="F305" i="653"/>
  <c r="H301" i="653"/>
  <c r="D299" i="653"/>
  <c r="F295" i="653"/>
  <c r="H292" i="653"/>
  <c r="F301" i="653"/>
  <c r="D295" i="653"/>
  <c r="I307" i="653"/>
  <c r="E305" i="653"/>
  <c r="G301" i="653"/>
  <c r="I298" i="653"/>
  <c r="E295" i="653"/>
  <c r="G292" i="653"/>
  <c r="H307" i="653"/>
  <c r="H298" i="653"/>
  <c r="F292" i="653"/>
  <c r="D294" i="653"/>
  <c r="F298" i="653"/>
  <c r="F302" i="653"/>
  <c r="H306" i="653"/>
  <c r="G307" i="657"/>
  <c r="I304" i="657"/>
  <c r="E301" i="657"/>
  <c r="G298" i="657"/>
  <c r="I294" i="657"/>
  <c r="E292" i="657"/>
  <c r="D307" i="657"/>
  <c r="D298" i="657"/>
  <c r="F307" i="657"/>
  <c r="H304" i="657"/>
  <c r="D301" i="657"/>
  <c r="F298" i="657"/>
  <c r="H294" i="657"/>
  <c r="D292" i="657"/>
  <c r="F304" i="657"/>
  <c r="H291" i="657"/>
  <c r="I309" i="657"/>
  <c r="E307" i="657"/>
  <c r="G304" i="657"/>
  <c r="I300" i="657"/>
  <c r="E298" i="657"/>
  <c r="G294" i="657"/>
  <c r="I291" i="657"/>
  <c r="H309" i="657"/>
  <c r="H300" i="657"/>
  <c r="F294" i="657"/>
  <c r="E294" i="653"/>
  <c r="G298" i="653"/>
  <c r="G302" i="653"/>
  <c r="I306" i="653"/>
  <c r="G291" i="657"/>
  <c r="G295" i="657"/>
  <c r="I299" i="657"/>
  <c r="E304" i="657"/>
  <c r="E308" i="657"/>
  <c r="G15" i="743"/>
  <c r="D15" i="743"/>
  <c r="G13" i="743"/>
  <c r="D13" i="743"/>
  <c r="T129" i="66"/>
  <c r="O129" i="66" s="1"/>
  <c r="P129" i="66"/>
  <c r="M129" i="66"/>
  <c r="L129" i="66"/>
  <c r="T118" i="66"/>
  <c r="O118" i="66" s="1"/>
  <c r="T91" i="66"/>
  <c r="O91" i="66" s="1"/>
  <c r="L91" i="66"/>
  <c r="T66" i="66"/>
  <c r="O66" i="66" s="1"/>
  <c r="T48" i="66"/>
  <c r="O48" i="66" s="1"/>
  <c r="T37" i="66"/>
  <c r="O37" i="66" s="1"/>
  <c r="T22" i="66"/>
  <c r="O22" i="66" s="1"/>
  <c r="T58" i="131"/>
  <c r="O58" i="131" s="1"/>
  <c r="T28" i="131"/>
  <c r="O28" i="131" s="1"/>
  <c r="T31" i="131"/>
  <c r="O31" i="131" s="1"/>
  <c r="T32" i="131"/>
  <c r="O32" i="131" s="1"/>
  <c r="T30" i="131"/>
  <c r="T137" i="66"/>
  <c r="T136" i="66"/>
  <c r="T135" i="66"/>
  <c r="T134" i="66"/>
  <c r="T133" i="66"/>
  <c r="T132" i="66"/>
  <c r="O132" i="66" s="1"/>
  <c r="T131" i="66"/>
  <c r="O131" i="66" s="1"/>
  <c r="T130" i="66"/>
  <c r="O130" i="66" s="1"/>
  <c r="T127" i="66"/>
  <c r="O127" i="66" s="1"/>
  <c r="T126" i="66"/>
  <c r="O126" i="66" s="1"/>
  <c r="T125" i="66"/>
  <c r="O125" i="66" s="1"/>
  <c r="T124" i="66"/>
  <c r="O124" i="66" s="1"/>
  <c r="T123" i="66"/>
  <c r="O123" i="66" s="1"/>
  <c r="T122" i="66"/>
  <c r="O122" i="66" s="1"/>
  <c r="T121" i="66"/>
  <c r="O121" i="66" s="1"/>
  <c r="T120" i="66"/>
  <c r="O120" i="66" s="1"/>
  <c r="T119" i="66"/>
  <c r="O119" i="66" s="1"/>
  <c r="T116" i="66"/>
  <c r="O116" i="66" s="1"/>
  <c r="T111" i="66"/>
  <c r="O111" i="66" s="1"/>
  <c r="T106" i="66"/>
  <c r="O106" i="66" s="1"/>
  <c r="T115" i="66"/>
  <c r="O115" i="66" s="1"/>
  <c r="T110" i="66"/>
  <c r="O110" i="66" s="1"/>
  <c r="T105" i="66"/>
  <c r="O105" i="66" s="1"/>
  <c r="T114" i="66"/>
  <c r="O114" i="66" s="1"/>
  <c r="T109" i="66"/>
  <c r="O109" i="66" s="1"/>
  <c r="T104" i="66"/>
  <c r="O104" i="66" s="1"/>
  <c r="T113" i="66"/>
  <c r="O113" i="66" s="1"/>
  <c r="T108" i="66"/>
  <c r="T103" i="66"/>
  <c r="T101" i="66"/>
  <c r="T100" i="66" s="1"/>
  <c r="O100" i="66" s="1"/>
  <c r="T99" i="66"/>
  <c r="O99" i="66" s="1"/>
  <c r="T98" i="66"/>
  <c r="O98" i="66" s="1"/>
  <c r="T97" i="66"/>
  <c r="O97" i="66" s="1"/>
  <c r="T96" i="66"/>
  <c r="T95" i="66"/>
  <c r="T92" i="66"/>
  <c r="O92" i="66" s="1"/>
  <c r="T89" i="66"/>
  <c r="O89" i="66" s="1"/>
  <c r="T88" i="66"/>
  <c r="O88" i="66" s="1"/>
  <c r="T87" i="66"/>
  <c r="O87" i="66" s="1"/>
  <c r="T86" i="66"/>
  <c r="O86" i="66" s="1"/>
  <c r="T85" i="66"/>
  <c r="O85" i="66" s="1"/>
  <c r="T84" i="66"/>
  <c r="O84" i="66" s="1"/>
  <c r="T82" i="66"/>
  <c r="O82" i="66" s="1"/>
  <c r="N82" i="66" s="1"/>
  <c r="T81" i="66"/>
  <c r="O81" i="66" s="1"/>
  <c r="T80" i="66"/>
  <c r="O80" i="66" s="1"/>
  <c r="T79" i="66"/>
  <c r="O79" i="66" s="1"/>
  <c r="T78" i="66"/>
  <c r="O78" i="66" s="1"/>
  <c r="T77" i="66"/>
  <c r="O77" i="66" s="1"/>
  <c r="T74" i="66"/>
  <c r="O74" i="66" s="1"/>
  <c r="T67" i="66"/>
  <c r="O67" i="66" s="1"/>
  <c r="T68" i="66"/>
  <c r="O68" i="66" s="1"/>
  <c r="T70" i="66"/>
  <c r="T72" i="66"/>
  <c r="T69" i="66"/>
  <c r="O69" i="66" s="1"/>
  <c r="T71" i="66"/>
  <c r="T73" i="66"/>
  <c r="O73" i="66" s="1"/>
  <c r="T63" i="66"/>
  <c r="O63" i="66" s="1"/>
  <c r="T62" i="66"/>
  <c r="T61" i="66"/>
  <c r="T60" i="66"/>
  <c r="T59" i="66"/>
  <c r="T58" i="66"/>
  <c r="O58" i="66" s="1"/>
  <c r="T52" i="66"/>
  <c r="T56" i="66"/>
  <c r="O56" i="66" s="1"/>
  <c r="T55" i="66"/>
  <c r="T54" i="66"/>
  <c r="T53" i="66"/>
  <c r="T51" i="66"/>
  <c r="O51" i="66" s="1"/>
  <c r="T50" i="66"/>
  <c r="O50" i="66" s="1"/>
  <c r="T49" i="66"/>
  <c r="O49" i="66" s="1"/>
  <c r="T45" i="66"/>
  <c r="T44" i="66"/>
  <c r="T43" i="66"/>
  <c r="T42" i="66"/>
  <c r="T41" i="66"/>
  <c r="T40" i="66"/>
  <c r="T38" i="66"/>
  <c r="T39" i="66"/>
  <c r="T33" i="66"/>
  <c r="T31" i="66"/>
  <c r="T29" i="66"/>
  <c r="O29" i="66" s="1"/>
  <c r="T26" i="66"/>
  <c r="O26" i="66" s="1"/>
  <c r="T25" i="66"/>
  <c r="O25" i="66" s="1"/>
  <c r="T24" i="66"/>
  <c r="O24" i="66" s="1"/>
  <c r="T34" i="66"/>
  <c r="T32" i="66"/>
  <c r="T30" i="66"/>
  <c r="T10" i="66"/>
  <c r="T9" i="66"/>
  <c r="T8" i="66"/>
  <c r="T7" i="66"/>
  <c r="O7" i="66" s="1"/>
  <c r="T23" i="66"/>
  <c r="O23" i="66" s="1"/>
  <c r="N3" i="66"/>
  <c r="P130" i="66"/>
  <c r="P131" i="66"/>
  <c r="P132" i="66"/>
  <c r="T76" i="131"/>
  <c r="O76" i="131" s="1"/>
  <c r="T75" i="131"/>
  <c r="O75" i="131" s="1"/>
  <c r="T74" i="131"/>
  <c r="T73" i="131"/>
  <c r="O73" i="131" s="1"/>
  <c r="T72" i="131"/>
  <c r="T71" i="131"/>
  <c r="O71" i="131" s="1"/>
  <c r="T69" i="131"/>
  <c r="T68" i="131" s="1"/>
  <c r="T70" i="131" s="1"/>
  <c r="O70" i="131" s="1"/>
  <c r="T66" i="131"/>
  <c r="O66" i="131" s="1"/>
  <c r="T65" i="131"/>
  <c r="O65" i="131" s="1"/>
  <c r="T64" i="131"/>
  <c r="O64" i="131" s="1"/>
  <c r="T63" i="131"/>
  <c r="O63" i="131" s="1"/>
  <c r="T62" i="131"/>
  <c r="O62" i="131" s="1"/>
  <c r="T61" i="131"/>
  <c r="O61" i="131" s="1"/>
  <c r="T60" i="131"/>
  <c r="O60" i="131" s="1"/>
  <c r="T59" i="131"/>
  <c r="O59" i="131" s="1"/>
  <c r="T55" i="131"/>
  <c r="O55" i="131" s="1"/>
  <c r="T54" i="131"/>
  <c r="O54" i="131" s="1"/>
  <c r="T53" i="131"/>
  <c r="O53" i="131" s="1"/>
  <c r="U53" i="131" s="1"/>
  <c r="T51" i="131"/>
  <c r="O51" i="131" s="1"/>
  <c r="T50" i="131"/>
  <c r="O50" i="131" s="1"/>
  <c r="T49" i="131"/>
  <c r="O49" i="131" s="1"/>
  <c r="T47" i="131"/>
  <c r="O47" i="131" s="1"/>
  <c r="T43" i="131"/>
  <c r="O43" i="131" s="1"/>
  <c r="T46" i="131"/>
  <c r="O46" i="131" s="1"/>
  <c r="T42" i="131"/>
  <c r="O42" i="131" s="1"/>
  <c r="T45" i="131"/>
  <c r="O45" i="131" s="1"/>
  <c r="T41" i="131"/>
  <c r="O41" i="131" s="1"/>
  <c r="T29" i="131"/>
  <c r="O29" i="131" s="1"/>
  <c r="T25" i="131"/>
  <c r="O25" i="131" s="1"/>
  <c r="T24" i="131"/>
  <c r="T23" i="131"/>
  <c r="T22" i="131"/>
  <c r="T21" i="131"/>
  <c r="O21" i="131" s="1"/>
  <c r="T20" i="131"/>
  <c r="O20" i="131" s="1"/>
  <c r="T19" i="131"/>
  <c r="O19" i="131" s="1"/>
  <c r="T18" i="131"/>
  <c r="O18" i="131" s="1"/>
  <c r="T17" i="131"/>
  <c r="O17" i="131" s="1"/>
  <c r="T15" i="131"/>
  <c r="O15" i="131" s="1"/>
  <c r="T14" i="131"/>
  <c r="O14" i="131" s="1"/>
  <c r="T13" i="131"/>
  <c r="T12" i="131"/>
  <c r="T11" i="131"/>
  <c r="O11" i="131" s="1"/>
  <c r="T10" i="131"/>
  <c r="O10" i="131" s="1"/>
  <c r="T9" i="131"/>
  <c r="O9" i="131" s="1"/>
  <c r="U9" i="131" s="1"/>
  <c r="T8" i="131"/>
  <c r="O8" i="131" s="1"/>
  <c r="P119" i="66" l="1"/>
  <c r="P120" i="66"/>
  <c r="P121" i="66"/>
  <c r="K91" i="66"/>
  <c r="O95" i="66"/>
  <c r="P109" i="66"/>
  <c r="P115" i="66"/>
  <c r="P106" i="66"/>
  <c r="P111" i="66"/>
  <c r="P113" i="66"/>
  <c r="P104" i="66"/>
  <c r="P114" i="66"/>
  <c r="P105" i="66"/>
  <c r="P110" i="66"/>
  <c r="P116" i="66"/>
  <c r="U21" i="131"/>
  <c r="U61" i="131"/>
  <c r="U123" i="66"/>
  <c r="U24" i="66"/>
  <c r="U20" i="131"/>
  <c r="U26" i="66"/>
  <c r="U29" i="66"/>
  <c r="U74" i="66"/>
  <c r="N97" i="66"/>
  <c r="U58" i="66"/>
  <c r="N100" i="66"/>
  <c r="U122" i="66"/>
  <c r="U124" i="66"/>
  <c r="U19" i="131"/>
  <c r="U68" i="66"/>
  <c r="N99" i="66"/>
  <c r="U60" i="131"/>
  <c r="U25" i="131"/>
  <c r="U10" i="131"/>
  <c r="U41" i="131"/>
  <c r="U7" i="66"/>
  <c r="U125" i="66"/>
  <c r="U51" i="66"/>
  <c r="U120" i="66"/>
  <c r="U126" i="66"/>
  <c r="U45" i="131"/>
  <c r="U73" i="66"/>
  <c r="U86" i="66"/>
  <c r="U14" i="131"/>
  <c r="U131" i="66"/>
  <c r="F309" i="743"/>
  <c r="U56" i="66"/>
  <c r="U11" i="131"/>
  <c r="U37" i="66"/>
  <c r="U85" i="66"/>
  <c r="U127" i="66"/>
  <c r="U43" i="131"/>
  <c r="U87" i="66"/>
  <c r="U69" i="66"/>
  <c r="U88" i="66"/>
  <c r="U132" i="66"/>
  <c r="N98" i="66"/>
  <c r="U121" i="66"/>
  <c r="U63" i="66"/>
  <c r="U15" i="131"/>
  <c r="U17" i="131"/>
  <c r="U49" i="131"/>
  <c r="U50" i="66"/>
  <c r="U89" i="66"/>
  <c r="U8" i="131"/>
  <c r="U29" i="131"/>
  <c r="U23" i="66"/>
  <c r="U130" i="66"/>
  <c r="U49" i="66"/>
  <c r="U92" i="66"/>
  <c r="U18" i="131"/>
  <c r="U67" i="66"/>
  <c r="U59" i="131"/>
  <c r="U119" i="66"/>
  <c r="U70" i="131"/>
  <c r="F304" i="743"/>
  <c r="F307" i="743"/>
  <c r="U71" i="131"/>
  <c r="F305" i="743"/>
  <c r="U76" i="131"/>
  <c r="F310" i="743"/>
  <c r="N55" i="131"/>
  <c r="U55" i="131"/>
  <c r="O134" i="66"/>
  <c r="O135" i="66"/>
  <c r="O136" i="66"/>
  <c r="O133" i="66"/>
  <c r="O137" i="66"/>
  <c r="O44" i="66"/>
  <c r="O32" i="66"/>
  <c r="O42" i="66"/>
  <c r="O30" i="66"/>
  <c r="O45" i="66"/>
  <c r="O34" i="66"/>
  <c r="O72" i="66"/>
  <c r="O70" i="66"/>
  <c r="O52" i="66"/>
  <c r="O39" i="66"/>
  <c r="O38" i="66"/>
  <c r="O40" i="66"/>
  <c r="O60" i="66"/>
  <c r="O71" i="66"/>
  <c r="O53" i="66"/>
  <c r="O54" i="66"/>
  <c r="O33" i="66"/>
  <c r="O43" i="66"/>
  <c r="O55" i="66"/>
  <c r="O59" i="66"/>
  <c r="O41" i="66"/>
  <c r="O61" i="66"/>
  <c r="O62" i="66"/>
  <c r="O31" i="66"/>
  <c r="N62" i="131"/>
  <c r="U62" i="131"/>
  <c r="N54" i="131"/>
  <c r="U54" i="131"/>
  <c r="U46" i="131"/>
  <c r="N46" i="131"/>
  <c r="T13" i="66"/>
  <c r="O8" i="66"/>
  <c r="T14" i="66"/>
  <c r="O9" i="66"/>
  <c r="O10" i="66"/>
  <c r="U50" i="131"/>
  <c r="N50" i="131"/>
  <c r="N51" i="131"/>
  <c r="U51" i="131"/>
  <c r="N63" i="131"/>
  <c r="U63" i="131"/>
  <c r="U64" i="131"/>
  <c r="N64" i="131"/>
  <c r="U65" i="131"/>
  <c r="N65" i="131"/>
  <c r="U66" i="131"/>
  <c r="N66" i="131"/>
  <c r="N47" i="131"/>
  <c r="U47" i="131"/>
  <c r="O22" i="131"/>
  <c r="O13" i="131"/>
  <c r="O23" i="131"/>
  <c r="O12" i="131"/>
  <c r="O24" i="131"/>
  <c r="O72" i="131"/>
  <c r="N73" i="131"/>
  <c r="U73" i="131"/>
  <c r="O74" i="131"/>
  <c r="U42" i="131"/>
  <c r="N42" i="131"/>
  <c r="N75" i="131"/>
  <c r="U75" i="131"/>
  <c r="U25" i="66"/>
  <c r="N95" i="66"/>
  <c r="O96" i="66"/>
  <c r="N85" i="66"/>
  <c r="N87" i="66"/>
  <c r="N92" i="66"/>
  <c r="U97" i="66"/>
  <c r="U99" i="66"/>
  <c r="U100" i="66"/>
  <c r="N86" i="66"/>
  <c r="N88" i="66"/>
  <c r="U98" i="66"/>
  <c r="K129" i="66"/>
  <c r="O103" i="66"/>
  <c r="O108" i="66"/>
  <c r="U31" i="131"/>
  <c r="U32" i="131"/>
  <c r="U115" i="66"/>
  <c r="U114" i="66"/>
  <c r="U110" i="66"/>
  <c r="U111" i="66"/>
  <c r="G28" i="743"/>
  <c r="U105" i="66"/>
  <c r="N129" i="66"/>
  <c r="U106" i="66"/>
  <c r="U116" i="66"/>
  <c r="U104" i="66"/>
  <c r="U109" i="66"/>
  <c r="F15" i="743"/>
  <c r="U129" i="66"/>
  <c r="F28" i="743"/>
  <c r="U91" i="66"/>
  <c r="F26" i="743"/>
  <c r="F25" i="743"/>
  <c r="N58" i="131"/>
  <c r="F19" i="743"/>
  <c r="U22" i="66"/>
  <c r="F17" i="743"/>
  <c r="F27" i="743"/>
  <c r="U48" i="66"/>
  <c r="F21" i="743"/>
  <c r="U66" i="66"/>
  <c r="F23" i="743"/>
  <c r="F13" i="743"/>
  <c r="U118" i="66"/>
  <c r="N91" i="66"/>
  <c r="N77" i="66"/>
  <c r="U77" i="66"/>
  <c r="U58" i="131"/>
  <c r="N28" i="131"/>
  <c r="U28" i="131"/>
  <c r="O101" i="66"/>
  <c r="T15" i="66"/>
  <c r="T20" i="66"/>
  <c r="N131" i="66"/>
  <c r="N89" i="66"/>
  <c r="N79" i="66"/>
  <c r="U79" i="66"/>
  <c r="U84" i="66"/>
  <c r="N84" i="66"/>
  <c r="U80" i="66"/>
  <c r="N80" i="66"/>
  <c r="N78" i="66"/>
  <c r="U78" i="66"/>
  <c r="N81" i="66"/>
  <c r="U81" i="66"/>
  <c r="T17" i="66"/>
  <c r="O17" i="66" s="1"/>
  <c r="U82" i="66"/>
  <c r="N132" i="66"/>
  <c r="T18" i="66"/>
  <c r="T19" i="66"/>
  <c r="T12" i="66"/>
  <c r="O12" i="66" s="1"/>
  <c r="O69" i="131"/>
  <c r="O30" i="131"/>
  <c r="O68" i="131"/>
  <c r="N130" i="66"/>
  <c r="B52" i="75"/>
  <c r="B52" i="70" s="1"/>
  <c r="B51" i="75"/>
  <c r="B51" i="70" s="1"/>
  <c r="B50" i="75"/>
  <c r="B50" i="70" s="1"/>
  <c r="B49" i="75"/>
  <c r="B49" i="70" s="1"/>
  <c r="B64" i="70"/>
  <c r="B59" i="70"/>
  <c r="B58" i="70"/>
  <c r="B57" i="70"/>
  <c r="B56" i="70"/>
  <c r="B55" i="70"/>
  <c r="B53" i="70"/>
  <c r="B48" i="70"/>
  <c r="B46" i="70"/>
  <c r="B45" i="70"/>
  <c r="B44" i="70"/>
  <c r="B43" i="70"/>
  <c r="B42" i="70"/>
  <c r="B41" i="70"/>
  <c r="B39" i="70"/>
  <c r="B37" i="70"/>
  <c r="B35" i="70"/>
  <c r="B34" i="70"/>
  <c r="B33" i="70"/>
  <c r="B32" i="70"/>
  <c r="B31" i="70"/>
  <c r="D26" i="70"/>
  <c r="E26" i="70" s="1"/>
  <c r="F26" i="70" s="1"/>
  <c r="G26" i="70" s="1"/>
  <c r="H26" i="70" s="1"/>
  <c r="I26" i="70" s="1"/>
  <c r="D24" i="70"/>
  <c r="E24" i="70" s="1"/>
  <c r="F24" i="70" s="1"/>
  <c r="G24" i="70" s="1"/>
  <c r="H24" i="70" s="1"/>
  <c r="I24" i="70" s="1"/>
  <c r="D21" i="70"/>
  <c r="E21" i="70" s="1"/>
  <c r="F21" i="70" s="1"/>
  <c r="G21" i="70" s="1"/>
  <c r="H21" i="70" s="1"/>
  <c r="I21" i="70" s="1"/>
  <c r="D23" i="70"/>
  <c r="E23" i="70" s="1"/>
  <c r="F23" i="70" s="1"/>
  <c r="G23" i="70" s="1"/>
  <c r="H23" i="70" s="1"/>
  <c r="I23" i="70" s="1"/>
  <c r="D22" i="70"/>
  <c r="E22" i="70" s="1"/>
  <c r="F22" i="70" s="1"/>
  <c r="G22" i="70" s="1"/>
  <c r="H22" i="70" s="1"/>
  <c r="I22" i="70" s="1"/>
  <c r="I26" i="818"/>
  <c r="H26" i="818"/>
  <c r="G26" i="818"/>
  <c r="C14" i="818" s="1"/>
  <c r="F26" i="818"/>
  <c r="E11" i="818"/>
  <c r="E12" i="818" s="1"/>
  <c r="E13" i="818" s="1"/>
  <c r="E14" i="818" s="1"/>
  <c r="E15" i="818" s="1"/>
  <c r="E16" i="818" s="1"/>
  <c r="E17" i="818" s="1"/>
  <c r="E18" i="818" s="1"/>
  <c r="E19" i="818" s="1"/>
  <c r="G53" i="743" l="1"/>
  <c r="U95" i="66"/>
  <c r="E18" i="502"/>
  <c r="P103" i="66"/>
  <c r="P108" i="66"/>
  <c r="E16" i="502"/>
  <c r="E17" i="502"/>
  <c r="N137" i="66"/>
  <c r="U103" i="66"/>
  <c r="N133" i="66"/>
  <c r="N136" i="66"/>
  <c r="N135" i="66"/>
  <c r="N134" i="66"/>
  <c r="F308" i="743"/>
  <c r="U12" i="66"/>
  <c r="U8" i="66"/>
  <c r="E28" i="743"/>
  <c r="U113" i="66"/>
  <c r="N24" i="131"/>
  <c r="U101" i="66"/>
  <c r="N12" i="131"/>
  <c r="U17" i="66"/>
  <c r="N23" i="131"/>
  <c r="U108" i="66"/>
  <c r="N22" i="131"/>
  <c r="U9" i="66"/>
  <c r="U96" i="66"/>
  <c r="N13" i="131"/>
  <c r="U133" i="66"/>
  <c r="U72" i="131"/>
  <c r="F306" i="743"/>
  <c r="U134" i="66"/>
  <c r="U69" i="131"/>
  <c r="F302" i="743"/>
  <c r="U68" i="131"/>
  <c r="F303" i="743"/>
  <c r="U136" i="66"/>
  <c r="U135" i="66"/>
  <c r="U137" i="66"/>
  <c r="U41" i="66"/>
  <c r="U60" i="66"/>
  <c r="U45" i="66"/>
  <c r="U53" i="66"/>
  <c r="U70" i="66"/>
  <c r="U55" i="66"/>
  <c r="U38" i="66"/>
  <c r="U42" i="66"/>
  <c r="U62" i="66"/>
  <c r="U71" i="66"/>
  <c r="U40" i="66"/>
  <c r="U54" i="66"/>
  <c r="U34" i="66"/>
  <c r="U43" i="66"/>
  <c r="U39" i="66"/>
  <c r="U32" i="66"/>
  <c r="U31" i="66"/>
  <c r="U72" i="66"/>
  <c r="U61" i="66"/>
  <c r="U30" i="66"/>
  <c r="U59" i="66"/>
  <c r="U33" i="66"/>
  <c r="U52" i="66"/>
  <c r="U44" i="66"/>
  <c r="O19" i="66"/>
  <c r="O14" i="66"/>
  <c r="O20" i="66"/>
  <c r="O13" i="66"/>
  <c r="O18" i="66"/>
  <c r="U10" i="66"/>
  <c r="O15" i="66"/>
  <c r="U22" i="131"/>
  <c r="U13" i="131"/>
  <c r="U24" i="131"/>
  <c r="U23" i="131"/>
  <c r="U12" i="131"/>
  <c r="U74" i="131"/>
  <c r="N74" i="131"/>
  <c r="N96" i="66"/>
  <c r="U30" i="131"/>
  <c r="E26" i="743"/>
  <c r="D13" i="472"/>
  <c r="E15" i="743"/>
  <c r="D13" i="186"/>
  <c r="E19" i="743"/>
  <c r="N101" i="66"/>
  <c r="D25" i="70"/>
  <c r="E25" i="70" s="1"/>
  <c r="F25" i="70" s="1"/>
  <c r="G25" i="70" s="1"/>
  <c r="H25" i="70" s="1"/>
  <c r="I25" i="70" s="1"/>
  <c r="H15" i="743" l="1"/>
  <c r="H26" i="743"/>
  <c r="H19" i="743"/>
  <c r="H28" i="743"/>
  <c r="W98" i="825"/>
  <c r="W91" i="825"/>
  <c r="W88" i="825"/>
  <c r="U20" i="66"/>
  <c r="U18" i="66"/>
  <c r="U13" i="66"/>
  <c r="U15" i="66"/>
  <c r="U14" i="66"/>
  <c r="U19" i="66"/>
  <c r="J222" i="130"/>
  <c r="U23" i="485" s="1"/>
  <c r="I222" i="130"/>
  <c r="H222" i="130"/>
  <c r="G222" i="130"/>
  <c r="F222" i="130"/>
  <c r="E222" i="130"/>
  <c r="D222" i="130"/>
  <c r="E1227" i="451"/>
  <c r="E1226" i="451"/>
  <c r="E1225" i="451"/>
  <c r="E1224" i="451"/>
  <c r="E1223" i="451"/>
  <c r="E1222" i="451"/>
  <c r="E1221" i="451"/>
  <c r="E1220" i="451"/>
  <c r="E1219" i="451"/>
  <c r="E1218" i="451"/>
  <c r="E1217" i="451"/>
  <c r="E1216" i="451"/>
  <c r="E1215" i="451"/>
  <c r="E1214" i="451"/>
  <c r="E1213" i="451"/>
  <c r="E1212" i="451"/>
  <c r="E1211" i="451"/>
  <c r="E1210" i="451"/>
  <c r="E1209" i="451"/>
  <c r="E1208" i="451"/>
  <c r="E1207" i="451"/>
  <c r="E1206" i="451"/>
  <c r="E1205" i="451"/>
  <c r="E1204" i="451"/>
  <c r="E1203" i="451"/>
  <c r="E1202" i="451"/>
  <c r="E1201" i="451"/>
  <c r="E1200" i="451"/>
  <c r="E1199" i="451"/>
  <c r="E1198" i="451"/>
  <c r="E1197" i="451"/>
  <c r="E1196" i="451"/>
  <c r="E1195" i="451"/>
  <c r="E1194" i="451"/>
  <c r="E1193" i="451"/>
  <c r="E1192" i="451"/>
  <c r="E1191" i="451"/>
  <c r="E1190" i="451"/>
  <c r="E1189" i="451"/>
  <c r="E1188" i="451"/>
  <c r="E1187" i="451"/>
  <c r="E1186" i="451"/>
  <c r="E1185" i="451"/>
  <c r="E1184" i="451"/>
  <c r="E1183" i="451"/>
  <c r="E1182" i="451"/>
  <c r="E1181" i="451"/>
  <c r="E1180" i="451"/>
  <c r="E1179" i="451"/>
  <c r="E1178" i="451"/>
  <c r="E1177" i="451"/>
  <c r="E1176" i="451"/>
  <c r="E1175" i="451"/>
  <c r="E1174" i="451"/>
  <c r="E1173" i="451"/>
  <c r="E1172" i="451"/>
  <c r="E1171" i="451"/>
  <c r="E1170" i="451"/>
  <c r="E1169" i="451"/>
  <c r="E1168" i="451"/>
  <c r="E1167" i="451"/>
  <c r="E1166" i="451"/>
  <c r="E1165" i="451"/>
  <c r="E1164" i="451"/>
  <c r="E1163" i="451"/>
  <c r="E1162" i="451"/>
  <c r="E1161" i="451"/>
  <c r="E1160" i="451"/>
  <c r="E1159" i="451"/>
  <c r="E1158" i="451"/>
  <c r="E1157" i="451"/>
  <c r="E1156" i="451"/>
  <c r="E1155" i="451"/>
  <c r="E1154" i="451"/>
  <c r="E1153" i="451"/>
  <c r="E1152" i="451"/>
  <c r="E1151" i="451"/>
  <c r="E1150" i="451"/>
  <c r="E1149" i="451"/>
  <c r="E1148" i="451"/>
  <c r="E1147" i="451"/>
  <c r="E1146" i="451"/>
  <c r="E1145" i="451"/>
  <c r="E1144" i="451"/>
  <c r="E1143" i="451"/>
  <c r="E1142" i="451"/>
  <c r="E1141" i="451"/>
  <c r="E1140" i="451"/>
  <c r="E1139" i="451"/>
  <c r="E1138" i="451"/>
  <c r="E1137" i="451"/>
  <c r="E1136" i="451"/>
  <c r="E1135" i="451"/>
  <c r="E1134" i="451"/>
  <c r="E1133" i="451"/>
  <c r="E1132" i="451"/>
  <c r="E1131" i="451"/>
  <c r="E1130" i="451"/>
  <c r="E1129" i="451"/>
  <c r="E1128" i="451"/>
  <c r="E1127" i="451"/>
  <c r="E1126" i="451"/>
  <c r="E1125" i="451"/>
  <c r="E1124" i="451"/>
  <c r="E1123" i="451"/>
  <c r="E1122" i="451"/>
  <c r="E1121" i="451"/>
  <c r="E1120" i="451"/>
  <c r="E1119" i="451"/>
  <c r="E1118" i="451"/>
  <c r="E1117" i="451"/>
  <c r="E1116" i="451"/>
  <c r="E1115" i="451"/>
  <c r="E1114" i="451"/>
  <c r="E1113" i="451"/>
  <c r="E1112" i="451"/>
  <c r="E1111" i="451"/>
  <c r="E1110" i="451"/>
  <c r="E1109" i="451"/>
  <c r="E1108" i="451"/>
  <c r="E1107" i="451"/>
  <c r="E1106" i="451"/>
  <c r="E1105" i="451"/>
  <c r="E1104" i="451"/>
  <c r="E1103" i="451"/>
  <c r="E1102" i="451"/>
  <c r="E1101" i="451"/>
  <c r="E1100" i="451"/>
  <c r="E1099" i="451"/>
  <c r="E1098" i="451"/>
  <c r="E1097" i="451"/>
  <c r="E1096" i="451"/>
  <c r="E1095" i="451"/>
  <c r="E1094" i="451"/>
  <c r="E1093" i="451"/>
  <c r="E1092" i="451"/>
  <c r="E1091" i="451"/>
  <c r="E1090" i="451"/>
  <c r="E1089" i="451"/>
  <c r="E1088" i="451"/>
  <c r="E1087" i="451"/>
  <c r="E1086" i="451"/>
  <c r="E1085" i="451"/>
  <c r="E1084" i="451"/>
  <c r="E1083" i="451"/>
  <c r="E1082" i="451"/>
  <c r="E1081" i="451"/>
  <c r="E1080" i="451"/>
  <c r="E1079" i="451"/>
  <c r="E1078" i="451"/>
  <c r="E1077" i="451"/>
  <c r="E1076" i="451"/>
  <c r="E1075" i="451"/>
  <c r="E1074" i="451"/>
  <c r="E1073" i="451"/>
  <c r="E1072" i="451"/>
  <c r="E1071" i="451"/>
  <c r="E1070" i="451"/>
  <c r="E1069" i="451"/>
  <c r="E1068" i="451"/>
  <c r="E1067" i="451"/>
  <c r="E1066" i="451"/>
  <c r="E1065" i="451"/>
  <c r="E1064" i="451"/>
  <c r="E1063" i="451"/>
  <c r="E1062" i="451"/>
  <c r="E1061" i="451"/>
  <c r="E1060" i="451"/>
  <c r="E1059" i="451"/>
  <c r="E1058" i="451"/>
  <c r="E1057" i="451"/>
  <c r="E1056" i="451"/>
  <c r="E1055" i="451"/>
  <c r="E1054" i="451"/>
  <c r="E1053" i="451"/>
  <c r="E1052" i="451"/>
  <c r="E1051" i="451"/>
  <c r="E1050" i="451"/>
  <c r="E1049" i="451"/>
  <c r="E1048" i="451"/>
  <c r="E1047" i="451"/>
  <c r="E1046" i="451"/>
  <c r="E1045" i="451"/>
  <c r="E1044" i="451"/>
  <c r="E1043" i="451"/>
  <c r="E1042" i="451"/>
  <c r="E1041" i="451"/>
  <c r="E1040" i="451"/>
  <c r="E1039" i="451"/>
  <c r="E1038" i="451"/>
  <c r="E1037" i="451"/>
  <c r="E1036" i="451"/>
  <c r="E1035" i="451"/>
  <c r="E1034" i="451"/>
  <c r="E1033" i="451"/>
  <c r="E1032" i="451"/>
  <c r="E1031" i="451"/>
  <c r="E1030" i="451"/>
  <c r="E1029" i="451"/>
  <c r="E1028" i="451"/>
  <c r="E1027" i="451"/>
  <c r="E1026" i="451"/>
  <c r="E1025" i="451"/>
  <c r="E1024" i="451"/>
  <c r="E1023" i="451"/>
  <c r="E1022" i="451"/>
  <c r="E1021" i="451"/>
  <c r="E1020" i="451"/>
  <c r="E1019" i="451"/>
  <c r="E1018" i="451"/>
  <c r="E1017" i="451"/>
  <c r="E1016" i="451"/>
  <c r="E1015" i="451"/>
  <c r="E1014" i="451"/>
  <c r="E1013" i="451"/>
  <c r="E1012" i="451"/>
  <c r="E1011" i="451"/>
  <c r="E1010" i="451"/>
  <c r="E1009" i="451"/>
  <c r="E1008" i="451"/>
  <c r="E1007" i="451"/>
  <c r="E1006" i="451"/>
  <c r="E1005" i="451"/>
  <c r="E1004" i="451"/>
  <c r="E1003" i="451"/>
  <c r="E1002" i="451"/>
  <c r="E1001" i="451"/>
  <c r="E1000" i="451"/>
  <c r="E999" i="451"/>
  <c r="E998" i="451"/>
  <c r="E997" i="451"/>
  <c r="E996" i="451"/>
  <c r="E995" i="451"/>
  <c r="E994" i="451"/>
  <c r="E993" i="451"/>
  <c r="E992" i="451"/>
  <c r="E991" i="451"/>
  <c r="E990" i="451"/>
  <c r="E989" i="451"/>
  <c r="E988" i="451"/>
  <c r="E987" i="451"/>
  <c r="E986" i="451"/>
  <c r="E985" i="451"/>
  <c r="E984" i="451"/>
  <c r="E983" i="451"/>
  <c r="E982" i="451"/>
  <c r="E981" i="451"/>
  <c r="E980" i="451"/>
  <c r="E979" i="451"/>
  <c r="E978" i="451"/>
  <c r="E977" i="451"/>
  <c r="E976" i="451"/>
  <c r="E975" i="451"/>
  <c r="E974" i="451"/>
  <c r="E973" i="451"/>
  <c r="E972" i="451"/>
  <c r="E971" i="451"/>
  <c r="E970" i="451"/>
  <c r="E969" i="451"/>
  <c r="E968" i="451"/>
  <c r="E967" i="451"/>
  <c r="E966" i="451"/>
  <c r="E965" i="451"/>
  <c r="E964" i="451"/>
  <c r="E963" i="451"/>
  <c r="E962" i="451"/>
  <c r="E961" i="451"/>
  <c r="E960" i="451"/>
  <c r="E959" i="451"/>
  <c r="E958" i="451"/>
  <c r="E957" i="451"/>
  <c r="E956" i="451"/>
  <c r="E955" i="451"/>
  <c r="E954" i="451"/>
  <c r="E953" i="451"/>
  <c r="E952" i="451"/>
  <c r="E951" i="451"/>
  <c r="E950" i="451"/>
  <c r="E949" i="451"/>
  <c r="E948" i="451"/>
  <c r="E947" i="451"/>
  <c r="E946" i="451"/>
  <c r="E945" i="451"/>
  <c r="E944" i="451"/>
  <c r="E943" i="451"/>
  <c r="E942" i="451"/>
  <c r="E941" i="451"/>
  <c r="E940" i="451"/>
  <c r="E939" i="451"/>
  <c r="E938" i="451"/>
  <c r="E937" i="451"/>
  <c r="E936" i="451"/>
  <c r="E935" i="451"/>
  <c r="E934" i="451"/>
  <c r="E933" i="451"/>
  <c r="E932" i="451"/>
  <c r="E931" i="451"/>
  <c r="E930" i="451"/>
  <c r="E929" i="451"/>
  <c r="E928" i="451"/>
  <c r="E927" i="451"/>
  <c r="E926" i="451"/>
  <c r="E925" i="451"/>
  <c r="E924" i="451"/>
  <c r="E923" i="451"/>
  <c r="E922" i="451"/>
  <c r="E921" i="451"/>
  <c r="E920" i="451"/>
  <c r="E919" i="451"/>
  <c r="E918" i="451"/>
  <c r="E917" i="451"/>
  <c r="E916" i="451"/>
  <c r="E915" i="451"/>
  <c r="E914" i="451"/>
  <c r="E913" i="451"/>
  <c r="E912" i="451"/>
  <c r="E911" i="451"/>
  <c r="E910" i="451"/>
  <c r="E909" i="451"/>
  <c r="E908" i="451"/>
  <c r="E907" i="451"/>
  <c r="E906" i="451"/>
  <c r="E905" i="451"/>
  <c r="E904" i="451"/>
  <c r="E903" i="451"/>
  <c r="E902" i="451"/>
  <c r="E901" i="451"/>
  <c r="E900" i="451"/>
  <c r="E899" i="451"/>
  <c r="E898" i="451"/>
  <c r="E897" i="451"/>
  <c r="E896" i="451"/>
  <c r="E895" i="451"/>
  <c r="E894" i="451"/>
  <c r="E893" i="451"/>
  <c r="E892" i="451"/>
  <c r="E891" i="451"/>
  <c r="E890" i="451"/>
  <c r="E889" i="451"/>
  <c r="E888" i="451"/>
  <c r="E887" i="451"/>
  <c r="E886" i="451"/>
  <c r="E885" i="451"/>
  <c r="E884" i="451"/>
  <c r="E883" i="451"/>
  <c r="E882" i="451"/>
  <c r="E881" i="451"/>
  <c r="E880" i="451"/>
  <c r="E879" i="451"/>
  <c r="E878" i="451"/>
  <c r="E877" i="451"/>
  <c r="E876" i="451"/>
  <c r="E875" i="451"/>
  <c r="E874" i="451"/>
  <c r="E873" i="451"/>
  <c r="E872" i="451"/>
  <c r="E871" i="451"/>
  <c r="E870" i="451"/>
  <c r="E869" i="451"/>
  <c r="E868" i="451"/>
  <c r="E867" i="451"/>
  <c r="E866" i="451"/>
  <c r="E865" i="451"/>
  <c r="E864" i="451"/>
  <c r="E863" i="451"/>
  <c r="E862" i="451"/>
  <c r="E861" i="451"/>
  <c r="E860" i="451"/>
  <c r="E859" i="451"/>
  <c r="E858" i="451"/>
  <c r="E857" i="451"/>
  <c r="E856" i="451"/>
  <c r="E855" i="451"/>
  <c r="E854" i="451"/>
  <c r="E853" i="451"/>
  <c r="E852" i="451"/>
  <c r="E851" i="451"/>
  <c r="E850" i="451"/>
  <c r="E849" i="451"/>
  <c r="E848" i="451"/>
  <c r="E847" i="451"/>
  <c r="E846" i="451"/>
  <c r="E845" i="451"/>
  <c r="E844" i="451"/>
  <c r="E843" i="451"/>
  <c r="E842" i="451"/>
  <c r="E841" i="451"/>
  <c r="E840" i="451"/>
  <c r="E839" i="451"/>
  <c r="E838" i="451"/>
  <c r="E837" i="451"/>
  <c r="E836" i="451"/>
  <c r="E835" i="451"/>
  <c r="E834" i="451"/>
  <c r="E833" i="451"/>
  <c r="E832" i="451"/>
  <c r="E831" i="451"/>
  <c r="E830" i="451"/>
  <c r="E829" i="451"/>
  <c r="E828" i="451"/>
  <c r="E827" i="451"/>
  <c r="E826" i="451"/>
  <c r="E825" i="451"/>
  <c r="E824" i="451"/>
  <c r="E823" i="451"/>
  <c r="E822" i="451"/>
  <c r="E821" i="451"/>
  <c r="E820" i="451"/>
  <c r="E819" i="451"/>
  <c r="E818" i="451"/>
  <c r="E817" i="451"/>
  <c r="E816" i="451"/>
  <c r="E815" i="451"/>
  <c r="E814" i="451"/>
  <c r="E813" i="451"/>
  <c r="E812" i="451"/>
  <c r="E811" i="451"/>
  <c r="E810" i="451"/>
  <c r="E809" i="451"/>
  <c r="E808" i="451"/>
  <c r="E807" i="451"/>
  <c r="E806" i="451"/>
  <c r="E805" i="451"/>
  <c r="E804" i="451"/>
  <c r="E803" i="451"/>
  <c r="E802" i="451"/>
  <c r="E801" i="451"/>
  <c r="E800" i="451"/>
  <c r="E799" i="451"/>
  <c r="E798" i="451"/>
  <c r="E797" i="451"/>
  <c r="E796" i="451"/>
  <c r="E795" i="451"/>
  <c r="E794" i="451"/>
  <c r="E793" i="451"/>
  <c r="E792" i="451"/>
  <c r="E791" i="451"/>
  <c r="E790" i="451"/>
  <c r="E789" i="451"/>
  <c r="E788" i="451"/>
  <c r="E787" i="451"/>
  <c r="E786" i="451"/>
  <c r="E785" i="451"/>
  <c r="E784" i="451"/>
  <c r="E783" i="451"/>
  <c r="E782" i="451"/>
  <c r="E781" i="451"/>
  <c r="E780" i="451"/>
  <c r="E779" i="451"/>
  <c r="E778" i="451"/>
  <c r="E777" i="451"/>
  <c r="E776" i="451"/>
  <c r="E775" i="451"/>
  <c r="E774" i="451"/>
  <c r="E773" i="451"/>
  <c r="E772" i="451"/>
  <c r="E771" i="451"/>
  <c r="E770" i="451"/>
  <c r="E769" i="451"/>
  <c r="E768" i="451"/>
  <c r="E767" i="451"/>
  <c r="E766" i="451"/>
  <c r="E765" i="451"/>
  <c r="E764" i="451"/>
  <c r="E763" i="451"/>
  <c r="E762" i="451"/>
  <c r="E761" i="451"/>
  <c r="E760" i="451"/>
  <c r="E759" i="451"/>
  <c r="E758" i="451"/>
  <c r="E757" i="451"/>
  <c r="E756" i="451"/>
  <c r="E755" i="451"/>
  <c r="E754" i="451"/>
  <c r="E753" i="451"/>
  <c r="E752" i="451"/>
  <c r="E751" i="451"/>
  <c r="E750" i="451"/>
  <c r="E749" i="451"/>
  <c r="E748" i="451"/>
  <c r="E747" i="451"/>
  <c r="E746" i="451"/>
  <c r="E745" i="451"/>
  <c r="E744" i="451"/>
  <c r="E743" i="451"/>
  <c r="E742" i="451"/>
  <c r="E741" i="451"/>
  <c r="E740" i="451"/>
  <c r="E739" i="451"/>
  <c r="E738" i="451"/>
  <c r="E737" i="451"/>
  <c r="E736" i="451"/>
  <c r="E735" i="451"/>
  <c r="E734" i="451"/>
  <c r="E733" i="451"/>
  <c r="E732" i="451"/>
  <c r="E731" i="451"/>
  <c r="E730" i="451"/>
  <c r="E729" i="451"/>
  <c r="E728" i="451"/>
  <c r="E727" i="451"/>
  <c r="E726" i="451"/>
  <c r="E725" i="451"/>
  <c r="E724" i="451"/>
  <c r="E723" i="451"/>
  <c r="E722" i="451"/>
  <c r="E721" i="451"/>
  <c r="E720" i="451"/>
  <c r="E719" i="451"/>
  <c r="E718" i="451"/>
  <c r="E717" i="451"/>
  <c r="E716" i="451"/>
  <c r="E715" i="451"/>
  <c r="E714" i="451"/>
  <c r="E713" i="451"/>
  <c r="E712" i="451"/>
  <c r="E711" i="451"/>
  <c r="E710" i="451"/>
  <c r="E709" i="451"/>
  <c r="E708" i="451"/>
  <c r="E707" i="451"/>
  <c r="E706" i="451"/>
  <c r="E705" i="451"/>
  <c r="E704" i="451"/>
  <c r="E703" i="451"/>
  <c r="E702" i="451"/>
  <c r="E701" i="451"/>
  <c r="E700" i="451"/>
  <c r="E699" i="451"/>
  <c r="E698" i="451"/>
  <c r="E697" i="451"/>
  <c r="E696" i="451"/>
  <c r="E695" i="451"/>
  <c r="E694" i="451"/>
  <c r="E693" i="451"/>
  <c r="E692" i="451"/>
  <c r="E691" i="451"/>
  <c r="E690" i="451"/>
  <c r="E689" i="451"/>
  <c r="E688" i="451"/>
  <c r="E687" i="451"/>
  <c r="E686" i="451"/>
  <c r="E685" i="451"/>
  <c r="E684" i="451"/>
  <c r="E683" i="451"/>
  <c r="E682" i="451"/>
  <c r="E681" i="451"/>
  <c r="E680" i="451"/>
  <c r="E679" i="451"/>
  <c r="E678" i="451"/>
  <c r="E677" i="451"/>
  <c r="E676" i="451"/>
  <c r="E675" i="451"/>
  <c r="E674" i="451"/>
  <c r="E673" i="451"/>
  <c r="E672" i="451"/>
  <c r="E671" i="451"/>
  <c r="E670" i="451"/>
  <c r="E669" i="451"/>
  <c r="E668" i="451"/>
  <c r="E667" i="451"/>
  <c r="E666" i="451"/>
  <c r="E665" i="451"/>
  <c r="E664" i="451"/>
  <c r="E663" i="451"/>
  <c r="E662" i="451"/>
  <c r="E661" i="451"/>
  <c r="E660" i="451"/>
  <c r="E659" i="451"/>
  <c r="E658" i="451"/>
  <c r="E657" i="451"/>
  <c r="E656" i="451"/>
  <c r="E655" i="451"/>
  <c r="E654" i="451"/>
  <c r="E653" i="451"/>
  <c r="E652" i="451"/>
  <c r="E651" i="451"/>
  <c r="E650" i="451"/>
  <c r="E649" i="451"/>
  <c r="E648" i="451"/>
  <c r="E647" i="451"/>
  <c r="E646" i="451"/>
  <c r="E645" i="451"/>
  <c r="E644" i="451"/>
  <c r="E643" i="451"/>
  <c r="E642" i="451"/>
  <c r="E641" i="451"/>
  <c r="E640" i="451"/>
  <c r="E639" i="451"/>
  <c r="E638" i="451"/>
  <c r="E637" i="451"/>
  <c r="E636" i="451"/>
  <c r="E635" i="451"/>
  <c r="E634" i="451"/>
  <c r="E633" i="451"/>
  <c r="E632" i="451"/>
  <c r="E631" i="451"/>
  <c r="E630" i="451"/>
  <c r="E629" i="451"/>
  <c r="E628" i="451"/>
  <c r="E627" i="451"/>
  <c r="E626" i="451"/>
  <c r="E625" i="451"/>
  <c r="E624" i="451"/>
  <c r="E623" i="451"/>
  <c r="E622" i="451"/>
  <c r="E621" i="451"/>
  <c r="E620" i="451"/>
  <c r="E619" i="451"/>
  <c r="E618" i="451"/>
  <c r="E617" i="451"/>
  <c r="E616" i="451"/>
  <c r="E615" i="451"/>
  <c r="E614" i="451"/>
  <c r="E613" i="451"/>
  <c r="E612" i="451"/>
  <c r="E611" i="451"/>
  <c r="E610" i="451"/>
  <c r="E609" i="451"/>
  <c r="E608" i="451"/>
  <c r="E607" i="451"/>
  <c r="E606" i="451"/>
  <c r="E605" i="451"/>
  <c r="E604" i="451"/>
  <c r="E603" i="451"/>
  <c r="E602" i="451"/>
  <c r="E601" i="451"/>
  <c r="E600" i="451"/>
  <c r="E599" i="451"/>
  <c r="E598" i="451"/>
  <c r="E597" i="451"/>
  <c r="E596" i="451"/>
  <c r="E595" i="451"/>
  <c r="E594" i="451"/>
  <c r="E593" i="451"/>
  <c r="E592" i="451"/>
  <c r="E591" i="451"/>
  <c r="E590" i="451"/>
  <c r="E589" i="451"/>
  <c r="E588" i="451"/>
  <c r="E587" i="451"/>
  <c r="E586" i="451"/>
  <c r="E585" i="451"/>
  <c r="E584" i="451"/>
  <c r="E583" i="451"/>
  <c r="E582" i="451"/>
  <c r="E581" i="451"/>
  <c r="E580" i="451"/>
  <c r="E579" i="451"/>
  <c r="E578" i="451"/>
  <c r="E577" i="451"/>
  <c r="E576" i="451"/>
  <c r="E575" i="451"/>
  <c r="E574" i="451"/>
  <c r="E573" i="451"/>
  <c r="E572" i="451"/>
  <c r="E571" i="451"/>
  <c r="E570" i="451"/>
  <c r="E569" i="451"/>
  <c r="E568" i="451"/>
  <c r="E567" i="451"/>
  <c r="E566" i="451"/>
  <c r="E565" i="451"/>
  <c r="E564" i="451"/>
  <c r="E563" i="451"/>
  <c r="E562" i="451"/>
  <c r="E561" i="451"/>
  <c r="E560" i="451"/>
  <c r="E559" i="451"/>
  <c r="E558" i="451"/>
  <c r="E557" i="451"/>
  <c r="E556" i="451"/>
  <c r="E555" i="451"/>
  <c r="E554" i="451"/>
  <c r="E553" i="451"/>
  <c r="E552" i="451"/>
  <c r="E551" i="451"/>
  <c r="E550" i="451"/>
  <c r="E549" i="451"/>
  <c r="E548" i="451"/>
  <c r="E547" i="451"/>
  <c r="E546" i="451"/>
  <c r="E545" i="451"/>
  <c r="E544" i="451"/>
  <c r="E543" i="451"/>
  <c r="E542" i="451"/>
  <c r="E541" i="451"/>
  <c r="E540" i="451"/>
  <c r="E539" i="451"/>
  <c r="E538" i="451"/>
  <c r="E537" i="451"/>
  <c r="E536" i="451"/>
  <c r="E535" i="451"/>
  <c r="E534" i="451"/>
  <c r="E533" i="451"/>
  <c r="E532" i="451"/>
  <c r="E531" i="451"/>
  <c r="E530" i="451"/>
  <c r="E529" i="451"/>
  <c r="E528" i="451"/>
  <c r="E527" i="451"/>
  <c r="E526" i="451"/>
  <c r="E525" i="451"/>
  <c r="E524" i="451"/>
  <c r="E523" i="451"/>
  <c r="E522" i="451"/>
  <c r="E521" i="451"/>
  <c r="E520" i="451"/>
  <c r="E519" i="451"/>
  <c r="E518" i="451"/>
  <c r="E517" i="451"/>
  <c r="E516" i="451"/>
  <c r="E515" i="451"/>
  <c r="E514" i="451"/>
  <c r="E513" i="451"/>
  <c r="E512" i="451"/>
  <c r="E511" i="451"/>
  <c r="E510" i="451"/>
  <c r="E509" i="451"/>
  <c r="E508" i="451"/>
  <c r="E507" i="451"/>
  <c r="E506" i="451"/>
  <c r="E505" i="451"/>
  <c r="E504" i="451"/>
  <c r="E503" i="451"/>
  <c r="E502" i="451"/>
  <c r="E501" i="451"/>
  <c r="E500" i="451"/>
  <c r="E499" i="451"/>
  <c r="E498" i="451"/>
  <c r="E497" i="451"/>
  <c r="E496" i="451"/>
  <c r="E495" i="451"/>
  <c r="E494" i="451"/>
  <c r="E493" i="451"/>
  <c r="E492" i="451"/>
  <c r="E491" i="451"/>
  <c r="E490" i="451"/>
  <c r="E489" i="451"/>
  <c r="E488" i="451"/>
  <c r="E487" i="451"/>
  <c r="E486" i="451"/>
  <c r="E485" i="451"/>
  <c r="E484" i="451"/>
  <c r="E483" i="451"/>
  <c r="E482" i="451"/>
  <c r="E481" i="451"/>
  <c r="E480" i="451"/>
  <c r="E479" i="451"/>
  <c r="E478" i="451"/>
  <c r="E477" i="451"/>
  <c r="E476" i="451"/>
  <c r="E475" i="451"/>
  <c r="E474" i="451"/>
  <c r="E473" i="451"/>
  <c r="E472" i="451"/>
  <c r="E471" i="451"/>
  <c r="E470" i="451"/>
  <c r="E469" i="451"/>
  <c r="E468" i="451"/>
  <c r="E467" i="451"/>
  <c r="E466" i="451"/>
  <c r="E465" i="451"/>
  <c r="E464" i="451"/>
  <c r="E463" i="451"/>
  <c r="E462" i="451"/>
  <c r="E461" i="451"/>
  <c r="E460" i="451"/>
  <c r="E459" i="451"/>
  <c r="E458" i="451"/>
  <c r="E457" i="451"/>
  <c r="E456" i="451"/>
  <c r="E455" i="451"/>
  <c r="E454" i="451"/>
  <c r="E453" i="451"/>
  <c r="E452" i="451"/>
  <c r="E451" i="451"/>
  <c r="E450" i="451"/>
  <c r="E449" i="451"/>
  <c r="E448" i="451"/>
  <c r="E447" i="451"/>
  <c r="E446" i="451"/>
  <c r="E445" i="451"/>
  <c r="E444" i="451"/>
  <c r="E443" i="451"/>
  <c r="E442" i="451"/>
  <c r="E441" i="451"/>
  <c r="E440" i="451"/>
  <c r="E439" i="451"/>
  <c r="E438" i="451"/>
  <c r="E437" i="451"/>
  <c r="E436" i="451"/>
  <c r="E435" i="451"/>
  <c r="E434" i="451"/>
  <c r="E433" i="451"/>
  <c r="E432" i="451"/>
  <c r="E431" i="451"/>
  <c r="E430" i="451"/>
  <c r="E429" i="451"/>
  <c r="E428" i="451"/>
  <c r="E427" i="451"/>
  <c r="E426" i="451"/>
  <c r="E425" i="451"/>
  <c r="E424" i="451"/>
  <c r="E423" i="451"/>
  <c r="E422" i="451"/>
  <c r="E421" i="451"/>
  <c r="E420" i="451"/>
  <c r="E419" i="451"/>
  <c r="E418" i="451"/>
  <c r="E417" i="451"/>
  <c r="E416" i="451"/>
  <c r="E415" i="451"/>
  <c r="E414" i="451"/>
  <c r="E413" i="451"/>
  <c r="E412" i="451"/>
  <c r="E411" i="451"/>
  <c r="E410" i="451"/>
  <c r="E409" i="451"/>
  <c r="E408" i="451"/>
  <c r="E407" i="451"/>
  <c r="E406" i="451"/>
  <c r="E405" i="451"/>
  <c r="E404" i="451"/>
  <c r="E403" i="451"/>
  <c r="E402" i="451"/>
  <c r="E401" i="451"/>
  <c r="E400" i="451"/>
  <c r="E399" i="451"/>
  <c r="E398" i="451"/>
  <c r="E397" i="451"/>
  <c r="E396" i="451"/>
  <c r="E395" i="451"/>
  <c r="E394" i="451"/>
  <c r="E393" i="451"/>
  <c r="E392" i="451"/>
  <c r="E391" i="451"/>
  <c r="E390" i="451"/>
  <c r="E389" i="451"/>
  <c r="E388" i="451"/>
  <c r="E387" i="451"/>
  <c r="E386" i="451"/>
  <c r="E385" i="451"/>
  <c r="E384" i="451"/>
  <c r="E383" i="451"/>
  <c r="E382" i="451"/>
  <c r="E381" i="451"/>
  <c r="E380" i="451"/>
  <c r="E379" i="451"/>
  <c r="E378" i="451"/>
  <c r="E377" i="451"/>
  <c r="E376" i="451"/>
  <c r="E375" i="451"/>
  <c r="E374" i="451"/>
  <c r="E373" i="451"/>
  <c r="E372" i="451"/>
  <c r="E371" i="451"/>
  <c r="E370" i="451"/>
  <c r="E369" i="451"/>
  <c r="E368" i="451"/>
  <c r="E367" i="451"/>
  <c r="E366" i="451"/>
  <c r="E365" i="451"/>
  <c r="E364" i="451"/>
  <c r="E363" i="451"/>
  <c r="E362" i="451"/>
  <c r="E361" i="451"/>
  <c r="E360" i="451"/>
  <c r="E359" i="451"/>
  <c r="E358" i="451"/>
  <c r="E357" i="451"/>
  <c r="E356" i="451"/>
  <c r="E355" i="451"/>
  <c r="E354" i="451"/>
  <c r="E353" i="451"/>
  <c r="E352" i="451"/>
  <c r="E351" i="451"/>
  <c r="E350" i="451"/>
  <c r="E349" i="451"/>
  <c r="E348" i="451"/>
  <c r="E347" i="451"/>
  <c r="E346" i="451"/>
  <c r="E345" i="451"/>
  <c r="E344" i="451"/>
  <c r="E343" i="451"/>
  <c r="E342" i="451"/>
  <c r="E341" i="451"/>
  <c r="E340" i="451"/>
  <c r="E339" i="451"/>
  <c r="E338" i="451"/>
  <c r="E337" i="451"/>
  <c r="E336" i="451"/>
  <c r="E335" i="451"/>
  <c r="E334" i="451"/>
  <c r="E333" i="451"/>
  <c r="E332" i="451"/>
  <c r="E331" i="451"/>
  <c r="E330" i="451"/>
  <c r="E329" i="451"/>
  <c r="E328" i="451"/>
  <c r="E327" i="451"/>
  <c r="E326" i="451"/>
  <c r="E325" i="451"/>
  <c r="E324" i="451"/>
  <c r="E323" i="451"/>
  <c r="E322" i="451"/>
  <c r="E321" i="451"/>
  <c r="E320" i="451"/>
  <c r="E319" i="451"/>
  <c r="E318" i="451"/>
  <c r="E317" i="451"/>
  <c r="E316" i="451"/>
  <c r="E315" i="451"/>
  <c r="E314" i="451"/>
  <c r="E313" i="451"/>
  <c r="E312" i="451"/>
  <c r="E311" i="451"/>
  <c r="E310" i="451"/>
  <c r="E309" i="451"/>
  <c r="E308" i="451"/>
  <c r="E307" i="451"/>
  <c r="E306" i="451"/>
  <c r="E305" i="451"/>
  <c r="E304" i="451"/>
  <c r="E303" i="451"/>
  <c r="E302" i="451"/>
  <c r="E301" i="451"/>
  <c r="E300" i="451"/>
  <c r="E299" i="451"/>
  <c r="E298" i="451"/>
  <c r="E297" i="451"/>
  <c r="E296" i="451"/>
  <c r="E295" i="451"/>
  <c r="E294" i="451"/>
  <c r="E293" i="451"/>
  <c r="E292" i="451"/>
  <c r="E291" i="451"/>
  <c r="E290" i="451"/>
  <c r="E289" i="451"/>
  <c r="E288" i="451"/>
  <c r="E287" i="451"/>
  <c r="E286" i="451"/>
  <c r="E285" i="451"/>
  <c r="E284" i="451"/>
  <c r="E283" i="451"/>
  <c r="E282" i="451"/>
  <c r="E281" i="451"/>
  <c r="E280" i="451"/>
  <c r="E279" i="451"/>
  <c r="E278" i="451"/>
  <c r="E277" i="451"/>
  <c r="E276" i="451"/>
  <c r="E275" i="451"/>
  <c r="E274" i="451"/>
  <c r="E273" i="451"/>
  <c r="E272" i="451"/>
  <c r="E271" i="451"/>
  <c r="E270" i="451"/>
  <c r="E269" i="451"/>
  <c r="E268" i="451"/>
  <c r="E267" i="451"/>
  <c r="E266" i="451"/>
  <c r="E265" i="451"/>
  <c r="E264" i="451"/>
  <c r="E263" i="451"/>
  <c r="E262" i="451"/>
  <c r="E261" i="451"/>
  <c r="E260" i="451"/>
  <c r="E259" i="451"/>
  <c r="E258" i="451"/>
  <c r="E257" i="451"/>
  <c r="E256" i="451"/>
  <c r="E255" i="451"/>
  <c r="E254" i="451"/>
  <c r="E253" i="451"/>
  <c r="E252" i="451"/>
  <c r="E251" i="451"/>
  <c r="E250" i="451"/>
  <c r="E249" i="451"/>
  <c r="E248" i="451"/>
  <c r="E247" i="451"/>
  <c r="E246" i="451"/>
  <c r="E245" i="451"/>
  <c r="E244" i="451"/>
  <c r="E243" i="451"/>
  <c r="E242" i="451"/>
  <c r="E241" i="451"/>
  <c r="E240" i="451"/>
  <c r="E239" i="451"/>
  <c r="E238" i="451"/>
  <c r="E237" i="451"/>
  <c r="E236" i="451"/>
  <c r="E235" i="451"/>
  <c r="E234" i="451"/>
  <c r="E233" i="451"/>
  <c r="E232" i="451"/>
  <c r="E231" i="451"/>
  <c r="E230" i="451"/>
  <c r="E229" i="451"/>
  <c r="E228" i="451"/>
  <c r="E227" i="451"/>
  <c r="E226" i="451"/>
  <c r="E225" i="451"/>
  <c r="E224" i="451"/>
  <c r="E223" i="451"/>
  <c r="E222" i="451"/>
  <c r="E221" i="451"/>
  <c r="E220" i="451"/>
  <c r="E219" i="451"/>
  <c r="E218" i="451"/>
  <c r="E217" i="451"/>
  <c r="E216" i="451"/>
  <c r="E215" i="451"/>
  <c r="E214" i="451"/>
  <c r="E213" i="451"/>
  <c r="E212" i="451"/>
  <c r="E211" i="451"/>
  <c r="E210" i="451"/>
  <c r="E209" i="451"/>
  <c r="E208" i="451"/>
  <c r="E207" i="451"/>
  <c r="E206" i="451"/>
  <c r="E205" i="451"/>
  <c r="E204" i="451"/>
  <c r="E203" i="451"/>
  <c r="E202" i="451"/>
  <c r="E201" i="451"/>
  <c r="E200" i="451"/>
  <c r="E199" i="451"/>
  <c r="E198" i="451"/>
  <c r="E197" i="451"/>
  <c r="E196" i="451"/>
  <c r="E195" i="451"/>
  <c r="E194" i="451"/>
  <c r="E193" i="451"/>
  <c r="E192" i="451"/>
  <c r="E191" i="451"/>
  <c r="E190" i="451"/>
  <c r="E189" i="451"/>
  <c r="E188" i="451"/>
  <c r="E187" i="451"/>
  <c r="E186" i="451"/>
  <c r="E185" i="451"/>
  <c r="E184" i="451"/>
  <c r="E183" i="451"/>
  <c r="E182" i="451"/>
  <c r="E181" i="451"/>
  <c r="E180" i="451"/>
  <c r="E179" i="451"/>
  <c r="E178" i="451"/>
  <c r="E177" i="451"/>
  <c r="E176" i="451"/>
  <c r="E175" i="451"/>
  <c r="E174" i="451"/>
  <c r="E173" i="451"/>
  <c r="E172" i="451"/>
  <c r="E171" i="451"/>
  <c r="E170" i="451"/>
  <c r="E169" i="451"/>
  <c r="E168" i="451"/>
  <c r="E167" i="451"/>
  <c r="E166" i="451"/>
  <c r="E165" i="451"/>
  <c r="E164" i="451"/>
  <c r="E163" i="451"/>
  <c r="E162" i="451"/>
  <c r="E161" i="451"/>
  <c r="E160" i="451"/>
  <c r="E159" i="451"/>
  <c r="E158" i="451"/>
  <c r="E157" i="451"/>
  <c r="E156" i="451"/>
  <c r="E155" i="451"/>
  <c r="E154" i="451"/>
  <c r="E153" i="451"/>
  <c r="E152" i="451"/>
  <c r="E151" i="451"/>
  <c r="E150" i="451"/>
  <c r="E149" i="451"/>
  <c r="E148" i="451"/>
  <c r="E147" i="451"/>
  <c r="E146" i="451"/>
  <c r="E145" i="451"/>
  <c r="E144" i="451"/>
  <c r="E143" i="451"/>
  <c r="E142" i="451"/>
  <c r="E141" i="451"/>
  <c r="E140" i="451"/>
  <c r="E139" i="451"/>
  <c r="E138" i="451"/>
  <c r="E137" i="451"/>
  <c r="E136" i="451"/>
  <c r="E135" i="451"/>
  <c r="E134" i="451"/>
  <c r="E133" i="451"/>
  <c r="E132" i="451"/>
  <c r="E131" i="451"/>
  <c r="E130" i="451"/>
  <c r="E129" i="451"/>
  <c r="E128" i="451"/>
  <c r="E127" i="451"/>
  <c r="E126" i="451"/>
  <c r="E125" i="451"/>
  <c r="E124" i="451"/>
  <c r="E123" i="451"/>
  <c r="E122" i="451"/>
  <c r="E121" i="451"/>
  <c r="E120" i="451"/>
  <c r="E119" i="451"/>
  <c r="E118" i="451"/>
  <c r="E117" i="451"/>
  <c r="E116" i="451"/>
  <c r="E115" i="451"/>
  <c r="E114" i="451"/>
  <c r="E113" i="451"/>
  <c r="E112" i="451"/>
  <c r="E111" i="451"/>
  <c r="E110" i="451"/>
  <c r="E109" i="451"/>
  <c r="E108" i="451"/>
  <c r="E107" i="451"/>
  <c r="E106" i="451"/>
  <c r="E105" i="451"/>
  <c r="E104" i="451"/>
  <c r="E103" i="451"/>
  <c r="E102" i="451"/>
  <c r="E101" i="451"/>
  <c r="E100" i="451"/>
  <c r="E99" i="451"/>
  <c r="E98" i="451"/>
  <c r="E97" i="451"/>
  <c r="E96" i="451"/>
  <c r="E95" i="451"/>
  <c r="E94" i="451"/>
  <c r="E93" i="451"/>
  <c r="E92" i="451"/>
  <c r="E91" i="451"/>
  <c r="E90" i="451"/>
  <c r="E89" i="451"/>
  <c r="E88" i="451"/>
  <c r="E87" i="451"/>
  <c r="E86" i="451"/>
  <c r="E85" i="451"/>
  <c r="E84" i="451"/>
  <c r="E83" i="451"/>
  <c r="E82" i="451"/>
  <c r="E81" i="451"/>
  <c r="E80" i="451"/>
  <c r="E79" i="451"/>
  <c r="E78" i="451"/>
  <c r="E77" i="451"/>
  <c r="E76" i="451"/>
  <c r="E75" i="451"/>
  <c r="E74" i="451"/>
  <c r="E73" i="451"/>
  <c r="E72" i="451"/>
  <c r="E71" i="451"/>
  <c r="E70" i="451"/>
  <c r="E69" i="451"/>
  <c r="E68" i="451"/>
  <c r="E67" i="451"/>
  <c r="E66" i="451"/>
  <c r="E65" i="451"/>
  <c r="E64" i="451"/>
  <c r="E63" i="451"/>
  <c r="E62" i="451"/>
  <c r="E61" i="451"/>
  <c r="E60" i="451"/>
  <c r="E59" i="451"/>
  <c r="E58" i="451"/>
  <c r="E57" i="451"/>
  <c r="E56" i="451"/>
  <c r="E55" i="451"/>
  <c r="E54" i="451"/>
  <c r="E53" i="451"/>
  <c r="E52" i="451"/>
  <c r="E51" i="451"/>
  <c r="E50" i="451"/>
  <c r="E49" i="451"/>
  <c r="E48" i="451"/>
  <c r="E47" i="451"/>
  <c r="E46" i="451"/>
  <c r="E45" i="451"/>
  <c r="E44" i="451"/>
  <c r="E43" i="451"/>
  <c r="E42" i="451"/>
  <c r="E41" i="451"/>
  <c r="E40" i="451"/>
  <c r="E39" i="451"/>
  <c r="E38" i="451"/>
  <c r="E37" i="451"/>
  <c r="E36" i="451"/>
  <c r="E35" i="451"/>
  <c r="E34" i="451"/>
  <c r="E33" i="451"/>
  <c r="E32" i="451"/>
  <c r="E31" i="451"/>
  <c r="E30" i="451"/>
  <c r="E29" i="451"/>
  <c r="E28" i="451"/>
  <c r="E27" i="451"/>
  <c r="E26" i="451"/>
  <c r="E25" i="451"/>
  <c r="E24" i="451"/>
  <c r="E23" i="451"/>
  <c r="E22" i="451"/>
  <c r="E21" i="451"/>
  <c r="E20" i="451"/>
  <c r="E19" i="451"/>
  <c r="E18" i="451"/>
  <c r="E17" i="451"/>
  <c r="E16" i="451"/>
  <c r="E15" i="451"/>
  <c r="E14" i="451"/>
  <c r="E13" i="451"/>
  <c r="E12" i="451"/>
  <c r="E11" i="451"/>
  <c r="E10" i="451"/>
  <c r="E9" i="451"/>
  <c r="E8" i="451"/>
  <c r="E7" i="451"/>
  <c r="E6" i="451"/>
  <c r="E5" i="451"/>
  <c r="E4" i="451"/>
  <c r="F3" i="451"/>
  <c r="G3" i="451"/>
  <c r="G50" i="113"/>
  <c r="C26" i="654" l="1"/>
  <c r="C26" i="653"/>
  <c r="C26" i="658"/>
  <c r="C26" i="502"/>
  <c r="C26" i="508"/>
  <c r="I26" i="508"/>
  <c r="H26" i="508"/>
  <c r="G26" i="508"/>
  <c r="F26" i="508"/>
  <c r="E26" i="508"/>
  <c r="D26" i="508"/>
  <c r="D27" i="68"/>
  <c r="D11" i="6"/>
  <c r="D10" i="6" s="1"/>
  <c r="E16" i="6" s="1"/>
  <c r="P11" i="381"/>
  <c r="P12" i="381"/>
  <c r="P13" i="381"/>
  <c r="P14" i="381"/>
  <c r="P15" i="381"/>
  <c r="P16" i="381"/>
  <c r="P17" i="381"/>
  <c r="P18" i="381"/>
  <c r="N114" i="445"/>
  <c r="M114" i="445"/>
  <c r="N113" i="445"/>
  <c r="M113" i="445"/>
  <c r="N112" i="445"/>
  <c r="M112" i="445"/>
  <c r="N111" i="445"/>
  <c r="M111" i="445"/>
  <c r="N110" i="445"/>
  <c r="M110" i="445"/>
  <c r="N109" i="445"/>
  <c r="M109" i="445"/>
  <c r="N107" i="445"/>
  <c r="M107" i="445"/>
  <c r="N106" i="445"/>
  <c r="M106" i="445"/>
  <c r="N105" i="445"/>
  <c r="M105" i="445"/>
  <c r="N104" i="445"/>
  <c r="M104" i="445"/>
  <c r="N103" i="445"/>
  <c r="M103" i="445"/>
  <c r="N102" i="445"/>
  <c r="M102" i="445"/>
  <c r="N100" i="445"/>
  <c r="M100" i="445"/>
  <c r="N99" i="445"/>
  <c r="M99" i="445"/>
  <c r="N98" i="445"/>
  <c r="M98" i="445"/>
  <c r="N97" i="445"/>
  <c r="M97" i="445"/>
  <c r="N96" i="445"/>
  <c r="M96" i="445"/>
  <c r="N93" i="445"/>
  <c r="M93" i="445"/>
  <c r="N92" i="445"/>
  <c r="M92" i="445"/>
  <c r="N91" i="445"/>
  <c r="M91" i="445"/>
  <c r="N90" i="445"/>
  <c r="M90" i="445"/>
  <c r="N89" i="445"/>
  <c r="M89" i="445"/>
  <c r="N88" i="445"/>
  <c r="M88" i="445"/>
  <c r="N86" i="445"/>
  <c r="M86" i="445"/>
  <c r="N85" i="445"/>
  <c r="M85" i="445"/>
  <c r="N84" i="445"/>
  <c r="M84" i="445"/>
  <c r="N83" i="445"/>
  <c r="M83" i="445"/>
  <c r="N82" i="445"/>
  <c r="M82" i="445"/>
  <c r="N81" i="445"/>
  <c r="M81" i="445"/>
  <c r="N79" i="445"/>
  <c r="M79" i="445"/>
  <c r="N78" i="445"/>
  <c r="M78" i="445"/>
  <c r="N77" i="445"/>
  <c r="M77" i="445"/>
  <c r="N76" i="445"/>
  <c r="M76" i="445"/>
  <c r="N75" i="445"/>
  <c r="M75" i="445"/>
  <c r="N73" i="445"/>
  <c r="M73" i="445"/>
  <c r="N72" i="445"/>
  <c r="M72" i="445"/>
  <c r="N71" i="445"/>
  <c r="M71" i="445"/>
  <c r="N70" i="445"/>
  <c r="M70" i="445"/>
  <c r="N69" i="445"/>
  <c r="M69" i="445"/>
  <c r="N65" i="445"/>
  <c r="M65" i="445"/>
  <c r="N64" i="445"/>
  <c r="M64" i="445"/>
  <c r="N63" i="445"/>
  <c r="M63" i="445"/>
  <c r="N62" i="445"/>
  <c r="M62" i="445"/>
  <c r="N61" i="445"/>
  <c r="M61" i="445"/>
  <c r="N60" i="445"/>
  <c r="M60" i="445"/>
  <c r="N57" i="445"/>
  <c r="M57" i="445"/>
  <c r="N56" i="445"/>
  <c r="M56" i="445"/>
  <c r="N55" i="445"/>
  <c r="M55" i="445"/>
  <c r="N54" i="445"/>
  <c r="M54" i="445"/>
  <c r="N52" i="445"/>
  <c r="M52" i="445"/>
  <c r="N51" i="445"/>
  <c r="M51" i="445"/>
  <c r="N50" i="445"/>
  <c r="M50" i="445"/>
  <c r="N49" i="445"/>
  <c r="M49" i="445"/>
  <c r="N47" i="445"/>
  <c r="M47" i="445"/>
  <c r="N46" i="445"/>
  <c r="M46" i="445"/>
  <c r="N45" i="445"/>
  <c r="M45" i="445"/>
  <c r="N44" i="445"/>
  <c r="M44" i="445"/>
  <c r="N42" i="445"/>
  <c r="M42" i="445"/>
  <c r="N41" i="445"/>
  <c r="M41" i="445"/>
  <c r="N40" i="445"/>
  <c r="M40" i="445"/>
  <c r="N39" i="445"/>
  <c r="M39" i="445"/>
  <c r="N38" i="445"/>
  <c r="M38" i="445"/>
  <c r="N37" i="445"/>
  <c r="M37" i="445"/>
  <c r="N35" i="445"/>
  <c r="M35" i="445"/>
  <c r="N34" i="445"/>
  <c r="M34" i="445"/>
  <c r="N33" i="445"/>
  <c r="M33" i="445"/>
  <c r="N29" i="445"/>
  <c r="M29" i="445"/>
  <c r="N28" i="445"/>
  <c r="M28" i="445"/>
  <c r="N27" i="445"/>
  <c r="M27" i="445"/>
  <c r="N26" i="445"/>
  <c r="M26" i="445"/>
  <c r="N24" i="445"/>
  <c r="M24" i="445"/>
  <c r="N23" i="445"/>
  <c r="M23" i="445"/>
  <c r="N19" i="445"/>
  <c r="M19" i="445"/>
  <c r="N18" i="445"/>
  <c r="N131" i="445" s="1"/>
  <c r="M18" i="445"/>
  <c r="M131" i="445" s="1"/>
  <c r="N32" i="445" l="1"/>
  <c r="N127" i="445" s="1"/>
  <c r="N74" i="445"/>
  <c r="N22" i="445"/>
  <c r="N129" i="445" s="1"/>
  <c r="M32" i="445"/>
  <c r="M127" i="445" s="1"/>
  <c r="N25" i="445"/>
  <c r="N128" i="445" s="1"/>
  <c r="M74" i="445"/>
  <c r="N36" i="445"/>
  <c r="M22" i="445"/>
  <c r="M129" i="445" s="1"/>
  <c r="N53" i="445"/>
  <c r="N48" i="445"/>
  <c r="N68" i="445"/>
  <c r="N122" i="445" s="1"/>
  <c r="N80" i="445"/>
  <c r="N123" i="445" s="1"/>
  <c r="N101" i="445"/>
  <c r="M87" i="445"/>
  <c r="M124" i="445" s="1"/>
  <c r="M53" i="445"/>
  <c r="M80" i="445"/>
  <c r="M123" i="445" s="1"/>
  <c r="M95" i="445"/>
  <c r="N95" i="445"/>
  <c r="M48" i="445"/>
  <c r="N87" i="445"/>
  <c r="N124" i="445" s="1"/>
  <c r="N59" i="445"/>
  <c r="N125" i="445" s="1"/>
  <c r="N17" i="445"/>
  <c r="M43" i="445"/>
  <c r="N43" i="445"/>
  <c r="N108" i="445"/>
  <c r="M59" i="445"/>
  <c r="M125" i="445" s="1"/>
  <c r="M68" i="445"/>
  <c r="M36" i="445"/>
  <c r="M108" i="445"/>
  <c r="M17" i="445"/>
  <c r="M25" i="445"/>
  <c r="M101" i="445"/>
  <c r="D28" i="68"/>
  <c r="M130" i="445"/>
  <c r="N130" i="445"/>
  <c r="N21" i="445" l="1"/>
  <c r="M21" i="445"/>
  <c r="N126" i="445"/>
  <c r="M122" i="445"/>
  <c r="M126" i="445"/>
  <c r="M128" i="445"/>
  <c r="N121" i="445"/>
  <c r="M121" i="445"/>
  <c r="N31" i="445"/>
  <c r="M31" i="445"/>
  <c r="M116" i="445" s="1"/>
  <c r="N116" i="445" l="1"/>
  <c r="M132" i="445"/>
  <c r="M133" i="445" s="1"/>
  <c r="N132" i="445"/>
  <c r="E26" i="658"/>
  <c r="N133" i="445" l="1"/>
  <c r="I163" i="86"/>
  <c r="H163" i="86"/>
  <c r="G163" i="86"/>
  <c r="F163" i="86"/>
  <c r="E163" i="86"/>
  <c r="D163" i="86"/>
  <c r="I51" i="129" l="1"/>
  <c r="H51" i="129"/>
  <c r="G51" i="129"/>
  <c r="F51" i="129"/>
  <c r="E51" i="129"/>
  <c r="D51" i="129"/>
  <c r="I51" i="81"/>
  <c r="H51" i="81"/>
  <c r="G51" i="81"/>
  <c r="F51" i="81"/>
  <c r="E51" i="81"/>
  <c r="D51" i="81"/>
  <c r="J51" i="81" l="1"/>
  <c r="U36" i="485"/>
  <c r="C377" i="815" l="1"/>
  <c r="J372" i="815"/>
  <c r="J351" i="815"/>
  <c r="J341" i="815"/>
  <c r="C268" i="815"/>
  <c r="C267" i="815"/>
  <c r="C266" i="815"/>
  <c r="C265" i="815"/>
  <c r="C264" i="815"/>
  <c r="C263" i="815"/>
  <c r="C262" i="815"/>
  <c r="C173" i="815"/>
  <c r="C172" i="815"/>
  <c r="C171" i="815"/>
  <c r="C170" i="815"/>
  <c r="C169" i="815"/>
  <c r="C168" i="815"/>
  <c r="C167" i="815"/>
  <c r="C78" i="815"/>
  <c r="C77" i="815"/>
  <c r="C76" i="815"/>
  <c r="C75" i="815"/>
  <c r="C74" i="815"/>
  <c r="C73" i="815"/>
  <c r="C72" i="815"/>
  <c r="C377" i="814"/>
  <c r="J372" i="814"/>
  <c r="J351" i="814"/>
  <c r="J341" i="814"/>
  <c r="C268" i="814"/>
  <c r="C267" i="814"/>
  <c r="C266" i="814"/>
  <c r="C265" i="814"/>
  <c r="C264" i="814"/>
  <c r="C263" i="814"/>
  <c r="C262" i="814"/>
  <c r="C173" i="814"/>
  <c r="C172" i="814"/>
  <c r="C171" i="814"/>
  <c r="C170" i="814"/>
  <c r="C169" i="814"/>
  <c r="C168" i="814"/>
  <c r="C167" i="814"/>
  <c r="C78" i="814"/>
  <c r="C77" i="814"/>
  <c r="C76" i="814"/>
  <c r="C75" i="814"/>
  <c r="C74" i="814"/>
  <c r="C73" i="814"/>
  <c r="C72" i="814"/>
  <c r="C377" i="813"/>
  <c r="J372" i="813"/>
  <c r="J351" i="813"/>
  <c r="J341" i="813"/>
  <c r="C268" i="813"/>
  <c r="C267" i="813"/>
  <c r="C266" i="813"/>
  <c r="C265" i="813"/>
  <c r="C264" i="813"/>
  <c r="C263" i="813"/>
  <c r="C262" i="813"/>
  <c r="C173" i="813"/>
  <c r="C172" i="813"/>
  <c r="C171" i="813"/>
  <c r="C170" i="813"/>
  <c r="C169" i="813"/>
  <c r="C168" i="813"/>
  <c r="C167" i="813"/>
  <c r="C78" i="813"/>
  <c r="C77" i="813"/>
  <c r="C76" i="813"/>
  <c r="C75" i="813"/>
  <c r="C74" i="813"/>
  <c r="C73" i="813"/>
  <c r="C72" i="813"/>
  <c r="M137" i="66"/>
  <c r="L137" i="66"/>
  <c r="M136" i="66"/>
  <c r="L136" i="66"/>
  <c r="M135" i="66"/>
  <c r="L135" i="66"/>
  <c r="M134" i="66"/>
  <c r="L134" i="66"/>
  <c r="M133" i="66"/>
  <c r="L133" i="66"/>
  <c r="M132" i="66"/>
  <c r="L132" i="66"/>
  <c r="M131" i="66"/>
  <c r="L131" i="66"/>
  <c r="M130" i="66"/>
  <c r="L130" i="66"/>
  <c r="L101" i="66"/>
  <c r="L100" i="66"/>
  <c r="L99" i="66"/>
  <c r="L98" i="66"/>
  <c r="L97" i="66"/>
  <c r="L96" i="66"/>
  <c r="L95" i="66"/>
  <c r="L92" i="66"/>
  <c r="L89" i="66"/>
  <c r="K89" i="66" s="1"/>
  <c r="L88" i="66"/>
  <c r="K88" i="66" s="1"/>
  <c r="L87" i="66"/>
  <c r="K87" i="66" s="1"/>
  <c r="L86" i="66"/>
  <c r="K86" i="66" s="1"/>
  <c r="L85" i="66"/>
  <c r="K85" i="66" s="1"/>
  <c r="L84" i="66"/>
  <c r="K84" i="66" s="1"/>
  <c r="L82" i="66"/>
  <c r="K82" i="66" s="1"/>
  <c r="L81" i="66"/>
  <c r="K81" i="66" s="1"/>
  <c r="L80" i="66"/>
  <c r="K80" i="66" s="1"/>
  <c r="L79" i="66"/>
  <c r="K79" i="66" s="1"/>
  <c r="L78" i="66"/>
  <c r="K78" i="66" s="1"/>
  <c r="L77" i="66"/>
  <c r="K77" i="66" s="1"/>
  <c r="K3" i="66"/>
  <c r="K98" i="66" l="1"/>
  <c r="K96" i="66"/>
  <c r="K99" i="66"/>
  <c r="K92" i="66"/>
  <c r="K95" i="66"/>
  <c r="K100" i="66"/>
  <c r="K97" i="66"/>
  <c r="K101" i="66"/>
  <c r="K136" i="66"/>
  <c r="K134" i="66"/>
  <c r="K137" i="66"/>
  <c r="K133" i="66"/>
  <c r="K130" i="66"/>
  <c r="K131" i="66"/>
  <c r="K135" i="66"/>
  <c r="K132" i="66"/>
  <c r="D56" i="62" l="1"/>
  <c r="D27" i="62"/>
  <c r="D22" i="62"/>
  <c r="I227" i="812"/>
  <c r="H227" i="812"/>
  <c r="G227" i="812"/>
  <c r="F227" i="812"/>
  <c r="E227" i="812"/>
  <c r="D227" i="812"/>
  <c r="I226" i="812"/>
  <c r="H226" i="812"/>
  <c r="G226" i="812"/>
  <c r="F226" i="812"/>
  <c r="E226" i="812"/>
  <c r="D226" i="812"/>
  <c r="I225" i="812"/>
  <c r="H225" i="812"/>
  <c r="G225" i="812"/>
  <c r="F225" i="812"/>
  <c r="E225" i="812"/>
  <c r="D225" i="812"/>
  <c r="I224" i="812"/>
  <c r="H224" i="812"/>
  <c r="G224" i="812"/>
  <c r="F224" i="812"/>
  <c r="E224" i="812"/>
  <c r="D224" i="812"/>
  <c r="I223" i="812"/>
  <c r="H223" i="812"/>
  <c r="G223" i="812"/>
  <c r="F223" i="812"/>
  <c r="E223" i="812"/>
  <c r="D223" i="812"/>
  <c r="I222" i="812"/>
  <c r="H222" i="812"/>
  <c r="G222" i="812"/>
  <c r="F222" i="812"/>
  <c r="E222" i="812"/>
  <c r="D222" i="812"/>
  <c r="I221" i="812"/>
  <c r="H221" i="812"/>
  <c r="G221" i="812"/>
  <c r="F221" i="812"/>
  <c r="E221" i="812"/>
  <c r="D221" i="812"/>
  <c r="I220" i="812"/>
  <c r="H220" i="812"/>
  <c r="G220" i="812"/>
  <c r="F220" i="812"/>
  <c r="E220" i="812"/>
  <c r="D220" i="812"/>
  <c r="I219" i="812"/>
  <c r="H219" i="812"/>
  <c r="G219" i="812"/>
  <c r="F219" i="812"/>
  <c r="E219" i="812"/>
  <c r="D219" i="812"/>
  <c r="I218" i="812"/>
  <c r="H218" i="812"/>
  <c r="G218" i="812"/>
  <c r="F218" i="812"/>
  <c r="E218" i="812"/>
  <c r="D218" i="812"/>
  <c r="I217" i="812"/>
  <c r="H217" i="812"/>
  <c r="G217" i="812"/>
  <c r="F217" i="812"/>
  <c r="E217" i="812"/>
  <c r="D217" i="812"/>
  <c r="I212" i="812"/>
  <c r="H212" i="812"/>
  <c r="G212" i="812"/>
  <c r="F212" i="812"/>
  <c r="E212" i="812"/>
  <c r="D212" i="812"/>
  <c r="J211" i="812"/>
  <c r="J210" i="812"/>
  <c r="J209" i="812"/>
  <c r="J208" i="812"/>
  <c r="J207" i="812"/>
  <c r="J206" i="812"/>
  <c r="J205" i="812"/>
  <c r="J204" i="812"/>
  <c r="J203" i="812"/>
  <c r="J202" i="812"/>
  <c r="J201" i="812"/>
  <c r="J200" i="812"/>
  <c r="J199" i="812"/>
  <c r="J198" i="812"/>
  <c r="J197" i="812"/>
  <c r="J196" i="812"/>
  <c r="J195" i="812"/>
  <c r="J194" i="812"/>
  <c r="J193" i="812"/>
  <c r="J192" i="812"/>
  <c r="J191" i="812"/>
  <c r="J190" i="812"/>
  <c r="I189" i="812"/>
  <c r="H189" i="812"/>
  <c r="G189" i="812"/>
  <c r="F189" i="812"/>
  <c r="E189" i="812"/>
  <c r="D189" i="812"/>
  <c r="J186" i="812"/>
  <c r="J185" i="812"/>
  <c r="J184" i="812"/>
  <c r="J183" i="812"/>
  <c r="J182" i="812"/>
  <c r="J181" i="812"/>
  <c r="J180" i="812"/>
  <c r="J179" i="812"/>
  <c r="J177" i="812"/>
  <c r="E176" i="812"/>
  <c r="J176" i="812" s="1"/>
  <c r="J175" i="812"/>
  <c r="J174" i="812"/>
  <c r="J173" i="812"/>
  <c r="J172" i="812"/>
  <c r="J171" i="812"/>
  <c r="J170" i="812"/>
  <c r="B165" i="812"/>
  <c r="B164" i="812"/>
  <c r="E164" i="812" s="1"/>
  <c r="I163" i="812"/>
  <c r="B163" i="812"/>
  <c r="G163" i="812" s="1"/>
  <c r="B162" i="812"/>
  <c r="B161" i="812"/>
  <c r="H161" i="812" s="1"/>
  <c r="B160" i="812"/>
  <c r="E160" i="812" s="1"/>
  <c r="I159" i="812"/>
  <c r="H159" i="812"/>
  <c r="G159" i="812"/>
  <c r="F159" i="812"/>
  <c r="E159" i="812"/>
  <c r="D159" i="812"/>
  <c r="B158" i="812"/>
  <c r="I157" i="812"/>
  <c r="H157" i="812"/>
  <c r="G157" i="812"/>
  <c r="F157" i="812"/>
  <c r="E157" i="812"/>
  <c r="D157" i="812"/>
  <c r="I156" i="812"/>
  <c r="H156" i="812"/>
  <c r="G156" i="812"/>
  <c r="F156" i="812"/>
  <c r="E156" i="812"/>
  <c r="D156" i="812"/>
  <c r="B155" i="812"/>
  <c r="X145" i="812"/>
  <c r="Q145" i="812"/>
  <c r="J145" i="812"/>
  <c r="I144" i="812"/>
  <c r="H144" i="812"/>
  <c r="O144" i="812" s="1"/>
  <c r="V144" i="812" s="1"/>
  <c r="G144" i="812"/>
  <c r="N144" i="812" s="1"/>
  <c r="U144" i="812" s="1"/>
  <c r="F144" i="812"/>
  <c r="M144" i="812" s="1"/>
  <c r="T144" i="812" s="1"/>
  <c r="E144" i="812"/>
  <c r="D144" i="812"/>
  <c r="I143" i="812"/>
  <c r="H143" i="812"/>
  <c r="G143" i="812"/>
  <c r="F143" i="812"/>
  <c r="M143" i="812" s="1"/>
  <c r="E143" i="812"/>
  <c r="D143" i="812"/>
  <c r="I142" i="812"/>
  <c r="H142" i="812"/>
  <c r="G142" i="812"/>
  <c r="F142" i="812"/>
  <c r="E142" i="812"/>
  <c r="D142" i="812"/>
  <c r="I141" i="812"/>
  <c r="H141" i="812"/>
  <c r="G141" i="812"/>
  <c r="F141" i="812"/>
  <c r="E141" i="812"/>
  <c r="D141" i="812"/>
  <c r="I140" i="812"/>
  <c r="H140" i="812"/>
  <c r="G140" i="812"/>
  <c r="F140" i="812"/>
  <c r="E140" i="812"/>
  <c r="D140" i="812"/>
  <c r="W138" i="812"/>
  <c r="V138" i="812"/>
  <c r="U138" i="812"/>
  <c r="T138" i="812"/>
  <c r="S138" i="812"/>
  <c r="R138" i="812"/>
  <c r="P137" i="812"/>
  <c r="O137" i="812"/>
  <c r="O136" i="812" s="1"/>
  <c r="N137" i="812"/>
  <c r="N136" i="812" s="1"/>
  <c r="M137" i="812"/>
  <c r="L137" i="812"/>
  <c r="K137" i="812"/>
  <c r="K136" i="812" s="1"/>
  <c r="I137" i="812"/>
  <c r="I136" i="812" s="1"/>
  <c r="H137" i="812"/>
  <c r="G137" i="812"/>
  <c r="F137" i="812"/>
  <c r="F136" i="812" s="1"/>
  <c r="F229" i="812" s="1"/>
  <c r="E137" i="812"/>
  <c r="E136" i="812" s="1"/>
  <c r="E229" i="812" s="1"/>
  <c r="D137" i="812"/>
  <c r="X134" i="812"/>
  <c r="Q134" i="812"/>
  <c r="J134" i="812"/>
  <c r="I133" i="812"/>
  <c r="H133" i="812"/>
  <c r="G133" i="812"/>
  <c r="F133" i="812"/>
  <c r="E133" i="812"/>
  <c r="D133" i="812"/>
  <c r="I132" i="812"/>
  <c r="H132" i="812"/>
  <c r="G132" i="812"/>
  <c r="F132" i="812"/>
  <c r="E132" i="812"/>
  <c r="D132" i="812"/>
  <c r="I131" i="812"/>
  <c r="H131" i="812"/>
  <c r="G131" i="812"/>
  <c r="F131" i="812"/>
  <c r="E131" i="812"/>
  <c r="D131" i="812"/>
  <c r="I130" i="812"/>
  <c r="H130" i="812"/>
  <c r="G130" i="812"/>
  <c r="F130" i="812"/>
  <c r="E130" i="812"/>
  <c r="D130" i="812"/>
  <c r="I129" i="812"/>
  <c r="H129" i="812"/>
  <c r="G129" i="812"/>
  <c r="F129" i="812"/>
  <c r="E129" i="812"/>
  <c r="D129" i="812"/>
  <c r="I127" i="812"/>
  <c r="W127" i="812" s="1"/>
  <c r="H127" i="812"/>
  <c r="V127" i="812" s="1"/>
  <c r="G127" i="812"/>
  <c r="U127" i="812" s="1"/>
  <c r="F127" i="812"/>
  <c r="T127" i="812" s="1"/>
  <c r="E127" i="812"/>
  <c r="S127" i="812" s="1"/>
  <c r="D127" i="812"/>
  <c r="R127" i="812" s="1"/>
  <c r="I126" i="812"/>
  <c r="W126" i="812" s="1"/>
  <c r="H126" i="812"/>
  <c r="V126" i="812" s="1"/>
  <c r="G126" i="812"/>
  <c r="U126" i="812" s="1"/>
  <c r="F126" i="812"/>
  <c r="T126" i="812" s="1"/>
  <c r="E126" i="812"/>
  <c r="S126" i="812" s="1"/>
  <c r="D126" i="812"/>
  <c r="R126" i="812" s="1"/>
  <c r="X126" i="812" s="1"/>
  <c r="I125" i="812"/>
  <c r="W125" i="812" s="1"/>
  <c r="H125" i="812"/>
  <c r="V125" i="812" s="1"/>
  <c r="G125" i="812"/>
  <c r="U125" i="812" s="1"/>
  <c r="F125" i="812"/>
  <c r="T125" i="812" s="1"/>
  <c r="E125" i="812"/>
  <c r="S125" i="812" s="1"/>
  <c r="D125" i="812"/>
  <c r="R125" i="812" s="1"/>
  <c r="I124" i="812"/>
  <c r="W124" i="812" s="1"/>
  <c r="H124" i="812"/>
  <c r="V124" i="812" s="1"/>
  <c r="G124" i="812"/>
  <c r="U124" i="812" s="1"/>
  <c r="F124" i="812"/>
  <c r="T124" i="812" s="1"/>
  <c r="E124" i="812"/>
  <c r="S124" i="812" s="1"/>
  <c r="D124" i="812"/>
  <c r="R124" i="812" s="1"/>
  <c r="X121" i="812"/>
  <c r="Q121" i="812"/>
  <c r="J121" i="812"/>
  <c r="P120" i="812"/>
  <c r="O120" i="812"/>
  <c r="N120" i="812"/>
  <c r="M120" i="812"/>
  <c r="L120" i="812"/>
  <c r="K120" i="812"/>
  <c r="I120" i="812"/>
  <c r="H120" i="812"/>
  <c r="H234" i="812" s="1"/>
  <c r="G120" i="812"/>
  <c r="G234" i="812" s="1"/>
  <c r="F120" i="812"/>
  <c r="E120" i="812"/>
  <c r="D120" i="812"/>
  <c r="D234" i="812" s="1"/>
  <c r="I119" i="812"/>
  <c r="H119" i="812"/>
  <c r="G119" i="812"/>
  <c r="F119" i="812"/>
  <c r="E119" i="812"/>
  <c r="D119" i="812"/>
  <c r="I118" i="812"/>
  <c r="H118" i="812"/>
  <c r="G118" i="812"/>
  <c r="F118" i="812"/>
  <c r="E118" i="812"/>
  <c r="D118" i="812"/>
  <c r="P115" i="812"/>
  <c r="M115" i="812"/>
  <c r="L115" i="812"/>
  <c r="I116" i="812"/>
  <c r="W116" i="812" s="1"/>
  <c r="W115" i="812" s="1"/>
  <c r="H116" i="812"/>
  <c r="G116" i="812"/>
  <c r="F116" i="812"/>
  <c r="E116" i="812"/>
  <c r="S116" i="812" s="1"/>
  <c r="S115" i="812" s="1"/>
  <c r="D116" i="812"/>
  <c r="R116" i="812" s="1"/>
  <c r="E115" i="812"/>
  <c r="D115" i="812"/>
  <c r="D233" i="812" s="1"/>
  <c r="X113" i="812"/>
  <c r="Q113" i="812"/>
  <c r="J113" i="812"/>
  <c r="Q108" i="812"/>
  <c r="I108" i="812"/>
  <c r="H108" i="812"/>
  <c r="H109" i="812" s="1"/>
  <c r="G108" i="812"/>
  <c r="F108" i="812"/>
  <c r="F109" i="812" s="1"/>
  <c r="E108" i="812"/>
  <c r="S108" i="812" s="1"/>
  <c r="D108" i="812"/>
  <c r="J107" i="812"/>
  <c r="AH106" i="812"/>
  <c r="AG106" i="812"/>
  <c r="W106" i="812"/>
  <c r="V106" i="812"/>
  <c r="U106" i="812"/>
  <c r="T106" i="812"/>
  <c r="S106" i="812"/>
  <c r="R106" i="812"/>
  <c r="Q106" i="812"/>
  <c r="J106" i="812"/>
  <c r="AH105" i="812"/>
  <c r="AG105" i="812"/>
  <c r="O105" i="812" s="1"/>
  <c r="V105" i="812" s="1"/>
  <c r="N105" i="812"/>
  <c r="U105" i="812" s="1"/>
  <c r="M105" i="812"/>
  <c r="T105" i="812" s="1"/>
  <c r="J105" i="812"/>
  <c r="D105" i="62" s="1"/>
  <c r="AH104" i="812"/>
  <c r="AG104" i="812"/>
  <c r="P104" i="812" s="1"/>
  <c r="W104" i="812" s="1"/>
  <c r="J104" i="812"/>
  <c r="D104" i="62" s="1"/>
  <c r="AH103" i="812"/>
  <c r="AG103" i="812"/>
  <c r="N103" i="812" s="1"/>
  <c r="U103" i="812" s="1"/>
  <c r="P103" i="812"/>
  <c r="W103" i="812" s="1"/>
  <c r="J103" i="812"/>
  <c r="D103" i="62" s="1"/>
  <c r="AH102" i="812"/>
  <c r="AG102" i="812"/>
  <c r="J102" i="812"/>
  <c r="D102" i="62" s="1"/>
  <c r="AH101" i="812"/>
  <c r="AG101" i="812"/>
  <c r="P101" i="812" s="1"/>
  <c r="W101" i="812" s="1"/>
  <c r="J101" i="812"/>
  <c r="D101" i="62" s="1"/>
  <c r="AH100" i="812"/>
  <c r="AG100" i="812"/>
  <c r="P100" i="812" s="1"/>
  <c r="W100" i="812" s="1"/>
  <c r="O100" i="812"/>
  <c r="V100" i="812" s="1"/>
  <c r="M100" i="812"/>
  <c r="L100" i="812"/>
  <c r="J100" i="812"/>
  <c r="D100" i="62" s="1"/>
  <c r="AH99" i="812"/>
  <c r="AG99" i="812"/>
  <c r="J99" i="812"/>
  <c r="D99" i="62" s="1"/>
  <c r="AH98" i="812"/>
  <c r="AG98" i="812"/>
  <c r="P98" i="812" s="1"/>
  <c r="W98" i="812" s="1"/>
  <c r="O98" i="812"/>
  <c r="V98" i="812" s="1"/>
  <c r="J98" i="812"/>
  <c r="D98" i="62" s="1"/>
  <c r="AH97" i="812"/>
  <c r="AG97" i="812"/>
  <c r="J97" i="812"/>
  <c r="D97" i="62" s="1"/>
  <c r="AH96" i="812"/>
  <c r="AG96" i="812"/>
  <c r="O96" i="812" s="1"/>
  <c r="V96" i="812" s="1"/>
  <c r="L96" i="812"/>
  <c r="S96" i="812" s="1"/>
  <c r="J96" i="812"/>
  <c r="D96" i="62" s="1"/>
  <c r="AH95" i="812"/>
  <c r="AG95" i="812"/>
  <c r="K95" i="812" s="1"/>
  <c r="P95" i="812"/>
  <c r="W95" i="812" s="1"/>
  <c r="J95" i="812"/>
  <c r="D95" i="62" s="1"/>
  <c r="AH94" i="812"/>
  <c r="AG94" i="812"/>
  <c r="M94" i="812" s="1"/>
  <c r="T94" i="812" s="1"/>
  <c r="P94" i="812"/>
  <c r="J94" i="812"/>
  <c r="D94" i="62" s="1"/>
  <c r="AH93" i="812"/>
  <c r="AG93" i="812"/>
  <c r="P93" i="812" s="1"/>
  <c r="W93" i="812" s="1"/>
  <c r="O93" i="812"/>
  <c r="V93" i="812" s="1"/>
  <c r="N93" i="812"/>
  <c r="U93" i="812" s="1"/>
  <c r="M93" i="812"/>
  <c r="T93" i="812" s="1"/>
  <c r="K93" i="812"/>
  <c r="R93" i="812" s="1"/>
  <c r="J93" i="812"/>
  <c r="D93" i="62" s="1"/>
  <c r="AH92" i="812"/>
  <c r="AG92" i="812"/>
  <c r="J92" i="812"/>
  <c r="D92" i="62" s="1"/>
  <c r="AH91" i="812"/>
  <c r="AG91" i="812"/>
  <c r="O91" i="812" s="1"/>
  <c r="V91" i="812" s="1"/>
  <c r="J91" i="812"/>
  <c r="D91" i="62" s="1"/>
  <c r="AH90" i="812"/>
  <c r="AG90" i="812"/>
  <c r="P90" i="812" s="1"/>
  <c r="W90" i="812" s="1"/>
  <c r="M90" i="812"/>
  <c r="T90" i="812" s="1"/>
  <c r="J90" i="812"/>
  <c r="D90" i="62" s="1"/>
  <c r="AH89" i="812"/>
  <c r="AG89" i="812"/>
  <c r="K89" i="812" s="1"/>
  <c r="O89" i="812"/>
  <c r="V89" i="812" s="1"/>
  <c r="N89" i="812"/>
  <c r="U89" i="812" s="1"/>
  <c r="L89" i="812"/>
  <c r="S89" i="812" s="1"/>
  <c r="J89" i="812"/>
  <c r="D89" i="62" s="1"/>
  <c r="AH88" i="812"/>
  <c r="AG88" i="812"/>
  <c r="P88" i="812" s="1"/>
  <c r="W88" i="812" s="1"/>
  <c r="J88" i="812"/>
  <c r="D88" i="62" s="1"/>
  <c r="AH87" i="812"/>
  <c r="AG87" i="812"/>
  <c r="J87" i="812"/>
  <c r="D87" i="62" s="1"/>
  <c r="AH86" i="812"/>
  <c r="AG86" i="812"/>
  <c r="J86" i="812"/>
  <c r="D86" i="62" s="1"/>
  <c r="AH85" i="812"/>
  <c r="AG85" i="812"/>
  <c r="W85" i="812"/>
  <c r="V85" i="812"/>
  <c r="U85" i="812"/>
  <c r="T85" i="812"/>
  <c r="S85" i="812"/>
  <c r="R85" i="812"/>
  <c r="Q85" i="812"/>
  <c r="J85" i="812"/>
  <c r="D85" i="62" s="1"/>
  <c r="AH84" i="812"/>
  <c r="AG84" i="812"/>
  <c r="J84" i="812"/>
  <c r="D84" i="62" s="1"/>
  <c r="AH83" i="812"/>
  <c r="AG83" i="812"/>
  <c r="P83" i="812" s="1"/>
  <c r="W83" i="812" s="1"/>
  <c r="J83" i="812"/>
  <c r="D83" i="62" s="1"/>
  <c r="AH82" i="812"/>
  <c r="AG82" i="812"/>
  <c r="K82" i="812" s="1"/>
  <c r="R82" i="812" s="1"/>
  <c r="O82" i="812"/>
  <c r="V82" i="812" s="1"/>
  <c r="N82" i="812"/>
  <c r="U82" i="812" s="1"/>
  <c r="J82" i="812"/>
  <c r="D82" i="62" s="1"/>
  <c r="AH81" i="812"/>
  <c r="AG81" i="812"/>
  <c r="J81" i="812"/>
  <c r="D81" i="62" s="1"/>
  <c r="AH80" i="812"/>
  <c r="AG80" i="812"/>
  <c r="J80" i="812"/>
  <c r="D80" i="62" s="1"/>
  <c r="AH79" i="812"/>
  <c r="AG79" i="812"/>
  <c r="P79" i="812" s="1"/>
  <c r="O79" i="812"/>
  <c r="N79" i="812"/>
  <c r="U79" i="812" s="1"/>
  <c r="J79" i="812"/>
  <c r="D79" i="62" s="1"/>
  <c r="AH78" i="812"/>
  <c r="AG78" i="812"/>
  <c r="J78" i="812"/>
  <c r="D78" i="62" s="1"/>
  <c r="AH77" i="812"/>
  <c r="AG77" i="812"/>
  <c r="J77" i="812"/>
  <c r="D77" i="62" s="1"/>
  <c r="AH76" i="812"/>
  <c r="AG76" i="812"/>
  <c r="P76" i="812" s="1"/>
  <c r="W76" i="812" s="1"/>
  <c r="J76" i="812"/>
  <c r="D76" i="62" s="1"/>
  <c r="AH75" i="812"/>
  <c r="AG75" i="812"/>
  <c r="K75" i="812" s="1"/>
  <c r="P75" i="812"/>
  <c r="W75" i="812" s="1"/>
  <c r="J75" i="812"/>
  <c r="D75" i="62" s="1"/>
  <c r="AH74" i="812"/>
  <c r="AG74" i="812"/>
  <c r="J74" i="812"/>
  <c r="D74" i="62" s="1"/>
  <c r="AH73" i="812"/>
  <c r="AG73" i="812"/>
  <c r="P73" i="812" s="1"/>
  <c r="W73" i="812" s="1"/>
  <c r="O73" i="812"/>
  <c r="V73" i="812" s="1"/>
  <c r="J73" i="812"/>
  <c r="D73" i="62" s="1"/>
  <c r="AH72" i="812"/>
  <c r="AG72" i="812"/>
  <c r="O72" i="812" s="1"/>
  <c r="J72" i="812"/>
  <c r="D72" i="62" s="1"/>
  <c r="AH71" i="812"/>
  <c r="AG71" i="812"/>
  <c r="J71" i="812"/>
  <c r="J219" i="812" s="1"/>
  <c r="AH70" i="812"/>
  <c r="AG70" i="812"/>
  <c r="O70" i="812" s="1"/>
  <c r="V70" i="812" s="1"/>
  <c r="J70" i="812"/>
  <c r="D70" i="62" s="1"/>
  <c r="AH69" i="812"/>
  <c r="AG69" i="812"/>
  <c r="M69" i="812" s="1"/>
  <c r="T69" i="812" s="1"/>
  <c r="P69" i="812"/>
  <c r="W69" i="812" s="1"/>
  <c r="O69" i="812"/>
  <c r="V69" i="812" s="1"/>
  <c r="N69" i="812"/>
  <c r="U69" i="812" s="1"/>
  <c r="J69" i="812"/>
  <c r="D69" i="62" s="1"/>
  <c r="AH68" i="812"/>
  <c r="AG68" i="812"/>
  <c r="N68" i="812" s="1"/>
  <c r="U68" i="812" s="1"/>
  <c r="M68" i="812"/>
  <c r="T68" i="812" s="1"/>
  <c r="J68" i="812"/>
  <c r="D68" i="62" s="1"/>
  <c r="AH67" i="812"/>
  <c r="AG67" i="812"/>
  <c r="J67" i="812"/>
  <c r="D67" i="62" s="1"/>
  <c r="AH66" i="812"/>
  <c r="AG66" i="812"/>
  <c r="J66" i="812"/>
  <c r="D66" i="62" s="1"/>
  <c r="AH65" i="812"/>
  <c r="AG65" i="812"/>
  <c r="J65" i="812"/>
  <c r="AH64" i="812"/>
  <c r="AG64" i="812"/>
  <c r="J64" i="812"/>
  <c r="D64" i="62" s="1"/>
  <c r="AH63" i="812"/>
  <c r="AG63" i="812"/>
  <c r="P63" i="812" s="1"/>
  <c r="W63" i="812" s="1"/>
  <c r="J63" i="812"/>
  <c r="D63" i="62" s="1"/>
  <c r="AH62" i="812"/>
  <c r="AG62" i="812"/>
  <c r="O62" i="812" s="1"/>
  <c r="V62" i="812" s="1"/>
  <c r="J62" i="812"/>
  <c r="D62" i="62" s="1"/>
  <c r="AH61" i="812"/>
  <c r="AG61" i="812"/>
  <c r="P61" i="812" s="1"/>
  <c r="J61" i="812"/>
  <c r="D61" i="62" s="1"/>
  <c r="AH60" i="812"/>
  <c r="AG60" i="812"/>
  <c r="J60" i="812"/>
  <c r="D60" i="62" s="1"/>
  <c r="AH59" i="812"/>
  <c r="AG59" i="812"/>
  <c r="J59" i="812"/>
  <c r="D59" i="62" s="1"/>
  <c r="J58" i="812"/>
  <c r="D58" i="62" s="1"/>
  <c r="X57" i="812"/>
  <c r="Q57" i="812"/>
  <c r="J57" i="812"/>
  <c r="AH56" i="812"/>
  <c r="AG56" i="812"/>
  <c r="Q56" i="812"/>
  <c r="J56" i="812"/>
  <c r="AH55" i="812"/>
  <c r="AG55" i="812"/>
  <c r="Q55" i="812"/>
  <c r="J55" i="812"/>
  <c r="D55" i="62" s="1"/>
  <c r="AH54" i="812"/>
  <c r="AG54" i="812"/>
  <c r="Q54" i="812"/>
  <c r="J54" i="812"/>
  <c r="D54" i="62" s="1"/>
  <c r="AH53" i="812"/>
  <c r="AG53" i="812"/>
  <c r="Q53" i="812"/>
  <c r="J53" i="812"/>
  <c r="D53" i="62" s="1"/>
  <c r="AH52" i="812"/>
  <c r="AG52" i="812"/>
  <c r="Q52" i="812"/>
  <c r="J52" i="812"/>
  <c r="D52" i="62" s="1"/>
  <c r="AH51" i="812"/>
  <c r="AG51" i="812"/>
  <c r="Q51" i="812"/>
  <c r="J51" i="812"/>
  <c r="D51" i="62" s="1"/>
  <c r="AH50" i="812"/>
  <c r="AG50" i="812"/>
  <c r="P50" i="812"/>
  <c r="O50" i="812"/>
  <c r="N50" i="812"/>
  <c r="M50" i="812"/>
  <c r="L50" i="812"/>
  <c r="K50" i="812"/>
  <c r="J50" i="812"/>
  <c r="J221" i="812" s="1"/>
  <c r="W49" i="812"/>
  <c r="V49" i="812"/>
  <c r="U49" i="812"/>
  <c r="T49" i="812"/>
  <c r="S49" i="812"/>
  <c r="R49" i="812"/>
  <c r="Q49" i="812"/>
  <c r="J49" i="812"/>
  <c r="AH48" i="812"/>
  <c r="AG48" i="812"/>
  <c r="J48" i="812"/>
  <c r="D48" i="62" s="1"/>
  <c r="AH47" i="812"/>
  <c r="AG47" i="812"/>
  <c r="L47" i="812" s="1"/>
  <c r="P47" i="812"/>
  <c r="W47" i="812" s="1"/>
  <c r="J47" i="812"/>
  <c r="D47" i="62" s="1"/>
  <c r="AH46" i="812"/>
  <c r="AG46" i="812"/>
  <c r="P46" i="812" s="1"/>
  <c r="W46" i="812" s="1"/>
  <c r="J46" i="812"/>
  <c r="D46" i="62" s="1"/>
  <c r="AH45" i="812"/>
  <c r="AG45" i="812"/>
  <c r="P45" i="812"/>
  <c r="W45" i="812" s="1"/>
  <c r="O45" i="812"/>
  <c r="V45" i="812" s="1"/>
  <c r="N45" i="812"/>
  <c r="U45" i="812" s="1"/>
  <c r="M45" i="812"/>
  <c r="L45" i="812"/>
  <c r="S45" i="812" s="1"/>
  <c r="K45" i="812"/>
  <c r="J45" i="812"/>
  <c r="D45" i="62" s="1"/>
  <c r="AH44" i="812"/>
  <c r="AG44" i="812"/>
  <c r="J44" i="812"/>
  <c r="D44" i="62" s="1"/>
  <c r="AH43" i="812"/>
  <c r="AG43" i="812"/>
  <c r="O43" i="812" s="1"/>
  <c r="V43" i="812" s="1"/>
  <c r="J43" i="812"/>
  <c r="D43" i="62" s="1"/>
  <c r="AH42" i="812"/>
  <c r="AG42" i="812"/>
  <c r="P42" i="812"/>
  <c r="W42" i="812" s="1"/>
  <c r="O42" i="812"/>
  <c r="V42" i="812" s="1"/>
  <c r="J42" i="812"/>
  <c r="D42" i="62" s="1"/>
  <c r="AH41" i="812"/>
  <c r="AG41" i="812"/>
  <c r="P41" i="812"/>
  <c r="W41" i="812" s="1"/>
  <c r="J41" i="812"/>
  <c r="D41" i="62" s="1"/>
  <c r="AH40" i="812"/>
  <c r="AG40" i="812"/>
  <c r="J40" i="812"/>
  <c r="D40" i="62" s="1"/>
  <c r="AH39" i="812"/>
  <c r="AG39" i="812"/>
  <c r="J39" i="812"/>
  <c r="D39" i="62" s="1"/>
  <c r="AH38" i="812"/>
  <c r="AG38" i="812"/>
  <c r="M38" i="812" s="1"/>
  <c r="T38" i="812" s="1"/>
  <c r="L38" i="812"/>
  <c r="S38" i="812" s="1"/>
  <c r="J38" i="812"/>
  <c r="D38" i="62" s="1"/>
  <c r="AH37" i="812"/>
  <c r="AG37" i="812"/>
  <c r="M37" i="812" s="1"/>
  <c r="T37" i="812" s="1"/>
  <c r="N37" i="812"/>
  <c r="U37" i="812" s="1"/>
  <c r="L37" i="812"/>
  <c r="S37" i="812" s="1"/>
  <c r="K37" i="812"/>
  <c r="J37" i="812"/>
  <c r="D37" i="62" s="1"/>
  <c r="AH36" i="812"/>
  <c r="AG36" i="812"/>
  <c r="K36" i="812" s="1"/>
  <c r="P36" i="812"/>
  <c r="W36" i="812" s="1"/>
  <c r="J36" i="812"/>
  <c r="D36" i="62" s="1"/>
  <c r="AH35" i="812"/>
  <c r="AG35" i="812"/>
  <c r="J35" i="812"/>
  <c r="D35" i="62" s="1"/>
  <c r="AH34" i="812"/>
  <c r="AG34" i="812"/>
  <c r="J34" i="812"/>
  <c r="D34" i="62" s="1"/>
  <c r="AH33" i="812"/>
  <c r="AG33" i="812"/>
  <c r="N33" i="812" s="1"/>
  <c r="U33" i="812" s="1"/>
  <c r="J33" i="812"/>
  <c r="D33" i="62" s="1"/>
  <c r="AH32" i="812"/>
  <c r="AG32" i="812"/>
  <c r="P32" i="812" s="1"/>
  <c r="W32" i="812" s="1"/>
  <c r="J32" i="812"/>
  <c r="D32" i="62" s="1"/>
  <c r="AH31" i="812"/>
  <c r="AG31" i="812"/>
  <c r="P31" i="812"/>
  <c r="W31" i="812" s="1"/>
  <c r="O31" i="812"/>
  <c r="V31" i="812" s="1"/>
  <c r="J31" i="812"/>
  <c r="D31" i="62" s="1"/>
  <c r="AH30" i="812"/>
  <c r="AH143" i="812" s="1"/>
  <c r="AG30" i="812"/>
  <c r="AG143" i="812" s="1"/>
  <c r="J30" i="812"/>
  <c r="D30" i="62" s="1"/>
  <c r="AH29" i="812"/>
  <c r="AH142" i="812" s="1"/>
  <c r="AG29" i="812"/>
  <c r="P29" i="812"/>
  <c r="W29" i="812" s="1"/>
  <c r="J29" i="812"/>
  <c r="D29" i="62" s="1"/>
  <c r="AH28" i="812"/>
  <c r="AH141" i="812" s="1"/>
  <c r="AG28" i="812"/>
  <c r="P28" i="812"/>
  <c r="J28" i="812"/>
  <c r="D28" i="62" s="1"/>
  <c r="AH27" i="812"/>
  <c r="AG27" i="812"/>
  <c r="J27" i="812"/>
  <c r="J26" i="812"/>
  <c r="D26" i="62" s="1"/>
  <c r="X25" i="812"/>
  <c r="Q25" i="812"/>
  <c r="J25" i="812"/>
  <c r="P24" i="812"/>
  <c r="AD24" i="812" s="1"/>
  <c r="O24" i="812"/>
  <c r="AC24" i="812" s="1"/>
  <c r="N24" i="812"/>
  <c r="AB24" i="812" s="1"/>
  <c r="M24" i="812"/>
  <c r="AA24" i="812" s="1"/>
  <c r="L24" i="812"/>
  <c r="Z24" i="812" s="1"/>
  <c r="K24" i="812"/>
  <c r="Y24" i="812" s="1"/>
  <c r="AE24" i="812" s="1"/>
  <c r="J24" i="812"/>
  <c r="D24" i="62" s="1"/>
  <c r="P23" i="812"/>
  <c r="AD23" i="812" s="1"/>
  <c r="O23" i="812"/>
  <c r="AC23" i="812" s="1"/>
  <c r="N23" i="812"/>
  <c r="AB23" i="812" s="1"/>
  <c r="M23" i="812"/>
  <c r="AA23" i="812" s="1"/>
  <c r="K23" i="812"/>
  <c r="Y23" i="812" s="1"/>
  <c r="J23" i="812"/>
  <c r="D23" i="62" s="1"/>
  <c r="P22" i="812"/>
  <c r="AD22" i="812" s="1"/>
  <c r="O22" i="812"/>
  <c r="AC22" i="812" s="1"/>
  <c r="N22" i="812"/>
  <c r="AB22" i="812" s="1"/>
  <c r="M22" i="812"/>
  <c r="AA22" i="812" s="1"/>
  <c r="AA21" i="812" s="1"/>
  <c r="L22" i="812"/>
  <c r="Z22" i="812" s="1"/>
  <c r="K22" i="812"/>
  <c r="Y22" i="812" s="1"/>
  <c r="J22" i="812"/>
  <c r="J21" i="812"/>
  <c r="J223" i="812" s="1"/>
  <c r="J20" i="812"/>
  <c r="D20" i="62" s="1"/>
  <c r="W19" i="812"/>
  <c r="V19" i="812"/>
  <c r="U19" i="812"/>
  <c r="T19" i="812"/>
  <c r="S19" i="812"/>
  <c r="R19" i="812"/>
  <c r="Q19" i="812"/>
  <c r="J19" i="812"/>
  <c r="AH18" i="812"/>
  <c r="AG18" i="812"/>
  <c r="K18" i="812"/>
  <c r="J18" i="812"/>
  <c r="D18" i="62" s="1"/>
  <c r="AH17" i="812"/>
  <c r="AG17" i="812"/>
  <c r="P17" i="812" s="1"/>
  <c r="W17" i="812" s="1"/>
  <c r="J17" i="812"/>
  <c r="D17" i="62" s="1"/>
  <c r="AH16" i="812"/>
  <c r="AG16" i="812"/>
  <c r="O16" i="812"/>
  <c r="V16" i="812" s="1"/>
  <c r="N16" i="812"/>
  <c r="M16" i="812"/>
  <c r="T16" i="812" s="1"/>
  <c r="J16" i="812"/>
  <c r="D16" i="62" s="1"/>
  <c r="AH15" i="812"/>
  <c r="AG15" i="812"/>
  <c r="P15" i="812" s="1"/>
  <c r="W15" i="812" s="1"/>
  <c r="J15" i="812"/>
  <c r="D15" i="62" s="1"/>
  <c r="AH14" i="812"/>
  <c r="AG14" i="812"/>
  <c r="J14" i="812"/>
  <c r="X13" i="812"/>
  <c r="Q13" i="812"/>
  <c r="J13" i="812"/>
  <c r="P12" i="812"/>
  <c r="AD12" i="812" s="1"/>
  <c r="O12" i="812"/>
  <c r="AC12" i="812" s="1"/>
  <c r="N12" i="812"/>
  <c r="AB12" i="812" s="1"/>
  <c r="M12" i="812"/>
  <c r="AA12" i="812" s="1"/>
  <c r="L12" i="812"/>
  <c r="Z12" i="812" s="1"/>
  <c r="K12" i="812"/>
  <c r="Y12" i="812" s="1"/>
  <c r="AE12" i="812" s="1"/>
  <c r="J12" i="812"/>
  <c r="D12" i="62" s="1"/>
  <c r="P11" i="812"/>
  <c r="AD11" i="812" s="1"/>
  <c r="O11" i="812"/>
  <c r="AC11" i="812" s="1"/>
  <c r="N11" i="812"/>
  <c r="AB11" i="812" s="1"/>
  <c r="M11" i="812"/>
  <c r="AA11" i="812" s="1"/>
  <c r="L11" i="812"/>
  <c r="Z11" i="812" s="1"/>
  <c r="K11" i="812"/>
  <c r="Y11" i="812" s="1"/>
  <c r="J11" i="812"/>
  <c r="D11" i="62" s="1"/>
  <c r="J10" i="812"/>
  <c r="J225" i="812" s="1"/>
  <c r="J9" i="812"/>
  <c r="D9" i="62" s="1"/>
  <c r="W8" i="812"/>
  <c r="V8" i="812"/>
  <c r="U8" i="812"/>
  <c r="T8" i="812"/>
  <c r="S8" i="812"/>
  <c r="R8" i="812"/>
  <c r="Q8" i="812"/>
  <c r="J8" i="812"/>
  <c r="D8" i="62" s="1"/>
  <c r="AH7" i="812"/>
  <c r="AG7" i="812"/>
  <c r="N7" i="812" s="1"/>
  <c r="U7" i="812" s="1"/>
  <c r="J7" i="812"/>
  <c r="J226" i="812" s="1"/>
  <c r="P6" i="812"/>
  <c r="AD6" i="812" s="1"/>
  <c r="AD5" i="812" s="1"/>
  <c r="O6" i="812"/>
  <c r="AC6" i="812" s="1"/>
  <c r="AC5" i="812" s="1"/>
  <c r="N6" i="812"/>
  <c r="AB6" i="812" s="1"/>
  <c r="AB5" i="812" s="1"/>
  <c r="M6" i="812"/>
  <c r="AA6" i="812" s="1"/>
  <c r="AA5" i="812" s="1"/>
  <c r="L6" i="812"/>
  <c r="Z6" i="812" s="1"/>
  <c r="Z5" i="812" s="1"/>
  <c r="K6" i="812"/>
  <c r="Y6" i="812" s="1"/>
  <c r="J6" i="812"/>
  <c r="J227" i="812" s="1"/>
  <c r="J5" i="812"/>
  <c r="D5" i="62" s="1"/>
  <c r="I4" i="812"/>
  <c r="W4" i="812" s="1"/>
  <c r="W113" i="812" s="1"/>
  <c r="H4" i="812"/>
  <c r="G4" i="812"/>
  <c r="U4" i="812" s="1"/>
  <c r="F4" i="812"/>
  <c r="E4" i="812"/>
  <c r="D4" i="812"/>
  <c r="I119" i="88"/>
  <c r="H119" i="88"/>
  <c r="G119" i="88"/>
  <c r="F119" i="88"/>
  <c r="E119" i="88"/>
  <c r="D119" i="88"/>
  <c r="I119" i="87"/>
  <c r="H119" i="87"/>
  <c r="G119" i="87"/>
  <c r="F119" i="87"/>
  <c r="E119" i="87"/>
  <c r="D119" i="87"/>
  <c r="D60" i="145"/>
  <c r="E60" i="145"/>
  <c r="F60" i="145"/>
  <c r="G60" i="145"/>
  <c r="H60" i="145"/>
  <c r="I60" i="145"/>
  <c r="D61" i="145"/>
  <c r="E61" i="145"/>
  <c r="F61" i="145"/>
  <c r="G61" i="145"/>
  <c r="H61" i="145"/>
  <c r="I61" i="145"/>
  <c r="D62" i="145"/>
  <c r="E62" i="145"/>
  <c r="F62" i="145"/>
  <c r="G62" i="145"/>
  <c r="H62" i="145"/>
  <c r="I62" i="145"/>
  <c r="D63" i="145"/>
  <c r="E63" i="145"/>
  <c r="F63" i="145"/>
  <c r="G63" i="145"/>
  <c r="H63" i="145"/>
  <c r="I63" i="145"/>
  <c r="D64" i="145"/>
  <c r="E64" i="145"/>
  <c r="F64" i="145"/>
  <c r="G64" i="145"/>
  <c r="H64" i="145"/>
  <c r="I64" i="145"/>
  <c r="D65" i="145"/>
  <c r="E65" i="145"/>
  <c r="F65" i="145"/>
  <c r="G65" i="145"/>
  <c r="H65" i="145"/>
  <c r="I65" i="145"/>
  <c r="D71" i="145"/>
  <c r="E71" i="145"/>
  <c r="F71" i="145"/>
  <c r="G71" i="145"/>
  <c r="H71" i="145"/>
  <c r="I71" i="145"/>
  <c r="D78" i="145"/>
  <c r="E78" i="145"/>
  <c r="F78" i="145"/>
  <c r="G78" i="145"/>
  <c r="H78" i="145"/>
  <c r="I78" i="145"/>
  <c r="H525" i="608"/>
  <c r="I525" i="608" s="1"/>
  <c r="J525" i="608" s="1"/>
  <c r="K525" i="608" s="1"/>
  <c r="L525" i="608" s="1"/>
  <c r="W53" i="812" l="1"/>
  <c r="AD53" i="812" s="1"/>
  <c r="U53" i="812"/>
  <c r="AB53" i="812" s="1"/>
  <c r="S53" i="812"/>
  <c r="Z53" i="812" s="1"/>
  <c r="V53" i="812"/>
  <c r="AC53" i="812" s="1"/>
  <c r="T53" i="812"/>
  <c r="AA53" i="812" s="1"/>
  <c r="R53" i="812"/>
  <c r="G115" i="812"/>
  <c r="G233" i="812" s="1"/>
  <c r="U116" i="812"/>
  <c r="U115" i="812" s="1"/>
  <c r="Z21" i="812"/>
  <c r="S123" i="812"/>
  <c r="L7" i="812"/>
  <c r="S7" i="812" s="1"/>
  <c r="S5" i="812" s="1"/>
  <c r="AE11" i="812"/>
  <c r="Y10" i="812"/>
  <c r="K79" i="812"/>
  <c r="T123" i="812"/>
  <c r="X127" i="812"/>
  <c r="K29" i="812"/>
  <c r="R29" i="812" s="1"/>
  <c r="AG142" i="812"/>
  <c r="H115" i="812"/>
  <c r="V116" i="812"/>
  <c r="V115" i="812" s="1"/>
  <c r="R123" i="812"/>
  <c r="X124" i="812"/>
  <c r="D65" i="62"/>
  <c r="M7" i="812"/>
  <c r="T7" i="812" s="1"/>
  <c r="T5" i="812" s="1"/>
  <c r="Z10" i="812"/>
  <c r="Z9" i="812" s="1"/>
  <c r="AH124" i="812"/>
  <c r="AI124" i="812"/>
  <c r="AG125" i="812"/>
  <c r="AH125" i="812"/>
  <c r="AI125" i="812"/>
  <c r="AG129" i="812"/>
  <c r="AG130" i="812" s="1"/>
  <c r="AG131" i="812" s="1"/>
  <c r="AG132" i="812" s="1"/>
  <c r="AG133" i="812" s="1"/>
  <c r="AI129" i="812"/>
  <c r="AI130" i="812" s="1"/>
  <c r="AI131" i="812" s="1"/>
  <c r="AI132" i="812" s="1"/>
  <c r="AI133" i="812" s="1"/>
  <c r="AG126" i="812"/>
  <c r="AH126" i="812"/>
  <c r="AI126" i="812"/>
  <c r="AH129" i="812"/>
  <c r="AH130" i="812" s="1"/>
  <c r="AH131" i="812" s="1"/>
  <c r="AH132" i="812" s="1"/>
  <c r="AH133" i="812" s="1"/>
  <c r="AG124" i="812"/>
  <c r="AB21" i="812"/>
  <c r="W51" i="812"/>
  <c r="U51" i="812"/>
  <c r="S51" i="812"/>
  <c r="V51" i="812"/>
  <c r="T51" i="812"/>
  <c r="R51" i="812"/>
  <c r="W55" i="812"/>
  <c r="AD55" i="812" s="1"/>
  <c r="V55" i="812"/>
  <c r="AC55" i="812" s="1"/>
  <c r="U55" i="812"/>
  <c r="AB55" i="812" s="1"/>
  <c r="T55" i="812"/>
  <c r="AA55" i="812" s="1"/>
  <c r="R55" i="812"/>
  <c r="S55" i="812"/>
  <c r="Z55" i="812" s="1"/>
  <c r="O61" i="812"/>
  <c r="L79" i="812"/>
  <c r="S79" i="812" s="1"/>
  <c r="U123" i="812"/>
  <c r="K28" i="812"/>
  <c r="R28" i="812" s="1"/>
  <c r="AG141" i="812"/>
  <c r="L141" i="812" s="1"/>
  <c r="F115" i="812"/>
  <c r="T116" i="812"/>
  <c r="T115" i="812" s="1"/>
  <c r="Y21" i="812"/>
  <c r="AE22" i="812"/>
  <c r="K7" i="812"/>
  <c r="R7" i="812" s="1"/>
  <c r="AA10" i="812"/>
  <c r="AA9" i="812" s="1"/>
  <c r="AC21" i="812"/>
  <c r="P43" i="812"/>
  <c r="W43" i="812" s="1"/>
  <c r="M79" i="812"/>
  <c r="T79" i="812" s="1"/>
  <c r="V123" i="812"/>
  <c r="H163" i="812"/>
  <c r="Y5" i="812"/>
  <c r="AE6" i="812"/>
  <c r="R115" i="812"/>
  <c r="AB10" i="812"/>
  <c r="AB9" i="812" s="1"/>
  <c r="AC10" i="812"/>
  <c r="AC9" i="812" s="1"/>
  <c r="AD10" i="812"/>
  <c r="AD9" i="812" s="1"/>
  <c r="AE23" i="812"/>
  <c r="M47" i="812"/>
  <c r="T47" i="812" s="1"/>
  <c r="W52" i="812"/>
  <c r="AD52" i="812" s="1"/>
  <c r="S52" i="812"/>
  <c r="Z52" i="812" s="1"/>
  <c r="R52" i="812"/>
  <c r="V52" i="812"/>
  <c r="AC52" i="812" s="1"/>
  <c r="U52" i="812"/>
  <c r="AB52" i="812" s="1"/>
  <c r="T52" i="812"/>
  <c r="AA52" i="812" s="1"/>
  <c r="R56" i="812"/>
  <c r="V56" i="812"/>
  <c r="AC56" i="812" s="1"/>
  <c r="T56" i="812"/>
  <c r="AA56" i="812" s="1"/>
  <c r="W56" i="812"/>
  <c r="AD56" i="812" s="1"/>
  <c r="U56" i="812"/>
  <c r="AB56" i="812" s="1"/>
  <c r="S56" i="812"/>
  <c r="Z56" i="812" s="1"/>
  <c r="N62" i="812"/>
  <c r="U62" i="812" s="1"/>
  <c r="T54" i="812"/>
  <c r="AA54" i="812" s="1"/>
  <c r="S54" i="812"/>
  <c r="Z54" i="812" s="1"/>
  <c r="R54" i="812"/>
  <c r="V54" i="812"/>
  <c r="AC54" i="812" s="1"/>
  <c r="U54" i="812"/>
  <c r="AB54" i="812" s="1"/>
  <c r="W54" i="812"/>
  <c r="AD54" i="812" s="1"/>
  <c r="AG116" i="812"/>
  <c r="AH116" i="812"/>
  <c r="AG119" i="812"/>
  <c r="AI116" i="812"/>
  <c r="AG117" i="812"/>
  <c r="AI117" i="812"/>
  <c r="AG118" i="812"/>
  <c r="AH117" i="812"/>
  <c r="AH119" i="812"/>
  <c r="AH118" i="812"/>
  <c r="AI118" i="812"/>
  <c r="AI119" i="812"/>
  <c r="AD21" i="812"/>
  <c r="W123" i="812"/>
  <c r="X125" i="812"/>
  <c r="AG137" i="812"/>
  <c r="AH137" i="812"/>
  <c r="AI137" i="812"/>
  <c r="AG140" i="812"/>
  <c r="AI140" i="812"/>
  <c r="AH140" i="812"/>
  <c r="N47" i="812"/>
  <c r="U47" i="812" s="1"/>
  <c r="P62" i="812"/>
  <c r="W62" i="812" s="1"/>
  <c r="N70" i="812"/>
  <c r="U70" i="812" s="1"/>
  <c r="M82" i="812"/>
  <c r="T82" i="812" s="1"/>
  <c r="M89" i="812"/>
  <c r="T89" i="812" s="1"/>
  <c r="H164" i="812"/>
  <c r="O143" i="812"/>
  <c r="V143" i="812" s="1"/>
  <c r="I164" i="812"/>
  <c r="L29" i="812"/>
  <c r="S29" i="812" s="1"/>
  <c r="X29" i="812" s="1"/>
  <c r="K32" i="812"/>
  <c r="R32" i="812" s="1"/>
  <c r="L36" i="812"/>
  <c r="S36" i="812" s="1"/>
  <c r="K76" i="812"/>
  <c r="R76" i="812" s="1"/>
  <c r="J130" i="812"/>
  <c r="E117" i="812"/>
  <c r="M10" i="812"/>
  <c r="M29" i="812"/>
  <c r="T29" i="812" s="1"/>
  <c r="L32" i="812"/>
  <c r="S32" i="812" s="1"/>
  <c r="M36" i="812"/>
  <c r="T36" i="812" s="1"/>
  <c r="N76" i="812"/>
  <c r="U76" i="812" s="1"/>
  <c r="N29" i="812"/>
  <c r="U29" i="812" s="1"/>
  <c r="M32" i="812"/>
  <c r="T32" i="812" s="1"/>
  <c r="N36" i="812"/>
  <c r="U36" i="812" s="1"/>
  <c r="N43" i="812"/>
  <c r="U43" i="812" s="1"/>
  <c r="X19" i="812"/>
  <c r="O29" i="812"/>
  <c r="V29" i="812" s="1"/>
  <c r="N32" i="812"/>
  <c r="U32" i="812" s="1"/>
  <c r="O36" i="812"/>
  <c r="V36" i="812" s="1"/>
  <c r="L69" i="812"/>
  <c r="S69" i="812" s="1"/>
  <c r="P96" i="812"/>
  <c r="W96" i="812" s="1"/>
  <c r="M119" i="812"/>
  <c r="T119" i="812" s="1"/>
  <c r="G139" i="812"/>
  <c r="G228" i="812" s="1"/>
  <c r="I160" i="812"/>
  <c r="N90" i="812"/>
  <c r="U90" i="812" s="1"/>
  <c r="I139" i="812"/>
  <c r="I228" i="812" s="1"/>
  <c r="E161" i="812"/>
  <c r="D71" i="62"/>
  <c r="M141" i="812"/>
  <c r="T141" i="812" s="1"/>
  <c r="H160" i="812"/>
  <c r="O32" i="812"/>
  <c r="V32" i="812" s="1"/>
  <c r="L70" i="812"/>
  <c r="S70" i="812" s="1"/>
  <c r="G128" i="812"/>
  <c r="G230" i="812" s="1"/>
  <c r="D6" i="62"/>
  <c r="K15" i="812"/>
  <c r="R15" i="812" s="1"/>
  <c r="O90" i="812"/>
  <c r="V90" i="812" s="1"/>
  <c r="L15" i="812"/>
  <c r="S15" i="812" s="1"/>
  <c r="M70" i="812"/>
  <c r="T70" i="812" s="1"/>
  <c r="H128" i="812"/>
  <c r="H230" i="812" s="1"/>
  <c r="D7" i="62"/>
  <c r="L104" i="812"/>
  <c r="S104" i="812" s="1"/>
  <c r="N15" i="812"/>
  <c r="U15" i="812" s="1"/>
  <c r="N21" i="812"/>
  <c r="K30" i="812"/>
  <c r="R30" i="812" s="1"/>
  <c r="K68" i="812"/>
  <c r="R68" i="812" s="1"/>
  <c r="K101" i="812"/>
  <c r="R101" i="812" s="1"/>
  <c r="O104" i="812"/>
  <c r="V104" i="812" s="1"/>
  <c r="M15" i="812"/>
  <c r="T15" i="812" s="1"/>
  <c r="O15" i="812"/>
  <c r="V15" i="812" s="1"/>
  <c r="K143" i="812"/>
  <c r="R143" i="812" s="1"/>
  <c r="N46" i="812"/>
  <c r="U46" i="812" s="1"/>
  <c r="M101" i="812"/>
  <c r="T101" i="812" s="1"/>
  <c r="D10" i="62"/>
  <c r="Q50" i="812"/>
  <c r="R120" i="812"/>
  <c r="M33" i="812"/>
  <c r="T33" i="812" s="1"/>
  <c r="O46" i="812"/>
  <c r="V46" i="812" s="1"/>
  <c r="L75" i="812"/>
  <c r="S75" i="812" s="1"/>
  <c r="N91" i="812"/>
  <c r="U91" i="812" s="1"/>
  <c r="N101" i="812"/>
  <c r="U101" i="812" s="1"/>
  <c r="H117" i="812"/>
  <c r="H232" i="812" s="1"/>
  <c r="F164" i="812"/>
  <c r="I59" i="145"/>
  <c r="M75" i="812"/>
  <c r="T75" i="812" s="1"/>
  <c r="I117" i="812"/>
  <c r="I232" i="812" s="1"/>
  <c r="F139" i="812"/>
  <c r="F228" i="812" s="1"/>
  <c r="G164" i="812"/>
  <c r="L60" i="812"/>
  <c r="S60" i="812" s="1"/>
  <c r="O60" i="812"/>
  <c r="V60" i="812" s="1"/>
  <c r="N60" i="812"/>
  <c r="U60" i="812" s="1"/>
  <c r="M60" i="812"/>
  <c r="T60" i="812" s="1"/>
  <c r="K60" i="812"/>
  <c r="R60" i="812" s="1"/>
  <c r="Q120" i="812"/>
  <c r="D117" i="812"/>
  <c r="D232" i="812" s="1"/>
  <c r="J119" i="812"/>
  <c r="J220" i="812"/>
  <c r="E155" i="812"/>
  <c r="F155" i="812"/>
  <c r="I155" i="812"/>
  <c r="I153" i="812" s="1"/>
  <c r="H155" i="812"/>
  <c r="G155" i="812"/>
  <c r="D155" i="812"/>
  <c r="Q116" i="812"/>
  <c r="K115" i="812"/>
  <c r="M66" i="812"/>
  <c r="T66" i="812" s="1"/>
  <c r="K66" i="812"/>
  <c r="R66" i="812" s="1"/>
  <c r="G165" i="812"/>
  <c r="I165" i="812"/>
  <c r="E165" i="812"/>
  <c r="H165" i="812"/>
  <c r="D165" i="812"/>
  <c r="J224" i="812"/>
  <c r="D14" i="62"/>
  <c r="O88" i="812"/>
  <c r="V88" i="812" s="1"/>
  <c r="N88" i="812"/>
  <c r="U88" i="812" s="1"/>
  <c r="L88" i="812"/>
  <c r="S88" i="812" s="1"/>
  <c r="N31" i="812"/>
  <c r="U31" i="812" s="1"/>
  <c r="M31" i="812"/>
  <c r="T31" i="812" s="1"/>
  <c r="L31" i="812"/>
  <c r="S31" i="812" s="1"/>
  <c r="K31" i="812"/>
  <c r="R31" i="812" s="1"/>
  <c r="N72" i="812"/>
  <c r="U72" i="812" s="1"/>
  <c r="K72" i="812"/>
  <c r="R72" i="812" s="1"/>
  <c r="M72" i="812"/>
  <c r="T72" i="812" s="1"/>
  <c r="L90" i="812"/>
  <c r="S90" i="812" s="1"/>
  <c r="K90" i="812"/>
  <c r="F119" i="120"/>
  <c r="F119" i="823"/>
  <c r="M46" i="812"/>
  <c r="T46" i="812" s="1"/>
  <c r="L46" i="812"/>
  <c r="S46" i="812" s="1"/>
  <c r="K46" i="812"/>
  <c r="R46" i="812" s="1"/>
  <c r="N115" i="812"/>
  <c r="P60" i="812"/>
  <c r="W60" i="812" s="1"/>
  <c r="K83" i="812"/>
  <c r="R83" i="812" s="1"/>
  <c r="L83" i="812"/>
  <c r="S83" i="812" s="1"/>
  <c r="I123" i="812"/>
  <c r="I231" i="812" s="1"/>
  <c r="K38" i="812"/>
  <c r="R38" i="812" s="1"/>
  <c r="M83" i="812"/>
  <c r="T83" i="812" s="1"/>
  <c r="N95" i="812"/>
  <c r="U95" i="812" s="1"/>
  <c r="D107" i="62"/>
  <c r="M52" i="62" s="1"/>
  <c r="M5" i="62"/>
  <c r="U113" i="812"/>
  <c r="AB4" i="812"/>
  <c r="K97" i="812"/>
  <c r="R97" i="812" s="1"/>
  <c r="O97" i="812"/>
  <c r="V97" i="812" s="1"/>
  <c r="N97" i="812"/>
  <c r="U97" i="812" s="1"/>
  <c r="M97" i="812"/>
  <c r="T97" i="812" s="1"/>
  <c r="L97" i="812"/>
  <c r="S97" i="812" s="1"/>
  <c r="F123" i="812"/>
  <c r="F231" i="812" s="1"/>
  <c r="G161" i="812"/>
  <c r="I161" i="812"/>
  <c r="D161" i="812"/>
  <c r="E162" i="812"/>
  <c r="I162" i="812"/>
  <c r="F59" i="145"/>
  <c r="M21" i="812"/>
  <c r="N98" i="812"/>
  <c r="U98" i="812" s="1"/>
  <c r="M98" i="812"/>
  <c r="T98" i="812" s="1"/>
  <c r="L98" i="812"/>
  <c r="S98" i="812" s="1"/>
  <c r="K98" i="812"/>
  <c r="R98" i="812" s="1"/>
  <c r="U120" i="812"/>
  <c r="F162" i="812"/>
  <c r="G162" i="812"/>
  <c r="D59" i="145"/>
  <c r="N30" i="812"/>
  <c r="U30" i="812" s="1"/>
  <c r="H139" i="812"/>
  <c r="H228" i="812" s="1"/>
  <c r="H162" i="812"/>
  <c r="O28" i="812"/>
  <c r="N28" i="812"/>
  <c r="U28" i="812" s="1"/>
  <c r="M28" i="812"/>
  <c r="T28" i="812" s="1"/>
  <c r="T27" i="812" s="1"/>
  <c r="L28" i="812"/>
  <c r="S28" i="812" s="1"/>
  <c r="O30" i="812"/>
  <c r="V30" i="812" s="1"/>
  <c r="O101" i="812"/>
  <c r="V101" i="812" s="1"/>
  <c r="N104" i="812"/>
  <c r="U104" i="812" s="1"/>
  <c r="D21" i="62"/>
  <c r="N119" i="812"/>
  <c r="U119" i="812" s="1"/>
  <c r="G59" i="145"/>
  <c r="O115" i="812"/>
  <c r="D162" i="812"/>
  <c r="L30" i="812"/>
  <c r="S30" i="812" s="1"/>
  <c r="E59" i="145"/>
  <c r="L23" i="812"/>
  <c r="Z23" i="812" s="1"/>
  <c r="M30" i="812"/>
  <c r="T30" i="812" s="1"/>
  <c r="P30" i="812"/>
  <c r="W30" i="812" s="1"/>
  <c r="V108" i="812"/>
  <c r="J144" i="812"/>
  <c r="E109" i="812"/>
  <c r="H59" i="145"/>
  <c r="K105" i="812"/>
  <c r="R105" i="812" s="1"/>
  <c r="L105" i="812"/>
  <c r="S105" i="812" s="1"/>
  <c r="D119" i="120"/>
  <c r="D119" i="823"/>
  <c r="N143" i="812"/>
  <c r="U143" i="812" s="1"/>
  <c r="E119" i="120"/>
  <c r="E119" i="823"/>
  <c r="O21" i="812"/>
  <c r="V120" i="812"/>
  <c r="J131" i="812"/>
  <c r="T137" i="812"/>
  <c r="T136" i="812" s="1"/>
  <c r="D164" i="812"/>
  <c r="G119" i="120"/>
  <c r="G119" i="823"/>
  <c r="J212" i="812"/>
  <c r="H119" i="120"/>
  <c r="H119" i="823"/>
  <c r="U5" i="812"/>
  <c r="K21" i="812"/>
  <c r="D160" i="812"/>
  <c r="I119" i="120"/>
  <c r="I119" i="823"/>
  <c r="F160" i="812"/>
  <c r="D163" i="812"/>
  <c r="K10" i="812"/>
  <c r="P21" i="812"/>
  <c r="G160" i="812"/>
  <c r="E163" i="812"/>
  <c r="D50" i="62"/>
  <c r="X85" i="812"/>
  <c r="Q45" i="812"/>
  <c r="X8" i="812"/>
  <c r="X49" i="812"/>
  <c r="X31" i="812"/>
  <c r="J218" i="812"/>
  <c r="J159" i="812"/>
  <c r="J222" i="812"/>
  <c r="O4" i="812"/>
  <c r="O113" i="812" s="1"/>
  <c r="H113" i="812"/>
  <c r="V4" i="812"/>
  <c r="S47" i="812"/>
  <c r="N118" i="812"/>
  <c r="O118" i="812"/>
  <c r="M118" i="812"/>
  <c r="K5" i="812"/>
  <c r="Q6" i="812"/>
  <c r="I109" i="812"/>
  <c r="W108" i="812"/>
  <c r="P4" i="812"/>
  <c r="P113" i="812" s="1"/>
  <c r="I113" i="812"/>
  <c r="L5" i="812"/>
  <c r="J108" i="812"/>
  <c r="E232" i="812"/>
  <c r="Q24" i="812"/>
  <c r="R37" i="812"/>
  <c r="N48" i="812"/>
  <c r="U48" i="812" s="1"/>
  <c r="U44" i="812" s="1"/>
  <c r="M48" i="812"/>
  <c r="T48" i="812" s="1"/>
  <c r="L48" i="812"/>
  <c r="S48" i="812" s="1"/>
  <c r="K48" i="812"/>
  <c r="N67" i="812"/>
  <c r="U67" i="812" s="1"/>
  <c r="P67" i="812"/>
  <c r="W67" i="812" s="1"/>
  <c r="O67" i="812"/>
  <c r="V67" i="812" s="1"/>
  <c r="M67" i="812"/>
  <c r="T67" i="812" s="1"/>
  <c r="L67" i="812"/>
  <c r="S67" i="812" s="1"/>
  <c r="K67" i="812"/>
  <c r="M77" i="812"/>
  <c r="T77" i="812" s="1"/>
  <c r="K77" i="812"/>
  <c r="N77" i="812"/>
  <c r="U77" i="812" s="1"/>
  <c r="P77" i="812"/>
  <c r="W77" i="812" s="1"/>
  <c r="L77" i="812"/>
  <c r="S77" i="812" s="1"/>
  <c r="O77" i="812"/>
  <c r="V77" i="812" s="1"/>
  <c r="G117" i="812"/>
  <c r="H136" i="812"/>
  <c r="V137" i="812"/>
  <c r="V136" i="812" s="1"/>
  <c r="P144" i="812"/>
  <c r="W144" i="812" s="1"/>
  <c r="L10" i="812"/>
  <c r="O40" i="812"/>
  <c r="N40" i="812"/>
  <c r="L40" i="812"/>
  <c r="M40" i="812"/>
  <c r="K40" i="812"/>
  <c r="P40" i="812"/>
  <c r="J126" i="812"/>
  <c r="K35" i="812"/>
  <c r="N35" i="812"/>
  <c r="M35" i="812"/>
  <c r="P35" i="812"/>
  <c r="L35" i="812"/>
  <c r="O35" i="812"/>
  <c r="W94" i="812"/>
  <c r="O17" i="812"/>
  <c r="N17" i="812"/>
  <c r="U17" i="812" s="1"/>
  <c r="M17" i="812"/>
  <c r="K17" i="812"/>
  <c r="L17" i="812"/>
  <c r="S17" i="812" s="1"/>
  <c r="W28" i="812"/>
  <c r="M63" i="812"/>
  <c r="T63" i="812" s="1"/>
  <c r="L63" i="812"/>
  <c r="S63" i="812" s="1"/>
  <c r="K63" i="812"/>
  <c r="H233" i="812"/>
  <c r="F128" i="812"/>
  <c r="S137" i="812"/>
  <c r="S136" i="812" s="1"/>
  <c r="Q137" i="812"/>
  <c r="O33" i="812"/>
  <c r="V33" i="812" s="1"/>
  <c r="K33" i="812"/>
  <c r="P33" i="812"/>
  <c r="W33" i="812" s="1"/>
  <c r="Q12" i="812"/>
  <c r="R36" i="812"/>
  <c r="J217" i="812"/>
  <c r="S100" i="812"/>
  <c r="O103" i="812"/>
  <c r="V103" i="812" s="1"/>
  <c r="M103" i="812"/>
  <c r="T103" i="812" s="1"/>
  <c r="L103" i="812"/>
  <c r="S103" i="812" s="1"/>
  <c r="K103" i="812"/>
  <c r="AD4" i="812"/>
  <c r="U16" i="812"/>
  <c r="R18" i="812"/>
  <c r="O41" i="812"/>
  <c r="V41" i="812" s="1"/>
  <c r="N41" i="812"/>
  <c r="U41" i="812" s="1"/>
  <c r="M41" i="812"/>
  <c r="T41" i="812" s="1"/>
  <c r="K41" i="812"/>
  <c r="L41" i="812"/>
  <c r="S41" i="812" s="1"/>
  <c r="V72" i="812"/>
  <c r="P74" i="812"/>
  <c r="W74" i="812" s="1"/>
  <c r="L74" i="812"/>
  <c r="S74" i="812" s="1"/>
  <c r="O74" i="812"/>
  <c r="V74" i="812" s="1"/>
  <c r="N74" i="812"/>
  <c r="U74" i="812" s="1"/>
  <c r="M74" i="812"/>
  <c r="T74" i="812" s="1"/>
  <c r="K74" i="812"/>
  <c r="R95" i="812"/>
  <c r="I229" i="812"/>
  <c r="P136" i="812"/>
  <c r="W137" i="812"/>
  <c r="W136" i="812" s="1"/>
  <c r="Q11" i="812"/>
  <c r="R45" i="812"/>
  <c r="K47" i="812"/>
  <c r="O47" i="812"/>
  <c r="P118" i="812"/>
  <c r="H123" i="812"/>
  <c r="N10" i="812"/>
  <c r="M65" i="812"/>
  <c r="P80" i="812"/>
  <c r="W80" i="812" s="1"/>
  <c r="L80" i="812"/>
  <c r="S80" i="812" s="1"/>
  <c r="K80" i="812"/>
  <c r="O80" i="812"/>
  <c r="N80" i="812"/>
  <c r="M80" i="812"/>
  <c r="R108" i="812"/>
  <c r="D109" i="812"/>
  <c r="J118" i="812"/>
  <c r="L136" i="812"/>
  <c r="R4" i="812"/>
  <c r="D113" i="812"/>
  <c r="K4" i="812"/>
  <c r="K113" i="812" s="1"/>
  <c r="O10" i="812"/>
  <c r="T45" i="812"/>
  <c r="M136" i="812"/>
  <c r="J140" i="812"/>
  <c r="P143" i="812"/>
  <c r="W143" i="812" s="1"/>
  <c r="M18" i="812"/>
  <c r="T18" i="812" s="1"/>
  <c r="P18" i="812"/>
  <c r="W18" i="812" s="1"/>
  <c r="N18" i="812"/>
  <c r="U18" i="812" s="1"/>
  <c r="O18" i="812"/>
  <c r="V18" i="812" s="1"/>
  <c r="L18" i="812"/>
  <c r="S18" i="812" s="1"/>
  <c r="R75" i="812"/>
  <c r="T100" i="812"/>
  <c r="O87" i="812"/>
  <c r="M87" i="812"/>
  <c r="L87" i="812"/>
  <c r="P87" i="812"/>
  <c r="N87" i="812"/>
  <c r="K87" i="812"/>
  <c r="L143" i="812"/>
  <c r="S143" i="812" s="1"/>
  <c r="G123" i="812"/>
  <c r="E113" i="812"/>
  <c r="S4" i="812"/>
  <c r="L4" i="812"/>
  <c r="L113" i="812" s="1"/>
  <c r="P10" i="812"/>
  <c r="V61" i="812"/>
  <c r="F113" i="812"/>
  <c r="T4" i="812"/>
  <c r="M4" i="812"/>
  <c r="M113" i="812" s="1"/>
  <c r="L16" i="812"/>
  <c r="K16" i="812"/>
  <c r="P16" i="812"/>
  <c r="W16" i="812" s="1"/>
  <c r="O48" i="812"/>
  <c r="V48" i="812" s="1"/>
  <c r="W61" i="812"/>
  <c r="N63" i="812"/>
  <c r="U63" i="812" s="1"/>
  <c r="G109" i="812"/>
  <c r="U108" i="812"/>
  <c r="J142" i="812"/>
  <c r="L144" i="812"/>
  <c r="S144" i="812"/>
  <c r="G113" i="812"/>
  <c r="N4" i="812"/>
  <c r="N113" i="812" s="1"/>
  <c r="L33" i="812"/>
  <c r="S33" i="812" s="1"/>
  <c r="P48" i="812"/>
  <c r="W48" i="812" s="1"/>
  <c r="W44" i="812" s="1"/>
  <c r="O63" i="812"/>
  <c r="V79" i="812"/>
  <c r="Q79" i="812"/>
  <c r="N81" i="812"/>
  <c r="U81" i="812" s="1"/>
  <c r="O81" i="812"/>
  <c r="V81" i="812" s="1"/>
  <c r="P81" i="812"/>
  <c r="W81" i="812" s="1"/>
  <c r="K81" i="812"/>
  <c r="M81" i="812"/>
  <c r="T81" i="812" s="1"/>
  <c r="L81" i="812"/>
  <c r="S81" i="812" s="1"/>
  <c r="F117" i="812"/>
  <c r="F232" i="812" s="1"/>
  <c r="O119" i="812"/>
  <c r="V119" i="812" s="1"/>
  <c r="W120" i="812"/>
  <c r="I234" i="812"/>
  <c r="J124" i="812"/>
  <c r="J125" i="812"/>
  <c r="J127" i="812"/>
  <c r="P64" i="812"/>
  <c r="N64" i="812"/>
  <c r="U64" i="812" s="1"/>
  <c r="M64" i="812"/>
  <c r="T64" i="812" s="1"/>
  <c r="K64" i="812"/>
  <c r="L64" i="812"/>
  <c r="S64" i="812" s="1"/>
  <c r="K69" i="812"/>
  <c r="O84" i="812"/>
  <c r="V84" i="812" s="1"/>
  <c r="M84" i="812"/>
  <c r="T84" i="812" s="1"/>
  <c r="L84" i="812"/>
  <c r="S84" i="812" s="1"/>
  <c r="P84" i="812"/>
  <c r="W84" i="812" s="1"/>
  <c r="N84" i="812"/>
  <c r="U84" i="812" s="1"/>
  <c r="K84" i="812"/>
  <c r="O94" i="812"/>
  <c r="N94" i="812"/>
  <c r="U94" i="812" s="1"/>
  <c r="P119" i="812"/>
  <c r="W119" i="812" s="1"/>
  <c r="J120" i="812"/>
  <c r="J234" i="812" s="1"/>
  <c r="J132" i="812"/>
  <c r="N5" i="812"/>
  <c r="P66" i="812"/>
  <c r="L66" i="812"/>
  <c r="O66" i="812"/>
  <c r="N66" i="812"/>
  <c r="W79" i="812"/>
  <c r="D158" i="812"/>
  <c r="I158" i="812"/>
  <c r="L140" i="812"/>
  <c r="M62" i="812"/>
  <c r="T62" i="812" s="1"/>
  <c r="L62" i="812"/>
  <c r="S62" i="812" s="1"/>
  <c r="K62" i="812"/>
  <c r="O64" i="812"/>
  <c r="V64" i="812" s="1"/>
  <c r="E123" i="812"/>
  <c r="F135" i="812"/>
  <c r="E139" i="812"/>
  <c r="E228" i="812" s="1"/>
  <c r="E158" i="812"/>
  <c r="N73" i="812"/>
  <c r="U73" i="812" s="1"/>
  <c r="L73" i="812"/>
  <c r="S73" i="812" s="1"/>
  <c r="M73" i="812"/>
  <c r="T73" i="812" s="1"/>
  <c r="K73" i="812"/>
  <c r="O83" i="812"/>
  <c r="V83" i="812" s="1"/>
  <c r="N83" i="812"/>
  <c r="U83" i="812" s="1"/>
  <c r="O75" i="812"/>
  <c r="V75" i="812" s="1"/>
  <c r="N75" i="812"/>
  <c r="U75" i="812" s="1"/>
  <c r="M96" i="812"/>
  <c r="T96" i="812" s="1"/>
  <c r="K96" i="812"/>
  <c r="N96" i="812"/>
  <c r="U96" i="812" s="1"/>
  <c r="E114" i="812"/>
  <c r="E233" i="812"/>
  <c r="R89" i="812"/>
  <c r="Q22" i="812"/>
  <c r="P37" i="812"/>
  <c r="W37" i="812" s="1"/>
  <c r="O37" i="812"/>
  <c r="V37" i="812" s="1"/>
  <c r="P141" i="812"/>
  <c r="W141" i="812" s="1"/>
  <c r="F158" i="812"/>
  <c r="I115" i="812"/>
  <c r="J116" i="812"/>
  <c r="F233" i="812"/>
  <c r="D123" i="812"/>
  <c r="O7" i="812"/>
  <c r="P7" i="812"/>
  <c r="W7" i="812" s="1"/>
  <c r="W5" i="812" s="1"/>
  <c r="K43" i="812"/>
  <c r="M43" i="812"/>
  <c r="T43" i="812" s="1"/>
  <c r="L43" i="812"/>
  <c r="S43" i="812" s="1"/>
  <c r="P72" i="812"/>
  <c r="L72" i="812"/>
  <c r="K94" i="812"/>
  <c r="I128" i="812"/>
  <c r="G158" i="812"/>
  <c r="P38" i="812"/>
  <c r="W38" i="812" s="1"/>
  <c r="N38" i="812"/>
  <c r="O38" i="812"/>
  <c r="V38" i="812" s="1"/>
  <c r="M42" i="812"/>
  <c r="T42" i="812" s="1"/>
  <c r="N42" i="812"/>
  <c r="U42" i="812" s="1"/>
  <c r="L42" i="812"/>
  <c r="S42" i="812" s="1"/>
  <c r="K42" i="812"/>
  <c r="N61" i="812"/>
  <c r="M61" i="812"/>
  <c r="L61" i="812"/>
  <c r="K61" i="812"/>
  <c r="L68" i="812"/>
  <c r="S68" i="812" s="1"/>
  <c r="P68" i="812"/>
  <c r="W68" i="812" s="1"/>
  <c r="O68" i="812"/>
  <c r="V68" i="812" s="1"/>
  <c r="R90" i="812"/>
  <c r="L94" i="812"/>
  <c r="S94" i="812" s="1"/>
  <c r="O102" i="812"/>
  <c r="N102" i="812"/>
  <c r="U102" i="812" s="1"/>
  <c r="M102" i="812"/>
  <c r="T102" i="812" s="1"/>
  <c r="P102" i="812"/>
  <c r="W102" i="812" s="1"/>
  <c r="K102" i="812"/>
  <c r="L102" i="812"/>
  <c r="S102" i="812" s="1"/>
  <c r="J133" i="812"/>
  <c r="J156" i="812"/>
  <c r="H158" i="812"/>
  <c r="O95" i="812"/>
  <c r="V95" i="812" s="1"/>
  <c r="M95" i="812"/>
  <c r="L95" i="812"/>
  <c r="S95" i="812" s="1"/>
  <c r="K119" i="812"/>
  <c r="E234" i="812"/>
  <c r="S120" i="812"/>
  <c r="L142" i="812"/>
  <c r="S142" i="812" s="1"/>
  <c r="N100" i="812"/>
  <c r="K100" i="812"/>
  <c r="K118" i="812"/>
  <c r="L119" i="812"/>
  <c r="S119" i="812" s="1"/>
  <c r="F234" i="812"/>
  <c r="T120" i="812"/>
  <c r="J129" i="812"/>
  <c r="O76" i="812"/>
  <c r="V76" i="812" s="1"/>
  <c r="M76" i="812"/>
  <c r="T76" i="812" s="1"/>
  <c r="L76" i="812"/>
  <c r="R79" i="812"/>
  <c r="P82" i="812"/>
  <c r="W82" i="812" s="1"/>
  <c r="L82" i="812"/>
  <c r="S82" i="812" s="1"/>
  <c r="X82" i="812" s="1"/>
  <c r="P91" i="812"/>
  <c r="W91" i="812" s="1"/>
  <c r="M91" i="812"/>
  <c r="T91" i="812" s="1"/>
  <c r="L91" i="812"/>
  <c r="S91" i="812" s="1"/>
  <c r="K91" i="812"/>
  <c r="R137" i="812"/>
  <c r="D136" i="812"/>
  <c r="J137" i="812"/>
  <c r="X106" i="812"/>
  <c r="L118" i="812"/>
  <c r="S118" i="812" s="1"/>
  <c r="E128" i="812"/>
  <c r="E230" i="812" s="1"/>
  <c r="U137" i="812"/>
  <c r="U136" i="812" s="1"/>
  <c r="G136" i="812"/>
  <c r="D139" i="812"/>
  <c r="J141" i="812"/>
  <c r="J143" i="812"/>
  <c r="K144" i="812"/>
  <c r="K70" i="812"/>
  <c r="P70" i="812"/>
  <c r="W70" i="812" s="1"/>
  <c r="M88" i="812"/>
  <c r="T88" i="812" s="1"/>
  <c r="K88" i="812"/>
  <c r="M104" i="812"/>
  <c r="T104" i="812" s="1"/>
  <c r="K104" i="812"/>
  <c r="T143" i="812"/>
  <c r="J157" i="812"/>
  <c r="P89" i="812"/>
  <c r="W89" i="812" s="1"/>
  <c r="P97" i="812"/>
  <c r="W97" i="812" s="1"/>
  <c r="P105" i="812"/>
  <c r="W105" i="812" s="1"/>
  <c r="D128" i="812"/>
  <c r="T108" i="812"/>
  <c r="L93" i="812"/>
  <c r="L101" i="812"/>
  <c r="F161" i="812"/>
  <c r="F163" i="812"/>
  <c r="F165" i="812"/>
  <c r="G526" i="608"/>
  <c r="H526" i="608" s="1"/>
  <c r="I526" i="608" s="1"/>
  <c r="J526" i="608" s="1"/>
  <c r="K526" i="608" s="1"/>
  <c r="L526" i="608" s="1"/>
  <c r="L487" i="608" s="1"/>
  <c r="B44" i="315"/>
  <c r="B43" i="315"/>
  <c r="B42" i="315"/>
  <c r="I6" i="70"/>
  <c r="H6" i="70"/>
  <c r="G6" i="70"/>
  <c r="F6" i="70"/>
  <c r="E6" i="70"/>
  <c r="D6" i="70"/>
  <c r="L350" i="127"/>
  <c r="K350" i="127"/>
  <c r="J350" i="127"/>
  <c r="I350" i="127"/>
  <c r="H350" i="127"/>
  <c r="G350" i="127"/>
  <c r="L123" i="127"/>
  <c r="K123" i="127"/>
  <c r="J123" i="127"/>
  <c r="I123" i="127"/>
  <c r="H123" i="127"/>
  <c r="G123" i="127"/>
  <c r="L124" i="127"/>
  <c r="K124" i="127"/>
  <c r="J124" i="127"/>
  <c r="L349" i="127"/>
  <c r="J349" i="127"/>
  <c r="I349" i="127"/>
  <c r="H349" i="127"/>
  <c r="G124" i="127"/>
  <c r="G349" i="127"/>
  <c r="L353" i="127"/>
  <c r="K353" i="127"/>
  <c r="J353" i="127"/>
  <c r="I353" i="127"/>
  <c r="H353" i="127"/>
  <c r="G353" i="127"/>
  <c r="G352" i="127"/>
  <c r="L351" i="127"/>
  <c r="K351" i="127"/>
  <c r="J351" i="127"/>
  <c r="I351" i="127"/>
  <c r="H351" i="127"/>
  <c r="G351" i="127"/>
  <c r="K349" i="127"/>
  <c r="D338" i="127"/>
  <c r="C338" i="127"/>
  <c r="B338" i="127"/>
  <c r="D337" i="127"/>
  <c r="C337" i="127"/>
  <c r="B337" i="127"/>
  <c r="D336" i="127"/>
  <c r="C336" i="127"/>
  <c r="B336" i="127"/>
  <c r="D335" i="127"/>
  <c r="C335" i="127"/>
  <c r="B335" i="127"/>
  <c r="D334" i="127"/>
  <c r="C334" i="127"/>
  <c r="B334" i="127"/>
  <c r="D333" i="127"/>
  <c r="C333" i="127"/>
  <c r="B333" i="127"/>
  <c r="D332" i="127"/>
  <c r="C332" i="127"/>
  <c r="B332" i="127"/>
  <c r="D331" i="127"/>
  <c r="C331" i="127"/>
  <c r="B331" i="127"/>
  <c r="D330" i="127"/>
  <c r="C330" i="127"/>
  <c r="B330" i="127"/>
  <c r="D329" i="127"/>
  <c r="C329" i="127"/>
  <c r="B329" i="127"/>
  <c r="D328" i="127"/>
  <c r="C328" i="127"/>
  <c r="B328" i="127"/>
  <c r="D327" i="127"/>
  <c r="C327" i="127"/>
  <c r="B327" i="127"/>
  <c r="D326" i="127"/>
  <c r="C326" i="127"/>
  <c r="B326" i="127"/>
  <c r="D325" i="127"/>
  <c r="C325" i="127"/>
  <c r="B325" i="127"/>
  <c r="D324" i="127"/>
  <c r="C324" i="127"/>
  <c r="B324" i="127"/>
  <c r="D323" i="127"/>
  <c r="C323" i="127"/>
  <c r="B323" i="127"/>
  <c r="B322" i="127"/>
  <c r="B321" i="127"/>
  <c r="B320" i="127"/>
  <c r="B319" i="127"/>
  <c r="B318" i="127"/>
  <c r="B317" i="127"/>
  <c r="B316" i="127"/>
  <c r="B315" i="127"/>
  <c r="B314" i="127"/>
  <c r="B313" i="127"/>
  <c r="B312" i="127"/>
  <c r="B311" i="127"/>
  <c r="B310" i="127"/>
  <c r="B309" i="127"/>
  <c r="B308" i="127"/>
  <c r="B307" i="127"/>
  <c r="B306" i="127"/>
  <c r="B305" i="127"/>
  <c r="B304" i="127"/>
  <c r="B303" i="127"/>
  <c r="B302" i="127"/>
  <c r="B301" i="127"/>
  <c r="B300" i="127"/>
  <c r="B299" i="127"/>
  <c r="B298" i="127"/>
  <c r="B297" i="127"/>
  <c r="B296" i="127"/>
  <c r="B295" i="127"/>
  <c r="B294" i="127"/>
  <c r="B293" i="127"/>
  <c r="B292" i="127"/>
  <c r="B291" i="127"/>
  <c r="B290" i="127"/>
  <c r="B289" i="127"/>
  <c r="B288" i="127"/>
  <c r="B287" i="127"/>
  <c r="B286" i="127"/>
  <c r="B285" i="127"/>
  <c r="B284" i="127"/>
  <c r="B283" i="127"/>
  <c r="B282" i="127"/>
  <c r="L199" i="127"/>
  <c r="K199" i="127"/>
  <c r="J199" i="127"/>
  <c r="I199" i="127"/>
  <c r="H199" i="127"/>
  <c r="G199" i="127"/>
  <c r="G195" i="127"/>
  <c r="L194" i="127"/>
  <c r="K194" i="127"/>
  <c r="J194" i="127"/>
  <c r="I194" i="127"/>
  <c r="H194" i="127"/>
  <c r="G194" i="127"/>
  <c r="L193" i="127"/>
  <c r="K193" i="127"/>
  <c r="J193" i="127"/>
  <c r="I193" i="127"/>
  <c r="H193" i="127"/>
  <c r="G193" i="127"/>
  <c r="L192" i="127"/>
  <c r="K192" i="127"/>
  <c r="J192" i="127"/>
  <c r="I192" i="127"/>
  <c r="H192" i="127"/>
  <c r="G192" i="127"/>
  <c r="D189" i="127"/>
  <c r="C189" i="127"/>
  <c r="B189" i="127"/>
  <c r="D188" i="127"/>
  <c r="C188" i="127"/>
  <c r="B188" i="127"/>
  <c r="D187" i="127"/>
  <c r="C187" i="127"/>
  <c r="B187" i="127"/>
  <c r="D186" i="127"/>
  <c r="C186" i="127"/>
  <c r="B186" i="127"/>
  <c r="D185" i="127"/>
  <c r="C185" i="127"/>
  <c r="B185" i="127"/>
  <c r="D184" i="127"/>
  <c r="C184" i="127"/>
  <c r="B184" i="127"/>
  <c r="D183" i="127"/>
  <c r="C183" i="127"/>
  <c r="B183" i="127"/>
  <c r="D182" i="127"/>
  <c r="C182" i="127"/>
  <c r="B182" i="127"/>
  <c r="D181" i="127"/>
  <c r="C181" i="127"/>
  <c r="B181" i="127"/>
  <c r="D180" i="127"/>
  <c r="C180" i="127"/>
  <c r="B180" i="127"/>
  <c r="D179" i="127"/>
  <c r="C179" i="127"/>
  <c r="B179" i="127"/>
  <c r="D178" i="127"/>
  <c r="C178" i="127"/>
  <c r="B178" i="127"/>
  <c r="D177" i="127"/>
  <c r="C177" i="127"/>
  <c r="B177" i="127"/>
  <c r="D176" i="127"/>
  <c r="C176" i="127"/>
  <c r="B176" i="127"/>
  <c r="D175" i="127"/>
  <c r="C175" i="127"/>
  <c r="B175" i="127"/>
  <c r="D174" i="127"/>
  <c r="C174" i="127"/>
  <c r="B174" i="127"/>
  <c r="B173" i="127"/>
  <c r="B172" i="127"/>
  <c r="B171" i="127"/>
  <c r="B170" i="127"/>
  <c r="B169" i="127"/>
  <c r="B168" i="127"/>
  <c r="B167" i="127"/>
  <c r="B166" i="127"/>
  <c r="B165" i="127"/>
  <c r="B164" i="127"/>
  <c r="B163" i="127"/>
  <c r="B162" i="127"/>
  <c r="B161" i="127"/>
  <c r="B160" i="127"/>
  <c r="B159" i="127"/>
  <c r="B158" i="127"/>
  <c r="B157" i="127"/>
  <c r="B156" i="127"/>
  <c r="B155" i="127"/>
  <c r="B154" i="127"/>
  <c r="B153" i="127"/>
  <c r="B152" i="127"/>
  <c r="B151" i="127"/>
  <c r="B150" i="127"/>
  <c r="B149" i="127"/>
  <c r="B148" i="127"/>
  <c r="B147" i="127"/>
  <c r="B146" i="127"/>
  <c r="B145" i="127"/>
  <c r="B144" i="127"/>
  <c r="B143" i="127"/>
  <c r="B142" i="127"/>
  <c r="B141" i="127"/>
  <c r="B140" i="127"/>
  <c r="B139" i="127"/>
  <c r="B138" i="127"/>
  <c r="B137" i="127"/>
  <c r="B136" i="127"/>
  <c r="B135" i="127"/>
  <c r="B134" i="127"/>
  <c r="B133" i="127"/>
  <c r="B115" i="127"/>
  <c r="B114" i="127"/>
  <c r="B113" i="127"/>
  <c r="B112" i="127"/>
  <c r="B111" i="127"/>
  <c r="B110" i="127"/>
  <c r="B109" i="127"/>
  <c r="B108" i="127"/>
  <c r="B107" i="127"/>
  <c r="B106" i="127"/>
  <c r="B105" i="127"/>
  <c r="B104" i="127"/>
  <c r="B103" i="127"/>
  <c r="B102" i="127"/>
  <c r="B101" i="127"/>
  <c r="B100" i="127"/>
  <c r="B99" i="127"/>
  <c r="B98" i="127"/>
  <c r="B97" i="127"/>
  <c r="B96" i="127"/>
  <c r="B95" i="127"/>
  <c r="B94" i="127"/>
  <c r="B93" i="127"/>
  <c r="B92" i="127"/>
  <c r="B91" i="127"/>
  <c r="B90" i="127"/>
  <c r="B89" i="127"/>
  <c r="B88" i="127"/>
  <c r="G36" i="127"/>
  <c r="G35" i="127"/>
  <c r="L32" i="127"/>
  <c r="K32" i="127"/>
  <c r="K75" i="127" s="1"/>
  <c r="J32" i="127"/>
  <c r="I32" i="127"/>
  <c r="H32" i="127"/>
  <c r="G32" i="127"/>
  <c r="D32" i="127"/>
  <c r="D75" i="127" s="1"/>
  <c r="C32" i="127"/>
  <c r="C75" i="127" s="1"/>
  <c r="B32" i="127"/>
  <c r="B75" i="127" s="1"/>
  <c r="L31" i="127"/>
  <c r="K31" i="127"/>
  <c r="J31" i="127"/>
  <c r="I31" i="127"/>
  <c r="H31" i="127"/>
  <c r="G31" i="127"/>
  <c r="D31" i="127"/>
  <c r="D74" i="127" s="1"/>
  <c r="C31" i="127"/>
  <c r="C74" i="127" s="1"/>
  <c r="B31" i="127"/>
  <c r="B74" i="127" s="1"/>
  <c r="L30" i="127"/>
  <c r="K30" i="127"/>
  <c r="J30" i="127"/>
  <c r="I30" i="127"/>
  <c r="H30" i="127"/>
  <c r="G30" i="127"/>
  <c r="D30" i="127"/>
  <c r="D73" i="127" s="1"/>
  <c r="C30" i="127"/>
  <c r="C73" i="127" s="1"/>
  <c r="B30" i="127"/>
  <c r="B73" i="127" s="1"/>
  <c r="L29" i="127"/>
  <c r="K29" i="127"/>
  <c r="J29" i="127"/>
  <c r="I29" i="127"/>
  <c r="H29" i="127"/>
  <c r="G29" i="127"/>
  <c r="D29" i="127"/>
  <c r="D72" i="127" s="1"/>
  <c r="C29" i="127"/>
  <c r="C72" i="127" s="1"/>
  <c r="B29" i="127"/>
  <c r="B72" i="127" s="1"/>
  <c r="L28" i="127"/>
  <c r="K28" i="127"/>
  <c r="K71" i="127" s="1"/>
  <c r="J28" i="127"/>
  <c r="I28" i="127"/>
  <c r="H28" i="127"/>
  <c r="G28" i="127"/>
  <c r="D28" i="127"/>
  <c r="D71" i="127" s="1"/>
  <c r="C28" i="127"/>
  <c r="C71" i="127" s="1"/>
  <c r="B28" i="127"/>
  <c r="B71" i="127" s="1"/>
  <c r="L27" i="127"/>
  <c r="K27" i="127"/>
  <c r="J27" i="127"/>
  <c r="I27" i="127"/>
  <c r="H27" i="127"/>
  <c r="G27" i="127"/>
  <c r="D27" i="127"/>
  <c r="C27" i="127"/>
  <c r="B27" i="127"/>
  <c r="L26" i="127"/>
  <c r="K26" i="127"/>
  <c r="J26" i="127"/>
  <c r="I26" i="127"/>
  <c r="H26" i="127"/>
  <c r="G26" i="127"/>
  <c r="D26" i="127"/>
  <c r="C26" i="127"/>
  <c r="B26" i="127"/>
  <c r="L25" i="127"/>
  <c r="K25" i="127"/>
  <c r="J25" i="127"/>
  <c r="I25" i="127"/>
  <c r="H25" i="127"/>
  <c r="G25" i="127"/>
  <c r="D25" i="127"/>
  <c r="C25" i="127"/>
  <c r="B25" i="127"/>
  <c r="L24" i="127"/>
  <c r="K24" i="127"/>
  <c r="J24" i="127"/>
  <c r="I24" i="127"/>
  <c r="H24" i="127"/>
  <c r="G24" i="127"/>
  <c r="D24" i="127"/>
  <c r="C24" i="127"/>
  <c r="B24" i="127"/>
  <c r="L23" i="127"/>
  <c r="K23" i="127"/>
  <c r="J23" i="127"/>
  <c r="I23" i="127"/>
  <c r="H23" i="127"/>
  <c r="G23" i="127"/>
  <c r="D23" i="127"/>
  <c r="C23" i="127"/>
  <c r="B23" i="127"/>
  <c r="L22" i="127"/>
  <c r="K22" i="127"/>
  <c r="J22" i="127"/>
  <c r="I22" i="127"/>
  <c r="H22" i="127"/>
  <c r="G22" i="127"/>
  <c r="D22" i="127"/>
  <c r="C22" i="127"/>
  <c r="B22" i="127"/>
  <c r="L21" i="127"/>
  <c r="K21" i="127"/>
  <c r="J21" i="127"/>
  <c r="I21" i="127"/>
  <c r="H21" i="127"/>
  <c r="G21" i="127"/>
  <c r="D21" i="127"/>
  <c r="C21" i="127"/>
  <c r="B21" i="127"/>
  <c r="D20" i="127"/>
  <c r="C20" i="127"/>
  <c r="B20" i="127"/>
  <c r="L19" i="127"/>
  <c r="K19" i="127"/>
  <c r="J19" i="127"/>
  <c r="I19" i="127"/>
  <c r="H19" i="127"/>
  <c r="G19" i="127"/>
  <c r="D19" i="127"/>
  <c r="C19" i="127"/>
  <c r="B19" i="127"/>
  <c r="L18" i="127"/>
  <c r="K18" i="127"/>
  <c r="J18" i="127"/>
  <c r="I18" i="127"/>
  <c r="H18" i="127"/>
  <c r="G18" i="127"/>
  <c r="D18" i="127"/>
  <c r="C18" i="127"/>
  <c r="B18" i="127"/>
  <c r="L17" i="127"/>
  <c r="K17" i="127"/>
  <c r="J17" i="127"/>
  <c r="I17" i="127"/>
  <c r="H17" i="127"/>
  <c r="G17" i="127"/>
  <c r="D17" i="127"/>
  <c r="C17" i="127"/>
  <c r="B17" i="127"/>
  <c r="D16" i="127"/>
  <c r="C16" i="127"/>
  <c r="B16" i="127"/>
  <c r="G15" i="127"/>
  <c r="D15" i="127"/>
  <c r="C15" i="127"/>
  <c r="B15" i="127"/>
  <c r="G14" i="127"/>
  <c r="D14" i="127"/>
  <c r="C14" i="127"/>
  <c r="B14" i="127"/>
  <c r="G13" i="127"/>
  <c r="D13" i="127"/>
  <c r="C13" i="127"/>
  <c r="B13" i="127"/>
  <c r="G12" i="127"/>
  <c r="D12" i="127"/>
  <c r="C12" i="127"/>
  <c r="B12" i="127"/>
  <c r="G11" i="127"/>
  <c r="D11" i="127"/>
  <c r="C11" i="127"/>
  <c r="B11" i="127"/>
  <c r="G10" i="127"/>
  <c r="D10" i="127"/>
  <c r="C10" i="127"/>
  <c r="B10" i="127"/>
  <c r="G9" i="127"/>
  <c r="D9" i="127"/>
  <c r="C9" i="127"/>
  <c r="B9" i="127"/>
  <c r="G8" i="127"/>
  <c r="D8" i="127"/>
  <c r="C8" i="127"/>
  <c r="B8" i="127"/>
  <c r="G7" i="127"/>
  <c r="D7" i="127"/>
  <c r="C7" i="127"/>
  <c r="B7" i="127"/>
  <c r="G6" i="127"/>
  <c r="D6" i="127"/>
  <c r="C6" i="127"/>
  <c r="B6" i="127"/>
  <c r="D5" i="127"/>
  <c r="C5" i="127"/>
  <c r="B5" i="127"/>
  <c r="M291" i="608"/>
  <c r="M280" i="608"/>
  <c r="G227" i="608"/>
  <c r="E15" i="48" s="1"/>
  <c r="G226" i="608"/>
  <c r="E14" i="48" s="1"/>
  <c r="G225" i="608"/>
  <c r="E13" i="48" s="1"/>
  <c r="M634" i="608"/>
  <c r="M633" i="608"/>
  <c r="M630" i="608"/>
  <c r="M629" i="608"/>
  <c r="M626" i="608"/>
  <c r="M520" i="608"/>
  <c r="M519" i="608"/>
  <c r="M518" i="608"/>
  <c r="M516" i="608"/>
  <c r="M515" i="608"/>
  <c r="M514" i="608"/>
  <c r="M513" i="608"/>
  <c r="M512" i="608"/>
  <c r="M511" i="608"/>
  <c r="M510" i="608"/>
  <c r="M509" i="608"/>
  <c r="M508" i="608"/>
  <c r="M507" i="608"/>
  <c r="M506" i="608"/>
  <c r="M505" i="608"/>
  <c r="M504" i="608"/>
  <c r="M471" i="608"/>
  <c r="M470" i="608"/>
  <c r="M469" i="608"/>
  <c r="M468" i="608"/>
  <c r="M467" i="608"/>
  <c r="M466" i="608"/>
  <c r="M465" i="608"/>
  <c r="M464" i="608"/>
  <c r="M463" i="608"/>
  <c r="M462" i="608"/>
  <c r="M452" i="608"/>
  <c r="M449" i="608"/>
  <c r="M448" i="608"/>
  <c r="M447" i="608"/>
  <c r="M446" i="608"/>
  <c r="M444" i="608"/>
  <c r="M382" i="608"/>
  <c r="M379" i="608"/>
  <c r="M378" i="608"/>
  <c r="M377" i="608"/>
  <c r="M376" i="608"/>
  <c r="M374" i="608"/>
  <c r="M310" i="608"/>
  <c r="M309" i="608"/>
  <c r="M308" i="608"/>
  <c r="M307" i="608"/>
  <c r="M306" i="608"/>
  <c r="M305" i="608"/>
  <c r="M304" i="608"/>
  <c r="M303" i="608"/>
  <c r="M302" i="608"/>
  <c r="M301" i="608"/>
  <c r="M300" i="608"/>
  <c r="M299" i="608"/>
  <c r="M298" i="608"/>
  <c r="M297" i="608"/>
  <c r="M296" i="608"/>
  <c r="M294" i="608"/>
  <c r="M293" i="608"/>
  <c r="M292" i="608"/>
  <c r="M290" i="608"/>
  <c r="M289" i="608"/>
  <c r="M288" i="608"/>
  <c r="M287" i="608"/>
  <c r="M286" i="608"/>
  <c r="M285" i="608"/>
  <c r="M284" i="608"/>
  <c r="M283" i="608"/>
  <c r="M282" i="608"/>
  <c r="M281" i="608"/>
  <c r="M279" i="608"/>
  <c r="M278" i="608"/>
  <c r="M277" i="608"/>
  <c r="M276" i="608"/>
  <c r="M275" i="608"/>
  <c r="M274" i="608"/>
  <c r="M273" i="608"/>
  <c r="M263" i="608"/>
  <c r="M262" i="608"/>
  <c r="M261" i="608"/>
  <c r="M260" i="608"/>
  <c r="M259" i="608"/>
  <c r="M258" i="608"/>
  <c r="M257" i="608"/>
  <c r="M256" i="608"/>
  <c r="M255" i="608"/>
  <c r="M254" i="608"/>
  <c r="M627" i="608" s="1"/>
  <c r="M253" i="608"/>
  <c r="M631" i="608" s="1"/>
  <c r="M252" i="608"/>
  <c r="M628" i="608" s="1"/>
  <c r="M250" i="608"/>
  <c r="M249" i="608"/>
  <c r="M248" i="608"/>
  <c r="M218" i="608"/>
  <c r="M217" i="608"/>
  <c r="M213" i="608"/>
  <c r="M145" i="608"/>
  <c r="M141" i="608"/>
  <c r="M139" i="608"/>
  <c r="M69" i="608"/>
  <c r="M67" i="608"/>
  <c r="M63" i="608"/>
  <c r="G2" i="608"/>
  <c r="H2" i="608"/>
  <c r="I2" i="608"/>
  <c r="J2" i="608"/>
  <c r="K2" i="608"/>
  <c r="L2" i="608"/>
  <c r="C6" i="608"/>
  <c r="E6" i="608"/>
  <c r="H6" i="608"/>
  <c r="I6" i="608" s="1"/>
  <c r="C7" i="608"/>
  <c r="E7" i="608"/>
  <c r="H7" i="608"/>
  <c r="I7" i="608" s="1"/>
  <c r="C8" i="608"/>
  <c r="E8" i="608"/>
  <c r="H8" i="608"/>
  <c r="C9" i="608"/>
  <c r="E9" i="608"/>
  <c r="H9" i="608"/>
  <c r="C10" i="608"/>
  <c r="E10" i="608"/>
  <c r="H10" i="608"/>
  <c r="I10" i="608" s="1"/>
  <c r="C11" i="608"/>
  <c r="E11" i="608"/>
  <c r="H11" i="608"/>
  <c r="I11" i="608" s="1"/>
  <c r="C12" i="608"/>
  <c r="E12" i="608"/>
  <c r="H12" i="608"/>
  <c r="I12" i="608" s="1"/>
  <c r="C13" i="608"/>
  <c r="E13" i="608"/>
  <c r="H13" i="608"/>
  <c r="C14" i="608"/>
  <c r="E14" i="608"/>
  <c r="H14" i="608"/>
  <c r="C15" i="608"/>
  <c r="E15" i="608"/>
  <c r="H15" i="608"/>
  <c r="I15" i="608" s="1"/>
  <c r="C16" i="608"/>
  <c r="E16" i="608"/>
  <c r="H16" i="608"/>
  <c r="I16" i="608" s="1"/>
  <c r="J16" i="608" s="1"/>
  <c r="C17" i="608"/>
  <c r="E17" i="608"/>
  <c r="H17" i="608"/>
  <c r="I17" i="608" s="1"/>
  <c r="C18" i="608"/>
  <c r="E18" i="608"/>
  <c r="H18" i="608"/>
  <c r="I18" i="608" s="1"/>
  <c r="I47" i="608" s="1"/>
  <c r="I100" i="127" s="1"/>
  <c r="C19" i="608"/>
  <c r="E19" i="608"/>
  <c r="H19" i="608"/>
  <c r="I19" i="608" s="1"/>
  <c r="C20" i="608"/>
  <c r="E20" i="608"/>
  <c r="H20" i="608"/>
  <c r="I20" i="608" s="1"/>
  <c r="C21" i="608"/>
  <c r="E21" i="608"/>
  <c r="H21" i="608"/>
  <c r="I21" i="608" s="1"/>
  <c r="J21" i="608" s="1"/>
  <c r="C22" i="608"/>
  <c r="E22" i="608"/>
  <c r="C23" i="608"/>
  <c r="E23" i="608"/>
  <c r="H23" i="608"/>
  <c r="I23" i="608" s="1"/>
  <c r="I52" i="608" s="1"/>
  <c r="I105" i="127" s="1"/>
  <c r="C24" i="608"/>
  <c r="E24" i="608"/>
  <c r="H24" i="608"/>
  <c r="I24" i="608" s="1"/>
  <c r="I53" i="608" s="1"/>
  <c r="I106" i="127" s="1"/>
  <c r="C25" i="608"/>
  <c r="E25" i="608"/>
  <c r="C26" i="608"/>
  <c r="E26" i="608"/>
  <c r="C27" i="608"/>
  <c r="E27" i="608"/>
  <c r="C28" i="608"/>
  <c r="E28" i="608"/>
  <c r="C29" i="608"/>
  <c r="E29" i="608"/>
  <c r="C30" i="608"/>
  <c r="E30" i="608"/>
  <c r="C31" i="608"/>
  <c r="E31" i="608"/>
  <c r="C32" i="608"/>
  <c r="E32" i="608"/>
  <c r="C33" i="608"/>
  <c r="E33" i="608"/>
  <c r="C35" i="608"/>
  <c r="C88" i="127" s="1"/>
  <c r="D35" i="608"/>
  <c r="E35" i="608"/>
  <c r="C36" i="608"/>
  <c r="C89" i="127" s="1"/>
  <c r="D36" i="608"/>
  <c r="D89" i="127" s="1"/>
  <c r="E36" i="608"/>
  <c r="G36" i="608"/>
  <c r="G89" i="127" s="1"/>
  <c r="C37" i="608"/>
  <c r="C90" i="127" s="1"/>
  <c r="D37" i="608"/>
  <c r="D90" i="127" s="1"/>
  <c r="E37" i="608"/>
  <c r="G37" i="608"/>
  <c r="G90" i="127" s="1"/>
  <c r="C38" i="608"/>
  <c r="C91" i="127" s="1"/>
  <c r="D38" i="608"/>
  <c r="D91" i="127" s="1"/>
  <c r="E38" i="608"/>
  <c r="G38" i="608"/>
  <c r="G91" i="127" s="1"/>
  <c r="C39" i="608"/>
  <c r="C92" i="127" s="1"/>
  <c r="D39" i="608"/>
  <c r="D92" i="127" s="1"/>
  <c r="E39" i="608"/>
  <c r="G39" i="608"/>
  <c r="G92" i="127" s="1"/>
  <c r="C40" i="608"/>
  <c r="C93" i="127" s="1"/>
  <c r="D40" i="608"/>
  <c r="D93" i="127" s="1"/>
  <c r="E40" i="608"/>
  <c r="G40" i="608"/>
  <c r="G93" i="127" s="1"/>
  <c r="C41" i="608"/>
  <c r="C94" i="127" s="1"/>
  <c r="D41" i="608"/>
  <c r="D94" i="127" s="1"/>
  <c r="E41" i="608"/>
  <c r="G41" i="608"/>
  <c r="G94" i="127" s="1"/>
  <c r="C42" i="608"/>
  <c r="C95" i="127" s="1"/>
  <c r="D42" i="608"/>
  <c r="D95" i="127" s="1"/>
  <c r="E42" i="608"/>
  <c r="G42" i="608"/>
  <c r="G95" i="127" s="1"/>
  <c r="C43" i="608"/>
  <c r="C96" i="127" s="1"/>
  <c r="D43" i="608"/>
  <c r="D96" i="127" s="1"/>
  <c r="E43" i="608"/>
  <c r="G43" i="608"/>
  <c r="G96" i="127" s="1"/>
  <c r="C44" i="608"/>
  <c r="C97" i="127" s="1"/>
  <c r="D44" i="608"/>
  <c r="D97" i="127" s="1"/>
  <c r="E44" i="608"/>
  <c r="G44" i="608"/>
  <c r="G97" i="127" s="1"/>
  <c r="C45" i="608"/>
  <c r="C98" i="127" s="1"/>
  <c r="D45" i="608"/>
  <c r="D98" i="127" s="1"/>
  <c r="E45" i="608"/>
  <c r="G45" i="608"/>
  <c r="G98" i="127" s="1"/>
  <c r="C46" i="608"/>
  <c r="C99" i="127" s="1"/>
  <c r="D46" i="608"/>
  <c r="D99" i="127" s="1"/>
  <c r="E46" i="608"/>
  <c r="C47" i="608"/>
  <c r="C100" i="127" s="1"/>
  <c r="D47" i="608"/>
  <c r="D100" i="127" s="1"/>
  <c r="E47" i="608"/>
  <c r="G47" i="608"/>
  <c r="G100" i="127" s="1"/>
  <c r="C48" i="608"/>
  <c r="C101" i="127" s="1"/>
  <c r="D48" i="608"/>
  <c r="D101" i="127" s="1"/>
  <c r="E48" i="608"/>
  <c r="G48" i="608"/>
  <c r="G101" i="127" s="1"/>
  <c r="C49" i="608"/>
  <c r="C102" i="127" s="1"/>
  <c r="D49" i="608"/>
  <c r="D102" i="127" s="1"/>
  <c r="E49" i="608"/>
  <c r="G49" i="608"/>
  <c r="G102" i="127" s="1"/>
  <c r="C50" i="608"/>
  <c r="C103" i="127" s="1"/>
  <c r="D50" i="608"/>
  <c r="D103" i="127" s="1"/>
  <c r="E50" i="608"/>
  <c r="C51" i="608"/>
  <c r="C104" i="127" s="1"/>
  <c r="D51" i="608"/>
  <c r="D104" i="127" s="1"/>
  <c r="E51" i="608"/>
  <c r="G51" i="608"/>
  <c r="G104" i="127" s="1"/>
  <c r="H51" i="608"/>
  <c r="H104" i="127" s="1"/>
  <c r="I51" i="608"/>
  <c r="I104" i="127" s="1"/>
  <c r="J51" i="608"/>
  <c r="J104" i="127" s="1"/>
  <c r="K51" i="608"/>
  <c r="K104" i="127" s="1"/>
  <c r="L51" i="608"/>
  <c r="L104" i="127" s="1"/>
  <c r="C52" i="608"/>
  <c r="C105" i="127" s="1"/>
  <c r="D52" i="608"/>
  <c r="D105" i="127" s="1"/>
  <c r="E52" i="608"/>
  <c r="G52" i="608"/>
  <c r="G105" i="127" s="1"/>
  <c r="C53" i="608"/>
  <c r="C106" i="127" s="1"/>
  <c r="D53" i="608"/>
  <c r="D106" i="127" s="1"/>
  <c r="E53" i="608"/>
  <c r="G53" i="608"/>
  <c r="G106" i="127" s="1"/>
  <c r="C54" i="608"/>
  <c r="C107" i="127" s="1"/>
  <c r="D54" i="608"/>
  <c r="D107" i="127" s="1"/>
  <c r="E54" i="608"/>
  <c r="G54" i="608"/>
  <c r="G107" i="127" s="1"/>
  <c r="H54" i="608"/>
  <c r="H107" i="127" s="1"/>
  <c r="I54" i="608"/>
  <c r="I107" i="127" s="1"/>
  <c r="J54" i="608"/>
  <c r="J107" i="127" s="1"/>
  <c r="K54" i="608"/>
  <c r="K107" i="127" s="1"/>
  <c r="L54" i="608"/>
  <c r="L107" i="127" s="1"/>
  <c r="C55" i="608"/>
  <c r="C108" i="127" s="1"/>
  <c r="D55" i="608"/>
  <c r="D108" i="127" s="1"/>
  <c r="E55" i="608"/>
  <c r="G55" i="608"/>
  <c r="G108" i="127" s="1"/>
  <c r="H55" i="608"/>
  <c r="H108" i="127" s="1"/>
  <c r="I55" i="608"/>
  <c r="I108" i="127" s="1"/>
  <c r="J55" i="608"/>
  <c r="J108" i="127" s="1"/>
  <c r="K55" i="608"/>
  <c r="K108" i="127" s="1"/>
  <c r="L55" i="608"/>
  <c r="L108" i="127" s="1"/>
  <c r="C56" i="608"/>
  <c r="C109" i="127" s="1"/>
  <c r="D56" i="608"/>
  <c r="D109" i="127" s="1"/>
  <c r="E56" i="608"/>
  <c r="G56" i="608"/>
  <c r="G109" i="127" s="1"/>
  <c r="H56" i="608"/>
  <c r="H109" i="127" s="1"/>
  <c r="I56" i="608"/>
  <c r="I109" i="127" s="1"/>
  <c r="J56" i="608"/>
  <c r="J109" i="127" s="1"/>
  <c r="K56" i="608"/>
  <c r="K109" i="127" s="1"/>
  <c r="L56" i="608"/>
  <c r="L109" i="127" s="1"/>
  <c r="C57" i="608"/>
  <c r="C110" i="127" s="1"/>
  <c r="D57" i="608"/>
  <c r="D110" i="127" s="1"/>
  <c r="E57" i="608"/>
  <c r="G57" i="608"/>
  <c r="G110" i="127" s="1"/>
  <c r="H57" i="608"/>
  <c r="H110" i="127" s="1"/>
  <c r="I57" i="608"/>
  <c r="I110" i="127" s="1"/>
  <c r="J57" i="608"/>
  <c r="J110" i="127" s="1"/>
  <c r="K57" i="608"/>
  <c r="K110" i="127" s="1"/>
  <c r="L57" i="608"/>
  <c r="L110" i="127" s="1"/>
  <c r="C58" i="608"/>
  <c r="C111" i="127" s="1"/>
  <c r="D58" i="608"/>
  <c r="D111" i="127" s="1"/>
  <c r="E58" i="608"/>
  <c r="G58" i="608"/>
  <c r="G111" i="127" s="1"/>
  <c r="H58" i="608"/>
  <c r="H111" i="127" s="1"/>
  <c r="I58" i="608"/>
  <c r="I111" i="127" s="1"/>
  <c r="J58" i="608"/>
  <c r="J111" i="127" s="1"/>
  <c r="K58" i="608"/>
  <c r="K111" i="127" s="1"/>
  <c r="L58" i="608"/>
  <c r="L111" i="127" s="1"/>
  <c r="C59" i="608"/>
  <c r="C112" i="127" s="1"/>
  <c r="D59" i="608"/>
  <c r="D112" i="127" s="1"/>
  <c r="E59" i="608"/>
  <c r="G59" i="608"/>
  <c r="G112" i="127" s="1"/>
  <c r="H59" i="608"/>
  <c r="H112" i="127" s="1"/>
  <c r="I59" i="608"/>
  <c r="I112" i="127" s="1"/>
  <c r="J59" i="608"/>
  <c r="J112" i="127" s="1"/>
  <c r="K59" i="608"/>
  <c r="K112" i="127" s="1"/>
  <c r="L59" i="608"/>
  <c r="L112" i="127" s="1"/>
  <c r="C60" i="608"/>
  <c r="C113" i="127" s="1"/>
  <c r="D60" i="608"/>
  <c r="D113" i="127" s="1"/>
  <c r="E60" i="608"/>
  <c r="G60" i="608"/>
  <c r="G113" i="127" s="1"/>
  <c r="H60" i="608"/>
  <c r="H113" i="127" s="1"/>
  <c r="I60" i="608"/>
  <c r="I113" i="127" s="1"/>
  <c r="J60" i="608"/>
  <c r="J113" i="127" s="1"/>
  <c r="K60" i="608"/>
  <c r="K113" i="127" s="1"/>
  <c r="L60" i="608"/>
  <c r="L113" i="127" s="1"/>
  <c r="C61" i="608"/>
  <c r="C114" i="127" s="1"/>
  <c r="D61" i="608"/>
  <c r="D114" i="127" s="1"/>
  <c r="E61" i="608"/>
  <c r="G61" i="608"/>
  <c r="G114" i="127" s="1"/>
  <c r="H61" i="608"/>
  <c r="H114" i="127" s="1"/>
  <c r="I61" i="608"/>
  <c r="I114" i="127" s="1"/>
  <c r="J61" i="608"/>
  <c r="J114" i="127" s="1"/>
  <c r="K61" i="608"/>
  <c r="K114" i="127" s="1"/>
  <c r="L61" i="608"/>
  <c r="L114" i="127" s="1"/>
  <c r="C62" i="608"/>
  <c r="C115" i="127" s="1"/>
  <c r="D62" i="608"/>
  <c r="D115" i="127" s="1"/>
  <c r="E62" i="608"/>
  <c r="G62" i="608"/>
  <c r="G115" i="127" s="1"/>
  <c r="H62" i="608"/>
  <c r="H115" i="127" s="1"/>
  <c r="I62" i="608"/>
  <c r="I115" i="127" s="1"/>
  <c r="J62" i="608"/>
  <c r="J115" i="127" s="1"/>
  <c r="K62" i="608"/>
  <c r="K115" i="127" s="1"/>
  <c r="L62" i="608"/>
  <c r="L115" i="127" s="1"/>
  <c r="E65" i="608"/>
  <c r="G65" i="608"/>
  <c r="G118" i="127" s="1"/>
  <c r="E66" i="608"/>
  <c r="G66" i="608"/>
  <c r="G119" i="127" s="1"/>
  <c r="C73" i="608"/>
  <c r="C282" i="127" s="1"/>
  <c r="D73" i="608"/>
  <c r="D282" i="127" s="1"/>
  <c r="E73" i="608"/>
  <c r="C74" i="608"/>
  <c r="C283" i="127" s="1"/>
  <c r="D74" i="608"/>
  <c r="D283" i="127" s="1"/>
  <c r="E74" i="608"/>
  <c r="C75" i="608"/>
  <c r="C284" i="127" s="1"/>
  <c r="D75" i="608"/>
  <c r="D284" i="127" s="1"/>
  <c r="E75" i="608"/>
  <c r="C76" i="608"/>
  <c r="C285" i="127" s="1"/>
  <c r="D76" i="608"/>
  <c r="D285" i="127" s="1"/>
  <c r="E76" i="608"/>
  <c r="C77" i="608"/>
  <c r="C286" i="127" s="1"/>
  <c r="D77" i="608"/>
  <c r="D286" i="127" s="1"/>
  <c r="E77" i="608"/>
  <c r="C78" i="608"/>
  <c r="C287" i="127" s="1"/>
  <c r="D78" i="608"/>
  <c r="D287" i="127" s="1"/>
  <c r="E78" i="608"/>
  <c r="C79" i="608"/>
  <c r="C288" i="127" s="1"/>
  <c r="D79" i="608"/>
  <c r="D288" i="127" s="1"/>
  <c r="E79" i="608"/>
  <c r="C80" i="608"/>
  <c r="C289" i="127" s="1"/>
  <c r="D80" i="608"/>
  <c r="D289" i="127" s="1"/>
  <c r="E80" i="608"/>
  <c r="C81" i="608"/>
  <c r="C290" i="127" s="1"/>
  <c r="D81" i="608"/>
  <c r="D290" i="127" s="1"/>
  <c r="E81" i="608"/>
  <c r="C82" i="608"/>
  <c r="C291" i="127" s="1"/>
  <c r="D82" i="608"/>
  <c r="D291" i="127" s="1"/>
  <c r="E82" i="608"/>
  <c r="C83" i="608"/>
  <c r="C292" i="127" s="1"/>
  <c r="D83" i="608"/>
  <c r="D292" i="127" s="1"/>
  <c r="E83" i="608"/>
  <c r="C84" i="608"/>
  <c r="C293" i="127" s="1"/>
  <c r="D84" i="608"/>
  <c r="D293" i="127" s="1"/>
  <c r="E84" i="608"/>
  <c r="C85" i="608"/>
  <c r="C294" i="127" s="1"/>
  <c r="D85" i="608"/>
  <c r="D294" i="127" s="1"/>
  <c r="E85" i="608"/>
  <c r="C86" i="608"/>
  <c r="C295" i="127" s="1"/>
  <c r="D86" i="608"/>
  <c r="D295" i="127" s="1"/>
  <c r="E86" i="608"/>
  <c r="C87" i="608"/>
  <c r="C296" i="127" s="1"/>
  <c r="D87" i="608"/>
  <c r="D296" i="127" s="1"/>
  <c r="E87" i="608"/>
  <c r="C88" i="608"/>
  <c r="C297" i="127" s="1"/>
  <c r="D88" i="608"/>
  <c r="D297" i="127" s="1"/>
  <c r="E88" i="608"/>
  <c r="C89" i="608"/>
  <c r="C298" i="127" s="1"/>
  <c r="D89" i="608"/>
  <c r="D298" i="127" s="1"/>
  <c r="E89" i="608"/>
  <c r="C90" i="608"/>
  <c r="C299" i="127" s="1"/>
  <c r="D90" i="608"/>
  <c r="D299" i="127" s="1"/>
  <c r="E90" i="608"/>
  <c r="C91" i="608"/>
  <c r="C300" i="127" s="1"/>
  <c r="D91" i="608"/>
  <c r="D300" i="127" s="1"/>
  <c r="E91" i="608"/>
  <c r="C92" i="608"/>
  <c r="C301" i="127" s="1"/>
  <c r="D92" i="608"/>
  <c r="D301" i="127" s="1"/>
  <c r="E92" i="608"/>
  <c r="C93" i="608"/>
  <c r="C302" i="127" s="1"/>
  <c r="D93" i="608"/>
  <c r="D302" i="127" s="1"/>
  <c r="E93" i="608"/>
  <c r="C94" i="608"/>
  <c r="C303" i="127" s="1"/>
  <c r="D94" i="608"/>
  <c r="D303" i="127" s="1"/>
  <c r="E94" i="608"/>
  <c r="C95" i="608"/>
  <c r="C304" i="127" s="1"/>
  <c r="D95" i="608"/>
  <c r="D304" i="127" s="1"/>
  <c r="E95" i="608"/>
  <c r="C96" i="608"/>
  <c r="C305" i="127" s="1"/>
  <c r="D96" i="608"/>
  <c r="D305" i="127" s="1"/>
  <c r="E96" i="608"/>
  <c r="C97" i="608"/>
  <c r="C306" i="127" s="1"/>
  <c r="D97" i="608"/>
  <c r="D306" i="127" s="1"/>
  <c r="E97" i="608"/>
  <c r="C98" i="608"/>
  <c r="C307" i="127" s="1"/>
  <c r="D98" i="608"/>
  <c r="D307" i="127" s="1"/>
  <c r="E98" i="608"/>
  <c r="C99" i="608"/>
  <c r="C308" i="127" s="1"/>
  <c r="D99" i="608"/>
  <c r="D308" i="127" s="1"/>
  <c r="E99" i="608"/>
  <c r="C100" i="608"/>
  <c r="C309" i="127" s="1"/>
  <c r="D100" i="608"/>
  <c r="D309" i="127" s="1"/>
  <c r="E100" i="608"/>
  <c r="C101" i="608"/>
  <c r="C310" i="127" s="1"/>
  <c r="D101" i="608"/>
  <c r="D310" i="127" s="1"/>
  <c r="E101" i="608"/>
  <c r="C102" i="608"/>
  <c r="C311" i="127" s="1"/>
  <c r="D102" i="608"/>
  <c r="D311" i="127" s="1"/>
  <c r="E102" i="608"/>
  <c r="C103" i="608"/>
  <c r="C312" i="127" s="1"/>
  <c r="D103" i="608"/>
  <c r="D312" i="127" s="1"/>
  <c r="E103" i="608"/>
  <c r="C104" i="608"/>
  <c r="C313" i="127" s="1"/>
  <c r="D104" i="608"/>
  <c r="D313" i="127" s="1"/>
  <c r="E104" i="608"/>
  <c r="C105" i="608"/>
  <c r="C314" i="127" s="1"/>
  <c r="D105" i="608"/>
  <c r="D314" i="127" s="1"/>
  <c r="E105" i="608"/>
  <c r="C106" i="608"/>
  <c r="C315" i="127" s="1"/>
  <c r="D106" i="608"/>
  <c r="D315" i="127" s="1"/>
  <c r="E106" i="608"/>
  <c r="C107" i="608"/>
  <c r="C316" i="127" s="1"/>
  <c r="D107" i="608"/>
  <c r="D316" i="127" s="1"/>
  <c r="E107" i="608"/>
  <c r="C108" i="608"/>
  <c r="C317" i="127" s="1"/>
  <c r="D108" i="608"/>
  <c r="D317" i="127" s="1"/>
  <c r="E108" i="608"/>
  <c r="C109" i="608"/>
  <c r="C318" i="127" s="1"/>
  <c r="D109" i="608"/>
  <c r="D318" i="127" s="1"/>
  <c r="E109" i="608"/>
  <c r="C110" i="608"/>
  <c r="C319" i="127" s="1"/>
  <c r="D110" i="608"/>
  <c r="D319" i="127" s="1"/>
  <c r="E110" i="608"/>
  <c r="C111" i="608"/>
  <c r="C320" i="127" s="1"/>
  <c r="D111" i="608"/>
  <c r="D320" i="127" s="1"/>
  <c r="E111" i="608"/>
  <c r="C112" i="608"/>
  <c r="C321" i="127" s="1"/>
  <c r="D112" i="608"/>
  <c r="D321" i="127" s="1"/>
  <c r="E112" i="608"/>
  <c r="C113" i="608"/>
  <c r="C322" i="127" s="1"/>
  <c r="D113" i="608"/>
  <c r="D322" i="127" s="1"/>
  <c r="E113" i="608"/>
  <c r="E114" i="608"/>
  <c r="E115" i="608"/>
  <c r="E116" i="608"/>
  <c r="E117" i="608"/>
  <c r="E118" i="608"/>
  <c r="E119" i="608"/>
  <c r="E120" i="608"/>
  <c r="E121" i="608"/>
  <c r="E122" i="608"/>
  <c r="E123" i="608"/>
  <c r="E124" i="608"/>
  <c r="E125" i="608"/>
  <c r="E126" i="608"/>
  <c r="E127" i="608"/>
  <c r="E128" i="608"/>
  <c r="E129" i="608"/>
  <c r="E131" i="608"/>
  <c r="E132" i="608"/>
  <c r="G133" i="608"/>
  <c r="H133" i="608"/>
  <c r="I133" i="608"/>
  <c r="J133" i="608"/>
  <c r="K133" i="608"/>
  <c r="L133" i="608"/>
  <c r="G134" i="608"/>
  <c r="H140" i="608"/>
  <c r="I140" i="608" s="1"/>
  <c r="G143" i="608"/>
  <c r="G348" i="127" s="1"/>
  <c r="H143" i="608"/>
  <c r="H348" i="127" s="1"/>
  <c r="I143" i="608"/>
  <c r="I348" i="127" s="1"/>
  <c r="J143" i="608"/>
  <c r="J348" i="127" s="1"/>
  <c r="K143" i="608"/>
  <c r="K348" i="127" s="1"/>
  <c r="L143" i="608"/>
  <c r="L348" i="127" s="1"/>
  <c r="C150" i="608"/>
  <c r="D150" i="608"/>
  <c r="E150" i="608"/>
  <c r="C151" i="608"/>
  <c r="D151" i="608"/>
  <c r="E151" i="608"/>
  <c r="C152" i="608"/>
  <c r="D152" i="608"/>
  <c r="E152" i="608"/>
  <c r="C153" i="608"/>
  <c r="D153" i="608"/>
  <c r="E153" i="608"/>
  <c r="C154" i="608"/>
  <c r="D154" i="608"/>
  <c r="E154" i="608"/>
  <c r="C155" i="608"/>
  <c r="D155" i="608"/>
  <c r="E155" i="608"/>
  <c r="C156" i="608"/>
  <c r="D156" i="608"/>
  <c r="E156" i="608"/>
  <c r="C157" i="608"/>
  <c r="D157" i="608"/>
  <c r="E157" i="608"/>
  <c r="C158" i="608"/>
  <c r="D158" i="608"/>
  <c r="E158" i="608"/>
  <c r="C159" i="608"/>
  <c r="D159" i="608"/>
  <c r="E159" i="608"/>
  <c r="C160" i="608"/>
  <c r="D160" i="608"/>
  <c r="E160" i="608"/>
  <c r="C161" i="608"/>
  <c r="D161" i="608"/>
  <c r="E161" i="608"/>
  <c r="C162" i="608"/>
  <c r="D162" i="608"/>
  <c r="E162" i="608"/>
  <c r="C163" i="608"/>
  <c r="D163" i="608"/>
  <c r="E163" i="608"/>
  <c r="C164" i="608"/>
  <c r="D164" i="608"/>
  <c r="E164" i="608"/>
  <c r="C165" i="608"/>
  <c r="D165" i="608"/>
  <c r="E165" i="608"/>
  <c r="C166" i="608"/>
  <c r="D166" i="608"/>
  <c r="E166" i="608"/>
  <c r="C167" i="608"/>
  <c r="D167" i="608"/>
  <c r="E167" i="608"/>
  <c r="C168" i="608"/>
  <c r="D168" i="608"/>
  <c r="E168" i="608"/>
  <c r="C169" i="608"/>
  <c r="D169" i="608"/>
  <c r="E169" i="608"/>
  <c r="C170" i="608"/>
  <c r="D170" i="608"/>
  <c r="E170" i="608"/>
  <c r="C171" i="608"/>
  <c r="D171" i="608"/>
  <c r="E171" i="608"/>
  <c r="C172" i="608"/>
  <c r="D172" i="608"/>
  <c r="E172" i="608"/>
  <c r="C173" i="608"/>
  <c r="D173" i="608"/>
  <c r="E173" i="608"/>
  <c r="C174" i="608"/>
  <c r="D174" i="608"/>
  <c r="E174" i="608"/>
  <c r="C175" i="608"/>
  <c r="D175" i="608"/>
  <c r="E175" i="608"/>
  <c r="C176" i="608"/>
  <c r="D176" i="608"/>
  <c r="E176" i="608"/>
  <c r="C177" i="608"/>
  <c r="D177" i="608"/>
  <c r="E177" i="608"/>
  <c r="C178" i="608"/>
  <c r="D178" i="608"/>
  <c r="E178" i="608"/>
  <c r="C179" i="608"/>
  <c r="D179" i="608"/>
  <c r="E179" i="608"/>
  <c r="C180" i="608"/>
  <c r="D180" i="608"/>
  <c r="E180" i="608"/>
  <c r="C181" i="608"/>
  <c r="D181" i="608"/>
  <c r="E181" i="608"/>
  <c r="C182" i="608"/>
  <c r="D182" i="608"/>
  <c r="E182" i="608"/>
  <c r="C183" i="608"/>
  <c r="D183" i="608"/>
  <c r="E183" i="608"/>
  <c r="C184" i="608"/>
  <c r="D184" i="608"/>
  <c r="E184" i="608"/>
  <c r="C185" i="608"/>
  <c r="D185" i="608"/>
  <c r="E185" i="608"/>
  <c r="C186" i="608"/>
  <c r="D186" i="608"/>
  <c r="E186" i="608"/>
  <c r="C187" i="608"/>
  <c r="D187" i="608"/>
  <c r="E187" i="608"/>
  <c r="C188" i="608"/>
  <c r="D188" i="608"/>
  <c r="E188" i="608"/>
  <c r="C189" i="608"/>
  <c r="D189" i="608"/>
  <c r="E189" i="608"/>
  <c r="C190" i="608"/>
  <c r="D190" i="608"/>
  <c r="E190" i="608"/>
  <c r="E191" i="608"/>
  <c r="E192" i="608"/>
  <c r="E193" i="608"/>
  <c r="E194" i="608"/>
  <c r="E195" i="608"/>
  <c r="E196" i="608"/>
  <c r="E197" i="608"/>
  <c r="E198" i="608"/>
  <c r="E199" i="608"/>
  <c r="E200" i="608"/>
  <c r="E201" i="608"/>
  <c r="E202" i="608"/>
  <c r="E203" i="608"/>
  <c r="E204" i="608"/>
  <c r="E205" i="608"/>
  <c r="E206" i="608"/>
  <c r="E208" i="608"/>
  <c r="E209" i="608"/>
  <c r="G210" i="608"/>
  <c r="H210" i="608"/>
  <c r="I210" i="608"/>
  <c r="J210" i="608"/>
  <c r="K210" i="608"/>
  <c r="L210" i="608"/>
  <c r="G211" i="608"/>
  <c r="H225" i="608"/>
  <c r="F13" i="48" s="1"/>
  <c r="I225" i="608"/>
  <c r="G13" i="48" s="1"/>
  <c r="J225" i="608"/>
  <c r="H13" i="48" s="1"/>
  <c r="K225" i="608"/>
  <c r="I13" i="48" s="1"/>
  <c r="L225" i="608"/>
  <c r="J13" i="48" s="1"/>
  <c r="H226" i="608"/>
  <c r="F14" i="48" s="1"/>
  <c r="I226" i="608"/>
  <c r="G14" i="48" s="1"/>
  <c r="J226" i="608"/>
  <c r="H14" i="48" s="1"/>
  <c r="K226" i="608"/>
  <c r="I14" i="48" s="1"/>
  <c r="L226" i="608"/>
  <c r="J14" i="48" s="1"/>
  <c r="G236" i="608"/>
  <c r="G5" i="127" s="1"/>
  <c r="H236" i="608"/>
  <c r="H5" i="127" s="1"/>
  <c r="I236" i="608"/>
  <c r="I5" i="127" s="1"/>
  <c r="J236" i="608"/>
  <c r="J5" i="127" s="1"/>
  <c r="K236" i="608"/>
  <c r="K5" i="127" s="1"/>
  <c r="L236" i="608"/>
  <c r="L5" i="127" s="1"/>
  <c r="H237" i="608"/>
  <c r="H6" i="127" s="1"/>
  <c r="H238" i="608"/>
  <c r="H239" i="608"/>
  <c r="H8" i="127" s="1"/>
  <c r="H240" i="608"/>
  <c r="H241" i="608"/>
  <c r="H10" i="127" s="1"/>
  <c r="H242" i="608"/>
  <c r="H11" i="127" s="1"/>
  <c r="H243" i="608"/>
  <c r="H12" i="127" s="1"/>
  <c r="H244" i="608"/>
  <c r="I244" i="608" s="1"/>
  <c r="J244" i="608" s="1"/>
  <c r="H245" i="608"/>
  <c r="H14" i="127" s="1"/>
  <c r="H246" i="608"/>
  <c r="I246" i="608" s="1"/>
  <c r="I15" i="127" s="1"/>
  <c r="G247" i="608"/>
  <c r="G46" i="608" s="1"/>
  <c r="G99" i="127" s="1"/>
  <c r="H247" i="608"/>
  <c r="H16" i="127" s="1"/>
  <c r="I247" i="608"/>
  <c r="I16" i="127" s="1"/>
  <c r="J247" i="608"/>
  <c r="J16" i="127" s="1"/>
  <c r="K247" i="608"/>
  <c r="K16" i="127" s="1"/>
  <c r="L247" i="608"/>
  <c r="L16" i="127" s="1"/>
  <c r="G251" i="608"/>
  <c r="G50" i="608" s="1"/>
  <c r="G103" i="127" s="1"/>
  <c r="H251" i="608"/>
  <c r="H632" i="608" s="1"/>
  <c r="I251" i="608"/>
  <c r="I632" i="608" s="1"/>
  <c r="J251" i="608"/>
  <c r="J632" i="608" s="1"/>
  <c r="K251" i="608"/>
  <c r="L251" i="608"/>
  <c r="L632" i="608" s="1"/>
  <c r="H266" i="608"/>
  <c r="H65" i="608" s="1"/>
  <c r="H118" i="127" s="1"/>
  <c r="H267" i="608"/>
  <c r="G269" i="608"/>
  <c r="H269" i="608"/>
  <c r="I269" i="608"/>
  <c r="J269" i="608"/>
  <c r="K269" i="608"/>
  <c r="L269" i="608"/>
  <c r="G270" i="608"/>
  <c r="H270" i="608"/>
  <c r="I270" i="608"/>
  <c r="J270" i="608"/>
  <c r="K270" i="608"/>
  <c r="L270" i="608"/>
  <c r="G271" i="608"/>
  <c r="H271" i="608"/>
  <c r="I271" i="608"/>
  <c r="J271" i="608"/>
  <c r="K271" i="608"/>
  <c r="L271" i="608"/>
  <c r="G272" i="608"/>
  <c r="H272" i="608"/>
  <c r="I272" i="608"/>
  <c r="J272" i="608"/>
  <c r="K272" i="608"/>
  <c r="L272" i="608"/>
  <c r="G295" i="608"/>
  <c r="H295" i="608"/>
  <c r="I295" i="608"/>
  <c r="J295" i="608"/>
  <c r="K295" i="608"/>
  <c r="L295" i="608"/>
  <c r="C317" i="608"/>
  <c r="C133" i="127" s="1"/>
  <c r="D317" i="608"/>
  <c r="E317" i="608"/>
  <c r="C318" i="608"/>
  <c r="C134" i="127" s="1"/>
  <c r="D318" i="608"/>
  <c r="D134" i="127" s="1"/>
  <c r="E318" i="608"/>
  <c r="C319" i="608"/>
  <c r="C135" i="127" s="1"/>
  <c r="D319" i="608"/>
  <c r="D135" i="127" s="1"/>
  <c r="E319" i="608"/>
  <c r="C320" i="608"/>
  <c r="C136" i="127" s="1"/>
  <c r="D320" i="608"/>
  <c r="D136" i="127" s="1"/>
  <c r="E320" i="608"/>
  <c r="C321" i="608"/>
  <c r="C137" i="127" s="1"/>
  <c r="D321" i="608"/>
  <c r="D137" i="127" s="1"/>
  <c r="E321" i="608"/>
  <c r="C322" i="608"/>
  <c r="C138" i="127" s="1"/>
  <c r="D322" i="608"/>
  <c r="D138" i="127" s="1"/>
  <c r="E322" i="608"/>
  <c r="C323" i="608"/>
  <c r="C139" i="127" s="1"/>
  <c r="D323" i="608"/>
  <c r="D139" i="127" s="1"/>
  <c r="E323" i="608"/>
  <c r="C324" i="608"/>
  <c r="C140" i="127" s="1"/>
  <c r="D324" i="608"/>
  <c r="D140" i="127" s="1"/>
  <c r="E324" i="608"/>
  <c r="C325" i="608"/>
  <c r="C141" i="127" s="1"/>
  <c r="D325" i="608"/>
  <c r="D141" i="127" s="1"/>
  <c r="E325" i="608"/>
  <c r="C326" i="608"/>
  <c r="C142" i="127" s="1"/>
  <c r="D326" i="608"/>
  <c r="D142" i="127" s="1"/>
  <c r="E326" i="608"/>
  <c r="C327" i="608"/>
  <c r="C143" i="127" s="1"/>
  <c r="D327" i="608"/>
  <c r="D143" i="127" s="1"/>
  <c r="E327" i="608"/>
  <c r="C328" i="608"/>
  <c r="C144" i="127" s="1"/>
  <c r="D328" i="608"/>
  <c r="D144" i="127" s="1"/>
  <c r="E328" i="608"/>
  <c r="C329" i="608"/>
  <c r="C145" i="127" s="1"/>
  <c r="D329" i="608"/>
  <c r="D145" i="127" s="1"/>
  <c r="E329" i="608"/>
  <c r="C330" i="608"/>
  <c r="C146" i="127" s="1"/>
  <c r="D330" i="608"/>
  <c r="D146" i="127" s="1"/>
  <c r="E330" i="608"/>
  <c r="C331" i="608"/>
  <c r="C147" i="127" s="1"/>
  <c r="D331" i="608"/>
  <c r="D147" i="127" s="1"/>
  <c r="E331" i="608"/>
  <c r="C332" i="608"/>
  <c r="C148" i="127" s="1"/>
  <c r="D332" i="608"/>
  <c r="D148" i="127" s="1"/>
  <c r="E332" i="608"/>
  <c r="C333" i="608"/>
  <c r="C149" i="127" s="1"/>
  <c r="D333" i="608"/>
  <c r="D149" i="127" s="1"/>
  <c r="E333" i="608"/>
  <c r="C334" i="608"/>
  <c r="C150" i="127" s="1"/>
  <c r="D334" i="608"/>
  <c r="D150" i="127" s="1"/>
  <c r="E334" i="608"/>
  <c r="C335" i="608"/>
  <c r="C151" i="127" s="1"/>
  <c r="D335" i="608"/>
  <c r="D151" i="127" s="1"/>
  <c r="E335" i="608"/>
  <c r="C336" i="608"/>
  <c r="C152" i="127" s="1"/>
  <c r="D336" i="608"/>
  <c r="D152" i="127" s="1"/>
  <c r="E336" i="608"/>
  <c r="C337" i="608"/>
  <c r="C153" i="127" s="1"/>
  <c r="D337" i="608"/>
  <c r="D153" i="127" s="1"/>
  <c r="E337" i="608"/>
  <c r="C338" i="608"/>
  <c r="C154" i="127" s="1"/>
  <c r="D338" i="608"/>
  <c r="D154" i="127" s="1"/>
  <c r="E338" i="608"/>
  <c r="C339" i="608"/>
  <c r="C155" i="127" s="1"/>
  <c r="D339" i="608"/>
  <c r="D155" i="127" s="1"/>
  <c r="E339" i="608"/>
  <c r="C340" i="608"/>
  <c r="C156" i="127" s="1"/>
  <c r="D340" i="608"/>
  <c r="D156" i="127" s="1"/>
  <c r="E340" i="608"/>
  <c r="C341" i="608"/>
  <c r="C157" i="127" s="1"/>
  <c r="D341" i="608"/>
  <c r="D157" i="127" s="1"/>
  <c r="E341" i="608"/>
  <c r="C342" i="608"/>
  <c r="C158" i="127" s="1"/>
  <c r="D342" i="608"/>
  <c r="D158" i="127" s="1"/>
  <c r="E342" i="608"/>
  <c r="C343" i="608"/>
  <c r="C159" i="127" s="1"/>
  <c r="D343" i="608"/>
  <c r="D159" i="127" s="1"/>
  <c r="E343" i="608"/>
  <c r="C344" i="608"/>
  <c r="C160" i="127" s="1"/>
  <c r="D344" i="608"/>
  <c r="D160" i="127" s="1"/>
  <c r="E344" i="608"/>
  <c r="C345" i="608"/>
  <c r="C161" i="127" s="1"/>
  <c r="D345" i="608"/>
  <c r="D161" i="127" s="1"/>
  <c r="E345" i="608"/>
  <c r="C346" i="608"/>
  <c r="C162" i="127" s="1"/>
  <c r="D346" i="608"/>
  <c r="D162" i="127" s="1"/>
  <c r="E346" i="608"/>
  <c r="C347" i="608"/>
  <c r="C163" i="127" s="1"/>
  <c r="D347" i="608"/>
  <c r="D163" i="127" s="1"/>
  <c r="E347" i="608"/>
  <c r="C348" i="608"/>
  <c r="C164" i="127" s="1"/>
  <c r="D348" i="608"/>
  <c r="D164" i="127" s="1"/>
  <c r="E348" i="608"/>
  <c r="C349" i="608"/>
  <c r="C165" i="127" s="1"/>
  <c r="D349" i="608"/>
  <c r="D165" i="127" s="1"/>
  <c r="E349" i="608"/>
  <c r="C350" i="608"/>
  <c r="C166" i="127" s="1"/>
  <c r="D350" i="608"/>
  <c r="D166" i="127" s="1"/>
  <c r="E350" i="608"/>
  <c r="C351" i="608"/>
  <c r="C167" i="127" s="1"/>
  <c r="D351" i="608"/>
  <c r="D167" i="127" s="1"/>
  <c r="E351" i="608"/>
  <c r="C352" i="608"/>
  <c r="C168" i="127" s="1"/>
  <c r="D352" i="608"/>
  <c r="D168" i="127" s="1"/>
  <c r="E352" i="608"/>
  <c r="C353" i="608"/>
  <c r="C169" i="127" s="1"/>
  <c r="D353" i="608"/>
  <c r="D169" i="127" s="1"/>
  <c r="E353" i="608"/>
  <c r="C354" i="608"/>
  <c r="C170" i="127" s="1"/>
  <c r="D354" i="608"/>
  <c r="D170" i="127" s="1"/>
  <c r="E354" i="608"/>
  <c r="C355" i="608"/>
  <c r="C171" i="127" s="1"/>
  <c r="D355" i="608"/>
  <c r="D171" i="127" s="1"/>
  <c r="E355" i="608"/>
  <c r="C356" i="608"/>
  <c r="C172" i="127" s="1"/>
  <c r="D356" i="608"/>
  <c r="D172" i="127" s="1"/>
  <c r="E356" i="608"/>
  <c r="C357" i="608"/>
  <c r="C173" i="127" s="1"/>
  <c r="D357" i="608"/>
  <c r="D173" i="127" s="1"/>
  <c r="E357" i="608"/>
  <c r="E358" i="608"/>
  <c r="E359" i="608"/>
  <c r="E360" i="608"/>
  <c r="E361" i="608"/>
  <c r="E362" i="608"/>
  <c r="E363" i="608"/>
  <c r="E364" i="608"/>
  <c r="E365" i="608"/>
  <c r="E366" i="608"/>
  <c r="E367" i="608"/>
  <c r="E368" i="608"/>
  <c r="E369" i="608"/>
  <c r="E370" i="608"/>
  <c r="E371" i="608"/>
  <c r="E372" i="608"/>
  <c r="E373" i="608"/>
  <c r="D377" i="608"/>
  <c r="E377" i="608"/>
  <c r="D378" i="608"/>
  <c r="E378" i="608"/>
  <c r="H380" i="608"/>
  <c r="F386" i="608"/>
  <c r="C387" i="608"/>
  <c r="D387" i="608"/>
  <c r="E387" i="608"/>
  <c r="C388" i="608"/>
  <c r="D388" i="608"/>
  <c r="E388" i="608"/>
  <c r="C389" i="608"/>
  <c r="D389" i="608"/>
  <c r="E389" i="608"/>
  <c r="C390" i="608"/>
  <c r="D390" i="608"/>
  <c r="E390" i="608"/>
  <c r="C391" i="608"/>
  <c r="D391" i="608"/>
  <c r="E391" i="608"/>
  <c r="C392" i="608"/>
  <c r="D392" i="608"/>
  <c r="E392" i="608"/>
  <c r="C393" i="608"/>
  <c r="D393" i="608"/>
  <c r="E393" i="608"/>
  <c r="C394" i="608"/>
  <c r="D394" i="608"/>
  <c r="E394" i="608"/>
  <c r="C395" i="608"/>
  <c r="D395" i="608"/>
  <c r="E395" i="608"/>
  <c r="C396" i="608"/>
  <c r="D396" i="608"/>
  <c r="E396" i="608"/>
  <c r="C397" i="608"/>
  <c r="D397" i="608"/>
  <c r="E397" i="608"/>
  <c r="C398" i="608"/>
  <c r="D398" i="608"/>
  <c r="E398" i="608"/>
  <c r="C399" i="608"/>
  <c r="D399" i="608"/>
  <c r="E399" i="608"/>
  <c r="C400" i="608"/>
  <c r="D400" i="608"/>
  <c r="E400" i="608"/>
  <c r="C401" i="608"/>
  <c r="D401" i="608"/>
  <c r="E401" i="608"/>
  <c r="C402" i="608"/>
  <c r="D402" i="608"/>
  <c r="E402" i="608"/>
  <c r="C403" i="608"/>
  <c r="D403" i="608"/>
  <c r="E403" i="608"/>
  <c r="C404" i="608"/>
  <c r="D404" i="608"/>
  <c r="E404" i="608"/>
  <c r="C405" i="608"/>
  <c r="D405" i="608"/>
  <c r="E405" i="608"/>
  <c r="C406" i="608"/>
  <c r="D406" i="608"/>
  <c r="E406" i="608"/>
  <c r="C407" i="608"/>
  <c r="D407" i="608"/>
  <c r="E407" i="608"/>
  <c r="C408" i="608"/>
  <c r="D408" i="608"/>
  <c r="E408" i="608"/>
  <c r="C409" i="608"/>
  <c r="D409" i="608"/>
  <c r="E409" i="608"/>
  <c r="C410" i="608"/>
  <c r="D410" i="608"/>
  <c r="E410" i="608"/>
  <c r="C411" i="608"/>
  <c r="D411" i="608"/>
  <c r="E411" i="608"/>
  <c r="C412" i="608"/>
  <c r="D412" i="608"/>
  <c r="E412" i="608"/>
  <c r="C413" i="608"/>
  <c r="D413" i="608"/>
  <c r="E413" i="608"/>
  <c r="C414" i="608"/>
  <c r="D414" i="608"/>
  <c r="E414" i="608"/>
  <c r="C415" i="608"/>
  <c r="D415" i="608"/>
  <c r="E415" i="608"/>
  <c r="C416" i="608"/>
  <c r="D416" i="608"/>
  <c r="E416" i="608"/>
  <c r="C417" i="608"/>
  <c r="D417" i="608"/>
  <c r="E417" i="608"/>
  <c r="C418" i="608"/>
  <c r="D418" i="608"/>
  <c r="E418" i="608"/>
  <c r="C419" i="608"/>
  <c r="D419" i="608"/>
  <c r="E419" i="608"/>
  <c r="C420" i="608"/>
  <c r="D420" i="608"/>
  <c r="E420" i="608"/>
  <c r="C421" i="608"/>
  <c r="D421" i="608"/>
  <c r="E421" i="608"/>
  <c r="C422" i="608"/>
  <c r="D422" i="608"/>
  <c r="E422" i="608"/>
  <c r="C423" i="608"/>
  <c r="D423" i="608"/>
  <c r="E423" i="608"/>
  <c r="C424" i="608"/>
  <c r="D424" i="608"/>
  <c r="E424" i="608"/>
  <c r="C425" i="608"/>
  <c r="D425" i="608"/>
  <c r="E425" i="608"/>
  <c r="C426" i="608"/>
  <c r="D426" i="608"/>
  <c r="E426" i="608"/>
  <c r="C427" i="608"/>
  <c r="D427" i="608"/>
  <c r="E427" i="608"/>
  <c r="E428" i="608"/>
  <c r="E429" i="608"/>
  <c r="E430" i="608"/>
  <c r="E431" i="608"/>
  <c r="E432" i="608"/>
  <c r="E433" i="608"/>
  <c r="E434" i="608"/>
  <c r="E435" i="608"/>
  <c r="E436" i="608"/>
  <c r="E437" i="608"/>
  <c r="E438" i="608"/>
  <c r="E439" i="608"/>
  <c r="E440" i="608"/>
  <c r="E441" i="608"/>
  <c r="E442" i="608"/>
  <c r="E443" i="608"/>
  <c r="D447" i="608"/>
  <c r="E447" i="608"/>
  <c r="D448" i="608"/>
  <c r="E448" i="608"/>
  <c r="H450" i="608"/>
  <c r="H211" i="608" s="1"/>
  <c r="F456" i="608"/>
  <c r="F457" i="608" s="1"/>
  <c r="C461" i="608"/>
  <c r="D461" i="608"/>
  <c r="E461" i="608"/>
  <c r="G461" i="608"/>
  <c r="H461" i="608"/>
  <c r="I461" i="608"/>
  <c r="J461" i="608"/>
  <c r="K461" i="608"/>
  <c r="L461" i="608"/>
  <c r="C462" i="608"/>
  <c r="D462" i="608"/>
  <c r="E462" i="608"/>
  <c r="C463" i="608"/>
  <c r="D463" i="608"/>
  <c r="E463" i="608"/>
  <c r="C464" i="608"/>
  <c r="D464" i="608"/>
  <c r="E464" i="608"/>
  <c r="C465" i="608"/>
  <c r="D465" i="608"/>
  <c r="E465" i="608"/>
  <c r="C466" i="608"/>
  <c r="D466" i="608"/>
  <c r="E466" i="608"/>
  <c r="C467" i="608"/>
  <c r="D467" i="608"/>
  <c r="E467" i="608"/>
  <c r="C468" i="608"/>
  <c r="D468" i="608"/>
  <c r="E468" i="608"/>
  <c r="C469" i="608"/>
  <c r="D469" i="608"/>
  <c r="E469" i="608"/>
  <c r="C470" i="608"/>
  <c r="D470" i="608"/>
  <c r="E470" i="608"/>
  <c r="C471" i="608"/>
  <c r="D471" i="608"/>
  <c r="E471" i="608"/>
  <c r="C472" i="608"/>
  <c r="D472" i="608"/>
  <c r="E472" i="608"/>
  <c r="H472" i="608"/>
  <c r="I472" i="608" s="1"/>
  <c r="J472" i="608" s="1"/>
  <c r="K472" i="608" s="1"/>
  <c r="L472" i="608" s="1"/>
  <c r="C473" i="608"/>
  <c r="D473" i="608"/>
  <c r="E473" i="608"/>
  <c r="H473" i="608"/>
  <c r="I473" i="608" s="1"/>
  <c r="J473" i="608" s="1"/>
  <c r="K473" i="608" s="1"/>
  <c r="L473" i="608" s="1"/>
  <c r="C474" i="608"/>
  <c r="D474" i="608"/>
  <c r="E474" i="608"/>
  <c r="H474" i="608"/>
  <c r="I474" i="608" s="1"/>
  <c r="J474" i="608" s="1"/>
  <c r="K474" i="608" s="1"/>
  <c r="L474" i="608" s="1"/>
  <c r="C475" i="608"/>
  <c r="D475" i="608"/>
  <c r="E475" i="608"/>
  <c r="H475" i="608"/>
  <c r="I475" i="608" s="1"/>
  <c r="J475" i="608" s="1"/>
  <c r="K475" i="608" s="1"/>
  <c r="L475" i="608" s="1"/>
  <c r="C476" i="608"/>
  <c r="D476" i="608"/>
  <c r="E476" i="608"/>
  <c r="G476" i="608"/>
  <c r="H476" i="608"/>
  <c r="I476" i="608"/>
  <c r="J476" i="608"/>
  <c r="K476" i="608"/>
  <c r="L476" i="608"/>
  <c r="C477" i="608"/>
  <c r="D477" i="608"/>
  <c r="E477" i="608"/>
  <c r="G477" i="608"/>
  <c r="H477" i="608"/>
  <c r="I477" i="608"/>
  <c r="J477" i="608"/>
  <c r="K477" i="608"/>
  <c r="L477" i="608"/>
  <c r="C478" i="608"/>
  <c r="D478" i="608"/>
  <c r="E478" i="608"/>
  <c r="G478" i="608"/>
  <c r="H478" i="608"/>
  <c r="I478" i="608"/>
  <c r="J478" i="608"/>
  <c r="K478" i="608"/>
  <c r="L478" i="608"/>
  <c r="C479" i="608"/>
  <c r="D479" i="608"/>
  <c r="E479" i="608"/>
  <c r="G479" i="608"/>
  <c r="H479" i="608"/>
  <c r="I479" i="608"/>
  <c r="J479" i="608"/>
  <c r="K479" i="608"/>
  <c r="L479" i="608"/>
  <c r="C480" i="608"/>
  <c r="D480" i="608"/>
  <c r="E480" i="608"/>
  <c r="G480" i="608"/>
  <c r="H480" i="608"/>
  <c r="I480" i="608"/>
  <c r="J480" i="608"/>
  <c r="K480" i="608"/>
  <c r="L480" i="608"/>
  <c r="C481" i="608"/>
  <c r="D481" i="608"/>
  <c r="E481" i="608"/>
  <c r="G481" i="608"/>
  <c r="H481" i="608"/>
  <c r="I481" i="608"/>
  <c r="J481" i="608"/>
  <c r="K481" i="608"/>
  <c r="L481" i="608"/>
  <c r="C482" i="608"/>
  <c r="D482" i="608"/>
  <c r="E482" i="608"/>
  <c r="G482" i="608"/>
  <c r="H482" i="608"/>
  <c r="I482" i="608"/>
  <c r="J482" i="608"/>
  <c r="K482" i="608"/>
  <c r="L482" i="608"/>
  <c r="C483" i="608"/>
  <c r="D483" i="608"/>
  <c r="E483" i="608"/>
  <c r="G483" i="608"/>
  <c r="H483" i="608"/>
  <c r="I483" i="608"/>
  <c r="J483" i="608"/>
  <c r="K483" i="608"/>
  <c r="L483" i="608"/>
  <c r="C484" i="608"/>
  <c r="D484" i="608"/>
  <c r="E484" i="608"/>
  <c r="G484" i="608"/>
  <c r="H484" i="608"/>
  <c r="I484" i="608"/>
  <c r="J484" i="608"/>
  <c r="K484" i="608"/>
  <c r="L484" i="608"/>
  <c r="C485" i="608"/>
  <c r="D485" i="608"/>
  <c r="E485" i="608"/>
  <c r="G485" i="608"/>
  <c r="H485" i="608"/>
  <c r="I485" i="608"/>
  <c r="J485" i="608"/>
  <c r="K485" i="608"/>
  <c r="L485" i="608"/>
  <c r="C486" i="608"/>
  <c r="D486" i="608"/>
  <c r="E486" i="608"/>
  <c r="G486" i="608"/>
  <c r="H486" i="608"/>
  <c r="I486" i="608"/>
  <c r="J486" i="608"/>
  <c r="K486" i="608"/>
  <c r="L486" i="608"/>
  <c r="C487" i="608"/>
  <c r="D487" i="608"/>
  <c r="E487" i="608"/>
  <c r="C488" i="608"/>
  <c r="D488" i="608"/>
  <c r="E488" i="608"/>
  <c r="G488" i="608"/>
  <c r="H488" i="608"/>
  <c r="I488" i="608"/>
  <c r="J488" i="608"/>
  <c r="K488" i="608"/>
  <c r="L488" i="608"/>
  <c r="C489" i="608"/>
  <c r="D489" i="608"/>
  <c r="E489" i="608"/>
  <c r="G489" i="608"/>
  <c r="H489" i="608"/>
  <c r="I489" i="608"/>
  <c r="J489" i="608"/>
  <c r="K489" i="608"/>
  <c r="L489" i="608"/>
  <c r="C490" i="608"/>
  <c r="D490" i="608"/>
  <c r="E490" i="608"/>
  <c r="G490" i="608"/>
  <c r="H490" i="608"/>
  <c r="I490" i="608"/>
  <c r="J490" i="608"/>
  <c r="K490" i="608"/>
  <c r="L490" i="608"/>
  <c r="C491" i="608"/>
  <c r="D491" i="608"/>
  <c r="E491" i="608"/>
  <c r="G491" i="608"/>
  <c r="H491" i="608"/>
  <c r="I491" i="608"/>
  <c r="J491" i="608"/>
  <c r="K491" i="608"/>
  <c r="L491" i="608"/>
  <c r="C492" i="608"/>
  <c r="D492" i="608"/>
  <c r="E492" i="608"/>
  <c r="G492" i="608"/>
  <c r="H492" i="608"/>
  <c r="I492" i="608"/>
  <c r="J492" i="608"/>
  <c r="K492" i="608"/>
  <c r="L492" i="608"/>
  <c r="C493" i="608"/>
  <c r="D493" i="608"/>
  <c r="E493" i="608"/>
  <c r="G493" i="608"/>
  <c r="H493" i="608"/>
  <c r="I493" i="608"/>
  <c r="J493" i="608"/>
  <c r="K493" i="608"/>
  <c r="L493" i="608"/>
  <c r="C494" i="608"/>
  <c r="D494" i="608"/>
  <c r="E494" i="608"/>
  <c r="G494" i="608"/>
  <c r="H494" i="608"/>
  <c r="I494" i="608"/>
  <c r="J494" i="608"/>
  <c r="K494" i="608"/>
  <c r="L494" i="608"/>
  <c r="C495" i="608"/>
  <c r="D495" i="608"/>
  <c r="E495" i="608"/>
  <c r="G495" i="608"/>
  <c r="H495" i="608"/>
  <c r="I495" i="608"/>
  <c r="J495" i="608"/>
  <c r="K495" i="608"/>
  <c r="L495" i="608"/>
  <c r="C496" i="608"/>
  <c r="D496" i="608"/>
  <c r="E496" i="608"/>
  <c r="G496" i="608"/>
  <c r="H496" i="608"/>
  <c r="I496" i="608"/>
  <c r="J496" i="608"/>
  <c r="K496" i="608"/>
  <c r="L496" i="608"/>
  <c r="C497" i="608"/>
  <c r="D497" i="608"/>
  <c r="E497" i="608"/>
  <c r="C498" i="608"/>
  <c r="D498" i="608"/>
  <c r="E498" i="608"/>
  <c r="C499" i="608"/>
  <c r="D499" i="608"/>
  <c r="E499" i="608"/>
  <c r="G499" i="608"/>
  <c r="H499" i="608"/>
  <c r="I499" i="608"/>
  <c r="J499" i="608"/>
  <c r="K499" i="608"/>
  <c r="L499" i="608"/>
  <c r="C500" i="608"/>
  <c r="D500" i="608"/>
  <c r="E500" i="608"/>
  <c r="C501" i="608"/>
  <c r="D501" i="608"/>
  <c r="E501" i="608"/>
  <c r="C502" i="608"/>
  <c r="D502" i="608"/>
  <c r="E502" i="608"/>
  <c r="C503" i="608"/>
  <c r="D503" i="608"/>
  <c r="E503" i="608"/>
  <c r="G503" i="608"/>
  <c r="H503" i="608"/>
  <c r="I503" i="608"/>
  <c r="J503" i="608"/>
  <c r="K503" i="608"/>
  <c r="L503" i="608"/>
  <c r="E504" i="608"/>
  <c r="D521" i="608"/>
  <c r="E521" i="608"/>
  <c r="G521" i="608"/>
  <c r="D522" i="608"/>
  <c r="E522" i="608"/>
  <c r="G522" i="608"/>
  <c r="H524" i="608"/>
  <c r="G502" i="608"/>
  <c r="H502" i="608"/>
  <c r="I502" i="608"/>
  <c r="J502" i="608"/>
  <c r="K502" i="608"/>
  <c r="L502" i="608"/>
  <c r="G487" i="608"/>
  <c r="H527" i="608"/>
  <c r="C584" i="608"/>
  <c r="G625" i="608"/>
  <c r="H625" i="608"/>
  <c r="I625" i="608"/>
  <c r="J625" i="608"/>
  <c r="K625" i="608"/>
  <c r="L625" i="608"/>
  <c r="G626" i="608"/>
  <c r="H626" i="608"/>
  <c r="I626" i="608"/>
  <c r="J626" i="608"/>
  <c r="K626" i="608"/>
  <c r="L626" i="608"/>
  <c r="G627" i="608"/>
  <c r="H627" i="608"/>
  <c r="I627" i="608"/>
  <c r="J627" i="608"/>
  <c r="K627" i="608"/>
  <c r="L627" i="608"/>
  <c r="G628" i="608"/>
  <c r="H628" i="608"/>
  <c r="I628" i="608"/>
  <c r="J628" i="608"/>
  <c r="K628" i="608"/>
  <c r="L628" i="608"/>
  <c r="G629" i="608"/>
  <c r="H629" i="608"/>
  <c r="I629" i="608"/>
  <c r="J629" i="608"/>
  <c r="K629" i="608"/>
  <c r="L629" i="608"/>
  <c r="G630" i="608"/>
  <c r="H630" i="608"/>
  <c r="I630" i="608"/>
  <c r="J630" i="608"/>
  <c r="K630" i="608"/>
  <c r="L630" i="608"/>
  <c r="G631" i="608"/>
  <c r="H631" i="608"/>
  <c r="I631" i="608"/>
  <c r="J631" i="608"/>
  <c r="K631" i="608"/>
  <c r="L631" i="608"/>
  <c r="G633" i="608"/>
  <c r="H633" i="608"/>
  <c r="I633" i="608"/>
  <c r="J633" i="608"/>
  <c r="K633" i="608"/>
  <c r="L633" i="608"/>
  <c r="G634" i="608"/>
  <c r="H634" i="608"/>
  <c r="I634" i="608"/>
  <c r="J634" i="608"/>
  <c r="K634" i="608"/>
  <c r="L634" i="608"/>
  <c r="G635" i="608"/>
  <c r="H635" i="608"/>
  <c r="I635" i="608"/>
  <c r="J635" i="608"/>
  <c r="K635" i="608"/>
  <c r="L635" i="608"/>
  <c r="G636" i="608"/>
  <c r="Y51" i="812" l="1"/>
  <c r="X51" i="812"/>
  <c r="R50" i="812"/>
  <c r="J115" i="812"/>
  <c r="J233" i="812" s="1"/>
  <c r="M103" i="62"/>
  <c r="Y52" i="812"/>
  <c r="AE52" i="812" s="1"/>
  <c r="X52" i="812"/>
  <c r="AA51" i="812"/>
  <c r="AA50" i="812" s="1"/>
  <c r="AA20" i="812" s="1"/>
  <c r="AA107" i="812" s="1"/>
  <c r="AA109" i="812" s="1"/>
  <c r="AA149" i="812" s="1"/>
  <c r="T50" i="812"/>
  <c r="AE5" i="812"/>
  <c r="N141" i="812"/>
  <c r="U141" i="812" s="1"/>
  <c r="Z51" i="812"/>
  <c r="Z50" i="812" s="1"/>
  <c r="Z20" i="812" s="1"/>
  <c r="Z107" i="812" s="1"/>
  <c r="Z109" i="812" s="1"/>
  <c r="Z149" i="812" s="1"/>
  <c r="S50" i="812"/>
  <c r="J164" i="812"/>
  <c r="T65" i="812"/>
  <c r="X123" i="812"/>
  <c r="X53" i="812"/>
  <c r="Y53" i="812"/>
  <c r="AE53" i="812" s="1"/>
  <c r="X32" i="812"/>
  <c r="Y54" i="812"/>
  <c r="AE54" i="812" s="1"/>
  <c r="X54" i="812"/>
  <c r="X15" i="812"/>
  <c r="AD51" i="812"/>
  <c r="AD50" i="812" s="1"/>
  <c r="AD20" i="812" s="1"/>
  <c r="AD107" i="812" s="1"/>
  <c r="AD109" i="812" s="1"/>
  <c r="AD149" i="812" s="1"/>
  <c r="W50" i="812"/>
  <c r="X105" i="812"/>
  <c r="D114" i="812"/>
  <c r="Q115" i="812"/>
  <c r="K141" i="812"/>
  <c r="R141" i="812" s="1"/>
  <c r="AE10" i="812"/>
  <c r="Y9" i="812"/>
  <c r="AE9" i="812" s="1"/>
  <c r="AC51" i="812"/>
  <c r="AC50" i="812" s="1"/>
  <c r="AC20" i="812" s="1"/>
  <c r="AC107" i="812" s="1"/>
  <c r="AC109" i="812" s="1"/>
  <c r="AC149" i="812" s="1"/>
  <c r="V50" i="812"/>
  <c r="U50" i="812"/>
  <c r="AB51" i="812"/>
  <c r="AB50" i="812" s="1"/>
  <c r="AB20" i="812" s="1"/>
  <c r="AB107" i="812" s="1"/>
  <c r="AB109" i="812" s="1"/>
  <c r="AB149" i="812" s="1"/>
  <c r="AE21" i="812"/>
  <c r="M56" i="62"/>
  <c r="M44" i="62"/>
  <c r="X116" i="812"/>
  <c r="Q31" i="812"/>
  <c r="M76" i="62"/>
  <c r="M69" i="62"/>
  <c r="X115" i="812"/>
  <c r="Y55" i="812"/>
  <c r="AE55" i="812" s="1"/>
  <c r="X55" i="812"/>
  <c r="U27" i="812"/>
  <c r="Q95" i="812"/>
  <c r="H114" i="812"/>
  <c r="M102" i="62"/>
  <c r="M5" i="812"/>
  <c r="X56" i="812"/>
  <c r="Y56" i="812"/>
  <c r="AE56" i="812" s="1"/>
  <c r="I166" i="812"/>
  <c r="I167" i="812" s="1"/>
  <c r="M96" i="62"/>
  <c r="D133" i="127"/>
  <c r="H497" i="608"/>
  <c r="H500" i="608"/>
  <c r="H501" i="608"/>
  <c r="D88" i="127"/>
  <c r="M30" i="62"/>
  <c r="M81" i="62"/>
  <c r="M33" i="62"/>
  <c r="M74" i="62"/>
  <c r="Q32" i="812"/>
  <c r="Q29" i="812"/>
  <c r="M15" i="62"/>
  <c r="M82" i="62"/>
  <c r="M37" i="62"/>
  <c r="M10" i="62"/>
  <c r="M7" i="62"/>
  <c r="M62" i="62"/>
  <c r="M67" i="62"/>
  <c r="M23" i="62"/>
  <c r="M24" i="62"/>
  <c r="M83" i="62"/>
  <c r="M100" i="62"/>
  <c r="M65" i="62"/>
  <c r="M35" i="62"/>
  <c r="M60" i="62"/>
  <c r="X120" i="812"/>
  <c r="M68" i="62"/>
  <c r="M59" i="62"/>
  <c r="Q90" i="812"/>
  <c r="M11" i="62"/>
  <c r="M38" i="62"/>
  <c r="M28" i="62"/>
  <c r="S27" i="812"/>
  <c r="X36" i="812"/>
  <c r="M104" i="62"/>
  <c r="M31" i="62"/>
  <c r="M26" i="62"/>
  <c r="M12" i="62"/>
  <c r="Q36" i="812"/>
  <c r="Q15" i="812"/>
  <c r="M89" i="62"/>
  <c r="M87" i="62"/>
  <c r="M36" i="62"/>
  <c r="M9" i="62"/>
  <c r="M51" i="62"/>
  <c r="M48" i="62"/>
  <c r="M99" i="62"/>
  <c r="M34" i="62"/>
  <c r="M39" i="62"/>
  <c r="M32" i="62"/>
  <c r="M16" i="62"/>
  <c r="M50" i="62"/>
  <c r="M66" i="62"/>
  <c r="X30" i="812"/>
  <c r="M97" i="62"/>
  <c r="X98" i="812"/>
  <c r="M105" i="62"/>
  <c r="M43" i="62"/>
  <c r="M6" i="62"/>
  <c r="M45" i="62"/>
  <c r="M72" i="62"/>
  <c r="G166" i="812"/>
  <c r="G167" i="812" s="1"/>
  <c r="Q7" i="812"/>
  <c r="X90" i="812"/>
  <c r="Q10" i="812"/>
  <c r="X143" i="812"/>
  <c r="J160" i="812"/>
  <c r="M117" i="812"/>
  <c r="M114" i="812" s="1"/>
  <c r="J162" i="812"/>
  <c r="O27" i="812"/>
  <c r="O26" i="812" s="1"/>
  <c r="M54" i="62"/>
  <c r="P142" i="812"/>
  <c r="W142" i="812" s="1"/>
  <c r="M55" i="62"/>
  <c r="M84" i="62"/>
  <c r="M80" i="62"/>
  <c r="M101" i="62"/>
  <c r="X46" i="812"/>
  <c r="M53" i="62"/>
  <c r="M14" i="62"/>
  <c r="M79" i="62"/>
  <c r="M73" i="62"/>
  <c r="M47" i="62"/>
  <c r="M95" i="62"/>
  <c r="X97" i="812"/>
  <c r="J155" i="812"/>
  <c r="L117" i="812"/>
  <c r="L114" i="812" s="1"/>
  <c r="M58" i="62"/>
  <c r="M78" i="62"/>
  <c r="M75" i="62"/>
  <c r="M27" i="62"/>
  <c r="M86" i="62"/>
  <c r="O141" i="812"/>
  <c r="V141" i="812" s="1"/>
  <c r="I135" i="812"/>
  <c r="M21" i="62"/>
  <c r="M29" i="62"/>
  <c r="M98" i="62"/>
  <c r="N14" i="812"/>
  <c r="N9" i="812" s="1"/>
  <c r="P44" i="812"/>
  <c r="H319" i="508"/>
  <c r="E319" i="508"/>
  <c r="F319" i="508"/>
  <c r="H498" i="608"/>
  <c r="W14" i="812"/>
  <c r="W9" i="812" s="1"/>
  <c r="T118" i="812"/>
  <c r="T117" i="812" s="1"/>
  <c r="Q143" i="812"/>
  <c r="G319" i="508"/>
  <c r="M27" i="812"/>
  <c r="P117" i="812"/>
  <c r="P114" i="812" s="1"/>
  <c r="Q28" i="812"/>
  <c r="N27" i="812"/>
  <c r="K27" i="812"/>
  <c r="J117" i="812"/>
  <c r="J232" i="812" s="1"/>
  <c r="S44" i="812"/>
  <c r="Q30" i="812"/>
  <c r="J119" i="823"/>
  <c r="D319" i="508"/>
  <c r="Q23" i="812"/>
  <c r="H166" i="812"/>
  <c r="H167" i="812" s="1"/>
  <c r="Q72" i="812"/>
  <c r="J165" i="812"/>
  <c r="F114" i="812"/>
  <c r="F146" i="812" s="1"/>
  <c r="E153" i="812"/>
  <c r="L21" i="812"/>
  <c r="Q21" i="812" s="1"/>
  <c r="J163" i="812"/>
  <c r="I319" i="508"/>
  <c r="J161" i="812"/>
  <c r="Q98" i="812"/>
  <c r="Q60" i="812"/>
  <c r="Q46" i="812"/>
  <c r="V28" i="812"/>
  <c r="X28" i="812" s="1"/>
  <c r="M64" i="62"/>
  <c r="M46" i="62"/>
  <c r="M88" i="62"/>
  <c r="M61" i="62"/>
  <c r="M107" i="62"/>
  <c r="M63" i="62"/>
  <c r="M90" i="62"/>
  <c r="M71" i="62"/>
  <c r="M70" i="62"/>
  <c r="M41" i="62"/>
  <c r="M22" i="62"/>
  <c r="M94" i="62"/>
  <c r="M20" i="62"/>
  <c r="M92" i="62"/>
  <c r="M18" i="62"/>
  <c r="M42" i="62"/>
  <c r="M40" i="62"/>
  <c r="M91" i="62"/>
  <c r="M17" i="62"/>
  <c r="M77" i="62"/>
  <c r="M93" i="62"/>
  <c r="D166" i="812"/>
  <c r="D167" i="812" s="1"/>
  <c r="K487" i="608"/>
  <c r="J487" i="608"/>
  <c r="I20" i="127"/>
  <c r="I487" i="608"/>
  <c r="H487" i="608"/>
  <c r="H15" i="127"/>
  <c r="L20" i="127"/>
  <c r="H20" i="127"/>
  <c r="H35" i="127"/>
  <c r="J20" i="127"/>
  <c r="Q97" i="812"/>
  <c r="Q105" i="812"/>
  <c r="W92" i="812"/>
  <c r="Q89" i="812"/>
  <c r="W99" i="812"/>
  <c r="P92" i="812"/>
  <c r="Q37" i="812"/>
  <c r="X83" i="812"/>
  <c r="X37" i="812"/>
  <c r="X75" i="812"/>
  <c r="Q75" i="812"/>
  <c r="H153" i="812"/>
  <c r="N92" i="812"/>
  <c r="Q83" i="812"/>
  <c r="N44" i="812"/>
  <c r="U71" i="812"/>
  <c r="N71" i="812"/>
  <c r="M99" i="812"/>
  <c r="Q18" i="812"/>
  <c r="X18" i="812"/>
  <c r="E166" i="812"/>
  <c r="E167" i="812" s="1"/>
  <c r="Q68" i="812"/>
  <c r="X68" i="812"/>
  <c r="L139" i="812"/>
  <c r="L135" i="812" s="1"/>
  <c r="S140" i="812"/>
  <c r="S113" i="812"/>
  <c r="Z4" i="812"/>
  <c r="K129" i="812"/>
  <c r="N129" i="812"/>
  <c r="M129" i="812"/>
  <c r="L129" i="812"/>
  <c r="P129" i="812"/>
  <c r="U92" i="812"/>
  <c r="P39" i="812"/>
  <c r="W40" i="812"/>
  <c r="W39" i="812" s="1"/>
  <c r="R104" i="812"/>
  <c r="X104" i="812" s="1"/>
  <c r="Q104" i="812"/>
  <c r="N59" i="812"/>
  <c r="U61" i="812"/>
  <c r="U59" i="812" s="1"/>
  <c r="R96" i="812"/>
  <c r="X96" i="812" s="1"/>
  <c r="Q96" i="812"/>
  <c r="V94" i="812"/>
  <c r="V92" i="812" s="1"/>
  <c r="O92" i="812"/>
  <c r="G231" i="812"/>
  <c r="G122" i="812"/>
  <c r="Q42" i="812"/>
  <c r="R42" i="812"/>
  <c r="X42" i="812" s="1"/>
  <c r="P78" i="812"/>
  <c r="R84" i="812"/>
  <c r="X84" i="812" s="1"/>
  <c r="Q84" i="812"/>
  <c r="J109" i="812"/>
  <c r="F230" i="812"/>
  <c r="F235" i="812" s="1"/>
  <c r="F122" i="812"/>
  <c r="X79" i="812"/>
  <c r="R43" i="812"/>
  <c r="X43" i="812" s="1"/>
  <c r="Q43" i="812"/>
  <c r="D122" i="812"/>
  <c r="D231" i="812"/>
  <c r="J123" i="812"/>
  <c r="J231" i="812" s="1"/>
  <c r="H231" i="812"/>
  <c r="H122" i="812"/>
  <c r="K78" i="812"/>
  <c r="S101" i="812"/>
  <c r="X101" i="812" s="1"/>
  <c r="Q101" i="812"/>
  <c r="R62" i="812"/>
  <c r="X62" i="812" s="1"/>
  <c r="Q62" i="812"/>
  <c r="S16" i="812"/>
  <c r="S14" i="812" s="1"/>
  <c r="S9" i="812" s="1"/>
  <c r="L14" i="812"/>
  <c r="L9" i="812" s="1"/>
  <c r="T80" i="812"/>
  <c r="T78" i="812" s="1"/>
  <c r="M78" i="812"/>
  <c r="U118" i="812"/>
  <c r="U117" i="812" s="1"/>
  <c r="N117" i="812"/>
  <c r="N114" i="812" s="1"/>
  <c r="S93" i="812"/>
  <c r="L92" i="812"/>
  <c r="Q93" i="812"/>
  <c r="R70" i="812"/>
  <c r="X70" i="812" s="1"/>
  <c r="Q70" i="812"/>
  <c r="T95" i="812"/>
  <c r="T92" i="812" s="1"/>
  <c r="M92" i="812"/>
  <c r="L65" i="812"/>
  <c r="S66" i="812"/>
  <c r="S65" i="812" s="1"/>
  <c r="Q66" i="812"/>
  <c r="U80" i="812"/>
  <c r="U78" i="812" s="1"/>
  <c r="N78" i="812"/>
  <c r="R63" i="812"/>
  <c r="Q63" i="812"/>
  <c r="V102" i="812"/>
  <c r="V99" i="812" s="1"/>
  <c r="O99" i="812"/>
  <c r="U38" i="812"/>
  <c r="X38" i="812" s="1"/>
  <c r="Q38" i="812"/>
  <c r="R73" i="812"/>
  <c r="X73" i="812" s="1"/>
  <c r="Q73" i="812"/>
  <c r="K71" i="812"/>
  <c r="P65" i="812"/>
  <c r="W66" i="812"/>
  <c r="W65" i="812" s="1"/>
  <c r="T113" i="812"/>
  <c r="AA4" i="812"/>
  <c r="M44" i="812"/>
  <c r="V80" i="812"/>
  <c r="V78" i="812" s="1"/>
  <c r="O78" i="812"/>
  <c r="O129" i="812"/>
  <c r="V63" i="812"/>
  <c r="V59" i="812" s="1"/>
  <c r="O59" i="812"/>
  <c r="D230" i="812"/>
  <c r="J128" i="812"/>
  <c r="J230" i="812" s="1"/>
  <c r="M71" i="812"/>
  <c r="S78" i="812"/>
  <c r="R100" i="812"/>
  <c r="Q100" i="812"/>
  <c r="K99" i="812"/>
  <c r="N140" i="812"/>
  <c r="M140" i="812"/>
  <c r="K140" i="812"/>
  <c r="O140" i="812"/>
  <c r="P140" i="812"/>
  <c r="K92" i="812"/>
  <c r="T99" i="812"/>
  <c r="Q136" i="812"/>
  <c r="T17" i="812"/>
  <c r="T14" i="812" s="1"/>
  <c r="T9" i="812" s="1"/>
  <c r="M14" i="812"/>
  <c r="M9" i="812" s="1"/>
  <c r="W78" i="812"/>
  <c r="R41" i="812"/>
  <c r="X41" i="812" s="1"/>
  <c r="Q41" i="812"/>
  <c r="L99" i="812"/>
  <c r="D228" i="812"/>
  <c r="J139" i="812"/>
  <c r="J228" i="812" s="1"/>
  <c r="X137" i="812"/>
  <c r="R136" i="812"/>
  <c r="R91" i="812"/>
  <c r="X91" i="812" s="1"/>
  <c r="Q91" i="812"/>
  <c r="N142" i="812"/>
  <c r="U142" i="812" s="1"/>
  <c r="M142" i="812"/>
  <c r="T142" i="812" s="1"/>
  <c r="K142" i="812"/>
  <c r="O142" i="812"/>
  <c r="V142" i="812" s="1"/>
  <c r="W64" i="812"/>
  <c r="W59" i="812" s="1"/>
  <c r="P59" i="812"/>
  <c r="L27" i="812"/>
  <c r="R113" i="812"/>
  <c r="Y4" i="812"/>
  <c r="K117" i="812"/>
  <c r="Q118" i="812"/>
  <c r="R118" i="812"/>
  <c r="Q94" i="812"/>
  <c r="R94" i="812"/>
  <c r="F166" i="812"/>
  <c r="F167" i="812" s="1"/>
  <c r="G153" i="812"/>
  <c r="Q82" i="812"/>
  <c r="G229" i="812"/>
  <c r="G135" i="812"/>
  <c r="U100" i="812"/>
  <c r="U99" i="812" s="1"/>
  <c r="N99" i="812"/>
  <c r="Q102" i="812"/>
  <c r="R102" i="812"/>
  <c r="S72" i="812"/>
  <c r="L71" i="812"/>
  <c r="N65" i="812"/>
  <c r="U66" i="812"/>
  <c r="U65" i="812" s="1"/>
  <c r="T71" i="812"/>
  <c r="T44" i="812"/>
  <c r="X108" i="812"/>
  <c r="V17" i="812"/>
  <c r="V14" i="812" s="1"/>
  <c r="V9" i="812" s="1"/>
  <c r="O14" i="812"/>
  <c r="O9" i="812" s="1"/>
  <c r="H135" i="812"/>
  <c r="H229" i="812"/>
  <c r="Q48" i="812"/>
  <c r="R48" i="812"/>
  <c r="X48" i="812" s="1"/>
  <c r="R88" i="812"/>
  <c r="X88" i="812" s="1"/>
  <c r="Q88" i="812"/>
  <c r="W72" i="812"/>
  <c r="W71" i="812" s="1"/>
  <c r="P71" i="812"/>
  <c r="V66" i="812"/>
  <c r="V65" i="812" s="1"/>
  <c r="O65" i="812"/>
  <c r="P99" i="812"/>
  <c r="R16" i="812"/>
  <c r="Q16" i="812"/>
  <c r="K14" i="812"/>
  <c r="P5" i="812"/>
  <c r="G232" i="812"/>
  <c r="G114" i="812"/>
  <c r="L44" i="812"/>
  <c r="S117" i="812"/>
  <c r="N86" i="812"/>
  <c r="U87" i="812"/>
  <c r="U86" i="812" s="1"/>
  <c r="V47" i="812"/>
  <c r="V44" i="812" s="1"/>
  <c r="O44" i="812"/>
  <c r="S35" i="812"/>
  <c r="S34" i="812" s="1"/>
  <c r="L34" i="812"/>
  <c r="L39" i="812"/>
  <c r="S40" i="812"/>
  <c r="S39" i="812" s="1"/>
  <c r="R77" i="812"/>
  <c r="X77" i="812" s="1"/>
  <c r="Q77" i="812"/>
  <c r="R119" i="812"/>
  <c r="X119" i="812" s="1"/>
  <c r="Q119" i="812"/>
  <c r="R5" i="812"/>
  <c r="X6" i="812"/>
  <c r="J158" i="812"/>
  <c r="D153" i="812"/>
  <c r="S61" i="812"/>
  <c r="S59" i="812" s="1"/>
  <c r="L59" i="812"/>
  <c r="F153" i="812"/>
  <c r="R64" i="812"/>
  <c r="Q64" i="812"/>
  <c r="O86" i="812"/>
  <c r="V87" i="812"/>
  <c r="V86" i="812" s="1"/>
  <c r="V71" i="812"/>
  <c r="R35" i="812"/>
  <c r="Q35" i="812"/>
  <c r="K34" i="812"/>
  <c r="R80" i="812"/>
  <c r="Q80" i="812"/>
  <c r="Q74" i="812"/>
  <c r="R74" i="812"/>
  <c r="X74" i="812" s="1"/>
  <c r="U14" i="812"/>
  <c r="U9" i="812" s="1"/>
  <c r="Q40" i="812"/>
  <c r="K39" i="812"/>
  <c r="R40" i="812"/>
  <c r="Q144" i="812"/>
  <c r="S76" i="812"/>
  <c r="X76" i="812" s="1"/>
  <c r="Q76" i="812"/>
  <c r="R81" i="812"/>
  <c r="X81" i="812" s="1"/>
  <c r="Q81" i="812"/>
  <c r="K86" i="812"/>
  <c r="R87" i="812"/>
  <c r="Q87" i="812"/>
  <c r="W118" i="812"/>
  <c r="W117" i="812" s="1"/>
  <c r="V35" i="812"/>
  <c r="V34" i="812" s="1"/>
  <c r="O34" i="812"/>
  <c r="M39" i="812"/>
  <c r="T40" i="812"/>
  <c r="T39" i="812" s="1"/>
  <c r="R144" i="812"/>
  <c r="X144" i="812" s="1"/>
  <c r="W87" i="812"/>
  <c r="W86" i="812" s="1"/>
  <c r="P86" i="812"/>
  <c r="R47" i="812"/>
  <c r="Q47" i="812"/>
  <c r="P34" i="812"/>
  <c r="W35" i="812"/>
  <c r="W34" i="812" s="1"/>
  <c r="N39" i="812"/>
  <c r="U40" i="812"/>
  <c r="U39" i="812" s="1"/>
  <c r="V113" i="812"/>
  <c r="AC4" i="812"/>
  <c r="I230" i="812"/>
  <c r="I122" i="812"/>
  <c r="V7" i="812"/>
  <c r="O5" i="812"/>
  <c r="R69" i="812"/>
  <c r="X69" i="812" s="1"/>
  <c r="Q69" i="812"/>
  <c r="S87" i="812"/>
  <c r="S86" i="812" s="1"/>
  <c r="L86" i="812"/>
  <c r="X45" i="812"/>
  <c r="R33" i="812"/>
  <c r="Q33" i="812"/>
  <c r="P27" i="812"/>
  <c r="M34" i="812"/>
  <c r="T35" i="812"/>
  <c r="T34" i="812" s="1"/>
  <c r="O39" i="812"/>
  <c r="V40" i="812"/>
  <c r="V39" i="812" s="1"/>
  <c r="R67" i="812"/>
  <c r="X67" i="812" s="1"/>
  <c r="Q67" i="812"/>
  <c r="K65" i="812"/>
  <c r="R61" i="812"/>
  <c r="Q61" i="812"/>
  <c r="K59" i="812"/>
  <c r="S141" i="812"/>
  <c r="X141" i="812" s="1"/>
  <c r="E231" i="812"/>
  <c r="E235" i="812" s="1"/>
  <c r="E122" i="812"/>
  <c r="X60" i="812"/>
  <c r="T87" i="812"/>
  <c r="T86" i="812" s="1"/>
  <c r="M86" i="812"/>
  <c r="L78" i="812"/>
  <c r="K44" i="812"/>
  <c r="W27" i="812"/>
  <c r="U35" i="812"/>
  <c r="N34" i="812"/>
  <c r="P14" i="812"/>
  <c r="P9" i="812" s="1"/>
  <c r="E135" i="812"/>
  <c r="J136" i="812"/>
  <c r="J229" i="812" s="1"/>
  <c r="D135" i="812"/>
  <c r="D229" i="812"/>
  <c r="T61" i="812"/>
  <c r="T59" i="812" s="1"/>
  <c r="M59" i="812"/>
  <c r="I233" i="812"/>
  <c r="I114" i="812"/>
  <c r="X89" i="812"/>
  <c r="O71" i="812"/>
  <c r="Q103" i="812"/>
  <c r="R103" i="812"/>
  <c r="X103" i="812" s="1"/>
  <c r="R17" i="812"/>
  <c r="Q17" i="812"/>
  <c r="V27" i="812"/>
  <c r="O117" i="812"/>
  <c r="O114" i="812" s="1"/>
  <c r="V118" i="812"/>
  <c r="V117" i="812" s="1"/>
  <c r="J343" i="127"/>
  <c r="I343" i="127"/>
  <c r="H343" i="127"/>
  <c r="I380" i="608"/>
  <c r="H195" i="127"/>
  <c r="J140" i="608"/>
  <c r="J544" i="608" s="1"/>
  <c r="I352" i="127"/>
  <c r="H13" i="127"/>
  <c r="I240" i="608"/>
  <c r="I9" i="127" s="1"/>
  <c r="H9" i="127"/>
  <c r="H522" i="608"/>
  <c r="H209" i="608" s="1"/>
  <c r="I524" i="608"/>
  <c r="J524" i="608" s="1"/>
  <c r="K524" i="608" s="1"/>
  <c r="L524" i="608" s="1"/>
  <c r="I13" i="127"/>
  <c r="H66" i="608"/>
  <c r="H119" i="127" s="1"/>
  <c r="H36" i="127"/>
  <c r="K244" i="608"/>
  <c r="K13" i="127" s="1"/>
  <c r="J13" i="127"/>
  <c r="H352" i="127"/>
  <c r="I238" i="608"/>
  <c r="H7" i="127"/>
  <c r="K632" i="608"/>
  <c r="K20" i="127"/>
  <c r="G20" i="127"/>
  <c r="G16" i="127"/>
  <c r="M16" i="127" s="1"/>
  <c r="L343" i="127"/>
  <c r="K343" i="127"/>
  <c r="G343" i="127"/>
  <c r="G344" i="127"/>
  <c r="M353" i="127"/>
  <c r="M351" i="127"/>
  <c r="H124" i="127"/>
  <c r="M349" i="127"/>
  <c r="I124" i="127"/>
  <c r="M350" i="127"/>
  <c r="M348" i="127"/>
  <c r="M199" i="127"/>
  <c r="H75" i="127"/>
  <c r="I75" i="127"/>
  <c r="J75" i="127"/>
  <c r="M194" i="127"/>
  <c r="G72" i="127"/>
  <c r="H72" i="127"/>
  <c r="G75" i="127"/>
  <c r="I72" i="127"/>
  <c r="M110" i="127"/>
  <c r="J71" i="127"/>
  <c r="L71" i="127"/>
  <c r="G73" i="127"/>
  <c r="K73" i="127"/>
  <c r="J73" i="127"/>
  <c r="L73" i="127"/>
  <c r="I71" i="127"/>
  <c r="G71" i="127"/>
  <c r="H71" i="127"/>
  <c r="H73" i="127"/>
  <c r="I73" i="127"/>
  <c r="J72" i="127"/>
  <c r="L75" i="127"/>
  <c r="G74" i="127"/>
  <c r="M111" i="127"/>
  <c r="M115" i="127"/>
  <c r="M114" i="127"/>
  <c r="M193" i="127"/>
  <c r="M192" i="127"/>
  <c r="L74" i="127"/>
  <c r="K74" i="127"/>
  <c r="I74" i="127"/>
  <c r="J74" i="127"/>
  <c r="H74" i="127"/>
  <c r="L72" i="127"/>
  <c r="K72" i="127"/>
  <c r="M22" i="127"/>
  <c r="M29" i="127"/>
  <c r="M107" i="127"/>
  <c r="M109" i="127"/>
  <c r="M19" i="127"/>
  <c r="M104" i="127"/>
  <c r="M108" i="127"/>
  <c r="M113" i="127"/>
  <c r="M27" i="127"/>
  <c r="M112" i="127"/>
  <c r="M23" i="127"/>
  <c r="M30" i="127"/>
  <c r="M17" i="127"/>
  <c r="M26" i="127"/>
  <c r="M24" i="127"/>
  <c r="M25" i="127"/>
  <c r="M31" i="127"/>
  <c r="M18" i="127"/>
  <c r="M32" i="127"/>
  <c r="M21" i="127"/>
  <c r="M28" i="127"/>
  <c r="M625" i="608"/>
  <c r="M461" i="608"/>
  <c r="I266" i="608"/>
  <c r="M482" i="608"/>
  <c r="M484" i="608"/>
  <c r="M503" i="608"/>
  <c r="M489" i="608"/>
  <c r="M635" i="608"/>
  <c r="M473" i="608"/>
  <c r="M488" i="608"/>
  <c r="M492" i="608"/>
  <c r="M474" i="608"/>
  <c r="M490" i="608"/>
  <c r="M477" i="608"/>
  <c r="M496" i="608"/>
  <c r="M495" i="608"/>
  <c r="M480" i="608"/>
  <c r="M493" i="608"/>
  <c r="M486" i="608"/>
  <c r="M481" i="608"/>
  <c r="M478" i="608"/>
  <c r="M499" i="608"/>
  <c r="M494" i="608"/>
  <c r="M479" i="608"/>
  <c r="M502" i="608"/>
  <c r="M491" i="608"/>
  <c r="M485" i="608"/>
  <c r="M483" i="608"/>
  <c r="M476" i="608"/>
  <c r="M525" i="608"/>
  <c r="M475" i="608"/>
  <c r="M526" i="608"/>
  <c r="M472" i="608"/>
  <c r="M295" i="608"/>
  <c r="M270" i="608"/>
  <c r="M272" i="608"/>
  <c r="M226" i="608"/>
  <c r="M225" i="608"/>
  <c r="M247" i="608"/>
  <c r="M236" i="608"/>
  <c r="M271" i="608"/>
  <c r="M269" i="608"/>
  <c r="M251" i="608"/>
  <c r="M632" i="608" s="1"/>
  <c r="I241" i="608"/>
  <c r="M210" i="608"/>
  <c r="M62" i="608"/>
  <c r="M60" i="608"/>
  <c r="J7" i="608"/>
  <c r="K7" i="608" s="1"/>
  <c r="L7" i="608" s="1"/>
  <c r="J11" i="608"/>
  <c r="K11" i="608" s="1"/>
  <c r="L11" i="608" s="1"/>
  <c r="H40" i="608"/>
  <c r="H93" i="127" s="1"/>
  <c r="H36" i="608"/>
  <c r="H89" i="127" s="1"/>
  <c r="M58" i="608"/>
  <c r="M56" i="608"/>
  <c r="J24" i="608"/>
  <c r="J53" i="608" s="1"/>
  <c r="M143" i="608"/>
  <c r="M133" i="608"/>
  <c r="M136" i="608"/>
  <c r="J6" i="608"/>
  <c r="K6" i="608" s="1"/>
  <c r="K35" i="608" s="1"/>
  <c r="K88" i="127" s="1"/>
  <c r="M54" i="608"/>
  <c r="M135" i="608"/>
  <c r="M51" i="608"/>
  <c r="G624" i="608"/>
  <c r="M59" i="608"/>
  <c r="M55" i="608"/>
  <c r="M137" i="608"/>
  <c r="J15" i="608"/>
  <c r="K15" i="608" s="1"/>
  <c r="H44" i="608"/>
  <c r="H97" i="127" s="1"/>
  <c r="M61" i="608"/>
  <c r="M57" i="608"/>
  <c r="J23" i="608"/>
  <c r="J52" i="608" s="1"/>
  <c r="M138" i="608"/>
  <c r="H41" i="608"/>
  <c r="H94" i="127" s="1"/>
  <c r="I14" i="608"/>
  <c r="J14" i="608" s="1"/>
  <c r="J43" i="608" s="1"/>
  <c r="J96" i="127" s="1"/>
  <c r="I267" i="608"/>
  <c r="I36" i="127" s="1"/>
  <c r="J10" i="608"/>
  <c r="K10" i="608" s="1"/>
  <c r="L10" i="608" s="1"/>
  <c r="H544" i="608"/>
  <c r="H521" i="608"/>
  <c r="H131" i="608" s="1"/>
  <c r="G558" i="608"/>
  <c r="H43" i="608"/>
  <c r="H96" i="127" s="1"/>
  <c r="K581" i="608"/>
  <c r="K617" i="608" s="1"/>
  <c r="I242" i="608"/>
  <c r="I544" i="608"/>
  <c r="G557" i="608"/>
  <c r="J566" i="608"/>
  <c r="I563" i="608"/>
  <c r="G554" i="608"/>
  <c r="K560" i="608"/>
  <c r="H563" i="608"/>
  <c r="L553" i="608"/>
  <c r="H624" i="608"/>
  <c r="G563" i="608"/>
  <c r="I560" i="608"/>
  <c r="K556" i="608"/>
  <c r="G544" i="608"/>
  <c r="K562" i="608"/>
  <c r="G560" i="608"/>
  <c r="I556" i="608"/>
  <c r="G539" i="608"/>
  <c r="I46" i="608"/>
  <c r="I99" i="127" s="1"/>
  <c r="L581" i="608"/>
  <c r="L617" i="608" s="1"/>
  <c r="K565" i="608"/>
  <c r="H553" i="608"/>
  <c r="K531" i="608"/>
  <c r="H39" i="608"/>
  <c r="H92" i="127" s="1"/>
  <c r="J565" i="608"/>
  <c r="G553" i="608"/>
  <c r="H49" i="608"/>
  <c r="H102" i="127" s="1"/>
  <c r="L556" i="608"/>
  <c r="I566" i="608"/>
  <c r="J560" i="608"/>
  <c r="H566" i="608"/>
  <c r="K553" i="608"/>
  <c r="G566" i="608"/>
  <c r="L562" i="608"/>
  <c r="H560" i="608"/>
  <c r="J556" i="608"/>
  <c r="J553" i="608"/>
  <c r="G542" i="608"/>
  <c r="H46" i="608"/>
  <c r="H99" i="127" s="1"/>
  <c r="G556" i="608"/>
  <c r="G632" i="608"/>
  <c r="I565" i="608"/>
  <c r="H562" i="608"/>
  <c r="G559" i="608"/>
  <c r="L552" i="608"/>
  <c r="K21" i="608"/>
  <c r="L21" i="608" s="1"/>
  <c r="L50" i="608" s="1"/>
  <c r="I562" i="608"/>
  <c r="H531" i="608"/>
  <c r="L555" i="608"/>
  <c r="J12" i="608"/>
  <c r="H565" i="608"/>
  <c r="G562" i="608"/>
  <c r="K555" i="608"/>
  <c r="K552" i="608"/>
  <c r="H45" i="608"/>
  <c r="H98" i="127" s="1"/>
  <c r="K567" i="608"/>
  <c r="G565" i="608"/>
  <c r="L561" i="608"/>
  <c r="I558" i="608"/>
  <c r="J555" i="608"/>
  <c r="J552" i="608"/>
  <c r="K561" i="608"/>
  <c r="I555" i="608"/>
  <c r="I552" i="608"/>
  <c r="I531" i="608"/>
  <c r="I567" i="608"/>
  <c r="L557" i="608"/>
  <c r="H48" i="608"/>
  <c r="H101" i="127" s="1"/>
  <c r="H567" i="608"/>
  <c r="L563" i="608"/>
  <c r="J557" i="608"/>
  <c r="H636" i="608"/>
  <c r="L566" i="608"/>
  <c r="K563" i="608"/>
  <c r="G561" i="608"/>
  <c r="I557" i="608"/>
  <c r="I554" i="608"/>
  <c r="G545" i="608"/>
  <c r="L565" i="608"/>
  <c r="I553" i="608"/>
  <c r="G312" i="608"/>
  <c r="J562" i="608"/>
  <c r="H556" i="608"/>
  <c r="H37" i="608"/>
  <c r="H90" i="127" s="1"/>
  <c r="L567" i="608"/>
  <c r="J567" i="608"/>
  <c r="G265" i="608"/>
  <c r="G39" i="127" s="1"/>
  <c r="J561" i="608"/>
  <c r="H555" i="608"/>
  <c r="H552" i="608"/>
  <c r="G564" i="608"/>
  <c r="I561" i="608"/>
  <c r="K557" i="608"/>
  <c r="G555" i="608"/>
  <c r="G552" i="608"/>
  <c r="G567" i="608"/>
  <c r="H561" i="608"/>
  <c r="K566" i="608"/>
  <c r="J563" i="608"/>
  <c r="L560" i="608"/>
  <c r="H557" i="608"/>
  <c r="I582" i="608"/>
  <c r="I618" i="608" s="1"/>
  <c r="H50" i="608"/>
  <c r="H53" i="608"/>
  <c r="H106" i="127" s="1"/>
  <c r="G131" i="608"/>
  <c r="G208" i="608"/>
  <c r="G582" i="608"/>
  <c r="G618" i="608" s="1"/>
  <c r="H582" i="608"/>
  <c r="H618" i="608" s="1"/>
  <c r="J582" i="608"/>
  <c r="J618" i="608" s="1"/>
  <c r="L582" i="608"/>
  <c r="L618" i="608" s="1"/>
  <c r="J581" i="608"/>
  <c r="J617" i="608" s="1"/>
  <c r="I581" i="608"/>
  <c r="I617" i="608" s="1"/>
  <c r="G581" i="608"/>
  <c r="G617" i="608" s="1"/>
  <c r="H581" i="608"/>
  <c r="H617" i="608" s="1"/>
  <c r="G584" i="608"/>
  <c r="H584" i="608"/>
  <c r="I13" i="608"/>
  <c r="J13" i="608" s="1"/>
  <c r="H38" i="608"/>
  <c r="H91" i="127" s="1"/>
  <c r="I239" i="608"/>
  <c r="I8" i="127" s="1"/>
  <c r="I450" i="608"/>
  <c r="L539" i="608"/>
  <c r="L545" i="608"/>
  <c r="L542" i="608"/>
  <c r="K539" i="608"/>
  <c r="K545" i="608"/>
  <c r="J542" i="608"/>
  <c r="J539" i="608"/>
  <c r="G132" i="608"/>
  <c r="G209" i="608"/>
  <c r="J545" i="608"/>
  <c r="I542" i="608"/>
  <c r="I539" i="608"/>
  <c r="J50" i="608"/>
  <c r="J103" i="127" s="1"/>
  <c r="H545" i="608"/>
  <c r="H542" i="608"/>
  <c r="H539" i="608"/>
  <c r="I50" i="608"/>
  <c r="I103" i="127" s="1"/>
  <c r="J531" i="608"/>
  <c r="K582" i="608"/>
  <c r="K618" i="608" s="1"/>
  <c r="G531" i="608"/>
  <c r="G540" i="608"/>
  <c r="K542" i="608"/>
  <c r="I545" i="608"/>
  <c r="L531" i="608"/>
  <c r="I9" i="608"/>
  <c r="J9" i="608" s="1"/>
  <c r="I243" i="608"/>
  <c r="I12" i="127" s="1"/>
  <c r="H42" i="608"/>
  <c r="H95" i="127" s="1"/>
  <c r="I49" i="608"/>
  <c r="I102" i="127" s="1"/>
  <c r="J20" i="608"/>
  <c r="I527" i="608"/>
  <c r="I35" i="608"/>
  <c r="I88" i="127" s="1"/>
  <c r="H227" i="608"/>
  <c r="F15" i="48" s="1"/>
  <c r="H134" i="608"/>
  <c r="H344" i="127" s="1"/>
  <c r="H312" i="608"/>
  <c r="H265" i="608"/>
  <c r="H35" i="608"/>
  <c r="H88" i="127" s="1"/>
  <c r="I45" i="608"/>
  <c r="I98" i="127" s="1"/>
  <c r="J246" i="608"/>
  <c r="J15" i="127" s="1"/>
  <c r="G35" i="608"/>
  <c r="G88" i="127" s="1"/>
  <c r="I245" i="608"/>
  <c r="I14" i="127" s="1"/>
  <c r="I8" i="608"/>
  <c r="I237" i="608"/>
  <c r="I6" i="127" s="1"/>
  <c r="J18" i="608"/>
  <c r="J47" i="608" s="1"/>
  <c r="J100" i="127" s="1"/>
  <c r="H47" i="608"/>
  <c r="H100" i="127" s="1"/>
  <c r="J17" i="608"/>
  <c r="K16" i="608"/>
  <c r="L16" i="608" s="1"/>
  <c r="H52" i="608"/>
  <c r="H105" i="127" s="1"/>
  <c r="I48" i="608"/>
  <c r="I101" i="127" s="1"/>
  <c r="J19" i="608"/>
  <c r="K45" i="75"/>
  <c r="K46" i="75"/>
  <c r="M26" i="812" l="1"/>
  <c r="X50" i="812"/>
  <c r="Y50" i="812"/>
  <c r="AE51" i="812"/>
  <c r="Q141" i="812"/>
  <c r="V114" i="812"/>
  <c r="U114" i="812"/>
  <c r="S114" i="812"/>
  <c r="W114" i="812"/>
  <c r="T114" i="812"/>
  <c r="I497" i="608"/>
  <c r="I500" i="608"/>
  <c r="I501" i="608"/>
  <c r="I235" i="812"/>
  <c r="K26" i="812"/>
  <c r="D146" i="812"/>
  <c r="E146" i="812"/>
  <c r="E213" i="812" s="1"/>
  <c r="J114" i="812"/>
  <c r="J153" i="812"/>
  <c r="H235" i="812"/>
  <c r="S139" i="812"/>
  <c r="S135" i="812" s="1"/>
  <c r="M20" i="127"/>
  <c r="W26" i="812"/>
  <c r="P26" i="812"/>
  <c r="R71" i="812"/>
  <c r="I498" i="608"/>
  <c r="H146" i="812"/>
  <c r="H149" i="812" s="1"/>
  <c r="H132" i="608"/>
  <c r="H342" i="127" s="1"/>
  <c r="M487" i="608"/>
  <c r="L244" i="608"/>
  <c r="L13" i="127" s="1"/>
  <c r="M13" i="127" s="1"/>
  <c r="I522" i="608"/>
  <c r="I132" i="608" s="1"/>
  <c r="X17" i="812"/>
  <c r="X63" i="812"/>
  <c r="X102" i="812"/>
  <c r="Q86" i="812"/>
  <c r="Q65" i="812"/>
  <c r="N26" i="812"/>
  <c r="U34" i="812"/>
  <c r="U26" i="812" s="1"/>
  <c r="X80" i="812"/>
  <c r="L58" i="812"/>
  <c r="S26" i="812"/>
  <c r="L26" i="812"/>
  <c r="J235" i="812"/>
  <c r="R78" i="812"/>
  <c r="X78" i="812" s="1"/>
  <c r="E149" i="812"/>
  <c r="X87" i="812"/>
  <c r="R86" i="812"/>
  <c r="X86" i="812" s="1"/>
  <c r="X47" i="812"/>
  <c r="Q14" i="812"/>
  <c r="K9" i="812"/>
  <c r="Q117" i="812"/>
  <c r="K114" i="812"/>
  <c r="V58" i="812"/>
  <c r="X61" i="812"/>
  <c r="Q92" i="812"/>
  <c r="Q44" i="812"/>
  <c r="X64" i="812"/>
  <c r="X16" i="812"/>
  <c r="R14" i="812"/>
  <c r="G235" i="812"/>
  <c r="D235" i="812"/>
  <c r="D236" i="812" s="1"/>
  <c r="J122" i="812"/>
  <c r="Q27" i="812"/>
  <c r="W129" i="812"/>
  <c r="X66" i="812"/>
  <c r="S129" i="812"/>
  <c r="F213" i="812"/>
  <c r="F149" i="812"/>
  <c r="R65" i="812"/>
  <c r="X65" i="812" s="1"/>
  <c r="P139" i="812"/>
  <c r="P135" i="812" s="1"/>
  <c r="W140" i="812"/>
  <c r="W139" i="812" s="1"/>
  <c r="W135" i="812" s="1"/>
  <c r="T129" i="812"/>
  <c r="Q71" i="812"/>
  <c r="U129" i="812"/>
  <c r="T26" i="812"/>
  <c r="D213" i="812"/>
  <c r="F236" i="812"/>
  <c r="Q129" i="812"/>
  <c r="R129" i="812"/>
  <c r="Q34" i="812"/>
  <c r="M139" i="812"/>
  <c r="M135" i="812" s="1"/>
  <c r="T140" i="812"/>
  <c r="T139" i="812" s="1"/>
  <c r="T135" i="812" s="1"/>
  <c r="X95" i="812"/>
  <c r="N130" i="812"/>
  <c r="U130" i="812" s="1"/>
  <c r="M130" i="812"/>
  <c r="T130" i="812" s="1"/>
  <c r="P130" i="812"/>
  <c r="W130" i="812" s="1"/>
  <c r="K130" i="812"/>
  <c r="O130" i="812"/>
  <c r="V130" i="812" s="1"/>
  <c r="L130" i="812"/>
  <c r="S130" i="812" s="1"/>
  <c r="I146" i="812"/>
  <c r="Q142" i="812"/>
  <c r="R142" i="812"/>
  <c r="X142" i="812" s="1"/>
  <c r="N139" i="812"/>
  <c r="N135" i="812" s="1"/>
  <c r="U140" i="812"/>
  <c r="U139" i="812" s="1"/>
  <c r="U135" i="812" s="1"/>
  <c r="O58" i="812"/>
  <c r="O20" i="812" s="1"/>
  <c r="O107" i="812" s="1"/>
  <c r="O109" i="812" s="1"/>
  <c r="R59" i="812"/>
  <c r="R34" i="812"/>
  <c r="X35" i="812"/>
  <c r="Q99" i="812"/>
  <c r="D149" i="812"/>
  <c r="M58" i="812"/>
  <c r="X33" i="812"/>
  <c r="R27" i="812"/>
  <c r="G146" i="812"/>
  <c r="S71" i="812"/>
  <c r="X94" i="812"/>
  <c r="R92" i="812"/>
  <c r="S99" i="812"/>
  <c r="Q78" i="812"/>
  <c r="Q5" i="812"/>
  <c r="R99" i="812"/>
  <c r="X100" i="812"/>
  <c r="J166" i="812"/>
  <c r="J167" i="812" s="1"/>
  <c r="S92" i="812"/>
  <c r="X93" i="812"/>
  <c r="N58" i="812"/>
  <c r="V26" i="812"/>
  <c r="R44" i="812"/>
  <c r="X44" i="812" s="1"/>
  <c r="X40" i="812"/>
  <c r="R39" i="812"/>
  <c r="X39" i="812" s="1"/>
  <c r="X118" i="812"/>
  <c r="R117" i="812"/>
  <c r="X7" i="812"/>
  <c r="V5" i="812"/>
  <c r="X5" i="812" s="1"/>
  <c r="P58" i="812"/>
  <c r="V140" i="812"/>
  <c r="V139" i="812" s="1"/>
  <c r="V135" i="812" s="1"/>
  <c r="O139" i="812"/>
  <c r="O135" i="812" s="1"/>
  <c r="W58" i="812"/>
  <c r="Q140" i="812"/>
  <c r="K139" i="812"/>
  <c r="R140" i="812"/>
  <c r="U58" i="812"/>
  <c r="T58" i="812"/>
  <c r="J135" i="812"/>
  <c r="Q59" i="812"/>
  <c r="K58" i="812"/>
  <c r="K20" i="812" s="1"/>
  <c r="X72" i="812"/>
  <c r="Q39" i="812"/>
  <c r="X136" i="812"/>
  <c r="V129" i="812"/>
  <c r="H564" i="608"/>
  <c r="I7" i="127"/>
  <c r="J238" i="608"/>
  <c r="J7" i="127" s="1"/>
  <c r="L559" i="608"/>
  <c r="L103" i="127"/>
  <c r="H314" i="608"/>
  <c r="H39" i="127"/>
  <c r="I65" i="608"/>
  <c r="I118" i="127" s="1"/>
  <c r="I35" i="127"/>
  <c r="K140" i="608"/>
  <c r="J352" i="127"/>
  <c r="H559" i="608"/>
  <c r="H103" i="127"/>
  <c r="J380" i="608"/>
  <c r="I195" i="127"/>
  <c r="M244" i="608"/>
  <c r="J558" i="608"/>
  <c r="J105" i="127"/>
  <c r="J241" i="608"/>
  <c r="J10" i="127" s="1"/>
  <c r="I10" i="127"/>
  <c r="J240" i="608"/>
  <c r="J9" i="127" s="1"/>
  <c r="I39" i="608"/>
  <c r="I92" i="127" s="1"/>
  <c r="I37" i="608"/>
  <c r="I90" i="127" s="1"/>
  <c r="I227" i="608"/>
  <c r="G15" i="48" s="1"/>
  <c r="G341" i="127"/>
  <c r="J554" i="608"/>
  <c r="J106" i="127"/>
  <c r="I134" i="608"/>
  <c r="I540" i="608" s="1"/>
  <c r="I41" i="608"/>
  <c r="I94" i="127" s="1"/>
  <c r="I11" i="127"/>
  <c r="M343" i="127"/>
  <c r="G342" i="127"/>
  <c r="M75" i="127"/>
  <c r="M71" i="127"/>
  <c r="M73" i="127"/>
  <c r="M72" i="127"/>
  <c r="M74" i="127"/>
  <c r="I43" i="608"/>
  <c r="I96" i="127" s="1"/>
  <c r="J266" i="608"/>
  <c r="J65" i="608" s="1"/>
  <c r="J118" i="127" s="1"/>
  <c r="M553" i="608"/>
  <c r="M531" i="608"/>
  <c r="M561" i="608"/>
  <c r="M565" i="608"/>
  <c r="M562" i="608"/>
  <c r="M539" i="608"/>
  <c r="M557" i="608"/>
  <c r="M566" i="608"/>
  <c r="M563" i="608"/>
  <c r="M581" i="608"/>
  <c r="M617" i="608" s="1"/>
  <c r="M552" i="608"/>
  <c r="M560" i="608"/>
  <c r="M542" i="608"/>
  <c r="M567" i="608"/>
  <c r="M582" i="608"/>
  <c r="M618" i="608" s="1"/>
  <c r="M545" i="608"/>
  <c r="M556" i="608"/>
  <c r="M555" i="608"/>
  <c r="J8" i="608"/>
  <c r="K8" i="608" s="1"/>
  <c r="L8" i="608" s="1"/>
  <c r="G313" i="608"/>
  <c r="I40" i="608"/>
  <c r="I93" i="127" s="1"/>
  <c r="I636" i="608"/>
  <c r="I209" i="608"/>
  <c r="I521" i="608"/>
  <c r="I208" i="608" s="1"/>
  <c r="I584" i="608"/>
  <c r="K24" i="608"/>
  <c r="L24" i="608" s="1"/>
  <c r="L53" i="608" s="1"/>
  <c r="H208" i="608"/>
  <c r="J35" i="608"/>
  <c r="J88" i="127" s="1"/>
  <c r="H313" i="608"/>
  <c r="K18" i="608"/>
  <c r="L15" i="608"/>
  <c r="K13" i="608"/>
  <c r="L13" i="608" s="1"/>
  <c r="L6" i="608"/>
  <c r="L35" i="608" s="1"/>
  <c r="L88" i="127" s="1"/>
  <c r="K14" i="608"/>
  <c r="L14" i="608" s="1"/>
  <c r="G314" i="608"/>
  <c r="H554" i="608"/>
  <c r="K23" i="608"/>
  <c r="K52" i="608" s="1"/>
  <c r="H540" i="608"/>
  <c r="J242" i="608"/>
  <c r="I265" i="608"/>
  <c r="K50" i="608"/>
  <c r="I66" i="608"/>
  <c r="I119" i="127" s="1"/>
  <c r="J267" i="608"/>
  <c r="J36" i="127" s="1"/>
  <c r="K12" i="608"/>
  <c r="L12" i="608" s="1"/>
  <c r="G64" i="608"/>
  <c r="G637" i="608"/>
  <c r="G638" i="608" s="1"/>
  <c r="G639" i="608" s="1"/>
  <c r="K9" i="608"/>
  <c r="L9" i="608" s="1"/>
  <c r="I559" i="608"/>
  <c r="J46" i="608"/>
  <c r="J99" i="127" s="1"/>
  <c r="G551" i="608"/>
  <c r="H551" i="608"/>
  <c r="J49" i="608"/>
  <c r="J102" i="127" s="1"/>
  <c r="K20" i="608"/>
  <c r="I36" i="608"/>
  <c r="I89" i="127" s="1"/>
  <c r="J237" i="608"/>
  <c r="J6" i="127" s="1"/>
  <c r="I624" i="608"/>
  <c r="I312" i="608"/>
  <c r="H64" i="608"/>
  <c r="H122" i="127" s="1"/>
  <c r="H637" i="608"/>
  <c r="H638" i="608" s="1"/>
  <c r="H639" i="608" s="1"/>
  <c r="J45" i="608"/>
  <c r="J98" i="127" s="1"/>
  <c r="K246" i="608"/>
  <c r="K15" i="127" s="1"/>
  <c r="I211" i="608"/>
  <c r="J450" i="608"/>
  <c r="J48" i="608"/>
  <c r="J101" i="127" s="1"/>
  <c r="K19" i="608"/>
  <c r="K17" i="608"/>
  <c r="J243" i="608"/>
  <c r="J12" i="127" s="1"/>
  <c r="I42" i="608"/>
  <c r="I95" i="127" s="1"/>
  <c r="I38" i="608"/>
  <c r="I91" i="127" s="1"/>
  <c r="J239" i="608"/>
  <c r="J8" i="127" s="1"/>
  <c r="J559" i="608"/>
  <c r="H558" i="608"/>
  <c r="I44" i="608"/>
  <c r="I97" i="127" s="1"/>
  <c r="J245" i="608"/>
  <c r="J14" i="127" s="1"/>
  <c r="J527" i="608"/>
  <c r="G543" i="608"/>
  <c r="C19" i="315"/>
  <c r="C21" i="315" s="1"/>
  <c r="G10" i="315"/>
  <c r="E10" i="315"/>
  <c r="C10" i="315"/>
  <c r="G9" i="315"/>
  <c r="E9" i="315"/>
  <c r="C9" i="315"/>
  <c r="G5" i="315"/>
  <c r="C5" i="315"/>
  <c r="G4" i="315"/>
  <c r="E4" i="315"/>
  <c r="C4" i="315"/>
  <c r="G3" i="315"/>
  <c r="E3" i="315"/>
  <c r="C3" i="315"/>
  <c r="X71" i="812" l="1"/>
  <c r="H236" i="812"/>
  <c r="M20" i="812"/>
  <c r="M107" i="812" s="1"/>
  <c r="M109" i="812" s="1"/>
  <c r="AE50" i="812"/>
  <c r="Y20" i="812"/>
  <c r="E236" i="812"/>
  <c r="W20" i="812"/>
  <c r="W107" i="812" s="1"/>
  <c r="W109" i="812" s="1"/>
  <c r="I236" i="812"/>
  <c r="J497" i="608"/>
  <c r="J500" i="608"/>
  <c r="J501" i="608"/>
  <c r="H543" i="608"/>
  <c r="H620" i="608" s="1"/>
  <c r="P20" i="812"/>
  <c r="P107" i="812" s="1"/>
  <c r="P109" i="812" s="1"/>
  <c r="L43" i="608"/>
  <c r="L96" i="127" s="1"/>
  <c r="Q26" i="812"/>
  <c r="K240" i="608"/>
  <c r="K9" i="127" s="1"/>
  <c r="J39" i="608"/>
  <c r="J92" i="127" s="1"/>
  <c r="H213" i="812"/>
  <c r="J498" i="608"/>
  <c r="L20" i="812"/>
  <c r="L107" i="812" s="1"/>
  <c r="L109" i="812" s="1"/>
  <c r="J146" i="812"/>
  <c r="N20" i="812"/>
  <c r="N107" i="812" s="1"/>
  <c r="N109" i="812" s="1"/>
  <c r="V20" i="812"/>
  <c r="V107" i="812" s="1"/>
  <c r="V109" i="812" s="1"/>
  <c r="H110" i="812" s="1"/>
  <c r="X34" i="812"/>
  <c r="I342" i="127"/>
  <c r="J40" i="608"/>
  <c r="J93" i="127" s="1"/>
  <c r="K241" i="608"/>
  <c r="K10" i="127" s="1"/>
  <c r="U20" i="812"/>
  <c r="U107" i="812" s="1"/>
  <c r="U109" i="812" s="1"/>
  <c r="X92" i="812"/>
  <c r="S58" i="812"/>
  <c r="S20" i="812" s="1"/>
  <c r="S107" i="812" s="1"/>
  <c r="S109" i="812" s="1"/>
  <c r="J213" i="812"/>
  <c r="J236" i="812"/>
  <c r="J149" i="812"/>
  <c r="Q130" i="812"/>
  <c r="R130" i="812"/>
  <c r="X130" i="812" s="1"/>
  <c r="X140" i="812"/>
  <c r="R139" i="812"/>
  <c r="Q58" i="812"/>
  <c r="G236" i="812"/>
  <c r="X117" i="812"/>
  <c r="R114" i="812"/>
  <c r="T20" i="812"/>
  <c r="T107" i="812" s="1"/>
  <c r="T109" i="812" s="1"/>
  <c r="X14" i="812"/>
  <c r="R9" i="812"/>
  <c r="Q114" i="812"/>
  <c r="N131" i="812"/>
  <c r="U131" i="812" s="1"/>
  <c r="K131" i="812"/>
  <c r="M131" i="812"/>
  <c r="O131" i="812"/>
  <c r="L131" i="812"/>
  <c r="P131" i="812"/>
  <c r="G213" i="812"/>
  <c r="G149" i="812"/>
  <c r="X27" i="812"/>
  <c r="R26" i="812"/>
  <c r="Q139" i="812"/>
  <c r="K135" i="812"/>
  <c r="Q135" i="812" s="1"/>
  <c r="X129" i="812"/>
  <c r="I213" i="812"/>
  <c r="I149" i="812"/>
  <c r="Q9" i="812"/>
  <c r="K107" i="812"/>
  <c r="X99" i="812"/>
  <c r="R58" i="812"/>
  <c r="X59" i="812"/>
  <c r="K559" i="608"/>
  <c r="M559" i="608" s="1"/>
  <c r="K103" i="127"/>
  <c r="M103" i="127" s="1"/>
  <c r="K238" i="608"/>
  <c r="K7" i="127" s="1"/>
  <c r="L554" i="608"/>
  <c r="L106" i="127"/>
  <c r="K558" i="608"/>
  <c r="K105" i="127"/>
  <c r="L140" i="608"/>
  <c r="M140" i="608" s="1"/>
  <c r="K352" i="127"/>
  <c r="K544" i="608"/>
  <c r="I314" i="608"/>
  <c r="I39" i="127"/>
  <c r="I344" i="127"/>
  <c r="K242" i="608"/>
  <c r="K41" i="608" s="1"/>
  <c r="K94" i="127" s="1"/>
  <c r="J11" i="127"/>
  <c r="K266" i="608"/>
  <c r="J35" i="127"/>
  <c r="G68" i="608"/>
  <c r="G70" i="608" s="1"/>
  <c r="G122" i="127"/>
  <c r="J195" i="127"/>
  <c r="K380" i="608"/>
  <c r="J134" i="608"/>
  <c r="J540" i="608" s="1"/>
  <c r="H341" i="127"/>
  <c r="J37" i="608"/>
  <c r="J90" i="127" s="1"/>
  <c r="I131" i="608"/>
  <c r="J521" i="608"/>
  <c r="G620" i="608"/>
  <c r="M35" i="608"/>
  <c r="K53" i="608"/>
  <c r="J522" i="608"/>
  <c r="K521" i="608"/>
  <c r="G583" i="608"/>
  <c r="G619" i="608" s="1"/>
  <c r="K43" i="608"/>
  <c r="K47" i="608"/>
  <c r="K100" i="127" s="1"/>
  <c r="L18" i="608"/>
  <c r="L47" i="608" s="1"/>
  <c r="L100" i="127" s="1"/>
  <c r="G568" i="608"/>
  <c r="M50" i="608"/>
  <c r="I564" i="608"/>
  <c r="L23" i="608"/>
  <c r="L52" i="608" s="1"/>
  <c r="I313" i="608"/>
  <c r="J66" i="608"/>
  <c r="J119" i="127" s="1"/>
  <c r="K267" i="608"/>
  <c r="K36" i="127" s="1"/>
  <c r="J636" i="608"/>
  <c r="I637" i="608"/>
  <c r="I638" i="608" s="1"/>
  <c r="I639" i="608" s="1"/>
  <c r="I64" i="608"/>
  <c r="J41" i="608"/>
  <c r="J94" i="127" s="1"/>
  <c r="I551" i="608"/>
  <c r="J42" i="608"/>
  <c r="J95" i="127" s="1"/>
  <c r="K243" i="608"/>
  <c r="K12" i="127" s="1"/>
  <c r="L238" i="608"/>
  <c r="I541" i="608"/>
  <c r="I583" i="608"/>
  <c r="I619" i="608" s="1"/>
  <c r="K527" i="608"/>
  <c r="J211" i="608"/>
  <c r="K450" i="608"/>
  <c r="J584" i="608"/>
  <c r="J227" i="608"/>
  <c r="H15" i="48" s="1"/>
  <c r="J36" i="608"/>
  <c r="J89" i="127" s="1"/>
  <c r="J265" i="608"/>
  <c r="K237" i="608"/>
  <c r="K6" i="127" s="1"/>
  <c r="J312" i="608"/>
  <c r="J624" i="608"/>
  <c r="K49" i="608"/>
  <c r="K102" i="127" s="1"/>
  <c r="L20" i="608"/>
  <c r="L49" i="608" s="1"/>
  <c r="L102" i="127" s="1"/>
  <c r="H541" i="608"/>
  <c r="H583" i="608"/>
  <c r="H619" i="608" s="1"/>
  <c r="K45" i="608"/>
  <c r="K98" i="127" s="1"/>
  <c r="L246" i="608"/>
  <c r="H568" i="608"/>
  <c r="H569" i="608" s="1"/>
  <c r="L17" i="608"/>
  <c r="K46" i="608"/>
  <c r="K99" i="127" s="1"/>
  <c r="K48" i="608"/>
  <c r="K101" i="127" s="1"/>
  <c r="L19" i="608"/>
  <c r="L48" i="608" s="1"/>
  <c r="L101" i="127" s="1"/>
  <c r="H68" i="608"/>
  <c r="H70" i="608" s="1"/>
  <c r="J38" i="608"/>
  <c r="J91" i="127" s="1"/>
  <c r="K239" i="608"/>
  <c r="K8" i="127" s="1"/>
  <c r="J44" i="608"/>
  <c r="J97" i="127" s="1"/>
  <c r="K245" i="608"/>
  <c r="K14" i="127" s="1"/>
  <c r="N431" i="128"/>
  <c r="N430" i="128"/>
  <c r="N426" i="128"/>
  <c r="N429" i="128"/>
  <c r="N232" i="128"/>
  <c r="N237" i="128"/>
  <c r="N230" i="128"/>
  <c r="N231" i="128"/>
  <c r="N233" i="128"/>
  <c r="N427" i="128"/>
  <c r="N425" i="128"/>
  <c r="N428" i="128"/>
  <c r="N236" i="128"/>
  <c r="E110" i="812" l="1"/>
  <c r="K37" i="608"/>
  <c r="K90" i="127" s="1"/>
  <c r="I110" i="812"/>
  <c r="AE20" i="812"/>
  <c r="Y107" i="812"/>
  <c r="F110" i="812"/>
  <c r="G110" i="812"/>
  <c r="K39" i="608"/>
  <c r="K92" i="127" s="1"/>
  <c r="K497" i="608"/>
  <c r="K500" i="608"/>
  <c r="K501" i="608"/>
  <c r="L240" i="608"/>
  <c r="M240" i="608" s="1"/>
  <c r="K40" i="608"/>
  <c r="K93" i="127" s="1"/>
  <c r="X58" i="812"/>
  <c r="L241" i="608"/>
  <c r="M241" i="608" s="1"/>
  <c r="Q20" i="812"/>
  <c r="K498" i="608"/>
  <c r="M101" i="127"/>
  <c r="N226" i="128"/>
  <c r="N204" i="128"/>
  <c r="N168" i="128"/>
  <c r="N185" i="128"/>
  <c r="Q107" i="812"/>
  <c r="K109" i="812"/>
  <c r="N132" i="812"/>
  <c r="U132" i="812" s="1"/>
  <c r="K132" i="812"/>
  <c r="M132" i="812"/>
  <c r="T132" i="812" s="1"/>
  <c r="O132" i="812"/>
  <c r="V132" i="812" s="1"/>
  <c r="L132" i="812"/>
  <c r="S132" i="812" s="1"/>
  <c r="P132" i="812"/>
  <c r="W132" i="812" s="1"/>
  <c r="X139" i="812"/>
  <c r="R135" i="812"/>
  <c r="X135" i="812" s="1"/>
  <c r="Q131" i="812"/>
  <c r="R131" i="812"/>
  <c r="X26" i="812"/>
  <c r="R20" i="812"/>
  <c r="X20" i="812" s="1"/>
  <c r="X9" i="812"/>
  <c r="W131" i="812"/>
  <c r="S131" i="812"/>
  <c r="X114" i="812"/>
  <c r="V131" i="812"/>
  <c r="T131" i="812"/>
  <c r="M102" i="127"/>
  <c r="J344" i="127"/>
  <c r="K65" i="608"/>
  <c r="K118" i="127" s="1"/>
  <c r="K35" i="127"/>
  <c r="M100" i="127"/>
  <c r="L266" i="608"/>
  <c r="L352" i="127"/>
  <c r="M352" i="127" s="1"/>
  <c r="L544" i="608"/>
  <c r="M544" i="608" s="1"/>
  <c r="M52" i="608"/>
  <c r="L105" i="127"/>
  <c r="M105" i="127" s="1"/>
  <c r="I68" i="608"/>
  <c r="I70" i="608" s="1"/>
  <c r="I122" i="127"/>
  <c r="M246" i="608"/>
  <c r="L15" i="127"/>
  <c r="M15" i="127" s="1"/>
  <c r="M43" i="608"/>
  <c r="K96" i="127"/>
  <c r="M96" i="127" s="1"/>
  <c r="M53" i="608"/>
  <c r="K106" i="127"/>
  <c r="M106" i="127" s="1"/>
  <c r="K195" i="127"/>
  <c r="K134" i="608"/>
  <c r="K540" i="608" s="1"/>
  <c r="L380" i="608"/>
  <c r="J313" i="608"/>
  <c r="J39" i="127"/>
  <c r="M238" i="608"/>
  <c r="L7" i="127"/>
  <c r="M7" i="127" s="1"/>
  <c r="L242" i="608"/>
  <c r="M242" i="608" s="1"/>
  <c r="K11" i="127"/>
  <c r="I543" i="608"/>
  <c r="I620" i="608" s="1"/>
  <c r="I341" i="127"/>
  <c r="I568" i="608"/>
  <c r="I569" i="608" s="1"/>
  <c r="J208" i="608"/>
  <c r="J131" i="608"/>
  <c r="G569" i="608"/>
  <c r="G541" i="608"/>
  <c r="J132" i="608"/>
  <c r="K554" i="608"/>
  <c r="M554" i="608" s="1"/>
  <c r="J209" i="608"/>
  <c r="M48" i="608"/>
  <c r="L521" i="608"/>
  <c r="M521" i="608" s="1"/>
  <c r="K522" i="608"/>
  <c r="K132" i="608" s="1"/>
  <c r="M47" i="608"/>
  <c r="K208" i="608"/>
  <c r="K131" i="608"/>
  <c r="M49" i="608"/>
  <c r="K636" i="608"/>
  <c r="K66" i="608"/>
  <c r="K119" i="127" s="1"/>
  <c r="L267" i="608"/>
  <c r="J564" i="608"/>
  <c r="J314" i="608"/>
  <c r="K211" i="608"/>
  <c r="L450" i="608"/>
  <c r="M450" i="608" s="1"/>
  <c r="K584" i="608"/>
  <c r="K227" i="608"/>
  <c r="L39" i="608"/>
  <c r="L45" i="608"/>
  <c r="L558" i="608"/>
  <c r="M558" i="608" s="1"/>
  <c r="L37" i="608"/>
  <c r="L46" i="608"/>
  <c r="K44" i="608"/>
  <c r="K97" i="127" s="1"/>
  <c r="L245" i="608"/>
  <c r="K38" i="608"/>
  <c r="K91" i="127" s="1"/>
  <c r="L239" i="608"/>
  <c r="K36" i="608"/>
  <c r="K89" i="127" s="1"/>
  <c r="K265" i="608"/>
  <c r="K312" i="608"/>
  <c r="L237" i="608"/>
  <c r="K624" i="608"/>
  <c r="L527" i="608"/>
  <c r="K42" i="608"/>
  <c r="K95" i="127" s="1"/>
  <c r="L243" i="608"/>
  <c r="L40" i="608"/>
  <c r="J64" i="608"/>
  <c r="J122" i="127" s="1"/>
  <c r="J637" i="608"/>
  <c r="J638" i="608" s="1"/>
  <c r="J639" i="608" s="1"/>
  <c r="H570" i="608"/>
  <c r="J551" i="608"/>
  <c r="N159" i="128"/>
  <c r="N178" i="128"/>
  <c r="N210" i="128"/>
  <c r="N223" i="128"/>
  <c r="N167" i="128"/>
  <c r="N174" i="128"/>
  <c r="N189" i="128"/>
  <c r="N176" i="128"/>
  <c r="N191" i="128"/>
  <c r="N217" i="128"/>
  <c r="N200" i="128"/>
  <c r="N198" i="128"/>
  <c r="N169" i="128"/>
  <c r="N209" i="128"/>
  <c r="N227" i="128"/>
  <c r="N171" i="128"/>
  <c r="N201" i="128"/>
  <c r="N203" i="128"/>
  <c r="N220" i="128"/>
  <c r="N180" i="128"/>
  <c r="N196" i="128"/>
  <c r="N152" i="128"/>
  <c r="N166" i="128"/>
  <c r="N155" i="128"/>
  <c r="N224" i="128"/>
  <c r="N188" i="128"/>
  <c r="N207" i="128"/>
  <c r="N151" i="128"/>
  <c r="N194" i="128"/>
  <c r="N205" i="128"/>
  <c r="N182" i="128"/>
  <c r="N165" i="128"/>
  <c r="N170" i="128"/>
  <c r="N222" i="128"/>
  <c r="N208" i="128"/>
  <c r="N197" i="128"/>
  <c r="N175" i="128"/>
  <c r="N225" i="128"/>
  <c r="N172" i="128"/>
  <c r="N186" i="128"/>
  <c r="N212" i="128"/>
  <c r="N163" i="128"/>
  <c r="N214" i="128"/>
  <c r="N164" i="128"/>
  <c r="N158" i="128"/>
  <c r="N154" i="128"/>
  <c r="N153" i="128"/>
  <c r="N156" i="128"/>
  <c r="N161" i="128"/>
  <c r="N187" i="128"/>
  <c r="N211" i="128"/>
  <c r="N184" i="128"/>
  <c r="N150" i="128"/>
  <c r="N215" i="128"/>
  <c r="N160" i="128"/>
  <c r="N148" i="128"/>
  <c r="N221" i="128"/>
  <c r="N202" i="128"/>
  <c r="N162" i="128"/>
  <c r="N179" i="128"/>
  <c r="N177" i="128"/>
  <c r="N173" i="128"/>
  <c r="N195" i="128"/>
  <c r="N199" i="128"/>
  <c r="N190" i="128"/>
  <c r="N213" i="128"/>
  <c r="N157" i="128"/>
  <c r="N216" i="128"/>
  <c r="N206" i="128"/>
  <c r="N181" i="128"/>
  <c r="N218" i="128"/>
  <c r="N193" i="128"/>
  <c r="N219" i="128"/>
  <c r="N149" i="128"/>
  <c r="N183" i="128"/>
  <c r="N192" i="128"/>
  <c r="Y109" i="812" l="1"/>
  <c r="AE107" i="812"/>
  <c r="L9" i="127"/>
  <c r="M9" i="127" s="1"/>
  <c r="L497" i="608"/>
  <c r="M497" i="608" s="1"/>
  <c r="L500" i="608"/>
  <c r="M500" i="608" s="1"/>
  <c r="L501" i="608"/>
  <c r="M501" i="608" s="1"/>
  <c r="L10" i="127"/>
  <c r="M10" i="127" s="1"/>
  <c r="M527" i="608"/>
  <c r="L498" i="608"/>
  <c r="M498" i="608" s="1"/>
  <c r="R107" i="812"/>
  <c r="Q109" i="812"/>
  <c r="X131" i="812"/>
  <c r="Q132" i="812"/>
  <c r="R132" i="812"/>
  <c r="X132" i="812" s="1"/>
  <c r="N133" i="812"/>
  <c r="K133" i="812"/>
  <c r="M133" i="812"/>
  <c r="O133" i="812"/>
  <c r="V133" i="812" s="1"/>
  <c r="V128" i="812" s="1"/>
  <c r="V122" i="812" s="1"/>
  <c r="V146" i="812" s="1"/>
  <c r="V149" i="812" s="1"/>
  <c r="P133" i="812"/>
  <c r="L133" i="812"/>
  <c r="J342" i="127"/>
  <c r="M237" i="608"/>
  <c r="L6" i="127"/>
  <c r="M6" i="127" s="1"/>
  <c r="K314" i="608"/>
  <c r="K39" i="127"/>
  <c r="M40" i="608"/>
  <c r="L93" i="127"/>
  <c r="M93" i="127" s="1"/>
  <c r="L11" i="127"/>
  <c r="M11" i="127" s="1"/>
  <c r="L41" i="608"/>
  <c r="M380" i="608"/>
  <c r="L195" i="127"/>
  <c r="M195" i="127" s="1"/>
  <c r="L134" i="608"/>
  <c r="L540" i="608" s="1"/>
  <c r="M540" i="608" s="1"/>
  <c r="M45" i="608"/>
  <c r="L98" i="127"/>
  <c r="M98" i="127" s="1"/>
  <c r="M46" i="608"/>
  <c r="L99" i="127"/>
  <c r="M99" i="127" s="1"/>
  <c r="M37" i="608"/>
  <c r="L90" i="127"/>
  <c r="M90" i="127" s="1"/>
  <c r="K344" i="127"/>
  <c r="M243" i="608"/>
  <c r="L12" i="127"/>
  <c r="M12" i="127" s="1"/>
  <c r="M239" i="608"/>
  <c r="L8" i="127"/>
  <c r="M8" i="127" s="1"/>
  <c r="M245" i="608"/>
  <c r="L14" i="127"/>
  <c r="M14" i="127" s="1"/>
  <c r="M267" i="608"/>
  <c r="L36" i="127"/>
  <c r="I570" i="608"/>
  <c r="M39" i="608"/>
  <c r="L92" i="127"/>
  <c r="M92" i="127" s="1"/>
  <c r="I15" i="48"/>
  <c r="M266" i="608"/>
  <c r="L35" i="127"/>
  <c r="L65" i="608"/>
  <c r="K341" i="127"/>
  <c r="J341" i="127"/>
  <c r="M524" i="608"/>
  <c r="K209" i="608"/>
  <c r="K543" i="608" s="1"/>
  <c r="K620" i="608" s="1"/>
  <c r="G570" i="608"/>
  <c r="J543" i="608"/>
  <c r="L522" i="608"/>
  <c r="M522" i="608" s="1"/>
  <c r="K313" i="608"/>
  <c r="L208" i="608"/>
  <c r="M208" i="608" s="1"/>
  <c r="L131" i="608"/>
  <c r="L66" i="608"/>
  <c r="L636" i="608"/>
  <c r="K564" i="608"/>
  <c r="L36" i="608"/>
  <c r="L624" i="608"/>
  <c r="L265" i="608"/>
  <c r="L312" i="608"/>
  <c r="M312" i="608" s="1"/>
  <c r="J568" i="608"/>
  <c r="L42" i="608"/>
  <c r="K64" i="608"/>
  <c r="K122" i="127" s="1"/>
  <c r="K637" i="608"/>
  <c r="K638" i="608" s="1"/>
  <c r="K639" i="608" s="1"/>
  <c r="L211" i="608"/>
  <c r="L584" i="608"/>
  <c r="M584" i="608" s="1"/>
  <c r="L227" i="608"/>
  <c r="J68" i="608"/>
  <c r="K551" i="608"/>
  <c r="L38" i="608"/>
  <c r="L44" i="608"/>
  <c r="O128" i="812" l="1"/>
  <c r="O122" i="812" s="1"/>
  <c r="O146" i="812" s="1"/>
  <c r="O149" i="812" s="1"/>
  <c r="H150" i="812" s="1"/>
  <c r="X107" i="812"/>
  <c r="X109" i="812" s="1"/>
  <c r="J110" i="812" s="1"/>
  <c r="R109" i="812"/>
  <c r="Y149" i="812"/>
  <c r="AE109" i="812"/>
  <c r="AE149" i="812" s="1"/>
  <c r="M624" i="608"/>
  <c r="Q133" i="812"/>
  <c r="R133" i="812"/>
  <c r="R128" i="812" s="1"/>
  <c r="K128" i="812"/>
  <c r="U133" i="812"/>
  <c r="U128" i="812" s="1"/>
  <c r="U122" i="812" s="1"/>
  <c r="U146" i="812" s="1"/>
  <c r="U149" i="812" s="1"/>
  <c r="N128" i="812"/>
  <c r="N122" i="812" s="1"/>
  <c r="N146" i="812" s="1"/>
  <c r="N149" i="812" s="1"/>
  <c r="H147" i="812"/>
  <c r="S133" i="812"/>
  <c r="S128" i="812" s="1"/>
  <c r="S122" i="812" s="1"/>
  <c r="S146" i="812" s="1"/>
  <c r="S149" i="812" s="1"/>
  <c r="L128" i="812"/>
  <c r="L122" i="812" s="1"/>
  <c r="L146" i="812" s="1"/>
  <c r="L149" i="812" s="1"/>
  <c r="E150" i="812" s="1"/>
  <c r="W133" i="812"/>
  <c r="W128" i="812" s="1"/>
  <c r="W122" i="812" s="1"/>
  <c r="W146" i="812" s="1"/>
  <c r="W149" i="812" s="1"/>
  <c r="P128" i="812"/>
  <c r="P122" i="812" s="1"/>
  <c r="P146" i="812" s="1"/>
  <c r="P149" i="812" s="1"/>
  <c r="I150" i="812" s="1"/>
  <c r="T133" i="812"/>
  <c r="T128" i="812" s="1"/>
  <c r="T122" i="812" s="1"/>
  <c r="T146" i="812" s="1"/>
  <c r="T149" i="812" s="1"/>
  <c r="M128" i="812"/>
  <c r="M122" i="812" s="1"/>
  <c r="M146" i="812" s="1"/>
  <c r="M149" i="812" s="1"/>
  <c r="F150" i="812" s="1"/>
  <c r="M134" i="608"/>
  <c r="M65" i="608"/>
  <c r="L118" i="127"/>
  <c r="M36" i="608"/>
  <c r="L89" i="127"/>
  <c r="M89" i="127" s="1"/>
  <c r="J15" i="48"/>
  <c r="L94" i="127"/>
  <c r="M94" i="127" s="1"/>
  <c r="M41" i="608"/>
  <c r="M44" i="608"/>
  <c r="L97" i="127"/>
  <c r="M97" i="127" s="1"/>
  <c r="L314" i="608"/>
  <c r="M314" i="608" s="1"/>
  <c r="L39" i="127"/>
  <c r="M66" i="608"/>
  <c r="L119" i="127"/>
  <c r="M38" i="608"/>
  <c r="L91" i="127"/>
  <c r="M91" i="127" s="1"/>
  <c r="M42" i="608"/>
  <c r="L95" i="127"/>
  <c r="M95" i="127" s="1"/>
  <c r="M636" i="608"/>
  <c r="K342" i="127"/>
  <c r="M211" i="608"/>
  <c r="L344" i="127"/>
  <c r="M344" i="127" s="1"/>
  <c r="M131" i="608"/>
  <c r="L341" i="127"/>
  <c r="M341" i="127" s="1"/>
  <c r="J569" i="608"/>
  <c r="L209" i="608"/>
  <c r="M209" i="608" s="1"/>
  <c r="J620" i="608"/>
  <c r="L132" i="608"/>
  <c r="M265" i="608"/>
  <c r="M637" i="608" s="1"/>
  <c r="J583" i="608"/>
  <c r="J619" i="608" s="1"/>
  <c r="M227" i="608"/>
  <c r="J70" i="608"/>
  <c r="L564" i="608"/>
  <c r="M564" i="608" s="1"/>
  <c r="L313" i="608"/>
  <c r="M313" i="608" s="1"/>
  <c r="K541" i="608"/>
  <c r="K583" i="608"/>
  <c r="K619" i="608" s="1"/>
  <c r="L551" i="608"/>
  <c r="M551" i="608" s="1"/>
  <c r="K568" i="608"/>
  <c r="K569" i="608" s="1"/>
  <c r="L64" i="608"/>
  <c r="L637" i="608"/>
  <c r="L638" i="608" s="1"/>
  <c r="K68" i="608"/>
  <c r="K70" i="608" s="1"/>
  <c r="D110" i="812" l="1"/>
  <c r="G150" i="812"/>
  <c r="G147" i="812"/>
  <c r="E147" i="812"/>
  <c r="F147" i="812"/>
  <c r="Q128" i="812"/>
  <c r="K122" i="812"/>
  <c r="X133" i="812"/>
  <c r="X128" i="812"/>
  <c r="R122" i="812"/>
  <c r="I147" i="812"/>
  <c r="M638" i="608"/>
  <c r="M639" i="608" s="1"/>
  <c r="J570" i="608"/>
  <c r="M64" i="608"/>
  <c r="L122" i="127"/>
  <c r="M132" i="608"/>
  <c r="L342" i="127"/>
  <c r="M342" i="127" s="1"/>
  <c r="L639" i="608"/>
  <c r="D639" i="608" s="1"/>
  <c r="L543" i="608"/>
  <c r="J541" i="608"/>
  <c r="K570" i="608"/>
  <c r="L568" i="608"/>
  <c r="L569" i="608" s="1"/>
  <c r="M569" i="608" s="1"/>
  <c r="L68" i="608"/>
  <c r="L70" i="608" s="1"/>
  <c r="M70" i="608" s="1"/>
  <c r="L583" i="608"/>
  <c r="X122" i="812" l="1"/>
  <c r="R146" i="812"/>
  <c r="R149" i="812" s="1"/>
  <c r="Q122" i="812"/>
  <c r="K146" i="812"/>
  <c r="K149" i="812" s="1"/>
  <c r="D150" i="812" s="1"/>
  <c r="M583" i="608"/>
  <c r="L619" i="608"/>
  <c r="L620" i="608"/>
  <c r="M543" i="608"/>
  <c r="M568" i="608"/>
  <c r="M68" i="608"/>
  <c r="L541" i="608"/>
  <c r="M541" i="608" s="1"/>
  <c r="L570" i="608"/>
  <c r="D570" i="608" s="1"/>
  <c r="M620" i="608" l="1"/>
  <c r="M619" i="608"/>
  <c r="X146" i="812"/>
  <c r="X149" i="812" s="1"/>
  <c r="Q146" i="812"/>
  <c r="Q149" i="812" s="1"/>
  <c r="D147" i="812"/>
  <c r="L114" i="445"/>
  <c r="L113" i="445"/>
  <c r="L112" i="445"/>
  <c r="L111" i="445"/>
  <c r="L110" i="445"/>
  <c r="L109" i="445"/>
  <c r="L107" i="445"/>
  <c r="L106" i="445"/>
  <c r="L105" i="445"/>
  <c r="L104" i="445"/>
  <c r="L103" i="445"/>
  <c r="L102" i="445"/>
  <c r="L100" i="445"/>
  <c r="L99" i="445"/>
  <c r="L98" i="445"/>
  <c r="L97" i="445"/>
  <c r="L96" i="445"/>
  <c r="L93" i="445"/>
  <c r="L92" i="445"/>
  <c r="L91" i="445"/>
  <c r="L90" i="445"/>
  <c r="L89" i="445"/>
  <c r="L88" i="445"/>
  <c r="L86" i="445"/>
  <c r="L85" i="445"/>
  <c r="L84" i="445"/>
  <c r="L83" i="445"/>
  <c r="L82" i="445"/>
  <c r="L81" i="445"/>
  <c r="L79" i="445"/>
  <c r="L78" i="445"/>
  <c r="L77" i="445"/>
  <c r="L76" i="445"/>
  <c r="L75" i="445"/>
  <c r="L73" i="445"/>
  <c r="L72" i="445"/>
  <c r="L71" i="445"/>
  <c r="L70" i="445"/>
  <c r="L69" i="445"/>
  <c r="L65" i="445"/>
  <c r="L64" i="445"/>
  <c r="L63" i="445"/>
  <c r="L62" i="445"/>
  <c r="L61" i="445"/>
  <c r="L60" i="445"/>
  <c r="L57" i="445"/>
  <c r="L56" i="445"/>
  <c r="L55" i="445"/>
  <c r="L54" i="445"/>
  <c r="L52" i="445"/>
  <c r="L51" i="445"/>
  <c r="L50" i="445"/>
  <c r="L49" i="445"/>
  <c r="L47" i="445"/>
  <c r="L46" i="445"/>
  <c r="L45" i="445"/>
  <c r="L44" i="445"/>
  <c r="L42" i="445"/>
  <c r="L41" i="445"/>
  <c r="L40" i="445"/>
  <c r="L39" i="445"/>
  <c r="L38" i="445"/>
  <c r="L37" i="445"/>
  <c r="L35" i="445"/>
  <c r="L34" i="445"/>
  <c r="L33" i="445"/>
  <c r="L29" i="445"/>
  <c r="L28" i="445"/>
  <c r="L27" i="445"/>
  <c r="L26" i="445"/>
  <c r="L25" i="445" s="1"/>
  <c r="L128" i="445" s="1"/>
  <c r="L24" i="445"/>
  <c r="L23" i="445"/>
  <c r="L19" i="445"/>
  <c r="L130" i="445" s="1"/>
  <c r="L18" i="445"/>
  <c r="L131" i="445" s="1"/>
  <c r="J150" i="812" l="1"/>
  <c r="L101" i="445"/>
  <c r="L43" i="445"/>
  <c r="L48" i="445"/>
  <c r="L87" i="445"/>
  <c r="L124" i="445" s="1"/>
  <c r="L108" i="445"/>
  <c r="L68" i="445"/>
  <c r="L32" i="445"/>
  <c r="L127" i="445" s="1"/>
  <c r="L36" i="445"/>
  <c r="L80" i="445"/>
  <c r="L123" i="445" s="1"/>
  <c r="J147" i="812"/>
  <c r="L74" i="445"/>
  <c r="L122" i="445" s="1"/>
  <c r="L17" i="445"/>
  <c r="L53" i="445"/>
  <c r="L59" i="445"/>
  <c r="L125" i="445" s="1"/>
  <c r="L95" i="445"/>
  <c r="L22" i="445"/>
  <c r="L129" i="445" s="1"/>
  <c r="L126" i="445" l="1"/>
  <c r="L121" i="445"/>
  <c r="L21" i="445"/>
  <c r="L31" i="445"/>
  <c r="F10" i="381"/>
  <c r="P10" i="381" s="1"/>
  <c r="F9" i="381"/>
  <c r="P9" i="381" s="1"/>
  <c r="F8" i="381"/>
  <c r="P8" i="381" s="1"/>
  <c r="L5" i="240"/>
  <c r="D25" i="240"/>
  <c r="L132" i="445" l="1"/>
  <c r="L6" i="240"/>
  <c r="N5" i="240"/>
  <c r="L116" i="445"/>
  <c r="L133" i="445" s="1"/>
  <c r="H18" i="240"/>
  <c r="J25" i="240"/>
  <c r="F25" i="240"/>
  <c r="J3" i="240"/>
  <c r="M16" i="240"/>
  <c r="M15" i="240"/>
  <c r="M14" i="240"/>
  <c r="M13" i="240"/>
  <c r="M12" i="240"/>
  <c r="M11" i="240"/>
  <c r="L7" i="240" l="1"/>
  <c r="N6" i="240"/>
  <c r="L17" i="113"/>
  <c r="K17" i="113"/>
  <c r="J17" i="113"/>
  <c r="I17" i="113"/>
  <c r="H17" i="113"/>
  <c r="G17" i="113"/>
  <c r="L50" i="113"/>
  <c r="K50" i="113"/>
  <c r="J50" i="113"/>
  <c r="I50" i="113"/>
  <c r="H50" i="113"/>
  <c r="L8" i="240" l="1"/>
  <c r="N7" i="240"/>
  <c r="I119" i="459"/>
  <c r="J119" i="459"/>
  <c r="K119" i="459"/>
  <c r="L119" i="459"/>
  <c r="L153" i="459" s="1"/>
  <c r="M119" i="459"/>
  <c r="M153" i="459" s="1"/>
  <c r="N119" i="459"/>
  <c r="I120" i="459"/>
  <c r="I154" i="459" s="1"/>
  <c r="J120" i="459"/>
  <c r="J154" i="459" s="1"/>
  <c r="K120" i="459"/>
  <c r="K154" i="459" s="1"/>
  <c r="L120" i="459"/>
  <c r="M120" i="459"/>
  <c r="N120" i="459"/>
  <c r="N154" i="459" s="1"/>
  <c r="I121" i="459"/>
  <c r="I142" i="459" s="1"/>
  <c r="J121" i="459"/>
  <c r="J142" i="459" s="1"/>
  <c r="K121" i="459"/>
  <c r="K142" i="459" s="1"/>
  <c r="L121" i="459"/>
  <c r="L155" i="459" s="1"/>
  <c r="M121" i="459"/>
  <c r="M142" i="459" s="1"/>
  <c r="N121" i="459"/>
  <c r="N142" i="459" s="1"/>
  <c r="I122" i="459"/>
  <c r="I143" i="459" s="1"/>
  <c r="J122" i="459"/>
  <c r="J156" i="459" s="1"/>
  <c r="K122" i="459"/>
  <c r="K156" i="459" s="1"/>
  <c r="L122" i="459"/>
  <c r="L143" i="459" s="1"/>
  <c r="M122" i="459"/>
  <c r="M156" i="459" s="1"/>
  <c r="N122" i="459"/>
  <c r="N156" i="459" s="1"/>
  <c r="I123" i="459"/>
  <c r="I144" i="459" s="1"/>
  <c r="J123" i="459"/>
  <c r="J144" i="459" s="1"/>
  <c r="K123" i="459"/>
  <c r="K144" i="459" s="1"/>
  <c r="L123" i="459"/>
  <c r="L144" i="459" s="1"/>
  <c r="M123" i="459"/>
  <c r="M157" i="459" s="1"/>
  <c r="N123" i="459"/>
  <c r="N157" i="459" s="1"/>
  <c r="I124" i="459"/>
  <c r="I145" i="459" s="1"/>
  <c r="J124" i="459"/>
  <c r="J145" i="459" s="1"/>
  <c r="K124" i="459"/>
  <c r="K145" i="459" s="1"/>
  <c r="L124" i="459"/>
  <c r="L145" i="459" s="1"/>
  <c r="M124" i="459"/>
  <c r="M145" i="459" s="1"/>
  <c r="N124" i="459"/>
  <c r="N158" i="459" s="1"/>
  <c r="I125" i="459"/>
  <c r="I159" i="459" s="1"/>
  <c r="J125" i="459"/>
  <c r="J146" i="459" s="1"/>
  <c r="K125" i="459"/>
  <c r="K159" i="459" s="1"/>
  <c r="L125" i="459"/>
  <c r="L159" i="459" s="1"/>
  <c r="M125" i="459"/>
  <c r="M146" i="459" s="1"/>
  <c r="N125" i="459"/>
  <c r="N146" i="459" s="1"/>
  <c r="I126" i="459"/>
  <c r="I147" i="459" s="1"/>
  <c r="J126" i="459"/>
  <c r="J147" i="459" s="1"/>
  <c r="K126" i="459"/>
  <c r="K147" i="459" s="1"/>
  <c r="L126" i="459"/>
  <c r="L147" i="459" s="1"/>
  <c r="M126" i="459"/>
  <c r="M147" i="459" s="1"/>
  <c r="N126" i="459"/>
  <c r="N147" i="459" s="1"/>
  <c r="I127" i="459"/>
  <c r="J127" i="459"/>
  <c r="K127" i="459"/>
  <c r="L127" i="459"/>
  <c r="M127" i="459"/>
  <c r="N127" i="459"/>
  <c r="I128" i="459"/>
  <c r="J128" i="459"/>
  <c r="K128" i="459"/>
  <c r="L128" i="459"/>
  <c r="M128" i="459"/>
  <c r="N128" i="459"/>
  <c r="I129" i="459"/>
  <c r="J129" i="459"/>
  <c r="K129" i="459"/>
  <c r="L129" i="459"/>
  <c r="M129" i="459"/>
  <c r="N129" i="459"/>
  <c r="I130" i="459"/>
  <c r="J130" i="459"/>
  <c r="K130" i="459"/>
  <c r="L130" i="459"/>
  <c r="M130" i="459"/>
  <c r="N130" i="459"/>
  <c r="I131" i="459"/>
  <c r="J131" i="459"/>
  <c r="K131" i="459"/>
  <c r="L131" i="459"/>
  <c r="M131" i="459"/>
  <c r="N131" i="459"/>
  <c r="I132" i="459"/>
  <c r="J132" i="459"/>
  <c r="K132" i="459"/>
  <c r="L132" i="459"/>
  <c r="M132" i="459"/>
  <c r="N132" i="459"/>
  <c r="I133" i="459"/>
  <c r="J133" i="459"/>
  <c r="K133" i="459"/>
  <c r="L133" i="459"/>
  <c r="M133" i="459"/>
  <c r="N133" i="459"/>
  <c r="I134" i="459"/>
  <c r="J134" i="459"/>
  <c r="K134" i="459"/>
  <c r="L134" i="459"/>
  <c r="M134" i="459"/>
  <c r="N134" i="459"/>
  <c r="I135" i="459"/>
  <c r="J135" i="459"/>
  <c r="K135" i="459"/>
  <c r="L135" i="459"/>
  <c r="M135" i="459"/>
  <c r="N135" i="459"/>
  <c r="I136" i="459"/>
  <c r="J136" i="459"/>
  <c r="K136" i="459"/>
  <c r="L136" i="459"/>
  <c r="M136" i="459"/>
  <c r="N136" i="459"/>
  <c r="I137" i="459"/>
  <c r="J137" i="459"/>
  <c r="K137" i="459"/>
  <c r="L137" i="459"/>
  <c r="M137" i="459"/>
  <c r="N137" i="459"/>
  <c r="I138" i="459"/>
  <c r="J138" i="459"/>
  <c r="K138" i="459"/>
  <c r="L138" i="459"/>
  <c r="M138" i="459"/>
  <c r="N138" i="459"/>
  <c r="I139" i="459"/>
  <c r="J139" i="459"/>
  <c r="K139" i="459"/>
  <c r="L139" i="459"/>
  <c r="M139" i="459"/>
  <c r="N139" i="459"/>
  <c r="I74" i="459"/>
  <c r="J74" i="459"/>
  <c r="K74" i="459"/>
  <c r="L74" i="459"/>
  <c r="M74" i="459"/>
  <c r="N74" i="459"/>
  <c r="I52" i="459"/>
  <c r="J52" i="459"/>
  <c r="K52" i="459"/>
  <c r="L52" i="459"/>
  <c r="M52" i="459"/>
  <c r="N52" i="459"/>
  <c r="I96" i="459"/>
  <c r="J96" i="459"/>
  <c r="K96" i="459"/>
  <c r="L96" i="459"/>
  <c r="M96" i="459"/>
  <c r="N96" i="459"/>
  <c r="I30" i="459"/>
  <c r="J30" i="459"/>
  <c r="K30" i="459"/>
  <c r="L30" i="459"/>
  <c r="M30" i="459"/>
  <c r="N30" i="459"/>
  <c r="I8" i="459"/>
  <c r="J8" i="459"/>
  <c r="K8" i="459"/>
  <c r="L8" i="459"/>
  <c r="M8" i="459"/>
  <c r="N8" i="459"/>
  <c r="I155" i="459"/>
  <c r="N152" i="459"/>
  <c r="M152" i="459"/>
  <c r="L152" i="459"/>
  <c r="K152" i="459"/>
  <c r="J152" i="459"/>
  <c r="I152" i="459"/>
  <c r="N144" i="459"/>
  <c r="N152" i="460"/>
  <c r="M152" i="460"/>
  <c r="L152" i="460"/>
  <c r="K152" i="460"/>
  <c r="J152" i="460"/>
  <c r="I152" i="460"/>
  <c r="I119" i="460"/>
  <c r="I153" i="460" s="1"/>
  <c r="J119" i="460"/>
  <c r="J153" i="460" s="1"/>
  <c r="K119" i="460"/>
  <c r="K153" i="460" s="1"/>
  <c r="L119" i="460"/>
  <c r="L141" i="460" s="1"/>
  <c r="M119" i="460"/>
  <c r="N119" i="460"/>
  <c r="N153" i="460" s="1"/>
  <c r="I120" i="460"/>
  <c r="I154" i="460" s="1"/>
  <c r="J120" i="460"/>
  <c r="J154" i="460" s="1"/>
  <c r="K120" i="460"/>
  <c r="K154" i="460" s="1"/>
  <c r="L120" i="460"/>
  <c r="L154" i="460" s="1"/>
  <c r="M120" i="460"/>
  <c r="M154" i="460" s="1"/>
  <c r="N120" i="460"/>
  <c r="N154" i="460" s="1"/>
  <c r="I121" i="460"/>
  <c r="I155" i="460" s="1"/>
  <c r="J121" i="460"/>
  <c r="J142" i="460" s="1"/>
  <c r="K121" i="460"/>
  <c r="K155" i="460" s="1"/>
  <c r="L121" i="460"/>
  <c r="L142" i="460" s="1"/>
  <c r="M121" i="460"/>
  <c r="M142" i="460" s="1"/>
  <c r="N121" i="460"/>
  <c r="N155" i="460" s="1"/>
  <c r="I122" i="460"/>
  <c r="I143" i="460" s="1"/>
  <c r="J122" i="460"/>
  <c r="J143" i="460" s="1"/>
  <c r="K122" i="460"/>
  <c r="K143" i="460" s="1"/>
  <c r="L122" i="460"/>
  <c r="L156" i="460" s="1"/>
  <c r="M122" i="460"/>
  <c r="M156" i="460" s="1"/>
  <c r="N122" i="460"/>
  <c r="N143" i="460" s="1"/>
  <c r="I123" i="460"/>
  <c r="I144" i="460" s="1"/>
  <c r="J123" i="460"/>
  <c r="J157" i="460" s="1"/>
  <c r="K123" i="460"/>
  <c r="K157" i="460" s="1"/>
  <c r="L123" i="460"/>
  <c r="L144" i="460" s="1"/>
  <c r="M123" i="460"/>
  <c r="M157" i="460" s="1"/>
  <c r="N123" i="460"/>
  <c r="N157" i="460" s="1"/>
  <c r="I124" i="460"/>
  <c r="I145" i="460" s="1"/>
  <c r="J124" i="460"/>
  <c r="J145" i="460" s="1"/>
  <c r="K124" i="460"/>
  <c r="K145" i="460" s="1"/>
  <c r="L124" i="460"/>
  <c r="L158" i="460" s="1"/>
  <c r="M124" i="460"/>
  <c r="M145" i="460" s="1"/>
  <c r="N124" i="460"/>
  <c r="N145" i="460" s="1"/>
  <c r="I125" i="460"/>
  <c r="I146" i="460" s="1"/>
  <c r="J125" i="460"/>
  <c r="J159" i="460" s="1"/>
  <c r="K125" i="460"/>
  <c r="K159" i="460" s="1"/>
  <c r="L125" i="460"/>
  <c r="L146" i="460" s="1"/>
  <c r="M125" i="460"/>
  <c r="M146" i="460" s="1"/>
  <c r="N125" i="460"/>
  <c r="N146" i="460" s="1"/>
  <c r="I126" i="460"/>
  <c r="J126" i="460"/>
  <c r="J147" i="460" s="1"/>
  <c r="K126" i="460"/>
  <c r="L126" i="460"/>
  <c r="M126" i="460"/>
  <c r="M147" i="460" s="1"/>
  <c r="N126" i="460"/>
  <c r="N147" i="460" s="1"/>
  <c r="I127" i="460"/>
  <c r="J127" i="460"/>
  <c r="K127" i="460"/>
  <c r="L127" i="460"/>
  <c r="M127" i="460"/>
  <c r="N127" i="460"/>
  <c r="I128" i="460"/>
  <c r="J128" i="460"/>
  <c r="K128" i="460"/>
  <c r="L128" i="460"/>
  <c r="M128" i="460"/>
  <c r="N128" i="460"/>
  <c r="I129" i="460"/>
  <c r="J129" i="460"/>
  <c r="K129" i="460"/>
  <c r="L129" i="460"/>
  <c r="M129" i="460"/>
  <c r="N129" i="460"/>
  <c r="I130" i="460"/>
  <c r="J130" i="460"/>
  <c r="K130" i="460"/>
  <c r="L130" i="460"/>
  <c r="M130" i="460"/>
  <c r="N130" i="460"/>
  <c r="I131" i="460"/>
  <c r="J131" i="460"/>
  <c r="K131" i="460"/>
  <c r="L131" i="460"/>
  <c r="M131" i="460"/>
  <c r="N131" i="460"/>
  <c r="I132" i="460"/>
  <c r="J132" i="460"/>
  <c r="K132" i="460"/>
  <c r="L132" i="460"/>
  <c r="M132" i="460"/>
  <c r="N132" i="460"/>
  <c r="I133" i="460"/>
  <c r="J133" i="460"/>
  <c r="K133" i="460"/>
  <c r="L133" i="460"/>
  <c r="M133" i="460"/>
  <c r="N133" i="460"/>
  <c r="I134" i="460"/>
  <c r="J134" i="460"/>
  <c r="K134" i="460"/>
  <c r="L134" i="460"/>
  <c r="M134" i="460"/>
  <c r="N134" i="460"/>
  <c r="I135" i="460"/>
  <c r="J135" i="460"/>
  <c r="K135" i="460"/>
  <c r="L135" i="460"/>
  <c r="M135" i="460"/>
  <c r="N135" i="460"/>
  <c r="I136" i="460"/>
  <c r="J136" i="460"/>
  <c r="K136" i="460"/>
  <c r="L136" i="460"/>
  <c r="M136" i="460"/>
  <c r="N136" i="460"/>
  <c r="I137" i="460"/>
  <c r="J137" i="460"/>
  <c r="K137" i="460"/>
  <c r="L137" i="460"/>
  <c r="M137" i="460"/>
  <c r="N137" i="460"/>
  <c r="I138" i="460"/>
  <c r="J138" i="460"/>
  <c r="K138" i="460"/>
  <c r="L138" i="460"/>
  <c r="M138" i="460"/>
  <c r="N138" i="460"/>
  <c r="I139" i="460"/>
  <c r="J139" i="460"/>
  <c r="K139" i="460"/>
  <c r="L139" i="460"/>
  <c r="M139" i="460"/>
  <c r="N139" i="460"/>
  <c r="I74" i="460"/>
  <c r="J74" i="460"/>
  <c r="K74" i="460"/>
  <c r="L74" i="460"/>
  <c r="M74" i="460"/>
  <c r="N74" i="460"/>
  <c r="I52" i="460"/>
  <c r="J52" i="460"/>
  <c r="K52" i="460"/>
  <c r="L52" i="460"/>
  <c r="M52" i="460"/>
  <c r="N52" i="460"/>
  <c r="I96" i="460"/>
  <c r="J96" i="460"/>
  <c r="K96" i="460"/>
  <c r="L96" i="460"/>
  <c r="M96" i="460"/>
  <c r="N96" i="460"/>
  <c r="I30" i="460"/>
  <c r="J30" i="460"/>
  <c r="K30" i="460"/>
  <c r="L30" i="460"/>
  <c r="M30" i="460"/>
  <c r="N30" i="460"/>
  <c r="I8" i="460"/>
  <c r="J8" i="460"/>
  <c r="K8" i="460"/>
  <c r="L8" i="460"/>
  <c r="M8" i="460"/>
  <c r="N8" i="460"/>
  <c r="I158" i="459" l="1"/>
  <c r="Q154" i="460"/>
  <c r="N156" i="460"/>
  <c r="I157" i="460"/>
  <c r="L159" i="460"/>
  <c r="N141" i="460"/>
  <c r="I142" i="460"/>
  <c r="L143" i="460"/>
  <c r="J146" i="460"/>
  <c r="K146" i="460"/>
  <c r="L157" i="460"/>
  <c r="N160" i="460"/>
  <c r="L155" i="460"/>
  <c r="J155" i="460"/>
  <c r="L149" i="460"/>
  <c r="I161" i="459"/>
  <c r="L160" i="460"/>
  <c r="I158" i="460"/>
  <c r="J161" i="460"/>
  <c r="K160" i="460"/>
  <c r="J158" i="460"/>
  <c r="K149" i="460"/>
  <c r="K156" i="460"/>
  <c r="L161" i="460"/>
  <c r="K161" i="460"/>
  <c r="K158" i="460"/>
  <c r="M155" i="459"/>
  <c r="I161" i="460"/>
  <c r="I160" i="460"/>
  <c r="I159" i="460"/>
  <c r="I157" i="459"/>
  <c r="M144" i="460"/>
  <c r="N144" i="460"/>
  <c r="M159" i="460"/>
  <c r="M159" i="459"/>
  <c r="N161" i="460"/>
  <c r="J149" i="460"/>
  <c r="L153" i="460"/>
  <c r="M149" i="460"/>
  <c r="I149" i="460"/>
  <c r="M144" i="459"/>
  <c r="J160" i="460"/>
  <c r="N149" i="460"/>
  <c r="I118" i="459"/>
  <c r="J141" i="460"/>
  <c r="I147" i="460"/>
  <c r="I156" i="460"/>
  <c r="N158" i="460"/>
  <c r="L146" i="459"/>
  <c r="K141" i="460"/>
  <c r="J144" i="460"/>
  <c r="J156" i="460"/>
  <c r="M141" i="459"/>
  <c r="K144" i="460"/>
  <c r="K147" i="460"/>
  <c r="L141" i="459"/>
  <c r="M141" i="460"/>
  <c r="L147" i="460"/>
  <c r="I160" i="459"/>
  <c r="R160" i="459" s="1"/>
  <c r="K141" i="459"/>
  <c r="N159" i="460"/>
  <c r="K142" i="460"/>
  <c r="M149" i="459"/>
  <c r="N118" i="460"/>
  <c r="N142" i="460"/>
  <c r="L145" i="460"/>
  <c r="I141" i="459"/>
  <c r="I148" i="459" s="1"/>
  <c r="M154" i="459"/>
  <c r="M161" i="460"/>
  <c r="M160" i="460"/>
  <c r="J141" i="459"/>
  <c r="L118" i="460"/>
  <c r="I149" i="459"/>
  <c r="K118" i="460"/>
  <c r="N161" i="459"/>
  <c r="J118" i="460"/>
  <c r="M161" i="459"/>
  <c r="I118" i="460"/>
  <c r="M143" i="460"/>
  <c r="K158" i="459"/>
  <c r="L9" i="240"/>
  <c r="N8" i="240"/>
  <c r="I141" i="460"/>
  <c r="M158" i="460"/>
  <c r="K146" i="459"/>
  <c r="J158" i="459"/>
  <c r="N149" i="459"/>
  <c r="L160" i="459"/>
  <c r="J155" i="459"/>
  <c r="K155" i="459"/>
  <c r="R155" i="459" s="1"/>
  <c r="J160" i="459"/>
  <c r="N160" i="459"/>
  <c r="N141" i="459"/>
  <c r="M143" i="459"/>
  <c r="K157" i="459"/>
  <c r="L161" i="459"/>
  <c r="L149" i="459"/>
  <c r="K160" i="459"/>
  <c r="L142" i="459"/>
  <c r="N143" i="459"/>
  <c r="L157" i="459"/>
  <c r="K161" i="459"/>
  <c r="K149" i="459"/>
  <c r="K118" i="459"/>
  <c r="J161" i="459"/>
  <c r="J149" i="459"/>
  <c r="J118" i="459"/>
  <c r="M160" i="459"/>
  <c r="K153" i="459"/>
  <c r="I156" i="459"/>
  <c r="M158" i="459"/>
  <c r="N118" i="459"/>
  <c r="J153" i="459"/>
  <c r="L158" i="459"/>
  <c r="L118" i="459"/>
  <c r="N155" i="459"/>
  <c r="J143" i="459"/>
  <c r="N145" i="459"/>
  <c r="N153" i="459"/>
  <c r="L156" i="459"/>
  <c r="J159" i="459"/>
  <c r="R159" i="459" s="1"/>
  <c r="I153" i="459"/>
  <c r="R153" i="459" s="1"/>
  <c r="K143" i="459"/>
  <c r="I146" i="459"/>
  <c r="L154" i="459"/>
  <c r="R154" i="459" s="1"/>
  <c r="J157" i="459"/>
  <c r="N159" i="459"/>
  <c r="M118" i="459"/>
  <c r="M118" i="460"/>
  <c r="M155" i="460"/>
  <c r="M153" i="460"/>
  <c r="Q153" i="460" l="1"/>
  <c r="R157" i="459"/>
  <c r="R156" i="459"/>
  <c r="R161" i="459"/>
  <c r="Q161" i="460"/>
  <c r="R158" i="459"/>
  <c r="Q159" i="460"/>
  <c r="Q155" i="460"/>
  <c r="I148" i="460"/>
  <c r="Q160" i="460"/>
  <c r="Q157" i="460"/>
  <c r="Q156" i="460"/>
  <c r="Q158" i="460"/>
  <c r="M148" i="460"/>
  <c r="M150" i="460" s="1"/>
  <c r="J162" i="460"/>
  <c r="K162" i="460"/>
  <c r="I150" i="460"/>
  <c r="I150" i="459"/>
  <c r="L162" i="460"/>
  <c r="L148" i="460"/>
  <c r="L150" i="460" s="1"/>
  <c r="J148" i="459"/>
  <c r="N148" i="460"/>
  <c r="N150" i="460" s="1"/>
  <c r="L148" i="459"/>
  <c r="L150" i="459" s="1"/>
  <c r="N162" i="460"/>
  <c r="I162" i="460"/>
  <c r="J162" i="459"/>
  <c r="K148" i="459"/>
  <c r="K150" i="459" s="1"/>
  <c r="L10" i="240"/>
  <c r="N10" i="240" s="1"/>
  <c r="N9" i="240"/>
  <c r="M162" i="459"/>
  <c r="M148" i="459"/>
  <c r="M150" i="459" s="1"/>
  <c r="K148" i="460"/>
  <c r="K150" i="460" s="1"/>
  <c r="J148" i="460"/>
  <c r="J150" i="460" s="1"/>
  <c r="M162" i="460"/>
  <c r="K162" i="459"/>
  <c r="N162" i="459"/>
  <c r="N148" i="459"/>
  <c r="N150" i="459" s="1"/>
  <c r="L162" i="459"/>
  <c r="J150" i="459"/>
  <c r="I162" i="459"/>
  <c r="P119" i="88"/>
  <c r="O119" i="88"/>
  <c r="N119" i="88"/>
  <c r="M119" i="88"/>
  <c r="L119" i="88"/>
  <c r="K119" i="88"/>
  <c r="S156" i="459" l="1"/>
  <c r="R158" i="460"/>
  <c r="Q163" i="460"/>
  <c r="R162" i="459"/>
  <c r="S158" i="459"/>
  <c r="R161" i="460"/>
  <c r="R160" i="460"/>
  <c r="R155" i="460"/>
  <c r="R159" i="460"/>
  <c r="S161" i="459"/>
  <c r="R157" i="460"/>
  <c r="Q162" i="460"/>
  <c r="R162" i="460" l="1"/>
  <c r="R154" i="460"/>
  <c r="S162" i="459"/>
  <c r="S159" i="459"/>
  <c r="S154" i="459"/>
  <c r="S155" i="459"/>
  <c r="S160" i="459"/>
  <c r="S153" i="459"/>
  <c r="S157" i="459"/>
  <c r="R156" i="460"/>
  <c r="R153" i="460"/>
  <c r="E176" i="87"/>
  <c r="L23" i="87" s="1"/>
  <c r="L23" i="120" s="1"/>
  <c r="P24" i="87"/>
  <c r="P24" i="120" s="1"/>
  <c r="O24" i="87"/>
  <c r="O24" i="120" s="1"/>
  <c r="N24" i="87"/>
  <c r="N24" i="120" s="1"/>
  <c r="M24" i="87"/>
  <c r="M24" i="120" s="1"/>
  <c r="L24" i="87"/>
  <c r="L24" i="120" s="1"/>
  <c r="K24" i="87"/>
  <c r="K24" i="120" s="1"/>
  <c r="P23" i="87"/>
  <c r="P23" i="120" s="1"/>
  <c r="O23" i="87"/>
  <c r="O23" i="120" s="1"/>
  <c r="N23" i="87"/>
  <c r="N23" i="120" s="1"/>
  <c r="M23" i="87"/>
  <c r="M23" i="120" s="1"/>
  <c r="K23" i="87"/>
  <c r="K23" i="120" s="1"/>
  <c r="P22" i="87"/>
  <c r="P22" i="120" s="1"/>
  <c r="O22" i="87"/>
  <c r="O22" i="120" s="1"/>
  <c r="N22" i="87"/>
  <c r="N22" i="120" s="1"/>
  <c r="M22" i="87"/>
  <c r="M22" i="120" s="1"/>
  <c r="L22" i="87"/>
  <c r="L22" i="120" s="1"/>
  <c r="K22" i="87"/>
  <c r="K22" i="120" s="1"/>
  <c r="P12" i="87"/>
  <c r="P12" i="120" s="1"/>
  <c r="O12" i="87"/>
  <c r="O12" i="120" s="1"/>
  <c r="N12" i="87"/>
  <c r="N12" i="120" s="1"/>
  <c r="M12" i="87"/>
  <c r="M12" i="120" s="1"/>
  <c r="L12" i="87"/>
  <c r="L12" i="120" s="1"/>
  <c r="P11" i="87"/>
  <c r="P11" i="120" s="1"/>
  <c r="O11" i="87"/>
  <c r="O11" i="120" s="1"/>
  <c r="N11" i="87"/>
  <c r="N11" i="120" s="1"/>
  <c r="M11" i="87"/>
  <c r="M11" i="120" s="1"/>
  <c r="L11" i="87"/>
  <c r="L11" i="120" s="1"/>
  <c r="K12" i="87"/>
  <c r="K12" i="120" s="1"/>
  <c r="K11" i="87"/>
  <c r="K11" i="120" s="1"/>
  <c r="P6" i="87"/>
  <c r="P6" i="120" s="1"/>
  <c r="O6" i="87"/>
  <c r="O6" i="120" s="1"/>
  <c r="N6" i="87"/>
  <c r="N6" i="120" s="1"/>
  <c r="M6" i="87"/>
  <c r="M6" i="120" s="1"/>
  <c r="L6" i="87"/>
  <c r="L6" i="120" s="1"/>
  <c r="K6" i="87"/>
  <c r="K6" i="120" s="1"/>
  <c r="J180" i="87"/>
  <c r="J181" i="87"/>
  <c r="J182" i="87"/>
  <c r="J183" i="87"/>
  <c r="J184" i="87"/>
  <c r="J185" i="87"/>
  <c r="J186" i="87"/>
  <c r="J171" i="87"/>
  <c r="J172" i="87"/>
  <c r="J173" i="87"/>
  <c r="J174" i="87"/>
  <c r="J175" i="87"/>
  <c r="J176" i="87"/>
  <c r="J177" i="87"/>
  <c r="J107" i="86" l="1"/>
  <c r="J101" i="86"/>
  <c r="J100" i="86"/>
  <c r="J99" i="86"/>
  <c r="J94" i="86"/>
  <c r="J93" i="86"/>
  <c r="J92" i="86"/>
  <c r="J88" i="86"/>
  <c r="J87" i="86"/>
  <c r="J86" i="86"/>
  <c r="J84" i="86"/>
  <c r="J83" i="86"/>
  <c r="J82" i="86"/>
  <c r="J80" i="86"/>
  <c r="J79" i="86"/>
  <c r="J78" i="86"/>
  <c r="J77" i="86"/>
  <c r="J76" i="86"/>
  <c r="J75" i="86"/>
  <c r="J73" i="86"/>
  <c r="J72" i="86"/>
  <c r="J71" i="86"/>
  <c r="J70" i="86"/>
  <c r="J69" i="86"/>
  <c r="J68" i="86"/>
  <c r="J67" i="86"/>
  <c r="J66" i="86"/>
  <c r="J65" i="86"/>
  <c r="J53" i="86"/>
  <c r="J51" i="86"/>
  <c r="J50" i="86"/>
  <c r="J48" i="86"/>
  <c r="J47" i="86"/>
  <c r="J46" i="86"/>
  <c r="J45" i="86"/>
  <c r="J44" i="86"/>
  <c r="J43" i="86"/>
  <c r="J42" i="86"/>
  <c r="J41" i="86"/>
  <c r="J40" i="86"/>
  <c r="J39" i="86"/>
  <c r="J38" i="86"/>
  <c r="J37" i="86"/>
  <c r="J36" i="86"/>
  <c r="J35" i="86"/>
  <c r="J34" i="86"/>
  <c r="J33" i="86"/>
  <c r="J32" i="86"/>
  <c r="J31" i="86"/>
  <c r="J29" i="86"/>
  <c r="J28" i="86"/>
  <c r="J27" i="86"/>
  <c r="J26" i="86"/>
  <c r="J24" i="86"/>
  <c r="J23" i="86"/>
  <c r="J22" i="86"/>
  <c r="J21" i="86"/>
  <c r="J20" i="86"/>
  <c r="J18" i="86"/>
  <c r="J17" i="86"/>
  <c r="J16" i="86"/>
  <c r="J15" i="86"/>
  <c r="J14" i="86"/>
  <c r="J12" i="86"/>
  <c r="J11" i="86"/>
  <c r="J10" i="86"/>
  <c r="J9" i="86"/>
  <c r="J7" i="86"/>
  <c r="J6" i="86"/>
  <c r="J5" i="86"/>
  <c r="L5" i="88" l="1"/>
  <c r="M5" i="88"/>
  <c r="N5" i="88"/>
  <c r="O5" i="88"/>
  <c r="P5" i="88"/>
  <c r="L6" i="88"/>
  <c r="M6" i="88"/>
  <c r="N6" i="88"/>
  <c r="O6" i="88"/>
  <c r="P6" i="88"/>
  <c r="L7" i="88"/>
  <c r="M7" i="88"/>
  <c r="N7" i="88"/>
  <c r="O7" i="88"/>
  <c r="P7" i="88"/>
  <c r="L8" i="88"/>
  <c r="M8" i="88"/>
  <c r="N8" i="88"/>
  <c r="O8" i="88"/>
  <c r="P8" i="88"/>
  <c r="L9" i="88"/>
  <c r="M9" i="88"/>
  <c r="N9" i="88"/>
  <c r="O9" i="88"/>
  <c r="P9" i="88"/>
  <c r="L10" i="88"/>
  <c r="M10" i="88"/>
  <c r="N10" i="88"/>
  <c r="O10" i="88"/>
  <c r="P10" i="88"/>
  <c r="L11" i="88"/>
  <c r="M11" i="88"/>
  <c r="N11" i="88"/>
  <c r="O11" i="88"/>
  <c r="P11" i="88"/>
  <c r="L12" i="88"/>
  <c r="M12" i="88"/>
  <c r="N12" i="88"/>
  <c r="O12" i="88"/>
  <c r="P12" i="88"/>
  <c r="L13" i="88"/>
  <c r="M13" i="88"/>
  <c r="N13" i="88"/>
  <c r="O13" i="88"/>
  <c r="P13" i="88"/>
  <c r="L14" i="88"/>
  <c r="M14" i="88"/>
  <c r="N14" i="88"/>
  <c r="O14" i="88"/>
  <c r="P14" i="88"/>
  <c r="L15" i="88"/>
  <c r="M15" i="88"/>
  <c r="N15" i="88"/>
  <c r="O15" i="88"/>
  <c r="P15" i="88"/>
  <c r="L16" i="88"/>
  <c r="M16" i="88"/>
  <c r="N16" i="88"/>
  <c r="O16" i="88"/>
  <c r="P16" i="88"/>
  <c r="L17" i="88"/>
  <c r="M17" i="88"/>
  <c r="N17" i="88"/>
  <c r="O17" i="88"/>
  <c r="P17" i="88"/>
  <c r="L18" i="88"/>
  <c r="M18" i="88"/>
  <c r="N18" i="88"/>
  <c r="O18" i="88"/>
  <c r="P18" i="88"/>
  <c r="L19" i="88"/>
  <c r="M19" i="88"/>
  <c r="N19" i="88"/>
  <c r="O19" i="88"/>
  <c r="P19" i="88"/>
  <c r="L20" i="88"/>
  <c r="M20" i="88"/>
  <c r="N20" i="88"/>
  <c r="O20" i="88"/>
  <c r="P20" i="88"/>
  <c r="L21" i="88"/>
  <c r="M21" i="88"/>
  <c r="N21" i="88"/>
  <c r="O21" i="88"/>
  <c r="P21" i="88"/>
  <c r="L22" i="88"/>
  <c r="M22" i="88"/>
  <c r="N22" i="88"/>
  <c r="O22" i="88"/>
  <c r="P22" i="88"/>
  <c r="L23" i="88"/>
  <c r="M23" i="88"/>
  <c r="N23" i="88"/>
  <c r="O23" i="88"/>
  <c r="P23" i="88"/>
  <c r="L24" i="88"/>
  <c r="M24" i="88"/>
  <c r="N24" i="88"/>
  <c r="O24" i="88"/>
  <c r="P24" i="88"/>
  <c r="L25" i="88"/>
  <c r="M25" i="88"/>
  <c r="N25" i="88"/>
  <c r="O25" i="88"/>
  <c r="P25" i="88"/>
  <c r="L26" i="88"/>
  <c r="M26" i="88"/>
  <c r="N26" i="88"/>
  <c r="O26" i="88"/>
  <c r="P26" i="88"/>
  <c r="L27" i="88"/>
  <c r="M27" i="88"/>
  <c r="N27" i="88"/>
  <c r="O27" i="88"/>
  <c r="P27" i="88"/>
  <c r="L28" i="88"/>
  <c r="M28" i="88"/>
  <c r="N28" i="88"/>
  <c r="O28" i="88"/>
  <c r="P28" i="88"/>
  <c r="L29" i="88"/>
  <c r="M29" i="88"/>
  <c r="N29" i="88"/>
  <c r="O29" i="88"/>
  <c r="P29" i="88"/>
  <c r="L30" i="88"/>
  <c r="M30" i="88"/>
  <c r="N30" i="88"/>
  <c r="O30" i="88"/>
  <c r="P30" i="88"/>
  <c r="L31" i="88"/>
  <c r="M31" i="88"/>
  <c r="N31" i="88"/>
  <c r="O31" i="88"/>
  <c r="P31" i="88"/>
  <c r="L32" i="88"/>
  <c r="M32" i="88"/>
  <c r="N32" i="88"/>
  <c r="O32" i="88"/>
  <c r="P32" i="88"/>
  <c r="L33" i="88"/>
  <c r="M33" i="88"/>
  <c r="N33" i="88"/>
  <c r="O33" i="88"/>
  <c r="P33" i="88"/>
  <c r="L34" i="88"/>
  <c r="M34" i="88"/>
  <c r="N34" i="88"/>
  <c r="O34" i="88"/>
  <c r="P34" i="88"/>
  <c r="L35" i="88"/>
  <c r="M35" i="88"/>
  <c r="N35" i="88"/>
  <c r="O35" i="88"/>
  <c r="P35" i="88"/>
  <c r="L36" i="88"/>
  <c r="M36" i="88"/>
  <c r="N36" i="88"/>
  <c r="O36" i="88"/>
  <c r="P36" i="88"/>
  <c r="L37" i="88"/>
  <c r="M37" i="88"/>
  <c r="N37" i="88"/>
  <c r="O37" i="88"/>
  <c r="P37" i="88"/>
  <c r="L38" i="88"/>
  <c r="M38" i="88"/>
  <c r="N38" i="88"/>
  <c r="O38" i="88"/>
  <c r="P38" i="88"/>
  <c r="L39" i="88"/>
  <c r="M39" i="88"/>
  <c r="N39" i="88"/>
  <c r="O39" i="88"/>
  <c r="P39" i="88"/>
  <c r="L40" i="88"/>
  <c r="M40" i="88"/>
  <c r="N40" i="88"/>
  <c r="O40" i="88"/>
  <c r="P40" i="88"/>
  <c r="L41" i="88"/>
  <c r="M41" i="88"/>
  <c r="N41" i="88"/>
  <c r="O41" i="88"/>
  <c r="P41" i="88"/>
  <c r="L42" i="88"/>
  <c r="M42" i="88"/>
  <c r="N42" i="88"/>
  <c r="O42" i="88"/>
  <c r="P42" i="88"/>
  <c r="L43" i="88"/>
  <c r="M43" i="88"/>
  <c r="N43" i="88"/>
  <c r="O43" i="88"/>
  <c r="P43" i="88"/>
  <c r="L44" i="88"/>
  <c r="M44" i="88"/>
  <c r="N44" i="88"/>
  <c r="O44" i="88"/>
  <c r="P44" i="88"/>
  <c r="L45" i="88"/>
  <c r="M45" i="88"/>
  <c r="N45" i="88"/>
  <c r="O45" i="88"/>
  <c r="P45" i="88"/>
  <c r="L46" i="88"/>
  <c r="M46" i="88"/>
  <c r="N46" i="88"/>
  <c r="O46" i="88"/>
  <c r="P46" i="88"/>
  <c r="L47" i="88"/>
  <c r="M47" i="88"/>
  <c r="N47" i="88"/>
  <c r="O47" i="88"/>
  <c r="P47" i="88"/>
  <c r="L48" i="88"/>
  <c r="M48" i="88"/>
  <c r="N48" i="88"/>
  <c r="O48" i="88"/>
  <c r="P48" i="88"/>
  <c r="L49" i="88"/>
  <c r="M49" i="88"/>
  <c r="N49" i="88"/>
  <c r="O49" i="88"/>
  <c r="P49" i="88"/>
  <c r="L50" i="88"/>
  <c r="M50" i="88"/>
  <c r="N50" i="88"/>
  <c r="O50" i="88"/>
  <c r="P50" i="88"/>
  <c r="L51" i="88"/>
  <c r="M51" i="88"/>
  <c r="N51" i="88"/>
  <c r="O51" i="88"/>
  <c r="P51" i="88"/>
  <c r="L52" i="88"/>
  <c r="M52" i="88"/>
  <c r="N52" i="88"/>
  <c r="O52" i="88"/>
  <c r="P52" i="88"/>
  <c r="L53" i="88"/>
  <c r="M53" i="88"/>
  <c r="N53" i="88"/>
  <c r="O53" i="88"/>
  <c r="P53" i="88"/>
  <c r="L54" i="88"/>
  <c r="M54" i="88"/>
  <c r="N54" i="88"/>
  <c r="O54" i="88"/>
  <c r="P54" i="88"/>
  <c r="L55" i="88"/>
  <c r="M55" i="88"/>
  <c r="N55" i="88"/>
  <c r="O55" i="88"/>
  <c r="P55" i="88"/>
  <c r="L56" i="88"/>
  <c r="M56" i="88"/>
  <c r="N56" i="88"/>
  <c r="O56" i="88"/>
  <c r="P56" i="88"/>
  <c r="L57" i="88"/>
  <c r="M57" i="88"/>
  <c r="N57" i="88"/>
  <c r="O57" i="88"/>
  <c r="P57" i="88"/>
  <c r="L58" i="88"/>
  <c r="M58" i="88"/>
  <c r="N58" i="88"/>
  <c r="O58" i="88"/>
  <c r="P58" i="88"/>
  <c r="L59" i="88"/>
  <c r="M59" i="88"/>
  <c r="N59" i="88"/>
  <c r="O59" i="88"/>
  <c r="P59" i="88"/>
  <c r="L60" i="88"/>
  <c r="M60" i="88"/>
  <c r="N60" i="88"/>
  <c r="O60" i="88"/>
  <c r="P60" i="88"/>
  <c r="L61" i="88"/>
  <c r="M61" i="88"/>
  <c r="N61" i="88"/>
  <c r="O61" i="88"/>
  <c r="P61" i="88"/>
  <c r="L62" i="88"/>
  <c r="M62" i="88"/>
  <c r="N62" i="88"/>
  <c r="O62" i="88"/>
  <c r="P62" i="88"/>
  <c r="L63" i="88"/>
  <c r="M63" i="88"/>
  <c r="N63" i="88"/>
  <c r="O63" i="88"/>
  <c r="P63" i="88"/>
  <c r="L64" i="88"/>
  <c r="M64" i="88"/>
  <c r="N64" i="88"/>
  <c r="O64" i="88"/>
  <c r="P64" i="88"/>
  <c r="L65" i="88"/>
  <c r="M65" i="88"/>
  <c r="N65" i="88"/>
  <c r="O65" i="88"/>
  <c r="P65" i="88"/>
  <c r="L66" i="88"/>
  <c r="M66" i="88"/>
  <c r="N66" i="88"/>
  <c r="O66" i="88"/>
  <c r="P66" i="88"/>
  <c r="L67" i="88"/>
  <c r="M67" i="88"/>
  <c r="N67" i="88"/>
  <c r="O67" i="88"/>
  <c r="P67" i="88"/>
  <c r="L68" i="88"/>
  <c r="M68" i="88"/>
  <c r="N68" i="88"/>
  <c r="O68" i="88"/>
  <c r="P68" i="88"/>
  <c r="L69" i="88"/>
  <c r="M69" i="88"/>
  <c r="N69" i="88"/>
  <c r="O69" i="88"/>
  <c r="P69" i="88"/>
  <c r="L70" i="88"/>
  <c r="M70" i="88"/>
  <c r="N70" i="88"/>
  <c r="O70" i="88"/>
  <c r="P70" i="88"/>
  <c r="L71" i="88"/>
  <c r="M71" i="88"/>
  <c r="N71" i="88"/>
  <c r="O71" i="88"/>
  <c r="P71" i="88"/>
  <c r="L72" i="88"/>
  <c r="M72" i="88"/>
  <c r="N72" i="88"/>
  <c r="O72" i="88"/>
  <c r="P72" i="88"/>
  <c r="L73" i="88"/>
  <c r="M73" i="88"/>
  <c r="N73" i="88"/>
  <c r="O73" i="88"/>
  <c r="P73" i="88"/>
  <c r="L74" i="88"/>
  <c r="M74" i="88"/>
  <c r="N74" i="88"/>
  <c r="O74" i="88"/>
  <c r="P74" i="88"/>
  <c r="L75" i="88"/>
  <c r="M75" i="88"/>
  <c r="N75" i="88"/>
  <c r="O75" i="88"/>
  <c r="P75" i="88"/>
  <c r="L76" i="88"/>
  <c r="M76" i="88"/>
  <c r="N76" i="88"/>
  <c r="O76" i="88"/>
  <c r="P76" i="88"/>
  <c r="L77" i="88"/>
  <c r="M77" i="88"/>
  <c r="N77" i="88"/>
  <c r="O77" i="88"/>
  <c r="P77" i="88"/>
  <c r="L78" i="88"/>
  <c r="M78" i="88"/>
  <c r="N78" i="88"/>
  <c r="O78" i="88"/>
  <c r="P78" i="88"/>
  <c r="L79" i="88"/>
  <c r="M79" i="88"/>
  <c r="N79" i="88"/>
  <c r="O79" i="88"/>
  <c r="P79" i="88"/>
  <c r="L80" i="88"/>
  <c r="M80" i="88"/>
  <c r="N80" i="88"/>
  <c r="O80" i="88"/>
  <c r="P80" i="88"/>
  <c r="L81" i="88"/>
  <c r="M81" i="88"/>
  <c r="N81" i="88"/>
  <c r="O81" i="88"/>
  <c r="P81" i="88"/>
  <c r="L82" i="88"/>
  <c r="M82" i="88"/>
  <c r="N82" i="88"/>
  <c r="O82" i="88"/>
  <c r="P82" i="88"/>
  <c r="L83" i="88"/>
  <c r="M83" i="88"/>
  <c r="N83" i="88"/>
  <c r="O83" i="88"/>
  <c r="P83" i="88"/>
  <c r="L84" i="88"/>
  <c r="M84" i="88"/>
  <c r="N84" i="88"/>
  <c r="O84" i="88"/>
  <c r="P84" i="88"/>
  <c r="L85" i="88"/>
  <c r="M85" i="88"/>
  <c r="N85" i="88"/>
  <c r="O85" i="88"/>
  <c r="P85" i="88"/>
  <c r="L86" i="88"/>
  <c r="M86" i="88"/>
  <c r="N86" i="88"/>
  <c r="O86" i="88"/>
  <c r="P86" i="88"/>
  <c r="L87" i="88"/>
  <c r="M87" i="88"/>
  <c r="N87" i="88"/>
  <c r="O87" i="88"/>
  <c r="P87" i="88"/>
  <c r="L88" i="88"/>
  <c r="M88" i="88"/>
  <c r="N88" i="88"/>
  <c r="O88" i="88"/>
  <c r="P88" i="88"/>
  <c r="L89" i="88"/>
  <c r="M89" i="88"/>
  <c r="N89" i="88"/>
  <c r="O89" i="88"/>
  <c r="P89" i="88"/>
  <c r="L90" i="88"/>
  <c r="M90" i="88"/>
  <c r="N90" i="88"/>
  <c r="O90" i="88"/>
  <c r="P90" i="88"/>
  <c r="L91" i="88"/>
  <c r="M91" i="88"/>
  <c r="N91" i="88"/>
  <c r="O91" i="88"/>
  <c r="P91" i="88"/>
  <c r="L92" i="88"/>
  <c r="M92" i="88"/>
  <c r="N92" i="88"/>
  <c r="O92" i="88"/>
  <c r="P92" i="88"/>
  <c r="L93" i="88"/>
  <c r="M93" i="88"/>
  <c r="N93" i="88"/>
  <c r="O93" i="88"/>
  <c r="P93" i="88"/>
  <c r="L94" i="88"/>
  <c r="M94" i="88"/>
  <c r="N94" i="88"/>
  <c r="O94" i="88"/>
  <c r="P94" i="88"/>
  <c r="L95" i="88"/>
  <c r="M95" i="88"/>
  <c r="N95" i="88"/>
  <c r="O95" i="88"/>
  <c r="P95" i="88"/>
  <c r="L96" i="88"/>
  <c r="M96" i="88"/>
  <c r="N96" i="88"/>
  <c r="O96" i="88"/>
  <c r="P96" i="88"/>
  <c r="L97" i="88"/>
  <c r="M97" i="88"/>
  <c r="N97" i="88"/>
  <c r="O97" i="88"/>
  <c r="P97" i="88"/>
  <c r="L98" i="88"/>
  <c r="M98" i="88"/>
  <c r="N98" i="88"/>
  <c r="O98" i="88"/>
  <c r="P98" i="88"/>
  <c r="L99" i="88"/>
  <c r="M99" i="88"/>
  <c r="N99" i="88"/>
  <c r="O99" i="88"/>
  <c r="P99" i="88"/>
  <c r="L100" i="88"/>
  <c r="M100" i="88"/>
  <c r="N100" i="88"/>
  <c r="O100" i="88"/>
  <c r="P100" i="88"/>
  <c r="L101" i="88"/>
  <c r="M101" i="88"/>
  <c r="N101" i="88"/>
  <c r="O101" i="88"/>
  <c r="P101" i="88"/>
  <c r="L102" i="88"/>
  <c r="M102" i="88"/>
  <c r="N102" i="88"/>
  <c r="O102" i="88"/>
  <c r="P102" i="88"/>
  <c r="L103" i="88"/>
  <c r="M103" i="88"/>
  <c r="N103" i="88"/>
  <c r="O103" i="88"/>
  <c r="P103" i="88"/>
  <c r="L104" i="88"/>
  <c r="M104" i="88"/>
  <c r="N104" i="88"/>
  <c r="O104" i="88"/>
  <c r="P104" i="88"/>
  <c r="L105" i="88"/>
  <c r="M105" i="88"/>
  <c r="N105" i="88"/>
  <c r="O105" i="88"/>
  <c r="P105" i="88"/>
  <c r="L106" i="88"/>
  <c r="M106" i="88"/>
  <c r="N106" i="88"/>
  <c r="O106" i="88"/>
  <c r="P106" i="88"/>
  <c r="L107" i="88"/>
  <c r="M107" i="88"/>
  <c r="N107" i="88"/>
  <c r="O107" i="88"/>
  <c r="P107" i="88"/>
  <c r="K107" i="88"/>
  <c r="K106" i="88"/>
  <c r="K105" i="88"/>
  <c r="K104" i="88"/>
  <c r="K103" i="88"/>
  <c r="K102" i="88"/>
  <c r="K101" i="88"/>
  <c r="K100" i="88"/>
  <c r="K99" i="88"/>
  <c r="K98" i="88"/>
  <c r="K97" i="88"/>
  <c r="K96" i="88"/>
  <c r="K95" i="88"/>
  <c r="K94" i="88"/>
  <c r="K93" i="88"/>
  <c r="K92" i="88"/>
  <c r="K91" i="88"/>
  <c r="K90" i="88"/>
  <c r="K89" i="88"/>
  <c r="K88" i="88"/>
  <c r="K87" i="88"/>
  <c r="K86" i="88"/>
  <c r="K85" i="88"/>
  <c r="K84" i="88"/>
  <c r="K83" i="88"/>
  <c r="K82" i="88"/>
  <c r="K81" i="88"/>
  <c r="K80" i="88"/>
  <c r="K79" i="88"/>
  <c r="K78" i="88"/>
  <c r="K77" i="88"/>
  <c r="K76" i="88"/>
  <c r="K75" i="88"/>
  <c r="K74" i="88"/>
  <c r="K73" i="88"/>
  <c r="K72" i="88"/>
  <c r="K71" i="88"/>
  <c r="K70" i="88"/>
  <c r="K69" i="88"/>
  <c r="K68" i="88"/>
  <c r="K67" i="88"/>
  <c r="K66" i="88"/>
  <c r="K65" i="88"/>
  <c r="K64" i="88"/>
  <c r="K63" i="88"/>
  <c r="K62" i="88"/>
  <c r="K61" i="88"/>
  <c r="K60" i="88"/>
  <c r="K59" i="88"/>
  <c r="K58" i="88"/>
  <c r="K57" i="88"/>
  <c r="K56" i="88"/>
  <c r="K55" i="88"/>
  <c r="K54" i="88"/>
  <c r="K53" i="88"/>
  <c r="K52" i="88"/>
  <c r="K51" i="88"/>
  <c r="K50" i="88"/>
  <c r="K49" i="88"/>
  <c r="K48" i="88"/>
  <c r="K47" i="88"/>
  <c r="K46" i="88"/>
  <c r="K45" i="88"/>
  <c r="K44" i="88"/>
  <c r="K43" i="88"/>
  <c r="K42" i="88"/>
  <c r="K41" i="88"/>
  <c r="K40" i="88"/>
  <c r="K39" i="88"/>
  <c r="K38" i="88"/>
  <c r="K37" i="88"/>
  <c r="K36" i="88"/>
  <c r="K35" i="88"/>
  <c r="K34" i="88"/>
  <c r="K33" i="88"/>
  <c r="K32" i="88"/>
  <c r="K31" i="88"/>
  <c r="K30" i="88"/>
  <c r="K29" i="88"/>
  <c r="K28" i="88"/>
  <c r="K27" i="88"/>
  <c r="K26" i="88"/>
  <c r="K25" i="88"/>
  <c r="K24" i="88"/>
  <c r="K23" i="88"/>
  <c r="K22" i="88"/>
  <c r="K21" i="88"/>
  <c r="K20" i="88"/>
  <c r="K19" i="88"/>
  <c r="K18" i="88"/>
  <c r="K17" i="88"/>
  <c r="K16" i="88"/>
  <c r="K15" i="88"/>
  <c r="K14" i="88"/>
  <c r="K13" i="88"/>
  <c r="K12" i="88"/>
  <c r="K11" i="88"/>
  <c r="K10" i="88"/>
  <c r="K9" i="88"/>
  <c r="K8" i="88"/>
  <c r="K7" i="88"/>
  <c r="K6" i="88"/>
  <c r="K5" i="88"/>
  <c r="I4" i="88" l="1"/>
  <c r="W4" i="88" s="1"/>
  <c r="H4" i="88"/>
  <c r="V4" i="88" s="1"/>
  <c r="G4" i="88"/>
  <c r="U4" i="88" s="1"/>
  <c r="F4" i="88"/>
  <c r="T4" i="88" s="1"/>
  <c r="E4" i="88"/>
  <c r="S4" i="88" s="1"/>
  <c r="D4" i="88"/>
  <c r="R4" i="88" s="1"/>
  <c r="J193" i="87"/>
  <c r="J192" i="87"/>
  <c r="I4" i="87"/>
  <c r="H4" i="87"/>
  <c r="G4" i="87"/>
  <c r="F4" i="87"/>
  <c r="E4" i="87"/>
  <c r="D4" i="87"/>
  <c r="D189" i="87"/>
  <c r="I189" i="87"/>
  <c r="H189" i="87"/>
  <c r="G189" i="87"/>
  <c r="F189" i="87"/>
  <c r="E189" i="87"/>
  <c r="W117" i="88"/>
  <c r="V117" i="88"/>
  <c r="U117" i="88"/>
  <c r="T117" i="88"/>
  <c r="S117" i="88"/>
  <c r="R117" i="88"/>
  <c r="I162" i="86"/>
  <c r="H162" i="86"/>
  <c r="G162" i="86"/>
  <c r="F162" i="86"/>
  <c r="E162" i="86"/>
  <c r="D162" i="86"/>
  <c r="D116" i="86"/>
  <c r="E116" i="86"/>
  <c r="F116" i="86"/>
  <c r="G116" i="86"/>
  <c r="H116" i="86"/>
  <c r="I116" i="86"/>
  <c r="R4" i="87" l="1"/>
  <c r="Y4" i="87" s="1"/>
  <c r="L4" i="87"/>
  <c r="T4" i="87"/>
  <c r="AA4" i="87" s="1"/>
  <c r="U4" i="87"/>
  <c r="AB4" i="87" s="1"/>
  <c r="V4" i="87"/>
  <c r="AC4" i="87" s="1"/>
  <c r="W4" i="87"/>
  <c r="AD4" i="87" s="1"/>
  <c r="K4" i="88"/>
  <c r="L4" i="88"/>
  <c r="M4" i="88"/>
  <c r="N4" i="88"/>
  <c r="O4" i="88"/>
  <c r="P4" i="88"/>
  <c r="N4" i="87"/>
  <c r="S4" i="87"/>
  <c r="Z4" i="87" s="1"/>
  <c r="K4" i="87"/>
  <c r="M4" i="87"/>
  <c r="P4" i="87"/>
  <c r="O4" i="87"/>
  <c r="J116" i="86"/>
  <c r="J26" i="144" l="1"/>
  <c r="I26" i="144"/>
  <c r="H26" i="144"/>
  <c r="G26" i="144"/>
  <c r="F26" i="144"/>
  <c r="E26" i="144"/>
  <c r="D26" i="144"/>
  <c r="E154" i="145"/>
  <c r="F154" i="145"/>
  <c r="G154" i="145"/>
  <c r="H154" i="145"/>
  <c r="I154" i="145"/>
  <c r="J154" i="145"/>
  <c r="D154" i="145"/>
  <c r="I86" i="145"/>
  <c r="H86" i="145"/>
  <c r="G86" i="145"/>
  <c r="F86" i="145"/>
  <c r="E86" i="145"/>
  <c r="D86" i="145"/>
  <c r="D92" i="145"/>
  <c r="J92" i="145" s="1"/>
  <c r="I99" i="145"/>
  <c r="H99" i="145"/>
  <c r="G99" i="145"/>
  <c r="F99" i="145"/>
  <c r="E99" i="145"/>
  <c r="D99" i="145"/>
  <c r="AD21" i="145"/>
  <c r="AD20" i="145" s="1"/>
  <c r="AC21" i="145"/>
  <c r="AC20" i="145" s="1"/>
  <c r="AB21" i="145"/>
  <c r="AB20" i="145" s="1"/>
  <c r="AA21" i="145"/>
  <c r="AA20" i="145" s="1"/>
  <c r="Z21" i="145"/>
  <c r="Z20" i="145" s="1"/>
  <c r="Y21" i="145"/>
  <c r="Y20" i="145" s="1"/>
  <c r="W21" i="145"/>
  <c r="V21" i="145"/>
  <c r="U21" i="145"/>
  <c r="T21" i="145"/>
  <c r="S21" i="145"/>
  <c r="R21" i="145"/>
  <c r="P21" i="145"/>
  <c r="O21" i="145"/>
  <c r="N21" i="145"/>
  <c r="M21" i="145"/>
  <c r="L21" i="145"/>
  <c r="K21" i="145"/>
  <c r="I21" i="145"/>
  <c r="H21" i="145"/>
  <c r="G21" i="145"/>
  <c r="F21" i="145"/>
  <c r="E21" i="145"/>
  <c r="D21" i="145"/>
  <c r="W14" i="145"/>
  <c r="V14" i="145"/>
  <c r="U14" i="145"/>
  <c r="T14" i="145"/>
  <c r="S14" i="145"/>
  <c r="R14" i="145"/>
  <c r="P14" i="145"/>
  <c r="O14" i="145"/>
  <c r="N14" i="145"/>
  <c r="M14" i="145"/>
  <c r="L14" i="145"/>
  <c r="K14" i="145"/>
  <c r="I14" i="145"/>
  <c r="H14" i="145"/>
  <c r="G14" i="145"/>
  <c r="F14" i="145"/>
  <c r="E14" i="145"/>
  <c r="D14" i="145"/>
  <c r="AD10" i="145"/>
  <c r="AD9" i="145" s="1"/>
  <c r="AC10" i="145"/>
  <c r="AC9" i="145" s="1"/>
  <c r="AB10" i="145"/>
  <c r="AB9" i="145" s="1"/>
  <c r="AA10" i="145"/>
  <c r="AA9" i="145" s="1"/>
  <c r="Z10" i="145"/>
  <c r="Z9" i="145" s="1"/>
  <c r="Y10" i="145"/>
  <c r="Y9" i="145" s="1"/>
  <c r="W10" i="145"/>
  <c r="V10" i="145"/>
  <c r="U10" i="145"/>
  <c r="T10" i="145"/>
  <c r="S10" i="145"/>
  <c r="R10" i="145"/>
  <c r="P10" i="145"/>
  <c r="O10" i="145"/>
  <c r="N10" i="145"/>
  <c r="M10" i="145"/>
  <c r="L10" i="145"/>
  <c r="K10" i="145"/>
  <c r="I10" i="145"/>
  <c r="H10" i="145"/>
  <c r="G10" i="145"/>
  <c r="F10" i="145"/>
  <c r="E10" i="145"/>
  <c r="D10" i="145"/>
  <c r="D5" i="145"/>
  <c r="AD5" i="145"/>
  <c r="AC5" i="145"/>
  <c r="AB5" i="145"/>
  <c r="AA5" i="145"/>
  <c r="Z5" i="145"/>
  <c r="Y5" i="145"/>
  <c r="W5" i="145"/>
  <c r="V5" i="145"/>
  <c r="U5" i="145"/>
  <c r="T5" i="145"/>
  <c r="S5" i="145"/>
  <c r="R5" i="145"/>
  <c r="P5" i="145"/>
  <c r="O5" i="145"/>
  <c r="N5" i="145"/>
  <c r="M5" i="145"/>
  <c r="L5" i="145"/>
  <c r="K5" i="145"/>
  <c r="I5" i="145"/>
  <c r="H5" i="145"/>
  <c r="G5" i="145"/>
  <c r="F5" i="145"/>
  <c r="E5" i="145"/>
  <c r="AE108" i="145"/>
  <c r="AE106" i="145"/>
  <c r="AE105" i="145"/>
  <c r="AE104" i="145"/>
  <c r="AE103" i="145"/>
  <c r="AE102" i="145"/>
  <c r="AE101" i="145"/>
  <c r="AE100" i="145"/>
  <c r="AE99" i="145"/>
  <c r="AE98" i="145"/>
  <c r="AE97" i="145"/>
  <c r="AE96" i="145"/>
  <c r="AE95" i="145"/>
  <c r="AE94" i="145"/>
  <c r="AE93" i="145"/>
  <c r="AE92" i="145"/>
  <c r="AE91" i="145"/>
  <c r="AE90" i="145"/>
  <c r="AE89" i="145"/>
  <c r="AE88" i="145"/>
  <c r="AE87" i="145"/>
  <c r="AE86" i="145"/>
  <c r="AE85" i="145"/>
  <c r="AE84" i="145"/>
  <c r="AE83" i="145"/>
  <c r="AE82" i="145"/>
  <c r="AE81" i="145"/>
  <c r="AE80" i="145"/>
  <c r="AE79" i="145"/>
  <c r="AE78" i="145"/>
  <c r="AE77" i="145"/>
  <c r="AE76" i="145"/>
  <c r="AE75" i="145"/>
  <c r="AE74" i="145"/>
  <c r="AE73" i="145"/>
  <c r="AE72" i="145"/>
  <c r="AE71" i="145"/>
  <c r="AE70" i="145"/>
  <c r="AE69" i="145"/>
  <c r="AE68" i="145"/>
  <c r="AE67" i="145"/>
  <c r="AE66" i="145"/>
  <c r="AE65" i="145"/>
  <c r="AE64" i="145"/>
  <c r="AE63" i="145"/>
  <c r="AE62" i="145"/>
  <c r="AE61" i="145"/>
  <c r="AE60" i="145"/>
  <c r="AE59" i="145"/>
  <c r="AE58" i="145"/>
  <c r="AE57" i="145"/>
  <c r="AE56" i="145"/>
  <c r="AE55" i="145"/>
  <c r="AE54" i="145"/>
  <c r="AE53" i="145"/>
  <c r="AE52" i="145"/>
  <c r="AE51" i="145"/>
  <c r="AE50" i="145"/>
  <c r="AE49" i="145"/>
  <c r="AE48" i="145"/>
  <c r="AE47" i="145"/>
  <c r="AE46" i="145"/>
  <c r="AE45" i="145"/>
  <c r="AE44" i="145"/>
  <c r="AE43" i="145"/>
  <c r="AE42" i="145"/>
  <c r="AE41" i="145"/>
  <c r="AE40" i="145"/>
  <c r="AE39" i="145"/>
  <c r="AE38" i="145"/>
  <c r="AE37" i="145"/>
  <c r="AE36" i="145"/>
  <c r="AE35" i="145"/>
  <c r="AE34" i="145"/>
  <c r="AE33" i="145"/>
  <c r="AE32" i="145"/>
  <c r="AE31" i="145"/>
  <c r="AE30" i="145"/>
  <c r="AE29" i="145"/>
  <c r="AE28" i="145"/>
  <c r="AE27" i="145"/>
  <c r="AE26" i="145"/>
  <c r="AE25" i="145"/>
  <c r="AE24" i="145"/>
  <c r="AE23" i="145"/>
  <c r="AE22" i="145"/>
  <c r="AE19" i="145"/>
  <c r="AE18" i="145"/>
  <c r="AE17" i="145"/>
  <c r="AE16" i="145"/>
  <c r="AE15" i="145"/>
  <c r="AE14" i="145"/>
  <c r="AE13" i="145"/>
  <c r="AE12" i="145"/>
  <c r="AE11" i="145"/>
  <c r="AE8" i="145"/>
  <c r="AE7" i="145"/>
  <c r="AE6" i="145"/>
  <c r="X108" i="145"/>
  <c r="X105" i="145"/>
  <c r="X104" i="145"/>
  <c r="X103" i="145"/>
  <c r="X102" i="145"/>
  <c r="X101" i="145"/>
  <c r="X100" i="145"/>
  <c r="X99" i="145"/>
  <c r="X98" i="145"/>
  <c r="X97" i="145"/>
  <c r="X96" i="145"/>
  <c r="X95" i="145"/>
  <c r="X94" i="145"/>
  <c r="X93" i="145"/>
  <c r="X92" i="145"/>
  <c r="X91" i="145"/>
  <c r="X90" i="145"/>
  <c r="X89" i="145"/>
  <c r="X88" i="145"/>
  <c r="X87" i="145"/>
  <c r="X86" i="145"/>
  <c r="X84" i="145"/>
  <c r="X83" i="145"/>
  <c r="X82" i="145"/>
  <c r="X81" i="145"/>
  <c r="X80" i="145"/>
  <c r="X79" i="145"/>
  <c r="X78" i="145"/>
  <c r="X77" i="145"/>
  <c r="X76" i="145"/>
  <c r="X75" i="145"/>
  <c r="X74" i="145"/>
  <c r="X73" i="145"/>
  <c r="X72" i="145"/>
  <c r="X71" i="145"/>
  <c r="X56" i="145"/>
  <c r="X55" i="145"/>
  <c r="X54" i="145"/>
  <c r="X53" i="145"/>
  <c r="X52" i="145"/>
  <c r="X51" i="145"/>
  <c r="X50" i="145"/>
  <c r="X48" i="145"/>
  <c r="X47" i="145"/>
  <c r="X46" i="145"/>
  <c r="X45" i="145"/>
  <c r="X44" i="145"/>
  <c r="X43" i="145"/>
  <c r="X42" i="145"/>
  <c r="X41" i="145"/>
  <c r="X40" i="145"/>
  <c r="X39" i="145"/>
  <c r="X38" i="145"/>
  <c r="X37" i="145"/>
  <c r="X36" i="145"/>
  <c r="X35" i="145"/>
  <c r="X34" i="145"/>
  <c r="X33" i="145"/>
  <c r="X32" i="145"/>
  <c r="X31" i="145"/>
  <c r="X30" i="145"/>
  <c r="X29" i="145"/>
  <c r="X28" i="145"/>
  <c r="X27" i="145"/>
  <c r="X24" i="145"/>
  <c r="X23" i="145"/>
  <c r="X22" i="145"/>
  <c r="X18" i="145"/>
  <c r="X17" i="145"/>
  <c r="X16" i="145"/>
  <c r="X15" i="145"/>
  <c r="X13" i="145"/>
  <c r="X12" i="145"/>
  <c r="X11" i="145"/>
  <c r="X7" i="145"/>
  <c r="X6" i="145"/>
  <c r="Q108" i="145"/>
  <c r="Q106" i="145"/>
  <c r="Q105" i="145"/>
  <c r="Q104" i="145"/>
  <c r="Q103" i="145"/>
  <c r="Q102" i="145"/>
  <c r="Q101" i="145"/>
  <c r="Q100" i="145"/>
  <c r="Q99" i="145"/>
  <c r="Q98" i="145"/>
  <c r="Q97" i="145"/>
  <c r="Q96" i="145"/>
  <c r="Q95" i="145"/>
  <c r="Q94" i="145"/>
  <c r="Q93" i="145"/>
  <c r="Q92" i="145"/>
  <c r="Q91" i="145"/>
  <c r="Q90" i="145"/>
  <c r="Q89" i="145"/>
  <c r="Q88" i="145"/>
  <c r="Q87" i="145"/>
  <c r="Q86" i="145"/>
  <c r="Q85" i="145"/>
  <c r="Q84" i="145"/>
  <c r="Q83" i="145"/>
  <c r="Q82" i="145"/>
  <c r="Q81" i="145"/>
  <c r="Q80" i="145"/>
  <c r="Q79" i="145"/>
  <c r="Q78" i="145"/>
  <c r="Q77" i="145"/>
  <c r="Q76" i="145"/>
  <c r="Q75" i="145"/>
  <c r="Q74" i="145"/>
  <c r="Q73" i="145"/>
  <c r="Q72" i="145"/>
  <c r="Q71" i="145"/>
  <c r="Q57" i="145"/>
  <c r="Q56" i="145"/>
  <c r="Q55" i="145"/>
  <c r="Q54" i="145"/>
  <c r="Q53" i="145"/>
  <c r="Q52" i="145"/>
  <c r="Q51" i="145"/>
  <c r="Q50" i="145"/>
  <c r="Q49" i="145"/>
  <c r="Q48" i="145"/>
  <c r="Q47" i="145"/>
  <c r="Q46" i="145"/>
  <c r="Q45" i="145"/>
  <c r="Q44" i="145"/>
  <c r="Q43" i="145"/>
  <c r="Q42" i="145"/>
  <c r="Q41" i="145"/>
  <c r="Q40" i="145"/>
  <c r="Q39" i="145"/>
  <c r="Q38" i="145"/>
  <c r="Q37" i="145"/>
  <c r="Q36" i="145"/>
  <c r="Q35" i="145"/>
  <c r="Q34" i="145"/>
  <c r="Q33" i="145"/>
  <c r="Q32" i="145"/>
  <c r="Q31" i="145"/>
  <c r="Q30" i="145"/>
  <c r="Q29" i="145"/>
  <c r="Q28" i="145"/>
  <c r="Q27" i="145"/>
  <c r="Q25" i="145"/>
  <c r="Q24" i="145"/>
  <c r="Q23" i="145"/>
  <c r="Q22" i="145"/>
  <c r="Q19" i="145"/>
  <c r="Q18" i="145"/>
  <c r="Q17" i="145"/>
  <c r="Q16" i="145"/>
  <c r="Q15" i="145"/>
  <c r="Q13" i="145"/>
  <c r="Q12" i="145"/>
  <c r="Q11" i="145"/>
  <c r="Q8" i="145"/>
  <c r="Q7" i="145"/>
  <c r="Q6" i="145"/>
  <c r="J108" i="145"/>
  <c r="J106" i="145"/>
  <c r="J105" i="145"/>
  <c r="J104" i="145"/>
  <c r="J103" i="145"/>
  <c r="J102" i="145"/>
  <c r="J101" i="145"/>
  <c r="J100" i="145"/>
  <c r="J98" i="145"/>
  <c r="J97" i="145"/>
  <c r="J96" i="145"/>
  <c r="J95" i="145"/>
  <c r="J94" i="145"/>
  <c r="J93" i="145"/>
  <c r="J91" i="145"/>
  <c r="J90" i="145"/>
  <c r="J89" i="145"/>
  <c r="J88" i="145"/>
  <c r="J87" i="145"/>
  <c r="J85" i="145"/>
  <c r="J84" i="145"/>
  <c r="J83" i="145"/>
  <c r="J82" i="145"/>
  <c r="J81" i="145"/>
  <c r="J80" i="145"/>
  <c r="J79" i="145"/>
  <c r="J77" i="145"/>
  <c r="J76" i="145"/>
  <c r="J75" i="145"/>
  <c r="J74" i="145"/>
  <c r="J73" i="145"/>
  <c r="J72" i="145"/>
  <c r="J57" i="145"/>
  <c r="J56" i="145"/>
  <c r="J55" i="145"/>
  <c r="J54" i="145"/>
  <c r="J53" i="145"/>
  <c r="J52" i="145"/>
  <c r="J51" i="145"/>
  <c r="J50" i="145"/>
  <c r="J49" i="145"/>
  <c r="J48" i="145"/>
  <c r="J47" i="145"/>
  <c r="J46" i="145"/>
  <c r="J45" i="145"/>
  <c r="J44" i="145"/>
  <c r="J43" i="145"/>
  <c r="J42" i="145"/>
  <c r="J41" i="145"/>
  <c r="J40" i="145"/>
  <c r="J39" i="145"/>
  <c r="J38" i="145"/>
  <c r="J37" i="145"/>
  <c r="J36" i="145"/>
  <c r="J35" i="145"/>
  <c r="J34" i="145"/>
  <c r="J33" i="145"/>
  <c r="J32" i="145"/>
  <c r="J31" i="145"/>
  <c r="J30" i="145"/>
  <c r="J29" i="145"/>
  <c r="J28" i="145"/>
  <c r="J27" i="145"/>
  <c r="J25" i="145"/>
  <c r="J24" i="145"/>
  <c r="J23" i="145"/>
  <c r="J22" i="145"/>
  <c r="J19" i="145"/>
  <c r="J18" i="145"/>
  <c r="J17" i="145"/>
  <c r="J16" i="145"/>
  <c r="J15" i="145"/>
  <c r="J13" i="145"/>
  <c r="J12" i="145"/>
  <c r="J11" i="145"/>
  <c r="J8" i="145"/>
  <c r="J7" i="145"/>
  <c r="J6" i="145"/>
  <c r="W26" i="145"/>
  <c r="V26" i="145"/>
  <c r="U26" i="145"/>
  <c r="T26" i="145"/>
  <c r="S26" i="145"/>
  <c r="R26" i="145"/>
  <c r="P26" i="145"/>
  <c r="O26" i="145"/>
  <c r="N26" i="145"/>
  <c r="M26" i="145"/>
  <c r="L26" i="145"/>
  <c r="K26" i="145"/>
  <c r="I26" i="145"/>
  <c r="H26" i="145"/>
  <c r="G26" i="145"/>
  <c r="F26" i="145"/>
  <c r="E26" i="145"/>
  <c r="D26" i="145"/>
  <c r="P26" i="146"/>
  <c r="O26" i="146"/>
  <c r="N26" i="146"/>
  <c r="M26" i="146"/>
  <c r="L26" i="146"/>
  <c r="K26" i="146"/>
  <c r="I26" i="146"/>
  <c r="H26" i="146"/>
  <c r="G26" i="146"/>
  <c r="F26" i="146"/>
  <c r="E26" i="146"/>
  <c r="D26" i="146"/>
  <c r="J108" i="146"/>
  <c r="D50" i="144"/>
  <c r="E50" i="144"/>
  <c r="F50" i="144"/>
  <c r="G50" i="144"/>
  <c r="H50" i="144"/>
  <c r="I50" i="144"/>
  <c r="J51" i="144"/>
  <c r="J52" i="144"/>
  <c r="J53" i="144"/>
  <c r="J54" i="144"/>
  <c r="J55" i="144"/>
  <c r="J56" i="144"/>
  <c r="J50" i="144" l="1"/>
  <c r="S9" i="145"/>
  <c r="I9" i="145"/>
  <c r="E9" i="145"/>
  <c r="J86" i="145"/>
  <c r="N9" i="145"/>
  <c r="J26" i="146"/>
  <c r="Q26" i="146"/>
  <c r="G9" i="145"/>
  <c r="H9" i="145"/>
  <c r="R9" i="145"/>
  <c r="J99" i="145"/>
  <c r="AE10" i="145"/>
  <c r="F9" i="145"/>
  <c r="T9" i="145"/>
  <c r="Q14" i="145"/>
  <c r="L9" i="145"/>
  <c r="X14" i="145"/>
  <c r="P9" i="145"/>
  <c r="O9" i="145"/>
  <c r="AD107" i="145"/>
  <c r="AD109" i="145" s="1"/>
  <c r="J78" i="145"/>
  <c r="Z107" i="145"/>
  <c r="Z109" i="145" s="1"/>
  <c r="W9" i="145"/>
  <c r="AA107" i="145"/>
  <c r="AA109" i="145" s="1"/>
  <c r="AB107" i="145"/>
  <c r="AB109" i="145" s="1"/>
  <c r="AC107" i="145"/>
  <c r="AC109" i="145" s="1"/>
  <c r="Q10" i="145"/>
  <c r="J5" i="145"/>
  <c r="Y107" i="145"/>
  <c r="Y109" i="145" s="1"/>
  <c r="M9" i="145"/>
  <c r="J14" i="145"/>
  <c r="X26" i="145"/>
  <c r="X10" i="145"/>
  <c r="J21" i="145"/>
  <c r="AE21" i="145"/>
  <c r="D9" i="145"/>
  <c r="V9" i="145"/>
  <c r="Q21" i="145"/>
  <c r="J10" i="145"/>
  <c r="Q26" i="145"/>
  <c r="J71" i="145"/>
  <c r="X5" i="145"/>
  <c r="K9" i="145"/>
  <c r="X21" i="145"/>
  <c r="U9" i="145"/>
  <c r="J60" i="145"/>
  <c r="J63" i="145"/>
  <c r="J26" i="145"/>
  <c r="J68" i="145"/>
  <c r="J70" i="145"/>
  <c r="J61" i="145"/>
  <c r="AE9" i="145"/>
  <c r="J62" i="145"/>
  <c r="AE5" i="145"/>
  <c r="AE20" i="145"/>
  <c r="J64" i="145"/>
  <c r="Q5" i="145"/>
  <c r="J66" i="145"/>
  <c r="D147" i="145"/>
  <c r="E147" i="145"/>
  <c r="F147" i="145"/>
  <c r="G147" i="145"/>
  <c r="H147" i="145"/>
  <c r="I147" i="145"/>
  <c r="J147" i="145"/>
  <c r="R57" i="145"/>
  <c r="S57" i="145"/>
  <c r="T57" i="145"/>
  <c r="U57" i="145"/>
  <c r="V57" i="145"/>
  <c r="W57" i="145"/>
  <c r="R85" i="145"/>
  <c r="S85" i="145"/>
  <c r="T85" i="145"/>
  <c r="U85" i="145"/>
  <c r="V85" i="145"/>
  <c r="W85" i="145"/>
  <c r="R25" i="145"/>
  <c r="S25" i="145"/>
  <c r="T25" i="145"/>
  <c r="U25" i="145"/>
  <c r="V25" i="145"/>
  <c r="W25" i="145"/>
  <c r="R8" i="145"/>
  <c r="S8" i="145"/>
  <c r="T8" i="145"/>
  <c r="U8" i="145"/>
  <c r="V8" i="145"/>
  <c r="W8" i="145"/>
  <c r="R19" i="145"/>
  <c r="S19" i="145"/>
  <c r="T19" i="145"/>
  <c r="U19" i="145"/>
  <c r="V19" i="145"/>
  <c r="W19" i="145"/>
  <c r="R49" i="145"/>
  <c r="S49" i="145"/>
  <c r="T49" i="145"/>
  <c r="U49" i="145"/>
  <c r="V49" i="145"/>
  <c r="W49" i="145"/>
  <c r="J9" i="145" l="1"/>
  <c r="AE107" i="145"/>
  <c r="AE109" i="145"/>
  <c r="X9" i="145"/>
  <c r="Q9" i="145"/>
  <c r="J67" i="145"/>
  <c r="I58" i="145"/>
  <c r="I20" i="145" s="1"/>
  <c r="J69" i="145"/>
  <c r="X19" i="145"/>
  <c r="J59" i="145"/>
  <c r="D58" i="145"/>
  <c r="D20" i="145" s="1"/>
  <c r="X85" i="145"/>
  <c r="X8" i="145"/>
  <c r="X57" i="145"/>
  <c r="X49" i="145"/>
  <c r="X25" i="145"/>
  <c r="F58" i="145"/>
  <c r="F20" i="145" s="1"/>
  <c r="G58" i="145"/>
  <c r="G20" i="145" s="1"/>
  <c r="H58" i="145"/>
  <c r="H20" i="145" s="1"/>
  <c r="J65" i="145" l="1"/>
  <c r="H153" i="145"/>
  <c r="H107" i="145"/>
  <c r="H109" i="145" s="1"/>
  <c r="G153" i="145"/>
  <c r="G107" i="145"/>
  <c r="G109" i="145" s="1"/>
  <c r="I153" i="145"/>
  <c r="I107" i="145"/>
  <c r="I109" i="145" s="1"/>
  <c r="F153" i="145"/>
  <c r="F107" i="145"/>
  <c r="F109" i="145" s="1"/>
  <c r="D107" i="145"/>
  <c r="E58" i="145"/>
  <c r="E20" i="145" s="1"/>
  <c r="F152" i="145" l="1"/>
  <c r="F155" i="145"/>
  <c r="I152" i="145"/>
  <c r="I155" i="145"/>
  <c r="G152" i="145"/>
  <c r="G155" i="145"/>
  <c r="H152" i="145"/>
  <c r="H155" i="145"/>
  <c r="E153" i="145"/>
  <c r="E107" i="145"/>
  <c r="E109" i="145" s="1"/>
  <c r="J107" i="145"/>
  <c r="D109" i="145"/>
  <c r="J20" i="145"/>
  <c r="J153" i="145" s="1"/>
  <c r="D153" i="145"/>
  <c r="J58" i="145"/>
  <c r="J109" i="145" l="1"/>
  <c r="D152" i="145"/>
  <c r="D155" i="145"/>
  <c r="J152" i="145"/>
  <c r="J155" i="145"/>
  <c r="E152" i="145"/>
  <c r="E155" i="145"/>
  <c r="E9" i="6" l="1"/>
  <c r="E10" i="6"/>
  <c r="H14" i="742"/>
  <c r="G14" i="742"/>
  <c r="F14" i="742"/>
  <c r="E13" i="742"/>
  <c r="E12" i="742"/>
  <c r="D12" i="742"/>
  <c r="H11" i="742"/>
  <c r="G11" i="742"/>
  <c r="F11" i="742"/>
  <c r="D11" i="742"/>
  <c r="E10" i="742"/>
  <c r="D10" i="742"/>
  <c r="H9" i="742"/>
  <c r="G9" i="742"/>
  <c r="F9" i="742"/>
  <c r="D9" i="742"/>
  <c r="E8" i="742"/>
  <c r="D8" i="742"/>
  <c r="H7" i="742"/>
  <c r="G7" i="742"/>
  <c r="F7" i="742"/>
  <c r="D7" i="742"/>
  <c r="H3" i="66"/>
  <c r="D3" i="66"/>
  <c r="J3" i="152" l="1"/>
  <c r="I3" i="152"/>
  <c r="H3" i="152"/>
  <c r="G3" i="152"/>
  <c r="F3" i="152"/>
  <c r="E3" i="152"/>
  <c r="F44" i="315"/>
  <c r="Q51" i="644"/>
  <c r="W51" i="644"/>
  <c r="F20" i="381"/>
  <c r="I48" i="75"/>
  <c r="J450" i="658" l="1"/>
  <c r="J450" i="657"/>
  <c r="D51" i="633" l="1"/>
  <c r="E51" i="633"/>
  <c r="F51" i="633"/>
  <c r="G51" i="633"/>
  <c r="H51" i="633"/>
  <c r="I51" i="633"/>
  <c r="D52" i="633"/>
  <c r="E52" i="633"/>
  <c r="F52" i="633"/>
  <c r="G52" i="633"/>
  <c r="H52" i="633"/>
  <c r="I52" i="633"/>
  <c r="D53" i="633"/>
  <c r="E53" i="633"/>
  <c r="F53" i="633"/>
  <c r="G53" i="633"/>
  <c r="H53" i="633"/>
  <c r="I53" i="633"/>
  <c r="D54" i="633"/>
  <c r="E54" i="633"/>
  <c r="F54" i="633"/>
  <c r="G54" i="633"/>
  <c r="H54" i="633"/>
  <c r="I54" i="633"/>
  <c r="D55" i="633"/>
  <c r="E55" i="633"/>
  <c r="F55" i="633"/>
  <c r="G55" i="633"/>
  <c r="H55" i="633"/>
  <c r="I55" i="633"/>
  <c r="D56" i="633"/>
  <c r="E56" i="633"/>
  <c r="F56" i="633"/>
  <c r="G56" i="633"/>
  <c r="H56" i="633"/>
  <c r="I56" i="633"/>
  <c r="J73" i="445" l="1"/>
  <c r="J72" i="445"/>
  <c r="J71" i="445"/>
  <c r="J70" i="445"/>
  <c r="J69" i="445"/>
  <c r="I26" i="633"/>
  <c r="H26" i="633"/>
  <c r="G26" i="633"/>
  <c r="F26" i="633"/>
  <c r="E26" i="633"/>
  <c r="D26" i="633"/>
  <c r="I58" i="633"/>
  <c r="H58" i="633"/>
  <c r="G58" i="633"/>
  <c r="F58" i="633"/>
  <c r="E58" i="633"/>
  <c r="D58" i="633"/>
  <c r="I64" i="633"/>
  <c r="I73" i="445" s="1"/>
  <c r="H64" i="633"/>
  <c r="H73" i="445" s="1"/>
  <c r="G64" i="633"/>
  <c r="G73" i="445" s="1"/>
  <c r="F64" i="633"/>
  <c r="F73" i="445" s="1"/>
  <c r="E64" i="633"/>
  <c r="E73" i="445" s="1"/>
  <c r="D64" i="633"/>
  <c r="D73" i="445" s="1"/>
  <c r="I63" i="633"/>
  <c r="I72" i="445" s="1"/>
  <c r="H63" i="633"/>
  <c r="H72" i="445" s="1"/>
  <c r="G63" i="633"/>
  <c r="G72" i="445" s="1"/>
  <c r="F63" i="633"/>
  <c r="F72" i="445" s="1"/>
  <c r="E63" i="633"/>
  <c r="E72" i="445" s="1"/>
  <c r="D63" i="633"/>
  <c r="D72" i="445" s="1"/>
  <c r="I62" i="633"/>
  <c r="I71" i="445" s="1"/>
  <c r="H62" i="633"/>
  <c r="H71" i="445" s="1"/>
  <c r="G62" i="633"/>
  <c r="G71" i="445" s="1"/>
  <c r="F62" i="633"/>
  <c r="F71" i="445" s="1"/>
  <c r="E62" i="633"/>
  <c r="E71" i="445" s="1"/>
  <c r="D62" i="633"/>
  <c r="D71" i="445" s="1"/>
  <c r="I61" i="633"/>
  <c r="I70" i="445" s="1"/>
  <c r="H61" i="633"/>
  <c r="H70" i="445" s="1"/>
  <c r="G61" i="633"/>
  <c r="G70" i="445" s="1"/>
  <c r="F61" i="633"/>
  <c r="F70" i="445" s="1"/>
  <c r="E61" i="633"/>
  <c r="E70" i="445" s="1"/>
  <c r="D61" i="633"/>
  <c r="D70" i="445" s="1"/>
  <c r="I60" i="633"/>
  <c r="I69" i="445" s="1"/>
  <c r="H60" i="633"/>
  <c r="H69" i="445" s="1"/>
  <c r="G60" i="633"/>
  <c r="G69" i="445" s="1"/>
  <c r="F60" i="633"/>
  <c r="F69" i="445" s="1"/>
  <c r="E60" i="633"/>
  <c r="E69" i="445" s="1"/>
  <c r="D60" i="633"/>
  <c r="D69" i="445" s="1"/>
  <c r="I59" i="633"/>
  <c r="H59" i="633"/>
  <c r="G59" i="633"/>
  <c r="F59" i="633"/>
  <c r="E59" i="633"/>
  <c r="D59" i="633"/>
  <c r="I41" i="75"/>
  <c r="D68" i="445" l="1"/>
  <c r="G68" i="445"/>
  <c r="J68" i="445"/>
  <c r="H68" i="445"/>
  <c r="E68" i="445"/>
  <c r="I68" i="445"/>
  <c r="F68" i="445"/>
  <c r="E3" i="451"/>
  <c r="J372" i="508" l="1"/>
  <c r="J351" i="508"/>
  <c r="J341" i="508"/>
  <c r="J372" i="502"/>
  <c r="J351" i="502"/>
  <c r="J341" i="502"/>
  <c r="J372" i="200"/>
  <c r="J351" i="200"/>
  <c r="J341" i="200"/>
  <c r="J372" i="202"/>
  <c r="J351" i="202"/>
  <c r="J341" i="202"/>
  <c r="I29" i="653"/>
  <c r="I314" i="653" s="1"/>
  <c r="H29" i="653"/>
  <c r="H314" i="653" s="1"/>
  <c r="G29" i="653"/>
  <c r="G314" i="653" s="1"/>
  <c r="F29" i="653"/>
  <c r="F124" i="653" s="1"/>
  <c r="E29" i="653"/>
  <c r="E219" i="653" s="1"/>
  <c r="D29" i="653"/>
  <c r="D219" i="653" s="1"/>
  <c r="I367" i="653"/>
  <c r="H367" i="653"/>
  <c r="G367" i="653"/>
  <c r="F367" i="653"/>
  <c r="E367" i="653"/>
  <c r="D367" i="653"/>
  <c r="I359" i="653"/>
  <c r="H359" i="653"/>
  <c r="G359" i="653"/>
  <c r="F359" i="653"/>
  <c r="E359" i="653"/>
  <c r="D359" i="653"/>
  <c r="I349" i="653"/>
  <c r="H349" i="653"/>
  <c r="G349" i="653"/>
  <c r="F349" i="653"/>
  <c r="E349" i="653"/>
  <c r="D349" i="653"/>
  <c r="J372" i="653"/>
  <c r="J351" i="653"/>
  <c r="J341" i="653"/>
  <c r="J372" i="654"/>
  <c r="J351" i="654"/>
  <c r="J341" i="654"/>
  <c r="J372" i="657"/>
  <c r="J351" i="657"/>
  <c r="J341" i="657"/>
  <c r="G124" i="653" l="1"/>
  <c r="E124" i="653"/>
  <c r="J349" i="653"/>
  <c r="J367" i="653"/>
  <c r="J359" i="653"/>
  <c r="H124" i="653"/>
  <c r="F219" i="653"/>
  <c r="I124" i="653"/>
  <c r="G219" i="653"/>
  <c r="D345" i="653"/>
  <c r="H219" i="653"/>
  <c r="E345" i="653"/>
  <c r="I219" i="653"/>
  <c r="F345" i="653"/>
  <c r="D314" i="653"/>
  <c r="G345" i="653"/>
  <c r="E314" i="653"/>
  <c r="H345" i="653"/>
  <c r="F314" i="653"/>
  <c r="I345" i="653"/>
  <c r="D124" i="653"/>
  <c r="AH64" i="120"/>
  <c r="J64" i="120"/>
  <c r="AH63" i="120"/>
  <c r="AH62" i="120"/>
  <c r="AH61" i="120"/>
  <c r="AH60" i="120"/>
  <c r="J60" i="120" l="1"/>
  <c r="J61" i="120"/>
  <c r="J62" i="120"/>
  <c r="J63" i="120"/>
  <c r="J150" i="146" l="1"/>
  <c r="I150" i="146"/>
  <c r="H150" i="146"/>
  <c r="G150" i="146"/>
  <c r="F150" i="146"/>
  <c r="E150" i="146"/>
  <c r="D150" i="146"/>
  <c r="D26" i="658" l="1"/>
  <c r="J372" i="658"/>
  <c r="J351" i="658"/>
  <c r="J341" i="658"/>
  <c r="C268" i="657"/>
  <c r="C267" i="657"/>
  <c r="C266" i="657"/>
  <c r="C265" i="657"/>
  <c r="C264" i="657"/>
  <c r="C263" i="657"/>
  <c r="C262" i="657"/>
  <c r="C173" i="657"/>
  <c r="C172" i="657"/>
  <c r="C171" i="657"/>
  <c r="C170" i="657"/>
  <c r="C169" i="657"/>
  <c r="C168" i="657"/>
  <c r="C167" i="657"/>
  <c r="C78" i="657"/>
  <c r="C77" i="657"/>
  <c r="C76" i="657"/>
  <c r="C75" i="657"/>
  <c r="C74" i="657"/>
  <c r="C73" i="657"/>
  <c r="C72" i="657"/>
  <c r="W106" i="120"/>
  <c r="V106" i="120"/>
  <c r="U106" i="120"/>
  <c r="T106" i="120"/>
  <c r="S106" i="120"/>
  <c r="R106" i="120"/>
  <c r="W85" i="120"/>
  <c r="V85" i="120"/>
  <c r="U85" i="120"/>
  <c r="T85" i="120"/>
  <c r="S85" i="120"/>
  <c r="R85" i="120"/>
  <c r="W57" i="120"/>
  <c r="V57" i="120"/>
  <c r="U57" i="120"/>
  <c r="T57" i="120"/>
  <c r="S57" i="120"/>
  <c r="R57" i="120"/>
  <c r="W49" i="120"/>
  <c r="V49" i="120"/>
  <c r="U49" i="120"/>
  <c r="T49" i="120"/>
  <c r="S49" i="120"/>
  <c r="R49" i="120"/>
  <c r="W25" i="120"/>
  <c r="V25" i="120"/>
  <c r="U25" i="120"/>
  <c r="T25" i="120"/>
  <c r="S25" i="120"/>
  <c r="R25" i="120"/>
  <c r="W19" i="120"/>
  <c r="V19" i="120"/>
  <c r="U19" i="120"/>
  <c r="T19" i="120"/>
  <c r="S19" i="120"/>
  <c r="R19" i="120"/>
  <c r="W13" i="120"/>
  <c r="V13" i="120"/>
  <c r="U13" i="120"/>
  <c r="T13" i="120"/>
  <c r="S13" i="120"/>
  <c r="R13" i="120"/>
  <c r="W8" i="120"/>
  <c r="V8" i="120"/>
  <c r="U8" i="120"/>
  <c r="T8" i="120"/>
  <c r="S8" i="120"/>
  <c r="R8" i="120"/>
  <c r="J196" i="144" l="1" a="1"/>
  <c r="J196" i="144" s="1"/>
  <c r="J195" i="144" a="1"/>
  <c r="J195" i="144" s="1"/>
  <c r="J194" i="144" a="1"/>
  <c r="J194" i="144" s="1"/>
  <c r="J193" i="144" a="1"/>
  <c r="J193" i="144" s="1"/>
  <c r="J192" i="144" a="1"/>
  <c r="J192" i="144" s="1"/>
  <c r="J191" i="144" a="1"/>
  <c r="J191" i="144" s="1"/>
  <c r="J190" i="144" a="1"/>
  <c r="J190" i="144" s="1"/>
  <c r="J189" i="144" a="1"/>
  <c r="J189" i="144" s="1"/>
  <c r="J188" i="144" a="1"/>
  <c r="J188" i="144" s="1"/>
  <c r="J187" i="144" a="1"/>
  <c r="J187" i="144" s="1"/>
  <c r="J186" i="144" a="1"/>
  <c r="J186" i="144" s="1"/>
  <c r="J185" i="144" a="1"/>
  <c r="J185" i="144" s="1"/>
  <c r="J184" i="144" a="1"/>
  <c r="J184" i="144" s="1"/>
  <c r="J183" i="144" a="1"/>
  <c r="J183" i="144" s="1"/>
  <c r="J182" i="144" a="1"/>
  <c r="J182" i="144" s="1"/>
  <c r="J181" i="144" a="1"/>
  <c r="J181" i="144" s="1"/>
  <c r="J180" i="144" a="1"/>
  <c r="J180" i="144" s="1"/>
  <c r="J197" i="144" s="1"/>
  <c r="W106" i="145"/>
  <c r="V106" i="145"/>
  <c r="U106" i="145"/>
  <c r="T106" i="145"/>
  <c r="S106" i="145"/>
  <c r="R106" i="145"/>
  <c r="AH64" i="145"/>
  <c r="AG64" i="145"/>
  <c r="AH63" i="145"/>
  <c r="AG63" i="145"/>
  <c r="AH62" i="145"/>
  <c r="AG62" i="145"/>
  <c r="AH61" i="145"/>
  <c r="AG61" i="145"/>
  <c r="AH60" i="145"/>
  <c r="AG60" i="145"/>
  <c r="AH59" i="145"/>
  <c r="AG59" i="145"/>
  <c r="J18" i="650"/>
  <c r="I18" i="650"/>
  <c r="H18" i="650"/>
  <c r="G18" i="650"/>
  <c r="G113" i="650" s="1"/>
  <c r="F18" i="650"/>
  <c r="F113" i="650" s="1"/>
  <c r="E18" i="650"/>
  <c r="E113" i="650" s="1"/>
  <c r="D18" i="650"/>
  <c r="D113" i="650" s="1"/>
  <c r="J167" i="650"/>
  <c r="I167" i="650"/>
  <c r="H167" i="650"/>
  <c r="G167" i="650"/>
  <c r="F167" i="650"/>
  <c r="E167" i="650"/>
  <c r="D167" i="650"/>
  <c r="J166" i="650"/>
  <c r="I166" i="650"/>
  <c r="H166" i="650"/>
  <c r="G166" i="650"/>
  <c r="F166" i="650"/>
  <c r="E166" i="650"/>
  <c r="D166" i="650"/>
  <c r="J142" i="650"/>
  <c r="J120" i="650"/>
  <c r="J119" i="650"/>
  <c r="I113" i="650"/>
  <c r="H113" i="650"/>
  <c r="J18" i="649"/>
  <c r="I18" i="649"/>
  <c r="I113" i="649" s="1"/>
  <c r="H18" i="649"/>
  <c r="H113" i="649" s="1"/>
  <c r="G18" i="649"/>
  <c r="G113" i="649" s="1"/>
  <c r="F18" i="649"/>
  <c r="F113" i="649" s="1"/>
  <c r="E18" i="649"/>
  <c r="E113" i="649" s="1"/>
  <c r="D18" i="649"/>
  <c r="D113" i="649" s="1"/>
  <c r="J142" i="649"/>
  <c r="J120" i="649"/>
  <c r="J119" i="649"/>
  <c r="J18" i="655"/>
  <c r="I18" i="655"/>
  <c r="I113" i="655" s="1"/>
  <c r="H18" i="655"/>
  <c r="H113" i="655" s="1"/>
  <c r="G18" i="655"/>
  <c r="G113" i="655" s="1"/>
  <c r="F18" i="655"/>
  <c r="F113" i="655" s="1"/>
  <c r="E18" i="655"/>
  <c r="E113" i="655" s="1"/>
  <c r="D18" i="655"/>
  <c r="D113" i="655" s="1"/>
  <c r="J142" i="655"/>
  <c r="J120" i="655"/>
  <c r="J119" i="655"/>
  <c r="J166" i="163"/>
  <c r="I166" i="163"/>
  <c r="H166" i="163"/>
  <c r="G166" i="163"/>
  <c r="F166" i="163"/>
  <c r="E166" i="163"/>
  <c r="D166" i="163"/>
  <c r="J165" i="163"/>
  <c r="I165" i="163"/>
  <c r="H165" i="163"/>
  <c r="G165" i="163"/>
  <c r="F165" i="163"/>
  <c r="E165" i="163"/>
  <c r="D165" i="163"/>
  <c r="J133" i="163"/>
  <c r="J120" i="163"/>
  <c r="J119" i="163"/>
  <c r="J166" i="214"/>
  <c r="I166" i="214"/>
  <c r="H166" i="214"/>
  <c r="G166" i="214"/>
  <c r="F166" i="214"/>
  <c r="E166" i="214"/>
  <c r="D166" i="214"/>
  <c r="J165" i="214"/>
  <c r="I165" i="214"/>
  <c r="H165" i="214"/>
  <c r="G165" i="214"/>
  <c r="F165" i="214"/>
  <c r="E165" i="214"/>
  <c r="D165" i="214"/>
  <c r="J133" i="214"/>
  <c r="J120" i="214"/>
  <c r="J119" i="214"/>
  <c r="W106" i="129"/>
  <c r="V106" i="129"/>
  <c r="U106" i="129"/>
  <c r="T106" i="129"/>
  <c r="S106" i="129"/>
  <c r="R106" i="129"/>
  <c r="W57" i="129"/>
  <c r="V57" i="129"/>
  <c r="U57" i="129"/>
  <c r="T57" i="129"/>
  <c r="S57" i="129"/>
  <c r="R57" i="129"/>
  <c r="W49" i="129"/>
  <c r="V49" i="129"/>
  <c r="U49" i="129"/>
  <c r="T49" i="129"/>
  <c r="S49" i="129"/>
  <c r="R49" i="129"/>
  <c r="W25" i="129"/>
  <c r="V25" i="129"/>
  <c r="U25" i="129"/>
  <c r="T25" i="129"/>
  <c r="S25" i="129"/>
  <c r="R25" i="129"/>
  <c r="W13" i="129"/>
  <c r="V13" i="129"/>
  <c r="U13" i="129"/>
  <c r="T13" i="129"/>
  <c r="S13" i="129"/>
  <c r="R13" i="129"/>
  <c r="W8" i="129"/>
  <c r="V8" i="129"/>
  <c r="U8" i="129"/>
  <c r="T8" i="129"/>
  <c r="S8" i="129"/>
  <c r="R8" i="129"/>
  <c r="K64" i="62"/>
  <c r="J64" i="62"/>
  <c r="I64" i="62" s="1"/>
  <c r="H64" i="62"/>
  <c r="K63" i="62"/>
  <c r="J63" i="62"/>
  <c r="I63" i="62" s="1"/>
  <c r="H63" i="62"/>
  <c r="K62" i="62"/>
  <c r="J62" i="62"/>
  <c r="I62" i="62" s="1"/>
  <c r="H62" i="62"/>
  <c r="K61" i="62"/>
  <c r="J61" i="62"/>
  <c r="I61" i="62" s="1"/>
  <c r="H61" i="62"/>
  <c r="K60" i="62"/>
  <c r="J60" i="62"/>
  <c r="I60" i="62" s="1"/>
  <c r="H60" i="62"/>
  <c r="K59" i="62"/>
  <c r="J59" i="62"/>
  <c r="I59" i="62" s="1"/>
  <c r="H59" i="62"/>
  <c r="K58" i="62"/>
  <c r="J58" i="62"/>
  <c r="I58" i="62" s="1"/>
  <c r="H58" i="62"/>
  <c r="H26" i="62"/>
  <c r="X106" i="145" l="1"/>
  <c r="K62" i="145"/>
  <c r="N62" i="145"/>
  <c r="U62" i="145" s="1"/>
  <c r="O62" i="145"/>
  <c r="V62" i="145" s="1"/>
  <c r="L62" i="145"/>
  <c r="S62" i="145" s="1"/>
  <c r="P62" i="145"/>
  <c r="W62" i="145" s="1"/>
  <c r="M62" i="145"/>
  <c r="T62" i="145" s="1"/>
  <c r="N63" i="145"/>
  <c r="U63" i="145" s="1"/>
  <c r="M63" i="145"/>
  <c r="T63" i="145" s="1"/>
  <c r="K63" i="145"/>
  <c r="L63" i="145"/>
  <c r="S63" i="145" s="1"/>
  <c r="O63" i="145"/>
  <c r="V63" i="145" s="1"/>
  <c r="P63" i="145"/>
  <c r="W63" i="145" s="1"/>
  <c r="K61" i="145"/>
  <c r="N61" i="145"/>
  <c r="U61" i="145" s="1"/>
  <c r="L61" i="145"/>
  <c r="S61" i="145" s="1"/>
  <c r="M61" i="145"/>
  <c r="T61" i="145" s="1"/>
  <c r="O61" i="145"/>
  <c r="V61" i="145" s="1"/>
  <c r="P61" i="145"/>
  <c r="W61" i="145" s="1"/>
  <c r="K64" i="145"/>
  <c r="L64" i="145"/>
  <c r="O64" i="145"/>
  <c r="V64" i="145" s="1"/>
  <c r="M64" i="145"/>
  <c r="T64" i="145" s="1"/>
  <c r="P64" i="145"/>
  <c r="W64" i="145" s="1"/>
  <c r="N64" i="145"/>
  <c r="U64" i="145" s="1"/>
  <c r="M60" i="145"/>
  <c r="O60" i="145"/>
  <c r="P60" i="145"/>
  <c r="L60" i="145"/>
  <c r="N60" i="145"/>
  <c r="K60" i="145"/>
  <c r="AH64" i="87"/>
  <c r="AG64" i="87"/>
  <c r="AH63" i="87"/>
  <c r="AG63" i="87"/>
  <c r="AH62" i="87"/>
  <c r="AG62" i="87"/>
  <c r="AH61" i="87"/>
  <c r="AG61" i="87"/>
  <c r="P61" i="87" s="1"/>
  <c r="W61" i="87" s="1"/>
  <c r="AH60" i="87"/>
  <c r="AG60" i="87"/>
  <c r="P60" i="87" s="1"/>
  <c r="W60" i="87" s="1"/>
  <c r="AH59" i="87"/>
  <c r="AG59" i="87"/>
  <c r="O61" i="87" l="1"/>
  <c r="V61" i="87" s="1"/>
  <c r="Q60" i="145"/>
  <c r="K61" i="87"/>
  <c r="R61" i="87" s="1"/>
  <c r="K60" i="87"/>
  <c r="R60" i="87" s="1"/>
  <c r="L61" i="87"/>
  <c r="S61" i="87" s="1"/>
  <c r="M61" i="87"/>
  <c r="T61" i="87" s="1"/>
  <c r="N61" i="87"/>
  <c r="U61" i="87" s="1"/>
  <c r="Q61" i="145"/>
  <c r="Q63" i="145"/>
  <c r="R64" i="145"/>
  <c r="Q64" i="145"/>
  <c r="Q62" i="145"/>
  <c r="R63" i="145"/>
  <c r="X63" i="145" s="1"/>
  <c r="L59" i="145"/>
  <c r="S60" i="145"/>
  <c r="P59" i="145"/>
  <c r="W60" i="145"/>
  <c r="W59" i="145" s="1"/>
  <c r="R61" i="145"/>
  <c r="X61" i="145" s="1"/>
  <c r="S64" i="145"/>
  <c r="K59" i="145"/>
  <c r="R60" i="145"/>
  <c r="N59" i="145"/>
  <c r="U60" i="145"/>
  <c r="U59" i="145" s="1"/>
  <c r="O59" i="145"/>
  <c r="V60" i="145"/>
  <c r="V59" i="145" s="1"/>
  <c r="M59" i="145"/>
  <c r="T60" i="145"/>
  <c r="T59" i="145" s="1"/>
  <c r="R62" i="145"/>
  <c r="X62" i="145" s="1"/>
  <c r="M60" i="87"/>
  <c r="T60" i="87" s="1"/>
  <c r="L60" i="87"/>
  <c r="S60" i="87" s="1"/>
  <c r="N60" i="87"/>
  <c r="U60" i="87" s="1"/>
  <c r="O60" i="87"/>
  <c r="V60" i="87" s="1"/>
  <c r="M64" i="87"/>
  <c r="T64" i="87" s="1"/>
  <c r="L64" i="87"/>
  <c r="S64" i="87" s="1"/>
  <c r="P64" i="87"/>
  <c r="W64" i="87" s="1"/>
  <c r="K64" i="87"/>
  <c r="O64" i="87"/>
  <c r="V64" i="87" s="1"/>
  <c r="N64" i="87"/>
  <c r="U64" i="87" s="1"/>
  <c r="O63" i="87"/>
  <c r="K63" i="87"/>
  <c r="R63" i="87" s="1"/>
  <c r="N63" i="87"/>
  <c r="U63" i="87" s="1"/>
  <c r="P63" i="87"/>
  <c r="W63" i="87" s="1"/>
  <c r="L63" i="87"/>
  <c r="S63" i="87" s="1"/>
  <c r="M63" i="87"/>
  <c r="T63" i="87" s="1"/>
  <c r="M62" i="87"/>
  <c r="T62" i="87" s="1"/>
  <c r="P62" i="87"/>
  <c r="W62" i="87" s="1"/>
  <c r="K62" i="87"/>
  <c r="R62" i="87" s="1"/>
  <c r="O62" i="87"/>
  <c r="V62" i="87" s="1"/>
  <c r="L62" i="87"/>
  <c r="S62" i="87" s="1"/>
  <c r="N62" i="87"/>
  <c r="U62" i="87" s="1"/>
  <c r="X61" i="87" l="1"/>
  <c r="G61" i="62" s="1"/>
  <c r="X60" i="87"/>
  <c r="G60" i="62" s="1"/>
  <c r="X62" i="87"/>
  <c r="G62" i="62" s="1"/>
  <c r="Q62" i="87"/>
  <c r="F62" i="62" s="1"/>
  <c r="Q61" i="87"/>
  <c r="F61" i="62" s="1"/>
  <c r="Q59" i="145"/>
  <c r="X64" i="145"/>
  <c r="X60" i="145"/>
  <c r="S59" i="145"/>
  <c r="R59" i="145"/>
  <c r="Q60" i="87"/>
  <c r="F60" i="62" s="1"/>
  <c r="R64" i="87"/>
  <c r="X64" i="87" s="1"/>
  <c r="G64" i="62" s="1"/>
  <c r="Q64" i="87"/>
  <c r="F64" i="62" s="1"/>
  <c r="V63" i="87"/>
  <c r="X63" i="87" s="1"/>
  <c r="G63" i="62" s="1"/>
  <c r="Q63" i="87"/>
  <c r="F63" i="62" s="1"/>
  <c r="X108" i="146"/>
  <c r="Q108" i="146"/>
  <c r="J106" i="146"/>
  <c r="J49" i="146"/>
  <c r="J19" i="146"/>
  <c r="X108" i="88"/>
  <c r="X48" i="88"/>
  <c r="X47" i="88"/>
  <c r="X46" i="88"/>
  <c r="X45" i="88"/>
  <c r="X43" i="88"/>
  <c r="X42" i="88"/>
  <c r="X41" i="88"/>
  <c r="X40" i="88"/>
  <c r="X38" i="88"/>
  <c r="X37" i="88"/>
  <c r="X36" i="88"/>
  <c r="X35" i="88"/>
  <c r="X33" i="88"/>
  <c r="X32" i="88"/>
  <c r="X31" i="88"/>
  <c r="X30" i="88"/>
  <c r="X29" i="88"/>
  <c r="X28" i="88"/>
  <c r="X24" i="88"/>
  <c r="X23" i="88"/>
  <c r="X22" i="88"/>
  <c r="X19" i="88"/>
  <c r="X18" i="88"/>
  <c r="X17" i="88"/>
  <c r="X16" i="88"/>
  <c r="X15" i="88"/>
  <c r="X12" i="88"/>
  <c r="X11" i="88"/>
  <c r="X7" i="88"/>
  <c r="X6" i="88"/>
  <c r="Q108" i="88"/>
  <c r="Q48" i="88"/>
  <c r="Q47" i="88"/>
  <c r="Q46" i="88"/>
  <c r="Q45" i="88"/>
  <c r="Q43" i="88"/>
  <c r="Q42" i="88"/>
  <c r="Q41" i="88"/>
  <c r="Q40" i="88"/>
  <c r="Q38" i="88"/>
  <c r="Q37" i="88"/>
  <c r="Q36" i="88"/>
  <c r="Q35" i="88"/>
  <c r="Q33" i="88"/>
  <c r="Q32" i="88"/>
  <c r="Q31" i="88"/>
  <c r="Q30" i="88"/>
  <c r="Q29" i="88"/>
  <c r="Q28" i="88"/>
  <c r="Q24" i="88"/>
  <c r="Q23" i="88"/>
  <c r="Q22" i="88"/>
  <c r="Q18" i="88"/>
  <c r="Q17" i="88"/>
  <c r="Q16" i="88"/>
  <c r="Q15" i="88"/>
  <c r="Q12" i="88"/>
  <c r="Q11" i="88"/>
  <c r="Q7" i="88"/>
  <c r="Q6" i="88"/>
  <c r="J108" i="88"/>
  <c r="J48" i="88"/>
  <c r="J47" i="88"/>
  <c r="J46" i="88"/>
  <c r="J45" i="88"/>
  <c r="J43" i="88"/>
  <c r="J42" i="88"/>
  <c r="J41" i="88"/>
  <c r="J40" i="88"/>
  <c r="J38" i="88"/>
  <c r="J37" i="88"/>
  <c r="J36" i="88"/>
  <c r="J35" i="88"/>
  <c r="J33" i="88"/>
  <c r="J32" i="88"/>
  <c r="J31" i="88"/>
  <c r="J30" i="88"/>
  <c r="J29" i="88"/>
  <c r="J28" i="88"/>
  <c r="J24" i="88"/>
  <c r="J23" i="88"/>
  <c r="J22" i="88"/>
  <c r="J18" i="88"/>
  <c r="J17" i="88"/>
  <c r="J16" i="88"/>
  <c r="J15" i="88"/>
  <c r="J12" i="88"/>
  <c r="J11" i="88"/>
  <c r="J7" i="88"/>
  <c r="J6" i="88"/>
  <c r="X105" i="130"/>
  <c r="X104" i="130"/>
  <c r="X103" i="130"/>
  <c r="X102" i="130"/>
  <c r="X101" i="130"/>
  <c r="X100" i="130"/>
  <c r="X98" i="130"/>
  <c r="X97" i="130"/>
  <c r="X96" i="130"/>
  <c r="X95" i="130"/>
  <c r="X94" i="130"/>
  <c r="X93" i="130"/>
  <c r="X91" i="130"/>
  <c r="X90" i="130"/>
  <c r="X89" i="130"/>
  <c r="X88" i="130"/>
  <c r="X87" i="130"/>
  <c r="X85" i="130"/>
  <c r="X84" i="130"/>
  <c r="X83" i="130"/>
  <c r="X82" i="130"/>
  <c r="X81" i="130"/>
  <c r="X80" i="130"/>
  <c r="X79" i="130"/>
  <c r="X77" i="130"/>
  <c r="X76" i="130"/>
  <c r="X75" i="130"/>
  <c r="X74" i="130"/>
  <c r="X73" i="130"/>
  <c r="X72" i="130"/>
  <c r="X70" i="130"/>
  <c r="X69" i="130"/>
  <c r="X68" i="130"/>
  <c r="X67" i="130"/>
  <c r="X66" i="130"/>
  <c r="Q105" i="130"/>
  <c r="Q104" i="130"/>
  <c r="Q103" i="130"/>
  <c r="Q102" i="130"/>
  <c r="Q101" i="130"/>
  <c r="Q100" i="130"/>
  <c r="Q98" i="130"/>
  <c r="Q97" i="130"/>
  <c r="Q96" i="130"/>
  <c r="Q95" i="130"/>
  <c r="Q94" i="130"/>
  <c r="Q93" i="130"/>
  <c r="Q91" i="130"/>
  <c r="Q90" i="130"/>
  <c r="Q89" i="130"/>
  <c r="Q88" i="130"/>
  <c r="Q87" i="130"/>
  <c r="Q85" i="130"/>
  <c r="Q84" i="130"/>
  <c r="Q83" i="130"/>
  <c r="Q82" i="130"/>
  <c r="Q81" i="130"/>
  <c r="Q80" i="130"/>
  <c r="Q79" i="130"/>
  <c r="Q77" i="130"/>
  <c r="Q76" i="130"/>
  <c r="Q75" i="130"/>
  <c r="Q74" i="130"/>
  <c r="Q73" i="130"/>
  <c r="Q72" i="130"/>
  <c r="Q70" i="130"/>
  <c r="Q69" i="130"/>
  <c r="Q68" i="130"/>
  <c r="Q67" i="130"/>
  <c r="Q66" i="130"/>
  <c r="J108" i="130"/>
  <c r="J105" i="130"/>
  <c r="J104" i="130"/>
  <c r="J103" i="130"/>
  <c r="J102" i="130"/>
  <c r="J101" i="130"/>
  <c r="J100" i="130"/>
  <c r="J98" i="130"/>
  <c r="J97" i="130"/>
  <c r="J96" i="130"/>
  <c r="J95" i="130"/>
  <c r="J94" i="130"/>
  <c r="J93" i="130"/>
  <c r="J91" i="130"/>
  <c r="J90" i="130"/>
  <c r="J89" i="130"/>
  <c r="J88" i="130"/>
  <c r="J87" i="130"/>
  <c r="J85" i="130"/>
  <c r="J56" i="130"/>
  <c r="J55" i="130"/>
  <c r="J54" i="130"/>
  <c r="J53" i="130"/>
  <c r="J52" i="130"/>
  <c r="J51" i="130"/>
  <c r="X106" i="129"/>
  <c r="X57" i="129"/>
  <c r="X49" i="129"/>
  <c r="X25" i="129"/>
  <c r="X13" i="129"/>
  <c r="X8" i="129"/>
  <c r="X106" i="120"/>
  <c r="X85" i="120"/>
  <c r="X57" i="120"/>
  <c r="X49" i="120"/>
  <c r="X25" i="120"/>
  <c r="X19" i="120"/>
  <c r="X13" i="120"/>
  <c r="X8" i="120"/>
  <c r="X57" i="87"/>
  <c r="X25" i="87"/>
  <c r="X13" i="87"/>
  <c r="Q108" i="129"/>
  <c r="Q106" i="129"/>
  <c r="Q85" i="129"/>
  <c r="Q57" i="129"/>
  <c r="Q49" i="129"/>
  <c r="Q25" i="129"/>
  <c r="Q19" i="129"/>
  <c r="Q13" i="129"/>
  <c r="Q8" i="129"/>
  <c r="Q108" i="120"/>
  <c r="Q106" i="120"/>
  <c r="Q85" i="120"/>
  <c r="Q57" i="120"/>
  <c r="Q49" i="120"/>
  <c r="Q25" i="120"/>
  <c r="Q19" i="120"/>
  <c r="Q13" i="120"/>
  <c r="Q8" i="120"/>
  <c r="Q108" i="87"/>
  <c r="Q106" i="87"/>
  <c r="Q85" i="87"/>
  <c r="Q57" i="87"/>
  <c r="Q56" i="87"/>
  <c r="Q55" i="87"/>
  <c r="Q54" i="87"/>
  <c r="Q53" i="87"/>
  <c r="Q52" i="87"/>
  <c r="Q51" i="87"/>
  <c r="Q49" i="87"/>
  <c r="Q25" i="87"/>
  <c r="Q24" i="87"/>
  <c r="Q23" i="87"/>
  <c r="Q22" i="87"/>
  <c r="Q19" i="87"/>
  <c r="Q13" i="87"/>
  <c r="Q12" i="87"/>
  <c r="Q11" i="87"/>
  <c r="Q8" i="87"/>
  <c r="Q6" i="87"/>
  <c r="J106" i="129"/>
  <c r="J57" i="129"/>
  <c r="J49" i="129"/>
  <c r="J25" i="129"/>
  <c r="J13" i="129"/>
  <c r="J8" i="129"/>
  <c r="C64" i="62"/>
  <c r="C63" i="62"/>
  <c r="C62" i="62"/>
  <c r="C61" i="62"/>
  <c r="C60" i="62"/>
  <c r="J106" i="120"/>
  <c r="J85" i="120"/>
  <c r="J57" i="120"/>
  <c r="J49" i="120"/>
  <c r="J25" i="120"/>
  <c r="J19" i="120"/>
  <c r="J13" i="120"/>
  <c r="J8" i="120"/>
  <c r="J106" i="87"/>
  <c r="J105" i="87"/>
  <c r="J104" i="87"/>
  <c r="J103" i="87"/>
  <c r="J102" i="87"/>
  <c r="J101" i="87"/>
  <c r="J100" i="87"/>
  <c r="J99" i="87"/>
  <c r="J98" i="87"/>
  <c r="J97" i="87"/>
  <c r="J96" i="87"/>
  <c r="J95" i="87"/>
  <c r="J94" i="87"/>
  <c r="J93" i="87"/>
  <c r="J92" i="87"/>
  <c r="J91" i="87"/>
  <c r="J90" i="87"/>
  <c r="J89" i="87"/>
  <c r="J88" i="87"/>
  <c r="J87" i="87"/>
  <c r="J86" i="87"/>
  <c r="J85" i="87"/>
  <c r="J84" i="87"/>
  <c r="J83" i="87"/>
  <c r="J82" i="87"/>
  <c r="J81" i="87"/>
  <c r="J80" i="87"/>
  <c r="J79" i="87"/>
  <c r="J78" i="87"/>
  <c r="J77" i="87"/>
  <c r="J76" i="87"/>
  <c r="J75" i="87"/>
  <c r="J74" i="87"/>
  <c r="J73" i="87"/>
  <c r="J72" i="87"/>
  <c r="J71" i="87"/>
  <c r="J70" i="87"/>
  <c r="J69" i="87"/>
  <c r="J68" i="87"/>
  <c r="J67" i="87"/>
  <c r="J66" i="87"/>
  <c r="J65" i="87"/>
  <c r="J64" i="87"/>
  <c r="E64" i="62" s="1"/>
  <c r="J63" i="87"/>
  <c r="E63" i="62" s="1"/>
  <c r="J62" i="87"/>
  <c r="E62" i="62" s="1"/>
  <c r="J61" i="87"/>
  <c r="E61" i="62" s="1"/>
  <c r="J60" i="87"/>
  <c r="E60" i="62" s="1"/>
  <c r="J59" i="87"/>
  <c r="J58" i="87"/>
  <c r="E58" i="62" s="1"/>
  <c r="J57" i="87"/>
  <c r="J56" i="87"/>
  <c r="J55" i="87"/>
  <c r="J54" i="87"/>
  <c r="J53" i="87"/>
  <c r="J52" i="87"/>
  <c r="J51" i="87"/>
  <c r="J50" i="87"/>
  <c r="J49" i="87"/>
  <c r="J48" i="87"/>
  <c r="J47" i="87"/>
  <c r="J46" i="87"/>
  <c r="J45" i="87"/>
  <c r="J44" i="87"/>
  <c r="J43" i="87"/>
  <c r="J42" i="87"/>
  <c r="J41" i="87"/>
  <c r="J40" i="87"/>
  <c r="J39" i="87"/>
  <c r="J38" i="87"/>
  <c r="J37" i="87"/>
  <c r="J36" i="87"/>
  <c r="J35" i="87"/>
  <c r="J34" i="87"/>
  <c r="J33" i="87"/>
  <c r="J32" i="87"/>
  <c r="J31" i="87"/>
  <c r="J30" i="87"/>
  <c r="J29" i="87"/>
  <c r="J28" i="87"/>
  <c r="J27" i="87"/>
  <c r="J26" i="87"/>
  <c r="E26" i="62" s="1"/>
  <c r="J25" i="87"/>
  <c r="J24" i="87"/>
  <c r="J23" i="87"/>
  <c r="J22" i="87"/>
  <c r="J21" i="87"/>
  <c r="J20" i="87"/>
  <c r="J19" i="87"/>
  <c r="J18" i="87"/>
  <c r="J17" i="87"/>
  <c r="J16" i="87"/>
  <c r="J15" i="87"/>
  <c r="J14" i="87"/>
  <c r="J13" i="87"/>
  <c r="J12" i="87"/>
  <c r="J11" i="87"/>
  <c r="J10" i="87"/>
  <c r="J9" i="87"/>
  <c r="J8" i="87"/>
  <c r="J7" i="87"/>
  <c r="J6" i="87"/>
  <c r="J5" i="87"/>
  <c r="J107" i="87"/>
  <c r="W99" i="130"/>
  <c r="V99" i="130"/>
  <c r="U99" i="130"/>
  <c r="T99" i="130"/>
  <c r="S99" i="130"/>
  <c r="R99" i="130"/>
  <c r="P99" i="130"/>
  <c r="O99" i="130"/>
  <c r="N99" i="130"/>
  <c r="M99" i="130"/>
  <c r="L99" i="130"/>
  <c r="K99" i="130"/>
  <c r="I99" i="130"/>
  <c r="H99" i="130"/>
  <c r="G99" i="130"/>
  <c r="F99" i="130"/>
  <c r="E99" i="130"/>
  <c r="W92" i="130"/>
  <c r="V92" i="130"/>
  <c r="U92" i="130"/>
  <c r="T92" i="130"/>
  <c r="S92" i="130"/>
  <c r="R92" i="130"/>
  <c r="P92" i="130"/>
  <c r="O92" i="130"/>
  <c r="N92" i="130"/>
  <c r="M92" i="130"/>
  <c r="L92" i="130"/>
  <c r="K92" i="130"/>
  <c r="I92" i="130"/>
  <c r="H92" i="130"/>
  <c r="G92" i="130"/>
  <c r="F92" i="130"/>
  <c r="E92" i="130"/>
  <c r="W86" i="130"/>
  <c r="V86" i="130"/>
  <c r="U86" i="130"/>
  <c r="T86" i="130"/>
  <c r="S86" i="130"/>
  <c r="R86" i="130"/>
  <c r="P86" i="130"/>
  <c r="O86" i="130"/>
  <c r="N86" i="130"/>
  <c r="M86" i="130"/>
  <c r="L86" i="130"/>
  <c r="K86" i="130"/>
  <c r="I86" i="130"/>
  <c r="H86" i="130"/>
  <c r="G86" i="130"/>
  <c r="F86" i="130"/>
  <c r="E86" i="130"/>
  <c r="W78" i="130"/>
  <c r="V78" i="130"/>
  <c r="U78" i="130"/>
  <c r="T78" i="130"/>
  <c r="S78" i="130"/>
  <c r="R78" i="130"/>
  <c r="P78" i="130"/>
  <c r="O78" i="130"/>
  <c r="N78" i="130"/>
  <c r="M78" i="130"/>
  <c r="L78" i="130"/>
  <c r="K78" i="130"/>
  <c r="W71" i="130"/>
  <c r="V71" i="130"/>
  <c r="U71" i="130"/>
  <c r="T71" i="130"/>
  <c r="S71" i="130"/>
  <c r="R71" i="130"/>
  <c r="P71" i="130"/>
  <c r="O71" i="130"/>
  <c r="N71" i="130"/>
  <c r="M71" i="130"/>
  <c r="L71" i="130"/>
  <c r="K71" i="130"/>
  <c r="W65" i="130"/>
  <c r="V65" i="130"/>
  <c r="U65" i="130"/>
  <c r="T65" i="130"/>
  <c r="S65" i="130"/>
  <c r="R65" i="130"/>
  <c r="P65" i="130"/>
  <c r="O65" i="130"/>
  <c r="N65" i="130"/>
  <c r="M65" i="130"/>
  <c r="L65" i="130"/>
  <c r="K65" i="130"/>
  <c r="I59" i="81"/>
  <c r="H59" i="81"/>
  <c r="G59" i="81"/>
  <c r="F59" i="81"/>
  <c r="E59" i="81"/>
  <c r="W59" i="130"/>
  <c r="V59" i="130"/>
  <c r="U59" i="130"/>
  <c r="T59" i="130"/>
  <c r="S59" i="130"/>
  <c r="R59" i="130"/>
  <c r="P59" i="130"/>
  <c r="O59" i="130"/>
  <c r="N59" i="130"/>
  <c r="M59" i="130"/>
  <c r="L59" i="130"/>
  <c r="K59" i="130"/>
  <c r="I59" i="130"/>
  <c r="H59" i="130"/>
  <c r="G59" i="130"/>
  <c r="F59" i="130"/>
  <c r="E59" i="130"/>
  <c r="I59" i="120"/>
  <c r="H59" i="120"/>
  <c r="G59" i="120"/>
  <c r="F59" i="120"/>
  <c r="E59" i="120"/>
  <c r="I59" i="144"/>
  <c r="I58" i="144" s="1"/>
  <c r="H59" i="144"/>
  <c r="H58" i="144" s="1"/>
  <c r="G59" i="144"/>
  <c r="G58" i="144" s="1"/>
  <c r="F59" i="144"/>
  <c r="F58" i="144" s="1"/>
  <c r="E59" i="144"/>
  <c r="E58" i="144" s="1"/>
  <c r="W59" i="87"/>
  <c r="U59" i="87"/>
  <c r="T59" i="87"/>
  <c r="S59" i="87"/>
  <c r="P59" i="87"/>
  <c r="O59" i="87"/>
  <c r="N59" i="87"/>
  <c r="M59" i="87"/>
  <c r="L59" i="87"/>
  <c r="K59" i="87"/>
  <c r="W50" i="130"/>
  <c r="V50" i="130"/>
  <c r="U50" i="130"/>
  <c r="T50" i="130"/>
  <c r="S50" i="130"/>
  <c r="R50" i="130"/>
  <c r="P50" i="130"/>
  <c r="O50" i="130"/>
  <c r="N50" i="130"/>
  <c r="M50" i="130"/>
  <c r="L50" i="130"/>
  <c r="K50" i="130"/>
  <c r="I50" i="130"/>
  <c r="I209" i="130" s="1"/>
  <c r="H50" i="130"/>
  <c r="H209" i="130" s="1"/>
  <c r="G50" i="130"/>
  <c r="G209" i="130" s="1"/>
  <c r="F50" i="130"/>
  <c r="F209" i="130" s="1"/>
  <c r="E50" i="130"/>
  <c r="E209" i="130" s="1"/>
  <c r="P50" i="87"/>
  <c r="O50" i="87"/>
  <c r="N50" i="87"/>
  <c r="M50" i="87"/>
  <c r="L50" i="87"/>
  <c r="K50" i="87"/>
  <c r="W44" i="130"/>
  <c r="V44" i="130"/>
  <c r="U44" i="130"/>
  <c r="T44" i="130"/>
  <c r="S44" i="130"/>
  <c r="R44" i="130"/>
  <c r="W44" i="146"/>
  <c r="V44" i="146"/>
  <c r="U44" i="146"/>
  <c r="T44" i="146"/>
  <c r="S44" i="146"/>
  <c r="R44" i="146"/>
  <c r="W39" i="130"/>
  <c r="V39" i="130"/>
  <c r="U39" i="130"/>
  <c r="T39" i="130"/>
  <c r="S39" i="130"/>
  <c r="R39" i="130"/>
  <c r="Q39" i="88"/>
  <c r="W39" i="146"/>
  <c r="V39" i="146"/>
  <c r="U39" i="146"/>
  <c r="T39" i="146"/>
  <c r="S39" i="146"/>
  <c r="R39" i="146"/>
  <c r="W34" i="130"/>
  <c r="V34" i="130"/>
  <c r="U34" i="130"/>
  <c r="T34" i="130"/>
  <c r="S34" i="130"/>
  <c r="R34" i="130"/>
  <c r="W34" i="146"/>
  <c r="V34" i="146"/>
  <c r="U34" i="146"/>
  <c r="T34" i="146"/>
  <c r="S34" i="146"/>
  <c r="R34" i="146"/>
  <c r="W27" i="130"/>
  <c r="V27" i="130"/>
  <c r="U27" i="130"/>
  <c r="T27" i="130"/>
  <c r="S27" i="130"/>
  <c r="R27" i="130"/>
  <c r="X27" i="88"/>
  <c r="W27" i="146"/>
  <c r="V27" i="146"/>
  <c r="U27" i="146"/>
  <c r="T27" i="146"/>
  <c r="S27" i="146"/>
  <c r="R27" i="146"/>
  <c r="P21" i="87"/>
  <c r="O21" i="87"/>
  <c r="N21" i="87"/>
  <c r="M21" i="87"/>
  <c r="L21" i="87"/>
  <c r="K21" i="87"/>
  <c r="W14" i="130"/>
  <c r="V14" i="130"/>
  <c r="U14" i="130"/>
  <c r="T14" i="130"/>
  <c r="S14" i="130"/>
  <c r="R14" i="130"/>
  <c r="X14" i="88"/>
  <c r="X5" i="88"/>
  <c r="D99" i="130"/>
  <c r="D92" i="130"/>
  <c r="D86" i="130"/>
  <c r="D205" i="130" s="1"/>
  <c r="D59" i="81"/>
  <c r="D59" i="130"/>
  <c r="D59" i="120"/>
  <c r="D59" i="144"/>
  <c r="D58" i="144" s="1"/>
  <c r="D50" i="130"/>
  <c r="D209" i="130" s="1"/>
  <c r="J27" i="88"/>
  <c r="P10" i="87"/>
  <c r="O10" i="87"/>
  <c r="N10" i="87"/>
  <c r="M10" i="87"/>
  <c r="L10" i="87"/>
  <c r="K10" i="87"/>
  <c r="AH14" i="129"/>
  <c r="AH14" i="120"/>
  <c r="AH14" i="145"/>
  <c r="AG14" i="145"/>
  <c r="AH14" i="87"/>
  <c r="AG14" i="87"/>
  <c r="J10" i="88"/>
  <c r="J5" i="88"/>
  <c r="E59" i="62" l="1"/>
  <c r="H205" i="130"/>
  <c r="J159" i="823"/>
  <c r="I205" i="130"/>
  <c r="Q86" i="130"/>
  <c r="X14" i="130"/>
  <c r="E205" i="130"/>
  <c r="F205" i="130"/>
  <c r="G205" i="130"/>
  <c r="Q92" i="130"/>
  <c r="W26" i="130"/>
  <c r="X34" i="130"/>
  <c r="Q99" i="130"/>
  <c r="J92" i="130"/>
  <c r="Q71" i="130"/>
  <c r="Q78" i="130"/>
  <c r="J59" i="81"/>
  <c r="R26" i="146"/>
  <c r="Q21" i="87"/>
  <c r="R59" i="87"/>
  <c r="V59" i="87"/>
  <c r="Q50" i="87"/>
  <c r="J59" i="130"/>
  <c r="S58" i="130"/>
  <c r="J86" i="130"/>
  <c r="X44" i="130"/>
  <c r="X86" i="130"/>
  <c r="Q65" i="130"/>
  <c r="X92" i="130"/>
  <c r="X99" i="130"/>
  <c r="T26" i="130"/>
  <c r="J99" i="130"/>
  <c r="J50" i="130"/>
  <c r="O58" i="130"/>
  <c r="W26" i="146"/>
  <c r="S26" i="146"/>
  <c r="T26" i="146"/>
  <c r="U26" i="146"/>
  <c r="V26" i="146"/>
  <c r="J14" i="88"/>
  <c r="J21" i="88"/>
  <c r="Q21" i="88"/>
  <c r="X34" i="88"/>
  <c r="X21" i="88"/>
  <c r="J34" i="88"/>
  <c r="J39" i="88"/>
  <c r="Q14" i="88"/>
  <c r="J44" i="88"/>
  <c r="Q34" i="88"/>
  <c r="X39" i="88"/>
  <c r="X59" i="145"/>
  <c r="X44" i="146"/>
  <c r="X27" i="146"/>
  <c r="X34" i="146"/>
  <c r="X39" i="146"/>
  <c r="S26" i="130"/>
  <c r="Q44" i="88"/>
  <c r="W58" i="130"/>
  <c r="Q5" i="88"/>
  <c r="X39" i="130"/>
  <c r="Q59" i="130"/>
  <c r="Q27" i="88"/>
  <c r="M58" i="130"/>
  <c r="Q10" i="88"/>
  <c r="X10" i="88"/>
  <c r="Q9" i="88"/>
  <c r="F149" i="146"/>
  <c r="F151" i="146" s="1"/>
  <c r="X65" i="130"/>
  <c r="R26" i="130"/>
  <c r="P58" i="130"/>
  <c r="X78" i="130"/>
  <c r="Q10" i="87"/>
  <c r="X71" i="130"/>
  <c r="X27" i="130"/>
  <c r="T58" i="130"/>
  <c r="K58" i="130"/>
  <c r="L58" i="130"/>
  <c r="V26" i="130"/>
  <c r="R58" i="130"/>
  <c r="X59" i="130"/>
  <c r="J59" i="144"/>
  <c r="J58" i="144" s="1"/>
  <c r="C59" i="62"/>
  <c r="X44" i="88"/>
  <c r="J59" i="120"/>
  <c r="Q59" i="87"/>
  <c r="F59" i="62" s="1"/>
  <c r="V58" i="130"/>
  <c r="U58" i="130"/>
  <c r="E149" i="146"/>
  <c r="E151" i="146" s="1"/>
  <c r="N58" i="130"/>
  <c r="H149" i="146"/>
  <c r="H151" i="146" s="1"/>
  <c r="G149" i="146"/>
  <c r="G151" i="146" s="1"/>
  <c r="U26" i="130"/>
  <c r="M241" i="128"/>
  <c r="L241" i="128"/>
  <c r="K241" i="128"/>
  <c r="J241" i="128"/>
  <c r="I241" i="128"/>
  <c r="H241" i="128"/>
  <c r="X59" i="87" l="1"/>
  <c r="G59" i="62" s="1"/>
  <c r="J205" i="130"/>
  <c r="C23" i="485" s="1"/>
  <c r="J209" i="130"/>
  <c r="G23" i="485"/>
  <c r="X26" i="146"/>
  <c r="X26" i="130"/>
  <c r="X9" i="88"/>
  <c r="C58" i="62"/>
  <c r="Q26" i="88"/>
  <c r="AH26" i="88" s="1"/>
  <c r="J26" i="62" s="1"/>
  <c r="I26" i="62" s="1"/>
  <c r="O26" i="62" s="1"/>
  <c r="X58" i="130"/>
  <c r="J9" i="88"/>
  <c r="Q58" i="130"/>
  <c r="I149" i="146"/>
  <c r="I151" i="146" s="1"/>
  <c r="J26" i="88"/>
  <c r="AG26" i="88" s="1"/>
  <c r="X26" i="88"/>
  <c r="AI26" i="88" s="1"/>
  <c r="K26" i="62" s="1"/>
  <c r="Q20" i="88"/>
  <c r="Q107" i="88"/>
  <c r="C26" i="62"/>
  <c r="X20" i="88" l="1"/>
  <c r="J149" i="146"/>
  <c r="J151" i="146" s="1"/>
  <c r="D149" i="146"/>
  <c r="D151" i="146" s="1"/>
  <c r="X107" i="88"/>
  <c r="J20" i="88"/>
  <c r="J107" i="88"/>
  <c r="AP80" i="145" l="1"/>
  <c r="AO80" i="145"/>
  <c r="AN80" i="145"/>
  <c r="AM80" i="145"/>
  <c r="AL80" i="145"/>
  <c r="AK80" i="145"/>
  <c r="H41" i="75" l="1"/>
  <c r="G41" i="75"/>
  <c r="F41" i="75"/>
  <c r="E41" i="75"/>
  <c r="D41" i="75"/>
  <c r="H48" i="75"/>
  <c r="G48" i="75"/>
  <c r="F48" i="75"/>
  <c r="E48" i="75"/>
  <c r="D48" i="75"/>
  <c r="K53" i="75"/>
  <c r="K52" i="75"/>
  <c r="K48" i="75" l="1"/>
  <c r="C44" i="315" l="1"/>
  <c r="B31" i="315"/>
  <c r="B41" i="315" s="1"/>
  <c r="B30" i="315"/>
  <c r="B40" i="315" s="1"/>
  <c r="B29" i="315"/>
  <c r="B39" i="315" s="1"/>
  <c r="B28" i="315"/>
  <c r="B38" i="315" s="1"/>
  <c r="B27" i="315"/>
  <c r="B37" i="315" s="1"/>
  <c r="H32" i="315"/>
  <c r="H42" i="315" s="1"/>
  <c r="G32" i="315"/>
  <c r="G42" i="315" s="1"/>
  <c r="F32" i="315"/>
  <c r="F42" i="315" s="1"/>
  <c r="E32" i="315"/>
  <c r="E42" i="315" s="1"/>
  <c r="D32" i="315"/>
  <c r="D42" i="315" s="1"/>
  <c r="C23" i="315" l="1"/>
  <c r="C22" i="315"/>
  <c r="N137" i="128" l="1"/>
  <c r="C32" i="315"/>
  <c r="C24" i="315"/>
  <c r="D70" i="127"/>
  <c r="C70" i="127"/>
  <c r="B70" i="127"/>
  <c r="D69" i="127"/>
  <c r="C69" i="127"/>
  <c r="B69" i="127"/>
  <c r="D68" i="127"/>
  <c r="C68" i="127"/>
  <c r="B68" i="127"/>
  <c r="D67" i="127"/>
  <c r="C67" i="127"/>
  <c r="B67" i="127"/>
  <c r="D66" i="127"/>
  <c r="C66" i="127"/>
  <c r="B66" i="127"/>
  <c r="D65" i="127"/>
  <c r="C65" i="127"/>
  <c r="B65" i="127"/>
  <c r="D64" i="127"/>
  <c r="C64" i="127"/>
  <c r="B64" i="127"/>
  <c r="D63" i="127"/>
  <c r="C63" i="127"/>
  <c r="B63" i="127"/>
  <c r="D62" i="127"/>
  <c r="C62" i="127"/>
  <c r="B62" i="127"/>
  <c r="D61" i="127"/>
  <c r="C61" i="127"/>
  <c r="B61" i="127"/>
  <c r="D60" i="127"/>
  <c r="C60" i="127"/>
  <c r="B60" i="127"/>
  <c r="D59" i="127"/>
  <c r="C59" i="127"/>
  <c r="B59" i="127"/>
  <c r="D58" i="127"/>
  <c r="C58" i="127"/>
  <c r="B58" i="127"/>
  <c r="D57" i="127"/>
  <c r="C57" i="127"/>
  <c r="B57" i="127"/>
  <c r="D56" i="127"/>
  <c r="C56" i="127"/>
  <c r="B56" i="127"/>
  <c r="D55" i="127"/>
  <c r="C55" i="127"/>
  <c r="B55" i="127"/>
  <c r="D54" i="127"/>
  <c r="C54" i="127"/>
  <c r="B54" i="127"/>
  <c r="D53" i="127"/>
  <c r="C53" i="127"/>
  <c r="B53" i="127"/>
  <c r="D52" i="127"/>
  <c r="C52" i="127"/>
  <c r="B52" i="127"/>
  <c r="D51" i="127"/>
  <c r="C51" i="127"/>
  <c r="B51" i="127"/>
  <c r="D50" i="127"/>
  <c r="C50" i="127"/>
  <c r="B50" i="127"/>
  <c r="D49" i="127"/>
  <c r="C49" i="127"/>
  <c r="B49" i="127"/>
  <c r="I32" i="315" l="1"/>
  <c r="C42" i="315"/>
  <c r="D81" i="128" l="1"/>
  <c r="E81" i="128"/>
  <c r="F81" i="128"/>
  <c r="D82" i="128"/>
  <c r="E82" i="128"/>
  <c r="F82" i="128"/>
  <c r="F80" i="128"/>
  <c r="E80" i="128"/>
  <c r="D80" i="128"/>
  <c r="F79" i="128"/>
  <c r="E79" i="128"/>
  <c r="D79" i="128"/>
  <c r="F78" i="128"/>
  <c r="E78" i="128"/>
  <c r="D78" i="128"/>
  <c r="F77" i="128"/>
  <c r="E77" i="128"/>
  <c r="D77" i="128"/>
  <c r="F76" i="128"/>
  <c r="E76" i="128"/>
  <c r="D76" i="128"/>
  <c r="F75" i="128"/>
  <c r="E75" i="128"/>
  <c r="D75" i="128"/>
  <c r="F74" i="128"/>
  <c r="E74" i="128"/>
  <c r="D74" i="128"/>
  <c r="F73" i="128"/>
  <c r="E73" i="128"/>
  <c r="D73" i="128"/>
  <c r="F72" i="128"/>
  <c r="E72" i="128"/>
  <c r="D72" i="128"/>
  <c r="F71" i="128"/>
  <c r="E71" i="128"/>
  <c r="D71" i="128"/>
  <c r="F70" i="128"/>
  <c r="E70" i="128"/>
  <c r="D70" i="128"/>
  <c r="F69" i="128"/>
  <c r="E69" i="128"/>
  <c r="D69" i="128"/>
  <c r="F68" i="128"/>
  <c r="E68" i="128"/>
  <c r="D68" i="128"/>
  <c r="F67" i="128"/>
  <c r="E67" i="128"/>
  <c r="D67" i="128"/>
  <c r="F66" i="128"/>
  <c r="E66" i="128"/>
  <c r="D66" i="128"/>
  <c r="F65" i="128"/>
  <c r="E65" i="128"/>
  <c r="D65" i="128"/>
  <c r="F64" i="128"/>
  <c r="E64" i="128"/>
  <c r="D64" i="128"/>
  <c r="F63" i="128"/>
  <c r="E63" i="128"/>
  <c r="D63" i="128"/>
  <c r="F62" i="128"/>
  <c r="E62" i="128"/>
  <c r="D62" i="128"/>
  <c r="F61" i="128"/>
  <c r="E61" i="128"/>
  <c r="D61" i="128"/>
  <c r="F60" i="128"/>
  <c r="E60" i="128"/>
  <c r="D60" i="128"/>
  <c r="F59" i="128"/>
  <c r="E59" i="128"/>
  <c r="D59" i="128"/>
  <c r="F58" i="128"/>
  <c r="E58" i="128"/>
  <c r="D58" i="128"/>
  <c r="F57" i="128"/>
  <c r="E57" i="128"/>
  <c r="D57" i="128"/>
  <c r="F56" i="128"/>
  <c r="E56" i="128"/>
  <c r="D56" i="128"/>
  <c r="F55" i="128"/>
  <c r="E55" i="128"/>
  <c r="D55" i="128"/>
  <c r="F54" i="128"/>
  <c r="E54" i="128"/>
  <c r="D54" i="128"/>
  <c r="F53" i="128"/>
  <c r="E53" i="128"/>
  <c r="D53" i="128"/>
  <c r="F52" i="128"/>
  <c r="E52" i="128"/>
  <c r="D52" i="128"/>
  <c r="H27" i="315"/>
  <c r="M81" i="128" l="1"/>
  <c r="H81" i="128"/>
  <c r="I81" i="128"/>
  <c r="J81" i="128"/>
  <c r="K81" i="128"/>
  <c r="L81" i="128"/>
  <c r="M82" i="128"/>
  <c r="J82" i="128"/>
  <c r="I82" i="128"/>
  <c r="H82" i="128"/>
  <c r="K82" i="128"/>
  <c r="L82" i="128"/>
  <c r="M52" i="128"/>
  <c r="I52" i="128"/>
  <c r="L52" i="128"/>
  <c r="J52" i="128"/>
  <c r="H52" i="128"/>
  <c r="K52" i="128"/>
  <c r="J58" i="128"/>
  <c r="H58" i="128"/>
  <c r="M58" i="128"/>
  <c r="L58" i="128"/>
  <c r="K58" i="128"/>
  <c r="I58" i="128"/>
  <c r="M64" i="128"/>
  <c r="H64" i="128"/>
  <c r="K64" i="128"/>
  <c r="I64" i="128"/>
  <c r="L64" i="128"/>
  <c r="J64" i="128"/>
  <c r="J70" i="128"/>
  <c r="K70" i="128"/>
  <c r="L70" i="128"/>
  <c r="I70" i="128"/>
  <c r="H70" i="128"/>
  <c r="M70" i="128"/>
  <c r="M76" i="128"/>
  <c r="I76" i="128"/>
  <c r="L76" i="128"/>
  <c r="J76" i="128"/>
  <c r="H76" i="128"/>
  <c r="K76" i="128"/>
  <c r="J63" i="128"/>
  <c r="L63" i="128"/>
  <c r="K63" i="128"/>
  <c r="H63" i="128"/>
  <c r="M63" i="128"/>
  <c r="I63" i="128"/>
  <c r="M56" i="128"/>
  <c r="I56" i="128"/>
  <c r="L56" i="128"/>
  <c r="J56" i="128"/>
  <c r="K56" i="128"/>
  <c r="H56" i="128"/>
  <c r="J62" i="128"/>
  <c r="M62" i="128"/>
  <c r="L62" i="128"/>
  <c r="K62" i="128"/>
  <c r="I62" i="128"/>
  <c r="H62" i="128"/>
  <c r="M68" i="128"/>
  <c r="H68" i="128"/>
  <c r="L68" i="128"/>
  <c r="J68" i="128"/>
  <c r="K68" i="128"/>
  <c r="I68" i="128"/>
  <c r="J74" i="128"/>
  <c r="M74" i="128"/>
  <c r="L74" i="128"/>
  <c r="K74" i="128"/>
  <c r="I74" i="128"/>
  <c r="H74" i="128"/>
  <c r="M80" i="128"/>
  <c r="I80" i="128"/>
  <c r="L80" i="128"/>
  <c r="J80" i="128"/>
  <c r="K80" i="128"/>
  <c r="H80" i="128"/>
  <c r="J57" i="128"/>
  <c r="L57" i="128"/>
  <c r="M57" i="128"/>
  <c r="K57" i="128"/>
  <c r="H57" i="128"/>
  <c r="I57" i="128"/>
  <c r="J69" i="128"/>
  <c r="M69" i="128"/>
  <c r="I69" i="128"/>
  <c r="K69" i="128"/>
  <c r="H69" i="128"/>
  <c r="L69" i="128"/>
  <c r="J67" i="128"/>
  <c r="L67" i="128"/>
  <c r="K67" i="128"/>
  <c r="H67" i="128"/>
  <c r="M67" i="128"/>
  <c r="I67" i="128"/>
  <c r="J79" i="128"/>
  <c r="L79" i="128"/>
  <c r="K79" i="128"/>
  <c r="I79" i="128"/>
  <c r="M79" i="128"/>
  <c r="H79" i="128"/>
  <c r="J75" i="128"/>
  <c r="K75" i="128"/>
  <c r="L75" i="128"/>
  <c r="I75" i="128"/>
  <c r="H75" i="128"/>
  <c r="M75" i="128"/>
  <c r="J55" i="128"/>
  <c r="L55" i="128"/>
  <c r="K55" i="128"/>
  <c r="I55" i="128"/>
  <c r="M55" i="128"/>
  <c r="H55" i="128"/>
  <c r="J61" i="128"/>
  <c r="H61" i="128"/>
  <c r="K61" i="128"/>
  <c r="I61" i="128"/>
  <c r="L61" i="128"/>
  <c r="M61" i="128"/>
  <c r="J73" i="128"/>
  <c r="M73" i="128"/>
  <c r="I73" i="128"/>
  <c r="K73" i="128"/>
  <c r="L73" i="128"/>
  <c r="H73" i="128"/>
  <c r="J54" i="128"/>
  <c r="M54" i="128"/>
  <c r="L54" i="128"/>
  <c r="K54" i="128"/>
  <c r="I54" i="128"/>
  <c r="H54" i="128"/>
  <c r="M60" i="128"/>
  <c r="K60" i="128"/>
  <c r="I60" i="128"/>
  <c r="L60" i="128"/>
  <c r="J60" i="128"/>
  <c r="H60" i="128"/>
  <c r="J66" i="128"/>
  <c r="M66" i="128"/>
  <c r="L66" i="128"/>
  <c r="K66" i="128"/>
  <c r="I66" i="128"/>
  <c r="H66" i="128"/>
  <c r="M72" i="128"/>
  <c r="L72" i="128"/>
  <c r="J72" i="128"/>
  <c r="I72" i="128"/>
  <c r="H72" i="128"/>
  <c r="K72" i="128"/>
  <c r="J78" i="128"/>
  <c r="H78" i="128"/>
  <c r="M78" i="128"/>
  <c r="L78" i="128"/>
  <c r="K78" i="128"/>
  <c r="I78" i="128"/>
  <c r="J53" i="128"/>
  <c r="I53" i="128"/>
  <c r="L53" i="128"/>
  <c r="H53" i="128"/>
  <c r="M53" i="128"/>
  <c r="K53" i="128"/>
  <c r="J59" i="128"/>
  <c r="L59" i="128"/>
  <c r="K59" i="128"/>
  <c r="I59" i="128"/>
  <c r="M59" i="128"/>
  <c r="H59" i="128"/>
  <c r="I65" i="128"/>
  <c r="K65" i="128"/>
  <c r="J65" i="128"/>
  <c r="M65" i="128"/>
  <c r="H65" i="128"/>
  <c r="L65" i="128"/>
  <c r="J71" i="128"/>
  <c r="L71" i="128"/>
  <c r="K71" i="128"/>
  <c r="I71" i="128"/>
  <c r="H71" i="128"/>
  <c r="M71" i="128"/>
  <c r="I77" i="128"/>
  <c r="H77" i="128"/>
  <c r="L77" i="128"/>
  <c r="M77" i="128"/>
  <c r="J77" i="128"/>
  <c r="K77" i="128"/>
  <c r="N247" i="128" l="1"/>
  <c r="N319" i="128" l="1"/>
  <c r="N312" i="128"/>
  <c r="N311" i="128"/>
  <c r="N318" i="128"/>
  <c r="N315" i="128"/>
  <c r="N316" i="128"/>
  <c r="N313" i="128"/>
  <c r="N314" i="128"/>
  <c r="N317" i="128"/>
  <c r="N310" i="128"/>
  <c r="N309" i="128"/>
  <c r="N301" i="128"/>
  <c r="N302" i="128"/>
  <c r="N303" i="128"/>
  <c r="N307" i="128"/>
  <c r="N306" i="128"/>
  <c r="N305" i="128"/>
  <c r="N300" i="128"/>
  <c r="N304" i="128"/>
  <c r="N308" i="128"/>
  <c r="W106" i="87" l="1"/>
  <c r="V106" i="87"/>
  <c r="U106" i="87"/>
  <c r="T106" i="87"/>
  <c r="S106" i="87"/>
  <c r="R106" i="87"/>
  <c r="W85" i="87"/>
  <c r="V85" i="87"/>
  <c r="U85" i="87"/>
  <c r="T85" i="87"/>
  <c r="S85" i="87"/>
  <c r="R85" i="87"/>
  <c r="W56" i="87"/>
  <c r="V56" i="87"/>
  <c r="U56" i="87"/>
  <c r="T56" i="87"/>
  <c r="S56" i="87"/>
  <c r="R56" i="87"/>
  <c r="W55" i="87"/>
  <c r="V55" i="87"/>
  <c r="U55" i="87"/>
  <c r="T55" i="87"/>
  <c r="S55" i="87"/>
  <c r="R55" i="87"/>
  <c r="W54" i="87"/>
  <c r="V54" i="87"/>
  <c r="U54" i="87"/>
  <c r="T54" i="87"/>
  <c r="S54" i="87"/>
  <c r="R54" i="87"/>
  <c r="W53" i="87"/>
  <c r="V53" i="87"/>
  <c r="U53" i="87"/>
  <c r="T53" i="87"/>
  <c r="S53" i="87"/>
  <c r="R53" i="87"/>
  <c r="W52" i="87"/>
  <c r="V52" i="87"/>
  <c r="U52" i="87"/>
  <c r="T52" i="87"/>
  <c r="S52" i="87"/>
  <c r="R52" i="87"/>
  <c r="W51" i="87"/>
  <c r="V51" i="87"/>
  <c r="U51" i="87"/>
  <c r="T51" i="87"/>
  <c r="S51" i="87"/>
  <c r="R51" i="87"/>
  <c r="W49" i="87"/>
  <c r="V49" i="87"/>
  <c r="U49" i="87"/>
  <c r="T49" i="87"/>
  <c r="S49" i="87"/>
  <c r="R49" i="87"/>
  <c r="W24" i="87"/>
  <c r="V24" i="87"/>
  <c r="U24" i="87"/>
  <c r="T24" i="87"/>
  <c r="S24" i="87"/>
  <c r="R24" i="87"/>
  <c r="W23" i="87"/>
  <c r="V23" i="87"/>
  <c r="U23" i="87"/>
  <c r="T23" i="87"/>
  <c r="S23" i="87"/>
  <c r="R23" i="87"/>
  <c r="W22" i="87"/>
  <c r="V22" i="87"/>
  <c r="U22" i="87"/>
  <c r="T22" i="87"/>
  <c r="S22" i="87"/>
  <c r="R22" i="87"/>
  <c r="W19" i="87"/>
  <c r="V19" i="87"/>
  <c r="U19" i="87"/>
  <c r="T19" i="87"/>
  <c r="S19" i="87"/>
  <c r="R19" i="87"/>
  <c r="W12" i="87"/>
  <c r="V12" i="87"/>
  <c r="U12" i="87"/>
  <c r="T12" i="87"/>
  <c r="S12" i="87"/>
  <c r="R12" i="87"/>
  <c r="W11" i="87"/>
  <c r="V11" i="87"/>
  <c r="U11" i="87"/>
  <c r="T11" i="87"/>
  <c r="S11" i="87"/>
  <c r="R11" i="87"/>
  <c r="W8" i="87"/>
  <c r="V8" i="87"/>
  <c r="U8" i="87"/>
  <c r="T8" i="87"/>
  <c r="S8" i="87"/>
  <c r="R8" i="87"/>
  <c r="W6" i="87"/>
  <c r="V6" i="87"/>
  <c r="U6" i="87"/>
  <c r="T6" i="87"/>
  <c r="S6" i="87"/>
  <c r="R6" i="87"/>
  <c r="AP94" i="145"/>
  <c r="AO94" i="145"/>
  <c r="AN94" i="145"/>
  <c r="AM94" i="145"/>
  <c r="AL94" i="145"/>
  <c r="AK94" i="145"/>
  <c r="W10" i="87" l="1"/>
  <c r="W21" i="87"/>
  <c r="W50" i="87"/>
  <c r="V21" i="87"/>
  <c r="U10" i="87"/>
  <c r="U21" i="87"/>
  <c r="T10" i="87"/>
  <c r="S10" i="87"/>
  <c r="T21" i="87"/>
  <c r="T50" i="87"/>
  <c r="V50" i="87"/>
  <c r="V10" i="87"/>
  <c r="U50" i="87"/>
  <c r="X19" i="87"/>
  <c r="X23" i="87"/>
  <c r="X49" i="87"/>
  <c r="X52" i="87"/>
  <c r="X54" i="87"/>
  <c r="X56" i="87"/>
  <c r="X85" i="87"/>
  <c r="X106" i="87"/>
  <c r="X8" i="87"/>
  <c r="X12" i="87"/>
  <c r="X24" i="87"/>
  <c r="X53" i="87"/>
  <c r="X55" i="87"/>
  <c r="S21" i="87"/>
  <c r="S50" i="87"/>
  <c r="X11" i="87"/>
  <c r="R10" i="87"/>
  <c r="X6" i="87"/>
  <c r="X22" i="87"/>
  <c r="R21" i="87"/>
  <c r="X51" i="87"/>
  <c r="R50" i="87"/>
  <c r="X21" i="87" l="1"/>
  <c r="X50" i="87"/>
  <c r="X10" i="87"/>
  <c r="I25" i="240" l="1"/>
  <c r="E25" i="240"/>
  <c r="I3" i="240"/>
  <c r="H144" i="87" l="1"/>
  <c r="G144" i="87"/>
  <c r="F144" i="87"/>
  <c r="E144" i="87"/>
  <c r="D144" i="87"/>
  <c r="H143" i="87"/>
  <c r="G143" i="87"/>
  <c r="F143" i="87"/>
  <c r="E143" i="87"/>
  <c r="D143" i="87"/>
  <c r="H142" i="87"/>
  <c r="G142" i="87"/>
  <c r="F142" i="87"/>
  <c r="E142" i="87"/>
  <c r="D142" i="87"/>
  <c r="H141" i="87"/>
  <c r="G141" i="87"/>
  <c r="F141" i="87"/>
  <c r="E141" i="87"/>
  <c r="D141" i="87"/>
  <c r="H140" i="87"/>
  <c r="G140" i="87"/>
  <c r="F140" i="87"/>
  <c r="E140" i="87"/>
  <c r="D140" i="87"/>
  <c r="H137" i="87"/>
  <c r="G137" i="87"/>
  <c r="F137" i="87"/>
  <c r="E137" i="87"/>
  <c r="D137" i="87"/>
  <c r="H133" i="87"/>
  <c r="G133" i="87"/>
  <c r="F133" i="87"/>
  <c r="E133" i="87"/>
  <c r="D133" i="87"/>
  <c r="H132" i="87"/>
  <c r="G132" i="87"/>
  <c r="F132" i="87"/>
  <c r="E132" i="87"/>
  <c r="D132" i="87"/>
  <c r="H131" i="87"/>
  <c r="G131" i="87"/>
  <c r="F131" i="87"/>
  <c r="E131" i="87"/>
  <c r="D131" i="87"/>
  <c r="H130" i="87"/>
  <c r="G130" i="87"/>
  <c r="F130" i="87"/>
  <c r="E130" i="87"/>
  <c r="D130" i="87"/>
  <c r="H129" i="87"/>
  <c r="G129" i="87"/>
  <c r="F129" i="87"/>
  <c r="E129" i="87"/>
  <c r="D129" i="87"/>
  <c r="H127" i="87"/>
  <c r="G127" i="87"/>
  <c r="F127" i="87"/>
  <c r="E127" i="87"/>
  <c r="D127" i="87"/>
  <c r="H126" i="87"/>
  <c r="G126" i="87"/>
  <c r="F126" i="87"/>
  <c r="E126" i="87"/>
  <c r="D126" i="87"/>
  <c r="H125" i="87"/>
  <c r="G125" i="87"/>
  <c r="F125" i="87"/>
  <c r="E125" i="87"/>
  <c r="D125" i="87"/>
  <c r="H124" i="87"/>
  <c r="G124" i="87"/>
  <c r="F124" i="87"/>
  <c r="E124" i="87"/>
  <c r="D124" i="87"/>
  <c r="H120" i="87"/>
  <c r="G120" i="87"/>
  <c r="F120" i="87"/>
  <c r="E120" i="87"/>
  <c r="D120" i="87"/>
  <c r="H118" i="87"/>
  <c r="G118" i="87"/>
  <c r="F118" i="87"/>
  <c r="E118" i="87"/>
  <c r="D118" i="87"/>
  <c r="H116" i="87"/>
  <c r="G116" i="87"/>
  <c r="F116" i="87"/>
  <c r="E116" i="87"/>
  <c r="D116" i="87"/>
  <c r="J211" i="87"/>
  <c r="J210" i="87"/>
  <c r="J209" i="87"/>
  <c r="J208" i="87"/>
  <c r="J207" i="87"/>
  <c r="J206" i="87"/>
  <c r="J205" i="87"/>
  <c r="J204" i="87"/>
  <c r="J203" i="87"/>
  <c r="J202" i="87"/>
  <c r="J201" i="87"/>
  <c r="J200" i="87"/>
  <c r="J199" i="87"/>
  <c r="J198" i="87"/>
  <c r="J197" i="87"/>
  <c r="J196" i="87"/>
  <c r="J195" i="87"/>
  <c r="J194" i="87"/>
  <c r="J191" i="87"/>
  <c r="J190" i="87"/>
  <c r="E126" i="120" l="1"/>
  <c r="E126" i="823"/>
  <c r="H141" i="120"/>
  <c r="H141" i="823"/>
  <c r="D116" i="120"/>
  <c r="D116" i="823"/>
  <c r="F126" i="120"/>
  <c r="F126" i="823"/>
  <c r="G130" i="120"/>
  <c r="G130" i="823"/>
  <c r="D142" i="120"/>
  <c r="D142" i="823"/>
  <c r="E116" i="120"/>
  <c r="E116" i="823"/>
  <c r="F120" i="120"/>
  <c r="G126" i="120"/>
  <c r="G126" i="823"/>
  <c r="H130" i="120"/>
  <c r="H130" i="823"/>
  <c r="D137" i="120"/>
  <c r="D137" i="823"/>
  <c r="E142" i="120"/>
  <c r="E142" i="823"/>
  <c r="F116" i="120"/>
  <c r="F116" i="823"/>
  <c r="G120" i="120"/>
  <c r="H126" i="120"/>
  <c r="H126" i="823"/>
  <c r="D131" i="120"/>
  <c r="D131" i="823"/>
  <c r="E137" i="120"/>
  <c r="E137" i="823"/>
  <c r="F142" i="120"/>
  <c r="F142" i="823"/>
  <c r="G116" i="120"/>
  <c r="G116" i="823"/>
  <c r="H120" i="120"/>
  <c r="D127" i="120"/>
  <c r="D127" i="823"/>
  <c r="E131" i="120"/>
  <c r="E131" i="823"/>
  <c r="F137" i="120"/>
  <c r="F137" i="823"/>
  <c r="G142" i="120"/>
  <c r="G142" i="823"/>
  <c r="H116" i="120"/>
  <c r="H116" i="823"/>
  <c r="D124" i="120"/>
  <c r="D124" i="823"/>
  <c r="E127" i="120"/>
  <c r="E127" i="823"/>
  <c r="F131" i="120"/>
  <c r="F131" i="823"/>
  <c r="G137" i="120"/>
  <c r="G137" i="823"/>
  <c r="H142" i="120"/>
  <c r="H142" i="823"/>
  <c r="D118" i="120"/>
  <c r="D118" i="823"/>
  <c r="E124" i="120"/>
  <c r="E124" i="823"/>
  <c r="F127" i="120"/>
  <c r="F127" i="823"/>
  <c r="G131" i="120"/>
  <c r="G131" i="823"/>
  <c r="H137" i="120"/>
  <c r="H137" i="823"/>
  <c r="D143" i="120"/>
  <c r="D143" i="823"/>
  <c r="E118" i="120"/>
  <c r="E118" i="823"/>
  <c r="F124" i="120"/>
  <c r="F124" i="823"/>
  <c r="G127" i="120"/>
  <c r="G127" i="823"/>
  <c r="H131" i="120"/>
  <c r="H131" i="823"/>
  <c r="D140" i="120"/>
  <c r="D140" i="823"/>
  <c r="E143" i="120"/>
  <c r="E143" i="823"/>
  <c r="F118" i="120"/>
  <c r="F118" i="823"/>
  <c r="G124" i="120"/>
  <c r="G124" i="823"/>
  <c r="H127" i="120"/>
  <c r="H127" i="823"/>
  <c r="D132" i="120"/>
  <c r="D132" i="823"/>
  <c r="E140" i="120"/>
  <c r="E140" i="823"/>
  <c r="F143" i="120"/>
  <c r="F143" i="823"/>
  <c r="G118" i="120"/>
  <c r="G118" i="823"/>
  <c r="H124" i="120"/>
  <c r="H124" i="823"/>
  <c r="D129" i="120"/>
  <c r="D129" i="823"/>
  <c r="E132" i="120"/>
  <c r="E132" i="823"/>
  <c r="F140" i="120"/>
  <c r="F140" i="823"/>
  <c r="G143" i="120"/>
  <c r="G143" i="823"/>
  <c r="H118" i="120"/>
  <c r="H118" i="823"/>
  <c r="D125" i="120"/>
  <c r="D125" i="823"/>
  <c r="E129" i="120"/>
  <c r="E129" i="823"/>
  <c r="F132" i="120"/>
  <c r="F132" i="823"/>
  <c r="G140" i="120"/>
  <c r="G140" i="823"/>
  <c r="H143" i="120"/>
  <c r="H143" i="823"/>
  <c r="E125" i="120"/>
  <c r="E125" i="823"/>
  <c r="F129" i="120"/>
  <c r="F129" i="823"/>
  <c r="G132" i="120"/>
  <c r="G132" i="823"/>
  <c r="H140" i="120"/>
  <c r="H140" i="823"/>
  <c r="D144" i="120"/>
  <c r="D144" i="823"/>
  <c r="F125" i="120"/>
  <c r="F125" i="823"/>
  <c r="G129" i="120"/>
  <c r="G129" i="823"/>
  <c r="H132" i="120"/>
  <c r="H132" i="823"/>
  <c r="D141" i="120"/>
  <c r="D141" i="823"/>
  <c r="E144" i="120"/>
  <c r="E144" i="823"/>
  <c r="D120" i="120"/>
  <c r="F130" i="120"/>
  <c r="F130" i="823"/>
  <c r="E120" i="120"/>
  <c r="H133" i="120"/>
  <c r="H133" i="823"/>
  <c r="G125" i="120"/>
  <c r="G125" i="823"/>
  <c r="H129" i="120"/>
  <c r="H129" i="823"/>
  <c r="D133" i="120"/>
  <c r="D133" i="823"/>
  <c r="F144" i="120"/>
  <c r="F144" i="823"/>
  <c r="H125" i="120"/>
  <c r="H125" i="823"/>
  <c r="D130" i="120"/>
  <c r="D130" i="823"/>
  <c r="E133" i="120"/>
  <c r="E133" i="823"/>
  <c r="F141" i="120"/>
  <c r="F141" i="823"/>
  <c r="G144" i="120"/>
  <c r="G144" i="823"/>
  <c r="G133" i="120"/>
  <c r="G133" i="823"/>
  <c r="E141" i="120"/>
  <c r="E141" i="823"/>
  <c r="D126" i="120"/>
  <c r="D126" i="823"/>
  <c r="E130" i="120"/>
  <c r="E130" i="823"/>
  <c r="F133" i="120"/>
  <c r="F133" i="823"/>
  <c r="G141" i="120"/>
  <c r="G141" i="823"/>
  <c r="H144" i="120"/>
  <c r="H144" i="823"/>
  <c r="F117" i="87"/>
  <c r="F117" i="120" s="1"/>
  <c r="H117" i="87"/>
  <c r="H117" i="120" s="1"/>
  <c r="D115" i="87"/>
  <c r="D115" i="120" s="1"/>
  <c r="E115" i="87"/>
  <c r="E115" i="120" s="1"/>
  <c r="D136" i="87"/>
  <c r="D136" i="120" s="1"/>
  <c r="G123" i="87"/>
  <c r="G123" i="120" s="1"/>
  <c r="D139" i="87"/>
  <c r="G115" i="87"/>
  <c r="G115" i="120" s="1"/>
  <c r="F123" i="87"/>
  <c r="F123" i="120" s="1"/>
  <c r="H123" i="87"/>
  <c r="H123" i="120" s="1"/>
  <c r="G136" i="87"/>
  <c r="G136" i="120" s="1"/>
  <c r="D123" i="87"/>
  <c r="D123" i="120" s="1"/>
  <c r="H136" i="87"/>
  <c r="H136" i="120" s="1"/>
  <c r="G117" i="87"/>
  <c r="G117" i="120" s="1"/>
  <c r="E117" i="87"/>
  <c r="E117" i="120" s="1"/>
  <c r="H139" i="87"/>
  <c r="H139" i="120" s="1"/>
  <c r="F128" i="87"/>
  <c r="F128" i="120" s="1"/>
  <c r="F139" i="87"/>
  <c r="F139" i="120" s="1"/>
  <c r="H115" i="87"/>
  <c r="H115" i="120" s="1"/>
  <c r="F115" i="87"/>
  <c r="F115" i="120" s="1"/>
  <c r="E136" i="87"/>
  <c r="E136" i="120" s="1"/>
  <c r="G128" i="87"/>
  <c r="G128" i="120" s="1"/>
  <c r="D128" i="87"/>
  <c r="D128" i="120" s="1"/>
  <c r="F136" i="87"/>
  <c r="F136" i="120" s="1"/>
  <c r="D117" i="87"/>
  <c r="D117" i="120" s="1"/>
  <c r="E123" i="87"/>
  <c r="E123" i="120" s="1"/>
  <c r="H128" i="87"/>
  <c r="H128" i="120" s="1"/>
  <c r="E128" i="87"/>
  <c r="E128" i="120" s="1"/>
  <c r="E139" i="87"/>
  <c r="E139" i="120" s="1"/>
  <c r="G139" i="87"/>
  <c r="G139" i="120" s="1"/>
  <c r="F340" i="508" l="1"/>
  <c r="F328" i="508"/>
  <c r="F128" i="823"/>
  <c r="D328" i="508"/>
  <c r="D128" i="823"/>
  <c r="G330" i="508"/>
  <c r="E334" i="508"/>
  <c r="E136" i="823"/>
  <c r="G340" i="508"/>
  <c r="G328" i="508"/>
  <c r="G128" i="823"/>
  <c r="F330" i="508"/>
  <c r="F332" i="508"/>
  <c r="F329" i="508"/>
  <c r="D324" i="508"/>
  <c r="H326" i="508"/>
  <c r="G326" i="508"/>
  <c r="E330" i="508"/>
  <c r="D334" i="508"/>
  <c r="D136" i="823"/>
  <c r="G329" i="508"/>
  <c r="E329" i="508"/>
  <c r="D323" i="508"/>
  <c r="D123" i="823"/>
  <c r="F318" i="508"/>
  <c r="F117" i="823"/>
  <c r="G336" i="508"/>
  <c r="G139" i="823"/>
  <c r="F339" i="508"/>
  <c r="F336" i="508"/>
  <c r="F139" i="823"/>
  <c r="E337" i="508"/>
  <c r="D337" i="508"/>
  <c r="H338" i="508"/>
  <c r="H340" i="508"/>
  <c r="H332" i="508"/>
  <c r="F331" i="508"/>
  <c r="E336" i="508"/>
  <c r="E139" i="823"/>
  <c r="D336" i="508"/>
  <c r="D139" i="823"/>
  <c r="G338" i="508"/>
  <c r="F115" i="823"/>
  <c r="F316" i="508"/>
  <c r="D332" i="508"/>
  <c r="G323" i="508"/>
  <c r="G123" i="823"/>
  <c r="D326" i="508"/>
  <c r="F325" i="508"/>
  <c r="G339" i="508"/>
  <c r="E318" i="508"/>
  <c r="E117" i="823"/>
  <c r="D325" i="508"/>
  <c r="E339" i="508"/>
  <c r="H324" i="508"/>
  <c r="G331" i="508"/>
  <c r="E331" i="508"/>
  <c r="H136" i="823"/>
  <c r="H334" i="508"/>
  <c r="F338" i="508"/>
  <c r="E316" i="508"/>
  <c r="E115" i="823"/>
  <c r="E325" i="508"/>
  <c r="E324" i="508"/>
  <c r="H323" i="508"/>
  <c r="H123" i="823"/>
  <c r="F326" i="508"/>
  <c r="D330" i="508"/>
  <c r="F337" i="508"/>
  <c r="E123" i="823"/>
  <c r="E326" i="508"/>
  <c r="H318" i="508"/>
  <c r="H117" i="823"/>
  <c r="E323" i="508"/>
  <c r="H328" i="508"/>
  <c r="H128" i="823"/>
  <c r="H339" i="508"/>
  <c r="H325" i="508"/>
  <c r="D340" i="508"/>
  <c r="E340" i="508"/>
  <c r="D117" i="823"/>
  <c r="D318" i="508"/>
  <c r="D316" i="508"/>
  <c r="D115" i="823"/>
  <c r="G324" i="508"/>
  <c r="H316" i="508"/>
  <c r="H115" i="823"/>
  <c r="D329" i="508"/>
  <c r="H336" i="508"/>
  <c r="H139" i="823"/>
  <c r="D339" i="508"/>
  <c r="H337" i="508"/>
  <c r="G332" i="508"/>
  <c r="H331" i="508"/>
  <c r="G334" i="508"/>
  <c r="G136" i="823"/>
  <c r="D135" i="87"/>
  <c r="D135" i="120" s="1"/>
  <c r="D139" i="120"/>
  <c r="F324" i="508"/>
  <c r="F323" i="508"/>
  <c r="F123" i="823"/>
  <c r="H329" i="508"/>
  <c r="G318" i="508"/>
  <c r="G117" i="823"/>
  <c r="G219" i="823" s="1"/>
  <c r="E332" i="508"/>
  <c r="G325" i="508"/>
  <c r="G115" i="823"/>
  <c r="G316" i="508"/>
  <c r="G337" i="508"/>
  <c r="E328" i="508"/>
  <c r="E128" i="823"/>
  <c r="D331" i="508"/>
  <c r="H330" i="508"/>
  <c r="F334" i="508"/>
  <c r="F136" i="823"/>
  <c r="E338" i="508"/>
  <c r="D338" i="508"/>
  <c r="F114" i="87"/>
  <c r="F114" i="120" s="1"/>
  <c r="H114" i="87"/>
  <c r="H114" i="120" s="1"/>
  <c r="G122" i="87"/>
  <c r="G122" i="120" s="1"/>
  <c r="D326" i="658"/>
  <c r="E326" i="658"/>
  <c r="G326" i="658"/>
  <c r="E114" i="87"/>
  <c r="E114" i="120" s="1"/>
  <c r="D114" i="87"/>
  <c r="D114" i="120" s="1"/>
  <c r="H326" i="658"/>
  <c r="F326" i="658"/>
  <c r="H135" i="87"/>
  <c r="H135" i="120" s="1"/>
  <c r="H122" i="87"/>
  <c r="H122" i="120" s="1"/>
  <c r="E135" i="87"/>
  <c r="E135" i="120" s="1"/>
  <c r="F122" i="87"/>
  <c r="F122" i="120" s="1"/>
  <c r="D122" i="87"/>
  <c r="D122" i="120" s="1"/>
  <c r="G135" i="87"/>
  <c r="G135" i="120" s="1"/>
  <c r="E122" i="87"/>
  <c r="E122" i="120" s="1"/>
  <c r="G114" i="87"/>
  <c r="G114" i="120" s="1"/>
  <c r="F135" i="87"/>
  <c r="F135" i="120" s="1"/>
  <c r="I108" i="87"/>
  <c r="H108" i="87"/>
  <c r="G108" i="87"/>
  <c r="F108" i="87"/>
  <c r="E108" i="87"/>
  <c r="D108" i="87"/>
  <c r="D113" i="86"/>
  <c r="E113" i="86"/>
  <c r="F113" i="86"/>
  <c r="G113" i="86"/>
  <c r="H113" i="86"/>
  <c r="I113" i="86"/>
  <c r="D118" i="86"/>
  <c r="E118" i="86"/>
  <c r="F118" i="86"/>
  <c r="G118" i="86"/>
  <c r="H118" i="86"/>
  <c r="I118" i="86"/>
  <c r="D119" i="86"/>
  <c r="E119" i="86"/>
  <c r="F119" i="86"/>
  <c r="G119" i="86"/>
  <c r="H119" i="86"/>
  <c r="I119" i="86"/>
  <c r="D124" i="86"/>
  <c r="E124" i="86"/>
  <c r="F124" i="86"/>
  <c r="G124" i="86"/>
  <c r="H124" i="86"/>
  <c r="I124" i="86"/>
  <c r="D129" i="86"/>
  <c r="E129" i="86"/>
  <c r="F129" i="86"/>
  <c r="G129" i="86"/>
  <c r="H129" i="86"/>
  <c r="I129" i="86"/>
  <c r="D130" i="86"/>
  <c r="E130" i="86"/>
  <c r="F130" i="86"/>
  <c r="G130" i="86"/>
  <c r="H130" i="86"/>
  <c r="I130" i="86"/>
  <c r="D137" i="86"/>
  <c r="E137" i="86"/>
  <c r="F137" i="86"/>
  <c r="G137" i="86"/>
  <c r="H137" i="86"/>
  <c r="I137" i="86"/>
  <c r="D140" i="86"/>
  <c r="E140" i="86"/>
  <c r="F140" i="86"/>
  <c r="G140" i="86"/>
  <c r="H140" i="86"/>
  <c r="I140" i="86"/>
  <c r="D141" i="86"/>
  <c r="E141" i="86"/>
  <c r="F141" i="86"/>
  <c r="G141" i="86"/>
  <c r="H141" i="86"/>
  <c r="I141" i="86"/>
  <c r="D219" i="823" l="1"/>
  <c r="E220" i="823"/>
  <c r="E135" i="823"/>
  <c r="E215" i="823"/>
  <c r="D217" i="823"/>
  <c r="E217" i="823"/>
  <c r="G215" i="823"/>
  <c r="E219" i="823"/>
  <c r="H215" i="823"/>
  <c r="E108" i="120"/>
  <c r="E160" i="823"/>
  <c r="G220" i="823"/>
  <c r="E122" i="823"/>
  <c r="E218" i="823"/>
  <c r="G122" i="823"/>
  <c r="G218" i="823"/>
  <c r="F215" i="823"/>
  <c r="F216" i="823"/>
  <c r="F135" i="823"/>
  <c r="H218" i="823"/>
  <c r="H122" i="823"/>
  <c r="D135" i="823"/>
  <c r="D216" i="823"/>
  <c r="D108" i="120"/>
  <c r="D160" i="823"/>
  <c r="F122" i="823"/>
  <c r="F218" i="823"/>
  <c r="H219" i="823"/>
  <c r="F217" i="823"/>
  <c r="H216" i="823"/>
  <c r="H135" i="823"/>
  <c r="F219" i="823"/>
  <c r="D220" i="823"/>
  <c r="E216" i="823"/>
  <c r="T108" i="87"/>
  <c r="F108" i="120"/>
  <c r="F160" i="823"/>
  <c r="D215" i="823"/>
  <c r="D218" i="823"/>
  <c r="D122" i="823"/>
  <c r="G108" i="120"/>
  <c r="G160" i="823"/>
  <c r="W108" i="87"/>
  <c r="I108" i="120"/>
  <c r="I160" i="823"/>
  <c r="H220" i="823"/>
  <c r="G217" i="823"/>
  <c r="F220" i="823"/>
  <c r="G216" i="823"/>
  <c r="G135" i="823"/>
  <c r="V108" i="87"/>
  <c r="H108" i="120"/>
  <c r="H160" i="823"/>
  <c r="H217" i="823"/>
  <c r="H146" i="87"/>
  <c r="D146" i="87"/>
  <c r="H115" i="86"/>
  <c r="E123" i="86"/>
  <c r="H136" i="86"/>
  <c r="G136" i="86"/>
  <c r="G115" i="86"/>
  <c r="I115" i="86"/>
  <c r="E115" i="86"/>
  <c r="I136" i="86"/>
  <c r="F136" i="86"/>
  <c r="E136" i="86"/>
  <c r="D136" i="86"/>
  <c r="D115" i="86"/>
  <c r="I123" i="86"/>
  <c r="H123" i="86"/>
  <c r="F115" i="86"/>
  <c r="G123" i="86"/>
  <c r="D123" i="86"/>
  <c r="R108" i="87"/>
  <c r="J108" i="87"/>
  <c r="J160" i="823" s="1"/>
  <c r="AG14" i="88"/>
  <c r="AH14" i="88"/>
  <c r="AI14" i="88"/>
  <c r="F146" i="87"/>
  <c r="G146" i="87"/>
  <c r="E146" i="87"/>
  <c r="F109" i="87"/>
  <c r="H109" i="87"/>
  <c r="S108" i="87"/>
  <c r="G109" i="87"/>
  <c r="U108" i="87"/>
  <c r="I139" i="86"/>
  <c r="I117" i="86"/>
  <c r="E128" i="86"/>
  <c r="H139" i="86"/>
  <c r="D117" i="86"/>
  <c r="I109" i="87"/>
  <c r="E109" i="87"/>
  <c r="H117" i="86"/>
  <c r="J141" i="86"/>
  <c r="J129" i="86"/>
  <c r="I128" i="86"/>
  <c r="J119" i="86"/>
  <c r="G139" i="86"/>
  <c r="F139" i="86"/>
  <c r="F128" i="86"/>
  <c r="E139" i="86"/>
  <c r="J124" i="86"/>
  <c r="D139" i="86"/>
  <c r="J130" i="86"/>
  <c r="H128" i="86"/>
  <c r="G128" i="86"/>
  <c r="F123" i="86"/>
  <c r="G117" i="86"/>
  <c r="F117" i="86"/>
  <c r="E117" i="86"/>
  <c r="D128" i="86"/>
  <c r="J140" i="86"/>
  <c r="J118" i="86"/>
  <c r="J137" i="86"/>
  <c r="J136" i="86" l="1"/>
  <c r="I114" i="86"/>
  <c r="E122" i="86"/>
  <c r="G122" i="86"/>
  <c r="F109" i="120"/>
  <c r="F110" i="120" s="1"/>
  <c r="H146" i="120"/>
  <c r="H147" i="120" s="1"/>
  <c r="H161" i="823"/>
  <c r="H162" i="823" s="1"/>
  <c r="G135" i="86"/>
  <c r="H109" i="120"/>
  <c r="H110" i="120" s="1"/>
  <c r="D114" i="86"/>
  <c r="G109" i="120"/>
  <c r="G110" i="120" s="1"/>
  <c r="E146" i="120"/>
  <c r="E147" i="120" s="1"/>
  <c r="E161" i="823"/>
  <c r="E162" i="823" s="1"/>
  <c r="F146" i="120"/>
  <c r="F147" i="120" s="1"/>
  <c r="F161" i="823"/>
  <c r="F162" i="823" s="1"/>
  <c r="D146" i="120"/>
  <c r="D147" i="120" s="1"/>
  <c r="D161" i="823"/>
  <c r="D162" i="823" s="1"/>
  <c r="E109" i="120"/>
  <c r="E110" i="120" s="1"/>
  <c r="I109" i="120"/>
  <c r="I110" i="120" s="1"/>
  <c r="G146" i="120"/>
  <c r="G147" i="120" s="1"/>
  <c r="G161" i="823"/>
  <c r="G162" i="823" s="1"/>
  <c r="H135" i="86"/>
  <c r="F135" i="86"/>
  <c r="E114" i="86"/>
  <c r="H114" i="86"/>
  <c r="F114" i="86"/>
  <c r="G114" i="86"/>
  <c r="J115" i="86"/>
  <c r="H122" i="86"/>
  <c r="I135" i="86"/>
  <c r="D135" i="86"/>
  <c r="E135" i="86"/>
  <c r="X108" i="87"/>
  <c r="I122" i="86"/>
  <c r="J123" i="86"/>
  <c r="F122" i="86"/>
  <c r="J139" i="86"/>
  <c r="J117" i="86"/>
  <c r="J128" i="86"/>
  <c r="D122" i="86"/>
  <c r="H146" i="86" l="1"/>
  <c r="G146" i="86"/>
  <c r="I146" i="86"/>
  <c r="F146" i="86"/>
  <c r="E146" i="86"/>
  <c r="J114" i="86"/>
  <c r="J135" i="86"/>
  <c r="D146" i="86"/>
  <c r="J122" i="86"/>
  <c r="R161" i="823" l="1"/>
  <c r="R162" i="823" s="1"/>
  <c r="T161" i="823"/>
  <c r="U161" i="823"/>
  <c r="U162" i="823" s="1"/>
  <c r="S161" i="823"/>
  <c r="S162" i="823" s="1"/>
  <c r="V161" i="823"/>
  <c r="V162" i="823" s="1"/>
  <c r="W161" i="823"/>
  <c r="W162" i="823" s="1"/>
  <c r="J146" i="86"/>
  <c r="T162" i="823" l="1"/>
  <c r="X162" i="823" s="1"/>
  <c r="X161" i="823"/>
  <c r="G127" i="644"/>
  <c r="I127" i="644" s="1"/>
  <c r="J127" i="644" s="1"/>
  <c r="G126" i="644"/>
  <c r="I126" i="644" s="1"/>
  <c r="G125" i="644"/>
  <c r="I125" i="644" s="1"/>
  <c r="J125" i="644" s="1"/>
  <c r="G122" i="644"/>
  <c r="G128" i="644" s="1"/>
  <c r="I128" i="644" s="1"/>
  <c r="J128" i="644" s="1"/>
  <c r="I121" i="644"/>
  <c r="I120" i="644"/>
  <c r="I119" i="644"/>
  <c r="I118" i="644"/>
  <c r="G114" i="644"/>
  <c r="I114" i="644" s="1"/>
  <c r="J114" i="644" s="1"/>
  <c r="G113" i="644"/>
  <c r="I113" i="644" s="1"/>
  <c r="J113" i="644" s="1"/>
  <c r="G112" i="644"/>
  <c r="I112" i="644" s="1"/>
  <c r="J112" i="644" s="1"/>
  <c r="G109" i="644"/>
  <c r="G115" i="644" s="1"/>
  <c r="I115" i="644" s="1"/>
  <c r="J115" i="644" s="1"/>
  <c r="I108" i="644"/>
  <c r="I107" i="644"/>
  <c r="I106" i="644"/>
  <c r="I105" i="644"/>
  <c r="W129" i="644"/>
  <c r="Q129" i="644"/>
  <c r="W122" i="644"/>
  <c r="Q122" i="644"/>
  <c r="W116" i="644"/>
  <c r="Q116" i="644"/>
  <c r="W109" i="644"/>
  <c r="Q109" i="644"/>
  <c r="I101" i="644"/>
  <c r="J101" i="644" s="1"/>
  <c r="I100" i="644"/>
  <c r="J100" i="644" s="1"/>
  <c r="I99" i="644"/>
  <c r="J99" i="644" s="1"/>
  <c r="I98" i="644"/>
  <c r="W102" i="644"/>
  <c r="Q102" i="644"/>
  <c r="G102" i="644"/>
  <c r="I94" i="644"/>
  <c r="I93" i="644"/>
  <c r="I92" i="644"/>
  <c r="I91" i="644"/>
  <c r="W95" i="644"/>
  <c r="Q95" i="644"/>
  <c r="G95" i="644"/>
  <c r="G129" i="644" l="1"/>
  <c r="G116" i="644"/>
  <c r="J126" i="644"/>
  <c r="J98" i="644"/>
  <c r="D2" i="743" l="1"/>
  <c r="E2" i="743"/>
  <c r="D38" i="743"/>
  <c r="D32" i="743" s="1"/>
  <c r="G38" i="743"/>
  <c r="G32" i="743" s="1"/>
  <c r="D39" i="743"/>
  <c r="G39" i="743"/>
  <c r="D41" i="743"/>
  <c r="G41" i="743"/>
  <c r="D43" i="743"/>
  <c r="D45" i="743"/>
  <c r="G45" i="743"/>
  <c r="D47" i="743"/>
  <c r="D49" i="743"/>
  <c r="B51" i="743"/>
  <c r="D51" i="743"/>
  <c r="B52" i="743"/>
  <c r="D52" i="743"/>
  <c r="B53" i="743"/>
  <c r="D53" i="743"/>
  <c r="D54" i="743"/>
  <c r="G54" i="743"/>
  <c r="D57" i="743"/>
  <c r="D58" i="743"/>
  <c r="F58" i="743"/>
  <c r="D68" i="743"/>
  <c r="D62" i="743" s="1"/>
  <c r="G68" i="743"/>
  <c r="G62" i="743" s="1"/>
  <c r="D69" i="743"/>
  <c r="G69" i="743"/>
  <c r="B71" i="743"/>
  <c r="D71" i="743"/>
  <c r="G71" i="743"/>
  <c r="B72" i="743"/>
  <c r="D72" i="743"/>
  <c r="G72" i="743"/>
  <c r="B73" i="743"/>
  <c r="D73" i="743"/>
  <c r="G73" i="743"/>
  <c r="D75" i="743"/>
  <c r="D77" i="743"/>
  <c r="G77" i="743"/>
  <c r="D79" i="743"/>
  <c r="D81" i="743"/>
  <c r="B83" i="743"/>
  <c r="D83" i="743"/>
  <c r="B84" i="743"/>
  <c r="D84" i="743"/>
  <c r="B85" i="743"/>
  <c r="D85" i="743"/>
  <c r="D86" i="743"/>
  <c r="G86" i="743"/>
  <c r="D87" i="743"/>
  <c r="D88" i="743"/>
  <c r="F88" i="743"/>
  <c r="D102" i="743"/>
  <c r="D94" i="743" s="1"/>
  <c r="C46" i="644" s="1"/>
  <c r="G102" i="743"/>
  <c r="G94" i="743" s="1"/>
  <c r="D103" i="743"/>
  <c r="D326" i="743" s="1"/>
  <c r="G103" i="743"/>
  <c r="D105" i="743"/>
  <c r="G105" i="743"/>
  <c r="G328" i="743" s="1"/>
  <c r="D106" i="743"/>
  <c r="D329" i="743" s="1"/>
  <c r="G106" i="743"/>
  <c r="G329" i="743" s="1"/>
  <c r="D108" i="743"/>
  <c r="D331" i="743" s="1"/>
  <c r="D109" i="743"/>
  <c r="D332" i="743" s="1"/>
  <c r="D111" i="743"/>
  <c r="D334" i="743" s="1"/>
  <c r="G111" i="743"/>
  <c r="G334" i="743" s="1"/>
  <c r="D113" i="743"/>
  <c r="D336" i="743" s="1"/>
  <c r="D114" i="743"/>
  <c r="D337" i="743" s="1"/>
  <c r="D116" i="743"/>
  <c r="D118" i="743"/>
  <c r="G118" i="743"/>
  <c r="D119" i="743"/>
  <c r="G119" i="743"/>
  <c r="B120" i="743"/>
  <c r="D120" i="743"/>
  <c r="B121" i="743"/>
  <c r="D121" i="743"/>
  <c r="B122" i="743"/>
  <c r="D122" i="743"/>
  <c r="B123" i="743"/>
  <c r="D123" i="743"/>
  <c r="D124" i="743"/>
  <c r="D340" i="743" s="1"/>
  <c r="D125" i="743"/>
  <c r="F125" i="743"/>
  <c r="D139" i="743"/>
  <c r="D131" i="743" s="1"/>
  <c r="C54" i="644" s="1"/>
  <c r="G139" i="743"/>
  <c r="G131" i="743" s="1"/>
  <c r="D140" i="743"/>
  <c r="D351" i="743" s="1"/>
  <c r="G140" i="743"/>
  <c r="G351" i="743" s="1"/>
  <c r="B142" i="743"/>
  <c r="D142" i="743"/>
  <c r="G142" i="743"/>
  <c r="G353" i="743" s="1"/>
  <c r="B143" i="743"/>
  <c r="D143" i="743"/>
  <c r="D354" i="743" s="1"/>
  <c r="D346" i="743" s="1"/>
  <c r="C100" i="644" s="1"/>
  <c r="G143" i="743"/>
  <c r="G133" i="743" s="1"/>
  <c r="D144" i="743"/>
  <c r="D355" i="743" s="1"/>
  <c r="G144" i="743"/>
  <c r="G355" i="743" s="1"/>
  <c r="B146" i="743"/>
  <c r="D146" i="743"/>
  <c r="D357" i="743" s="1"/>
  <c r="D147" i="743"/>
  <c r="D358" i="743" s="1"/>
  <c r="D149" i="743"/>
  <c r="D360" i="743" s="1"/>
  <c r="G149" i="743"/>
  <c r="G360" i="743" s="1"/>
  <c r="D151" i="743"/>
  <c r="D362" i="743" s="1"/>
  <c r="D152" i="743"/>
  <c r="D363" i="743" s="1"/>
  <c r="D154" i="743"/>
  <c r="B156" i="743"/>
  <c r="D156" i="743"/>
  <c r="G156" i="743"/>
  <c r="D157" i="743"/>
  <c r="G157" i="743"/>
  <c r="B158" i="743"/>
  <c r="D158" i="743"/>
  <c r="B159" i="743"/>
  <c r="D159" i="743"/>
  <c r="B160" i="743"/>
  <c r="D160" i="743"/>
  <c r="D161" i="743"/>
  <c r="D366" i="743" s="1"/>
  <c r="D162" i="743"/>
  <c r="F162" i="743"/>
  <c r="D174" i="743"/>
  <c r="D169" i="743" s="1"/>
  <c r="C62" i="644" s="1"/>
  <c r="G174" i="743"/>
  <c r="G169" i="743" s="1"/>
  <c r="D175" i="743"/>
  <c r="D379" i="743" s="1"/>
  <c r="G175" i="743"/>
  <c r="D177" i="743"/>
  <c r="D381" i="743" s="1"/>
  <c r="G177" i="743"/>
  <c r="G381" i="743" s="1"/>
  <c r="D178" i="743"/>
  <c r="D382" i="743" s="1"/>
  <c r="G178" i="743"/>
  <c r="G382" i="743" s="1"/>
  <c r="D180" i="743"/>
  <c r="D384" i="743" s="1"/>
  <c r="D181" i="743"/>
  <c r="D385" i="743" s="1"/>
  <c r="D183" i="743"/>
  <c r="D387" i="743" s="1"/>
  <c r="G183" i="743"/>
  <c r="G387" i="743" s="1"/>
  <c r="D185" i="743"/>
  <c r="D389" i="743" s="1"/>
  <c r="D186" i="743"/>
  <c r="D390" i="743" s="1"/>
  <c r="D188" i="743"/>
  <c r="D190" i="743"/>
  <c r="G190" i="743"/>
  <c r="D191" i="743"/>
  <c r="G191" i="743"/>
  <c r="D192" i="743"/>
  <c r="D193" i="743"/>
  <c r="D393" i="743" s="1"/>
  <c r="D194" i="743"/>
  <c r="F194" i="743"/>
  <c r="B200" i="743"/>
  <c r="B201" i="743"/>
  <c r="B202" i="743"/>
  <c r="B203" i="743"/>
  <c r="B227" i="743" s="1"/>
  <c r="B204" i="743"/>
  <c r="B228" i="743" s="1"/>
  <c r="B205" i="743"/>
  <c r="B229" i="743" s="1"/>
  <c r="D208" i="743"/>
  <c r="D200" i="743" s="1"/>
  <c r="C68" i="644" s="1"/>
  <c r="G208" i="743"/>
  <c r="G200" i="743" s="1"/>
  <c r="D209" i="743"/>
  <c r="G209" i="743"/>
  <c r="G404" i="743" s="1"/>
  <c r="D211" i="743"/>
  <c r="D406" i="743" s="1"/>
  <c r="G211" i="743"/>
  <c r="G406" i="743" s="1"/>
  <c r="D212" i="743"/>
  <c r="D202" i="743" s="1"/>
  <c r="C70" i="644" s="1"/>
  <c r="G212" i="743"/>
  <c r="G202" i="743" s="1"/>
  <c r="D213" i="743"/>
  <c r="D408" i="743" s="1"/>
  <c r="G213" i="743"/>
  <c r="G408" i="743" s="1"/>
  <c r="D215" i="743"/>
  <c r="D410" i="743" s="1"/>
  <c r="D216" i="743"/>
  <c r="D411" i="743" s="1"/>
  <c r="D218" i="743"/>
  <c r="D413" i="743" s="1"/>
  <c r="G218" i="743"/>
  <c r="G413" i="743" s="1"/>
  <c r="D220" i="743"/>
  <c r="D415" i="743" s="1"/>
  <c r="D221" i="743"/>
  <c r="D416" i="743" s="1"/>
  <c r="D223" i="743"/>
  <c r="D225" i="743"/>
  <c r="G225" i="743"/>
  <c r="D226" i="743"/>
  <c r="G226" i="743"/>
  <c r="D227" i="743"/>
  <c r="D228" i="743"/>
  <c r="D229" i="743"/>
  <c r="D230" i="743"/>
  <c r="D419" i="743" s="1"/>
  <c r="D231" i="743"/>
  <c r="F231" i="743"/>
  <c r="D243" i="743"/>
  <c r="D238" i="743" s="1"/>
  <c r="C76" i="644" s="1"/>
  <c r="G243" i="743"/>
  <c r="G238" i="743" s="1"/>
  <c r="D244" i="743"/>
  <c r="G244" i="743"/>
  <c r="G432" i="743" s="1"/>
  <c r="D246" i="743"/>
  <c r="G246" i="743"/>
  <c r="G434" i="743" s="1"/>
  <c r="D247" i="743"/>
  <c r="D435" i="743" s="1"/>
  <c r="G247" i="743"/>
  <c r="G435" i="743" s="1"/>
  <c r="D249" i="743"/>
  <c r="D437" i="743" s="1"/>
  <c r="D250" i="743"/>
  <c r="D438" i="743" s="1"/>
  <c r="D252" i="743"/>
  <c r="D440" i="743" s="1"/>
  <c r="G252" i="743"/>
  <c r="G440" i="743" s="1"/>
  <c r="D254" i="743"/>
  <c r="D442" i="743" s="1"/>
  <c r="D255" i="743"/>
  <c r="D443" i="743" s="1"/>
  <c r="D257" i="743"/>
  <c r="D259" i="743"/>
  <c r="G259" i="743"/>
  <c r="D260" i="743"/>
  <c r="G260" i="743"/>
  <c r="D261" i="743"/>
  <c r="D262" i="743"/>
  <c r="D446" i="743" s="1"/>
  <c r="D263" i="743"/>
  <c r="F263" i="743"/>
  <c r="D276" i="743"/>
  <c r="D456" i="743" s="1"/>
  <c r="D450" i="743" s="1"/>
  <c r="C125" i="644" s="1"/>
  <c r="G276" i="743"/>
  <c r="G268" i="743" s="1"/>
  <c r="D277" i="743"/>
  <c r="G277" i="743"/>
  <c r="G457" i="743" s="1"/>
  <c r="D279" i="743"/>
  <c r="D459" i="743" s="1"/>
  <c r="G279" i="743"/>
  <c r="G459" i="743" s="1"/>
  <c r="D280" i="743"/>
  <c r="D270" i="743" s="1"/>
  <c r="C84" i="644" s="1"/>
  <c r="G280" i="743"/>
  <c r="G270" i="743" s="1"/>
  <c r="D281" i="743"/>
  <c r="D461" i="743" s="1"/>
  <c r="G281" i="743"/>
  <c r="G461" i="743" s="1"/>
  <c r="D283" i="743"/>
  <c r="D463" i="743" s="1"/>
  <c r="D284" i="743"/>
  <c r="D464" i="743" s="1"/>
  <c r="D286" i="743"/>
  <c r="D466" i="743" s="1"/>
  <c r="G286" i="743"/>
  <c r="G466" i="743" s="1"/>
  <c r="D288" i="743"/>
  <c r="D468" i="743" s="1"/>
  <c r="D289" i="743"/>
  <c r="D469" i="743" s="1"/>
  <c r="D291" i="743"/>
  <c r="D293" i="743"/>
  <c r="G293" i="743"/>
  <c r="D294" i="743"/>
  <c r="G294" i="743"/>
  <c r="B295" i="743"/>
  <c r="D295" i="743"/>
  <c r="B296" i="743"/>
  <c r="D296" i="743"/>
  <c r="B297" i="743"/>
  <c r="D297" i="743"/>
  <c r="D298" i="743"/>
  <c r="D472" i="743" s="1"/>
  <c r="D299" i="743"/>
  <c r="F299" i="743"/>
  <c r="D302" i="743"/>
  <c r="D303" i="743"/>
  <c r="D305" i="743"/>
  <c r="D306" i="743"/>
  <c r="D307" i="743"/>
  <c r="D308" i="743"/>
  <c r="D309" i="743"/>
  <c r="D310" i="743"/>
  <c r="B313" i="743"/>
  <c r="B339" i="743"/>
  <c r="D339" i="743"/>
  <c r="D322" i="743" s="1"/>
  <c r="C94" i="644" s="1"/>
  <c r="G339" i="743"/>
  <c r="G322" i="743" s="1"/>
  <c r="B353" i="743"/>
  <c r="B354" i="743"/>
  <c r="B357" i="743"/>
  <c r="B362" i="743"/>
  <c r="B365" i="743"/>
  <c r="D365" i="743"/>
  <c r="D347" i="743" s="1"/>
  <c r="C101" i="644" s="1"/>
  <c r="G365" i="743"/>
  <c r="G347" i="743" s="1"/>
  <c r="B392" i="743"/>
  <c r="D392" i="743"/>
  <c r="D375" i="743" s="1"/>
  <c r="C108" i="644" s="1"/>
  <c r="G392" i="743"/>
  <c r="G375" i="743" s="1"/>
  <c r="B406" i="743"/>
  <c r="B407" i="743"/>
  <c r="B410" i="743"/>
  <c r="B415" i="743"/>
  <c r="B418" i="743"/>
  <c r="D418" i="743"/>
  <c r="D400" i="743" s="1"/>
  <c r="C115" i="644" s="1"/>
  <c r="G418" i="743"/>
  <c r="G400" i="743" s="1"/>
  <c r="B445" i="743"/>
  <c r="D445" i="743"/>
  <c r="D428" i="743" s="1"/>
  <c r="C121" i="644" s="1"/>
  <c r="G445" i="743"/>
  <c r="G428" i="743" s="1"/>
  <c r="B459" i="743"/>
  <c r="B460" i="743"/>
  <c r="B463" i="743"/>
  <c r="B468" i="743"/>
  <c r="B471" i="743"/>
  <c r="D471" i="743"/>
  <c r="D453" i="743" s="1"/>
  <c r="C128" i="644" s="1"/>
  <c r="G471" i="743"/>
  <c r="G453" i="743" s="1"/>
  <c r="F293" i="743"/>
  <c r="F259" i="743"/>
  <c r="F225" i="743"/>
  <c r="F190" i="743"/>
  <c r="F156" i="743"/>
  <c r="F118" i="743"/>
  <c r="F365" i="743"/>
  <c r="F347" i="743" s="1"/>
  <c r="J164" i="742"/>
  <c r="I164" i="742"/>
  <c r="H164" i="742"/>
  <c r="G164" i="742"/>
  <c r="F164" i="742"/>
  <c r="E164" i="742"/>
  <c r="D164" i="742"/>
  <c r="J163" i="742"/>
  <c r="I163" i="742"/>
  <c r="H163" i="742"/>
  <c r="G163" i="742"/>
  <c r="F163" i="742"/>
  <c r="E163" i="742"/>
  <c r="D163" i="742"/>
  <c r="C145" i="742"/>
  <c r="J131" i="742"/>
  <c r="J119" i="742"/>
  <c r="J118" i="742"/>
  <c r="D34" i="743" l="1"/>
  <c r="D35" i="743"/>
  <c r="D33" i="743"/>
  <c r="J57" i="743"/>
  <c r="J58" i="743"/>
  <c r="J123" i="743"/>
  <c r="C39" i="644"/>
  <c r="C8" i="644"/>
  <c r="J52" i="743"/>
  <c r="J296" i="743"/>
  <c r="J53" i="743"/>
  <c r="J122" i="743"/>
  <c r="J229" i="743"/>
  <c r="J160" i="743"/>
  <c r="K2" i="743"/>
  <c r="J159" i="743"/>
  <c r="J297" i="743"/>
  <c r="J228" i="743"/>
  <c r="C2" i="644"/>
  <c r="J2" i="743"/>
  <c r="J121" i="743"/>
  <c r="G326" i="743"/>
  <c r="B270" i="743"/>
  <c r="B280" i="743" s="1"/>
  <c r="B212" i="743"/>
  <c r="B211" i="743"/>
  <c r="B269" i="743"/>
  <c r="B279" i="743" s="1"/>
  <c r="D2" i="644"/>
  <c r="B225" i="743"/>
  <c r="B215" i="743"/>
  <c r="G431" i="743"/>
  <c r="G426" i="743" s="1"/>
  <c r="D95" i="743"/>
  <c r="C47" i="644" s="1"/>
  <c r="D398" i="743"/>
  <c r="C113" i="644" s="1"/>
  <c r="D451" i="743"/>
  <c r="C126" i="644" s="1"/>
  <c r="D239" i="743"/>
  <c r="C77" i="644" s="1"/>
  <c r="D132" i="743"/>
  <c r="C55" i="644" s="1"/>
  <c r="D374" i="743"/>
  <c r="C107" i="644" s="1"/>
  <c r="G325" i="743"/>
  <c r="G320" i="743" s="1"/>
  <c r="G460" i="743"/>
  <c r="G452" i="743" s="1"/>
  <c r="D460" i="743"/>
  <c r="D452" i="743" s="1"/>
  <c r="C127" i="644" s="1"/>
  <c r="G378" i="743"/>
  <c r="G373" i="743" s="1"/>
  <c r="D378" i="743"/>
  <c r="D373" i="743" s="1"/>
  <c r="C106" i="644" s="1"/>
  <c r="D431" i="743"/>
  <c r="D426" i="743" s="1"/>
  <c r="C119" i="644" s="1"/>
  <c r="D325" i="743"/>
  <c r="D320" i="743" s="1"/>
  <c r="C92" i="644" s="1"/>
  <c r="D201" i="743"/>
  <c r="C69" i="644" s="1"/>
  <c r="D203" i="743"/>
  <c r="C71" i="644" s="1"/>
  <c r="D350" i="743"/>
  <c r="D344" i="743" s="1"/>
  <c r="C98" i="644" s="1"/>
  <c r="D240" i="743"/>
  <c r="C78" i="644" s="1"/>
  <c r="G407" i="743"/>
  <c r="G399" i="743" s="1"/>
  <c r="G350" i="743"/>
  <c r="G344" i="743" s="1"/>
  <c r="D407" i="743"/>
  <c r="D399" i="743" s="1"/>
  <c r="C114" i="644" s="1"/>
  <c r="D170" i="743"/>
  <c r="C63" i="644" s="1"/>
  <c r="D353" i="743"/>
  <c r="D345" i="743" s="1"/>
  <c r="C99" i="644" s="1"/>
  <c r="D136" i="743"/>
  <c r="D135" i="743"/>
  <c r="C58" i="644" s="1"/>
  <c r="D348" i="743"/>
  <c r="C102" i="644" s="1"/>
  <c r="D64" i="743"/>
  <c r="D271" i="743"/>
  <c r="C85" i="644" s="1"/>
  <c r="D432" i="743"/>
  <c r="D429" i="743" s="1"/>
  <c r="C122" i="644" s="1"/>
  <c r="G403" i="743"/>
  <c r="G397" i="743" s="1"/>
  <c r="D457" i="743"/>
  <c r="D454" i="743" s="1"/>
  <c r="C129" i="644" s="1"/>
  <c r="D403" i="743"/>
  <c r="D397" i="743" s="1"/>
  <c r="C112" i="644" s="1"/>
  <c r="D133" i="743"/>
  <c r="C56" i="644" s="1"/>
  <c r="D10" i="743"/>
  <c r="G354" i="743"/>
  <c r="G346" i="743" s="1"/>
  <c r="D272" i="743"/>
  <c r="C86" i="644" s="1"/>
  <c r="D99" i="743"/>
  <c r="C51" i="644" s="1"/>
  <c r="G456" i="743"/>
  <c r="G450" i="743" s="1"/>
  <c r="D171" i="743"/>
  <c r="C64" i="644" s="1"/>
  <c r="D323" i="743"/>
  <c r="C95" i="644" s="1"/>
  <c r="D328" i="743"/>
  <c r="D321" i="743" s="1"/>
  <c r="C93" i="644" s="1"/>
  <c r="D273" i="743"/>
  <c r="D376" i="743"/>
  <c r="C109" i="644" s="1"/>
  <c r="F445" i="743"/>
  <c r="F428" i="743" s="1"/>
  <c r="D269" i="743"/>
  <c r="C83" i="644" s="1"/>
  <c r="D96" i="743"/>
  <c r="C48" i="644" s="1"/>
  <c r="D404" i="743"/>
  <c r="D401" i="743" s="1"/>
  <c r="C116" i="644" s="1"/>
  <c r="D65" i="743"/>
  <c r="D63" i="743"/>
  <c r="F339" i="743"/>
  <c r="F322" i="743" s="1"/>
  <c r="D204" i="743"/>
  <c r="C72" i="644" s="1"/>
  <c r="D98" i="743"/>
  <c r="C50" i="644" s="1"/>
  <c r="D134" i="743"/>
  <c r="C57" i="644" s="1"/>
  <c r="F418" i="743"/>
  <c r="F400" i="743" s="1"/>
  <c r="G379" i="743"/>
  <c r="D434" i="743"/>
  <c r="D427" i="743" s="1"/>
  <c r="C120" i="644" s="1"/>
  <c r="D268" i="743"/>
  <c r="C82" i="644" s="1"/>
  <c r="F392" i="743"/>
  <c r="F375" i="743" s="1"/>
  <c r="D97" i="743"/>
  <c r="C49" i="644" s="1"/>
  <c r="D205" i="743"/>
  <c r="F471" i="743"/>
  <c r="F453" i="743" s="1"/>
  <c r="G70" i="644"/>
  <c r="Y70" i="644" s="1"/>
  <c r="G69" i="644"/>
  <c r="Y69" i="644" s="1"/>
  <c r="G68" i="644"/>
  <c r="Y68" i="644" s="1"/>
  <c r="G67" i="644"/>
  <c r="Y67" i="644" s="1"/>
  <c r="G84" i="644"/>
  <c r="Y84" i="644" s="1"/>
  <c r="G83" i="644"/>
  <c r="Y83" i="644" s="1"/>
  <c r="G82" i="644"/>
  <c r="Y82" i="644" s="1"/>
  <c r="G81" i="644"/>
  <c r="Y81" i="644" s="1"/>
  <c r="W85" i="644"/>
  <c r="Q85" i="644"/>
  <c r="W71" i="644"/>
  <c r="Q71" i="644"/>
  <c r="W57" i="644"/>
  <c r="Q57" i="644"/>
  <c r="G57" i="644"/>
  <c r="Y57" i="644" s="1"/>
  <c r="I56" i="644"/>
  <c r="I55" i="644"/>
  <c r="I54" i="644"/>
  <c r="I53" i="644"/>
  <c r="I50" i="644"/>
  <c r="I49" i="644"/>
  <c r="I48" i="644"/>
  <c r="I47" i="644"/>
  <c r="I64" i="644"/>
  <c r="I63" i="644"/>
  <c r="I62" i="644"/>
  <c r="I61" i="644"/>
  <c r="I78" i="644"/>
  <c r="I77" i="644"/>
  <c r="I76" i="644"/>
  <c r="I75" i="644"/>
  <c r="W79" i="644"/>
  <c r="Q79" i="644"/>
  <c r="G79" i="644"/>
  <c r="Y79" i="644" s="1"/>
  <c r="W65" i="644"/>
  <c r="Q65" i="644"/>
  <c r="G65" i="644"/>
  <c r="Y65" i="644" s="1"/>
  <c r="G51" i="644"/>
  <c r="Y51" i="644" s="1"/>
  <c r="S68" i="644" l="1"/>
  <c r="S57" i="644"/>
  <c r="S65" i="644"/>
  <c r="S70" i="644"/>
  <c r="S81" i="644"/>
  <c r="S79" i="644"/>
  <c r="S82" i="644"/>
  <c r="S84" i="644"/>
  <c r="S67" i="644"/>
  <c r="S69" i="644"/>
  <c r="S51" i="644"/>
  <c r="S83" i="644"/>
  <c r="C87" i="644"/>
  <c r="J271" i="743"/>
  <c r="J270" i="743"/>
  <c r="J33" i="743"/>
  <c r="J32" i="743"/>
  <c r="C73" i="644"/>
  <c r="J203" i="743"/>
  <c r="J202" i="743"/>
  <c r="C59" i="644"/>
  <c r="J133" i="743"/>
  <c r="J134" i="743"/>
  <c r="C9" i="644"/>
  <c r="C41" i="644"/>
  <c r="C10" i="644"/>
  <c r="C40" i="644"/>
  <c r="C42" i="644"/>
  <c r="C5" i="644"/>
  <c r="U6" i="631"/>
  <c r="J54" i="644"/>
  <c r="I70" i="644"/>
  <c r="J70" i="644" s="1"/>
  <c r="K70" i="644"/>
  <c r="L70" i="644"/>
  <c r="M70" i="644"/>
  <c r="I82" i="644"/>
  <c r="J82" i="644" s="1"/>
  <c r="K82" i="644"/>
  <c r="M82" i="644"/>
  <c r="L82" i="644"/>
  <c r="J56" i="644"/>
  <c r="I81" i="644"/>
  <c r="J81" i="644" s="1"/>
  <c r="K81" i="644"/>
  <c r="L81" i="644"/>
  <c r="M81" i="644"/>
  <c r="I83" i="644"/>
  <c r="J83" i="644" s="1"/>
  <c r="L83" i="644"/>
  <c r="M83" i="644"/>
  <c r="K83" i="644"/>
  <c r="I69" i="644"/>
  <c r="J69" i="644" s="1"/>
  <c r="M69" i="644"/>
  <c r="L69" i="644"/>
  <c r="K69" i="644"/>
  <c r="I84" i="644"/>
  <c r="J84" i="644" s="1"/>
  <c r="L84" i="644"/>
  <c r="K84" i="644"/>
  <c r="M84" i="644"/>
  <c r="J55" i="644"/>
  <c r="I67" i="644"/>
  <c r="J67" i="644" s="1"/>
  <c r="M67" i="644"/>
  <c r="L67" i="644"/>
  <c r="K67" i="644"/>
  <c r="J53" i="644"/>
  <c r="L68" i="644"/>
  <c r="M68" i="644"/>
  <c r="K68" i="644"/>
  <c r="B293" i="743"/>
  <c r="B283" i="743"/>
  <c r="J136" i="743"/>
  <c r="J35" i="743"/>
  <c r="C11" i="644"/>
  <c r="J64" i="743"/>
  <c r="J272" i="743"/>
  <c r="J65" i="743"/>
  <c r="J99" i="743"/>
  <c r="J205" i="743"/>
  <c r="J98" i="743"/>
  <c r="J135" i="743"/>
  <c r="J273" i="743"/>
  <c r="J34" i="743"/>
  <c r="J204" i="743"/>
  <c r="J97" i="743"/>
  <c r="P128" i="644"/>
  <c r="P108" i="644"/>
  <c r="P105" i="644"/>
  <c r="P106" i="644"/>
  <c r="P107" i="644"/>
  <c r="P101" i="644"/>
  <c r="P99" i="644"/>
  <c r="P100" i="644"/>
  <c r="P98" i="644"/>
  <c r="P126" i="644"/>
  <c r="P92" i="644"/>
  <c r="P93" i="644"/>
  <c r="P91" i="644"/>
  <c r="P94" i="644"/>
  <c r="P127" i="644"/>
  <c r="P115" i="644"/>
  <c r="P113" i="644"/>
  <c r="P112" i="644"/>
  <c r="P114" i="644"/>
  <c r="P118" i="644"/>
  <c r="P119" i="644"/>
  <c r="P120" i="644"/>
  <c r="P121" i="644"/>
  <c r="P125" i="644"/>
  <c r="G71" i="644"/>
  <c r="Y71" i="644" s="1"/>
  <c r="I68" i="644"/>
  <c r="J68" i="644" s="1"/>
  <c r="G85" i="644"/>
  <c r="Y85" i="644" s="1"/>
  <c r="P64" i="644"/>
  <c r="AF64" i="644" s="1"/>
  <c r="P78" i="644"/>
  <c r="AF78" i="644" s="1"/>
  <c r="P77" i="644"/>
  <c r="AF77" i="644" s="1"/>
  <c r="P76" i="644"/>
  <c r="AF76" i="644" s="1"/>
  <c r="P75" i="644"/>
  <c r="AF75" i="644" s="1"/>
  <c r="P61" i="644"/>
  <c r="AF61" i="644" s="1"/>
  <c r="P62" i="644"/>
  <c r="AF62" i="644" s="1"/>
  <c r="P63" i="644"/>
  <c r="AF63" i="644" s="1"/>
  <c r="P47" i="644"/>
  <c r="AF47" i="644" s="1"/>
  <c r="N83" i="644" l="1"/>
  <c r="P32" i="644"/>
  <c r="AF32" i="644" s="1"/>
  <c r="P13" i="644"/>
  <c r="AF13" i="644" s="1"/>
  <c r="E4" i="858" s="1"/>
  <c r="P27" i="644"/>
  <c r="AF27" i="644" s="1"/>
  <c r="P17" i="644"/>
  <c r="AF17" i="644" s="1"/>
  <c r="AM108" i="644"/>
  <c r="AF108" i="644"/>
  <c r="AM128" i="644"/>
  <c r="AF128" i="644"/>
  <c r="AM91" i="644"/>
  <c r="AF91" i="644"/>
  <c r="AM92" i="644"/>
  <c r="AF92" i="644"/>
  <c r="AM126" i="644"/>
  <c r="AF126" i="644"/>
  <c r="AM99" i="644"/>
  <c r="AF99" i="644"/>
  <c r="AM101" i="644"/>
  <c r="AF101" i="644"/>
  <c r="AM114" i="644"/>
  <c r="AF114" i="644"/>
  <c r="AM112" i="644"/>
  <c r="AF112" i="644"/>
  <c r="AM115" i="644"/>
  <c r="AF115" i="644"/>
  <c r="AM127" i="644"/>
  <c r="AF127" i="644"/>
  <c r="AM94" i="644"/>
  <c r="AF94" i="644"/>
  <c r="AM93" i="644"/>
  <c r="AF93" i="644"/>
  <c r="AM98" i="644"/>
  <c r="AF98" i="644"/>
  <c r="AM125" i="644"/>
  <c r="AF125" i="644"/>
  <c r="AM120" i="644"/>
  <c r="AF120" i="644"/>
  <c r="AM119" i="644"/>
  <c r="AF119" i="644"/>
  <c r="AM107" i="644"/>
  <c r="AF107" i="644"/>
  <c r="AM105" i="644"/>
  <c r="AF105" i="644"/>
  <c r="AM113" i="644"/>
  <c r="AF113" i="644"/>
  <c r="AM100" i="644"/>
  <c r="AF100" i="644"/>
  <c r="AM121" i="644"/>
  <c r="AF121" i="644"/>
  <c r="AM118" i="644"/>
  <c r="AF118" i="644"/>
  <c r="AM106" i="644"/>
  <c r="AF106" i="644"/>
  <c r="P35" i="644"/>
  <c r="AF35" i="644" s="1"/>
  <c r="AL114" i="644"/>
  <c r="AL128" i="644"/>
  <c r="AL112" i="644"/>
  <c r="AL113" i="644"/>
  <c r="AL93" i="644"/>
  <c r="AL99" i="644"/>
  <c r="AL108" i="644"/>
  <c r="AL115" i="644"/>
  <c r="AL94" i="644"/>
  <c r="AL91" i="644"/>
  <c r="AL121" i="644"/>
  <c r="AL120" i="644"/>
  <c r="AL101" i="644"/>
  <c r="AL92" i="644"/>
  <c r="AL126" i="644"/>
  <c r="AL98" i="644"/>
  <c r="AL100" i="644"/>
  <c r="AL119" i="644"/>
  <c r="AL107" i="644"/>
  <c r="AL105" i="644"/>
  <c r="AL127" i="644"/>
  <c r="AL125" i="644"/>
  <c r="AL118" i="644"/>
  <c r="AL106" i="644"/>
  <c r="S85" i="644"/>
  <c r="S71" i="644"/>
  <c r="N68" i="644"/>
  <c r="P55" i="644"/>
  <c r="AF55" i="644" s="1"/>
  <c r="P56" i="644"/>
  <c r="AF56" i="644" s="1"/>
  <c r="P54" i="644"/>
  <c r="AF54" i="644" s="1"/>
  <c r="P53" i="644"/>
  <c r="AF53" i="644" s="1"/>
  <c r="P24" i="644"/>
  <c r="AF24" i="644" s="1"/>
  <c r="P25" i="644"/>
  <c r="AF25" i="644" s="1"/>
  <c r="P23" i="644"/>
  <c r="AF23" i="644" s="1"/>
  <c r="P16" i="644"/>
  <c r="AF16" i="644" s="1"/>
  <c r="U13" i="631"/>
  <c r="U8" i="631"/>
  <c r="U12" i="631"/>
  <c r="U11" i="631"/>
  <c r="U9" i="631"/>
  <c r="U17" i="631"/>
  <c r="U16" i="631"/>
  <c r="U14" i="631"/>
  <c r="U10" i="631"/>
  <c r="U7" i="631"/>
  <c r="U5" i="631"/>
  <c r="U15" i="631"/>
  <c r="P20" i="644"/>
  <c r="AF20" i="644" s="1"/>
  <c r="X6" i="631"/>
  <c r="AC6" i="631" s="1"/>
  <c r="AA6" i="631"/>
  <c r="AE6" i="631" s="1"/>
  <c r="P29" i="644"/>
  <c r="AF29" i="644" s="1"/>
  <c r="P19" i="644"/>
  <c r="AF19" i="644" s="1"/>
  <c r="P26" i="644"/>
  <c r="AF26" i="644" s="1"/>
  <c r="P28" i="644"/>
  <c r="AF28" i="644" s="1"/>
  <c r="P18" i="644"/>
  <c r="AF18" i="644" s="1"/>
  <c r="P40" i="644"/>
  <c r="AF40" i="644" s="1"/>
  <c r="P15" i="644"/>
  <c r="AF15" i="644" s="1"/>
  <c r="N70" i="644"/>
  <c r="P81" i="644"/>
  <c r="AF81" i="644" s="1"/>
  <c r="P84" i="644"/>
  <c r="AF84" i="644" s="1"/>
  <c r="P82" i="644"/>
  <c r="AF82" i="644" s="1"/>
  <c r="P70" i="644"/>
  <c r="AF70" i="644" s="1"/>
  <c r="P83" i="644"/>
  <c r="AF83" i="644" s="1"/>
  <c r="P68" i="644"/>
  <c r="AF68" i="644" s="1"/>
  <c r="P67" i="644"/>
  <c r="AF67" i="644" s="1"/>
  <c r="P69" i="644"/>
  <c r="AF69" i="644" s="1"/>
  <c r="N81" i="644"/>
  <c r="N84" i="644"/>
  <c r="N82" i="644"/>
  <c r="N69" i="644"/>
  <c r="N67" i="644"/>
  <c r="R101" i="644"/>
  <c r="R107" i="644"/>
  <c r="R78" i="644"/>
  <c r="AI78" i="644" s="1"/>
  <c r="R99" i="644"/>
  <c r="R75" i="644"/>
  <c r="AI75" i="644" s="1"/>
  <c r="R76" i="644"/>
  <c r="AI76" i="644" s="1"/>
  <c r="R106" i="644"/>
  <c r="R114" i="644"/>
  <c r="R108" i="644"/>
  <c r="R127" i="644"/>
  <c r="R94" i="644"/>
  <c r="R92" i="644"/>
  <c r="R61" i="644"/>
  <c r="AI61" i="644" s="1"/>
  <c r="R119" i="644"/>
  <c r="R77" i="644"/>
  <c r="AI77" i="644" s="1"/>
  <c r="R112" i="644"/>
  <c r="R128" i="644"/>
  <c r="R47" i="644"/>
  <c r="AI47" i="644" s="1"/>
  <c r="R126" i="644"/>
  <c r="R118" i="644"/>
  <c r="R105" i="644"/>
  <c r="R64" i="644"/>
  <c r="AI64" i="644" s="1"/>
  <c r="R113" i="644"/>
  <c r="R91" i="644"/>
  <c r="R63" i="644"/>
  <c r="AI63" i="644" s="1"/>
  <c r="R98" i="644"/>
  <c r="R121" i="644"/>
  <c r="R120" i="644"/>
  <c r="R115" i="644"/>
  <c r="R93" i="644"/>
  <c r="R62" i="644"/>
  <c r="AI62" i="644" s="1"/>
  <c r="R125" i="644"/>
  <c r="R100" i="644"/>
  <c r="P39" i="644"/>
  <c r="AF39" i="644" s="1"/>
  <c r="P41" i="644"/>
  <c r="AF41" i="644" s="1"/>
  <c r="P33" i="644"/>
  <c r="AF33" i="644" s="1"/>
  <c r="P34" i="644"/>
  <c r="AF34" i="644" s="1"/>
  <c r="P50" i="644"/>
  <c r="AF50" i="644" s="1"/>
  <c r="P49" i="644"/>
  <c r="AF49" i="644" s="1"/>
  <c r="P48" i="644"/>
  <c r="AF48" i="644" s="1"/>
  <c r="P122" i="644"/>
  <c r="P95" i="644"/>
  <c r="P109" i="644"/>
  <c r="P129" i="644"/>
  <c r="P116" i="644"/>
  <c r="P102" i="644"/>
  <c r="P79" i="644"/>
  <c r="AF79" i="644" s="1"/>
  <c r="E16" i="858" s="1"/>
  <c r="P65" i="644"/>
  <c r="AF65" i="644" s="1"/>
  <c r="E14" i="858" s="1"/>
  <c r="R32" i="644" l="1"/>
  <c r="Q13" i="644"/>
  <c r="R27" i="644"/>
  <c r="AI27" i="644" s="1"/>
  <c r="AM102" i="644"/>
  <c r="AF102" i="644"/>
  <c r="AM116" i="644"/>
  <c r="AF116" i="644"/>
  <c r="AM129" i="644"/>
  <c r="AF129" i="644"/>
  <c r="AM95" i="644"/>
  <c r="AF95" i="644"/>
  <c r="AM122" i="644"/>
  <c r="AF122" i="644"/>
  <c r="AM109" i="644"/>
  <c r="AF109" i="644"/>
  <c r="P21" i="644"/>
  <c r="AF21" i="644" s="1"/>
  <c r="E5" i="858" s="1"/>
  <c r="P36" i="644"/>
  <c r="AF36" i="644" s="1"/>
  <c r="P30" i="644"/>
  <c r="AF30" i="644" s="1"/>
  <c r="E7" i="858" s="1"/>
  <c r="R13" i="644"/>
  <c r="T13" i="644" s="1"/>
  <c r="R35" i="644"/>
  <c r="T32" i="644"/>
  <c r="AI32" i="644"/>
  <c r="T76" i="644"/>
  <c r="AL76" i="644" s="1"/>
  <c r="T99" i="644"/>
  <c r="AI99" i="644"/>
  <c r="T100" i="644"/>
  <c r="AI100" i="644"/>
  <c r="T128" i="644"/>
  <c r="AI128" i="644"/>
  <c r="T62" i="644"/>
  <c r="AL62" i="644" s="1"/>
  <c r="T64" i="644"/>
  <c r="AL64" i="644" s="1"/>
  <c r="T75" i="644"/>
  <c r="AL75" i="644" s="1"/>
  <c r="T107" i="644"/>
  <c r="AI107" i="644"/>
  <c r="T101" i="644"/>
  <c r="AI101" i="644"/>
  <c r="T118" i="644"/>
  <c r="AI118" i="644"/>
  <c r="T78" i="644"/>
  <c r="AL78" i="644" s="1"/>
  <c r="T125" i="644"/>
  <c r="AI125" i="644"/>
  <c r="T27" i="644"/>
  <c r="AL27" i="644" s="1"/>
  <c r="T115" i="644"/>
  <c r="AI115" i="644"/>
  <c r="AL95" i="644"/>
  <c r="T121" i="644"/>
  <c r="AI121" i="644"/>
  <c r="T94" i="644"/>
  <c r="AI94" i="644"/>
  <c r="T113" i="644"/>
  <c r="AI113" i="644"/>
  <c r="AL102" i="644"/>
  <c r="T93" i="644"/>
  <c r="AI93" i="644"/>
  <c r="AL116" i="644"/>
  <c r="AL129" i="644"/>
  <c r="T92" i="644"/>
  <c r="AI92" i="644"/>
  <c r="AL122" i="644"/>
  <c r="T98" i="644"/>
  <c r="AI98" i="644"/>
  <c r="T127" i="644"/>
  <c r="AI127" i="644"/>
  <c r="T47" i="644"/>
  <c r="AL47" i="644" s="1"/>
  <c r="T77" i="644"/>
  <c r="AL77" i="644" s="1"/>
  <c r="T119" i="644"/>
  <c r="AI119" i="644"/>
  <c r="AL109" i="644"/>
  <c r="T63" i="644"/>
  <c r="AL63" i="644" s="1"/>
  <c r="T108" i="644"/>
  <c r="AI108" i="644"/>
  <c r="T106" i="644"/>
  <c r="AI106" i="644"/>
  <c r="T105" i="644"/>
  <c r="AI105" i="644"/>
  <c r="T126" i="644"/>
  <c r="AI126" i="644"/>
  <c r="T112" i="644"/>
  <c r="AI112" i="644"/>
  <c r="T61" i="644"/>
  <c r="AL61" i="644" s="1"/>
  <c r="T120" i="644"/>
  <c r="AI120" i="644"/>
  <c r="T91" i="644"/>
  <c r="AI91" i="644"/>
  <c r="T114" i="644"/>
  <c r="AI114" i="644"/>
  <c r="R56" i="644"/>
  <c r="AI56" i="644" s="1"/>
  <c r="R54" i="644"/>
  <c r="AI54" i="644" s="1"/>
  <c r="R29" i="644"/>
  <c r="AI29" i="644" s="1"/>
  <c r="R23" i="644"/>
  <c r="R83" i="644"/>
  <c r="AI83" i="644" s="1"/>
  <c r="R55" i="644"/>
  <c r="AI55" i="644" s="1"/>
  <c r="P57" i="644"/>
  <c r="AF57" i="644" s="1"/>
  <c r="E13" i="858" s="1"/>
  <c r="R53" i="644"/>
  <c r="AI53" i="644" s="1"/>
  <c r="R25" i="644"/>
  <c r="AI25" i="644" s="1"/>
  <c r="R24" i="644"/>
  <c r="AI24" i="644" s="1"/>
  <c r="R40" i="644"/>
  <c r="AI40" i="644" s="1"/>
  <c r="R28" i="644"/>
  <c r="AI28" i="644" s="1"/>
  <c r="R26" i="644"/>
  <c r="AI26" i="644" s="1"/>
  <c r="AG6" i="631"/>
  <c r="X15" i="631"/>
  <c r="AC15" i="631" s="1"/>
  <c r="AG15" i="631" s="1"/>
  <c r="AA15" i="631"/>
  <c r="AE15" i="631" s="1"/>
  <c r="X5" i="631"/>
  <c r="AC5" i="631" s="1"/>
  <c r="AA5" i="631"/>
  <c r="X14" i="631"/>
  <c r="AC14" i="631" s="1"/>
  <c r="AG14" i="631" s="1"/>
  <c r="AA14" i="631"/>
  <c r="AE14" i="631" s="1"/>
  <c r="X17" i="631"/>
  <c r="AC17" i="631" s="1"/>
  <c r="AG17" i="631" s="1"/>
  <c r="AA17" i="631"/>
  <c r="AE17" i="631" s="1"/>
  <c r="X11" i="631"/>
  <c r="AC11" i="631" s="1"/>
  <c r="AG11" i="631" s="1"/>
  <c r="AA11" i="631"/>
  <c r="AE11" i="631" s="1"/>
  <c r="AA12" i="631"/>
  <c r="AE12" i="631" s="1"/>
  <c r="X12" i="631"/>
  <c r="AC12" i="631" s="1"/>
  <c r="AG12" i="631" s="1"/>
  <c r="X7" i="631"/>
  <c r="AC7" i="631" s="1"/>
  <c r="AG7" i="631" s="1"/>
  <c r="AA7" i="631"/>
  <c r="AE7" i="631" s="1"/>
  <c r="X16" i="631"/>
  <c r="AC16" i="631" s="1"/>
  <c r="AG16" i="631" s="1"/>
  <c r="AA16" i="631"/>
  <c r="AE16" i="631" s="1"/>
  <c r="X9" i="631"/>
  <c r="AC9" i="631" s="1"/>
  <c r="AG9" i="631" s="1"/>
  <c r="AA9" i="631"/>
  <c r="AE9" i="631" s="1"/>
  <c r="AA8" i="631"/>
  <c r="AE8" i="631" s="1"/>
  <c r="X8" i="631"/>
  <c r="AC8" i="631" s="1"/>
  <c r="AG8" i="631" s="1"/>
  <c r="X10" i="631"/>
  <c r="AC10" i="631" s="1"/>
  <c r="AG10" i="631" s="1"/>
  <c r="AA10" i="631"/>
  <c r="AE10" i="631" s="1"/>
  <c r="X13" i="631"/>
  <c r="AC13" i="631" s="1"/>
  <c r="AG13" i="631" s="1"/>
  <c r="AA13" i="631"/>
  <c r="AE13" i="631" s="1"/>
  <c r="R82" i="644"/>
  <c r="AI82" i="644" s="1"/>
  <c r="R69" i="644"/>
  <c r="AI69" i="644" s="1"/>
  <c r="P42" i="644"/>
  <c r="AF42" i="644" s="1"/>
  <c r="R33" i="644"/>
  <c r="AI33" i="644" s="1"/>
  <c r="R41" i="644"/>
  <c r="AI41" i="644" s="1"/>
  <c r="R109" i="644"/>
  <c r="R34" i="644"/>
  <c r="AI34" i="644" s="1"/>
  <c r="R68" i="644"/>
  <c r="AI68" i="644" s="1"/>
  <c r="R102" i="644"/>
  <c r="R122" i="644"/>
  <c r="R50" i="644"/>
  <c r="AI50" i="644" s="1"/>
  <c r="R65" i="644"/>
  <c r="AI65" i="644" s="1"/>
  <c r="R81" i="644"/>
  <c r="AI81" i="644" s="1"/>
  <c r="R84" i="644"/>
  <c r="R129" i="644"/>
  <c r="R70" i="644"/>
  <c r="AI70" i="644" s="1"/>
  <c r="R79" i="644"/>
  <c r="AI79" i="644" s="1"/>
  <c r="R39" i="644"/>
  <c r="AI39" i="644" s="1"/>
  <c r="R116" i="644"/>
  <c r="R95" i="644"/>
  <c r="R48" i="644"/>
  <c r="AI48" i="644" s="1"/>
  <c r="R49" i="644"/>
  <c r="AI49" i="644" s="1"/>
  <c r="R67" i="644"/>
  <c r="AI67" i="644" s="1"/>
  <c r="P51" i="644"/>
  <c r="AF51" i="644" s="1"/>
  <c r="E12" i="858" s="1"/>
  <c r="P85" i="644"/>
  <c r="AF85" i="644" s="1"/>
  <c r="E17" i="858" s="1"/>
  <c r="P71" i="644"/>
  <c r="AF71" i="644" s="1"/>
  <c r="E15" i="858" s="1"/>
  <c r="AI13" i="644" l="1"/>
  <c r="AL32" i="644"/>
  <c r="R36" i="644"/>
  <c r="AI36" i="644" s="1"/>
  <c r="E8" i="858" s="1"/>
  <c r="R30" i="644"/>
  <c r="AI30" i="644" s="1"/>
  <c r="AL13" i="644"/>
  <c r="I4" i="858" s="1"/>
  <c r="T35" i="644"/>
  <c r="AL35" i="644" s="1"/>
  <c r="AI35" i="644"/>
  <c r="T95" i="644"/>
  <c r="AI95" i="644"/>
  <c r="T24" i="644"/>
  <c r="AL24" i="644" s="1"/>
  <c r="T69" i="644"/>
  <c r="AL69" i="644" s="1"/>
  <c r="T82" i="644"/>
  <c r="AL82" i="644" s="1"/>
  <c r="T55" i="644"/>
  <c r="AL55" i="644" s="1"/>
  <c r="T49" i="644"/>
  <c r="AL49" i="644" s="1"/>
  <c r="T41" i="644"/>
  <c r="AL41" i="644" s="1"/>
  <c r="T33" i="644"/>
  <c r="AL33" i="644" s="1"/>
  <c r="T116" i="644"/>
  <c r="AI116" i="644"/>
  <c r="T25" i="644"/>
  <c r="AL25" i="644" s="1"/>
  <c r="T28" i="644"/>
  <c r="AL28" i="644" s="1"/>
  <c r="T39" i="644"/>
  <c r="AL39" i="644" s="1"/>
  <c r="T79" i="644"/>
  <c r="AL79" i="644" s="1"/>
  <c r="T70" i="644"/>
  <c r="AL70" i="644" s="1"/>
  <c r="T54" i="644"/>
  <c r="AL54" i="644" s="1"/>
  <c r="T122" i="644"/>
  <c r="AI122" i="644"/>
  <c r="T53" i="644"/>
  <c r="AL53" i="644" s="1"/>
  <c r="T84" i="644"/>
  <c r="AL84" i="644" s="1"/>
  <c r="T50" i="644"/>
  <c r="AL50" i="644" s="1"/>
  <c r="T68" i="644"/>
  <c r="AL68" i="644" s="1"/>
  <c r="T109" i="644"/>
  <c r="AI109" i="644"/>
  <c r="T48" i="644"/>
  <c r="AL48" i="644" s="1"/>
  <c r="T40" i="644"/>
  <c r="AL40" i="644" s="1"/>
  <c r="T129" i="644"/>
  <c r="AI129" i="644"/>
  <c r="T83" i="644"/>
  <c r="AL83" i="644" s="1"/>
  <c r="T81" i="644"/>
  <c r="AL81" i="644" s="1"/>
  <c r="T29" i="644"/>
  <c r="AL29" i="644" s="1"/>
  <c r="T65" i="644"/>
  <c r="AL65" i="644" s="1"/>
  <c r="T56" i="644"/>
  <c r="AL56" i="644" s="1"/>
  <c r="T102" i="644"/>
  <c r="AI102" i="644"/>
  <c r="T67" i="644"/>
  <c r="AL67" i="644" s="1"/>
  <c r="T34" i="644"/>
  <c r="AL34" i="644" s="1"/>
  <c r="T26" i="644"/>
  <c r="AL26" i="644" s="1"/>
  <c r="T23" i="644"/>
  <c r="AI23" i="644"/>
  <c r="R57" i="644"/>
  <c r="AI57" i="644" s="1"/>
  <c r="AG5" i="631"/>
  <c r="AG18" i="631" s="1"/>
  <c r="AC18" i="631"/>
  <c r="AE5" i="631"/>
  <c r="AE18" i="631" s="1"/>
  <c r="AA18" i="631"/>
  <c r="AC19" i="631"/>
  <c r="R71" i="644"/>
  <c r="AI71" i="644" s="1"/>
  <c r="R85" i="644"/>
  <c r="AI85" i="644" s="1"/>
  <c r="R51" i="644"/>
  <c r="AI51" i="644" s="1"/>
  <c r="R42" i="644"/>
  <c r="AI42" i="644" s="1"/>
  <c r="T36" i="644" l="1"/>
  <c r="AL36" i="644" s="1"/>
  <c r="AL23" i="644"/>
  <c r="T30" i="644"/>
  <c r="AL30" i="644" s="1"/>
  <c r="T71" i="644"/>
  <c r="AL71" i="644" s="1"/>
  <c r="T57" i="644"/>
  <c r="AL57" i="644" s="1"/>
  <c r="T42" i="644"/>
  <c r="AL42" i="644" s="1"/>
  <c r="T51" i="644"/>
  <c r="AL51" i="644" s="1"/>
  <c r="T85" i="644"/>
  <c r="AL85" i="644" s="1"/>
  <c r="AG19" i="631"/>
  <c r="K11" i="631"/>
  <c r="H46" i="112"/>
  <c r="G46" i="112"/>
  <c r="F33" i="112"/>
  <c r="E33" i="112"/>
  <c r="K33" i="112"/>
  <c r="J33" i="112"/>
  <c r="AH47" i="485"/>
  <c r="AG47" i="485"/>
  <c r="AF47" i="485"/>
  <c r="U47" i="485"/>
  <c r="T47" i="485"/>
  <c r="P47" i="485"/>
  <c r="O47" i="485"/>
  <c r="M47" i="485"/>
  <c r="L47" i="485"/>
  <c r="K47" i="485"/>
  <c r="J47" i="485"/>
  <c r="I47" i="485"/>
  <c r="H47" i="485"/>
  <c r="G47" i="485"/>
  <c r="F47" i="485"/>
  <c r="E47" i="485"/>
  <c r="D47" i="485"/>
  <c r="C47" i="485"/>
  <c r="P138" i="129" l="1"/>
  <c r="O138" i="129"/>
  <c r="N138" i="129"/>
  <c r="M138" i="129"/>
  <c r="L138" i="129"/>
  <c r="K138" i="129"/>
  <c r="I138" i="129"/>
  <c r="H138" i="129"/>
  <c r="G138" i="129"/>
  <c r="F138" i="129"/>
  <c r="E138" i="129"/>
  <c r="D138" i="129"/>
  <c r="F130" i="129"/>
  <c r="B35" i="315"/>
  <c r="B45" i="315" s="1"/>
  <c r="H44" i="315"/>
  <c r="G44" i="315"/>
  <c r="E44" i="315"/>
  <c r="D44" i="315"/>
  <c r="H35" i="315"/>
  <c r="H45" i="315" s="1"/>
  <c r="G35" i="315"/>
  <c r="G45" i="315" s="1"/>
  <c r="F35" i="315"/>
  <c r="F45" i="315" s="1"/>
  <c r="E35" i="315"/>
  <c r="E45" i="315" s="1"/>
  <c r="C10" i="79"/>
  <c r="C35" i="315"/>
  <c r="C45" i="315" s="1"/>
  <c r="J167" i="649"/>
  <c r="I167" i="649"/>
  <c r="H167" i="649"/>
  <c r="G167" i="649"/>
  <c r="F167" i="649"/>
  <c r="E167" i="649"/>
  <c r="D167" i="649"/>
  <c r="J166" i="649"/>
  <c r="I166" i="649"/>
  <c r="H166" i="649"/>
  <c r="G166" i="649"/>
  <c r="F166" i="649"/>
  <c r="E166" i="649"/>
  <c r="D166" i="649"/>
  <c r="J167" i="655"/>
  <c r="I167" i="655"/>
  <c r="H167" i="655"/>
  <c r="G167" i="655"/>
  <c r="F167" i="655"/>
  <c r="E167" i="655"/>
  <c r="D167" i="655"/>
  <c r="J166" i="655"/>
  <c r="I166" i="655"/>
  <c r="H166" i="655"/>
  <c r="G166" i="655"/>
  <c r="F166" i="655"/>
  <c r="E166" i="655"/>
  <c r="D166" i="655"/>
  <c r="J167" i="211"/>
  <c r="I167" i="211"/>
  <c r="H167" i="211"/>
  <c r="G167" i="211"/>
  <c r="F167" i="211"/>
  <c r="E167" i="211"/>
  <c r="D167" i="211"/>
  <c r="J166" i="211"/>
  <c r="I166" i="211"/>
  <c r="H166" i="211"/>
  <c r="G166" i="211"/>
  <c r="F166" i="211"/>
  <c r="E166" i="211"/>
  <c r="D166" i="211"/>
  <c r="J167" i="639"/>
  <c r="I167" i="639"/>
  <c r="H167" i="639"/>
  <c r="G167" i="639"/>
  <c r="F167" i="639"/>
  <c r="E167" i="639"/>
  <c r="D167" i="639"/>
  <c r="J166" i="639"/>
  <c r="I166" i="639"/>
  <c r="H166" i="639"/>
  <c r="G166" i="639"/>
  <c r="F166" i="639"/>
  <c r="E166" i="639"/>
  <c r="D166" i="639"/>
  <c r="F329" i="502" l="1"/>
  <c r="D35" i="315"/>
  <c r="D45" i="315" s="1"/>
  <c r="E10" i="79" l="1"/>
  <c r="I35" i="315"/>
  <c r="F294" i="743" l="1"/>
  <c r="F260" i="743"/>
  <c r="F226" i="743"/>
  <c r="F191" i="743"/>
  <c r="F157" i="743"/>
  <c r="F119" i="743"/>
  <c r="F86" i="743"/>
  <c r="F54" i="743" l="1"/>
  <c r="J141" i="186" l="1"/>
  <c r="J132" i="186"/>
  <c r="J120" i="186"/>
  <c r="J109" i="186"/>
  <c r="J88" i="186"/>
  <c r="J60" i="186"/>
  <c r="J32" i="186"/>
  <c r="J22" i="186"/>
  <c r="I18" i="186"/>
  <c r="I113" i="186" s="1"/>
  <c r="H18" i="186"/>
  <c r="H113" i="186" s="1"/>
  <c r="G18" i="186"/>
  <c r="G113" i="186" s="1"/>
  <c r="F18" i="186"/>
  <c r="F113" i="186" s="1"/>
  <c r="E18" i="186"/>
  <c r="E113" i="186" s="1"/>
  <c r="D18" i="186"/>
  <c r="D113" i="186" s="1"/>
  <c r="J109" i="203"/>
  <c r="J88" i="203"/>
  <c r="J60" i="203"/>
  <c r="J32" i="203"/>
  <c r="J22" i="203"/>
  <c r="E226" i="743" l="1"/>
  <c r="E260" i="743"/>
  <c r="E157" i="743"/>
  <c r="E294" i="743"/>
  <c r="E118" i="743"/>
  <c r="E156" i="743"/>
  <c r="E190" i="743"/>
  <c r="E54" i="743"/>
  <c r="E225" i="743"/>
  <c r="E191" i="743"/>
  <c r="E86" i="743"/>
  <c r="E259" i="743"/>
  <c r="E119" i="743"/>
  <c r="E293" i="743"/>
  <c r="H191" i="743" l="1"/>
  <c r="H54" i="743"/>
  <c r="H156" i="743"/>
  <c r="H157" i="743"/>
  <c r="H259" i="743"/>
  <c r="H86" i="743"/>
  <c r="H190" i="743"/>
  <c r="H260" i="743"/>
  <c r="H225" i="743"/>
  <c r="H118" i="743"/>
  <c r="H294" i="743"/>
  <c r="H226" i="743"/>
  <c r="H293" i="743"/>
  <c r="H119" i="743"/>
  <c r="W134" i="825"/>
  <c r="W131" i="825"/>
  <c r="W132" i="825"/>
  <c r="W133" i="825"/>
  <c r="W237" i="825"/>
  <c r="W198" i="825"/>
  <c r="W303" i="825"/>
  <c r="W266" i="825"/>
  <c r="W75" i="825"/>
  <c r="W200" i="825"/>
  <c r="W233" i="825"/>
  <c r="W31" i="825"/>
  <c r="W167" i="825"/>
  <c r="W126" i="825"/>
  <c r="W309" i="825"/>
  <c r="W307" i="825"/>
  <c r="W308" i="825"/>
  <c r="W171" i="825"/>
  <c r="W268" i="825"/>
  <c r="J109" i="652"/>
  <c r="J88" i="652"/>
  <c r="J60" i="652"/>
  <c r="J32" i="652"/>
  <c r="J22" i="652"/>
  <c r="J109" i="651"/>
  <c r="J88" i="651"/>
  <c r="J60" i="651"/>
  <c r="J32" i="651"/>
  <c r="J22" i="651"/>
  <c r="J109" i="656"/>
  <c r="J88" i="656"/>
  <c r="J60" i="656"/>
  <c r="J32" i="656"/>
  <c r="J22" i="656"/>
  <c r="J109" i="206"/>
  <c r="J88" i="206"/>
  <c r="J60" i="206"/>
  <c r="J32" i="206"/>
  <c r="J22" i="206"/>
  <c r="J109" i="640"/>
  <c r="J88" i="640"/>
  <c r="J60" i="640"/>
  <c r="J32" i="640"/>
  <c r="J22" i="640"/>
  <c r="J109" i="207"/>
  <c r="J88" i="207"/>
  <c r="J60" i="207"/>
  <c r="J32" i="207"/>
  <c r="J22" i="207"/>
  <c r="C27" i="482"/>
  <c r="C27" i="481"/>
  <c r="C27" i="480"/>
  <c r="C27" i="506"/>
  <c r="C27" i="498"/>
  <c r="C27" i="486"/>
  <c r="G22" i="118" l="1"/>
  <c r="G21" i="118"/>
  <c r="H54" i="118" s="1"/>
  <c r="G20" i="118"/>
  <c r="H53" i="118" s="1"/>
  <c r="G19" i="118"/>
  <c r="H52" i="118" s="1"/>
  <c r="G18" i="118"/>
  <c r="H51" i="118" s="1"/>
  <c r="G17" i="118"/>
  <c r="H50" i="118" s="1"/>
  <c r="G16" i="118"/>
  <c r="H49" i="118" s="1"/>
  <c r="G15" i="118"/>
  <c r="H48" i="118" s="1"/>
  <c r="H55" i="118" l="1"/>
  <c r="AH105" i="120"/>
  <c r="AH104" i="120"/>
  <c r="AH103" i="120"/>
  <c r="AH102" i="120"/>
  <c r="AH101" i="120"/>
  <c r="AH100" i="120"/>
  <c r="AH99" i="120"/>
  <c r="AH98" i="120"/>
  <c r="AH97" i="120"/>
  <c r="AH96" i="120"/>
  <c r="AH95" i="120"/>
  <c r="AH94" i="120"/>
  <c r="AH93" i="120"/>
  <c r="AH92" i="120"/>
  <c r="AH91" i="120"/>
  <c r="AH90" i="120"/>
  <c r="AH89" i="120"/>
  <c r="AH88" i="120"/>
  <c r="AH87" i="120"/>
  <c r="AH86" i="120"/>
  <c r="AH85" i="120"/>
  <c r="AH84" i="120"/>
  <c r="AH83" i="120"/>
  <c r="AH82" i="120"/>
  <c r="AH81" i="120"/>
  <c r="AH80" i="120"/>
  <c r="AH79" i="120"/>
  <c r="AH78" i="120"/>
  <c r="AH77" i="120"/>
  <c r="AH76" i="120"/>
  <c r="AH75" i="120"/>
  <c r="AH74" i="120"/>
  <c r="AH73" i="120"/>
  <c r="AH72" i="120"/>
  <c r="AH71" i="120"/>
  <c r="AH70" i="120"/>
  <c r="AH69" i="120"/>
  <c r="AH68" i="120"/>
  <c r="AH67" i="120"/>
  <c r="AH66" i="120"/>
  <c r="AH65" i="120"/>
  <c r="AH56" i="120"/>
  <c r="AH55" i="120"/>
  <c r="AH54" i="120"/>
  <c r="AH53" i="120"/>
  <c r="AH52" i="120"/>
  <c r="AH51" i="120"/>
  <c r="AH48" i="120"/>
  <c r="AH47" i="120"/>
  <c r="AH46" i="120"/>
  <c r="AH45" i="120"/>
  <c r="AH44" i="120"/>
  <c r="AH43" i="120"/>
  <c r="AH42" i="120"/>
  <c r="AH41" i="120"/>
  <c r="AH40" i="120"/>
  <c r="AH39" i="120"/>
  <c r="AH38" i="120"/>
  <c r="AH37" i="120"/>
  <c r="AH36" i="120"/>
  <c r="AH35" i="120"/>
  <c r="AH34" i="120"/>
  <c r="AH33" i="120"/>
  <c r="AH32" i="120"/>
  <c r="AH31" i="120"/>
  <c r="AH30" i="120"/>
  <c r="AH29" i="120"/>
  <c r="AH28" i="120"/>
  <c r="AH27" i="120"/>
  <c r="AH24" i="120"/>
  <c r="AH23" i="120"/>
  <c r="AH22" i="120"/>
  <c r="AH21" i="120"/>
  <c r="AH20" i="120"/>
  <c r="AH6" i="120"/>
  <c r="AH5" i="120"/>
  <c r="AH12" i="120"/>
  <c r="AH11" i="120"/>
  <c r="AH10" i="120"/>
  <c r="AH9" i="120"/>
  <c r="AH18" i="120"/>
  <c r="AH17" i="120"/>
  <c r="AH16" i="120"/>
  <c r="AH15" i="120"/>
  <c r="W108" i="120"/>
  <c r="V108" i="120"/>
  <c r="U108" i="120"/>
  <c r="T108" i="120"/>
  <c r="S108" i="120"/>
  <c r="R108" i="120"/>
  <c r="AH144" i="120"/>
  <c r="AH143" i="120"/>
  <c r="AH142" i="120"/>
  <c r="AH141" i="120"/>
  <c r="AH140" i="120"/>
  <c r="AH139" i="120"/>
  <c r="AH133" i="120"/>
  <c r="AH132" i="120"/>
  <c r="AH131" i="120"/>
  <c r="AH130" i="120"/>
  <c r="AH129" i="120"/>
  <c r="AH128" i="120"/>
  <c r="AH120" i="120"/>
  <c r="AH119" i="120"/>
  <c r="AH118" i="120"/>
  <c r="AH116" i="120"/>
  <c r="AH115" i="120"/>
  <c r="AH117" i="120"/>
  <c r="E270" i="658" l="1"/>
  <c r="E288" i="658"/>
  <c r="F265" i="658"/>
  <c r="T53" i="120"/>
  <c r="F281" i="658"/>
  <c r="N50" i="120"/>
  <c r="G222" i="658"/>
  <c r="G431" i="658" s="1"/>
  <c r="G229" i="658"/>
  <c r="G231" i="658"/>
  <c r="U23" i="120"/>
  <c r="G263" i="658"/>
  <c r="U51" i="120"/>
  <c r="G265" i="658"/>
  <c r="U53" i="120"/>
  <c r="G267" i="658"/>
  <c r="U55" i="120"/>
  <c r="G270" i="658"/>
  <c r="G272" i="658"/>
  <c r="G274" i="658"/>
  <c r="G277" i="658"/>
  <c r="G279" i="658"/>
  <c r="G281" i="658"/>
  <c r="G284" i="658"/>
  <c r="G286" i="658"/>
  <c r="G288" i="658"/>
  <c r="O50" i="120"/>
  <c r="E267" i="658"/>
  <c r="S55" i="120"/>
  <c r="M50" i="120"/>
  <c r="F222" i="658"/>
  <c r="F431" i="658" s="1"/>
  <c r="F274" i="658"/>
  <c r="H222" i="658"/>
  <c r="H431" i="658" s="1"/>
  <c r="H229" i="658"/>
  <c r="H231" i="658"/>
  <c r="V23" i="120"/>
  <c r="H263" i="658"/>
  <c r="V51" i="120"/>
  <c r="H265" i="658"/>
  <c r="V53" i="120"/>
  <c r="H267" i="658"/>
  <c r="V55" i="120"/>
  <c r="H270" i="658"/>
  <c r="H272" i="658"/>
  <c r="H274" i="658"/>
  <c r="H277" i="658"/>
  <c r="H279" i="658"/>
  <c r="H281" i="658"/>
  <c r="H284" i="658"/>
  <c r="H286" i="658"/>
  <c r="H288" i="658"/>
  <c r="P50" i="120"/>
  <c r="E263" i="658"/>
  <c r="S51" i="120"/>
  <c r="E265" i="658"/>
  <c r="S53" i="120"/>
  <c r="E286" i="658"/>
  <c r="T23" i="120"/>
  <c r="F288" i="658"/>
  <c r="I222" i="658"/>
  <c r="I267" i="658"/>
  <c r="W55" i="120"/>
  <c r="I281" i="658"/>
  <c r="D221" i="658"/>
  <c r="R6" i="120"/>
  <c r="R12" i="120"/>
  <c r="D227" i="658"/>
  <c r="D230" i="658"/>
  <c r="D232" i="658"/>
  <c r="R24" i="120"/>
  <c r="D264" i="658"/>
  <c r="R52" i="120"/>
  <c r="D266" i="658"/>
  <c r="R54" i="120"/>
  <c r="D268" i="658"/>
  <c r="R56" i="120"/>
  <c r="D271" i="658"/>
  <c r="D273" i="658"/>
  <c r="D276" i="658"/>
  <c r="D278" i="658"/>
  <c r="D280" i="658"/>
  <c r="D283" i="658"/>
  <c r="D285" i="658"/>
  <c r="D287" i="658"/>
  <c r="E229" i="658"/>
  <c r="E279" i="658"/>
  <c r="F272" i="658"/>
  <c r="I231" i="658"/>
  <c r="I277" i="658"/>
  <c r="E221" i="658"/>
  <c r="S6" i="120"/>
  <c r="E227" i="658"/>
  <c r="S12" i="120"/>
  <c r="E230" i="658"/>
  <c r="E232" i="658"/>
  <c r="S24" i="120"/>
  <c r="E264" i="658"/>
  <c r="S52" i="120"/>
  <c r="E266" i="658"/>
  <c r="S54" i="120"/>
  <c r="E268" i="658"/>
  <c r="S56" i="120"/>
  <c r="E271" i="658"/>
  <c r="E273" i="658"/>
  <c r="E276" i="658"/>
  <c r="E278" i="658"/>
  <c r="E280" i="658"/>
  <c r="E283" i="658"/>
  <c r="E285" i="658"/>
  <c r="E287" i="658"/>
  <c r="E274" i="658"/>
  <c r="F263" i="658"/>
  <c r="T51" i="120"/>
  <c r="F286" i="658"/>
  <c r="I265" i="658"/>
  <c r="W53" i="120"/>
  <c r="I284" i="658"/>
  <c r="F221" i="658"/>
  <c r="T6" i="120"/>
  <c r="F227" i="658"/>
  <c r="T12" i="120"/>
  <c r="F230" i="658"/>
  <c r="F232" i="658"/>
  <c r="T24" i="120"/>
  <c r="F264" i="658"/>
  <c r="T52" i="120"/>
  <c r="F266" i="658"/>
  <c r="T54" i="120"/>
  <c r="F268" i="658"/>
  <c r="T56" i="120"/>
  <c r="F271" i="658"/>
  <c r="F273" i="658"/>
  <c r="F276" i="658"/>
  <c r="F278" i="658"/>
  <c r="F280" i="658"/>
  <c r="F283" i="658"/>
  <c r="F285" i="658"/>
  <c r="F287" i="658"/>
  <c r="E222" i="658"/>
  <c r="E431" i="658" s="1"/>
  <c r="E277" i="658"/>
  <c r="F231" i="658"/>
  <c r="F284" i="658"/>
  <c r="I229" i="658"/>
  <c r="I274" i="658"/>
  <c r="G221" i="658"/>
  <c r="U6" i="120"/>
  <c r="G227" i="658"/>
  <c r="U12" i="120"/>
  <c r="G230" i="658"/>
  <c r="G232" i="658"/>
  <c r="U24" i="120"/>
  <c r="G264" i="658"/>
  <c r="U52" i="120"/>
  <c r="G266" i="658"/>
  <c r="U54" i="120"/>
  <c r="G268" i="658"/>
  <c r="U56" i="120"/>
  <c r="G271" i="658"/>
  <c r="G273" i="658"/>
  <c r="G276" i="658"/>
  <c r="G278" i="658"/>
  <c r="G280" i="658"/>
  <c r="G283" i="658"/>
  <c r="G285" i="658"/>
  <c r="G287" i="658"/>
  <c r="E231" i="658"/>
  <c r="E284" i="658"/>
  <c r="F229" i="658"/>
  <c r="F277" i="658"/>
  <c r="I270" i="658"/>
  <c r="I288" i="658"/>
  <c r="H221" i="658"/>
  <c r="V6" i="120"/>
  <c r="H227" i="658"/>
  <c r="V12" i="120"/>
  <c r="H230" i="658"/>
  <c r="H232" i="658"/>
  <c r="V24" i="120"/>
  <c r="H264" i="658"/>
  <c r="V52" i="120"/>
  <c r="H266" i="658"/>
  <c r="V54" i="120"/>
  <c r="H268" i="658"/>
  <c r="V56" i="120"/>
  <c r="H271" i="658"/>
  <c r="H273" i="658"/>
  <c r="H276" i="658"/>
  <c r="H278" i="658"/>
  <c r="H280" i="658"/>
  <c r="H283" i="658"/>
  <c r="H285" i="658"/>
  <c r="H287" i="658"/>
  <c r="S23" i="120"/>
  <c r="E281" i="658"/>
  <c r="F270" i="658"/>
  <c r="F279" i="658"/>
  <c r="W23" i="120"/>
  <c r="I272" i="658"/>
  <c r="I286" i="658"/>
  <c r="I221" i="658"/>
  <c r="I432" i="658" s="1"/>
  <c r="W6" i="120"/>
  <c r="I227" i="658"/>
  <c r="W12" i="120"/>
  <c r="I230" i="658"/>
  <c r="I232" i="658"/>
  <c r="W24" i="120"/>
  <c r="I264" i="658"/>
  <c r="W52" i="120"/>
  <c r="I266" i="658"/>
  <c r="W54" i="120"/>
  <c r="I268" i="658"/>
  <c r="W56" i="120"/>
  <c r="I271" i="658"/>
  <c r="I273" i="658"/>
  <c r="I276" i="658"/>
  <c r="I278" i="658"/>
  <c r="I280" i="658"/>
  <c r="I283" i="658"/>
  <c r="I285" i="658"/>
  <c r="I287" i="658"/>
  <c r="E272" i="658"/>
  <c r="F267" i="658"/>
  <c r="T55" i="120"/>
  <c r="I263" i="658"/>
  <c r="W51" i="120"/>
  <c r="I279" i="658"/>
  <c r="D222" i="658"/>
  <c r="D229" i="658"/>
  <c r="D231" i="658"/>
  <c r="R23" i="120"/>
  <c r="D263" i="658"/>
  <c r="R51" i="120"/>
  <c r="D265" i="658"/>
  <c r="R53" i="120"/>
  <c r="D267" i="658"/>
  <c r="R55" i="120"/>
  <c r="D270" i="658"/>
  <c r="D272" i="658"/>
  <c r="D274" i="658"/>
  <c r="D277" i="658"/>
  <c r="D279" i="658"/>
  <c r="D281" i="658"/>
  <c r="D284" i="658"/>
  <c r="D286" i="658"/>
  <c r="D288" i="658"/>
  <c r="I92" i="120"/>
  <c r="I78" i="120"/>
  <c r="I5" i="120"/>
  <c r="H14" i="120"/>
  <c r="H92" i="120"/>
  <c r="G65" i="120"/>
  <c r="G92" i="120"/>
  <c r="G99" i="120"/>
  <c r="F5" i="120"/>
  <c r="F78" i="120"/>
  <c r="F14" i="120"/>
  <c r="F92" i="120"/>
  <c r="F99" i="120"/>
  <c r="E78" i="120"/>
  <c r="E65" i="120"/>
  <c r="E92" i="120"/>
  <c r="E99" i="120"/>
  <c r="E14" i="120"/>
  <c r="J101" i="120"/>
  <c r="J98" i="120"/>
  <c r="J89" i="120"/>
  <c r="J103" i="120"/>
  <c r="J96" i="120"/>
  <c r="J94" i="120"/>
  <c r="J91" i="120"/>
  <c r="I99" i="120"/>
  <c r="Q12" i="120"/>
  <c r="Q24" i="120"/>
  <c r="Q52" i="120"/>
  <c r="Q54" i="120"/>
  <c r="Q56" i="120"/>
  <c r="Q6" i="120"/>
  <c r="Q23" i="120"/>
  <c r="X108" i="120"/>
  <c r="J108" i="120"/>
  <c r="L50" i="120"/>
  <c r="G14" i="120"/>
  <c r="Q51" i="120"/>
  <c r="K50" i="120"/>
  <c r="Q53" i="120"/>
  <c r="Q55" i="120"/>
  <c r="H99" i="120"/>
  <c r="H78" i="120"/>
  <c r="H5" i="120"/>
  <c r="I14" i="120"/>
  <c r="I65" i="120"/>
  <c r="I50" i="120"/>
  <c r="I86" i="120"/>
  <c r="I71" i="120"/>
  <c r="H65" i="120"/>
  <c r="H50" i="120"/>
  <c r="H86" i="120"/>
  <c r="H71" i="120"/>
  <c r="J56" i="120"/>
  <c r="J105" i="120"/>
  <c r="G71" i="120"/>
  <c r="G86" i="120"/>
  <c r="G50" i="120"/>
  <c r="G78" i="120"/>
  <c r="J102" i="120"/>
  <c r="G5" i="120"/>
  <c r="J67" i="120"/>
  <c r="F50" i="120"/>
  <c r="J69" i="120"/>
  <c r="F86" i="120"/>
  <c r="F71" i="120"/>
  <c r="F65" i="120"/>
  <c r="J6" i="120"/>
  <c r="J16" i="120"/>
  <c r="J18" i="120"/>
  <c r="J52" i="120"/>
  <c r="J54" i="120"/>
  <c r="J74" i="120"/>
  <c r="J76" i="120"/>
  <c r="J81" i="120"/>
  <c r="J83" i="120"/>
  <c r="E5" i="120"/>
  <c r="E86" i="120"/>
  <c r="E71" i="120"/>
  <c r="J7" i="120"/>
  <c r="J17" i="120"/>
  <c r="J68" i="120"/>
  <c r="J70" i="120"/>
  <c r="J73" i="120"/>
  <c r="J75" i="120"/>
  <c r="J77" i="120"/>
  <c r="J80" i="120"/>
  <c r="J82" i="120"/>
  <c r="J84" i="120"/>
  <c r="J88" i="120"/>
  <c r="J90" i="120"/>
  <c r="J95" i="120"/>
  <c r="J97" i="120"/>
  <c r="J104" i="120"/>
  <c r="E50" i="120"/>
  <c r="D71" i="120"/>
  <c r="J72" i="120"/>
  <c r="D78" i="120"/>
  <c r="J79" i="120"/>
  <c r="J24" i="120"/>
  <c r="J12" i="120"/>
  <c r="J87" i="120"/>
  <c r="D86" i="120"/>
  <c r="J23" i="120"/>
  <c r="J55" i="120"/>
  <c r="D92" i="120"/>
  <c r="J93" i="120"/>
  <c r="J100" i="120"/>
  <c r="D99" i="120"/>
  <c r="D14" i="120"/>
  <c r="J15" i="120"/>
  <c r="J66" i="120"/>
  <c r="D65" i="120"/>
  <c r="J53" i="120"/>
  <c r="D50" i="120"/>
  <c r="J51" i="120"/>
  <c r="D5" i="120"/>
  <c r="I26" i="654"/>
  <c r="H26" i="654"/>
  <c r="G26" i="654"/>
  <c r="F26" i="654"/>
  <c r="E26" i="654"/>
  <c r="D26" i="654"/>
  <c r="I25" i="654"/>
  <c r="H25" i="654"/>
  <c r="G25" i="654"/>
  <c r="F25" i="654"/>
  <c r="E25" i="654"/>
  <c r="D25" i="654"/>
  <c r="I26" i="653"/>
  <c r="H26" i="653"/>
  <c r="G26" i="653"/>
  <c r="F26" i="653"/>
  <c r="E26" i="653"/>
  <c r="D26" i="653"/>
  <c r="I25" i="653"/>
  <c r="H25" i="653"/>
  <c r="G25" i="653"/>
  <c r="F25" i="653"/>
  <c r="E25" i="653"/>
  <c r="D25" i="653"/>
  <c r="I26" i="658"/>
  <c r="H26" i="658"/>
  <c r="G26" i="658"/>
  <c r="F26" i="658"/>
  <c r="I25" i="658"/>
  <c r="H25" i="658"/>
  <c r="G25" i="658"/>
  <c r="F25" i="658"/>
  <c r="E25" i="658"/>
  <c r="D25" i="658"/>
  <c r="I25" i="508"/>
  <c r="H25" i="508"/>
  <c r="G25" i="508"/>
  <c r="F25" i="508"/>
  <c r="E25" i="508"/>
  <c r="D25" i="508"/>
  <c r="I26" i="502"/>
  <c r="H26" i="502"/>
  <c r="G26" i="502"/>
  <c r="F26" i="502"/>
  <c r="E26" i="502"/>
  <c r="I25" i="502"/>
  <c r="H25" i="502"/>
  <c r="G25" i="502"/>
  <c r="F25" i="502"/>
  <c r="E25" i="502"/>
  <c r="D26" i="502"/>
  <c r="D25" i="502"/>
  <c r="I18" i="651"/>
  <c r="H18" i="651"/>
  <c r="G18" i="651"/>
  <c r="F18" i="651"/>
  <c r="E18" i="651"/>
  <c r="D18" i="651"/>
  <c r="D7" i="651"/>
  <c r="D20" i="651" s="1"/>
  <c r="D8" i="651"/>
  <c r="I21" i="651" s="1"/>
  <c r="D9" i="651"/>
  <c r="D25" i="651" s="1"/>
  <c r="D10" i="651"/>
  <c r="D30" i="651" s="1"/>
  <c r="D11" i="651"/>
  <c r="D37" i="651" s="1"/>
  <c r="D12" i="651"/>
  <c r="D14" i="651"/>
  <c r="D15" i="651"/>
  <c r="I18" i="652"/>
  <c r="H18" i="652"/>
  <c r="G18" i="652"/>
  <c r="F18" i="652"/>
  <c r="E18" i="652"/>
  <c r="D18" i="652"/>
  <c r="I18" i="656"/>
  <c r="H18" i="656"/>
  <c r="G18" i="656"/>
  <c r="F18" i="656"/>
  <c r="E18" i="656"/>
  <c r="D18" i="656"/>
  <c r="J18" i="212"/>
  <c r="I28" i="481"/>
  <c r="H28" i="481"/>
  <c r="G28" i="481"/>
  <c r="F28" i="481"/>
  <c r="E28" i="481"/>
  <c r="D28" i="481"/>
  <c r="J139" i="482"/>
  <c r="I139" i="482"/>
  <c r="H139" i="482"/>
  <c r="G139" i="482"/>
  <c r="F139" i="482"/>
  <c r="E139" i="482"/>
  <c r="D139" i="482"/>
  <c r="J138" i="482"/>
  <c r="I138" i="482"/>
  <c r="H138" i="482"/>
  <c r="G138" i="482"/>
  <c r="F138" i="482"/>
  <c r="E138" i="482"/>
  <c r="D138" i="482"/>
  <c r="J137" i="482"/>
  <c r="I137" i="482"/>
  <c r="H137" i="482"/>
  <c r="G137" i="482"/>
  <c r="F137" i="482"/>
  <c r="E137" i="482"/>
  <c r="D137" i="482"/>
  <c r="J136" i="482"/>
  <c r="I136" i="482"/>
  <c r="H136" i="482"/>
  <c r="G136" i="482"/>
  <c r="F136" i="482"/>
  <c r="E136" i="482"/>
  <c r="D136" i="482"/>
  <c r="J135" i="482"/>
  <c r="I135" i="482"/>
  <c r="H135" i="482"/>
  <c r="G135" i="482"/>
  <c r="F135" i="482"/>
  <c r="E135" i="482"/>
  <c r="D135" i="482"/>
  <c r="J134" i="482"/>
  <c r="I134" i="482"/>
  <c r="H134" i="482"/>
  <c r="G134" i="482"/>
  <c r="F134" i="482"/>
  <c r="E134" i="482"/>
  <c r="D134" i="482"/>
  <c r="J133" i="482"/>
  <c r="I133" i="482"/>
  <c r="H133" i="482"/>
  <c r="G133" i="482"/>
  <c r="F133" i="482"/>
  <c r="E133" i="482"/>
  <c r="D133" i="482"/>
  <c r="I28" i="482"/>
  <c r="H28" i="482"/>
  <c r="G28" i="482"/>
  <c r="F28" i="482"/>
  <c r="E28" i="482"/>
  <c r="D28" i="482"/>
  <c r="J139" i="481"/>
  <c r="I139" i="481"/>
  <c r="H139" i="481"/>
  <c r="G139" i="481"/>
  <c r="F139" i="481"/>
  <c r="E139" i="481"/>
  <c r="D139" i="481"/>
  <c r="J138" i="481"/>
  <c r="I138" i="481"/>
  <c r="H138" i="481"/>
  <c r="G138" i="481"/>
  <c r="F138" i="481"/>
  <c r="E138" i="481"/>
  <c r="D138" i="481"/>
  <c r="J137" i="481"/>
  <c r="I137" i="481"/>
  <c r="H137" i="481"/>
  <c r="G137" i="481"/>
  <c r="F137" i="481"/>
  <c r="E137" i="481"/>
  <c r="D137" i="481"/>
  <c r="J136" i="481"/>
  <c r="I136" i="481"/>
  <c r="H136" i="481"/>
  <c r="G136" i="481"/>
  <c r="F136" i="481"/>
  <c r="E136" i="481"/>
  <c r="D136" i="481"/>
  <c r="J135" i="481"/>
  <c r="I135" i="481"/>
  <c r="H135" i="481"/>
  <c r="G135" i="481"/>
  <c r="F135" i="481"/>
  <c r="E135" i="481"/>
  <c r="D135" i="481"/>
  <c r="J134" i="481"/>
  <c r="I134" i="481"/>
  <c r="H134" i="481"/>
  <c r="G134" i="481"/>
  <c r="F134" i="481"/>
  <c r="E134" i="481"/>
  <c r="D134" i="481"/>
  <c r="J133" i="481"/>
  <c r="I133" i="481"/>
  <c r="H133" i="481"/>
  <c r="G133" i="481"/>
  <c r="F133" i="481"/>
  <c r="E133" i="481"/>
  <c r="D133" i="481"/>
  <c r="C77" i="480"/>
  <c r="C76" i="480"/>
  <c r="C75" i="480"/>
  <c r="C74" i="480"/>
  <c r="C73" i="480"/>
  <c r="C72" i="480"/>
  <c r="C71" i="480"/>
  <c r="I28" i="480"/>
  <c r="H28" i="480"/>
  <c r="G28" i="480"/>
  <c r="F28" i="480"/>
  <c r="E28" i="480"/>
  <c r="D28" i="480"/>
  <c r="J139" i="480"/>
  <c r="I139" i="480"/>
  <c r="H139" i="480"/>
  <c r="G139" i="480"/>
  <c r="F139" i="480"/>
  <c r="E139" i="480"/>
  <c r="D139" i="480"/>
  <c r="J138" i="480"/>
  <c r="I138" i="480"/>
  <c r="H138" i="480"/>
  <c r="G138" i="480"/>
  <c r="F138" i="480"/>
  <c r="E138" i="480"/>
  <c r="D138" i="480"/>
  <c r="J137" i="480"/>
  <c r="I137" i="480"/>
  <c r="H137" i="480"/>
  <c r="G137" i="480"/>
  <c r="F137" i="480"/>
  <c r="E137" i="480"/>
  <c r="D137" i="480"/>
  <c r="J136" i="480"/>
  <c r="I136" i="480"/>
  <c r="H136" i="480"/>
  <c r="G136" i="480"/>
  <c r="F136" i="480"/>
  <c r="E136" i="480"/>
  <c r="D136" i="480"/>
  <c r="J135" i="480"/>
  <c r="I135" i="480"/>
  <c r="H135" i="480"/>
  <c r="G135" i="480"/>
  <c r="F135" i="480"/>
  <c r="E135" i="480"/>
  <c r="D135" i="480"/>
  <c r="J134" i="480"/>
  <c r="I134" i="480"/>
  <c r="H134" i="480"/>
  <c r="G134" i="480"/>
  <c r="F134" i="480"/>
  <c r="E134" i="480"/>
  <c r="D134" i="480"/>
  <c r="J133" i="480"/>
  <c r="I133" i="480"/>
  <c r="H133" i="480"/>
  <c r="G133" i="480"/>
  <c r="F133" i="480"/>
  <c r="E133" i="480"/>
  <c r="D133" i="480"/>
  <c r="J132" i="480"/>
  <c r="I132" i="480"/>
  <c r="H132" i="480"/>
  <c r="G132" i="480"/>
  <c r="F132" i="480"/>
  <c r="E132" i="480"/>
  <c r="D132" i="480"/>
  <c r="J139" i="506"/>
  <c r="I139" i="506"/>
  <c r="H139" i="506"/>
  <c r="G139" i="506"/>
  <c r="F139" i="506"/>
  <c r="E139" i="506"/>
  <c r="D139" i="506"/>
  <c r="J138" i="506"/>
  <c r="I138" i="506"/>
  <c r="H138" i="506"/>
  <c r="G138" i="506"/>
  <c r="F138" i="506"/>
  <c r="E138" i="506"/>
  <c r="D138" i="506"/>
  <c r="J137" i="506"/>
  <c r="I137" i="506"/>
  <c r="H137" i="506"/>
  <c r="G137" i="506"/>
  <c r="F137" i="506"/>
  <c r="E137" i="506"/>
  <c r="D137" i="506"/>
  <c r="J136" i="506"/>
  <c r="I136" i="506"/>
  <c r="H136" i="506"/>
  <c r="G136" i="506"/>
  <c r="F136" i="506"/>
  <c r="E136" i="506"/>
  <c r="D136" i="506"/>
  <c r="J135" i="506"/>
  <c r="I135" i="506"/>
  <c r="H135" i="506"/>
  <c r="G135" i="506"/>
  <c r="F135" i="506"/>
  <c r="E135" i="506"/>
  <c r="D135" i="506"/>
  <c r="J134" i="506"/>
  <c r="I134" i="506"/>
  <c r="H134" i="506"/>
  <c r="G134" i="506"/>
  <c r="F134" i="506"/>
  <c r="E134" i="506"/>
  <c r="D134" i="506"/>
  <c r="J133" i="506"/>
  <c r="I133" i="506"/>
  <c r="H133" i="506"/>
  <c r="G133" i="506"/>
  <c r="F133" i="506"/>
  <c r="E133" i="506"/>
  <c r="D133" i="506"/>
  <c r="J139" i="498"/>
  <c r="I139" i="498"/>
  <c r="H139" i="498"/>
  <c r="G139" i="498"/>
  <c r="F139" i="498"/>
  <c r="E139" i="498"/>
  <c r="D139" i="498"/>
  <c r="J138" i="498"/>
  <c r="I138" i="498"/>
  <c r="H138" i="498"/>
  <c r="G138" i="498"/>
  <c r="F138" i="498"/>
  <c r="E138" i="498"/>
  <c r="D138" i="498"/>
  <c r="J137" i="498"/>
  <c r="I137" i="498"/>
  <c r="H137" i="498"/>
  <c r="G137" i="498"/>
  <c r="F137" i="498"/>
  <c r="E137" i="498"/>
  <c r="D137" i="498"/>
  <c r="J136" i="498"/>
  <c r="I136" i="498"/>
  <c r="H136" i="498"/>
  <c r="G136" i="498"/>
  <c r="F136" i="498"/>
  <c r="E136" i="498"/>
  <c r="D136" i="498"/>
  <c r="J135" i="498"/>
  <c r="I135" i="498"/>
  <c r="H135" i="498"/>
  <c r="G135" i="498"/>
  <c r="F135" i="498"/>
  <c r="E135" i="498"/>
  <c r="D135" i="498"/>
  <c r="J134" i="498"/>
  <c r="I134" i="498"/>
  <c r="H134" i="498"/>
  <c r="G134" i="498"/>
  <c r="F134" i="498"/>
  <c r="E134" i="498"/>
  <c r="D134" i="498"/>
  <c r="J133" i="498"/>
  <c r="I133" i="498"/>
  <c r="H133" i="498"/>
  <c r="G133" i="498"/>
  <c r="F133" i="498"/>
  <c r="E133" i="498"/>
  <c r="D133" i="498"/>
  <c r="G220" i="658" l="1"/>
  <c r="S50" i="120"/>
  <c r="U50" i="120"/>
  <c r="D347" i="653"/>
  <c r="F347" i="653"/>
  <c r="G347" i="653"/>
  <c r="H347" i="653"/>
  <c r="I347" i="653"/>
  <c r="E347" i="653"/>
  <c r="H220" i="658"/>
  <c r="F220" i="658"/>
  <c r="W50" i="120"/>
  <c r="T50" i="120"/>
  <c r="J284" i="658"/>
  <c r="E87" i="651"/>
  <c r="H84" i="651"/>
  <c r="F82" i="651"/>
  <c r="I78" i="651"/>
  <c r="G76" i="651"/>
  <c r="E73" i="651"/>
  <c r="H70" i="651"/>
  <c r="D83" i="651"/>
  <c r="D75" i="651"/>
  <c r="I86" i="651"/>
  <c r="G84" i="651"/>
  <c r="E82" i="651"/>
  <c r="H78" i="651"/>
  <c r="F76" i="651"/>
  <c r="I72" i="651"/>
  <c r="G70" i="651"/>
  <c r="D80" i="651"/>
  <c r="D69" i="651"/>
  <c r="H86" i="651"/>
  <c r="F84" i="651"/>
  <c r="I80" i="651"/>
  <c r="G78" i="651"/>
  <c r="E76" i="651"/>
  <c r="H72" i="651"/>
  <c r="F70" i="651"/>
  <c r="D79" i="651"/>
  <c r="G86" i="651"/>
  <c r="E84" i="651"/>
  <c r="H80" i="651"/>
  <c r="F78" i="651"/>
  <c r="I75" i="651"/>
  <c r="G72" i="651"/>
  <c r="E70" i="651"/>
  <c r="D78" i="651"/>
  <c r="F86" i="651"/>
  <c r="I83" i="651"/>
  <c r="G80" i="651"/>
  <c r="E78" i="651"/>
  <c r="H75" i="651"/>
  <c r="F72" i="651"/>
  <c r="I69" i="651"/>
  <c r="D77" i="651"/>
  <c r="E86" i="651"/>
  <c r="H83" i="651"/>
  <c r="F80" i="651"/>
  <c r="I77" i="651"/>
  <c r="G75" i="651"/>
  <c r="E72" i="651"/>
  <c r="H69" i="651"/>
  <c r="D76" i="651"/>
  <c r="I85" i="651"/>
  <c r="G83" i="651"/>
  <c r="E80" i="651"/>
  <c r="H77" i="651"/>
  <c r="F75" i="651"/>
  <c r="I71" i="651"/>
  <c r="G69" i="651"/>
  <c r="D73" i="651"/>
  <c r="H85" i="651"/>
  <c r="F83" i="651"/>
  <c r="I79" i="651"/>
  <c r="G77" i="651"/>
  <c r="E75" i="651"/>
  <c r="H71" i="651"/>
  <c r="F69" i="651"/>
  <c r="D72" i="651"/>
  <c r="I87" i="651"/>
  <c r="G85" i="651"/>
  <c r="E83" i="651"/>
  <c r="H79" i="651"/>
  <c r="F77" i="651"/>
  <c r="I73" i="651"/>
  <c r="G71" i="651"/>
  <c r="E69" i="651"/>
  <c r="D71" i="651"/>
  <c r="H87" i="651"/>
  <c r="F85" i="651"/>
  <c r="I82" i="651"/>
  <c r="G79" i="651"/>
  <c r="E77" i="651"/>
  <c r="H73" i="651"/>
  <c r="F71" i="651"/>
  <c r="D87" i="651"/>
  <c r="D70" i="651"/>
  <c r="F87" i="651"/>
  <c r="I84" i="651"/>
  <c r="G82" i="651"/>
  <c r="E79" i="651"/>
  <c r="H76" i="651"/>
  <c r="F73" i="651"/>
  <c r="I70" i="651"/>
  <c r="D85" i="651"/>
  <c r="D82" i="651"/>
  <c r="E85" i="651"/>
  <c r="H82" i="651"/>
  <c r="F79" i="651"/>
  <c r="I76" i="651"/>
  <c r="G73" i="651"/>
  <c r="E71" i="651"/>
  <c r="D86" i="651"/>
  <c r="D84" i="651"/>
  <c r="G87" i="651"/>
  <c r="J231" i="658"/>
  <c r="F269" i="658"/>
  <c r="F423" i="658" s="1"/>
  <c r="E220" i="658"/>
  <c r="G269" i="658"/>
  <c r="G423" i="658" s="1"/>
  <c r="F290" i="658"/>
  <c r="H262" i="658"/>
  <c r="H426" i="658" s="1"/>
  <c r="J292" i="658"/>
  <c r="I228" i="658"/>
  <c r="I429" i="658" s="1"/>
  <c r="H290" i="658"/>
  <c r="V50" i="120"/>
  <c r="J265" i="658"/>
  <c r="Q50" i="120"/>
  <c r="J308" i="658"/>
  <c r="J297" i="658"/>
  <c r="D296" i="658"/>
  <c r="I296" i="658"/>
  <c r="J300" i="658"/>
  <c r="J263" i="658"/>
  <c r="D262" i="658"/>
  <c r="J304" i="658"/>
  <c r="D303" i="658"/>
  <c r="J273" i="658"/>
  <c r="J294" i="658"/>
  <c r="J287" i="658"/>
  <c r="R50" i="120"/>
  <c r="J280" i="658"/>
  <c r="G296" i="658"/>
  <c r="J222" i="658"/>
  <c r="J431" i="658" s="1"/>
  <c r="I262" i="658"/>
  <c r="I426" i="658" s="1"/>
  <c r="I269" i="658"/>
  <c r="I423" i="658" s="1"/>
  <c r="J264" i="658"/>
  <c r="G303" i="658"/>
  <c r="J299" i="658"/>
  <c r="J286" i="658"/>
  <c r="G58" i="120"/>
  <c r="J279" i="658"/>
  <c r="J272" i="658"/>
  <c r="H282" i="658"/>
  <c r="H425" i="658" s="1"/>
  <c r="H275" i="658"/>
  <c r="H424" i="658" s="1"/>
  <c r="H228" i="658"/>
  <c r="H429" i="658" s="1"/>
  <c r="E303" i="658"/>
  <c r="J295" i="658"/>
  <c r="J307" i="658"/>
  <c r="J268" i="658"/>
  <c r="J306" i="658"/>
  <c r="I282" i="658"/>
  <c r="I425" i="658" s="1"/>
  <c r="I275" i="658"/>
  <c r="I424" i="658" s="1"/>
  <c r="J288" i="658"/>
  <c r="F228" i="658"/>
  <c r="G282" i="658"/>
  <c r="G425" i="658" s="1"/>
  <c r="G275" i="658"/>
  <c r="G424" i="658" s="1"/>
  <c r="F275" i="658"/>
  <c r="F424" i="658" s="1"/>
  <c r="J291" i="658"/>
  <c r="D290" i="658"/>
  <c r="J283" i="658"/>
  <c r="D282" i="658"/>
  <c r="D275" i="658"/>
  <c r="J276" i="658"/>
  <c r="J230" i="658"/>
  <c r="H296" i="658"/>
  <c r="E269" i="658"/>
  <c r="E423" i="658" s="1"/>
  <c r="I303" i="658"/>
  <c r="F282" i="658"/>
  <c r="F425" i="658" s="1"/>
  <c r="E296" i="658"/>
  <c r="J267" i="658"/>
  <c r="I290" i="658"/>
  <c r="I220" i="658"/>
  <c r="G290" i="658"/>
  <c r="J302" i="658"/>
  <c r="J221" i="658"/>
  <c r="J432" i="658" s="1"/>
  <c r="D220" i="658"/>
  <c r="G262" i="658"/>
  <c r="G426" i="658" s="1"/>
  <c r="J301" i="658"/>
  <c r="J281" i="658"/>
  <c r="J274" i="658"/>
  <c r="J229" i="658"/>
  <c r="D228" i="658"/>
  <c r="F262" i="658"/>
  <c r="F426" i="658" s="1"/>
  <c r="E228" i="658"/>
  <c r="E429" i="658" s="1"/>
  <c r="E262" i="658"/>
  <c r="E426" i="658" s="1"/>
  <c r="H269" i="658"/>
  <c r="H423" i="658" s="1"/>
  <c r="F296" i="658"/>
  <c r="E282" i="658"/>
  <c r="E425" i="658" s="1"/>
  <c r="J298" i="658"/>
  <c r="J285" i="658"/>
  <c r="H303" i="658"/>
  <c r="F303" i="658"/>
  <c r="E290" i="658"/>
  <c r="E275" i="658"/>
  <c r="E424" i="658" s="1"/>
  <c r="J309" i="658"/>
  <c r="J278" i="658"/>
  <c r="J271" i="658"/>
  <c r="J266" i="658"/>
  <c r="G228" i="658"/>
  <c r="G429" i="658" s="1"/>
  <c r="J293" i="658"/>
  <c r="J232" i="658"/>
  <c r="J277" i="658"/>
  <c r="J270" i="658"/>
  <c r="D269" i="658"/>
  <c r="J305" i="658"/>
  <c r="J227" i="658"/>
  <c r="I431" i="658"/>
  <c r="H432" i="658"/>
  <c r="G432" i="658"/>
  <c r="F58" i="120"/>
  <c r="F432" i="658"/>
  <c r="J92" i="120"/>
  <c r="J14" i="120"/>
  <c r="E58" i="120"/>
  <c r="E432" i="658"/>
  <c r="D431" i="658"/>
  <c r="X23" i="120"/>
  <c r="X24" i="120"/>
  <c r="X56" i="120"/>
  <c r="X54" i="120"/>
  <c r="X52" i="120"/>
  <c r="D432" i="658"/>
  <c r="J99" i="120"/>
  <c r="J50" i="120"/>
  <c r="X55" i="120"/>
  <c r="X53" i="120"/>
  <c r="I58" i="120"/>
  <c r="H58" i="120"/>
  <c r="J5" i="120"/>
  <c r="J78" i="120"/>
  <c r="X6" i="120"/>
  <c r="J71" i="120"/>
  <c r="J86" i="120"/>
  <c r="X12" i="120"/>
  <c r="J65" i="120"/>
  <c r="D58" i="120"/>
  <c r="X51" i="120"/>
  <c r="E25" i="651"/>
  <c r="G26" i="651"/>
  <c r="G30" i="651"/>
  <c r="I30" i="651"/>
  <c r="F26" i="651"/>
  <c r="H30" i="651"/>
  <c r="H26" i="651"/>
  <c r="F31" i="651"/>
  <c r="E28" i="651"/>
  <c r="G31" i="651"/>
  <c r="G28" i="651"/>
  <c r="H31" i="651"/>
  <c r="H28" i="651"/>
  <c r="E37" i="651"/>
  <c r="I28" i="651"/>
  <c r="E20" i="651"/>
  <c r="F29" i="651"/>
  <c r="F21" i="651"/>
  <c r="G29" i="651"/>
  <c r="G21" i="651"/>
  <c r="H29" i="651"/>
  <c r="H21" i="651"/>
  <c r="E30" i="651"/>
  <c r="F20" i="651"/>
  <c r="F25" i="651"/>
  <c r="F28" i="651"/>
  <c r="F30" i="651"/>
  <c r="F35" i="651"/>
  <c r="F37" i="651"/>
  <c r="G20" i="651"/>
  <c r="G25" i="651"/>
  <c r="G35" i="651"/>
  <c r="G37" i="651"/>
  <c r="H20" i="651"/>
  <c r="H25" i="651"/>
  <c r="H35" i="651"/>
  <c r="H37" i="651"/>
  <c r="I20" i="651"/>
  <c r="I25" i="651"/>
  <c r="I35" i="651"/>
  <c r="I37" i="651"/>
  <c r="D21" i="651"/>
  <c r="D19" i="651" s="1"/>
  <c r="D26" i="651"/>
  <c r="D29" i="651"/>
  <c r="D31" i="651"/>
  <c r="D36" i="651"/>
  <c r="E21" i="651"/>
  <c r="E26" i="651"/>
  <c r="E29" i="651"/>
  <c r="E31" i="651"/>
  <c r="E36" i="651"/>
  <c r="F36" i="651"/>
  <c r="E35" i="651"/>
  <c r="G36" i="651"/>
  <c r="H36" i="651"/>
  <c r="I26" i="651"/>
  <c r="I29" i="651"/>
  <c r="I31" i="651"/>
  <c r="I36" i="651"/>
  <c r="D28" i="651"/>
  <c r="D35" i="651"/>
  <c r="I422" i="658" l="1"/>
  <c r="G422" i="658"/>
  <c r="J347" i="653"/>
  <c r="F422" i="658"/>
  <c r="H422" i="658"/>
  <c r="E422" i="658"/>
  <c r="G68" i="651"/>
  <c r="H81" i="651"/>
  <c r="G74" i="651"/>
  <c r="E81" i="651"/>
  <c r="F74" i="651"/>
  <c r="I74" i="651"/>
  <c r="I81" i="651"/>
  <c r="F68" i="651"/>
  <c r="I68" i="651"/>
  <c r="G81" i="651"/>
  <c r="E74" i="651"/>
  <c r="H74" i="651"/>
  <c r="F81" i="651"/>
  <c r="E68" i="651"/>
  <c r="H68" i="651"/>
  <c r="J220" i="658"/>
  <c r="J269" i="658"/>
  <c r="J423" i="658" s="1"/>
  <c r="J275" i="658"/>
  <c r="J424" i="658" s="1"/>
  <c r="F429" i="658"/>
  <c r="J262" i="658"/>
  <c r="J426" i="658" s="1"/>
  <c r="J296" i="658"/>
  <c r="J282" i="658"/>
  <c r="J425" i="658" s="1"/>
  <c r="J228" i="658"/>
  <c r="J429" i="658" s="1"/>
  <c r="J290" i="658"/>
  <c r="J303" i="658"/>
  <c r="D426" i="658"/>
  <c r="D424" i="658"/>
  <c r="D425" i="658"/>
  <c r="D422" i="658"/>
  <c r="D423" i="658"/>
  <c r="D429" i="658"/>
  <c r="X50" i="120"/>
  <c r="J58" i="120"/>
  <c r="E24" i="651"/>
  <c r="H24" i="651"/>
  <c r="G27" i="651"/>
  <c r="H27" i="651"/>
  <c r="G24" i="651"/>
  <c r="E19" i="651"/>
  <c r="J30" i="651"/>
  <c r="I27" i="651"/>
  <c r="E27" i="651"/>
  <c r="F24" i="651"/>
  <c r="J20" i="651"/>
  <c r="G19" i="651"/>
  <c r="F19" i="651"/>
  <c r="J35" i="651"/>
  <c r="J37" i="651"/>
  <c r="D27" i="651"/>
  <c r="J28" i="651"/>
  <c r="I24" i="651"/>
  <c r="H34" i="651"/>
  <c r="F27" i="651"/>
  <c r="D34" i="651"/>
  <c r="J36" i="651"/>
  <c r="J31" i="651"/>
  <c r="J29" i="651"/>
  <c r="J25" i="651"/>
  <c r="J26" i="651"/>
  <c r="D24" i="651"/>
  <c r="J21" i="651"/>
  <c r="G34" i="651"/>
  <c r="E34" i="651"/>
  <c r="F34" i="651"/>
  <c r="I34" i="651"/>
  <c r="J422" i="658" l="1"/>
  <c r="E23" i="651"/>
  <c r="H23" i="651"/>
  <c r="G23" i="651"/>
  <c r="I23" i="651"/>
  <c r="F23" i="651"/>
  <c r="J34" i="651"/>
  <c r="J24" i="651"/>
  <c r="D23" i="651"/>
  <c r="J27" i="651"/>
  <c r="AH22" i="129"/>
  <c r="AH23" i="129"/>
  <c r="AH24" i="129"/>
  <c r="AH11" i="129"/>
  <c r="AH12" i="129"/>
  <c r="J23" i="651" l="1"/>
  <c r="AI12" i="88" l="1"/>
  <c r="K12" i="62" s="1"/>
  <c r="AH12" i="88"/>
  <c r="J12" i="62" s="1"/>
  <c r="I12" i="62" s="1"/>
  <c r="AG12" i="88"/>
  <c r="AI11" i="88"/>
  <c r="K11" i="62" s="1"/>
  <c r="AH11" i="88"/>
  <c r="J11" i="62" s="1"/>
  <c r="I11" i="62" s="1"/>
  <c r="AG11" i="88"/>
  <c r="AI24" i="88"/>
  <c r="K24" i="62" s="1"/>
  <c r="AH24" i="88"/>
  <c r="J24" i="62" s="1"/>
  <c r="I24" i="62" s="1"/>
  <c r="AG24" i="88"/>
  <c r="AI23" i="88"/>
  <c r="K23" i="62" s="1"/>
  <c r="AH23" i="88"/>
  <c r="J23" i="62" s="1"/>
  <c r="AG23" i="88"/>
  <c r="AI22" i="88"/>
  <c r="K22" i="62" s="1"/>
  <c r="AH22" i="88"/>
  <c r="J22" i="62" s="1"/>
  <c r="I22" i="62" s="1"/>
  <c r="AG22" i="88"/>
  <c r="C12" i="62"/>
  <c r="C11" i="62"/>
  <c r="I24" i="633"/>
  <c r="H24" i="633"/>
  <c r="H35" i="445" s="1"/>
  <c r="G24" i="633"/>
  <c r="G35" i="445" s="1"/>
  <c r="F24" i="633"/>
  <c r="F35" i="445" s="1"/>
  <c r="E24" i="633"/>
  <c r="E35" i="445" s="1"/>
  <c r="D24" i="633"/>
  <c r="D35" i="445" s="1"/>
  <c r="I23" i="633"/>
  <c r="H23" i="633"/>
  <c r="H34" i="445" s="1"/>
  <c r="G23" i="633"/>
  <c r="G34" i="445" s="1"/>
  <c r="F23" i="633"/>
  <c r="F34" i="445" s="1"/>
  <c r="E23" i="633"/>
  <c r="E34" i="445" s="1"/>
  <c r="D23" i="633"/>
  <c r="D34" i="445" s="1"/>
  <c r="I12" i="633"/>
  <c r="H12" i="633"/>
  <c r="H24" i="445" s="1"/>
  <c r="G12" i="633"/>
  <c r="G24" i="445" s="1"/>
  <c r="F12" i="633"/>
  <c r="F24" i="445" s="1"/>
  <c r="E12" i="633"/>
  <c r="E24" i="445" s="1"/>
  <c r="D12" i="633"/>
  <c r="D24" i="445" s="1"/>
  <c r="H24" i="62"/>
  <c r="G24" i="62"/>
  <c r="F24" i="62"/>
  <c r="F23" i="62"/>
  <c r="E24" i="62"/>
  <c r="E23" i="62"/>
  <c r="G12" i="62"/>
  <c r="E12" i="62"/>
  <c r="C24" i="62"/>
  <c r="C23" i="62"/>
  <c r="C22" i="62"/>
  <c r="I34" i="445" l="1"/>
  <c r="I24" i="445"/>
  <c r="I35" i="445"/>
  <c r="H22" i="633"/>
  <c r="H33" i="445" s="1"/>
  <c r="H32" i="445" s="1"/>
  <c r="G22" i="633"/>
  <c r="G33" i="445" s="1"/>
  <c r="G32" i="445" s="1"/>
  <c r="Q12" i="62"/>
  <c r="I22" i="633"/>
  <c r="E11" i="633"/>
  <c r="E23" i="445" s="1"/>
  <c r="E22" i="445" s="1"/>
  <c r="I11" i="633"/>
  <c r="Q24" i="62"/>
  <c r="I23" i="62"/>
  <c r="P23" i="62"/>
  <c r="O23" i="62"/>
  <c r="O12" i="62"/>
  <c r="O24" i="62"/>
  <c r="P24" i="62"/>
  <c r="F11" i="633"/>
  <c r="F23" i="445" s="1"/>
  <c r="F22" i="445" s="1"/>
  <c r="G11" i="633"/>
  <c r="G23" i="445" s="1"/>
  <c r="G22" i="445" s="1"/>
  <c r="G22" i="62"/>
  <c r="Q22" i="62" s="1"/>
  <c r="H11" i="633"/>
  <c r="H23" i="445" s="1"/>
  <c r="H22" i="445" s="1"/>
  <c r="H11" i="62"/>
  <c r="D11" i="633"/>
  <c r="D23" i="445" s="1"/>
  <c r="G11" i="62"/>
  <c r="Q11" i="62" s="1"/>
  <c r="H23" i="62"/>
  <c r="F12" i="62"/>
  <c r="P12" i="62" s="1"/>
  <c r="E11" i="62"/>
  <c r="O11" i="62" s="1"/>
  <c r="G23" i="62"/>
  <c r="Q23" i="62" s="1"/>
  <c r="F11" i="62"/>
  <c r="P11" i="62" s="1"/>
  <c r="H12" i="62"/>
  <c r="AH106" i="145"/>
  <c r="AG106" i="145"/>
  <c r="AH105" i="145"/>
  <c r="AG105" i="145"/>
  <c r="AH104" i="145"/>
  <c r="AG104" i="145"/>
  <c r="AH103" i="145"/>
  <c r="AG103" i="145"/>
  <c r="AH102" i="145"/>
  <c r="AG102" i="145"/>
  <c r="AH101" i="145"/>
  <c r="AG101" i="145"/>
  <c r="AH100" i="145"/>
  <c r="AG100" i="145"/>
  <c r="AH99" i="145"/>
  <c r="AG99" i="145"/>
  <c r="AH98" i="145"/>
  <c r="AG98" i="145"/>
  <c r="AH97" i="145"/>
  <c r="AG97" i="145"/>
  <c r="AH96" i="145"/>
  <c r="AG96" i="145"/>
  <c r="AH95" i="145"/>
  <c r="AG95" i="145"/>
  <c r="AH94" i="145"/>
  <c r="AG94" i="145"/>
  <c r="AH93" i="145"/>
  <c r="AG93" i="145"/>
  <c r="AH92" i="145"/>
  <c r="AG92" i="145"/>
  <c r="AH91" i="145"/>
  <c r="AG91" i="145"/>
  <c r="AH90" i="145"/>
  <c r="AG90" i="145"/>
  <c r="AH89" i="145"/>
  <c r="AG89" i="145"/>
  <c r="AH88" i="145"/>
  <c r="AG88" i="145"/>
  <c r="AH87" i="145"/>
  <c r="AG87" i="145"/>
  <c r="AH86" i="145"/>
  <c r="AG86" i="145"/>
  <c r="AH85" i="145"/>
  <c r="AG85" i="145"/>
  <c r="AH84" i="145"/>
  <c r="AG84" i="145"/>
  <c r="AH83" i="145"/>
  <c r="AG83" i="145"/>
  <c r="AH82" i="145"/>
  <c r="AG82" i="145"/>
  <c r="AH81" i="145"/>
  <c r="AG81" i="145"/>
  <c r="AH80" i="145"/>
  <c r="AG80" i="145"/>
  <c r="AH79" i="145"/>
  <c r="AG79" i="145"/>
  <c r="AH78" i="145"/>
  <c r="AG78" i="145"/>
  <c r="AH77" i="145"/>
  <c r="AG77" i="145"/>
  <c r="AH76" i="145"/>
  <c r="AG76" i="145"/>
  <c r="AH75" i="145"/>
  <c r="AG75" i="145"/>
  <c r="AH74" i="145"/>
  <c r="AG74" i="145"/>
  <c r="AH73" i="145"/>
  <c r="AG73" i="145"/>
  <c r="AH72" i="145"/>
  <c r="AG72" i="145"/>
  <c r="AH71" i="145"/>
  <c r="AG71" i="145"/>
  <c r="AH70" i="145"/>
  <c r="AG70" i="145"/>
  <c r="AH69" i="145"/>
  <c r="AG69" i="145"/>
  <c r="AH68" i="145"/>
  <c r="AG68" i="145"/>
  <c r="AH67" i="145"/>
  <c r="AG67" i="145"/>
  <c r="AH66" i="145"/>
  <c r="AG66" i="145"/>
  <c r="AH65" i="145"/>
  <c r="AG65" i="145"/>
  <c r="AH56" i="145"/>
  <c r="AG56" i="145"/>
  <c r="AH55" i="145"/>
  <c r="AG55" i="145"/>
  <c r="AH54" i="145"/>
  <c r="AG54" i="145"/>
  <c r="AH53" i="145"/>
  <c r="AG53" i="145"/>
  <c r="AH52" i="145"/>
  <c r="AG52" i="145"/>
  <c r="AH51" i="145"/>
  <c r="AG51" i="145"/>
  <c r="AH50" i="145"/>
  <c r="AG50" i="145"/>
  <c r="AH48" i="145"/>
  <c r="AG48" i="145"/>
  <c r="AH47" i="145"/>
  <c r="AG47" i="145"/>
  <c r="AH46" i="145"/>
  <c r="AG46" i="145"/>
  <c r="AH45" i="145"/>
  <c r="AG45" i="145"/>
  <c r="AH44" i="145"/>
  <c r="AG44" i="145"/>
  <c r="AH43" i="145"/>
  <c r="AG43" i="145"/>
  <c r="AH42" i="145"/>
  <c r="AG42" i="145"/>
  <c r="AH41" i="145"/>
  <c r="AG41" i="145"/>
  <c r="AH40" i="145"/>
  <c r="AG40" i="145"/>
  <c r="AH39" i="145"/>
  <c r="AG39" i="145"/>
  <c r="AH38" i="145"/>
  <c r="AG38" i="145"/>
  <c r="AH37" i="145"/>
  <c r="AG37" i="145"/>
  <c r="AH36" i="145"/>
  <c r="AG36" i="145"/>
  <c r="AH35" i="145"/>
  <c r="AG35" i="145"/>
  <c r="AH34" i="145"/>
  <c r="AG34" i="145"/>
  <c r="AH33" i="145"/>
  <c r="AG33" i="145"/>
  <c r="AH32" i="145"/>
  <c r="AG32" i="145"/>
  <c r="AH31" i="145"/>
  <c r="AG31" i="145"/>
  <c r="AH30" i="145"/>
  <c r="AH143" i="145" s="1"/>
  <c r="AG30" i="145"/>
  <c r="AH29" i="145"/>
  <c r="AH142" i="145" s="1"/>
  <c r="AG29" i="145"/>
  <c r="AH28" i="145"/>
  <c r="AH141" i="145" s="1"/>
  <c r="AG28" i="145"/>
  <c r="AH27" i="145"/>
  <c r="AG27" i="145"/>
  <c r="AI137" i="145" s="1"/>
  <c r="AH18" i="145"/>
  <c r="AG18" i="145"/>
  <c r="AH17" i="145"/>
  <c r="AG17" i="145"/>
  <c r="AH16" i="145"/>
  <c r="AG16" i="145"/>
  <c r="AH15" i="145"/>
  <c r="AG15" i="145"/>
  <c r="AI124" i="145"/>
  <c r="AH7" i="145"/>
  <c r="AG7" i="145"/>
  <c r="AI116" i="145" s="1"/>
  <c r="P68" i="145" l="1"/>
  <c r="W68" i="145" s="1"/>
  <c r="O68" i="145"/>
  <c r="V68" i="145" s="1"/>
  <c r="K68" i="145"/>
  <c r="L68" i="145"/>
  <c r="S68" i="145" s="1"/>
  <c r="M68" i="145"/>
  <c r="T68" i="145" s="1"/>
  <c r="N68" i="145"/>
  <c r="U68" i="145" s="1"/>
  <c r="O69" i="145"/>
  <c r="V69" i="145" s="1"/>
  <c r="L69" i="145"/>
  <c r="S69" i="145" s="1"/>
  <c r="M69" i="145"/>
  <c r="T69" i="145" s="1"/>
  <c r="K69" i="145"/>
  <c r="N69" i="145"/>
  <c r="U69" i="145" s="1"/>
  <c r="P69" i="145"/>
  <c r="W69" i="145" s="1"/>
  <c r="O70" i="145"/>
  <c r="V70" i="145" s="1"/>
  <c r="N70" i="145"/>
  <c r="U70" i="145" s="1"/>
  <c r="K70" i="145"/>
  <c r="M70" i="145"/>
  <c r="T70" i="145" s="1"/>
  <c r="P70" i="145"/>
  <c r="W70" i="145" s="1"/>
  <c r="L70" i="145"/>
  <c r="S70" i="145" s="1"/>
  <c r="K66" i="145"/>
  <c r="M66" i="145"/>
  <c r="L66" i="145"/>
  <c r="P66" i="145"/>
  <c r="N66" i="145"/>
  <c r="O66" i="145"/>
  <c r="K67" i="145"/>
  <c r="P67" i="145"/>
  <c r="W67" i="145" s="1"/>
  <c r="L67" i="145"/>
  <c r="S67" i="145" s="1"/>
  <c r="N67" i="145"/>
  <c r="U67" i="145" s="1"/>
  <c r="O67" i="145"/>
  <c r="V67" i="145" s="1"/>
  <c r="M67" i="145"/>
  <c r="T67" i="145" s="1"/>
  <c r="G226" i="658"/>
  <c r="G225" i="658" s="1"/>
  <c r="G224" i="658" s="1"/>
  <c r="U11" i="120"/>
  <c r="P10" i="120"/>
  <c r="N21" i="120"/>
  <c r="G21" i="120"/>
  <c r="U22" i="120"/>
  <c r="I21" i="120"/>
  <c r="W22" i="120"/>
  <c r="M21" i="120"/>
  <c r="H21" i="120"/>
  <c r="V22" i="120"/>
  <c r="I226" i="658"/>
  <c r="I225" i="658" s="1"/>
  <c r="I224" i="658" s="1"/>
  <c r="W11" i="120"/>
  <c r="P21" i="120"/>
  <c r="N10" i="120"/>
  <c r="F226" i="658"/>
  <c r="F225" i="658" s="1"/>
  <c r="F224" i="658" s="1"/>
  <c r="T11" i="120"/>
  <c r="O10" i="120"/>
  <c r="H226" i="658"/>
  <c r="H225" i="658" s="1"/>
  <c r="H224" i="658" s="1"/>
  <c r="V11" i="120"/>
  <c r="E226" i="658"/>
  <c r="E225" i="658" s="1"/>
  <c r="E224" i="658" s="1"/>
  <c r="S11" i="120"/>
  <c r="L21" i="120"/>
  <c r="M10" i="120"/>
  <c r="D226" i="658"/>
  <c r="R11" i="120"/>
  <c r="O21" i="120"/>
  <c r="L10" i="120"/>
  <c r="I10" i="120"/>
  <c r="H10" i="120"/>
  <c r="G10" i="120"/>
  <c r="F10" i="120"/>
  <c r="E10" i="120"/>
  <c r="Q11" i="120"/>
  <c r="K10" i="120"/>
  <c r="D10" i="120"/>
  <c r="J11" i="120"/>
  <c r="AG141" i="145"/>
  <c r="I33" i="445"/>
  <c r="I32" i="445" s="1"/>
  <c r="I23" i="445"/>
  <c r="I22" i="445" s="1"/>
  <c r="AG142" i="145"/>
  <c r="AG143" i="145"/>
  <c r="D22" i="445"/>
  <c r="E22" i="62"/>
  <c r="D22" i="633"/>
  <c r="D33" i="445" s="1"/>
  <c r="D32" i="445" s="1"/>
  <c r="H22" i="62"/>
  <c r="F22" i="62"/>
  <c r="P22" i="62" s="1"/>
  <c r="F22" i="633"/>
  <c r="F33" i="445" s="1"/>
  <c r="F32" i="445" s="1"/>
  <c r="E22" i="633"/>
  <c r="E33" i="445" s="1"/>
  <c r="AG117" i="145"/>
  <c r="AG125" i="145"/>
  <c r="AG140" i="145"/>
  <c r="AH117" i="145"/>
  <c r="AH125" i="145"/>
  <c r="AH140" i="145"/>
  <c r="AI117" i="145"/>
  <c r="AI125" i="145"/>
  <c r="AI140" i="145"/>
  <c r="AG118" i="145"/>
  <c r="AG126" i="145"/>
  <c r="AH118" i="145"/>
  <c r="AH126" i="145"/>
  <c r="AI118" i="145"/>
  <c r="AI126" i="145"/>
  <c r="AG119" i="145"/>
  <c r="AG129" i="145"/>
  <c r="AG130" i="145" s="1"/>
  <c r="AG131" i="145" s="1"/>
  <c r="AG132" i="145" s="1"/>
  <c r="AG133" i="145" s="1"/>
  <c r="AH119" i="145"/>
  <c r="AH129" i="145"/>
  <c r="AH130" i="145" s="1"/>
  <c r="AH131" i="145" s="1"/>
  <c r="AH132" i="145" s="1"/>
  <c r="AH133" i="145" s="1"/>
  <c r="AI119" i="145"/>
  <c r="AI129" i="145"/>
  <c r="AI130" i="145" s="1"/>
  <c r="AI131" i="145" s="1"/>
  <c r="AI132" i="145" s="1"/>
  <c r="AI133" i="145" s="1"/>
  <c r="AG116" i="145"/>
  <c r="AG124" i="145"/>
  <c r="AG137" i="145"/>
  <c r="AH116" i="145"/>
  <c r="AH124" i="145"/>
  <c r="AH137" i="145"/>
  <c r="Q70" i="145" l="1"/>
  <c r="Q67" i="145"/>
  <c r="Q69" i="145"/>
  <c r="Q66" i="145"/>
  <c r="Q68" i="145"/>
  <c r="R69" i="145"/>
  <c r="X69" i="145" s="1"/>
  <c r="R67" i="145"/>
  <c r="X67" i="145" s="1"/>
  <c r="U66" i="145"/>
  <c r="U65" i="145" s="1"/>
  <c r="U58" i="145" s="1"/>
  <c r="N65" i="145"/>
  <c r="N58" i="145" s="1"/>
  <c r="R70" i="145"/>
  <c r="X70" i="145" s="1"/>
  <c r="W66" i="145"/>
  <c r="W65" i="145" s="1"/>
  <c r="W58" i="145" s="1"/>
  <c r="P65" i="145"/>
  <c r="P58" i="145" s="1"/>
  <c r="V66" i="145"/>
  <c r="V65" i="145" s="1"/>
  <c r="V58" i="145" s="1"/>
  <c r="O65" i="145"/>
  <c r="O58" i="145" s="1"/>
  <c r="T66" i="145"/>
  <c r="T65" i="145" s="1"/>
  <c r="T58" i="145" s="1"/>
  <c r="M65" i="145"/>
  <c r="M58" i="145" s="1"/>
  <c r="R66" i="145"/>
  <c r="K65" i="145"/>
  <c r="R68" i="145"/>
  <c r="X68" i="145" s="1"/>
  <c r="S66" i="145"/>
  <c r="S65" i="145" s="1"/>
  <c r="S58" i="145" s="1"/>
  <c r="L65" i="145"/>
  <c r="L58" i="145" s="1"/>
  <c r="E247" i="658"/>
  <c r="D252" i="658"/>
  <c r="G244" i="658"/>
  <c r="I243" i="658"/>
  <c r="F259" i="658"/>
  <c r="I259" i="658"/>
  <c r="T22" i="120"/>
  <c r="F9" i="120"/>
  <c r="T10" i="120"/>
  <c r="E242" i="658"/>
  <c r="G247" i="658"/>
  <c r="H258" i="658"/>
  <c r="G243" i="658"/>
  <c r="F257" i="658"/>
  <c r="I248" i="658"/>
  <c r="E250" i="658"/>
  <c r="D260" i="658"/>
  <c r="H240" i="658"/>
  <c r="D255" i="658"/>
  <c r="G240" i="658"/>
  <c r="D250" i="658"/>
  <c r="G9" i="120"/>
  <c r="U10" i="120"/>
  <c r="J226" i="658"/>
  <c r="D225" i="658"/>
  <c r="H248" i="658"/>
  <c r="G254" i="658"/>
  <c r="E241" i="658"/>
  <c r="H253" i="658"/>
  <c r="H241" i="658"/>
  <c r="E248" i="658"/>
  <c r="F244" i="658"/>
  <c r="H9" i="120"/>
  <c r="V10" i="120"/>
  <c r="F254" i="658"/>
  <c r="E254" i="658"/>
  <c r="F258" i="658"/>
  <c r="G258" i="658"/>
  <c r="I247" i="658"/>
  <c r="H250" i="658"/>
  <c r="E243" i="658"/>
  <c r="F253" i="658"/>
  <c r="D247" i="658"/>
  <c r="I9" i="120"/>
  <c r="W10" i="120"/>
  <c r="I235" i="658"/>
  <c r="I428" i="658" s="1"/>
  <c r="W21" i="120"/>
  <c r="I249" i="658"/>
  <c r="H255" i="658"/>
  <c r="G260" i="658"/>
  <c r="F249" i="658"/>
  <c r="E249" i="658"/>
  <c r="G250" i="658"/>
  <c r="E259" i="658"/>
  <c r="D243" i="658"/>
  <c r="H259" i="658"/>
  <c r="D240" i="658"/>
  <c r="I240" i="658"/>
  <c r="I255" i="658"/>
  <c r="H260" i="658"/>
  <c r="E255" i="658"/>
  <c r="F248" i="658"/>
  <c r="E240" i="658"/>
  <c r="G248" i="658"/>
  <c r="G249" i="658"/>
  <c r="H249" i="658"/>
  <c r="D244" i="658"/>
  <c r="I254" i="658"/>
  <c r="D258" i="658"/>
  <c r="E253" i="658"/>
  <c r="D253" i="658"/>
  <c r="H244" i="658"/>
  <c r="G255" i="658"/>
  <c r="F255" i="658"/>
  <c r="E9" i="120"/>
  <c r="S10" i="120"/>
  <c r="I260" i="658"/>
  <c r="H245" i="658"/>
  <c r="G245" i="658"/>
  <c r="G241" i="658"/>
  <c r="G242" i="658"/>
  <c r="F260" i="658"/>
  <c r="H242" i="658"/>
  <c r="D249" i="658"/>
  <c r="F245" i="658"/>
  <c r="D259" i="658"/>
  <c r="H243" i="658"/>
  <c r="G259" i="658"/>
  <c r="F243" i="658"/>
  <c r="I244" i="658"/>
  <c r="R10" i="120"/>
  <c r="V21" i="120"/>
  <c r="H235" i="658"/>
  <c r="G235" i="658"/>
  <c r="G428" i="658" s="1"/>
  <c r="U21" i="120"/>
  <c r="H254" i="658"/>
  <c r="S22" i="120"/>
  <c r="D248" i="658"/>
  <c r="I253" i="658"/>
  <c r="D257" i="658"/>
  <c r="E244" i="658"/>
  <c r="I245" i="658"/>
  <c r="E245" i="658"/>
  <c r="F247" i="658"/>
  <c r="E260" i="658"/>
  <c r="D254" i="658"/>
  <c r="Q10" i="120"/>
  <c r="D245" i="658"/>
  <c r="E258" i="658"/>
  <c r="I258" i="658"/>
  <c r="F242" i="658"/>
  <c r="F241" i="658"/>
  <c r="F240" i="658"/>
  <c r="I242" i="658"/>
  <c r="D241" i="658"/>
  <c r="D242" i="658"/>
  <c r="F250" i="658"/>
  <c r="H247" i="658"/>
  <c r="I250" i="658"/>
  <c r="I241" i="658"/>
  <c r="G253" i="658"/>
  <c r="R22" i="120"/>
  <c r="I430" i="658"/>
  <c r="H430" i="658"/>
  <c r="G430" i="658"/>
  <c r="F430" i="658"/>
  <c r="E430" i="658"/>
  <c r="J32" i="120"/>
  <c r="Q22" i="120"/>
  <c r="K21" i="120"/>
  <c r="Q21" i="120" s="1"/>
  <c r="I27" i="120"/>
  <c r="G27" i="120"/>
  <c r="I34" i="120"/>
  <c r="H34" i="120"/>
  <c r="H27" i="120"/>
  <c r="G34" i="120"/>
  <c r="J47" i="120"/>
  <c r="J37" i="120"/>
  <c r="F21" i="120"/>
  <c r="F27" i="120"/>
  <c r="F34" i="120"/>
  <c r="F44" i="120"/>
  <c r="J36" i="120"/>
  <c r="E27" i="120"/>
  <c r="J31" i="120"/>
  <c r="J46" i="120"/>
  <c r="J41" i="120"/>
  <c r="E21" i="120"/>
  <c r="J42" i="120"/>
  <c r="J29" i="120"/>
  <c r="J30" i="120"/>
  <c r="E34" i="120"/>
  <c r="J33" i="120"/>
  <c r="J48" i="120"/>
  <c r="J43" i="120"/>
  <c r="J38" i="120"/>
  <c r="D34" i="120"/>
  <c r="J35" i="120"/>
  <c r="D27" i="120"/>
  <c r="J28" i="120"/>
  <c r="D44" i="120"/>
  <c r="J22" i="120"/>
  <c r="D21" i="120"/>
  <c r="D39" i="120"/>
  <c r="X11" i="120"/>
  <c r="D9" i="120"/>
  <c r="J10" i="120"/>
  <c r="E32" i="445"/>
  <c r="O22" i="62"/>
  <c r="D14" i="482"/>
  <c r="D13" i="482"/>
  <c r="D12" i="482"/>
  <c r="D11" i="482"/>
  <c r="D10" i="482"/>
  <c r="D9" i="482"/>
  <c r="D8" i="482"/>
  <c r="D7" i="482"/>
  <c r="D14" i="481"/>
  <c r="D13" i="481"/>
  <c r="D12" i="481"/>
  <c r="D11" i="481"/>
  <c r="D10" i="481"/>
  <c r="D9" i="481"/>
  <c r="D8" i="481"/>
  <c r="D7" i="481"/>
  <c r="D14" i="480"/>
  <c r="D13" i="480"/>
  <c r="D12" i="480"/>
  <c r="D11" i="480"/>
  <c r="D10" i="480"/>
  <c r="D9" i="480"/>
  <c r="D8" i="480"/>
  <c r="D7" i="480"/>
  <c r="D24" i="658"/>
  <c r="D23" i="658"/>
  <c r="D22" i="658"/>
  <c r="D21" i="658"/>
  <c r="E18" i="658"/>
  <c r="I16" i="658"/>
  <c r="H16" i="658"/>
  <c r="G16" i="658"/>
  <c r="F15" i="658"/>
  <c r="D15" i="658"/>
  <c r="F14" i="658"/>
  <c r="D14" i="658"/>
  <c r="F13" i="658"/>
  <c r="D13" i="658"/>
  <c r="F12" i="658"/>
  <c r="D12" i="658"/>
  <c r="I11" i="658"/>
  <c r="H11" i="658"/>
  <c r="G11" i="658"/>
  <c r="D11" i="658"/>
  <c r="F10" i="658"/>
  <c r="D10" i="658"/>
  <c r="I9" i="658"/>
  <c r="H9" i="658"/>
  <c r="G9" i="658"/>
  <c r="D9" i="658"/>
  <c r="F8" i="658"/>
  <c r="D8" i="658"/>
  <c r="I7" i="658"/>
  <c r="H7" i="658"/>
  <c r="G7" i="658"/>
  <c r="D7" i="658"/>
  <c r="D15" i="656"/>
  <c r="D14" i="656"/>
  <c r="D12" i="656"/>
  <c r="D11" i="656"/>
  <c r="D10" i="656"/>
  <c r="D9" i="656"/>
  <c r="D8" i="656"/>
  <c r="D7" i="656"/>
  <c r="D15" i="649"/>
  <c r="D14" i="649"/>
  <c r="E12" i="649"/>
  <c r="D12" i="649"/>
  <c r="E11" i="649"/>
  <c r="D11" i="649"/>
  <c r="E10" i="649"/>
  <c r="D10" i="649"/>
  <c r="E9" i="649"/>
  <c r="D9" i="649"/>
  <c r="E8" i="649"/>
  <c r="D8" i="649"/>
  <c r="E7" i="649"/>
  <c r="D7" i="649"/>
  <c r="D15" i="655"/>
  <c r="D14" i="655"/>
  <c r="E12" i="655"/>
  <c r="D12" i="655"/>
  <c r="E11" i="655"/>
  <c r="D11" i="655"/>
  <c r="E10" i="655"/>
  <c r="D10" i="655"/>
  <c r="E9" i="655"/>
  <c r="D9" i="655"/>
  <c r="E8" i="655"/>
  <c r="D8" i="655"/>
  <c r="E7" i="655"/>
  <c r="D7" i="655"/>
  <c r="D24" i="653"/>
  <c r="D23" i="653"/>
  <c r="D22" i="653"/>
  <c r="D21" i="653"/>
  <c r="F20" i="653"/>
  <c r="F19" i="653"/>
  <c r="J18" i="653"/>
  <c r="F18" i="653"/>
  <c r="J16" i="653"/>
  <c r="I16" i="653"/>
  <c r="H16" i="653"/>
  <c r="G16" i="653"/>
  <c r="E16" i="653"/>
  <c r="F15" i="653"/>
  <c r="F14" i="653"/>
  <c r="F13" i="653"/>
  <c r="J12" i="653"/>
  <c r="F12" i="653"/>
  <c r="D12" i="653"/>
  <c r="J11" i="653"/>
  <c r="I11" i="653"/>
  <c r="H11" i="653"/>
  <c r="G11" i="653"/>
  <c r="D11" i="653"/>
  <c r="J10" i="653"/>
  <c r="F10" i="653"/>
  <c r="D10" i="653"/>
  <c r="J9" i="653"/>
  <c r="I9" i="653"/>
  <c r="H9" i="653"/>
  <c r="G9" i="653"/>
  <c r="D9" i="653"/>
  <c r="J8" i="653"/>
  <c r="F8" i="653"/>
  <c r="D8" i="653"/>
  <c r="J7" i="653"/>
  <c r="I7" i="653"/>
  <c r="H7" i="653"/>
  <c r="G7" i="653"/>
  <c r="D7" i="653"/>
  <c r="I126" i="649" l="1"/>
  <c r="G126" i="649"/>
  <c r="H126" i="649"/>
  <c r="F126" i="649"/>
  <c r="E126" i="649"/>
  <c r="D126" i="649"/>
  <c r="I326" i="653"/>
  <c r="G326" i="653"/>
  <c r="F326" i="653"/>
  <c r="D326" i="653"/>
  <c r="E326" i="653"/>
  <c r="H326" i="653"/>
  <c r="T20" i="145"/>
  <c r="T107" i="145" s="1"/>
  <c r="T109" i="145" s="1"/>
  <c r="V20" i="145"/>
  <c r="V107" i="145" s="1"/>
  <c r="V109" i="145" s="1"/>
  <c r="N20" i="145"/>
  <c r="N107" i="145" s="1"/>
  <c r="N109" i="145" s="1"/>
  <c r="S20" i="145"/>
  <c r="S107" i="145" s="1"/>
  <c r="S109" i="145" s="1"/>
  <c r="O20" i="145"/>
  <c r="O107" i="145" s="1"/>
  <c r="O109" i="145" s="1"/>
  <c r="P20" i="145"/>
  <c r="P107" i="145" s="1"/>
  <c r="P109" i="145" s="1"/>
  <c r="L20" i="145"/>
  <c r="L107" i="145" s="1"/>
  <c r="L109" i="145" s="1"/>
  <c r="M20" i="145"/>
  <c r="M107" i="145" s="1"/>
  <c r="M109" i="145" s="1"/>
  <c r="W20" i="145"/>
  <c r="W107" i="145" s="1"/>
  <c r="W109" i="145" s="1"/>
  <c r="U20" i="145"/>
  <c r="U107" i="145" s="1"/>
  <c r="U109" i="145" s="1"/>
  <c r="Q65" i="145"/>
  <c r="X66" i="145"/>
  <c r="K58" i="145"/>
  <c r="K20" i="145" s="1"/>
  <c r="R65" i="145"/>
  <c r="X65" i="145" s="1"/>
  <c r="F357" i="653"/>
  <c r="D357" i="653"/>
  <c r="I357" i="653"/>
  <c r="E357" i="653"/>
  <c r="H357" i="653"/>
  <c r="G357" i="653"/>
  <c r="X10" i="120"/>
  <c r="D168" i="658"/>
  <c r="I334" i="653"/>
  <c r="H334" i="653"/>
  <c r="G334" i="653"/>
  <c r="D334" i="653"/>
  <c r="F334" i="653"/>
  <c r="E334" i="653"/>
  <c r="H235" i="653"/>
  <c r="G235" i="653"/>
  <c r="D235" i="653"/>
  <c r="I235" i="653"/>
  <c r="E235" i="653"/>
  <c r="F235" i="653"/>
  <c r="H178" i="653"/>
  <c r="H176" i="653"/>
  <c r="H84" i="653"/>
  <c r="H82" i="653"/>
  <c r="H80" i="653"/>
  <c r="G178" i="653"/>
  <c r="G176" i="653"/>
  <c r="G84" i="653"/>
  <c r="G82" i="653"/>
  <c r="G80" i="653"/>
  <c r="F178" i="653"/>
  <c r="F176" i="653"/>
  <c r="F84" i="653"/>
  <c r="F82" i="653"/>
  <c r="F80" i="653"/>
  <c r="D178" i="653"/>
  <c r="D176" i="653"/>
  <c r="D84" i="653"/>
  <c r="D82" i="653"/>
  <c r="D80" i="653"/>
  <c r="H179" i="653"/>
  <c r="H177" i="653"/>
  <c r="H175" i="653"/>
  <c r="H83" i="653"/>
  <c r="H81" i="653"/>
  <c r="G179" i="653"/>
  <c r="G177" i="653"/>
  <c r="G175" i="653"/>
  <c r="G83" i="653"/>
  <c r="G81" i="653"/>
  <c r="D179" i="653"/>
  <c r="D177" i="653"/>
  <c r="D175" i="653"/>
  <c r="D83" i="653"/>
  <c r="D81" i="653"/>
  <c r="I177" i="653"/>
  <c r="I84" i="653"/>
  <c r="E177" i="653"/>
  <c r="I83" i="653"/>
  <c r="I176" i="653"/>
  <c r="F83" i="653"/>
  <c r="E176" i="653"/>
  <c r="E83" i="653"/>
  <c r="I175" i="653"/>
  <c r="I82" i="653"/>
  <c r="F175" i="653"/>
  <c r="E82" i="653"/>
  <c r="I179" i="653"/>
  <c r="E175" i="653"/>
  <c r="I81" i="653"/>
  <c r="F179" i="653"/>
  <c r="F81" i="653"/>
  <c r="I178" i="653"/>
  <c r="I80" i="653"/>
  <c r="F177" i="653"/>
  <c r="E84" i="653"/>
  <c r="E81" i="653"/>
  <c r="E80" i="653"/>
  <c r="E179" i="653"/>
  <c r="E178" i="653"/>
  <c r="I20" i="655"/>
  <c r="I159" i="655" s="1"/>
  <c r="H20" i="655"/>
  <c r="H159" i="655" s="1"/>
  <c r="G20" i="655"/>
  <c r="G159" i="655" s="1"/>
  <c r="F20" i="655"/>
  <c r="F159" i="655" s="1"/>
  <c r="E20" i="655"/>
  <c r="E159" i="655" s="1"/>
  <c r="D20" i="655"/>
  <c r="D159" i="655" s="1"/>
  <c r="F86" i="649"/>
  <c r="F84" i="649"/>
  <c r="F82" i="649"/>
  <c r="F79" i="649"/>
  <c r="F77" i="649"/>
  <c r="F75" i="649"/>
  <c r="F72" i="649"/>
  <c r="F70" i="649"/>
  <c r="E86" i="649"/>
  <c r="E84" i="649"/>
  <c r="E82" i="649"/>
  <c r="E79" i="649"/>
  <c r="E77" i="649"/>
  <c r="E75" i="649"/>
  <c r="E72" i="649"/>
  <c r="E70" i="649"/>
  <c r="D86" i="649"/>
  <c r="D84" i="649"/>
  <c r="D82" i="649"/>
  <c r="D79" i="649"/>
  <c r="D77" i="649"/>
  <c r="D75" i="649"/>
  <c r="D72" i="649"/>
  <c r="D70" i="649"/>
  <c r="I87" i="649"/>
  <c r="I85" i="649"/>
  <c r="I83" i="649"/>
  <c r="I80" i="649"/>
  <c r="I78" i="649"/>
  <c r="I76" i="649"/>
  <c r="I73" i="649"/>
  <c r="I71" i="649"/>
  <c r="I69" i="649"/>
  <c r="D87" i="649"/>
  <c r="D85" i="649"/>
  <c r="D83" i="649"/>
  <c r="D80" i="649"/>
  <c r="D78" i="649"/>
  <c r="D76" i="649"/>
  <c r="D73" i="649"/>
  <c r="D71" i="649"/>
  <c r="D69" i="649"/>
  <c r="G86" i="649"/>
  <c r="G84" i="649"/>
  <c r="G82" i="649"/>
  <c r="G79" i="649"/>
  <c r="G77" i="649"/>
  <c r="G75" i="649"/>
  <c r="G72" i="649"/>
  <c r="G70" i="649"/>
  <c r="H85" i="649"/>
  <c r="H80" i="649"/>
  <c r="H76" i="649"/>
  <c r="H71" i="649"/>
  <c r="G85" i="649"/>
  <c r="G80" i="649"/>
  <c r="G76" i="649"/>
  <c r="G71" i="649"/>
  <c r="I77" i="649"/>
  <c r="F85" i="649"/>
  <c r="F80" i="649"/>
  <c r="F76" i="649"/>
  <c r="F71" i="649"/>
  <c r="E85" i="649"/>
  <c r="E80" i="649"/>
  <c r="E76" i="649"/>
  <c r="E71" i="649"/>
  <c r="I84" i="649"/>
  <c r="I79" i="649"/>
  <c r="I75" i="649"/>
  <c r="I70" i="649"/>
  <c r="I72" i="649"/>
  <c r="H84" i="649"/>
  <c r="H79" i="649"/>
  <c r="H75" i="649"/>
  <c r="H70" i="649"/>
  <c r="H87" i="649"/>
  <c r="H83" i="649"/>
  <c r="H78" i="649"/>
  <c r="H73" i="649"/>
  <c r="H69" i="649"/>
  <c r="I82" i="649"/>
  <c r="G87" i="649"/>
  <c r="G83" i="649"/>
  <c r="G78" i="649"/>
  <c r="G73" i="649"/>
  <c r="G69" i="649"/>
  <c r="I86" i="649"/>
  <c r="F87" i="649"/>
  <c r="F83" i="649"/>
  <c r="F78" i="649"/>
  <c r="F73" i="649"/>
  <c r="F69" i="649"/>
  <c r="E87" i="649"/>
  <c r="E83" i="649"/>
  <c r="E78" i="649"/>
  <c r="E73" i="649"/>
  <c r="E69" i="649"/>
  <c r="H86" i="649"/>
  <c r="H82" i="649"/>
  <c r="H77" i="649"/>
  <c r="H72" i="649"/>
  <c r="H31" i="653"/>
  <c r="G31" i="653"/>
  <c r="F31" i="653"/>
  <c r="E31" i="653"/>
  <c r="D31" i="653"/>
  <c r="I31" i="653"/>
  <c r="I25" i="655"/>
  <c r="H25" i="655"/>
  <c r="G25" i="655"/>
  <c r="F25" i="655"/>
  <c r="E25" i="655"/>
  <c r="D25" i="655"/>
  <c r="I26" i="655"/>
  <c r="H26" i="655"/>
  <c r="E26" i="655"/>
  <c r="G26" i="655"/>
  <c r="F26" i="655"/>
  <c r="D26" i="655"/>
  <c r="H127" i="653"/>
  <c r="G127" i="653"/>
  <c r="D127" i="653"/>
  <c r="I127" i="653"/>
  <c r="F127" i="653"/>
  <c r="E127" i="653"/>
  <c r="H143" i="653"/>
  <c r="H141" i="653"/>
  <c r="G143" i="653"/>
  <c r="G141" i="653"/>
  <c r="F143" i="653"/>
  <c r="F141" i="653"/>
  <c r="D143" i="653"/>
  <c r="D141" i="653"/>
  <c r="H142" i="653"/>
  <c r="G142" i="653"/>
  <c r="D142" i="653"/>
  <c r="E142" i="653"/>
  <c r="E141" i="653"/>
  <c r="I143" i="653"/>
  <c r="I142" i="653"/>
  <c r="E143" i="653"/>
  <c r="F142" i="653"/>
  <c r="I141" i="653"/>
  <c r="H371" i="653"/>
  <c r="H363" i="653"/>
  <c r="G371" i="653"/>
  <c r="G363" i="653"/>
  <c r="F371" i="653"/>
  <c r="D371" i="653"/>
  <c r="I363" i="653"/>
  <c r="F363" i="653"/>
  <c r="D363" i="653"/>
  <c r="E363" i="653"/>
  <c r="I371" i="653"/>
  <c r="E371" i="653"/>
  <c r="I319" i="653"/>
  <c r="H319" i="653"/>
  <c r="G319" i="653"/>
  <c r="D319" i="653"/>
  <c r="I320" i="653"/>
  <c r="I318" i="653"/>
  <c r="H320" i="653"/>
  <c r="H318" i="653"/>
  <c r="H222" i="653"/>
  <c r="H431" i="653" s="1"/>
  <c r="G222" i="653"/>
  <c r="G431" i="653" s="1"/>
  <c r="G320" i="653"/>
  <c r="F222" i="653"/>
  <c r="F431" i="653" s="1"/>
  <c r="E320" i="653"/>
  <c r="D222" i="653"/>
  <c r="F319" i="653"/>
  <c r="E319" i="653"/>
  <c r="E318" i="653"/>
  <c r="I222" i="653"/>
  <c r="I431" i="653" s="1"/>
  <c r="F320" i="653"/>
  <c r="E222" i="653"/>
  <c r="E431" i="653" s="1"/>
  <c r="D320" i="653"/>
  <c r="G318" i="653"/>
  <c r="F318" i="653"/>
  <c r="D318" i="653"/>
  <c r="H267" i="653"/>
  <c r="H265" i="653"/>
  <c r="H263" i="653"/>
  <c r="G267" i="653"/>
  <c r="G265" i="653"/>
  <c r="G263" i="653"/>
  <c r="D267" i="653"/>
  <c r="D265" i="653"/>
  <c r="D263" i="653"/>
  <c r="I268" i="653"/>
  <c r="I266" i="653"/>
  <c r="I264" i="653"/>
  <c r="H268" i="653"/>
  <c r="H266" i="653"/>
  <c r="H264" i="653"/>
  <c r="F268" i="653"/>
  <c r="E265" i="653"/>
  <c r="E268" i="653"/>
  <c r="G264" i="653"/>
  <c r="D268" i="653"/>
  <c r="F264" i="653"/>
  <c r="F267" i="653"/>
  <c r="D264" i="653"/>
  <c r="G266" i="653"/>
  <c r="F263" i="653"/>
  <c r="F266" i="653"/>
  <c r="E263" i="653"/>
  <c r="I265" i="653"/>
  <c r="E266" i="653"/>
  <c r="F265" i="653"/>
  <c r="E264" i="653"/>
  <c r="I263" i="653"/>
  <c r="I267" i="653"/>
  <c r="D266" i="653"/>
  <c r="G268" i="653"/>
  <c r="E267" i="653"/>
  <c r="H37" i="653"/>
  <c r="G37" i="653"/>
  <c r="F37" i="653"/>
  <c r="D37" i="653"/>
  <c r="H36" i="653"/>
  <c r="G36" i="653"/>
  <c r="I37" i="653"/>
  <c r="E37" i="653"/>
  <c r="I36" i="653"/>
  <c r="F36" i="653"/>
  <c r="D36" i="653"/>
  <c r="E36" i="653"/>
  <c r="I67" i="655"/>
  <c r="I65" i="655"/>
  <c r="I63" i="655"/>
  <c r="H67" i="655"/>
  <c r="H65" i="655"/>
  <c r="H63" i="655"/>
  <c r="E66" i="655"/>
  <c r="G67" i="655"/>
  <c r="G65" i="655"/>
  <c r="G63" i="655"/>
  <c r="F67" i="655"/>
  <c r="F65" i="655"/>
  <c r="F63" i="655"/>
  <c r="E67" i="655"/>
  <c r="E65" i="655"/>
  <c r="E63" i="655"/>
  <c r="D67" i="655"/>
  <c r="D65" i="655"/>
  <c r="D63" i="655"/>
  <c r="I66" i="655"/>
  <c r="I64" i="655"/>
  <c r="I62" i="655"/>
  <c r="E64" i="655"/>
  <c r="H66" i="655"/>
  <c r="H64" i="655"/>
  <c r="H62" i="655"/>
  <c r="E62" i="655"/>
  <c r="G66" i="655"/>
  <c r="G64" i="655"/>
  <c r="G62" i="655"/>
  <c r="F66" i="655"/>
  <c r="F64" i="655"/>
  <c r="F62" i="655"/>
  <c r="D66" i="655"/>
  <c r="D64" i="655"/>
  <c r="D62" i="655"/>
  <c r="H54" i="653"/>
  <c r="H52" i="653"/>
  <c r="H50" i="653"/>
  <c r="G54" i="653"/>
  <c r="G52" i="653"/>
  <c r="G50" i="653"/>
  <c r="F54" i="653"/>
  <c r="F52" i="653"/>
  <c r="F50" i="653"/>
  <c r="D54" i="653"/>
  <c r="D52" i="653"/>
  <c r="D50" i="653"/>
  <c r="H55" i="653"/>
  <c r="H53" i="653"/>
  <c r="H51" i="653"/>
  <c r="G55" i="653"/>
  <c r="G53" i="653"/>
  <c r="G51" i="653"/>
  <c r="E52" i="653"/>
  <c r="F55" i="653"/>
  <c r="F51" i="653"/>
  <c r="E55" i="653"/>
  <c r="E51" i="653"/>
  <c r="D55" i="653"/>
  <c r="D51" i="653"/>
  <c r="I54" i="653"/>
  <c r="I50" i="653"/>
  <c r="E54" i="653"/>
  <c r="E50" i="653"/>
  <c r="I53" i="653"/>
  <c r="F53" i="653"/>
  <c r="D53" i="653"/>
  <c r="I51" i="653"/>
  <c r="I55" i="653"/>
  <c r="E53" i="653"/>
  <c r="I52" i="653"/>
  <c r="H131" i="653"/>
  <c r="G131" i="653"/>
  <c r="F131" i="653"/>
  <c r="D131" i="653"/>
  <c r="H132" i="653"/>
  <c r="G132" i="653"/>
  <c r="D132" i="653"/>
  <c r="F132" i="653"/>
  <c r="E132" i="653"/>
  <c r="I131" i="653"/>
  <c r="E131" i="653"/>
  <c r="I132" i="653"/>
  <c r="H150" i="653"/>
  <c r="H148" i="653"/>
  <c r="H146" i="653"/>
  <c r="G150" i="653"/>
  <c r="G148" i="653"/>
  <c r="G146" i="653"/>
  <c r="F150" i="653"/>
  <c r="F148" i="653"/>
  <c r="F146" i="653"/>
  <c r="D150" i="653"/>
  <c r="D148" i="653"/>
  <c r="D146" i="653"/>
  <c r="H149" i="653"/>
  <c r="H147" i="653"/>
  <c r="H145" i="653"/>
  <c r="G149" i="653"/>
  <c r="G147" i="653"/>
  <c r="G145" i="653"/>
  <c r="D149" i="653"/>
  <c r="D147" i="653"/>
  <c r="D145" i="653"/>
  <c r="I147" i="653"/>
  <c r="E147" i="653"/>
  <c r="I146" i="653"/>
  <c r="E146" i="653"/>
  <c r="I150" i="653"/>
  <c r="I145" i="653"/>
  <c r="E150" i="653"/>
  <c r="F145" i="653"/>
  <c r="I149" i="653"/>
  <c r="E145" i="653"/>
  <c r="F149" i="653"/>
  <c r="I148" i="653"/>
  <c r="E149" i="653"/>
  <c r="E148" i="653"/>
  <c r="F147" i="653"/>
  <c r="H288" i="653"/>
  <c r="H286" i="653"/>
  <c r="H284" i="653"/>
  <c r="H281" i="653"/>
  <c r="H279" i="653"/>
  <c r="H277" i="653"/>
  <c r="H274" i="653"/>
  <c r="H272" i="653"/>
  <c r="H270" i="653"/>
  <c r="G288" i="653"/>
  <c r="G286" i="653"/>
  <c r="G284" i="653"/>
  <c r="G281" i="653"/>
  <c r="G279" i="653"/>
  <c r="G277" i="653"/>
  <c r="G274" i="653"/>
  <c r="G272" i="653"/>
  <c r="G270" i="653"/>
  <c r="D288" i="653"/>
  <c r="D286" i="653"/>
  <c r="D284" i="653"/>
  <c r="D281" i="653"/>
  <c r="D279" i="653"/>
  <c r="D277" i="653"/>
  <c r="D274" i="653"/>
  <c r="D272" i="653"/>
  <c r="D270" i="653"/>
  <c r="I287" i="653"/>
  <c r="I285" i="653"/>
  <c r="I283" i="653"/>
  <c r="I280" i="653"/>
  <c r="I278" i="653"/>
  <c r="I276" i="653"/>
  <c r="I273" i="653"/>
  <c r="I271" i="653"/>
  <c r="H287" i="653"/>
  <c r="H285" i="653"/>
  <c r="H283" i="653"/>
  <c r="H280" i="653"/>
  <c r="H278" i="653"/>
  <c r="H276" i="653"/>
  <c r="H273" i="653"/>
  <c r="H271" i="653"/>
  <c r="I288" i="653"/>
  <c r="E285" i="653"/>
  <c r="G280" i="653"/>
  <c r="F277" i="653"/>
  <c r="D273" i="653"/>
  <c r="F288" i="653"/>
  <c r="D285" i="653"/>
  <c r="F280" i="653"/>
  <c r="E277" i="653"/>
  <c r="I272" i="653"/>
  <c r="E288" i="653"/>
  <c r="I284" i="653"/>
  <c r="E280" i="653"/>
  <c r="G276" i="653"/>
  <c r="F272" i="653"/>
  <c r="F287" i="653"/>
  <c r="E284" i="653"/>
  <c r="I279" i="653"/>
  <c r="E276" i="653"/>
  <c r="G271" i="653"/>
  <c r="D287" i="653"/>
  <c r="F283" i="653"/>
  <c r="E279" i="653"/>
  <c r="I274" i="653"/>
  <c r="E271" i="653"/>
  <c r="I286" i="653"/>
  <c r="E283" i="653"/>
  <c r="G278" i="653"/>
  <c r="F274" i="653"/>
  <c r="D271" i="653"/>
  <c r="G285" i="653"/>
  <c r="F281" i="653"/>
  <c r="D278" i="653"/>
  <c r="F273" i="653"/>
  <c r="E270" i="653"/>
  <c r="E286" i="653"/>
  <c r="F276" i="653"/>
  <c r="F284" i="653"/>
  <c r="E274" i="653"/>
  <c r="G283" i="653"/>
  <c r="G273" i="653"/>
  <c r="D283" i="653"/>
  <c r="E273" i="653"/>
  <c r="I281" i="653"/>
  <c r="E272" i="653"/>
  <c r="E281" i="653"/>
  <c r="F271" i="653"/>
  <c r="D280" i="653"/>
  <c r="I270" i="653"/>
  <c r="F279" i="653"/>
  <c r="F270" i="653"/>
  <c r="E287" i="653"/>
  <c r="E278" i="653"/>
  <c r="G287" i="653"/>
  <c r="F286" i="653"/>
  <c r="F285" i="653"/>
  <c r="F278" i="653"/>
  <c r="D276" i="653"/>
  <c r="I277" i="653"/>
  <c r="E21" i="655"/>
  <c r="I21" i="655"/>
  <c r="I158" i="655" s="1"/>
  <c r="H21" i="655"/>
  <c r="H158" i="655" s="1"/>
  <c r="G21" i="655"/>
  <c r="G158" i="655" s="1"/>
  <c r="F21" i="655"/>
  <c r="F158" i="655" s="1"/>
  <c r="D21" i="655"/>
  <c r="D158" i="655" s="1"/>
  <c r="F20" i="649"/>
  <c r="F159" i="649" s="1"/>
  <c r="E20" i="649"/>
  <c r="E159" i="649" s="1"/>
  <c r="D20" i="649"/>
  <c r="D159" i="649" s="1"/>
  <c r="I115" i="649"/>
  <c r="D115" i="649"/>
  <c r="G20" i="649"/>
  <c r="G159" i="649" s="1"/>
  <c r="H115" i="649"/>
  <c r="G115" i="649"/>
  <c r="F115" i="649"/>
  <c r="E115" i="649"/>
  <c r="I20" i="649"/>
  <c r="I159" i="649" s="1"/>
  <c r="H20" i="649"/>
  <c r="H159" i="649" s="1"/>
  <c r="F67" i="649"/>
  <c r="F65" i="649"/>
  <c r="F63" i="649"/>
  <c r="E67" i="649"/>
  <c r="E65" i="649"/>
  <c r="E63" i="649"/>
  <c r="D67" i="649"/>
  <c r="D65" i="649"/>
  <c r="D63" i="649"/>
  <c r="I66" i="649"/>
  <c r="I64" i="649"/>
  <c r="I62" i="649"/>
  <c r="D66" i="649"/>
  <c r="D64" i="649"/>
  <c r="D62" i="649"/>
  <c r="G67" i="649"/>
  <c r="G65" i="649"/>
  <c r="G63" i="649"/>
  <c r="H66" i="649"/>
  <c r="H62" i="649"/>
  <c r="G66" i="649"/>
  <c r="G62" i="649"/>
  <c r="F66" i="649"/>
  <c r="F62" i="649"/>
  <c r="E66" i="649"/>
  <c r="E62" i="649"/>
  <c r="I65" i="649"/>
  <c r="H65" i="649"/>
  <c r="H64" i="649"/>
  <c r="G64" i="649"/>
  <c r="I67" i="649"/>
  <c r="F64" i="649"/>
  <c r="E64" i="649"/>
  <c r="I63" i="649"/>
  <c r="H67" i="649"/>
  <c r="H63" i="649"/>
  <c r="H185" i="653"/>
  <c r="H183" i="653"/>
  <c r="H181" i="653"/>
  <c r="H91" i="653"/>
  <c r="H89" i="653"/>
  <c r="H87" i="653"/>
  <c r="G185" i="653"/>
  <c r="G183" i="653"/>
  <c r="G181" i="653"/>
  <c r="G91" i="653"/>
  <c r="G89" i="653"/>
  <c r="G87" i="653"/>
  <c r="F185" i="653"/>
  <c r="F183" i="653"/>
  <c r="F181" i="653"/>
  <c r="F91" i="653"/>
  <c r="F89" i="653"/>
  <c r="F87" i="653"/>
  <c r="D185" i="653"/>
  <c r="D183" i="653"/>
  <c r="D181" i="653"/>
  <c r="D91" i="653"/>
  <c r="D89" i="653"/>
  <c r="D87" i="653"/>
  <c r="H186" i="653"/>
  <c r="H184" i="653"/>
  <c r="H182" i="653"/>
  <c r="H90" i="653"/>
  <c r="H88" i="653"/>
  <c r="H86" i="653"/>
  <c r="G186" i="653"/>
  <c r="G184" i="653"/>
  <c r="G182" i="653"/>
  <c r="G90" i="653"/>
  <c r="G88" i="653"/>
  <c r="G86" i="653"/>
  <c r="D186" i="653"/>
  <c r="D184" i="653"/>
  <c r="D182" i="653"/>
  <c r="D90" i="653"/>
  <c r="D88" i="653"/>
  <c r="D86" i="653"/>
  <c r="I183" i="653"/>
  <c r="F90" i="653"/>
  <c r="I182" i="653"/>
  <c r="I89" i="653"/>
  <c r="F182" i="653"/>
  <c r="E89" i="653"/>
  <c r="I186" i="653"/>
  <c r="E182" i="653"/>
  <c r="I88" i="653"/>
  <c r="F186" i="653"/>
  <c r="I181" i="653"/>
  <c r="F88" i="653"/>
  <c r="E186" i="653"/>
  <c r="E181" i="653"/>
  <c r="E88" i="653"/>
  <c r="I185" i="653"/>
  <c r="I87" i="653"/>
  <c r="E185" i="653"/>
  <c r="E87" i="653"/>
  <c r="F184" i="653"/>
  <c r="E91" i="653"/>
  <c r="F86" i="653"/>
  <c r="I91" i="653"/>
  <c r="I90" i="653"/>
  <c r="E90" i="653"/>
  <c r="I86" i="653"/>
  <c r="E86" i="653"/>
  <c r="I184" i="653"/>
  <c r="E183" i="653"/>
  <c r="E184" i="653"/>
  <c r="H96" i="480"/>
  <c r="F94" i="480"/>
  <c r="I90" i="480"/>
  <c r="G88" i="480"/>
  <c r="E86" i="480"/>
  <c r="H82" i="480"/>
  <c r="F80" i="480"/>
  <c r="D93" i="480"/>
  <c r="D79" i="480"/>
  <c r="G96" i="480"/>
  <c r="E94" i="480"/>
  <c r="H90" i="480"/>
  <c r="F88" i="480"/>
  <c r="I85" i="480"/>
  <c r="G82" i="480"/>
  <c r="E80" i="480"/>
  <c r="D92" i="480"/>
  <c r="F96" i="480"/>
  <c r="I93" i="480"/>
  <c r="G90" i="480"/>
  <c r="E88" i="480"/>
  <c r="H85" i="480"/>
  <c r="F82" i="480"/>
  <c r="I79" i="480"/>
  <c r="D90" i="480"/>
  <c r="E96" i="480"/>
  <c r="H93" i="480"/>
  <c r="F90" i="480"/>
  <c r="I87" i="480"/>
  <c r="G85" i="480"/>
  <c r="E82" i="480"/>
  <c r="H79" i="480"/>
  <c r="D89" i="480"/>
  <c r="I95" i="480"/>
  <c r="G93" i="480"/>
  <c r="E90" i="480"/>
  <c r="H87" i="480"/>
  <c r="F85" i="480"/>
  <c r="I81" i="480"/>
  <c r="G79" i="480"/>
  <c r="D88" i="480"/>
  <c r="H95" i="480"/>
  <c r="F93" i="480"/>
  <c r="I89" i="480"/>
  <c r="G87" i="480"/>
  <c r="E85" i="480"/>
  <c r="H81" i="480"/>
  <c r="F79" i="480"/>
  <c r="D87" i="480"/>
  <c r="I97" i="480"/>
  <c r="G95" i="480"/>
  <c r="E93" i="480"/>
  <c r="H89" i="480"/>
  <c r="F87" i="480"/>
  <c r="I83" i="480"/>
  <c r="G81" i="480"/>
  <c r="E79" i="480"/>
  <c r="D86" i="480"/>
  <c r="H97" i="480"/>
  <c r="F95" i="480"/>
  <c r="I92" i="480"/>
  <c r="G89" i="480"/>
  <c r="E87" i="480"/>
  <c r="H83" i="480"/>
  <c r="F81" i="480"/>
  <c r="D85" i="480"/>
  <c r="G97" i="480"/>
  <c r="E95" i="480"/>
  <c r="H92" i="480"/>
  <c r="F89" i="480"/>
  <c r="I86" i="480"/>
  <c r="G83" i="480"/>
  <c r="E81" i="480"/>
  <c r="D97" i="480"/>
  <c r="D83" i="480"/>
  <c r="F97" i="480"/>
  <c r="I94" i="480"/>
  <c r="G92" i="480"/>
  <c r="E89" i="480"/>
  <c r="H86" i="480"/>
  <c r="F83" i="480"/>
  <c r="I80" i="480"/>
  <c r="D96" i="480"/>
  <c r="D82" i="480"/>
  <c r="I96" i="480"/>
  <c r="G94" i="480"/>
  <c r="E92" i="480"/>
  <c r="H88" i="480"/>
  <c r="F86" i="480"/>
  <c r="I82" i="480"/>
  <c r="G80" i="480"/>
  <c r="D94" i="480"/>
  <c r="D80" i="480"/>
  <c r="H80" i="480"/>
  <c r="D95" i="480"/>
  <c r="D81" i="480"/>
  <c r="E97" i="480"/>
  <c r="H94" i="480"/>
  <c r="G86" i="480"/>
  <c r="F92" i="480"/>
  <c r="I88" i="480"/>
  <c r="E83" i="480"/>
  <c r="H126" i="653"/>
  <c r="G126" i="653"/>
  <c r="F126" i="653"/>
  <c r="D126" i="653"/>
  <c r="E126" i="653"/>
  <c r="I126" i="653"/>
  <c r="H136" i="653"/>
  <c r="H134" i="653"/>
  <c r="G136" i="653"/>
  <c r="G134" i="653"/>
  <c r="F136" i="653"/>
  <c r="F134" i="653"/>
  <c r="D136" i="653"/>
  <c r="D134" i="653"/>
  <c r="H137" i="653"/>
  <c r="H135" i="653"/>
  <c r="G137" i="653"/>
  <c r="G135" i="653"/>
  <c r="D137" i="653"/>
  <c r="D135" i="653"/>
  <c r="E134" i="653"/>
  <c r="I137" i="653"/>
  <c r="F137" i="653"/>
  <c r="E137" i="653"/>
  <c r="I136" i="653"/>
  <c r="E136" i="653"/>
  <c r="I135" i="653"/>
  <c r="E135" i="653"/>
  <c r="F135" i="653"/>
  <c r="I134" i="653"/>
  <c r="H165" i="653"/>
  <c r="H163" i="653"/>
  <c r="G165" i="653"/>
  <c r="G163" i="653"/>
  <c r="F165" i="653"/>
  <c r="F163" i="653"/>
  <c r="D165" i="653"/>
  <c r="D163" i="653"/>
  <c r="H164" i="653"/>
  <c r="H162" i="653"/>
  <c r="G164" i="653"/>
  <c r="G162" i="653"/>
  <c r="D164" i="653"/>
  <c r="D162" i="653"/>
  <c r="E165" i="653"/>
  <c r="F164" i="653"/>
  <c r="E164" i="653"/>
  <c r="I163" i="653"/>
  <c r="E163" i="653"/>
  <c r="I162" i="653"/>
  <c r="F162" i="653"/>
  <c r="E162" i="653"/>
  <c r="I165" i="653"/>
  <c r="I164" i="653"/>
  <c r="I30" i="655"/>
  <c r="I28" i="655"/>
  <c r="H30" i="655"/>
  <c r="H28" i="655"/>
  <c r="E31" i="655"/>
  <c r="G30" i="655"/>
  <c r="G28" i="655"/>
  <c r="F30" i="655"/>
  <c r="F28" i="655"/>
  <c r="E30" i="655"/>
  <c r="E28" i="655"/>
  <c r="D30" i="655"/>
  <c r="D28" i="655"/>
  <c r="I31" i="655"/>
  <c r="I29" i="655"/>
  <c r="E29" i="655"/>
  <c r="H31" i="655"/>
  <c r="H29" i="655"/>
  <c r="G31" i="655"/>
  <c r="G29" i="655"/>
  <c r="F31" i="655"/>
  <c r="F29" i="655"/>
  <c r="D31" i="655"/>
  <c r="D29" i="655"/>
  <c r="F125" i="649"/>
  <c r="F123" i="649"/>
  <c r="F25" i="649"/>
  <c r="E125" i="649"/>
  <c r="E123" i="649"/>
  <c r="E25" i="649"/>
  <c r="D125" i="649"/>
  <c r="D123" i="649"/>
  <c r="D25" i="649"/>
  <c r="I124" i="649"/>
  <c r="I26" i="649"/>
  <c r="D124" i="649"/>
  <c r="G125" i="649"/>
  <c r="G123" i="649"/>
  <c r="G25" i="649"/>
  <c r="H124" i="649"/>
  <c r="G124" i="649"/>
  <c r="H25" i="649"/>
  <c r="F124" i="649"/>
  <c r="E124" i="649"/>
  <c r="I123" i="649"/>
  <c r="H26" i="649"/>
  <c r="H123" i="649"/>
  <c r="G26" i="649"/>
  <c r="F26" i="649"/>
  <c r="I125" i="649"/>
  <c r="E26" i="649"/>
  <c r="D26" i="649"/>
  <c r="I25" i="649"/>
  <c r="H125" i="649"/>
  <c r="I339" i="653"/>
  <c r="I337" i="653"/>
  <c r="H339" i="653"/>
  <c r="H337" i="653"/>
  <c r="H259" i="653"/>
  <c r="H257" i="653"/>
  <c r="H254" i="653"/>
  <c r="G339" i="653"/>
  <c r="G337" i="653"/>
  <c r="G259" i="653"/>
  <c r="G257" i="653"/>
  <c r="G254" i="653"/>
  <c r="D339" i="653"/>
  <c r="D337" i="653"/>
  <c r="D259" i="653"/>
  <c r="D257" i="653"/>
  <c r="D254" i="653"/>
  <c r="I340" i="653"/>
  <c r="I338" i="653"/>
  <c r="I336" i="653"/>
  <c r="I260" i="653"/>
  <c r="I258" i="653"/>
  <c r="I255" i="653"/>
  <c r="H340" i="653"/>
  <c r="H338" i="653"/>
  <c r="H336" i="653"/>
  <c r="H260" i="653"/>
  <c r="H258" i="653"/>
  <c r="H255" i="653"/>
  <c r="F339" i="653"/>
  <c r="I259" i="653"/>
  <c r="E255" i="653"/>
  <c r="H252" i="653"/>
  <c r="H249" i="653"/>
  <c r="H247" i="653"/>
  <c r="H244" i="653"/>
  <c r="H242" i="653"/>
  <c r="H240" i="653"/>
  <c r="E339" i="653"/>
  <c r="F259" i="653"/>
  <c r="D255" i="653"/>
  <c r="G252" i="653"/>
  <c r="G249" i="653"/>
  <c r="G247" i="653"/>
  <c r="G244" i="653"/>
  <c r="G242" i="653"/>
  <c r="G240" i="653"/>
  <c r="G338" i="653"/>
  <c r="E259" i="653"/>
  <c r="I254" i="653"/>
  <c r="F252" i="653"/>
  <c r="F249" i="653"/>
  <c r="F247" i="653"/>
  <c r="F244" i="653"/>
  <c r="F242" i="653"/>
  <c r="F240" i="653"/>
  <c r="E338" i="653"/>
  <c r="F258" i="653"/>
  <c r="E254" i="653"/>
  <c r="D252" i="653"/>
  <c r="D249" i="653"/>
  <c r="D247" i="653"/>
  <c r="D244" i="653"/>
  <c r="D242" i="653"/>
  <c r="D240" i="653"/>
  <c r="F337" i="653"/>
  <c r="D258" i="653"/>
  <c r="H253" i="653"/>
  <c r="H250" i="653"/>
  <c r="H248" i="653"/>
  <c r="H245" i="653"/>
  <c r="H243" i="653"/>
  <c r="H241" i="653"/>
  <c r="E337" i="653"/>
  <c r="I257" i="653"/>
  <c r="G253" i="653"/>
  <c r="G250" i="653"/>
  <c r="G248" i="653"/>
  <c r="G245" i="653"/>
  <c r="G243" i="653"/>
  <c r="G241" i="653"/>
  <c r="E340" i="653"/>
  <c r="E336" i="653"/>
  <c r="E260" i="653"/>
  <c r="G255" i="653"/>
  <c r="D253" i="653"/>
  <c r="D250" i="653"/>
  <c r="D248" i="653"/>
  <c r="D245" i="653"/>
  <c r="D243" i="653"/>
  <c r="D241" i="653"/>
  <c r="F338" i="653"/>
  <c r="F255" i="653"/>
  <c r="I248" i="653"/>
  <c r="E243" i="653"/>
  <c r="G336" i="653"/>
  <c r="I253" i="653"/>
  <c r="E248" i="653"/>
  <c r="E242" i="653"/>
  <c r="F336" i="653"/>
  <c r="F253" i="653"/>
  <c r="I247" i="653"/>
  <c r="I241" i="653"/>
  <c r="D336" i="653"/>
  <c r="E253" i="653"/>
  <c r="E247" i="653"/>
  <c r="F241" i="653"/>
  <c r="G260" i="653"/>
  <c r="I252" i="653"/>
  <c r="I245" i="653"/>
  <c r="E241" i="653"/>
  <c r="F260" i="653"/>
  <c r="E252" i="653"/>
  <c r="F245" i="653"/>
  <c r="I240" i="653"/>
  <c r="D260" i="653"/>
  <c r="I250" i="653"/>
  <c r="E245" i="653"/>
  <c r="E240" i="653"/>
  <c r="G258" i="653"/>
  <c r="F250" i="653"/>
  <c r="I244" i="653"/>
  <c r="F340" i="653"/>
  <c r="F257" i="653"/>
  <c r="I249" i="653"/>
  <c r="I243" i="653"/>
  <c r="E258" i="653"/>
  <c r="E257" i="653"/>
  <c r="F254" i="653"/>
  <c r="G340" i="653"/>
  <c r="E250" i="653"/>
  <c r="D340" i="653"/>
  <c r="E249" i="653"/>
  <c r="D338" i="653"/>
  <c r="F248" i="653"/>
  <c r="E244" i="653"/>
  <c r="I242" i="653"/>
  <c r="F243" i="653"/>
  <c r="I325" i="653"/>
  <c r="I323" i="653"/>
  <c r="H325" i="653"/>
  <c r="H323" i="653"/>
  <c r="G325" i="653"/>
  <c r="G323" i="653"/>
  <c r="D325" i="653"/>
  <c r="D323" i="653"/>
  <c r="I324" i="653"/>
  <c r="H324" i="653"/>
  <c r="F323" i="653"/>
  <c r="H227" i="653"/>
  <c r="E323" i="653"/>
  <c r="G227" i="653"/>
  <c r="F227" i="653"/>
  <c r="D227" i="653"/>
  <c r="F325" i="653"/>
  <c r="H226" i="653"/>
  <c r="E325" i="653"/>
  <c r="G226" i="653"/>
  <c r="E324" i="653"/>
  <c r="D226" i="653"/>
  <c r="G324" i="653"/>
  <c r="F226" i="653"/>
  <c r="D324" i="653"/>
  <c r="E227" i="653"/>
  <c r="I227" i="653"/>
  <c r="I226" i="653"/>
  <c r="E226" i="653"/>
  <c r="F324" i="653"/>
  <c r="H160" i="653"/>
  <c r="H158" i="653"/>
  <c r="G160" i="653"/>
  <c r="G158" i="653"/>
  <c r="F160" i="653"/>
  <c r="F158" i="653"/>
  <c r="D160" i="653"/>
  <c r="D158" i="653"/>
  <c r="H159" i="653"/>
  <c r="H157" i="653"/>
  <c r="G159" i="653"/>
  <c r="G157" i="653"/>
  <c r="D159" i="653"/>
  <c r="D157" i="653"/>
  <c r="F159" i="653"/>
  <c r="I158" i="653"/>
  <c r="E158" i="653"/>
  <c r="I157" i="653"/>
  <c r="F157" i="653"/>
  <c r="E157" i="653"/>
  <c r="E160" i="653"/>
  <c r="I160" i="653"/>
  <c r="E159" i="653"/>
  <c r="I159" i="653"/>
  <c r="I331" i="653"/>
  <c r="I329" i="653"/>
  <c r="H331" i="653"/>
  <c r="H329" i="653"/>
  <c r="G331" i="653"/>
  <c r="G329" i="653"/>
  <c r="D331" i="653"/>
  <c r="D329" i="653"/>
  <c r="I332" i="653"/>
  <c r="I330" i="653"/>
  <c r="I328" i="653"/>
  <c r="H332" i="653"/>
  <c r="H330" i="653"/>
  <c r="H328" i="653"/>
  <c r="F329" i="653"/>
  <c r="H232" i="653"/>
  <c r="H230" i="653"/>
  <c r="E329" i="653"/>
  <c r="G232" i="653"/>
  <c r="G230" i="653"/>
  <c r="G332" i="653"/>
  <c r="G328" i="653"/>
  <c r="F232" i="653"/>
  <c r="F230" i="653"/>
  <c r="E332" i="653"/>
  <c r="E328" i="653"/>
  <c r="D232" i="653"/>
  <c r="D230" i="653"/>
  <c r="F331" i="653"/>
  <c r="H231" i="653"/>
  <c r="H229" i="653"/>
  <c r="E331" i="653"/>
  <c r="G231" i="653"/>
  <c r="G229" i="653"/>
  <c r="E330" i="653"/>
  <c r="D231" i="653"/>
  <c r="D229" i="653"/>
  <c r="E232" i="653"/>
  <c r="F231" i="653"/>
  <c r="E231" i="653"/>
  <c r="I230" i="653"/>
  <c r="F332" i="653"/>
  <c r="E230" i="653"/>
  <c r="D332" i="653"/>
  <c r="I229" i="653"/>
  <c r="G330" i="653"/>
  <c r="F229" i="653"/>
  <c r="F330" i="653"/>
  <c r="E229" i="653"/>
  <c r="F328" i="653"/>
  <c r="I231" i="653"/>
  <c r="D330" i="653"/>
  <c r="D328" i="653"/>
  <c r="I232" i="653"/>
  <c r="H368" i="653"/>
  <c r="H365" i="653"/>
  <c r="H360" i="653"/>
  <c r="H354" i="653"/>
  <c r="G368" i="653"/>
  <c r="G365" i="653"/>
  <c r="G360" i="653"/>
  <c r="G354" i="653"/>
  <c r="F368" i="653"/>
  <c r="F365" i="653"/>
  <c r="F360" i="653"/>
  <c r="F354" i="653"/>
  <c r="D368" i="653"/>
  <c r="D365" i="653"/>
  <c r="D360" i="653"/>
  <c r="D354" i="653"/>
  <c r="H350" i="653"/>
  <c r="H348" i="653" s="1"/>
  <c r="H346" i="653" s="1"/>
  <c r="G350" i="653"/>
  <c r="G348" i="653" s="1"/>
  <c r="G346" i="653" s="1"/>
  <c r="D350" i="653"/>
  <c r="I365" i="653"/>
  <c r="I360" i="653"/>
  <c r="E365" i="653"/>
  <c r="E360" i="653"/>
  <c r="I354" i="653"/>
  <c r="E354" i="653"/>
  <c r="E368" i="653"/>
  <c r="F350" i="653"/>
  <c r="F348" i="653" s="1"/>
  <c r="F346" i="653" s="1"/>
  <c r="E350" i="653"/>
  <c r="E348" i="653" s="1"/>
  <c r="E346" i="653" s="1"/>
  <c r="I368" i="653"/>
  <c r="I350" i="653"/>
  <c r="I348" i="653" s="1"/>
  <c r="I346" i="653" s="1"/>
  <c r="H96" i="482"/>
  <c r="F94" i="482"/>
  <c r="I90" i="482"/>
  <c r="G88" i="482"/>
  <c r="E86" i="482"/>
  <c r="H82" i="482"/>
  <c r="F80" i="482"/>
  <c r="D92" i="482"/>
  <c r="G96" i="482"/>
  <c r="E94" i="482"/>
  <c r="H90" i="482"/>
  <c r="F88" i="482"/>
  <c r="I85" i="482"/>
  <c r="G82" i="482"/>
  <c r="E80" i="482"/>
  <c r="D90" i="482"/>
  <c r="F96" i="482"/>
  <c r="I93" i="482"/>
  <c r="G90" i="482"/>
  <c r="E88" i="482"/>
  <c r="H85" i="482"/>
  <c r="F82" i="482"/>
  <c r="I79" i="482"/>
  <c r="D89" i="482"/>
  <c r="E96" i="482"/>
  <c r="H93" i="482"/>
  <c r="F90" i="482"/>
  <c r="I87" i="482"/>
  <c r="G85" i="482"/>
  <c r="E82" i="482"/>
  <c r="H79" i="482"/>
  <c r="D88" i="482"/>
  <c r="I95" i="482"/>
  <c r="G93" i="482"/>
  <c r="E90" i="482"/>
  <c r="H87" i="482"/>
  <c r="F85" i="482"/>
  <c r="I81" i="482"/>
  <c r="G79" i="482"/>
  <c r="D87" i="482"/>
  <c r="H95" i="482"/>
  <c r="F93" i="482"/>
  <c r="I89" i="482"/>
  <c r="G87" i="482"/>
  <c r="E85" i="482"/>
  <c r="H81" i="482"/>
  <c r="F79" i="482"/>
  <c r="D86" i="482"/>
  <c r="I97" i="482"/>
  <c r="G95" i="482"/>
  <c r="E93" i="482"/>
  <c r="H89" i="482"/>
  <c r="F87" i="482"/>
  <c r="I83" i="482"/>
  <c r="G81" i="482"/>
  <c r="E79" i="482"/>
  <c r="D85" i="482"/>
  <c r="H97" i="482"/>
  <c r="F95" i="482"/>
  <c r="I92" i="482"/>
  <c r="G89" i="482"/>
  <c r="E87" i="482"/>
  <c r="H83" i="482"/>
  <c r="F81" i="482"/>
  <c r="D97" i="482"/>
  <c r="D83" i="482"/>
  <c r="G97" i="482"/>
  <c r="E95" i="482"/>
  <c r="H92" i="482"/>
  <c r="F89" i="482"/>
  <c r="I86" i="482"/>
  <c r="G83" i="482"/>
  <c r="E81" i="482"/>
  <c r="D96" i="482"/>
  <c r="D82" i="482"/>
  <c r="F97" i="482"/>
  <c r="I94" i="482"/>
  <c r="G92" i="482"/>
  <c r="E89" i="482"/>
  <c r="H86" i="482"/>
  <c r="F83" i="482"/>
  <c r="I80" i="482"/>
  <c r="D95" i="482"/>
  <c r="D81" i="482"/>
  <c r="I96" i="482"/>
  <c r="G94" i="482"/>
  <c r="E92" i="482"/>
  <c r="H88" i="482"/>
  <c r="F86" i="482"/>
  <c r="I82" i="482"/>
  <c r="G80" i="482"/>
  <c r="D93" i="482"/>
  <c r="D79" i="482"/>
  <c r="E97" i="482"/>
  <c r="H94" i="482"/>
  <c r="F92" i="482"/>
  <c r="I88" i="482"/>
  <c r="G86" i="482"/>
  <c r="E83" i="482"/>
  <c r="H80" i="482"/>
  <c r="D94" i="482"/>
  <c r="D80" i="482"/>
  <c r="H155" i="653"/>
  <c r="H153" i="653"/>
  <c r="G155" i="653"/>
  <c r="G153" i="653"/>
  <c r="F155" i="653"/>
  <c r="F153" i="653"/>
  <c r="D155" i="653"/>
  <c r="D153" i="653"/>
  <c r="H154" i="653"/>
  <c r="H152" i="653"/>
  <c r="G154" i="653"/>
  <c r="G152" i="653"/>
  <c r="D154" i="653"/>
  <c r="D152" i="653"/>
  <c r="I153" i="653"/>
  <c r="I152" i="653"/>
  <c r="F152" i="653"/>
  <c r="E152" i="653"/>
  <c r="I155" i="653"/>
  <c r="E155" i="653"/>
  <c r="F154" i="653"/>
  <c r="E153" i="653"/>
  <c r="I154" i="653"/>
  <c r="E154" i="653"/>
  <c r="F117" i="649"/>
  <c r="E117" i="649"/>
  <c r="D117" i="649"/>
  <c r="I118" i="649"/>
  <c r="I21" i="649"/>
  <c r="I158" i="649" s="1"/>
  <c r="D118" i="649"/>
  <c r="G117" i="649"/>
  <c r="G21" i="649"/>
  <c r="G158" i="649" s="1"/>
  <c r="F21" i="649"/>
  <c r="I117" i="649"/>
  <c r="E21" i="649"/>
  <c r="E158" i="649" s="1"/>
  <c r="D21" i="649"/>
  <c r="D158" i="649" s="1"/>
  <c r="H118" i="649"/>
  <c r="G118" i="649"/>
  <c r="F118" i="649"/>
  <c r="E118" i="649"/>
  <c r="H117" i="649"/>
  <c r="H21" i="649"/>
  <c r="H158" i="649" s="1"/>
  <c r="H42" i="653"/>
  <c r="H40" i="653"/>
  <c r="G42" i="653"/>
  <c r="G40" i="653"/>
  <c r="F42" i="653"/>
  <c r="F40" i="653"/>
  <c r="D42" i="653"/>
  <c r="D40" i="653"/>
  <c r="H41" i="653"/>
  <c r="H39" i="653"/>
  <c r="G41" i="653"/>
  <c r="G39" i="653"/>
  <c r="E40" i="653"/>
  <c r="F39" i="653"/>
  <c r="E39" i="653"/>
  <c r="D39" i="653"/>
  <c r="I42" i="653"/>
  <c r="E42" i="653"/>
  <c r="I41" i="653"/>
  <c r="F41" i="653"/>
  <c r="D41" i="653"/>
  <c r="E41" i="653"/>
  <c r="I40" i="653"/>
  <c r="I39" i="653"/>
  <c r="I316" i="653"/>
  <c r="H316" i="653"/>
  <c r="G316" i="653"/>
  <c r="D316" i="653"/>
  <c r="F316" i="653"/>
  <c r="E316" i="653"/>
  <c r="H221" i="653"/>
  <c r="G221" i="653"/>
  <c r="D221" i="653"/>
  <c r="I221" i="653"/>
  <c r="F221" i="653"/>
  <c r="E221" i="653"/>
  <c r="H47" i="653"/>
  <c r="G47" i="653"/>
  <c r="F47" i="653"/>
  <c r="D47" i="653"/>
  <c r="H48" i="653"/>
  <c r="H46" i="653"/>
  <c r="G48" i="653"/>
  <c r="G46" i="653"/>
  <c r="E47" i="653"/>
  <c r="F46" i="653"/>
  <c r="E46" i="653"/>
  <c r="D46" i="653"/>
  <c r="I48" i="653"/>
  <c r="F48" i="653"/>
  <c r="D48" i="653"/>
  <c r="E48" i="653"/>
  <c r="I47" i="653"/>
  <c r="I46" i="653"/>
  <c r="H369" i="653"/>
  <c r="H361" i="653"/>
  <c r="H355" i="653"/>
  <c r="G369" i="653"/>
  <c r="G361" i="653"/>
  <c r="G355" i="653"/>
  <c r="F361" i="653"/>
  <c r="E361" i="653"/>
  <c r="I355" i="653"/>
  <c r="D361" i="653"/>
  <c r="F355" i="653"/>
  <c r="I369" i="653"/>
  <c r="E355" i="653"/>
  <c r="F369" i="653"/>
  <c r="D355" i="653"/>
  <c r="E369" i="653"/>
  <c r="D369" i="653"/>
  <c r="I361" i="653"/>
  <c r="I37" i="655"/>
  <c r="I35" i="655"/>
  <c r="H37" i="655"/>
  <c r="H35" i="655"/>
  <c r="G37" i="655"/>
  <c r="G35" i="655"/>
  <c r="F37" i="655"/>
  <c r="F35" i="655"/>
  <c r="E37" i="655"/>
  <c r="E35" i="655"/>
  <c r="D37" i="655"/>
  <c r="D35" i="655"/>
  <c r="I36" i="655"/>
  <c r="H36" i="655"/>
  <c r="E36" i="655"/>
  <c r="G36" i="655"/>
  <c r="F36" i="655"/>
  <c r="D36" i="655"/>
  <c r="F131" i="649"/>
  <c r="F129" i="649"/>
  <c r="F30" i="649"/>
  <c r="F28" i="649"/>
  <c r="E131" i="649"/>
  <c r="E129" i="649"/>
  <c r="E30" i="649"/>
  <c r="E28" i="649"/>
  <c r="D131" i="649"/>
  <c r="D129" i="649"/>
  <c r="D30" i="649"/>
  <c r="D28" i="649"/>
  <c r="I132" i="649"/>
  <c r="I130" i="649"/>
  <c r="I128" i="649"/>
  <c r="I31" i="649"/>
  <c r="I29" i="649"/>
  <c r="D132" i="649"/>
  <c r="D130" i="649"/>
  <c r="D128" i="649"/>
  <c r="G131" i="649"/>
  <c r="G129" i="649"/>
  <c r="G30" i="649"/>
  <c r="G28" i="649"/>
  <c r="H130" i="649"/>
  <c r="E29" i="649"/>
  <c r="G130" i="649"/>
  <c r="D29" i="649"/>
  <c r="F130" i="649"/>
  <c r="H31" i="649"/>
  <c r="I28" i="649"/>
  <c r="E130" i="649"/>
  <c r="G31" i="649"/>
  <c r="H28" i="649"/>
  <c r="I129" i="649"/>
  <c r="F31" i="649"/>
  <c r="H129" i="649"/>
  <c r="E31" i="649"/>
  <c r="H132" i="649"/>
  <c r="H128" i="649"/>
  <c r="D31" i="649"/>
  <c r="G132" i="649"/>
  <c r="G128" i="649"/>
  <c r="I30" i="649"/>
  <c r="I131" i="649"/>
  <c r="F132" i="649"/>
  <c r="F128" i="649"/>
  <c r="H30" i="649"/>
  <c r="E132" i="649"/>
  <c r="E128" i="649"/>
  <c r="H29" i="649"/>
  <c r="G29" i="649"/>
  <c r="H131" i="649"/>
  <c r="F29" i="649"/>
  <c r="H192" i="653"/>
  <c r="H190" i="653"/>
  <c r="H188" i="653"/>
  <c r="H98" i="653"/>
  <c r="H96" i="653"/>
  <c r="H94" i="653"/>
  <c r="G192" i="653"/>
  <c r="G190" i="653"/>
  <c r="G188" i="653"/>
  <c r="G98" i="653"/>
  <c r="G96" i="653"/>
  <c r="G94" i="653"/>
  <c r="F192" i="653"/>
  <c r="F190" i="653"/>
  <c r="F188" i="653"/>
  <c r="F98" i="653"/>
  <c r="F96" i="653"/>
  <c r="F94" i="653"/>
  <c r="D192" i="653"/>
  <c r="D190" i="653"/>
  <c r="D188" i="653"/>
  <c r="D98" i="653"/>
  <c r="D96" i="653"/>
  <c r="D94" i="653"/>
  <c r="H193" i="653"/>
  <c r="H191" i="653"/>
  <c r="H189" i="653"/>
  <c r="H97" i="653"/>
  <c r="H95" i="653"/>
  <c r="H93" i="653"/>
  <c r="G193" i="653"/>
  <c r="G191" i="653"/>
  <c r="G189" i="653"/>
  <c r="G97" i="653"/>
  <c r="G95" i="653"/>
  <c r="G93" i="653"/>
  <c r="D193" i="653"/>
  <c r="D191" i="653"/>
  <c r="D189" i="653"/>
  <c r="D97" i="653"/>
  <c r="D95" i="653"/>
  <c r="D93" i="653"/>
  <c r="F189" i="653"/>
  <c r="E96" i="653"/>
  <c r="F193" i="653"/>
  <c r="I188" i="653"/>
  <c r="F95" i="653"/>
  <c r="E193" i="653"/>
  <c r="E188" i="653"/>
  <c r="E95" i="653"/>
  <c r="I192" i="653"/>
  <c r="I94" i="653"/>
  <c r="E192" i="653"/>
  <c r="E94" i="653"/>
  <c r="I191" i="653"/>
  <c r="I98" i="653"/>
  <c r="I93" i="653"/>
  <c r="F191" i="653"/>
  <c r="E98" i="653"/>
  <c r="F93" i="653"/>
  <c r="E191" i="653"/>
  <c r="I97" i="653"/>
  <c r="E93" i="653"/>
  <c r="E190" i="653"/>
  <c r="E97" i="653"/>
  <c r="I95" i="653"/>
  <c r="I193" i="653"/>
  <c r="I190" i="653"/>
  <c r="I189" i="653"/>
  <c r="E189" i="653"/>
  <c r="F97" i="653"/>
  <c r="I96" i="653"/>
  <c r="H77" i="653"/>
  <c r="H75" i="653"/>
  <c r="H73" i="653"/>
  <c r="G77" i="653"/>
  <c r="G75" i="653"/>
  <c r="G73" i="653"/>
  <c r="F77" i="653"/>
  <c r="F75" i="653"/>
  <c r="F73" i="653"/>
  <c r="D77" i="653"/>
  <c r="D75" i="653"/>
  <c r="D73" i="653"/>
  <c r="H78" i="653"/>
  <c r="H76" i="653"/>
  <c r="H74" i="653"/>
  <c r="G78" i="653"/>
  <c r="G76" i="653"/>
  <c r="G74" i="653"/>
  <c r="D78" i="653"/>
  <c r="D76" i="653"/>
  <c r="D74" i="653"/>
  <c r="I78" i="653"/>
  <c r="E74" i="653"/>
  <c r="E78" i="653"/>
  <c r="E73" i="653"/>
  <c r="I77" i="653"/>
  <c r="E77" i="653"/>
  <c r="I76" i="653"/>
  <c r="F76" i="653"/>
  <c r="E76" i="653"/>
  <c r="I75" i="653"/>
  <c r="I74" i="653"/>
  <c r="I73" i="653"/>
  <c r="F78" i="653"/>
  <c r="E75" i="653"/>
  <c r="F74" i="653"/>
  <c r="H32" i="653"/>
  <c r="G32" i="653"/>
  <c r="F32" i="653"/>
  <c r="D32" i="653"/>
  <c r="E32" i="653"/>
  <c r="I32" i="653"/>
  <c r="H173" i="653"/>
  <c r="H171" i="653"/>
  <c r="H169" i="653"/>
  <c r="G173" i="653"/>
  <c r="G171" i="653"/>
  <c r="G169" i="653"/>
  <c r="F173" i="653"/>
  <c r="F171" i="653"/>
  <c r="F169" i="653"/>
  <c r="D173" i="653"/>
  <c r="D171" i="653"/>
  <c r="D169" i="653"/>
  <c r="H172" i="653"/>
  <c r="H170" i="653"/>
  <c r="H168" i="653"/>
  <c r="G172" i="653"/>
  <c r="G170" i="653"/>
  <c r="G168" i="653"/>
  <c r="D172" i="653"/>
  <c r="D170" i="653"/>
  <c r="D168" i="653"/>
  <c r="E172" i="653"/>
  <c r="E171" i="653"/>
  <c r="I170" i="653"/>
  <c r="F170" i="653"/>
  <c r="E170" i="653"/>
  <c r="I169" i="653"/>
  <c r="E169" i="653"/>
  <c r="I173" i="653"/>
  <c r="I168" i="653"/>
  <c r="I172" i="653"/>
  <c r="E168" i="653"/>
  <c r="E173" i="653"/>
  <c r="F172" i="653"/>
  <c r="I171" i="653"/>
  <c r="F168" i="653"/>
  <c r="H370" i="653"/>
  <c r="H362" i="653"/>
  <c r="H356" i="653"/>
  <c r="G370" i="653"/>
  <c r="G362" i="653"/>
  <c r="G356" i="653"/>
  <c r="F370" i="653"/>
  <c r="F362" i="653"/>
  <c r="F356" i="653"/>
  <c r="D370" i="653"/>
  <c r="D362" i="653"/>
  <c r="D356" i="653"/>
  <c r="E362" i="653"/>
  <c r="E356" i="653"/>
  <c r="I370" i="653"/>
  <c r="E370" i="653"/>
  <c r="I362" i="653"/>
  <c r="I356" i="653"/>
  <c r="I85" i="656"/>
  <c r="G83" i="656"/>
  <c r="E80" i="656"/>
  <c r="H77" i="656"/>
  <c r="F75" i="656"/>
  <c r="I71" i="656"/>
  <c r="G69" i="656"/>
  <c r="D78" i="656"/>
  <c r="H85" i="656"/>
  <c r="F83" i="656"/>
  <c r="I79" i="656"/>
  <c r="G77" i="656"/>
  <c r="E75" i="656"/>
  <c r="H71" i="656"/>
  <c r="F69" i="656"/>
  <c r="D76" i="656"/>
  <c r="I87" i="656"/>
  <c r="G85" i="656"/>
  <c r="E83" i="656"/>
  <c r="H79" i="656"/>
  <c r="F77" i="656"/>
  <c r="I73" i="656"/>
  <c r="G71" i="656"/>
  <c r="E69" i="656"/>
  <c r="D75" i="656"/>
  <c r="H87" i="656"/>
  <c r="F85" i="656"/>
  <c r="I82" i="656"/>
  <c r="G79" i="656"/>
  <c r="E77" i="656"/>
  <c r="H73" i="656"/>
  <c r="F71" i="656"/>
  <c r="D73" i="656"/>
  <c r="G87" i="656"/>
  <c r="E85" i="656"/>
  <c r="H82" i="656"/>
  <c r="F79" i="656"/>
  <c r="I76" i="656"/>
  <c r="G73" i="656"/>
  <c r="E71" i="656"/>
  <c r="D87" i="656"/>
  <c r="D72" i="656"/>
  <c r="F87" i="656"/>
  <c r="I84" i="656"/>
  <c r="G82" i="656"/>
  <c r="E79" i="656"/>
  <c r="H76" i="656"/>
  <c r="F73" i="656"/>
  <c r="I70" i="656"/>
  <c r="D86" i="656"/>
  <c r="D71" i="656"/>
  <c r="E87" i="656"/>
  <c r="H84" i="656"/>
  <c r="F82" i="656"/>
  <c r="I78" i="656"/>
  <c r="G76" i="656"/>
  <c r="E73" i="656"/>
  <c r="H70" i="656"/>
  <c r="D85" i="656"/>
  <c r="D70" i="656"/>
  <c r="I86" i="656"/>
  <c r="G84" i="656"/>
  <c r="E82" i="656"/>
  <c r="H78" i="656"/>
  <c r="F76" i="656"/>
  <c r="I72" i="656"/>
  <c r="G70" i="656"/>
  <c r="D84" i="656"/>
  <c r="D77" i="656"/>
  <c r="H86" i="656"/>
  <c r="F84" i="656"/>
  <c r="I80" i="656"/>
  <c r="G78" i="656"/>
  <c r="E76" i="656"/>
  <c r="H72" i="656"/>
  <c r="F70" i="656"/>
  <c r="D83" i="656"/>
  <c r="D69" i="656"/>
  <c r="G86" i="656"/>
  <c r="E84" i="656"/>
  <c r="H80" i="656"/>
  <c r="F78" i="656"/>
  <c r="I75" i="656"/>
  <c r="G72" i="656"/>
  <c r="E70" i="656"/>
  <c r="D82" i="656"/>
  <c r="E86" i="656"/>
  <c r="H83" i="656"/>
  <c r="F80" i="656"/>
  <c r="I77" i="656"/>
  <c r="G75" i="656"/>
  <c r="E72" i="656"/>
  <c r="H69" i="656"/>
  <c r="D79" i="656"/>
  <c r="H75" i="656"/>
  <c r="F72" i="656"/>
  <c r="I69" i="656"/>
  <c r="D80" i="656"/>
  <c r="F86" i="656"/>
  <c r="G80" i="656"/>
  <c r="I83" i="656"/>
  <c r="E78" i="656"/>
  <c r="I59" i="655"/>
  <c r="I57" i="655"/>
  <c r="I54" i="655"/>
  <c r="I52" i="655"/>
  <c r="I49" i="655"/>
  <c r="I47" i="655"/>
  <c r="I44" i="655"/>
  <c r="I42" i="655"/>
  <c r="I40" i="655"/>
  <c r="E53" i="655"/>
  <c r="H59" i="655"/>
  <c r="H57" i="655"/>
  <c r="H54" i="655"/>
  <c r="H52" i="655"/>
  <c r="H49" i="655"/>
  <c r="H47" i="655"/>
  <c r="H44" i="655"/>
  <c r="H42" i="655"/>
  <c r="H40" i="655"/>
  <c r="E46" i="655"/>
  <c r="G59" i="655"/>
  <c r="G57" i="655"/>
  <c r="G54" i="655"/>
  <c r="G52" i="655"/>
  <c r="G49" i="655"/>
  <c r="G47" i="655"/>
  <c r="G44" i="655"/>
  <c r="G42" i="655"/>
  <c r="G40" i="655"/>
  <c r="E39" i="655"/>
  <c r="F59" i="655"/>
  <c r="F57" i="655"/>
  <c r="F54" i="655"/>
  <c r="F52" i="655"/>
  <c r="F49" i="655"/>
  <c r="F47" i="655"/>
  <c r="F44" i="655"/>
  <c r="F42" i="655"/>
  <c r="F40" i="655"/>
  <c r="E59" i="655"/>
  <c r="E57" i="655"/>
  <c r="E54" i="655"/>
  <c r="E52" i="655"/>
  <c r="E49" i="655"/>
  <c r="E47" i="655"/>
  <c r="E44" i="655"/>
  <c r="E42" i="655"/>
  <c r="E40" i="655"/>
  <c r="D59" i="655"/>
  <c r="D57" i="655"/>
  <c r="D54" i="655"/>
  <c r="D52" i="655"/>
  <c r="D49" i="655"/>
  <c r="D47" i="655"/>
  <c r="D44" i="655"/>
  <c r="D42" i="655"/>
  <c r="D40" i="655"/>
  <c r="E48" i="655"/>
  <c r="I58" i="655"/>
  <c r="I56" i="655"/>
  <c r="I53" i="655"/>
  <c r="I51" i="655"/>
  <c r="I48" i="655"/>
  <c r="I46" i="655"/>
  <c r="I43" i="655"/>
  <c r="I41" i="655"/>
  <c r="I39" i="655"/>
  <c r="E58" i="655"/>
  <c r="E51" i="655"/>
  <c r="E41" i="655"/>
  <c r="H58" i="655"/>
  <c r="H56" i="655"/>
  <c r="H53" i="655"/>
  <c r="H51" i="655"/>
  <c r="H48" i="655"/>
  <c r="H46" i="655"/>
  <c r="H43" i="655"/>
  <c r="H41" i="655"/>
  <c r="H39" i="655"/>
  <c r="E56" i="655"/>
  <c r="E43" i="655"/>
  <c r="G58" i="655"/>
  <c r="G56" i="655"/>
  <c r="G53" i="655"/>
  <c r="G51" i="655"/>
  <c r="G48" i="655"/>
  <c r="G46" i="655"/>
  <c r="G43" i="655"/>
  <c r="G41" i="655"/>
  <c r="G39" i="655"/>
  <c r="F58" i="655"/>
  <c r="F56" i="655"/>
  <c r="F53" i="655"/>
  <c r="F51" i="655"/>
  <c r="F48" i="655"/>
  <c r="F46" i="655"/>
  <c r="F43" i="655"/>
  <c r="F41" i="655"/>
  <c r="F39" i="655"/>
  <c r="D58" i="655"/>
  <c r="D56" i="655"/>
  <c r="D53" i="655"/>
  <c r="D51" i="655"/>
  <c r="D48" i="655"/>
  <c r="D46" i="655"/>
  <c r="D43" i="655"/>
  <c r="D41" i="655"/>
  <c r="D39" i="655"/>
  <c r="F135" i="649"/>
  <c r="F37" i="649"/>
  <c r="F35" i="649"/>
  <c r="E135" i="649"/>
  <c r="E37" i="649"/>
  <c r="E35" i="649"/>
  <c r="D135" i="649"/>
  <c r="D37" i="649"/>
  <c r="D35" i="649"/>
  <c r="I36" i="649"/>
  <c r="I135" i="649"/>
  <c r="G135" i="649"/>
  <c r="G37" i="649"/>
  <c r="G35" i="649"/>
  <c r="I35" i="649"/>
  <c r="H35" i="649"/>
  <c r="H135" i="649"/>
  <c r="I37" i="649"/>
  <c r="H37" i="649"/>
  <c r="H36" i="649"/>
  <c r="E36" i="649"/>
  <c r="G36" i="649"/>
  <c r="F36" i="649"/>
  <c r="D36" i="649"/>
  <c r="F87" i="655"/>
  <c r="E87" i="655"/>
  <c r="I86" i="655"/>
  <c r="D87" i="655"/>
  <c r="I84" i="655"/>
  <c r="I82" i="655"/>
  <c r="I79" i="655"/>
  <c r="I77" i="655"/>
  <c r="I75" i="655"/>
  <c r="I72" i="655"/>
  <c r="I70" i="655"/>
  <c r="H86" i="655"/>
  <c r="H84" i="655"/>
  <c r="H82" i="655"/>
  <c r="H79" i="655"/>
  <c r="H77" i="655"/>
  <c r="H75" i="655"/>
  <c r="H72" i="655"/>
  <c r="H70" i="655"/>
  <c r="G86" i="655"/>
  <c r="G84" i="655"/>
  <c r="G82" i="655"/>
  <c r="G79" i="655"/>
  <c r="G77" i="655"/>
  <c r="G75" i="655"/>
  <c r="G72" i="655"/>
  <c r="G70" i="655"/>
  <c r="F86" i="655"/>
  <c r="F84" i="655"/>
  <c r="F82" i="655"/>
  <c r="F79" i="655"/>
  <c r="F77" i="655"/>
  <c r="F75" i="655"/>
  <c r="F72" i="655"/>
  <c r="F70" i="655"/>
  <c r="E76" i="655"/>
  <c r="E86" i="655"/>
  <c r="E84" i="655"/>
  <c r="E82" i="655"/>
  <c r="E79" i="655"/>
  <c r="E77" i="655"/>
  <c r="E75" i="655"/>
  <c r="E72" i="655"/>
  <c r="E70" i="655"/>
  <c r="D86" i="655"/>
  <c r="D84" i="655"/>
  <c r="D82" i="655"/>
  <c r="D79" i="655"/>
  <c r="D77" i="655"/>
  <c r="D75" i="655"/>
  <c r="D72" i="655"/>
  <c r="D70" i="655"/>
  <c r="I85" i="655"/>
  <c r="I83" i="655"/>
  <c r="I80" i="655"/>
  <c r="I78" i="655"/>
  <c r="I76" i="655"/>
  <c r="I73" i="655"/>
  <c r="I71" i="655"/>
  <c r="I69" i="655"/>
  <c r="E80" i="655"/>
  <c r="E71" i="655"/>
  <c r="H85" i="655"/>
  <c r="H83" i="655"/>
  <c r="H80" i="655"/>
  <c r="H78" i="655"/>
  <c r="H76" i="655"/>
  <c r="H73" i="655"/>
  <c r="H71" i="655"/>
  <c r="H69" i="655"/>
  <c r="H87" i="655"/>
  <c r="E85" i="655"/>
  <c r="E83" i="655"/>
  <c r="E78" i="655"/>
  <c r="E73" i="655"/>
  <c r="E69" i="655"/>
  <c r="G85" i="655"/>
  <c r="G83" i="655"/>
  <c r="G80" i="655"/>
  <c r="G78" i="655"/>
  <c r="G76" i="655"/>
  <c r="G73" i="655"/>
  <c r="G71" i="655"/>
  <c r="G69" i="655"/>
  <c r="I87" i="655"/>
  <c r="F85" i="655"/>
  <c r="F83" i="655"/>
  <c r="F80" i="655"/>
  <c r="F78" i="655"/>
  <c r="F76" i="655"/>
  <c r="F73" i="655"/>
  <c r="F71" i="655"/>
  <c r="F69" i="655"/>
  <c r="G87" i="655"/>
  <c r="D85" i="655"/>
  <c r="D83" i="655"/>
  <c r="D80" i="655"/>
  <c r="D78" i="655"/>
  <c r="D76" i="655"/>
  <c r="D73" i="655"/>
  <c r="D71" i="655"/>
  <c r="D69" i="655"/>
  <c r="G77" i="658"/>
  <c r="G75" i="658"/>
  <c r="G73" i="658"/>
  <c r="F77" i="658"/>
  <c r="F75" i="658"/>
  <c r="F73" i="658"/>
  <c r="E77" i="658"/>
  <c r="E75" i="658"/>
  <c r="E73" i="658"/>
  <c r="D77" i="658"/>
  <c r="D75" i="658"/>
  <c r="D73" i="658"/>
  <c r="I78" i="658"/>
  <c r="I76" i="658"/>
  <c r="I74" i="658"/>
  <c r="H78" i="658"/>
  <c r="H76" i="658"/>
  <c r="H74" i="658"/>
  <c r="G78" i="658"/>
  <c r="G76" i="658"/>
  <c r="G74" i="658"/>
  <c r="F78" i="658"/>
  <c r="F76" i="658"/>
  <c r="F74" i="658"/>
  <c r="E78" i="658"/>
  <c r="E76" i="658"/>
  <c r="E74" i="658"/>
  <c r="H77" i="658"/>
  <c r="H75" i="658"/>
  <c r="H73" i="658"/>
  <c r="I73" i="658"/>
  <c r="D78" i="658"/>
  <c r="I77" i="658"/>
  <c r="D74" i="658"/>
  <c r="D76" i="658"/>
  <c r="I75" i="658"/>
  <c r="I97" i="481"/>
  <c r="G95" i="481"/>
  <c r="E93" i="481"/>
  <c r="H89" i="481"/>
  <c r="F87" i="481"/>
  <c r="I83" i="481"/>
  <c r="G81" i="481"/>
  <c r="E79" i="481"/>
  <c r="D85" i="481"/>
  <c r="H97" i="481"/>
  <c r="F95" i="481"/>
  <c r="I92" i="481"/>
  <c r="G89" i="481"/>
  <c r="E87" i="481"/>
  <c r="H83" i="481"/>
  <c r="F81" i="481"/>
  <c r="D97" i="481"/>
  <c r="D83" i="481"/>
  <c r="G97" i="481"/>
  <c r="E95" i="481"/>
  <c r="H92" i="481"/>
  <c r="F89" i="481"/>
  <c r="I86" i="481"/>
  <c r="G83" i="481"/>
  <c r="E81" i="481"/>
  <c r="D96" i="481"/>
  <c r="D82" i="481"/>
  <c r="F97" i="481"/>
  <c r="I94" i="481"/>
  <c r="G92" i="481"/>
  <c r="E89" i="481"/>
  <c r="H86" i="481"/>
  <c r="F83" i="481"/>
  <c r="I80" i="481"/>
  <c r="D95" i="481"/>
  <c r="D81" i="481"/>
  <c r="E97" i="481"/>
  <c r="H94" i="481"/>
  <c r="F92" i="481"/>
  <c r="I88" i="481"/>
  <c r="G86" i="481"/>
  <c r="E83" i="481"/>
  <c r="H80" i="481"/>
  <c r="D94" i="481"/>
  <c r="D80" i="481"/>
  <c r="I96" i="481"/>
  <c r="G94" i="481"/>
  <c r="E92" i="481"/>
  <c r="H88" i="481"/>
  <c r="F86" i="481"/>
  <c r="I82" i="481"/>
  <c r="G80" i="481"/>
  <c r="D93" i="481"/>
  <c r="D79" i="481"/>
  <c r="H96" i="481"/>
  <c r="F94" i="481"/>
  <c r="I90" i="481"/>
  <c r="G88" i="481"/>
  <c r="E86" i="481"/>
  <c r="H82" i="481"/>
  <c r="F80" i="481"/>
  <c r="D92" i="481"/>
  <c r="G96" i="481"/>
  <c r="E94" i="481"/>
  <c r="H90" i="481"/>
  <c r="F88" i="481"/>
  <c r="I85" i="481"/>
  <c r="G82" i="481"/>
  <c r="E80" i="481"/>
  <c r="D90" i="481"/>
  <c r="F96" i="481"/>
  <c r="I93" i="481"/>
  <c r="G90" i="481"/>
  <c r="E88" i="481"/>
  <c r="H85" i="481"/>
  <c r="F82" i="481"/>
  <c r="I79" i="481"/>
  <c r="D89" i="481"/>
  <c r="E96" i="481"/>
  <c r="H93" i="481"/>
  <c r="F90" i="481"/>
  <c r="I87" i="481"/>
  <c r="G85" i="481"/>
  <c r="E82" i="481"/>
  <c r="H79" i="481"/>
  <c r="D88" i="481"/>
  <c r="H95" i="481"/>
  <c r="F93" i="481"/>
  <c r="I89" i="481"/>
  <c r="G87" i="481"/>
  <c r="E85" i="481"/>
  <c r="H81" i="481"/>
  <c r="F79" i="481"/>
  <c r="D86" i="481"/>
  <c r="E90" i="481"/>
  <c r="H87" i="481"/>
  <c r="F85" i="481"/>
  <c r="I81" i="481"/>
  <c r="G79" i="481"/>
  <c r="D87" i="481"/>
  <c r="I95" i="481"/>
  <c r="G93" i="481"/>
  <c r="F140" i="649"/>
  <c r="F138" i="649"/>
  <c r="F59" i="649"/>
  <c r="F57" i="649"/>
  <c r="F54" i="649"/>
  <c r="F52" i="649"/>
  <c r="F49" i="649"/>
  <c r="F47" i="649"/>
  <c r="F44" i="649"/>
  <c r="F42" i="649"/>
  <c r="F40" i="649"/>
  <c r="E140" i="649"/>
  <c r="E138" i="649"/>
  <c r="E59" i="649"/>
  <c r="E57" i="649"/>
  <c r="E54" i="649"/>
  <c r="E52" i="649"/>
  <c r="E49" i="649"/>
  <c r="E47" i="649"/>
  <c r="E44" i="649"/>
  <c r="E42" i="649"/>
  <c r="E40" i="649"/>
  <c r="D140" i="649"/>
  <c r="D138" i="649"/>
  <c r="D59" i="649"/>
  <c r="D57" i="649"/>
  <c r="D54" i="649"/>
  <c r="D52" i="649"/>
  <c r="D49" i="649"/>
  <c r="D47" i="649"/>
  <c r="D44" i="649"/>
  <c r="D42" i="649"/>
  <c r="D40" i="649"/>
  <c r="I141" i="649"/>
  <c r="I139" i="649"/>
  <c r="I137" i="649"/>
  <c r="I58" i="649"/>
  <c r="I56" i="649"/>
  <c r="I53" i="649"/>
  <c r="I51" i="649"/>
  <c r="I48" i="649"/>
  <c r="I46" i="649"/>
  <c r="I43" i="649"/>
  <c r="I41" i="649"/>
  <c r="I39" i="649"/>
  <c r="D141" i="649"/>
  <c r="D139" i="649"/>
  <c r="D137" i="649"/>
  <c r="D58" i="649"/>
  <c r="D56" i="649"/>
  <c r="I140" i="649"/>
  <c r="I138" i="649"/>
  <c r="G140" i="649"/>
  <c r="G138" i="649"/>
  <c r="G59" i="649"/>
  <c r="G57" i="649"/>
  <c r="G54" i="649"/>
  <c r="G52" i="649"/>
  <c r="G49" i="649"/>
  <c r="G47" i="649"/>
  <c r="G44" i="649"/>
  <c r="G42" i="649"/>
  <c r="G40" i="649"/>
  <c r="H138" i="649"/>
  <c r="H56" i="649"/>
  <c r="H52" i="649"/>
  <c r="D48" i="649"/>
  <c r="F43" i="649"/>
  <c r="H39" i="649"/>
  <c r="H137" i="649"/>
  <c r="G56" i="649"/>
  <c r="H51" i="649"/>
  <c r="I47" i="649"/>
  <c r="E43" i="649"/>
  <c r="G39" i="649"/>
  <c r="I57" i="649"/>
  <c r="I40" i="649"/>
  <c r="G137" i="649"/>
  <c r="F56" i="649"/>
  <c r="G51" i="649"/>
  <c r="H47" i="649"/>
  <c r="D43" i="649"/>
  <c r="F39" i="649"/>
  <c r="H141" i="649"/>
  <c r="F137" i="649"/>
  <c r="E56" i="649"/>
  <c r="F51" i="649"/>
  <c r="H46" i="649"/>
  <c r="I42" i="649"/>
  <c r="E39" i="649"/>
  <c r="G141" i="649"/>
  <c r="E137" i="649"/>
  <c r="I59" i="649"/>
  <c r="I54" i="649"/>
  <c r="E51" i="649"/>
  <c r="G46" i="649"/>
  <c r="H42" i="649"/>
  <c r="D39" i="649"/>
  <c r="F141" i="649"/>
  <c r="H59" i="649"/>
  <c r="H54" i="649"/>
  <c r="D51" i="649"/>
  <c r="F46" i="649"/>
  <c r="H41" i="649"/>
  <c r="H43" i="649"/>
  <c r="E141" i="649"/>
  <c r="H58" i="649"/>
  <c r="H53" i="649"/>
  <c r="I49" i="649"/>
  <c r="E46" i="649"/>
  <c r="G41" i="649"/>
  <c r="F48" i="649"/>
  <c r="H140" i="649"/>
  <c r="G58" i="649"/>
  <c r="G53" i="649"/>
  <c r="H49" i="649"/>
  <c r="D46" i="649"/>
  <c r="F41" i="649"/>
  <c r="D53" i="649"/>
  <c r="H139" i="649"/>
  <c r="F58" i="649"/>
  <c r="F53" i="649"/>
  <c r="H48" i="649"/>
  <c r="I44" i="649"/>
  <c r="E41" i="649"/>
  <c r="G139" i="649"/>
  <c r="E58" i="649"/>
  <c r="E53" i="649"/>
  <c r="G48" i="649"/>
  <c r="H44" i="649"/>
  <c r="D41" i="649"/>
  <c r="F139" i="649"/>
  <c r="E139" i="649"/>
  <c r="H57" i="649"/>
  <c r="I52" i="649"/>
  <c r="E48" i="649"/>
  <c r="G43" i="649"/>
  <c r="H40" i="649"/>
  <c r="J248" i="658"/>
  <c r="J244" i="658"/>
  <c r="F256" i="658"/>
  <c r="J243" i="658"/>
  <c r="H246" i="658"/>
  <c r="J259" i="658"/>
  <c r="H239" i="658"/>
  <c r="G246" i="658"/>
  <c r="D256" i="658"/>
  <c r="D239" i="658"/>
  <c r="J247" i="658"/>
  <c r="D246" i="658"/>
  <c r="E246" i="658"/>
  <c r="J255" i="658"/>
  <c r="H252" i="658"/>
  <c r="H251" i="658" s="1"/>
  <c r="E239" i="658"/>
  <c r="I239" i="658"/>
  <c r="H257" i="658"/>
  <c r="H256" i="658" s="1"/>
  <c r="G252" i="658"/>
  <c r="G251" i="658" s="1"/>
  <c r="D235" i="658"/>
  <c r="R21" i="120"/>
  <c r="J245" i="658"/>
  <c r="J249" i="658"/>
  <c r="J225" i="658"/>
  <c r="J430" i="658" s="1"/>
  <c r="D224" i="658"/>
  <c r="J224" i="658" s="1"/>
  <c r="J260" i="658"/>
  <c r="D251" i="658"/>
  <c r="E257" i="658"/>
  <c r="E256" i="658" s="1"/>
  <c r="F235" i="658"/>
  <c r="T21" i="120"/>
  <c r="J254" i="658"/>
  <c r="F252" i="658"/>
  <c r="F251" i="658" s="1"/>
  <c r="J240" i="658"/>
  <c r="F239" i="658"/>
  <c r="J253" i="658"/>
  <c r="J250" i="658"/>
  <c r="I252" i="658"/>
  <c r="I251" i="658" s="1"/>
  <c r="E252" i="658"/>
  <c r="E251" i="658" s="1"/>
  <c r="F246" i="658"/>
  <c r="I246" i="658"/>
  <c r="J241" i="658"/>
  <c r="I257" i="658"/>
  <c r="I256" i="658" s="1"/>
  <c r="E235" i="658"/>
  <c r="S21" i="120"/>
  <c r="J242" i="658"/>
  <c r="J258" i="658"/>
  <c r="G239" i="658"/>
  <c r="G257" i="658"/>
  <c r="G256" i="658" s="1"/>
  <c r="H428" i="658"/>
  <c r="D131" i="658"/>
  <c r="I132" i="658"/>
  <c r="H132" i="658"/>
  <c r="G132" i="658"/>
  <c r="F132" i="658"/>
  <c r="E132" i="658"/>
  <c r="D132" i="658"/>
  <c r="I131" i="658"/>
  <c r="H131" i="658"/>
  <c r="G131" i="658"/>
  <c r="F131" i="658"/>
  <c r="E131" i="658"/>
  <c r="G31" i="658"/>
  <c r="F31" i="658"/>
  <c r="E31" i="658"/>
  <c r="D31" i="658"/>
  <c r="I31" i="658"/>
  <c r="H31" i="658"/>
  <c r="H47" i="658"/>
  <c r="G47" i="658"/>
  <c r="F47" i="658"/>
  <c r="E47" i="658"/>
  <c r="D47" i="658"/>
  <c r="I48" i="658"/>
  <c r="I46" i="658"/>
  <c r="H48" i="658"/>
  <c r="H46" i="658"/>
  <c r="G48" i="658"/>
  <c r="G46" i="658"/>
  <c r="F48" i="658"/>
  <c r="F46" i="658"/>
  <c r="E48" i="658"/>
  <c r="E46" i="658"/>
  <c r="D48" i="658"/>
  <c r="D46" i="658"/>
  <c r="I47" i="658"/>
  <c r="E173" i="658"/>
  <c r="E171" i="658"/>
  <c r="E169" i="658"/>
  <c r="D173" i="658"/>
  <c r="D171" i="658"/>
  <c r="D169" i="658"/>
  <c r="I172" i="658"/>
  <c r="I170" i="658"/>
  <c r="I168" i="658"/>
  <c r="H172" i="658"/>
  <c r="H170" i="658"/>
  <c r="H168" i="658"/>
  <c r="G172" i="658"/>
  <c r="G170" i="658"/>
  <c r="G168" i="658"/>
  <c r="F172" i="658"/>
  <c r="F170" i="658"/>
  <c r="F168" i="658"/>
  <c r="E172" i="658"/>
  <c r="E170" i="658"/>
  <c r="E168" i="658"/>
  <c r="D172" i="658"/>
  <c r="D170" i="658"/>
  <c r="I173" i="658"/>
  <c r="I171" i="658"/>
  <c r="I169" i="658"/>
  <c r="H173" i="658"/>
  <c r="H171" i="658"/>
  <c r="H169" i="658"/>
  <c r="G173" i="658"/>
  <c r="G171" i="658"/>
  <c r="G169" i="658"/>
  <c r="F169" i="658"/>
  <c r="F173" i="658"/>
  <c r="F171" i="658"/>
  <c r="E36" i="658"/>
  <c r="D36" i="658"/>
  <c r="I37" i="658"/>
  <c r="H37" i="658"/>
  <c r="G37" i="658"/>
  <c r="F37" i="658"/>
  <c r="E37" i="658"/>
  <c r="D37" i="658"/>
  <c r="I36" i="658"/>
  <c r="H36" i="658"/>
  <c r="G36" i="658"/>
  <c r="F36" i="658"/>
  <c r="E142" i="658"/>
  <c r="D142" i="658"/>
  <c r="I143" i="658"/>
  <c r="I141" i="658"/>
  <c r="H143" i="658"/>
  <c r="H141" i="658"/>
  <c r="G143" i="658"/>
  <c r="G141" i="658"/>
  <c r="F143" i="658"/>
  <c r="F141" i="658"/>
  <c r="E143" i="658"/>
  <c r="E141" i="658"/>
  <c r="D143" i="658"/>
  <c r="D141" i="658"/>
  <c r="I142" i="658"/>
  <c r="H142" i="658"/>
  <c r="G142" i="658"/>
  <c r="F142" i="658"/>
  <c r="G126" i="658"/>
  <c r="F126" i="658"/>
  <c r="E126" i="658"/>
  <c r="D126" i="658"/>
  <c r="I126" i="658"/>
  <c r="H126" i="658"/>
  <c r="I39" i="120"/>
  <c r="I44" i="120"/>
  <c r="H44" i="120"/>
  <c r="H39" i="120"/>
  <c r="G39" i="120"/>
  <c r="G44" i="120"/>
  <c r="F39" i="120"/>
  <c r="F26" i="120" s="1"/>
  <c r="E39" i="120"/>
  <c r="E44" i="120"/>
  <c r="D430" i="658"/>
  <c r="J45" i="120"/>
  <c r="J34" i="120"/>
  <c r="J40" i="120"/>
  <c r="J21" i="120"/>
  <c r="X22" i="120"/>
  <c r="J27" i="120"/>
  <c r="D26" i="120"/>
  <c r="J9" i="120"/>
  <c r="I20" i="656"/>
  <c r="H20" i="656"/>
  <c r="G20" i="656"/>
  <c r="F20" i="656"/>
  <c r="E20" i="656"/>
  <c r="D20" i="656"/>
  <c r="G21" i="656"/>
  <c r="F21" i="656"/>
  <c r="E21" i="656"/>
  <c r="H21" i="656"/>
  <c r="D21" i="656"/>
  <c r="I21" i="656"/>
  <c r="G30" i="656"/>
  <c r="G28" i="656"/>
  <c r="F30" i="656"/>
  <c r="F28" i="656"/>
  <c r="E30" i="656"/>
  <c r="E28" i="656"/>
  <c r="D30" i="656"/>
  <c r="D28" i="656"/>
  <c r="H28" i="656"/>
  <c r="I31" i="656"/>
  <c r="I29" i="656"/>
  <c r="H31" i="656"/>
  <c r="H29" i="656"/>
  <c r="H30" i="656"/>
  <c r="G31" i="656"/>
  <c r="G29" i="656"/>
  <c r="F31" i="656"/>
  <c r="F29" i="656"/>
  <c r="E31" i="656"/>
  <c r="E29" i="656"/>
  <c r="D31" i="656"/>
  <c r="D29" i="656"/>
  <c r="I30" i="656"/>
  <c r="I28" i="656"/>
  <c r="G36" i="656"/>
  <c r="F36" i="656"/>
  <c r="E36" i="656"/>
  <c r="D36" i="656"/>
  <c r="I37" i="656"/>
  <c r="H37" i="656"/>
  <c r="G37" i="656"/>
  <c r="F37" i="656"/>
  <c r="E37" i="656"/>
  <c r="D37" i="656"/>
  <c r="I36" i="656"/>
  <c r="H36" i="656"/>
  <c r="H35" i="656"/>
  <c r="G35" i="656"/>
  <c r="I35" i="656"/>
  <c r="D35" i="656"/>
  <c r="F35" i="656"/>
  <c r="E35" i="656"/>
  <c r="I26" i="656"/>
  <c r="H26" i="656"/>
  <c r="G26" i="656"/>
  <c r="F26" i="656"/>
  <c r="E26" i="656"/>
  <c r="D26" i="656"/>
  <c r="I25" i="656"/>
  <c r="G25" i="656"/>
  <c r="E25" i="656"/>
  <c r="F25" i="656"/>
  <c r="H25" i="656"/>
  <c r="D25" i="656"/>
  <c r="F46" i="481"/>
  <c r="E46" i="481"/>
  <c r="D46" i="481"/>
  <c r="H47" i="481"/>
  <c r="H45" i="481"/>
  <c r="G47" i="481"/>
  <c r="G45" i="481"/>
  <c r="F47" i="481"/>
  <c r="F45" i="481"/>
  <c r="E47" i="481"/>
  <c r="E45" i="481"/>
  <c r="D47" i="481"/>
  <c r="D45" i="481"/>
  <c r="I46" i="481"/>
  <c r="H46" i="481"/>
  <c r="G46" i="481"/>
  <c r="I47" i="481"/>
  <c r="I45" i="481"/>
  <c r="I31" i="480"/>
  <c r="I130" i="480" s="1"/>
  <c r="H31" i="480"/>
  <c r="H130" i="480" s="1"/>
  <c r="G31" i="480"/>
  <c r="G130" i="480" s="1"/>
  <c r="F31" i="480"/>
  <c r="F130" i="480" s="1"/>
  <c r="E31" i="480"/>
  <c r="E130" i="480" s="1"/>
  <c r="D31" i="480"/>
  <c r="F68" i="481"/>
  <c r="F66" i="481"/>
  <c r="F63" i="481"/>
  <c r="F61" i="481"/>
  <c r="F58" i="481"/>
  <c r="F56" i="481"/>
  <c r="F53" i="481"/>
  <c r="F51" i="481"/>
  <c r="F49" i="481"/>
  <c r="E68" i="481"/>
  <c r="E66" i="481"/>
  <c r="E63" i="481"/>
  <c r="E61" i="481"/>
  <c r="E58" i="481"/>
  <c r="E56" i="481"/>
  <c r="E53" i="481"/>
  <c r="E51" i="481"/>
  <c r="E49" i="481"/>
  <c r="D68" i="481"/>
  <c r="D66" i="481"/>
  <c r="D63" i="481"/>
  <c r="D61" i="481"/>
  <c r="D58" i="481"/>
  <c r="D56" i="481"/>
  <c r="D53" i="481"/>
  <c r="D51" i="481"/>
  <c r="D49" i="481"/>
  <c r="H69" i="481"/>
  <c r="H67" i="481"/>
  <c r="H64" i="481"/>
  <c r="H62" i="481"/>
  <c r="H59" i="481"/>
  <c r="H57" i="481"/>
  <c r="H54" i="481"/>
  <c r="H52" i="481"/>
  <c r="H50" i="481"/>
  <c r="G69" i="481"/>
  <c r="G67" i="481"/>
  <c r="G64" i="481"/>
  <c r="G62" i="481"/>
  <c r="G59" i="481"/>
  <c r="G57" i="481"/>
  <c r="G54" i="481"/>
  <c r="G52" i="481"/>
  <c r="G50" i="481"/>
  <c r="F69" i="481"/>
  <c r="F67" i="481"/>
  <c r="F64" i="481"/>
  <c r="F62" i="481"/>
  <c r="F59" i="481"/>
  <c r="F57" i="481"/>
  <c r="F54" i="481"/>
  <c r="F52" i="481"/>
  <c r="F50" i="481"/>
  <c r="E69" i="481"/>
  <c r="E67" i="481"/>
  <c r="E64" i="481"/>
  <c r="E62" i="481"/>
  <c r="E59" i="481"/>
  <c r="E57" i="481"/>
  <c r="E54" i="481"/>
  <c r="E52" i="481"/>
  <c r="E50" i="481"/>
  <c r="D69" i="481"/>
  <c r="D67" i="481"/>
  <c r="D64" i="481"/>
  <c r="D62" i="481"/>
  <c r="D59" i="481"/>
  <c r="D57" i="481"/>
  <c r="D54" i="481"/>
  <c r="D52" i="481"/>
  <c r="D50" i="481"/>
  <c r="I68" i="481"/>
  <c r="I66" i="481"/>
  <c r="I63" i="481"/>
  <c r="I61" i="481"/>
  <c r="I58" i="481"/>
  <c r="I56" i="481"/>
  <c r="I53" i="481"/>
  <c r="I51" i="481"/>
  <c r="I49" i="481"/>
  <c r="H68" i="481"/>
  <c r="H66" i="481"/>
  <c r="H63" i="481"/>
  <c r="H61" i="481"/>
  <c r="H58" i="481"/>
  <c r="H56" i="481"/>
  <c r="H53" i="481"/>
  <c r="H51" i="481"/>
  <c r="H49" i="481"/>
  <c r="G68" i="481"/>
  <c r="G66" i="481"/>
  <c r="G63" i="481"/>
  <c r="G61" i="481"/>
  <c r="G58" i="481"/>
  <c r="G56" i="481"/>
  <c r="G53" i="481"/>
  <c r="G51" i="481"/>
  <c r="G49" i="481"/>
  <c r="I62" i="481"/>
  <c r="I59" i="481"/>
  <c r="I57" i="481"/>
  <c r="I54" i="481"/>
  <c r="I52" i="481"/>
  <c r="I50" i="481"/>
  <c r="I69" i="481"/>
  <c r="I64" i="481"/>
  <c r="I67" i="481"/>
  <c r="G40" i="480"/>
  <c r="G38" i="480"/>
  <c r="F40" i="480"/>
  <c r="F38" i="480"/>
  <c r="E40" i="480"/>
  <c r="E38" i="480"/>
  <c r="I41" i="480"/>
  <c r="I39" i="480"/>
  <c r="H41" i="480"/>
  <c r="H39" i="480"/>
  <c r="G41" i="480"/>
  <c r="G39" i="480"/>
  <c r="F41" i="480"/>
  <c r="F39" i="480"/>
  <c r="E41" i="480"/>
  <c r="E39" i="480"/>
  <c r="D41" i="480"/>
  <c r="D39" i="480"/>
  <c r="H40" i="480"/>
  <c r="D40" i="480"/>
  <c r="I38" i="480"/>
  <c r="H38" i="480"/>
  <c r="D38" i="480"/>
  <c r="I40" i="480"/>
  <c r="G47" i="480"/>
  <c r="G45" i="480"/>
  <c r="F47" i="480"/>
  <c r="F45" i="480"/>
  <c r="E47" i="480"/>
  <c r="E45" i="480"/>
  <c r="I46" i="480"/>
  <c r="H46" i="480"/>
  <c r="G46" i="480"/>
  <c r="F46" i="480"/>
  <c r="E46" i="480"/>
  <c r="D46" i="480"/>
  <c r="H47" i="480"/>
  <c r="D47" i="480"/>
  <c r="I47" i="480"/>
  <c r="I45" i="480"/>
  <c r="H45" i="480"/>
  <c r="D45" i="480"/>
  <c r="D30" i="482"/>
  <c r="I30" i="482"/>
  <c r="H30" i="482"/>
  <c r="F30" i="482"/>
  <c r="E30" i="482"/>
  <c r="G30" i="482"/>
  <c r="G69" i="480"/>
  <c r="G67" i="480"/>
  <c r="G64" i="480"/>
  <c r="G62" i="480"/>
  <c r="G59" i="480"/>
  <c r="G57" i="480"/>
  <c r="G54" i="480"/>
  <c r="G52" i="480"/>
  <c r="G50" i="480"/>
  <c r="F69" i="480"/>
  <c r="F67" i="480"/>
  <c r="F64" i="480"/>
  <c r="F62" i="480"/>
  <c r="F59" i="480"/>
  <c r="F57" i="480"/>
  <c r="F54" i="480"/>
  <c r="F52" i="480"/>
  <c r="F50" i="480"/>
  <c r="E69" i="480"/>
  <c r="E67" i="480"/>
  <c r="E64" i="480"/>
  <c r="E62" i="480"/>
  <c r="E59" i="480"/>
  <c r="E57" i="480"/>
  <c r="E54" i="480"/>
  <c r="E52" i="480"/>
  <c r="E50" i="480"/>
  <c r="I68" i="480"/>
  <c r="I66" i="480"/>
  <c r="I63" i="480"/>
  <c r="I61" i="480"/>
  <c r="I58" i="480"/>
  <c r="I56" i="480"/>
  <c r="I53" i="480"/>
  <c r="I51" i="480"/>
  <c r="I49" i="480"/>
  <c r="H68" i="480"/>
  <c r="H66" i="480"/>
  <c r="H63" i="480"/>
  <c r="H61" i="480"/>
  <c r="H58" i="480"/>
  <c r="H56" i="480"/>
  <c r="H53" i="480"/>
  <c r="H51" i="480"/>
  <c r="H49" i="480"/>
  <c r="G68" i="480"/>
  <c r="G66" i="480"/>
  <c r="G63" i="480"/>
  <c r="G61" i="480"/>
  <c r="G58" i="480"/>
  <c r="G56" i="480"/>
  <c r="G53" i="480"/>
  <c r="G51" i="480"/>
  <c r="G49" i="480"/>
  <c r="F68" i="480"/>
  <c r="F66" i="480"/>
  <c r="F63" i="480"/>
  <c r="F61" i="480"/>
  <c r="F58" i="480"/>
  <c r="F56" i="480"/>
  <c r="F53" i="480"/>
  <c r="F51" i="480"/>
  <c r="F49" i="480"/>
  <c r="E68" i="480"/>
  <c r="E66" i="480"/>
  <c r="E63" i="480"/>
  <c r="E61" i="480"/>
  <c r="E58" i="480"/>
  <c r="E56" i="480"/>
  <c r="E53" i="480"/>
  <c r="E51" i="480"/>
  <c r="E49" i="480"/>
  <c r="D68" i="480"/>
  <c r="D66" i="480"/>
  <c r="D63" i="480"/>
  <c r="D61" i="480"/>
  <c r="D58" i="480"/>
  <c r="D56" i="480"/>
  <c r="D53" i="480"/>
  <c r="D51" i="480"/>
  <c r="D49" i="480"/>
  <c r="H62" i="480"/>
  <c r="H52" i="480"/>
  <c r="D62" i="480"/>
  <c r="D52" i="480"/>
  <c r="H67" i="480"/>
  <c r="I52" i="480"/>
  <c r="I69" i="480"/>
  <c r="I59" i="480"/>
  <c r="I50" i="480"/>
  <c r="D57" i="480"/>
  <c r="I62" i="480"/>
  <c r="H69" i="480"/>
  <c r="H59" i="480"/>
  <c r="H50" i="480"/>
  <c r="D69" i="480"/>
  <c r="D59" i="480"/>
  <c r="D50" i="480"/>
  <c r="D67" i="480"/>
  <c r="I67" i="480"/>
  <c r="I57" i="480"/>
  <c r="H57" i="480"/>
  <c r="I64" i="480"/>
  <c r="I54" i="480"/>
  <c r="D64" i="480"/>
  <c r="D54" i="480"/>
  <c r="H64" i="480"/>
  <c r="H54" i="480"/>
  <c r="I31" i="482"/>
  <c r="I131" i="482" s="1"/>
  <c r="H31" i="482"/>
  <c r="H131" i="482" s="1"/>
  <c r="F31" i="482"/>
  <c r="F131" i="482" s="1"/>
  <c r="E31" i="482"/>
  <c r="E131" i="482" s="1"/>
  <c r="D31" i="482"/>
  <c r="G31" i="482"/>
  <c r="G131" i="482" s="1"/>
  <c r="F117" i="480"/>
  <c r="F115" i="480"/>
  <c r="F113" i="480"/>
  <c r="F110" i="480"/>
  <c r="F108" i="480"/>
  <c r="F106" i="480"/>
  <c r="F103" i="480"/>
  <c r="F101" i="480"/>
  <c r="E117" i="480"/>
  <c r="E115" i="480"/>
  <c r="E113" i="480"/>
  <c r="E110" i="480"/>
  <c r="E108" i="480"/>
  <c r="E106" i="480"/>
  <c r="E103" i="480"/>
  <c r="E101" i="480"/>
  <c r="D117" i="480"/>
  <c r="D115" i="480"/>
  <c r="D113" i="480"/>
  <c r="D110" i="480"/>
  <c r="D108" i="480"/>
  <c r="D106" i="480"/>
  <c r="D103" i="480"/>
  <c r="D101" i="480"/>
  <c r="I72" i="480"/>
  <c r="H118" i="480"/>
  <c r="H116" i="480"/>
  <c r="H114" i="480"/>
  <c r="H111" i="480"/>
  <c r="H109" i="480"/>
  <c r="H107" i="480"/>
  <c r="H104" i="480"/>
  <c r="H102" i="480"/>
  <c r="H100" i="480"/>
  <c r="G72" i="480"/>
  <c r="G118" i="480"/>
  <c r="G116" i="480"/>
  <c r="G114" i="480"/>
  <c r="G111" i="480"/>
  <c r="G109" i="480"/>
  <c r="G107" i="480"/>
  <c r="G104" i="480"/>
  <c r="G102" i="480"/>
  <c r="G100" i="480"/>
  <c r="F72" i="480"/>
  <c r="F118" i="480"/>
  <c r="F116" i="480"/>
  <c r="F114" i="480"/>
  <c r="F111" i="480"/>
  <c r="F109" i="480"/>
  <c r="F107" i="480"/>
  <c r="F104" i="480"/>
  <c r="F102" i="480"/>
  <c r="F100" i="480"/>
  <c r="E72" i="480"/>
  <c r="E118" i="480"/>
  <c r="E116" i="480"/>
  <c r="E114" i="480"/>
  <c r="E111" i="480"/>
  <c r="E109" i="480"/>
  <c r="E107" i="480"/>
  <c r="E104" i="480"/>
  <c r="E102" i="480"/>
  <c r="E100" i="480"/>
  <c r="D72" i="480"/>
  <c r="D118" i="480"/>
  <c r="D116" i="480"/>
  <c r="D114" i="480"/>
  <c r="D111" i="480"/>
  <c r="D109" i="480"/>
  <c r="D107" i="480"/>
  <c r="D104" i="480"/>
  <c r="D102" i="480"/>
  <c r="D100" i="480"/>
  <c r="I117" i="480"/>
  <c r="I115" i="480"/>
  <c r="I113" i="480"/>
  <c r="I110" i="480"/>
  <c r="I108" i="480"/>
  <c r="I106" i="480"/>
  <c r="I103" i="480"/>
  <c r="I101" i="480"/>
  <c r="G115" i="480"/>
  <c r="G106" i="480"/>
  <c r="H115" i="480"/>
  <c r="I114" i="480"/>
  <c r="I104" i="480"/>
  <c r="I100" i="480"/>
  <c r="H106" i="480"/>
  <c r="H113" i="480"/>
  <c r="H103" i="480"/>
  <c r="G110" i="480"/>
  <c r="G113" i="480"/>
  <c r="G103" i="480"/>
  <c r="I111" i="480"/>
  <c r="I102" i="480"/>
  <c r="G101" i="480"/>
  <c r="I118" i="480"/>
  <c r="H110" i="480"/>
  <c r="H101" i="480"/>
  <c r="I109" i="480"/>
  <c r="H72" i="480"/>
  <c r="H117" i="480"/>
  <c r="H108" i="480"/>
  <c r="I116" i="480"/>
  <c r="I107" i="480"/>
  <c r="G117" i="480"/>
  <c r="G108" i="480"/>
  <c r="E36" i="482"/>
  <c r="D36" i="482"/>
  <c r="H35" i="482"/>
  <c r="G35" i="482"/>
  <c r="F35" i="482"/>
  <c r="E35" i="482"/>
  <c r="I36" i="482"/>
  <c r="D35" i="482"/>
  <c r="G36" i="482"/>
  <c r="F36" i="482"/>
  <c r="H36" i="482"/>
  <c r="I35" i="482"/>
  <c r="I40" i="482"/>
  <c r="D39" i="482"/>
  <c r="H40" i="482"/>
  <c r="I38" i="482"/>
  <c r="G40" i="482"/>
  <c r="H38" i="482"/>
  <c r="E40" i="482"/>
  <c r="F38" i="482"/>
  <c r="D40" i="482"/>
  <c r="E38" i="482"/>
  <c r="I41" i="482"/>
  <c r="D38" i="482"/>
  <c r="H41" i="482"/>
  <c r="I39" i="482"/>
  <c r="G41" i="482"/>
  <c r="H39" i="482"/>
  <c r="E41" i="482"/>
  <c r="F39" i="482"/>
  <c r="D41" i="482"/>
  <c r="E39" i="482"/>
  <c r="F40" i="482"/>
  <c r="G39" i="482"/>
  <c r="G38" i="482"/>
  <c r="F41" i="482"/>
  <c r="H30" i="481"/>
  <c r="G30" i="481"/>
  <c r="F30" i="481"/>
  <c r="E30" i="481"/>
  <c r="D30" i="481"/>
  <c r="I30" i="481"/>
  <c r="H47" i="482"/>
  <c r="H45" i="482"/>
  <c r="G47" i="482"/>
  <c r="G45" i="482"/>
  <c r="F47" i="482"/>
  <c r="F45" i="482"/>
  <c r="D47" i="482"/>
  <c r="D45" i="482"/>
  <c r="I46" i="482"/>
  <c r="H46" i="482"/>
  <c r="G46" i="482"/>
  <c r="F46" i="482"/>
  <c r="D46" i="482"/>
  <c r="I47" i="482"/>
  <c r="I45" i="482"/>
  <c r="E47" i="482"/>
  <c r="E46" i="482"/>
  <c r="E45" i="482"/>
  <c r="G35" i="480"/>
  <c r="F35" i="480"/>
  <c r="E35" i="480"/>
  <c r="I36" i="480"/>
  <c r="H36" i="480"/>
  <c r="G36" i="480"/>
  <c r="F36" i="480"/>
  <c r="E36" i="480"/>
  <c r="D36" i="480"/>
  <c r="D35" i="480"/>
  <c r="I35" i="480"/>
  <c r="H35" i="480"/>
  <c r="F31" i="481"/>
  <c r="F131" i="481" s="1"/>
  <c r="E31" i="481"/>
  <c r="E131" i="481" s="1"/>
  <c r="D31" i="481"/>
  <c r="I31" i="481"/>
  <c r="I131" i="481" s="1"/>
  <c r="H31" i="481"/>
  <c r="H131" i="481" s="1"/>
  <c r="G31" i="481"/>
  <c r="G131" i="481" s="1"/>
  <c r="E69" i="482"/>
  <c r="E67" i="482"/>
  <c r="F64" i="482"/>
  <c r="F62" i="482"/>
  <c r="G59" i="482"/>
  <c r="G57" i="482"/>
  <c r="G54" i="482"/>
  <c r="H52" i="482"/>
  <c r="H50" i="482"/>
  <c r="D69" i="482"/>
  <c r="D67" i="482"/>
  <c r="E64" i="482"/>
  <c r="E62" i="482"/>
  <c r="F59" i="482"/>
  <c r="F57" i="482"/>
  <c r="F54" i="482"/>
  <c r="G52" i="482"/>
  <c r="G50" i="482"/>
  <c r="I68" i="482"/>
  <c r="I66" i="482"/>
  <c r="D64" i="482"/>
  <c r="D62" i="482"/>
  <c r="E59" i="482"/>
  <c r="E57" i="482"/>
  <c r="E54" i="482"/>
  <c r="F52" i="482"/>
  <c r="F50" i="482"/>
  <c r="G68" i="482"/>
  <c r="G66" i="482"/>
  <c r="H63" i="482"/>
  <c r="H61" i="482"/>
  <c r="I58" i="482"/>
  <c r="I56" i="482"/>
  <c r="I53" i="482"/>
  <c r="D52" i="482"/>
  <c r="D50" i="482"/>
  <c r="F68" i="482"/>
  <c r="F66" i="482"/>
  <c r="G63" i="482"/>
  <c r="G61" i="482"/>
  <c r="H58" i="482"/>
  <c r="H56" i="482"/>
  <c r="H53" i="482"/>
  <c r="I51" i="482"/>
  <c r="I49" i="482"/>
  <c r="E68" i="482"/>
  <c r="E66" i="482"/>
  <c r="F63" i="482"/>
  <c r="F61" i="482"/>
  <c r="G58" i="482"/>
  <c r="G56" i="482"/>
  <c r="G53" i="482"/>
  <c r="H51" i="482"/>
  <c r="H49" i="482"/>
  <c r="D68" i="482"/>
  <c r="D66" i="482"/>
  <c r="E63" i="482"/>
  <c r="E61" i="482"/>
  <c r="F58" i="482"/>
  <c r="F56" i="482"/>
  <c r="F53" i="482"/>
  <c r="G51" i="482"/>
  <c r="G49" i="482"/>
  <c r="I69" i="482"/>
  <c r="I67" i="482"/>
  <c r="D63" i="482"/>
  <c r="D61" i="482"/>
  <c r="E58" i="482"/>
  <c r="E56" i="482"/>
  <c r="E53" i="482"/>
  <c r="F51" i="482"/>
  <c r="F49" i="482"/>
  <c r="G69" i="482"/>
  <c r="G67" i="482"/>
  <c r="H64" i="482"/>
  <c r="H62" i="482"/>
  <c r="I59" i="482"/>
  <c r="I57" i="482"/>
  <c r="I54" i="482"/>
  <c r="D51" i="482"/>
  <c r="D49" i="482"/>
  <c r="F69" i="482"/>
  <c r="F67" i="482"/>
  <c r="G64" i="482"/>
  <c r="G62" i="482"/>
  <c r="H59" i="482"/>
  <c r="H57" i="482"/>
  <c r="H54" i="482"/>
  <c r="I52" i="482"/>
  <c r="I50" i="482"/>
  <c r="D57" i="482"/>
  <c r="H69" i="482"/>
  <c r="D56" i="482"/>
  <c r="H68" i="482"/>
  <c r="D54" i="482"/>
  <c r="H67" i="482"/>
  <c r="D53" i="482"/>
  <c r="H66" i="482"/>
  <c r="E52" i="482"/>
  <c r="I64" i="482"/>
  <c r="E51" i="482"/>
  <c r="I63" i="482"/>
  <c r="E50" i="482"/>
  <c r="I62" i="482"/>
  <c r="E49" i="482"/>
  <c r="I61" i="482"/>
  <c r="D59" i="482"/>
  <c r="D58" i="482"/>
  <c r="F117" i="481"/>
  <c r="F115" i="481"/>
  <c r="F113" i="481"/>
  <c r="F110" i="481"/>
  <c r="F108" i="481"/>
  <c r="F106" i="481"/>
  <c r="F103" i="481"/>
  <c r="F101" i="481"/>
  <c r="F72" i="481"/>
  <c r="E117" i="481"/>
  <c r="E115" i="481"/>
  <c r="E113" i="481"/>
  <c r="E110" i="481"/>
  <c r="E108" i="481"/>
  <c r="E106" i="481"/>
  <c r="E103" i="481"/>
  <c r="E101" i="481"/>
  <c r="E72" i="481"/>
  <c r="D117" i="481"/>
  <c r="D115" i="481"/>
  <c r="D113" i="481"/>
  <c r="D110" i="481"/>
  <c r="D108" i="481"/>
  <c r="D106" i="481"/>
  <c r="D103" i="481"/>
  <c r="D101" i="481"/>
  <c r="D72" i="481"/>
  <c r="H118" i="481"/>
  <c r="H116" i="481"/>
  <c r="H114" i="481"/>
  <c r="H111" i="481"/>
  <c r="H109" i="481"/>
  <c r="H107" i="481"/>
  <c r="H104" i="481"/>
  <c r="H102" i="481"/>
  <c r="H100" i="481"/>
  <c r="G118" i="481"/>
  <c r="G116" i="481"/>
  <c r="G114" i="481"/>
  <c r="G111" i="481"/>
  <c r="G109" i="481"/>
  <c r="G107" i="481"/>
  <c r="G104" i="481"/>
  <c r="G102" i="481"/>
  <c r="G100" i="481"/>
  <c r="F118" i="481"/>
  <c r="F116" i="481"/>
  <c r="F114" i="481"/>
  <c r="F111" i="481"/>
  <c r="F109" i="481"/>
  <c r="F107" i="481"/>
  <c r="F104" i="481"/>
  <c r="F102" i="481"/>
  <c r="F100" i="481"/>
  <c r="E118" i="481"/>
  <c r="E116" i="481"/>
  <c r="E114" i="481"/>
  <c r="E111" i="481"/>
  <c r="E109" i="481"/>
  <c r="E107" i="481"/>
  <c r="E104" i="481"/>
  <c r="E102" i="481"/>
  <c r="E100" i="481"/>
  <c r="D118" i="481"/>
  <c r="D116" i="481"/>
  <c r="D114" i="481"/>
  <c r="D111" i="481"/>
  <c r="D109" i="481"/>
  <c r="D107" i="481"/>
  <c r="D104" i="481"/>
  <c r="D102" i="481"/>
  <c r="D100" i="481"/>
  <c r="I117" i="481"/>
  <c r="I115" i="481"/>
  <c r="I113" i="481"/>
  <c r="I110" i="481"/>
  <c r="I108" i="481"/>
  <c r="I106" i="481"/>
  <c r="I103" i="481"/>
  <c r="I101" i="481"/>
  <c r="I72" i="481"/>
  <c r="H117" i="481"/>
  <c r="H115" i="481"/>
  <c r="H113" i="481"/>
  <c r="H110" i="481"/>
  <c r="H108" i="481"/>
  <c r="H106" i="481"/>
  <c r="H103" i="481"/>
  <c r="H101" i="481"/>
  <c r="H72" i="481"/>
  <c r="G117" i="481"/>
  <c r="G115" i="481"/>
  <c r="G113" i="481"/>
  <c r="G110" i="481"/>
  <c r="G108" i="481"/>
  <c r="G106" i="481"/>
  <c r="G103" i="481"/>
  <c r="G101" i="481"/>
  <c r="G72" i="481"/>
  <c r="I118" i="481"/>
  <c r="I116" i="481"/>
  <c r="I114" i="481"/>
  <c r="I111" i="481"/>
  <c r="I109" i="481"/>
  <c r="I107" i="481"/>
  <c r="I104" i="481"/>
  <c r="I102" i="481"/>
  <c r="I100" i="481"/>
  <c r="F36" i="481"/>
  <c r="E36" i="481"/>
  <c r="D36" i="481"/>
  <c r="H35" i="481"/>
  <c r="G35" i="481"/>
  <c r="F35" i="481"/>
  <c r="E35" i="481"/>
  <c r="D35" i="481"/>
  <c r="I36" i="481"/>
  <c r="H36" i="481"/>
  <c r="G36" i="481"/>
  <c r="I35" i="481"/>
  <c r="I117" i="482"/>
  <c r="I115" i="482"/>
  <c r="D114" i="482"/>
  <c r="D111" i="482"/>
  <c r="E109" i="482"/>
  <c r="E107" i="482"/>
  <c r="E104" i="482"/>
  <c r="F102" i="482"/>
  <c r="F100" i="482"/>
  <c r="H117" i="482"/>
  <c r="H115" i="482"/>
  <c r="I113" i="482"/>
  <c r="D109" i="482"/>
  <c r="D107" i="482"/>
  <c r="D104" i="482"/>
  <c r="E102" i="482"/>
  <c r="E100" i="482"/>
  <c r="I72" i="482"/>
  <c r="G117" i="482"/>
  <c r="G115" i="482"/>
  <c r="H113" i="482"/>
  <c r="I110" i="482"/>
  <c r="I108" i="482"/>
  <c r="I106" i="482"/>
  <c r="I103" i="482"/>
  <c r="D102" i="482"/>
  <c r="D100" i="482"/>
  <c r="H72" i="482"/>
  <c r="E117" i="482"/>
  <c r="E115" i="482"/>
  <c r="F113" i="482"/>
  <c r="G110" i="482"/>
  <c r="G108" i="482"/>
  <c r="G106" i="482"/>
  <c r="G103" i="482"/>
  <c r="H101" i="482"/>
  <c r="F72" i="482"/>
  <c r="D117" i="482"/>
  <c r="D115" i="482"/>
  <c r="E113" i="482"/>
  <c r="F110" i="482"/>
  <c r="F108" i="482"/>
  <c r="F106" i="482"/>
  <c r="F103" i="482"/>
  <c r="G101" i="482"/>
  <c r="E72" i="482"/>
  <c r="I118" i="482"/>
  <c r="I116" i="482"/>
  <c r="D113" i="482"/>
  <c r="E110" i="482"/>
  <c r="E108" i="482"/>
  <c r="E106" i="482"/>
  <c r="E103" i="482"/>
  <c r="F101" i="482"/>
  <c r="D72" i="482"/>
  <c r="H118" i="482"/>
  <c r="H116" i="482"/>
  <c r="I114" i="482"/>
  <c r="I111" i="482"/>
  <c r="D110" i="482"/>
  <c r="D108" i="482"/>
  <c r="D106" i="482"/>
  <c r="D103" i="482"/>
  <c r="E101" i="482"/>
  <c r="G118" i="482"/>
  <c r="G116" i="482"/>
  <c r="H114" i="482"/>
  <c r="H111" i="482"/>
  <c r="I109" i="482"/>
  <c r="I107" i="482"/>
  <c r="I104" i="482"/>
  <c r="D101" i="482"/>
  <c r="E118" i="482"/>
  <c r="E116" i="482"/>
  <c r="F114" i="482"/>
  <c r="F111" i="482"/>
  <c r="G109" i="482"/>
  <c r="G107" i="482"/>
  <c r="G104" i="482"/>
  <c r="H102" i="482"/>
  <c r="H100" i="482"/>
  <c r="D118" i="482"/>
  <c r="D116" i="482"/>
  <c r="E114" i="482"/>
  <c r="E111" i="482"/>
  <c r="F109" i="482"/>
  <c r="F107" i="482"/>
  <c r="F104" i="482"/>
  <c r="G102" i="482"/>
  <c r="G100" i="482"/>
  <c r="G113" i="482"/>
  <c r="G72" i="482"/>
  <c r="G111" i="482"/>
  <c r="H110" i="482"/>
  <c r="H109" i="482"/>
  <c r="H108" i="482"/>
  <c r="H107" i="482"/>
  <c r="H106" i="482"/>
  <c r="F118" i="482"/>
  <c r="H104" i="482"/>
  <c r="F117" i="482"/>
  <c r="H103" i="482"/>
  <c r="F116" i="482"/>
  <c r="I102" i="482"/>
  <c r="F115" i="482"/>
  <c r="G114" i="482"/>
  <c r="I101" i="482"/>
  <c r="I100" i="482"/>
  <c r="G30" i="480"/>
  <c r="F30" i="480"/>
  <c r="E30" i="480"/>
  <c r="I30" i="480"/>
  <c r="D30" i="480"/>
  <c r="H30" i="480"/>
  <c r="F41" i="481"/>
  <c r="F39" i="481"/>
  <c r="E41" i="481"/>
  <c r="E39" i="481"/>
  <c r="D41" i="481"/>
  <c r="D39" i="481"/>
  <c r="H40" i="481"/>
  <c r="H38" i="481"/>
  <c r="G40" i="481"/>
  <c r="G38" i="481"/>
  <c r="F40" i="481"/>
  <c r="F38" i="481"/>
  <c r="E40" i="481"/>
  <c r="E38" i="481"/>
  <c r="D40" i="481"/>
  <c r="D38" i="481"/>
  <c r="I41" i="481"/>
  <c r="I39" i="481"/>
  <c r="H41" i="481"/>
  <c r="H39" i="481"/>
  <c r="G41" i="481"/>
  <c r="G39" i="481"/>
  <c r="I40" i="481"/>
  <c r="I38" i="481"/>
  <c r="J126" i="649" l="1"/>
  <c r="J326" i="653"/>
  <c r="H26" i="120"/>
  <c r="H20" i="120" s="1"/>
  <c r="X21" i="120"/>
  <c r="Q58" i="145"/>
  <c r="R58" i="145"/>
  <c r="R20" i="145" s="1"/>
  <c r="G35" i="653"/>
  <c r="F34" i="649"/>
  <c r="F155" i="649" s="1"/>
  <c r="H35" i="653"/>
  <c r="G228" i="653"/>
  <c r="H116" i="649"/>
  <c r="H114" i="649" s="1"/>
  <c r="I317" i="653"/>
  <c r="I315" i="653" s="1"/>
  <c r="G26" i="120"/>
  <c r="G225" i="653"/>
  <c r="G430" i="653" s="1"/>
  <c r="H225" i="653"/>
  <c r="E225" i="653"/>
  <c r="E430" i="653" s="1"/>
  <c r="G100" i="653"/>
  <c r="H201" i="653"/>
  <c r="H317" i="653"/>
  <c r="H315" i="653" s="1"/>
  <c r="I79" i="653"/>
  <c r="H208" i="653"/>
  <c r="J357" i="653"/>
  <c r="F68" i="649"/>
  <c r="E102" i="649"/>
  <c r="H125" i="653"/>
  <c r="G125" i="653"/>
  <c r="F125" i="653"/>
  <c r="E125" i="653"/>
  <c r="I125" i="653"/>
  <c r="H151" i="653"/>
  <c r="I220" i="653"/>
  <c r="F220" i="653"/>
  <c r="E220" i="653"/>
  <c r="E100" i="653"/>
  <c r="F19" i="649"/>
  <c r="H19" i="649"/>
  <c r="E19" i="655"/>
  <c r="H19" i="655"/>
  <c r="G19" i="655"/>
  <c r="I81" i="649"/>
  <c r="I89" i="649"/>
  <c r="F327" i="653"/>
  <c r="E327" i="653"/>
  <c r="E435" i="653" s="1"/>
  <c r="H327" i="653"/>
  <c r="H435" i="653" s="1"/>
  <c r="J338" i="653"/>
  <c r="J253" i="653"/>
  <c r="H239" i="653"/>
  <c r="H335" i="653"/>
  <c r="H333" i="653" s="1"/>
  <c r="F269" i="653"/>
  <c r="F423" i="653" s="1"/>
  <c r="I68" i="649"/>
  <c r="E158" i="655"/>
  <c r="G275" i="653"/>
  <c r="G424" i="653" s="1"/>
  <c r="J65" i="655"/>
  <c r="G24" i="655"/>
  <c r="F158" i="649"/>
  <c r="J53" i="649"/>
  <c r="F151" i="653"/>
  <c r="G208" i="653"/>
  <c r="H34" i="649"/>
  <c r="H155" i="649" s="1"/>
  <c r="I45" i="655"/>
  <c r="F45" i="653"/>
  <c r="H38" i="653"/>
  <c r="E91" i="482"/>
  <c r="H156" i="653"/>
  <c r="I225" i="653"/>
  <c r="I430" i="653" s="1"/>
  <c r="J227" i="653"/>
  <c r="H322" i="653"/>
  <c r="E246" i="653"/>
  <c r="J26" i="649"/>
  <c r="G27" i="655"/>
  <c r="G156" i="655" s="1"/>
  <c r="E161" i="653"/>
  <c r="H161" i="653"/>
  <c r="I296" i="653"/>
  <c r="I269" i="653"/>
  <c r="I423" i="653" s="1"/>
  <c r="F130" i="653"/>
  <c r="H174" i="653"/>
  <c r="E81" i="655"/>
  <c r="J91" i="655"/>
  <c r="G34" i="649"/>
  <c r="G155" i="649" s="1"/>
  <c r="H38" i="655"/>
  <c r="G220" i="653"/>
  <c r="E130" i="658"/>
  <c r="H220" i="653"/>
  <c r="F35" i="658"/>
  <c r="I140" i="653"/>
  <c r="F140" i="653"/>
  <c r="H55" i="649"/>
  <c r="J49" i="649"/>
  <c r="G84" i="481"/>
  <c r="I89" i="655"/>
  <c r="J98" i="655"/>
  <c r="F55" i="655"/>
  <c r="I74" i="656"/>
  <c r="J96" i="653"/>
  <c r="J31" i="649"/>
  <c r="H34" i="655"/>
  <c r="H155" i="655" s="1"/>
  <c r="J370" i="653"/>
  <c r="F95" i="655"/>
  <c r="F74" i="655"/>
  <c r="J41" i="655"/>
  <c r="H45" i="655"/>
  <c r="J47" i="655"/>
  <c r="H74" i="656"/>
  <c r="F322" i="653"/>
  <c r="E251" i="653"/>
  <c r="F246" i="653"/>
  <c r="J255" i="653"/>
  <c r="J31" i="655"/>
  <c r="F335" i="653"/>
  <c r="F333" i="653" s="1"/>
  <c r="G133" i="653"/>
  <c r="F91" i="480"/>
  <c r="G78" i="480"/>
  <c r="E78" i="480"/>
  <c r="F85" i="653"/>
  <c r="J150" i="653"/>
  <c r="J54" i="653"/>
  <c r="F78" i="481"/>
  <c r="J182" i="653"/>
  <c r="F180" i="653"/>
  <c r="G290" i="653"/>
  <c r="I35" i="653"/>
  <c r="E45" i="649"/>
  <c r="E55" i="649"/>
  <c r="E303" i="653"/>
  <c r="I262" i="653"/>
  <c r="I426" i="653" s="1"/>
  <c r="G201" i="653"/>
  <c r="G116" i="649"/>
  <c r="G114" i="649" s="1"/>
  <c r="J159" i="653"/>
  <c r="F61" i="649"/>
  <c r="I61" i="649"/>
  <c r="J21" i="655"/>
  <c r="J158" i="655" s="1"/>
  <c r="E290" i="653"/>
  <c r="J300" i="653"/>
  <c r="J285" i="653"/>
  <c r="G144" i="653"/>
  <c r="G61" i="655"/>
  <c r="G262" i="653"/>
  <c r="G426" i="653" s="1"/>
  <c r="J371" i="653"/>
  <c r="J139" i="649"/>
  <c r="I68" i="655"/>
  <c r="I81" i="656"/>
  <c r="I127" i="649"/>
  <c r="J369" i="653"/>
  <c r="E45" i="653"/>
  <c r="J295" i="653"/>
  <c r="F144" i="653"/>
  <c r="E49" i="653"/>
  <c r="J67" i="655"/>
  <c r="E317" i="653"/>
  <c r="E315" i="653" s="1"/>
  <c r="I34" i="649"/>
  <c r="I155" i="649" s="1"/>
  <c r="G24" i="649"/>
  <c r="G157" i="649" s="1"/>
  <c r="H91" i="480"/>
  <c r="H144" i="653"/>
  <c r="E61" i="655"/>
  <c r="J70" i="649"/>
  <c r="J99" i="649"/>
  <c r="G55" i="649"/>
  <c r="J87" i="655"/>
  <c r="J40" i="655"/>
  <c r="I50" i="655"/>
  <c r="E74" i="656"/>
  <c r="J191" i="653"/>
  <c r="E27" i="649"/>
  <c r="E156" i="649" s="1"/>
  <c r="G45" i="653"/>
  <c r="F116" i="649"/>
  <c r="F114" i="649" s="1"/>
  <c r="H228" i="653"/>
  <c r="F156" i="653"/>
  <c r="E322" i="653"/>
  <c r="E436" i="653" s="1"/>
  <c r="F27" i="649"/>
  <c r="F156" i="649" s="1"/>
  <c r="F102" i="649"/>
  <c r="E208" i="653"/>
  <c r="H100" i="653"/>
  <c r="H45" i="649"/>
  <c r="I136" i="649"/>
  <c r="I134" i="649" s="1"/>
  <c r="I50" i="649"/>
  <c r="J52" i="649"/>
  <c r="J71" i="655"/>
  <c r="J101" i="655"/>
  <c r="J84" i="655"/>
  <c r="J100" i="655"/>
  <c r="J43" i="655"/>
  <c r="G50" i="655"/>
  <c r="J49" i="655"/>
  <c r="J77" i="653"/>
  <c r="I187" i="653"/>
  <c r="H127" i="649"/>
  <c r="J29" i="649"/>
  <c r="J37" i="655"/>
  <c r="J361" i="653"/>
  <c r="D45" i="653"/>
  <c r="J47" i="653"/>
  <c r="J316" i="653"/>
  <c r="J39" i="653"/>
  <c r="D38" i="653"/>
  <c r="I116" i="649"/>
  <c r="I114" i="649" s="1"/>
  <c r="J330" i="653"/>
  <c r="J230" i="653"/>
  <c r="J226" i="653"/>
  <c r="D225" i="653"/>
  <c r="F256" i="653"/>
  <c r="J248" i="653"/>
  <c r="J242" i="653"/>
  <c r="D256" i="653"/>
  <c r="J257" i="653"/>
  <c r="E84" i="480"/>
  <c r="H84" i="480"/>
  <c r="J90" i="653"/>
  <c r="G61" i="649"/>
  <c r="G19" i="649"/>
  <c r="J307" i="653"/>
  <c r="F282" i="653"/>
  <c r="F425" i="653" s="1"/>
  <c r="J293" i="653"/>
  <c r="J273" i="653"/>
  <c r="J281" i="653"/>
  <c r="G269" i="653"/>
  <c r="G423" i="653" s="1"/>
  <c r="D144" i="653"/>
  <c r="J146" i="653"/>
  <c r="J55" i="653"/>
  <c r="J50" i="653"/>
  <c r="D49" i="653"/>
  <c r="J62" i="655"/>
  <c r="D61" i="655"/>
  <c r="E35" i="653"/>
  <c r="J318" i="653"/>
  <c r="J26" i="655"/>
  <c r="D24" i="655"/>
  <c r="D157" i="655" s="1"/>
  <c r="J25" i="655"/>
  <c r="I74" i="649"/>
  <c r="J71" i="649"/>
  <c r="J100" i="649"/>
  <c r="J77" i="649"/>
  <c r="J106" i="649"/>
  <c r="F81" i="649"/>
  <c r="F174" i="653"/>
  <c r="I106" i="653"/>
  <c r="J119" i="653"/>
  <c r="J104" i="653"/>
  <c r="J203" i="653"/>
  <c r="G113" i="653"/>
  <c r="F50" i="649"/>
  <c r="G38" i="649"/>
  <c r="J54" i="649"/>
  <c r="H91" i="481"/>
  <c r="J73" i="655"/>
  <c r="F68" i="655"/>
  <c r="H68" i="655"/>
  <c r="J106" i="655"/>
  <c r="F89" i="655"/>
  <c r="J86" i="655"/>
  <c r="J108" i="655"/>
  <c r="J103" i="655"/>
  <c r="D102" i="655"/>
  <c r="D34" i="649"/>
  <c r="D155" i="649" s="1"/>
  <c r="J35" i="649"/>
  <c r="J46" i="655"/>
  <c r="D45" i="655"/>
  <c r="H50" i="655"/>
  <c r="J52" i="655"/>
  <c r="E45" i="655"/>
  <c r="H68" i="656"/>
  <c r="G81" i="656"/>
  <c r="H167" i="653"/>
  <c r="I72" i="653"/>
  <c r="J74" i="653"/>
  <c r="F72" i="653"/>
  <c r="I92" i="653"/>
  <c r="J188" i="653"/>
  <c r="D187" i="653"/>
  <c r="G187" i="653"/>
  <c r="H27" i="649"/>
  <c r="H156" i="649" s="1"/>
  <c r="I34" i="655"/>
  <c r="I155" i="655" s="1"/>
  <c r="J48" i="653"/>
  <c r="E38" i="653"/>
  <c r="G78" i="482"/>
  <c r="I358" i="653"/>
  <c r="F366" i="653"/>
  <c r="F364" i="653" s="1"/>
  <c r="J232" i="653"/>
  <c r="J250" i="653"/>
  <c r="I256" i="653"/>
  <c r="J244" i="653"/>
  <c r="F251" i="653"/>
  <c r="J259" i="653"/>
  <c r="I122" i="649"/>
  <c r="D24" i="649"/>
  <c r="D157" i="649" s="1"/>
  <c r="J25" i="649"/>
  <c r="F27" i="655"/>
  <c r="F156" i="655" s="1"/>
  <c r="E133" i="653"/>
  <c r="H180" i="653"/>
  <c r="J115" i="649"/>
  <c r="E269" i="653"/>
  <c r="E423" i="653" s="1"/>
  <c r="J287" i="653"/>
  <c r="F296" i="653"/>
  <c r="J284" i="653"/>
  <c r="J148" i="653"/>
  <c r="E130" i="653"/>
  <c r="J52" i="653"/>
  <c r="J64" i="655"/>
  <c r="J36" i="653"/>
  <c r="D35" i="653"/>
  <c r="J264" i="653"/>
  <c r="F317" i="653"/>
  <c r="F315" i="653" s="1"/>
  <c r="G102" i="649"/>
  <c r="J73" i="649"/>
  <c r="J103" i="649"/>
  <c r="D102" i="649"/>
  <c r="J79" i="649"/>
  <c r="J108" i="649"/>
  <c r="J175" i="653"/>
  <c r="D174" i="653"/>
  <c r="D106" i="653"/>
  <c r="J107" i="653"/>
  <c r="J205" i="653"/>
  <c r="J39" i="649"/>
  <c r="D38" i="649"/>
  <c r="D55" i="649"/>
  <c r="J56" i="649"/>
  <c r="I55" i="649"/>
  <c r="J57" i="649"/>
  <c r="E78" i="481"/>
  <c r="J76" i="655"/>
  <c r="J94" i="655"/>
  <c r="F81" i="655"/>
  <c r="G89" i="655"/>
  <c r="I95" i="655"/>
  <c r="J105" i="655"/>
  <c r="J37" i="649"/>
  <c r="J48" i="655"/>
  <c r="F50" i="655"/>
  <c r="G55" i="655"/>
  <c r="J54" i="655"/>
  <c r="E38" i="655"/>
  <c r="J76" i="653"/>
  <c r="J190" i="653"/>
  <c r="F38" i="653"/>
  <c r="J153" i="653"/>
  <c r="G353" i="653"/>
  <c r="J157" i="653"/>
  <c r="D156" i="653"/>
  <c r="J323" i="653"/>
  <c r="D322" i="653"/>
  <c r="J247" i="653"/>
  <c r="D246" i="653"/>
  <c r="J337" i="653"/>
  <c r="J123" i="649"/>
  <c r="D122" i="649"/>
  <c r="J162" i="653"/>
  <c r="D161" i="653"/>
  <c r="J135" i="653"/>
  <c r="H133" i="653"/>
  <c r="H78" i="480"/>
  <c r="J184" i="653"/>
  <c r="J309" i="653"/>
  <c r="G282" i="653"/>
  <c r="G425" i="653" s="1"/>
  <c r="E282" i="653"/>
  <c r="E425" i="653" s="1"/>
  <c r="H282" i="653"/>
  <c r="H425" i="653" s="1"/>
  <c r="J286" i="653"/>
  <c r="G303" i="653"/>
  <c r="I130" i="653"/>
  <c r="J66" i="655"/>
  <c r="F35" i="653"/>
  <c r="J266" i="653"/>
  <c r="G317" i="653"/>
  <c r="G315" i="653" s="1"/>
  <c r="G140" i="653"/>
  <c r="E24" i="655"/>
  <c r="E157" i="655" s="1"/>
  <c r="H81" i="649"/>
  <c r="H74" i="649"/>
  <c r="E95" i="649"/>
  <c r="G89" i="649"/>
  <c r="J76" i="649"/>
  <c r="J105" i="649"/>
  <c r="D81" i="649"/>
  <c r="J82" i="649"/>
  <c r="D19" i="655"/>
  <c r="J20" i="655"/>
  <c r="J159" i="655" s="1"/>
  <c r="E174" i="653"/>
  <c r="F100" i="653"/>
  <c r="J81" i="653"/>
  <c r="J177" i="653"/>
  <c r="J109" i="653"/>
  <c r="J207" i="653"/>
  <c r="F113" i="653"/>
  <c r="H79" i="653"/>
  <c r="F136" i="649"/>
  <c r="F134" i="649" s="1"/>
  <c r="J58" i="649"/>
  <c r="J59" i="649"/>
  <c r="E136" i="649"/>
  <c r="E134" i="649" s="1"/>
  <c r="E84" i="481"/>
  <c r="I84" i="481"/>
  <c r="J78" i="655"/>
  <c r="G68" i="655"/>
  <c r="I74" i="655"/>
  <c r="J107" i="655"/>
  <c r="J135" i="649"/>
  <c r="D50" i="655"/>
  <c r="J51" i="655"/>
  <c r="H55" i="655"/>
  <c r="J57" i="655"/>
  <c r="I38" i="655"/>
  <c r="G74" i="656"/>
  <c r="G68" i="656"/>
  <c r="J78" i="653"/>
  <c r="J192" i="653"/>
  <c r="J155" i="653"/>
  <c r="F84" i="482"/>
  <c r="I84" i="482"/>
  <c r="J350" i="653"/>
  <c r="D348" i="653"/>
  <c r="G358" i="653"/>
  <c r="E228" i="653"/>
  <c r="J229" i="653"/>
  <c r="D228" i="653"/>
  <c r="J325" i="653"/>
  <c r="I251" i="653"/>
  <c r="J249" i="653"/>
  <c r="J339" i="653"/>
  <c r="J125" i="649"/>
  <c r="J164" i="653"/>
  <c r="J137" i="653"/>
  <c r="J62" i="649"/>
  <c r="D61" i="649"/>
  <c r="J20" i="649"/>
  <c r="J159" i="649" s="1"/>
  <c r="D19" i="649"/>
  <c r="J276" i="653"/>
  <c r="D275" i="653"/>
  <c r="J278" i="653"/>
  <c r="J288" i="653"/>
  <c r="J145" i="653"/>
  <c r="F49" i="653"/>
  <c r="F61" i="655"/>
  <c r="J263" i="653"/>
  <c r="D262" i="653"/>
  <c r="J320" i="653"/>
  <c r="J363" i="653"/>
  <c r="H95" i="649"/>
  <c r="J78" i="649"/>
  <c r="J107" i="649"/>
  <c r="I95" i="649"/>
  <c r="J84" i="649"/>
  <c r="F89" i="649"/>
  <c r="E106" i="653"/>
  <c r="J83" i="653"/>
  <c r="J179" i="653"/>
  <c r="J111" i="653"/>
  <c r="J210" i="653"/>
  <c r="H195" i="653"/>
  <c r="J235" i="653"/>
  <c r="J428" i="653" s="1"/>
  <c r="G45" i="649"/>
  <c r="H50" i="649"/>
  <c r="J137" i="649"/>
  <c r="D136" i="649"/>
  <c r="D134" i="649" s="1"/>
  <c r="J138" i="649"/>
  <c r="G91" i="481"/>
  <c r="J80" i="655"/>
  <c r="H74" i="655"/>
  <c r="G95" i="655"/>
  <c r="E34" i="649"/>
  <c r="E155" i="649" s="1"/>
  <c r="J53" i="655"/>
  <c r="J59" i="655"/>
  <c r="F38" i="655"/>
  <c r="F81" i="656"/>
  <c r="I68" i="656"/>
  <c r="J356" i="653"/>
  <c r="F167" i="653"/>
  <c r="D167" i="653"/>
  <c r="J169" i="653"/>
  <c r="G72" i="653"/>
  <c r="J93" i="653"/>
  <c r="H92" i="653"/>
  <c r="G27" i="649"/>
  <c r="G156" i="649" s="1"/>
  <c r="J28" i="649"/>
  <c r="D27" i="649"/>
  <c r="D156" i="649" s="1"/>
  <c r="J36" i="655"/>
  <c r="J46" i="653"/>
  <c r="I38" i="653"/>
  <c r="G38" i="653"/>
  <c r="J118" i="649"/>
  <c r="E151" i="653"/>
  <c r="I91" i="482"/>
  <c r="H84" i="482"/>
  <c r="J231" i="653"/>
  <c r="G156" i="653"/>
  <c r="G322" i="653"/>
  <c r="G436" i="653" s="1"/>
  <c r="J340" i="653"/>
  <c r="G335" i="653"/>
  <c r="G333" i="653" s="1"/>
  <c r="J252" i="653"/>
  <c r="D251" i="653"/>
  <c r="H24" i="649"/>
  <c r="H157" i="649" s="1"/>
  <c r="E24" i="649"/>
  <c r="G161" i="653"/>
  <c r="I133" i="653"/>
  <c r="G91" i="480"/>
  <c r="G84" i="480"/>
  <c r="G85" i="653"/>
  <c r="J87" i="653"/>
  <c r="E61" i="649"/>
  <c r="J64" i="649"/>
  <c r="E19" i="649"/>
  <c r="I275" i="653"/>
  <c r="I424" i="653" s="1"/>
  <c r="J292" i="653"/>
  <c r="H296" i="653"/>
  <c r="J147" i="653"/>
  <c r="J53" i="653"/>
  <c r="J268" i="653"/>
  <c r="J265" i="653"/>
  <c r="H140" i="653"/>
  <c r="F24" i="655"/>
  <c r="F157" i="655" s="1"/>
  <c r="H68" i="649"/>
  <c r="J80" i="649"/>
  <c r="J86" i="649"/>
  <c r="E74" i="649"/>
  <c r="F19" i="655"/>
  <c r="J101" i="653"/>
  <c r="J197" i="653"/>
  <c r="J114" i="653"/>
  <c r="D113" i="653"/>
  <c r="J212" i="653"/>
  <c r="G79" i="653"/>
  <c r="J41" i="649"/>
  <c r="E50" i="649"/>
  <c r="F38" i="649"/>
  <c r="J140" i="649"/>
  <c r="I78" i="481"/>
  <c r="J83" i="655"/>
  <c r="E68" i="655"/>
  <c r="J99" i="655"/>
  <c r="H89" i="655"/>
  <c r="H81" i="655"/>
  <c r="I102" i="655"/>
  <c r="J56" i="655"/>
  <c r="D55" i="655"/>
  <c r="F74" i="656"/>
  <c r="J362" i="653"/>
  <c r="J171" i="653"/>
  <c r="J95" i="653"/>
  <c r="F127" i="649"/>
  <c r="J30" i="649"/>
  <c r="F34" i="655"/>
  <c r="F155" i="655" s="1"/>
  <c r="F78" i="482"/>
  <c r="I78" i="482"/>
  <c r="I366" i="653"/>
  <c r="I364" i="653" s="1"/>
  <c r="G366" i="653"/>
  <c r="G364" i="653" s="1"/>
  <c r="F228" i="653"/>
  <c r="F429" i="653" s="1"/>
  <c r="I327" i="653"/>
  <c r="I435" i="653" s="1"/>
  <c r="E239" i="653"/>
  <c r="E335" i="653"/>
  <c r="E333" i="653" s="1"/>
  <c r="G239" i="653"/>
  <c r="H246" i="653"/>
  <c r="G256" i="653"/>
  <c r="I24" i="649"/>
  <c r="I157" i="649" s="1"/>
  <c r="E122" i="649"/>
  <c r="J89" i="653"/>
  <c r="J66" i="649"/>
  <c r="I303" i="653"/>
  <c r="H290" i="653"/>
  <c r="J294" i="653"/>
  <c r="H269" i="653"/>
  <c r="H423" i="653" s="1"/>
  <c r="E144" i="653"/>
  <c r="J149" i="653"/>
  <c r="J132" i="653"/>
  <c r="J63" i="655"/>
  <c r="J267" i="653"/>
  <c r="E140" i="653"/>
  <c r="H89" i="649"/>
  <c r="J83" i="649"/>
  <c r="D89" i="649"/>
  <c r="J90" i="649"/>
  <c r="E79" i="653"/>
  <c r="J103" i="653"/>
  <c r="J199" i="653"/>
  <c r="J116" i="653"/>
  <c r="J214" i="653"/>
  <c r="G195" i="653"/>
  <c r="J43" i="649"/>
  <c r="H136" i="649"/>
  <c r="H134" i="649" s="1"/>
  <c r="G50" i="649"/>
  <c r="J141" i="649"/>
  <c r="J85" i="655"/>
  <c r="G74" i="655"/>
  <c r="J70" i="655"/>
  <c r="H102" i="655"/>
  <c r="I81" i="655"/>
  <c r="J58" i="655"/>
  <c r="E55" i="655"/>
  <c r="J173" i="653"/>
  <c r="J32" i="653"/>
  <c r="J97" i="653"/>
  <c r="J129" i="649"/>
  <c r="G34" i="655"/>
  <c r="G155" i="655" s="1"/>
  <c r="I151" i="653"/>
  <c r="J354" i="653"/>
  <c r="D353" i="653"/>
  <c r="H353" i="653"/>
  <c r="G327" i="653"/>
  <c r="J126" i="653"/>
  <c r="D125" i="653"/>
  <c r="J291" i="653"/>
  <c r="D290" i="653"/>
  <c r="J297" i="653"/>
  <c r="D296" i="653"/>
  <c r="G49" i="653"/>
  <c r="I30" i="653"/>
  <c r="G68" i="649"/>
  <c r="F74" i="649"/>
  <c r="J85" i="649"/>
  <c r="I102" i="649"/>
  <c r="J92" i="649"/>
  <c r="F201" i="653"/>
  <c r="I208" i="653"/>
  <c r="J105" i="653"/>
  <c r="J202" i="653"/>
  <c r="D201" i="653"/>
  <c r="J118" i="653"/>
  <c r="F79" i="653"/>
  <c r="J46" i="649"/>
  <c r="D45" i="649"/>
  <c r="H38" i="649"/>
  <c r="I38" i="649"/>
  <c r="J40" i="649"/>
  <c r="G78" i="481"/>
  <c r="H84" i="481"/>
  <c r="F91" i="481"/>
  <c r="J72" i="655"/>
  <c r="G102" i="655"/>
  <c r="E95" i="655"/>
  <c r="F102" i="655"/>
  <c r="G38" i="655"/>
  <c r="E50" i="655"/>
  <c r="F45" i="655"/>
  <c r="E81" i="656"/>
  <c r="F68" i="656"/>
  <c r="J168" i="653"/>
  <c r="H72" i="653"/>
  <c r="E92" i="653"/>
  <c r="J189" i="653"/>
  <c r="F187" i="653"/>
  <c r="H187" i="653"/>
  <c r="J131" i="649"/>
  <c r="E34" i="655"/>
  <c r="E155" i="655" s="1"/>
  <c r="J355" i="653"/>
  <c r="J221" i="653"/>
  <c r="J432" i="653" s="1"/>
  <c r="D220" i="653"/>
  <c r="J41" i="653"/>
  <c r="J117" i="649"/>
  <c r="D116" i="649"/>
  <c r="E84" i="482"/>
  <c r="D358" i="653"/>
  <c r="J360" i="653"/>
  <c r="H358" i="653"/>
  <c r="I228" i="653"/>
  <c r="I429" i="653" s="1"/>
  <c r="H251" i="653"/>
  <c r="F24" i="649"/>
  <c r="F157" i="649" s="1"/>
  <c r="J28" i="655"/>
  <c r="D27" i="655"/>
  <c r="D156" i="655" s="1"/>
  <c r="F161" i="653"/>
  <c r="E91" i="480"/>
  <c r="E85" i="653"/>
  <c r="J181" i="653"/>
  <c r="D180" i="653"/>
  <c r="G180" i="653"/>
  <c r="I19" i="649"/>
  <c r="F303" i="653"/>
  <c r="J302" i="653"/>
  <c r="I282" i="653"/>
  <c r="I425" i="653" s="1"/>
  <c r="J270" i="653"/>
  <c r="D269" i="653"/>
  <c r="J299" i="653"/>
  <c r="H303" i="653"/>
  <c r="J142" i="653"/>
  <c r="J31" i="653"/>
  <c r="D30" i="653"/>
  <c r="G95" i="649"/>
  <c r="J87" i="649"/>
  <c r="J94" i="649"/>
  <c r="E81" i="649"/>
  <c r="I19" i="655"/>
  <c r="I113" i="653"/>
  <c r="J108" i="653"/>
  <c r="J204" i="653"/>
  <c r="J176" i="653"/>
  <c r="F195" i="653"/>
  <c r="H106" i="653"/>
  <c r="J42" i="649"/>
  <c r="D74" i="655"/>
  <c r="J75" i="655"/>
  <c r="E74" i="655"/>
  <c r="J92" i="655"/>
  <c r="E167" i="653"/>
  <c r="J170" i="653"/>
  <c r="J128" i="649"/>
  <c r="D127" i="649"/>
  <c r="J40" i="653"/>
  <c r="E116" i="649"/>
  <c r="E114" i="649" s="1"/>
  <c r="J152" i="653"/>
  <c r="D151" i="653"/>
  <c r="E78" i="482"/>
  <c r="E366" i="653"/>
  <c r="E364" i="653" s="1"/>
  <c r="J365" i="653"/>
  <c r="J332" i="653"/>
  <c r="J329" i="653"/>
  <c r="E156" i="653"/>
  <c r="J158" i="653"/>
  <c r="I322" i="653"/>
  <c r="E256" i="653"/>
  <c r="J260" i="653"/>
  <c r="J336" i="653"/>
  <c r="D335" i="653"/>
  <c r="F239" i="653"/>
  <c r="G246" i="653"/>
  <c r="I335" i="653"/>
  <c r="I333" i="653" s="1"/>
  <c r="G122" i="649"/>
  <c r="F122" i="649"/>
  <c r="J30" i="655"/>
  <c r="H27" i="655"/>
  <c r="H156" i="655" s="1"/>
  <c r="I161" i="653"/>
  <c r="J163" i="653"/>
  <c r="J134" i="653"/>
  <c r="D133" i="653"/>
  <c r="F84" i="480"/>
  <c r="I84" i="480"/>
  <c r="I85" i="653"/>
  <c r="E180" i="653"/>
  <c r="J183" i="653"/>
  <c r="J305" i="653"/>
  <c r="E275" i="653"/>
  <c r="E424" i="653" s="1"/>
  <c r="J272" i="653"/>
  <c r="J301" i="653"/>
  <c r="J131" i="653"/>
  <c r="D130" i="653"/>
  <c r="J37" i="653"/>
  <c r="D317" i="653"/>
  <c r="J319" i="653"/>
  <c r="H24" i="655"/>
  <c r="E30" i="653"/>
  <c r="E68" i="649"/>
  <c r="G74" i="649"/>
  <c r="J91" i="649"/>
  <c r="J97" i="649"/>
  <c r="E113" i="653"/>
  <c r="F208" i="653"/>
  <c r="J110" i="653"/>
  <c r="J206" i="653"/>
  <c r="J80" i="653"/>
  <c r="D79" i="653"/>
  <c r="J178" i="653"/>
  <c r="J334" i="653"/>
  <c r="F45" i="649"/>
  <c r="F55" i="649"/>
  <c r="J48" i="649"/>
  <c r="J44" i="649"/>
  <c r="F84" i="481"/>
  <c r="H78" i="481"/>
  <c r="J97" i="655"/>
  <c r="G81" i="655"/>
  <c r="E89" i="655"/>
  <c r="J77" i="655"/>
  <c r="H95" i="655"/>
  <c r="J93" i="655"/>
  <c r="J42" i="655"/>
  <c r="J172" i="653"/>
  <c r="E72" i="653"/>
  <c r="E187" i="653"/>
  <c r="J193" i="653"/>
  <c r="G127" i="649"/>
  <c r="I27" i="649"/>
  <c r="I156" i="649" s="1"/>
  <c r="J130" i="649"/>
  <c r="J42" i="653"/>
  <c r="J154" i="653"/>
  <c r="G91" i="482"/>
  <c r="H78" i="482"/>
  <c r="E353" i="653"/>
  <c r="J368" i="653"/>
  <c r="D366" i="653"/>
  <c r="D364" i="653" s="1"/>
  <c r="H366" i="653"/>
  <c r="H364" i="653" s="1"/>
  <c r="J331" i="653"/>
  <c r="J160" i="653"/>
  <c r="J324" i="653"/>
  <c r="I239" i="653"/>
  <c r="J241" i="653"/>
  <c r="J258" i="653"/>
  <c r="J165" i="653"/>
  <c r="J136" i="653"/>
  <c r="I91" i="480"/>
  <c r="J185" i="653"/>
  <c r="J63" i="649"/>
  <c r="F275" i="653"/>
  <c r="F424" i="653" s="1"/>
  <c r="J274" i="653"/>
  <c r="J304" i="653"/>
  <c r="D303" i="653"/>
  <c r="I144" i="653"/>
  <c r="I49" i="653"/>
  <c r="H49" i="653"/>
  <c r="I61" i="655"/>
  <c r="E262" i="653"/>
  <c r="E426" i="653" s="1"/>
  <c r="H262" i="653"/>
  <c r="H426" i="653" s="1"/>
  <c r="J127" i="653"/>
  <c r="F30" i="653"/>
  <c r="J93" i="649"/>
  <c r="I174" i="653"/>
  <c r="J112" i="653"/>
  <c r="J209" i="653"/>
  <c r="D208" i="653"/>
  <c r="J82" i="653"/>
  <c r="J196" i="653"/>
  <c r="D195" i="653"/>
  <c r="G106" i="653"/>
  <c r="D50" i="649"/>
  <c r="J51" i="649"/>
  <c r="E38" i="649"/>
  <c r="G136" i="649"/>
  <c r="G134" i="649" s="1"/>
  <c r="I45" i="649"/>
  <c r="J47" i="649"/>
  <c r="E91" i="481"/>
  <c r="I91" i="481"/>
  <c r="J79" i="655"/>
  <c r="J104" i="655"/>
  <c r="D95" i="655"/>
  <c r="J96" i="655"/>
  <c r="E102" i="655"/>
  <c r="J36" i="649"/>
  <c r="D38" i="655"/>
  <c r="J39" i="655"/>
  <c r="G45" i="655"/>
  <c r="J44" i="655"/>
  <c r="I55" i="655"/>
  <c r="H81" i="656"/>
  <c r="E68" i="656"/>
  <c r="I167" i="653"/>
  <c r="G167" i="653"/>
  <c r="J73" i="653"/>
  <c r="D72" i="653"/>
  <c r="F92" i="653"/>
  <c r="G92" i="653"/>
  <c r="D92" i="653"/>
  <c r="J94" i="653"/>
  <c r="J132" i="649"/>
  <c r="E127" i="649"/>
  <c r="I45" i="653"/>
  <c r="H45" i="653"/>
  <c r="J21" i="649"/>
  <c r="J158" i="649" s="1"/>
  <c r="G151" i="653"/>
  <c r="F91" i="482"/>
  <c r="I353" i="653"/>
  <c r="F353" i="653"/>
  <c r="I156" i="653"/>
  <c r="F225" i="653"/>
  <c r="F430" i="653" s="1"/>
  <c r="I246" i="653"/>
  <c r="J243" i="653"/>
  <c r="G251" i="653"/>
  <c r="H256" i="653"/>
  <c r="J124" i="649"/>
  <c r="J29" i="655"/>
  <c r="E27" i="655"/>
  <c r="E156" i="655" s="1"/>
  <c r="F133" i="653"/>
  <c r="F78" i="480"/>
  <c r="I78" i="480"/>
  <c r="J86" i="653"/>
  <c r="D85" i="653"/>
  <c r="H85" i="653"/>
  <c r="H61" i="649"/>
  <c r="J65" i="649"/>
  <c r="J280" i="653"/>
  <c r="J283" i="653"/>
  <c r="D282" i="653"/>
  <c r="I290" i="653"/>
  <c r="J277" i="653"/>
  <c r="J306" i="653"/>
  <c r="G130" i="653"/>
  <c r="H61" i="655"/>
  <c r="J222" i="653"/>
  <c r="J431" i="653" s="1"/>
  <c r="D140" i="653"/>
  <c r="J141" i="653"/>
  <c r="I24" i="655"/>
  <c r="I157" i="655" s="1"/>
  <c r="G30" i="653"/>
  <c r="F95" i="649"/>
  <c r="D95" i="649"/>
  <c r="J96" i="649"/>
  <c r="J72" i="649"/>
  <c r="J101" i="649"/>
  <c r="E89" i="649"/>
  <c r="I195" i="653"/>
  <c r="I201" i="653"/>
  <c r="E195" i="653"/>
  <c r="J115" i="653"/>
  <c r="J211" i="653"/>
  <c r="J84" i="653"/>
  <c r="J198" i="653"/>
  <c r="H113" i="653"/>
  <c r="J69" i="655"/>
  <c r="D68" i="655"/>
  <c r="D89" i="655"/>
  <c r="J90" i="655"/>
  <c r="D81" i="655"/>
  <c r="J82" i="655"/>
  <c r="J75" i="653"/>
  <c r="D34" i="655"/>
  <c r="J35" i="655"/>
  <c r="H91" i="482"/>
  <c r="G84" i="482"/>
  <c r="E358" i="653"/>
  <c r="F358" i="653"/>
  <c r="J328" i="653"/>
  <c r="D327" i="653"/>
  <c r="J245" i="653"/>
  <c r="J240" i="653"/>
  <c r="D239" i="653"/>
  <c r="J254" i="653"/>
  <c r="H122" i="649"/>
  <c r="I27" i="655"/>
  <c r="I156" i="655" s="1"/>
  <c r="I180" i="653"/>
  <c r="J88" i="653"/>
  <c r="J67" i="649"/>
  <c r="F290" i="653"/>
  <c r="E296" i="653"/>
  <c r="J271" i="653"/>
  <c r="J298" i="653"/>
  <c r="H275" i="653"/>
  <c r="H424" i="653" s="1"/>
  <c r="J279" i="653"/>
  <c r="J308" i="653"/>
  <c r="G296" i="653"/>
  <c r="H130" i="653"/>
  <c r="J51" i="653"/>
  <c r="F262" i="653"/>
  <c r="F426" i="653" s="1"/>
  <c r="J143" i="653"/>
  <c r="H30" i="653"/>
  <c r="H102" i="649"/>
  <c r="G81" i="649"/>
  <c r="D68" i="649"/>
  <c r="J69" i="649"/>
  <c r="J98" i="649"/>
  <c r="D74" i="649"/>
  <c r="J75" i="649"/>
  <c r="J104" i="649"/>
  <c r="I100" i="653"/>
  <c r="E201" i="653"/>
  <c r="J117" i="653"/>
  <c r="J213" i="653"/>
  <c r="G174" i="653"/>
  <c r="D100" i="653"/>
  <c r="J102" i="653"/>
  <c r="J200" i="653"/>
  <c r="F106" i="653"/>
  <c r="E140" i="658"/>
  <c r="I26" i="120"/>
  <c r="I20" i="120" s="1"/>
  <c r="F427" i="658"/>
  <c r="I234" i="658"/>
  <c r="I311" i="658" s="1"/>
  <c r="G234" i="658"/>
  <c r="G311" i="658" s="1"/>
  <c r="J172" i="658"/>
  <c r="E427" i="658"/>
  <c r="I130" i="658"/>
  <c r="G20" i="120"/>
  <c r="J39" i="120"/>
  <c r="H234" i="658"/>
  <c r="H311" i="658" s="1"/>
  <c r="I35" i="658"/>
  <c r="E167" i="658"/>
  <c r="I167" i="658"/>
  <c r="E45" i="658"/>
  <c r="H130" i="658"/>
  <c r="J246" i="658"/>
  <c r="J132" i="658"/>
  <c r="J251" i="658"/>
  <c r="E234" i="658"/>
  <c r="E311" i="658" s="1"/>
  <c r="F234" i="658"/>
  <c r="F311" i="658" s="1"/>
  <c r="J252" i="658"/>
  <c r="G45" i="658"/>
  <c r="J239" i="658"/>
  <c r="H167" i="658"/>
  <c r="I72" i="658"/>
  <c r="J256" i="658"/>
  <c r="F20" i="120"/>
  <c r="E72" i="658"/>
  <c r="F130" i="658"/>
  <c r="J235" i="658"/>
  <c r="J428" i="658" s="1"/>
  <c r="D234" i="658"/>
  <c r="J257" i="658"/>
  <c r="G35" i="658"/>
  <c r="J170" i="658"/>
  <c r="J75" i="658"/>
  <c r="J46" i="658"/>
  <c r="D45" i="658"/>
  <c r="J47" i="658"/>
  <c r="F140" i="658"/>
  <c r="J48" i="658"/>
  <c r="F72" i="658"/>
  <c r="J168" i="658"/>
  <c r="D167" i="658"/>
  <c r="G140" i="658"/>
  <c r="J37" i="658"/>
  <c r="J74" i="658"/>
  <c r="J77" i="658"/>
  <c r="F45" i="658"/>
  <c r="H140" i="658"/>
  <c r="F167" i="658"/>
  <c r="J169" i="658"/>
  <c r="J76" i="658"/>
  <c r="G72" i="658"/>
  <c r="H391" i="658"/>
  <c r="H412" i="658" s="1"/>
  <c r="J171" i="658"/>
  <c r="I391" i="658"/>
  <c r="I412" i="658" s="1"/>
  <c r="J126" i="658"/>
  <c r="I140" i="658"/>
  <c r="H35" i="658"/>
  <c r="J173" i="658"/>
  <c r="D72" i="658"/>
  <c r="J73" i="658"/>
  <c r="J31" i="658"/>
  <c r="D391" i="658"/>
  <c r="D412" i="658" s="1"/>
  <c r="G130" i="658"/>
  <c r="G167" i="658"/>
  <c r="H72" i="658"/>
  <c r="H45" i="658"/>
  <c r="E391" i="658"/>
  <c r="E412" i="658" s="1"/>
  <c r="J141" i="658"/>
  <c r="D140" i="658"/>
  <c r="J142" i="658"/>
  <c r="J36" i="658"/>
  <c r="D35" i="658"/>
  <c r="J78" i="658"/>
  <c r="F391" i="658"/>
  <c r="F412" i="658" s="1"/>
  <c r="J143" i="658"/>
  <c r="E35" i="658"/>
  <c r="I45" i="658"/>
  <c r="G391" i="658"/>
  <c r="G412" i="658" s="1"/>
  <c r="J131" i="658"/>
  <c r="D130" i="658"/>
  <c r="I427" i="658"/>
  <c r="H427" i="658"/>
  <c r="J44" i="120"/>
  <c r="G427" i="658"/>
  <c r="F428" i="658"/>
  <c r="E26" i="120"/>
  <c r="E428" i="658"/>
  <c r="D428" i="658"/>
  <c r="D427" i="658"/>
  <c r="D20" i="120"/>
  <c r="H19" i="656"/>
  <c r="E34" i="481"/>
  <c r="E130" i="481" s="1"/>
  <c r="G34" i="656"/>
  <c r="E34" i="656"/>
  <c r="H24" i="656"/>
  <c r="F24" i="656"/>
  <c r="E24" i="656"/>
  <c r="E27" i="656"/>
  <c r="I34" i="481"/>
  <c r="I130" i="481" s="1"/>
  <c r="J36" i="656"/>
  <c r="I34" i="656"/>
  <c r="F34" i="480"/>
  <c r="F129" i="480" s="1"/>
  <c r="D24" i="656"/>
  <c r="J25" i="656"/>
  <c r="F34" i="656"/>
  <c r="D34" i="656"/>
  <c r="J35" i="656"/>
  <c r="F27" i="656"/>
  <c r="G27" i="656"/>
  <c r="G24" i="656"/>
  <c r="H34" i="656"/>
  <c r="I24" i="656"/>
  <c r="I27" i="656"/>
  <c r="H112" i="481"/>
  <c r="J26" i="656"/>
  <c r="I19" i="656"/>
  <c r="J20" i="656"/>
  <c r="D19" i="656"/>
  <c r="J37" i="656"/>
  <c r="J29" i="656"/>
  <c r="J21" i="656"/>
  <c r="E19" i="656"/>
  <c r="J31" i="656"/>
  <c r="H27" i="656"/>
  <c r="F19" i="656"/>
  <c r="D27" i="656"/>
  <c r="J28" i="656"/>
  <c r="G19" i="656"/>
  <c r="G112" i="481"/>
  <c r="F34" i="482"/>
  <c r="F130" i="482" s="1"/>
  <c r="E44" i="481"/>
  <c r="E128" i="481" s="1"/>
  <c r="J30" i="656"/>
  <c r="H60" i="482"/>
  <c r="J53" i="480"/>
  <c r="E60" i="480"/>
  <c r="G65" i="480"/>
  <c r="J59" i="480"/>
  <c r="J47" i="481"/>
  <c r="J114" i="481"/>
  <c r="E112" i="481"/>
  <c r="H65" i="481"/>
  <c r="J52" i="481"/>
  <c r="F44" i="481"/>
  <c r="F128" i="481" s="1"/>
  <c r="J62" i="481"/>
  <c r="G44" i="481"/>
  <c r="G128" i="481" s="1"/>
  <c r="J47" i="482"/>
  <c r="F99" i="480"/>
  <c r="E44" i="482"/>
  <c r="E128" i="482" s="1"/>
  <c r="H99" i="482"/>
  <c r="J59" i="482"/>
  <c r="J54" i="482"/>
  <c r="E65" i="482"/>
  <c r="J52" i="482"/>
  <c r="J102" i="480"/>
  <c r="G34" i="482"/>
  <c r="G130" i="482" s="1"/>
  <c r="E34" i="480"/>
  <c r="E129" i="480" s="1"/>
  <c r="H34" i="482"/>
  <c r="H130" i="482" s="1"/>
  <c r="I55" i="480"/>
  <c r="I99" i="482"/>
  <c r="J111" i="482"/>
  <c r="J118" i="482"/>
  <c r="I112" i="482"/>
  <c r="J102" i="482"/>
  <c r="J58" i="482"/>
  <c r="F48" i="482"/>
  <c r="F55" i="482"/>
  <c r="J50" i="482"/>
  <c r="E34" i="482"/>
  <c r="E130" i="482" s="1"/>
  <c r="F105" i="480"/>
  <c r="F55" i="480"/>
  <c r="I48" i="480"/>
  <c r="J57" i="480"/>
  <c r="J46" i="480"/>
  <c r="G55" i="481"/>
  <c r="H112" i="482"/>
  <c r="J58" i="481"/>
  <c r="E65" i="481"/>
  <c r="E37" i="481"/>
  <c r="E129" i="481" s="1"/>
  <c r="G99" i="482"/>
  <c r="E105" i="482"/>
  <c r="I65" i="482"/>
  <c r="G105" i="480"/>
  <c r="G65" i="481"/>
  <c r="I34" i="482"/>
  <c r="I130" i="482" s="1"/>
  <c r="G55" i="482"/>
  <c r="J38" i="481"/>
  <c r="D37" i="481"/>
  <c r="E112" i="482"/>
  <c r="I99" i="481"/>
  <c r="I105" i="481"/>
  <c r="J116" i="481"/>
  <c r="J106" i="481"/>
  <c r="D105" i="481"/>
  <c r="I60" i="482"/>
  <c r="E60" i="482"/>
  <c r="J62" i="482"/>
  <c r="J69" i="482"/>
  <c r="E29" i="481"/>
  <c r="E132" i="481"/>
  <c r="I37" i="482"/>
  <c r="I129" i="482" s="1"/>
  <c r="J104" i="480"/>
  <c r="G99" i="480"/>
  <c r="J117" i="480"/>
  <c r="F60" i="480"/>
  <c r="J62" i="480"/>
  <c r="F29" i="482"/>
  <c r="F132" i="482"/>
  <c r="H37" i="480"/>
  <c r="H128" i="480" s="1"/>
  <c r="G60" i="481"/>
  <c r="J54" i="481"/>
  <c r="J61" i="481"/>
  <c r="D60" i="481"/>
  <c r="J39" i="481"/>
  <c r="J101" i="481"/>
  <c r="J38" i="480"/>
  <c r="D37" i="480"/>
  <c r="J40" i="481"/>
  <c r="G112" i="482"/>
  <c r="J72" i="482"/>
  <c r="J115" i="482"/>
  <c r="J118" i="481"/>
  <c r="E99" i="481"/>
  <c r="H99" i="481"/>
  <c r="J108" i="481"/>
  <c r="E48" i="482"/>
  <c r="J56" i="482"/>
  <c r="D55" i="482"/>
  <c r="J49" i="482"/>
  <c r="D48" i="482"/>
  <c r="E55" i="482"/>
  <c r="I48" i="482"/>
  <c r="J64" i="482"/>
  <c r="D131" i="481"/>
  <c r="J31" i="481"/>
  <c r="J131" i="481" s="1"/>
  <c r="F29" i="481"/>
  <c r="F132" i="481"/>
  <c r="J107" i="480"/>
  <c r="F112" i="480"/>
  <c r="J49" i="480"/>
  <c r="D48" i="480"/>
  <c r="E55" i="480"/>
  <c r="H48" i="480"/>
  <c r="J64" i="480"/>
  <c r="H132" i="482"/>
  <c r="H29" i="482"/>
  <c r="I37" i="480"/>
  <c r="I128" i="480" s="1"/>
  <c r="I48" i="481"/>
  <c r="J57" i="481"/>
  <c r="J63" i="481"/>
  <c r="F48" i="481"/>
  <c r="J50" i="481"/>
  <c r="J30" i="481"/>
  <c r="J132" i="481" s="1"/>
  <c r="D132" i="481"/>
  <c r="D29" i="481"/>
  <c r="J107" i="482"/>
  <c r="J117" i="482"/>
  <c r="F99" i="482"/>
  <c r="J35" i="481"/>
  <c r="D34" i="481"/>
  <c r="J110" i="481"/>
  <c r="J51" i="482"/>
  <c r="J66" i="482"/>
  <c r="D65" i="482"/>
  <c r="J45" i="482"/>
  <c r="D44" i="482"/>
  <c r="G132" i="481"/>
  <c r="G29" i="481"/>
  <c r="J39" i="482"/>
  <c r="J36" i="482"/>
  <c r="H112" i="480"/>
  <c r="J109" i="480"/>
  <c r="E105" i="480"/>
  <c r="J51" i="480"/>
  <c r="F65" i="480"/>
  <c r="J67" i="480"/>
  <c r="I132" i="482"/>
  <c r="I29" i="482"/>
  <c r="J59" i="481"/>
  <c r="J66" i="481"/>
  <c r="D65" i="481"/>
  <c r="D130" i="480"/>
  <c r="J31" i="480"/>
  <c r="J130" i="480" s="1"/>
  <c r="J41" i="481"/>
  <c r="I105" i="482"/>
  <c r="I112" i="481"/>
  <c r="J113" i="481"/>
  <c r="D112" i="481"/>
  <c r="J57" i="482"/>
  <c r="J61" i="482"/>
  <c r="D60" i="482"/>
  <c r="J68" i="482"/>
  <c r="G34" i="480"/>
  <c r="H132" i="481"/>
  <c r="H29" i="481"/>
  <c r="H37" i="482"/>
  <c r="H129" i="482" s="1"/>
  <c r="H105" i="480"/>
  <c r="J111" i="480"/>
  <c r="I60" i="480"/>
  <c r="J69" i="480"/>
  <c r="J30" i="482"/>
  <c r="J132" i="482" s="1"/>
  <c r="D29" i="482"/>
  <c r="D132" i="482"/>
  <c r="J68" i="481"/>
  <c r="J113" i="480"/>
  <c r="D112" i="480"/>
  <c r="G132" i="482"/>
  <c r="G29" i="482"/>
  <c r="I37" i="481"/>
  <c r="I129" i="481" s="1"/>
  <c r="F37" i="481"/>
  <c r="F129" i="481" s="1"/>
  <c r="H131" i="480"/>
  <c r="H29" i="480"/>
  <c r="E99" i="482"/>
  <c r="G105" i="482"/>
  <c r="F34" i="481"/>
  <c r="H105" i="481"/>
  <c r="J115" i="481"/>
  <c r="F105" i="481"/>
  <c r="J63" i="482"/>
  <c r="H48" i="482"/>
  <c r="H55" i="482"/>
  <c r="H34" i="480"/>
  <c r="F44" i="482"/>
  <c r="J38" i="482"/>
  <c r="I99" i="480"/>
  <c r="J114" i="480"/>
  <c r="J56" i="480"/>
  <c r="D55" i="480"/>
  <c r="G48" i="480"/>
  <c r="H55" i="480"/>
  <c r="D44" i="480"/>
  <c r="J45" i="480"/>
  <c r="E44" i="480"/>
  <c r="E127" i="480" s="1"/>
  <c r="J39" i="480"/>
  <c r="E37" i="480"/>
  <c r="E128" i="480" s="1"/>
  <c r="H48" i="481"/>
  <c r="I55" i="481"/>
  <c r="J64" i="481"/>
  <c r="E48" i="481"/>
  <c r="F55" i="481"/>
  <c r="I44" i="481"/>
  <c r="I128" i="481" s="1"/>
  <c r="D29" i="480"/>
  <c r="J30" i="480"/>
  <c r="J131" i="480" s="1"/>
  <c r="D131" i="480"/>
  <c r="J103" i="482"/>
  <c r="J113" i="482"/>
  <c r="D112" i="482"/>
  <c r="G34" i="481"/>
  <c r="D99" i="481"/>
  <c r="J100" i="481"/>
  <c r="G99" i="481"/>
  <c r="J117" i="481"/>
  <c r="I55" i="482"/>
  <c r="G65" i="482"/>
  <c r="I34" i="480"/>
  <c r="G37" i="482"/>
  <c r="G129" i="482" s="1"/>
  <c r="I105" i="480"/>
  <c r="J116" i="480"/>
  <c r="J101" i="480"/>
  <c r="E112" i="480"/>
  <c r="D131" i="482"/>
  <c r="J31" i="482"/>
  <c r="J131" i="482" s="1"/>
  <c r="J58" i="480"/>
  <c r="E65" i="480"/>
  <c r="I65" i="480"/>
  <c r="H44" i="480"/>
  <c r="J47" i="480"/>
  <c r="J41" i="480"/>
  <c r="J40" i="480"/>
  <c r="J67" i="481"/>
  <c r="H44" i="481"/>
  <c r="J67" i="482"/>
  <c r="E132" i="482"/>
  <c r="E29" i="482"/>
  <c r="G37" i="481"/>
  <c r="G129" i="481" s="1"/>
  <c r="I131" i="480"/>
  <c r="I29" i="480"/>
  <c r="J106" i="482"/>
  <c r="D105" i="482"/>
  <c r="H34" i="481"/>
  <c r="J102" i="481"/>
  <c r="G60" i="482"/>
  <c r="D34" i="480"/>
  <c r="J35" i="480"/>
  <c r="G44" i="482"/>
  <c r="E37" i="482"/>
  <c r="E129" i="482" s="1"/>
  <c r="J118" i="480"/>
  <c r="J103" i="480"/>
  <c r="J61" i="480"/>
  <c r="D60" i="480"/>
  <c r="H60" i="480"/>
  <c r="I44" i="480"/>
  <c r="F44" i="480"/>
  <c r="F127" i="480" s="1"/>
  <c r="F37" i="480"/>
  <c r="F128" i="480" s="1"/>
  <c r="I60" i="481"/>
  <c r="J69" i="481"/>
  <c r="F60" i="481"/>
  <c r="J56" i="481"/>
  <c r="D55" i="481"/>
  <c r="E131" i="480"/>
  <c r="E29" i="480"/>
  <c r="J108" i="482"/>
  <c r="F112" i="482"/>
  <c r="J104" i="482"/>
  <c r="J114" i="482"/>
  <c r="J36" i="481"/>
  <c r="J104" i="481"/>
  <c r="F112" i="481"/>
  <c r="G48" i="482"/>
  <c r="F60" i="482"/>
  <c r="J36" i="480"/>
  <c r="I44" i="482"/>
  <c r="J40" i="482"/>
  <c r="J72" i="480"/>
  <c r="E99" i="480"/>
  <c r="J106" i="480"/>
  <c r="D105" i="480"/>
  <c r="J63" i="480"/>
  <c r="F48" i="480"/>
  <c r="G55" i="480"/>
  <c r="E48" i="480"/>
  <c r="G48" i="481"/>
  <c r="H55" i="481"/>
  <c r="J49" i="481"/>
  <c r="D48" i="481"/>
  <c r="E55" i="481"/>
  <c r="J46" i="481"/>
  <c r="J111" i="481"/>
  <c r="J72" i="481"/>
  <c r="J115" i="480"/>
  <c r="H37" i="481"/>
  <c r="H129" i="481" s="1"/>
  <c r="F131" i="480"/>
  <c r="F29" i="480"/>
  <c r="H105" i="482"/>
  <c r="J101" i="482"/>
  <c r="J110" i="482"/>
  <c r="G105" i="481"/>
  <c r="J107" i="481"/>
  <c r="E105" i="481"/>
  <c r="H65" i="482"/>
  <c r="F65" i="482"/>
  <c r="H44" i="482"/>
  <c r="F37" i="482"/>
  <c r="F129" i="482" s="1"/>
  <c r="D34" i="482"/>
  <c r="J35" i="482"/>
  <c r="G112" i="480"/>
  <c r="I112" i="480"/>
  <c r="H99" i="480"/>
  <c r="J108" i="480"/>
  <c r="J50" i="480"/>
  <c r="J66" i="480"/>
  <c r="D65" i="480"/>
  <c r="H65" i="480"/>
  <c r="J52" i="480"/>
  <c r="G44" i="480"/>
  <c r="G37" i="480"/>
  <c r="G128" i="480" s="1"/>
  <c r="I65" i="481"/>
  <c r="J51" i="481"/>
  <c r="F65" i="481"/>
  <c r="I29" i="481"/>
  <c r="I132" i="481"/>
  <c r="J100" i="480"/>
  <c r="D99" i="480"/>
  <c r="J103" i="481"/>
  <c r="G131" i="480"/>
  <c r="G29" i="480"/>
  <c r="J116" i="482"/>
  <c r="F105" i="482"/>
  <c r="J100" i="482"/>
  <c r="D99" i="482"/>
  <c r="J109" i="482"/>
  <c r="J109" i="481"/>
  <c r="F99" i="481"/>
  <c r="J53" i="482"/>
  <c r="J46" i="482"/>
  <c r="D37" i="482"/>
  <c r="J41" i="482"/>
  <c r="J110" i="480"/>
  <c r="J68" i="480"/>
  <c r="G60" i="480"/>
  <c r="J54" i="480"/>
  <c r="H60" i="481"/>
  <c r="J53" i="481"/>
  <c r="E60" i="481"/>
  <c r="J45" i="481"/>
  <c r="D44" i="481"/>
  <c r="D391" i="653"/>
  <c r="D432" i="653"/>
  <c r="E391" i="653"/>
  <c r="F432" i="653"/>
  <c r="D434" i="653"/>
  <c r="D393" i="653"/>
  <c r="F391" i="653"/>
  <c r="G432" i="653"/>
  <c r="E428" i="653"/>
  <c r="E439" i="653"/>
  <c r="E398" i="653"/>
  <c r="G391" i="653"/>
  <c r="H432" i="653"/>
  <c r="E434" i="653"/>
  <c r="E393" i="653"/>
  <c r="F439" i="653"/>
  <c r="F398" i="653"/>
  <c r="D428" i="653"/>
  <c r="H391" i="653"/>
  <c r="E432" i="653"/>
  <c r="F428" i="653"/>
  <c r="I391" i="653"/>
  <c r="I432" i="653"/>
  <c r="F434" i="653"/>
  <c r="F393" i="653"/>
  <c r="G439" i="653"/>
  <c r="G398" i="653"/>
  <c r="D398" i="653"/>
  <c r="D439" i="653"/>
  <c r="D438" i="653"/>
  <c r="D397" i="653"/>
  <c r="G428" i="653"/>
  <c r="E390" i="653"/>
  <c r="E411" i="653" s="1"/>
  <c r="E438" i="653"/>
  <c r="E397" i="653"/>
  <c r="G434" i="653"/>
  <c r="G393" i="653"/>
  <c r="D431" i="653"/>
  <c r="H439" i="653"/>
  <c r="H398" i="653"/>
  <c r="F390" i="653"/>
  <c r="F411" i="653" s="1"/>
  <c r="F438" i="653"/>
  <c r="F397" i="653"/>
  <c r="H428" i="653"/>
  <c r="G390" i="653"/>
  <c r="G411" i="653" s="1"/>
  <c r="G438" i="653"/>
  <c r="G397" i="653"/>
  <c r="H434" i="653"/>
  <c r="H393" i="653"/>
  <c r="I439" i="653"/>
  <c r="I398" i="653"/>
  <c r="H390" i="653"/>
  <c r="H411" i="653" s="1"/>
  <c r="H397" i="653"/>
  <c r="H438" i="653"/>
  <c r="I428" i="653"/>
  <c r="I390" i="653"/>
  <c r="I411" i="653" s="1"/>
  <c r="I397" i="653"/>
  <c r="I438" i="653"/>
  <c r="I434" i="653"/>
  <c r="I393" i="653"/>
  <c r="D390" i="653"/>
  <c r="J26" i="120" l="1"/>
  <c r="Q20" i="145"/>
  <c r="K107" i="145"/>
  <c r="H321" i="653"/>
  <c r="H342" i="653" s="1"/>
  <c r="G34" i="653"/>
  <c r="X58" i="145"/>
  <c r="H224" i="653"/>
  <c r="H34" i="653"/>
  <c r="G224" i="653"/>
  <c r="H129" i="653"/>
  <c r="F321" i="653"/>
  <c r="F342" i="653" s="1"/>
  <c r="E387" i="658"/>
  <c r="E408" i="658" s="1"/>
  <c r="I385" i="658"/>
  <c r="I406" i="658" s="1"/>
  <c r="F34" i="653"/>
  <c r="H429" i="653"/>
  <c r="E321" i="653"/>
  <c r="E342" i="653" s="1"/>
  <c r="I352" i="653"/>
  <c r="I373" i="653" s="1"/>
  <c r="F389" i="658"/>
  <c r="F410" i="658" s="1"/>
  <c r="H23" i="649"/>
  <c r="I224" i="653"/>
  <c r="J317" i="653"/>
  <c r="F129" i="653"/>
  <c r="G129" i="653"/>
  <c r="J89" i="649"/>
  <c r="H121" i="649"/>
  <c r="H143" i="649" s="1"/>
  <c r="E224" i="653"/>
  <c r="E429" i="653"/>
  <c r="I121" i="649"/>
  <c r="I143" i="649" s="1"/>
  <c r="G23" i="649"/>
  <c r="I34" i="653"/>
  <c r="E23" i="649"/>
  <c r="F23" i="649"/>
  <c r="J74" i="655"/>
  <c r="D385" i="658"/>
  <c r="D406" i="658" s="1"/>
  <c r="G23" i="655"/>
  <c r="G157" i="655"/>
  <c r="E385" i="658"/>
  <c r="E406" i="658" s="1"/>
  <c r="I33" i="649"/>
  <c r="E234" i="653"/>
  <c r="J220" i="653"/>
  <c r="I321" i="653"/>
  <c r="I342" i="653" s="1"/>
  <c r="I234" i="653"/>
  <c r="H385" i="658"/>
  <c r="H406" i="658" s="1"/>
  <c r="J100" i="653"/>
  <c r="J74" i="649"/>
  <c r="J303" i="653"/>
  <c r="J228" i="653"/>
  <c r="J30" i="653"/>
  <c r="J296" i="653"/>
  <c r="J239" i="653"/>
  <c r="J95" i="655"/>
  <c r="H23" i="655"/>
  <c r="J180" i="653"/>
  <c r="J55" i="655"/>
  <c r="F23" i="655"/>
  <c r="J81" i="655"/>
  <c r="J79" i="653"/>
  <c r="H33" i="649"/>
  <c r="G352" i="653"/>
  <c r="G373" i="653" s="1"/>
  <c r="J89" i="655"/>
  <c r="G33" i="649"/>
  <c r="E34" i="653"/>
  <c r="J68" i="655"/>
  <c r="F234" i="653"/>
  <c r="F139" i="653"/>
  <c r="F352" i="653"/>
  <c r="F373" i="653" s="1"/>
  <c r="J92" i="653"/>
  <c r="E352" i="653"/>
  <c r="E373" i="653" s="1"/>
  <c r="F33" i="649"/>
  <c r="J269" i="653"/>
  <c r="J423" i="653" s="1"/>
  <c r="J116" i="649"/>
  <c r="I139" i="653"/>
  <c r="H33" i="655"/>
  <c r="H157" i="655"/>
  <c r="J327" i="653"/>
  <c r="J140" i="653"/>
  <c r="D139" i="653"/>
  <c r="J195" i="653"/>
  <c r="J151" i="653"/>
  <c r="J125" i="653"/>
  <c r="J113" i="653"/>
  <c r="G139" i="653"/>
  <c r="J322" i="653"/>
  <c r="J436" i="653" s="1"/>
  <c r="D321" i="653"/>
  <c r="J174" i="653"/>
  <c r="D34" i="653"/>
  <c r="J35" i="653"/>
  <c r="J187" i="653"/>
  <c r="D315" i="653"/>
  <c r="G387" i="658"/>
  <c r="G408" i="658" s="1"/>
  <c r="J85" i="653"/>
  <c r="J358" i="653"/>
  <c r="G234" i="653"/>
  <c r="F33" i="655"/>
  <c r="J27" i="649"/>
  <c r="J156" i="649" s="1"/>
  <c r="J45" i="655"/>
  <c r="J256" i="653"/>
  <c r="I389" i="658"/>
  <c r="I410" i="658" s="1"/>
  <c r="J45" i="649"/>
  <c r="J50" i="655"/>
  <c r="J19" i="655"/>
  <c r="J208" i="653"/>
  <c r="D234" i="653"/>
  <c r="J134" i="649"/>
  <c r="J156" i="653"/>
  <c r="J45" i="653"/>
  <c r="H234" i="653"/>
  <c r="E33" i="649"/>
  <c r="J81" i="649"/>
  <c r="J55" i="649"/>
  <c r="E129" i="653"/>
  <c r="J34" i="649"/>
  <c r="J155" i="649" s="1"/>
  <c r="D33" i="649"/>
  <c r="J61" i="655"/>
  <c r="F121" i="649"/>
  <c r="F143" i="649" s="1"/>
  <c r="J127" i="649"/>
  <c r="J27" i="655"/>
  <c r="J156" i="655" s="1"/>
  <c r="E33" i="655"/>
  <c r="H352" i="653"/>
  <c r="H373" i="653" s="1"/>
  <c r="E139" i="653"/>
  <c r="J275" i="653"/>
  <c r="J424" i="653" s="1"/>
  <c r="I129" i="653"/>
  <c r="J161" i="653"/>
  <c r="J38" i="649"/>
  <c r="J102" i="649"/>
  <c r="J102" i="655"/>
  <c r="D224" i="653"/>
  <c r="J225" i="653"/>
  <c r="J430" i="653" s="1"/>
  <c r="J366" i="653"/>
  <c r="G121" i="649"/>
  <c r="G143" i="649" s="1"/>
  <c r="J167" i="653"/>
  <c r="G33" i="655"/>
  <c r="J201" i="653"/>
  <c r="J353" i="653"/>
  <c r="D352" i="653"/>
  <c r="F224" i="653"/>
  <c r="I33" i="655"/>
  <c r="J49" i="653"/>
  <c r="F385" i="658"/>
  <c r="F406" i="658" s="1"/>
  <c r="J68" i="649"/>
  <c r="J95" i="649"/>
  <c r="J282" i="653"/>
  <c r="J425" i="653" s="1"/>
  <c r="J38" i="655"/>
  <c r="J130" i="653"/>
  <c r="D129" i="653"/>
  <c r="J251" i="653"/>
  <c r="J19" i="649"/>
  <c r="D121" i="649"/>
  <c r="J122" i="649"/>
  <c r="J34" i="655"/>
  <c r="J155" i="655" s="1"/>
  <c r="D33" i="655"/>
  <c r="J364" i="653"/>
  <c r="D23" i="649"/>
  <c r="J24" i="649"/>
  <c r="J157" i="649" s="1"/>
  <c r="J50" i="649"/>
  <c r="J133" i="653"/>
  <c r="E121" i="649"/>
  <c r="E143" i="649" s="1"/>
  <c r="J262" i="653"/>
  <c r="J426" i="653" s="1"/>
  <c r="J61" i="649"/>
  <c r="J72" i="653"/>
  <c r="D155" i="655"/>
  <c r="I23" i="655"/>
  <c r="D333" i="653"/>
  <c r="J333" i="653" s="1"/>
  <c r="J335" i="653"/>
  <c r="J433" i="653" s="1"/>
  <c r="J290" i="653"/>
  <c r="I23" i="649"/>
  <c r="H139" i="653"/>
  <c r="J136" i="649"/>
  <c r="J246" i="653"/>
  <c r="D23" i="655"/>
  <c r="J144" i="653"/>
  <c r="J38" i="653"/>
  <c r="G321" i="653"/>
  <c r="G342" i="653" s="1"/>
  <c r="J348" i="653"/>
  <c r="D346" i="653"/>
  <c r="J24" i="655"/>
  <c r="J157" i="655" s="1"/>
  <c r="E23" i="655"/>
  <c r="J106" i="653"/>
  <c r="D114" i="649"/>
  <c r="F107" i="120"/>
  <c r="D311" i="658"/>
  <c r="J311" i="658" s="1"/>
  <c r="J234" i="658"/>
  <c r="H107" i="120"/>
  <c r="G385" i="658"/>
  <c r="G406" i="658" s="1"/>
  <c r="E20" i="120"/>
  <c r="J20" i="120" s="1"/>
  <c r="I107" i="120"/>
  <c r="J391" i="658"/>
  <c r="J412" i="658" s="1"/>
  <c r="G107" i="120"/>
  <c r="H387" i="658"/>
  <c r="H408" i="658" s="1"/>
  <c r="J140" i="658"/>
  <c r="J45" i="658"/>
  <c r="J167" i="658"/>
  <c r="I387" i="658"/>
  <c r="I408" i="658" s="1"/>
  <c r="J72" i="658"/>
  <c r="E389" i="658"/>
  <c r="E410" i="658" s="1"/>
  <c r="G389" i="658"/>
  <c r="G410" i="658" s="1"/>
  <c r="H389" i="658"/>
  <c r="H410" i="658" s="1"/>
  <c r="J130" i="658"/>
  <c r="F387" i="658"/>
  <c r="F408" i="658" s="1"/>
  <c r="J35" i="658"/>
  <c r="D389" i="658"/>
  <c r="D410" i="658" s="1"/>
  <c r="J427" i="658"/>
  <c r="D387" i="658"/>
  <c r="D408" i="658" s="1"/>
  <c r="D107" i="120"/>
  <c r="E157" i="649"/>
  <c r="E394" i="653"/>
  <c r="E415" i="653" s="1"/>
  <c r="H394" i="653"/>
  <c r="H415" i="653" s="1"/>
  <c r="E395" i="653"/>
  <c r="E416" i="653" s="1"/>
  <c r="E385" i="653"/>
  <c r="E406" i="653" s="1"/>
  <c r="E388" i="653"/>
  <c r="I396" i="653"/>
  <c r="I437" i="653"/>
  <c r="G429" i="653"/>
  <c r="G389" i="653"/>
  <c r="G410" i="653" s="1"/>
  <c r="H387" i="653"/>
  <c r="H408" i="653" s="1"/>
  <c r="J44" i="481"/>
  <c r="J128" i="481" s="1"/>
  <c r="H122" i="482"/>
  <c r="H385" i="653"/>
  <c r="H406" i="653" s="1"/>
  <c r="H389" i="653"/>
  <c r="H23" i="656"/>
  <c r="E422" i="653"/>
  <c r="J390" i="653"/>
  <c r="J411" i="653" s="1"/>
  <c r="G23" i="656"/>
  <c r="G396" i="653"/>
  <c r="G437" i="653"/>
  <c r="E23" i="656"/>
  <c r="I33" i="482"/>
  <c r="I422" i="653"/>
  <c r="I23" i="656"/>
  <c r="G122" i="482"/>
  <c r="D385" i="653"/>
  <c r="G388" i="653"/>
  <c r="F23" i="656"/>
  <c r="D411" i="653"/>
  <c r="E33" i="481"/>
  <c r="F122" i="480"/>
  <c r="J27" i="656"/>
  <c r="E396" i="653"/>
  <c r="E437" i="653"/>
  <c r="H388" i="653"/>
  <c r="H122" i="480"/>
  <c r="I122" i="482"/>
  <c r="H396" i="653"/>
  <c r="H437" i="653"/>
  <c r="F127" i="482"/>
  <c r="D23" i="656"/>
  <c r="J24" i="656"/>
  <c r="E392" i="653"/>
  <c r="J34" i="656"/>
  <c r="E433" i="653"/>
  <c r="J19" i="656"/>
  <c r="H418" i="653"/>
  <c r="F412" i="653"/>
  <c r="G412" i="653"/>
  <c r="H414" i="653"/>
  <c r="I427" i="653"/>
  <c r="D414" i="653"/>
  <c r="G418" i="653"/>
  <c r="E427" i="653"/>
  <c r="G127" i="481"/>
  <c r="I385" i="653"/>
  <c r="I406" i="653" s="1"/>
  <c r="I418" i="653"/>
  <c r="G414" i="653"/>
  <c r="D412" i="653"/>
  <c r="F122" i="481"/>
  <c r="E412" i="653"/>
  <c r="E127" i="482"/>
  <c r="E122" i="482"/>
  <c r="J34" i="482"/>
  <c r="J130" i="482" s="1"/>
  <c r="G33" i="482"/>
  <c r="H33" i="482"/>
  <c r="J55" i="482"/>
  <c r="E33" i="482"/>
  <c r="E33" i="480"/>
  <c r="J105" i="482"/>
  <c r="G122" i="481"/>
  <c r="J44" i="482"/>
  <c r="J128" i="482" s="1"/>
  <c r="F122" i="482"/>
  <c r="E127" i="481"/>
  <c r="D127" i="480"/>
  <c r="J60" i="482"/>
  <c r="J29" i="480"/>
  <c r="D128" i="482"/>
  <c r="D128" i="480"/>
  <c r="J37" i="480"/>
  <c r="J128" i="480" s="1"/>
  <c r="D130" i="481"/>
  <c r="D33" i="481"/>
  <c r="I128" i="482"/>
  <c r="J55" i="480"/>
  <c r="F130" i="481"/>
  <c r="F33" i="481"/>
  <c r="J112" i="480"/>
  <c r="J112" i="481"/>
  <c r="F33" i="480"/>
  <c r="J34" i="481"/>
  <c r="J48" i="480"/>
  <c r="F33" i="482"/>
  <c r="I122" i="481"/>
  <c r="G33" i="481"/>
  <c r="G130" i="481"/>
  <c r="H129" i="480"/>
  <c r="H33" i="480"/>
  <c r="J65" i="482"/>
  <c r="F127" i="481"/>
  <c r="H127" i="480"/>
  <c r="F128" i="482"/>
  <c r="D128" i="481"/>
  <c r="G127" i="482"/>
  <c r="I127" i="480"/>
  <c r="I129" i="480"/>
  <c r="I33" i="480"/>
  <c r="J65" i="481"/>
  <c r="H122" i="481"/>
  <c r="J65" i="480"/>
  <c r="D33" i="482"/>
  <c r="D130" i="482"/>
  <c r="J105" i="480"/>
  <c r="G128" i="482"/>
  <c r="H33" i="481"/>
  <c r="H130" i="481"/>
  <c r="J112" i="482"/>
  <c r="H127" i="481"/>
  <c r="H127" i="482"/>
  <c r="E122" i="481"/>
  <c r="I33" i="481"/>
  <c r="J99" i="481"/>
  <c r="D122" i="481"/>
  <c r="J99" i="482"/>
  <c r="D122" i="482"/>
  <c r="D122" i="480"/>
  <c r="J99" i="480"/>
  <c r="J60" i="480"/>
  <c r="I127" i="481"/>
  <c r="I127" i="482"/>
  <c r="H128" i="482"/>
  <c r="J29" i="482"/>
  <c r="J29" i="481"/>
  <c r="G122" i="480"/>
  <c r="D129" i="481"/>
  <c r="J37" i="481"/>
  <c r="J129" i="481" s="1"/>
  <c r="D129" i="482"/>
  <c r="J37" i="482"/>
  <c r="J129" i="482" s="1"/>
  <c r="E122" i="480"/>
  <c r="J55" i="481"/>
  <c r="J34" i="480"/>
  <c r="G129" i="480"/>
  <c r="G33" i="480"/>
  <c r="D127" i="482"/>
  <c r="J48" i="482"/>
  <c r="J60" i="481"/>
  <c r="J105" i="481"/>
  <c r="G127" i="480"/>
  <c r="J48" i="481"/>
  <c r="D127" i="481"/>
  <c r="D129" i="480"/>
  <c r="D33" i="480"/>
  <c r="H128" i="481"/>
  <c r="J44" i="480"/>
  <c r="I122" i="480"/>
  <c r="D395" i="653"/>
  <c r="H427" i="653"/>
  <c r="D427" i="653"/>
  <c r="D394" i="653"/>
  <c r="F394" i="653"/>
  <c r="F435" i="653"/>
  <c r="G427" i="653"/>
  <c r="J439" i="653"/>
  <c r="J398" i="653"/>
  <c r="F414" i="653"/>
  <c r="D396" i="653"/>
  <c r="D437" i="653"/>
  <c r="D435" i="653"/>
  <c r="J393" i="653"/>
  <c r="J434" i="653"/>
  <c r="D423" i="653"/>
  <c r="I436" i="653"/>
  <c r="I395" i="653"/>
  <c r="I387" i="653"/>
  <c r="I408" i="653" s="1"/>
  <c r="D433" i="653"/>
  <c r="D392" i="653"/>
  <c r="F427" i="653"/>
  <c r="F385" i="653"/>
  <c r="F406" i="653" s="1"/>
  <c r="H422" i="653"/>
  <c r="F436" i="653"/>
  <c r="F395" i="653"/>
  <c r="D422" i="653"/>
  <c r="G385" i="653"/>
  <c r="G406" i="653" s="1"/>
  <c r="G395" i="653"/>
  <c r="G416" i="653" s="1"/>
  <c r="G387" i="653"/>
  <c r="G408" i="653" s="1"/>
  <c r="D387" i="653"/>
  <c r="D408" i="653" s="1"/>
  <c r="F387" i="653"/>
  <c r="F408" i="653" s="1"/>
  <c r="H412" i="653"/>
  <c r="D388" i="653"/>
  <c r="D429" i="653"/>
  <c r="F388" i="653"/>
  <c r="F409" i="653" s="1"/>
  <c r="E389" i="653"/>
  <c r="E410" i="653" s="1"/>
  <c r="E414" i="653"/>
  <c r="I433" i="653"/>
  <c r="I392" i="653"/>
  <c r="E387" i="653"/>
  <c r="E408" i="653" s="1"/>
  <c r="D430" i="653"/>
  <c r="D426" i="653"/>
  <c r="H392" i="653"/>
  <c r="H433" i="653"/>
  <c r="I394" i="653"/>
  <c r="I415" i="653" s="1"/>
  <c r="J391" i="653"/>
  <c r="J412" i="653" s="1"/>
  <c r="I389" i="653"/>
  <c r="I410" i="653" s="1"/>
  <c r="D389" i="653"/>
  <c r="I388" i="653"/>
  <c r="I409" i="653" s="1"/>
  <c r="H436" i="653"/>
  <c r="H395" i="653"/>
  <c r="D418" i="653"/>
  <c r="F422" i="653"/>
  <c r="G433" i="653"/>
  <c r="G392" i="653"/>
  <c r="F396" i="653"/>
  <c r="F437" i="653"/>
  <c r="I414" i="653"/>
  <c r="G422" i="653"/>
  <c r="D436" i="653"/>
  <c r="D424" i="653"/>
  <c r="F389" i="653"/>
  <c r="F410" i="653" s="1"/>
  <c r="J438" i="653"/>
  <c r="J397" i="653"/>
  <c r="F392" i="653"/>
  <c r="F433" i="653"/>
  <c r="G435" i="653"/>
  <c r="G394" i="653"/>
  <c r="D425" i="653"/>
  <c r="F418" i="653"/>
  <c r="E418" i="653"/>
  <c r="H430" i="653"/>
  <c r="I412" i="653"/>
  <c r="X20" i="145" l="1"/>
  <c r="R107" i="145"/>
  <c r="K109" i="145"/>
  <c r="Q109" i="145" s="1"/>
  <c r="Q107" i="145"/>
  <c r="H216" i="653"/>
  <c r="H311" i="653"/>
  <c r="G311" i="653"/>
  <c r="H409" i="653"/>
  <c r="E311" i="653"/>
  <c r="I311" i="653"/>
  <c r="F110" i="655"/>
  <c r="H110" i="649"/>
  <c r="H145" i="649" s="1"/>
  <c r="F110" i="649"/>
  <c r="F145" i="649" s="1"/>
  <c r="E110" i="649"/>
  <c r="E145" i="649" s="1"/>
  <c r="G110" i="655"/>
  <c r="J129" i="653"/>
  <c r="E409" i="653"/>
  <c r="F216" i="653"/>
  <c r="G216" i="653"/>
  <c r="G110" i="649"/>
  <c r="G145" i="649" s="1"/>
  <c r="I110" i="649"/>
  <c r="I145" i="649" s="1"/>
  <c r="J224" i="653"/>
  <c r="H110" i="655"/>
  <c r="I216" i="653"/>
  <c r="J34" i="653"/>
  <c r="J387" i="658"/>
  <c r="J408" i="658" s="1"/>
  <c r="E110" i="655"/>
  <c r="F311" i="653"/>
  <c r="J352" i="653"/>
  <c r="J315" i="653"/>
  <c r="D342" i="653"/>
  <c r="J342" i="653" s="1"/>
  <c r="J346" i="653"/>
  <c r="D373" i="653"/>
  <c r="J373" i="653" s="1"/>
  <c r="J139" i="653"/>
  <c r="J23" i="649"/>
  <c r="J321" i="653"/>
  <c r="J23" i="655"/>
  <c r="J33" i="655"/>
  <c r="D110" i="655"/>
  <c r="J33" i="649"/>
  <c r="D110" i="649"/>
  <c r="D311" i="653"/>
  <c r="J234" i="653"/>
  <c r="D143" i="649"/>
  <c r="J143" i="649" s="1"/>
  <c r="J114" i="649"/>
  <c r="J121" i="649"/>
  <c r="E216" i="653"/>
  <c r="D216" i="653"/>
  <c r="I110" i="655"/>
  <c r="E107" i="120"/>
  <c r="J385" i="658"/>
  <c r="J406" i="658" s="1"/>
  <c r="J389" i="658"/>
  <c r="J410" i="658" s="1"/>
  <c r="E471" i="743"/>
  <c r="E392" i="743"/>
  <c r="E418" i="743"/>
  <c r="E339" i="743"/>
  <c r="E445" i="743"/>
  <c r="E365" i="743"/>
  <c r="I417" i="653"/>
  <c r="G409" i="653"/>
  <c r="G417" i="653"/>
  <c r="H410" i="653"/>
  <c r="J387" i="653"/>
  <c r="J408" i="653" s="1"/>
  <c r="D406" i="653"/>
  <c r="J122" i="482"/>
  <c r="J23" i="656"/>
  <c r="E417" i="653"/>
  <c r="J392" i="653"/>
  <c r="J413" i="653" s="1"/>
  <c r="D413" i="653"/>
  <c r="H417" i="653"/>
  <c r="J388" i="653"/>
  <c r="F415" i="653"/>
  <c r="E413" i="653"/>
  <c r="J429" i="653"/>
  <c r="J122" i="480"/>
  <c r="G413" i="653"/>
  <c r="E440" i="653"/>
  <c r="I440" i="653"/>
  <c r="D410" i="653"/>
  <c r="H416" i="653"/>
  <c r="J127" i="481"/>
  <c r="J127" i="482"/>
  <c r="G415" i="653"/>
  <c r="J389" i="653"/>
  <c r="J410" i="653" s="1"/>
  <c r="J418" i="653"/>
  <c r="I416" i="653"/>
  <c r="J130" i="481"/>
  <c r="J33" i="481"/>
  <c r="J127" i="480"/>
  <c r="J33" i="482"/>
  <c r="J129" i="480"/>
  <c r="J33" i="480"/>
  <c r="J122" i="481"/>
  <c r="F440" i="653"/>
  <c r="J422" i="653"/>
  <c r="J395" i="653"/>
  <c r="J416" i="653" s="1"/>
  <c r="D440" i="653"/>
  <c r="F413" i="653"/>
  <c r="G440" i="653"/>
  <c r="F417" i="653"/>
  <c r="F416" i="653"/>
  <c r="J435" i="653"/>
  <c r="J394" i="653"/>
  <c r="D416" i="653"/>
  <c r="I413" i="653"/>
  <c r="J385" i="653"/>
  <c r="J406" i="653" s="1"/>
  <c r="H440" i="653"/>
  <c r="J437" i="653"/>
  <c r="J396" i="653"/>
  <c r="D417" i="653"/>
  <c r="D415" i="653"/>
  <c r="J414" i="653"/>
  <c r="H413" i="653"/>
  <c r="D409" i="653"/>
  <c r="J427" i="653"/>
  <c r="H471" i="743" l="1"/>
  <c r="W474" i="825"/>
  <c r="W452" i="825" s="1"/>
  <c r="H365" i="743"/>
  <c r="W503" i="825"/>
  <c r="W484" i="825" s="1"/>
  <c r="H339" i="743"/>
  <c r="W374" i="825"/>
  <c r="W355" i="825" s="1"/>
  <c r="H445" i="743"/>
  <c r="W410" i="825"/>
  <c r="W388" i="825" s="1"/>
  <c r="H418" i="743"/>
  <c r="W439" i="825"/>
  <c r="W420" i="825" s="1"/>
  <c r="H392" i="743"/>
  <c r="W346" i="825"/>
  <c r="W324" i="825" s="1"/>
  <c r="X107" i="145"/>
  <c r="R109" i="145"/>
  <c r="X109" i="145" s="1"/>
  <c r="E441" i="653"/>
  <c r="J216" i="653"/>
  <c r="J311" i="653"/>
  <c r="D145" i="649"/>
  <c r="J110" i="649"/>
  <c r="J145" i="649" s="1"/>
  <c r="J110" i="655"/>
  <c r="I110" i="145"/>
  <c r="G110" i="145"/>
  <c r="E110" i="145"/>
  <c r="F110" i="145"/>
  <c r="H110" i="145"/>
  <c r="J107" i="120"/>
  <c r="E347" i="743"/>
  <c r="H347" i="743" s="1"/>
  <c r="E428" i="743"/>
  <c r="H428" i="743" s="1"/>
  <c r="E322" i="743"/>
  <c r="H322" i="743" s="1"/>
  <c r="E400" i="743"/>
  <c r="H400" i="743" s="1"/>
  <c r="E375" i="743"/>
  <c r="H375" i="743" s="1"/>
  <c r="E453" i="743"/>
  <c r="H453" i="743" s="1"/>
  <c r="G441" i="653"/>
  <c r="F441" i="653"/>
  <c r="I441" i="653"/>
  <c r="J417" i="653"/>
  <c r="J409" i="653"/>
  <c r="J415" i="653"/>
  <c r="H441" i="653"/>
  <c r="J440" i="653"/>
  <c r="D441" i="653"/>
  <c r="D15" i="650"/>
  <c r="D14" i="650"/>
  <c r="E12" i="650"/>
  <c r="D12" i="650"/>
  <c r="E11" i="650"/>
  <c r="D11" i="650"/>
  <c r="E10" i="650"/>
  <c r="D10" i="650"/>
  <c r="E9" i="650"/>
  <c r="D9" i="650"/>
  <c r="E8" i="650"/>
  <c r="D8" i="650"/>
  <c r="E7" i="650"/>
  <c r="D7" i="650"/>
  <c r="D15" i="652"/>
  <c r="D14" i="652"/>
  <c r="D12" i="652"/>
  <c r="D11" i="652"/>
  <c r="D10" i="652"/>
  <c r="D9" i="652"/>
  <c r="D8" i="652"/>
  <c r="D7" i="652"/>
  <c r="G4" i="120"/>
  <c r="H4" i="120"/>
  <c r="I4" i="120"/>
  <c r="G194" i="120"/>
  <c r="H194" i="120"/>
  <c r="I194" i="120"/>
  <c r="H193" i="120"/>
  <c r="I193" i="120"/>
  <c r="G191" i="120"/>
  <c r="H191" i="120"/>
  <c r="I188" i="120"/>
  <c r="U134" i="120"/>
  <c r="V134" i="120"/>
  <c r="W134" i="120"/>
  <c r="U145" i="120"/>
  <c r="V145" i="120"/>
  <c r="W145" i="120"/>
  <c r="I191" i="120"/>
  <c r="G193" i="120"/>
  <c r="G195" i="120"/>
  <c r="F20" i="657"/>
  <c r="F19" i="657"/>
  <c r="J18" i="657"/>
  <c r="F18" i="657"/>
  <c r="J16" i="657"/>
  <c r="I16" i="657"/>
  <c r="H16" i="657"/>
  <c r="G16" i="657"/>
  <c r="F15" i="657"/>
  <c r="F14" i="657"/>
  <c r="F13" i="657"/>
  <c r="J12" i="657"/>
  <c r="F12" i="657"/>
  <c r="J11" i="657"/>
  <c r="I11" i="657"/>
  <c r="H11" i="657"/>
  <c r="G11" i="657"/>
  <c r="J10" i="657"/>
  <c r="F10" i="657"/>
  <c r="J9" i="657"/>
  <c r="I9" i="657"/>
  <c r="H9" i="657"/>
  <c r="G9" i="657"/>
  <c r="J8" i="657"/>
  <c r="F8" i="657"/>
  <c r="J7" i="657"/>
  <c r="I7" i="657"/>
  <c r="H7" i="657"/>
  <c r="G7" i="657"/>
  <c r="I107" i="633"/>
  <c r="H107" i="633"/>
  <c r="G107" i="633"/>
  <c r="F107" i="633"/>
  <c r="E107" i="633"/>
  <c r="I101" i="633"/>
  <c r="H101" i="633"/>
  <c r="G101" i="633"/>
  <c r="F101" i="633"/>
  <c r="E101" i="633"/>
  <c r="D101" i="633"/>
  <c r="I100" i="633"/>
  <c r="H100" i="633"/>
  <c r="G100" i="633"/>
  <c r="F100" i="633"/>
  <c r="E100" i="633"/>
  <c r="D100" i="633"/>
  <c r="I99" i="633"/>
  <c r="H99" i="633"/>
  <c r="G99" i="633"/>
  <c r="F99" i="633"/>
  <c r="E99" i="633"/>
  <c r="D99" i="633"/>
  <c r="I95" i="633"/>
  <c r="H95" i="633"/>
  <c r="G95" i="633"/>
  <c r="F95" i="633"/>
  <c r="E95" i="633"/>
  <c r="D95" i="633"/>
  <c r="I94" i="633"/>
  <c r="H94" i="633"/>
  <c r="G94" i="633"/>
  <c r="F94" i="633"/>
  <c r="E94" i="633"/>
  <c r="D94" i="633"/>
  <c r="I93" i="633"/>
  <c r="H93" i="633"/>
  <c r="G93" i="633"/>
  <c r="F93" i="633"/>
  <c r="E93" i="633"/>
  <c r="D93" i="633"/>
  <c r="I92" i="633"/>
  <c r="H92" i="633"/>
  <c r="G92" i="633"/>
  <c r="F92" i="633"/>
  <c r="E92" i="633"/>
  <c r="D92" i="633"/>
  <c r="I88" i="633"/>
  <c r="H88" i="633"/>
  <c r="G88" i="633"/>
  <c r="F88" i="633"/>
  <c r="E88" i="633"/>
  <c r="D88" i="633"/>
  <c r="I87" i="633"/>
  <c r="H87" i="633"/>
  <c r="G87" i="633"/>
  <c r="F87" i="633"/>
  <c r="E87" i="633"/>
  <c r="D87" i="633"/>
  <c r="I86" i="633"/>
  <c r="H86" i="633"/>
  <c r="G86" i="633"/>
  <c r="F86" i="633"/>
  <c r="E86" i="633"/>
  <c r="D86" i="633"/>
  <c r="I84" i="633"/>
  <c r="H84" i="633"/>
  <c r="G84" i="633"/>
  <c r="F84" i="633"/>
  <c r="E84" i="633"/>
  <c r="D84" i="633"/>
  <c r="I83" i="633"/>
  <c r="H83" i="633"/>
  <c r="G83" i="633"/>
  <c r="F83" i="633"/>
  <c r="E83" i="633"/>
  <c r="D83" i="633"/>
  <c r="I82" i="633"/>
  <c r="H82" i="633"/>
  <c r="G82" i="633"/>
  <c r="F82" i="633"/>
  <c r="E82" i="633"/>
  <c r="D82" i="633"/>
  <c r="I81" i="633"/>
  <c r="H81" i="633"/>
  <c r="G81" i="633"/>
  <c r="F81" i="633"/>
  <c r="E81" i="633"/>
  <c r="D81" i="633"/>
  <c r="I80" i="633"/>
  <c r="H80" i="633"/>
  <c r="G80" i="633"/>
  <c r="F80" i="633"/>
  <c r="E80" i="633"/>
  <c r="D80" i="633"/>
  <c r="I79" i="633"/>
  <c r="H79" i="633"/>
  <c r="G79" i="633"/>
  <c r="F79" i="633"/>
  <c r="E79" i="633"/>
  <c r="D79" i="633"/>
  <c r="I78" i="633"/>
  <c r="H78" i="633"/>
  <c r="G78" i="633"/>
  <c r="F78" i="633"/>
  <c r="E78" i="633"/>
  <c r="D78" i="633"/>
  <c r="I77" i="633"/>
  <c r="H77" i="633"/>
  <c r="G77" i="633"/>
  <c r="F77" i="633"/>
  <c r="E77" i="633"/>
  <c r="D77" i="633"/>
  <c r="I76" i="633"/>
  <c r="H76" i="633"/>
  <c r="G76" i="633"/>
  <c r="F76" i="633"/>
  <c r="E76" i="633"/>
  <c r="D76" i="633"/>
  <c r="I75" i="633"/>
  <c r="H75" i="633"/>
  <c r="G75" i="633"/>
  <c r="F75" i="633"/>
  <c r="E75" i="633"/>
  <c r="D75" i="633"/>
  <c r="I74" i="633"/>
  <c r="H74" i="633"/>
  <c r="G74" i="633"/>
  <c r="F74" i="633"/>
  <c r="E74" i="633"/>
  <c r="D74" i="633"/>
  <c r="I73" i="633"/>
  <c r="H73" i="633"/>
  <c r="G73" i="633"/>
  <c r="F73" i="633"/>
  <c r="E73" i="633"/>
  <c r="D73" i="633"/>
  <c r="I72" i="633"/>
  <c r="H72" i="633"/>
  <c r="G72" i="633"/>
  <c r="F72" i="633"/>
  <c r="E72" i="633"/>
  <c r="D72" i="633"/>
  <c r="I71" i="633"/>
  <c r="H71" i="633"/>
  <c r="G71" i="633"/>
  <c r="F71" i="633"/>
  <c r="E71" i="633"/>
  <c r="D71" i="633"/>
  <c r="I70" i="633"/>
  <c r="H70" i="633"/>
  <c r="G70" i="633"/>
  <c r="F70" i="633"/>
  <c r="E70" i="633"/>
  <c r="D70" i="633"/>
  <c r="I69" i="633"/>
  <c r="H69" i="633"/>
  <c r="G69" i="633"/>
  <c r="F69" i="633"/>
  <c r="E69" i="633"/>
  <c r="D69" i="633"/>
  <c r="I68" i="633"/>
  <c r="H68" i="633"/>
  <c r="G68" i="633"/>
  <c r="F68" i="633"/>
  <c r="E68" i="633"/>
  <c r="D68" i="633"/>
  <c r="I67" i="633"/>
  <c r="H67" i="633"/>
  <c r="G67" i="633"/>
  <c r="F67" i="633"/>
  <c r="E67" i="633"/>
  <c r="D67" i="633"/>
  <c r="I66" i="633"/>
  <c r="H66" i="633"/>
  <c r="G66" i="633"/>
  <c r="F66" i="633"/>
  <c r="E66" i="633"/>
  <c r="D66" i="633"/>
  <c r="I65" i="633"/>
  <c r="H65" i="633"/>
  <c r="G65" i="633"/>
  <c r="F65" i="633"/>
  <c r="E65" i="633"/>
  <c r="D65" i="633"/>
  <c r="I50" i="633"/>
  <c r="H50" i="633"/>
  <c r="G50" i="633"/>
  <c r="F50" i="633"/>
  <c r="E50" i="633"/>
  <c r="D50" i="633"/>
  <c r="I45" i="633"/>
  <c r="H45" i="633"/>
  <c r="G45" i="633"/>
  <c r="F45" i="633"/>
  <c r="E45" i="633"/>
  <c r="D45" i="633"/>
  <c r="I44" i="633"/>
  <c r="H44" i="633"/>
  <c r="G44" i="633"/>
  <c r="F44" i="633"/>
  <c r="E44" i="633"/>
  <c r="D44" i="633"/>
  <c r="I40" i="633"/>
  <c r="H40" i="633"/>
  <c r="G40" i="633"/>
  <c r="F40" i="633"/>
  <c r="E40" i="633"/>
  <c r="D40" i="633"/>
  <c r="I39" i="633"/>
  <c r="H39" i="633"/>
  <c r="G39" i="633"/>
  <c r="F39" i="633"/>
  <c r="E39" i="633"/>
  <c r="D39" i="633"/>
  <c r="I37" i="633"/>
  <c r="H37" i="633"/>
  <c r="G37" i="633"/>
  <c r="F37" i="633"/>
  <c r="E37" i="633"/>
  <c r="D37" i="633"/>
  <c r="I35" i="633"/>
  <c r="H35" i="633"/>
  <c r="G35" i="633"/>
  <c r="F35" i="633"/>
  <c r="E35" i="633"/>
  <c r="D35" i="633"/>
  <c r="I34" i="633"/>
  <c r="H34" i="633"/>
  <c r="G34" i="633"/>
  <c r="F34" i="633"/>
  <c r="E34" i="633"/>
  <c r="D34" i="633"/>
  <c r="I33" i="633"/>
  <c r="H33" i="633"/>
  <c r="G33" i="633"/>
  <c r="F33" i="633"/>
  <c r="E33" i="633"/>
  <c r="D33" i="633"/>
  <c r="I32" i="633"/>
  <c r="H32" i="633"/>
  <c r="G32" i="633"/>
  <c r="F32" i="633"/>
  <c r="E32" i="633"/>
  <c r="D32" i="633"/>
  <c r="I31" i="633"/>
  <c r="H31" i="633"/>
  <c r="G31" i="633"/>
  <c r="F31" i="633"/>
  <c r="E31" i="633"/>
  <c r="D31" i="633"/>
  <c r="I30" i="633"/>
  <c r="H30" i="633"/>
  <c r="G30" i="633"/>
  <c r="F30" i="633"/>
  <c r="E30" i="633"/>
  <c r="D30" i="633"/>
  <c r="I29" i="633"/>
  <c r="H29" i="633"/>
  <c r="G29" i="633"/>
  <c r="F29" i="633"/>
  <c r="E29" i="633"/>
  <c r="D29" i="633"/>
  <c r="I28" i="633"/>
  <c r="H28" i="633"/>
  <c r="G28" i="633"/>
  <c r="F28" i="633"/>
  <c r="E28" i="633"/>
  <c r="D28" i="633"/>
  <c r="I27" i="633"/>
  <c r="H27" i="633"/>
  <c r="G27" i="633"/>
  <c r="F27" i="633"/>
  <c r="E27" i="633"/>
  <c r="D27" i="633"/>
  <c r="I21" i="633"/>
  <c r="H21" i="633"/>
  <c r="G21" i="633"/>
  <c r="F21" i="633"/>
  <c r="E21" i="633"/>
  <c r="D21" i="633"/>
  <c r="I20" i="633"/>
  <c r="H20" i="633"/>
  <c r="G20" i="633"/>
  <c r="F20" i="633"/>
  <c r="E20" i="633"/>
  <c r="D20" i="633"/>
  <c r="I18" i="633"/>
  <c r="H18" i="633"/>
  <c r="G18" i="633"/>
  <c r="F18" i="633"/>
  <c r="E18" i="633"/>
  <c r="D18" i="633"/>
  <c r="I17" i="633"/>
  <c r="H17" i="633"/>
  <c r="G17" i="633"/>
  <c r="F17" i="633"/>
  <c r="E17" i="633"/>
  <c r="D17" i="633"/>
  <c r="I16" i="633"/>
  <c r="H16" i="633"/>
  <c r="G16" i="633"/>
  <c r="F16" i="633"/>
  <c r="E16" i="633"/>
  <c r="D16" i="633"/>
  <c r="I15" i="633"/>
  <c r="H15" i="633"/>
  <c r="G15" i="633"/>
  <c r="F15" i="633"/>
  <c r="E15" i="633"/>
  <c r="D15" i="633"/>
  <c r="I14" i="633"/>
  <c r="H14" i="633"/>
  <c r="G14" i="633"/>
  <c r="F14" i="633"/>
  <c r="E14" i="633"/>
  <c r="D14" i="633"/>
  <c r="I10" i="633"/>
  <c r="H10" i="633"/>
  <c r="G10" i="633"/>
  <c r="F10" i="633"/>
  <c r="E10" i="633"/>
  <c r="D10" i="633"/>
  <c r="I9" i="633"/>
  <c r="H9" i="633"/>
  <c r="G9" i="633"/>
  <c r="F9" i="633"/>
  <c r="E9" i="633"/>
  <c r="D9" i="633"/>
  <c r="I7" i="633"/>
  <c r="H7" i="633"/>
  <c r="G7" i="633"/>
  <c r="F7" i="633"/>
  <c r="E7" i="633"/>
  <c r="D7" i="633"/>
  <c r="I6" i="633"/>
  <c r="H6" i="633"/>
  <c r="G6" i="633"/>
  <c r="F6" i="633"/>
  <c r="E6" i="633"/>
  <c r="D6" i="633"/>
  <c r="I5" i="633"/>
  <c r="H5" i="633"/>
  <c r="G5" i="633"/>
  <c r="F5" i="633"/>
  <c r="E5" i="633"/>
  <c r="D5" i="633"/>
  <c r="I4" i="633"/>
  <c r="J4" i="633" s="1"/>
  <c r="H4" i="633"/>
  <c r="G4" i="633"/>
  <c r="F4" i="633"/>
  <c r="E4" i="633"/>
  <c r="D4" i="633"/>
  <c r="E44" i="39" l="1"/>
  <c r="I29" i="654"/>
  <c r="H29" i="654"/>
  <c r="G29" i="654"/>
  <c r="D94" i="644"/>
  <c r="D128" i="644"/>
  <c r="D121" i="644"/>
  <c r="D101" i="644"/>
  <c r="D108" i="644"/>
  <c r="D115" i="644"/>
  <c r="J146" i="649"/>
  <c r="H326" i="657"/>
  <c r="F326" i="657"/>
  <c r="G326" i="657"/>
  <c r="E326" i="657"/>
  <c r="D326" i="657"/>
  <c r="G29" i="657"/>
  <c r="H29" i="657"/>
  <c r="I29" i="657"/>
  <c r="I31" i="657"/>
  <c r="H31" i="657"/>
  <c r="G31" i="657"/>
  <c r="D31" i="657"/>
  <c r="F31" i="657"/>
  <c r="E31" i="657"/>
  <c r="F126" i="657"/>
  <c r="E126" i="657"/>
  <c r="I126" i="657"/>
  <c r="H126" i="657"/>
  <c r="G126" i="657"/>
  <c r="D126" i="657"/>
  <c r="F142" i="657"/>
  <c r="E142" i="657"/>
  <c r="I143" i="657"/>
  <c r="I141" i="657"/>
  <c r="H143" i="657"/>
  <c r="H141" i="657"/>
  <c r="G143" i="657"/>
  <c r="G141" i="657"/>
  <c r="I142" i="657"/>
  <c r="H142" i="657"/>
  <c r="D143" i="657"/>
  <c r="G142" i="657"/>
  <c r="D142" i="657"/>
  <c r="F141" i="657"/>
  <c r="E141" i="657"/>
  <c r="D141" i="657"/>
  <c r="E143" i="657"/>
  <c r="F143" i="657"/>
  <c r="D287" i="657"/>
  <c r="D285" i="657"/>
  <c r="D283" i="657"/>
  <c r="E280" i="657"/>
  <c r="E278" i="657"/>
  <c r="E276" i="657"/>
  <c r="F273" i="657"/>
  <c r="F271" i="657"/>
  <c r="I288" i="657"/>
  <c r="I286" i="657"/>
  <c r="I284" i="657"/>
  <c r="D280" i="657"/>
  <c r="D278" i="657"/>
  <c r="D276" i="657"/>
  <c r="E273" i="657"/>
  <c r="E271" i="657"/>
  <c r="G288" i="657"/>
  <c r="G286" i="657"/>
  <c r="G284" i="657"/>
  <c r="H281" i="657"/>
  <c r="H279" i="657"/>
  <c r="H277" i="657"/>
  <c r="I274" i="657"/>
  <c r="I272" i="657"/>
  <c r="I270" i="657"/>
  <c r="F288" i="657"/>
  <c r="F286" i="657"/>
  <c r="F284" i="657"/>
  <c r="G281" i="657"/>
  <c r="G279" i="657"/>
  <c r="G277" i="657"/>
  <c r="H274" i="657"/>
  <c r="H272" i="657"/>
  <c r="H270" i="657"/>
  <c r="E288" i="657"/>
  <c r="E286" i="657"/>
  <c r="E284" i="657"/>
  <c r="F281" i="657"/>
  <c r="F279" i="657"/>
  <c r="F277" i="657"/>
  <c r="G274" i="657"/>
  <c r="G272" i="657"/>
  <c r="G270" i="657"/>
  <c r="D288" i="657"/>
  <c r="D286" i="657"/>
  <c r="D284" i="657"/>
  <c r="E281" i="657"/>
  <c r="E279" i="657"/>
  <c r="E277" i="657"/>
  <c r="F274" i="657"/>
  <c r="F272" i="657"/>
  <c r="F270" i="657"/>
  <c r="I287" i="657"/>
  <c r="I285" i="657"/>
  <c r="I283" i="657"/>
  <c r="D281" i="657"/>
  <c r="D279" i="657"/>
  <c r="D277" i="657"/>
  <c r="E274" i="657"/>
  <c r="E272" i="657"/>
  <c r="E270" i="657"/>
  <c r="G287" i="657"/>
  <c r="G285" i="657"/>
  <c r="G283" i="657"/>
  <c r="H280" i="657"/>
  <c r="H278" i="657"/>
  <c r="H276" i="657"/>
  <c r="I273" i="657"/>
  <c r="I271" i="657"/>
  <c r="H283" i="657"/>
  <c r="I276" i="657"/>
  <c r="D270" i="657"/>
  <c r="F283" i="657"/>
  <c r="G276" i="657"/>
  <c r="H288" i="657"/>
  <c r="I281" i="657"/>
  <c r="H287" i="657"/>
  <c r="I280" i="657"/>
  <c r="D274" i="657"/>
  <c r="F287" i="657"/>
  <c r="G280" i="657"/>
  <c r="H273" i="657"/>
  <c r="E287" i="657"/>
  <c r="F280" i="657"/>
  <c r="G273" i="657"/>
  <c r="F285" i="657"/>
  <c r="G278" i="657"/>
  <c r="H271" i="657"/>
  <c r="E285" i="657"/>
  <c r="F278" i="657"/>
  <c r="G271" i="657"/>
  <c r="H285" i="657"/>
  <c r="H284" i="657"/>
  <c r="E283" i="657"/>
  <c r="I279" i="657"/>
  <c r="I278" i="657"/>
  <c r="I277" i="657"/>
  <c r="F276" i="657"/>
  <c r="D273" i="657"/>
  <c r="D272" i="657"/>
  <c r="H286" i="657"/>
  <c r="D271" i="657"/>
  <c r="F26" i="650"/>
  <c r="E26" i="650"/>
  <c r="D26" i="650"/>
  <c r="I25" i="650"/>
  <c r="H25" i="650"/>
  <c r="G25" i="650"/>
  <c r="F25" i="650"/>
  <c r="E25" i="650"/>
  <c r="D25" i="650"/>
  <c r="I26" i="650"/>
  <c r="G26" i="650"/>
  <c r="H26" i="650"/>
  <c r="I235" i="657"/>
  <c r="I428" i="657" s="1"/>
  <c r="H235" i="657"/>
  <c r="H428" i="657" s="1"/>
  <c r="G235" i="657"/>
  <c r="E235" i="657"/>
  <c r="F235" i="657"/>
  <c r="D235" i="657"/>
  <c r="F31" i="650"/>
  <c r="F29" i="650"/>
  <c r="E31" i="650"/>
  <c r="E29" i="650"/>
  <c r="D31" i="650"/>
  <c r="D29" i="650"/>
  <c r="I30" i="650"/>
  <c r="I28" i="650"/>
  <c r="H30" i="650"/>
  <c r="H28" i="650"/>
  <c r="G30" i="650"/>
  <c r="G28" i="650"/>
  <c r="F30" i="650"/>
  <c r="F28" i="650"/>
  <c r="E30" i="650"/>
  <c r="E28" i="650"/>
  <c r="D30" i="650"/>
  <c r="D28" i="650"/>
  <c r="I31" i="650"/>
  <c r="I29" i="650"/>
  <c r="G31" i="650"/>
  <c r="G29" i="650"/>
  <c r="H29" i="650"/>
  <c r="H31" i="650"/>
  <c r="F221" i="657"/>
  <c r="E221" i="657"/>
  <c r="I221" i="657"/>
  <c r="I432" i="657" s="1"/>
  <c r="H221" i="657"/>
  <c r="H432" i="657" s="1"/>
  <c r="G221" i="657"/>
  <c r="D221" i="657"/>
  <c r="G260" i="657"/>
  <c r="G258" i="657"/>
  <c r="H255" i="657"/>
  <c r="H253" i="657"/>
  <c r="D249" i="657"/>
  <c r="D247" i="657"/>
  <c r="G244" i="657"/>
  <c r="G242" i="657"/>
  <c r="G240" i="657"/>
  <c r="F260" i="657"/>
  <c r="F258" i="657"/>
  <c r="G255" i="657"/>
  <c r="G253" i="657"/>
  <c r="I250" i="657"/>
  <c r="I248" i="657"/>
  <c r="F244" i="657"/>
  <c r="F242" i="657"/>
  <c r="F240" i="657"/>
  <c r="D260" i="657"/>
  <c r="D258" i="657"/>
  <c r="E255" i="657"/>
  <c r="E253" i="657"/>
  <c r="G250" i="657"/>
  <c r="G248" i="657"/>
  <c r="I245" i="657"/>
  <c r="D244" i="657"/>
  <c r="D242" i="657"/>
  <c r="D240" i="657"/>
  <c r="I259" i="657"/>
  <c r="I257" i="657"/>
  <c r="D255" i="657"/>
  <c r="D253" i="657"/>
  <c r="F250" i="657"/>
  <c r="F248" i="657"/>
  <c r="H245" i="657"/>
  <c r="I243" i="657"/>
  <c r="I241" i="657"/>
  <c r="H259" i="657"/>
  <c r="H257" i="657"/>
  <c r="I254" i="657"/>
  <c r="I252" i="657"/>
  <c r="E250" i="657"/>
  <c r="E248" i="657"/>
  <c r="G245" i="657"/>
  <c r="H243" i="657"/>
  <c r="H241" i="657"/>
  <c r="G259" i="657"/>
  <c r="G257" i="657"/>
  <c r="H254" i="657"/>
  <c r="H252" i="657"/>
  <c r="D250" i="657"/>
  <c r="D248" i="657"/>
  <c r="F245" i="657"/>
  <c r="G243" i="657"/>
  <c r="G241" i="657"/>
  <c r="F259" i="657"/>
  <c r="F257" i="657"/>
  <c r="G254" i="657"/>
  <c r="G252" i="657"/>
  <c r="I249" i="657"/>
  <c r="I247" i="657"/>
  <c r="E245" i="657"/>
  <c r="F243" i="657"/>
  <c r="F241" i="657"/>
  <c r="D259" i="657"/>
  <c r="D257" i="657"/>
  <c r="E254" i="657"/>
  <c r="E252" i="657"/>
  <c r="G249" i="657"/>
  <c r="G247" i="657"/>
  <c r="D243" i="657"/>
  <c r="D241" i="657"/>
  <c r="F254" i="657"/>
  <c r="H247" i="657"/>
  <c r="E241" i="657"/>
  <c r="I260" i="657"/>
  <c r="D254" i="657"/>
  <c r="F247" i="657"/>
  <c r="I240" i="657"/>
  <c r="E260" i="657"/>
  <c r="F253" i="657"/>
  <c r="E240" i="657"/>
  <c r="E259" i="657"/>
  <c r="F252" i="657"/>
  <c r="D245" i="657"/>
  <c r="I258" i="657"/>
  <c r="D252" i="657"/>
  <c r="I244" i="657"/>
  <c r="H258" i="657"/>
  <c r="H244" i="657"/>
  <c r="F249" i="657"/>
  <c r="I242" i="657"/>
  <c r="I255" i="657"/>
  <c r="E249" i="657"/>
  <c r="H242" i="657"/>
  <c r="E243" i="657"/>
  <c r="E242" i="657"/>
  <c r="H260" i="657"/>
  <c r="H240" i="657"/>
  <c r="E258" i="657"/>
  <c r="E257" i="657"/>
  <c r="F255" i="657"/>
  <c r="I253" i="657"/>
  <c r="H250" i="657"/>
  <c r="H249" i="657"/>
  <c r="E244" i="657"/>
  <c r="H248" i="657"/>
  <c r="E247" i="657"/>
  <c r="I222" i="657"/>
  <c r="I431" i="657" s="1"/>
  <c r="H222" i="657"/>
  <c r="H431" i="657" s="1"/>
  <c r="G222" i="657"/>
  <c r="F222" i="657"/>
  <c r="E222" i="657"/>
  <c r="D222" i="657"/>
  <c r="F37" i="657"/>
  <c r="E37" i="657"/>
  <c r="D37" i="657"/>
  <c r="I36" i="657"/>
  <c r="H36" i="657"/>
  <c r="G36" i="657"/>
  <c r="F36" i="657"/>
  <c r="E36" i="657"/>
  <c r="D36" i="657"/>
  <c r="G37" i="657"/>
  <c r="H37" i="657"/>
  <c r="I37" i="657"/>
  <c r="F36" i="650"/>
  <c r="E36" i="650"/>
  <c r="D36" i="650"/>
  <c r="I37" i="650"/>
  <c r="I35" i="650"/>
  <c r="H37" i="650"/>
  <c r="H35" i="650"/>
  <c r="G37" i="650"/>
  <c r="G35" i="650"/>
  <c r="F37" i="650"/>
  <c r="F35" i="650"/>
  <c r="E37" i="650"/>
  <c r="E35" i="650"/>
  <c r="D37" i="650"/>
  <c r="D35" i="650"/>
  <c r="I36" i="650"/>
  <c r="G36" i="650"/>
  <c r="H36" i="650"/>
  <c r="H85" i="652"/>
  <c r="F83" i="652"/>
  <c r="I79" i="652"/>
  <c r="G77" i="652"/>
  <c r="E75" i="652"/>
  <c r="H71" i="652"/>
  <c r="F69" i="652"/>
  <c r="D73" i="652"/>
  <c r="I87" i="652"/>
  <c r="G85" i="652"/>
  <c r="E83" i="652"/>
  <c r="H79" i="652"/>
  <c r="F77" i="652"/>
  <c r="I73" i="652"/>
  <c r="G71" i="652"/>
  <c r="E69" i="652"/>
  <c r="D72" i="652"/>
  <c r="H87" i="652"/>
  <c r="F85" i="652"/>
  <c r="I82" i="652"/>
  <c r="G79" i="652"/>
  <c r="E77" i="652"/>
  <c r="H73" i="652"/>
  <c r="F71" i="652"/>
  <c r="D71" i="652"/>
  <c r="G87" i="652"/>
  <c r="E85" i="652"/>
  <c r="H82" i="652"/>
  <c r="F79" i="652"/>
  <c r="I76" i="652"/>
  <c r="G73" i="652"/>
  <c r="E71" i="652"/>
  <c r="D87" i="652"/>
  <c r="D70" i="652"/>
  <c r="F87" i="652"/>
  <c r="I84" i="652"/>
  <c r="G82" i="652"/>
  <c r="E79" i="652"/>
  <c r="H76" i="652"/>
  <c r="F73" i="652"/>
  <c r="I70" i="652"/>
  <c r="D86" i="652"/>
  <c r="D84" i="652"/>
  <c r="E87" i="652"/>
  <c r="H84" i="652"/>
  <c r="F82" i="652"/>
  <c r="I78" i="652"/>
  <c r="G76" i="652"/>
  <c r="E73" i="652"/>
  <c r="H70" i="652"/>
  <c r="D85" i="652"/>
  <c r="D82" i="652"/>
  <c r="I86" i="652"/>
  <c r="G84" i="652"/>
  <c r="E82" i="652"/>
  <c r="H78" i="652"/>
  <c r="F76" i="652"/>
  <c r="I72" i="652"/>
  <c r="G70" i="652"/>
  <c r="D83" i="652"/>
  <c r="D77" i="652"/>
  <c r="H86" i="652"/>
  <c r="F84" i="652"/>
  <c r="I80" i="652"/>
  <c r="G78" i="652"/>
  <c r="E76" i="652"/>
  <c r="H72" i="652"/>
  <c r="F70" i="652"/>
  <c r="D80" i="652"/>
  <c r="D69" i="652"/>
  <c r="G86" i="652"/>
  <c r="E84" i="652"/>
  <c r="H80" i="652"/>
  <c r="F78" i="652"/>
  <c r="I75" i="652"/>
  <c r="G72" i="652"/>
  <c r="E70" i="652"/>
  <c r="D79" i="652"/>
  <c r="F86" i="652"/>
  <c r="I83" i="652"/>
  <c r="G80" i="652"/>
  <c r="E78" i="652"/>
  <c r="H75" i="652"/>
  <c r="F72" i="652"/>
  <c r="I69" i="652"/>
  <c r="D78" i="652"/>
  <c r="I85" i="652"/>
  <c r="G83" i="652"/>
  <c r="E80" i="652"/>
  <c r="H77" i="652"/>
  <c r="F75" i="652"/>
  <c r="I71" i="652"/>
  <c r="G69" i="652"/>
  <c r="D75" i="652"/>
  <c r="E86" i="652"/>
  <c r="H83" i="652"/>
  <c r="F80" i="652"/>
  <c r="I77" i="652"/>
  <c r="G75" i="652"/>
  <c r="E72" i="652"/>
  <c r="H69" i="652"/>
  <c r="D76" i="652"/>
  <c r="F58" i="650"/>
  <c r="F56" i="650"/>
  <c r="F53" i="650"/>
  <c r="F51" i="650"/>
  <c r="F48" i="650"/>
  <c r="F46" i="650"/>
  <c r="F43" i="650"/>
  <c r="F41" i="650"/>
  <c r="F39" i="650"/>
  <c r="E58" i="650"/>
  <c r="E56" i="650"/>
  <c r="E53" i="650"/>
  <c r="E51" i="650"/>
  <c r="E48" i="650"/>
  <c r="E46" i="650"/>
  <c r="E43" i="650"/>
  <c r="E41" i="650"/>
  <c r="E39" i="650"/>
  <c r="D58" i="650"/>
  <c r="D56" i="650"/>
  <c r="D53" i="650"/>
  <c r="D51" i="650"/>
  <c r="D48" i="650"/>
  <c r="D46" i="650"/>
  <c r="D43" i="650"/>
  <c r="D41" i="650"/>
  <c r="D39" i="650"/>
  <c r="I59" i="650"/>
  <c r="I57" i="650"/>
  <c r="I54" i="650"/>
  <c r="I52" i="650"/>
  <c r="I49" i="650"/>
  <c r="I47" i="650"/>
  <c r="I44" i="650"/>
  <c r="I42" i="650"/>
  <c r="I40" i="650"/>
  <c r="H59" i="650"/>
  <c r="H57" i="650"/>
  <c r="H54" i="650"/>
  <c r="H52" i="650"/>
  <c r="H49" i="650"/>
  <c r="H47" i="650"/>
  <c r="H44" i="650"/>
  <c r="H42" i="650"/>
  <c r="H40" i="650"/>
  <c r="G59" i="650"/>
  <c r="G57" i="650"/>
  <c r="G54" i="650"/>
  <c r="G52" i="650"/>
  <c r="G49" i="650"/>
  <c r="G47" i="650"/>
  <c r="G44" i="650"/>
  <c r="G42" i="650"/>
  <c r="G40" i="650"/>
  <c r="F59" i="650"/>
  <c r="F57" i="650"/>
  <c r="F54" i="650"/>
  <c r="F52" i="650"/>
  <c r="F49" i="650"/>
  <c r="F47" i="650"/>
  <c r="F44" i="650"/>
  <c r="F42" i="650"/>
  <c r="F40" i="650"/>
  <c r="E59" i="650"/>
  <c r="E57" i="650"/>
  <c r="E54" i="650"/>
  <c r="E52" i="650"/>
  <c r="E49" i="650"/>
  <c r="E47" i="650"/>
  <c r="E44" i="650"/>
  <c r="E42" i="650"/>
  <c r="E40" i="650"/>
  <c r="D59" i="650"/>
  <c r="D57" i="650"/>
  <c r="D54" i="650"/>
  <c r="D52" i="650"/>
  <c r="D49" i="650"/>
  <c r="D47" i="650"/>
  <c r="D44" i="650"/>
  <c r="D42" i="650"/>
  <c r="D40" i="650"/>
  <c r="I58" i="650"/>
  <c r="I56" i="650"/>
  <c r="I53" i="650"/>
  <c r="I51" i="650"/>
  <c r="I48" i="650"/>
  <c r="I46" i="650"/>
  <c r="I43" i="650"/>
  <c r="I41" i="650"/>
  <c r="I39" i="650"/>
  <c r="G58" i="650"/>
  <c r="G56" i="650"/>
  <c r="G53" i="650"/>
  <c r="G51" i="650"/>
  <c r="G48" i="650"/>
  <c r="G46" i="650"/>
  <c r="G43" i="650"/>
  <c r="G41" i="650"/>
  <c r="G39" i="650"/>
  <c r="H58" i="650"/>
  <c r="H56" i="650"/>
  <c r="H53" i="650"/>
  <c r="H51" i="650"/>
  <c r="H48" i="650"/>
  <c r="H46" i="650"/>
  <c r="H43" i="650"/>
  <c r="H41" i="650"/>
  <c r="H39" i="650"/>
  <c r="I227" i="657"/>
  <c r="H227" i="657"/>
  <c r="F227" i="657"/>
  <c r="E227" i="657"/>
  <c r="D227" i="657"/>
  <c r="I226" i="657"/>
  <c r="H226" i="657"/>
  <c r="F226" i="657"/>
  <c r="G227" i="657"/>
  <c r="G226" i="657"/>
  <c r="E226" i="657"/>
  <c r="D226" i="657"/>
  <c r="I78" i="657"/>
  <c r="I76" i="657"/>
  <c r="I74" i="657"/>
  <c r="D73" i="657"/>
  <c r="H78" i="657"/>
  <c r="H76" i="657"/>
  <c r="H74" i="657"/>
  <c r="F78" i="657"/>
  <c r="F76" i="657"/>
  <c r="F74" i="657"/>
  <c r="E78" i="657"/>
  <c r="E76" i="657"/>
  <c r="E74" i="657"/>
  <c r="D78" i="657"/>
  <c r="D76" i="657"/>
  <c r="D74" i="657"/>
  <c r="F77" i="657"/>
  <c r="F75" i="657"/>
  <c r="G73" i="657"/>
  <c r="E77" i="657"/>
  <c r="E75" i="657"/>
  <c r="F73" i="657"/>
  <c r="I77" i="657"/>
  <c r="H73" i="657"/>
  <c r="H77" i="657"/>
  <c r="E73" i="657"/>
  <c r="G77" i="657"/>
  <c r="D77" i="657"/>
  <c r="G76" i="657"/>
  <c r="I75" i="657"/>
  <c r="H75" i="657"/>
  <c r="G75" i="657"/>
  <c r="D75" i="657"/>
  <c r="G78" i="657"/>
  <c r="I73" i="657"/>
  <c r="G74" i="657"/>
  <c r="F86" i="650"/>
  <c r="F84" i="650"/>
  <c r="F82" i="650"/>
  <c r="F79" i="650"/>
  <c r="F77" i="650"/>
  <c r="F75" i="650"/>
  <c r="F72" i="650"/>
  <c r="F70" i="650"/>
  <c r="E86" i="650"/>
  <c r="E84" i="650"/>
  <c r="E82" i="650"/>
  <c r="E79" i="650"/>
  <c r="E77" i="650"/>
  <c r="E75" i="650"/>
  <c r="E72" i="650"/>
  <c r="E70" i="650"/>
  <c r="D86" i="650"/>
  <c r="D84" i="650"/>
  <c r="D82" i="650"/>
  <c r="D79" i="650"/>
  <c r="D77" i="650"/>
  <c r="D75" i="650"/>
  <c r="D72" i="650"/>
  <c r="D70" i="650"/>
  <c r="I87" i="650"/>
  <c r="I85" i="650"/>
  <c r="I83" i="650"/>
  <c r="I80" i="650"/>
  <c r="I78" i="650"/>
  <c r="I76" i="650"/>
  <c r="I73" i="650"/>
  <c r="I71" i="650"/>
  <c r="I69" i="650"/>
  <c r="H87" i="650"/>
  <c r="H85" i="650"/>
  <c r="H83" i="650"/>
  <c r="H80" i="650"/>
  <c r="H78" i="650"/>
  <c r="H76" i="650"/>
  <c r="H73" i="650"/>
  <c r="H71" i="650"/>
  <c r="H69" i="650"/>
  <c r="G87" i="650"/>
  <c r="G85" i="650"/>
  <c r="G83" i="650"/>
  <c r="G80" i="650"/>
  <c r="G78" i="650"/>
  <c r="G76" i="650"/>
  <c r="G73" i="650"/>
  <c r="G71" i="650"/>
  <c r="G69" i="650"/>
  <c r="F87" i="650"/>
  <c r="F85" i="650"/>
  <c r="F83" i="650"/>
  <c r="F80" i="650"/>
  <c r="F78" i="650"/>
  <c r="F76" i="650"/>
  <c r="F73" i="650"/>
  <c r="F71" i="650"/>
  <c r="F69" i="650"/>
  <c r="E87" i="650"/>
  <c r="E85" i="650"/>
  <c r="E83" i="650"/>
  <c r="E80" i="650"/>
  <c r="E78" i="650"/>
  <c r="E76" i="650"/>
  <c r="E73" i="650"/>
  <c r="E71" i="650"/>
  <c r="E69" i="650"/>
  <c r="D87" i="650"/>
  <c r="D85" i="650"/>
  <c r="D83" i="650"/>
  <c r="D80" i="650"/>
  <c r="D78" i="650"/>
  <c r="D76" i="650"/>
  <c r="D73" i="650"/>
  <c r="D71" i="650"/>
  <c r="D69" i="650"/>
  <c r="I86" i="650"/>
  <c r="I84" i="650"/>
  <c r="I82" i="650"/>
  <c r="I79" i="650"/>
  <c r="I77" i="650"/>
  <c r="I75" i="650"/>
  <c r="I72" i="650"/>
  <c r="I70" i="650"/>
  <c r="G86" i="650"/>
  <c r="G84" i="650"/>
  <c r="G82" i="650"/>
  <c r="G79" i="650"/>
  <c r="G77" i="650"/>
  <c r="G75" i="650"/>
  <c r="G72" i="650"/>
  <c r="G70" i="650"/>
  <c r="H86" i="650"/>
  <c r="H84" i="650"/>
  <c r="H82" i="650"/>
  <c r="H79" i="650"/>
  <c r="H77" i="650"/>
  <c r="H75" i="650"/>
  <c r="H72" i="650"/>
  <c r="H70" i="650"/>
  <c r="D131" i="657"/>
  <c r="I132" i="657"/>
  <c r="G132" i="657"/>
  <c r="F132" i="657"/>
  <c r="E132" i="657"/>
  <c r="G131" i="657"/>
  <c r="F131" i="657"/>
  <c r="H132" i="657"/>
  <c r="D132" i="657"/>
  <c r="I131" i="657"/>
  <c r="H131" i="657"/>
  <c r="E131" i="657"/>
  <c r="E172" i="657"/>
  <c r="E170" i="657"/>
  <c r="E168" i="657"/>
  <c r="D172" i="657"/>
  <c r="D170" i="657"/>
  <c r="D168" i="657"/>
  <c r="H173" i="657"/>
  <c r="H171" i="657"/>
  <c r="H169" i="657"/>
  <c r="G173" i="657"/>
  <c r="G171" i="657"/>
  <c r="G169" i="657"/>
  <c r="E173" i="657"/>
  <c r="E171" i="657"/>
  <c r="E169" i="657"/>
  <c r="D173" i="657"/>
  <c r="D171" i="657"/>
  <c r="D169" i="657"/>
  <c r="H172" i="657"/>
  <c r="H170" i="657"/>
  <c r="H168" i="657"/>
  <c r="I170" i="657"/>
  <c r="G170" i="657"/>
  <c r="I169" i="657"/>
  <c r="F169" i="657"/>
  <c r="I173" i="657"/>
  <c r="I168" i="657"/>
  <c r="F172" i="657"/>
  <c r="I171" i="657"/>
  <c r="F168" i="657"/>
  <c r="F173" i="657"/>
  <c r="I172" i="657"/>
  <c r="G172" i="657"/>
  <c r="G168" i="657"/>
  <c r="F170" i="657"/>
  <c r="F171" i="657"/>
  <c r="I20" i="650"/>
  <c r="H20" i="650"/>
  <c r="G20" i="650"/>
  <c r="F20" i="650"/>
  <c r="E20" i="650"/>
  <c r="D20" i="650"/>
  <c r="F67" i="650"/>
  <c r="F65" i="650"/>
  <c r="F63" i="650"/>
  <c r="E67" i="650"/>
  <c r="E65" i="650"/>
  <c r="E63" i="650"/>
  <c r="D67" i="650"/>
  <c r="D65" i="650"/>
  <c r="D63" i="650"/>
  <c r="I66" i="650"/>
  <c r="I64" i="650"/>
  <c r="I62" i="650"/>
  <c r="H66" i="650"/>
  <c r="H64" i="650"/>
  <c r="H62" i="650"/>
  <c r="G66" i="650"/>
  <c r="G64" i="650"/>
  <c r="G62" i="650"/>
  <c r="F66" i="650"/>
  <c r="F64" i="650"/>
  <c r="F62" i="650"/>
  <c r="E66" i="650"/>
  <c r="E64" i="650"/>
  <c r="E62" i="650"/>
  <c r="D66" i="650"/>
  <c r="D64" i="650"/>
  <c r="D62" i="650"/>
  <c r="I67" i="650"/>
  <c r="I65" i="650"/>
  <c r="I63" i="650"/>
  <c r="G67" i="650"/>
  <c r="G65" i="650"/>
  <c r="G63" i="650"/>
  <c r="H63" i="650"/>
  <c r="H67" i="650"/>
  <c r="H65" i="650"/>
  <c r="H232" i="657"/>
  <c r="H230" i="657"/>
  <c r="G232" i="657"/>
  <c r="G230" i="657"/>
  <c r="E232" i="657"/>
  <c r="E230" i="657"/>
  <c r="D232" i="657"/>
  <c r="D230" i="657"/>
  <c r="I231" i="657"/>
  <c r="I229" i="657"/>
  <c r="H231" i="657"/>
  <c r="H229" i="657"/>
  <c r="G231" i="657"/>
  <c r="G229" i="657"/>
  <c r="E231" i="657"/>
  <c r="E229" i="657"/>
  <c r="F229" i="657"/>
  <c r="D229" i="657"/>
  <c r="I232" i="657"/>
  <c r="D231" i="657"/>
  <c r="I230" i="657"/>
  <c r="F232" i="657"/>
  <c r="F231" i="657"/>
  <c r="F230" i="657"/>
  <c r="I48" i="657"/>
  <c r="H48" i="657"/>
  <c r="I46" i="657"/>
  <c r="G48" i="657"/>
  <c r="H46" i="657"/>
  <c r="F48" i="657"/>
  <c r="G46" i="657"/>
  <c r="E48" i="657"/>
  <c r="F46" i="657"/>
  <c r="D48" i="657"/>
  <c r="E46" i="657"/>
  <c r="I47" i="657"/>
  <c r="D46" i="657"/>
  <c r="H47" i="657"/>
  <c r="G47" i="657"/>
  <c r="D47" i="657"/>
  <c r="F47" i="657"/>
  <c r="E47" i="657"/>
  <c r="G268" i="657"/>
  <c r="G266" i="657"/>
  <c r="G264" i="657"/>
  <c r="F268" i="657"/>
  <c r="F266" i="657"/>
  <c r="F264" i="657"/>
  <c r="D268" i="657"/>
  <c r="D266" i="657"/>
  <c r="D264" i="657"/>
  <c r="I267" i="657"/>
  <c r="I265" i="657"/>
  <c r="I263" i="657"/>
  <c r="H267" i="657"/>
  <c r="H265" i="657"/>
  <c r="H263" i="657"/>
  <c r="G267" i="657"/>
  <c r="G265" i="657"/>
  <c r="G263" i="657"/>
  <c r="F267" i="657"/>
  <c r="F265" i="657"/>
  <c r="F263" i="657"/>
  <c r="D267" i="657"/>
  <c r="D265" i="657"/>
  <c r="D263" i="657"/>
  <c r="E263" i="657"/>
  <c r="I268" i="657"/>
  <c r="E268" i="657"/>
  <c r="E267" i="657"/>
  <c r="I266" i="657"/>
  <c r="H266" i="657"/>
  <c r="I264" i="657"/>
  <c r="H264" i="657"/>
  <c r="E265" i="657"/>
  <c r="E264" i="657"/>
  <c r="E266" i="657"/>
  <c r="H268" i="657"/>
  <c r="F21" i="650"/>
  <c r="F158" i="650" s="1"/>
  <c r="E21" i="650"/>
  <c r="E158" i="650" s="1"/>
  <c r="D21" i="650"/>
  <c r="I21" i="650"/>
  <c r="I158" i="650" s="1"/>
  <c r="G21" i="650"/>
  <c r="G158" i="650" s="1"/>
  <c r="H21" i="650"/>
  <c r="H158" i="650" s="1"/>
  <c r="I29" i="658"/>
  <c r="H29" i="658"/>
  <c r="G29" i="658"/>
  <c r="J45" i="445"/>
  <c r="J49" i="445"/>
  <c r="J47" i="445"/>
  <c r="J75" i="445"/>
  <c r="J77" i="445"/>
  <c r="J79" i="445"/>
  <c r="J81" i="445"/>
  <c r="J83" i="445"/>
  <c r="J85" i="445"/>
  <c r="J89" i="445"/>
  <c r="J91" i="445"/>
  <c r="J93" i="445"/>
  <c r="J97" i="445"/>
  <c r="J99" i="445"/>
  <c r="J103" i="445"/>
  <c r="J105" i="445"/>
  <c r="J107" i="445"/>
  <c r="J109" i="445"/>
  <c r="J111" i="445"/>
  <c r="J113" i="445"/>
  <c r="J37" i="445"/>
  <c r="J55" i="445"/>
  <c r="J18" i="445"/>
  <c r="J39" i="445"/>
  <c r="J51" i="445"/>
  <c r="J65" i="445"/>
  <c r="K4" i="633"/>
  <c r="L4" i="633" s="1"/>
  <c r="J16" i="445"/>
  <c r="J3" i="445" s="1"/>
  <c r="J41" i="445"/>
  <c r="J57" i="445"/>
  <c r="J63" i="445"/>
  <c r="J61" i="445"/>
  <c r="J19" i="445"/>
  <c r="J130" i="445" s="1"/>
  <c r="J27" i="445"/>
  <c r="J42" i="445"/>
  <c r="J46" i="445"/>
  <c r="J52" i="445"/>
  <c r="J60" i="445"/>
  <c r="J76" i="445"/>
  <c r="J78" i="445"/>
  <c r="J82" i="445"/>
  <c r="J84" i="445"/>
  <c r="J86" i="445"/>
  <c r="J88" i="445"/>
  <c r="J90" i="445"/>
  <c r="J92" i="445"/>
  <c r="J96" i="445"/>
  <c r="J98" i="445"/>
  <c r="J100" i="445"/>
  <c r="J102" i="445"/>
  <c r="J104" i="445"/>
  <c r="J106" i="445"/>
  <c r="J110" i="445"/>
  <c r="J112" i="445"/>
  <c r="J114" i="445"/>
  <c r="J28" i="445"/>
  <c r="J29" i="445"/>
  <c r="J38" i="445"/>
  <c r="J54" i="445"/>
  <c r="J64" i="445"/>
  <c r="J26" i="445"/>
  <c r="J40" i="445"/>
  <c r="J44" i="445"/>
  <c r="J50" i="445"/>
  <c r="J56" i="445"/>
  <c r="J62" i="445"/>
  <c r="J441" i="653"/>
  <c r="I20" i="652"/>
  <c r="H20" i="652"/>
  <c r="G20" i="652"/>
  <c r="F20" i="652"/>
  <c r="E20" i="652"/>
  <c r="D20" i="652"/>
  <c r="G21" i="652"/>
  <c r="F21" i="652"/>
  <c r="H21" i="652"/>
  <c r="E21" i="652"/>
  <c r="D21" i="652"/>
  <c r="I21" i="652"/>
  <c r="I26" i="652"/>
  <c r="H26" i="652"/>
  <c r="G26" i="652"/>
  <c r="F26" i="652"/>
  <c r="E26" i="652"/>
  <c r="D26" i="652"/>
  <c r="G25" i="652"/>
  <c r="E25" i="652"/>
  <c r="F25" i="652"/>
  <c r="H25" i="652"/>
  <c r="D25" i="652"/>
  <c r="I25" i="652"/>
  <c r="G30" i="652"/>
  <c r="G28" i="652"/>
  <c r="F30" i="652"/>
  <c r="F28" i="652"/>
  <c r="E30" i="652"/>
  <c r="E28" i="652"/>
  <c r="D30" i="652"/>
  <c r="D28" i="652"/>
  <c r="I31" i="652"/>
  <c r="I29" i="652"/>
  <c r="H31" i="652"/>
  <c r="H29" i="652"/>
  <c r="G31" i="652"/>
  <c r="G29" i="652"/>
  <c r="H28" i="652"/>
  <c r="F31" i="652"/>
  <c r="F29" i="652"/>
  <c r="E31" i="652"/>
  <c r="E29" i="652"/>
  <c r="D31" i="652"/>
  <c r="D29" i="652"/>
  <c r="H30" i="652"/>
  <c r="I30" i="652"/>
  <c r="I28" i="652"/>
  <c r="G36" i="652"/>
  <c r="F36" i="652"/>
  <c r="E36" i="652"/>
  <c r="D36" i="652"/>
  <c r="I37" i="652"/>
  <c r="H37" i="652"/>
  <c r="G37" i="652"/>
  <c r="F37" i="652"/>
  <c r="H36" i="652"/>
  <c r="E37" i="652"/>
  <c r="D37" i="652"/>
  <c r="I36" i="652"/>
  <c r="H35" i="652"/>
  <c r="G35" i="652"/>
  <c r="I35" i="652"/>
  <c r="D35" i="652"/>
  <c r="F35" i="652"/>
  <c r="E35" i="652"/>
  <c r="P4" i="120"/>
  <c r="W4" i="120" s="1"/>
  <c r="O4" i="120"/>
  <c r="V4" i="120" s="1"/>
  <c r="N4" i="120"/>
  <c r="U4" i="120" s="1"/>
  <c r="U113" i="120" s="1"/>
  <c r="I113" i="120"/>
  <c r="H188" i="120"/>
  <c r="G188" i="120"/>
  <c r="H192" i="120"/>
  <c r="I189" i="120"/>
  <c r="G190" i="120"/>
  <c r="H189" i="120"/>
  <c r="G189" i="120"/>
  <c r="I187" i="120"/>
  <c r="G186" i="120"/>
  <c r="H187" i="120"/>
  <c r="G187" i="120"/>
  <c r="H195" i="120"/>
  <c r="H186" i="120"/>
  <c r="I195" i="120"/>
  <c r="H113" i="120"/>
  <c r="I186" i="120"/>
  <c r="G113" i="120"/>
  <c r="I190" i="120"/>
  <c r="D24" i="654"/>
  <c r="D23" i="654"/>
  <c r="D22" i="654"/>
  <c r="D21" i="654"/>
  <c r="F20" i="654"/>
  <c r="F19" i="654"/>
  <c r="J18" i="654"/>
  <c r="F18" i="654"/>
  <c r="J16" i="654"/>
  <c r="I16" i="654"/>
  <c r="H16" i="654"/>
  <c r="G16" i="654"/>
  <c r="E16" i="654"/>
  <c r="F15" i="654"/>
  <c r="F14" i="654"/>
  <c r="F13" i="654"/>
  <c r="J12" i="654"/>
  <c r="F12" i="654"/>
  <c r="D12" i="654"/>
  <c r="J11" i="654"/>
  <c r="I11" i="654"/>
  <c r="H11" i="654"/>
  <c r="G11" i="654"/>
  <c r="D11" i="654"/>
  <c r="J10" i="654"/>
  <c r="F10" i="654"/>
  <c r="D10" i="654"/>
  <c r="J9" i="654"/>
  <c r="I9" i="654"/>
  <c r="H9" i="654"/>
  <c r="G9" i="654"/>
  <c r="D9" i="654"/>
  <c r="J8" i="654"/>
  <c r="F8" i="654"/>
  <c r="D8" i="654"/>
  <c r="J7" i="654"/>
  <c r="I7" i="654"/>
  <c r="H7" i="654"/>
  <c r="G7" i="654"/>
  <c r="D7" i="654"/>
  <c r="I14" i="75"/>
  <c r="H14" i="75"/>
  <c r="G14" i="75"/>
  <c r="F14" i="75"/>
  <c r="E14" i="75"/>
  <c r="D14" i="75"/>
  <c r="D270" i="127"/>
  <c r="C270" i="127"/>
  <c r="D269" i="127"/>
  <c r="C269" i="127"/>
  <c r="D268" i="127"/>
  <c r="C268" i="127"/>
  <c r="D267" i="127"/>
  <c r="C267" i="127"/>
  <c r="D266" i="127"/>
  <c r="C266" i="127"/>
  <c r="D265" i="127"/>
  <c r="C265" i="127"/>
  <c r="D264" i="127"/>
  <c r="C264" i="127"/>
  <c r="D263" i="127"/>
  <c r="C263" i="127"/>
  <c r="D262" i="127"/>
  <c r="C262" i="127"/>
  <c r="D261" i="127"/>
  <c r="C261" i="127"/>
  <c r="D260" i="127"/>
  <c r="C260" i="127"/>
  <c r="D259" i="127"/>
  <c r="C259" i="127"/>
  <c r="D258" i="127"/>
  <c r="C258" i="127"/>
  <c r="D257" i="127"/>
  <c r="C257" i="127"/>
  <c r="D256" i="127"/>
  <c r="C256" i="127"/>
  <c r="D255" i="127"/>
  <c r="C255" i="127"/>
  <c r="D254" i="127"/>
  <c r="C254" i="127"/>
  <c r="D253" i="127"/>
  <c r="C253" i="127"/>
  <c r="D252" i="127"/>
  <c r="C252" i="127"/>
  <c r="D251" i="127"/>
  <c r="C251" i="127"/>
  <c r="D250" i="127"/>
  <c r="C250" i="127"/>
  <c r="D249" i="127"/>
  <c r="C249" i="127"/>
  <c r="D248" i="127"/>
  <c r="C248" i="127"/>
  <c r="D247" i="127"/>
  <c r="C247" i="127"/>
  <c r="D246" i="127"/>
  <c r="C246" i="127"/>
  <c r="D245" i="127"/>
  <c r="C245" i="127"/>
  <c r="D244" i="127"/>
  <c r="C244" i="127"/>
  <c r="D243" i="127"/>
  <c r="C243" i="127"/>
  <c r="D242" i="127"/>
  <c r="C242" i="127"/>
  <c r="D241" i="127"/>
  <c r="C241" i="127"/>
  <c r="D240" i="127"/>
  <c r="C240" i="127"/>
  <c r="D239" i="127"/>
  <c r="C239" i="127"/>
  <c r="D238" i="127"/>
  <c r="C238" i="127"/>
  <c r="D237" i="127"/>
  <c r="C237" i="127"/>
  <c r="D236" i="127"/>
  <c r="C236" i="127"/>
  <c r="D235" i="127"/>
  <c r="C235" i="127"/>
  <c r="D234" i="127"/>
  <c r="C234" i="127"/>
  <c r="D233" i="127"/>
  <c r="C233" i="127"/>
  <c r="D232" i="127"/>
  <c r="C232" i="127"/>
  <c r="D231" i="127"/>
  <c r="C231" i="127"/>
  <c r="D230" i="127"/>
  <c r="C230" i="127"/>
  <c r="D229" i="127"/>
  <c r="C229" i="127"/>
  <c r="D228" i="127"/>
  <c r="C228" i="127"/>
  <c r="D227" i="127"/>
  <c r="C227" i="127"/>
  <c r="D226" i="127"/>
  <c r="C226" i="127"/>
  <c r="D225" i="127"/>
  <c r="C225" i="127"/>
  <c r="D224" i="127"/>
  <c r="C224" i="127"/>
  <c r="D223" i="127"/>
  <c r="C223" i="127"/>
  <c r="D222" i="127"/>
  <c r="C222" i="127"/>
  <c r="D221" i="127"/>
  <c r="C221" i="127"/>
  <c r="D220" i="127"/>
  <c r="C220" i="127"/>
  <c r="D219" i="127"/>
  <c r="C219" i="127"/>
  <c r="D218" i="127"/>
  <c r="C218" i="127"/>
  <c r="D217" i="127"/>
  <c r="C217" i="127"/>
  <c r="D216" i="127"/>
  <c r="C216" i="127"/>
  <c r="D215" i="127"/>
  <c r="C215" i="127"/>
  <c r="D214" i="127"/>
  <c r="C214" i="127"/>
  <c r="C20" i="381"/>
  <c r="H25" i="240"/>
  <c r="B6" i="240"/>
  <c r="B7" i="240" s="1"/>
  <c r="B8" i="240" s="1"/>
  <c r="B9" i="240" s="1"/>
  <c r="B10" i="240" s="1"/>
  <c r="H3" i="240"/>
  <c r="L16" i="445" l="1"/>
  <c r="L3" i="445" s="1"/>
  <c r="M4" i="633"/>
  <c r="D268" i="654"/>
  <c r="D264" i="654"/>
  <c r="I267" i="654"/>
  <c r="E263" i="654"/>
  <c r="H267" i="654"/>
  <c r="D263" i="654"/>
  <c r="G267" i="654"/>
  <c r="I268" i="654"/>
  <c r="D267" i="654"/>
  <c r="H268" i="654"/>
  <c r="E267" i="654"/>
  <c r="I266" i="654"/>
  <c r="H266" i="654"/>
  <c r="E266" i="654"/>
  <c r="I264" i="654"/>
  <c r="F265" i="654"/>
  <c r="H265" i="654"/>
  <c r="G265" i="654"/>
  <c r="E265" i="654"/>
  <c r="D265" i="654"/>
  <c r="H264" i="654"/>
  <c r="F266" i="654"/>
  <c r="G263" i="654"/>
  <c r="F268" i="654"/>
  <c r="G264" i="654"/>
  <c r="I263" i="654"/>
  <c r="G268" i="654"/>
  <c r="E268" i="654"/>
  <c r="H263" i="654"/>
  <c r="F263" i="654"/>
  <c r="D266" i="654"/>
  <c r="E264" i="654"/>
  <c r="I265" i="654"/>
  <c r="F267" i="654"/>
  <c r="G266" i="654"/>
  <c r="F264" i="654"/>
  <c r="F126" i="654"/>
  <c r="I126" i="654"/>
  <c r="E126" i="654"/>
  <c r="D126" i="654"/>
  <c r="G126" i="654"/>
  <c r="H126" i="654"/>
  <c r="D340" i="654"/>
  <c r="E257" i="654"/>
  <c r="G252" i="654"/>
  <c r="E247" i="654"/>
  <c r="G242" i="654"/>
  <c r="H339" i="654"/>
  <c r="D257" i="654"/>
  <c r="E252" i="654"/>
  <c r="D247" i="654"/>
  <c r="F242" i="654"/>
  <c r="G339" i="654"/>
  <c r="I255" i="654"/>
  <c r="D252" i="654"/>
  <c r="I245" i="654"/>
  <c r="E242" i="654"/>
  <c r="F339" i="654"/>
  <c r="F260" i="654"/>
  <c r="H255" i="654"/>
  <c r="F250" i="654"/>
  <c r="H245" i="654"/>
  <c r="D242" i="654"/>
  <c r="G340" i="654"/>
  <c r="D260" i="654"/>
  <c r="I253" i="654"/>
  <c r="H247" i="654"/>
  <c r="E241" i="654"/>
  <c r="E259" i="654"/>
  <c r="F240" i="654"/>
  <c r="I252" i="654"/>
  <c r="E240" i="654"/>
  <c r="F340" i="654"/>
  <c r="I259" i="654"/>
  <c r="H253" i="654"/>
  <c r="G247" i="654"/>
  <c r="D241" i="654"/>
  <c r="H259" i="654"/>
  <c r="G253" i="654"/>
  <c r="F247" i="654"/>
  <c r="I240" i="654"/>
  <c r="E253" i="654"/>
  <c r="E245" i="654"/>
  <c r="G258" i="654"/>
  <c r="E340" i="654"/>
  <c r="H244" i="654"/>
  <c r="E339" i="654"/>
  <c r="G259" i="654"/>
  <c r="F253" i="654"/>
  <c r="G245" i="654"/>
  <c r="H240" i="654"/>
  <c r="G338" i="654"/>
  <c r="F259" i="654"/>
  <c r="G240" i="654"/>
  <c r="F338" i="654"/>
  <c r="D253" i="654"/>
  <c r="I244" i="654"/>
  <c r="H257" i="654"/>
  <c r="F248" i="654"/>
  <c r="F257" i="654"/>
  <c r="I254" i="654"/>
  <c r="H337" i="654"/>
  <c r="H254" i="654"/>
  <c r="G337" i="654"/>
  <c r="G257" i="654"/>
  <c r="D244" i="654"/>
  <c r="I243" i="654"/>
  <c r="F254" i="654"/>
  <c r="F337" i="654"/>
  <c r="G243" i="654"/>
  <c r="E243" i="654"/>
  <c r="G255" i="654"/>
  <c r="H243" i="654"/>
  <c r="F243" i="654"/>
  <c r="E260" i="654"/>
  <c r="F258" i="654"/>
  <c r="D254" i="654"/>
  <c r="E250" i="654"/>
  <c r="D250" i="654"/>
  <c r="I249" i="654"/>
  <c r="H249" i="654"/>
  <c r="G249" i="654"/>
  <c r="I242" i="654"/>
  <c r="F241" i="654"/>
  <c r="H336" i="654"/>
  <c r="E249" i="654"/>
  <c r="I248" i="654"/>
  <c r="G248" i="654"/>
  <c r="D243" i="654"/>
  <c r="E255" i="654"/>
  <c r="D240" i="654"/>
  <c r="I260" i="654"/>
  <c r="I241" i="654"/>
  <c r="E336" i="654"/>
  <c r="I258" i="654"/>
  <c r="F245" i="654"/>
  <c r="I250" i="654"/>
  <c r="D249" i="654"/>
  <c r="D337" i="654"/>
  <c r="E258" i="654"/>
  <c r="E337" i="654"/>
  <c r="H338" i="654"/>
  <c r="D338" i="654"/>
  <c r="D245" i="654"/>
  <c r="H340" i="654"/>
  <c r="H248" i="654"/>
  <c r="I247" i="654"/>
  <c r="F252" i="654"/>
  <c r="G336" i="654"/>
  <c r="D259" i="654"/>
  <c r="F336" i="654"/>
  <c r="D255" i="654"/>
  <c r="D339" i="654"/>
  <c r="H258" i="654"/>
  <c r="D336" i="654"/>
  <c r="H242" i="654"/>
  <c r="G244" i="654"/>
  <c r="G250" i="654"/>
  <c r="G260" i="654"/>
  <c r="E338" i="654"/>
  <c r="E248" i="654"/>
  <c r="G254" i="654"/>
  <c r="I257" i="654"/>
  <c r="G241" i="654"/>
  <c r="F249" i="654"/>
  <c r="H260" i="654"/>
  <c r="E244" i="654"/>
  <c r="F244" i="654"/>
  <c r="D248" i="654"/>
  <c r="D258" i="654"/>
  <c r="H252" i="654"/>
  <c r="E254" i="654"/>
  <c r="F255" i="654"/>
  <c r="H241" i="654"/>
  <c r="H250" i="654"/>
  <c r="I37" i="654"/>
  <c r="G37" i="654"/>
  <c r="E36" i="654"/>
  <c r="D36" i="654"/>
  <c r="I36" i="654"/>
  <c r="H36" i="654"/>
  <c r="G36" i="654"/>
  <c r="D37" i="654"/>
  <c r="F37" i="654"/>
  <c r="E37" i="654"/>
  <c r="F36" i="654"/>
  <c r="H37" i="654"/>
  <c r="H172" i="654"/>
  <c r="E172" i="654"/>
  <c r="F170" i="654"/>
  <c r="H171" i="654"/>
  <c r="F169" i="654"/>
  <c r="D173" i="654"/>
  <c r="D171" i="654"/>
  <c r="H170" i="654"/>
  <c r="E173" i="654"/>
  <c r="E169" i="654"/>
  <c r="F171" i="654"/>
  <c r="I168" i="654"/>
  <c r="I169" i="654"/>
  <c r="G170" i="654"/>
  <c r="D168" i="654"/>
  <c r="H173" i="654"/>
  <c r="G173" i="654"/>
  <c r="D170" i="654"/>
  <c r="F173" i="654"/>
  <c r="I172" i="654"/>
  <c r="I170" i="654"/>
  <c r="F172" i="654"/>
  <c r="H168" i="654"/>
  <c r="I171" i="654"/>
  <c r="D169" i="654"/>
  <c r="G168" i="654"/>
  <c r="H169" i="654"/>
  <c r="G171" i="654"/>
  <c r="E168" i="654"/>
  <c r="E171" i="654"/>
  <c r="F168" i="654"/>
  <c r="G169" i="654"/>
  <c r="D172" i="654"/>
  <c r="G172" i="654"/>
  <c r="I173" i="654"/>
  <c r="E170" i="654"/>
  <c r="I31" i="654"/>
  <c r="H31" i="654"/>
  <c r="E31" i="654"/>
  <c r="D31" i="654"/>
  <c r="G31" i="654"/>
  <c r="F31" i="654"/>
  <c r="G142" i="654"/>
  <c r="I143" i="654"/>
  <c r="H143" i="654"/>
  <c r="D142" i="654"/>
  <c r="H142" i="654"/>
  <c r="F142" i="654"/>
  <c r="G143" i="654"/>
  <c r="D143" i="654"/>
  <c r="F143" i="654"/>
  <c r="E143" i="654"/>
  <c r="E142" i="654"/>
  <c r="I142" i="654"/>
  <c r="H141" i="654"/>
  <c r="I141" i="654"/>
  <c r="G141" i="654"/>
  <c r="D141" i="654"/>
  <c r="E141" i="654"/>
  <c r="F141" i="654"/>
  <c r="D328" i="654"/>
  <c r="H231" i="654"/>
  <c r="H332" i="654"/>
  <c r="G231" i="654"/>
  <c r="G332" i="654"/>
  <c r="E231" i="654"/>
  <c r="F332" i="654"/>
  <c r="D231" i="654"/>
  <c r="H331" i="654"/>
  <c r="F229" i="654"/>
  <c r="F331" i="654"/>
  <c r="E229" i="654"/>
  <c r="G330" i="654"/>
  <c r="D229" i="654"/>
  <c r="E330" i="654"/>
  <c r="D330" i="654"/>
  <c r="H329" i="654"/>
  <c r="E329" i="654"/>
  <c r="F230" i="654"/>
  <c r="G229" i="654"/>
  <c r="E328" i="654"/>
  <c r="H229" i="654"/>
  <c r="H330" i="654"/>
  <c r="D232" i="654"/>
  <c r="I231" i="654"/>
  <c r="I230" i="654"/>
  <c r="G230" i="654"/>
  <c r="G329" i="654"/>
  <c r="F329" i="654"/>
  <c r="F232" i="654"/>
  <c r="E232" i="654"/>
  <c r="H230" i="654"/>
  <c r="D332" i="654"/>
  <c r="E332" i="654"/>
  <c r="D329" i="654"/>
  <c r="G232" i="654"/>
  <c r="G328" i="654"/>
  <c r="I232" i="654"/>
  <c r="E230" i="654"/>
  <c r="H328" i="654"/>
  <c r="E331" i="654"/>
  <c r="F330" i="654"/>
  <c r="D230" i="654"/>
  <c r="F328" i="654"/>
  <c r="G331" i="654"/>
  <c r="H232" i="654"/>
  <c r="D331" i="654"/>
  <c r="I229" i="654"/>
  <c r="F231" i="654"/>
  <c r="E334" i="654"/>
  <c r="D334" i="654"/>
  <c r="H334" i="654"/>
  <c r="G334" i="654"/>
  <c r="F334" i="654"/>
  <c r="I235" i="654"/>
  <c r="H235" i="654"/>
  <c r="G235" i="654"/>
  <c r="E235" i="654"/>
  <c r="D235" i="654"/>
  <c r="F235" i="654"/>
  <c r="G132" i="654"/>
  <c r="H132" i="654"/>
  <c r="I132" i="654"/>
  <c r="D132" i="654"/>
  <c r="E132" i="654"/>
  <c r="F132" i="654"/>
  <c r="G131" i="654"/>
  <c r="I131" i="654"/>
  <c r="E131" i="654"/>
  <c r="F131" i="654"/>
  <c r="H131" i="654"/>
  <c r="D131" i="654"/>
  <c r="H288" i="654"/>
  <c r="F283" i="654"/>
  <c r="H278" i="654"/>
  <c r="G273" i="654"/>
  <c r="G288" i="654"/>
  <c r="E283" i="654"/>
  <c r="G278" i="654"/>
  <c r="F273" i="654"/>
  <c r="F288" i="654"/>
  <c r="D283" i="654"/>
  <c r="E278" i="654"/>
  <c r="E273" i="654"/>
  <c r="E287" i="654"/>
  <c r="I281" i="654"/>
  <c r="D278" i="654"/>
  <c r="D273" i="654"/>
  <c r="F281" i="654"/>
  <c r="G276" i="654"/>
  <c r="E270" i="654"/>
  <c r="I279" i="654"/>
  <c r="H279" i="654"/>
  <c r="H273" i="654"/>
  <c r="E281" i="654"/>
  <c r="E276" i="654"/>
  <c r="I288" i="654"/>
  <c r="I280" i="654"/>
  <c r="D276" i="654"/>
  <c r="D280" i="654"/>
  <c r="D287" i="654"/>
  <c r="H280" i="654"/>
  <c r="I274" i="654"/>
  <c r="F286" i="654"/>
  <c r="G274" i="654"/>
  <c r="E286" i="654"/>
  <c r="F274" i="654"/>
  <c r="D286" i="654"/>
  <c r="F284" i="654"/>
  <c r="H271" i="654"/>
  <c r="G283" i="654"/>
  <c r="G279" i="654"/>
  <c r="F279" i="654"/>
  <c r="E279" i="654"/>
  <c r="H283" i="654"/>
  <c r="D271" i="654"/>
  <c r="I270" i="654"/>
  <c r="G270" i="654"/>
  <c r="F270" i="654"/>
  <c r="G281" i="654"/>
  <c r="H270" i="654"/>
  <c r="I278" i="654"/>
  <c r="F277" i="654"/>
  <c r="E277" i="654"/>
  <c r="D277" i="654"/>
  <c r="I276" i="654"/>
  <c r="H276" i="654"/>
  <c r="F272" i="654"/>
  <c r="G272" i="654"/>
  <c r="H285" i="654"/>
  <c r="G285" i="654"/>
  <c r="E285" i="654"/>
  <c r="G284" i="654"/>
  <c r="I271" i="654"/>
  <c r="I285" i="654"/>
  <c r="F278" i="654"/>
  <c r="E274" i="654"/>
  <c r="D281" i="654"/>
  <c r="E284" i="654"/>
  <c r="G280" i="654"/>
  <c r="F287" i="654"/>
  <c r="H277" i="654"/>
  <c r="H281" i="654"/>
  <c r="F280" i="654"/>
  <c r="F285" i="654"/>
  <c r="I287" i="654"/>
  <c r="D284" i="654"/>
  <c r="D288" i="654"/>
  <c r="E280" i="654"/>
  <c r="D274" i="654"/>
  <c r="F276" i="654"/>
  <c r="I283" i="654"/>
  <c r="H286" i="654"/>
  <c r="D279" i="654"/>
  <c r="G286" i="654"/>
  <c r="I273" i="654"/>
  <c r="H284" i="654"/>
  <c r="G277" i="654"/>
  <c r="D272" i="654"/>
  <c r="H274" i="654"/>
  <c r="H287" i="654"/>
  <c r="F271" i="654"/>
  <c r="D270" i="654"/>
  <c r="I272" i="654"/>
  <c r="H272" i="654"/>
  <c r="E288" i="654"/>
  <c r="E272" i="654"/>
  <c r="E271" i="654"/>
  <c r="G271" i="654"/>
  <c r="I284" i="654"/>
  <c r="G287" i="654"/>
  <c r="I286" i="654"/>
  <c r="D285" i="654"/>
  <c r="I277" i="654"/>
  <c r="H221" i="654"/>
  <c r="G221" i="654"/>
  <c r="F221" i="654"/>
  <c r="E221" i="654"/>
  <c r="E316" i="654"/>
  <c r="D316" i="654"/>
  <c r="D221" i="654"/>
  <c r="I221" i="654"/>
  <c r="G316" i="654"/>
  <c r="H316" i="654"/>
  <c r="F316" i="654"/>
  <c r="G48" i="654"/>
  <c r="F48" i="654"/>
  <c r="I47" i="654"/>
  <c r="I48" i="654"/>
  <c r="D46" i="654"/>
  <c r="G47" i="654"/>
  <c r="I46" i="654"/>
  <c r="G46" i="654"/>
  <c r="H46" i="654"/>
  <c r="E46" i="654"/>
  <c r="D47" i="654"/>
  <c r="H48" i="654"/>
  <c r="F46" i="654"/>
  <c r="E47" i="654"/>
  <c r="D48" i="654"/>
  <c r="H47" i="654"/>
  <c r="F47" i="654"/>
  <c r="E48" i="654"/>
  <c r="H320" i="654"/>
  <c r="G320" i="654"/>
  <c r="I319" i="654"/>
  <c r="E319" i="654"/>
  <c r="F222" i="654"/>
  <c r="F431" i="654" s="1"/>
  <c r="E222" i="654"/>
  <c r="E431" i="654" s="1"/>
  <c r="H318" i="654"/>
  <c r="E318" i="654"/>
  <c r="D318" i="654"/>
  <c r="F318" i="654"/>
  <c r="E320" i="654"/>
  <c r="G222" i="654"/>
  <c r="G431" i="654" s="1"/>
  <c r="H222" i="654"/>
  <c r="H431" i="654" s="1"/>
  <c r="G318" i="654"/>
  <c r="F320" i="654"/>
  <c r="I222" i="654"/>
  <c r="I431" i="654" s="1"/>
  <c r="D222" i="654"/>
  <c r="F319" i="654"/>
  <c r="H319" i="654"/>
  <c r="D320" i="654"/>
  <c r="D319" i="654"/>
  <c r="G319" i="654"/>
  <c r="H226" i="654"/>
  <c r="G326" i="654"/>
  <c r="G226" i="654"/>
  <c r="F326" i="654"/>
  <c r="F226" i="654"/>
  <c r="E326" i="654"/>
  <c r="G324" i="654"/>
  <c r="D323" i="654"/>
  <c r="E324" i="654"/>
  <c r="H227" i="654"/>
  <c r="G323" i="654"/>
  <c r="F323" i="654"/>
  <c r="I227" i="654"/>
  <c r="E323" i="654"/>
  <c r="D227" i="654"/>
  <c r="I226" i="654"/>
  <c r="G325" i="654"/>
  <c r="H324" i="654"/>
  <c r="H325" i="654"/>
  <c r="E226" i="654"/>
  <c r="D226" i="654"/>
  <c r="F324" i="654"/>
  <c r="H323" i="654"/>
  <c r="D326" i="654"/>
  <c r="D324" i="654"/>
  <c r="E325" i="654"/>
  <c r="G227" i="654"/>
  <c r="F325" i="654"/>
  <c r="F227" i="654"/>
  <c r="E227" i="654"/>
  <c r="D325" i="654"/>
  <c r="H326" i="654"/>
  <c r="H77" i="654"/>
  <c r="G77" i="654"/>
  <c r="F77" i="654"/>
  <c r="H78" i="654"/>
  <c r="E76" i="654"/>
  <c r="D76" i="654"/>
  <c r="G78" i="654"/>
  <c r="E78" i="654"/>
  <c r="F76" i="654"/>
  <c r="I77" i="654"/>
  <c r="G74" i="654"/>
  <c r="I73" i="654"/>
  <c r="G73" i="654"/>
  <c r="E73" i="654"/>
  <c r="F73" i="654"/>
  <c r="I78" i="654"/>
  <c r="I75" i="654"/>
  <c r="G75" i="654"/>
  <c r="F75" i="654"/>
  <c r="E75" i="654"/>
  <c r="D75" i="654"/>
  <c r="H74" i="654"/>
  <c r="H76" i="654"/>
  <c r="D77" i="654"/>
  <c r="F74" i="654"/>
  <c r="I76" i="654"/>
  <c r="H73" i="654"/>
  <c r="D74" i="654"/>
  <c r="G76" i="654"/>
  <c r="H75" i="654"/>
  <c r="D78" i="654"/>
  <c r="E74" i="654"/>
  <c r="E77" i="654"/>
  <c r="I74" i="654"/>
  <c r="D73" i="654"/>
  <c r="F78" i="654"/>
  <c r="G225" i="657"/>
  <c r="E24" i="650"/>
  <c r="E157" i="650" s="1"/>
  <c r="E35" i="657"/>
  <c r="E27" i="650"/>
  <c r="E156" i="650" s="1"/>
  <c r="I35" i="657"/>
  <c r="J273" i="657"/>
  <c r="J93" i="650"/>
  <c r="J222" i="657"/>
  <c r="I220" i="657"/>
  <c r="G345" i="654"/>
  <c r="G219" i="654"/>
  <c r="G124" i="654"/>
  <c r="G314" i="654"/>
  <c r="G345" i="657"/>
  <c r="G219" i="657"/>
  <c r="G124" i="657"/>
  <c r="G314" i="657"/>
  <c r="H345" i="657"/>
  <c r="H124" i="657"/>
  <c r="H219" i="657"/>
  <c r="H314" i="657"/>
  <c r="H345" i="654"/>
  <c r="H219" i="654"/>
  <c r="H124" i="654"/>
  <c r="H314" i="654"/>
  <c r="I345" i="657"/>
  <c r="I219" i="657"/>
  <c r="I124" i="657"/>
  <c r="I314" i="657"/>
  <c r="I345" i="654"/>
  <c r="I219" i="654"/>
  <c r="I124" i="654"/>
  <c r="I314" i="654"/>
  <c r="F35" i="657"/>
  <c r="I55" i="650"/>
  <c r="G55" i="650"/>
  <c r="G251" i="657"/>
  <c r="J258" i="657"/>
  <c r="J301" i="657"/>
  <c r="J272" i="657"/>
  <c r="G24" i="650"/>
  <c r="G157" i="650" s="1"/>
  <c r="G35" i="657"/>
  <c r="J294" i="657"/>
  <c r="E246" i="657"/>
  <c r="J42" i="650"/>
  <c r="H74" i="652"/>
  <c r="E45" i="657"/>
  <c r="E61" i="650"/>
  <c r="E153" i="650" s="1"/>
  <c r="I61" i="650"/>
  <c r="I153" i="650" s="1"/>
  <c r="H89" i="650"/>
  <c r="I74" i="650"/>
  <c r="I151" i="650" s="1"/>
  <c r="J91" i="650"/>
  <c r="F95" i="650"/>
  <c r="J77" i="650"/>
  <c r="J106" i="650"/>
  <c r="J54" i="650"/>
  <c r="F38" i="650"/>
  <c r="E34" i="650"/>
  <c r="E155" i="650" s="1"/>
  <c r="I34" i="650"/>
  <c r="I155" i="650" s="1"/>
  <c r="F251" i="657"/>
  <c r="J245" i="657"/>
  <c r="J242" i="657"/>
  <c r="E256" i="657"/>
  <c r="J264" i="657"/>
  <c r="I45" i="657"/>
  <c r="J63" i="650"/>
  <c r="J132" i="657"/>
  <c r="I81" i="650"/>
  <c r="I152" i="650" s="1"/>
  <c r="J98" i="650"/>
  <c r="F102" i="650"/>
  <c r="I95" i="650"/>
  <c r="F89" i="650"/>
  <c r="J75" i="657"/>
  <c r="G74" i="652"/>
  <c r="J249" i="657"/>
  <c r="E225" i="657"/>
  <c r="H296" i="657"/>
  <c r="J170" i="657"/>
  <c r="J56" i="650"/>
  <c r="H35" i="657"/>
  <c r="H282" i="657"/>
  <c r="H425" i="657" s="1"/>
  <c r="I290" i="657"/>
  <c r="J307" i="657"/>
  <c r="G130" i="657"/>
  <c r="H45" i="650"/>
  <c r="J281" i="657"/>
  <c r="J309" i="657"/>
  <c r="F24" i="650"/>
  <c r="F157" i="650" s="1"/>
  <c r="J293" i="657"/>
  <c r="K71" i="445"/>
  <c r="P71" i="445" s="1"/>
  <c r="K69" i="445"/>
  <c r="K73" i="445"/>
  <c r="P73" i="445" s="1"/>
  <c r="K70" i="445"/>
  <c r="P70" i="445" s="1"/>
  <c r="K72" i="445"/>
  <c r="P72" i="445" s="1"/>
  <c r="D158" i="650"/>
  <c r="J21" i="650"/>
  <c r="J158" i="650" s="1"/>
  <c r="G262" i="657"/>
  <c r="J232" i="657"/>
  <c r="G61" i="650"/>
  <c r="G153" i="650" s="1"/>
  <c r="G159" i="650"/>
  <c r="G19" i="650"/>
  <c r="F167" i="657"/>
  <c r="J169" i="657"/>
  <c r="D167" i="657"/>
  <c r="I89" i="650"/>
  <c r="J76" i="650"/>
  <c r="J105" i="650"/>
  <c r="G68" i="650"/>
  <c r="G150" i="650" s="1"/>
  <c r="I102" i="650"/>
  <c r="J92" i="650"/>
  <c r="I72" i="657"/>
  <c r="H38" i="650"/>
  <c r="G38" i="650"/>
  <c r="I38" i="650"/>
  <c r="J40" i="650"/>
  <c r="G45" i="650"/>
  <c r="J53" i="650"/>
  <c r="G34" i="650"/>
  <c r="H239" i="657"/>
  <c r="H256" i="657"/>
  <c r="I239" i="657"/>
  <c r="F256" i="657"/>
  <c r="E251" i="657"/>
  <c r="H251" i="657"/>
  <c r="J235" i="657"/>
  <c r="J26" i="650"/>
  <c r="F275" i="657"/>
  <c r="J276" i="657"/>
  <c r="I275" i="657"/>
  <c r="I424" i="657" s="1"/>
  <c r="D275" i="657"/>
  <c r="G296" i="657"/>
  <c r="J126" i="657"/>
  <c r="J229" i="657"/>
  <c r="D228" i="657"/>
  <c r="H159" i="650"/>
  <c r="H19" i="650"/>
  <c r="J171" i="657"/>
  <c r="E130" i="657"/>
  <c r="J78" i="650"/>
  <c r="J107" i="650"/>
  <c r="E95" i="650"/>
  <c r="J94" i="650"/>
  <c r="E81" i="650"/>
  <c r="E152" i="650" s="1"/>
  <c r="F72" i="657"/>
  <c r="F225" i="657"/>
  <c r="E55" i="650"/>
  <c r="F55" i="650"/>
  <c r="J257" i="657"/>
  <c r="D256" i="657"/>
  <c r="H27" i="650"/>
  <c r="H156" i="650" s="1"/>
  <c r="J277" i="657"/>
  <c r="J278" i="657"/>
  <c r="J308" i="657"/>
  <c r="F262" i="657"/>
  <c r="J48" i="657"/>
  <c r="H228" i="657"/>
  <c r="I159" i="650"/>
  <c r="I19" i="650"/>
  <c r="J173" i="657"/>
  <c r="J172" i="657"/>
  <c r="H74" i="650"/>
  <c r="H151" i="650" s="1"/>
  <c r="J80" i="650"/>
  <c r="E68" i="650"/>
  <c r="E150" i="650" s="1"/>
  <c r="G102" i="650"/>
  <c r="J97" i="650"/>
  <c r="J77" i="657"/>
  <c r="D72" i="657"/>
  <c r="J74" i="657"/>
  <c r="J73" i="657"/>
  <c r="J44" i="650"/>
  <c r="J58" i="650"/>
  <c r="F81" i="652"/>
  <c r="J254" i="657"/>
  <c r="J259" i="657"/>
  <c r="J260" i="657"/>
  <c r="J295" i="657"/>
  <c r="G290" i="657"/>
  <c r="F290" i="657"/>
  <c r="J279" i="657"/>
  <c r="J280" i="657"/>
  <c r="E228" i="657"/>
  <c r="J62" i="650"/>
  <c r="D61" i="650"/>
  <c r="H61" i="650"/>
  <c r="H153" i="650" s="1"/>
  <c r="F61" i="650"/>
  <c r="F153" i="650" s="1"/>
  <c r="J168" i="657"/>
  <c r="I167" i="657"/>
  <c r="J83" i="650"/>
  <c r="G74" i="650"/>
  <c r="G151" i="650" s="1"/>
  <c r="J70" i="650"/>
  <c r="J99" i="650"/>
  <c r="F74" i="650"/>
  <c r="F151" i="650" s="1"/>
  <c r="G72" i="657"/>
  <c r="J76" i="657"/>
  <c r="H225" i="657"/>
  <c r="I45" i="650"/>
  <c r="J47" i="650"/>
  <c r="G68" i="652"/>
  <c r="D34" i="650"/>
  <c r="J35" i="650"/>
  <c r="H34" i="650"/>
  <c r="J36" i="657"/>
  <c r="D35" i="657"/>
  <c r="J252" i="657"/>
  <c r="D251" i="657"/>
  <c r="G256" i="657"/>
  <c r="E220" i="657"/>
  <c r="E296" i="657"/>
  <c r="F303" i="657"/>
  <c r="J64" i="650"/>
  <c r="G81" i="650"/>
  <c r="G152" i="650" s="1"/>
  <c r="J85" i="650"/>
  <c r="E102" i="650"/>
  <c r="H95" i="650"/>
  <c r="J72" i="650"/>
  <c r="J101" i="650"/>
  <c r="E89" i="650"/>
  <c r="E72" i="657"/>
  <c r="J78" i="657"/>
  <c r="J49" i="650"/>
  <c r="I81" i="652"/>
  <c r="J37" i="650"/>
  <c r="I256" i="657"/>
  <c r="F220" i="657"/>
  <c r="I296" i="657"/>
  <c r="J298" i="657"/>
  <c r="I282" i="657"/>
  <c r="I425" i="657" s="1"/>
  <c r="F269" i="657"/>
  <c r="H269" i="657"/>
  <c r="H423" i="657" s="1"/>
  <c r="G140" i="657"/>
  <c r="E262" i="657"/>
  <c r="G45" i="657"/>
  <c r="F228" i="657"/>
  <c r="J66" i="650"/>
  <c r="E167" i="657"/>
  <c r="J131" i="657"/>
  <c r="D130" i="657"/>
  <c r="J87" i="650"/>
  <c r="H68" i="650"/>
  <c r="H150" i="650" s="1"/>
  <c r="D74" i="650"/>
  <c r="J75" i="650"/>
  <c r="J104" i="650"/>
  <c r="I225" i="657"/>
  <c r="G50" i="650"/>
  <c r="I50" i="650"/>
  <c r="J52" i="650"/>
  <c r="F74" i="652"/>
  <c r="E81" i="652"/>
  <c r="F68" i="652"/>
  <c r="H246" i="657"/>
  <c r="J240" i="657"/>
  <c r="D239" i="657"/>
  <c r="I27" i="650"/>
  <c r="I156" i="650" s="1"/>
  <c r="D296" i="657"/>
  <c r="J300" i="657"/>
  <c r="J288" i="657"/>
  <c r="F81" i="650"/>
  <c r="F152" i="650" s="1"/>
  <c r="H72" i="657"/>
  <c r="D38" i="650"/>
  <c r="J39" i="650"/>
  <c r="E38" i="650"/>
  <c r="G81" i="652"/>
  <c r="J221" i="657"/>
  <c r="D220" i="657"/>
  <c r="J25" i="650"/>
  <c r="D24" i="650"/>
  <c r="H24" i="650"/>
  <c r="J291" i="657"/>
  <c r="D290" i="657"/>
  <c r="J302" i="657"/>
  <c r="J304" i="657"/>
  <c r="D303" i="657"/>
  <c r="E275" i="657"/>
  <c r="H140" i="657"/>
  <c r="J265" i="657"/>
  <c r="F45" i="657"/>
  <c r="J231" i="657"/>
  <c r="F68" i="650"/>
  <c r="F150" i="650" s="1"/>
  <c r="H102" i="650"/>
  <c r="J79" i="650"/>
  <c r="J108" i="650"/>
  <c r="J226" i="657"/>
  <c r="D225" i="657"/>
  <c r="J227" i="657"/>
  <c r="H50" i="650"/>
  <c r="D55" i="650"/>
  <c r="J57" i="650"/>
  <c r="J41" i="650"/>
  <c r="H68" i="652"/>
  <c r="E74" i="652"/>
  <c r="J241" i="657"/>
  <c r="J244" i="657"/>
  <c r="G239" i="657"/>
  <c r="F27" i="650"/>
  <c r="F156" i="650" s="1"/>
  <c r="G275" i="657"/>
  <c r="F282" i="657"/>
  <c r="H290" i="657"/>
  <c r="J292" i="657"/>
  <c r="J306" i="657"/>
  <c r="J283" i="657"/>
  <c r="I228" i="657"/>
  <c r="J267" i="657"/>
  <c r="J47" i="657"/>
  <c r="G167" i="657"/>
  <c r="I130" i="657"/>
  <c r="H81" i="650"/>
  <c r="H152" i="650" s="1"/>
  <c r="J96" i="650"/>
  <c r="D95" i="650"/>
  <c r="J82" i="650"/>
  <c r="D81" i="650"/>
  <c r="J59" i="650"/>
  <c r="J43" i="650"/>
  <c r="E68" i="652"/>
  <c r="H81" i="652"/>
  <c r="J243" i="657"/>
  <c r="I246" i="657"/>
  <c r="J248" i="657"/>
  <c r="F246" i="657"/>
  <c r="F239" i="657"/>
  <c r="G220" i="657"/>
  <c r="J271" i="657"/>
  <c r="G303" i="657"/>
  <c r="J305" i="657"/>
  <c r="H275" i="657"/>
  <c r="H424" i="657" s="1"/>
  <c r="J297" i="657"/>
  <c r="F296" i="657"/>
  <c r="J285" i="657"/>
  <c r="J141" i="657"/>
  <c r="I140" i="657"/>
  <c r="J31" i="657"/>
  <c r="D159" i="650"/>
  <c r="D19" i="650"/>
  <c r="J20" i="650"/>
  <c r="J159" i="650" s="1"/>
  <c r="J69" i="650"/>
  <c r="D68" i="650"/>
  <c r="G89" i="650"/>
  <c r="J84" i="650"/>
  <c r="J46" i="650"/>
  <c r="D45" i="650"/>
  <c r="E45" i="650"/>
  <c r="F45" i="650"/>
  <c r="I74" i="652"/>
  <c r="J36" i="650"/>
  <c r="J37" i="657"/>
  <c r="E239" i="657"/>
  <c r="J250" i="657"/>
  <c r="G246" i="657"/>
  <c r="J28" i="650"/>
  <c r="D27" i="650"/>
  <c r="G27" i="650"/>
  <c r="G156" i="650" s="1"/>
  <c r="J29" i="650"/>
  <c r="I24" i="650"/>
  <c r="E282" i="657"/>
  <c r="E290" i="657"/>
  <c r="J274" i="657"/>
  <c r="H303" i="657"/>
  <c r="I269" i="657"/>
  <c r="I423" i="657" s="1"/>
  <c r="J299" i="657"/>
  <c r="D282" i="657"/>
  <c r="J287" i="657"/>
  <c r="J143" i="657"/>
  <c r="J263" i="657"/>
  <c r="D262" i="657"/>
  <c r="H262" i="657"/>
  <c r="H426" i="657" s="1"/>
  <c r="J266" i="657"/>
  <c r="H45" i="657"/>
  <c r="J65" i="650"/>
  <c r="E159" i="650"/>
  <c r="E19" i="650"/>
  <c r="H167" i="657"/>
  <c r="H130" i="657"/>
  <c r="J71" i="650"/>
  <c r="J100" i="650"/>
  <c r="I68" i="650"/>
  <c r="I150" i="650" s="1"/>
  <c r="J86" i="650"/>
  <c r="E74" i="650"/>
  <c r="E151" i="650" s="1"/>
  <c r="H55" i="650"/>
  <c r="J48" i="650"/>
  <c r="I251" i="657"/>
  <c r="J253" i="657"/>
  <c r="J247" i="657"/>
  <c r="D246" i="657"/>
  <c r="H220" i="657"/>
  <c r="J30" i="650"/>
  <c r="J31" i="650"/>
  <c r="G282" i="657"/>
  <c r="E269" i="657"/>
  <c r="J284" i="657"/>
  <c r="G269" i="657"/>
  <c r="F140" i="657"/>
  <c r="E140" i="657"/>
  <c r="I262" i="657"/>
  <c r="I426" i="657" s="1"/>
  <c r="J268" i="657"/>
  <c r="D45" i="657"/>
  <c r="J46" i="657"/>
  <c r="J230" i="657"/>
  <c r="G228" i="657"/>
  <c r="J67" i="650"/>
  <c r="F19" i="650"/>
  <c r="F159" i="650"/>
  <c r="F130" i="657"/>
  <c r="J73" i="650"/>
  <c r="J103" i="650"/>
  <c r="D102" i="650"/>
  <c r="G95" i="650"/>
  <c r="J90" i="650"/>
  <c r="D89" i="650"/>
  <c r="J51" i="650"/>
  <c r="D50" i="650"/>
  <c r="E50" i="650"/>
  <c r="F50" i="650"/>
  <c r="I68" i="652"/>
  <c r="F34" i="650"/>
  <c r="J255" i="657"/>
  <c r="I303" i="657"/>
  <c r="J270" i="657"/>
  <c r="D269" i="657"/>
  <c r="J286" i="657"/>
  <c r="E303" i="657"/>
  <c r="D140" i="657"/>
  <c r="J142" i="657"/>
  <c r="H314" i="658"/>
  <c r="H219" i="658"/>
  <c r="H124" i="658"/>
  <c r="H345" i="658"/>
  <c r="G219" i="658"/>
  <c r="G314" i="658"/>
  <c r="G124" i="658"/>
  <c r="G345" i="658"/>
  <c r="I314" i="658"/>
  <c r="I124" i="658"/>
  <c r="I219" i="658"/>
  <c r="I345" i="658"/>
  <c r="J108" i="445"/>
  <c r="K56" i="445"/>
  <c r="K54" i="445"/>
  <c r="K109" i="445"/>
  <c r="K50" i="445"/>
  <c r="K38" i="445"/>
  <c r="K112" i="445"/>
  <c r="J131" i="445"/>
  <c r="J17" i="445"/>
  <c r="K100" i="445"/>
  <c r="K52" i="445"/>
  <c r="K93" i="445"/>
  <c r="J43" i="445"/>
  <c r="K98" i="445"/>
  <c r="K84" i="445"/>
  <c r="K46" i="445"/>
  <c r="K57" i="445"/>
  <c r="K18" i="445"/>
  <c r="K107" i="445"/>
  <c r="K91" i="445"/>
  <c r="K77" i="445"/>
  <c r="K44" i="445"/>
  <c r="K29" i="445"/>
  <c r="K110" i="445"/>
  <c r="J95" i="445"/>
  <c r="J74" i="445"/>
  <c r="J122" i="445" s="1"/>
  <c r="K96" i="445"/>
  <c r="K82" i="445"/>
  <c r="K42" i="445"/>
  <c r="K41" i="445"/>
  <c r="K55" i="445"/>
  <c r="K105" i="445"/>
  <c r="K89" i="445"/>
  <c r="K75" i="445"/>
  <c r="K114" i="445"/>
  <c r="K86" i="445"/>
  <c r="K79" i="445"/>
  <c r="K40" i="445"/>
  <c r="K28" i="445"/>
  <c r="J36" i="445"/>
  <c r="K63" i="445"/>
  <c r="J25" i="445"/>
  <c r="J128" i="445" s="1"/>
  <c r="J33" i="445"/>
  <c r="K106" i="445"/>
  <c r="K92" i="445"/>
  <c r="K78" i="445"/>
  <c r="K27" i="445"/>
  <c r="K16" i="445"/>
  <c r="K3" i="445" s="1"/>
  <c r="K37" i="445"/>
  <c r="K103" i="445"/>
  <c r="K85" i="445"/>
  <c r="K47" i="445"/>
  <c r="K26" i="445"/>
  <c r="J23" i="445"/>
  <c r="K113" i="445"/>
  <c r="J48" i="445"/>
  <c r="K39" i="445"/>
  <c r="J35" i="445"/>
  <c r="K104" i="445"/>
  <c r="K90" i="445"/>
  <c r="K76" i="445"/>
  <c r="K19" i="445"/>
  <c r="K130" i="445" s="1"/>
  <c r="K65" i="445"/>
  <c r="K99" i="445"/>
  <c r="K83" i="445"/>
  <c r="K49" i="445"/>
  <c r="K62" i="445"/>
  <c r="K64" i="445"/>
  <c r="J24" i="445"/>
  <c r="J101" i="445"/>
  <c r="J87" i="445"/>
  <c r="J124" i="445" s="1"/>
  <c r="J59" i="445"/>
  <c r="J125" i="445" s="1"/>
  <c r="K111" i="445"/>
  <c r="J80" i="445"/>
  <c r="J123" i="445" s="1"/>
  <c r="J53" i="445"/>
  <c r="J34" i="445"/>
  <c r="K102" i="445"/>
  <c r="K88" i="445"/>
  <c r="K60" i="445"/>
  <c r="K61" i="445"/>
  <c r="K51" i="445"/>
  <c r="K97" i="445"/>
  <c r="K81" i="445"/>
  <c r="K45" i="445"/>
  <c r="L25" i="240"/>
  <c r="O113" i="120"/>
  <c r="P113" i="120"/>
  <c r="N113" i="120"/>
  <c r="G19" i="652"/>
  <c r="F19" i="652"/>
  <c r="H19" i="652"/>
  <c r="J21" i="652"/>
  <c r="J37" i="652"/>
  <c r="E19" i="652"/>
  <c r="I24" i="652"/>
  <c r="E27" i="652"/>
  <c r="J26" i="652"/>
  <c r="D19" i="652"/>
  <c r="J20" i="652"/>
  <c r="F27" i="652"/>
  <c r="H27" i="652"/>
  <c r="G27" i="652"/>
  <c r="I19" i="652"/>
  <c r="E34" i="652"/>
  <c r="I27" i="652"/>
  <c r="F34" i="652"/>
  <c r="J25" i="652"/>
  <c r="D24" i="652"/>
  <c r="D34" i="652"/>
  <c r="J35" i="652"/>
  <c r="J36" i="652"/>
  <c r="H24" i="652"/>
  <c r="I34" i="652"/>
  <c r="J29" i="652"/>
  <c r="F24" i="652"/>
  <c r="G34" i="652"/>
  <c r="J31" i="652"/>
  <c r="J28" i="652"/>
  <c r="D27" i="652"/>
  <c r="E24" i="652"/>
  <c r="H34" i="652"/>
  <c r="J30" i="652"/>
  <c r="G24" i="652"/>
  <c r="H190" i="120"/>
  <c r="I192" i="120"/>
  <c r="G192" i="120"/>
  <c r="H391" i="657"/>
  <c r="H412" i="657" s="1"/>
  <c r="K14" i="48"/>
  <c r="AC4" i="120"/>
  <c r="V113" i="120"/>
  <c r="AD4" i="120"/>
  <c r="W113" i="120"/>
  <c r="I391" i="657"/>
  <c r="I412" i="657" s="1"/>
  <c r="B220" i="127"/>
  <c r="B232" i="127"/>
  <c r="B235" i="127"/>
  <c r="B239" i="127"/>
  <c r="B252" i="127"/>
  <c r="B262" i="127"/>
  <c r="B218" i="127"/>
  <c r="B254" i="127"/>
  <c r="B265" i="127"/>
  <c r="B214" i="127"/>
  <c r="B226" i="127"/>
  <c r="B231" i="127"/>
  <c r="B246" i="127"/>
  <c r="B267" i="127"/>
  <c r="B270" i="127"/>
  <c r="B222" i="127"/>
  <c r="B229" i="127"/>
  <c r="B233" i="127"/>
  <c r="B240" i="127"/>
  <c r="B248" i="127"/>
  <c r="B256" i="127"/>
  <c r="B263" i="127"/>
  <c r="B225" i="127"/>
  <c r="B242" i="127"/>
  <c r="B259" i="127"/>
  <c r="B216" i="127"/>
  <c r="B221" i="127"/>
  <c r="B236" i="127"/>
  <c r="B261" i="127"/>
  <c r="B227" i="127"/>
  <c r="B234" i="127"/>
  <c r="B250" i="127"/>
  <c r="B257" i="127"/>
  <c r="B264" i="127"/>
  <c r="B215" i="127"/>
  <c r="B219" i="127"/>
  <c r="B253" i="127"/>
  <c r="B255" i="127"/>
  <c r="B266" i="127"/>
  <c r="B223" i="127"/>
  <c r="B230" i="127"/>
  <c r="B244" i="127"/>
  <c r="B268" i="127"/>
  <c r="B228" i="127"/>
  <c r="B238" i="127"/>
  <c r="B247" i="127"/>
  <c r="B249" i="127"/>
  <c r="B251" i="127"/>
  <c r="B258" i="127"/>
  <c r="B217" i="127"/>
  <c r="B241" i="127"/>
  <c r="B243" i="127"/>
  <c r="B260" i="127"/>
  <c r="B224" i="127"/>
  <c r="B237" i="127"/>
  <c r="B245" i="127"/>
  <c r="B269" i="127"/>
  <c r="M16" i="445" l="1"/>
  <c r="M3" i="445" s="1"/>
  <c r="N4" i="633"/>
  <c r="N16" i="445" s="1"/>
  <c r="N3" i="445" s="1"/>
  <c r="G224" i="657"/>
  <c r="E23" i="650"/>
  <c r="F130" i="654"/>
  <c r="F149" i="650"/>
  <c r="G130" i="654"/>
  <c r="E224" i="657"/>
  <c r="H149" i="650"/>
  <c r="E225" i="654"/>
  <c r="D225" i="654"/>
  <c r="J167" i="657"/>
  <c r="H224" i="657"/>
  <c r="E149" i="650"/>
  <c r="I220" i="654"/>
  <c r="I35" i="654"/>
  <c r="I256" i="654"/>
  <c r="G246" i="654"/>
  <c r="G45" i="654"/>
  <c r="I239" i="654"/>
  <c r="J102" i="650"/>
  <c r="J232" i="654"/>
  <c r="G225" i="654"/>
  <c r="G430" i="654" s="1"/>
  <c r="D256" i="654"/>
  <c r="J254" i="654"/>
  <c r="J244" i="654"/>
  <c r="J249" i="654"/>
  <c r="E275" i="654"/>
  <c r="E424" i="654" s="1"/>
  <c r="J308" i="654"/>
  <c r="H234" i="657"/>
  <c r="G234" i="657"/>
  <c r="E234" i="657"/>
  <c r="I72" i="654"/>
  <c r="G251" i="654"/>
  <c r="J48" i="654"/>
  <c r="F225" i="654"/>
  <c r="J298" i="654"/>
  <c r="H45" i="654"/>
  <c r="J143" i="654"/>
  <c r="F256" i="654"/>
  <c r="J273" i="654"/>
  <c r="J279" i="654"/>
  <c r="J302" i="654"/>
  <c r="F154" i="650"/>
  <c r="J278" i="654"/>
  <c r="J280" i="654"/>
  <c r="F234" i="657"/>
  <c r="G35" i="654"/>
  <c r="E33" i="650"/>
  <c r="E140" i="654"/>
  <c r="D234" i="657"/>
  <c r="J172" i="654"/>
  <c r="J78" i="654"/>
  <c r="I234" i="657"/>
  <c r="J37" i="654"/>
  <c r="J264" i="654"/>
  <c r="J169" i="654"/>
  <c r="H140" i="654"/>
  <c r="F140" i="654"/>
  <c r="E35" i="654"/>
  <c r="I149" i="650"/>
  <c r="I225" i="654"/>
  <c r="K68" i="445"/>
  <c r="P68" i="445" s="1"/>
  <c r="P69" i="445"/>
  <c r="J140" i="657"/>
  <c r="F155" i="650"/>
  <c r="F33" i="650"/>
  <c r="J243" i="654"/>
  <c r="F239" i="654"/>
  <c r="J246" i="657"/>
  <c r="J309" i="654"/>
  <c r="J307" i="654"/>
  <c r="D303" i="654"/>
  <c r="I282" i="654"/>
  <c r="I425" i="654" s="1"/>
  <c r="F296" i="654"/>
  <c r="J27" i="650"/>
  <c r="J156" i="650" s="1"/>
  <c r="D156" i="650"/>
  <c r="D152" i="650"/>
  <c r="J81" i="650"/>
  <c r="J152" i="650" s="1"/>
  <c r="J265" i="654"/>
  <c r="I262" i="654"/>
  <c r="I426" i="654" s="1"/>
  <c r="H167" i="654"/>
  <c r="D140" i="654"/>
  <c r="J142" i="654"/>
  <c r="J296" i="657"/>
  <c r="G72" i="654"/>
  <c r="J74" i="654"/>
  <c r="J126" i="654"/>
  <c r="F246" i="654"/>
  <c r="E239" i="654"/>
  <c r="J287" i="654"/>
  <c r="H269" i="654"/>
  <c r="H423" i="654" s="1"/>
  <c r="G275" i="654"/>
  <c r="G424" i="654" s="1"/>
  <c r="J306" i="654"/>
  <c r="E290" i="654"/>
  <c r="D296" i="654"/>
  <c r="J300" i="654"/>
  <c r="G149" i="650"/>
  <c r="J168" i="654"/>
  <c r="D167" i="654"/>
  <c r="J46" i="654"/>
  <c r="D45" i="654"/>
  <c r="F220" i="654"/>
  <c r="J76" i="654"/>
  <c r="D155" i="650"/>
  <c r="J34" i="650"/>
  <c r="J155" i="650" s="1"/>
  <c r="D33" i="650"/>
  <c r="I228" i="654"/>
  <c r="I154" i="650"/>
  <c r="D269" i="654"/>
  <c r="J271" i="654"/>
  <c r="I157" i="650"/>
  <c r="I23" i="650"/>
  <c r="D150" i="650"/>
  <c r="J68" i="650"/>
  <c r="J150" i="650" s="1"/>
  <c r="J95" i="650"/>
  <c r="F23" i="650"/>
  <c r="G23" i="650"/>
  <c r="J251" i="657"/>
  <c r="H228" i="654"/>
  <c r="H429" i="654" s="1"/>
  <c r="G154" i="650"/>
  <c r="J45" i="657"/>
  <c r="H246" i="654"/>
  <c r="J248" i="654"/>
  <c r="J276" i="654"/>
  <c r="D275" i="654"/>
  <c r="J284" i="654"/>
  <c r="J292" i="654"/>
  <c r="J277" i="654"/>
  <c r="G303" i="654"/>
  <c r="H290" i="654"/>
  <c r="I303" i="654"/>
  <c r="J55" i="650"/>
  <c r="F167" i="654"/>
  <c r="G220" i="654"/>
  <c r="D72" i="654"/>
  <c r="J73" i="654"/>
  <c r="H154" i="650"/>
  <c r="J226" i="654"/>
  <c r="H225" i="654"/>
  <c r="H430" i="654" s="1"/>
  <c r="E282" i="654"/>
  <c r="E425" i="654" s="1"/>
  <c r="J297" i="654"/>
  <c r="H296" i="654"/>
  <c r="J294" i="654"/>
  <c r="J235" i="654"/>
  <c r="J267" i="654"/>
  <c r="J266" i="654"/>
  <c r="J303" i="657"/>
  <c r="J171" i="654"/>
  <c r="F228" i="654"/>
  <c r="J241" i="654"/>
  <c r="F251" i="654"/>
  <c r="J299" i="654"/>
  <c r="J301" i="654"/>
  <c r="E296" i="654"/>
  <c r="J272" i="654"/>
  <c r="J295" i="654"/>
  <c r="J281" i="654"/>
  <c r="J19" i="650"/>
  <c r="I224" i="657"/>
  <c r="E262" i="654"/>
  <c r="E426" i="654" s="1"/>
  <c r="J220" i="657"/>
  <c r="J74" i="650"/>
  <c r="J151" i="650" s="1"/>
  <c r="D151" i="650"/>
  <c r="G167" i="654"/>
  <c r="J173" i="654"/>
  <c r="F45" i="654"/>
  <c r="H220" i="654"/>
  <c r="J141" i="654"/>
  <c r="J61" i="650"/>
  <c r="J153" i="650" s="1"/>
  <c r="D153" i="650"/>
  <c r="J231" i="654"/>
  <c r="F224" i="657"/>
  <c r="J50" i="650"/>
  <c r="G239" i="654"/>
  <c r="J245" i="654"/>
  <c r="H251" i="654"/>
  <c r="G256" i="654"/>
  <c r="E251" i="654"/>
  <c r="E303" i="654"/>
  <c r="J274" i="654"/>
  <c r="I296" i="654"/>
  <c r="H282" i="654"/>
  <c r="H425" i="654" s="1"/>
  <c r="G269" i="654"/>
  <c r="G423" i="654" s="1"/>
  <c r="H130" i="654"/>
  <c r="H35" i="654"/>
  <c r="J263" i="654"/>
  <c r="D262" i="654"/>
  <c r="F262" i="654"/>
  <c r="F426" i="654" s="1"/>
  <c r="J239" i="657"/>
  <c r="I45" i="654"/>
  <c r="J77" i="654"/>
  <c r="J228" i="657"/>
  <c r="J31" i="654"/>
  <c r="J247" i="654"/>
  <c r="I246" i="654"/>
  <c r="J240" i="654"/>
  <c r="D239" i="654"/>
  <c r="J255" i="654"/>
  <c r="J258" i="654"/>
  <c r="F275" i="654"/>
  <c r="F424" i="654" s="1"/>
  <c r="J291" i="654"/>
  <c r="D290" i="654"/>
  <c r="H275" i="654"/>
  <c r="H424" i="654" s="1"/>
  <c r="J286" i="654"/>
  <c r="I269" i="654"/>
  <c r="I423" i="654" s="1"/>
  <c r="I130" i="654"/>
  <c r="J282" i="657"/>
  <c r="J45" i="650"/>
  <c r="J36" i="654"/>
  <c r="D35" i="654"/>
  <c r="J268" i="654"/>
  <c r="J290" i="657"/>
  <c r="E154" i="650"/>
  <c r="I167" i="654"/>
  <c r="E45" i="654"/>
  <c r="J75" i="654"/>
  <c r="J35" i="657"/>
  <c r="J229" i="654"/>
  <c r="E228" i="654"/>
  <c r="J72" i="657"/>
  <c r="J227" i="654"/>
  <c r="J259" i="654"/>
  <c r="J260" i="654"/>
  <c r="F269" i="654"/>
  <c r="F423" i="654" s="1"/>
  <c r="J293" i="654"/>
  <c r="J288" i="654"/>
  <c r="J132" i="654"/>
  <c r="D224" i="657"/>
  <c r="J225" i="657"/>
  <c r="J130" i="657"/>
  <c r="J170" i="654"/>
  <c r="J47" i="654"/>
  <c r="H72" i="654"/>
  <c r="J275" i="657"/>
  <c r="G155" i="650"/>
  <c r="G33" i="650"/>
  <c r="J253" i="654"/>
  <c r="I275" i="654"/>
  <c r="I424" i="654" s="1"/>
  <c r="J285" i="654"/>
  <c r="G282" i="654"/>
  <c r="G425" i="654" s="1"/>
  <c r="G290" i="654"/>
  <c r="J304" i="654"/>
  <c r="H303" i="654"/>
  <c r="I290" i="654"/>
  <c r="J305" i="654"/>
  <c r="E130" i="654"/>
  <c r="H262" i="654"/>
  <c r="H426" i="654" s="1"/>
  <c r="J222" i="654"/>
  <c r="H157" i="650"/>
  <c r="H23" i="650"/>
  <c r="J38" i="650"/>
  <c r="D154" i="650"/>
  <c r="F72" i="654"/>
  <c r="J256" i="657"/>
  <c r="D246" i="654"/>
  <c r="J250" i="654"/>
  <c r="J269" i="657"/>
  <c r="J242" i="654"/>
  <c r="H256" i="654"/>
  <c r="J252" i="654"/>
  <c r="D251" i="654"/>
  <c r="H239" i="654"/>
  <c r="J283" i="654"/>
  <c r="D282" i="654"/>
  <c r="F290" i="654"/>
  <c r="G296" i="654"/>
  <c r="F282" i="654"/>
  <c r="F425" i="654" s="1"/>
  <c r="F303" i="654"/>
  <c r="F35" i="654"/>
  <c r="D23" i="650"/>
  <c r="D157" i="650"/>
  <c r="J24" i="650"/>
  <c r="J157" i="650" s="1"/>
  <c r="E220" i="654"/>
  <c r="I140" i="654"/>
  <c r="I251" i="654"/>
  <c r="J89" i="650"/>
  <c r="D149" i="650"/>
  <c r="E246" i="654"/>
  <c r="J257" i="654"/>
  <c r="E256" i="654"/>
  <c r="J270" i="654"/>
  <c r="E269" i="654"/>
  <c r="J131" i="654"/>
  <c r="D130" i="654"/>
  <c r="J262" i="657"/>
  <c r="G262" i="654"/>
  <c r="G426" i="654" s="1"/>
  <c r="I33" i="650"/>
  <c r="E167" i="654"/>
  <c r="J221" i="654"/>
  <c r="D220" i="654"/>
  <c r="G140" i="654"/>
  <c r="E72" i="654"/>
  <c r="H155" i="650"/>
  <c r="H33" i="650"/>
  <c r="G228" i="654"/>
  <c r="D228" i="654"/>
  <c r="J230" i="654"/>
  <c r="K108" i="445"/>
  <c r="J126" i="445"/>
  <c r="K59" i="445"/>
  <c r="K125" i="445" s="1"/>
  <c r="K95" i="445"/>
  <c r="K35" i="445"/>
  <c r="K87" i="445"/>
  <c r="K124" i="445" s="1"/>
  <c r="J121" i="445"/>
  <c r="K80" i="445"/>
  <c r="K123" i="445" s="1"/>
  <c r="K101" i="445"/>
  <c r="K24" i="445"/>
  <c r="K131" i="445"/>
  <c r="K17" i="445"/>
  <c r="K36" i="445"/>
  <c r="J32" i="445"/>
  <c r="J31" i="445" s="1"/>
  <c r="K34" i="445"/>
  <c r="K33" i="445"/>
  <c r="J22" i="445"/>
  <c r="K53" i="445"/>
  <c r="K48" i="445"/>
  <c r="K23" i="445"/>
  <c r="K43" i="445"/>
  <c r="K25" i="445"/>
  <c r="K128" i="445" s="1"/>
  <c r="K74" i="445"/>
  <c r="I23" i="652"/>
  <c r="M88" i="127"/>
  <c r="I387" i="657"/>
  <c r="I408" i="657" s="1"/>
  <c r="I389" i="657"/>
  <c r="H387" i="657"/>
  <c r="H408" i="657" s="1"/>
  <c r="G23" i="652"/>
  <c r="E23" i="652"/>
  <c r="F23" i="652"/>
  <c r="D23" i="652"/>
  <c r="J24" i="652"/>
  <c r="J19" i="652"/>
  <c r="J27" i="652"/>
  <c r="H23" i="652"/>
  <c r="J34" i="652"/>
  <c r="H389" i="657"/>
  <c r="G428" i="654"/>
  <c r="F391" i="654"/>
  <c r="H428" i="654"/>
  <c r="D432" i="654"/>
  <c r="D391" i="654"/>
  <c r="I428" i="654"/>
  <c r="E391" i="654"/>
  <c r="D431" i="654"/>
  <c r="E432" i="654"/>
  <c r="G391" i="654"/>
  <c r="H430" i="657"/>
  <c r="H391" i="654"/>
  <c r="F432" i="654"/>
  <c r="I391" i="654"/>
  <c r="D428" i="654"/>
  <c r="G432" i="654"/>
  <c r="E428" i="654"/>
  <c r="H432" i="654"/>
  <c r="I432" i="654"/>
  <c r="F428" i="654"/>
  <c r="I430" i="657"/>
  <c r="I385" i="657"/>
  <c r="I406" i="657" s="1"/>
  <c r="H422" i="657"/>
  <c r="I422" i="657"/>
  <c r="H429" i="657"/>
  <c r="H385" i="657"/>
  <c r="H406" i="657" s="1"/>
  <c r="H427" i="657"/>
  <c r="I429" i="657"/>
  <c r="I427" i="657"/>
  <c r="D20" i="79"/>
  <c r="D22" i="79"/>
  <c r="M124" i="127"/>
  <c r="G311" i="657" l="1"/>
  <c r="K122" i="445"/>
  <c r="E110" i="650"/>
  <c r="E311" i="657"/>
  <c r="H311" i="657"/>
  <c r="D224" i="654"/>
  <c r="F311" i="657"/>
  <c r="I224" i="654"/>
  <c r="I429" i="654"/>
  <c r="F224" i="654"/>
  <c r="J269" i="654"/>
  <c r="E224" i="654"/>
  <c r="E429" i="654"/>
  <c r="I311" i="657"/>
  <c r="D311" i="657"/>
  <c r="G224" i="654"/>
  <c r="I110" i="650"/>
  <c r="E423" i="654"/>
  <c r="J149" i="650"/>
  <c r="H110" i="650"/>
  <c r="F234" i="654"/>
  <c r="J234" i="657"/>
  <c r="I234" i="654"/>
  <c r="J23" i="650"/>
  <c r="D234" i="654"/>
  <c r="H234" i="654"/>
  <c r="J220" i="654"/>
  <c r="G110" i="650"/>
  <c r="J275" i="654"/>
  <c r="G429" i="654"/>
  <c r="F429" i="654"/>
  <c r="E234" i="654"/>
  <c r="J154" i="650"/>
  <c r="J33" i="650"/>
  <c r="D110" i="650"/>
  <c r="J140" i="654"/>
  <c r="J251" i="654"/>
  <c r="J256" i="654"/>
  <c r="J239" i="654"/>
  <c r="J45" i="654"/>
  <c r="J224" i="657"/>
  <c r="H224" i="654"/>
  <c r="J72" i="654"/>
  <c r="J35" i="654"/>
  <c r="J246" i="654"/>
  <c r="J225" i="654"/>
  <c r="J282" i="654"/>
  <c r="J296" i="654"/>
  <c r="F110" i="650"/>
  <c r="J228" i="654"/>
  <c r="G234" i="654"/>
  <c r="J167" i="654"/>
  <c r="J290" i="654"/>
  <c r="J130" i="654"/>
  <c r="J303" i="654"/>
  <c r="J262" i="654"/>
  <c r="K32" i="445"/>
  <c r="K22" i="445"/>
  <c r="K21" i="445" s="1"/>
  <c r="J432" i="654"/>
  <c r="J127" i="445"/>
  <c r="K126" i="445"/>
  <c r="J431" i="654"/>
  <c r="J129" i="445"/>
  <c r="J21" i="445"/>
  <c r="J428" i="654"/>
  <c r="K121" i="445"/>
  <c r="H385" i="654"/>
  <c r="H406" i="654" s="1"/>
  <c r="I410" i="657"/>
  <c r="D387" i="654"/>
  <c r="D408" i="654" s="1"/>
  <c r="H410" i="657"/>
  <c r="E387" i="654"/>
  <c r="E408" i="654" s="1"/>
  <c r="J23" i="652"/>
  <c r="G427" i="654"/>
  <c r="F385" i="654"/>
  <c r="F406" i="654" s="1"/>
  <c r="E385" i="654"/>
  <c r="E406" i="654" s="1"/>
  <c r="F387" i="654"/>
  <c r="F408" i="654" s="1"/>
  <c r="E412" i="654"/>
  <c r="E427" i="654"/>
  <c r="F427" i="654"/>
  <c r="I385" i="654"/>
  <c r="I406" i="654" s="1"/>
  <c r="F422" i="654"/>
  <c r="I412" i="654"/>
  <c r="H427" i="654"/>
  <c r="H422" i="654"/>
  <c r="D429" i="654"/>
  <c r="I422" i="654"/>
  <c r="G385" i="654"/>
  <c r="G406" i="654" s="1"/>
  <c r="D422" i="654"/>
  <c r="D423" i="654"/>
  <c r="D424" i="654"/>
  <c r="F389" i="654"/>
  <c r="D426" i="654"/>
  <c r="D385" i="654"/>
  <c r="D389" i="654"/>
  <c r="I387" i="654"/>
  <c r="I408" i="654" s="1"/>
  <c r="H387" i="654"/>
  <c r="H408" i="654" s="1"/>
  <c r="D427" i="654"/>
  <c r="F430" i="654"/>
  <c r="E430" i="654"/>
  <c r="H389" i="654"/>
  <c r="H410" i="654" s="1"/>
  <c r="J391" i="654"/>
  <c r="D430" i="654"/>
  <c r="G422" i="654"/>
  <c r="G387" i="654"/>
  <c r="G408" i="654" s="1"/>
  <c r="D412" i="654"/>
  <c r="I427" i="654"/>
  <c r="I389" i="654"/>
  <c r="H412" i="654"/>
  <c r="D425" i="654"/>
  <c r="F412" i="654"/>
  <c r="E389" i="654"/>
  <c r="E422" i="654"/>
  <c r="G412" i="654"/>
  <c r="G389" i="654"/>
  <c r="G410" i="654" s="1"/>
  <c r="I430" i="654"/>
  <c r="E311" i="654" l="1"/>
  <c r="J311" i="657"/>
  <c r="D311" i="654"/>
  <c r="F311" i="654"/>
  <c r="I311" i="654"/>
  <c r="J224" i="654"/>
  <c r="G311" i="654"/>
  <c r="K129" i="445"/>
  <c r="J412" i="654"/>
  <c r="K127" i="445"/>
  <c r="K31" i="445"/>
  <c r="K116" i="445" s="1"/>
  <c r="J234" i="654"/>
  <c r="H311" i="654"/>
  <c r="J110" i="650"/>
  <c r="J116" i="445"/>
  <c r="J425" i="654"/>
  <c r="J426" i="654"/>
  <c r="J430" i="654"/>
  <c r="J429" i="654"/>
  <c r="J132" i="445"/>
  <c r="J424" i="654"/>
  <c r="J423" i="654"/>
  <c r="E410" i="654"/>
  <c r="J387" i="654"/>
  <c r="J408" i="654" s="1"/>
  <c r="I410" i="654"/>
  <c r="F410" i="654"/>
  <c r="J389" i="654"/>
  <c r="J422" i="654"/>
  <c r="D410" i="654"/>
  <c r="J427" i="654"/>
  <c r="D406" i="654"/>
  <c r="J385" i="654"/>
  <c r="M36" i="127"/>
  <c r="K15" i="48"/>
  <c r="J406" i="654" l="1"/>
  <c r="K132" i="445"/>
  <c r="K133" i="445" s="1"/>
  <c r="J133" i="445"/>
  <c r="J311" i="654"/>
  <c r="J410" i="654"/>
  <c r="L11" i="240" l="1"/>
  <c r="N11" i="240" s="1"/>
  <c r="L12" i="240" l="1"/>
  <c r="N12" i="240" s="1"/>
  <c r="L13" i="240" l="1"/>
  <c r="N13" i="240" s="1"/>
  <c r="L14" i="240" l="1"/>
  <c r="N14" i="240" s="1"/>
  <c r="L15" i="240" l="1"/>
  <c r="N15" i="240" s="1"/>
  <c r="M93" i="128"/>
  <c r="L93" i="128"/>
  <c r="K93" i="128"/>
  <c r="J93" i="128"/>
  <c r="I93" i="128"/>
  <c r="H93" i="128"/>
  <c r="I25" i="315"/>
  <c r="H23" i="315"/>
  <c r="G23" i="315"/>
  <c r="F23" i="315"/>
  <c r="H22" i="315"/>
  <c r="G22" i="315"/>
  <c r="F22" i="315"/>
  <c r="I20" i="315"/>
  <c r="H19" i="315"/>
  <c r="H24" i="315" s="1"/>
  <c r="G19" i="315"/>
  <c r="G21" i="315" s="1"/>
  <c r="F19" i="315"/>
  <c r="F21" i="315" s="1"/>
  <c r="E19" i="315"/>
  <c r="E21" i="315" s="1"/>
  <c r="D19" i="315"/>
  <c r="D21" i="315" s="1"/>
  <c r="I18" i="315"/>
  <c r="I17" i="315"/>
  <c r="I16" i="315"/>
  <c r="H14" i="315"/>
  <c r="G14" i="315"/>
  <c r="F14" i="315"/>
  <c r="I13" i="315"/>
  <c r="I12" i="315"/>
  <c r="I11" i="315"/>
  <c r="I10" i="315"/>
  <c r="I8" i="315"/>
  <c r="I7" i="315"/>
  <c r="I6" i="315"/>
  <c r="E23" i="315"/>
  <c r="D23" i="315"/>
  <c r="E22" i="315"/>
  <c r="D22" i="315"/>
  <c r="B12" i="36"/>
  <c r="B13" i="36" s="1"/>
  <c r="B14" i="36" s="1"/>
  <c r="B15" i="36" s="1"/>
  <c r="B16" i="36" s="1"/>
  <c r="I45" i="315" l="1"/>
  <c r="I42" i="315"/>
  <c r="L16" i="240"/>
  <c r="I9" i="315"/>
  <c r="I5" i="315"/>
  <c r="D14" i="315"/>
  <c r="I3" i="315"/>
  <c r="I22" i="315" s="1"/>
  <c r="I334" i="128"/>
  <c r="L334" i="128"/>
  <c r="J334" i="128"/>
  <c r="K334" i="128"/>
  <c r="M334" i="128"/>
  <c r="H334" i="128"/>
  <c r="N136" i="128"/>
  <c r="H146" i="128"/>
  <c r="J146" i="128"/>
  <c r="I146" i="128"/>
  <c r="L146" i="128"/>
  <c r="K146" i="128"/>
  <c r="M146" i="128"/>
  <c r="N139" i="128"/>
  <c r="N241" i="128"/>
  <c r="I131" i="128"/>
  <c r="I135" i="128" s="1"/>
  <c r="I141" i="128" s="1"/>
  <c r="I143" i="128" s="1"/>
  <c r="H131" i="128"/>
  <c r="H135" i="128" s="1"/>
  <c r="H141" i="128" s="1"/>
  <c r="H143" i="128" s="1"/>
  <c r="J131" i="128"/>
  <c r="J135" i="128" s="1"/>
  <c r="J141" i="128" s="1"/>
  <c r="J143" i="128" s="1"/>
  <c r="K131" i="128"/>
  <c r="K135" i="128" s="1"/>
  <c r="K141" i="128" s="1"/>
  <c r="K143" i="128" s="1"/>
  <c r="N132" i="128"/>
  <c r="L131" i="128"/>
  <c r="L135" i="128" s="1"/>
  <c r="L141" i="128" s="1"/>
  <c r="L143" i="128" s="1"/>
  <c r="M131" i="128"/>
  <c r="M135" i="128" s="1"/>
  <c r="M141" i="128" s="1"/>
  <c r="M143" i="128" s="1"/>
  <c r="N133" i="128"/>
  <c r="N138" i="128"/>
  <c r="H38" i="128"/>
  <c r="H42" i="128" s="1"/>
  <c r="H45" i="128" s="1"/>
  <c r="H47" i="128" s="1"/>
  <c r="I38" i="128"/>
  <c r="I42" i="128" s="1"/>
  <c r="I45" i="128" s="1"/>
  <c r="I47" i="128" s="1"/>
  <c r="J38" i="128"/>
  <c r="J42" i="128" s="1"/>
  <c r="J45" i="128" s="1"/>
  <c r="J47" i="128" s="1"/>
  <c r="K38" i="128"/>
  <c r="K42" i="128" s="1"/>
  <c r="L38" i="128"/>
  <c r="L42" i="128" s="1"/>
  <c r="M38" i="128"/>
  <c r="M42" i="128" s="1"/>
  <c r="M45" i="128" s="1"/>
  <c r="M47" i="128" s="1"/>
  <c r="H21" i="315"/>
  <c r="C14" i="315"/>
  <c r="E14" i="315"/>
  <c r="I19" i="315"/>
  <c r="D24" i="315"/>
  <c r="E24" i="315"/>
  <c r="F24" i="315"/>
  <c r="I4" i="315"/>
  <c r="I23" i="315" s="1"/>
  <c r="G24" i="315"/>
  <c r="L18" i="240" l="1"/>
  <c r="L19" i="240" s="1"/>
  <c r="N16" i="240"/>
  <c r="N17" i="240" s="1"/>
  <c r="H229" i="128"/>
  <c r="H244" i="128" s="1"/>
  <c r="L417" i="128"/>
  <c r="L424" i="128" s="1"/>
  <c r="M417" i="128"/>
  <c r="M424" i="128" s="1"/>
  <c r="K45" i="128"/>
  <c r="K47" i="128" s="1"/>
  <c r="I229" i="128"/>
  <c r="I235" i="128" s="1"/>
  <c r="I239" i="128" s="1"/>
  <c r="I243" i="128" s="1"/>
  <c r="M229" i="128"/>
  <c r="M235" i="128" s="1"/>
  <c r="M239" i="128" s="1"/>
  <c r="M243" i="128" s="1"/>
  <c r="N147" i="128"/>
  <c r="J417" i="128"/>
  <c r="J424" i="128" s="1"/>
  <c r="H417" i="128"/>
  <c r="H424" i="128" s="1"/>
  <c r="J229" i="128"/>
  <c r="J235" i="128" s="1"/>
  <c r="J239" i="128" s="1"/>
  <c r="J243" i="128" s="1"/>
  <c r="L45" i="128"/>
  <c r="L47" i="128" s="1"/>
  <c r="I417" i="128"/>
  <c r="I424" i="128" s="1"/>
  <c r="L229" i="128"/>
  <c r="L235" i="128" s="1"/>
  <c r="L239" i="128" s="1"/>
  <c r="L243" i="128" s="1"/>
  <c r="K229" i="128"/>
  <c r="K235" i="128" s="1"/>
  <c r="K239" i="128" s="1"/>
  <c r="K243" i="128" s="1"/>
  <c r="K417" i="128"/>
  <c r="K424" i="128" s="1"/>
  <c r="N131" i="128"/>
  <c r="I14" i="315"/>
  <c r="I24" i="315"/>
  <c r="I21" i="315"/>
  <c r="L20" i="240" l="1"/>
  <c r="N135" i="128"/>
  <c r="H235" i="128"/>
  <c r="H239" i="128" s="1"/>
  <c r="H243" i="128" s="1"/>
  <c r="J244" i="128"/>
  <c r="L248" i="128"/>
  <c r="M248" i="128"/>
  <c r="M244" i="128"/>
  <c r="L244" i="128"/>
  <c r="J248" i="128"/>
  <c r="K244" i="128"/>
  <c r="K248" i="128"/>
  <c r="I248" i="128"/>
  <c r="N229" i="128"/>
  <c r="N235" i="128" s="1"/>
  <c r="N239" i="128" s="1"/>
  <c r="N243" i="128" s="1"/>
  <c r="D12" i="831" s="1"/>
  <c r="I244" i="128"/>
  <c r="N417" i="128"/>
  <c r="L21" i="240" l="1"/>
  <c r="N424" i="128"/>
  <c r="N141" i="128"/>
  <c r="H248" i="128"/>
  <c r="N248" i="128"/>
  <c r="N244" i="128"/>
  <c r="L22" i="240" l="1"/>
  <c r="N143" i="128"/>
  <c r="D5" i="831" s="1"/>
  <c r="D156" i="130"/>
  <c r="E156" i="130"/>
  <c r="F156" i="130"/>
  <c r="G156" i="130"/>
  <c r="H156" i="130"/>
  <c r="I156" i="130"/>
  <c r="D157" i="130"/>
  <c r="E157" i="130"/>
  <c r="F157" i="130"/>
  <c r="G157" i="130"/>
  <c r="H157" i="130"/>
  <c r="I157" i="130"/>
  <c r="D158" i="130"/>
  <c r="E158" i="130"/>
  <c r="F158" i="130"/>
  <c r="G158" i="130"/>
  <c r="H158" i="130"/>
  <c r="I158" i="130"/>
  <c r="D159" i="130"/>
  <c r="E159" i="130"/>
  <c r="F159" i="130"/>
  <c r="G159" i="130"/>
  <c r="H159" i="130"/>
  <c r="I159" i="130"/>
  <c r="D160" i="130"/>
  <c r="E160" i="130"/>
  <c r="F160" i="130"/>
  <c r="G160" i="130"/>
  <c r="H160" i="130"/>
  <c r="I160" i="130"/>
  <c r="D161" i="130"/>
  <c r="E161" i="130"/>
  <c r="F161" i="130"/>
  <c r="G161" i="130"/>
  <c r="H161" i="130"/>
  <c r="I161" i="130"/>
  <c r="D162" i="130"/>
  <c r="E162" i="130"/>
  <c r="L127" i="130" s="1"/>
  <c r="F162" i="130"/>
  <c r="M127" i="130" s="1"/>
  <c r="G162" i="130"/>
  <c r="N127" i="130" s="1"/>
  <c r="H162" i="130"/>
  <c r="O127" i="130" s="1"/>
  <c r="I162" i="130"/>
  <c r="P127" i="130" s="1"/>
  <c r="D163" i="130"/>
  <c r="E163" i="130"/>
  <c r="F163" i="130"/>
  <c r="G163" i="130"/>
  <c r="H163" i="130"/>
  <c r="I163" i="130"/>
  <c r="D164" i="130"/>
  <c r="E164" i="130"/>
  <c r="F164" i="130"/>
  <c r="G164" i="130"/>
  <c r="H164" i="130"/>
  <c r="I164" i="130"/>
  <c r="D165" i="130"/>
  <c r="E165" i="130"/>
  <c r="F165" i="130"/>
  <c r="G165" i="130"/>
  <c r="H165" i="130"/>
  <c r="I165" i="130"/>
  <c r="D166" i="130"/>
  <c r="E166" i="130"/>
  <c r="F166" i="130"/>
  <c r="G166" i="130"/>
  <c r="H166" i="130"/>
  <c r="I166" i="130"/>
  <c r="D167" i="130"/>
  <c r="E167" i="130"/>
  <c r="F167" i="130"/>
  <c r="G167" i="130"/>
  <c r="H167" i="130"/>
  <c r="I167" i="130"/>
  <c r="D168" i="130"/>
  <c r="E168" i="130"/>
  <c r="F168" i="130"/>
  <c r="G168" i="130"/>
  <c r="H168" i="130"/>
  <c r="I168" i="130"/>
  <c r="D169" i="130"/>
  <c r="E169" i="130"/>
  <c r="F169" i="130"/>
  <c r="G169" i="130"/>
  <c r="H169" i="130"/>
  <c r="I169" i="130"/>
  <c r="D170" i="130"/>
  <c r="E170" i="130"/>
  <c r="F170" i="130"/>
  <c r="G170" i="130"/>
  <c r="H170" i="130"/>
  <c r="I170" i="130"/>
  <c r="D171" i="130"/>
  <c r="E171" i="130"/>
  <c r="F171" i="130"/>
  <c r="G171" i="130"/>
  <c r="H171" i="130"/>
  <c r="I171" i="130"/>
  <c r="D172" i="130"/>
  <c r="E172" i="130"/>
  <c r="F172" i="130"/>
  <c r="G172" i="130"/>
  <c r="H172" i="130"/>
  <c r="I172" i="130"/>
  <c r="D173" i="130"/>
  <c r="E173" i="130"/>
  <c r="F173" i="130"/>
  <c r="G173" i="130"/>
  <c r="H173" i="130"/>
  <c r="I173" i="130"/>
  <c r="D174" i="130"/>
  <c r="E174" i="130"/>
  <c r="F174" i="130"/>
  <c r="G174" i="130"/>
  <c r="H174" i="130"/>
  <c r="I174" i="130"/>
  <c r="E155" i="130"/>
  <c r="F155" i="130"/>
  <c r="G155" i="130"/>
  <c r="H155" i="130"/>
  <c r="I155" i="130"/>
  <c r="D155" i="130"/>
  <c r="J155" i="130" s="1"/>
  <c r="I127" i="130" l="1"/>
  <c r="I357" i="202" s="1"/>
  <c r="H127" i="130"/>
  <c r="G127" i="130"/>
  <c r="F127" i="130"/>
  <c r="E127" i="130"/>
  <c r="J171" i="130"/>
  <c r="J173" i="130"/>
  <c r="J166" i="130"/>
  <c r="I357" i="813"/>
  <c r="I357" i="814"/>
  <c r="I357" i="815"/>
  <c r="J157" i="130"/>
  <c r="J170" i="130"/>
  <c r="J167" i="130"/>
  <c r="J159" i="130"/>
  <c r="J174" i="130"/>
  <c r="J160" i="130"/>
  <c r="J165" i="130"/>
  <c r="H357" i="815"/>
  <c r="H357" i="814"/>
  <c r="J172" i="130"/>
  <c r="J164" i="130"/>
  <c r="J156" i="130"/>
  <c r="J168" i="130"/>
  <c r="G357" i="813"/>
  <c r="E357" i="815"/>
  <c r="E357" i="814"/>
  <c r="E357" i="813"/>
  <c r="K127" i="130"/>
  <c r="J162" i="130"/>
  <c r="J158" i="130"/>
  <c r="J163" i="130"/>
  <c r="J169" i="130"/>
  <c r="J161" i="130"/>
  <c r="L23" i="240"/>
  <c r="I357" i="200"/>
  <c r="G357" i="200"/>
  <c r="F357" i="202"/>
  <c r="H357" i="200"/>
  <c r="H357" i="202"/>
  <c r="E357" i="200"/>
  <c r="E357" i="202"/>
  <c r="I177" i="130"/>
  <c r="I176" i="130" s="1"/>
  <c r="H177" i="130"/>
  <c r="H176" i="130" s="1"/>
  <c r="G177" i="130"/>
  <c r="G176" i="130" s="1"/>
  <c r="Q127" i="130"/>
  <c r="E177" i="130"/>
  <c r="E176" i="130" s="1"/>
  <c r="D177" i="130"/>
  <c r="F177" i="130"/>
  <c r="F176" i="130" s="1"/>
  <c r="I212" i="87"/>
  <c r="H212" i="87"/>
  <c r="G212" i="87"/>
  <c r="F212" i="87"/>
  <c r="E212" i="87"/>
  <c r="D212" i="87"/>
  <c r="I185" i="88"/>
  <c r="I184" i="88" s="1"/>
  <c r="H185" i="88"/>
  <c r="H184" i="88" s="1"/>
  <c r="G185" i="88"/>
  <c r="F185" i="88"/>
  <c r="F184" i="88" s="1"/>
  <c r="E185" i="88"/>
  <c r="E184" i="88" s="1"/>
  <c r="D185" i="88"/>
  <c r="G184" i="88"/>
  <c r="J183" i="88"/>
  <c r="J182" i="88"/>
  <c r="J181" i="88"/>
  <c r="J180" i="88"/>
  <c r="J179" i="88"/>
  <c r="J178" i="88"/>
  <c r="J177" i="88"/>
  <c r="J176" i="88"/>
  <c r="J175" i="88"/>
  <c r="J174" i="88"/>
  <c r="J173" i="88"/>
  <c r="J172" i="88"/>
  <c r="J171" i="88"/>
  <c r="J170" i="88"/>
  <c r="J169" i="88"/>
  <c r="J168" i="88"/>
  <c r="J167" i="88"/>
  <c r="J166" i="88"/>
  <c r="J165" i="88"/>
  <c r="J164" i="88"/>
  <c r="J163" i="88"/>
  <c r="I175" i="86"/>
  <c r="H175" i="86"/>
  <c r="G175" i="86"/>
  <c r="F175" i="86"/>
  <c r="E175" i="86"/>
  <c r="D175" i="86"/>
  <c r="F357" i="814" l="1"/>
  <c r="H357" i="813"/>
  <c r="F357" i="813"/>
  <c r="F357" i="815"/>
  <c r="F357" i="200"/>
  <c r="G357" i="814"/>
  <c r="G357" i="202"/>
  <c r="G357" i="815"/>
  <c r="D127" i="130"/>
  <c r="L26" i="240"/>
  <c r="D176" i="130"/>
  <c r="J177" i="130"/>
  <c r="J212" i="87"/>
  <c r="J185" i="88"/>
  <c r="D184" i="88"/>
  <c r="J184" i="88" s="1"/>
  <c r="D357" i="813" l="1"/>
  <c r="J357" i="813" s="1"/>
  <c r="J127" i="130"/>
  <c r="J176" i="130"/>
  <c r="D357" i="814"/>
  <c r="D357" i="815"/>
  <c r="J357" i="815" s="1"/>
  <c r="D357" i="202"/>
  <c r="D357" i="200"/>
  <c r="J357" i="200" s="1"/>
  <c r="J357" i="202"/>
  <c r="J357" i="814"/>
  <c r="D97" i="152"/>
  <c r="I7" i="81" l="1"/>
  <c r="H7" i="81"/>
  <c r="G7" i="81"/>
  <c r="F7" i="81"/>
  <c r="E7" i="81"/>
  <c r="D7" i="81"/>
  <c r="P7" i="130"/>
  <c r="O7" i="130"/>
  <c r="N7" i="130"/>
  <c r="M7" i="130"/>
  <c r="L7" i="130"/>
  <c r="K7" i="130"/>
  <c r="I7" i="130"/>
  <c r="H7" i="130"/>
  <c r="G7" i="130"/>
  <c r="F7" i="130"/>
  <c r="E7" i="130"/>
  <c r="D7" i="130"/>
  <c r="I7" i="129"/>
  <c r="H7" i="129"/>
  <c r="G7" i="129"/>
  <c r="F7" i="129"/>
  <c r="E7" i="129"/>
  <c r="D7" i="129"/>
  <c r="I214" i="130" l="1"/>
  <c r="I20" i="742"/>
  <c r="I155" i="742" s="1"/>
  <c r="F214" i="130"/>
  <c r="F20" i="742"/>
  <c r="F155" i="742" s="1"/>
  <c r="G214" i="130"/>
  <c r="G20" i="742"/>
  <c r="G155" i="742" s="1"/>
  <c r="H214" i="130"/>
  <c r="H20" i="742"/>
  <c r="H155" i="742" s="1"/>
  <c r="D214" i="130"/>
  <c r="D20" i="742"/>
  <c r="D155" i="742" s="1"/>
  <c r="E214" i="130"/>
  <c r="E20" i="742"/>
  <c r="E155" i="742" s="1"/>
  <c r="J7" i="81"/>
  <c r="Q7" i="130"/>
  <c r="J7" i="130"/>
  <c r="J214" i="130" s="1"/>
  <c r="L23" i="485" s="1"/>
  <c r="I431" i="508"/>
  <c r="I222" i="502"/>
  <c r="I431" i="502" s="1"/>
  <c r="H431" i="508"/>
  <c r="H222" i="502"/>
  <c r="H431" i="502" s="1"/>
  <c r="G431" i="508"/>
  <c r="G222" i="502"/>
  <c r="G431" i="502" s="1"/>
  <c r="F431" i="508"/>
  <c r="F222" i="502"/>
  <c r="F431" i="502" s="1"/>
  <c r="E431" i="508"/>
  <c r="E222" i="502"/>
  <c r="E431" i="502" s="1"/>
  <c r="D222" i="502"/>
  <c r="J7" i="129"/>
  <c r="J222" i="502" l="1"/>
  <c r="J431" i="502" s="1"/>
  <c r="J222" i="508"/>
  <c r="J431" i="508" s="1"/>
  <c r="J20" i="742"/>
  <c r="J155" i="742" s="1"/>
  <c r="D431" i="502"/>
  <c r="D431" i="508"/>
  <c r="J18" i="639" l="1"/>
  <c r="AH50" i="120" l="1"/>
  <c r="C65" i="445"/>
  <c r="C64" i="445"/>
  <c r="C63" i="445"/>
  <c r="C62" i="445"/>
  <c r="C61" i="445"/>
  <c r="C60" i="445"/>
  <c r="C59" i="445"/>
  <c r="D153" i="81"/>
  <c r="D152" i="81" s="1"/>
  <c r="I55" i="75" l="1"/>
  <c r="G38" i="103" l="1"/>
  <c r="G37" i="103"/>
  <c r="G36" i="103"/>
  <c r="G35" i="103"/>
  <c r="F38" i="103"/>
  <c r="F37" i="103"/>
  <c r="F36" i="103"/>
  <c r="F35" i="103"/>
  <c r="AI6" i="812" s="1"/>
  <c r="AI25" i="812" l="1"/>
  <c r="AI26" i="812"/>
  <c r="AI24" i="812"/>
  <c r="AI22" i="812"/>
  <c r="AI23" i="812"/>
  <c r="AI21" i="812"/>
  <c r="AI10" i="812"/>
  <c r="AI12" i="812"/>
  <c r="AI11" i="812"/>
  <c r="AI13" i="812"/>
  <c r="AI7" i="145"/>
  <c r="AI7" i="812"/>
  <c r="AI18" i="812"/>
  <c r="AI15" i="812"/>
  <c r="AI17" i="812"/>
  <c r="AI16" i="812"/>
  <c r="AI14" i="812"/>
  <c r="AI47" i="812"/>
  <c r="AI29" i="812"/>
  <c r="AI142" i="812" s="1"/>
  <c r="AI45" i="812"/>
  <c r="AI40" i="812"/>
  <c r="AI35" i="812"/>
  <c r="AI48" i="812"/>
  <c r="AI37" i="812"/>
  <c r="AI43" i="812"/>
  <c r="AI42" i="812"/>
  <c r="AI33" i="812"/>
  <c r="AI31" i="812"/>
  <c r="AI28" i="812"/>
  <c r="AI141" i="812" s="1"/>
  <c r="AI36" i="812"/>
  <c r="AI38" i="812"/>
  <c r="AI46" i="812"/>
  <c r="AI34" i="812"/>
  <c r="AI39" i="812"/>
  <c r="AI44" i="812"/>
  <c r="AI30" i="812"/>
  <c r="AI143" i="812" s="1"/>
  <c r="AI41" i="812"/>
  <c r="AI27" i="812"/>
  <c r="AI32" i="812"/>
  <c r="AI67" i="812"/>
  <c r="AI104" i="812"/>
  <c r="AI93" i="812"/>
  <c r="AI63" i="812"/>
  <c r="AI55" i="812"/>
  <c r="AI102" i="812"/>
  <c r="AI87" i="812"/>
  <c r="AI69" i="812"/>
  <c r="AI74" i="812"/>
  <c r="AI52" i="812"/>
  <c r="AI76" i="812"/>
  <c r="AI101" i="812"/>
  <c r="AI99" i="812"/>
  <c r="AI82" i="812"/>
  <c r="AI79" i="812"/>
  <c r="AI100" i="812"/>
  <c r="AI90" i="812"/>
  <c r="AI81" i="812"/>
  <c r="AI75" i="812"/>
  <c r="AI72" i="812"/>
  <c r="AI94" i="812"/>
  <c r="AI70" i="812"/>
  <c r="AI68" i="812"/>
  <c r="AI65" i="812"/>
  <c r="AI54" i="812"/>
  <c r="AI51" i="812"/>
  <c r="AI91" i="812"/>
  <c r="AI89" i="812"/>
  <c r="AI73" i="812"/>
  <c r="AI105" i="812"/>
  <c r="AI83" i="812"/>
  <c r="AI60" i="812"/>
  <c r="AI98" i="812"/>
  <c r="AI96" i="812"/>
  <c r="AI61" i="812"/>
  <c r="AI59" i="812"/>
  <c r="AI84" i="812"/>
  <c r="AI64" i="812"/>
  <c r="AI103" i="812"/>
  <c r="AI86" i="812"/>
  <c r="AI88" i="812"/>
  <c r="AI62" i="812"/>
  <c r="AI71" i="812"/>
  <c r="AI53" i="812"/>
  <c r="AI106" i="812"/>
  <c r="AI80" i="812"/>
  <c r="AI77" i="812"/>
  <c r="AI85" i="812"/>
  <c r="AI97" i="812"/>
  <c r="AI66" i="812"/>
  <c r="AI95" i="812"/>
  <c r="AI50" i="812"/>
  <c r="AI78" i="812"/>
  <c r="AI56" i="812"/>
  <c r="AI92" i="812"/>
  <c r="AI62" i="145"/>
  <c r="AI61" i="145"/>
  <c r="AI64" i="145"/>
  <c r="AI60" i="145"/>
  <c r="AI63" i="145"/>
  <c r="AI59" i="145"/>
  <c r="AI62" i="87"/>
  <c r="AI61" i="87"/>
  <c r="AI59" i="87"/>
  <c r="AI60" i="87"/>
  <c r="AI63" i="87"/>
  <c r="AI64" i="87"/>
  <c r="AI14" i="145"/>
  <c r="AI14" i="87"/>
  <c r="AI96" i="145"/>
  <c r="AI104" i="145"/>
  <c r="AI100" i="145"/>
  <c r="AI92" i="145"/>
  <c r="AI88" i="145"/>
  <c r="AI84" i="145"/>
  <c r="AI80" i="145"/>
  <c r="AI76" i="145"/>
  <c r="AI72" i="145"/>
  <c r="AI68" i="145"/>
  <c r="AI56" i="145"/>
  <c r="AI52" i="145"/>
  <c r="AI103" i="145"/>
  <c r="AI99" i="145"/>
  <c r="AI95" i="145"/>
  <c r="AI91" i="145"/>
  <c r="AI87" i="145"/>
  <c r="AI83" i="145"/>
  <c r="AI79" i="145"/>
  <c r="AI75" i="145"/>
  <c r="AI71" i="145"/>
  <c r="AI67" i="145"/>
  <c r="AI55" i="145"/>
  <c r="AI51" i="145"/>
  <c r="AI106" i="145"/>
  <c r="AI102" i="145"/>
  <c r="AI98" i="145"/>
  <c r="AI94" i="145"/>
  <c r="AI90" i="145"/>
  <c r="AI86" i="145"/>
  <c r="AI82" i="145"/>
  <c r="AI78" i="145"/>
  <c r="AI74" i="145"/>
  <c r="AI70" i="145"/>
  <c r="AI66" i="145"/>
  <c r="AI54" i="145"/>
  <c r="AI50" i="145"/>
  <c r="AI105" i="145"/>
  <c r="AI101" i="145"/>
  <c r="AI97" i="145"/>
  <c r="AI93" i="145"/>
  <c r="AI89" i="145"/>
  <c r="AI85" i="145"/>
  <c r="AI81" i="145"/>
  <c r="AI77" i="145"/>
  <c r="AI73" i="145"/>
  <c r="AI69" i="145"/>
  <c r="AI65" i="145"/>
  <c r="AI53" i="145"/>
  <c r="AI15" i="145"/>
  <c r="AI18" i="145"/>
  <c r="AI17" i="145"/>
  <c r="AI16" i="145"/>
  <c r="AI47" i="145"/>
  <c r="AI43" i="145"/>
  <c r="AI39" i="145"/>
  <c r="AI35" i="145"/>
  <c r="AI31" i="145"/>
  <c r="AI27" i="145"/>
  <c r="AI46" i="145"/>
  <c r="AI42" i="145"/>
  <c r="AI38" i="145"/>
  <c r="AI34" i="145"/>
  <c r="AI30" i="145"/>
  <c r="AI143" i="145" s="1"/>
  <c r="AI45" i="145"/>
  <c r="AI41" i="145"/>
  <c r="AI37" i="145"/>
  <c r="AI33" i="145"/>
  <c r="AI29" i="145"/>
  <c r="AI142" i="145" s="1"/>
  <c r="AI48" i="145"/>
  <c r="AI44" i="145"/>
  <c r="AI40" i="145"/>
  <c r="AI36" i="145"/>
  <c r="AI32" i="145"/>
  <c r="AI28" i="145"/>
  <c r="AI141" i="145" s="1"/>
  <c r="C274" i="127"/>
  <c r="D274" i="127"/>
  <c r="B275" i="127"/>
  <c r="C275" i="127"/>
  <c r="C276" i="127"/>
  <c r="D273" i="127"/>
  <c r="C273" i="127"/>
  <c r="B78" i="127"/>
  <c r="C78" i="127"/>
  <c r="D78" i="127"/>
  <c r="B79" i="127"/>
  <c r="C79" i="127"/>
  <c r="D79" i="127"/>
  <c r="D82" i="127"/>
  <c r="C82" i="127"/>
  <c r="B82" i="127"/>
  <c r="D275" i="127"/>
  <c r="D276" i="127"/>
  <c r="L70" i="127" l="1"/>
  <c r="H70" i="127"/>
  <c r="I68" i="127"/>
  <c r="I69" i="127"/>
  <c r="J68" i="127"/>
  <c r="K69" i="127"/>
  <c r="J70" i="127"/>
  <c r="G70" i="127"/>
  <c r="J69" i="127"/>
  <c r="K68" i="127"/>
  <c r="H68" i="127"/>
  <c r="K70" i="127"/>
  <c r="I70" i="127"/>
  <c r="L68" i="127"/>
  <c r="L69" i="127"/>
  <c r="G68" i="127"/>
  <c r="G67" i="127"/>
  <c r="H67" i="127"/>
  <c r="J67" i="127"/>
  <c r="I67" i="127"/>
  <c r="K67" i="127"/>
  <c r="L67" i="127"/>
  <c r="H63" i="127"/>
  <c r="G60" i="127"/>
  <c r="G50" i="127"/>
  <c r="J50" i="127"/>
  <c r="J64" i="127"/>
  <c r="K63" i="127"/>
  <c r="G49" i="127"/>
  <c r="I49" i="127"/>
  <c r="I56" i="127"/>
  <c r="I54" i="127"/>
  <c r="H49" i="127"/>
  <c r="K55" i="127"/>
  <c r="I58" i="127"/>
  <c r="K64" i="127"/>
  <c r="I51" i="127"/>
  <c r="H54" i="127"/>
  <c r="L61" i="127"/>
  <c r="K52" i="127"/>
  <c r="J52" i="127"/>
  <c r="L66" i="127"/>
  <c r="K57" i="127"/>
  <c r="I53" i="127"/>
  <c r="J61" i="127"/>
  <c r="J56" i="127"/>
  <c r="H56" i="127"/>
  <c r="H64" i="127"/>
  <c r="L53" i="127"/>
  <c r="J57" i="127"/>
  <c r="J55" i="127"/>
  <c r="J51" i="127"/>
  <c r="G53" i="127"/>
  <c r="G57" i="127"/>
  <c r="H66" i="127"/>
  <c r="G55" i="127"/>
  <c r="L56" i="127"/>
  <c r="K66" i="127"/>
  <c r="I61" i="127"/>
  <c r="L54" i="127"/>
  <c r="I55" i="127"/>
  <c r="K51" i="127"/>
  <c r="I62" i="127"/>
  <c r="I65" i="127"/>
  <c r="K53" i="127"/>
  <c r="L50" i="127"/>
  <c r="H50" i="127"/>
  <c r="L52" i="127"/>
  <c r="J59" i="127"/>
  <c r="L49" i="127"/>
  <c r="I52" i="127"/>
  <c r="K58" i="127"/>
  <c r="K60" i="127"/>
  <c r="K62" i="127"/>
  <c r="K65" i="127"/>
  <c r="G54" i="127"/>
  <c r="H55" i="127"/>
  <c r="I57" i="127"/>
  <c r="J65" i="127"/>
  <c r="H61" i="127"/>
  <c r="H59" i="127"/>
  <c r="H62" i="127"/>
  <c r="I50" i="127"/>
  <c r="K59" i="127"/>
  <c r="G51" i="127"/>
  <c r="J62" i="127"/>
  <c r="K56" i="127"/>
  <c r="H60" i="127"/>
  <c r="H57" i="127"/>
  <c r="H58" i="127"/>
  <c r="L64" i="127"/>
  <c r="I59" i="127"/>
  <c r="I60" i="127"/>
  <c r="L65" i="127"/>
  <c r="K54" i="127"/>
  <c r="J54" i="127"/>
  <c r="I64" i="127"/>
  <c r="L62" i="127"/>
  <c r="G58" i="127"/>
  <c r="H65" i="127"/>
  <c r="H51" i="127"/>
  <c r="I66" i="127"/>
  <c r="H53" i="127"/>
  <c r="J53" i="127"/>
  <c r="L60" i="127"/>
  <c r="K61" i="127"/>
  <c r="L63" i="127"/>
  <c r="G61" i="127"/>
  <c r="K50" i="127"/>
  <c r="G59" i="127"/>
  <c r="H52" i="127"/>
  <c r="G63" i="127"/>
  <c r="L58" i="127"/>
  <c r="H69" i="127"/>
  <c r="J66" i="127"/>
  <c r="G69" i="127"/>
  <c r="G65" i="127"/>
  <c r="J58" i="127"/>
  <c r="L59" i="127"/>
  <c r="G66" i="127"/>
  <c r="J60" i="127"/>
  <c r="G56" i="127"/>
  <c r="G62" i="127"/>
  <c r="I63" i="127"/>
  <c r="G52" i="127"/>
  <c r="G64" i="127"/>
  <c r="L51" i="127"/>
  <c r="J63" i="127"/>
  <c r="L55" i="127"/>
  <c r="K49" i="127"/>
  <c r="J49" i="127"/>
  <c r="L57" i="127"/>
  <c r="B276" i="127"/>
  <c r="B273" i="127"/>
  <c r="B274" i="127"/>
  <c r="G79" i="127"/>
  <c r="G78" i="127"/>
  <c r="H78" i="127"/>
  <c r="H79" i="127"/>
  <c r="M5" i="127"/>
  <c r="M68" i="127" l="1"/>
  <c r="M70" i="127"/>
  <c r="M67" i="127"/>
  <c r="M52" i="127"/>
  <c r="M65" i="127"/>
  <c r="M62" i="127"/>
  <c r="M54" i="127"/>
  <c r="M56" i="127"/>
  <c r="M49" i="127"/>
  <c r="M55" i="127"/>
  <c r="M69" i="127"/>
  <c r="M66" i="127"/>
  <c r="M57" i="127"/>
  <c r="M64" i="127"/>
  <c r="M53" i="127"/>
  <c r="M63" i="127"/>
  <c r="M58" i="127"/>
  <c r="M59" i="127"/>
  <c r="M60" i="127"/>
  <c r="M51" i="127"/>
  <c r="M50" i="127"/>
  <c r="M61" i="127"/>
  <c r="M123" i="127"/>
  <c r="D12" i="79" s="1"/>
  <c r="D11" i="79"/>
  <c r="H82" i="127"/>
  <c r="J78" i="127" l="1"/>
  <c r="I79" i="127"/>
  <c r="I78" i="127"/>
  <c r="I82" i="127" l="1"/>
  <c r="K78" i="127"/>
  <c r="J79" i="127"/>
  <c r="M35" i="127"/>
  <c r="M118" i="127"/>
  <c r="J82" i="127" l="1"/>
  <c r="L78" i="127"/>
  <c r="M78" i="127" s="1"/>
  <c r="K79" i="127"/>
  <c r="K82" i="127" l="1"/>
  <c r="L79" i="127"/>
  <c r="M79" i="127" s="1"/>
  <c r="M119" i="127"/>
  <c r="L82" i="127" l="1"/>
  <c r="E324" i="128" l="1"/>
  <c r="H30" i="315"/>
  <c r="H40" i="315" s="1"/>
  <c r="C29" i="315"/>
  <c r="C39" i="315" s="1"/>
  <c r="H33" i="315"/>
  <c r="H43" i="315" s="1"/>
  <c r="F326" i="128"/>
  <c r="E326" i="128"/>
  <c r="C31" i="315"/>
  <c r="C41" i="315" s="1"/>
  <c r="D31" i="315"/>
  <c r="D41" i="315" s="1"/>
  <c r="E31" i="315"/>
  <c r="E41" i="315" s="1"/>
  <c r="F31" i="315"/>
  <c r="F41" i="315" s="1"/>
  <c r="G31" i="315"/>
  <c r="G41" i="315" s="1"/>
  <c r="H31" i="315"/>
  <c r="H41" i="315" s="1"/>
  <c r="F86" i="128"/>
  <c r="E86" i="128"/>
  <c r="D86" i="128"/>
  <c r="F85" i="128"/>
  <c r="E85" i="128"/>
  <c r="D85" i="128"/>
  <c r="F89" i="128"/>
  <c r="E89" i="128"/>
  <c r="D89" i="128"/>
  <c r="K89" i="128" l="1"/>
  <c r="H89" i="128"/>
  <c r="D326" i="128"/>
  <c r="F33" i="315"/>
  <c r="F43" i="315" s="1"/>
  <c r="E27" i="315"/>
  <c r="D29" i="315"/>
  <c r="D39" i="315" s="1"/>
  <c r="F29" i="315"/>
  <c r="F39" i="315" s="1"/>
  <c r="D27" i="315"/>
  <c r="G29" i="315"/>
  <c r="G39" i="315" s="1"/>
  <c r="F27" i="315"/>
  <c r="F37" i="315" s="1"/>
  <c r="D33" i="315"/>
  <c r="D43" i="315" s="1"/>
  <c r="E33" i="315"/>
  <c r="E43" i="315" s="1"/>
  <c r="C33" i="315"/>
  <c r="C43" i="315" s="1"/>
  <c r="E29" i="315"/>
  <c r="E39" i="315" s="1"/>
  <c r="H29" i="315"/>
  <c r="H39" i="315" s="1"/>
  <c r="G27" i="315"/>
  <c r="G33" i="315"/>
  <c r="G43" i="315" s="1"/>
  <c r="C30" i="315"/>
  <c r="C40" i="315" s="1"/>
  <c r="D30" i="315"/>
  <c r="D40" i="315" s="1"/>
  <c r="E30" i="315"/>
  <c r="E40" i="315" s="1"/>
  <c r="F30" i="315"/>
  <c r="F40" i="315" s="1"/>
  <c r="G30" i="315"/>
  <c r="G40" i="315" s="1"/>
  <c r="I89" i="128"/>
  <c r="E9" i="79"/>
  <c r="M89" i="128"/>
  <c r="M85" i="128"/>
  <c r="J85" i="128"/>
  <c r="I85" i="128"/>
  <c r="K85" i="128"/>
  <c r="M86" i="128"/>
  <c r="J89" i="128"/>
  <c r="L89" i="128"/>
  <c r="H86" i="128"/>
  <c r="I86" i="128"/>
  <c r="J86" i="128"/>
  <c r="H85" i="128"/>
  <c r="K86" i="128"/>
  <c r="L86" i="128"/>
  <c r="D37" i="315" l="1"/>
  <c r="E37" i="315"/>
  <c r="G37" i="315"/>
  <c r="H37" i="315"/>
  <c r="J326" i="128"/>
  <c r="K326" i="128"/>
  <c r="L326" i="128"/>
  <c r="H326" i="128"/>
  <c r="I326" i="128"/>
  <c r="M326" i="128"/>
  <c r="E22" i="79"/>
  <c r="E12" i="79"/>
  <c r="E11" i="79"/>
  <c r="E20" i="79"/>
  <c r="N326" i="128" l="1"/>
  <c r="I159" i="87" l="1"/>
  <c r="H159" i="87"/>
  <c r="G159" i="87"/>
  <c r="F159" i="87"/>
  <c r="E159" i="87"/>
  <c r="D159" i="87"/>
  <c r="D221" i="87"/>
  <c r="E221" i="87"/>
  <c r="F221" i="87"/>
  <c r="G221" i="87"/>
  <c r="H221" i="87"/>
  <c r="I221" i="87"/>
  <c r="D194" i="88"/>
  <c r="E194" i="88"/>
  <c r="F194" i="88"/>
  <c r="G194" i="88"/>
  <c r="H194" i="88"/>
  <c r="I194" i="88"/>
  <c r="D190" i="86"/>
  <c r="E190" i="86"/>
  <c r="F190" i="86"/>
  <c r="G190" i="86"/>
  <c r="H190" i="86"/>
  <c r="I190" i="86"/>
  <c r="J190" i="86"/>
  <c r="J194" i="88" l="1"/>
  <c r="J159" i="87"/>
  <c r="D176" i="86" l="1"/>
  <c r="F176" i="86"/>
  <c r="E176" i="86"/>
  <c r="G176" i="86"/>
  <c r="AI56" i="87"/>
  <c r="AH56" i="87"/>
  <c r="AG56" i="87"/>
  <c r="AI55" i="87"/>
  <c r="AH55" i="87"/>
  <c r="AG55" i="87"/>
  <c r="AI54" i="87"/>
  <c r="AH54" i="87"/>
  <c r="AG54" i="87"/>
  <c r="AI53" i="87"/>
  <c r="AH53" i="87"/>
  <c r="AG53" i="87"/>
  <c r="AI52" i="87"/>
  <c r="AH52" i="87"/>
  <c r="AG52" i="87"/>
  <c r="AI51" i="87"/>
  <c r="AH51" i="87"/>
  <c r="AG51" i="87"/>
  <c r="AI50" i="87"/>
  <c r="AH50" i="87"/>
  <c r="AG50" i="87"/>
  <c r="I176" i="86" l="1"/>
  <c r="H176" i="86"/>
  <c r="F132" i="652"/>
  <c r="E132" i="652"/>
  <c r="D132" i="652"/>
  <c r="F131" i="652"/>
  <c r="E131" i="652"/>
  <c r="D131" i="652"/>
  <c r="F130" i="652"/>
  <c r="E130" i="652"/>
  <c r="D130" i="652"/>
  <c r="F129" i="652"/>
  <c r="E129" i="652"/>
  <c r="D129" i="652"/>
  <c r="F128" i="652"/>
  <c r="E128" i="652"/>
  <c r="D128" i="652"/>
  <c r="F127" i="652"/>
  <c r="E127" i="652"/>
  <c r="D127" i="652"/>
  <c r="F126" i="652"/>
  <c r="E126" i="652"/>
  <c r="D126" i="652"/>
  <c r="F125" i="652"/>
  <c r="E125" i="652"/>
  <c r="D125" i="652"/>
  <c r="F132" i="656"/>
  <c r="E132" i="656"/>
  <c r="D132" i="656"/>
  <c r="F131" i="656"/>
  <c r="E131" i="656"/>
  <c r="D131" i="656"/>
  <c r="F130" i="656"/>
  <c r="E130" i="656"/>
  <c r="D130" i="656"/>
  <c r="F129" i="656"/>
  <c r="E129" i="656"/>
  <c r="D129" i="656"/>
  <c r="F128" i="656"/>
  <c r="E128" i="656"/>
  <c r="D128" i="656"/>
  <c r="F127" i="656"/>
  <c r="E127" i="656"/>
  <c r="D127" i="656"/>
  <c r="F126" i="656"/>
  <c r="E126" i="656"/>
  <c r="D126" i="656"/>
  <c r="F125" i="656"/>
  <c r="E125" i="656"/>
  <c r="D125" i="656"/>
  <c r="L76" i="118" l="1"/>
  <c r="K76" i="118"/>
  <c r="J76" i="118"/>
  <c r="I76" i="118"/>
  <c r="H76" i="118"/>
  <c r="G76" i="118"/>
  <c r="N75" i="118"/>
  <c r="M75" i="118"/>
  <c r="N74" i="118"/>
  <c r="M74" i="118"/>
  <c r="N73" i="118"/>
  <c r="M73" i="118"/>
  <c r="N72" i="118"/>
  <c r="M72" i="118"/>
  <c r="N71" i="118"/>
  <c r="M71" i="118"/>
  <c r="N70" i="118"/>
  <c r="M70" i="118"/>
  <c r="N69" i="118"/>
  <c r="M69" i="118"/>
  <c r="N68" i="118"/>
  <c r="M68" i="118"/>
  <c r="L66" i="118"/>
  <c r="K66" i="118"/>
  <c r="J66" i="118"/>
  <c r="I66" i="118"/>
  <c r="H66" i="118"/>
  <c r="G66" i="118"/>
  <c r="N65" i="118"/>
  <c r="M65" i="118"/>
  <c r="N64" i="118"/>
  <c r="G64" i="113" s="1"/>
  <c r="H64" i="113" s="1"/>
  <c r="I64" i="113" s="1"/>
  <c r="J64" i="113" s="1"/>
  <c r="K64" i="113" s="1"/>
  <c r="L64" i="113" s="1"/>
  <c r="M64" i="118"/>
  <c r="N63" i="118"/>
  <c r="G63" i="113" s="1"/>
  <c r="H63" i="113" s="1"/>
  <c r="I63" i="113" s="1"/>
  <c r="J63" i="113" s="1"/>
  <c r="K63" i="113" s="1"/>
  <c r="L63" i="113" s="1"/>
  <c r="M63" i="118"/>
  <c r="N62" i="118"/>
  <c r="G62" i="113" s="1"/>
  <c r="H62" i="113" s="1"/>
  <c r="I62" i="113" s="1"/>
  <c r="J62" i="113" s="1"/>
  <c r="K62" i="113" s="1"/>
  <c r="L62" i="113" s="1"/>
  <c r="M62" i="118"/>
  <c r="N61" i="118"/>
  <c r="G61" i="113" s="1"/>
  <c r="H61" i="113" s="1"/>
  <c r="I61" i="113" s="1"/>
  <c r="J61" i="113" s="1"/>
  <c r="K61" i="113" s="1"/>
  <c r="L61" i="113" s="1"/>
  <c r="M61" i="118"/>
  <c r="N60" i="118"/>
  <c r="G60" i="113" s="1"/>
  <c r="H60" i="113" s="1"/>
  <c r="I60" i="113" s="1"/>
  <c r="J60" i="113" s="1"/>
  <c r="K60" i="113" s="1"/>
  <c r="L60" i="113" s="1"/>
  <c r="M60" i="118"/>
  <c r="N59" i="118"/>
  <c r="G59" i="113" s="1"/>
  <c r="H59" i="113" s="1"/>
  <c r="I59" i="113" s="1"/>
  <c r="J59" i="113" s="1"/>
  <c r="K59" i="113" s="1"/>
  <c r="L59" i="113" s="1"/>
  <c r="M59" i="118"/>
  <c r="N58" i="118"/>
  <c r="G58" i="113" s="1"/>
  <c r="H58" i="113" s="1"/>
  <c r="I58" i="113" s="1"/>
  <c r="J58" i="113" s="1"/>
  <c r="K58" i="113" s="1"/>
  <c r="L58" i="113" s="1"/>
  <c r="M58" i="118"/>
  <c r="H56" i="118"/>
  <c r="G56" i="118"/>
  <c r="L47" i="118"/>
  <c r="K47" i="118"/>
  <c r="J47" i="118"/>
  <c r="I47" i="118"/>
  <c r="H47" i="118"/>
  <c r="G47" i="118"/>
  <c r="C42" i="118"/>
  <c r="C55" i="118" s="1"/>
  <c r="C65" i="118" s="1"/>
  <c r="C75" i="118" s="1"/>
  <c r="C41" i="118"/>
  <c r="C54" i="118" s="1"/>
  <c r="C64" i="118" s="1"/>
  <c r="C74" i="118" s="1"/>
  <c r="L34" i="118"/>
  <c r="K34" i="118"/>
  <c r="J34" i="118"/>
  <c r="I34" i="118"/>
  <c r="H34" i="118"/>
  <c r="G34" i="118"/>
  <c r="L33" i="118"/>
  <c r="K33" i="118"/>
  <c r="J33" i="118"/>
  <c r="I33" i="118"/>
  <c r="H33" i="118"/>
  <c r="G33" i="118"/>
  <c r="M32" i="118"/>
  <c r="C32" i="118"/>
  <c r="M31" i="118"/>
  <c r="C31" i="118"/>
  <c r="M30" i="118"/>
  <c r="M29" i="118"/>
  <c r="M28" i="118"/>
  <c r="M27" i="118"/>
  <c r="M26" i="118"/>
  <c r="M25" i="118"/>
  <c r="L24" i="118"/>
  <c r="K24" i="118"/>
  <c r="J24" i="118"/>
  <c r="I24" i="118"/>
  <c r="H24" i="118"/>
  <c r="G24" i="118"/>
  <c r="H22" i="118"/>
  <c r="C22" i="118"/>
  <c r="H21" i="118"/>
  <c r="C21" i="118"/>
  <c r="H20" i="118"/>
  <c r="C20" i="118"/>
  <c r="C40" i="118" s="1"/>
  <c r="C53" i="118" s="1"/>
  <c r="C63" i="118" s="1"/>
  <c r="C73" i="118" s="1"/>
  <c r="H19" i="118"/>
  <c r="C19" i="118"/>
  <c r="C39" i="118" s="1"/>
  <c r="C52" i="118" s="1"/>
  <c r="C62" i="118" s="1"/>
  <c r="C72" i="118" s="1"/>
  <c r="H18" i="118"/>
  <c r="C18" i="118"/>
  <c r="C38" i="118" s="1"/>
  <c r="C51" i="118" s="1"/>
  <c r="C61" i="118" s="1"/>
  <c r="C71" i="118" s="1"/>
  <c r="H17" i="118"/>
  <c r="C17" i="118"/>
  <c r="C37" i="118" s="1"/>
  <c r="C50" i="118" s="1"/>
  <c r="C60" i="118" s="1"/>
  <c r="C70" i="118" s="1"/>
  <c r="H16" i="118"/>
  <c r="C16" i="118"/>
  <c r="C36" i="118" s="1"/>
  <c r="C49" i="118" s="1"/>
  <c r="C59" i="118" s="1"/>
  <c r="C69" i="118" s="1"/>
  <c r="H15" i="118"/>
  <c r="C15" i="118"/>
  <c r="C35" i="118" s="1"/>
  <c r="C48" i="118" s="1"/>
  <c r="C58" i="118" s="1"/>
  <c r="C68" i="118" s="1"/>
  <c r="G13" i="118"/>
  <c r="H13" i="118" s="1"/>
  <c r="G42" i="118" s="1"/>
  <c r="H12" i="118"/>
  <c r="G41" i="118" s="1"/>
  <c r="G11" i="118"/>
  <c r="H11" i="118" s="1"/>
  <c r="G40" i="118" s="1"/>
  <c r="G10" i="118"/>
  <c r="H10" i="118" s="1"/>
  <c r="G39" i="118" s="1"/>
  <c r="G9" i="118"/>
  <c r="H9" i="118" s="1"/>
  <c r="G38" i="118" s="1"/>
  <c r="G8" i="118"/>
  <c r="H8" i="118" s="1"/>
  <c r="G37" i="118" s="1"/>
  <c r="G7" i="118"/>
  <c r="H7" i="118" s="1"/>
  <c r="G36" i="118" s="1"/>
  <c r="G6" i="118"/>
  <c r="H6" i="118" s="1"/>
  <c r="G35" i="118" s="1"/>
  <c r="I51" i="118" l="1"/>
  <c r="I18" i="118" s="1"/>
  <c r="H38" i="118"/>
  <c r="I48" i="118"/>
  <c r="I15" i="118" s="1"/>
  <c r="H35" i="118"/>
  <c r="I54" i="118"/>
  <c r="I21" i="118" s="1"/>
  <c r="H41" i="118"/>
  <c r="I49" i="118"/>
  <c r="I16" i="118" s="1"/>
  <c r="H36" i="118"/>
  <c r="I55" i="118"/>
  <c r="I22" i="118" s="1"/>
  <c r="H42" i="118"/>
  <c r="I50" i="118"/>
  <c r="I17" i="118" s="1"/>
  <c r="H37" i="118"/>
  <c r="I53" i="118"/>
  <c r="I20" i="118" s="1"/>
  <c r="H40" i="118"/>
  <c r="I52" i="118"/>
  <c r="I19" i="118" s="1"/>
  <c r="H39" i="118"/>
  <c r="M66" i="118"/>
  <c r="M33" i="118"/>
  <c r="N66" i="118"/>
  <c r="N76" i="118"/>
  <c r="M76" i="118"/>
  <c r="G23" i="118"/>
  <c r="H23" i="118"/>
  <c r="I56" i="118" l="1"/>
  <c r="J50" i="118"/>
  <c r="J17" i="118" s="1"/>
  <c r="I37" i="118"/>
  <c r="J52" i="118"/>
  <c r="J19" i="118" s="1"/>
  <c r="I39" i="118"/>
  <c r="J55" i="118"/>
  <c r="J22" i="118" s="1"/>
  <c r="I42" i="118"/>
  <c r="J49" i="118"/>
  <c r="J16" i="118" s="1"/>
  <c r="I36" i="118"/>
  <c r="J54" i="118"/>
  <c r="J21" i="118" s="1"/>
  <c r="I41" i="118"/>
  <c r="J48" i="118"/>
  <c r="I35" i="118"/>
  <c r="I23" i="118"/>
  <c r="J53" i="118"/>
  <c r="J20" i="118" s="1"/>
  <c r="I40" i="118"/>
  <c r="J51" i="118"/>
  <c r="J18" i="118" s="1"/>
  <c r="I38" i="118"/>
  <c r="G43" i="118"/>
  <c r="H43" i="118"/>
  <c r="I43" i="118" l="1"/>
  <c r="K49" i="118"/>
  <c r="K16" i="118" s="1"/>
  <c r="J36" i="118"/>
  <c r="K54" i="118"/>
  <c r="K21" i="118" s="1"/>
  <c r="J41" i="118"/>
  <c r="K55" i="118"/>
  <c r="K22" i="118" s="1"/>
  <c r="J42" i="118"/>
  <c r="K51" i="118"/>
  <c r="K18" i="118" s="1"/>
  <c r="J38" i="118"/>
  <c r="K50" i="118"/>
  <c r="K17" i="118" s="1"/>
  <c r="J37" i="118"/>
  <c r="J56" i="118"/>
  <c r="J15" i="118"/>
  <c r="K52" i="118"/>
  <c r="K19" i="118" s="1"/>
  <c r="J39" i="118"/>
  <c r="K53" i="118"/>
  <c r="K20" i="118" s="1"/>
  <c r="J40" i="118"/>
  <c r="L50" i="118" l="1"/>
  <c r="K37" i="118"/>
  <c r="L53" i="118"/>
  <c r="K40" i="118"/>
  <c r="L52" i="118"/>
  <c r="K39" i="118"/>
  <c r="K48" i="118"/>
  <c r="J35" i="118"/>
  <c r="J43" i="118" s="1"/>
  <c r="J23" i="118"/>
  <c r="L51" i="118"/>
  <c r="K38" i="118"/>
  <c r="L55" i="118"/>
  <c r="K42" i="118"/>
  <c r="L54" i="118"/>
  <c r="K41" i="118"/>
  <c r="L49" i="118"/>
  <c r="K36" i="118"/>
  <c r="N49" i="118" l="1"/>
  <c r="L16" i="118"/>
  <c r="L36" i="118" s="1"/>
  <c r="M36" i="118" s="1"/>
  <c r="K56" i="118"/>
  <c r="K15" i="118"/>
  <c r="L21" i="118"/>
  <c r="L41" i="118" s="1"/>
  <c r="M41" i="118" s="1"/>
  <c r="N54" i="118"/>
  <c r="L19" i="118"/>
  <c r="L39" i="118" s="1"/>
  <c r="M39" i="118" s="1"/>
  <c r="N52" i="118"/>
  <c r="L22" i="118"/>
  <c r="L42" i="118" s="1"/>
  <c r="M42" i="118" s="1"/>
  <c r="N55" i="118"/>
  <c r="L20" i="118"/>
  <c r="L40" i="118" s="1"/>
  <c r="M40" i="118" s="1"/>
  <c r="N53" i="118"/>
  <c r="N51" i="118"/>
  <c r="L18" i="118"/>
  <c r="L38" i="118" s="1"/>
  <c r="M38" i="118" s="1"/>
  <c r="N50" i="118"/>
  <c r="L17" i="118"/>
  <c r="L37" i="118" s="1"/>
  <c r="M37" i="118" s="1"/>
  <c r="F325" i="128"/>
  <c r="E325" i="128"/>
  <c r="D325" i="128"/>
  <c r="J325" i="128" s="1"/>
  <c r="F329" i="128"/>
  <c r="E329" i="128"/>
  <c r="D329" i="128"/>
  <c r="K35" i="118" l="1"/>
  <c r="K43" i="118" s="1"/>
  <c r="L48" i="118"/>
  <c r="K23" i="118"/>
  <c r="H325" i="128"/>
  <c r="I325" i="128"/>
  <c r="K325" i="128"/>
  <c r="L325" i="128"/>
  <c r="M325" i="128"/>
  <c r="L56" i="118" l="1"/>
  <c r="N56" i="118" s="1"/>
  <c r="N48" i="118"/>
  <c r="L15" i="118"/>
  <c r="N293" i="128"/>
  <c r="N277" i="128"/>
  <c r="N282" i="128"/>
  <c r="N255" i="128"/>
  <c r="N261" i="128"/>
  <c r="N288" i="128"/>
  <c r="N272" i="128"/>
  <c r="N271" i="128"/>
  <c r="N265" i="128"/>
  <c r="N289" i="128"/>
  <c r="N325" i="128"/>
  <c r="N253" i="128"/>
  <c r="N287" i="128"/>
  <c r="N281" i="128"/>
  <c r="N264" i="128"/>
  <c r="N276" i="128"/>
  <c r="N296" i="128"/>
  <c r="N286" i="128"/>
  <c r="N283" i="128"/>
  <c r="N266" i="128"/>
  <c r="N259" i="128"/>
  <c r="N254" i="128"/>
  <c r="N274" i="128"/>
  <c r="N295" i="128"/>
  <c r="N280" i="128"/>
  <c r="N299" i="128"/>
  <c r="N292" i="128"/>
  <c r="N297" i="128"/>
  <c r="N278" i="128"/>
  <c r="N291" i="128"/>
  <c r="N267" i="128"/>
  <c r="N258" i="128"/>
  <c r="N285" i="128"/>
  <c r="N269" i="128"/>
  <c r="N275" i="128"/>
  <c r="N290" i="128"/>
  <c r="N298" i="128"/>
  <c r="N279" i="128"/>
  <c r="N284" i="128"/>
  <c r="N294" i="128"/>
  <c r="H55" i="75"/>
  <c r="G55" i="75"/>
  <c r="F55" i="75"/>
  <c r="E55" i="75"/>
  <c r="D55" i="75"/>
  <c r="I39" i="75"/>
  <c r="H39" i="75"/>
  <c r="G39" i="75"/>
  <c r="F39" i="75"/>
  <c r="E39" i="75"/>
  <c r="D39" i="75"/>
  <c r="I37" i="75"/>
  <c r="H37" i="75"/>
  <c r="G37" i="75"/>
  <c r="F37" i="75"/>
  <c r="E37" i="75"/>
  <c r="D37" i="75"/>
  <c r="I35" i="75"/>
  <c r="H35" i="75"/>
  <c r="G35" i="75"/>
  <c r="F35" i="75"/>
  <c r="E35" i="75"/>
  <c r="D35" i="75"/>
  <c r="I34" i="75"/>
  <c r="H34" i="75"/>
  <c r="G34" i="75"/>
  <c r="F34" i="75"/>
  <c r="E34" i="75"/>
  <c r="D34" i="75"/>
  <c r="I33" i="75"/>
  <c r="H33" i="75"/>
  <c r="G33" i="75"/>
  <c r="F33" i="75"/>
  <c r="E33" i="75"/>
  <c r="D33" i="75"/>
  <c r="I32" i="75"/>
  <c r="H32" i="75"/>
  <c r="G32" i="75"/>
  <c r="F32" i="75"/>
  <c r="E32" i="75"/>
  <c r="D32" i="75"/>
  <c r="G31" i="75" l="1"/>
  <c r="G64" i="75" s="1"/>
  <c r="G75" i="75" s="1"/>
  <c r="L35" i="118"/>
  <c r="L23" i="118"/>
  <c r="F31" i="75"/>
  <c r="H31" i="75"/>
  <c r="I31" i="75"/>
  <c r="I64" i="75" s="1"/>
  <c r="D31" i="75"/>
  <c r="E31" i="75"/>
  <c r="M329" i="128"/>
  <c r="L329" i="128"/>
  <c r="K329" i="128"/>
  <c r="J329" i="128"/>
  <c r="I329" i="128"/>
  <c r="N268" i="128"/>
  <c r="N262" i="128"/>
  <c r="N257" i="128"/>
  <c r="N256" i="128"/>
  <c r="L85" i="128"/>
  <c r="L43" i="118" l="1"/>
  <c r="M35" i="118"/>
  <c r="M43" i="118" s="1"/>
  <c r="I75" i="75"/>
  <c r="E64" i="75"/>
  <c r="E75" i="75" s="1"/>
  <c r="D64" i="75"/>
  <c r="D75" i="75" s="1"/>
  <c r="H64" i="75"/>
  <c r="F64" i="75"/>
  <c r="F75" i="75" s="1"/>
  <c r="N270" i="128"/>
  <c r="N273" i="128"/>
  <c r="N260" i="128"/>
  <c r="H75" i="75" l="1"/>
  <c r="G97" i="152"/>
  <c r="H97" i="152"/>
  <c r="E97" i="152"/>
  <c r="F97" i="152"/>
  <c r="J97" i="152"/>
  <c r="I97" i="152"/>
  <c r="H432" i="128" l="1"/>
  <c r="L432" i="128"/>
  <c r="L434" i="128" s="1"/>
  <c r="L436" i="128" s="1"/>
  <c r="M432" i="128"/>
  <c r="M434" i="128" s="1"/>
  <c r="M436" i="128" s="1"/>
  <c r="I432" i="128"/>
  <c r="I434" i="128" s="1"/>
  <c r="I436" i="128" s="1"/>
  <c r="K432" i="128"/>
  <c r="K434" i="128" s="1"/>
  <c r="K436" i="128" s="1"/>
  <c r="J432" i="128"/>
  <c r="J434" i="128" s="1"/>
  <c r="J436" i="128" s="1"/>
  <c r="K97" i="152"/>
  <c r="I546" i="608" l="1"/>
  <c r="I354" i="127"/>
  <c r="L354" i="127"/>
  <c r="L546" i="608"/>
  <c r="J546" i="608"/>
  <c r="J354" i="127"/>
  <c r="H354" i="127"/>
  <c r="H546" i="608"/>
  <c r="K354" i="127"/>
  <c r="K546" i="608"/>
  <c r="N432" i="128"/>
  <c r="G48" i="113"/>
  <c r="P48" i="113" s="1"/>
  <c r="M142" i="608" l="1"/>
  <c r="G354" i="127"/>
  <c r="M354" i="127" s="1"/>
  <c r="D24" i="79" s="1"/>
  <c r="G546" i="608"/>
  <c r="M546" i="608" s="1"/>
  <c r="E24" i="79"/>
  <c r="I29" i="75" l="1"/>
  <c r="I5" i="75" s="1"/>
  <c r="I16" i="75"/>
  <c r="K62" i="75"/>
  <c r="M62" i="70" s="1"/>
  <c r="N62" i="70" s="1"/>
  <c r="K60" i="75"/>
  <c r="M60" i="70" s="1"/>
  <c r="N60" i="70" s="1"/>
  <c r="K59" i="75"/>
  <c r="K58" i="75"/>
  <c r="K57" i="75"/>
  <c r="I9" i="75" l="1"/>
  <c r="I20" i="75"/>
  <c r="C377" i="658" l="1"/>
  <c r="C268" i="658"/>
  <c r="C267" i="658"/>
  <c r="C266" i="658"/>
  <c r="C265" i="658"/>
  <c r="C264" i="658"/>
  <c r="C263" i="658"/>
  <c r="C262" i="658"/>
  <c r="C173" i="658"/>
  <c r="C172" i="658"/>
  <c r="C171" i="658"/>
  <c r="C170" i="658"/>
  <c r="C169" i="658"/>
  <c r="C168" i="658"/>
  <c r="C167" i="658"/>
  <c r="C78" i="658"/>
  <c r="C77" i="658"/>
  <c r="C76" i="658"/>
  <c r="C75" i="658"/>
  <c r="C74" i="658"/>
  <c r="C73" i="658"/>
  <c r="C72" i="658"/>
  <c r="C377" i="657"/>
  <c r="J132" i="656"/>
  <c r="I132" i="656"/>
  <c r="H132" i="656"/>
  <c r="G132" i="656"/>
  <c r="J131" i="656"/>
  <c r="I131" i="656"/>
  <c r="H131" i="656"/>
  <c r="G131" i="656"/>
  <c r="J130" i="656"/>
  <c r="I130" i="656"/>
  <c r="H130" i="656"/>
  <c r="G130" i="656"/>
  <c r="J129" i="656"/>
  <c r="I129" i="656"/>
  <c r="H129" i="656"/>
  <c r="G129" i="656"/>
  <c r="J128" i="656"/>
  <c r="I128" i="656"/>
  <c r="H128" i="656"/>
  <c r="G128" i="656"/>
  <c r="J127" i="656"/>
  <c r="I127" i="656"/>
  <c r="H127" i="656"/>
  <c r="G127" i="656"/>
  <c r="J126" i="656"/>
  <c r="I126" i="656"/>
  <c r="H126" i="656"/>
  <c r="G126" i="656"/>
  <c r="J125" i="656"/>
  <c r="I125" i="656"/>
  <c r="H125" i="656"/>
  <c r="G125" i="656"/>
  <c r="C112" i="656"/>
  <c r="I41" i="656"/>
  <c r="C147" i="655"/>
  <c r="C377" i="654"/>
  <c r="C268" i="654"/>
  <c r="C267" i="654"/>
  <c r="C266" i="654"/>
  <c r="C265" i="654"/>
  <c r="C264" i="654"/>
  <c r="C263" i="654"/>
  <c r="C262" i="654"/>
  <c r="C173" i="654"/>
  <c r="C172" i="654"/>
  <c r="C171" i="654"/>
  <c r="C170" i="654"/>
  <c r="C169" i="654"/>
  <c r="C168" i="654"/>
  <c r="C167" i="654"/>
  <c r="C78" i="654"/>
  <c r="C77" i="654"/>
  <c r="C76" i="654"/>
  <c r="C75" i="654"/>
  <c r="C74" i="654"/>
  <c r="C73" i="654"/>
  <c r="C72" i="654"/>
  <c r="C377" i="653"/>
  <c r="C268" i="653"/>
  <c r="C267" i="653"/>
  <c r="C266" i="653"/>
  <c r="C265" i="653"/>
  <c r="C264" i="653"/>
  <c r="C263" i="653"/>
  <c r="C262" i="653"/>
  <c r="C173" i="653"/>
  <c r="C172" i="653"/>
  <c r="C171" i="653"/>
  <c r="C170" i="653"/>
  <c r="C169" i="653"/>
  <c r="C168" i="653"/>
  <c r="C167" i="653"/>
  <c r="C78" i="653"/>
  <c r="C77" i="653"/>
  <c r="C76" i="653"/>
  <c r="C75" i="653"/>
  <c r="C74" i="653"/>
  <c r="C73" i="653"/>
  <c r="C72" i="653"/>
  <c r="J132" i="652"/>
  <c r="I132" i="652"/>
  <c r="H132" i="652"/>
  <c r="G132" i="652"/>
  <c r="J131" i="652"/>
  <c r="I131" i="652"/>
  <c r="H131" i="652"/>
  <c r="G131" i="652"/>
  <c r="J130" i="652"/>
  <c r="I130" i="652"/>
  <c r="H130" i="652"/>
  <c r="G130" i="652"/>
  <c r="J129" i="652"/>
  <c r="I129" i="652"/>
  <c r="H129" i="652"/>
  <c r="G129" i="652"/>
  <c r="J128" i="652"/>
  <c r="I128" i="652"/>
  <c r="H128" i="652"/>
  <c r="G128" i="652"/>
  <c r="J127" i="652"/>
  <c r="I127" i="652"/>
  <c r="H127" i="652"/>
  <c r="G127" i="652"/>
  <c r="J126" i="652"/>
  <c r="I126" i="652"/>
  <c r="H126" i="652"/>
  <c r="G126" i="652"/>
  <c r="J125" i="652"/>
  <c r="I125" i="652"/>
  <c r="H125" i="652"/>
  <c r="G125" i="652"/>
  <c r="I46" i="652"/>
  <c r="C112" i="651"/>
  <c r="C147" i="650"/>
  <c r="C147" i="649"/>
  <c r="G48" i="652" l="1"/>
  <c r="I44" i="656"/>
  <c r="H47" i="656"/>
  <c r="I52" i="656"/>
  <c r="I40" i="656"/>
  <c r="I124" i="652"/>
  <c r="E124" i="652"/>
  <c r="I58" i="656"/>
  <c r="D57" i="656"/>
  <c r="D52" i="656"/>
  <c r="E47" i="656"/>
  <c r="D43" i="656"/>
  <c r="D39" i="656"/>
  <c r="F56" i="656"/>
  <c r="F51" i="656"/>
  <c r="D47" i="656"/>
  <c r="F42" i="656"/>
  <c r="E56" i="656"/>
  <c r="E51" i="656"/>
  <c r="F46" i="656"/>
  <c r="E42" i="656"/>
  <c r="D56" i="656"/>
  <c r="D51" i="656"/>
  <c r="E46" i="656"/>
  <c r="D42" i="656"/>
  <c r="E59" i="656"/>
  <c r="E54" i="656"/>
  <c r="F49" i="656"/>
  <c r="E41" i="656"/>
  <c r="D59" i="656"/>
  <c r="D54" i="656"/>
  <c r="E49" i="656"/>
  <c r="D41" i="656"/>
  <c r="F58" i="656"/>
  <c r="F53" i="656"/>
  <c r="D49" i="656"/>
  <c r="F44" i="656"/>
  <c r="F40" i="656"/>
  <c r="E58" i="656"/>
  <c r="E53" i="656"/>
  <c r="F48" i="656"/>
  <c r="E44" i="656"/>
  <c r="E40" i="656"/>
  <c r="D58" i="656"/>
  <c r="D44" i="656"/>
  <c r="F57" i="656"/>
  <c r="F43" i="656"/>
  <c r="E57" i="656"/>
  <c r="E43" i="656"/>
  <c r="F54" i="656"/>
  <c r="F41" i="656"/>
  <c r="D53" i="656"/>
  <c r="D40" i="656"/>
  <c r="F59" i="656"/>
  <c r="F52" i="656"/>
  <c r="F39" i="656"/>
  <c r="D46" i="656"/>
  <c r="E52" i="656"/>
  <c r="E39" i="656"/>
  <c r="E48" i="656"/>
  <c r="D48" i="656"/>
  <c r="F47" i="656"/>
  <c r="I53" i="656"/>
  <c r="I120" i="656"/>
  <c r="I123" i="652"/>
  <c r="F123" i="652"/>
  <c r="D123" i="652"/>
  <c r="I54" i="656"/>
  <c r="I122" i="652"/>
  <c r="H66" i="656"/>
  <c r="D67" i="656"/>
  <c r="D63" i="656"/>
  <c r="F66" i="656"/>
  <c r="F62" i="656"/>
  <c r="E66" i="656"/>
  <c r="E62" i="656"/>
  <c r="D66" i="656"/>
  <c r="D62" i="656"/>
  <c r="E65" i="656"/>
  <c r="D65" i="656"/>
  <c r="F64" i="656"/>
  <c r="E64" i="656"/>
  <c r="F67" i="656"/>
  <c r="E67" i="656"/>
  <c r="F65" i="656"/>
  <c r="D64" i="656"/>
  <c r="F63" i="656"/>
  <c r="E63" i="656"/>
  <c r="G58" i="656"/>
  <c r="H58" i="652"/>
  <c r="E59" i="652"/>
  <c r="F54" i="652"/>
  <c r="F49" i="652"/>
  <c r="D41" i="652"/>
  <c r="D59" i="652"/>
  <c r="E54" i="652"/>
  <c r="E49" i="652"/>
  <c r="F44" i="652"/>
  <c r="F40" i="652"/>
  <c r="F58" i="652"/>
  <c r="D54" i="652"/>
  <c r="D49" i="652"/>
  <c r="E44" i="652"/>
  <c r="E40" i="652"/>
  <c r="E58" i="652"/>
  <c r="F53" i="652"/>
  <c r="F48" i="652"/>
  <c r="D44" i="652"/>
  <c r="D40" i="652"/>
  <c r="D58" i="652"/>
  <c r="E53" i="652"/>
  <c r="E48" i="652"/>
  <c r="F43" i="652"/>
  <c r="F39" i="652"/>
  <c r="F57" i="652"/>
  <c r="D53" i="652"/>
  <c r="D48" i="652"/>
  <c r="E43" i="652"/>
  <c r="E39" i="652"/>
  <c r="E57" i="652"/>
  <c r="F52" i="652"/>
  <c r="F47" i="652"/>
  <c r="D43" i="652"/>
  <c r="D39" i="652"/>
  <c r="D57" i="652"/>
  <c r="E52" i="652"/>
  <c r="E47" i="652"/>
  <c r="F42" i="652"/>
  <c r="F56" i="652"/>
  <c r="D52" i="652"/>
  <c r="D47" i="652"/>
  <c r="E42" i="652"/>
  <c r="F51" i="652"/>
  <c r="E51" i="652"/>
  <c r="D51" i="652"/>
  <c r="F46" i="652"/>
  <c r="E46" i="652"/>
  <c r="D46" i="652"/>
  <c r="D42" i="652"/>
  <c r="F41" i="652"/>
  <c r="F59" i="652"/>
  <c r="E41" i="652"/>
  <c r="E56" i="652"/>
  <c r="D56" i="652"/>
  <c r="G66" i="652"/>
  <c r="D65" i="652"/>
  <c r="F64" i="652"/>
  <c r="E64" i="652"/>
  <c r="D64" i="652"/>
  <c r="F67" i="652"/>
  <c r="F63" i="652"/>
  <c r="E67" i="652"/>
  <c r="E63" i="652"/>
  <c r="D67" i="652"/>
  <c r="D63" i="652"/>
  <c r="F66" i="652"/>
  <c r="F62" i="652"/>
  <c r="E66" i="652"/>
  <c r="E62" i="652"/>
  <c r="D66" i="652"/>
  <c r="F65" i="652"/>
  <c r="E65" i="652"/>
  <c r="D62" i="652"/>
  <c r="I124" i="656"/>
  <c r="H123" i="656"/>
  <c r="F123" i="656"/>
  <c r="E123" i="656"/>
  <c r="D123" i="656"/>
  <c r="H122" i="656"/>
  <c r="G122" i="656"/>
  <c r="G67" i="656"/>
  <c r="I42" i="656"/>
  <c r="I49" i="652"/>
  <c r="G51" i="652"/>
  <c r="G46" i="656"/>
  <c r="H59" i="656"/>
  <c r="H53" i="652"/>
  <c r="H62" i="656"/>
  <c r="H56" i="652"/>
  <c r="G39" i="656"/>
  <c r="H48" i="656"/>
  <c r="H64" i="656"/>
  <c r="I161" i="649"/>
  <c r="F161" i="649"/>
  <c r="E161" i="649"/>
  <c r="D161" i="649"/>
  <c r="I58" i="652"/>
  <c r="H124" i="656"/>
  <c r="H39" i="656"/>
  <c r="H49" i="656"/>
  <c r="I65" i="656"/>
  <c r="H66" i="652"/>
  <c r="I123" i="656"/>
  <c r="H40" i="656"/>
  <c r="H51" i="656"/>
  <c r="I66" i="656"/>
  <c r="I165" i="649"/>
  <c r="F165" i="649"/>
  <c r="E165" i="649"/>
  <c r="D165" i="649"/>
  <c r="I120" i="652"/>
  <c r="G39" i="652"/>
  <c r="I122" i="656"/>
  <c r="I67" i="656"/>
  <c r="H41" i="652"/>
  <c r="G42" i="656"/>
  <c r="G54" i="656"/>
  <c r="H44" i="652"/>
  <c r="D13" i="653"/>
  <c r="G43" i="656"/>
  <c r="G56" i="656"/>
  <c r="G44" i="656"/>
  <c r="I56" i="656"/>
  <c r="H43" i="656"/>
  <c r="I48" i="656"/>
  <c r="G63" i="656"/>
  <c r="I43" i="656"/>
  <c r="G57" i="656"/>
  <c r="H63" i="656"/>
  <c r="G123" i="656"/>
  <c r="G40" i="656"/>
  <c r="G52" i="656"/>
  <c r="H57" i="656"/>
  <c r="I63" i="656"/>
  <c r="G65" i="656"/>
  <c r="G47" i="656"/>
  <c r="H52" i="656"/>
  <c r="I57" i="656"/>
  <c r="G59" i="656"/>
  <c r="H65" i="656"/>
  <c r="H42" i="656"/>
  <c r="I47" i="656"/>
  <c r="G49" i="656"/>
  <c r="H54" i="656"/>
  <c r="I59" i="656"/>
  <c r="G62" i="656"/>
  <c r="H67" i="656"/>
  <c r="H44" i="656"/>
  <c r="I49" i="656"/>
  <c r="G51" i="656"/>
  <c r="H56" i="656"/>
  <c r="I62" i="656"/>
  <c r="G64" i="656"/>
  <c r="I39" i="656"/>
  <c r="G41" i="656"/>
  <c r="H46" i="656"/>
  <c r="I51" i="656"/>
  <c r="G53" i="656"/>
  <c r="H58" i="656"/>
  <c r="I64" i="656"/>
  <c r="G66" i="656"/>
  <c r="H41" i="656"/>
  <c r="I46" i="656"/>
  <c r="G48" i="656"/>
  <c r="H53" i="656"/>
  <c r="D13" i="654"/>
  <c r="H120" i="652"/>
  <c r="I41" i="652"/>
  <c r="G43" i="652"/>
  <c r="H48" i="652"/>
  <c r="I53" i="652"/>
  <c r="I66" i="652"/>
  <c r="H43" i="652"/>
  <c r="I48" i="652"/>
  <c r="G63" i="652"/>
  <c r="I43" i="652"/>
  <c r="G57" i="652"/>
  <c r="H63" i="652"/>
  <c r="G123" i="652"/>
  <c r="G40" i="652"/>
  <c r="G52" i="652"/>
  <c r="H57" i="652"/>
  <c r="I63" i="652"/>
  <c r="G65" i="652"/>
  <c r="H123" i="652"/>
  <c r="H40" i="652"/>
  <c r="G47" i="652"/>
  <c r="H52" i="652"/>
  <c r="I57" i="652"/>
  <c r="G59" i="652"/>
  <c r="H65" i="652"/>
  <c r="I40" i="652"/>
  <c r="G42" i="652"/>
  <c r="H47" i="652"/>
  <c r="I52" i="652"/>
  <c r="G54" i="652"/>
  <c r="H59" i="652"/>
  <c r="I65" i="652"/>
  <c r="G67" i="652"/>
  <c r="H42" i="652"/>
  <c r="I47" i="652"/>
  <c r="G49" i="652"/>
  <c r="H54" i="652"/>
  <c r="I59" i="652"/>
  <c r="G62" i="652"/>
  <c r="H67" i="652"/>
  <c r="I42" i="652"/>
  <c r="G44" i="652"/>
  <c r="H49" i="652"/>
  <c r="I54" i="652"/>
  <c r="G56" i="652"/>
  <c r="H62" i="652"/>
  <c r="I67" i="652"/>
  <c r="I62" i="652"/>
  <c r="G64" i="652"/>
  <c r="H39" i="652"/>
  <c r="I44" i="652"/>
  <c r="G46" i="652"/>
  <c r="H51" i="652"/>
  <c r="I56" i="652"/>
  <c r="G58" i="652"/>
  <c r="H64" i="652"/>
  <c r="I39" i="652"/>
  <c r="G41" i="652"/>
  <c r="H46" i="652"/>
  <c r="I51" i="652"/>
  <c r="G53" i="652"/>
  <c r="I64" i="652"/>
  <c r="G161" i="649"/>
  <c r="H161" i="649"/>
  <c r="G165" i="649"/>
  <c r="H165" i="649"/>
  <c r="H59" i="653" l="1"/>
  <c r="H57" i="653"/>
  <c r="G59" i="653"/>
  <c r="G57" i="653"/>
  <c r="F59" i="653"/>
  <c r="F57" i="653"/>
  <c r="D59" i="653"/>
  <c r="D57" i="653"/>
  <c r="H60" i="653"/>
  <c r="H58" i="653"/>
  <c r="G60" i="653"/>
  <c r="G58" i="653"/>
  <c r="E57" i="653"/>
  <c r="F60" i="653"/>
  <c r="E60" i="653"/>
  <c r="D60" i="653"/>
  <c r="I59" i="653"/>
  <c r="E59" i="653"/>
  <c r="I58" i="653"/>
  <c r="F58" i="653"/>
  <c r="D58" i="653"/>
  <c r="I60" i="653"/>
  <c r="E58" i="653"/>
  <c r="I57" i="653"/>
  <c r="G164" i="649"/>
  <c r="J42" i="652"/>
  <c r="J96" i="656"/>
  <c r="J63" i="652"/>
  <c r="J99" i="652"/>
  <c r="J46" i="652"/>
  <c r="J49" i="652"/>
  <c r="J62" i="656"/>
  <c r="J97" i="656"/>
  <c r="J100" i="656"/>
  <c r="J67" i="652"/>
  <c r="J103" i="652"/>
  <c r="J96" i="652"/>
  <c r="J57" i="652"/>
  <c r="J54" i="652"/>
  <c r="J66" i="656"/>
  <c r="J98" i="656"/>
  <c r="J105" i="656"/>
  <c r="J48" i="656"/>
  <c r="J42" i="656"/>
  <c r="J39" i="656"/>
  <c r="J100" i="652"/>
  <c r="J97" i="652"/>
  <c r="J39" i="652"/>
  <c r="J99" i="656"/>
  <c r="J103" i="656"/>
  <c r="J49" i="656"/>
  <c r="J43" i="656"/>
  <c r="J101" i="652"/>
  <c r="J51" i="652"/>
  <c r="J43" i="652"/>
  <c r="J92" i="656"/>
  <c r="J107" i="656"/>
  <c r="J51" i="656"/>
  <c r="J62" i="652"/>
  <c r="J107" i="652"/>
  <c r="J58" i="652"/>
  <c r="J64" i="656"/>
  <c r="J56" i="656"/>
  <c r="J52" i="656"/>
  <c r="J90" i="652"/>
  <c r="J40" i="652"/>
  <c r="J101" i="656"/>
  <c r="J46" i="656"/>
  <c r="J44" i="656"/>
  <c r="J41" i="656"/>
  <c r="J57" i="656"/>
  <c r="J64" i="652"/>
  <c r="J94" i="652"/>
  <c r="J104" i="652"/>
  <c r="J56" i="652"/>
  <c r="J44" i="652"/>
  <c r="J63" i="656"/>
  <c r="J106" i="656"/>
  <c r="J104" i="656"/>
  <c r="J91" i="656"/>
  <c r="J58" i="656"/>
  <c r="J66" i="652"/>
  <c r="J108" i="652"/>
  <c r="J47" i="652"/>
  <c r="J59" i="652"/>
  <c r="J67" i="656"/>
  <c r="J54" i="656"/>
  <c r="J93" i="652"/>
  <c r="J91" i="652"/>
  <c r="J105" i="652"/>
  <c r="J106" i="652"/>
  <c r="J52" i="652"/>
  <c r="J41" i="652"/>
  <c r="J93" i="656"/>
  <c r="J90" i="656"/>
  <c r="J59" i="656"/>
  <c r="J65" i="652"/>
  <c r="J92" i="652"/>
  <c r="J48" i="652"/>
  <c r="J94" i="656"/>
  <c r="J40" i="656"/>
  <c r="J98" i="652"/>
  <c r="J53" i="652"/>
  <c r="J65" i="656"/>
  <c r="J108" i="656"/>
  <c r="J53" i="656"/>
  <c r="J47" i="656"/>
  <c r="D426" i="657"/>
  <c r="I50" i="656"/>
  <c r="D14" i="653"/>
  <c r="I45" i="652"/>
  <c r="D45" i="652"/>
  <c r="E45" i="652"/>
  <c r="F121" i="652"/>
  <c r="E150" i="655"/>
  <c r="F50" i="656"/>
  <c r="F55" i="656"/>
  <c r="E89" i="656"/>
  <c r="D102" i="656"/>
  <c r="F38" i="656"/>
  <c r="F102" i="656"/>
  <c r="D95" i="656"/>
  <c r="E38" i="656"/>
  <c r="F152" i="655"/>
  <c r="F61" i="656"/>
  <c r="F118" i="656" s="1"/>
  <c r="D55" i="656"/>
  <c r="E426" i="657"/>
  <c r="J124" i="656"/>
  <c r="F61" i="652"/>
  <c r="F118" i="652" s="1"/>
  <c r="D102" i="652"/>
  <c r="D95" i="652"/>
  <c r="F50" i="652"/>
  <c r="D120" i="652"/>
  <c r="D150" i="655"/>
  <c r="F95" i="656"/>
  <c r="E120" i="656"/>
  <c r="D45" i="656"/>
  <c r="D38" i="656"/>
  <c r="D89" i="652"/>
  <c r="D55" i="652"/>
  <c r="E120" i="652"/>
  <c r="D121" i="656"/>
  <c r="F120" i="656"/>
  <c r="F45" i="656"/>
  <c r="F426" i="657"/>
  <c r="F102" i="652"/>
  <c r="E55" i="652"/>
  <c r="F120" i="652"/>
  <c r="F122" i="652"/>
  <c r="F89" i="656"/>
  <c r="E50" i="656"/>
  <c r="E153" i="655"/>
  <c r="G38" i="656"/>
  <c r="D122" i="652"/>
  <c r="E55" i="656"/>
  <c r="D124" i="652"/>
  <c r="I164" i="649"/>
  <c r="I38" i="656"/>
  <c r="E102" i="652"/>
  <c r="F55" i="652"/>
  <c r="F150" i="655"/>
  <c r="E152" i="655"/>
  <c r="D151" i="655"/>
  <c r="E122" i="652"/>
  <c r="E95" i="656"/>
  <c r="E123" i="652"/>
  <c r="F153" i="655"/>
  <c r="F124" i="656"/>
  <c r="E38" i="652"/>
  <c r="D89" i="656"/>
  <c r="E102" i="656"/>
  <c r="D50" i="656"/>
  <c r="F124" i="652"/>
  <c r="I55" i="656"/>
  <c r="D124" i="656"/>
  <c r="D61" i="652"/>
  <c r="F95" i="652"/>
  <c r="D121" i="652"/>
  <c r="F151" i="655"/>
  <c r="E121" i="656"/>
  <c r="D122" i="656"/>
  <c r="E124" i="656"/>
  <c r="F89" i="652"/>
  <c r="E50" i="652"/>
  <c r="F38" i="652"/>
  <c r="E121" i="652"/>
  <c r="D152" i="655"/>
  <c r="F121" i="656"/>
  <c r="D61" i="656"/>
  <c r="E122" i="656"/>
  <c r="F122" i="656"/>
  <c r="E95" i="652"/>
  <c r="F45" i="652"/>
  <c r="D38" i="652"/>
  <c r="E61" i="656"/>
  <c r="E118" i="656" s="1"/>
  <c r="E45" i="656"/>
  <c r="E61" i="652"/>
  <c r="E118" i="652" s="1"/>
  <c r="E89" i="652"/>
  <c r="D50" i="652"/>
  <c r="E151" i="655"/>
  <c r="D153" i="655"/>
  <c r="D120" i="656"/>
  <c r="H153" i="649"/>
  <c r="H150" i="649"/>
  <c r="I55" i="652"/>
  <c r="G426" i="657"/>
  <c r="H164" i="649"/>
  <c r="D150" i="649"/>
  <c r="H45" i="656"/>
  <c r="G121" i="656"/>
  <c r="G152" i="649"/>
  <c r="I150" i="649"/>
  <c r="D162" i="649"/>
  <c r="I150" i="655"/>
  <c r="G50" i="652"/>
  <c r="I95" i="656"/>
  <c r="G45" i="656"/>
  <c r="I102" i="656"/>
  <c r="I89" i="656"/>
  <c r="G150" i="655"/>
  <c r="H153" i="655"/>
  <c r="G162" i="649"/>
  <c r="I95" i="652"/>
  <c r="G38" i="652"/>
  <c r="I160" i="649"/>
  <c r="G50" i="656"/>
  <c r="G45" i="652"/>
  <c r="H38" i="656"/>
  <c r="H50" i="656"/>
  <c r="H151" i="649"/>
  <c r="H38" i="652"/>
  <c r="I163" i="649"/>
  <c r="H89" i="652"/>
  <c r="J165" i="649"/>
  <c r="G151" i="649"/>
  <c r="H95" i="656"/>
  <c r="G89" i="656"/>
  <c r="H121" i="656"/>
  <c r="G160" i="649"/>
  <c r="G153" i="655"/>
  <c r="G150" i="649"/>
  <c r="I153" i="649"/>
  <c r="G153" i="649"/>
  <c r="H102" i="652"/>
  <c r="H55" i="652"/>
  <c r="G55" i="656"/>
  <c r="E162" i="649"/>
  <c r="E150" i="649"/>
  <c r="E160" i="649"/>
  <c r="E152" i="649"/>
  <c r="D151" i="649"/>
  <c r="D163" i="649"/>
  <c r="F153" i="649"/>
  <c r="D153" i="649"/>
  <c r="F150" i="649"/>
  <c r="F162" i="649"/>
  <c r="E164" i="649"/>
  <c r="F164" i="649"/>
  <c r="F151" i="649"/>
  <c r="D160" i="649"/>
  <c r="D164" i="649"/>
  <c r="D152" i="649"/>
  <c r="F152" i="649"/>
  <c r="E151" i="649"/>
  <c r="E153" i="649"/>
  <c r="E163" i="649"/>
  <c r="F163" i="649"/>
  <c r="F160" i="649"/>
  <c r="H55" i="656"/>
  <c r="H102" i="656"/>
  <c r="G102" i="656"/>
  <c r="G95" i="656"/>
  <c r="G61" i="656"/>
  <c r="G118" i="656" s="1"/>
  <c r="G120" i="656"/>
  <c r="J122" i="656"/>
  <c r="G124" i="656"/>
  <c r="H89" i="656"/>
  <c r="H61" i="656"/>
  <c r="H118" i="656" s="1"/>
  <c r="H120" i="656"/>
  <c r="I45" i="656"/>
  <c r="I61" i="656"/>
  <c r="I118" i="656" s="1"/>
  <c r="J123" i="656"/>
  <c r="I121" i="656"/>
  <c r="G152" i="655"/>
  <c r="H152" i="655"/>
  <c r="H151" i="655"/>
  <c r="H150" i="655"/>
  <c r="I151" i="655"/>
  <c r="I153" i="655"/>
  <c r="G151" i="655"/>
  <c r="I152" i="655"/>
  <c r="D14" i="654"/>
  <c r="I50" i="652"/>
  <c r="G95" i="652"/>
  <c r="H124" i="652"/>
  <c r="H122" i="652"/>
  <c r="G121" i="652"/>
  <c r="G61" i="652"/>
  <c r="G118" i="652" s="1"/>
  <c r="G120" i="652"/>
  <c r="G102" i="652"/>
  <c r="I38" i="652"/>
  <c r="H50" i="652"/>
  <c r="J122" i="652"/>
  <c r="I102" i="652"/>
  <c r="I89" i="652"/>
  <c r="G122" i="652"/>
  <c r="H45" i="652"/>
  <c r="J124" i="652"/>
  <c r="G89" i="652"/>
  <c r="J123" i="652"/>
  <c r="H121" i="652"/>
  <c r="H61" i="652"/>
  <c r="H118" i="652" s="1"/>
  <c r="I61" i="652"/>
  <c r="I118" i="652" s="1"/>
  <c r="H95" i="652"/>
  <c r="G55" i="652"/>
  <c r="G124" i="652"/>
  <c r="H163" i="649"/>
  <c r="H152" i="649"/>
  <c r="H160" i="649"/>
  <c r="G163" i="649"/>
  <c r="I151" i="649"/>
  <c r="I152" i="649"/>
  <c r="H162" i="649"/>
  <c r="J161" i="649"/>
  <c r="I162" i="649"/>
  <c r="J59" i="653" l="1"/>
  <c r="I56" i="653"/>
  <c r="J58" i="653"/>
  <c r="J57" i="653"/>
  <c r="D56" i="653"/>
  <c r="F56" i="653"/>
  <c r="J60" i="653"/>
  <c r="G56" i="653"/>
  <c r="H64" i="653"/>
  <c r="H62" i="653"/>
  <c r="G64" i="653"/>
  <c r="G62" i="653"/>
  <c r="F64" i="653"/>
  <c r="F62" i="653"/>
  <c r="D64" i="653"/>
  <c r="D62" i="653"/>
  <c r="H65" i="653"/>
  <c r="H63" i="653"/>
  <c r="G65" i="653"/>
  <c r="G63" i="653"/>
  <c r="E62" i="653"/>
  <c r="F65" i="653"/>
  <c r="E65" i="653"/>
  <c r="D65" i="653"/>
  <c r="I64" i="653"/>
  <c r="E64" i="653"/>
  <c r="I63" i="653"/>
  <c r="F63" i="653"/>
  <c r="D63" i="653"/>
  <c r="I65" i="653"/>
  <c r="E63" i="653"/>
  <c r="I62" i="653"/>
  <c r="H56" i="653"/>
  <c r="E56" i="653"/>
  <c r="E149" i="655"/>
  <c r="F149" i="649"/>
  <c r="G149" i="649"/>
  <c r="F154" i="649"/>
  <c r="F149" i="655"/>
  <c r="H149" i="655"/>
  <c r="E154" i="649"/>
  <c r="E149" i="649"/>
  <c r="G154" i="649"/>
  <c r="D149" i="649"/>
  <c r="H154" i="649"/>
  <c r="H149" i="649"/>
  <c r="I149" i="649"/>
  <c r="I149" i="655"/>
  <c r="D149" i="655"/>
  <c r="G149" i="655"/>
  <c r="D154" i="649"/>
  <c r="I154" i="649"/>
  <c r="D154" i="655"/>
  <c r="F154" i="655"/>
  <c r="I154" i="655"/>
  <c r="E154" i="655"/>
  <c r="G154" i="655"/>
  <c r="H154" i="655"/>
  <c r="J38" i="656"/>
  <c r="J50" i="652"/>
  <c r="J38" i="652"/>
  <c r="J45" i="656"/>
  <c r="D118" i="656"/>
  <c r="J61" i="656"/>
  <c r="J118" i="656" s="1"/>
  <c r="J95" i="652"/>
  <c r="J95" i="656"/>
  <c r="J102" i="656"/>
  <c r="J102" i="652"/>
  <c r="J50" i="656"/>
  <c r="J55" i="656"/>
  <c r="J55" i="652"/>
  <c r="J89" i="656"/>
  <c r="D118" i="652"/>
  <c r="J61" i="652"/>
  <c r="J118" i="652" s="1"/>
  <c r="J89" i="652"/>
  <c r="J45" i="652"/>
  <c r="D15" i="653"/>
  <c r="D114" i="656"/>
  <c r="F114" i="656"/>
  <c r="H114" i="652"/>
  <c r="F119" i="656"/>
  <c r="G119" i="656"/>
  <c r="I119" i="656"/>
  <c r="D119" i="652"/>
  <c r="E119" i="656"/>
  <c r="E114" i="656"/>
  <c r="E114" i="652"/>
  <c r="H119" i="656"/>
  <c r="D114" i="652"/>
  <c r="E119" i="652"/>
  <c r="I114" i="656"/>
  <c r="F119" i="652"/>
  <c r="D119" i="656"/>
  <c r="F114" i="652"/>
  <c r="G114" i="656"/>
  <c r="H119" i="652"/>
  <c r="H114" i="656"/>
  <c r="J121" i="656"/>
  <c r="J120" i="656"/>
  <c r="J150" i="655"/>
  <c r="J152" i="655"/>
  <c r="J153" i="655"/>
  <c r="J151" i="655"/>
  <c r="D15" i="654"/>
  <c r="I121" i="652"/>
  <c r="J120" i="652"/>
  <c r="J121" i="652"/>
  <c r="G114" i="652"/>
  <c r="I119" i="652"/>
  <c r="I114" i="652"/>
  <c r="G119" i="652"/>
  <c r="J152" i="649"/>
  <c r="J164" i="649"/>
  <c r="J153" i="649"/>
  <c r="J163" i="649"/>
  <c r="J162" i="649"/>
  <c r="J160" i="649"/>
  <c r="J150" i="649"/>
  <c r="J151" i="649"/>
  <c r="I61" i="653" l="1"/>
  <c r="J63" i="653"/>
  <c r="J62" i="653"/>
  <c r="D61" i="653"/>
  <c r="J64" i="653"/>
  <c r="F61" i="653"/>
  <c r="J56" i="653"/>
  <c r="G168" i="649"/>
  <c r="G169" i="649" s="1"/>
  <c r="J65" i="653"/>
  <c r="G61" i="653"/>
  <c r="H69" i="653"/>
  <c r="H67" i="653"/>
  <c r="G69" i="653"/>
  <c r="G67" i="653"/>
  <c r="F69" i="653"/>
  <c r="F67" i="653"/>
  <c r="D69" i="653"/>
  <c r="D67" i="653"/>
  <c r="H70" i="653"/>
  <c r="H68" i="653"/>
  <c r="G70" i="653"/>
  <c r="G68" i="653"/>
  <c r="D70" i="653"/>
  <c r="D68" i="653"/>
  <c r="E67" i="653"/>
  <c r="I70" i="653"/>
  <c r="F70" i="653"/>
  <c r="E70" i="653"/>
  <c r="I69" i="653"/>
  <c r="E69" i="653"/>
  <c r="I68" i="653"/>
  <c r="E68" i="653"/>
  <c r="F68" i="653"/>
  <c r="I67" i="653"/>
  <c r="H61" i="653"/>
  <c r="E61" i="653"/>
  <c r="F168" i="649"/>
  <c r="J149" i="655"/>
  <c r="J154" i="649"/>
  <c r="H168" i="649"/>
  <c r="J149" i="649"/>
  <c r="D168" i="649"/>
  <c r="I168" i="649"/>
  <c r="E168" i="649"/>
  <c r="J154" i="655"/>
  <c r="J119" i="656"/>
  <c r="J426" i="657"/>
  <c r="J114" i="656"/>
  <c r="J119" i="652"/>
  <c r="J114" i="652"/>
  <c r="F66" i="653" l="1"/>
  <c r="F44" i="653" s="1"/>
  <c r="F121" i="653" s="1"/>
  <c r="F375" i="653" s="1"/>
  <c r="J69" i="653"/>
  <c r="G66" i="653"/>
  <c r="G44" i="653" s="1"/>
  <c r="G121" i="653" s="1"/>
  <c r="G375" i="653" s="1"/>
  <c r="E66" i="653"/>
  <c r="J68" i="653"/>
  <c r="H66" i="653"/>
  <c r="H44" i="653" s="1"/>
  <c r="H121" i="653" s="1"/>
  <c r="H375" i="653" s="1"/>
  <c r="J61" i="653"/>
  <c r="J70" i="653"/>
  <c r="J67" i="653"/>
  <c r="D66" i="653"/>
  <c r="I66" i="653"/>
  <c r="J168" i="649"/>
  <c r="H169" i="649"/>
  <c r="I169" i="649"/>
  <c r="F169" i="649"/>
  <c r="G386" i="653"/>
  <c r="G407" i="653" s="1"/>
  <c r="E169" i="649"/>
  <c r="D169" i="649"/>
  <c r="I44" i="653" l="1"/>
  <c r="I121" i="653" s="1"/>
  <c r="I375" i="653" s="1"/>
  <c r="I386" i="653"/>
  <c r="I407" i="653" s="1"/>
  <c r="E44" i="653"/>
  <c r="E121" i="653" s="1"/>
  <c r="E375" i="653" s="1"/>
  <c r="E386" i="653"/>
  <c r="E407" i="653" s="1"/>
  <c r="J66" i="653"/>
  <c r="J386" i="653" s="1"/>
  <c r="D44" i="653"/>
  <c r="H386" i="653"/>
  <c r="H407" i="653" s="1"/>
  <c r="D386" i="653"/>
  <c r="F386" i="653"/>
  <c r="D121" i="653" l="1"/>
  <c r="J44" i="653"/>
  <c r="J169" i="649"/>
  <c r="J407" i="653"/>
  <c r="D407" i="653"/>
  <c r="F407" i="653"/>
  <c r="H65" i="445"/>
  <c r="G65" i="445"/>
  <c r="F65" i="445"/>
  <c r="E65" i="445"/>
  <c r="H64" i="445"/>
  <c r="G64" i="445"/>
  <c r="F64" i="445"/>
  <c r="E64" i="445"/>
  <c r="H63" i="445"/>
  <c r="G63" i="445"/>
  <c r="F63" i="445"/>
  <c r="E63" i="445"/>
  <c r="H62" i="445"/>
  <c r="G62" i="445"/>
  <c r="F62" i="445"/>
  <c r="E62" i="445"/>
  <c r="H61" i="445"/>
  <c r="G61" i="445"/>
  <c r="F61" i="445"/>
  <c r="E61" i="445"/>
  <c r="H60" i="445"/>
  <c r="G60" i="445"/>
  <c r="F60" i="445"/>
  <c r="E60" i="445"/>
  <c r="D65" i="445"/>
  <c r="D64" i="445"/>
  <c r="D63" i="445"/>
  <c r="D62" i="445"/>
  <c r="D61" i="445"/>
  <c r="D60" i="445"/>
  <c r="P113" i="87"/>
  <c r="P158" i="823" s="1"/>
  <c r="O113" i="87"/>
  <c r="O158" i="823" s="1"/>
  <c r="N113" i="87"/>
  <c r="N158" i="823" s="1"/>
  <c r="M113" i="87"/>
  <c r="M158" i="823" s="1"/>
  <c r="L113" i="87"/>
  <c r="L158" i="823" s="1"/>
  <c r="K113" i="87"/>
  <c r="K158" i="823" s="1"/>
  <c r="J179" i="87"/>
  <c r="X113" i="87"/>
  <c r="Q113" i="87"/>
  <c r="J113" i="87"/>
  <c r="J158" i="823" s="1"/>
  <c r="I113" i="87"/>
  <c r="I158" i="823" s="1"/>
  <c r="H113" i="87"/>
  <c r="H158" i="823" s="1"/>
  <c r="G113" i="87"/>
  <c r="G158" i="823" s="1"/>
  <c r="F113" i="87"/>
  <c r="F158" i="823" s="1"/>
  <c r="E113" i="87"/>
  <c r="E158" i="823" s="1"/>
  <c r="D113" i="87"/>
  <c r="D158" i="823" s="1"/>
  <c r="J121" i="653" l="1"/>
  <c r="J375" i="653" s="1"/>
  <c r="D375" i="653"/>
  <c r="I63" i="445"/>
  <c r="I60" i="445"/>
  <c r="I61" i="445"/>
  <c r="I65" i="445"/>
  <c r="I64" i="445"/>
  <c r="I62" i="445"/>
  <c r="D59" i="445"/>
  <c r="D125" i="445" s="1"/>
  <c r="E59" i="445"/>
  <c r="E125" i="445" s="1"/>
  <c r="F59" i="445"/>
  <c r="F125" i="445" s="1"/>
  <c r="G59" i="445"/>
  <c r="G125" i="445" s="1"/>
  <c r="H59" i="445"/>
  <c r="H125" i="445" s="1"/>
  <c r="I59" i="445" l="1"/>
  <c r="I125" i="445" s="1"/>
  <c r="AP102" i="145" l="1"/>
  <c r="AO102" i="145"/>
  <c r="AN102" i="145"/>
  <c r="AM102" i="145"/>
  <c r="AL102" i="145"/>
  <c r="AK102" i="145"/>
  <c r="F132" i="640" l="1"/>
  <c r="E132" i="640"/>
  <c r="D132" i="640"/>
  <c r="F131" i="640"/>
  <c r="E131" i="640"/>
  <c r="D131" i="640"/>
  <c r="F130" i="640"/>
  <c r="E130" i="640"/>
  <c r="D130" i="640"/>
  <c r="F129" i="640"/>
  <c r="E129" i="640"/>
  <c r="D129" i="640"/>
  <c r="F128" i="640"/>
  <c r="E128" i="640"/>
  <c r="D128" i="640"/>
  <c r="F127" i="640"/>
  <c r="E127" i="640"/>
  <c r="D127" i="640"/>
  <c r="F126" i="640"/>
  <c r="E126" i="640"/>
  <c r="D126" i="640"/>
  <c r="F125" i="640"/>
  <c r="E125" i="640"/>
  <c r="D125" i="640"/>
  <c r="J132" i="640"/>
  <c r="I132" i="640"/>
  <c r="H132" i="640"/>
  <c r="G132" i="640"/>
  <c r="J131" i="640"/>
  <c r="I131" i="640"/>
  <c r="H131" i="640"/>
  <c r="G131" i="640"/>
  <c r="J130" i="640"/>
  <c r="I130" i="640"/>
  <c r="H130" i="640"/>
  <c r="G130" i="640"/>
  <c r="J129" i="640"/>
  <c r="I129" i="640"/>
  <c r="H129" i="640"/>
  <c r="G129" i="640"/>
  <c r="J128" i="640"/>
  <c r="I128" i="640"/>
  <c r="H128" i="640"/>
  <c r="G128" i="640"/>
  <c r="J127" i="640"/>
  <c r="I127" i="640"/>
  <c r="H127" i="640"/>
  <c r="G127" i="640"/>
  <c r="J126" i="640"/>
  <c r="I126" i="640"/>
  <c r="H126" i="640"/>
  <c r="G126" i="640"/>
  <c r="J125" i="640"/>
  <c r="I125" i="640"/>
  <c r="H125" i="640"/>
  <c r="G125" i="640"/>
  <c r="C112" i="640"/>
  <c r="D15" i="640"/>
  <c r="D14" i="640"/>
  <c r="D12" i="640"/>
  <c r="D11" i="640"/>
  <c r="D10" i="640"/>
  <c r="D9" i="640"/>
  <c r="D8" i="640"/>
  <c r="D7" i="640"/>
  <c r="C147" i="639"/>
  <c r="J142" i="639"/>
  <c r="J120" i="639"/>
  <c r="J119" i="639"/>
  <c r="D15" i="639"/>
  <c r="D14" i="639"/>
  <c r="E12" i="639"/>
  <c r="D12" i="639"/>
  <c r="E11" i="639"/>
  <c r="D11" i="639"/>
  <c r="E10" i="639"/>
  <c r="D10" i="639"/>
  <c r="E9" i="639"/>
  <c r="D9" i="639"/>
  <c r="E8" i="639"/>
  <c r="D8" i="639"/>
  <c r="E7" i="639"/>
  <c r="D7" i="639"/>
  <c r="AK73" i="145" l="1"/>
  <c r="AL73" i="145"/>
  <c r="AM73" i="145"/>
  <c r="AN73" i="145"/>
  <c r="AO73" i="145"/>
  <c r="AP73" i="145"/>
  <c r="AK74" i="145"/>
  <c r="AL74" i="145"/>
  <c r="AM74" i="145"/>
  <c r="AN74" i="145"/>
  <c r="AO74" i="145"/>
  <c r="AP74" i="145"/>
  <c r="AK75" i="145"/>
  <c r="AL75" i="145"/>
  <c r="AM75" i="145"/>
  <c r="AN75" i="145"/>
  <c r="AO75" i="145"/>
  <c r="AP75" i="145"/>
  <c r="AK76" i="145"/>
  <c r="AL76" i="145"/>
  <c r="AM76" i="145"/>
  <c r="AN76" i="145"/>
  <c r="AO76" i="145"/>
  <c r="AP76" i="145"/>
  <c r="AP93" i="145"/>
  <c r="AO93" i="145"/>
  <c r="AN93" i="145"/>
  <c r="AM93" i="145"/>
  <c r="AL93" i="145"/>
  <c r="AP83" i="145"/>
  <c r="AO83" i="145"/>
  <c r="AN83" i="145"/>
  <c r="AM83" i="145"/>
  <c r="AL83" i="145"/>
  <c r="AP82" i="145"/>
  <c r="AO82" i="145"/>
  <c r="AN82" i="145"/>
  <c r="AM82" i="145"/>
  <c r="AL82" i="145"/>
  <c r="AP79" i="145"/>
  <c r="AO79" i="145"/>
  <c r="AN79" i="145"/>
  <c r="AM79" i="145"/>
  <c r="AL79" i="145"/>
  <c r="AK83" i="145"/>
  <c r="AK82" i="145"/>
  <c r="AP100" i="145"/>
  <c r="AO100" i="145"/>
  <c r="AN100" i="145"/>
  <c r="AM100" i="145"/>
  <c r="AL100" i="145"/>
  <c r="AK100" i="145"/>
  <c r="AP99" i="145"/>
  <c r="AO99" i="145"/>
  <c r="AN99" i="145"/>
  <c r="AM99" i="145"/>
  <c r="AL99" i="145"/>
  <c r="AK99" i="145"/>
  <c r="AK93" i="145"/>
  <c r="AP92" i="145"/>
  <c r="AO92" i="145"/>
  <c r="AN92" i="145"/>
  <c r="AM92" i="145"/>
  <c r="AL92" i="145"/>
  <c r="AK92" i="145"/>
  <c r="AP88" i="145"/>
  <c r="AO88" i="145"/>
  <c r="AN88" i="145"/>
  <c r="AM88" i="145"/>
  <c r="AL88" i="145"/>
  <c r="AK88" i="145"/>
  <c r="AP87" i="145"/>
  <c r="AO87" i="145"/>
  <c r="AN87" i="145"/>
  <c r="AM87" i="145"/>
  <c r="AL87" i="145"/>
  <c r="AK87" i="145"/>
  <c r="AP86" i="145"/>
  <c r="AO86" i="145"/>
  <c r="AN86" i="145"/>
  <c r="AM86" i="145"/>
  <c r="AL86" i="145"/>
  <c r="AK86" i="145"/>
  <c r="AK79" i="145"/>
  <c r="AP78" i="145"/>
  <c r="AO78" i="145"/>
  <c r="AN78" i="145"/>
  <c r="AM78" i="145"/>
  <c r="AL78" i="145"/>
  <c r="AK78" i="145"/>
  <c r="AP72" i="145"/>
  <c r="AO72" i="145"/>
  <c r="AN72" i="145"/>
  <c r="AM72" i="145"/>
  <c r="AL72" i="145"/>
  <c r="AK72" i="145"/>
  <c r="AP71" i="145"/>
  <c r="AO71" i="145"/>
  <c r="AN71" i="145"/>
  <c r="AM71" i="145"/>
  <c r="AL71" i="145"/>
  <c r="AK71" i="145"/>
  <c r="AP70" i="145"/>
  <c r="AO70" i="145"/>
  <c r="AN70" i="145"/>
  <c r="AM70" i="145"/>
  <c r="AL70" i="145"/>
  <c r="AK70" i="145"/>
  <c r="AP69" i="145"/>
  <c r="AO69" i="145"/>
  <c r="AN69" i="145"/>
  <c r="AM69" i="145"/>
  <c r="AL69" i="145"/>
  <c r="AK69" i="145"/>
  <c r="AP68" i="145"/>
  <c r="AO68" i="145"/>
  <c r="AN68" i="145"/>
  <c r="AM68" i="145"/>
  <c r="AL68" i="145"/>
  <c r="AK68" i="145"/>
  <c r="AP67" i="145"/>
  <c r="AO67" i="145"/>
  <c r="AN67" i="145"/>
  <c r="AM67" i="145"/>
  <c r="AL67" i="145"/>
  <c r="AK67" i="145"/>
  <c r="AP66" i="145"/>
  <c r="AO66" i="145"/>
  <c r="AN66" i="145"/>
  <c r="AM66" i="145"/>
  <c r="AL66" i="145"/>
  <c r="AK66" i="145"/>
  <c r="AP65" i="145"/>
  <c r="AO65" i="145"/>
  <c r="AN65" i="145"/>
  <c r="AM65" i="145"/>
  <c r="AL65" i="145"/>
  <c r="AK65" i="145"/>
  <c r="AH7" i="120" l="1"/>
  <c r="AH7" i="87"/>
  <c r="AH15" i="87"/>
  <c r="AH16" i="87"/>
  <c r="AH17" i="87"/>
  <c r="AH18" i="87"/>
  <c r="AH27" i="87"/>
  <c r="AH28" i="87"/>
  <c r="AH141" i="87" s="1"/>
  <c r="AH29" i="87"/>
  <c r="AH142" i="87" s="1"/>
  <c r="AH30" i="87"/>
  <c r="AH143" i="87" s="1"/>
  <c r="AH31" i="87"/>
  <c r="AH144" i="87" s="1"/>
  <c r="AH32" i="87"/>
  <c r="AH33" i="87"/>
  <c r="AH34" i="87"/>
  <c r="AH35" i="87"/>
  <c r="AH36" i="87"/>
  <c r="AH37" i="87"/>
  <c r="AH38" i="87"/>
  <c r="AH39" i="87"/>
  <c r="AH40" i="87"/>
  <c r="AH41" i="87"/>
  <c r="AH42" i="87"/>
  <c r="AH43" i="87"/>
  <c r="AH44" i="87"/>
  <c r="AH45" i="87"/>
  <c r="AH46" i="87"/>
  <c r="AH47" i="87"/>
  <c r="AH48" i="87"/>
  <c r="AH65" i="87"/>
  <c r="AH66" i="87"/>
  <c r="AH67" i="87"/>
  <c r="AH68" i="87"/>
  <c r="AH69" i="87"/>
  <c r="AH70" i="87"/>
  <c r="AH71" i="87"/>
  <c r="AH72" i="87"/>
  <c r="AH73" i="87"/>
  <c r="AH74" i="87"/>
  <c r="AH75" i="87"/>
  <c r="AH76" i="87"/>
  <c r="AH77" i="87"/>
  <c r="AH78" i="87"/>
  <c r="AH79" i="87"/>
  <c r="AH80" i="87"/>
  <c r="AH81" i="87"/>
  <c r="AH82" i="87"/>
  <c r="AH83" i="87"/>
  <c r="AH84" i="87"/>
  <c r="AH85" i="87"/>
  <c r="AH86" i="87"/>
  <c r="AH87" i="87"/>
  <c r="AH88" i="87"/>
  <c r="AH89" i="87"/>
  <c r="AH90" i="87"/>
  <c r="AH91" i="87"/>
  <c r="AH92" i="87"/>
  <c r="AH93" i="87"/>
  <c r="AH94" i="87"/>
  <c r="AH95" i="87"/>
  <c r="AH96" i="87"/>
  <c r="AH97" i="87"/>
  <c r="AH98" i="87"/>
  <c r="AH99" i="87"/>
  <c r="AH100" i="87"/>
  <c r="AH101" i="87"/>
  <c r="AH102" i="87"/>
  <c r="AH103" i="87"/>
  <c r="AH104" i="87"/>
  <c r="AH105" i="87"/>
  <c r="AH106" i="87"/>
  <c r="AG106" i="87"/>
  <c r="AG105" i="87"/>
  <c r="AG104" i="87"/>
  <c r="AG103" i="87"/>
  <c r="AG102" i="87"/>
  <c r="AG101" i="87"/>
  <c r="AG100" i="87"/>
  <c r="AG99" i="87"/>
  <c r="AG98" i="87"/>
  <c r="AG97" i="87"/>
  <c r="AG96" i="87"/>
  <c r="AG95" i="87"/>
  <c r="AG94" i="87"/>
  <c r="AG93" i="87"/>
  <c r="AG92" i="87"/>
  <c r="AG91" i="87"/>
  <c r="AG90" i="87"/>
  <c r="AG89" i="87"/>
  <c r="AG88" i="87"/>
  <c r="AG87" i="87"/>
  <c r="AG86" i="87"/>
  <c r="AG85" i="87"/>
  <c r="AG84" i="87"/>
  <c r="AG83" i="87"/>
  <c r="AG82" i="87"/>
  <c r="AG81" i="87"/>
  <c r="AG80" i="87"/>
  <c r="AG79" i="87"/>
  <c r="AG78" i="87"/>
  <c r="AG77" i="87"/>
  <c r="AG76" i="87"/>
  <c r="AG75" i="87"/>
  <c r="AG74" i="87"/>
  <c r="AG73" i="87"/>
  <c r="AG72" i="87"/>
  <c r="AG71" i="87"/>
  <c r="AG70" i="87"/>
  <c r="AG69" i="87"/>
  <c r="AG68" i="87"/>
  <c r="AG67" i="87"/>
  <c r="AG66" i="87"/>
  <c r="AG65" i="87"/>
  <c r="AG48" i="87"/>
  <c r="AG47" i="87"/>
  <c r="AG46" i="87"/>
  <c r="AG45" i="87"/>
  <c r="AG44" i="87"/>
  <c r="AG43" i="87"/>
  <c r="AG42" i="87"/>
  <c r="AG41" i="87"/>
  <c r="AG40" i="87"/>
  <c r="AG39" i="87"/>
  <c r="AG38" i="87"/>
  <c r="AG37" i="87"/>
  <c r="AG36" i="87"/>
  <c r="AG35" i="87"/>
  <c r="AG34" i="87"/>
  <c r="AG33" i="87"/>
  <c r="AG32" i="87"/>
  <c r="AG31" i="87"/>
  <c r="AG144" i="87" s="1"/>
  <c r="AG30" i="87"/>
  <c r="AG29" i="87"/>
  <c r="AG28" i="87"/>
  <c r="AG27" i="87"/>
  <c r="AH140" i="87" s="1"/>
  <c r="AG18" i="87"/>
  <c r="AG17" i="87"/>
  <c r="AG16" i="87"/>
  <c r="AG15" i="87"/>
  <c r="AH124" i="87"/>
  <c r="AG7" i="87"/>
  <c r="O105" i="87" l="1"/>
  <c r="V105" i="87" s="1"/>
  <c r="P105" i="87"/>
  <c r="W105" i="87" s="1"/>
  <c r="N105" i="87"/>
  <c r="U105" i="87" s="1"/>
  <c r="M105" i="87"/>
  <c r="T105" i="87" s="1"/>
  <c r="L105" i="87"/>
  <c r="S105" i="87" s="1"/>
  <c r="K105" i="87"/>
  <c r="O104" i="87"/>
  <c r="V104" i="87" s="1"/>
  <c r="P104" i="87"/>
  <c r="W104" i="87" s="1"/>
  <c r="N104" i="87"/>
  <c r="U104" i="87" s="1"/>
  <c r="M104" i="87"/>
  <c r="T104" i="87" s="1"/>
  <c r="L104" i="87"/>
  <c r="S104" i="87" s="1"/>
  <c r="K104" i="87"/>
  <c r="O103" i="87"/>
  <c r="V103" i="87" s="1"/>
  <c r="N103" i="87"/>
  <c r="U103" i="87" s="1"/>
  <c r="M103" i="87"/>
  <c r="T103" i="87" s="1"/>
  <c r="L103" i="87"/>
  <c r="S103" i="87" s="1"/>
  <c r="K103" i="87"/>
  <c r="P103" i="87"/>
  <c r="W103" i="87" s="1"/>
  <c r="K102" i="87"/>
  <c r="N102" i="87"/>
  <c r="U102" i="87" s="1"/>
  <c r="M102" i="87"/>
  <c r="T102" i="87" s="1"/>
  <c r="L102" i="87"/>
  <c r="S102" i="87" s="1"/>
  <c r="O102" i="87"/>
  <c r="V102" i="87" s="1"/>
  <c r="P102" i="87"/>
  <c r="W102" i="87" s="1"/>
  <c r="P101" i="87"/>
  <c r="W101" i="87" s="1"/>
  <c r="O101" i="87"/>
  <c r="V101" i="87" s="1"/>
  <c r="N101" i="87"/>
  <c r="U101" i="87" s="1"/>
  <c r="M101" i="87"/>
  <c r="T101" i="87" s="1"/>
  <c r="K101" i="87"/>
  <c r="L101" i="87"/>
  <c r="S101" i="87" s="1"/>
  <c r="P100" i="87"/>
  <c r="N100" i="87"/>
  <c r="L100" i="87"/>
  <c r="M100" i="87"/>
  <c r="O100" i="87"/>
  <c r="K100" i="87"/>
  <c r="K98" i="87"/>
  <c r="L98" i="87"/>
  <c r="S98" i="87" s="1"/>
  <c r="M98" i="87"/>
  <c r="T98" i="87" s="1"/>
  <c r="N98" i="87"/>
  <c r="U98" i="87" s="1"/>
  <c r="O98" i="87"/>
  <c r="V98" i="87" s="1"/>
  <c r="P98" i="87"/>
  <c r="W98" i="87" s="1"/>
  <c r="K97" i="87"/>
  <c r="L97" i="87"/>
  <c r="S97" i="87" s="1"/>
  <c r="M97" i="87"/>
  <c r="T97" i="87" s="1"/>
  <c r="N97" i="87"/>
  <c r="U97" i="87" s="1"/>
  <c r="O97" i="87"/>
  <c r="V97" i="87" s="1"/>
  <c r="P97" i="87"/>
  <c r="W97" i="87" s="1"/>
  <c r="P96" i="87"/>
  <c r="W96" i="87" s="1"/>
  <c r="O96" i="87"/>
  <c r="V96" i="87" s="1"/>
  <c r="N96" i="87"/>
  <c r="U96" i="87" s="1"/>
  <c r="M96" i="87"/>
  <c r="T96" i="87" s="1"/>
  <c r="L96" i="87"/>
  <c r="S96" i="87" s="1"/>
  <c r="K96" i="87"/>
  <c r="O95" i="87"/>
  <c r="V95" i="87" s="1"/>
  <c r="N95" i="87"/>
  <c r="U95" i="87" s="1"/>
  <c r="P95" i="87"/>
  <c r="W95" i="87" s="1"/>
  <c r="M95" i="87"/>
  <c r="T95" i="87" s="1"/>
  <c r="L95" i="87"/>
  <c r="S95" i="87" s="1"/>
  <c r="K95" i="87"/>
  <c r="P94" i="87"/>
  <c r="W94" i="87" s="1"/>
  <c r="O94" i="87"/>
  <c r="V94" i="87" s="1"/>
  <c r="N94" i="87"/>
  <c r="U94" i="87" s="1"/>
  <c r="M94" i="87"/>
  <c r="T94" i="87" s="1"/>
  <c r="L94" i="87"/>
  <c r="S94" i="87" s="1"/>
  <c r="K94" i="87"/>
  <c r="O93" i="87"/>
  <c r="M93" i="87"/>
  <c r="N93" i="87"/>
  <c r="K93" i="87"/>
  <c r="L93" i="87"/>
  <c r="P93" i="87"/>
  <c r="M91" i="87"/>
  <c r="T91" i="87" s="1"/>
  <c r="N91" i="87"/>
  <c r="U91" i="87" s="1"/>
  <c r="O91" i="87"/>
  <c r="V91" i="87" s="1"/>
  <c r="P91" i="87"/>
  <c r="W91" i="87" s="1"/>
  <c r="K91" i="87"/>
  <c r="L91" i="87"/>
  <c r="S91" i="87" s="1"/>
  <c r="M90" i="87"/>
  <c r="T90" i="87" s="1"/>
  <c r="P90" i="87"/>
  <c r="W90" i="87" s="1"/>
  <c r="N90" i="87"/>
  <c r="U90" i="87" s="1"/>
  <c r="K90" i="87"/>
  <c r="O90" i="87"/>
  <c r="V90" i="87" s="1"/>
  <c r="L90" i="87"/>
  <c r="S90" i="87" s="1"/>
  <c r="M89" i="87"/>
  <c r="T89" i="87" s="1"/>
  <c r="P89" i="87"/>
  <c r="W89" i="87" s="1"/>
  <c r="O89" i="87"/>
  <c r="V89" i="87" s="1"/>
  <c r="N89" i="87"/>
  <c r="U89" i="87" s="1"/>
  <c r="K89" i="87"/>
  <c r="L89" i="87"/>
  <c r="S89" i="87" s="1"/>
  <c r="L88" i="87"/>
  <c r="S88" i="87" s="1"/>
  <c r="P88" i="87"/>
  <c r="W88" i="87" s="1"/>
  <c r="N88" i="87"/>
  <c r="U88" i="87" s="1"/>
  <c r="O88" i="87"/>
  <c r="V88" i="87" s="1"/>
  <c r="M88" i="87"/>
  <c r="T88" i="87" s="1"/>
  <c r="K88" i="87"/>
  <c r="K87" i="87"/>
  <c r="L87" i="87"/>
  <c r="P87" i="87"/>
  <c r="N87" i="87"/>
  <c r="O87" i="87"/>
  <c r="M87" i="87"/>
  <c r="M84" i="87"/>
  <c r="T84" i="87" s="1"/>
  <c r="O84" i="87"/>
  <c r="V84" i="87" s="1"/>
  <c r="N84" i="87"/>
  <c r="U84" i="87" s="1"/>
  <c r="L84" i="87"/>
  <c r="S84" i="87" s="1"/>
  <c r="K84" i="87"/>
  <c r="P84" i="87"/>
  <c r="W84" i="87" s="1"/>
  <c r="L83" i="87"/>
  <c r="S83" i="87" s="1"/>
  <c r="K83" i="87"/>
  <c r="N83" i="87"/>
  <c r="U83" i="87" s="1"/>
  <c r="O83" i="87"/>
  <c r="V83" i="87" s="1"/>
  <c r="M83" i="87"/>
  <c r="T83" i="87" s="1"/>
  <c r="P83" i="87"/>
  <c r="W83" i="87" s="1"/>
  <c r="O82" i="87"/>
  <c r="V82" i="87" s="1"/>
  <c r="M82" i="87"/>
  <c r="T82" i="87" s="1"/>
  <c r="K82" i="87"/>
  <c r="N82" i="87"/>
  <c r="U82" i="87" s="1"/>
  <c r="P82" i="87"/>
  <c r="W82" i="87" s="1"/>
  <c r="L82" i="87"/>
  <c r="S82" i="87" s="1"/>
  <c r="N81" i="87"/>
  <c r="U81" i="87" s="1"/>
  <c r="P81" i="87"/>
  <c r="W81" i="87" s="1"/>
  <c r="L81" i="87"/>
  <c r="S81" i="87" s="1"/>
  <c r="O81" i="87"/>
  <c r="V81" i="87" s="1"/>
  <c r="K81" i="87"/>
  <c r="M81" i="87"/>
  <c r="T81" i="87" s="1"/>
  <c r="L80" i="87"/>
  <c r="S80" i="87" s="1"/>
  <c r="O80" i="87"/>
  <c r="V80" i="87" s="1"/>
  <c r="P80" i="87"/>
  <c r="W80" i="87" s="1"/>
  <c r="N80" i="87"/>
  <c r="U80" i="87" s="1"/>
  <c r="K80" i="87"/>
  <c r="M80" i="87"/>
  <c r="T80" i="87" s="1"/>
  <c r="O79" i="87"/>
  <c r="M79" i="87"/>
  <c r="P79" i="87"/>
  <c r="L79" i="87"/>
  <c r="K79" i="87"/>
  <c r="N79" i="87"/>
  <c r="P77" i="87"/>
  <c r="W77" i="87" s="1"/>
  <c r="K77" i="87"/>
  <c r="N77" i="87"/>
  <c r="U77" i="87" s="1"/>
  <c r="L77" i="87"/>
  <c r="S77" i="87" s="1"/>
  <c r="O77" i="87"/>
  <c r="V77" i="87" s="1"/>
  <c r="M77" i="87"/>
  <c r="T77" i="87" s="1"/>
  <c r="O76" i="87"/>
  <c r="V76" i="87" s="1"/>
  <c r="L76" i="87"/>
  <c r="S76" i="87" s="1"/>
  <c r="N76" i="87"/>
  <c r="U76" i="87" s="1"/>
  <c r="M76" i="87"/>
  <c r="T76" i="87" s="1"/>
  <c r="P76" i="87"/>
  <c r="W76" i="87" s="1"/>
  <c r="K76" i="87"/>
  <c r="M75" i="87"/>
  <c r="T75" i="87" s="1"/>
  <c r="K75" i="87"/>
  <c r="P75" i="87"/>
  <c r="W75" i="87" s="1"/>
  <c r="O75" i="87"/>
  <c r="V75" i="87" s="1"/>
  <c r="L75" i="87"/>
  <c r="S75" i="87" s="1"/>
  <c r="N75" i="87"/>
  <c r="U75" i="87" s="1"/>
  <c r="P74" i="87"/>
  <c r="W74" i="87" s="1"/>
  <c r="K74" i="87"/>
  <c r="N74" i="87"/>
  <c r="U74" i="87" s="1"/>
  <c r="O74" i="87"/>
  <c r="V74" i="87" s="1"/>
  <c r="M74" i="87"/>
  <c r="T74" i="87" s="1"/>
  <c r="L74" i="87"/>
  <c r="S74" i="87" s="1"/>
  <c r="N73" i="87"/>
  <c r="U73" i="87" s="1"/>
  <c r="M73" i="87"/>
  <c r="T73" i="87" s="1"/>
  <c r="L73" i="87"/>
  <c r="S73" i="87" s="1"/>
  <c r="P73" i="87"/>
  <c r="W73" i="87" s="1"/>
  <c r="O73" i="87"/>
  <c r="V73" i="87" s="1"/>
  <c r="K73" i="87"/>
  <c r="P72" i="87"/>
  <c r="O72" i="87"/>
  <c r="N72" i="87"/>
  <c r="M72" i="87"/>
  <c r="L72" i="87"/>
  <c r="K72" i="87"/>
  <c r="N70" i="87"/>
  <c r="U70" i="87" s="1"/>
  <c r="O70" i="87"/>
  <c r="V70" i="87" s="1"/>
  <c r="P70" i="87"/>
  <c r="W70" i="87" s="1"/>
  <c r="K70" i="87"/>
  <c r="L70" i="87"/>
  <c r="S70" i="87" s="1"/>
  <c r="M70" i="87"/>
  <c r="T70" i="87" s="1"/>
  <c r="P69" i="87"/>
  <c r="W69" i="87" s="1"/>
  <c r="N69" i="87"/>
  <c r="U69" i="87" s="1"/>
  <c r="K69" i="87"/>
  <c r="L69" i="87"/>
  <c r="S69" i="87" s="1"/>
  <c r="O69" i="87"/>
  <c r="V69" i="87" s="1"/>
  <c r="M69" i="87"/>
  <c r="T69" i="87" s="1"/>
  <c r="K68" i="87"/>
  <c r="L68" i="87"/>
  <c r="S68" i="87" s="1"/>
  <c r="M68" i="87"/>
  <c r="T68" i="87" s="1"/>
  <c r="N68" i="87"/>
  <c r="U68" i="87" s="1"/>
  <c r="O68" i="87"/>
  <c r="V68" i="87" s="1"/>
  <c r="P68" i="87"/>
  <c r="W68" i="87" s="1"/>
  <c r="M67" i="87"/>
  <c r="T67" i="87" s="1"/>
  <c r="N67" i="87"/>
  <c r="U67" i="87" s="1"/>
  <c r="O67" i="87"/>
  <c r="V67" i="87" s="1"/>
  <c r="P67" i="87"/>
  <c r="W67" i="87" s="1"/>
  <c r="K67" i="87"/>
  <c r="L67" i="87"/>
  <c r="S67" i="87" s="1"/>
  <c r="L66" i="87"/>
  <c r="P66" i="87"/>
  <c r="O66" i="87"/>
  <c r="K66" i="87"/>
  <c r="N66" i="87"/>
  <c r="M66" i="87"/>
  <c r="O48" i="87"/>
  <c r="N48" i="87"/>
  <c r="M48" i="87"/>
  <c r="L48" i="87"/>
  <c r="K48" i="87"/>
  <c r="P48" i="87"/>
  <c r="P47" i="87"/>
  <c r="O47" i="87"/>
  <c r="N47" i="87"/>
  <c r="M47" i="87"/>
  <c r="L47" i="87"/>
  <c r="K47" i="87"/>
  <c r="P46" i="87"/>
  <c r="O46" i="87"/>
  <c r="N46" i="87"/>
  <c r="M46" i="87"/>
  <c r="L46" i="87"/>
  <c r="K46" i="87"/>
  <c r="P45" i="87"/>
  <c r="O45" i="87"/>
  <c r="N45" i="87"/>
  <c r="M45" i="87"/>
  <c r="L45" i="87"/>
  <c r="K45" i="87"/>
  <c r="K43" i="87"/>
  <c r="O43" i="87"/>
  <c r="P43" i="87"/>
  <c r="N43" i="87"/>
  <c r="M43" i="87"/>
  <c r="L43" i="87"/>
  <c r="P42" i="87"/>
  <c r="M42" i="87"/>
  <c r="L42" i="87"/>
  <c r="K42" i="87"/>
  <c r="O42" i="87"/>
  <c r="N42" i="87"/>
  <c r="L41" i="87"/>
  <c r="P41" i="87"/>
  <c r="O41" i="87"/>
  <c r="N41" i="87"/>
  <c r="M41" i="87"/>
  <c r="K41" i="87"/>
  <c r="K40" i="87"/>
  <c r="L40" i="87"/>
  <c r="P40" i="87"/>
  <c r="O40" i="87"/>
  <c r="N40" i="87"/>
  <c r="M40" i="87"/>
  <c r="L38" i="87"/>
  <c r="K38" i="87"/>
  <c r="P38" i="87"/>
  <c r="O38" i="87"/>
  <c r="N38" i="87"/>
  <c r="M38" i="87"/>
  <c r="N37" i="87"/>
  <c r="L37" i="87"/>
  <c r="P37" i="87"/>
  <c r="O37" i="87"/>
  <c r="M37" i="87"/>
  <c r="K37" i="87"/>
  <c r="K36" i="87"/>
  <c r="M36" i="87"/>
  <c r="P36" i="87"/>
  <c r="N36" i="87"/>
  <c r="L36" i="87"/>
  <c r="O36" i="87"/>
  <c r="O35" i="87"/>
  <c r="P35" i="87"/>
  <c r="N35" i="87"/>
  <c r="M35" i="87"/>
  <c r="L35" i="87"/>
  <c r="K35" i="87"/>
  <c r="P33" i="87"/>
  <c r="M33" i="87"/>
  <c r="L33" i="87"/>
  <c r="O33" i="87"/>
  <c r="K33" i="87"/>
  <c r="N33" i="87"/>
  <c r="M32" i="87"/>
  <c r="N32" i="87"/>
  <c r="L32" i="87"/>
  <c r="K32" i="87"/>
  <c r="O32" i="87"/>
  <c r="P32" i="87"/>
  <c r="N31" i="87"/>
  <c r="M31" i="87"/>
  <c r="K31" i="87"/>
  <c r="L31" i="87"/>
  <c r="P31" i="87"/>
  <c r="O31" i="87"/>
  <c r="K30" i="87"/>
  <c r="L30" i="87"/>
  <c r="N30" i="87"/>
  <c r="M30" i="87"/>
  <c r="O30" i="87"/>
  <c r="P30" i="87"/>
  <c r="L29" i="87"/>
  <c r="P29" i="87"/>
  <c r="O29" i="87"/>
  <c r="M29" i="87"/>
  <c r="N29" i="87"/>
  <c r="K29" i="87"/>
  <c r="M28" i="87"/>
  <c r="L28" i="87"/>
  <c r="K28" i="87"/>
  <c r="N28" i="87"/>
  <c r="P28" i="87"/>
  <c r="O28" i="87"/>
  <c r="P18" i="87"/>
  <c r="W18" i="87" s="1"/>
  <c r="K18" i="87"/>
  <c r="L18" i="87"/>
  <c r="S18" i="87" s="1"/>
  <c r="M18" i="87"/>
  <c r="T18" i="87" s="1"/>
  <c r="N18" i="87"/>
  <c r="U18" i="87" s="1"/>
  <c r="O18" i="87"/>
  <c r="V18" i="87" s="1"/>
  <c r="M17" i="87"/>
  <c r="T17" i="87" s="1"/>
  <c r="L17" i="87"/>
  <c r="S17" i="87" s="1"/>
  <c r="K17" i="87"/>
  <c r="N17" i="87"/>
  <c r="U17" i="87" s="1"/>
  <c r="P17" i="87"/>
  <c r="W17" i="87" s="1"/>
  <c r="O17" i="87"/>
  <c r="V17" i="87" s="1"/>
  <c r="N16" i="87"/>
  <c r="U16" i="87" s="1"/>
  <c r="L16" i="87"/>
  <c r="S16" i="87" s="1"/>
  <c r="P16" i="87"/>
  <c r="W16" i="87" s="1"/>
  <c r="O16" i="87"/>
  <c r="V16" i="87" s="1"/>
  <c r="M16" i="87"/>
  <c r="T16" i="87" s="1"/>
  <c r="K16" i="87"/>
  <c r="L15" i="87"/>
  <c r="P15" i="87"/>
  <c r="K15" i="87"/>
  <c r="M15" i="87"/>
  <c r="N15" i="87"/>
  <c r="O15" i="87"/>
  <c r="AH116" i="87"/>
  <c r="M7" i="87"/>
  <c r="P7" i="87"/>
  <c r="L7" i="87"/>
  <c r="K7" i="87"/>
  <c r="N7" i="87"/>
  <c r="O7" i="87"/>
  <c r="M212" i="654"/>
  <c r="M199" i="654"/>
  <c r="M184" i="654"/>
  <c r="M177" i="654"/>
  <c r="M109" i="654"/>
  <c r="M95" i="654"/>
  <c r="M211" i="654"/>
  <c r="M198" i="654"/>
  <c r="M183" i="654"/>
  <c r="M176" i="654"/>
  <c r="M94" i="654"/>
  <c r="M87" i="654"/>
  <c r="M210" i="654"/>
  <c r="M197" i="654"/>
  <c r="M175" i="654"/>
  <c r="M108" i="654"/>
  <c r="M93" i="654"/>
  <c r="M86" i="654"/>
  <c r="M209" i="654"/>
  <c r="M196" i="654"/>
  <c r="M119" i="654"/>
  <c r="M107" i="654"/>
  <c r="M91" i="654"/>
  <c r="M84" i="654"/>
  <c r="M207" i="654"/>
  <c r="M193" i="654"/>
  <c r="M118" i="654"/>
  <c r="M105" i="654"/>
  <c r="M90" i="654"/>
  <c r="M83" i="654"/>
  <c r="M206" i="654"/>
  <c r="M192" i="654"/>
  <c r="M117" i="654"/>
  <c r="M104" i="654"/>
  <c r="M89" i="654"/>
  <c r="M82" i="654"/>
  <c r="M205" i="654"/>
  <c r="M191" i="654"/>
  <c r="M116" i="654"/>
  <c r="M103" i="654"/>
  <c r="M88" i="654"/>
  <c r="M81" i="654"/>
  <c r="M204" i="654"/>
  <c r="M190" i="654"/>
  <c r="M115" i="654"/>
  <c r="M102" i="654"/>
  <c r="M80" i="654"/>
  <c r="M189" i="654"/>
  <c r="M182" i="654"/>
  <c r="M114" i="654"/>
  <c r="M101" i="654"/>
  <c r="M203" i="654"/>
  <c r="M188" i="654"/>
  <c r="M181" i="654"/>
  <c r="M112" i="654"/>
  <c r="M98" i="654"/>
  <c r="M214" i="654"/>
  <c r="M202" i="654"/>
  <c r="M186" i="654"/>
  <c r="M179" i="654"/>
  <c r="M111" i="654"/>
  <c r="M97" i="654"/>
  <c r="M213" i="654"/>
  <c r="M200" i="654"/>
  <c r="M185" i="654"/>
  <c r="M178" i="654"/>
  <c r="M110" i="654"/>
  <c r="M96" i="654"/>
  <c r="AI140" i="87"/>
  <c r="AI129" i="87"/>
  <c r="AI130" i="87" s="1"/>
  <c r="AI131" i="87" s="1"/>
  <c r="AI132" i="87" s="1"/>
  <c r="AI133" i="87" s="1"/>
  <c r="AI124" i="87"/>
  <c r="AI117" i="87"/>
  <c r="AI137" i="87"/>
  <c r="AI119" i="87"/>
  <c r="AH137" i="87"/>
  <c r="AH119" i="87"/>
  <c r="AI118" i="87"/>
  <c r="AH118" i="87"/>
  <c r="AH129" i="87"/>
  <c r="AH130" i="87" s="1"/>
  <c r="AH131" i="87" s="1"/>
  <c r="AH132" i="87" s="1"/>
  <c r="AH133" i="87" s="1"/>
  <c r="AH117" i="87"/>
  <c r="AI126" i="87"/>
  <c r="AI116" i="87"/>
  <c r="AH126" i="87"/>
  <c r="AI125" i="87"/>
  <c r="AH125" i="87"/>
  <c r="Q41" i="87" l="1"/>
  <c r="Q29" i="87"/>
  <c r="Q42" i="87"/>
  <c r="Q37" i="87"/>
  <c r="P44" i="87"/>
  <c r="Q30" i="87"/>
  <c r="M39" i="87"/>
  <c r="O44" i="87"/>
  <c r="Q47" i="87"/>
  <c r="Q33" i="87"/>
  <c r="P39" i="87"/>
  <c r="O27" i="87"/>
  <c r="L34" i="87"/>
  <c r="L44" i="87"/>
  <c r="M44" i="87"/>
  <c r="O39" i="87"/>
  <c r="N34" i="87"/>
  <c r="N44" i="87"/>
  <c r="Q48" i="87"/>
  <c r="N39" i="87"/>
  <c r="N27" i="87"/>
  <c r="Q32" i="87"/>
  <c r="M34" i="87"/>
  <c r="P34" i="87"/>
  <c r="L39" i="87"/>
  <c r="O34" i="87"/>
  <c r="Q46" i="87"/>
  <c r="Q31" i="87"/>
  <c r="Q38" i="87"/>
  <c r="Q36" i="87"/>
  <c r="Q43" i="87"/>
  <c r="R105" i="87"/>
  <c r="X105" i="87" s="1"/>
  <c r="Q105" i="87"/>
  <c r="R104" i="87"/>
  <c r="X104" i="87" s="1"/>
  <c r="Q104" i="87"/>
  <c r="R103" i="87"/>
  <c r="X103" i="87" s="1"/>
  <c r="Q103" i="87"/>
  <c r="R102" i="87"/>
  <c r="X102" i="87" s="1"/>
  <c r="Q102" i="87"/>
  <c r="R101" i="87"/>
  <c r="X101" i="87" s="1"/>
  <c r="Q101" i="87"/>
  <c r="W100" i="87"/>
  <c r="W99" i="87" s="1"/>
  <c r="P99" i="87"/>
  <c r="U100" i="87"/>
  <c r="U99" i="87" s="1"/>
  <c r="N99" i="87"/>
  <c r="S100" i="87"/>
  <c r="S99" i="87" s="1"/>
  <c r="L99" i="87"/>
  <c r="T100" i="87"/>
  <c r="T99" i="87" s="1"/>
  <c r="M99" i="87"/>
  <c r="V100" i="87"/>
  <c r="V99" i="87" s="1"/>
  <c r="O99" i="87"/>
  <c r="R100" i="87"/>
  <c r="K99" i="87"/>
  <c r="Q100" i="87"/>
  <c r="R98" i="87"/>
  <c r="X98" i="87" s="1"/>
  <c r="Q98" i="87"/>
  <c r="R97" i="87"/>
  <c r="X97" i="87" s="1"/>
  <c r="Q97" i="87"/>
  <c r="R96" i="87"/>
  <c r="X96" i="87" s="1"/>
  <c r="Q96" i="87"/>
  <c r="R95" i="87"/>
  <c r="X95" i="87" s="1"/>
  <c r="Q95" i="87"/>
  <c r="R94" i="87"/>
  <c r="X94" i="87" s="1"/>
  <c r="Q94" i="87"/>
  <c r="V93" i="87"/>
  <c r="V92" i="87" s="1"/>
  <c r="O92" i="87"/>
  <c r="T93" i="87"/>
  <c r="T92" i="87" s="1"/>
  <c r="M92" i="87"/>
  <c r="U93" i="87"/>
  <c r="U92" i="87" s="1"/>
  <c r="N92" i="87"/>
  <c r="R93" i="87"/>
  <c r="K92" i="87"/>
  <c r="Q93" i="87"/>
  <c r="S93" i="87"/>
  <c r="S92" i="87" s="1"/>
  <c r="L92" i="87"/>
  <c r="W93" i="87"/>
  <c r="W92" i="87" s="1"/>
  <c r="P92" i="87"/>
  <c r="R91" i="87"/>
  <c r="X91" i="87" s="1"/>
  <c r="Q91" i="87"/>
  <c r="R90" i="87"/>
  <c r="X90" i="87" s="1"/>
  <c r="Q90" i="87"/>
  <c r="R89" i="87"/>
  <c r="X89" i="87" s="1"/>
  <c r="Q89" i="87"/>
  <c r="R88" i="87"/>
  <c r="X88" i="87" s="1"/>
  <c r="Q88" i="87"/>
  <c r="R87" i="87"/>
  <c r="K86" i="87"/>
  <c r="Q87" i="87"/>
  <c r="S87" i="87"/>
  <c r="S86" i="87" s="1"/>
  <c r="L86" i="87"/>
  <c r="W87" i="87"/>
  <c r="W86" i="87" s="1"/>
  <c r="P86" i="87"/>
  <c r="U87" i="87"/>
  <c r="U86" i="87" s="1"/>
  <c r="N86" i="87"/>
  <c r="V87" i="87"/>
  <c r="V86" i="87" s="1"/>
  <c r="O86" i="87"/>
  <c r="T87" i="87"/>
  <c r="T86" i="87" s="1"/>
  <c r="M86" i="87"/>
  <c r="R84" i="87"/>
  <c r="X84" i="87" s="1"/>
  <c r="Q84" i="87"/>
  <c r="R83" i="87"/>
  <c r="X83" i="87" s="1"/>
  <c r="Q83" i="87"/>
  <c r="R82" i="87"/>
  <c r="X82" i="87" s="1"/>
  <c r="Q82" i="87"/>
  <c r="R81" i="87"/>
  <c r="X81" i="87" s="1"/>
  <c r="Q81" i="87"/>
  <c r="R80" i="87"/>
  <c r="X80" i="87" s="1"/>
  <c r="Q80" i="87"/>
  <c r="V79" i="87"/>
  <c r="V78" i="87" s="1"/>
  <c r="O78" i="87"/>
  <c r="T79" i="87"/>
  <c r="T78" i="87" s="1"/>
  <c r="M78" i="87"/>
  <c r="W79" i="87"/>
  <c r="W78" i="87" s="1"/>
  <c r="P78" i="87"/>
  <c r="S79" i="87"/>
  <c r="S78" i="87" s="1"/>
  <c r="L78" i="87"/>
  <c r="R79" i="87"/>
  <c r="K78" i="87"/>
  <c r="Q79" i="87"/>
  <c r="U79" i="87"/>
  <c r="U78" i="87" s="1"/>
  <c r="N78" i="87"/>
  <c r="R77" i="87"/>
  <c r="X77" i="87" s="1"/>
  <c r="Q77" i="87"/>
  <c r="R76" i="87"/>
  <c r="X76" i="87" s="1"/>
  <c r="Q76" i="87"/>
  <c r="R75" i="87"/>
  <c r="X75" i="87" s="1"/>
  <c r="Q75" i="87"/>
  <c r="R74" i="87"/>
  <c r="X74" i="87" s="1"/>
  <c r="Q74" i="87"/>
  <c r="R73" i="87"/>
  <c r="X73" i="87" s="1"/>
  <c r="Q73" i="87"/>
  <c r="W72" i="87"/>
  <c r="W71" i="87" s="1"/>
  <c r="P71" i="87"/>
  <c r="V72" i="87"/>
  <c r="V71" i="87" s="1"/>
  <c r="O71" i="87"/>
  <c r="U72" i="87"/>
  <c r="U71" i="87" s="1"/>
  <c r="N71" i="87"/>
  <c r="T72" i="87"/>
  <c r="T71" i="87" s="1"/>
  <c r="M71" i="87"/>
  <c r="S72" i="87"/>
  <c r="S71" i="87" s="1"/>
  <c r="L71" i="87"/>
  <c r="R72" i="87"/>
  <c r="Q72" i="87"/>
  <c r="K71" i="87"/>
  <c r="R70" i="87"/>
  <c r="X70" i="87" s="1"/>
  <c r="Q70" i="87"/>
  <c r="R69" i="87"/>
  <c r="X69" i="87" s="1"/>
  <c r="Q69" i="87"/>
  <c r="R68" i="87"/>
  <c r="X68" i="87" s="1"/>
  <c r="Q68" i="87"/>
  <c r="R67" i="87"/>
  <c r="X67" i="87" s="1"/>
  <c r="Q67" i="87"/>
  <c r="S66" i="87"/>
  <c r="S65" i="87" s="1"/>
  <c r="L65" i="87"/>
  <c r="W66" i="87"/>
  <c r="W65" i="87" s="1"/>
  <c r="P65" i="87"/>
  <c r="V66" i="87"/>
  <c r="V65" i="87" s="1"/>
  <c r="O65" i="87"/>
  <c r="R66" i="87"/>
  <c r="K65" i="87"/>
  <c r="Q66" i="87"/>
  <c r="U66" i="87"/>
  <c r="U65" i="87" s="1"/>
  <c r="N65" i="87"/>
  <c r="T66" i="87"/>
  <c r="T65" i="87" s="1"/>
  <c r="M65" i="87"/>
  <c r="R18" i="87"/>
  <c r="X18" i="87" s="1"/>
  <c r="Q18" i="87"/>
  <c r="R17" i="87"/>
  <c r="X17" i="87" s="1"/>
  <c r="Q17" i="87"/>
  <c r="R16" i="87"/>
  <c r="X16" i="87" s="1"/>
  <c r="Q16" i="87"/>
  <c r="S15" i="87"/>
  <c r="S14" i="87" s="1"/>
  <c r="S9" i="87" s="1"/>
  <c r="L14" i="87"/>
  <c r="L9" i="87" s="1"/>
  <c r="W15" i="87"/>
  <c r="W14" i="87" s="1"/>
  <c r="W9" i="87" s="1"/>
  <c r="P14" i="87"/>
  <c r="P9" i="87" s="1"/>
  <c r="R15" i="87"/>
  <c r="K14" i="87"/>
  <c r="Q15" i="87"/>
  <c r="T15" i="87"/>
  <c r="T14" i="87" s="1"/>
  <c r="T9" i="87" s="1"/>
  <c r="M14" i="87"/>
  <c r="M9" i="87" s="1"/>
  <c r="U15" i="87"/>
  <c r="U14" i="87" s="1"/>
  <c r="U9" i="87" s="1"/>
  <c r="N14" i="87"/>
  <c r="N9" i="87" s="1"/>
  <c r="V15" i="87"/>
  <c r="V14" i="87" s="1"/>
  <c r="V9" i="87" s="1"/>
  <c r="O14" i="87"/>
  <c r="O9" i="87" s="1"/>
  <c r="T7" i="87"/>
  <c r="T5" i="87" s="1"/>
  <c r="M5" i="87"/>
  <c r="W7" i="87"/>
  <c r="W5" i="87" s="1"/>
  <c r="P5" i="87"/>
  <c r="S7" i="87"/>
  <c r="S5" i="87" s="1"/>
  <c r="L5" i="87"/>
  <c r="R7" i="87"/>
  <c r="K5" i="87"/>
  <c r="Q7" i="87"/>
  <c r="U7" i="87"/>
  <c r="U5" i="87" s="1"/>
  <c r="N5" i="87"/>
  <c r="V7" i="87"/>
  <c r="V5" i="87" s="1"/>
  <c r="O5" i="87"/>
  <c r="M27" i="87"/>
  <c r="L27" i="87"/>
  <c r="P27" i="87"/>
  <c r="K34" i="87"/>
  <c r="Q35" i="87"/>
  <c r="Q40" i="87"/>
  <c r="K39" i="87"/>
  <c r="K44" i="87"/>
  <c r="Q45" i="87"/>
  <c r="Q28" i="87"/>
  <c r="K27" i="87"/>
  <c r="F382" i="653"/>
  <c r="F403" i="653" s="1"/>
  <c r="W33" i="87"/>
  <c r="V37" i="87"/>
  <c r="R45" i="87"/>
  <c r="V35" i="87"/>
  <c r="S46" i="87"/>
  <c r="S31" i="87"/>
  <c r="R32" i="87"/>
  <c r="U30" i="87"/>
  <c r="V41" i="87"/>
  <c r="R28" i="87"/>
  <c r="W35" i="87"/>
  <c r="T46" i="87"/>
  <c r="S32" i="87"/>
  <c r="R30" i="87"/>
  <c r="S28" i="87"/>
  <c r="S43" i="87"/>
  <c r="U45" i="87"/>
  <c r="S38" i="87"/>
  <c r="T43" i="87"/>
  <c r="R37" i="87"/>
  <c r="R36" i="87"/>
  <c r="T45" i="87"/>
  <c r="R35" i="87"/>
  <c r="V46" i="87"/>
  <c r="V31" i="87"/>
  <c r="R29" i="87"/>
  <c r="T30" i="87"/>
  <c r="T28" i="87"/>
  <c r="R43" i="87"/>
  <c r="U46" i="87"/>
  <c r="T32" i="87"/>
  <c r="S30" i="87"/>
  <c r="T38" i="87"/>
  <c r="U43" i="87"/>
  <c r="S37" i="87"/>
  <c r="S36" i="87"/>
  <c r="R48" i="87"/>
  <c r="S35" i="87"/>
  <c r="W46" i="87"/>
  <c r="W31" i="87"/>
  <c r="S29" i="87"/>
  <c r="V42" i="87"/>
  <c r="V40" i="87"/>
  <c r="U38" i="87"/>
  <c r="V43" i="87"/>
  <c r="T37" i="87"/>
  <c r="T36" i="87"/>
  <c r="S48" i="87"/>
  <c r="T35" i="87"/>
  <c r="T29" i="87"/>
  <c r="U42" i="87"/>
  <c r="W40" i="87"/>
  <c r="W37" i="87"/>
  <c r="T31" i="87"/>
  <c r="U37" i="87"/>
  <c r="U31" i="87"/>
  <c r="U28" i="87"/>
  <c r="V38" i="87"/>
  <c r="W43" i="87"/>
  <c r="U36" i="87"/>
  <c r="T48" i="87"/>
  <c r="V47" i="87"/>
  <c r="U29" i="87"/>
  <c r="W42" i="87"/>
  <c r="U40" i="87"/>
  <c r="W41" i="87"/>
  <c r="U35" i="87"/>
  <c r="R33" i="87"/>
  <c r="W38" i="87"/>
  <c r="V36" i="87"/>
  <c r="U48" i="87"/>
  <c r="W47" i="87"/>
  <c r="V29" i="87"/>
  <c r="R42" i="87"/>
  <c r="R40" i="87"/>
  <c r="S45" i="87"/>
  <c r="R38" i="87"/>
  <c r="S33" i="87"/>
  <c r="W36" i="87"/>
  <c r="V48" i="87"/>
  <c r="U47" i="87"/>
  <c r="W29" i="87"/>
  <c r="S42" i="87"/>
  <c r="R41" i="87"/>
  <c r="S40" i="87"/>
  <c r="W48" i="87"/>
  <c r="U32" i="87"/>
  <c r="T42" i="87"/>
  <c r="S41" i="87"/>
  <c r="T40" i="87"/>
  <c r="R47" i="87"/>
  <c r="U33" i="87"/>
  <c r="V45" i="87"/>
  <c r="S47" i="87"/>
  <c r="V32" i="87"/>
  <c r="V30" i="87"/>
  <c r="T41" i="87"/>
  <c r="V28" i="87"/>
  <c r="T33" i="87"/>
  <c r="V33" i="87"/>
  <c r="W45" i="87"/>
  <c r="T47" i="87"/>
  <c r="R46" i="87"/>
  <c r="R31" i="87"/>
  <c r="W32" i="87"/>
  <c r="W30" i="87"/>
  <c r="U41" i="87"/>
  <c r="W28" i="87"/>
  <c r="E382" i="653"/>
  <c r="E403" i="653" s="1"/>
  <c r="H382" i="653"/>
  <c r="H403" i="653" s="1"/>
  <c r="G382" i="653"/>
  <c r="G403" i="653" s="1"/>
  <c r="I382" i="653"/>
  <c r="I403" i="653" s="1"/>
  <c r="D382" i="653"/>
  <c r="D403" i="653" s="1"/>
  <c r="L26" i="87" l="1"/>
  <c r="N26" i="87"/>
  <c r="O26" i="87"/>
  <c r="M26" i="87"/>
  <c r="Q99" i="87"/>
  <c r="Q39" i="87"/>
  <c r="Q34" i="87"/>
  <c r="L58" i="87"/>
  <c r="P26" i="87"/>
  <c r="Q44" i="87"/>
  <c r="Q71" i="87"/>
  <c r="M58" i="87"/>
  <c r="M20" i="87" s="1"/>
  <c r="M107" i="87" s="1"/>
  <c r="M109" i="87" s="1"/>
  <c r="T109" i="87" s="1"/>
  <c r="F110" i="87" s="1"/>
  <c r="S58" i="87"/>
  <c r="T58" i="87"/>
  <c r="R99" i="87"/>
  <c r="X99" i="87" s="1"/>
  <c r="X100" i="87"/>
  <c r="X93" i="87"/>
  <c r="R92" i="87"/>
  <c r="X92" i="87" s="1"/>
  <c r="R86" i="87"/>
  <c r="X86" i="87" s="1"/>
  <c r="X87" i="87"/>
  <c r="X79" i="87"/>
  <c r="R78" i="87"/>
  <c r="X78" i="87" s="1"/>
  <c r="R71" i="87"/>
  <c r="X71" i="87" s="1"/>
  <c r="X72" i="87"/>
  <c r="R65" i="87"/>
  <c r="X66" i="87"/>
  <c r="Q65" i="87"/>
  <c r="K58" i="87"/>
  <c r="R14" i="87"/>
  <c r="X15" i="87"/>
  <c r="Q14" i="87"/>
  <c r="K9" i="87"/>
  <c r="Q9" i="87" s="1"/>
  <c r="R5" i="87"/>
  <c r="X5" i="87" s="1"/>
  <c r="X7" i="87"/>
  <c r="Q92" i="87"/>
  <c r="Q86" i="87"/>
  <c r="Q78" i="87"/>
  <c r="P58" i="87"/>
  <c r="V58" i="87"/>
  <c r="O58" i="87"/>
  <c r="O20" i="87" s="1"/>
  <c r="O107" i="87" s="1"/>
  <c r="O109" i="87" s="1"/>
  <c r="V109" i="87" s="1"/>
  <c r="H110" i="87" s="1"/>
  <c r="U58" i="87"/>
  <c r="N58" i="87"/>
  <c r="N20" i="87" s="1"/>
  <c r="N107" i="87" s="1"/>
  <c r="N109" i="87" s="1"/>
  <c r="U109" i="87" s="1"/>
  <c r="G110" i="87" s="1"/>
  <c r="Q5" i="87"/>
  <c r="W58" i="87"/>
  <c r="W44" i="87"/>
  <c r="U34" i="87"/>
  <c r="X46" i="87"/>
  <c r="V27" i="87"/>
  <c r="S34" i="87"/>
  <c r="X47" i="87"/>
  <c r="V44" i="87"/>
  <c r="S44" i="87"/>
  <c r="U44" i="87"/>
  <c r="T44" i="87"/>
  <c r="X48" i="87"/>
  <c r="X43" i="87"/>
  <c r="S39" i="87"/>
  <c r="W39" i="87"/>
  <c r="T39" i="87"/>
  <c r="X41" i="87"/>
  <c r="V39" i="87"/>
  <c r="U39" i="87"/>
  <c r="X42" i="87"/>
  <c r="X36" i="87"/>
  <c r="X38" i="87"/>
  <c r="X37" i="87"/>
  <c r="V34" i="87"/>
  <c r="T34" i="87"/>
  <c r="W34" i="87"/>
  <c r="W27" i="87"/>
  <c r="X29" i="87"/>
  <c r="X31" i="87"/>
  <c r="X33" i="87"/>
  <c r="X30" i="87"/>
  <c r="X32" i="87"/>
  <c r="T27" i="87"/>
  <c r="U27" i="87"/>
  <c r="S27" i="87"/>
  <c r="X35" i="87"/>
  <c r="R34" i="87"/>
  <c r="X28" i="87"/>
  <c r="R27" i="87"/>
  <c r="Q27" i="87"/>
  <c r="K26" i="87"/>
  <c r="X40" i="87"/>
  <c r="R39" i="87"/>
  <c r="R44" i="87"/>
  <c r="X45" i="87"/>
  <c r="J382" i="653"/>
  <c r="J403" i="653" s="1"/>
  <c r="L20" i="87" l="1"/>
  <c r="L107" i="87" s="1"/>
  <c r="L109" i="87" s="1"/>
  <c r="S109" i="87" s="1"/>
  <c r="E110" i="87" s="1"/>
  <c r="P20" i="87"/>
  <c r="P107" i="87" s="1"/>
  <c r="P109" i="87" s="1"/>
  <c r="W109" i="87" s="1"/>
  <c r="I110" i="87" s="1"/>
  <c r="R58" i="87"/>
  <c r="X58" i="87" s="1"/>
  <c r="G58" i="62" s="1"/>
  <c r="X65" i="87"/>
  <c r="R9" i="87"/>
  <c r="X9" i="87" s="1"/>
  <c r="X14" i="87"/>
  <c r="Q58" i="87"/>
  <c r="F58" i="62" s="1"/>
  <c r="U26" i="87"/>
  <c r="U20" i="87" s="1"/>
  <c r="U107" i="87" s="1"/>
  <c r="W26" i="87"/>
  <c r="W20" i="87" s="1"/>
  <c r="W107" i="87" s="1"/>
  <c r="V26" i="87"/>
  <c r="V20" i="87" s="1"/>
  <c r="V107" i="87" s="1"/>
  <c r="X39" i="87"/>
  <c r="S26" i="87"/>
  <c r="S20" i="87" s="1"/>
  <c r="S107" i="87" s="1"/>
  <c r="X44" i="87"/>
  <c r="X34" i="87"/>
  <c r="T26" i="87"/>
  <c r="T20" i="87" s="1"/>
  <c r="T107" i="87" s="1"/>
  <c r="K20" i="87"/>
  <c r="Q26" i="87"/>
  <c r="F26" i="62" s="1"/>
  <c r="P26" i="62" s="1"/>
  <c r="X27" i="87"/>
  <c r="R26" i="87"/>
  <c r="X26" i="87" l="1"/>
  <c r="G26" i="62" s="1"/>
  <c r="R20" i="87"/>
  <c r="K107" i="87"/>
  <c r="Q20" i="87"/>
  <c r="Q107" i="87" l="1"/>
  <c r="K109" i="87"/>
  <c r="Q109" i="87" s="1"/>
  <c r="X20" i="87"/>
  <c r="R107" i="87"/>
  <c r="X107" i="87" s="1"/>
  <c r="P48" i="130" l="1"/>
  <c r="O48" i="130"/>
  <c r="N48" i="130"/>
  <c r="M48" i="130"/>
  <c r="L48" i="130"/>
  <c r="K48" i="130"/>
  <c r="P47" i="130"/>
  <c r="O47" i="130"/>
  <c r="N47" i="130"/>
  <c r="M47" i="130"/>
  <c r="L47" i="130"/>
  <c r="K47" i="130"/>
  <c r="P46" i="130"/>
  <c r="O46" i="130"/>
  <c r="N46" i="130"/>
  <c r="M46" i="130"/>
  <c r="L46" i="130"/>
  <c r="K46" i="130"/>
  <c r="P43" i="130"/>
  <c r="O43" i="130"/>
  <c r="N43" i="130"/>
  <c r="M43" i="130"/>
  <c r="L43" i="130"/>
  <c r="K43" i="130"/>
  <c r="P42" i="130"/>
  <c r="O42" i="130"/>
  <c r="N42" i="130"/>
  <c r="M42" i="130"/>
  <c r="L42" i="130"/>
  <c r="K42" i="130"/>
  <c r="P41" i="130"/>
  <c r="O41" i="130"/>
  <c r="N41" i="130"/>
  <c r="M41" i="130"/>
  <c r="L41" i="130"/>
  <c r="K41" i="130"/>
  <c r="P38" i="130"/>
  <c r="O38" i="130"/>
  <c r="N38" i="130"/>
  <c r="M38" i="130"/>
  <c r="L38" i="130"/>
  <c r="K38" i="130"/>
  <c r="P36" i="130"/>
  <c r="O36" i="130"/>
  <c r="N36" i="130"/>
  <c r="M36" i="130"/>
  <c r="L36" i="130"/>
  <c r="K36" i="130"/>
  <c r="P32" i="130"/>
  <c r="O32" i="130"/>
  <c r="N32" i="130"/>
  <c r="M32" i="130"/>
  <c r="L32" i="130"/>
  <c r="K32" i="130"/>
  <c r="P29" i="130"/>
  <c r="O29" i="130"/>
  <c r="N29" i="130"/>
  <c r="M29" i="130"/>
  <c r="L29" i="130"/>
  <c r="K29" i="130"/>
  <c r="P18" i="130"/>
  <c r="O18" i="130"/>
  <c r="N18" i="130"/>
  <c r="M18" i="130"/>
  <c r="L18" i="130"/>
  <c r="K18" i="130"/>
  <c r="P16" i="130"/>
  <c r="O16" i="130"/>
  <c r="N16" i="130"/>
  <c r="M16" i="130"/>
  <c r="L16" i="130"/>
  <c r="K16" i="130"/>
  <c r="C77" i="498"/>
  <c r="C76" i="498"/>
  <c r="C75" i="498"/>
  <c r="C74" i="498"/>
  <c r="C73" i="498"/>
  <c r="C72" i="498"/>
  <c r="C71" i="498"/>
  <c r="C77" i="506"/>
  <c r="C76" i="506"/>
  <c r="C75" i="506"/>
  <c r="C74" i="506"/>
  <c r="C73" i="506"/>
  <c r="C72" i="506"/>
  <c r="C71" i="506"/>
  <c r="C77" i="481"/>
  <c r="C76" i="481"/>
  <c r="C75" i="481"/>
  <c r="C74" i="481"/>
  <c r="C73" i="481"/>
  <c r="C72" i="481"/>
  <c r="C71" i="481"/>
  <c r="C77" i="482"/>
  <c r="C76" i="482"/>
  <c r="C75" i="482"/>
  <c r="C74" i="482"/>
  <c r="C73" i="482"/>
  <c r="C72" i="482"/>
  <c r="C71" i="482"/>
  <c r="C77" i="486"/>
  <c r="C76" i="486"/>
  <c r="C75" i="486"/>
  <c r="C74" i="486"/>
  <c r="C73" i="486"/>
  <c r="C72" i="486"/>
  <c r="C71" i="486"/>
  <c r="C268" i="502"/>
  <c r="C267" i="502"/>
  <c r="C266" i="502"/>
  <c r="C265" i="502"/>
  <c r="C264" i="502"/>
  <c r="C263" i="502"/>
  <c r="C262" i="502"/>
  <c r="C173" i="502"/>
  <c r="C172" i="502"/>
  <c r="C171" i="502"/>
  <c r="C170" i="502"/>
  <c r="C169" i="502"/>
  <c r="C168" i="502"/>
  <c r="C167" i="502"/>
  <c r="C78" i="502"/>
  <c r="C77" i="502"/>
  <c r="C76" i="502"/>
  <c r="C75" i="502"/>
  <c r="C74" i="502"/>
  <c r="C73" i="502"/>
  <c r="C72" i="502"/>
  <c r="C67" i="214"/>
  <c r="C66" i="214"/>
  <c r="C65" i="214"/>
  <c r="C64" i="214"/>
  <c r="C63" i="214"/>
  <c r="C62" i="214"/>
  <c r="C61" i="214"/>
  <c r="C69" i="472"/>
  <c r="C68" i="472"/>
  <c r="C67" i="472"/>
  <c r="C66" i="472"/>
  <c r="C65" i="472"/>
  <c r="C64" i="472"/>
  <c r="C63" i="472"/>
  <c r="K61" i="70"/>
  <c r="K59" i="70"/>
  <c r="K58" i="70"/>
  <c r="K57" i="70"/>
  <c r="K56" i="70"/>
  <c r="I55" i="70"/>
  <c r="H55" i="70"/>
  <c r="G55" i="70"/>
  <c r="F55" i="70"/>
  <c r="E55" i="70"/>
  <c r="D55" i="70"/>
  <c r="K51" i="70"/>
  <c r="K50" i="70"/>
  <c r="K49" i="70"/>
  <c r="I48" i="70"/>
  <c r="H48" i="70"/>
  <c r="G48" i="70"/>
  <c r="F48" i="70"/>
  <c r="E48" i="70"/>
  <c r="D48" i="70"/>
  <c r="K44" i="70"/>
  <c r="K43" i="70"/>
  <c r="K42" i="70"/>
  <c r="I41" i="70"/>
  <c r="H41" i="70"/>
  <c r="G41" i="70"/>
  <c r="F41" i="70"/>
  <c r="E41" i="70"/>
  <c r="D41" i="70"/>
  <c r="I65" i="70"/>
  <c r="H65" i="70"/>
  <c r="G65" i="70"/>
  <c r="F65" i="70"/>
  <c r="E65" i="70"/>
  <c r="D65" i="70"/>
  <c r="I73" i="70"/>
  <c r="H73" i="70"/>
  <c r="G73" i="70"/>
  <c r="F73" i="70"/>
  <c r="E73" i="70"/>
  <c r="D73" i="70"/>
  <c r="I72" i="70"/>
  <c r="H72" i="70"/>
  <c r="G72" i="70"/>
  <c r="F72" i="70"/>
  <c r="E72" i="70"/>
  <c r="D72" i="70"/>
  <c r="I71" i="70"/>
  <c r="H71" i="70"/>
  <c r="G71" i="70"/>
  <c r="F71" i="70"/>
  <c r="E71" i="70"/>
  <c r="D71" i="70"/>
  <c r="I70" i="70"/>
  <c r="H70" i="70"/>
  <c r="G70" i="70"/>
  <c r="F70" i="70"/>
  <c r="E70" i="70"/>
  <c r="D70" i="70"/>
  <c r="I69" i="70"/>
  <c r="H69" i="70"/>
  <c r="G69" i="70"/>
  <c r="F69" i="70"/>
  <c r="E69" i="70"/>
  <c r="D69" i="70"/>
  <c r="I68" i="70"/>
  <c r="H68" i="70"/>
  <c r="G68" i="70"/>
  <c r="F68" i="70"/>
  <c r="E68" i="70"/>
  <c r="D68" i="70"/>
  <c r="I67" i="70"/>
  <c r="H67" i="70"/>
  <c r="G67" i="70"/>
  <c r="F67" i="70"/>
  <c r="E67" i="70"/>
  <c r="D67" i="70"/>
  <c r="I66" i="70"/>
  <c r="H66" i="70"/>
  <c r="G66" i="70"/>
  <c r="F66" i="70"/>
  <c r="E66" i="70"/>
  <c r="D66" i="70"/>
  <c r="B65" i="70"/>
  <c r="B73" i="70"/>
  <c r="B72" i="70"/>
  <c r="B71" i="70"/>
  <c r="B70" i="70"/>
  <c r="B69" i="70"/>
  <c r="B68" i="70"/>
  <c r="B67" i="70"/>
  <c r="B66" i="70"/>
  <c r="M61" i="70"/>
  <c r="M59" i="70"/>
  <c r="M58" i="70"/>
  <c r="M57" i="70"/>
  <c r="K56" i="75"/>
  <c r="M56" i="70" s="1"/>
  <c r="K51" i="75"/>
  <c r="M51" i="70" s="1"/>
  <c r="K50" i="75"/>
  <c r="M50" i="70" s="1"/>
  <c r="K49" i="75"/>
  <c r="M49" i="70" s="1"/>
  <c r="K44" i="75"/>
  <c r="M44" i="70" s="1"/>
  <c r="K43" i="75"/>
  <c r="M43" i="70" s="1"/>
  <c r="K42" i="75"/>
  <c r="M42" i="70" s="1"/>
  <c r="AI7" i="87"/>
  <c r="B29" i="240"/>
  <c r="M448" i="128"/>
  <c r="L448" i="128"/>
  <c r="K448" i="128"/>
  <c r="J448" i="128"/>
  <c r="I448" i="128"/>
  <c r="H448" i="128"/>
  <c r="N447" i="128"/>
  <c r="N446" i="128"/>
  <c r="N445" i="128"/>
  <c r="N444" i="128"/>
  <c r="N443" i="128"/>
  <c r="M439" i="128"/>
  <c r="L439" i="128"/>
  <c r="K439" i="128"/>
  <c r="J439" i="128"/>
  <c r="I439" i="128"/>
  <c r="H439" i="128"/>
  <c r="E328" i="128"/>
  <c r="M251" i="128"/>
  <c r="L251" i="128"/>
  <c r="K251" i="128"/>
  <c r="J251" i="128"/>
  <c r="I251" i="128"/>
  <c r="H251" i="128"/>
  <c r="L324" i="128"/>
  <c r="K324" i="128"/>
  <c r="J324" i="128"/>
  <c r="I324" i="128"/>
  <c r="E88" i="128"/>
  <c r="E84" i="128"/>
  <c r="F51" i="128"/>
  <c r="E51" i="128"/>
  <c r="D51" i="128"/>
  <c r="M50" i="128"/>
  <c r="L50" i="128"/>
  <c r="K50" i="128"/>
  <c r="J50" i="128"/>
  <c r="I50" i="128"/>
  <c r="H50" i="128"/>
  <c r="H139" i="460"/>
  <c r="G139" i="460"/>
  <c r="F139" i="460"/>
  <c r="E139" i="460"/>
  <c r="D139" i="460"/>
  <c r="C139" i="460"/>
  <c r="H138" i="460"/>
  <c r="G138" i="460"/>
  <c r="F138" i="460"/>
  <c r="E138" i="460"/>
  <c r="D138" i="460"/>
  <c r="C138" i="460"/>
  <c r="H137" i="460"/>
  <c r="G137" i="460"/>
  <c r="F137" i="460"/>
  <c r="E137" i="460"/>
  <c r="D137" i="460"/>
  <c r="C137" i="460"/>
  <c r="H136" i="460"/>
  <c r="G136" i="460"/>
  <c r="F136" i="460"/>
  <c r="E136" i="460"/>
  <c r="D136" i="460"/>
  <c r="C136" i="460"/>
  <c r="H135" i="460"/>
  <c r="G135" i="460"/>
  <c r="F135" i="460"/>
  <c r="E135" i="460"/>
  <c r="D135" i="460"/>
  <c r="C135" i="460"/>
  <c r="H134" i="460"/>
  <c r="G134" i="460"/>
  <c r="F134" i="460"/>
  <c r="E134" i="460"/>
  <c r="D134" i="460"/>
  <c r="C134" i="460"/>
  <c r="H133" i="460"/>
  <c r="G133" i="460"/>
  <c r="F133" i="460"/>
  <c r="E133" i="460"/>
  <c r="D133" i="460"/>
  <c r="C133" i="460"/>
  <c r="H132" i="460"/>
  <c r="G132" i="460"/>
  <c r="F132" i="460"/>
  <c r="E132" i="460"/>
  <c r="D132" i="460"/>
  <c r="C132" i="460"/>
  <c r="H131" i="460"/>
  <c r="G131" i="460"/>
  <c r="F131" i="460"/>
  <c r="E131" i="460"/>
  <c r="D131" i="460"/>
  <c r="C131" i="460"/>
  <c r="H130" i="460"/>
  <c r="G130" i="460"/>
  <c r="F130" i="460"/>
  <c r="E130" i="460"/>
  <c r="D130" i="460"/>
  <c r="C130" i="460"/>
  <c r="H129" i="460"/>
  <c r="G129" i="460"/>
  <c r="F129" i="460"/>
  <c r="E129" i="460"/>
  <c r="D129" i="460"/>
  <c r="C129" i="460"/>
  <c r="H128" i="460"/>
  <c r="G128" i="460"/>
  <c r="F128" i="460"/>
  <c r="E128" i="460"/>
  <c r="D128" i="460"/>
  <c r="C128" i="460"/>
  <c r="H127" i="460"/>
  <c r="G127" i="460"/>
  <c r="F127" i="460"/>
  <c r="E127" i="460"/>
  <c r="D127" i="460"/>
  <c r="C127" i="460"/>
  <c r="H126" i="460"/>
  <c r="G126" i="460"/>
  <c r="F126" i="460"/>
  <c r="E126" i="460"/>
  <c r="D126" i="460"/>
  <c r="C126" i="460"/>
  <c r="H125" i="460"/>
  <c r="G125" i="460"/>
  <c r="F125" i="460"/>
  <c r="E125" i="460"/>
  <c r="D125" i="460"/>
  <c r="C125" i="460"/>
  <c r="H124" i="460"/>
  <c r="G124" i="460"/>
  <c r="F124" i="460"/>
  <c r="E124" i="460"/>
  <c r="D124" i="460"/>
  <c r="C124" i="460"/>
  <c r="H123" i="460"/>
  <c r="G123" i="460"/>
  <c r="F123" i="460"/>
  <c r="E123" i="460"/>
  <c r="D123" i="460"/>
  <c r="C123" i="460"/>
  <c r="H122" i="460"/>
  <c r="G122" i="460"/>
  <c r="F122" i="460"/>
  <c r="E122" i="460"/>
  <c r="D122" i="460"/>
  <c r="C122" i="460"/>
  <c r="H121" i="460"/>
  <c r="G121" i="460"/>
  <c r="F121" i="460"/>
  <c r="E121" i="460"/>
  <c r="D121" i="460"/>
  <c r="C121" i="460"/>
  <c r="H120" i="460"/>
  <c r="G120" i="460"/>
  <c r="F120" i="460"/>
  <c r="E120" i="460"/>
  <c r="D120" i="460"/>
  <c r="C120" i="460"/>
  <c r="H119" i="460"/>
  <c r="H153" i="460" s="1"/>
  <c r="G119" i="460"/>
  <c r="F119" i="460"/>
  <c r="E119" i="460"/>
  <c r="D119" i="460"/>
  <c r="C119" i="460"/>
  <c r="H96" i="460"/>
  <c r="G96" i="460"/>
  <c r="F96" i="460"/>
  <c r="E96" i="460"/>
  <c r="D96" i="460"/>
  <c r="C96" i="460"/>
  <c r="H74" i="460"/>
  <c r="G74" i="460"/>
  <c r="F74" i="460"/>
  <c r="E74" i="460"/>
  <c r="D74" i="460"/>
  <c r="C74" i="460"/>
  <c r="H52" i="460"/>
  <c r="G52" i="460"/>
  <c r="F52" i="460"/>
  <c r="E52" i="460"/>
  <c r="D52" i="460"/>
  <c r="C52" i="460"/>
  <c r="H30" i="460"/>
  <c r="G30" i="460"/>
  <c r="F30" i="460"/>
  <c r="E30" i="460"/>
  <c r="D30" i="460"/>
  <c r="C30" i="460"/>
  <c r="H8" i="460"/>
  <c r="G8" i="460"/>
  <c r="F8" i="460"/>
  <c r="E8" i="460"/>
  <c r="D8" i="460"/>
  <c r="C8" i="460"/>
  <c r="H139" i="459"/>
  <c r="G139" i="459"/>
  <c r="F139" i="459"/>
  <c r="E139" i="459"/>
  <c r="D139" i="459"/>
  <c r="C139" i="459"/>
  <c r="H138" i="459"/>
  <c r="G138" i="459"/>
  <c r="F138" i="459"/>
  <c r="E138" i="459"/>
  <c r="D138" i="459"/>
  <c r="C138" i="459"/>
  <c r="H137" i="459"/>
  <c r="G137" i="459"/>
  <c r="F137" i="459"/>
  <c r="E137" i="459"/>
  <c r="D137" i="459"/>
  <c r="C137" i="459"/>
  <c r="H136" i="459"/>
  <c r="G136" i="459"/>
  <c r="F136" i="459"/>
  <c r="E136" i="459"/>
  <c r="D136" i="459"/>
  <c r="C136" i="459"/>
  <c r="H135" i="459"/>
  <c r="G135" i="459"/>
  <c r="F135" i="459"/>
  <c r="E135" i="459"/>
  <c r="D135" i="459"/>
  <c r="C135" i="459"/>
  <c r="H134" i="459"/>
  <c r="G134" i="459"/>
  <c r="F134" i="459"/>
  <c r="E134" i="459"/>
  <c r="D134" i="459"/>
  <c r="C134" i="459"/>
  <c r="H133" i="459"/>
  <c r="G133" i="459"/>
  <c r="F133" i="459"/>
  <c r="E133" i="459"/>
  <c r="D133" i="459"/>
  <c r="C133" i="459"/>
  <c r="H132" i="459"/>
  <c r="G132" i="459"/>
  <c r="F132" i="459"/>
  <c r="E132" i="459"/>
  <c r="D132" i="459"/>
  <c r="C132" i="459"/>
  <c r="H131" i="459"/>
  <c r="G131" i="459"/>
  <c r="F131" i="459"/>
  <c r="E131" i="459"/>
  <c r="D131" i="459"/>
  <c r="C131" i="459"/>
  <c r="H130" i="459"/>
  <c r="G130" i="459"/>
  <c r="F130" i="459"/>
  <c r="E130" i="459"/>
  <c r="D130" i="459"/>
  <c r="C130" i="459"/>
  <c r="H129" i="459"/>
  <c r="G129" i="459"/>
  <c r="F129" i="459"/>
  <c r="E129" i="459"/>
  <c r="D129" i="459"/>
  <c r="C129" i="459"/>
  <c r="H128" i="459"/>
  <c r="G128" i="459"/>
  <c r="F128" i="459"/>
  <c r="E128" i="459"/>
  <c r="D128" i="459"/>
  <c r="C128" i="459"/>
  <c r="H127" i="459"/>
  <c r="G127" i="459"/>
  <c r="F127" i="459"/>
  <c r="E127" i="459"/>
  <c r="D127" i="459"/>
  <c r="C127" i="459"/>
  <c r="H126" i="459"/>
  <c r="G126" i="459"/>
  <c r="F126" i="459"/>
  <c r="E126" i="459"/>
  <c r="D126" i="459"/>
  <c r="C126" i="459"/>
  <c r="H125" i="459"/>
  <c r="G125" i="459"/>
  <c r="F125" i="459"/>
  <c r="E125" i="459"/>
  <c r="D125" i="459"/>
  <c r="C125" i="459"/>
  <c r="H124" i="459"/>
  <c r="G124" i="459"/>
  <c r="F124" i="459"/>
  <c r="E124" i="459"/>
  <c r="D124" i="459"/>
  <c r="C124" i="459"/>
  <c r="H123" i="459"/>
  <c r="G123" i="459"/>
  <c r="F123" i="459"/>
  <c r="E123" i="459"/>
  <c r="D123" i="459"/>
  <c r="C123" i="459"/>
  <c r="H122" i="459"/>
  <c r="G122" i="459"/>
  <c r="F122" i="459"/>
  <c r="E122" i="459"/>
  <c r="D122" i="459"/>
  <c r="C122" i="459"/>
  <c r="H121" i="459"/>
  <c r="G121" i="459"/>
  <c r="F121" i="459"/>
  <c r="E121" i="459"/>
  <c r="D121" i="459"/>
  <c r="C121" i="459"/>
  <c r="H120" i="459"/>
  <c r="G120" i="459"/>
  <c r="F120" i="459"/>
  <c r="E120" i="459"/>
  <c r="D120" i="459"/>
  <c r="C120" i="459"/>
  <c r="H119" i="459"/>
  <c r="G119" i="459"/>
  <c r="F119" i="459"/>
  <c r="E119" i="459"/>
  <c r="D119" i="459"/>
  <c r="C119" i="459"/>
  <c r="H96" i="459"/>
  <c r="G96" i="459"/>
  <c r="F96" i="459"/>
  <c r="E96" i="459"/>
  <c r="D96" i="459"/>
  <c r="C96" i="459"/>
  <c r="H74" i="459"/>
  <c r="G74" i="459"/>
  <c r="F74" i="459"/>
  <c r="E74" i="459"/>
  <c r="D74" i="459"/>
  <c r="C74" i="459"/>
  <c r="H52" i="459"/>
  <c r="G52" i="459"/>
  <c r="F52" i="459"/>
  <c r="E52" i="459"/>
  <c r="D52" i="459"/>
  <c r="C52" i="459"/>
  <c r="H30" i="459"/>
  <c r="G30" i="459"/>
  <c r="F30" i="459"/>
  <c r="E30" i="459"/>
  <c r="D30" i="459"/>
  <c r="C30" i="459"/>
  <c r="H8" i="459"/>
  <c r="G8" i="459"/>
  <c r="F8" i="459"/>
  <c r="E8" i="459"/>
  <c r="D8" i="459"/>
  <c r="C8" i="459"/>
  <c r="I227" i="87"/>
  <c r="H227" i="87"/>
  <c r="G227" i="87"/>
  <c r="F227" i="87"/>
  <c r="E227" i="87"/>
  <c r="D227" i="87"/>
  <c r="I226" i="87"/>
  <c r="H226" i="87"/>
  <c r="G226" i="87"/>
  <c r="F226" i="87"/>
  <c r="E226" i="87"/>
  <c r="D226" i="87"/>
  <c r="I225" i="87"/>
  <c r="H225" i="87"/>
  <c r="G225" i="87"/>
  <c r="F225" i="87"/>
  <c r="E225" i="87"/>
  <c r="D225" i="87"/>
  <c r="I224" i="87"/>
  <c r="H224" i="87"/>
  <c r="G224" i="87"/>
  <c r="F224" i="87"/>
  <c r="E224" i="87"/>
  <c r="D224" i="87"/>
  <c r="I223" i="87"/>
  <c r="H223" i="87"/>
  <c r="G223" i="87"/>
  <c r="F223" i="87"/>
  <c r="E223" i="87"/>
  <c r="D223" i="87"/>
  <c r="J170" i="87"/>
  <c r="B165" i="87"/>
  <c r="B164" i="87"/>
  <c r="H164" i="87" s="1"/>
  <c r="B163" i="87"/>
  <c r="E163" i="87" s="1"/>
  <c r="B162" i="87"/>
  <c r="B161" i="87"/>
  <c r="F161" i="87" s="1"/>
  <c r="B160" i="87"/>
  <c r="B158" i="87"/>
  <c r="B155" i="87"/>
  <c r="X145" i="87"/>
  <c r="Q145" i="87"/>
  <c r="J145" i="87"/>
  <c r="I144" i="87"/>
  <c r="I143" i="87"/>
  <c r="I142" i="87"/>
  <c r="I141" i="87"/>
  <c r="I140" i="87"/>
  <c r="W138" i="87"/>
  <c r="V138" i="87"/>
  <c r="U138" i="87"/>
  <c r="T138" i="87"/>
  <c r="S138" i="87"/>
  <c r="R138" i="87"/>
  <c r="P137" i="87"/>
  <c r="O137" i="87"/>
  <c r="N137" i="87"/>
  <c r="M137" i="87"/>
  <c r="L137" i="87"/>
  <c r="K137" i="87"/>
  <c r="I137" i="87"/>
  <c r="X134" i="87"/>
  <c r="Q134" i="87"/>
  <c r="J134" i="87"/>
  <c r="I133" i="87"/>
  <c r="I132" i="87"/>
  <c r="I131" i="87"/>
  <c r="I130" i="87"/>
  <c r="I129" i="87"/>
  <c r="P127" i="87"/>
  <c r="O127" i="87"/>
  <c r="N127" i="87"/>
  <c r="M127" i="87"/>
  <c r="L127" i="87"/>
  <c r="K127" i="87"/>
  <c r="I127" i="87"/>
  <c r="H127" i="129"/>
  <c r="G127" i="129"/>
  <c r="F127" i="129"/>
  <c r="E127" i="129"/>
  <c r="D127" i="129"/>
  <c r="P126" i="87"/>
  <c r="O126" i="87"/>
  <c r="N126" i="87"/>
  <c r="M126" i="87"/>
  <c r="L126" i="87"/>
  <c r="K126" i="87"/>
  <c r="I126" i="87"/>
  <c r="P125" i="87"/>
  <c r="O125" i="87"/>
  <c r="N125" i="87"/>
  <c r="M125" i="87"/>
  <c r="L125" i="87"/>
  <c r="K125" i="87"/>
  <c r="I125" i="87"/>
  <c r="P124" i="87"/>
  <c r="O124" i="87"/>
  <c r="N124" i="87"/>
  <c r="M124" i="87"/>
  <c r="L124" i="87"/>
  <c r="K124" i="87"/>
  <c r="I124" i="87"/>
  <c r="X121" i="87"/>
  <c r="Q121" i="87"/>
  <c r="J121" i="87"/>
  <c r="P120" i="87"/>
  <c r="O120" i="87"/>
  <c r="N120" i="87"/>
  <c r="M120" i="87"/>
  <c r="L120" i="87"/>
  <c r="K120" i="87"/>
  <c r="I120" i="87"/>
  <c r="I118" i="87"/>
  <c r="P116" i="87"/>
  <c r="P116" i="823" s="1"/>
  <c r="P115" i="823" s="1"/>
  <c r="O116" i="87"/>
  <c r="O116" i="823" s="1"/>
  <c r="N116" i="87"/>
  <c r="N116" i="823" s="1"/>
  <c r="M116" i="87"/>
  <c r="M116" i="823" s="1"/>
  <c r="L116" i="87"/>
  <c r="L116" i="823" s="1"/>
  <c r="K116" i="87"/>
  <c r="K116" i="823" s="1"/>
  <c r="I116" i="87"/>
  <c r="E105" i="62"/>
  <c r="E104" i="62"/>
  <c r="E103" i="62"/>
  <c r="E102" i="62"/>
  <c r="E101" i="62"/>
  <c r="E100" i="62"/>
  <c r="E98" i="62"/>
  <c r="E97" i="62"/>
  <c r="E96" i="62"/>
  <c r="E95" i="62"/>
  <c r="E94" i="62"/>
  <c r="E93" i="62"/>
  <c r="E91" i="62"/>
  <c r="E90" i="62"/>
  <c r="E89" i="62"/>
  <c r="E88" i="62"/>
  <c r="E87" i="62"/>
  <c r="E85" i="62"/>
  <c r="E84" i="62"/>
  <c r="E83" i="62"/>
  <c r="E82" i="62"/>
  <c r="E81" i="62"/>
  <c r="E80" i="62"/>
  <c r="E79" i="62"/>
  <c r="E77" i="62"/>
  <c r="E76" i="62"/>
  <c r="E75" i="62"/>
  <c r="E74" i="62"/>
  <c r="E73" i="62"/>
  <c r="E72" i="62"/>
  <c r="E70" i="62"/>
  <c r="E69" i="62"/>
  <c r="E68" i="62"/>
  <c r="E67" i="62"/>
  <c r="E66" i="62"/>
  <c r="J223" i="87"/>
  <c r="J224" i="87"/>
  <c r="J225" i="87"/>
  <c r="J226" i="87"/>
  <c r="J227" i="87"/>
  <c r="W113" i="87"/>
  <c r="W158" i="823" s="1"/>
  <c r="V113" i="87"/>
  <c r="V158" i="823" s="1"/>
  <c r="U113" i="87"/>
  <c r="U158" i="823" s="1"/>
  <c r="T113" i="87"/>
  <c r="T158" i="823" s="1"/>
  <c r="S113" i="87"/>
  <c r="S158" i="823" s="1"/>
  <c r="R113" i="87"/>
  <c r="R158" i="823" s="1"/>
  <c r="I207" i="88"/>
  <c r="H207" i="88"/>
  <c r="G207" i="88"/>
  <c r="F207" i="88"/>
  <c r="E207" i="88"/>
  <c r="D207" i="88"/>
  <c r="I200" i="88"/>
  <c r="H200" i="88"/>
  <c r="G200" i="88"/>
  <c r="F200" i="88"/>
  <c r="E200" i="88"/>
  <c r="D200" i="88"/>
  <c r="I199" i="88"/>
  <c r="H199" i="88"/>
  <c r="G199" i="88"/>
  <c r="F199" i="88"/>
  <c r="E199" i="88"/>
  <c r="D199" i="88"/>
  <c r="I198" i="88"/>
  <c r="H198" i="88"/>
  <c r="G198" i="88"/>
  <c r="F198" i="88"/>
  <c r="E198" i="88"/>
  <c r="D198" i="88"/>
  <c r="I197" i="88"/>
  <c r="H197" i="88"/>
  <c r="G197" i="88"/>
  <c r="F197" i="88"/>
  <c r="E197" i="88"/>
  <c r="D197" i="88"/>
  <c r="I196" i="88"/>
  <c r="H196" i="88"/>
  <c r="G196" i="88"/>
  <c r="F196" i="88"/>
  <c r="E196" i="88"/>
  <c r="D196" i="88"/>
  <c r="I195" i="88"/>
  <c r="H195" i="88"/>
  <c r="G195" i="88"/>
  <c r="F195" i="88"/>
  <c r="E195" i="88"/>
  <c r="D195" i="88"/>
  <c r="I193" i="88"/>
  <c r="H193" i="88"/>
  <c r="G193" i="88"/>
  <c r="F193" i="88"/>
  <c r="E193" i="88"/>
  <c r="D193" i="88"/>
  <c r="I192" i="88"/>
  <c r="H192" i="88"/>
  <c r="G192" i="88"/>
  <c r="F192" i="88"/>
  <c r="E192" i="88"/>
  <c r="D192" i="88"/>
  <c r="I191" i="88"/>
  <c r="H191" i="88"/>
  <c r="G191" i="88"/>
  <c r="F191" i="88"/>
  <c r="E191" i="88"/>
  <c r="D191" i="88"/>
  <c r="I190" i="88"/>
  <c r="H190" i="88"/>
  <c r="G190" i="88"/>
  <c r="F190" i="88"/>
  <c r="E190" i="88"/>
  <c r="D190" i="88"/>
  <c r="I144" i="88"/>
  <c r="H144" i="88"/>
  <c r="G144" i="88"/>
  <c r="F144" i="88"/>
  <c r="E144" i="88"/>
  <c r="D144" i="88"/>
  <c r="I143" i="88"/>
  <c r="H143" i="88"/>
  <c r="G143" i="88"/>
  <c r="F143" i="88"/>
  <c r="E143" i="88"/>
  <c r="D143" i="88"/>
  <c r="I142" i="88"/>
  <c r="H142" i="88"/>
  <c r="G142" i="88"/>
  <c r="F142" i="88"/>
  <c r="E142" i="88"/>
  <c r="D142" i="88"/>
  <c r="I141" i="88"/>
  <c r="H141" i="88"/>
  <c r="G141" i="88"/>
  <c r="F141" i="88"/>
  <c r="E141" i="88"/>
  <c r="D141" i="88"/>
  <c r="I140" i="88"/>
  <c r="H140" i="88"/>
  <c r="G140" i="88"/>
  <c r="F140" i="88"/>
  <c r="E140" i="88"/>
  <c r="D140" i="88"/>
  <c r="W139" i="88"/>
  <c r="V139" i="88"/>
  <c r="U139" i="88"/>
  <c r="T139" i="88"/>
  <c r="S139" i="88"/>
  <c r="R139" i="88"/>
  <c r="P138" i="88"/>
  <c r="O138" i="88"/>
  <c r="N138" i="88"/>
  <c r="M138" i="88"/>
  <c r="L138" i="88"/>
  <c r="K138" i="88"/>
  <c r="W137" i="88"/>
  <c r="W136" i="88" s="1"/>
  <c r="V137" i="88"/>
  <c r="V136" i="88" s="1"/>
  <c r="U137" i="88"/>
  <c r="U136" i="88" s="1"/>
  <c r="T137" i="88"/>
  <c r="T136" i="88" s="1"/>
  <c r="S137" i="88"/>
  <c r="S136" i="88" s="1"/>
  <c r="R137" i="88"/>
  <c r="I137" i="88"/>
  <c r="H137" i="88"/>
  <c r="G137" i="88"/>
  <c r="F137" i="88"/>
  <c r="E137" i="88"/>
  <c r="D137" i="88"/>
  <c r="I133" i="88"/>
  <c r="H133" i="88"/>
  <c r="G133" i="88"/>
  <c r="F133" i="88"/>
  <c r="E133" i="88"/>
  <c r="D133" i="88"/>
  <c r="I132" i="88"/>
  <c r="H132" i="88"/>
  <c r="G132" i="88"/>
  <c r="F132" i="88"/>
  <c r="E132" i="88"/>
  <c r="D132" i="88"/>
  <c r="I131" i="88"/>
  <c r="H131" i="88"/>
  <c r="G131" i="88"/>
  <c r="F131" i="88"/>
  <c r="E131" i="88"/>
  <c r="D131" i="88"/>
  <c r="I130" i="88"/>
  <c r="H130" i="88"/>
  <c r="G130" i="88"/>
  <c r="F130" i="88"/>
  <c r="E130" i="88"/>
  <c r="D130" i="88"/>
  <c r="I129" i="88"/>
  <c r="H129" i="88"/>
  <c r="G129" i="88"/>
  <c r="F129" i="88"/>
  <c r="E129" i="88"/>
  <c r="D129" i="88"/>
  <c r="W128" i="88"/>
  <c r="V128" i="88"/>
  <c r="U128" i="88"/>
  <c r="T128" i="88"/>
  <c r="S128" i="88"/>
  <c r="R128" i="88"/>
  <c r="I127" i="88"/>
  <c r="H127" i="88"/>
  <c r="G127" i="88"/>
  <c r="F127" i="88"/>
  <c r="E127" i="88"/>
  <c r="D127" i="88"/>
  <c r="I126" i="88"/>
  <c r="H126" i="88"/>
  <c r="G126" i="88"/>
  <c r="F126" i="88"/>
  <c r="E126" i="88"/>
  <c r="D126" i="88"/>
  <c r="I125" i="88"/>
  <c r="H125" i="88"/>
  <c r="G125" i="88"/>
  <c r="F125" i="88"/>
  <c r="E125" i="88"/>
  <c r="D125" i="88"/>
  <c r="W124" i="88"/>
  <c r="W123" i="88" s="1"/>
  <c r="V124" i="88"/>
  <c r="V123" i="88" s="1"/>
  <c r="U124" i="88"/>
  <c r="U123" i="88" s="1"/>
  <c r="T124" i="88"/>
  <c r="T123" i="88" s="1"/>
  <c r="S124" i="88"/>
  <c r="S123" i="88" s="1"/>
  <c r="R124" i="88"/>
  <c r="I124" i="88"/>
  <c r="H124" i="88"/>
  <c r="G124" i="88"/>
  <c r="F124" i="88"/>
  <c r="E124" i="88"/>
  <c r="D124" i="88"/>
  <c r="I118" i="88"/>
  <c r="H118" i="88"/>
  <c r="G118" i="88"/>
  <c r="F118" i="88"/>
  <c r="E118" i="88"/>
  <c r="D118" i="88"/>
  <c r="W116" i="88"/>
  <c r="W115" i="88" s="1"/>
  <c r="V116" i="88"/>
  <c r="V115" i="88" s="1"/>
  <c r="U116" i="88"/>
  <c r="U115" i="88" s="1"/>
  <c r="T116" i="88"/>
  <c r="T115" i="88" s="1"/>
  <c r="S116" i="88"/>
  <c r="S115" i="88" s="1"/>
  <c r="R116" i="88"/>
  <c r="I116" i="88"/>
  <c r="H116" i="88"/>
  <c r="G116" i="88"/>
  <c r="F116" i="88"/>
  <c r="E116" i="88"/>
  <c r="D116" i="88"/>
  <c r="AI48" i="88"/>
  <c r="AH48" i="88"/>
  <c r="AG48" i="88"/>
  <c r="AI47" i="88"/>
  <c r="AH47" i="88"/>
  <c r="AG47" i="88"/>
  <c r="AI46" i="88"/>
  <c r="AH46" i="88"/>
  <c r="AG46" i="88"/>
  <c r="AI45" i="88"/>
  <c r="AH45" i="88"/>
  <c r="AG45" i="88"/>
  <c r="AI44" i="88"/>
  <c r="AH44" i="88"/>
  <c r="AG44" i="88"/>
  <c r="AI43" i="88"/>
  <c r="AH43" i="88"/>
  <c r="AG43" i="88"/>
  <c r="AI42" i="88"/>
  <c r="AH42" i="88"/>
  <c r="AG42" i="88"/>
  <c r="AI41" i="88"/>
  <c r="AH41" i="88"/>
  <c r="AG41" i="88"/>
  <c r="AI40" i="88"/>
  <c r="AH40" i="88"/>
  <c r="AG40" i="88"/>
  <c r="AI39" i="88"/>
  <c r="AH39" i="88"/>
  <c r="AG39" i="88"/>
  <c r="AI38" i="88"/>
  <c r="AH38" i="88"/>
  <c r="AG38" i="88"/>
  <c r="AI37" i="88"/>
  <c r="AH37" i="88"/>
  <c r="AG37" i="88"/>
  <c r="AI36" i="88"/>
  <c r="AH36" i="88"/>
  <c r="AG36" i="88"/>
  <c r="AI35" i="88"/>
  <c r="AH35" i="88"/>
  <c r="AG35" i="88"/>
  <c r="AI34" i="88"/>
  <c r="AH34" i="88"/>
  <c r="AG34" i="88"/>
  <c r="AI33" i="88"/>
  <c r="AH33" i="88"/>
  <c r="AG33" i="88"/>
  <c r="AI32" i="88"/>
  <c r="AH32" i="88"/>
  <c r="AG32" i="88"/>
  <c r="AI31" i="88"/>
  <c r="AH31" i="88"/>
  <c r="AG31" i="88"/>
  <c r="AI30" i="88"/>
  <c r="AH30" i="88"/>
  <c r="AG30" i="88"/>
  <c r="AI29" i="88"/>
  <c r="AH29" i="88"/>
  <c r="AG29" i="88"/>
  <c r="AI28" i="88"/>
  <c r="AH28" i="88"/>
  <c r="AG28" i="88"/>
  <c r="AI27" i="88"/>
  <c r="AH27" i="88"/>
  <c r="AG27" i="88"/>
  <c r="AI21" i="88"/>
  <c r="AH21" i="88"/>
  <c r="AG21" i="88"/>
  <c r="AI20" i="88"/>
  <c r="AH20" i="88"/>
  <c r="AG20" i="88"/>
  <c r="AI19" i="88"/>
  <c r="AH19" i="88"/>
  <c r="AG19" i="88"/>
  <c r="AI18" i="88"/>
  <c r="AH18" i="88"/>
  <c r="AG18" i="88"/>
  <c r="AI17" i="88"/>
  <c r="AH17" i="88"/>
  <c r="AG17" i="88"/>
  <c r="AI16" i="88"/>
  <c r="AH16" i="88"/>
  <c r="AG16" i="88"/>
  <c r="AI15" i="88"/>
  <c r="AH15" i="88"/>
  <c r="AG15" i="88"/>
  <c r="AI10" i="88"/>
  <c r="AH10" i="88"/>
  <c r="AG10" i="88"/>
  <c r="AI9" i="88"/>
  <c r="AH9" i="88"/>
  <c r="AG9" i="88"/>
  <c r="AI8" i="88"/>
  <c r="AH8" i="88"/>
  <c r="AG8" i="88"/>
  <c r="AI7" i="88"/>
  <c r="AH7" i="88"/>
  <c r="AG7" i="88"/>
  <c r="AI6" i="88"/>
  <c r="AH6" i="88"/>
  <c r="AG6" i="88"/>
  <c r="AI5" i="88"/>
  <c r="AH5" i="88"/>
  <c r="AG5" i="88"/>
  <c r="J149" i="86"/>
  <c r="I149" i="86"/>
  <c r="H149" i="86"/>
  <c r="G149" i="86"/>
  <c r="F149" i="86"/>
  <c r="E149" i="86"/>
  <c r="D149" i="86"/>
  <c r="I117" i="88" l="1"/>
  <c r="N124" i="120"/>
  <c r="N124" i="823"/>
  <c r="I133" i="120"/>
  <c r="I133" i="823"/>
  <c r="P124" i="120"/>
  <c r="P124" i="823"/>
  <c r="K120" i="129"/>
  <c r="K120" i="823"/>
  <c r="M120" i="129"/>
  <c r="M120" i="823"/>
  <c r="L125" i="120"/>
  <c r="L125" i="823"/>
  <c r="S125" i="823" s="1"/>
  <c r="I137" i="120"/>
  <c r="I137" i="823"/>
  <c r="K126" i="120"/>
  <c r="K126" i="823"/>
  <c r="P137" i="120"/>
  <c r="P137" i="823"/>
  <c r="P136" i="823" s="1"/>
  <c r="I124" i="120"/>
  <c r="I124" i="823"/>
  <c r="N115" i="823"/>
  <c r="U116" i="823"/>
  <c r="K124" i="120"/>
  <c r="K124" i="823"/>
  <c r="M126" i="120"/>
  <c r="M126" i="823"/>
  <c r="T126" i="823" s="1"/>
  <c r="I129" i="120"/>
  <c r="I129" i="823"/>
  <c r="I143" i="120"/>
  <c r="I143" i="823"/>
  <c r="M125" i="120"/>
  <c r="M125" i="823"/>
  <c r="T125" i="823" s="1"/>
  <c r="K137" i="120"/>
  <c r="K137" i="823"/>
  <c r="K115" i="823"/>
  <c r="Q116" i="823"/>
  <c r="R116" i="823"/>
  <c r="N127" i="120"/>
  <c r="U127" i="120" s="1"/>
  <c r="N127" i="823"/>
  <c r="O137" i="120"/>
  <c r="O137" i="823"/>
  <c r="S116" i="823"/>
  <c r="L115" i="823"/>
  <c r="M115" i="823"/>
  <c r="T116" i="823"/>
  <c r="O115" i="823"/>
  <c r="V115" i="823" s="1"/>
  <c r="V116" i="823"/>
  <c r="L124" i="120"/>
  <c r="L124" i="823"/>
  <c r="N126" i="120"/>
  <c r="N126" i="823"/>
  <c r="U126" i="823" s="1"/>
  <c r="I130" i="120"/>
  <c r="I130" i="823"/>
  <c r="I118" i="120"/>
  <c r="I118" i="823"/>
  <c r="I132" i="120"/>
  <c r="I132" i="823"/>
  <c r="I120" i="120"/>
  <c r="I320" i="654" s="1"/>
  <c r="I120" i="823"/>
  <c r="I140" i="120"/>
  <c r="I140" i="823"/>
  <c r="I141" i="120"/>
  <c r="I141" i="823"/>
  <c r="L120" i="129"/>
  <c r="L120" i="823"/>
  <c r="K125" i="120"/>
  <c r="K125" i="823"/>
  <c r="I142" i="120"/>
  <c r="I142" i="823"/>
  <c r="N120" i="129"/>
  <c r="N120" i="823"/>
  <c r="O120" i="129"/>
  <c r="O120" i="823"/>
  <c r="N125" i="120"/>
  <c r="N125" i="823"/>
  <c r="U125" i="823" s="1"/>
  <c r="K127" i="120"/>
  <c r="K127" i="823"/>
  <c r="L137" i="120"/>
  <c r="L137" i="823"/>
  <c r="P120" i="129"/>
  <c r="P120" i="823"/>
  <c r="O125" i="120"/>
  <c r="O125" i="823"/>
  <c r="L127" i="120"/>
  <c r="L127" i="823"/>
  <c r="M137" i="120"/>
  <c r="M137" i="823"/>
  <c r="I126" i="120"/>
  <c r="I126" i="823"/>
  <c r="O127" i="120"/>
  <c r="V127" i="120" s="1"/>
  <c r="O127" i="823"/>
  <c r="L126" i="120"/>
  <c r="L126" i="823"/>
  <c r="S126" i="823" s="1"/>
  <c r="P127" i="120"/>
  <c r="P127" i="823"/>
  <c r="M124" i="120"/>
  <c r="M124" i="823"/>
  <c r="O126" i="120"/>
  <c r="O126" i="823"/>
  <c r="V126" i="823" s="1"/>
  <c r="I131" i="120"/>
  <c r="I131" i="823"/>
  <c r="P126" i="120"/>
  <c r="P126" i="823"/>
  <c r="O124" i="120"/>
  <c r="O124" i="823"/>
  <c r="V124" i="823" s="1"/>
  <c r="I125" i="120"/>
  <c r="I125" i="823"/>
  <c r="I127" i="120"/>
  <c r="I127" i="823"/>
  <c r="I144" i="120"/>
  <c r="I144" i="823"/>
  <c r="I116" i="120"/>
  <c r="I116" i="823"/>
  <c r="P125" i="120"/>
  <c r="P125" i="823"/>
  <c r="M127" i="120"/>
  <c r="M127" i="823"/>
  <c r="N137" i="120"/>
  <c r="N137" i="823"/>
  <c r="D117" i="88"/>
  <c r="F117" i="88"/>
  <c r="F205" i="88" s="1"/>
  <c r="G117" i="88"/>
  <c r="E117" i="88"/>
  <c r="H117" i="88"/>
  <c r="N127" i="88"/>
  <c r="G357" i="657"/>
  <c r="G357" i="658"/>
  <c r="G357" i="654"/>
  <c r="L127" i="129"/>
  <c r="M127" i="129"/>
  <c r="P127" i="88"/>
  <c r="I357" i="657"/>
  <c r="I357" i="658"/>
  <c r="I357" i="654"/>
  <c r="N127" i="129"/>
  <c r="O127" i="129"/>
  <c r="O127" i="88"/>
  <c r="H357" i="657"/>
  <c r="H357" i="658"/>
  <c r="H357" i="654"/>
  <c r="P127" i="129"/>
  <c r="D326" i="502"/>
  <c r="D126" i="639"/>
  <c r="E326" i="502"/>
  <c r="E126" i="639"/>
  <c r="K127" i="129"/>
  <c r="Q127" i="87"/>
  <c r="F326" i="502"/>
  <c r="F126" i="639"/>
  <c r="G326" i="502"/>
  <c r="G126" i="639"/>
  <c r="D357" i="657"/>
  <c r="D357" i="658"/>
  <c r="D357" i="654"/>
  <c r="H326" i="502"/>
  <c r="H126" i="639"/>
  <c r="M127" i="88"/>
  <c r="F357" i="657"/>
  <c r="F357" i="658"/>
  <c r="F357" i="654"/>
  <c r="L127" i="88"/>
  <c r="E357" i="657"/>
  <c r="E357" i="658"/>
  <c r="E357" i="654"/>
  <c r="I127" i="129"/>
  <c r="J127" i="87"/>
  <c r="I371" i="654"/>
  <c r="I371" i="657"/>
  <c r="I371" i="658"/>
  <c r="H371" i="658"/>
  <c r="H371" i="657"/>
  <c r="H371" i="654"/>
  <c r="G371" i="654"/>
  <c r="G371" i="657"/>
  <c r="G371" i="658"/>
  <c r="F371" i="657"/>
  <c r="F371" i="654"/>
  <c r="F371" i="658"/>
  <c r="E371" i="657"/>
  <c r="E371" i="654"/>
  <c r="E371" i="658"/>
  <c r="D371" i="657"/>
  <c r="D371" i="658"/>
  <c r="D371" i="654"/>
  <c r="I370" i="658"/>
  <c r="I370" i="654"/>
  <c r="I370" i="657"/>
  <c r="H370" i="654"/>
  <c r="H370" i="657"/>
  <c r="H370" i="658"/>
  <c r="G370" i="654"/>
  <c r="G370" i="657"/>
  <c r="G370" i="658"/>
  <c r="F370" i="657"/>
  <c r="F370" i="654"/>
  <c r="F370" i="658"/>
  <c r="E370" i="654"/>
  <c r="E370" i="657"/>
  <c r="E370" i="658"/>
  <c r="D370" i="657"/>
  <c r="D370" i="654"/>
  <c r="D370" i="658"/>
  <c r="I369" i="657"/>
  <c r="I369" i="658"/>
  <c r="I369" i="654"/>
  <c r="H369" i="657"/>
  <c r="H369" i="654"/>
  <c r="H369" i="658"/>
  <c r="G369" i="657"/>
  <c r="G369" i="658"/>
  <c r="G369" i="654"/>
  <c r="F369" i="657"/>
  <c r="F369" i="654"/>
  <c r="F369" i="658"/>
  <c r="E369" i="657"/>
  <c r="E369" i="654"/>
  <c r="E369" i="658"/>
  <c r="D369" i="657"/>
  <c r="D369" i="654"/>
  <c r="D369" i="658"/>
  <c r="I368" i="658"/>
  <c r="I368" i="654"/>
  <c r="I368" i="657"/>
  <c r="H368" i="654"/>
  <c r="H368" i="658"/>
  <c r="H368" i="657"/>
  <c r="G368" i="654"/>
  <c r="G368" i="658"/>
  <c r="G368" i="657"/>
  <c r="F368" i="658"/>
  <c r="F368" i="657"/>
  <c r="F368" i="654"/>
  <c r="E368" i="658"/>
  <c r="E368" i="654"/>
  <c r="E368" i="657"/>
  <c r="D368" i="654"/>
  <c r="D368" i="658"/>
  <c r="D368" i="657"/>
  <c r="I367" i="658"/>
  <c r="I367" i="657"/>
  <c r="I367" i="654"/>
  <c r="H367" i="654"/>
  <c r="H367" i="657"/>
  <c r="H367" i="658"/>
  <c r="G367" i="658"/>
  <c r="G367" i="654"/>
  <c r="G367" i="657"/>
  <c r="F367" i="657"/>
  <c r="F367" i="654"/>
  <c r="F367" i="658"/>
  <c r="E367" i="657"/>
  <c r="E367" i="658"/>
  <c r="E367" i="654"/>
  <c r="D367" i="658"/>
  <c r="D367" i="657"/>
  <c r="D367" i="654"/>
  <c r="I365" i="654"/>
  <c r="I365" i="658"/>
  <c r="J462" i="658" s="1"/>
  <c r="I365" i="657"/>
  <c r="H365" i="658"/>
  <c r="I462" i="658" s="1"/>
  <c r="H365" i="654"/>
  <c r="H365" i="657"/>
  <c r="G365" i="658"/>
  <c r="H462" i="658" s="1"/>
  <c r="G365" i="654"/>
  <c r="G365" i="657"/>
  <c r="F365" i="658"/>
  <c r="G462" i="658" s="1"/>
  <c r="F365" i="654"/>
  <c r="F365" i="657"/>
  <c r="E365" i="658"/>
  <c r="F462" i="658" s="1"/>
  <c r="E365" i="654"/>
  <c r="E365" i="657"/>
  <c r="D365" i="658"/>
  <c r="E462" i="658" s="1"/>
  <c r="D365" i="654"/>
  <c r="D365" i="657"/>
  <c r="I363" i="657"/>
  <c r="I363" i="658"/>
  <c r="I363" i="654"/>
  <c r="H363" i="654"/>
  <c r="H363" i="658"/>
  <c r="H363" i="657"/>
  <c r="G363" i="658"/>
  <c r="G363" i="654"/>
  <c r="G363" i="657"/>
  <c r="F363" i="657"/>
  <c r="F363" i="658"/>
  <c r="F363" i="654"/>
  <c r="E363" i="658"/>
  <c r="E363" i="657"/>
  <c r="E363" i="654"/>
  <c r="D363" i="657"/>
  <c r="D363" i="654"/>
  <c r="D363" i="658"/>
  <c r="I362" i="658"/>
  <c r="I362" i="654"/>
  <c r="I362" i="657"/>
  <c r="H362" i="657"/>
  <c r="H362" i="658"/>
  <c r="H362" i="654"/>
  <c r="G362" i="658"/>
  <c r="G362" i="657"/>
  <c r="G362" i="654"/>
  <c r="F362" i="654"/>
  <c r="F362" i="658"/>
  <c r="F362" i="657"/>
  <c r="E362" i="658"/>
  <c r="E362" i="657"/>
  <c r="E362" i="654"/>
  <c r="D362" i="654"/>
  <c r="D362" i="658"/>
  <c r="D362" i="657"/>
  <c r="I361" i="658"/>
  <c r="I361" i="654"/>
  <c r="I361" i="657"/>
  <c r="H361" i="654"/>
  <c r="H361" i="657"/>
  <c r="H361" i="658"/>
  <c r="G361" i="654"/>
  <c r="G361" i="657"/>
  <c r="G361" i="658"/>
  <c r="F361" i="658"/>
  <c r="F361" i="654"/>
  <c r="F361" i="657"/>
  <c r="E361" i="657"/>
  <c r="E361" i="658"/>
  <c r="E361" i="654"/>
  <c r="D361" i="657"/>
  <c r="D361" i="654"/>
  <c r="D361" i="658"/>
  <c r="I360" i="657"/>
  <c r="I360" i="654"/>
  <c r="I360" i="658"/>
  <c r="H360" i="654"/>
  <c r="H360" i="657"/>
  <c r="H360" i="658"/>
  <c r="G360" i="657"/>
  <c r="G360" i="658"/>
  <c r="G360" i="654"/>
  <c r="F360" i="657"/>
  <c r="F360" i="654"/>
  <c r="F360" i="658"/>
  <c r="E360" i="654"/>
  <c r="E360" i="657"/>
  <c r="E360" i="658"/>
  <c r="D360" i="658"/>
  <c r="D360" i="654"/>
  <c r="D360" i="657"/>
  <c r="I359" i="657"/>
  <c r="I359" i="658"/>
  <c r="I359" i="654"/>
  <c r="H359" i="654"/>
  <c r="H359" i="657"/>
  <c r="H359" i="658"/>
  <c r="G359" i="658"/>
  <c r="G359" i="657"/>
  <c r="G359" i="654"/>
  <c r="F359" i="657"/>
  <c r="F359" i="658"/>
  <c r="F359" i="654"/>
  <c r="E359" i="657"/>
  <c r="E359" i="654"/>
  <c r="E359" i="658"/>
  <c r="D359" i="654"/>
  <c r="D359" i="658"/>
  <c r="D359" i="657"/>
  <c r="I356" i="657"/>
  <c r="I356" i="654"/>
  <c r="I356" i="658"/>
  <c r="H356" i="654"/>
  <c r="H356" i="658"/>
  <c r="H356" i="657"/>
  <c r="G356" i="654"/>
  <c r="G356" i="657"/>
  <c r="G356" i="658"/>
  <c r="F356" i="654"/>
  <c r="F356" i="658"/>
  <c r="F356" i="657"/>
  <c r="E356" i="657"/>
  <c r="E356" i="654"/>
  <c r="E356" i="658"/>
  <c r="D356" i="658"/>
  <c r="D356" i="654"/>
  <c r="D356" i="657"/>
  <c r="I355" i="657"/>
  <c r="I355" i="654"/>
  <c r="I355" i="658"/>
  <c r="H355" i="658"/>
  <c r="H355" i="657"/>
  <c r="H355" i="654"/>
  <c r="G355" i="657"/>
  <c r="G355" i="658"/>
  <c r="G355" i="654"/>
  <c r="F355" i="657"/>
  <c r="F355" i="654"/>
  <c r="F355" i="658"/>
  <c r="E355" i="657"/>
  <c r="E355" i="654"/>
  <c r="E355" i="658"/>
  <c r="D355" i="657"/>
  <c r="D355" i="658"/>
  <c r="D355" i="654"/>
  <c r="I354" i="658"/>
  <c r="I354" i="654"/>
  <c r="I354" i="657"/>
  <c r="H354" i="658"/>
  <c r="H354" i="654"/>
  <c r="H354" i="657"/>
  <c r="G354" i="657"/>
  <c r="G354" i="654"/>
  <c r="G354" i="658"/>
  <c r="F354" i="657"/>
  <c r="F354" i="658"/>
  <c r="F354" i="654"/>
  <c r="E354" i="657"/>
  <c r="E354" i="658"/>
  <c r="E354" i="654"/>
  <c r="D354" i="658"/>
  <c r="D354" i="657"/>
  <c r="D354" i="654"/>
  <c r="I350" i="658"/>
  <c r="I350" i="657"/>
  <c r="I350" i="654"/>
  <c r="H350" i="654"/>
  <c r="H350" i="658"/>
  <c r="H350" i="657"/>
  <c r="G350" i="658"/>
  <c r="G350" i="657"/>
  <c r="G350" i="654"/>
  <c r="F350" i="658"/>
  <c r="F350" i="654"/>
  <c r="F350" i="657"/>
  <c r="E350" i="657"/>
  <c r="E350" i="658"/>
  <c r="E350" i="654"/>
  <c r="D350" i="658"/>
  <c r="D350" i="654"/>
  <c r="D350" i="657"/>
  <c r="I349" i="658"/>
  <c r="I349" i="654"/>
  <c r="I349" i="657"/>
  <c r="H349" i="658"/>
  <c r="H349" i="657"/>
  <c r="H349" i="654"/>
  <c r="G349" i="658"/>
  <c r="G349" i="657"/>
  <c r="G349" i="654"/>
  <c r="F349" i="654"/>
  <c r="F349" i="658"/>
  <c r="F349" i="657"/>
  <c r="E349" i="657"/>
  <c r="E349" i="658"/>
  <c r="E349" i="654"/>
  <c r="D349" i="658"/>
  <c r="D349" i="654"/>
  <c r="D349" i="657"/>
  <c r="I347" i="658"/>
  <c r="I347" i="657"/>
  <c r="I347" i="654"/>
  <c r="H347" i="654"/>
  <c r="H347" i="657"/>
  <c r="H347" i="658"/>
  <c r="G347" i="654"/>
  <c r="G347" i="657"/>
  <c r="G347" i="658"/>
  <c r="F347" i="657"/>
  <c r="F347" i="654"/>
  <c r="F347" i="658"/>
  <c r="E347" i="654"/>
  <c r="E347" i="658"/>
  <c r="E347" i="657"/>
  <c r="D347" i="658"/>
  <c r="D347" i="654"/>
  <c r="D347" i="657"/>
  <c r="Q16" i="130"/>
  <c r="Q29" i="130"/>
  <c r="Q36" i="130"/>
  <c r="Q41" i="130"/>
  <c r="Q43" i="130"/>
  <c r="Q32" i="130"/>
  <c r="Q38" i="130"/>
  <c r="Q42" i="130"/>
  <c r="Q46" i="130"/>
  <c r="Q47" i="130"/>
  <c r="Q18" i="130"/>
  <c r="Q48" i="130"/>
  <c r="K116" i="129"/>
  <c r="L116" i="129"/>
  <c r="M116" i="129"/>
  <c r="N137" i="129"/>
  <c r="N116" i="129"/>
  <c r="O137" i="129"/>
  <c r="P137" i="129"/>
  <c r="P116" i="129"/>
  <c r="N124" i="129"/>
  <c r="N125" i="129"/>
  <c r="N126" i="129"/>
  <c r="O116" i="129"/>
  <c r="O124" i="129"/>
  <c r="O125" i="129"/>
  <c r="P124" i="129"/>
  <c r="P125" i="129"/>
  <c r="P126" i="129"/>
  <c r="O126" i="129"/>
  <c r="M124" i="129"/>
  <c r="M125" i="129"/>
  <c r="M126" i="129"/>
  <c r="G130" i="129"/>
  <c r="G132" i="129"/>
  <c r="D137" i="129"/>
  <c r="D141" i="129"/>
  <c r="D143" i="129"/>
  <c r="D116" i="129"/>
  <c r="D118" i="129"/>
  <c r="H130" i="129"/>
  <c r="H132" i="129"/>
  <c r="E137" i="129"/>
  <c r="E141" i="129"/>
  <c r="E143" i="129"/>
  <c r="I130" i="129"/>
  <c r="I132" i="129"/>
  <c r="F137" i="129"/>
  <c r="F141" i="129"/>
  <c r="E116" i="129"/>
  <c r="F116" i="129"/>
  <c r="D131" i="129"/>
  <c r="D133" i="129"/>
  <c r="G137" i="129"/>
  <c r="G141" i="129"/>
  <c r="G143" i="129"/>
  <c r="I119" i="129"/>
  <c r="G116" i="129"/>
  <c r="G118" i="129"/>
  <c r="D124" i="129"/>
  <c r="D125" i="129"/>
  <c r="D126" i="129"/>
  <c r="D129" i="129"/>
  <c r="E131" i="129"/>
  <c r="E133" i="129"/>
  <c r="H137" i="129"/>
  <c r="H141" i="129"/>
  <c r="H143" i="129"/>
  <c r="F143" i="129"/>
  <c r="H116" i="129"/>
  <c r="H118" i="129"/>
  <c r="E124" i="129"/>
  <c r="E125" i="129"/>
  <c r="E126" i="129"/>
  <c r="E129" i="129"/>
  <c r="F131" i="129"/>
  <c r="F133" i="129"/>
  <c r="I137" i="129"/>
  <c r="I141" i="129"/>
  <c r="I143" i="129"/>
  <c r="E118" i="129"/>
  <c r="I116" i="129"/>
  <c r="I118" i="129"/>
  <c r="I120" i="129"/>
  <c r="F124" i="129"/>
  <c r="F125" i="129"/>
  <c r="F126" i="129"/>
  <c r="F129" i="129"/>
  <c r="G131" i="129"/>
  <c r="G133" i="129"/>
  <c r="K137" i="129"/>
  <c r="D140" i="129"/>
  <c r="D142" i="129"/>
  <c r="D144" i="129"/>
  <c r="F118" i="129"/>
  <c r="D119" i="129"/>
  <c r="G124" i="129"/>
  <c r="G125" i="129"/>
  <c r="G129" i="129"/>
  <c r="H131" i="129"/>
  <c r="H133" i="129"/>
  <c r="L137" i="129"/>
  <c r="E140" i="129"/>
  <c r="E142" i="129"/>
  <c r="E144" i="129"/>
  <c r="E119" i="129"/>
  <c r="H124" i="129"/>
  <c r="H125" i="129"/>
  <c r="H126" i="129"/>
  <c r="H129" i="129"/>
  <c r="I131" i="129"/>
  <c r="I133" i="129"/>
  <c r="M137" i="129"/>
  <c r="F140" i="129"/>
  <c r="F142" i="129"/>
  <c r="F144" i="129"/>
  <c r="F119" i="129"/>
  <c r="I124" i="129"/>
  <c r="I125" i="129"/>
  <c r="I126" i="129"/>
  <c r="I129" i="129"/>
  <c r="D132" i="129"/>
  <c r="G140" i="129"/>
  <c r="G142" i="129"/>
  <c r="G144" i="129"/>
  <c r="G126" i="129"/>
  <c r="G119" i="129"/>
  <c r="K124" i="129"/>
  <c r="K125" i="129"/>
  <c r="K126" i="129"/>
  <c r="D130" i="129"/>
  <c r="E132" i="129"/>
  <c r="H140" i="129"/>
  <c r="H142" i="129"/>
  <c r="H144" i="129"/>
  <c r="H119" i="129"/>
  <c r="L124" i="129"/>
  <c r="L125" i="129"/>
  <c r="L126" i="129"/>
  <c r="E130" i="129"/>
  <c r="F132" i="129"/>
  <c r="I140" i="129"/>
  <c r="I142" i="129"/>
  <c r="I144" i="129"/>
  <c r="X139" i="88"/>
  <c r="H324" i="128"/>
  <c r="M324" i="128"/>
  <c r="X117" i="88"/>
  <c r="X128" i="88"/>
  <c r="X116" i="88"/>
  <c r="M140" i="88"/>
  <c r="N126" i="88"/>
  <c r="N130" i="88"/>
  <c r="N132" i="88"/>
  <c r="N137" i="88"/>
  <c r="N140" i="88"/>
  <c r="N142" i="88"/>
  <c r="N144" i="88"/>
  <c r="O126" i="88"/>
  <c r="O130" i="88"/>
  <c r="O137" i="88"/>
  <c r="O140" i="88"/>
  <c r="O142" i="88"/>
  <c r="O144" i="88"/>
  <c r="F115" i="88"/>
  <c r="F206" i="88" s="1"/>
  <c r="M132" i="88"/>
  <c r="P116" i="88"/>
  <c r="P115" i="88" s="1"/>
  <c r="P132" i="88"/>
  <c r="I131" i="650" s="1"/>
  <c r="P140" i="88"/>
  <c r="I137" i="655" s="1"/>
  <c r="P142" i="88"/>
  <c r="I139" i="650" s="1"/>
  <c r="P144" i="88"/>
  <c r="I141" i="650" s="1"/>
  <c r="M144" i="88"/>
  <c r="J141" i="88"/>
  <c r="L118" i="88"/>
  <c r="L124" i="88"/>
  <c r="L125" i="88"/>
  <c r="L129" i="88"/>
  <c r="L131" i="88"/>
  <c r="L133" i="88"/>
  <c r="L141" i="88"/>
  <c r="L143" i="88"/>
  <c r="M126" i="88"/>
  <c r="M142" i="88"/>
  <c r="M118" i="88"/>
  <c r="M125" i="88"/>
  <c r="M129" i="88"/>
  <c r="M131" i="88"/>
  <c r="M133" i="88"/>
  <c r="M143" i="88"/>
  <c r="F136" i="88"/>
  <c r="F202" i="88" s="1"/>
  <c r="N118" i="88"/>
  <c r="N124" i="88"/>
  <c r="N129" i="88"/>
  <c r="N133" i="88"/>
  <c r="N141" i="88"/>
  <c r="N143" i="88"/>
  <c r="O118" i="88"/>
  <c r="O117" i="88" s="1"/>
  <c r="O125" i="88"/>
  <c r="O129" i="88"/>
  <c r="O131" i="88"/>
  <c r="O133" i="88"/>
  <c r="O141" i="88"/>
  <c r="O143" i="88"/>
  <c r="P118" i="88"/>
  <c r="I117" i="650" s="1"/>
  <c r="P124" i="88"/>
  <c r="I123" i="650" s="1"/>
  <c r="P125" i="88"/>
  <c r="I124" i="655" s="1"/>
  <c r="P129" i="88"/>
  <c r="I128" i="655" s="1"/>
  <c r="P133" i="88"/>
  <c r="I132" i="650" s="1"/>
  <c r="P141" i="88"/>
  <c r="I138" i="655" s="1"/>
  <c r="P143" i="88"/>
  <c r="I140" i="650" s="1"/>
  <c r="L116" i="88"/>
  <c r="L126" i="88"/>
  <c r="L130" i="88"/>
  <c r="E136" i="88"/>
  <c r="E202" i="88" s="1"/>
  <c r="L140" i="88"/>
  <c r="L142" i="88"/>
  <c r="L144" i="88"/>
  <c r="E234" i="87"/>
  <c r="G234" i="87"/>
  <c r="H233" i="87"/>
  <c r="H234" i="87"/>
  <c r="I115" i="87"/>
  <c r="I115" i="120" s="1"/>
  <c r="K115" i="87"/>
  <c r="L115" i="87"/>
  <c r="L136" i="87"/>
  <c r="M115" i="87"/>
  <c r="M136" i="87"/>
  <c r="M144" i="87"/>
  <c r="M144" i="823" s="1"/>
  <c r="T144" i="823" s="1"/>
  <c r="N115" i="87"/>
  <c r="N136" i="87"/>
  <c r="N144" i="87"/>
  <c r="N144" i="823" s="1"/>
  <c r="U144" i="823" s="1"/>
  <c r="F234" i="87"/>
  <c r="O115" i="87"/>
  <c r="O136" i="87"/>
  <c r="P115" i="87"/>
  <c r="P136" i="87"/>
  <c r="P144" i="87"/>
  <c r="P144" i="823" s="1"/>
  <c r="J118" i="88"/>
  <c r="K129" i="88"/>
  <c r="J129" i="88"/>
  <c r="K131" i="88"/>
  <c r="J131" i="88"/>
  <c r="K116" i="88"/>
  <c r="J116" i="88"/>
  <c r="J119" i="88"/>
  <c r="R123" i="88"/>
  <c r="X123" i="88" s="1"/>
  <c r="X124" i="88"/>
  <c r="K126" i="88"/>
  <c r="J126" i="88"/>
  <c r="K130" i="88"/>
  <c r="J130" i="88"/>
  <c r="K132" i="88"/>
  <c r="J132" i="88"/>
  <c r="K137" i="88"/>
  <c r="J137" i="88"/>
  <c r="K140" i="88"/>
  <c r="J140" i="88"/>
  <c r="K142" i="88"/>
  <c r="J142" i="88"/>
  <c r="K144" i="88"/>
  <c r="J144" i="88"/>
  <c r="K127" i="88"/>
  <c r="J127" i="88"/>
  <c r="R136" i="88"/>
  <c r="X136" i="88" s="1"/>
  <c r="X137" i="88"/>
  <c r="K125" i="88"/>
  <c r="J125" i="88"/>
  <c r="K133" i="88"/>
  <c r="J133" i="88"/>
  <c r="K143" i="88"/>
  <c r="J143" i="88"/>
  <c r="K124" i="88"/>
  <c r="J124" i="88"/>
  <c r="I33" i="315"/>
  <c r="I43" i="315" s="1"/>
  <c r="L51" i="128"/>
  <c r="AI18" i="87"/>
  <c r="AI16" i="87"/>
  <c r="AI17" i="87"/>
  <c r="AI15" i="87"/>
  <c r="AI38" i="87"/>
  <c r="AI44" i="87"/>
  <c r="AI30" i="87"/>
  <c r="AI143" i="87" s="1"/>
  <c r="AI36" i="87"/>
  <c r="AI42" i="87"/>
  <c r="AI48" i="87"/>
  <c r="AI32" i="87"/>
  <c r="AI31" i="87"/>
  <c r="AI144" i="87" s="1"/>
  <c r="AI37" i="87"/>
  <c r="AI43" i="87"/>
  <c r="AI27" i="87"/>
  <c r="AI33" i="87"/>
  <c r="AI39" i="87"/>
  <c r="AI45" i="87"/>
  <c r="AI29" i="87"/>
  <c r="AI142" i="87" s="1"/>
  <c r="AI35" i="87"/>
  <c r="AI47" i="87"/>
  <c r="AI41" i="87"/>
  <c r="AI28" i="87"/>
  <c r="AI141" i="87" s="1"/>
  <c r="AI34" i="87"/>
  <c r="AI40" i="87"/>
  <c r="AI46" i="87"/>
  <c r="AI99" i="87"/>
  <c r="AI78" i="87"/>
  <c r="AI90" i="87"/>
  <c r="AI96" i="87"/>
  <c r="AI70" i="87"/>
  <c r="AI76" i="87"/>
  <c r="AI82" i="87"/>
  <c r="AI88" i="87"/>
  <c r="AI94" i="87"/>
  <c r="AI100" i="87"/>
  <c r="AI106" i="87"/>
  <c r="AI66" i="87"/>
  <c r="AI72" i="87"/>
  <c r="AI84" i="87"/>
  <c r="AI102" i="87"/>
  <c r="AI65" i="87"/>
  <c r="AI71" i="87"/>
  <c r="AI77" i="87"/>
  <c r="AI83" i="87"/>
  <c r="AI89" i="87"/>
  <c r="AI95" i="87"/>
  <c r="AI101" i="87"/>
  <c r="AI67" i="87"/>
  <c r="AI73" i="87"/>
  <c r="AI79" i="87"/>
  <c r="AI85" i="87"/>
  <c r="AI91" i="87"/>
  <c r="AI97" i="87"/>
  <c r="AI103" i="87"/>
  <c r="AI75" i="87"/>
  <c r="AI87" i="87"/>
  <c r="AI105" i="87"/>
  <c r="AI81" i="87"/>
  <c r="AI93" i="87"/>
  <c r="AI68" i="87"/>
  <c r="AI74" i="87"/>
  <c r="AI80" i="87"/>
  <c r="AI86" i="87"/>
  <c r="AI92" i="87"/>
  <c r="AI98" i="87"/>
  <c r="AI104" i="87"/>
  <c r="AI69" i="87"/>
  <c r="U135" i="88"/>
  <c r="U126" i="87"/>
  <c r="H51" i="128"/>
  <c r="I51" i="128"/>
  <c r="N58" i="70"/>
  <c r="D118" i="459"/>
  <c r="G164" i="87"/>
  <c r="H155" i="87"/>
  <c r="W125" i="87"/>
  <c r="C118" i="460"/>
  <c r="D139" i="88"/>
  <c r="M137" i="88"/>
  <c r="S124" i="87"/>
  <c r="U122" i="88"/>
  <c r="S122" i="88"/>
  <c r="V124" i="87"/>
  <c r="V126" i="87"/>
  <c r="M51" i="128"/>
  <c r="W122" i="88"/>
  <c r="G118" i="459"/>
  <c r="D115" i="88"/>
  <c r="N43" i="70"/>
  <c r="H84" i="128"/>
  <c r="J130" i="87"/>
  <c r="J84" i="128"/>
  <c r="N49" i="70"/>
  <c r="N59" i="70"/>
  <c r="I139" i="87"/>
  <c r="I139" i="120" s="1"/>
  <c r="J119" i="87"/>
  <c r="I128" i="87"/>
  <c r="I128" i="120" s="1"/>
  <c r="M88" i="128"/>
  <c r="I123" i="88"/>
  <c r="I204" i="88" s="1"/>
  <c r="H136" i="88"/>
  <c r="H202" i="88" s="1"/>
  <c r="D118" i="460"/>
  <c r="N123" i="87"/>
  <c r="F123" i="88"/>
  <c r="F204" i="88" s="1"/>
  <c r="N44" i="70"/>
  <c r="T124" i="87"/>
  <c r="J126" i="87"/>
  <c r="V137" i="87"/>
  <c r="V136" i="87" s="1"/>
  <c r="S125" i="87"/>
  <c r="T125" i="87"/>
  <c r="S126" i="87"/>
  <c r="T126" i="87"/>
  <c r="S127" i="87"/>
  <c r="J141" i="87"/>
  <c r="M48" i="70"/>
  <c r="K41" i="70"/>
  <c r="N57" i="70"/>
  <c r="Q124" i="87"/>
  <c r="L137" i="88"/>
  <c r="L123" i="87"/>
  <c r="F118" i="460"/>
  <c r="H222" i="87"/>
  <c r="F217" i="87"/>
  <c r="M123" i="87"/>
  <c r="G217" i="87"/>
  <c r="W120" i="87"/>
  <c r="D219" i="87"/>
  <c r="D157" i="87"/>
  <c r="E99" i="62"/>
  <c r="R124" i="87"/>
  <c r="Q126" i="87"/>
  <c r="V127" i="87"/>
  <c r="E118" i="459"/>
  <c r="V114" i="88"/>
  <c r="F218" i="87"/>
  <c r="H217" i="87"/>
  <c r="O123" i="87"/>
  <c r="F164" i="87"/>
  <c r="I164" i="87"/>
  <c r="W114" i="88"/>
  <c r="V122" i="88"/>
  <c r="E222" i="87"/>
  <c r="G218" i="87"/>
  <c r="F157" i="87"/>
  <c r="I217" i="87"/>
  <c r="T116" i="87"/>
  <c r="T115" i="87" s="1"/>
  <c r="P123" i="87"/>
  <c r="G128" i="88"/>
  <c r="G203" i="88" s="1"/>
  <c r="E205" i="88"/>
  <c r="H218" i="87"/>
  <c r="G220" i="87"/>
  <c r="U137" i="87"/>
  <c r="U136" i="87" s="1"/>
  <c r="D156" i="87"/>
  <c r="H118" i="459"/>
  <c r="G118" i="460"/>
  <c r="N56" i="70"/>
  <c r="I218" i="87"/>
  <c r="J207" i="88"/>
  <c r="J196" i="88"/>
  <c r="J190" i="88"/>
  <c r="O116" i="88"/>
  <c r="H115" i="88"/>
  <c r="H206" i="88" s="1"/>
  <c r="T114" i="88"/>
  <c r="G161" i="87"/>
  <c r="N50" i="70"/>
  <c r="N116" i="88"/>
  <c r="G115" i="88"/>
  <c r="G206" i="88" s="1"/>
  <c r="I222" i="87"/>
  <c r="O124" i="88"/>
  <c r="H123" i="88"/>
  <c r="H204" i="88" s="1"/>
  <c r="Q116" i="87"/>
  <c r="W137" i="87"/>
  <c r="W136" i="87" s="1"/>
  <c r="H161" i="87"/>
  <c r="D217" i="87"/>
  <c r="I161" i="87"/>
  <c r="I90" i="128"/>
  <c r="I88" i="128"/>
  <c r="N42" i="70"/>
  <c r="M124" i="88"/>
  <c r="S114" i="88"/>
  <c r="W126" i="87"/>
  <c r="T127" i="87"/>
  <c r="S137" i="87"/>
  <c r="S136" i="87" s="1"/>
  <c r="I234" i="87"/>
  <c r="C118" i="459"/>
  <c r="H118" i="460"/>
  <c r="L84" i="128"/>
  <c r="E218" i="87"/>
  <c r="E217" i="87"/>
  <c r="J120" i="87"/>
  <c r="J234" i="87" s="1"/>
  <c r="F118" i="459"/>
  <c r="E118" i="460"/>
  <c r="J51" i="128"/>
  <c r="N61" i="70"/>
  <c r="I84" i="128"/>
  <c r="N51" i="70"/>
  <c r="M84" i="128"/>
  <c r="N448" i="128"/>
  <c r="I220" i="87"/>
  <c r="Q125" i="87"/>
  <c r="U114" i="88"/>
  <c r="G123" i="88"/>
  <c r="J221" i="87"/>
  <c r="E92" i="62"/>
  <c r="R127" i="87"/>
  <c r="K48" i="70"/>
  <c r="K55" i="70"/>
  <c r="K55" i="75"/>
  <c r="M55" i="70" s="1"/>
  <c r="K41" i="75"/>
  <c r="M41" i="70" s="1"/>
  <c r="AG141" i="87"/>
  <c r="P141" i="87" s="1"/>
  <c r="P141" i="823" s="1"/>
  <c r="K88" i="128"/>
  <c r="K90" i="128"/>
  <c r="L88" i="128"/>
  <c r="L90" i="128"/>
  <c r="J90" i="128"/>
  <c r="J88" i="128"/>
  <c r="K84" i="128"/>
  <c r="K51" i="128"/>
  <c r="M90" i="128"/>
  <c r="J192" i="88"/>
  <c r="J195" i="88"/>
  <c r="J197" i="88"/>
  <c r="J199" i="88"/>
  <c r="I205" i="88"/>
  <c r="S135" i="88"/>
  <c r="E139" i="88"/>
  <c r="E201" i="88" s="1"/>
  <c r="T135" i="88"/>
  <c r="N125" i="88"/>
  <c r="P126" i="88"/>
  <c r="I125" i="655" s="1"/>
  <c r="I128" i="88"/>
  <c r="V135" i="88"/>
  <c r="T122" i="88"/>
  <c r="E128" i="88"/>
  <c r="E203" i="88" s="1"/>
  <c r="W135" i="88"/>
  <c r="F139" i="88"/>
  <c r="F201" i="88" s="1"/>
  <c r="K118" i="88"/>
  <c r="K117" i="88" s="1"/>
  <c r="M130" i="88"/>
  <c r="D136" i="88"/>
  <c r="J191" i="88"/>
  <c r="J193" i="88"/>
  <c r="J200" i="88"/>
  <c r="H128" i="88"/>
  <c r="G136" i="88"/>
  <c r="G202" i="88" s="1"/>
  <c r="J198" i="88"/>
  <c r="G222" i="87"/>
  <c r="H157" i="87"/>
  <c r="H220" i="87"/>
  <c r="J118" i="87"/>
  <c r="AG116" i="87"/>
  <c r="AG117" i="87"/>
  <c r="AG118" i="87"/>
  <c r="O118" i="87" s="1"/>
  <c r="AG119" i="87"/>
  <c r="P119" i="87" s="1"/>
  <c r="P119" i="823" s="1"/>
  <c r="W119" i="823" s="1"/>
  <c r="I117" i="87"/>
  <c r="I117" i="120" s="1"/>
  <c r="J129" i="87"/>
  <c r="AG124" i="87"/>
  <c r="AG125" i="87"/>
  <c r="AG129" i="87"/>
  <c r="P129" i="87" s="1"/>
  <c r="AG126" i="87"/>
  <c r="AG140" i="87"/>
  <c r="O140" i="87" s="1"/>
  <c r="AG137" i="87"/>
  <c r="J125" i="87"/>
  <c r="U125" i="87"/>
  <c r="D218" i="87"/>
  <c r="F219" i="87"/>
  <c r="F156" i="87"/>
  <c r="R116" i="87"/>
  <c r="J116" i="87"/>
  <c r="H219" i="87"/>
  <c r="H156" i="87"/>
  <c r="K144" i="87"/>
  <c r="K144" i="823" s="1"/>
  <c r="J144" i="87"/>
  <c r="D222" i="87"/>
  <c r="I219" i="87"/>
  <c r="I156" i="87"/>
  <c r="I162" i="87"/>
  <c r="H162" i="87"/>
  <c r="G162" i="87"/>
  <c r="F162" i="87"/>
  <c r="E162" i="87"/>
  <c r="D162" i="87"/>
  <c r="F222" i="87"/>
  <c r="U116" i="87"/>
  <c r="U115" i="87" s="1"/>
  <c r="I155" i="87"/>
  <c r="Q120" i="87"/>
  <c r="J124" i="87"/>
  <c r="J133" i="87"/>
  <c r="J140" i="87"/>
  <c r="F163" i="87"/>
  <c r="D163" i="87"/>
  <c r="I163" i="87"/>
  <c r="H163" i="87"/>
  <c r="D220" i="87"/>
  <c r="G157" i="87"/>
  <c r="F220" i="87"/>
  <c r="U124" i="87"/>
  <c r="J143" i="87"/>
  <c r="I157" i="87"/>
  <c r="G163" i="87"/>
  <c r="J132" i="87"/>
  <c r="O144" i="87"/>
  <c r="O144" i="823" s="1"/>
  <c r="V144" i="823" s="1"/>
  <c r="I158" i="87"/>
  <c r="H158" i="87"/>
  <c r="G158" i="87"/>
  <c r="F158" i="87"/>
  <c r="E158" i="87"/>
  <c r="D158" i="87"/>
  <c r="E220" i="87"/>
  <c r="E157" i="87"/>
  <c r="I123" i="87"/>
  <c r="I123" i="120" s="1"/>
  <c r="W124" i="87"/>
  <c r="R125" i="87"/>
  <c r="U127" i="87"/>
  <c r="T137" i="87"/>
  <c r="T136" i="87" s="1"/>
  <c r="J142" i="87"/>
  <c r="F160" i="87"/>
  <c r="D160" i="87"/>
  <c r="I160" i="87"/>
  <c r="H160" i="87"/>
  <c r="K123" i="87"/>
  <c r="J131" i="87"/>
  <c r="E160" i="87"/>
  <c r="E156" i="87"/>
  <c r="E219" i="87"/>
  <c r="W127" i="87"/>
  <c r="G160" i="87"/>
  <c r="I136" i="87"/>
  <c r="I136" i="120" s="1"/>
  <c r="J137" i="87"/>
  <c r="I165" i="87"/>
  <c r="H165" i="87"/>
  <c r="G165" i="87"/>
  <c r="F165" i="87"/>
  <c r="E165" i="87"/>
  <c r="D165" i="87"/>
  <c r="G219" i="87"/>
  <c r="G156" i="87"/>
  <c r="S116" i="87"/>
  <c r="S115" i="87" s="1"/>
  <c r="V125" i="87"/>
  <c r="R126" i="87"/>
  <c r="Q137" i="87"/>
  <c r="K136" i="87"/>
  <c r="V116" i="87"/>
  <c r="V115" i="87" s="1"/>
  <c r="R120" i="87"/>
  <c r="D155" i="87"/>
  <c r="D234" i="87"/>
  <c r="W116" i="87"/>
  <c r="W115" i="87" s="1"/>
  <c r="S120" i="87"/>
  <c r="L144" i="87"/>
  <c r="L144" i="823" s="1"/>
  <c r="S144" i="823" s="1"/>
  <c r="E155" i="87"/>
  <c r="T120" i="87"/>
  <c r="R137" i="87"/>
  <c r="F155" i="87"/>
  <c r="D161" i="87"/>
  <c r="D164" i="87"/>
  <c r="U120" i="87"/>
  <c r="G155" i="87"/>
  <c r="E161" i="87"/>
  <c r="E164" i="87"/>
  <c r="V120" i="87"/>
  <c r="G139" i="88"/>
  <c r="G201" i="88" s="1"/>
  <c r="E115" i="88"/>
  <c r="I136" i="88"/>
  <c r="H139" i="88"/>
  <c r="H201" i="88" s="1"/>
  <c r="I139" i="88"/>
  <c r="I201" i="88" s="1"/>
  <c r="P130" i="88"/>
  <c r="I129" i="650" s="1"/>
  <c r="N131" i="88"/>
  <c r="L132" i="88"/>
  <c r="K141" i="88"/>
  <c r="R115" i="88"/>
  <c r="X115" i="88" s="1"/>
  <c r="D123" i="88"/>
  <c r="D128" i="88"/>
  <c r="I115" i="88"/>
  <c r="E123" i="88"/>
  <c r="P131" i="88"/>
  <c r="I130" i="655" s="1"/>
  <c r="P137" i="88"/>
  <c r="P136" i="88" s="1"/>
  <c r="M141" i="88"/>
  <c r="M116" i="88"/>
  <c r="F128" i="88"/>
  <c r="O132" i="88"/>
  <c r="T127" i="120" l="1"/>
  <c r="H120" i="129"/>
  <c r="H120" i="823"/>
  <c r="I325" i="654"/>
  <c r="I331" i="654"/>
  <c r="U127" i="823"/>
  <c r="I318" i="654"/>
  <c r="T127" i="823"/>
  <c r="S127" i="823"/>
  <c r="I330" i="654"/>
  <c r="I338" i="654"/>
  <c r="I329" i="654"/>
  <c r="I324" i="654"/>
  <c r="I323" i="654"/>
  <c r="I332" i="654"/>
  <c r="S127" i="120"/>
  <c r="I316" i="654"/>
  <c r="W127" i="823"/>
  <c r="I340" i="654"/>
  <c r="I337" i="654"/>
  <c r="I339" i="654"/>
  <c r="I334" i="654"/>
  <c r="I326" i="654"/>
  <c r="J326" i="654" s="1"/>
  <c r="I336" i="654"/>
  <c r="V127" i="823"/>
  <c r="I328" i="654"/>
  <c r="W141" i="823"/>
  <c r="I337" i="508"/>
  <c r="J141" i="823"/>
  <c r="M123" i="823"/>
  <c r="T124" i="823"/>
  <c r="O123" i="823"/>
  <c r="V125" i="823"/>
  <c r="O118" i="129"/>
  <c r="O118" i="823"/>
  <c r="Q125" i="823"/>
  <c r="R125" i="823"/>
  <c r="I318" i="508"/>
  <c r="I117" i="823"/>
  <c r="J118" i="823"/>
  <c r="O136" i="823"/>
  <c r="V137" i="823"/>
  <c r="I326" i="508"/>
  <c r="J326" i="508" s="1"/>
  <c r="J127" i="823"/>
  <c r="W125" i="823"/>
  <c r="I324" i="508"/>
  <c r="J125" i="823"/>
  <c r="Q137" i="823"/>
  <c r="L136" i="823"/>
  <c r="S136" i="823" s="1"/>
  <c r="S137" i="823"/>
  <c r="Q124" i="823"/>
  <c r="K123" i="823"/>
  <c r="R124" i="823"/>
  <c r="N136" i="823"/>
  <c r="U137" i="823"/>
  <c r="O140" i="129"/>
  <c r="O140" i="823"/>
  <c r="I336" i="508"/>
  <c r="I139" i="823"/>
  <c r="J140" i="823"/>
  <c r="K136" i="823"/>
  <c r="R137" i="823"/>
  <c r="I323" i="508"/>
  <c r="W124" i="823"/>
  <c r="I123" i="823"/>
  <c r="J124" i="823"/>
  <c r="P123" i="823"/>
  <c r="W126" i="823"/>
  <c r="I325" i="508"/>
  <c r="J126" i="823"/>
  <c r="L123" i="823"/>
  <c r="S124" i="823"/>
  <c r="P129" i="129"/>
  <c r="P129" i="823"/>
  <c r="W129" i="823" s="1"/>
  <c r="V120" i="823"/>
  <c r="I332" i="508"/>
  <c r="J133" i="823"/>
  <c r="I329" i="508"/>
  <c r="J130" i="823"/>
  <c r="Q127" i="823"/>
  <c r="R127" i="823"/>
  <c r="Q115" i="823"/>
  <c r="R115" i="823"/>
  <c r="Q120" i="823"/>
  <c r="I330" i="508"/>
  <c r="J131" i="823"/>
  <c r="I320" i="508"/>
  <c r="W120" i="823"/>
  <c r="I221" i="823"/>
  <c r="I316" i="508"/>
  <c r="W116" i="823"/>
  <c r="X116" i="823" s="1"/>
  <c r="I115" i="823"/>
  <c r="J116" i="823"/>
  <c r="M136" i="823"/>
  <c r="T137" i="823"/>
  <c r="I339" i="508"/>
  <c r="J143" i="823"/>
  <c r="R144" i="823"/>
  <c r="Q144" i="823"/>
  <c r="Q126" i="823"/>
  <c r="R126" i="823"/>
  <c r="U115" i="823"/>
  <c r="I338" i="508"/>
  <c r="J142" i="823"/>
  <c r="I331" i="508"/>
  <c r="J132" i="823"/>
  <c r="T115" i="823"/>
  <c r="N123" i="823"/>
  <c r="U124" i="823"/>
  <c r="W144" i="823"/>
  <c r="I340" i="508"/>
  <c r="J144" i="823"/>
  <c r="S115" i="823"/>
  <c r="I328" i="508"/>
  <c r="I128" i="823"/>
  <c r="J129" i="823"/>
  <c r="I334" i="508"/>
  <c r="I136" i="823"/>
  <c r="W137" i="823"/>
  <c r="J137" i="823"/>
  <c r="G348" i="657"/>
  <c r="G346" i="657" s="1"/>
  <c r="M117" i="88"/>
  <c r="N117" i="88"/>
  <c r="L117" i="88"/>
  <c r="I118" i="650"/>
  <c r="I116" i="650" s="1"/>
  <c r="P117" i="88"/>
  <c r="X127" i="87"/>
  <c r="I139" i="655"/>
  <c r="H348" i="657"/>
  <c r="H346" i="657" s="1"/>
  <c r="J355" i="657"/>
  <c r="I131" i="655"/>
  <c r="I132" i="655"/>
  <c r="I137" i="650"/>
  <c r="F353" i="657"/>
  <c r="I138" i="650"/>
  <c r="G366" i="657"/>
  <c r="G364" i="657" s="1"/>
  <c r="H353" i="657"/>
  <c r="J362" i="657"/>
  <c r="J369" i="657"/>
  <c r="I118" i="655"/>
  <c r="J360" i="657"/>
  <c r="I117" i="655"/>
  <c r="I123" i="655"/>
  <c r="I130" i="650"/>
  <c r="F366" i="654"/>
  <c r="F364" i="654" s="1"/>
  <c r="H353" i="654"/>
  <c r="J370" i="658"/>
  <c r="H366" i="654"/>
  <c r="H364" i="654" s="1"/>
  <c r="G353" i="654"/>
  <c r="I366" i="658"/>
  <c r="J368" i="657"/>
  <c r="J356" i="654"/>
  <c r="J360" i="654"/>
  <c r="J362" i="658"/>
  <c r="J368" i="658"/>
  <c r="W127" i="120"/>
  <c r="I326" i="658"/>
  <c r="J326" i="658" s="1"/>
  <c r="J127" i="120"/>
  <c r="I326" i="657"/>
  <c r="J326" i="657" s="1"/>
  <c r="Q127" i="120"/>
  <c r="R127" i="120"/>
  <c r="I140" i="655"/>
  <c r="H353" i="658"/>
  <c r="I461" i="658" s="1"/>
  <c r="J360" i="658"/>
  <c r="J362" i="654"/>
  <c r="F366" i="657"/>
  <c r="F364" i="657" s="1"/>
  <c r="J370" i="657"/>
  <c r="I126" i="655"/>
  <c r="I126" i="650"/>
  <c r="E353" i="654"/>
  <c r="I353" i="657"/>
  <c r="I326" i="502"/>
  <c r="J326" i="502" s="1"/>
  <c r="I126" i="639"/>
  <c r="J126" i="639" s="1"/>
  <c r="E126" i="655"/>
  <c r="E126" i="650"/>
  <c r="I124" i="650"/>
  <c r="I141" i="655"/>
  <c r="E353" i="658"/>
  <c r="F461" i="658" s="1"/>
  <c r="I353" i="654"/>
  <c r="G366" i="654"/>
  <c r="G364" i="654" s="1"/>
  <c r="J356" i="657"/>
  <c r="E353" i="657"/>
  <c r="I353" i="658"/>
  <c r="J461" i="658" s="1"/>
  <c r="G366" i="658"/>
  <c r="H126" i="655"/>
  <c r="H126" i="650"/>
  <c r="Q127" i="88"/>
  <c r="D126" i="655"/>
  <c r="D126" i="650"/>
  <c r="I125" i="650"/>
  <c r="I135" i="655"/>
  <c r="I161" i="655" s="1"/>
  <c r="F348" i="657"/>
  <c r="F346" i="657" s="1"/>
  <c r="F353" i="654"/>
  <c r="J355" i="654"/>
  <c r="J363" i="658"/>
  <c r="J369" i="658"/>
  <c r="J371" i="654"/>
  <c r="G126" i="655"/>
  <c r="G126" i="650"/>
  <c r="I135" i="650"/>
  <c r="I161" i="650" s="1"/>
  <c r="F353" i="658"/>
  <c r="G461" i="658" s="1"/>
  <c r="J361" i="654"/>
  <c r="J363" i="654"/>
  <c r="H366" i="657"/>
  <c r="H364" i="657" s="1"/>
  <c r="J369" i="654"/>
  <c r="I115" i="655"/>
  <c r="I165" i="655" s="1"/>
  <c r="I128" i="650"/>
  <c r="J363" i="657"/>
  <c r="J371" i="657"/>
  <c r="J357" i="654"/>
  <c r="I115" i="650"/>
  <c r="I165" i="650" s="1"/>
  <c r="G353" i="658"/>
  <c r="H461" i="658" s="1"/>
  <c r="I366" i="654"/>
  <c r="I364" i="654" s="1"/>
  <c r="J357" i="658"/>
  <c r="I129" i="655"/>
  <c r="J357" i="657"/>
  <c r="G353" i="657"/>
  <c r="I358" i="657"/>
  <c r="F126" i="655"/>
  <c r="F126" i="650"/>
  <c r="J355" i="658"/>
  <c r="J356" i="658"/>
  <c r="J361" i="658"/>
  <c r="J370" i="654"/>
  <c r="J368" i="654"/>
  <c r="J371" i="658"/>
  <c r="D348" i="654"/>
  <c r="D346" i="654" s="1"/>
  <c r="I358" i="658"/>
  <c r="J459" i="658" s="1"/>
  <c r="I358" i="654"/>
  <c r="H358" i="654"/>
  <c r="H358" i="658"/>
  <c r="I459" i="658" s="1"/>
  <c r="G358" i="654"/>
  <c r="F358" i="658"/>
  <c r="G459" i="658" s="1"/>
  <c r="F358" i="654"/>
  <c r="E358" i="654"/>
  <c r="E358" i="658"/>
  <c r="F459" i="658" s="1"/>
  <c r="J350" i="658"/>
  <c r="J350" i="654"/>
  <c r="J361" i="657"/>
  <c r="J350" i="657"/>
  <c r="I348" i="657"/>
  <c r="I346" i="657" s="1"/>
  <c r="D366" i="658"/>
  <c r="J367" i="658"/>
  <c r="D366" i="657"/>
  <c r="D364" i="657" s="1"/>
  <c r="J367" i="657"/>
  <c r="D366" i="654"/>
  <c r="D364" i="654" s="1"/>
  <c r="J367" i="654"/>
  <c r="J365" i="658"/>
  <c r="J365" i="654"/>
  <c r="J365" i="657"/>
  <c r="D358" i="654"/>
  <c r="J359" i="654"/>
  <c r="D358" i="658"/>
  <c r="E459" i="658" s="1"/>
  <c r="J359" i="658"/>
  <c r="D358" i="657"/>
  <c r="J359" i="657"/>
  <c r="J354" i="658"/>
  <c r="D353" i="658"/>
  <c r="E461" i="658" s="1"/>
  <c r="D353" i="657"/>
  <c r="J354" i="657"/>
  <c r="D353" i="654"/>
  <c r="J354" i="654"/>
  <c r="D348" i="658"/>
  <c r="J349" i="658"/>
  <c r="D348" i="657"/>
  <c r="D346" i="657" s="1"/>
  <c r="J349" i="657"/>
  <c r="J347" i="658"/>
  <c r="J347" i="654"/>
  <c r="J347" i="657"/>
  <c r="I366" i="657"/>
  <c r="I364" i="657" s="1"/>
  <c r="H366" i="658"/>
  <c r="E366" i="658"/>
  <c r="E366" i="654"/>
  <c r="E364" i="654" s="1"/>
  <c r="F358" i="657"/>
  <c r="E358" i="657"/>
  <c r="G358" i="658"/>
  <c r="H459" i="658" s="1"/>
  <c r="G348" i="654"/>
  <c r="G346" i="654" s="1"/>
  <c r="G348" i="658"/>
  <c r="H458" i="658" s="1"/>
  <c r="E348" i="658"/>
  <c r="F458" i="658" s="1"/>
  <c r="H358" i="657"/>
  <c r="I348" i="658"/>
  <c r="J458" i="658" s="1"/>
  <c r="F348" i="654"/>
  <c r="F346" i="654" s="1"/>
  <c r="H348" i="658"/>
  <c r="I458" i="658" s="1"/>
  <c r="F366" i="658"/>
  <c r="H348" i="654"/>
  <c r="H346" i="654" s="1"/>
  <c r="E348" i="654"/>
  <c r="F348" i="658"/>
  <c r="J349" i="654"/>
  <c r="E366" i="657"/>
  <c r="E364" i="657" s="1"/>
  <c r="G358" i="657"/>
  <c r="I348" i="654"/>
  <c r="I346" i="654" s="1"/>
  <c r="E348" i="657"/>
  <c r="E346" i="657" s="1"/>
  <c r="F137" i="655"/>
  <c r="F137" i="650"/>
  <c r="G118" i="655"/>
  <c r="G118" i="650"/>
  <c r="G125" i="655"/>
  <c r="G125" i="650"/>
  <c r="G129" i="650"/>
  <c r="G129" i="655"/>
  <c r="G131" i="650"/>
  <c r="G131" i="655"/>
  <c r="G135" i="650"/>
  <c r="G135" i="655"/>
  <c r="G161" i="655" s="1"/>
  <c r="G137" i="655"/>
  <c r="G137" i="650"/>
  <c r="G139" i="650"/>
  <c r="G139" i="655"/>
  <c r="G141" i="650"/>
  <c r="G141" i="655"/>
  <c r="H118" i="650"/>
  <c r="H118" i="655"/>
  <c r="H125" i="650"/>
  <c r="H125" i="655"/>
  <c r="H129" i="655"/>
  <c r="H129" i="650"/>
  <c r="H135" i="650"/>
  <c r="H135" i="655"/>
  <c r="H161" i="655" s="1"/>
  <c r="H137" i="655"/>
  <c r="H137" i="650"/>
  <c r="H139" i="650"/>
  <c r="H139" i="655"/>
  <c r="H141" i="655"/>
  <c r="H141" i="650"/>
  <c r="F131" i="650"/>
  <c r="F131" i="655"/>
  <c r="F141" i="655"/>
  <c r="F141" i="650"/>
  <c r="E117" i="655"/>
  <c r="E117" i="650"/>
  <c r="E123" i="650"/>
  <c r="E123" i="655"/>
  <c r="E124" i="655"/>
  <c r="E124" i="650"/>
  <c r="E128" i="650"/>
  <c r="E128" i="655"/>
  <c r="E130" i="650"/>
  <c r="E130" i="655"/>
  <c r="E132" i="655"/>
  <c r="E132" i="650"/>
  <c r="E138" i="650"/>
  <c r="E138" i="655"/>
  <c r="E140" i="650"/>
  <c r="E140" i="655"/>
  <c r="F125" i="655"/>
  <c r="F125" i="650"/>
  <c r="F139" i="655"/>
  <c r="F139" i="650"/>
  <c r="F117" i="655"/>
  <c r="F117" i="650"/>
  <c r="F124" i="655"/>
  <c r="F124" i="650"/>
  <c r="F128" i="650"/>
  <c r="F128" i="655"/>
  <c r="F130" i="650"/>
  <c r="F130" i="655"/>
  <c r="F132" i="650"/>
  <c r="F132" i="655"/>
  <c r="F140" i="650"/>
  <c r="F140" i="655"/>
  <c r="F118" i="655"/>
  <c r="F118" i="650"/>
  <c r="G117" i="650"/>
  <c r="G117" i="655"/>
  <c r="G123" i="650"/>
  <c r="G123" i="655"/>
  <c r="G128" i="655"/>
  <c r="G128" i="650"/>
  <c r="G132" i="655"/>
  <c r="G132" i="650"/>
  <c r="G138" i="650"/>
  <c r="G138" i="655"/>
  <c r="G140" i="655"/>
  <c r="G140" i="650"/>
  <c r="H117" i="650"/>
  <c r="H117" i="655"/>
  <c r="H124" i="650"/>
  <c r="H124" i="655"/>
  <c r="H128" i="650"/>
  <c r="H128" i="655"/>
  <c r="H130" i="650"/>
  <c r="H130" i="655"/>
  <c r="H132" i="650"/>
  <c r="H132" i="655"/>
  <c r="H138" i="655"/>
  <c r="H138" i="650"/>
  <c r="H140" i="650"/>
  <c r="H140" i="655"/>
  <c r="L115" i="88"/>
  <c r="E115" i="650"/>
  <c r="E115" i="655"/>
  <c r="E165" i="655" s="1"/>
  <c r="E118" i="650"/>
  <c r="E118" i="655"/>
  <c r="E125" i="650"/>
  <c r="E125" i="655"/>
  <c r="E129" i="650"/>
  <c r="E129" i="655"/>
  <c r="E137" i="650"/>
  <c r="E137" i="655"/>
  <c r="E139" i="655"/>
  <c r="E139" i="650"/>
  <c r="E141" i="655"/>
  <c r="E141" i="650"/>
  <c r="D128" i="655"/>
  <c r="D128" i="650"/>
  <c r="D130" i="650"/>
  <c r="D130" i="655"/>
  <c r="D115" i="655"/>
  <c r="D165" i="655" s="1"/>
  <c r="D115" i="650"/>
  <c r="D118" i="650"/>
  <c r="D118" i="655"/>
  <c r="D125" i="655"/>
  <c r="D125" i="650"/>
  <c r="D129" i="650"/>
  <c r="D129" i="655"/>
  <c r="D131" i="655"/>
  <c r="D131" i="650"/>
  <c r="D135" i="650"/>
  <c r="D161" i="650" s="1"/>
  <c r="D135" i="655"/>
  <c r="D161" i="655" s="1"/>
  <c r="D137" i="650"/>
  <c r="D137" i="655"/>
  <c r="D139" i="655"/>
  <c r="D139" i="650"/>
  <c r="D141" i="655"/>
  <c r="D141" i="650"/>
  <c r="D124" i="650"/>
  <c r="D124" i="655"/>
  <c r="D132" i="650"/>
  <c r="D132" i="655"/>
  <c r="D140" i="650"/>
  <c r="D140" i="655"/>
  <c r="D123" i="650"/>
  <c r="D123" i="655"/>
  <c r="M136" i="88"/>
  <c r="F135" i="655"/>
  <c r="F161" i="655" s="1"/>
  <c r="F135" i="650"/>
  <c r="L136" i="88"/>
  <c r="E135" i="655"/>
  <c r="E161" i="655" s="1"/>
  <c r="E135" i="650"/>
  <c r="O115" i="88"/>
  <c r="H115" i="650"/>
  <c r="H115" i="655"/>
  <c r="H165" i="655" s="1"/>
  <c r="N115" i="88"/>
  <c r="G115" i="650"/>
  <c r="G115" i="655"/>
  <c r="G165" i="655" s="1"/>
  <c r="H123" i="655"/>
  <c r="H123" i="650"/>
  <c r="F123" i="655"/>
  <c r="F123" i="650"/>
  <c r="G124" i="650"/>
  <c r="G124" i="655"/>
  <c r="D117" i="650"/>
  <c r="D117" i="655"/>
  <c r="F129" i="655"/>
  <c r="F129" i="650"/>
  <c r="G130" i="655"/>
  <c r="G130" i="650"/>
  <c r="E131" i="655"/>
  <c r="E131" i="650"/>
  <c r="D138" i="650"/>
  <c r="D138" i="655"/>
  <c r="F138" i="655"/>
  <c r="F138" i="650"/>
  <c r="M115" i="88"/>
  <c r="F115" i="655"/>
  <c r="F165" i="655" s="1"/>
  <c r="F115" i="650"/>
  <c r="H131" i="650"/>
  <c r="H131" i="655"/>
  <c r="I329" i="657"/>
  <c r="I331" i="657"/>
  <c r="G316" i="657"/>
  <c r="G318" i="657"/>
  <c r="G334" i="657"/>
  <c r="G337" i="657"/>
  <c r="G339" i="657"/>
  <c r="I316" i="657"/>
  <c r="I318" i="657"/>
  <c r="I334" i="657"/>
  <c r="I337" i="657"/>
  <c r="I339" i="657"/>
  <c r="G323" i="657"/>
  <c r="G324" i="657"/>
  <c r="G325" i="657"/>
  <c r="G328" i="657"/>
  <c r="G330" i="657"/>
  <c r="G332" i="657"/>
  <c r="H334" i="657"/>
  <c r="H323" i="657"/>
  <c r="H324" i="657"/>
  <c r="H325" i="657"/>
  <c r="H328" i="657"/>
  <c r="H330" i="657"/>
  <c r="H332" i="657"/>
  <c r="I323" i="657"/>
  <c r="I324" i="657"/>
  <c r="I325" i="657"/>
  <c r="I328" i="657"/>
  <c r="I330" i="657"/>
  <c r="I332" i="657"/>
  <c r="G319" i="657"/>
  <c r="G336" i="657"/>
  <c r="G338" i="657"/>
  <c r="G340" i="657"/>
  <c r="H339" i="657"/>
  <c r="H319" i="657"/>
  <c r="H336" i="657"/>
  <c r="H338" i="657"/>
  <c r="H340" i="657"/>
  <c r="I319" i="657"/>
  <c r="I336" i="657"/>
  <c r="I338" i="657"/>
  <c r="I340" i="657"/>
  <c r="H316" i="657"/>
  <c r="H318" i="657"/>
  <c r="H337" i="657"/>
  <c r="G329" i="657"/>
  <c r="G331" i="657"/>
  <c r="H329" i="657"/>
  <c r="H331" i="657"/>
  <c r="G320" i="657"/>
  <c r="I320" i="657"/>
  <c r="I439" i="657" s="1"/>
  <c r="H320" i="657"/>
  <c r="H398" i="657" s="1"/>
  <c r="G319" i="502"/>
  <c r="F338" i="502"/>
  <c r="E336" i="502"/>
  <c r="I337" i="502"/>
  <c r="H339" i="502"/>
  <c r="I319" i="502"/>
  <c r="I329" i="502"/>
  <c r="D334" i="502"/>
  <c r="F340" i="502"/>
  <c r="G325" i="502"/>
  <c r="F336" i="502"/>
  <c r="G332" i="502"/>
  <c r="I334" i="502"/>
  <c r="H337" i="502"/>
  <c r="G339" i="502"/>
  <c r="G331" i="502"/>
  <c r="E338" i="502"/>
  <c r="G340" i="502"/>
  <c r="H332" i="502"/>
  <c r="G330" i="502"/>
  <c r="F332" i="502"/>
  <c r="H334" i="502"/>
  <c r="G337" i="502"/>
  <c r="E339" i="502"/>
  <c r="G329" i="502"/>
  <c r="D336" i="502"/>
  <c r="H319" i="502"/>
  <c r="G338" i="502"/>
  <c r="I332" i="502"/>
  <c r="H330" i="502"/>
  <c r="F328" i="502"/>
  <c r="F330" i="502"/>
  <c r="E332" i="502"/>
  <c r="G334" i="502"/>
  <c r="E337" i="502"/>
  <c r="H340" i="502"/>
  <c r="G336" i="502"/>
  <c r="I330" i="502"/>
  <c r="G328" i="502"/>
  <c r="F325" i="502"/>
  <c r="E328" i="502"/>
  <c r="E330" i="502"/>
  <c r="D332" i="502"/>
  <c r="E334" i="502"/>
  <c r="H338" i="502"/>
  <c r="D331" i="502"/>
  <c r="H328" i="502"/>
  <c r="G324" i="502"/>
  <c r="F324" i="502"/>
  <c r="E325" i="502"/>
  <c r="D328" i="502"/>
  <c r="D330" i="502"/>
  <c r="H331" i="502"/>
  <c r="D337" i="502"/>
  <c r="H336" i="502"/>
  <c r="I328" i="502"/>
  <c r="H325" i="502"/>
  <c r="G323" i="502"/>
  <c r="F323" i="502"/>
  <c r="E324" i="502"/>
  <c r="D325" i="502"/>
  <c r="H329" i="502"/>
  <c r="F339" i="502"/>
  <c r="I340" i="502"/>
  <c r="E331" i="502"/>
  <c r="I325" i="502"/>
  <c r="H324" i="502"/>
  <c r="D319" i="502"/>
  <c r="I320" i="502"/>
  <c r="E323" i="502"/>
  <c r="D324" i="502"/>
  <c r="F316" i="502"/>
  <c r="E329" i="502"/>
  <c r="G316" i="502"/>
  <c r="I338" i="502"/>
  <c r="D329" i="502"/>
  <c r="I324" i="502"/>
  <c r="H323" i="502"/>
  <c r="F318" i="502"/>
  <c r="I318" i="502"/>
  <c r="H320" i="502"/>
  <c r="D323" i="502"/>
  <c r="E316" i="502"/>
  <c r="D318" i="502"/>
  <c r="I331" i="502"/>
  <c r="I336" i="502"/>
  <c r="I323" i="502"/>
  <c r="E319" i="502"/>
  <c r="D340" i="502"/>
  <c r="I316" i="502"/>
  <c r="H318" i="502"/>
  <c r="F337" i="502"/>
  <c r="D316" i="502"/>
  <c r="I339" i="502"/>
  <c r="F331" i="502"/>
  <c r="F319" i="502"/>
  <c r="E340" i="502"/>
  <c r="D338" i="502"/>
  <c r="E318" i="502"/>
  <c r="H316" i="502"/>
  <c r="G318" i="502"/>
  <c r="F334" i="502"/>
  <c r="D339" i="502"/>
  <c r="G318" i="658"/>
  <c r="H318" i="658"/>
  <c r="H332" i="658"/>
  <c r="G316" i="658"/>
  <c r="G438" i="658" s="1"/>
  <c r="H329" i="658"/>
  <c r="H316" i="658"/>
  <c r="H438" i="658" s="1"/>
  <c r="G340" i="658"/>
  <c r="H330" i="658"/>
  <c r="I339" i="658"/>
  <c r="I331" i="658"/>
  <c r="G324" i="658"/>
  <c r="H331" i="658"/>
  <c r="H339" i="658"/>
  <c r="G323" i="658"/>
  <c r="I340" i="658"/>
  <c r="G338" i="658"/>
  <c r="H328" i="658"/>
  <c r="I337" i="658"/>
  <c r="I329" i="658"/>
  <c r="I338" i="658"/>
  <c r="G336" i="658"/>
  <c r="H325" i="658"/>
  <c r="I334" i="658"/>
  <c r="I434" i="658" s="1"/>
  <c r="H319" i="658"/>
  <c r="I336" i="658"/>
  <c r="N136" i="120"/>
  <c r="H324" i="658"/>
  <c r="I320" i="658"/>
  <c r="H320" i="658"/>
  <c r="P136" i="120"/>
  <c r="G319" i="658"/>
  <c r="H323" i="658"/>
  <c r="I318" i="658"/>
  <c r="H337" i="658"/>
  <c r="G331" i="658"/>
  <c r="I319" i="658"/>
  <c r="I332" i="658"/>
  <c r="H334" i="658"/>
  <c r="H434" i="658" s="1"/>
  <c r="I316" i="658"/>
  <c r="I438" i="658" s="1"/>
  <c r="G329" i="658"/>
  <c r="H340" i="658"/>
  <c r="I330" i="658"/>
  <c r="G332" i="658"/>
  <c r="G339" i="658"/>
  <c r="I323" i="658"/>
  <c r="H338" i="658"/>
  <c r="I328" i="658"/>
  <c r="G330" i="658"/>
  <c r="G337" i="658"/>
  <c r="H336" i="658"/>
  <c r="I325" i="658"/>
  <c r="G328" i="658"/>
  <c r="G334" i="658"/>
  <c r="G434" i="658" s="1"/>
  <c r="O136" i="120"/>
  <c r="I324" i="658"/>
  <c r="G325" i="658"/>
  <c r="G320" i="658"/>
  <c r="P123" i="129"/>
  <c r="P136" i="129"/>
  <c r="K136" i="129"/>
  <c r="O136" i="129"/>
  <c r="O123" i="129"/>
  <c r="L136" i="129"/>
  <c r="L115" i="129"/>
  <c r="K115" i="129"/>
  <c r="M136" i="129"/>
  <c r="O115" i="129"/>
  <c r="N115" i="129"/>
  <c r="M115" i="129"/>
  <c r="N123" i="129"/>
  <c r="P115" i="129"/>
  <c r="N136" i="129"/>
  <c r="D229" i="87"/>
  <c r="E233" i="87"/>
  <c r="K123" i="129"/>
  <c r="W144" i="87"/>
  <c r="P144" i="129"/>
  <c r="T144" i="87"/>
  <c r="M144" i="129"/>
  <c r="U144" i="87"/>
  <c r="N144" i="129"/>
  <c r="V144" i="87"/>
  <c r="O144" i="129"/>
  <c r="R144" i="87"/>
  <c r="K144" i="129"/>
  <c r="L123" i="129"/>
  <c r="D231" i="87"/>
  <c r="S144" i="87"/>
  <c r="L144" i="129"/>
  <c r="W141" i="87"/>
  <c r="P141" i="129"/>
  <c r="M123" i="129"/>
  <c r="W119" i="87"/>
  <c r="P119" i="129"/>
  <c r="W124" i="120"/>
  <c r="W126" i="120"/>
  <c r="F229" i="87"/>
  <c r="V125" i="120"/>
  <c r="F228" i="87"/>
  <c r="H228" i="87"/>
  <c r="H196" i="120"/>
  <c r="V137" i="120"/>
  <c r="U120" i="120"/>
  <c r="G202" i="120"/>
  <c r="I232" i="87"/>
  <c r="H232" i="87"/>
  <c r="O136" i="88"/>
  <c r="E232" i="87"/>
  <c r="H229" i="87"/>
  <c r="P123" i="120"/>
  <c r="G230" i="87"/>
  <c r="G198" i="120"/>
  <c r="F233" i="87"/>
  <c r="O123" i="120"/>
  <c r="U126" i="120"/>
  <c r="U137" i="120"/>
  <c r="I233" i="87"/>
  <c r="V120" i="120"/>
  <c r="H202" i="120"/>
  <c r="E230" i="87"/>
  <c r="E229" i="87"/>
  <c r="W125" i="120"/>
  <c r="V124" i="120"/>
  <c r="F230" i="87"/>
  <c r="G232" i="87"/>
  <c r="N123" i="120"/>
  <c r="D233" i="87"/>
  <c r="G229" i="87"/>
  <c r="U125" i="120"/>
  <c r="I230" i="87"/>
  <c r="I198" i="120"/>
  <c r="V126" i="120"/>
  <c r="G228" i="87"/>
  <c r="G196" i="120"/>
  <c r="F232" i="87"/>
  <c r="W120" i="120"/>
  <c r="I202" i="120"/>
  <c r="I228" i="87"/>
  <c r="I196" i="120"/>
  <c r="E228" i="87"/>
  <c r="W137" i="120"/>
  <c r="H230" i="87"/>
  <c r="H198" i="120"/>
  <c r="U124" i="120"/>
  <c r="M139" i="88"/>
  <c r="O139" i="88"/>
  <c r="P123" i="88"/>
  <c r="N136" i="88"/>
  <c r="P139" i="88"/>
  <c r="P135" i="88" s="1"/>
  <c r="Q140" i="88"/>
  <c r="R135" i="88"/>
  <c r="X135" i="88" s="1"/>
  <c r="Q142" i="88"/>
  <c r="N324" i="128"/>
  <c r="I17" i="75"/>
  <c r="O123" i="88"/>
  <c r="M123" i="88"/>
  <c r="L128" i="88"/>
  <c r="N128" i="88"/>
  <c r="Q144" i="88"/>
  <c r="Q143" i="88"/>
  <c r="L123" i="88"/>
  <c r="M128" i="88"/>
  <c r="N139" i="88"/>
  <c r="K115" i="88"/>
  <c r="L139" i="88"/>
  <c r="K123" i="88"/>
  <c r="H122" i="88"/>
  <c r="Q133" i="88"/>
  <c r="K128" i="88"/>
  <c r="Q129" i="88"/>
  <c r="K136" i="88"/>
  <c r="Q118" i="88"/>
  <c r="Q115" i="87"/>
  <c r="D153" i="87"/>
  <c r="H153" i="87"/>
  <c r="M163" i="460" s="1"/>
  <c r="M164" i="460" s="1"/>
  <c r="E153" i="87"/>
  <c r="J163" i="460" s="1"/>
  <c r="J164" i="460" s="1"/>
  <c r="I153" i="87"/>
  <c r="F153" i="87"/>
  <c r="K163" i="460" s="1"/>
  <c r="K164" i="460" s="1"/>
  <c r="G153" i="87"/>
  <c r="L163" i="460" s="1"/>
  <c r="L164" i="460" s="1"/>
  <c r="H8" i="62"/>
  <c r="J123" i="88"/>
  <c r="Q124" i="88"/>
  <c r="Q126" i="88"/>
  <c r="Q141" i="88"/>
  <c r="D205" i="88"/>
  <c r="J117" i="88"/>
  <c r="Q119" i="88"/>
  <c r="D202" i="88"/>
  <c r="J136" i="88"/>
  <c r="D201" i="88"/>
  <c r="J201" i="88" s="1"/>
  <c r="J139" i="88"/>
  <c r="Q125" i="88"/>
  <c r="Q137" i="88"/>
  <c r="Q116" i="88"/>
  <c r="R122" i="88"/>
  <c r="X122" i="88" s="1"/>
  <c r="D206" i="88"/>
  <c r="J115" i="88"/>
  <c r="Q132" i="88"/>
  <c r="Q131" i="88"/>
  <c r="J128" i="88"/>
  <c r="Q130" i="88"/>
  <c r="N48" i="70"/>
  <c r="F114" i="88"/>
  <c r="V123" i="87"/>
  <c r="V146" i="88"/>
  <c r="H187" i="88" s="1"/>
  <c r="U146" i="88"/>
  <c r="J222" i="87"/>
  <c r="I122" i="88"/>
  <c r="H90" i="128"/>
  <c r="X126" i="87"/>
  <c r="D232" i="87"/>
  <c r="H114" i="88"/>
  <c r="N41" i="70"/>
  <c r="D135" i="88"/>
  <c r="H203" i="88"/>
  <c r="S146" i="88"/>
  <c r="F135" i="88"/>
  <c r="G122" i="88"/>
  <c r="N252" i="128"/>
  <c r="S123" i="87"/>
  <c r="L141" i="87"/>
  <c r="L141" i="823" s="1"/>
  <c r="S141" i="823" s="1"/>
  <c r="W146" i="88"/>
  <c r="H88" i="128"/>
  <c r="K141" i="87"/>
  <c r="K141" i="823" s="1"/>
  <c r="M141" i="87"/>
  <c r="M141" i="823" s="1"/>
  <c r="T141" i="823" s="1"/>
  <c r="O141" i="87"/>
  <c r="O141" i="823" s="1"/>
  <c r="V141" i="823" s="1"/>
  <c r="I203" i="88"/>
  <c r="U123" i="87"/>
  <c r="T123" i="87"/>
  <c r="E135" i="88"/>
  <c r="J217" i="87"/>
  <c r="E86" i="62"/>
  <c r="J117" i="87"/>
  <c r="J232" i="87" s="1"/>
  <c r="R123" i="87"/>
  <c r="G204" i="88"/>
  <c r="J220" i="87"/>
  <c r="E78" i="62"/>
  <c r="J218" i="87"/>
  <c r="E65" i="62"/>
  <c r="I114" i="87"/>
  <c r="I114" i="120" s="1"/>
  <c r="N55" i="70"/>
  <c r="P140" i="87"/>
  <c r="P140" i="823" s="1"/>
  <c r="W140" i="823" s="1"/>
  <c r="J219" i="87"/>
  <c r="E71" i="62"/>
  <c r="N141" i="87"/>
  <c r="N141" i="823" s="1"/>
  <c r="U141" i="823" s="1"/>
  <c r="J161" i="87"/>
  <c r="H166" i="87"/>
  <c r="J157" i="87"/>
  <c r="O128" i="88"/>
  <c r="N123" i="88"/>
  <c r="T146" i="88"/>
  <c r="F187" i="88" s="1"/>
  <c r="K139" i="88"/>
  <c r="P128" i="88"/>
  <c r="P114" i="88"/>
  <c r="G205" i="88"/>
  <c r="G114" i="88"/>
  <c r="H205" i="88"/>
  <c r="D114" i="88"/>
  <c r="J156" i="87"/>
  <c r="P118" i="87"/>
  <c r="N118" i="87"/>
  <c r="N118" i="823" s="1"/>
  <c r="F166" i="87"/>
  <c r="J164" i="87"/>
  <c r="F231" i="87"/>
  <c r="G233" i="87"/>
  <c r="X116" i="87"/>
  <c r="R115" i="87"/>
  <c r="H231" i="87"/>
  <c r="I229" i="87"/>
  <c r="I135" i="87"/>
  <c r="I135" i="120" s="1"/>
  <c r="J136" i="87"/>
  <c r="J229" i="87" s="1"/>
  <c r="J165" i="87"/>
  <c r="G231" i="87"/>
  <c r="J163" i="87"/>
  <c r="V140" i="87"/>
  <c r="AG130" i="87"/>
  <c r="K129" i="87"/>
  <c r="N129" i="87"/>
  <c r="M129" i="87"/>
  <c r="L129" i="87"/>
  <c r="I166" i="87"/>
  <c r="X137" i="87"/>
  <c r="R136" i="87"/>
  <c r="Q136" i="87"/>
  <c r="J115" i="87"/>
  <c r="J233" i="87" s="1"/>
  <c r="E231" i="87"/>
  <c r="Q123" i="87"/>
  <c r="J162" i="87"/>
  <c r="E166" i="87"/>
  <c r="J160" i="87"/>
  <c r="G166" i="87"/>
  <c r="J123" i="87"/>
  <c r="J231" i="87" s="1"/>
  <c r="W129" i="87"/>
  <c r="K140" i="87"/>
  <c r="N140" i="87"/>
  <c r="M140" i="87"/>
  <c r="L140" i="87"/>
  <c r="I231" i="87"/>
  <c r="I122" i="87"/>
  <c r="I122" i="120" s="1"/>
  <c r="X124" i="87"/>
  <c r="L119" i="87"/>
  <c r="L119" i="823" s="1"/>
  <c r="S119" i="823" s="1"/>
  <c r="O119" i="87"/>
  <c r="O119" i="823" s="1"/>
  <c r="V119" i="823" s="1"/>
  <c r="N119" i="87"/>
  <c r="N119" i="823" s="1"/>
  <c r="U119" i="823" s="1"/>
  <c r="M119" i="87"/>
  <c r="M119" i="823" s="1"/>
  <c r="T119" i="823" s="1"/>
  <c r="K119" i="87"/>
  <c r="J155" i="87"/>
  <c r="D166" i="87"/>
  <c r="X125" i="87"/>
  <c r="X120" i="87"/>
  <c r="D230" i="87"/>
  <c r="J128" i="87"/>
  <c r="J230" i="87" s="1"/>
  <c r="D228" i="87"/>
  <c r="J139" i="87"/>
  <c r="J228" i="87" s="1"/>
  <c r="W123" i="87"/>
  <c r="J158" i="87"/>
  <c r="V118" i="87"/>
  <c r="Q144" i="87"/>
  <c r="O129" i="87"/>
  <c r="M118" i="87"/>
  <c r="L118" i="87"/>
  <c r="K118" i="87"/>
  <c r="R114" i="88"/>
  <c r="X114" i="88" s="1"/>
  <c r="E114" i="88"/>
  <c r="E206" i="88"/>
  <c r="H135" i="88"/>
  <c r="E122" i="88"/>
  <c r="E204" i="88"/>
  <c r="I114" i="88"/>
  <c r="I206" i="88"/>
  <c r="G135" i="88"/>
  <c r="F122" i="88"/>
  <c r="F203" i="88"/>
  <c r="F208" i="88" s="1"/>
  <c r="I135" i="88"/>
  <c r="I202" i="88"/>
  <c r="D203" i="88"/>
  <c r="D122" i="88"/>
  <c r="D204" i="88"/>
  <c r="G120" i="129" l="1"/>
  <c r="N163" i="460"/>
  <c r="N164" i="460" s="1"/>
  <c r="G120" i="823"/>
  <c r="H221" i="823"/>
  <c r="H320" i="508"/>
  <c r="H114" i="823"/>
  <c r="X144" i="823"/>
  <c r="X127" i="823"/>
  <c r="I163" i="460"/>
  <c r="I164" i="460" s="1"/>
  <c r="X126" i="823"/>
  <c r="X124" i="823"/>
  <c r="I215" i="823"/>
  <c r="J139" i="823"/>
  <c r="J215" i="823" s="1"/>
  <c r="M140" i="129"/>
  <c r="M140" i="823"/>
  <c r="N129" i="129"/>
  <c r="N129" i="823"/>
  <c r="W123" i="823"/>
  <c r="I122" i="823"/>
  <c r="I218" i="823"/>
  <c r="J123" i="823"/>
  <c r="J218" i="823" s="1"/>
  <c r="X125" i="823"/>
  <c r="U136" i="823"/>
  <c r="T123" i="823"/>
  <c r="I219" i="823"/>
  <c r="J117" i="823"/>
  <c r="J219" i="823" s="1"/>
  <c r="X137" i="823"/>
  <c r="K118" i="129"/>
  <c r="K118" i="823"/>
  <c r="K119" i="129"/>
  <c r="K119" i="823"/>
  <c r="M118" i="129"/>
  <c r="M118" i="823"/>
  <c r="S123" i="823"/>
  <c r="I220" i="823"/>
  <c r="W115" i="823"/>
  <c r="X115" i="823" s="1"/>
  <c r="I114" i="823"/>
  <c r="J115" i="823"/>
  <c r="J220" i="823" s="1"/>
  <c r="V136" i="823"/>
  <c r="Q141" i="823"/>
  <c r="R141" i="823"/>
  <c r="X141" i="823" s="1"/>
  <c r="I217" i="823"/>
  <c r="J128" i="823"/>
  <c r="J217" i="823" s="1"/>
  <c r="Q123" i="823"/>
  <c r="R123" i="823"/>
  <c r="L129" i="129"/>
  <c r="L129" i="823"/>
  <c r="S129" i="823" s="1"/>
  <c r="O129" i="129"/>
  <c r="O129" i="823"/>
  <c r="V129" i="823" s="1"/>
  <c r="U123" i="823"/>
  <c r="T136" i="823"/>
  <c r="N140" i="129"/>
  <c r="N140" i="823"/>
  <c r="M129" i="129"/>
  <c r="M129" i="823"/>
  <c r="T129" i="823" s="1"/>
  <c r="L118" i="129"/>
  <c r="L118" i="823"/>
  <c r="Q136" i="823"/>
  <c r="R136" i="823"/>
  <c r="L140" i="129"/>
  <c r="L140" i="823"/>
  <c r="I135" i="823"/>
  <c r="W136" i="823"/>
  <c r="I216" i="823"/>
  <c r="J136" i="823"/>
  <c r="J216" i="823" s="1"/>
  <c r="V140" i="823"/>
  <c r="O117" i="823"/>
  <c r="V118" i="823"/>
  <c r="K140" i="129"/>
  <c r="K140" i="823"/>
  <c r="K129" i="129"/>
  <c r="K129" i="823"/>
  <c r="N117" i="823"/>
  <c r="U118" i="823"/>
  <c r="P118" i="129"/>
  <c r="P117" i="129" s="1"/>
  <c r="P114" i="129" s="1"/>
  <c r="P118" i="823"/>
  <c r="V123" i="823"/>
  <c r="E364" i="658"/>
  <c r="F460" i="658"/>
  <c r="F463" i="658" s="1"/>
  <c r="F364" i="658"/>
  <c r="G460" i="658"/>
  <c r="F346" i="658"/>
  <c r="G458" i="658"/>
  <c r="H364" i="658"/>
  <c r="I460" i="658"/>
  <c r="I463" i="658" s="1"/>
  <c r="D346" i="658"/>
  <c r="E458" i="658"/>
  <c r="G364" i="658"/>
  <c r="H460" i="658"/>
  <c r="H463" i="658" s="1"/>
  <c r="D364" i="658"/>
  <c r="E460" i="658"/>
  <c r="I364" i="658"/>
  <c r="J460" i="658"/>
  <c r="J463" i="658" s="1"/>
  <c r="G393" i="658"/>
  <c r="G453" i="658" s="1"/>
  <c r="I136" i="650"/>
  <c r="I134" i="650" s="1"/>
  <c r="I397" i="658"/>
  <c r="I418" i="658" s="1"/>
  <c r="H397" i="658"/>
  <c r="H418" i="658" s="1"/>
  <c r="X127" i="120"/>
  <c r="G397" i="658"/>
  <c r="G418" i="658" s="1"/>
  <c r="I393" i="658"/>
  <c r="I453" i="658" s="1"/>
  <c r="H317" i="508"/>
  <c r="H315" i="508" s="1"/>
  <c r="I116" i="655"/>
  <c r="I164" i="655" s="1"/>
  <c r="H352" i="657"/>
  <c r="H373" i="657" s="1"/>
  <c r="I122" i="650"/>
  <c r="H352" i="654"/>
  <c r="H373" i="654" s="1"/>
  <c r="N114" i="88"/>
  <c r="I127" i="655"/>
  <c r="I162" i="655" s="1"/>
  <c r="I127" i="650"/>
  <c r="I162" i="650" s="1"/>
  <c r="G116" i="655"/>
  <c r="G114" i="655" s="1"/>
  <c r="I122" i="655"/>
  <c r="I163" i="655" s="1"/>
  <c r="L114" i="88"/>
  <c r="F352" i="657"/>
  <c r="F373" i="657" s="1"/>
  <c r="G116" i="650"/>
  <c r="G164" i="650" s="1"/>
  <c r="H116" i="650"/>
  <c r="H164" i="650" s="1"/>
  <c r="M135" i="88"/>
  <c r="G352" i="654"/>
  <c r="G373" i="654" s="1"/>
  <c r="O114" i="88"/>
  <c r="M114" i="88"/>
  <c r="J128" i="655"/>
  <c r="H116" i="655"/>
  <c r="H164" i="655" s="1"/>
  <c r="H317" i="654"/>
  <c r="H437" i="654" s="1"/>
  <c r="E352" i="658"/>
  <c r="J137" i="650"/>
  <c r="J126" i="650"/>
  <c r="H352" i="658"/>
  <c r="I136" i="655"/>
  <c r="I134" i="655" s="1"/>
  <c r="F122" i="650"/>
  <c r="F163" i="650" s="1"/>
  <c r="J123" i="655"/>
  <c r="J128" i="650"/>
  <c r="J137" i="655"/>
  <c r="I352" i="658"/>
  <c r="H122" i="655"/>
  <c r="H163" i="655" s="1"/>
  <c r="I114" i="650"/>
  <c r="J125" i="650"/>
  <c r="E352" i="654"/>
  <c r="I352" i="654"/>
  <c r="I373" i="654" s="1"/>
  <c r="L135" i="88"/>
  <c r="H439" i="508"/>
  <c r="H398" i="508"/>
  <c r="F122" i="655"/>
  <c r="F163" i="655" s="1"/>
  <c r="J125" i="655"/>
  <c r="J358" i="654"/>
  <c r="J126" i="655"/>
  <c r="I439" i="508"/>
  <c r="I398" i="508"/>
  <c r="H393" i="658"/>
  <c r="H414" i="658" s="1"/>
  <c r="I439" i="502"/>
  <c r="I398" i="502"/>
  <c r="G352" i="657"/>
  <c r="G373" i="657" s="1"/>
  <c r="G327" i="502"/>
  <c r="G398" i="658"/>
  <c r="G439" i="658"/>
  <c r="H317" i="657"/>
  <c r="H437" i="657" s="1"/>
  <c r="Q115" i="88"/>
  <c r="H122" i="650"/>
  <c r="H163" i="650" s="1"/>
  <c r="G352" i="658"/>
  <c r="I352" i="657"/>
  <c r="I373" i="657" s="1"/>
  <c r="G335" i="508"/>
  <c r="G333" i="508" s="1"/>
  <c r="E352" i="657"/>
  <c r="E373" i="657" s="1"/>
  <c r="H398" i="658"/>
  <c r="H439" i="658"/>
  <c r="I398" i="658"/>
  <c r="I439" i="658"/>
  <c r="F352" i="654"/>
  <c r="F373" i="654" s="1"/>
  <c r="H439" i="502"/>
  <c r="H398" i="502"/>
  <c r="J135" i="650"/>
  <c r="J161" i="650" s="1"/>
  <c r="F352" i="658"/>
  <c r="I438" i="657"/>
  <c r="I397" i="657"/>
  <c r="I451" i="657" s="1"/>
  <c r="H397" i="657"/>
  <c r="H451" i="657" s="1"/>
  <c r="H438" i="657"/>
  <c r="J118" i="650"/>
  <c r="J118" i="655"/>
  <c r="J123" i="650"/>
  <c r="D165" i="650"/>
  <c r="J115" i="650"/>
  <c r="J165" i="650" s="1"/>
  <c r="D116" i="650"/>
  <c r="D114" i="650" s="1"/>
  <c r="J117" i="650"/>
  <c r="D116" i="655"/>
  <c r="D114" i="655" s="1"/>
  <c r="J117" i="655"/>
  <c r="I434" i="654"/>
  <c r="I393" i="654"/>
  <c r="H434" i="657"/>
  <c r="H393" i="657"/>
  <c r="G438" i="654"/>
  <c r="G397" i="654"/>
  <c r="G434" i="654"/>
  <c r="G393" i="654"/>
  <c r="H434" i="654"/>
  <c r="H393" i="654"/>
  <c r="H438" i="654"/>
  <c r="H397" i="654"/>
  <c r="G439" i="654"/>
  <c r="G398" i="654"/>
  <c r="I398" i="654"/>
  <c r="I439" i="654"/>
  <c r="I397" i="654"/>
  <c r="I438" i="654"/>
  <c r="H439" i="657"/>
  <c r="J138" i="655"/>
  <c r="E116" i="650"/>
  <c r="J139" i="655"/>
  <c r="J139" i="650"/>
  <c r="J141" i="655"/>
  <c r="J141" i="650"/>
  <c r="J132" i="650"/>
  <c r="J132" i="655"/>
  <c r="J140" i="650"/>
  <c r="J140" i="655"/>
  <c r="D122" i="650"/>
  <c r="D163" i="650" s="1"/>
  <c r="D122" i="655"/>
  <c r="D163" i="655" s="1"/>
  <c r="E116" i="655"/>
  <c r="J329" i="502"/>
  <c r="H322" i="502"/>
  <c r="F317" i="508"/>
  <c r="I322" i="508"/>
  <c r="I322" i="502"/>
  <c r="H327" i="502"/>
  <c r="J353" i="658"/>
  <c r="D352" i="658"/>
  <c r="D352" i="657"/>
  <c r="D373" i="657" s="1"/>
  <c r="J353" i="657"/>
  <c r="J353" i="654"/>
  <c r="D352" i="654"/>
  <c r="J346" i="657"/>
  <c r="G346" i="658"/>
  <c r="E346" i="658"/>
  <c r="I346" i="658"/>
  <c r="H346" i="658"/>
  <c r="J348" i="654"/>
  <c r="E346" i="654"/>
  <c r="G161" i="650"/>
  <c r="H161" i="650"/>
  <c r="E165" i="650"/>
  <c r="F161" i="650"/>
  <c r="E161" i="650"/>
  <c r="H165" i="650"/>
  <c r="G165" i="650"/>
  <c r="F165" i="650"/>
  <c r="J366" i="658"/>
  <c r="J366" i="657"/>
  <c r="J366" i="654"/>
  <c r="J364" i="654"/>
  <c r="J364" i="657"/>
  <c r="J358" i="658"/>
  <c r="J358" i="657"/>
  <c r="J348" i="658"/>
  <c r="J348" i="657"/>
  <c r="F136" i="655"/>
  <c r="F136" i="650"/>
  <c r="G136" i="655"/>
  <c r="G134" i="655" s="1"/>
  <c r="G136" i="650"/>
  <c r="G122" i="650"/>
  <c r="G127" i="655"/>
  <c r="G162" i="655" s="1"/>
  <c r="D136" i="655"/>
  <c r="J124" i="655"/>
  <c r="J138" i="650"/>
  <c r="H136" i="655"/>
  <c r="H136" i="650"/>
  <c r="E122" i="650"/>
  <c r="E122" i="655"/>
  <c r="E127" i="650"/>
  <c r="E162" i="650" s="1"/>
  <c r="E127" i="655"/>
  <c r="E162" i="655" s="1"/>
  <c r="F116" i="655"/>
  <c r="F116" i="650"/>
  <c r="F127" i="650"/>
  <c r="F127" i="655"/>
  <c r="G122" i="655"/>
  <c r="G127" i="650"/>
  <c r="G162" i="650" s="1"/>
  <c r="H127" i="650"/>
  <c r="H127" i="655"/>
  <c r="J135" i="655"/>
  <c r="J161" i="655" s="1"/>
  <c r="D136" i="650"/>
  <c r="J124" i="650"/>
  <c r="E136" i="650"/>
  <c r="E136" i="655"/>
  <c r="D127" i="655"/>
  <c r="D162" i="655" s="1"/>
  <c r="D127" i="650"/>
  <c r="J130" i="650"/>
  <c r="J130" i="655"/>
  <c r="J115" i="655"/>
  <c r="J165" i="655" s="1"/>
  <c r="J129" i="650"/>
  <c r="J129" i="655"/>
  <c r="J131" i="655"/>
  <c r="J131" i="650"/>
  <c r="I160" i="650"/>
  <c r="I164" i="650"/>
  <c r="G317" i="654"/>
  <c r="G317" i="657"/>
  <c r="G315" i="657" s="1"/>
  <c r="I317" i="654"/>
  <c r="I396" i="654" s="1"/>
  <c r="I317" i="657"/>
  <c r="I437" i="657" s="1"/>
  <c r="G322" i="657"/>
  <c r="G322" i="654"/>
  <c r="G395" i="654" s="1"/>
  <c r="G327" i="657"/>
  <c r="G327" i="654"/>
  <c r="H322" i="654"/>
  <c r="H395" i="654" s="1"/>
  <c r="H322" i="657"/>
  <c r="H327" i="657"/>
  <c r="H327" i="654"/>
  <c r="H435" i="654" s="1"/>
  <c r="I322" i="654"/>
  <c r="I322" i="657"/>
  <c r="I327" i="654"/>
  <c r="I327" i="657"/>
  <c r="G335" i="657"/>
  <c r="G333" i="657" s="1"/>
  <c r="G335" i="654"/>
  <c r="H335" i="654"/>
  <c r="H433" i="654" s="1"/>
  <c r="H335" i="657"/>
  <c r="I335" i="657"/>
  <c r="I333" i="657" s="1"/>
  <c r="I335" i="654"/>
  <c r="I392" i="654" s="1"/>
  <c r="G322" i="508"/>
  <c r="E327" i="502"/>
  <c r="H335" i="502"/>
  <c r="H333" i="502" s="1"/>
  <c r="J330" i="508"/>
  <c r="H322" i="508"/>
  <c r="G322" i="502"/>
  <c r="F322" i="502"/>
  <c r="E322" i="508"/>
  <c r="E322" i="502"/>
  <c r="I317" i="508"/>
  <c r="I315" i="508" s="1"/>
  <c r="I327" i="508"/>
  <c r="I335" i="502"/>
  <c r="I333" i="502" s="1"/>
  <c r="H317" i="502"/>
  <c r="H315" i="502" s="1"/>
  <c r="E317" i="502"/>
  <c r="G317" i="508"/>
  <c r="G317" i="502"/>
  <c r="J339" i="502"/>
  <c r="H439" i="654"/>
  <c r="H398" i="654"/>
  <c r="J338" i="502"/>
  <c r="F322" i="508"/>
  <c r="H327" i="508"/>
  <c r="E327" i="508"/>
  <c r="E335" i="508"/>
  <c r="E333" i="508" s="1"/>
  <c r="I335" i="508"/>
  <c r="I333" i="508" s="1"/>
  <c r="J331" i="502"/>
  <c r="J338" i="508"/>
  <c r="J339" i="508"/>
  <c r="I317" i="502"/>
  <c r="I315" i="502" s="1"/>
  <c r="J330" i="502"/>
  <c r="J331" i="508"/>
  <c r="I327" i="502"/>
  <c r="F317" i="502"/>
  <c r="J319" i="508"/>
  <c r="J328" i="502"/>
  <c r="D327" i="502"/>
  <c r="H335" i="508"/>
  <c r="H333" i="508" s="1"/>
  <c r="J319" i="502"/>
  <c r="J328" i="508"/>
  <c r="D327" i="508"/>
  <c r="G327" i="508"/>
  <c r="J318" i="502"/>
  <c r="D317" i="502"/>
  <c r="D335" i="508"/>
  <c r="J336" i="508"/>
  <c r="F335" i="508"/>
  <c r="F333" i="508" s="1"/>
  <c r="J318" i="508"/>
  <c r="D317" i="508"/>
  <c r="J336" i="502"/>
  <c r="D335" i="502"/>
  <c r="F335" i="502"/>
  <c r="F333" i="502" s="1"/>
  <c r="E335" i="502"/>
  <c r="E333" i="502" s="1"/>
  <c r="J340" i="508"/>
  <c r="J325" i="502"/>
  <c r="J332" i="508"/>
  <c r="F327" i="502"/>
  <c r="J334" i="508"/>
  <c r="J340" i="502"/>
  <c r="J325" i="508"/>
  <c r="J332" i="502"/>
  <c r="G335" i="502"/>
  <c r="G333" i="502" s="1"/>
  <c r="F327" i="508"/>
  <c r="J334" i="502"/>
  <c r="J316" i="502"/>
  <c r="D322" i="502"/>
  <c r="J323" i="502"/>
  <c r="J324" i="502"/>
  <c r="J337" i="502"/>
  <c r="E317" i="508"/>
  <c r="J316" i="508"/>
  <c r="D322" i="508"/>
  <c r="J323" i="508"/>
  <c r="J329" i="508"/>
  <c r="J324" i="508"/>
  <c r="J337" i="508"/>
  <c r="H317" i="658"/>
  <c r="H437" i="658" s="1"/>
  <c r="I317" i="658"/>
  <c r="I437" i="658" s="1"/>
  <c r="I327" i="658"/>
  <c r="I393" i="657"/>
  <c r="I453" i="657" s="1"/>
  <c r="G322" i="658"/>
  <c r="G436" i="658" s="1"/>
  <c r="I434" i="657"/>
  <c r="H335" i="658"/>
  <c r="H322" i="658"/>
  <c r="H436" i="658" s="1"/>
  <c r="G327" i="658"/>
  <c r="G317" i="658"/>
  <c r="G396" i="658" s="1"/>
  <c r="I322" i="658"/>
  <c r="I436" i="658" s="1"/>
  <c r="I335" i="658"/>
  <c r="G335" i="658"/>
  <c r="I398" i="657"/>
  <c r="H327" i="658"/>
  <c r="X144" i="87"/>
  <c r="O135" i="88"/>
  <c r="M122" i="88"/>
  <c r="L122" i="88"/>
  <c r="T141" i="87"/>
  <c r="M141" i="129"/>
  <c r="W140" i="87"/>
  <c r="P140" i="129"/>
  <c r="R141" i="87"/>
  <c r="K141" i="129"/>
  <c r="S141" i="87"/>
  <c r="L141" i="129"/>
  <c r="T119" i="87"/>
  <c r="M119" i="129"/>
  <c r="M117" i="129" s="1"/>
  <c r="M114" i="129" s="1"/>
  <c r="U119" i="87"/>
  <c r="N119" i="129"/>
  <c r="V119" i="87"/>
  <c r="V117" i="87" s="1"/>
  <c r="V114" i="87" s="1"/>
  <c r="O119" i="129"/>
  <c r="O117" i="129" s="1"/>
  <c r="O114" i="129" s="1"/>
  <c r="U141" i="87"/>
  <c r="N141" i="129"/>
  <c r="V141" i="87"/>
  <c r="O141" i="129"/>
  <c r="S119" i="87"/>
  <c r="L119" i="129"/>
  <c r="L117" i="129" s="1"/>
  <c r="L114" i="129" s="1"/>
  <c r="U118" i="87"/>
  <c r="N118" i="129"/>
  <c r="Q139" i="88"/>
  <c r="P122" i="88"/>
  <c r="P146" i="88" s="1"/>
  <c r="P149" i="88" s="1"/>
  <c r="N122" i="88"/>
  <c r="E235" i="87"/>
  <c r="F235" i="87"/>
  <c r="Q136" i="88"/>
  <c r="N135" i="88"/>
  <c r="W123" i="120"/>
  <c r="I199" i="120"/>
  <c r="K122" i="88"/>
  <c r="I197" i="120"/>
  <c r="W136" i="120"/>
  <c r="U123" i="120"/>
  <c r="G199" i="120"/>
  <c r="I201" i="120"/>
  <c r="V123" i="120"/>
  <c r="H199" i="120"/>
  <c r="H200" i="120"/>
  <c r="H235" i="87"/>
  <c r="G200" i="120"/>
  <c r="G197" i="120"/>
  <c r="U136" i="120"/>
  <c r="I200" i="120"/>
  <c r="H201" i="120"/>
  <c r="G201" i="120"/>
  <c r="H197" i="120"/>
  <c r="V136" i="120"/>
  <c r="K114" i="88"/>
  <c r="S149" i="88"/>
  <c r="E187" i="88"/>
  <c r="U149" i="88"/>
  <c r="G187" i="88"/>
  <c r="W149" i="88"/>
  <c r="I187" i="88"/>
  <c r="O122" i="88"/>
  <c r="H54" i="62"/>
  <c r="H51" i="62"/>
  <c r="J202" i="88"/>
  <c r="H146" i="88"/>
  <c r="J122" i="88"/>
  <c r="V149" i="88"/>
  <c r="H53" i="62"/>
  <c r="H55" i="62"/>
  <c r="J153" i="87"/>
  <c r="H94" i="62"/>
  <c r="H101" i="62"/>
  <c r="H97" i="62"/>
  <c r="H56" i="62"/>
  <c r="G208" i="88"/>
  <c r="H66" i="62"/>
  <c r="H105" i="62"/>
  <c r="H28" i="62"/>
  <c r="H87" i="62"/>
  <c r="H91" i="62"/>
  <c r="H90" i="62"/>
  <c r="H96" i="62"/>
  <c r="H52" i="62"/>
  <c r="H104" i="62"/>
  <c r="H10" i="62"/>
  <c r="H103" i="62"/>
  <c r="H6" i="62"/>
  <c r="H21" i="62"/>
  <c r="H88" i="62"/>
  <c r="H102" i="62"/>
  <c r="H95" i="62"/>
  <c r="H98" i="62"/>
  <c r="H89" i="62"/>
  <c r="Q123" i="88"/>
  <c r="Q117" i="88"/>
  <c r="J135" i="88"/>
  <c r="Q128" i="88"/>
  <c r="J114" i="88"/>
  <c r="Q20" i="644"/>
  <c r="F146" i="88"/>
  <c r="E167" i="87"/>
  <c r="F167" i="87"/>
  <c r="H167" i="87"/>
  <c r="H208" i="88"/>
  <c r="I146" i="87"/>
  <c r="Q141" i="87"/>
  <c r="G167" i="87"/>
  <c r="I167" i="87"/>
  <c r="X123" i="87"/>
  <c r="J204" i="88"/>
  <c r="J206" i="88"/>
  <c r="K135" i="88"/>
  <c r="G146" i="88"/>
  <c r="AG142" i="87"/>
  <c r="D235" i="87"/>
  <c r="T149" i="88"/>
  <c r="I146" i="88"/>
  <c r="J203" i="88"/>
  <c r="J205" i="88"/>
  <c r="J235" i="87"/>
  <c r="J122" i="87"/>
  <c r="J135" i="87"/>
  <c r="G235" i="87"/>
  <c r="P117" i="87"/>
  <c r="P114" i="87" s="1"/>
  <c r="W118" i="87"/>
  <c r="W117" i="87" s="1"/>
  <c r="W114" i="87" s="1"/>
  <c r="X115" i="87"/>
  <c r="J166" i="87"/>
  <c r="N117" i="87"/>
  <c r="N114" i="87" s="1"/>
  <c r="S140" i="87"/>
  <c r="O117" i="87"/>
  <c r="O114" i="87" s="1"/>
  <c r="T140" i="87"/>
  <c r="J114" i="87"/>
  <c r="S129" i="87"/>
  <c r="U140" i="87"/>
  <c r="T129" i="87"/>
  <c r="L117" i="87"/>
  <c r="L114" i="87" s="1"/>
  <c r="S118" i="87"/>
  <c r="M117" i="87"/>
  <c r="M114" i="87" s="1"/>
  <c r="T118" i="87"/>
  <c r="V129" i="87"/>
  <c r="R140" i="87"/>
  <c r="Q140" i="87"/>
  <c r="U129" i="87"/>
  <c r="Q119" i="87"/>
  <c r="R119" i="87"/>
  <c r="X136" i="87"/>
  <c r="R129" i="87"/>
  <c r="Q129" i="87"/>
  <c r="M130" i="87"/>
  <c r="M130" i="823" s="1"/>
  <c r="T130" i="823" s="1"/>
  <c r="AG131" i="87"/>
  <c r="K130" i="87"/>
  <c r="P130" i="87"/>
  <c r="O130" i="87"/>
  <c r="O130" i="823" s="1"/>
  <c r="V130" i="823" s="1"/>
  <c r="N130" i="87"/>
  <c r="N130" i="823" s="1"/>
  <c r="U130" i="823" s="1"/>
  <c r="L130" i="87"/>
  <c r="L130" i="823" s="1"/>
  <c r="Q118" i="87"/>
  <c r="K117" i="87"/>
  <c r="R118" i="87"/>
  <c r="I235" i="87"/>
  <c r="E146" i="88"/>
  <c r="R146" i="88"/>
  <c r="D187" i="88" s="1"/>
  <c r="D146" i="88"/>
  <c r="I208" i="88"/>
  <c r="D208" i="88"/>
  <c r="E208" i="88"/>
  <c r="H146" i="823" l="1"/>
  <c r="K117" i="129"/>
  <c r="K114" i="129" s="1"/>
  <c r="F120" i="823"/>
  <c r="G221" i="823"/>
  <c r="G320" i="508"/>
  <c r="G114" i="823"/>
  <c r="G146" i="823" s="1"/>
  <c r="U120" i="823"/>
  <c r="F120" i="129"/>
  <c r="G320" i="502"/>
  <c r="G315" i="502" s="1"/>
  <c r="P117" i="823"/>
  <c r="W118" i="823"/>
  <c r="U129" i="823"/>
  <c r="L161" i="823"/>
  <c r="L162" i="823" s="1"/>
  <c r="U117" i="823"/>
  <c r="N114" i="823"/>
  <c r="S130" i="823"/>
  <c r="S140" i="823"/>
  <c r="P130" i="129"/>
  <c r="P130" i="823"/>
  <c r="K130" i="129"/>
  <c r="K130" i="823"/>
  <c r="K161" i="823"/>
  <c r="K117" i="823"/>
  <c r="Q118" i="823"/>
  <c r="R118" i="823"/>
  <c r="N161" i="823"/>
  <c r="N162" i="823" s="1"/>
  <c r="O161" i="823"/>
  <c r="O162" i="823" s="1"/>
  <c r="T140" i="823"/>
  <c r="Q129" i="823"/>
  <c r="R129" i="823"/>
  <c r="M117" i="823"/>
  <c r="T118" i="823"/>
  <c r="U140" i="823"/>
  <c r="Q140" i="823"/>
  <c r="R140" i="823"/>
  <c r="J135" i="823"/>
  <c r="V117" i="823"/>
  <c r="O114" i="823"/>
  <c r="V114" i="823" s="1"/>
  <c r="X136" i="823"/>
  <c r="I146" i="823"/>
  <c r="I121" i="650"/>
  <c r="I143" i="650" s="1"/>
  <c r="I145" i="650" s="1"/>
  <c r="X123" i="823"/>
  <c r="P161" i="823"/>
  <c r="P162" i="823" s="1"/>
  <c r="J122" i="823"/>
  <c r="I146" i="120"/>
  <c r="I147" i="120" s="1"/>
  <c r="I161" i="823"/>
  <c r="I162" i="823" s="1"/>
  <c r="M161" i="823"/>
  <c r="M162" i="823" s="1"/>
  <c r="L117" i="823"/>
  <c r="S118" i="823"/>
  <c r="Q119" i="823"/>
  <c r="R119" i="823"/>
  <c r="X119" i="823" s="1"/>
  <c r="R20" i="644"/>
  <c r="G414" i="658"/>
  <c r="I321" i="508"/>
  <c r="I342" i="508" s="1"/>
  <c r="F373" i="658"/>
  <c r="J364" i="658"/>
  <c r="G463" i="658"/>
  <c r="E463" i="658"/>
  <c r="I451" i="658"/>
  <c r="H451" i="658"/>
  <c r="G451" i="658"/>
  <c r="I395" i="658"/>
  <c r="I452" i="658" s="1"/>
  <c r="H315" i="654"/>
  <c r="H396" i="654"/>
  <c r="H417" i="654" s="1"/>
  <c r="H396" i="657"/>
  <c r="H417" i="657" s="1"/>
  <c r="H395" i="658"/>
  <c r="H416" i="658" s="1"/>
  <c r="G395" i="658"/>
  <c r="G416" i="658" s="1"/>
  <c r="H315" i="657"/>
  <c r="I414" i="658"/>
  <c r="H315" i="658"/>
  <c r="I315" i="658"/>
  <c r="I163" i="650"/>
  <c r="I168" i="650" s="1"/>
  <c r="G321" i="502"/>
  <c r="I121" i="655"/>
  <c r="H321" i="502"/>
  <c r="H342" i="502" s="1"/>
  <c r="I114" i="655"/>
  <c r="H373" i="658"/>
  <c r="G114" i="650"/>
  <c r="M146" i="88"/>
  <c r="M149" i="88" s="1"/>
  <c r="H114" i="650"/>
  <c r="Q114" i="88"/>
  <c r="L146" i="88"/>
  <c r="L149" i="88" s="1"/>
  <c r="H453" i="658"/>
  <c r="H114" i="655"/>
  <c r="D164" i="650"/>
  <c r="H414" i="654"/>
  <c r="I373" i="658"/>
  <c r="I160" i="655"/>
  <c r="I168" i="655" s="1"/>
  <c r="G414" i="654"/>
  <c r="I418" i="654"/>
  <c r="I392" i="657"/>
  <c r="I433" i="657"/>
  <c r="I418" i="657"/>
  <c r="H418" i="657"/>
  <c r="G373" i="658"/>
  <c r="H333" i="658"/>
  <c r="H433" i="658"/>
  <c r="H392" i="658"/>
  <c r="H396" i="658"/>
  <c r="H417" i="658" s="1"/>
  <c r="J352" i="657"/>
  <c r="I396" i="658"/>
  <c r="I417" i="658" s="1"/>
  <c r="H435" i="658"/>
  <c r="H394" i="658"/>
  <c r="D164" i="655"/>
  <c r="G418" i="654"/>
  <c r="G333" i="658"/>
  <c r="G433" i="658"/>
  <c r="G392" i="658"/>
  <c r="I435" i="658"/>
  <c r="I394" i="658"/>
  <c r="I333" i="658"/>
  <c r="I433" i="658"/>
  <c r="I392" i="658"/>
  <c r="E321" i="508"/>
  <c r="I414" i="654"/>
  <c r="G315" i="658"/>
  <c r="G437" i="658"/>
  <c r="G417" i="658" s="1"/>
  <c r="J373" i="657"/>
  <c r="G435" i="658"/>
  <c r="G394" i="658"/>
  <c r="H418" i="654"/>
  <c r="J122" i="650"/>
  <c r="J163" i="650" s="1"/>
  <c r="J116" i="650"/>
  <c r="J164" i="650" s="1"/>
  <c r="H453" i="657"/>
  <c r="H414" i="657"/>
  <c r="J352" i="658"/>
  <c r="D373" i="658"/>
  <c r="J352" i="654"/>
  <c r="D373" i="654"/>
  <c r="J127" i="650"/>
  <c r="J162" i="650" s="1"/>
  <c r="J136" i="655"/>
  <c r="J160" i="655" s="1"/>
  <c r="E164" i="650"/>
  <c r="E114" i="650"/>
  <c r="E114" i="655"/>
  <c r="J116" i="655"/>
  <c r="J164" i="655" s="1"/>
  <c r="E164" i="655"/>
  <c r="G315" i="654"/>
  <c r="G396" i="654"/>
  <c r="G435" i="654"/>
  <c r="G394" i="654"/>
  <c r="H436" i="657"/>
  <c r="H395" i="657"/>
  <c r="H435" i="657"/>
  <c r="H394" i="657"/>
  <c r="I435" i="657"/>
  <c r="I394" i="657"/>
  <c r="G333" i="654"/>
  <c r="G392" i="654"/>
  <c r="H333" i="657"/>
  <c r="H392" i="657"/>
  <c r="H433" i="657"/>
  <c r="I321" i="502"/>
  <c r="I342" i="502" s="1"/>
  <c r="H321" i="654"/>
  <c r="H394" i="654"/>
  <c r="H415" i="654" s="1"/>
  <c r="H321" i="508"/>
  <c r="H342" i="508" s="1"/>
  <c r="E321" i="502"/>
  <c r="I333" i="654"/>
  <c r="I433" i="654"/>
  <c r="I413" i="654" s="1"/>
  <c r="G321" i="508"/>
  <c r="F321" i="502"/>
  <c r="H333" i="654"/>
  <c r="H392" i="654"/>
  <c r="H413" i="654" s="1"/>
  <c r="J136" i="650"/>
  <c r="J160" i="650" s="1"/>
  <c r="E163" i="655"/>
  <c r="J122" i="655"/>
  <c r="J163" i="655" s="1"/>
  <c r="H134" i="655"/>
  <c r="H160" i="655"/>
  <c r="H321" i="657"/>
  <c r="I321" i="657"/>
  <c r="I436" i="657"/>
  <c r="I395" i="657"/>
  <c r="G121" i="650"/>
  <c r="G163" i="650"/>
  <c r="E163" i="650"/>
  <c r="E121" i="650"/>
  <c r="F114" i="655"/>
  <c r="F164" i="655"/>
  <c r="H162" i="655"/>
  <c r="H121" i="655"/>
  <c r="D134" i="650"/>
  <c r="D160" i="650"/>
  <c r="J127" i="655"/>
  <c r="J162" i="655" s="1"/>
  <c r="D121" i="655"/>
  <c r="E121" i="655"/>
  <c r="E373" i="658"/>
  <c r="J346" i="658"/>
  <c r="E373" i="654"/>
  <c r="J346" i="654"/>
  <c r="F134" i="655"/>
  <c r="F160" i="655"/>
  <c r="F160" i="650"/>
  <c r="F134" i="650"/>
  <c r="G160" i="650"/>
  <c r="G134" i="650"/>
  <c r="D134" i="655"/>
  <c r="D160" i="655"/>
  <c r="H160" i="650"/>
  <c r="H134" i="650"/>
  <c r="F164" i="650"/>
  <c r="F114" i="650"/>
  <c r="F162" i="650"/>
  <c r="F121" i="650"/>
  <c r="F121" i="655"/>
  <c r="F162" i="655"/>
  <c r="G121" i="655"/>
  <c r="G143" i="655" s="1"/>
  <c r="G145" i="655" s="1"/>
  <c r="G163" i="655"/>
  <c r="H162" i="650"/>
  <c r="H121" i="650"/>
  <c r="E160" i="650"/>
  <c r="E134" i="650"/>
  <c r="E134" i="655"/>
  <c r="E160" i="655"/>
  <c r="D162" i="650"/>
  <c r="D121" i="650"/>
  <c r="G321" i="654"/>
  <c r="I321" i="654"/>
  <c r="T117" i="87"/>
  <c r="T114" i="87" s="1"/>
  <c r="G321" i="657"/>
  <c r="G342" i="657" s="1"/>
  <c r="I315" i="654"/>
  <c r="I437" i="654"/>
  <c r="I417" i="654" s="1"/>
  <c r="I315" i="657"/>
  <c r="I396" i="657"/>
  <c r="I417" i="657" s="1"/>
  <c r="I436" i="654"/>
  <c r="I395" i="654"/>
  <c r="J335" i="502"/>
  <c r="J327" i="502"/>
  <c r="D321" i="502"/>
  <c r="J322" i="502"/>
  <c r="J317" i="502"/>
  <c r="D333" i="508"/>
  <c r="J333" i="508" s="1"/>
  <c r="J335" i="508"/>
  <c r="J317" i="508"/>
  <c r="D333" i="502"/>
  <c r="J327" i="508"/>
  <c r="J322" i="508"/>
  <c r="D321" i="508"/>
  <c r="F321" i="508"/>
  <c r="I321" i="658"/>
  <c r="I414" i="657"/>
  <c r="I394" i="654"/>
  <c r="I435" i="654"/>
  <c r="G433" i="654"/>
  <c r="H436" i="654"/>
  <c r="H416" i="654" s="1"/>
  <c r="G321" i="658"/>
  <c r="H321" i="658"/>
  <c r="G437" i="654"/>
  <c r="G436" i="654"/>
  <c r="G416" i="654" s="1"/>
  <c r="J208" i="88"/>
  <c r="U117" i="87"/>
  <c r="U114" i="87" s="1"/>
  <c r="X119" i="87"/>
  <c r="N146" i="88"/>
  <c r="N149" i="88" s="1"/>
  <c r="S117" i="87"/>
  <c r="S114" i="87" s="1"/>
  <c r="X141" i="87"/>
  <c r="N117" i="129"/>
  <c r="N114" i="129" s="1"/>
  <c r="Q135" i="88"/>
  <c r="S130" i="87"/>
  <c r="L130" i="129"/>
  <c r="U130" i="87"/>
  <c r="N130" i="129"/>
  <c r="V130" i="87"/>
  <c r="O130" i="129"/>
  <c r="T130" i="87"/>
  <c r="M130" i="129"/>
  <c r="G164" i="655"/>
  <c r="G160" i="655"/>
  <c r="H209" i="88"/>
  <c r="H210" i="88" s="1"/>
  <c r="H149" i="88"/>
  <c r="H186" i="88"/>
  <c r="D186" i="88"/>
  <c r="I186" i="88"/>
  <c r="G186" i="88"/>
  <c r="E186" i="88"/>
  <c r="H203" i="120"/>
  <c r="I203" i="120"/>
  <c r="G203" i="120"/>
  <c r="G213" i="87"/>
  <c r="F213" i="87"/>
  <c r="E213" i="87"/>
  <c r="I213" i="87"/>
  <c r="H213" i="87"/>
  <c r="Q122" i="88"/>
  <c r="D213" i="87"/>
  <c r="F149" i="88"/>
  <c r="F186" i="88"/>
  <c r="H100" i="62"/>
  <c r="H15" i="62"/>
  <c r="O146" i="88"/>
  <c r="O149" i="88" s="1"/>
  <c r="F209" i="88"/>
  <c r="F210" i="88" s="1"/>
  <c r="H50" i="62"/>
  <c r="H99" i="62"/>
  <c r="H68" i="62"/>
  <c r="H5" i="62"/>
  <c r="I18" i="75"/>
  <c r="H31" i="62"/>
  <c r="H92" i="62"/>
  <c r="H93" i="62"/>
  <c r="H7" i="62"/>
  <c r="R149" i="88"/>
  <c r="X146" i="88"/>
  <c r="J187" i="88" s="1"/>
  <c r="J146" i="88"/>
  <c r="Q19" i="644"/>
  <c r="Q18" i="644"/>
  <c r="Q17" i="644"/>
  <c r="Q15" i="644"/>
  <c r="Q16" i="644"/>
  <c r="H236" i="87"/>
  <c r="G209" i="88"/>
  <c r="G210" i="88" s="1"/>
  <c r="I236" i="87"/>
  <c r="F236" i="87"/>
  <c r="K146" i="88"/>
  <c r="G236" i="87"/>
  <c r="E149" i="88"/>
  <c r="G149" i="88"/>
  <c r="I149" i="88"/>
  <c r="D149" i="88"/>
  <c r="AG143" i="87"/>
  <c r="K142" i="87"/>
  <c r="M142" i="87"/>
  <c r="O142" i="87"/>
  <c r="O142" i="823" s="1"/>
  <c r="L142" i="87"/>
  <c r="L142" i="823" s="1"/>
  <c r="S142" i="823" s="1"/>
  <c r="P142" i="87"/>
  <c r="P142" i="823" s="1"/>
  <c r="N142" i="87"/>
  <c r="I209" i="88"/>
  <c r="I210" i="88" s="1"/>
  <c r="J146" i="87"/>
  <c r="E149" i="87"/>
  <c r="E236" i="87"/>
  <c r="X118" i="87"/>
  <c r="R117" i="87"/>
  <c r="O131" i="87"/>
  <c r="M131" i="87"/>
  <c r="AG132" i="87"/>
  <c r="P131" i="87"/>
  <c r="P131" i="823" s="1"/>
  <c r="W131" i="823" s="1"/>
  <c r="N131" i="87"/>
  <c r="L131" i="87"/>
  <c r="L131" i="823" s="1"/>
  <c r="S131" i="823" s="1"/>
  <c r="K131" i="87"/>
  <c r="X129" i="87"/>
  <c r="K114" i="87"/>
  <c r="Q117" i="87"/>
  <c r="Q130" i="87"/>
  <c r="R130" i="87"/>
  <c r="X140" i="87"/>
  <c r="W130" i="87"/>
  <c r="D209" i="88"/>
  <c r="D210" i="88" s="1"/>
  <c r="E209" i="88"/>
  <c r="E210" i="88" s="1"/>
  <c r="G398" i="508" l="1"/>
  <c r="G439" i="508"/>
  <c r="E120" i="129"/>
  <c r="F320" i="502"/>
  <c r="E120" i="823"/>
  <c r="F221" i="823"/>
  <c r="F320" i="508"/>
  <c r="F114" i="823"/>
  <c r="T120" i="823"/>
  <c r="G315" i="508"/>
  <c r="G342" i="508" s="1"/>
  <c r="H167" i="823"/>
  <c r="H172" i="823" s="1"/>
  <c r="H224" i="823"/>
  <c r="G342" i="502"/>
  <c r="G439" i="502"/>
  <c r="G398" i="502"/>
  <c r="G148" i="823"/>
  <c r="G224" i="823"/>
  <c r="G167" i="823"/>
  <c r="G172" i="823" s="1"/>
  <c r="H148" i="823"/>
  <c r="Q21" i="644"/>
  <c r="T20" i="644"/>
  <c r="AL20" i="644" s="1"/>
  <c r="AI20" i="644"/>
  <c r="X129" i="823"/>
  <c r="J161" i="823"/>
  <c r="J162" i="823" s="1"/>
  <c r="X118" i="823"/>
  <c r="I148" i="823"/>
  <c r="I224" i="823"/>
  <c r="I167" i="823"/>
  <c r="I172" i="823" s="1"/>
  <c r="M142" i="129"/>
  <c r="M142" i="823"/>
  <c r="N131" i="129"/>
  <c r="N131" i="823"/>
  <c r="O131" i="129"/>
  <c r="O131" i="823"/>
  <c r="V131" i="823" s="1"/>
  <c r="V142" i="823"/>
  <c r="W130" i="823"/>
  <c r="M131" i="129"/>
  <c r="M131" i="823"/>
  <c r="T131" i="823" s="1"/>
  <c r="S117" i="823"/>
  <c r="L114" i="823"/>
  <c r="X140" i="823"/>
  <c r="U114" i="823"/>
  <c r="R117" i="823"/>
  <c r="K114" i="823"/>
  <c r="N142" i="129"/>
  <c r="N142" i="823"/>
  <c r="K162" i="823"/>
  <c r="Q162" i="823" s="1"/>
  <c r="Q161" i="823"/>
  <c r="W142" i="823"/>
  <c r="Q117" i="823"/>
  <c r="T117" i="823"/>
  <c r="M114" i="823"/>
  <c r="Q130" i="823"/>
  <c r="R130" i="823"/>
  <c r="K131" i="129"/>
  <c r="K131" i="823"/>
  <c r="K142" i="129"/>
  <c r="K142" i="823"/>
  <c r="P114" i="823"/>
  <c r="W114" i="823" s="1"/>
  <c r="W117" i="823"/>
  <c r="R19" i="644"/>
  <c r="R16" i="644"/>
  <c r="R15" i="644"/>
  <c r="R17" i="644"/>
  <c r="R18" i="644"/>
  <c r="I416" i="658"/>
  <c r="H452" i="658"/>
  <c r="G452" i="658"/>
  <c r="H413" i="658"/>
  <c r="G413" i="658"/>
  <c r="I440" i="658"/>
  <c r="H342" i="658"/>
  <c r="I413" i="658"/>
  <c r="I143" i="655"/>
  <c r="I145" i="655" s="1"/>
  <c r="I169" i="655" s="1"/>
  <c r="I342" i="658"/>
  <c r="H342" i="654"/>
  <c r="G415" i="658"/>
  <c r="I415" i="658"/>
  <c r="I416" i="654"/>
  <c r="J373" i="654"/>
  <c r="G415" i="654"/>
  <c r="I413" i="657"/>
  <c r="H415" i="657"/>
  <c r="I169" i="650"/>
  <c r="H342" i="657"/>
  <c r="F168" i="650"/>
  <c r="H440" i="657"/>
  <c r="H413" i="657"/>
  <c r="D168" i="655"/>
  <c r="J168" i="650"/>
  <c r="J373" i="658"/>
  <c r="G342" i="658"/>
  <c r="H415" i="658"/>
  <c r="I440" i="657"/>
  <c r="H440" i="658"/>
  <c r="I415" i="657"/>
  <c r="G440" i="658"/>
  <c r="G342" i="654"/>
  <c r="G417" i="654"/>
  <c r="H168" i="655"/>
  <c r="H143" i="655"/>
  <c r="H145" i="655" s="1"/>
  <c r="H168" i="650"/>
  <c r="H143" i="650"/>
  <c r="H145" i="650" s="1"/>
  <c r="E168" i="655"/>
  <c r="G168" i="650"/>
  <c r="I342" i="657"/>
  <c r="H452" i="657"/>
  <c r="H416" i="657"/>
  <c r="J321" i="502"/>
  <c r="D168" i="650"/>
  <c r="J134" i="655"/>
  <c r="J121" i="655"/>
  <c r="D143" i="655"/>
  <c r="F168" i="655"/>
  <c r="E143" i="655"/>
  <c r="E145" i="655" s="1"/>
  <c r="E168" i="650"/>
  <c r="J333" i="502"/>
  <c r="I342" i="654"/>
  <c r="I452" i="657"/>
  <c r="I416" i="657"/>
  <c r="F143" i="655"/>
  <c r="F145" i="655" s="1"/>
  <c r="J114" i="655"/>
  <c r="J114" i="650"/>
  <c r="F143" i="650"/>
  <c r="F145" i="650" s="1"/>
  <c r="J121" i="650"/>
  <c r="D143" i="650"/>
  <c r="G143" i="650"/>
  <c r="G145" i="650" s="1"/>
  <c r="E143" i="650"/>
  <c r="E145" i="650" s="1"/>
  <c r="J134" i="650"/>
  <c r="I440" i="654"/>
  <c r="J186" i="88"/>
  <c r="I415" i="654"/>
  <c r="J321" i="508"/>
  <c r="H440" i="654"/>
  <c r="G440" i="654"/>
  <c r="G413" i="654"/>
  <c r="J213" i="87"/>
  <c r="S131" i="87"/>
  <c r="L131" i="129"/>
  <c r="W142" i="87"/>
  <c r="P142" i="129"/>
  <c r="W131" i="87"/>
  <c r="P131" i="129"/>
  <c r="S142" i="87"/>
  <c r="L142" i="129"/>
  <c r="G168" i="655"/>
  <c r="V142" i="87"/>
  <c r="O142" i="129"/>
  <c r="J168" i="655"/>
  <c r="H204" i="120"/>
  <c r="G204" i="120"/>
  <c r="I204" i="120"/>
  <c r="I149" i="120"/>
  <c r="H149" i="120"/>
  <c r="G149" i="120"/>
  <c r="H17" i="62"/>
  <c r="H86" i="62"/>
  <c r="H67" i="62"/>
  <c r="H16" i="62"/>
  <c r="Q146" i="88"/>
  <c r="Q149" i="88" s="1"/>
  <c r="F149" i="87"/>
  <c r="K149" i="88"/>
  <c r="X130" i="87"/>
  <c r="R142" i="87"/>
  <c r="Q142" i="87"/>
  <c r="L143" i="87"/>
  <c r="M143" i="87"/>
  <c r="M143" i="823" s="1"/>
  <c r="T143" i="823" s="1"/>
  <c r="K143" i="87"/>
  <c r="K143" i="823" s="1"/>
  <c r="O143" i="87"/>
  <c r="P143" i="87"/>
  <c r="N143" i="87"/>
  <c r="N143" i="823" s="1"/>
  <c r="T142" i="87"/>
  <c r="U142" i="87"/>
  <c r="J149" i="88"/>
  <c r="X149" i="88"/>
  <c r="Q114" i="87"/>
  <c r="U131" i="87"/>
  <c r="Q131" i="87"/>
  <c r="R131" i="87"/>
  <c r="O132" i="87"/>
  <c r="O132" i="823" s="1"/>
  <c r="AG133" i="87"/>
  <c r="P132" i="87"/>
  <c r="N132" i="87"/>
  <c r="N132" i="823" s="1"/>
  <c r="U132" i="823" s="1"/>
  <c r="K132" i="87"/>
  <c r="M132" i="87"/>
  <c r="M132" i="823" s="1"/>
  <c r="L132" i="87"/>
  <c r="T131" i="87"/>
  <c r="V131" i="87"/>
  <c r="X117" i="87"/>
  <c r="R114" i="87"/>
  <c r="D7" i="211"/>
  <c r="D7" i="473"/>
  <c r="F148" i="823" l="1"/>
  <c r="F146" i="823"/>
  <c r="F398" i="508"/>
  <c r="F439" i="508"/>
  <c r="F315" i="508"/>
  <c r="F342" i="508" s="1"/>
  <c r="D120" i="823"/>
  <c r="E320" i="508"/>
  <c r="E221" i="823"/>
  <c r="E114" i="823"/>
  <c r="E146" i="823" s="1"/>
  <c r="S120" i="823"/>
  <c r="F398" i="502"/>
  <c r="F439" i="502"/>
  <c r="F315" i="502"/>
  <c r="F342" i="502" s="1"/>
  <c r="D120" i="129"/>
  <c r="E320" i="502"/>
  <c r="R21" i="644"/>
  <c r="AI21" i="644" s="1"/>
  <c r="T17" i="644"/>
  <c r="AL17" i="644" s="1"/>
  <c r="AI17" i="644"/>
  <c r="T19" i="644"/>
  <c r="AL19" i="644" s="1"/>
  <c r="AI19" i="644"/>
  <c r="T15" i="644"/>
  <c r="AI15" i="644"/>
  <c r="T18" i="644"/>
  <c r="AL18" i="644" s="1"/>
  <c r="AI18" i="644"/>
  <c r="T16" i="644"/>
  <c r="AL16" i="644" s="1"/>
  <c r="AI16" i="644"/>
  <c r="X117" i="823"/>
  <c r="X130" i="823"/>
  <c r="V132" i="823"/>
  <c r="U142" i="823"/>
  <c r="N139" i="823"/>
  <c r="Q114" i="823"/>
  <c r="Q131" i="823"/>
  <c r="R131" i="823"/>
  <c r="Q142" i="823"/>
  <c r="R142" i="823"/>
  <c r="U143" i="823"/>
  <c r="L132" i="129"/>
  <c r="L132" i="823"/>
  <c r="P143" i="129"/>
  <c r="P139" i="129" s="1"/>
  <c r="P135" i="129" s="1"/>
  <c r="P143" i="823"/>
  <c r="T132" i="823"/>
  <c r="O143" i="129"/>
  <c r="O139" i="129" s="1"/>
  <c r="O135" i="129" s="1"/>
  <c r="O143" i="823"/>
  <c r="U131" i="823"/>
  <c r="K132" i="129"/>
  <c r="K132" i="823"/>
  <c r="K143" i="129"/>
  <c r="K139" i="129" s="1"/>
  <c r="K135" i="129" s="1"/>
  <c r="R143" i="823"/>
  <c r="T142" i="823"/>
  <c r="M139" i="823"/>
  <c r="P132" i="129"/>
  <c r="P132" i="823"/>
  <c r="L143" i="129"/>
  <c r="L139" i="129" s="1"/>
  <c r="L135" i="129" s="1"/>
  <c r="L143" i="823"/>
  <c r="T114" i="823"/>
  <c r="I441" i="658"/>
  <c r="H441" i="658"/>
  <c r="H441" i="657"/>
  <c r="H441" i="654"/>
  <c r="I441" i="657"/>
  <c r="F169" i="650"/>
  <c r="G441" i="654"/>
  <c r="H169" i="650"/>
  <c r="H169" i="655"/>
  <c r="G441" i="658"/>
  <c r="E169" i="655"/>
  <c r="G169" i="650"/>
  <c r="I441" i="654"/>
  <c r="E169" i="650"/>
  <c r="F169" i="655"/>
  <c r="D145" i="655"/>
  <c r="D169" i="655" s="1"/>
  <c r="J143" i="655"/>
  <c r="J145" i="655" s="1"/>
  <c r="J143" i="650"/>
  <c r="J145" i="650" s="1"/>
  <c r="D145" i="650"/>
  <c r="D169" i="650" s="1"/>
  <c r="G169" i="655"/>
  <c r="U132" i="87"/>
  <c r="N132" i="129"/>
  <c r="U143" i="87"/>
  <c r="U139" i="87" s="1"/>
  <c r="U135" i="87" s="1"/>
  <c r="N143" i="129"/>
  <c r="N139" i="129" s="1"/>
  <c r="N135" i="129" s="1"/>
  <c r="V132" i="87"/>
  <c r="O132" i="129"/>
  <c r="T132" i="87"/>
  <c r="M132" i="129"/>
  <c r="T143" i="87"/>
  <c r="T139" i="87" s="1"/>
  <c r="T135" i="87" s="1"/>
  <c r="M143" i="129"/>
  <c r="M139" i="129" s="1"/>
  <c r="M135" i="129" s="1"/>
  <c r="H69" i="62"/>
  <c r="H29" i="62"/>
  <c r="G149" i="87"/>
  <c r="M139" i="87"/>
  <c r="M135" i="87" s="1"/>
  <c r="Q143" i="87"/>
  <c r="R143" i="87"/>
  <c r="V143" i="87"/>
  <c r="V139" i="87" s="1"/>
  <c r="V135" i="87" s="1"/>
  <c r="O139" i="87"/>
  <c r="O135" i="87" s="1"/>
  <c r="N139" i="87"/>
  <c r="N135" i="87" s="1"/>
  <c r="S143" i="87"/>
  <c r="S139" i="87" s="1"/>
  <c r="S135" i="87" s="1"/>
  <c r="L139" i="87"/>
  <c r="L135" i="87" s="1"/>
  <c r="W143" i="87"/>
  <c r="W139" i="87" s="1"/>
  <c r="W135" i="87" s="1"/>
  <c r="P139" i="87"/>
  <c r="P135" i="87" s="1"/>
  <c r="X131" i="87"/>
  <c r="K139" i="87"/>
  <c r="X142" i="87"/>
  <c r="W132" i="87"/>
  <c r="Q132" i="87"/>
  <c r="R132" i="87"/>
  <c r="X114" i="87"/>
  <c r="P133" i="87"/>
  <c r="P133" i="823" s="1"/>
  <c r="W133" i="823" s="1"/>
  <c r="K133" i="87"/>
  <c r="N133" i="87"/>
  <c r="N133" i="823" s="1"/>
  <c r="U133" i="823" s="1"/>
  <c r="O133" i="87"/>
  <c r="L133" i="87"/>
  <c r="L133" i="823" s="1"/>
  <c r="S133" i="823" s="1"/>
  <c r="M133" i="87"/>
  <c r="S132" i="87"/>
  <c r="AF2" i="485"/>
  <c r="AG2" i="485"/>
  <c r="AF26" i="485"/>
  <c r="AG26" i="485"/>
  <c r="D320" i="508" l="1"/>
  <c r="D221" i="823"/>
  <c r="D114" i="823"/>
  <c r="J120" i="823"/>
  <c r="J221" i="823" s="1"/>
  <c r="R120" i="823"/>
  <c r="X120" i="823" s="1"/>
  <c r="D320" i="502"/>
  <c r="E398" i="502"/>
  <c r="E439" i="502"/>
  <c r="E315" i="502"/>
  <c r="E342" i="502" s="1"/>
  <c r="E148" i="823"/>
  <c r="E224" i="823"/>
  <c r="E167" i="823"/>
  <c r="E172" i="823" s="1"/>
  <c r="S114" i="823"/>
  <c r="E439" i="508"/>
  <c r="E398" i="508"/>
  <c r="E315" i="508"/>
  <c r="E342" i="508" s="1"/>
  <c r="F167" i="823"/>
  <c r="F172" i="823" s="1"/>
  <c r="F224" i="823"/>
  <c r="T21" i="644"/>
  <c r="AL21" i="644" s="1"/>
  <c r="I5" i="858" s="1"/>
  <c r="AL15" i="644"/>
  <c r="X131" i="823"/>
  <c r="X142" i="823"/>
  <c r="Q132" i="823"/>
  <c r="R132" i="823"/>
  <c r="N128" i="823"/>
  <c r="K139" i="823"/>
  <c r="M133" i="129"/>
  <c r="M128" i="129" s="1"/>
  <c r="M122" i="129" s="1"/>
  <c r="M146" i="129" s="1"/>
  <c r="M133" i="823"/>
  <c r="O133" i="129"/>
  <c r="O128" i="129" s="1"/>
  <c r="O122" i="129" s="1"/>
  <c r="O146" i="129" s="1"/>
  <c r="O133" i="823"/>
  <c r="S143" i="823"/>
  <c r="L139" i="823"/>
  <c r="W143" i="823"/>
  <c r="P139" i="823"/>
  <c r="U139" i="823"/>
  <c r="N135" i="823"/>
  <c r="U135" i="823" s="1"/>
  <c r="K133" i="129"/>
  <c r="K128" i="129" s="1"/>
  <c r="K122" i="129" s="1"/>
  <c r="K146" i="129" s="1"/>
  <c r="K133" i="823"/>
  <c r="W132" i="823"/>
  <c r="P128" i="823"/>
  <c r="S132" i="823"/>
  <c r="L128" i="823"/>
  <c r="V143" i="823"/>
  <c r="O139" i="823"/>
  <c r="T139" i="823"/>
  <c r="M135" i="823"/>
  <c r="T135" i="823" s="1"/>
  <c r="Q143" i="823"/>
  <c r="J169" i="650"/>
  <c r="J146" i="650"/>
  <c r="U133" i="87"/>
  <c r="U128" i="87" s="1"/>
  <c r="U122" i="87" s="1"/>
  <c r="U146" i="87" s="1"/>
  <c r="N133" i="129"/>
  <c r="N128" i="129" s="1"/>
  <c r="N122" i="129" s="1"/>
  <c r="N146" i="129" s="1"/>
  <c r="S133" i="87"/>
  <c r="S128" i="87" s="1"/>
  <c r="S122" i="87" s="1"/>
  <c r="S146" i="87" s="1"/>
  <c r="L133" i="129"/>
  <c r="L128" i="129" s="1"/>
  <c r="L122" i="129" s="1"/>
  <c r="L146" i="129" s="1"/>
  <c r="W133" i="87"/>
  <c r="W128" i="87" s="1"/>
  <c r="W122" i="87" s="1"/>
  <c r="W146" i="87" s="1"/>
  <c r="P133" i="129"/>
  <c r="P128" i="129" s="1"/>
  <c r="P122" i="129" s="1"/>
  <c r="P146" i="129" s="1"/>
  <c r="J146" i="655"/>
  <c r="H30" i="62"/>
  <c r="H32" i="62"/>
  <c r="H72" i="62"/>
  <c r="H14" i="62"/>
  <c r="H18" i="62"/>
  <c r="H149" i="87"/>
  <c r="N128" i="87"/>
  <c r="N122" i="87" s="1"/>
  <c r="N146" i="87" s="1"/>
  <c r="K135" i="87"/>
  <c r="Q135" i="87" s="1"/>
  <c r="Q139" i="87"/>
  <c r="X143" i="87"/>
  <c r="R139" i="87"/>
  <c r="I149" i="87"/>
  <c r="P128" i="87"/>
  <c r="P122" i="87" s="1"/>
  <c r="P146" i="87" s="1"/>
  <c r="Q133" i="87"/>
  <c r="R133" i="87"/>
  <c r="T133" i="87"/>
  <c r="T128" i="87" s="1"/>
  <c r="T122" i="87" s="1"/>
  <c r="T146" i="87" s="1"/>
  <c r="M128" i="87"/>
  <c r="M122" i="87" s="1"/>
  <c r="M146" i="87" s="1"/>
  <c r="V133" i="87"/>
  <c r="V128" i="87" s="1"/>
  <c r="V122" i="87" s="1"/>
  <c r="V146" i="87" s="1"/>
  <c r="O128" i="87"/>
  <c r="O122" i="87" s="1"/>
  <c r="O146" i="87" s="1"/>
  <c r="K128" i="87"/>
  <c r="L128" i="87"/>
  <c r="L122" i="87" s="1"/>
  <c r="L146" i="87" s="1"/>
  <c r="X132" i="87"/>
  <c r="W145" i="129"/>
  <c r="V145" i="129"/>
  <c r="U145" i="129"/>
  <c r="T145" i="129"/>
  <c r="S145" i="129"/>
  <c r="R145" i="129"/>
  <c r="W134" i="129"/>
  <c r="V134" i="129"/>
  <c r="U134" i="129"/>
  <c r="T134" i="129"/>
  <c r="S134" i="129"/>
  <c r="R134" i="129"/>
  <c r="W121" i="129"/>
  <c r="V121" i="129"/>
  <c r="U121" i="129"/>
  <c r="T121" i="129"/>
  <c r="S121" i="129"/>
  <c r="R121" i="129"/>
  <c r="D17" i="473"/>
  <c r="D16" i="473"/>
  <c r="D15" i="473"/>
  <c r="D146" i="823" l="1"/>
  <c r="D148" i="823"/>
  <c r="J114" i="823"/>
  <c r="R114" i="823"/>
  <c r="X114" i="823" s="1"/>
  <c r="J320" i="508"/>
  <c r="D439" i="508"/>
  <c r="D398" i="508"/>
  <c r="D419" i="508" s="1"/>
  <c r="D315" i="508"/>
  <c r="D439" i="502"/>
  <c r="J320" i="502"/>
  <c r="D398" i="502"/>
  <c r="D419" i="502" s="1"/>
  <c r="D315" i="502"/>
  <c r="X143" i="823"/>
  <c r="X132" i="823"/>
  <c r="P135" i="823"/>
  <c r="W135" i="823" s="1"/>
  <c r="W139" i="823"/>
  <c r="Q133" i="823"/>
  <c r="R133" i="823"/>
  <c r="L135" i="823"/>
  <c r="S135" i="823" s="1"/>
  <c r="S139" i="823"/>
  <c r="V133" i="823"/>
  <c r="O128" i="823"/>
  <c r="V139" i="823"/>
  <c r="O135" i="823"/>
  <c r="T133" i="823"/>
  <c r="M128" i="823"/>
  <c r="S128" i="823"/>
  <c r="L122" i="823"/>
  <c r="Q139" i="823"/>
  <c r="R139" i="823"/>
  <c r="K135" i="823"/>
  <c r="K128" i="823"/>
  <c r="W128" i="823"/>
  <c r="P122" i="823"/>
  <c r="U128" i="823"/>
  <c r="N122" i="823"/>
  <c r="G147" i="87"/>
  <c r="E147" i="87"/>
  <c r="H147" i="87"/>
  <c r="I147" i="87"/>
  <c r="F147" i="87"/>
  <c r="E45" i="39"/>
  <c r="E43" i="39"/>
  <c r="J169" i="655"/>
  <c r="H65" i="62"/>
  <c r="H70" i="62"/>
  <c r="H75" i="62"/>
  <c r="H9" i="62"/>
  <c r="R135" i="87"/>
  <c r="X135" i="87" s="1"/>
  <c r="X139" i="87"/>
  <c r="X133" i="87"/>
  <c r="R128" i="87"/>
  <c r="Q128" i="87"/>
  <c r="K122" i="87"/>
  <c r="J439" i="502" l="1"/>
  <c r="J398" i="502"/>
  <c r="D342" i="508"/>
  <c r="J342" i="508" s="1"/>
  <c r="J315" i="508"/>
  <c r="J315" i="502"/>
  <c r="D342" i="502"/>
  <c r="J342" i="502" s="1"/>
  <c r="J148" i="823"/>
  <c r="J398" i="508"/>
  <c r="J439" i="508"/>
  <c r="D167" i="823"/>
  <c r="D172" i="823" s="1"/>
  <c r="D224" i="823"/>
  <c r="J146" i="823"/>
  <c r="X139" i="823"/>
  <c r="X133" i="823"/>
  <c r="T128" i="823"/>
  <c r="M122" i="823"/>
  <c r="S122" i="823"/>
  <c r="L146" i="823"/>
  <c r="V135" i="823"/>
  <c r="X135" i="823" s="1"/>
  <c r="U122" i="823"/>
  <c r="N146" i="823"/>
  <c r="U146" i="823" s="1"/>
  <c r="G147" i="823" s="1"/>
  <c r="V128" i="823"/>
  <c r="O122" i="823"/>
  <c r="V122" i="823" s="1"/>
  <c r="Q128" i="823"/>
  <c r="R128" i="823"/>
  <c r="X128" i="823" s="1"/>
  <c r="K122" i="823"/>
  <c r="P146" i="823"/>
  <c r="W146" i="823" s="1"/>
  <c r="I147" i="823" s="1"/>
  <c r="W122" i="823"/>
  <c r="Q135" i="823"/>
  <c r="R135" i="823"/>
  <c r="H35" i="62"/>
  <c r="H73" i="62"/>
  <c r="H33" i="62"/>
  <c r="X128" i="87"/>
  <c r="R122" i="87"/>
  <c r="Q122" i="87"/>
  <c r="K146" i="87"/>
  <c r="J167" i="823" l="1"/>
  <c r="J172" i="823" s="1"/>
  <c r="J224" i="823"/>
  <c r="O146" i="823"/>
  <c r="V146" i="823" s="1"/>
  <c r="H147" i="823" s="1"/>
  <c r="S146" i="823"/>
  <c r="E147" i="823" s="1"/>
  <c r="Q122" i="823"/>
  <c r="R122" i="823"/>
  <c r="K146" i="823"/>
  <c r="T122" i="823"/>
  <c r="M146" i="823"/>
  <c r="H76" i="62"/>
  <c r="H37" i="62"/>
  <c r="H27" i="62"/>
  <c r="Q146" i="87"/>
  <c r="X122" i="87"/>
  <c r="R146" i="87"/>
  <c r="X146" i="87" s="1"/>
  <c r="T146" i="823" l="1"/>
  <c r="F147" i="823" s="1"/>
  <c r="Q146" i="823"/>
  <c r="R146" i="823"/>
  <c r="D147" i="823"/>
  <c r="X122" i="823"/>
  <c r="J147" i="87"/>
  <c r="D147" i="87"/>
  <c r="H74" i="62"/>
  <c r="X146" i="823" l="1"/>
  <c r="J147" i="823" s="1"/>
  <c r="H36" i="62"/>
  <c r="H71" i="62"/>
  <c r="H77" i="62"/>
  <c r="H79" i="62"/>
  <c r="H38" i="62" l="1"/>
  <c r="H82" i="62"/>
  <c r="H34" i="62"/>
  <c r="H40" i="62" l="1"/>
  <c r="H80" i="62"/>
  <c r="H42" i="62" l="1"/>
  <c r="H41" i="62"/>
  <c r="H83" i="62"/>
  <c r="H84" i="62" l="1"/>
  <c r="H81" i="62"/>
  <c r="H78" i="62"/>
  <c r="H43" i="62" l="1"/>
  <c r="H39" i="62"/>
  <c r="H45" i="62" l="1"/>
  <c r="H47" i="62"/>
  <c r="P149" i="87" l="1"/>
  <c r="H46" i="62" l="1"/>
  <c r="T149" i="87"/>
  <c r="V149" i="87"/>
  <c r="U149" i="87"/>
  <c r="S149" i="87"/>
  <c r="W149" i="87"/>
  <c r="I150" i="87" s="1"/>
  <c r="L149" i="87"/>
  <c r="N149" i="87"/>
  <c r="O149" i="87"/>
  <c r="M149" i="87"/>
  <c r="D15" i="203"/>
  <c r="G26" i="485"/>
  <c r="D15" i="206"/>
  <c r="J142" i="211"/>
  <c r="J120" i="211"/>
  <c r="J119" i="211"/>
  <c r="J142" i="212"/>
  <c r="J120" i="212"/>
  <c r="J119" i="212"/>
  <c r="D15" i="211"/>
  <c r="H15" i="163"/>
  <c r="G15" i="163"/>
  <c r="F15" i="163"/>
  <c r="J122" i="473"/>
  <c r="J121" i="473"/>
  <c r="E15" i="158"/>
  <c r="D15" i="158"/>
  <c r="J142" i="158"/>
  <c r="J133" i="158"/>
  <c r="J120" i="158"/>
  <c r="J119" i="158"/>
  <c r="J109" i="158"/>
  <c r="J88" i="158"/>
  <c r="J60" i="158"/>
  <c r="J60" i="216"/>
  <c r="J88" i="216"/>
  <c r="J109" i="216"/>
  <c r="J111" i="216"/>
  <c r="J112" i="216"/>
  <c r="J119" i="216"/>
  <c r="J120" i="216"/>
  <c r="J133" i="216"/>
  <c r="J142" i="216"/>
  <c r="D62" i="206" l="1"/>
  <c r="H62" i="206"/>
  <c r="G62" i="206"/>
  <c r="F62" i="206"/>
  <c r="E62" i="206"/>
  <c r="I62" i="206"/>
  <c r="I62" i="211"/>
  <c r="F62" i="211"/>
  <c r="H62" i="211"/>
  <c r="G62" i="211"/>
  <c r="E62" i="211"/>
  <c r="D62" i="211"/>
  <c r="H62" i="158"/>
  <c r="G62" i="158"/>
  <c r="I62" i="158"/>
  <c r="F62" i="158"/>
  <c r="E62" i="158"/>
  <c r="D62" i="158"/>
  <c r="H62" i="203"/>
  <c r="G62" i="203"/>
  <c r="D62" i="203"/>
  <c r="I62" i="203"/>
  <c r="F62" i="203"/>
  <c r="E62" i="203"/>
  <c r="F150" i="87"/>
  <c r="H150" i="87"/>
  <c r="G150" i="87"/>
  <c r="E150" i="87"/>
  <c r="H44" i="62"/>
  <c r="H48" i="62"/>
  <c r="H7" i="163"/>
  <c r="H9" i="163"/>
  <c r="H11" i="163"/>
  <c r="H20" i="62" l="1"/>
  <c r="H107" i="62" s="1"/>
  <c r="K149" i="87" l="1"/>
  <c r="Q149" i="87"/>
  <c r="F20" i="202" l="1"/>
  <c r="F19" i="202"/>
  <c r="J18" i="202"/>
  <c r="F18" i="202"/>
  <c r="J16" i="202"/>
  <c r="I16" i="202"/>
  <c r="H16" i="202"/>
  <c r="G16" i="202"/>
  <c r="F15" i="202"/>
  <c r="F14" i="202"/>
  <c r="F13" i="202"/>
  <c r="J12" i="202"/>
  <c r="F12" i="202"/>
  <c r="J11" i="202"/>
  <c r="I11" i="202"/>
  <c r="H11" i="202"/>
  <c r="G11" i="202"/>
  <c r="J10" i="202"/>
  <c r="F10" i="202"/>
  <c r="J9" i="202"/>
  <c r="I9" i="202"/>
  <c r="H9" i="202"/>
  <c r="G9" i="202"/>
  <c r="J8" i="202"/>
  <c r="F8" i="202"/>
  <c r="J7" i="202"/>
  <c r="I7" i="202"/>
  <c r="H7" i="202"/>
  <c r="G7" i="202"/>
  <c r="D14" i="506"/>
  <c r="D14" i="486"/>
  <c r="I16" i="508"/>
  <c r="H16" i="508"/>
  <c r="G16" i="508"/>
  <c r="I11" i="508"/>
  <c r="H11" i="508"/>
  <c r="G11" i="508"/>
  <c r="I9" i="508"/>
  <c r="H9" i="508"/>
  <c r="G9" i="508"/>
  <c r="I7" i="508"/>
  <c r="H7" i="508"/>
  <c r="G7" i="508"/>
  <c r="U13" i="485"/>
  <c r="U37" i="485"/>
  <c r="G334" i="202" l="1"/>
  <c r="F334" i="202"/>
  <c r="E334" i="202"/>
  <c r="D334" i="202"/>
  <c r="H334" i="202"/>
  <c r="I334" i="202"/>
  <c r="I263" i="202"/>
  <c r="H263" i="202"/>
  <c r="F263" i="202"/>
  <c r="G263" i="202"/>
  <c r="E263" i="202"/>
  <c r="D263" i="202"/>
  <c r="I319" i="202"/>
  <c r="H222" i="202"/>
  <c r="H319" i="202"/>
  <c r="G222" i="202"/>
  <c r="G319" i="202"/>
  <c r="F222" i="202"/>
  <c r="F318" i="202"/>
  <c r="E318" i="202"/>
  <c r="D318" i="202"/>
  <c r="E320" i="202"/>
  <c r="D320" i="202"/>
  <c r="I318" i="202"/>
  <c r="H318" i="202"/>
  <c r="G318" i="202"/>
  <c r="I320" i="202"/>
  <c r="D222" i="202"/>
  <c r="H320" i="202"/>
  <c r="E319" i="202"/>
  <c r="D319" i="202"/>
  <c r="G320" i="202"/>
  <c r="I222" i="202"/>
  <c r="F320" i="202"/>
  <c r="F319" i="202"/>
  <c r="E222" i="202"/>
  <c r="I340" i="202"/>
  <c r="E338" i="202"/>
  <c r="H340" i="202"/>
  <c r="D338" i="202"/>
  <c r="G340" i="202"/>
  <c r="I337" i="202"/>
  <c r="F340" i="202"/>
  <c r="H338" i="202"/>
  <c r="E340" i="202"/>
  <c r="I336" i="202"/>
  <c r="D340" i="202"/>
  <c r="H336" i="202"/>
  <c r="H339" i="202"/>
  <c r="I339" i="202"/>
  <c r="G336" i="202"/>
  <c r="I338" i="202"/>
  <c r="G338" i="202"/>
  <c r="G339" i="202"/>
  <c r="F339" i="202"/>
  <c r="E339" i="202"/>
  <c r="F338" i="202"/>
  <c r="D339" i="202"/>
  <c r="H337" i="202"/>
  <c r="D337" i="202"/>
  <c r="F336" i="202"/>
  <c r="G337" i="202"/>
  <c r="F337" i="202"/>
  <c r="E337" i="202"/>
  <c r="E336" i="202"/>
  <c r="D336" i="202"/>
  <c r="E316" i="202"/>
  <c r="D316" i="202"/>
  <c r="I316" i="202"/>
  <c r="G316" i="202"/>
  <c r="H316" i="202"/>
  <c r="F316" i="202"/>
  <c r="G324" i="202"/>
  <c r="F324" i="202"/>
  <c r="I326" i="202"/>
  <c r="E324" i="202"/>
  <c r="H326" i="202"/>
  <c r="G323" i="202"/>
  <c r="G326" i="202"/>
  <c r="F323" i="202"/>
  <c r="E326" i="202"/>
  <c r="D323" i="202"/>
  <c r="F326" i="202"/>
  <c r="E323" i="202"/>
  <c r="F325" i="202"/>
  <c r="E325" i="202"/>
  <c r="I325" i="202"/>
  <c r="H324" i="202"/>
  <c r="H325" i="202"/>
  <c r="G325" i="202"/>
  <c r="I324" i="202"/>
  <c r="D325" i="202"/>
  <c r="D324" i="202"/>
  <c r="I323" i="202"/>
  <c r="D326" i="202"/>
  <c r="H323" i="202"/>
  <c r="I330" i="202"/>
  <c r="E328" i="202"/>
  <c r="H330" i="202"/>
  <c r="D328" i="202"/>
  <c r="G330" i="202"/>
  <c r="F330" i="202"/>
  <c r="H331" i="202"/>
  <c r="F328" i="202"/>
  <c r="G331" i="202"/>
  <c r="E331" i="202"/>
  <c r="F331" i="202"/>
  <c r="H329" i="202"/>
  <c r="I332" i="202"/>
  <c r="G329" i="202"/>
  <c r="G332" i="202"/>
  <c r="F332" i="202"/>
  <c r="E332" i="202"/>
  <c r="D331" i="202"/>
  <c r="D332" i="202"/>
  <c r="I331" i="202"/>
  <c r="F329" i="202"/>
  <c r="E329" i="202"/>
  <c r="H332" i="202"/>
  <c r="E330" i="202"/>
  <c r="D330" i="202"/>
  <c r="I328" i="202"/>
  <c r="I329" i="202"/>
  <c r="D329" i="202"/>
  <c r="H328" i="202"/>
  <c r="G328" i="202"/>
  <c r="J16" i="200"/>
  <c r="F20" i="200"/>
  <c r="F19" i="200"/>
  <c r="J18" i="200"/>
  <c r="F18" i="200"/>
  <c r="I16" i="200"/>
  <c r="H16" i="200"/>
  <c r="G16" i="200"/>
  <c r="F15" i="200"/>
  <c r="F14" i="200"/>
  <c r="F13" i="200"/>
  <c r="J12" i="200"/>
  <c r="F12" i="200"/>
  <c r="J11" i="200"/>
  <c r="I11" i="200"/>
  <c r="H11" i="200"/>
  <c r="G11" i="200"/>
  <c r="J10" i="200"/>
  <c r="F10" i="200"/>
  <c r="J9" i="200"/>
  <c r="I9" i="200"/>
  <c r="H9" i="200"/>
  <c r="G9" i="200"/>
  <c r="J8" i="200"/>
  <c r="F8" i="200"/>
  <c r="J7" i="200"/>
  <c r="I7" i="200"/>
  <c r="H7" i="200"/>
  <c r="G7" i="200"/>
  <c r="J168" i="473"/>
  <c r="I168" i="473"/>
  <c r="H168" i="473"/>
  <c r="G168" i="473"/>
  <c r="F168" i="473"/>
  <c r="E168" i="473"/>
  <c r="D168" i="473"/>
  <c r="J167" i="473"/>
  <c r="I167" i="473"/>
  <c r="H167" i="473"/>
  <c r="G167" i="473"/>
  <c r="F167" i="473"/>
  <c r="E167" i="473"/>
  <c r="D167" i="473"/>
  <c r="H11" i="473"/>
  <c r="H9" i="473"/>
  <c r="H7" i="473"/>
  <c r="AH56" i="129"/>
  <c r="AH55" i="129"/>
  <c r="AH54" i="129"/>
  <c r="AH53" i="129"/>
  <c r="AH52" i="129"/>
  <c r="AH51" i="129"/>
  <c r="AH50" i="129"/>
  <c r="AH114" i="129"/>
  <c r="AH116" i="129"/>
  <c r="AH115" i="129"/>
  <c r="AH128" i="129"/>
  <c r="AH126" i="129"/>
  <c r="AH125" i="129"/>
  <c r="AH124" i="129"/>
  <c r="AH123" i="129"/>
  <c r="AH122" i="129"/>
  <c r="AH144" i="129"/>
  <c r="AH143" i="129"/>
  <c r="AH142" i="129"/>
  <c r="AH141" i="129"/>
  <c r="AH140" i="129"/>
  <c r="AH139" i="129"/>
  <c r="AH137" i="129"/>
  <c r="AH136" i="129"/>
  <c r="AH135" i="129"/>
  <c r="AH133" i="129"/>
  <c r="AH132" i="129"/>
  <c r="AH131" i="129"/>
  <c r="AH130" i="129"/>
  <c r="AH129" i="129"/>
  <c r="AH120" i="129"/>
  <c r="AH119" i="129"/>
  <c r="AH118" i="129"/>
  <c r="AH117" i="129"/>
  <c r="AH105" i="129"/>
  <c r="AH104" i="129"/>
  <c r="AH103" i="129"/>
  <c r="AH102" i="129"/>
  <c r="AH101" i="129"/>
  <c r="AH100" i="129"/>
  <c r="AH99" i="129"/>
  <c r="AH98" i="129"/>
  <c r="AH97" i="129"/>
  <c r="AH96" i="129"/>
  <c r="AH95" i="129"/>
  <c r="AH94" i="129"/>
  <c r="AH93" i="129"/>
  <c r="AH92" i="129"/>
  <c r="AH91" i="129"/>
  <c r="AH90" i="129"/>
  <c r="AH89" i="129"/>
  <c r="AH88" i="129"/>
  <c r="AH87" i="129"/>
  <c r="AH86" i="129"/>
  <c r="AH84" i="129"/>
  <c r="AH83" i="129"/>
  <c r="AH82" i="129"/>
  <c r="AH81" i="129"/>
  <c r="AH80" i="129"/>
  <c r="AH79" i="129"/>
  <c r="AH78" i="129"/>
  <c r="AH77" i="129"/>
  <c r="AH76" i="129"/>
  <c r="AH75" i="129"/>
  <c r="AH74" i="129"/>
  <c r="AH73" i="129"/>
  <c r="AH72" i="129"/>
  <c r="AH71" i="129"/>
  <c r="AH70" i="129"/>
  <c r="AH69" i="129"/>
  <c r="AH68" i="129"/>
  <c r="AH67" i="129"/>
  <c r="AH66" i="129"/>
  <c r="AH48" i="129"/>
  <c r="AH47" i="129"/>
  <c r="AH46" i="129"/>
  <c r="AH45" i="129"/>
  <c r="AH44" i="129"/>
  <c r="AH43" i="129"/>
  <c r="AH42" i="129"/>
  <c r="AH41" i="129"/>
  <c r="AH40" i="129"/>
  <c r="AH39" i="129"/>
  <c r="AH38" i="129"/>
  <c r="AH37" i="129"/>
  <c r="AH36" i="129"/>
  <c r="AH35" i="129"/>
  <c r="AH34" i="129"/>
  <c r="AH33" i="129"/>
  <c r="AH32" i="129"/>
  <c r="AH31" i="129"/>
  <c r="AH30" i="129"/>
  <c r="AH29" i="129"/>
  <c r="AH28" i="129"/>
  <c r="AH27" i="129"/>
  <c r="AH21" i="129"/>
  <c r="AH6" i="129"/>
  <c r="AH18" i="129"/>
  <c r="AH17" i="129"/>
  <c r="AH16" i="129"/>
  <c r="AH15" i="129"/>
  <c r="AH10" i="129"/>
  <c r="AH65" i="129"/>
  <c r="AH7" i="129"/>
  <c r="V51" i="129" l="1"/>
  <c r="U51" i="129"/>
  <c r="R51" i="129"/>
  <c r="W51" i="129"/>
  <c r="S51" i="129"/>
  <c r="T51" i="129"/>
  <c r="H326" i="200"/>
  <c r="D324" i="200"/>
  <c r="G326" i="200"/>
  <c r="I323" i="200"/>
  <c r="F326" i="200"/>
  <c r="H323" i="200"/>
  <c r="F324" i="200"/>
  <c r="E324" i="200"/>
  <c r="G323" i="200"/>
  <c r="I324" i="200"/>
  <c r="H324" i="200"/>
  <c r="G324" i="200"/>
  <c r="F323" i="200"/>
  <c r="E326" i="200"/>
  <c r="D326" i="200"/>
  <c r="I325" i="200"/>
  <c r="H325" i="200"/>
  <c r="G325" i="200"/>
  <c r="I326" i="200"/>
  <c r="D323" i="200"/>
  <c r="F325" i="200"/>
  <c r="E325" i="200"/>
  <c r="D325" i="200"/>
  <c r="E323" i="200"/>
  <c r="F340" i="200"/>
  <c r="H337" i="200"/>
  <c r="E340" i="200"/>
  <c r="G337" i="200"/>
  <c r="D340" i="200"/>
  <c r="F337" i="200"/>
  <c r="G340" i="200"/>
  <c r="I336" i="200"/>
  <c r="I339" i="200"/>
  <c r="H336" i="200"/>
  <c r="H339" i="200"/>
  <c r="G336" i="200"/>
  <c r="F339" i="200"/>
  <c r="E339" i="200"/>
  <c r="D339" i="200"/>
  <c r="I338" i="200"/>
  <c r="I340" i="200"/>
  <c r="H340" i="200"/>
  <c r="G339" i="200"/>
  <c r="H338" i="200"/>
  <c r="E337" i="200"/>
  <c r="D337" i="200"/>
  <c r="F336" i="200"/>
  <c r="E336" i="200"/>
  <c r="D336" i="200"/>
  <c r="F338" i="200"/>
  <c r="G338" i="200"/>
  <c r="E338" i="200"/>
  <c r="I337" i="200"/>
  <c r="D338" i="200"/>
  <c r="I316" i="200"/>
  <c r="H316" i="200"/>
  <c r="G316" i="200"/>
  <c r="D316" i="200"/>
  <c r="E316" i="200"/>
  <c r="F316" i="200"/>
  <c r="F319" i="200"/>
  <c r="E222" i="200"/>
  <c r="E431" i="200" s="1"/>
  <c r="E319" i="200"/>
  <c r="D319" i="200"/>
  <c r="H318" i="200"/>
  <c r="G318" i="200"/>
  <c r="F318" i="200"/>
  <c r="E318" i="200"/>
  <c r="D318" i="200"/>
  <c r="I319" i="200"/>
  <c r="H319" i="200"/>
  <c r="G319" i="200"/>
  <c r="I318" i="200"/>
  <c r="I320" i="200"/>
  <c r="G320" i="200"/>
  <c r="H222" i="200"/>
  <c r="H431" i="200" s="1"/>
  <c r="H320" i="200"/>
  <c r="I222" i="200"/>
  <c r="I431" i="200" s="1"/>
  <c r="F320" i="200"/>
  <c r="F222" i="200"/>
  <c r="F431" i="200" s="1"/>
  <c r="E320" i="200"/>
  <c r="D320" i="200"/>
  <c r="G222" i="200"/>
  <c r="G431" i="200" s="1"/>
  <c r="D222" i="200"/>
  <c r="F330" i="200"/>
  <c r="I332" i="200"/>
  <c r="E330" i="200"/>
  <c r="H332" i="200"/>
  <c r="D330" i="200"/>
  <c r="H331" i="200"/>
  <c r="G328" i="200"/>
  <c r="G331" i="200"/>
  <c r="F328" i="200"/>
  <c r="F331" i="200"/>
  <c r="E328" i="200"/>
  <c r="G329" i="200"/>
  <c r="F329" i="200"/>
  <c r="E329" i="200"/>
  <c r="D329" i="200"/>
  <c r="G332" i="200"/>
  <c r="F332" i="200"/>
  <c r="E332" i="200"/>
  <c r="D332" i="200"/>
  <c r="I331" i="200"/>
  <c r="E331" i="200"/>
  <c r="D331" i="200"/>
  <c r="I330" i="200"/>
  <c r="H328" i="200"/>
  <c r="D328" i="200"/>
  <c r="H329" i="200"/>
  <c r="H330" i="200"/>
  <c r="G330" i="200"/>
  <c r="I329" i="200"/>
  <c r="I328" i="200"/>
  <c r="D334" i="200"/>
  <c r="H334" i="200"/>
  <c r="G334" i="200"/>
  <c r="F334" i="200"/>
  <c r="E334" i="200"/>
  <c r="I334" i="200"/>
  <c r="G263" i="200"/>
  <c r="E263" i="200"/>
  <c r="I263" i="200"/>
  <c r="H263" i="200"/>
  <c r="F263" i="200"/>
  <c r="D263" i="200"/>
  <c r="J326" i="202"/>
  <c r="J338" i="202"/>
  <c r="H317" i="202"/>
  <c r="H315" i="202" s="1"/>
  <c r="J340" i="202"/>
  <c r="J319" i="202"/>
  <c r="J331" i="202"/>
  <c r="F322" i="202"/>
  <c r="F335" i="202"/>
  <c r="F333" i="202" s="1"/>
  <c r="J337" i="202"/>
  <c r="E317" i="202"/>
  <c r="E315" i="202" s="1"/>
  <c r="J324" i="202"/>
  <c r="J334" i="202"/>
  <c r="J339" i="202"/>
  <c r="G335" i="202"/>
  <c r="G333" i="202" s="1"/>
  <c r="J323" i="202"/>
  <c r="G322" i="202"/>
  <c r="F317" i="202"/>
  <c r="F315" i="202" s="1"/>
  <c r="J318" i="202"/>
  <c r="D317" i="202"/>
  <c r="D327" i="202"/>
  <c r="J328" i="202"/>
  <c r="H322" i="202"/>
  <c r="J316" i="202"/>
  <c r="I335" i="202"/>
  <c r="I333" i="202" s="1"/>
  <c r="J336" i="202"/>
  <c r="D335" i="202"/>
  <c r="I317" i="202"/>
  <c r="I315" i="202" s="1"/>
  <c r="E327" i="202"/>
  <c r="J330" i="202"/>
  <c r="J332" i="202"/>
  <c r="J320" i="202"/>
  <c r="D322" i="202"/>
  <c r="E335" i="202"/>
  <c r="E333" i="202" s="1"/>
  <c r="F327" i="202"/>
  <c r="G327" i="202"/>
  <c r="J329" i="202"/>
  <c r="J325" i="202"/>
  <c r="J222" i="202"/>
  <c r="E322" i="202"/>
  <c r="H335" i="202"/>
  <c r="H333" i="202" s="1"/>
  <c r="G317" i="202"/>
  <c r="G315" i="202" s="1"/>
  <c r="H327" i="202"/>
  <c r="I322" i="202"/>
  <c r="I327" i="202"/>
  <c r="D24" i="508"/>
  <c r="D23" i="508"/>
  <c r="D22" i="508"/>
  <c r="D21" i="508"/>
  <c r="X51" i="129" l="1"/>
  <c r="J326" i="200"/>
  <c r="H357" i="508"/>
  <c r="I357" i="508"/>
  <c r="D357" i="508"/>
  <c r="G357" i="508"/>
  <c r="F357" i="508"/>
  <c r="E357" i="508"/>
  <c r="F321" i="202"/>
  <c r="F342" i="202" s="1"/>
  <c r="E321" i="202"/>
  <c r="E342" i="202" s="1"/>
  <c r="H321" i="202"/>
  <c r="H342" i="202" s="1"/>
  <c r="I321" i="202"/>
  <c r="I342" i="202" s="1"/>
  <c r="J324" i="200"/>
  <c r="D322" i="200"/>
  <c r="E327" i="200"/>
  <c r="H317" i="200"/>
  <c r="H315" i="200" s="1"/>
  <c r="I317" i="200"/>
  <c r="I315" i="200" s="1"/>
  <c r="J325" i="200"/>
  <c r="G327" i="200"/>
  <c r="I327" i="200"/>
  <c r="G335" i="200"/>
  <c r="G333" i="200" s="1"/>
  <c r="J317" i="202"/>
  <c r="J328" i="200"/>
  <c r="D327" i="200"/>
  <c r="E322" i="200"/>
  <c r="J327" i="202"/>
  <c r="J329" i="200"/>
  <c r="H335" i="200"/>
  <c r="H333" i="200" s="1"/>
  <c r="F322" i="200"/>
  <c r="F335" i="200"/>
  <c r="F333" i="200" s="1"/>
  <c r="J319" i="200"/>
  <c r="J334" i="200"/>
  <c r="D315" i="202"/>
  <c r="J336" i="200"/>
  <c r="I335" i="200"/>
  <c r="I333" i="200" s="1"/>
  <c r="D333" i="202"/>
  <c r="J333" i="202" s="1"/>
  <c r="J335" i="202"/>
  <c r="H327" i="200"/>
  <c r="J330" i="200"/>
  <c r="J331" i="200"/>
  <c r="G322" i="200"/>
  <c r="G321" i="202"/>
  <c r="G342" i="202" s="1"/>
  <c r="J332" i="200"/>
  <c r="H322" i="200"/>
  <c r="E335" i="200"/>
  <c r="E333" i="200" s="1"/>
  <c r="D335" i="200"/>
  <c r="D333" i="200" s="1"/>
  <c r="J337" i="200"/>
  <c r="J222" i="200"/>
  <c r="J431" i="200" s="1"/>
  <c r="J318" i="200"/>
  <c r="D317" i="200"/>
  <c r="F327" i="200"/>
  <c r="D321" i="202"/>
  <c r="J322" i="202"/>
  <c r="J338" i="200"/>
  <c r="J339" i="200"/>
  <c r="F317" i="200"/>
  <c r="F315" i="200" s="1"/>
  <c r="J320" i="200"/>
  <c r="J316" i="200"/>
  <c r="J323" i="200"/>
  <c r="I322" i="200"/>
  <c r="J340" i="200"/>
  <c r="G317" i="200"/>
  <c r="G315" i="200" s="1"/>
  <c r="E317" i="200"/>
  <c r="E315" i="200" s="1"/>
  <c r="D431" i="200"/>
  <c r="J357" i="508" l="1"/>
  <c r="D321" i="200"/>
  <c r="E321" i="200"/>
  <c r="E342" i="200" s="1"/>
  <c r="I321" i="200"/>
  <c r="I342" i="200" s="1"/>
  <c r="J321" i="202"/>
  <c r="G321" i="200"/>
  <c r="G342" i="200" s="1"/>
  <c r="D342" i="202"/>
  <c r="J342" i="202" s="1"/>
  <c r="J315" i="202"/>
  <c r="D315" i="200"/>
  <c r="J317" i="200"/>
  <c r="F321" i="200"/>
  <c r="J322" i="200"/>
  <c r="J335" i="200"/>
  <c r="J333" i="200"/>
  <c r="J327" i="200"/>
  <c r="H321" i="200"/>
  <c r="H342" i="200" s="1"/>
  <c r="J321" i="200" l="1"/>
  <c r="F342" i="200"/>
  <c r="J315" i="200"/>
  <c r="D342" i="200"/>
  <c r="J342" i="200" l="1"/>
  <c r="D133" i="81"/>
  <c r="D144" i="81"/>
  <c r="C50" i="62"/>
  <c r="E50" i="62"/>
  <c r="F50" i="62"/>
  <c r="G50" i="62"/>
  <c r="J50" i="62"/>
  <c r="I50" i="62" s="1"/>
  <c r="K50" i="62"/>
  <c r="C51" i="62"/>
  <c r="E51" i="62"/>
  <c r="F51" i="62"/>
  <c r="G51" i="62"/>
  <c r="J51" i="62"/>
  <c r="I51" i="62" s="1"/>
  <c r="K51" i="62"/>
  <c r="C52" i="62"/>
  <c r="E52" i="62"/>
  <c r="F52" i="62"/>
  <c r="G52" i="62"/>
  <c r="J52" i="62"/>
  <c r="I52" i="62" s="1"/>
  <c r="K52" i="62"/>
  <c r="C53" i="62"/>
  <c r="E53" i="62"/>
  <c r="F53" i="62"/>
  <c r="G53" i="62"/>
  <c r="J53" i="62"/>
  <c r="I53" i="62" s="1"/>
  <c r="K53" i="62"/>
  <c r="C54" i="62"/>
  <c r="E54" i="62"/>
  <c r="F54" i="62"/>
  <c r="G54" i="62"/>
  <c r="J54" i="62"/>
  <c r="I54" i="62" s="1"/>
  <c r="K54" i="62"/>
  <c r="C55" i="62"/>
  <c r="E55" i="62"/>
  <c r="F55" i="62"/>
  <c r="G55" i="62"/>
  <c r="J55" i="62"/>
  <c r="I55" i="62" s="1"/>
  <c r="K55" i="62"/>
  <c r="C56" i="62"/>
  <c r="E56" i="62"/>
  <c r="F56" i="62"/>
  <c r="G56" i="62"/>
  <c r="J56" i="62"/>
  <c r="I56" i="62" s="1"/>
  <c r="K56" i="62"/>
  <c r="E144" i="81" l="1"/>
  <c r="E133" i="81"/>
  <c r="F133" i="81" l="1"/>
  <c r="F144" i="81"/>
  <c r="G144" i="81" l="1"/>
  <c r="G133" i="81"/>
  <c r="H133" i="81" l="1"/>
  <c r="H144" i="81"/>
  <c r="K66" i="70"/>
  <c r="I144" i="81" l="1"/>
  <c r="J144" i="81" s="1"/>
  <c r="I133" i="81"/>
  <c r="J133" i="81" l="1"/>
  <c r="T145" i="120" l="1"/>
  <c r="S145" i="120"/>
  <c r="T134" i="120"/>
  <c r="S134" i="120"/>
  <c r="I196" i="144"/>
  <c r="H196" i="144"/>
  <c r="G196" i="144"/>
  <c r="F196" i="144"/>
  <c r="E196" i="144"/>
  <c r="D196" i="144"/>
  <c r="I194" i="144"/>
  <c r="H194" i="144"/>
  <c r="G194" i="144"/>
  <c r="F194" i="144"/>
  <c r="E194" i="144"/>
  <c r="I189" i="144"/>
  <c r="H189" i="144"/>
  <c r="G189" i="144"/>
  <c r="F189" i="144"/>
  <c r="E189" i="144"/>
  <c r="D189" i="144"/>
  <c r="I188" i="144"/>
  <c r="H188" i="144"/>
  <c r="G188" i="144"/>
  <c r="F188" i="144"/>
  <c r="E188" i="144"/>
  <c r="D188" i="144"/>
  <c r="I187" i="144"/>
  <c r="H187" i="144"/>
  <c r="G187" i="144"/>
  <c r="F187" i="144"/>
  <c r="E187" i="144"/>
  <c r="D187" i="144"/>
  <c r="I186" i="144"/>
  <c r="H186" i="144"/>
  <c r="G186" i="144"/>
  <c r="F186" i="144"/>
  <c r="E186" i="144"/>
  <c r="D186" i="144"/>
  <c r="I185" i="144"/>
  <c r="H185" i="144"/>
  <c r="G185" i="144"/>
  <c r="F185" i="144"/>
  <c r="E185" i="144"/>
  <c r="D185" i="144"/>
  <c r="I184" i="144"/>
  <c r="H184" i="144"/>
  <c r="G184" i="144"/>
  <c r="F184" i="144"/>
  <c r="E184" i="144"/>
  <c r="D184" i="144"/>
  <c r="I183" i="144"/>
  <c r="H183" i="144"/>
  <c r="G183" i="144"/>
  <c r="F183" i="144"/>
  <c r="E183" i="144"/>
  <c r="D183" i="144"/>
  <c r="I182" i="144"/>
  <c r="H182" i="144"/>
  <c r="G182" i="144"/>
  <c r="F182" i="144"/>
  <c r="E182" i="144"/>
  <c r="D182" i="144"/>
  <c r="I181" i="144"/>
  <c r="H181" i="144"/>
  <c r="G181" i="144"/>
  <c r="F181" i="144"/>
  <c r="E181" i="144"/>
  <c r="D181" i="144"/>
  <c r="I180" i="144"/>
  <c r="H180" i="144"/>
  <c r="G180" i="144"/>
  <c r="F180" i="144"/>
  <c r="E180" i="144"/>
  <c r="D180" i="144"/>
  <c r="X145" i="129"/>
  <c r="X134" i="129"/>
  <c r="X121" i="129"/>
  <c r="Q145" i="120"/>
  <c r="Q134" i="120"/>
  <c r="Q120" i="120"/>
  <c r="Q145" i="129"/>
  <c r="Q134" i="129"/>
  <c r="Q121" i="129"/>
  <c r="J145" i="129"/>
  <c r="J134" i="129"/>
  <c r="J121" i="129"/>
  <c r="W139" i="130"/>
  <c r="V139" i="130"/>
  <c r="U139" i="130"/>
  <c r="T139" i="130"/>
  <c r="S139" i="130"/>
  <c r="R139" i="130"/>
  <c r="W128" i="130"/>
  <c r="V128" i="130"/>
  <c r="U128" i="130"/>
  <c r="T128" i="130"/>
  <c r="S128" i="130"/>
  <c r="R128" i="130"/>
  <c r="W117" i="130"/>
  <c r="V117" i="130"/>
  <c r="U117" i="130"/>
  <c r="T117" i="130"/>
  <c r="S117" i="130"/>
  <c r="R117" i="130"/>
  <c r="I190" i="144"/>
  <c r="H190" i="144"/>
  <c r="G190" i="144"/>
  <c r="F190" i="144"/>
  <c r="E190" i="144"/>
  <c r="I191" i="144"/>
  <c r="H191" i="144"/>
  <c r="G191" i="144"/>
  <c r="F191" i="144"/>
  <c r="E191" i="144"/>
  <c r="D191" i="144"/>
  <c r="I192" i="144"/>
  <c r="H192" i="144"/>
  <c r="G192" i="144"/>
  <c r="F192" i="144"/>
  <c r="E192" i="144"/>
  <c r="D192" i="144"/>
  <c r="D195" i="144"/>
  <c r="I195" i="144"/>
  <c r="G195" i="144"/>
  <c r="F195" i="144"/>
  <c r="E195" i="144"/>
  <c r="O115" i="459"/>
  <c r="O103" i="459"/>
  <c r="O95" i="459"/>
  <c r="O93" i="459"/>
  <c r="O91" i="459"/>
  <c r="O90" i="459"/>
  <c r="O89" i="459"/>
  <c r="O88" i="459"/>
  <c r="O87" i="459"/>
  <c r="O86" i="459"/>
  <c r="O85" i="459"/>
  <c r="O84" i="459"/>
  <c r="O82" i="459"/>
  <c r="O80" i="459"/>
  <c r="O79" i="459"/>
  <c r="O78" i="459"/>
  <c r="O77" i="459"/>
  <c r="O76" i="459"/>
  <c r="O99" i="459"/>
  <c r="O101" i="459"/>
  <c r="O105" i="459"/>
  <c r="O107" i="459"/>
  <c r="O109" i="459"/>
  <c r="O111" i="459"/>
  <c r="O113" i="459"/>
  <c r="O117" i="459"/>
  <c r="O81" i="459"/>
  <c r="O94" i="459"/>
  <c r="O59" i="459"/>
  <c r="O71" i="459"/>
  <c r="O72" i="459"/>
  <c r="O73" i="459"/>
  <c r="O70" i="459"/>
  <c r="O69" i="459"/>
  <c r="O68" i="459"/>
  <c r="O67" i="459"/>
  <c r="O66" i="459"/>
  <c r="O65" i="459"/>
  <c r="O64" i="459"/>
  <c r="O63" i="459"/>
  <c r="O62" i="459"/>
  <c r="O61" i="459"/>
  <c r="O60" i="459"/>
  <c r="O58" i="459"/>
  <c r="O57" i="459"/>
  <c r="O56" i="459"/>
  <c r="O55" i="459"/>
  <c r="O54" i="459"/>
  <c r="F340" i="657" l="1"/>
  <c r="E340" i="657"/>
  <c r="D340" i="657"/>
  <c r="E332" i="657"/>
  <c r="D332" i="657"/>
  <c r="E332" i="658"/>
  <c r="D340" i="658"/>
  <c r="E340" i="658"/>
  <c r="D332" i="658"/>
  <c r="F340" i="658"/>
  <c r="F141" i="639"/>
  <c r="D141" i="639"/>
  <c r="I141" i="639"/>
  <c r="G141" i="639"/>
  <c r="H141" i="639"/>
  <c r="E141" i="639"/>
  <c r="J118" i="129"/>
  <c r="J144" i="129"/>
  <c r="X117" i="130"/>
  <c r="X128" i="130"/>
  <c r="I193" i="144"/>
  <c r="I197" i="144" s="1"/>
  <c r="I198" i="144" s="1"/>
  <c r="X139" i="130"/>
  <c r="H195" i="144"/>
  <c r="D193" i="144"/>
  <c r="J134" i="120"/>
  <c r="J145" i="120"/>
  <c r="E193" i="144"/>
  <c r="E197" i="144" s="1"/>
  <c r="E198" i="144" s="1"/>
  <c r="F193" i="144"/>
  <c r="F197" i="144" s="1"/>
  <c r="F198" i="144" s="1"/>
  <c r="D190" i="144"/>
  <c r="G193" i="144"/>
  <c r="G197" i="144" s="1"/>
  <c r="G198" i="144" s="1"/>
  <c r="H193" i="144"/>
  <c r="R145" i="120"/>
  <c r="J144" i="120"/>
  <c r="R134" i="120"/>
  <c r="O83" i="459"/>
  <c r="O98" i="459"/>
  <c r="O100" i="459"/>
  <c r="O102" i="459"/>
  <c r="O104" i="459"/>
  <c r="O106" i="459"/>
  <c r="O108" i="459"/>
  <c r="O110" i="459"/>
  <c r="O112" i="459"/>
  <c r="O114" i="459"/>
  <c r="O116" i="459"/>
  <c r="O92" i="459"/>
  <c r="J340" i="657" l="1"/>
  <c r="J340" i="654"/>
  <c r="J340" i="658"/>
  <c r="J141" i="639"/>
  <c r="R127" i="129"/>
  <c r="T127" i="129"/>
  <c r="W127" i="129"/>
  <c r="U127" i="129"/>
  <c r="V127" i="129"/>
  <c r="Q127" i="129"/>
  <c r="J127" i="129"/>
  <c r="S127" i="129"/>
  <c r="H197" i="144"/>
  <c r="H198" i="144" s="1"/>
  <c r="X127" i="129" l="1"/>
  <c r="K66" i="75" l="1"/>
  <c r="M66" i="70" l="1"/>
  <c r="N66" i="70" s="1"/>
  <c r="K328" i="128"/>
  <c r="J328" i="128"/>
  <c r="I328" i="128"/>
  <c r="M328" i="128"/>
  <c r="L328" i="128"/>
  <c r="H328" i="128" l="1"/>
  <c r="N328" i="128" l="1"/>
  <c r="E17" i="79"/>
  <c r="E15" i="79" s="1"/>
  <c r="G12" i="113" l="1"/>
  <c r="D13" i="113"/>
  <c r="D12" i="113"/>
  <c r="H12" i="113" s="1"/>
  <c r="D11" i="113"/>
  <c r="D10" i="113"/>
  <c r="D9" i="113"/>
  <c r="D8" i="113"/>
  <c r="D7" i="113"/>
  <c r="D6" i="113"/>
  <c r="G65" i="113"/>
  <c r="H65" i="113" s="1"/>
  <c r="I65" i="113" s="1"/>
  <c r="J65" i="113" s="1"/>
  <c r="K65" i="113" s="1"/>
  <c r="L65" i="113" s="1"/>
  <c r="G75" i="113"/>
  <c r="H75" i="113" s="1"/>
  <c r="I75" i="113" s="1"/>
  <c r="J75" i="113" s="1"/>
  <c r="K75" i="113" s="1"/>
  <c r="L75" i="113" s="1"/>
  <c r="G74" i="113"/>
  <c r="H74" i="113" s="1"/>
  <c r="I74" i="113" s="1"/>
  <c r="J74" i="113" s="1"/>
  <c r="K74" i="113" s="1"/>
  <c r="L74" i="113" s="1"/>
  <c r="G73" i="113"/>
  <c r="H73" i="113" s="1"/>
  <c r="I73" i="113" s="1"/>
  <c r="J73" i="113" s="1"/>
  <c r="K73" i="113" s="1"/>
  <c r="L73" i="113" s="1"/>
  <c r="G72" i="113"/>
  <c r="H72" i="113" s="1"/>
  <c r="I72" i="113" s="1"/>
  <c r="J72" i="113" s="1"/>
  <c r="K72" i="113" s="1"/>
  <c r="L72" i="113" s="1"/>
  <c r="G71" i="113"/>
  <c r="H71" i="113" s="1"/>
  <c r="I71" i="113" s="1"/>
  <c r="J71" i="113" s="1"/>
  <c r="K71" i="113" s="1"/>
  <c r="L71" i="113" s="1"/>
  <c r="G70" i="113"/>
  <c r="H70" i="113" s="1"/>
  <c r="I70" i="113" s="1"/>
  <c r="J70" i="113" s="1"/>
  <c r="K70" i="113" s="1"/>
  <c r="L70" i="113" s="1"/>
  <c r="G69" i="113"/>
  <c r="H69" i="113" s="1"/>
  <c r="I69" i="113" s="1"/>
  <c r="J69" i="113" s="1"/>
  <c r="K69" i="113" s="1"/>
  <c r="L69" i="113" s="1"/>
  <c r="G68" i="113"/>
  <c r="H68" i="113" s="1"/>
  <c r="I68" i="113" s="1"/>
  <c r="J68" i="113" s="1"/>
  <c r="K68" i="113" s="1"/>
  <c r="L68" i="113" s="1"/>
  <c r="C168" i="130" l="1"/>
  <c r="C167" i="130"/>
  <c r="D186" i="86" l="1"/>
  <c r="F202" i="86"/>
  <c r="H202" i="86"/>
  <c r="I202" i="86"/>
  <c r="H198" i="86"/>
  <c r="E186" i="86"/>
  <c r="F186" i="86"/>
  <c r="G186" i="86"/>
  <c r="H186" i="86"/>
  <c r="I186" i="86"/>
  <c r="D187" i="86"/>
  <c r="E187" i="86"/>
  <c r="F187" i="86"/>
  <c r="G187" i="86"/>
  <c r="H187" i="86"/>
  <c r="I187" i="86"/>
  <c r="D188" i="86"/>
  <c r="E188" i="86"/>
  <c r="F188" i="86"/>
  <c r="G188" i="86"/>
  <c r="H188" i="86"/>
  <c r="I188" i="86"/>
  <c r="D189" i="86"/>
  <c r="E189" i="86"/>
  <c r="F189" i="86"/>
  <c r="G189" i="86"/>
  <c r="H189" i="86"/>
  <c r="I189" i="86"/>
  <c r="D191" i="86"/>
  <c r="E191" i="86"/>
  <c r="F191" i="86"/>
  <c r="G191" i="86"/>
  <c r="H191" i="86"/>
  <c r="I191" i="86"/>
  <c r="D192" i="86"/>
  <c r="E192" i="86"/>
  <c r="F192" i="86"/>
  <c r="G192" i="86"/>
  <c r="H192" i="86"/>
  <c r="I192" i="86"/>
  <c r="D193" i="86"/>
  <c r="E193" i="86"/>
  <c r="F193" i="86"/>
  <c r="G193" i="86"/>
  <c r="H193" i="86"/>
  <c r="I193" i="86"/>
  <c r="D194" i="86"/>
  <c r="E194" i="86"/>
  <c r="F194" i="86"/>
  <c r="G194" i="86"/>
  <c r="H194" i="86"/>
  <c r="I194" i="86"/>
  <c r="D195" i="86"/>
  <c r="E195" i="86"/>
  <c r="F195" i="86"/>
  <c r="G195" i="86"/>
  <c r="H195" i="86"/>
  <c r="I195" i="86"/>
  <c r="D196" i="86"/>
  <c r="E196" i="86"/>
  <c r="F196" i="86"/>
  <c r="G196" i="86"/>
  <c r="H196" i="86"/>
  <c r="I196" i="86"/>
  <c r="D203" i="86"/>
  <c r="E203" i="86"/>
  <c r="F203" i="86"/>
  <c r="G203" i="86"/>
  <c r="H203" i="86"/>
  <c r="I203" i="86"/>
  <c r="F332" i="657" l="1"/>
  <c r="J332" i="657" s="1"/>
  <c r="J332" i="654"/>
  <c r="F332" i="658"/>
  <c r="J332" i="658" s="1"/>
  <c r="D184" i="86"/>
  <c r="I163" i="459" s="1"/>
  <c r="I164" i="459" s="1"/>
  <c r="I184" i="86"/>
  <c r="N163" i="459" s="1"/>
  <c r="N164" i="459" s="1"/>
  <c r="H184" i="86"/>
  <c r="M163" i="459" s="1"/>
  <c r="M164" i="459" s="1"/>
  <c r="G184" i="86"/>
  <c r="L163" i="459" s="1"/>
  <c r="L164" i="459" s="1"/>
  <c r="E184" i="86"/>
  <c r="J163" i="459" s="1"/>
  <c r="J164" i="459" s="1"/>
  <c r="F184" i="86"/>
  <c r="K163" i="459" s="1"/>
  <c r="K164" i="459" s="1"/>
  <c r="J133" i="120"/>
  <c r="D197" i="86"/>
  <c r="F198" i="86"/>
  <c r="I201" i="86"/>
  <c r="D199" i="86"/>
  <c r="G200" i="86"/>
  <c r="H197" i="86"/>
  <c r="F200" i="86"/>
  <c r="E200" i="86"/>
  <c r="I198" i="86"/>
  <c r="H200" i="86"/>
  <c r="G198" i="86"/>
  <c r="G202" i="86"/>
  <c r="E198" i="86"/>
  <c r="E202" i="86"/>
  <c r="I200" i="86"/>
  <c r="I197" i="86"/>
  <c r="I199" i="86"/>
  <c r="F197" i="86"/>
  <c r="E197" i="86"/>
  <c r="H199" i="86"/>
  <c r="F199" i="86"/>
  <c r="E199" i="86" l="1"/>
  <c r="G197" i="86"/>
  <c r="H201" i="86"/>
  <c r="H204" i="86" s="1"/>
  <c r="H205" i="86" s="1"/>
  <c r="G201" i="86"/>
  <c r="D194" i="144"/>
  <c r="D197" i="144" s="1"/>
  <c r="E201" i="86"/>
  <c r="D200" i="86"/>
  <c r="D202" i="86"/>
  <c r="F201" i="86"/>
  <c r="F204" i="86" s="1"/>
  <c r="I204" i="86"/>
  <c r="G199" i="86"/>
  <c r="E204" i="86" l="1"/>
  <c r="E205" i="86" s="1"/>
  <c r="G204" i="86"/>
  <c r="G205" i="86" s="1"/>
  <c r="J133" i="129"/>
  <c r="D201" i="86"/>
  <c r="I205" i="86"/>
  <c r="F205" i="86"/>
  <c r="J198" i="144" l="1"/>
  <c r="D198" i="144"/>
  <c r="M74" i="113" l="1"/>
  <c r="C12" i="113"/>
  <c r="C21" i="113" s="1"/>
  <c r="C41" i="113" s="1"/>
  <c r="C54" i="113" s="1"/>
  <c r="C65" i="113" s="1"/>
  <c r="C74" i="113" s="1"/>
  <c r="C13" i="113"/>
  <c r="G54" i="113"/>
  <c r="K22" i="75"/>
  <c r="K23" i="75"/>
  <c r="K24" i="75"/>
  <c r="K25" i="75"/>
  <c r="K26" i="75"/>
  <c r="K21" i="75"/>
  <c r="G21" i="113" l="1"/>
  <c r="H54" i="113" s="1"/>
  <c r="H21" i="113" s="1"/>
  <c r="I54" i="113" s="1"/>
  <c r="I21" i="113" s="1"/>
  <c r="J54" i="113" s="1"/>
  <c r="J21" i="113" s="1"/>
  <c r="K54" i="113" s="1"/>
  <c r="K21" i="113" s="1"/>
  <c r="L54" i="113" s="1"/>
  <c r="P54" i="113"/>
  <c r="M65" i="113"/>
  <c r="G41" i="113" l="1"/>
  <c r="H41" i="113"/>
  <c r="L21" i="113"/>
  <c r="L41" i="113" s="1"/>
  <c r="O54" i="113"/>
  <c r="I41" i="113"/>
  <c r="J41" i="113"/>
  <c r="K41" i="113"/>
  <c r="M41" i="113" l="1"/>
  <c r="P75" i="459" l="1"/>
  <c r="P76" i="459"/>
  <c r="P77" i="459"/>
  <c r="P78" i="459"/>
  <c r="P79" i="459"/>
  <c r="P80" i="459"/>
  <c r="P81" i="459"/>
  <c r="P82" i="459"/>
  <c r="P83" i="459"/>
  <c r="P84" i="459"/>
  <c r="P85" i="459"/>
  <c r="P86" i="459"/>
  <c r="P87" i="459"/>
  <c r="P88" i="459"/>
  <c r="P89" i="459"/>
  <c r="P90" i="459"/>
  <c r="P91" i="459"/>
  <c r="P92" i="459"/>
  <c r="P93" i="459"/>
  <c r="P94" i="459"/>
  <c r="P95" i="459"/>
  <c r="P97" i="459"/>
  <c r="P98" i="459"/>
  <c r="P99" i="459"/>
  <c r="P100" i="459"/>
  <c r="P101" i="459"/>
  <c r="P102" i="459"/>
  <c r="P103" i="459"/>
  <c r="P104" i="459"/>
  <c r="P105" i="459"/>
  <c r="P106" i="459"/>
  <c r="P107" i="459"/>
  <c r="P108" i="459"/>
  <c r="P109" i="459"/>
  <c r="P110" i="459"/>
  <c r="P111" i="459"/>
  <c r="P112" i="459"/>
  <c r="P113" i="459"/>
  <c r="P114" i="459"/>
  <c r="P115" i="459"/>
  <c r="P116" i="459"/>
  <c r="P117" i="459"/>
  <c r="P73" i="459"/>
  <c r="P72" i="459"/>
  <c r="P71" i="459"/>
  <c r="P70" i="459"/>
  <c r="P69" i="459"/>
  <c r="P68" i="459"/>
  <c r="P67" i="459"/>
  <c r="P66" i="459"/>
  <c r="P65" i="459"/>
  <c r="P64" i="459"/>
  <c r="P63" i="459"/>
  <c r="P62" i="459"/>
  <c r="P61" i="459"/>
  <c r="P60" i="459"/>
  <c r="P59" i="459"/>
  <c r="P58" i="459"/>
  <c r="P57" i="459"/>
  <c r="P56" i="459"/>
  <c r="P55" i="459"/>
  <c r="P54" i="459"/>
  <c r="P53" i="459"/>
  <c r="O53" i="459"/>
  <c r="E325" i="657" l="1"/>
  <c r="E329" i="657"/>
  <c r="E331" i="657"/>
  <c r="E337" i="657"/>
  <c r="E339" i="657"/>
  <c r="F325" i="657"/>
  <c r="F329" i="657"/>
  <c r="F331" i="657"/>
  <c r="F337" i="657"/>
  <c r="F339" i="657"/>
  <c r="E319" i="657"/>
  <c r="E324" i="657"/>
  <c r="E330" i="657"/>
  <c r="E338" i="657"/>
  <c r="F319" i="657"/>
  <c r="F324" i="657"/>
  <c r="F330" i="657"/>
  <c r="F338" i="657"/>
  <c r="D339" i="657"/>
  <c r="E316" i="657"/>
  <c r="E328" i="657"/>
  <c r="E336" i="657"/>
  <c r="D325" i="657"/>
  <c r="F316" i="657"/>
  <c r="F328" i="657"/>
  <c r="F336" i="657"/>
  <c r="D329" i="657"/>
  <c r="D337" i="657"/>
  <c r="E318" i="657"/>
  <c r="D334" i="657"/>
  <c r="E323" i="657"/>
  <c r="E334" i="657"/>
  <c r="D323" i="657"/>
  <c r="F323" i="657"/>
  <c r="F334" i="657"/>
  <c r="D318" i="657"/>
  <c r="F318" i="657"/>
  <c r="D331" i="657"/>
  <c r="D316" i="657"/>
  <c r="D319" i="657"/>
  <c r="D324" i="657"/>
  <c r="D328" i="657"/>
  <c r="D330" i="657"/>
  <c r="D336" i="657"/>
  <c r="D338" i="657"/>
  <c r="F320" i="657"/>
  <c r="D320" i="657"/>
  <c r="E320" i="657"/>
  <c r="F331" i="658"/>
  <c r="D337" i="658"/>
  <c r="D316" i="658"/>
  <c r="F320" i="658"/>
  <c r="E328" i="658"/>
  <c r="F337" i="658"/>
  <c r="F329" i="658"/>
  <c r="F336" i="658"/>
  <c r="E339" i="658"/>
  <c r="D329" i="658"/>
  <c r="F325" i="658"/>
  <c r="F334" i="658"/>
  <c r="D336" i="658"/>
  <c r="F328" i="658"/>
  <c r="F319" i="658"/>
  <c r="E337" i="658"/>
  <c r="F339" i="658"/>
  <c r="D339" i="658"/>
  <c r="D318" i="658"/>
  <c r="D323" i="658"/>
  <c r="E331" i="658"/>
  <c r="D320" i="658"/>
  <c r="F318" i="658"/>
  <c r="F323" i="658"/>
  <c r="D328" i="658"/>
  <c r="E334" i="658"/>
  <c r="D325" i="658"/>
  <c r="E330" i="658"/>
  <c r="E329" i="658"/>
  <c r="D331" i="658"/>
  <c r="E316" i="658"/>
  <c r="F338" i="658"/>
  <c r="D338" i="658"/>
  <c r="F324" i="658"/>
  <c r="F316" i="658"/>
  <c r="D324" i="658"/>
  <c r="E323" i="658"/>
  <c r="E324" i="658"/>
  <c r="E325" i="658"/>
  <c r="E318" i="658"/>
  <c r="F330" i="658"/>
  <c r="D330" i="658"/>
  <c r="E338" i="658"/>
  <c r="D319" i="658"/>
  <c r="D334" i="658"/>
  <c r="E336" i="658"/>
  <c r="E319" i="658"/>
  <c r="E320" i="658"/>
  <c r="T120" i="120"/>
  <c r="S120" i="120"/>
  <c r="J141" i="120"/>
  <c r="J130" i="120"/>
  <c r="J142" i="120"/>
  <c r="J119" i="120"/>
  <c r="J132" i="120"/>
  <c r="J131" i="120"/>
  <c r="J143" i="120"/>
  <c r="J129" i="120"/>
  <c r="J118" i="120"/>
  <c r="J125" i="120"/>
  <c r="J137" i="120"/>
  <c r="J140" i="120"/>
  <c r="J116" i="120"/>
  <c r="J124" i="120"/>
  <c r="J126" i="120"/>
  <c r="R120" i="120"/>
  <c r="J120" i="120"/>
  <c r="F434" i="658" l="1"/>
  <c r="F393" i="658"/>
  <c r="F438" i="658"/>
  <c r="F397" i="658"/>
  <c r="D398" i="658"/>
  <c r="D439" i="658"/>
  <c r="E439" i="658"/>
  <c r="E398" i="658"/>
  <c r="E438" i="658"/>
  <c r="E397" i="658"/>
  <c r="F398" i="658"/>
  <c r="F439" i="658"/>
  <c r="D438" i="658"/>
  <c r="D397" i="658"/>
  <c r="D434" i="658"/>
  <c r="D393" i="658"/>
  <c r="E434" i="658"/>
  <c r="E393" i="658"/>
  <c r="J324" i="654"/>
  <c r="J324" i="657"/>
  <c r="J339" i="657"/>
  <c r="J339" i="654"/>
  <c r="E327" i="657"/>
  <c r="E327" i="654"/>
  <c r="E335" i="657"/>
  <c r="E392" i="657" s="1"/>
  <c r="E335" i="654"/>
  <c r="E333" i="654" s="1"/>
  <c r="J325" i="654"/>
  <c r="J325" i="657"/>
  <c r="J337" i="657"/>
  <c r="E317" i="654"/>
  <c r="E322" i="654"/>
  <c r="F327" i="657"/>
  <c r="J329" i="654"/>
  <c r="J329" i="657"/>
  <c r="J337" i="654"/>
  <c r="E317" i="657"/>
  <c r="E315" i="657" s="1"/>
  <c r="E322" i="657"/>
  <c r="J331" i="654"/>
  <c r="J331" i="657"/>
  <c r="J319" i="654"/>
  <c r="J319" i="657"/>
  <c r="J331" i="658"/>
  <c r="J334" i="657"/>
  <c r="J334" i="654"/>
  <c r="D322" i="654"/>
  <c r="J323" i="654"/>
  <c r="J323" i="657"/>
  <c r="D322" i="657"/>
  <c r="D317" i="657"/>
  <c r="D315" i="657" s="1"/>
  <c r="J318" i="657"/>
  <c r="D317" i="654"/>
  <c r="D315" i="654" s="1"/>
  <c r="J318" i="654"/>
  <c r="D327" i="657"/>
  <c r="J328" i="657"/>
  <c r="D327" i="654"/>
  <c r="J328" i="654"/>
  <c r="J336" i="657"/>
  <c r="D335" i="657"/>
  <c r="D333" i="657" s="1"/>
  <c r="D335" i="654"/>
  <c r="D333" i="654" s="1"/>
  <c r="J336" i="654"/>
  <c r="F327" i="654"/>
  <c r="F335" i="657"/>
  <c r="F333" i="657" s="1"/>
  <c r="F335" i="654"/>
  <c r="F333" i="654" s="1"/>
  <c r="J316" i="657"/>
  <c r="F322" i="654"/>
  <c r="F322" i="657"/>
  <c r="F436" i="657" s="1"/>
  <c r="F317" i="657"/>
  <c r="F315" i="657" s="1"/>
  <c r="F317" i="654"/>
  <c r="F315" i="654" s="1"/>
  <c r="J316" i="654"/>
  <c r="J330" i="654"/>
  <c r="J330" i="657"/>
  <c r="J338" i="657"/>
  <c r="J338" i="654"/>
  <c r="J320" i="654"/>
  <c r="J320" i="657"/>
  <c r="J334" i="658"/>
  <c r="E322" i="658"/>
  <c r="E438" i="654"/>
  <c r="E397" i="654"/>
  <c r="D439" i="654"/>
  <c r="D398" i="654"/>
  <c r="J318" i="658"/>
  <c r="D317" i="658"/>
  <c r="J336" i="658"/>
  <c r="D335" i="658"/>
  <c r="J337" i="658"/>
  <c r="F397" i="654"/>
  <c r="F438" i="654"/>
  <c r="E434" i="654"/>
  <c r="E393" i="654"/>
  <c r="F317" i="658"/>
  <c r="J329" i="658"/>
  <c r="F335" i="658"/>
  <c r="D327" i="658"/>
  <c r="J328" i="658"/>
  <c r="J324" i="658"/>
  <c r="J339" i="658"/>
  <c r="E335" i="658"/>
  <c r="F327" i="658"/>
  <c r="F439" i="654"/>
  <c r="F398" i="654"/>
  <c r="J325" i="658"/>
  <c r="J316" i="658"/>
  <c r="D322" i="658"/>
  <c r="J323" i="658"/>
  <c r="J319" i="658"/>
  <c r="J330" i="658"/>
  <c r="E317" i="658"/>
  <c r="J338" i="658"/>
  <c r="E439" i="654"/>
  <c r="E398" i="654"/>
  <c r="D393" i="654"/>
  <c r="D434" i="654"/>
  <c r="J320" i="658"/>
  <c r="F393" i="654"/>
  <c r="F434" i="654"/>
  <c r="E327" i="658"/>
  <c r="F322" i="658"/>
  <c r="D438" i="654"/>
  <c r="D397" i="654"/>
  <c r="E398" i="657"/>
  <c r="E439" i="657"/>
  <c r="F397" i="657"/>
  <c r="F438" i="657"/>
  <c r="D434" i="657"/>
  <c r="D393" i="657"/>
  <c r="E393" i="657"/>
  <c r="E434" i="657"/>
  <c r="F398" i="657"/>
  <c r="F439" i="657"/>
  <c r="D398" i="657"/>
  <c r="D439" i="657"/>
  <c r="E397" i="657"/>
  <c r="E438" i="657"/>
  <c r="F393" i="657"/>
  <c r="F434" i="657"/>
  <c r="D397" i="657"/>
  <c r="D438" i="657"/>
  <c r="G434" i="657"/>
  <c r="G393" i="657"/>
  <c r="G438" i="657"/>
  <c r="G397" i="657"/>
  <c r="G439" i="657"/>
  <c r="G398" i="657"/>
  <c r="J117" i="120"/>
  <c r="J139" i="120"/>
  <c r="J123" i="120"/>
  <c r="J115" i="120"/>
  <c r="J136" i="120"/>
  <c r="J122" i="120"/>
  <c r="J128" i="120"/>
  <c r="F395" i="657" l="1"/>
  <c r="F416" i="657" s="1"/>
  <c r="E418" i="654"/>
  <c r="D396" i="657"/>
  <c r="D437" i="657"/>
  <c r="E435" i="658"/>
  <c r="E394" i="658"/>
  <c r="F333" i="658"/>
  <c r="F433" i="658"/>
  <c r="F392" i="658"/>
  <c r="D436" i="658"/>
  <c r="D395" i="658"/>
  <c r="J438" i="658"/>
  <c r="J397" i="658"/>
  <c r="F315" i="658"/>
  <c r="F437" i="658"/>
  <c r="F396" i="658"/>
  <c r="E414" i="658"/>
  <c r="E453" i="658"/>
  <c r="J398" i="658"/>
  <c r="J439" i="658"/>
  <c r="E436" i="658"/>
  <c r="E395" i="658"/>
  <c r="J434" i="658"/>
  <c r="J393" i="658"/>
  <c r="D453" i="658"/>
  <c r="D414" i="658"/>
  <c r="F435" i="658"/>
  <c r="F394" i="658"/>
  <c r="E418" i="658"/>
  <c r="E451" i="658"/>
  <c r="E333" i="658"/>
  <c r="E433" i="658"/>
  <c r="E392" i="658"/>
  <c r="D433" i="658"/>
  <c r="D392" i="658"/>
  <c r="F418" i="658"/>
  <c r="F451" i="658"/>
  <c r="D418" i="654"/>
  <c r="E315" i="658"/>
  <c r="E437" i="658"/>
  <c r="E396" i="658"/>
  <c r="D437" i="658"/>
  <c r="D396" i="658"/>
  <c r="F414" i="658"/>
  <c r="F453" i="658"/>
  <c r="F436" i="658"/>
  <c r="F395" i="658"/>
  <c r="D435" i="658"/>
  <c r="D394" i="658"/>
  <c r="D418" i="658"/>
  <c r="D451" i="658"/>
  <c r="E436" i="654"/>
  <c r="E395" i="654"/>
  <c r="E333" i="657"/>
  <c r="J333" i="657" s="1"/>
  <c r="E433" i="657"/>
  <c r="E413" i="657" s="1"/>
  <c r="E321" i="657"/>
  <c r="E315" i="654"/>
  <c r="J315" i="654" s="1"/>
  <c r="E437" i="654"/>
  <c r="E396" i="654"/>
  <c r="F321" i="654"/>
  <c r="F342" i="654" s="1"/>
  <c r="F321" i="658"/>
  <c r="J327" i="657"/>
  <c r="F321" i="657"/>
  <c r="F342" i="657" s="1"/>
  <c r="E321" i="654"/>
  <c r="J333" i="654"/>
  <c r="J322" i="654"/>
  <c r="D321" i="654"/>
  <c r="D321" i="657"/>
  <c r="J322" i="657"/>
  <c r="J317" i="657"/>
  <c r="J317" i="654"/>
  <c r="J327" i="654"/>
  <c r="J335" i="657"/>
  <c r="J335" i="654"/>
  <c r="J315" i="657"/>
  <c r="J327" i="658"/>
  <c r="F414" i="654"/>
  <c r="F418" i="654"/>
  <c r="E414" i="654"/>
  <c r="D414" i="654"/>
  <c r="J434" i="654"/>
  <c r="J393" i="654"/>
  <c r="D394" i="654"/>
  <c r="D435" i="654"/>
  <c r="J322" i="658"/>
  <c r="D321" i="658"/>
  <c r="D396" i="654"/>
  <c r="D437" i="654"/>
  <c r="J439" i="654"/>
  <c r="J398" i="654"/>
  <c r="F436" i="654"/>
  <c r="F395" i="654"/>
  <c r="J438" i="654"/>
  <c r="J397" i="654"/>
  <c r="F433" i="654"/>
  <c r="F392" i="654"/>
  <c r="E435" i="654"/>
  <c r="E394" i="654"/>
  <c r="D333" i="658"/>
  <c r="J335" i="658"/>
  <c r="F394" i="654"/>
  <c r="F435" i="654"/>
  <c r="E321" i="658"/>
  <c r="E433" i="654"/>
  <c r="E392" i="654"/>
  <c r="D315" i="658"/>
  <c r="J317" i="658"/>
  <c r="D436" i="654"/>
  <c r="D395" i="654"/>
  <c r="F437" i="654"/>
  <c r="F396" i="654"/>
  <c r="D433" i="654"/>
  <c r="D392" i="654"/>
  <c r="D392" i="657"/>
  <c r="D433" i="657"/>
  <c r="F418" i="657"/>
  <c r="E414" i="657"/>
  <c r="F414" i="657"/>
  <c r="D394" i="657"/>
  <c r="D435" i="657"/>
  <c r="D395" i="657"/>
  <c r="D436" i="657"/>
  <c r="F394" i="657"/>
  <c r="F435" i="657"/>
  <c r="E418" i="657"/>
  <c r="E394" i="657"/>
  <c r="E435" i="657"/>
  <c r="D414" i="657"/>
  <c r="D418" i="657"/>
  <c r="E395" i="657"/>
  <c r="E436" i="657"/>
  <c r="E437" i="657"/>
  <c r="E396" i="657"/>
  <c r="F437" i="657"/>
  <c r="F396" i="657"/>
  <c r="F433" i="657"/>
  <c r="F392" i="657"/>
  <c r="G414" i="657"/>
  <c r="G437" i="657"/>
  <c r="G396" i="657"/>
  <c r="J398" i="657"/>
  <c r="J439" i="657"/>
  <c r="G418" i="657"/>
  <c r="J397" i="657"/>
  <c r="J438" i="657"/>
  <c r="G394" i="657"/>
  <c r="G435" i="657"/>
  <c r="G436" i="657"/>
  <c r="G395" i="657"/>
  <c r="G392" i="657"/>
  <c r="G433" i="657"/>
  <c r="J434" i="657"/>
  <c r="J393" i="657"/>
  <c r="J114" i="120"/>
  <c r="J333" i="658" l="1"/>
  <c r="E415" i="658"/>
  <c r="D415" i="658"/>
  <c r="E416" i="654"/>
  <c r="D417" i="657"/>
  <c r="F413" i="658"/>
  <c r="F417" i="658"/>
  <c r="J418" i="658"/>
  <c r="J414" i="658"/>
  <c r="F342" i="658"/>
  <c r="E417" i="654"/>
  <c r="E342" i="658"/>
  <c r="E342" i="657"/>
  <c r="D413" i="658"/>
  <c r="F415" i="658"/>
  <c r="D417" i="658"/>
  <c r="D413" i="654"/>
  <c r="J414" i="654"/>
  <c r="J451" i="658"/>
  <c r="E416" i="658"/>
  <c r="E452" i="658"/>
  <c r="J435" i="658"/>
  <c r="J394" i="658"/>
  <c r="D452" i="658"/>
  <c r="D416" i="658"/>
  <c r="J437" i="658"/>
  <c r="J396" i="658"/>
  <c r="J436" i="658"/>
  <c r="J395" i="658"/>
  <c r="J418" i="654"/>
  <c r="F440" i="658"/>
  <c r="E413" i="658"/>
  <c r="J453" i="658"/>
  <c r="E440" i="658"/>
  <c r="D440" i="658"/>
  <c r="J433" i="658"/>
  <c r="J392" i="658"/>
  <c r="F416" i="658"/>
  <c r="F452" i="658"/>
  <c r="E417" i="658"/>
  <c r="E342" i="654"/>
  <c r="F416" i="654"/>
  <c r="D415" i="654"/>
  <c r="J321" i="654"/>
  <c r="D342" i="654"/>
  <c r="J321" i="657"/>
  <c r="D342" i="657"/>
  <c r="D417" i="654"/>
  <c r="F413" i="654"/>
  <c r="E415" i="654"/>
  <c r="F415" i="654"/>
  <c r="E440" i="654"/>
  <c r="D416" i="654"/>
  <c r="E413" i="654"/>
  <c r="D440" i="654"/>
  <c r="F417" i="654"/>
  <c r="J321" i="658"/>
  <c r="J395" i="654"/>
  <c r="J436" i="654"/>
  <c r="J392" i="654"/>
  <c r="J433" i="654"/>
  <c r="J437" i="654"/>
  <c r="J396" i="654"/>
  <c r="F440" i="654"/>
  <c r="F441" i="654" s="1"/>
  <c r="J435" i="654"/>
  <c r="J394" i="654"/>
  <c r="J315" i="658"/>
  <c r="D342" i="658"/>
  <c r="D413" i="657"/>
  <c r="D416" i="657"/>
  <c r="E415" i="657"/>
  <c r="E417" i="657"/>
  <c r="E416" i="657"/>
  <c r="F415" i="657"/>
  <c r="F413" i="657"/>
  <c r="D415" i="657"/>
  <c r="F417" i="657"/>
  <c r="G417" i="657"/>
  <c r="G413" i="657"/>
  <c r="J414" i="657"/>
  <c r="G415" i="657"/>
  <c r="J435" i="657"/>
  <c r="J394" i="657"/>
  <c r="J437" i="657"/>
  <c r="J396" i="657"/>
  <c r="J433" i="657"/>
  <c r="J392" i="657"/>
  <c r="J436" i="657"/>
  <c r="J395" i="657"/>
  <c r="J418" i="657"/>
  <c r="G416" i="657"/>
  <c r="J417" i="658" l="1"/>
  <c r="F441" i="658"/>
  <c r="J342" i="657"/>
  <c r="J415" i="658"/>
  <c r="J416" i="658"/>
  <c r="J440" i="658"/>
  <c r="E441" i="658"/>
  <c r="J415" i="654"/>
  <c r="J413" i="658"/>
  <c r="J452" i="658"/>
  <c r="J342" i="654"/>
  <c r="E441" i="654"/>
  <c r="J413" i="654"/>
  <c r="J416" i="654"/>
  <c r="J417" i="654"/>
  <c r="J342" i="658"/>
  <c r="D441" i="658"/>
  <c r="J440" i="654"/>
  <c r="D441" i="654"/>
  <c r="J416" i="657"/>
  <c r="J415" i="657"/>
  <c r="J417" i="657"/>
  <c r="J413" i="657"/>
  <c r="J441" i="658" l="1"/>
  <c r="J441" i="654"/>
  <c r="D48" i="127"/>
  <c r="B48" i="127"/>
  <c r="C48" i="127"/>
  <c r="H152" i="460" l="1"/>
  <c r="G152" i="460"/>
  <c r="F152" i="460"/>
  <c r="E152" i="460"/>
  <c r="D152" i="460"/>
  <c r="P96" i="459" l="1"/>
  <c r="G161" i="460"/>
  <c r="D161" i="460"/>
  <c r="H147" i="460"/>
  <c r="G160" i="460"/>
  <c r="E147" i="460"/>
  <c r="D147" i="460"/>
  <c r="F146" i="460"/>
  <c r="D159" i="460"/>
  <c r="H145" i="460"/>
  <c r="G145" i="460"/>
  <c r="F145" i="460"/>
  <c r="E158" i="460"/>
  <c r="D145" i="460"/>
  <c r="H144" i="460"/>
  <c r="F144" i="460"/>
  <c r="E144" i="460"/>
  <c r="D144" i="460"/>
  <c r="H156" i="460"/>
  <c r="G143" i="460"/>
  <c r="F156" i="460"/>
  <c r="E143" i="460"/>
  <c r="D143" i="460"/>
  <c r="H142" i="460"/>
  <c r="G155" i="460"/>
  <c r="F142" i="460"/>
  <c r="E155" i="460"/>
  <c r="D155" i="460"/>
  <c r="H154" i="460"/>
  <c r="G154" i="460"/>
  <c r="F154" i="460"/>
  <c r="E154" i="460"/>
  <c r="G153" i="460"/>
  <c r="D153" i="460"/>
  <c r="G142" i="460"/>
  <c r="F143" i="460"/>
  <c r="G144" i="460"/>
  <c r="E146" i="460"/>
  <c r="G146" i="460"/>
  <c r="H146" i="460"/>
  <c r="F147" i="460"/>
  <c r="G149" i="460"/>
  <c r="H149" i="460"/>
  <c r="G157" i="460"/>
  <c r="H157" i="460"/>
  <c r="F158" i="460"/>
  <c r="E159" i="460"/>
  <c r="G159" i="460"/>
  <c r="H159" i="460"/>
  <c r="H161" i="460"/>
  <c r="G158" i="460" l="1"/>
  <c r="G147" i="460"/>
  <c r="G156" i="460"/>
  <c r="F141" i="460"/>
  <c r="F149" i="460"/>
  <c r="F161" i="460"/>
  <c r="E161" i="460"/>
  <c r="D146" i="460"/>
  <c r="E142" i="460"/>
  <c r="D157" i="460"/>
  <c r="D142" i="460"/>
  <c r="E160" i="460"/>
  <c r="E145" i="460"/>
  <c r="E149" i="460"/>
  <c r="E141" i="460"/>
  <c r="H143" i="460"/>
  <c r="H158" i="460"/>
  <c r="H160" i="460"/>
  <c r="E157" i="460"/>
  <c r="D160" i="460"/>
  <c r="F148" i="460"/>
  <c r="F150" i="460" s="1"/>
  <c r="D141" i="460"/>
  <c r="D149" i="460"/>
  <c r="E153" i="460"/>
  <c r="P74" i="459"/>
  <c r="H155" i="460"/>
  <c r="F153" i="460"/>
  <c r="D154" i="460"/>
  <c r="G141" i="460"/>
  <c r="G148" i="460" s="1"/>
  <c r="G150" i="460" s="1"/>
  <c r="F155" i="460"/>
  <c r="F157" i="460"/>
  <c r="E156" i="460"/>
  <c r="H141" i="460"/>
  <c r="D156" i="460"/>
  <c r="F159" i="460"/>
  <c r="F160" i="460"/>
  <c r="D158" i="460"/>
  <c r="G162" i="460" l="1"/>
  <c r="G164" i="460" s="1"/>
  <c r="E148" i="460"/>
  <c r="E150" i="460" s="1"/>
  <c r="D148" i="460"/>
  <c r="D150" i="460" s="1"/>
  <c r="H162" i="460"/>
  <c r="H164" i="460" s="1"/>
  <c r="H148" i="460"/>
  <c r="H150" i="460" s="1"/>
  <c r="E162" i="460"/>
  <c r="E164" i="460" s="1"/>
  <c r="F162" i="460"/>
  <c r="F164" i="460" s="1"/>
  <c r="D162" i="460"/>
  <c r="D164" i="460" s="1"/>
  <c r="C18" i="36" l="1"/>
  <c r="C23" i="381" l="1"/>
  <c r="M18" i="240"/>
  <c r="N18" i="240" s="1"/>
  <c r="F21" i="477"/>
  <c r="M19" i="240" l="1"/>
  <c r="N19" i="240" s="1"/>
  <c r="M20" i="240" l="1"/>
  <c r="N20" i="240" s="1"/>
  <c r="D131" i="81"/>
  <c r="D132" i="81"/>
  <c r="M21" i="240" l="1"/>
  <c r="N21" i="240" s="1"/>
  <c r="E131" i="81"/>
  <c r="K133" i="130"/>
  <c r="M131" i="130"/>
  <c r="L132" i="130"/>
  <c r="E132" i="81"/>
  <c r="D132" i="639" l="1"/>
  <c r="M22" i="240"/>
  <c r="N22" i="240" s="1"/>
  <c r="F131" i="130"/>
  <c r="E132" i="130"/>
  <c r="F132" i="81"/>
  <c r="F131" i="81"/>
  <c r="L133" i="130"/>
  <c r="D133" i="130"/>
  <c r="K132" i="130"/>
  <c r="N131" i="130"/>
  <c r="K131" i="130"/>
  <c r="M132" i="130"/>
  <c r="L131" i="130"/>
  <c r="E132" i="639" l="1"/>
  <c r="F128" i="742"/>
  <c r="D130" i="742"/>
  <c r="E129" i="742"/>
  <c r="M23" i="240"/>
  <c r="N23" i="240" s="1"/>
  <c r="E362" i="813"/>
  <c r="E362" i="815"/>
  <c r="E362" i="814"/>
  <c r="D363" i="814"/>
  <c r="D363" i="815"/>
  <c r="D363" i="813"/>
  <c r="F361" i="813"/>
  <c r="F361" i="814"/>
  <c r="F361" i="815"/>
  <c r="F361" i="200"/>
  <c r="F361" i="202"/>
  <c r="F361" i="508"/>
  <c r="E362" i="200"/>
  <c r="E362" i="202"/>
  <c r="E362" i="508"/>
  <c r="D363" i="200"/>
  <c r="D363" i="202"/>
  <c r="D363" i="508"/>
  <c r="E131" i="130"/>
  <c r="E133" i="130"/>
  <c r="G131" i="81"/>
  <c r="G132" i="81"/>
  <c r="D131" i="130"/>
  <c r="D132" i="130"/>
  <c r="M133" i="130"/>
  <c r="O131" i="130"/>
  <c r="N132" i="130"/>
  <c r="G131" i="130"/>
  <c r="F132" i="130"/>
  <c r="F132" i="639" l="1"/>
  <c r="E130" i="742"/>
  <c r="N25" i="240"/>
  <c r="N26" i="240"/>
  <c r="E128" i="742"/>
  <c r="D129" i="742"/>
  <c r="D128" i="742"/>
  <c r="F129" i="742"/>
  <c r="G128" i="742"/>
  <c r="G361" i="813"/>
  <c r="G361" i="814"/>
  <c r="G361" i="815"/>
  <c r="D361" i="813"/>
  <c r="D361" i="815"/>
  <c r="D361" i="814"/>
  <c r="E363" i="814"/>
  <c r="E363" i="815"/>
  <c r="E363" i="813"/>
  <c r="E361" i="815"/>
  <c r="E361" i="813"/>
  <c r="E361" i="814"/>
  <c r="F362" i="815"/>
  <c r="F362" i="813"/>
  <c r="F362" i="814"/>
  <c r="D362" i="815"/>
  <c r="D362" i="813"/>
  <c r="D362" i="814"/>
  <c r="E361" i="202"/>
  <c r="E361" i="200"/>
  <c r="E361" i="508"/>
  <c r="E363" i="200"/>
  <c r="E363" i="508"/>
  <c r="E363" i="202"/>
  <c r="D361" i="200"/>
  <c r="D361" i="202"/>
  <c r="D361" i="508"/>
  <c r="D362" i="202"/>
  <c r="D362" i="200"/>
  <c r="D362" i="508"/>
  <c r="G361" i="202"/>
  <c r="G361" i="200"/>
  <c r="G361" i="508"/>
  <c r="F362" i="200"/>
  <c r="F362" i="202"/>
  <c r="F362" i="508"/>
  <c r="G132" i="130"/>
  <c r="H131" i="130"/>
  <c r="H132" i="81"/>
  <c r="H131" i="81"/>
  <c r="P131" i="130"/>
  <c r="N133" i="130"/>
  <c r="F133" i="130"/>
  <c r="O132" i="130"/>
  <c r="G132" i="639" l="1"/>
  <c r="G129" i="742"/>
  <c r="F130" i="742"/>
  <c r="H128" i="742"/>
  <c r="H361" i="815"/>
  <c r="H361" i="813"/>
  <c r="H361" i="814"/>
  <c r="G362" i="815"/>
  <c r="G362" i="813"/>
  <c r="G362" i="814"/>
  <c r="F363" i="815"/>
  <c r="F363" i="813"/>
  <c r="F363" i="814"/>
  <c r="G362" i="200"/>
  <c r="G362" i="202"/>
  <c r="G362" i="508"/>
  <c r="H361" i="200"/>
  <c r="H361" i="202"/>
  <c r="H361" i="508"/>
  <c r="F363" i="200"/>
  <c r="F363" i="202"/>
  <c r="F363" i="508"/>
  <c r="G133" i="130"/>
  <c r="I131" i="81"/>
  <c r="I132" i="81"/>
  <c r="I131" i="130"/>
  <c r="Q131" i="130"/>
  <c r="O133" i="130"/>
  <c r="P133" i="130"/>
  <c r="P132" i="130"/>
  <c r="H132" i="130"/>
  <c r="H132" i="639" l="1"/>
  <c r="I132" i="639"/>
  <c r="H129" i="742"/>
  <c r="G130" i="742"/>
  <c r="I128" i="742"/>
  <c r="J128" i="742" s="1"/>
  <c r="I361" i="814"/>
  <c r="J361" i="814" s="1"/>
  <c r="I361" i="813"/>
  <c r="J361" i="813" s="1"/>
  <c r="I361" i="815"/>
  <c r="J361" i="815" s="1"/>
  <c r="H362" i="813"/>
  <c r="H362" i="814"/>
  <c r="H362" i="815"/>
  <c r="G363" i="815"/>
  <c r="G363" i="813"/>
  <c r="G363" i="814"/>
  <c r="G363" i="200"/>
  <c r="G363" i="202"/>
  <c r="G363" i="508"/>
  <c r="I361" i="200"/>
  <c r="J361" i="200" s="1"/>
  <c r="I361" i="202"/>
  <c r="J361" i="202" s="1"/>
  <c r="I361" i="508"/>
  <c r="J361" i="508" s="1"/>
  <c r="H362" i="200"/>
  <c r="H362" i="202"/>
  <c r="H362" i="508"/>
  <c r="I132" i="130"/>
  <c r="I133" i="130"/>
  <c r="J132" i="81"/>
  <c r="J131" i="81"/>
  <c r="J131" i="130"/>
  <c r="Q133" i="130"/>
  <c r="Q132" i="130"/>
  <c r="H133" i="130"/>
  <c r="J132" i="639" l="1"/>
  <c r="I130" i="742"/>
  <c r="I129" i="742"/>
  <c r="J129" i="742" s="1"/>
  <c r="H130" i="742"/>
  <c r="I363" i="815"/>
  <c r="I363" i="813"/>
  <c r="I363" i="814"/>
  <c r="I362" i="813"/>
  <c r="J362" i="813" s="1"/>
  <c r="I362" i="815"/>
  <c r="J362" i="815" s="1"/>
  <c r="I362" i="814"/>
  <c r="J362" i="814" s="1"/>
  <c r="H363" i="815"/>
  <c r="H363" i="813"/>
  <c r="H363" i="814"/>
  <c r="I362" i="200"/>
  <c r="J362" i="200" s="1"/>
  <c r="I362" i="202"/>
  <c r="J362" i="202" s="1"/>
  <c r="I362" i="508"/>
  <c r="J362" i="508" s="1"/>
  <c r="I363" i="200"/>
  <c r="I363" i="202"/>
  <c r="I363" i="508"/>
  <c r="H363" i="200"/>
  <c r="H363" i="202"/>
  <c r="H363" i="508"/>
  <c r="J132" i="130"/>
  <c r="J133" i="130"/>
  <c r="AN13" i="485"/>
  <c r="AN12" i="485"/>
  <c r="J363" i="814" l="1"/>
  <c r="J363" i="815"/>
  <c r="J363" i="813"/>
  <c r="J363" i="508"/>
  <c r="J363" i="200"/>
  <c r="J363" i="202"/>
  <c r="J130" i="742"/>
  <c r="D130" i="639" l="1"/>
  <c r="D131" i="639"/>
  <c r="D433" i="502" l="1"/>
  <c r="D434" i="502"/>
  <c r="D433" i="508"/>
  <c r="E434" i="502"/>
  <c r="E433" i="502"/>
  <c r="D434" i="508"/>
  <c r="E130" i="639"/>
  <c r="E131" i="639"/>
  <c r="F434" i="502" l="1"/>
  <c r="E434" i="508"/>
  <c r="E433" i="508"/>
  <c r="F433" i="502"/>
  <c r="F131" i="639"/>
  <c r="F130" i="639"/>
  <c r="G433" i="502" l="1"/>
  <c r="F433" i="508"/>
  <c r="F434" i="508"/>
  <c r="G130" i="639"/>
  <c r="G131" i="639"/>
  <c r="H434" i="502" l="1"/>
  <c r="I434" i="502"/>
  <c r="I433" i="502"/>
  <c r="H433" i="502"/>
  <c r="G433" i="508"/>
  <c r="G434" i="508"/>
  <c r="G434" i="502"/>
  <c r="I130" i="639"/>
  <c r="H130" i="639"/>
  <c r="H131" i="639"/>
  <c r="I131" i="639"/>
  <c r="J131" i="129"/>
  <c r="J132" i="129"/>
  <c r="J434" i="502" l="1"/>
  <c r="H433" i="508"/>
  <c r="J433" i="508"/>
  <c r="J433" i="502"/>
  <c r="I433" i="508"/>
  <c r="I434" i="508"/>
  <c r="H434" i="508"/>
  <c r="J130" i="639"/>
  <c r="J131" i="639"/>
  <c r="J434" i="508" l="1"/>
  <c r="O10" i="460"/>
  <c r="P143" i="130"/>
  <c r="O143" i="130"/>
  <c r="N143" i="130"/>
  <c r="M143" i="130"/>
  <c r="L143" i="130"/>
  <c r="K143" i="130"/>
  <c r="P142" i="130"/>
  <c r="O142" i="130"/>
  <c r="N142" i="130"/>
  <c r="M142" i="130"/>
  <c r="L142" i="130"/>
  <c r="K142" i="130"/>
  <c r="P126" i="130"/>
  <c r="O126" i="130"/>
  <c r="N126" i="130"/>
  <c r="M126" i="130"/>
  <c r="L126" i="130"/>
  <c r="K126" i="130"/>
  <c r="E126" i="130" l="1"/>
  <c r="F143" i="130"/>
  <c r="F142" i="130"/>
  <c r="G142" i="130"/>
  <c r="G143" i="130"/>
  <c r="I142" i="130"/>
  <c r="Q143" i="130"/>
  <c r="G126" i="130"/>
  <c r="H126" i="130"/>
  <c r="H143" i="130"/>
  <c r="I126" i="130"/>
  <c r="I143" i="130"/>
  <c r="E143" i="130"/>
  <c r="H142" i="130"/>
  <c r="F126" i="130"/>
  <c r="E142" i="130"/>
  <c r="D126" i="130"/>
  <c r="Q126" i="130"/>
  <c r="Q142" i="130"/>
  <c r="D142" i="130"/>
  <c r="D143" i="130"/>
  <c r="D137" i="742" l="1"/>
  <c r="G137" i="742"/>
  <c r="D124" i="742"/>
  <c r="H137" i="742"/>
  <c r="E124" i="742"/>
  <c r="F124" i="742"/>
  <c r="E138" i="742"/>
  <c r="I138" i="742"/>
  <c r="I124" i="742"/>
  <c r="H138" i="742"/>
  <c r="H124" i="742"/>
  <c r="D138" i="742"/>
  <c r="G138" i="742"/>
  <c r="F137" i="742"/>
  <c r="F138" i="742"/>
  <c r="E137" i="742"/>
  <c r="G124" i="742"/>
  <c r="I137" i="742"/>
  <c r="F356" i="813"/>
  <c r="F356" i="814"/>
  <c r="F356" i="815"/>
  <c r="I369" i="813"/>
  <c r="I369" i="814"/>
  <c r="I369" i="815"/>
  <c r="E369" i="813"/>
  <c r="E369" i="815"/>
  <c r="E369" i="814"/>
  <c r="H369" i="815"/>
  <c r="H369" i="813"/>
  <c r="H369" i="814"/>
  <c r="E370" i="815"/>
  <c r="E370" i="813"/>
  <c r="E370" i="814"/>
  <c r="H370" i="813"/>
  <c r="H370" i="815"/>
  <c r="H370" i="814"/>
  <c r="H356" i="814"/>
  <c r="H356" i="813"/>
  <c r="H356" i="815"/>
  <c r="G370" i="815"/>
  <c r="G370" i="813"/>
  <c r="G370" i="814"/>
  <c r="F369" i="813"/>
  <c r="F369" i="814"/>
  <c r="F369" i="815"/>
  <c r="I356" i="814"/>
  <c r="I356" i="813"/>
  <c r="I356" i="815"/>
  <c r="D369" i="815"/>
  <c r="D369" i="813"/>
  <c r="D369" i="814"/>
  <c r="F370" i="815"/>
  <c r="F370" i="813"/>
  <c r="F370" i="814"/>
  <c r="I370" i="815"/>
  <c r="I370" i="814"/>
  <c r="I370" i="813"/>
  <c r="G356" i="814"/>
  <c r="G356" i="813"/>
  <c r="G356" i="815"/>
  <c r="D370" i="814"/>
  <c r="D370" i="815"/>
  <c r="D370" i="813"/>
  <c r="G369" i="813"/>
  <c r="G369" i="814"/>
  <c r="G369" i="815"/>
  <c r="D356" i="814"/>
  <c r="D356" i="813"/>
  <c r="D356" i="815"/>
  <c r="E356" i="815"/>
  <c r="E356" i="814"/>
  <c r="E356" i="813"/>
  <c r="E356" i="202"/>
  <c r="E356" i="200"/>
  <c r="E356" i="508"/>
  <c r="F370" i="200"/>
  <c r="F370" i="202"/>
  <c r="F370" i="508"/>
  <c r="F369" i="202"/>
  <c r="F369" i="508"/>
  <c r="F369" i="200"/>
  <c r="G369" i="200"/>
  <c r="G369" i="508"/>
  <c r="G369" i="202"/>
  <c r="G370" i="508"/>
  <c r="G370" i="200"/>
  <c r="G370" i="202"/>
  <c r="I369" i="200"/>
  <c r="I369" i="508"/>
  <c r="I369" i="202"/>
  <c r="G356" i="202"/>
  <c r="G356" i="200"/>
  <c r="G356" i="508"/>
  <c r="H356" i="202"/>
  <c r="H356" i="200"/>
  <c r="H356" i="508"/>
  <c r="H370" i="200"/>
  <c r="H370" i="202"/>
  <c r="H370" i="508"/>
  <c r="I356" i="202"/>
  <c r="I356" i="200"/>
  <c r="I356" i="508"/>
  <c r="I370" i="202"/>
  <c r="I370" i="508"/>
  <c r="I370" i="200"/>
  <c r="E370" i="202"/>
  <c r="E370" i="508"/>
  <c r="E370" i="200"/>
  <c r="H369" i="508"/>
  <c r="H369" i="202"/>
  <c r="H369" i="200"/>
  <c r="F356" i="200"/>
  <c r="F356" i="202"/>
  <c r="F356" i="508"/>
  <c r="E369" i="202"/>
  <c r="E369" i="508"/>
  <c r="E369" i="200"/>
  <c r="D356" i="508"/>
  <c r="D356" i="202"/>
  <c r="D356" i="200"/>
  <c r="D369" i="200"/>
  <c r="D369" i="202"/>
  <c r="D369" i="508"/>
  <c r="D370" i="200"/>
  <c r="D370" i="202"/>
  <c r="D370" i="508"/>
  <c r="J126" i="130"/>
  <c r="J143" i="130"/>
  <c r="J142" i="130"/>
  <c r="J369" i="813" l="1"/>
  <c r="J370" i="814"/>
  <c r="J356" i="815"/>
  <c r="J370" i="813"/>
  <c r="J370" i="815"/>
  <c r="J369" i="815"/>
  <c r="J356" i="814"/>
  <c r="J356" i="813"/>
  <c r="J369" i="814"/>
  <c r="J369" i="508"/>
  <c r="J370" i="508"/>
  <c r="J356" i="508"/>
  <c r="J370" i="200"/>
  <c r="J356" i="202"/>
  <c r="J356" i="200"/>
  <c r="J369" i="200"/>
  <c r="J369" i="202"/>
  <c r="J370" i="202"/>
  <c r="J138" i="742"/>
  <c r="J137" i="742"/>
  <c r="D142" i="81" l="1"/>
  <c r="D143" i="81"/>
  <c r="D126" i="81"/>
  <c r="I435" i="502" l="1"/>
  <c r="G435" i="502"/>
  <c r="E435" i="502"/>
  <c r="F435" i="502"/>
  <c r="H435" i="502"/>
  <c r="F437" i="502"/>
  <c r="H125" i="639"/>
  <c r="F140" i="639"/>
  <c r="G125" i="639"/>
  <c r="H140" i="639"/>
  <c r="F125" i="639"/>
  <c r="E140" i="639"/>
  <c r="G139" i="639"/>
  <c r="F139" i="639"/>
  <c r="G140" i="639"/>
  <c r="D125" i="639"/>
  <c r="I139" i="639"/>
  <c r="I125" i="639"/>
  <c r="I140" i="639"/>
  <c r="E125" i="639"/>
  <c r="D140" i="639"/>
  <c r="D139" i="639"/>
  <c r="H139" i="639"/>
  <c r="E139" i="639"/>
  <c r="F123" i="129"/>
  <c r="I123" i="129"/>
  <c r="G123" i="129"/>
  <c r="E123" i="129"/>
  <c r="H123" i="129"/>
  <c r="U126" i="129"/>
  <c r="S126" i="129"/>
  <c r="T126" i="129"/>
  <c r="V126" i="129"/>
  <c r="R126" i="129"/>
  <c r="W126" i="129"/>
  <c r="H117" i="129"/>
  <c r="E115" i="129"/>
  <c r="F115" i="129"/>
  <c r="I136" i="129"/>
  <c r="E117" i="129"/>
  <c r="G117" i="129"/>
  <c r="I115" i="129"/>
  <c r="I117" i="129"/>
  <c r="F136" i="129"/>
  <c r="H115" i="129"/>
  <c r="H136" i="129"/>
  <c r="G136" i="129"/>
  <c r="F117" i="129"/>
  <c r="E136" i="129"/>
  <c r="G115" i="129"/>
  <c r="Q126" i="129"/>
  <c r="J142" i="129"/>
  <c r="G139" i="129"/>
  <c r="F139" i="129"/>
  <c r="I128" i="129"/>
  <c r="I139" i="129"/>
  <c r="E139" i="129"/>
  <c r="H128" i="129"/>
  <c r="J126" i="129"/>
  <c r="G128" i="129"/>
  <c r="F128" i="129"/>
  <c r="J143" i="129"/>
  <c r="E128" i="129"/>
  <c r="H139" i="129"/>
  <c r="E142" i="81"/>
  <c r="E143" i="81"/>
  <c r="E126" i="81"/>
  <c r="G435" i="200" l="1"/>
  <c r="F436" i="200"/>
  <c r="F435" i="200"/>
  <c r="H435" i="200"/>
  <c r="E436" i="200"/>
  <c r="I436" i="200"/>
  <c r="E436" i="502"/>
  <c r="F437" i="508"/>
  <c r="H435" i="508"/>
  <c r="D435" i="508"/>
  <c r="E436" i="508"/>
  <c r="D435" i="502"/>
  <c r="J435" i="502"/>
  <c r="G439" i="200"/>
  <c r="G398" i="200"/>
  <c r="H434" i="200"/>
  <c r="F434" i="200"/>
  <c r="I434" i="200"/>
  <c r="F398" i="200"/>
  <c r="F439" i="200"/>
  <c r="H439" i="200"/>
  <c r="H398" i="200"/>
  <c r="E437" i="200"/>
  <c r="G436" i="502"/>
  <c r="E437" i="502"/>
  <c r="E439" i="200"/>
  <c r="E398" i="200"/>
  <c r="H436" i="502"/>
  <c r="F436" i="502"/>
  <c r="H436" i="508"/>
  <c r="F436" i="508"/>
  <c r="G436" i="508"/>
  <c r="F435" i="508"/>
  <c r="E437" i="508"/>
  <c r="I435" i="508"/>
  <c r="F437" i="200"/>
  <c r="G437" i="200"/>
  <c r="I398" i="200"/>
  <c r="I439" i="200"/>
  <c r="H437" i="200"/>
  <c r="I437" i="200"/>
  <c r="I438" i="200"/>
  <c r="E438" i="200"/>
  <c r="G438" i="200"/>
  <c r="G437" i="502"/>
  <c r="H437" i="502"/>
  <c r="I437" i="502"/>
  <c r="I438" i="502"/>
  <c r="E438" i="502"/>
  <c r="G438" i="502"/>
  <c r="E434" i="200"/>
  <c r="G437" i="508"/>
  <c r="H437" i="508"/>
  <c r="I437" i="508"/>
  <c r="I438" i="508"/>
  <c r="E438" i="508"/>
  <c r="G438" i="508"/>
  <c r="G434" i="200"/>
  <c r="F438" i="200"/>
  <c r="H438" i="200"/>
  <c r="I436" i="502"/>
  <c r="F438" i="502"/>
  <c r="H438" i="502"/>
  <c r="I436" i="508"/>
  <c r="E435" i="508"/>
  <c r="G435" i="508"/>
  <c r="F438" i="508"/>
  <c r="H438" i="508"/>
  <c r="H435" i="202"/>
  <c r="E435" i="202"/>
  <c r="I436" i="202"/>
  <c r="F436" i="202"/>
  <c r="E438" i="202"/>
  <c r="F434" i="202"/>
  <c r="G438" i="202"/>
  <c r="I439" i="202"/>
  <c r="I398" i="202"/>
  <c r="E437" i="202"/>
  <c r="H438" i="202"/>
  <c r="I437" i="202"/>
  <c r="F437" i="202"/>
  <c r="G434" i="202"/>
  <c r="G439" i="202"/>
  <c r="G398" i="202"/>
  <c r="H434" i="202"/>
  <c r="F438" i="202"/>
  <c r="I438" i="202"/>
  <c r="G437" i="202"/>
  <c r="H437" i="202"/>
  <c r="F439" i="202"/>
  <c r="F398" i="202"/>
  <c r="E439" i="202"/>
  <c r="E398" i="202"/>
  <c r="I434" i="202"/>
  <c r="H439" i="202"/>
  <c r="H398" i="202"/>
  <c r="E434" i="202"/>
  <c r="J125" i="639"/>
  <c r="J139" i="639"/>
  <c r="J140" i="639"/>
  <c r="F142" i="81"/>
  <c r="F143" i="81"/>
  <c r="F126" i="81"/>
  <c r="I114" i="129"/>
  <c r="H114" i="129"/>
  <c r="H135" i="129"/>
  <c r="G135" i="129"/>
  <c r="I135" i="129"/>
  <c r="F135" i="129"/>
  <c r="E114" i="129"/>
  <c r="F114" i="129"/>
  <c r="E135" i="129"/>
  <c r="G114" i="129"/>
  <c r="E122" i="129"/>
  <c r="F122" i="129"/>
  <c r="H122" i="129"/>
  <c r="I122" i="129"/>
  <c r="X126" i="129"/>
  <c r="G122" i="129"/>
  <c r="J124" i="742" l="1"/>
  <c r="E435" i="200"/>
  <c r="I435" i="200"/>
  <c r="I433" i="200"/>
  <c r="F433" i="200"/>
  <c r="G436" i="200"/>
  <c r="J435" i="508"/>
  <c r="G433" i="200"/>
  <c r="E433" i="200"/>
  <c r="H433" i="200"/>
  <c r="H436" i="200"/>
  <c r="H433" i="202"/>
  <c r="G435" i="202"/>
  <c r="F435" i="202"/>
  <c r="I435" i="202"/>
  <c r="G433" i="202"/>
  <c r="G436" i="202"/>
  <c r="F433" i="202"/>
  <c r="H436" i="202"/>
  <c r="E433" i="202"/>
  <c r="I433" i="202"/>
  <c r="E436" i="202"/>
  <c r="G126" i="81"/>
  <c r="G143" i="81"/>
  <c r="G142" i="81"/>
  <c r="F146" i="129"/>
  <c r="E146" i="129"/>
  <c r="I146" i="129"/>
  <c r="G146" i="129"/>
  <c r="H146" i="129"/>
  <c r="H142" i="81" l="1"/>
  <c r="H143" i="81"/>
  <c r="H126" i="81"/>
  <c r="G16" i="502"/>
  <c r="H16" i="502"/>
  <c r="I16" i="502"/>
  <c r="I143" i="81" l="1"/>
  <c r="I126" i="81"/>
  <c r="I142" i="81"/>
  <c r="J142" i="81" l="1"/>
  <c r="J126" i="81"/>
  <c r="J143" i="81"/>
  <c r="K69" i="70"/>
  <c r="K68" i="70" l="1"/>
  <c r="O139" i="460" l="1"/>
  <c r="O138" i="460"/>
  <c r="O137" i="460"/>
  <c r="O136" i="460"/>
  <c r="O135" i="460"/>
  <c r="O134" i="460"/>
  <c r="O133" i="460"/>
  <c r="O132" i="460"/>
  <c r="O131" i="460"/>
  <c r="O130" i="460"/>
  <c r="O129" i="460"/>
  <c r="O128" i="460"/>
  <c r="O127" i="460"/>
  <c r="O126" i="460"/>
  <c r="O125" i="460"/>
  <c r="O124" i="460"/>
  <c r="O123" i="460"/>
  <c r="O122" i="460"/>
  <c r="O121" i="460"/>
  <c r="O120" i="460"/>
  <c r="K71" i="70" l="1"/>
  <c r="K71" i="75"/>
  <c r="M71" i="70" s="1"/>
  <c r="N71" i="70" l="1"/>
  <c r="D22" i="502" l="1"/>
  <c r="D21" i="502"/>
  <c r="D23" i="502"/>
  <c r="D24" i="502"/>
  <c r="D357" i="502" l="1"/>
  <c r="I357" i="502"/>
  <c r="F357" i="502"/>
  <c r="E357" i="502"/>
  <c r="G357" i="502"/>
  <c r="H357" i="502"/>
  <c r="I370" i="502"/>
  <c r="H370" i="502"/>
  <c r="G370" i="502"/>
  <c r="I362" i="502"/>
  <c r="F370" i="502"/>
  <c r="H362" i="502"/>
  <c r="I356" i="502"/>
  <c r="E370" i="502"/>
  <c r="G362" i="502"/>
  <c r="H356" i="502"/>
  <c r="D370" i="502"/>
  <c r="F362" i="502"/>
  <c r="G356" i="502"/>
  <c r="E362" i="502"/>
  <c r="F356" i="502"/>
  <c r="D362" i="502"/>
  <c r="E356" i="502"/>
  <c r="D356" i="502"/>
  <c r="E363" i="502"/>
  <c r="D363" i="502"/>
  <c r="F363" i="502"/>
  <c r="I363" i="502"/>
  <c r="H363" i="502"/>
  <c r="G363" i="502"/>
  <c r="E361" i="502"/>
  <c r="D369" i="502"/>
  <c r="D361" i="502"/>
  <c r="I369" i="502"/>
  <c r="H369" i="502"/>
  <c r="G369" i="502"/>
  <c r="I361" i="502"/>
  <c r="F361" i="502"/>
  <c r="F369" i="502"/>
  <c r="H361" i="502"/>
  <c r="E369" i="502"/>
  <c r="G361" i="502"/>
  <c r="P125" i="130"/>
  <c r="O125" i="130"/>
  <c r="N125" i="130"/>
  <c r="M125" i="130"/>
  <c r="L125" i="130"/>
  <c r="K125" i="130"/>
  <c r="E144" i="130"/>
  <c r="F144" i="130"/>
  <c r="G144" i="130"/>
  <c r="H144" i="130"/>
  <c r="I144" i="130"/>
  <c r="D141" i="81"/>
  <c r="D140" i="81"/>
  <c r="D137" i="81"/>
  <c r="D130" i="81"/>
  <c r="D129" i="81"/>
  <c r="D125" i="81"/>
  <c r="D124" i="81"/>
  <c r="D120" i="81"/>
  <c r="D221" i="81" s="1"/>
  <c r="D119" i="81"/>
  <c r="D118" i="81"/>
  <c r="D116" i="81"/>
  <c r="H139" i="742" l="1"/>
  <c r="F139" i="742"/>
  <c r="I139" i="742"/>
  <c r="G139" i="742"/>
  <c r="E139" i="742"/>
  <c r="I371" i="815"/>
  <c r="I371" i="813"/>
  <c r="I371" i="814"/>
  <c r="H371" i="815"/>
  <c r="H371" i="813"/>
  <c r="H371" i="814"/>
  <c r="G371" i="815"/>
  <c r="G371" i="813"/>
  <c r="G371" i="814"/>
  <c r="F371" i="815"/>
  <c r="F371" i="813"/>
  <c r="F371" i="814"/>
  <c r="E371" i="813"/>
  <c r="E371" i="814"/>
  <c r="E371" i="815"/>
  <c r="J357" i="502"/>
  <c r="E371" i="508"/>
  <c r="E371" i="502"/>
  <c r="E371" i="200"/>
  <c r="E371" i="202"/>
  <c r="F371" i="502"/>
  <c r="F371" i="508"/>
  <c r="F371" i="202"/>
  <c r="F371" i="200"/>
  <c r="G371" i="502"/>
  <c r="G371" i="508"/>
  <c r="G371" i="200"/>
  <c r="G371" i="202"/>
  <c r="H371" i="502"/>
  <c r="H371" i="200"/>
  <c r="H371" i="202"/>
  <c r="H371" i="508"/>
  <c r="I371" i="202"/>
  <c r="I371" i="508"/>
  <c r="I371" i="200"/>
  <c r="I371" i="502"/>
  <c r="J370" i="502"/>
  <c r="J356" i="502"/>
  <c r="J361" i="502"/>
  <c r="J362" i="502"/>
  <c r="J369" i="502"/>
  <c r="J363" i="502"/>
  <c r="F124" i="639"/>
  <c r="G124" i="639"/>
  <c r="E124" i="639"/>
  <c r="H124" i="639"/>
  <c r="I124" i="639"/>
  <c r="D124" i="639"/>
  <c r="V125" i="129"/>
  <c r="W125" i="129"/>
  <c r="T125" i="129"/>
  <c r="S125" i="129"/>
  <c r="U125" i="129"/>
  <c r="D123" i="129"/>
  <c r="D115" i="81"/>
  <c r="D220" i="81" s="1"/>
  <c r="D123" i="81"/>
  <c r="D218" i="81" s="1"/>
  <c r="D128" i="81"/>
  <c r="D217" i="81" s="1"/>
  <c r="D136" i="81"/>
  <c r="D216" i="81" s="1"/>
  <c r="D117" i="81"/>
  <c r="D219" i="81" s="1"/>
  <c r="R125" i="129"/>
  <c r="J130" i="129"/>
  <c r="I125" i="130"/>
  <c r="E125" i="130"/>
  <c r="G125" i="130"/>
  <c r="H125" i="130"/>
  <c r="J125" i="129"/>
  <c r="D139" i="81"/>
  <c r="D215" i="81" s="1"/>
  <c r="D125" i="130"/>
  <c r="Q125" i="130"/>
  <c r="J124" i="129"/>
  <c r="Q125" i="129"/>
  <c r="E116" i="81"/>
  <c r="E120" i="81"/>
  <c r="E221" i="81" s="1"/>
  <c r="E118" i="81"/>
  <c r="E124" i="81"/>
  <c r="E130" i="81"/>
  <c r="E137" i="81"/>
  <c r="E141" i="81"/>
  <c r="E119" i="81"/>
  <c r="E129" i="81"/>
  <c r="E140" i="81"/>
  <c r="E125" i="81"/>
  <c r="F125" i="130"/>
  <c r="I123" i="742" l="1"/>
  <c r="D123" i="742"/>
  <c r="F123" i="742"/>
  <c r="H123" i="742"/>
  <c r="G123" i="742"/>
  <c r="E123" i="742"/>
  <c r="F355" i="813"/>
  <c r="F355" i="814"/>
  <c r="F355" i="815"/>
  <c r="G355" i="814"/>
  <c r="G355" i="813"/>
  <c r="G355" i="815"/>
  <c r="E355" i="815"/>
  <c r="E355" i="814"/>
  <c r="E355" i="813"/>
  <c r="D355" i="814"/>
  <c r="D355" i="815"/>
  <c r="D355" i="813"/>
  <c r="I355" i="815"/>
  <c r="I355" i="814"/>
  <c r="I355" i="813"/>
  <c r="H355" i="814"/>
  <c r="H355" i="813"/>
  <c r="H355" i="815"/>
  <c r="I355" i="202"/>
  <c r="I355" i="502"/>
  <c r="I355" i="200"/>
  <c r="I355" i="508"/>
  <c r="E355" i="202"/>
  <c r="E355" i="200"/>
  <c r="E355" i="502"/>
  <c r="E355" i="508"/>
  <c r="G355" i="202"/>
  <c r="G355" i="508"/>
  <c r="G355" i="502"/>
  <c r="G355" i="200"/>
  <c r="H355" i="202"/>
  <c r="H355" i="508"/>
  <c r="H355" i="200"/>
  <c r="H355" i="502"/>
  <c r="D355" i="200"/>
  <c r="D355" i="202"/>
  <c r="D355" i="508"/>
  <c r="D355" i="502"/>
  <c r="F355" i="202"/>
  <c r="F355" i="200"/>
  <c r="F355" i="508"/>
  <c r="F355" i="502"/>
  <c r="J436" i="502"/>
  <c r="D436" i="502"/>
  <c r="D436" i="508"/>
  <c r="J124" i="639"/>
  <c r="D122" i="81"/>
  <c r="F141" i="81"/>
  <c r="F120" i="81"/>
  <c r="F221" i="81" s="1"/>
  <c r="F125" i="81"/>
  <c r="E136" i="81"/>
  <c r="E216" i="81" s="1"/>
  <c r="F130" i="81"/>
  <c r="E115" i="81"/>
  <c r="E220" i="81" s="1"/>
  <c r="F119" i="81"/>
  <c r="D114" i="81"/>
  <c r="X125" i="129"/>
  <c r="E139" i="81"/>
  <c r="E215" i="81" s="1"/>
  <c r="E128" i="81"/>
  <c r="E217" i="81" s="1"/>
  <c r="F118" i="81"/>
  <c r="E117" i="81"/>
  <c r="E219" i="81" s="1"/>
  <c r="E123" i="81"/>
  <c r="E218" i="81" s="1"/>
  <c r="J123" i="129"/>
  <c r="J125" i="130"/>
  <c r="F140" i="81"/>
  <c r="F124" i="81"/>
  <c r="F129" i="81"/>
  <c r="F137" i="81"/>
  <c r="F116" i="81"/>
  <c r="J355" i="815" l="1"/>
  <c r="J355" i="814"/>
  <c r="J355" i="813"/>
  <c r="J355" i="202"/>
  <c r="J355" i="200"/>
  <c r="J355" i="508"/>
  <c r="J355" i="502"/>
  <c r="J123" i="742"/>
  <c r="J436" i="508"/>
  <c r="D436" i="200"/>
  <c r="D436" i="202"/>
  <c r="G130" i="81"/>
  <c r="F115" i="81"/>
  <c r="F220" i="81" s="1"/>
  <c r="F136" i="81"/>
  <c r="F216" i="81" s="1"/>
  <c r="F128" i="81"/>
  <c r="F217" i="81" s="1"/>
  <c r="E135" i="81"/>
  <c r="G125" i="81"/>
  <c r="F123" i="81"/>
  <c r="F218" i="81" s="1"/>
  <c r="F139" i="81"/>
  <c r="F215" i="81" s="1"/>
  <c r="G120" i="81"/>
  <c r="G221" i="81" s="1"/>
  <c r="E114" i="81"/>
  <c r="G119" i="81"/>
  <c r="G141" i="81"/>
  <c r="E122" i="81"/>
  <c r="G118" i="81"/>
  <c r="F117" i="81"/>
  <c r="F219" i="81" s="1"/>
  <c r="G129" i="81"/>
  <c r="G116" i="81"/>
  <c r="G137" i="81"/>
  <c r="G124" i="81"/>
  <c r="G140" i="81"/>
  <c r="C148" i="145"/>
  <c r="C150" i="144"/>
  <c r="C150" i="120"/>
  <c r="C151" i="86"/>
  <c r="C148" i="130"/>
  <c r="C150" i="129"/>
  <c r="C150" i="81"/>
  <c r="J436" i="200" l="1"/>
  <c r="J436" i="202"/>
  <c r="G139" i="81"/>
  <c r="G215" i="81" s="1"/>
  <c r="H141" i="81"/>
  <c r="H125" i="81"/>
  <c r="G115" i="81"/>
  <c r="G220" i="81" s="1"/>
  <c r="G128" i="81"/>
  <c r="G217" i="81" s="1"/>
  <c r="G123" i="81"/>
  <c r="G218" i="81" s="1"/>
  <c r="G136" i="81"/>
  <c r="G216" i="81" s="1"/>
  <c r="H119" i="81"/>
  <c r="F114" i="81"/>
  <c r="H120" i="81"/>
  <c r="H221" i="81" s="1"/>
  <c r="F135" i="81"/>
  <c r="E146" i="81"/>
  <c r="S167" i="823" s="1"/>
  <c r="S172" i="823" s="1"/>
  <c r="F122" i="81"/>
  <c r="H130" i="81"/>
  <c r="H118" i="81"/>
  <c r="G117" i="81"/>
  <c r="G219" i="81" s="1"/>
  <c r="H137" i="81"/>
  <c r="H140" i="81"/>
  <c r="H124" i="81"/>
  <c r="H129" i="81"/>
  <c r="H116" i="81"/>
  <c r="G135" i="81" l="1"/>
  <c r="H136" i="81"/>
  <c r="H216" i="81" s="1"/>
  <c r="G114" i="81"/>
  <c r="I120" i="81"/>
  <c r="I221" i="81" s="1"/>
  <c r="J221" i="81" s="1"/>
  <c r="U22" i="485" s="1"/>
  <c r="I125" i="81"/>
  <c r="F146" i="81"/>
  <c r="T167" i="823" s="1"/>
  <c r="T172" i="823" s="1"/>
  <c r="I119" i="81"/>
  <c r="I130" i="81"/>
  <c r="H123" i="81"/>
  <c r="H218" i="81" s="1"/>
  <c r="I141" i="81"/>
  <c r="H139" i="81"/>
  <c r="H215" i="81" s="1"/>
  <c r="H115" i="81"/>
  <c r="H220" i="81" s="1"/>
  <c r="H128" i="81"/>
  <c r="H217" i="81" s="1"/>
  <c r="G122" i="81"/>
  <c r="I118" i="81"/>
  <c r="H117" i="81"/>
  <c r="H219" i="81" s="1"/>
  <c r="I137" i="81"/>
  <c r="I124" i="81"/>
  <c r="I129" i="81"/>
  <c r="I140" i="81"/>
  <c r="I116" i="81"/>
  <c r="J124" i="81" l="1"/>
  <c r="J118" i="81"/>
  <c r="H122" i="81"/>
  <c r="G146" i="81"/>
  <c r="U167" i="823" s="1"/>
  <c r="U172" i="823" s="1"/>
  <c r="I139" i="81"/>
  <c r="I215" i="81" s="1"/>
  <c r="J215" i="81" s="1"/>
  <c r="J130" i="81"/>
  <c r="I128" i="81"/>
  <c r="I217" i="81" s="1"/>
  <c r="J217" i="81" s="1"/>
  <c r="J119" i="81"/>
  <c r="I115" i="81"/>
  <c r="I220" i="81" s="1"/>
  <c r="J220" i="81" s="1"/>
  <c r="I136" i="81"/>
  <c r="I216" i="81" s="1"/>
  <c r="J216" i="81" s="1"/>
  <c r="J125" i="81"/>
  <c r="I123" i="81"/>
  <c r="I218" i="81" s="1"/>
  <c r="J218" i="81" s="1"/>
  <c r="H114" i="81"/>
  <c r="J120" i="81"/>
  <c r="I117" i="81"/>
  <c r="I219" i="81" s="1"/>
  <c r="J219" i="81" s="1"/>
  <c r="H135" i="81"/>
  <c r="J141" i="81"/>
  <c r="J137" i="81"/>
  <c r="J136" i="81" s="1"/>
  <c r="J116" i="81"/>
  <c r="J115" i="81" s="1"/>
  <c r="J129" i="81"/>
  <c r="J140" i="81"/>
  <c r="T22" i="485" l="1"/>
  <c r="C26" i="631" s="1"/>
  <c r="P22" i="485"/>
  <c r="C22" i="631" s="1"/>
  <c r="J117" i="81"/>
  <c r="S22" i="485" s="1"/>
  <c r="C25" i="631" s="1"/>
  <c r="C22" i="858" s="1"/>
  <c r="J123" i="81"/>
  <c r="R22" i="485" s="1"/>
  <c r="C24" i="631" s="1"/>
  <c r="J128" i="81"/>
  <c r="Q22" i="485" s="1"/>
  <c r="C23" i="631" s="1"/>
  <c r="C21" i="858" s="1"/>
  <c r="J139" i="81"/>
  <c r="O22" i="485" s="1"/>
  <c r="I122" i="81"/>
  <c r="H146" i="81"/>
  <c r="V167" i="823" s="1"/>
  <c r="V172" i="823" s="1"/>
  <c r="J114" i="81"/>
  <c r="I114" i="81"/>
  <c r="I135" i="81"/>
  <c r="R137" i="130"/>
  <c r="K137" i="130"/>
  <c r="R124" i="130"/>
  <c r="R123" i="130" s="1"/>
  <c r="K124" i="130"/>
  <c r="R116" i="130"/>
  <c r="K116" i="130"/>
  <c r="K141" i="130"/>
  <c r="K140" i="130"/>
  <c r="K130" i="130"/>
  <c r="K129" i="130"/>
  <c r="K119" i="130"/>
  <c r="K118" i="130"/>
  <c r="P118" i="130"/>
  <c r="O118" i="130"/>
  <c r="N118" i="130"/>
  <c r="M118" i="130"/>
  <c r="L118" i="130"/>
  <c r="S124" i="130"/>
  <c r="S123" i="130" s="1"/>
  <c r="L130" i="130"/>
  <c r="E215" i="129"/>
  <c r="C152" i="460"/>
  <c r="H159" i="129"/>
  <c r="H152" i="129" s="1"/>
  <c r="E48" i="62"/>
  <c r="E42" i="62"/>
  <c r="E40" i="62"/>
  <c r="E38" i="62"/>
  <c r="E36" i="62"/>
  <c r="E35" i="62"/>
  <c r="E33" i="62"/>
  <c r="E28" i="62"/>
  <c r="E18" i="62"/>
  <c r="E15" i="62"/>
  <c r="C377" i="508"/>
  <c r="E6" i="48"/>
  <c r="E220" i="129"/>
  <c r="I4" i="129"/>
  <c r="H4" i="129"/>
  <c r="G4" i="129"/>
  <c r="F4" i="129"/>
  <c r="E4" i="129"/>
  <c r="D4" i="129"/>
  <c r="H152" i="459"/>
  <c r="G152" i="459"/>
  <c r="F152" i="459"/>
  <c r="E152" i="459"/>
  <c r="D152" i="459"/>
  <c r="C152" i="459"/>
  <c r="J197" i="86"/>
  <c r="O50" i="459"/>
  <c r="O36" i="459"/>
  <c r="O25" i="459"/>
  <c r="O23" i="459"/>
  <c r="G142" i="459"/>
  <c r="O9" i="459"/>
  <c r="O34" i="459"/>
  <c r="F147" i="459"/>
  <c r="D147" i="459"/>
  <c r="H159" i="459"/>
  <c r="F146" i="459"/>
  <c r="D146" i="459"/>
  <c r="H158" i="459"/>
  <c r="F158" i="459"/>
  <c r="H144" i="459"/>
  <c r="F157" i="459"/>
  <c r="H143" i="459"/>
  <c r="F156" i="459"/>
  <c r="D143" i="459"/>
  <c r="H155" i="459"/>
  <c r="D155" i="459"/>
  <c r="H154" i="459"/>
  <c r="F154" i="459"/>
  <c r="D154" i="459"/>
  <c r="H153" i="459"/>
  <c r="F153" i="459"/>
  <c r="D153" i="459"/>
  <c r="O117" i="460"/>
  <c r="O113" i="460"/>
  <c r="O109" i="460"/>
  <c r="O101" i="460"/>
  <c r="O73" i="460"/>
  <c r="O69" i="460"/>
  <c r="O61" i="460"/>
  <c r="O57" i="460"/>
  <c r="O47" i="460"/>
  <c r="O43" i="460"/>
  <c r="O36" i="460"/>
  <c r="O31" i="460"/>
  <c r="O29" i="460"/>
  <c r="O25" i="460"/>
  <c r="O21" i="460"/>
  <c r="O16" i="460"/>
  <c r="J122" i="472"/>
  <c r="J121" i="472"/>
  <c r="J141" i="203"/>
  <c r="J132" i="203"/>
  <c r="J120" i="203"/>
  <c r="C272" i="127"/>
  <c r="C77" i="127"/>
  <c r="C81" i="127"/>
  <c r="C2" i="145"/>
  <c r="C1" i="144"/>
  <c r="F86" i="62"/>
  <c r="G86" i="62"/>
  <c r="F92" i="62"/>
  <c r="G92" i="62"/>
  <c r="F99" i="62"/>
  <c r="G99" i="62"/>
  <c r="J5" i="62"/>
  <c r="I5" i="62" s="1"/>
  <c r="K5" i="62"/>
  <c r="J6" i="62"/>
  <c r="I6" i="62" s="1"/>
  <c r="K6" i="62"/>
  <c r="J7" i="62"/>
  <c r="I7" i="62" s="1"/>
  <c r="K7" i="62"/>
  <c r="J9" i="62"/>
  <c r="I9" i="62" s="1"/>
  <c r="K9" i="62"/>
  <c r="J10" i="62"/>
  <c r="I10" i="62" s="1"/>
  <c r="K10" i="62"/>
  <c r="J14" i="62"/>
  <c r="I14" i="62" s="1"/>
  <c r="K14" i="62"/>
  <c r="J15" i="62"/>
  <c r="I15" i="62" s="1"/>
  <c r="K15" i="62"/>
  <c r="J16" i="62"/>
  <c r="I16" i="62" s="1"/>
  <c r="K16" i="62"/>
  <c r="J17" i="62"/>
  <c r="I17" i="62" s="1"/>
  <c r="K17" i="62"/>
  <c r="J18" i="62"/>
  <c r="I18" i="62" s="1"/>
  <c r="K18" i="62"/>
  <c r="J20" i="62"/>
  <c r="I20" i="62" s="1"/>
  <c r="K20" i="62"/>
  <c r="J21" i="62"/>
  <c r="K21" i="62"/>
  <c r="J27" i="62"/>
  <c r="I27" i="62" s="1"/>
  <c r="K27" i="62"/>
  <c r="J28" i="62"/>
  <c r="I28" i="62" s="1"/>
  <c r="K28" i="62"/>
  <c r="J29" i="62"/>
  <c r="I29" i="62" s="1"/>
  <c r="K29" i="62"/>
  <c r="J30" i="62"/>
  <c r="I30" i="62" s="1"/>
  <c r="K30" i="62"/>
  <c r="J31" i="62"/>
  <c r="I31" i="62" s="1"/>
  <c r="K31" i="62"/>
  <c r="J32" i="62"/>
  <c r="I32" i="62" s="1"/>
  <c r="K32" i="62"/>
  <c r="J33" i="62"/>
  <c r="I33" i="62" s="1"/>
  <c r="K33" i="62"/>
  <c r="J34" i="62"/>
  <c r="I34" i="62" s="1"/>
  <c r="K34" i="62"/>
  <c r="J35" i="62"/>
  <c r="I35" i="62" s="1"/>
  <c r="K35" i="62"/>
  <c r="J36" i="62"/>
  <c r="I36" i="62" s="1"/>
  <c r="K36" i="62"/>
  <c r="J37" i="62"/>
  <c r="I37" i="62" s="1"/>
  <c r="K37" i="62"/>
  <c r="J38" i="62"/>
  <c r="I38" i="62" s="1"/>
  <c r="K38" i="62"/>
  <c r="J39" i="62"/>
  <c r="I39" i="62" s="1"/>
  <c r="K39" i="62"/>
  <c r="J40" i="62"/>
  <c r="I40" i="62" s="1"/>
  <c r="K40" i="62"/>
  <c r="J41" i="62"/>
  <c r="I41" i="62" s="1"/>
  <c r="K41" i="62"/>
  <c r="J42" i="62"/>
  <c r="I42" i="62" s="1"/>
  <c r="K42" i="62"/>
  <c r="J43" i="62"/>
  <c r="I43" i="62" s="1"/>
  <c r="K43" i="62"/>
  <c r="J44" i="62"/>
  <c r="I44" i="62" s="1"/>
  <c r="K44" i="62"/>
  <c r="J45" i="62"/>
  <c r="I45" i="62" s="1"/>
  <c r="K45" i="62"/>
  <c r="J46" i="62"/>
  <c r="I46" i="62" s="1"/>
  <c r="K46" i="62"/>
  <c r="J47" i="62"/>
  <c r="I47" i="62" s="1"/>
  <c r="K47" i="62"/>
  <c r="J48" i="62"/>
  <c r="I48" i="62" s="1"/>
  <c r="K48" i="62"/>
  <c r="J186" i="86"/>
  <c r="J187" i="86"/>
  <c r="J188" i="86"/>
  <c r="J189" i="86"/>
  <c r="J191" i="86"/>
  <c r="J192" i="86"/>
  <c r="J193" i="86"/>
  <c r="J194" i="86"/>
  <c r="J195" i="86"/>
  <c r="J196" i="86"/>
  <c r="J202" i="86"/>
  <c r="J203" i="86"/>
  <c r="D4" i="130"/>
  <c r="D113" i="130" s="1"/>
  <c r="E4" i="130"/>
  <c r="L4" i="130" s="1"/>
  <c r="L113" i="130" s="1"/>
  <c r="F4" i="130"/>
  <c r="M4" i="130" s="1"/>
  <c r="M113" i="130" s="1"/>
  <c r="G4" i="130"/>
  <c r="G113" i="130" s="1"/>
  <c r="H4" i="130"/>
  <c r="H113" i="130" s="1"/>
  <c r="I4" i="130"/>
  <c r="P4" i="130" s="1"/>
  <c r="W4" i="130" s="1"/>
  <c r="D19" i="130"/>
  <c r="E19" i="130"/>
  <c r="F19" i="130"/>
  <c r="G19" i="130"/>
  <c r="H19" i="130"/>
  <c r="I19" i="130"/>
  <c r="D49" i="130"/>
  <c r="E49" i="130"/>
  <c r="F49" i="130"/>
  <c r="G49" i="130"/>
  <c r="H49" i="130"/>
  <c r="I49" i="130"/>
  <c r="D66" i="130"/>
  <c r="E66" i="130"/>
  <c r="F66" i="130"/>
  <c r="G66" i="130"/>
  <c r="H66" i="130"/>
  <c r="I66" i="130"/>
  <c r="D67" i="130"/>
  <c r="E67" i="130"/>
  <c r="F67" i="130"/>
  <c r="G67" i="130"/>
  <c r="H67" i="130"/>
  <c r="I67" i="130"/>
  <c r="D68" i="130"/>
  <c r="E68" i="130"/>
  <c r="F68" i="130"/>
  <c r="G68" i="130"/>
  <c r="H68" i="130"/>
  <c r="I68" i="130"/>
  <c r="D69" i="130"/>
  <c r="E69" i="130"/>
  <c r="F69" i="130"/>
  <c r="G69" i="130"/>
  <c r="H69" i="130"/>
  <c r="I69" i="130"/>
  <c r="D70" i="130"/>
  <c r="E70" i="130"/>
  <c r="F70" i="130"/>
  <c r="G70" i="130"/>
  <c r="H70" i="130"/>
  <c r="I70" i="130"/>
  <c r="D72" i="130"/>
  <c r="E72" i="130"/>
  <c r="F72" i="130"/>
  <c r="G72" i="130"/>
  <c r="H72" i="130"/>
  <c r="I72" i="130"/>
  <c r="D73" i="130"/>
  <c r="E73" i="130"/>
  <c r="F73" i="130"/>
  <c r="G73" i="130"/>
  <c r="H73" i="130"/>
  <c r="I73" i="130"/>
  <c r="D74" i="130"/>
  <c r="E74" i="130"/>
  <c r="F74" i="130"/>
  <c r="G74" i="130"/>
  <c r="H74" i="130"/>
  <c r="I74" i="130"/>
  <c r="D75" i="130"/>
  <c r="E75" i="130"/>
  <c r="F75" i="130"/>
  <c r="G75" i="130"/>
  <c r="H75" i="130"/>
  <c r="I75" i="130"/>
  <c r="D76" i="130"/>
  <c r="E76" i="130"/>
  <c r="F76" i="130"/>
  <c r="G76" i="130"/>
  <c r="H76" i="130"/>
  <c r="I76" i="130"/>
  <c r="D77" i="130"/>
  <c r="E77" i="130"/>
  <c r="F77" i="130"/>
  <c r="G77" i="130"/>
  <c r="H77" i="130"/>
  <c r="I77" i="130"/>
  <c r="D79" i="130"/>
  <c r="E79" i="130"/>
  <c r="F79" i="130"/>
  <c r="G79" i="130"/>
  <c r="H79" i="130"/>
  <c r="I79" i="130"/>
  <c r="D80" i="130"/>
  <c r="E80" i="130"/>
  <c r="F80" i="130"/>
  <c r="G80" i="130"/>
  <c r="H80" i="130"/>
  <c r="I80" i="130"/>
  <c r="D81" i="130"/>
  <c r="E81" i="130"/>
  <c r="F81" i="130"/>
  <c r="G81" i="130"/>
  <c r="H81" i="130"/>
  <c r="I81" i="130"/>
  <c r="D82" i="130"/>
  <c r="E82" i="130"/>
  <c r="F82" i="130"/>
  <c r="G82" i="130"/>
  <c r="H82" i="130"/>
  <c r="I82" i="130"/>
  <c r="D83" i="130"/>
  <c r="E83" i="130"/>
  <c r="F83" i="130"/>
  <c r="G83" i="130"/>
  <c r="H83" i="130"/>
  <c r="I83" i="130"/>
  <c r="D84" i="130"/>
  <c r="E84" i="130"/>
  <c r="F84" i="130"/>
  <c r="G84" i="130"/>
  <c r="H84" i="130"/>
  <c r="I84" i="130"/>
  <c r="D106" i="130"/>
  <c r="E106" i="130"/>
  <c r="F106" i="130"/>
  <c r="G106" i="130"/>
  <c r="H106" i="130"/>
  <c r="I106" i="130"/>
  <c r="K108" i="130"/>
  <c r="L108" i="130"/>
  <c r="S108" i="130" s="1"/>
  <c r="M108" i="130"/>
  <c r="T108" i="130" s="1"/>
  <c r="N108" i="130"/>
  <c r="U108" i="130" s="1"/>
  <c r="O108" i="130"/>
  <c r="V108" i="130" s="1"/>
  <c r="P108" i="130"/>
  <c r="W108" i="130" s="1"/>
  <c r="J158" i="129"/>
  <c r="K159" i="129"/>
  <c r="L159" i="129"/>
  <c r="M159" i="129"/>
  <c r="N159" i="129"/>
  <c r="O159" i="129"/>
  <c r="P159" i="129"/>
  <c r="R159" i="129"/>
  <c r="S159" i="129"/>
  <c r="T159" i="129"/>
  <c r="U159" i="129"/>
  <c r="V159" i="129"/>
  <c r="W159" i="129"/>
  <c r="J164" i="129"/>
  <c r="J112" i="81"/>
  <c r="D113" i="81"/>
  <c r="E113" i="81"/>
  <c r="F113" i="81"/>
  <c r="G113" i="81"/>
  <c r="H113" i="81"/>
  <c r="I113" i="81"/>
  <c r="E196" i="81"/>
  <c r="E153" i="81"/>
  <c r="F153" i="81"/>
  <c r="G153" i="81"/>
  <c r="G152" i="81" s="1"/>
  <c r="H153" i="81"/>
  <c r="I153" i="81"/>
  <c r="I152" i="81" s="1"/>
  <c r="I155" i="81" s="1"/>
  <c r="D196" i="81"/>
  <c r="D197" i="81"/>
  <c r="E197" i="81"/>
  <c r="F197" i="81"/>
  <c r="G197" i="81"/>
  <c r="H197" i="81"/>
  <c r="I197" i="81"/>
  <c r="O13" i="460"/>
  <c r="O51" i="460"/>
  <c r="O65" i="460"/>
  <c r="O75" i="460"/>
  <c r="O79" i="460"/>
  <c r="O83" i="460"/>
  <c r="O87" i="460"/>
  <c r="O91" i="460"/>
  <c r="O95" i="460"/>
  <c r="O105" i="460"/>
  <c r="C153" i="460"/>
  <c r="C155" i="460"/>
  <c r="C143" i="460"/>
  <c r="C157" i="460"/>
  <c r="C146" i="460"/>
  <c r="C147" i="460"/>
  <c r="O152" i="460"/>
  <c r="O47" i="459"/>
  <c r="C5" i="62"/>
  <c r="C6" i="62"/>
  <c r="E6" i="62"/>
  <c r="C7" i="62"/>
  <c r="C8" i="62"/>
  <c r="E8" i="62"/>
  <c r="F8" i="62"/>
  <c r="G8" i="62"/>
  <c r="J8" i="62"/>
  <c r="I8" i="62" s="1"/>
  <c r="K8" i="62"/>
  <c r="C9" i="62"/>
  <c r="C10" i="62"/>
  <c r="C14" i="62"/>
  <c r="C15" i="62"/>
  <c r="C16" i="62"/>
  <c r="E16" i="62"/>
  <c r="F16" i="62"/>
  <c r="C17" i="62"/>
  <c r="E17" i="62"/>
  <c r="C18" i="62"/>
  <c r="F18" i="62"/>
  <c r="I19" i="62"/>
  <c r="C20" i="62"/>
  <c r="C21" i="62"/>
  <c r="E21" i="62"/>
  <c r="C27" i="62"/>
  <c r="C28" i="62"/>
  <c r="C29" i="62"/>
  <c r="E29" i="62"/>
  <c r="C30" i="62"/>
  <c r="E30" i="62"/>
  <c r="C31" i="62"/>
  <c r="E31" i="62"/>
  <c r="C32" i="62"/>
  <c r="E32" i="62"/>
  <c r="C33" i="62"/>
  <c r="C34" i="62"/>
  <c r="C35" i="62"/>
  <c r="C36" i="62"/>
  <c r="C37" i="62"/>
  <c r="E37" i="62"/>
  <c r="C38" i="62"/>
  <c r="C39" i="62"/>
  <c r="C40" i="62"/>
  <c r="C41" i="62"/>
  <c r="E41" i="62"/>
  <c r="C42" i="62"/>
  <c r="C43" i="62"/>
  <c r="E43" i="62"/>
  <c r="C44" i="62"/>
  <c r="C45" i="62"/>
  <c r="E45" i="62"/>
  <c r="C46" i="62"/>
  <c r="E46" i="62"/>
  <c r="C47" i="62"/>
  <c r="E47" i="62"/>
  <c r="C48" i="62"/>
  <c r="C65" i="62"/>
  <c r="J65" i="62"/>
  <c r="I65" i="62" s="1"/>
  <c r="K65" i="62"/>
  <c r="C66" i="62"/>
  <c r="J66" i="62"/>
  <c r="I66" i="62" s="1"/>
  <c r="K66" i="62"/>
  <c r="C67" i="62"/>
  <c r="J67" i="62"/>
  <c r="I67" i="62" s="1"/>
  <c r="K67" i="62"/>
  <c r="C68" i="62"/>
  <c r="J68" i="62"/>
  <c r="I68" i="62" s="1"/>
  <c r="K68" i="62"/>
  <c r="C69" i="62"/>
  <c r="J69" i="62"/>
  <c r="I69" i="62" s="1"/>
  <c r="K69" i="62"/>
  <c r="C70" i="62"/>
  <c r="J70" i="62"/>
  <c r="I70" i="62" s="1"/>
  <c r="K70" i="62"/>
  <c r="C71" i="62"/>
  <c r="J71" i="62"/>
  <c r="I71" i="62" s="1"/>
  <c r="K71" i="62"/>
  <c r="C72" i="62"/>
  <c r="J72" i="62"/>
  <c r="I72" i="62" s="1"/>
  <c r="K72" i="62"/>
  <c r="C73" i="62"/>
  <c r="J73" i="62"/>
  <c r="I73" i="62" s="1"/>
  <c r="K73" i="62"/>
  <c r="C74" i="62"/>
  <c r="J74" i="62"/>
  <c r="I74" i="62" s="1"/>
  <c r="K74" i="62"/>
  <c r="C75" i="62"/>
  <c r="J75" i="62"/>
  <c r="I75" i="62" s="1"/>
  <c r="K75" i="62"/>
  <c r="C76" i="62"/>
  <c r="J76" i="62"/>
  <c r="I76" i="62" s="1"/>
  <c r="K76" i="62"/>
  <c r="C77" i="62"/>
  <c r="J77" i="62"/>
  <c r="I77" i="62" s="1"/>
  <c r="K77" i="62"/>
  <c r="C78" i="62"/>
  <c r="J78" i="62"/>
  <c r="I78" i="62" s="1"/>
  <c r="K78" i="62"/>
  <c r="C79" i="62"/>
  <c r="J79" i="62"/>
  <c r="I79" i="62" s="1"/>
  <c r="K79" i="62"/>
  <c r="C80" i="62"/>
  <c r="J80" i="62"/>
  <c r="I80" i="62" s="1"/>
  <c r="K80" i="62"/>
  <c r="C81" i="62"/>
  <c r="J81" i="62"/>
  <c r="I81" i="62" s="1"/>
  <c r="K81" i="62"/>
  <c r="C82" i="62"/>
  <c r="J82" i="62"/>
  <c r="I82" i="62" s="1"/>
  <c r="K82" i="62"/>
  <c r="C83" i="62"/>
  <c r="J83" i="62"/>
  <c r="I83" i="62" s="1"/>
  <c r="K83" i="62"/>
  <c r="C84" i="62"/>
  <c r="J84" i="62"/>
  <c r="I84" i="62" s="1"/>
  <c r="K84" i="62"/>
  <c r="C86" i="62"/>
  <c r="J86" i="62"/>
  <c r="I86" i="62" s="1"/>
  <c r="K86" i="62"/>
  <c r="C87" i="62"/>
  <c r="J87" i="62"/>
  <c r="I87" i="62" s="1"/>
  <c r="K87" i="62"/>
  <c r="C88" i="62"/>
  <c r="J88" i="62"/>
  <c r="I88" i="62" s="1"/>
  <c r="K88" i="62"/>
  <c r="C89" i="62"/>
  <c r="J89" i="62"/>
  <c r="I89" i="62" s="1"/>
  <c r="K89" i="62"/>
  <c r="C90" i="62"/>
  <c r="J90" i="62"/>
  <c r="I90" i="62" s="1"/>
  <c r="K90" i="62"/>
  <c r="C91" i="62"/>
  <c r="J91" i="62"/>
  <c r="I91" i="62" s="1"/>
  <c r="K91" i="62"/>
  <c r="C92" i="62"/>
  <c r="J92" i="62"/>
  <c r="I92" i="62" s="1"/>
  <c r="K92" i="62"/>
  <c r="C93" i="62"/>
  <c r="J93" i="62"/>
  <c r="I93" i="62" s="1"/>
  <c r="K93" i="62"/>
  <c r="C94" i="62"/>
  <c r="J94" i="62"/>
  <c r="I94" i="62" s="1"/>
  <c r="K94" i="62"/>
  <c r="C95" i="62"/>
  <c r="J95" i="62"/>
  <c r="I95" i="62" s="1"/>
  <c r="K95" i="62"/>
  <c r="C96" i="62"/>
  <c r="J96" i="62"/>
  <c r="I96" i="62" s="1"/>
  <c r="K96" i="62"/>
  <c r="C97" i="62"/>
  <c r="J97" i="62"/>
  <c r="I97" i="62" s="1"/>
  <c r="K97" i="62"/>
  <c r="C98" i="62"/>
  <c r="J98" i="62"/>
  <c r="I98" i="62" s="1"/>
  <c r="K98" i="62"/>
  <c r="C99" i="62"/>
  <c r="J99" i="62"/>
  <c r="I99" i="62" s="1"/>
  <c r="K99" i="62"/>
  <c r="C100" i="62"/>
  <c r="J100" i="62"/>
  <c r="I100" i="62" s="1"/>
  <c r="K100" i="62"/>
  <c r="C101" i="62"/>
  <c r="J101" i="62"/>
  <c r="I101" i="62" s="1"/>
  <c r="K101" i="62"/>
  <c r="C102" i="62"/>
  <c r="J102" i="62"/>
  <c r="I102" i="62" s="1"/>
  <c r="K102" i="62"/>
  <c r="C103" i="62"/>
  <c r="J103" i="62"/>
  <c r="I103" i="62" s="1"/>
  <c r="K103" i="62"/>
  <c r="C104" i="62"/>
  <c r="J104" i="62"/>
  <c r="I104" i="62" s="1"/>
  <c r="K104" i="62"/>
  <c r="C105" i="62"/>
  <c r="J105" i="62"/>
  <c r="I105" i="62" s="1"/>
  <c r="K105" i="62"/>
  <c r="B110" i="62"/>
  <c r="D18" i="36"/>
  <c r="B26" i="36"/>
  <c r="G52" i="113"/>
  <c r="P52" i="113" s="1"/>
  <c r="G53" i="113"/>
  <c r="P53" i="113" s="1"/>
  <c r="C146" i="186"/>
  <c r="D7" i="203"/>
  <c r="D8" i="203"/>
  <c r="D9" i="203"/>
  <c r="D10" i="203"/>
  <c r="D11" i="203"/>
  <c r="D12" i="203"/>
  <c r="D14" i="203"/>
  <c r="D18" i="203"/>
  <c r="D113" i="203" s="1"/>
  <c r="E18" i="203"/>
  <c r="E113" i="203" s="1"/>
  <c r="F18" i="203"/>
  <c r="F113" i="203" s="1"/>
  <c r="G18" i="203"/>
  <c r="G113" i="203" s="1"/>
  <c r="H18" i="203"/>
  <c r="H113" i="203" s="1"/>
  <c r="I18" i="203"/>
  <c r="I113" i="203" s="1"/>
  <c r="C146" i="203"/>
  <c r="G14" i="113"/>
  <c r="G46" i="113" s="1"/>
  <c r="H14" i="113"/>
  <c r="H34" i="113" s="1"/>
  <c r="I14" i="113"/>
  <c r="I34" i="113" s="1"/>
  <c r="J14" i="113"/>
  <c r="J46" i="113" s="1"/>
  <c r="K14" i="113"/>
  <c r="K46" i="113" s="1"/>
  <c r="L14" i="113"/>
  <c r="L46" i="113" s="1"/>
  <c r="C15" i="113"/>
  <c r="C35" i="113" s="1"/>
  <c r="C48" i="113" s="1"/>
  <c r="C58" i="113" s="1"/>
  <c r="C68" i="113" s="1"/>
  <c r="C16" i="113"/>
  <c r="C36" i="113" s="1"/>
  <c r="C49" i="113" s="1"/>
  <c r="C59" i="113" s="1"/>
  <c r="C69" i="113" s="1"/>
  <c r="C17" i="113"/>
  <c r="C37" i="113" s="1"/>
  <c r="C50" i="113" s="1"/>
  <c r="C60" i="113" s="1"/>
  <c r="C70" i="113" s="1"/>
  <c r="C18" i="113"/>
  <c r="C38" i="113" s="1"/>
  <c r="C51" i="113" s="1"/>
  <c r="C61" i="113" s="1"/>
  <c r="C71" i="113" s="1"/>
  <c r="C19" i="113"/>
  <c r="C39" i="113" s="1"/>
  <c r="C52" i="113" s="1"/>
  <c r="C62" i="113" s="1"/>
  <c r="C72" i="113" s="1"/>
  <c r="C20" i="113"/>
  <c r="C40" i="113" s="1"/>
  <c r="C53" i="113" s="1"/>
  <c r="C63" i="113" s="1"/>
  <c r="C73" i="113" s="1"/>
  <c r="C22" i="113"/>
  <c r="C42" i="113" s="1"/>
  <c r="C55" i="113" s="1"/>
  <c r="C64" i="113" s="1"/>
  <c r="C75" i="113" s="1"/>
  <c r="B78" i="113"/>
  <c r="F6" i="48"/>
  <c r="G6" i="48"/>
  <c r="H6" i="48"/>
  <c r="I6" i="48"/>
  <c r="J6" i="48"/>
  <c r="B19" i="48"/>
  <c r="B101" i="152"/>
  <c r="F7" i="477"/>
  <c r="F8" i="477"/>
  <c r="G20" i="381"/>
  <c r="B32" i="381"/>
  <c r="D7" i="506"/>
  <c r="D8" i="506"/>
  <c r="D9" i="506"/>
  <c r="D10" i="506"/>
  <c r="D11" i="506"/>
  <c r="D12" i="506"/>
  <c r="D13" i="506"/>
  <c r="O14" i="485"/>
  <c r="P14" i="485"/>
  <c r="Q14" i="485"/>
  <c r="R14" i="485"/>
  <c r="S14" i="485"/>
  <c r="T14" i="485"/>
  <c r="U14" i="485"/>
  <c r="D7" i="508"/>
  <c r="D8" i="508"/>
  <c r="F8" i="508"/>
  <c r="D9" i="508"/>
  <c r="D10" i="508"/>
  <c r="F10" i="508"/>
  <c r="D11" i="508"/>
  <c r="D12" i="508"/>
  <c r="F12" i="508"/>
  <c r="D13" i="508"/>
  <c r="F13" i="508"/>
  <c r="D14" i="508"/>
  <c r="F14" i="508"/>
  <c r="D15" i="508"/>
  <c r="F15" i="508"/>
  <c r="C377" i="200"/>
  <c r="O38" i="485"/>
  <c r="P38" i="485"/>
  <c r="Q38" i="485"/>
  <c r="R38" i="485"/>
  <c r="S38" i="485"/>
  <c r="T38" i="485"/>
  <c r="U38" i="485"/>
  <c r="C377" i="502"/>
  <c r="D7" i="486"/>
  <c r="D8" i="486"/>
  <c r="D9" i="486"/>
  <c r="D10" i="486"/>
  <c r="D11" i="486"/>
  <c r="D12" i="486"/>
  <c r="D13" i="486"/>
  <c r="D133" i="486"/>
  <c r="E133" i="486"/>
  <c r="F133" i="486"/>
  <c r="G133" i="486"/>
  <c r="H133" i="486"/>
  <c r="I133" i="486"/>
  <c r="J133" i="486"/>
  <c r="D134" i="486"/>
  <c r="E134" i="486"/>
  <c r="F134" i="486"/>
  <c r="G134" i="486"/>
  <c r="H134" i="486"/>
  <c r="I134" i="486"/>
  <c r="J134" i="486"/>
  <c r="D135" i="486"/>
  <c r="E135" i="486"/>
  <c r="F135" i="486"/>
  <c r="G135" i="486"/>
  <c r="H135" i="486"/>
  <c r="I135" i="486"/>
  <c r="J135" i="486"/>
  <c r="D136" i="486"/>
  <c r="E136" i="486"/>
  <c r="F136" i="486"/>
  <c r="G136" i="486"/>
  <c r="H136" i="486"/>
  <c r="I136" i="486"/>
  <c r="J136" i="486"/>
  <c r="D137" i="486"/>
  <c r="E137" i="486"/>
  <c r="F137" i="486"/>
  <c r="G137" i="486"/>
  <c r="H137" i="486"/>
  <c r="I137" i="486"/>
  <c r="J137" i="486"/>
  <c r="D138" i="486"/>
  <c r="E138" i="486"/>
  <c r="F138" i="486"/>
  <c r="G138" i="486"/>
  <c r="H138" i="486"/>
  <c r="I138" i="486"/>
  <c r="J138" i="486"/>
  <c r="D139" i="486"/>
  <c r="E139" i="486"/>
  <c r="F139" i="486"/>
  <c r="G139" i="486"/>
  <c r="H139" i="486"/>
  <c r="I139" i="486"/>
  <c r="J139" i="486"/>
  <c r="C377" i="202"/>
  <c r="G4" i="127"/>
  <c r="H4" i="127"/>
  <c r="H87" i="127" s="1"/>
  <c r="I4" i="127"/>
  <c r="I132" i="127" s="1"/>
  <c r="J4" i="127"/>
  <c r="J361" i="127" s="1"/>
  <c r="K4" i="127"/>
  <c r="K361" i="127" s="1"/>
  <c r="L4" i="127"/>
  <c r="L87" i="127" s="1"/>
  <c r="D15" i="70"/>
  <c r="E15" i="70"/>
  <c r="F15" i="70"/>
  <c r="G15" i="70"/>
  <c r="H15" i="70"/>
  <c r="I15" i="70"/>
  <c r="M362" i="127"/>
  <c r="M363" i="127"/>
  <c r="G365" i="127"/>
  <c r="G372" i="127" s="1"/>
  <c r="H365" i="127"/>
  <c r="H372" i="127" s="1"/>
  <c r="I365" i="127"/>
  <c r="I372" i="127" s="1"/>
  <c r="J365" i="127"/>
  <c r="J372" i="127" s="1"/>
  <c r="K365" i="127"/>
  <c r="K372" i="127" s="1"/>
  <c r="L365" i="127"/>
  <c r="L372" i="127" s="1"/>
  <c r="M366" i="127"/>
  <c r="E7" i="477" s="1"/>
  <c r="M367" i="127"/>
  <c r="E8" i="477" s="1"/>
  <c r="M368" i="127"/>
  <c r="E9" i="477" s="1"/>
  <c r="M370" i="127"/>
  <c r="M371" i="127"/>
  <c r="C378" i="127"/>
  <c r="C12" i="25"/>
  <c r="C13" i="25" s="1"/>
  <c r="C14" i="25" s="1"/>
  <c r="C15" i="25" s="1"/>
  <c r="C16" i="25" s="1"/>
  <c r="C17" i="25" s="1"/>
  <c r="D12" i="25"/>
  <c r="E12" i="25"/>
  <c r="I12" i="19" s="1"/>
  <c r="D13" i="25"/>
  <c r="G13" i="19" s="1"/>
  <c r="E13" i="25"/>
  <c r="I13" i="19" s="1"/>
  <c r="D14" i="25"/>
  <c r="G14" i="19" s="1"/>
  <c r="E14" i="25"/>
  <c r="D15" i="25"/>
  <c r="G15" i="19" s="1"/>
  <c r="E15" i="25"/>
  <c r="D16" i="25"/>
  <c r="G16" i="19" s="1"/>
  <c r="E16" i="25"/>
  <c r="I16" i="19" s="1"/>
  <c r="D17" i="25"/>
  <c r="G17" i="19" s="1"/>
  <c r="E17" i="25"/>
  <c r="C22" i="25"/>
  <c r="D7" i="206"/>
  <c r="D8" i="206"/>
  <c r="D9" i="206"/>
  <c r="D10" i="206"/>
  <c r="D11" i="206"/>
  <c r="D12" i="206"/>
  <c r="D14" i="206"/>
  <c r="C112" i="206"/>
  <c r="D125" i="206"/>
  <c r="E125" i="206"/>
  <c r="F125" i="206"/>
  <c r="G125" i="206"/>
  <c r="H125" i="206"/>
  <c r="I125" i="206"/>
  <c r="J125" i="206"/>
  <c r="O9" i="485" s="1"/>
  <c r="D126" i="206"/>
  <c r="E126" i="206"/>
  <c r="F126" i="206"/>
  <c r="G126" i="206"/>
  <c r="H126" i="206"/>
  <c r="I126" i="206"/>
  <c r="J126" i="206"/>
  <c r="P9" i="485" s="1"/>
  <c r="D127" i="206"/>
  <c r="E127" i="206"/>
  <c r="F127" i="206"/>
  <c r="G127" i="206"/>
  <c r="H127" i="206"/>
  <c r="I127" i="206"/>
  <c r="J127" i="206"/>
  <c r="Q9" i="485" s="1"/>
  <c r="D128" i="206"/>
  <c r="E128" i="206"/>
  <c r="F128" i="206"/>
  <c r="G128" i="206"/>
  <c r="H128" i="206"/>
  <c r="I128" i="206"/>
  <c r="J128" i="206"/>
  <c r="R9" i="485" s="1"/>
  <c r="D129" i="206"/>
  <c r="E129" i="206"/>
  <c r="F129" i="206"/>
  <c r="G129" i="206"/>
  <c r="H129" i="206"/>
  <c r="I129" i="206"/>
  <c r="J129" i="206"/>
  <c r="S9" i="485" s="1"/>
  <c r="D130" i="206"/>
  <c r="E130" i="206"/>
  <c r="F130" i="206"/>
  <c r="G130" i="206"/>
  <c r="H130" i="206"/>
  <c r="I130" i="206"/>
  <c r="J130" i="206"/>
  <c r="T9" i="485" s="1"/>
  <c r="D131" i="206"/>
  <c r="E131" i="206"/>
  <c r="F131" i="206"/>
  <c r="G131" i="206"/>
  <c r="H131" i="206"/>
  <c r="I131" i="206"/>
  <c r="J131" i="206"/>
  <c r="U9" i="485" s="1"/>
  <c r="D132" i="206"/>
  <c r="E132" i="206"/>
  <c r="F132" i="206"/>
  <c r="G132" i="206"/>
  <c r="H132" i="206"/>
  <c r="I132" i="206"/>
  <c r="J132" i="206"/>
  <c r="C112" i="207"/>
  <c r="D125" i="207"/>
  <c r="E125" i="207"/>
  <c r="F125" i="207"/>
  <c r="G125" i="207"/>
  <c r="H125" i="207"/>
  <c r="I125" i="207"/>
  <c r="J125" i="207"/>
  <c r="O33" i="485" s="1"/>
  <c r="D126" i="207"/>
  <c r="E126" i="207"/>
  <c r="F126" i="207"/>
  <c r="G126" i="207"/>
  <c r="H126" i="207"/>
  <c r="I126" i="207"/>
  <c r="J126" i="207"/>
  <c r="P33" i="485" s="1"/>
  <c r="D127" i="207"/>
  <c r="E127" i="207"/>
  <c r="F127" i="207"/>
  <c r="G127" i="207"/>
  <c r="H127" i="207"/>
  <c r="I127" i="207"/>
  <c r="J127" i="207"/>
  <c r="Q33" i="485" s="1"/>
  <c r="D128" i="207"/>
  <c r="E128" i="207"/>
  <c r="F128" i="207"/>
  <c r="G128" i="207"/>
  <c r="H128" i="207"/>
  <c r="I128" i="207"/>
  <c r="J128" i="207"/>
  <c r="R33" i="485" s="1"/>
  <c r="D129" i="207"/>
  <c r="E129" i="207"/>
  <c r="F129" i="207"/>
  <c r="G129" i="207"/>
  <c r="H129" i="207"/>
  <c r="I129" i="207"/>
  <c r="J129" i="207"/>
  <c r="S33" i="485" s="1"/>
  <c r="D130" i="207"/>
  <c r="E130" i="207"/>
  <c r="F130" i="207"/>
  <c r="G130" i="207"/>
  <c r="H130" i="207"/>
  <c r="I130" i="207"/>
  <c r="J130" i="207"/>
  <c r="T33" i="485" s="1"/>
  <c r="D131" i="207"/>
  <c r="E131" i="207"/>
  <c r="F131" i="207"/>
  <c r="G131" i="207"/>
  <c r="H131" i="207"/>
  <c r="I131" i="207"/>
  <c r="J131" i="207"/>
  <c r="U33" i="485" s="1"/>
  <c r="D132" i="207"/>
  <c r="E132" i="207"/>
  <c r="F132" i="207"/>
  <c r="G132" i="207"/>
  <c r="H132" i="207"/>
  <c r="I132" i="207"/>
  <c r="J132" i="207"/>
  <c r="B23" i="19"/>
  <c r="K10" i="75"/>
  <c r="K11" i="75"/>
  <c r="K12" i="75"/>
  <c r="K13" i="75"/>
  <c r="D16" i="75"/>
  <c r="E16" i="75"/>
  <c r="F16" i="75"/>
  <c r="G16" i="75"/>
  <c r="H16" i="75"/>
  <c r="D29" i="75"/>
  <c r="D20" i="75" s="1"/>
  <c r="K67" i="75"/>
  <c r="M67" i="70" s="1"/>
  <c r="K68" i="75"/>
  <c r="M68" i="70" s="1"/>
  <c r="N68" i="70" s="1"/>
  <c r="K70" i="75"/>
  <c r="M70" i="70" s="1"/>
  <c r="K72" i="75"/>
  <c r="M72" i="70" s="1"/>
  <c r="K65" i="75"/>
  <c r="M65" i="70" s="1"/>
  <c r="B78" i="75"/>
  <c r="E7" i="211"/>
  <c r="D8" i="211"/>
  <c r="E8" i="211"/>
  <c r="D9" i="211"/>
  <c r="E9" i="211"/>
  <c r="D10" i="211"/>
  <c r="E10" i="211"/>
  <c r="D11" i="211"/>
  <c r="E11" i="211"/>
  <c r="D12" i="211"/>
  <c r="E12" i="211"/>
  <c r="D14" i="211"/>
  <c r="C147" i="211"/>
  <c r="U8" i="485"/>
  <c r="C147" i="212"/>
  <c r="D166" i="212"/>
  <c r="E166" i="212"/>
  <c r="F166" i="212"/>
  <c r="G166" i="212"/>
  <c r="H166" i="212"/>
  <c r="I166" i="212"/>
  <c r="J166" i="212"/>
  <c r="U32" i="485" s="1"/>
  <c r="D167" i="212"/>
  <c r="E167" i="212"/>
  <c r="F167" i="212"/>
  <c r="G167" i="212"/>
  <c r="H167" i="212"/>
  <c r="I167" i="212"/>
  <c r="J167" i="212"/>
  <c r="B78" i="70"/>
  <c r="D7" i="163"/>
  <c r="F7" i="163"/>
  <c r="G7" i="163"/>
  <c r="D8" i="163"/>
  <c r="E8" i="163"/>
  <c r="D9" i="163"/>
  <c r="F9" i="163"/>
  <c r="G9" i="163"/>
  <c r="D10" i="163"/>
  <c r="E10" i="163"/>
  <c r="D11" i="163"/>
  <c r="F11" i="163"/>
  <c r="G11" i="163"/>
  <c r="D12" i="163"/>
  <c r="E12" i="163"/>
  <c r="E14" i="163"/>
  <c r="C147" i="163"/>
  <c r="U7" i="485"/>
  <c r="C147" i="214"/>
  <c r="U31" i="485"/>
  <c r="C41" i="103"/>
  <c r="F7" i="473"/>
  <c r="G7" i="473"/>
  <c r="D8" i="473"/>
  <c r="E8" i="473"/>
  <c r="D9" i="473"/>
  <c r="F9" i="473"/>
  <c r="G9" i="473"/>
  <c r="D10" i="473"/>
  <c r="E10" i="473"/>
  <c r="D11" i="473"/>
  <c r="F11" i="473"/>
  <c r="G11" i="473"/>
  <c r="D12" i="473"/>
  <c r="E12" i="473"/>
  <c r="D14" i="473"/>
  <c r="C148" i="473"/>
  <c r="U4" i="485"/>
  <c r="C148" i="472"/>
  <c r="D167" i="472"/>
  <c r="E167" i="472"/>
  <c r="F167" i="472"/>
  <c r="G167" i="472"/>
  <c r="H167" i="472"/>
  <c r="I167" i="472"/>
  <c r="J167" i="472"/>
  <c r="U28" i="485" s="1"/>
  <c r="D168" i="472"/>
  <c r="E168" i="472"/>
  <c r="F168" i="472"/>
  <c r="G168" i="472"/>
  <c r="H168" i="472"/>
  <c r="I168" i="472"/>
  <c r="J168" i="472"/>
  <c r="D7" i="158"/>
  <c r="E7" i="158"/>
  <c r="D8" i="158"/>
  <c r="E8" i="158"/>
  <c r="D9" i="158"/>
  <c r="E9" i="158"/>
  <c r="D10" i="158"/>
  <c r="E10" i="158"/>
  <c r="D11" i="158"/>
  <c r="E11" i="158"/>
  <c r="D12" i="158"/>
  <c r="E12" i="158"/>
  <c r="D14" i="158"/>
  <c r="E14" i="158"/>
  <c r="E13" i="158"/>
  <c r="C147" i="158"/>
  <c r="D166" i="158"/>
  <c r="E166" i="158"/>
  <c r="F166" i="158"/>
  <c r="G166" i="158"/>
  <c r="H166" i="158"/>
  <c r="I166" i="158"/>
  <c r="J166" i="158"/>
  <c r="U3" i="485" s="1"/>
  <c r="D167" i="158"/>
  <c r="E167" i="158"/>
  <c r="F167" i="158"/>
  <c r="G167" i="158"/>
  <c r="H167" i="158"/>
  <c r="I167" i="158"/>
  <c r="J167" i="158"/>
  <c r="C147" i="216"/>
  <c r="D166" i="216"/>
  <c r="E166" i="216"/>
  <c r="F166" i="216"/>
  <c r="G166" i="216"/>
  <c r="H166" i="216"/>
  <c r="I166" i="216"/>
  <c r="J166" i="216"/>
  <c r="U27" i="485" s="1"/>
  <c r="D167" i="216"/>
  <c r="E167" i="216"/>
  <c r="F167" i="216"/>
  <c r="G167" i="216"/>
  <c r="H167" i="216"/>
  <c r="I167" i="216"/>
  <c r="J167" i="216"/>
  <c r="B22" i="6"/>
  <c r="Q2" i="485"/>
  <c r="Q47" i="485" s="1"/>
  <c r="R2" i="485"/>
  <c r="R47" i="485" s="1"/>
  <c r="S2" i="485"/>
  <c r="S47" i="485" s="1"/>
  <c r="AH2" i="485"/>
  <c r="U12" i="485"/>
  <c r="D26" i="485"/>
  <c r="E26" i="485"/>
  <c r="F26" i="485"/>
  <c r="C26" i="485"/>
  <c r="H26" i="485"/>
  <c r="I26" i="485"/>
  <c r="J26" i="485"/>
  <c r="K26" i="485"/>
  <c r="L26" i="485"/>
  <c r="M26" i="485"/>
  <c r="O26" i="485"/>
  <c r="P26" i="485"/>
  <c r="T26" i="485"/>
  <c r="U26" i="485"/>
  <c r="AH26" i="485"/>
  <c r="O33" i="112"/>
  <c r="P33" i="112"/>
  <c r="B69" i="112"/>
  <c r="B144" i="66"/>
  <c r="F6" i="477"/>
  <c r="F22" i="477"/>
  <c r="D8" i="411"/>
  <c r="D9" i="411" s="1"/>
  <c r="E48" i="39"/>
  <c r="O54" i="460"/>
  <c r="O55" i="460"/>
  <c r="O58" i="460"/>
  <c r="O59" i="460"/>
  <c r="O60" i="460"/>
  <c r="O62" i="460"/>
  <c r="O63" i="460"/>
  <c r="O64" i="460"/>
  <c r="O66" i="460"/>
  <c r="O67" i="460"/>
  <c r="O68" i="460"/>
  <c r="O70" i="460"/>
  <c r="O71" i="460"/>
  <c r="O72" i="460"/>
  <c r="G158" i="459"/>
  <c r="O97" i="460"/>
  <c r="O44" i="460"/>
  <c r="O17" i="459"/>
  <c r="C154" i="459"/>
  <c r="O11" i="459"/>
  <c r="O15" i="459"/>
  <c r="O16" i="459"/>
  <c r="O18" i="459"/>
  <c r="O19" i="459"/>
  <c r="O24" i="459"/>
  <c r="O26" i="459"/>
  <c r="O27" i="459"/>
  <c r="O31" i="459"/>
  <c r="O32" i="459"/>
  <c r="O33" i="459"/>
  <c r="C144" i="459"/>
  <c r="E145" i="459"/>
  <c r="G159" i="459"/>
  <c r="O41" i="459"/>
  <c r="O44" i="459"/>
  <c r="O48" i="459"/>
  <c r="O51" i="459"/>
  <c r="E156" i="459"/>
  <c r="O53" i="460"/>
  <c r="O33" i="460"/>
  <c r="O37" i="460"/>
  <c r="O38" i="460"/>
  <c r="O40" i="460"/>
  <c r="O41" i="460"/>
  <c r="O45" i="460"/>
  <c r="O46" i="460"/>
  <c r="O48" i="460"/>
  <c r="O49" i="460"/>
  <c r="O50" i="460"/>
  <c r="O39" i="460"/>
  <c r="O24" i="460"/>
  <c r="O26" i="460"/>
  <c r="O98" i="460"/>
  <c r="O99" i="460"/>
  <c r="O100" i="460"/>
  <c r="O102" i="460"/>
  <c r="O103" i="460"/>
  <c r="O104" i="460"/>
  <c r="O106" i="460"/>
  <c r="O107" i="460"/>
  <c r="O108" i="460"/>
  <c r="O110" i="460"/>
  <c r="O111" i="460"/>
  <c r="O112" i="460"/>
  <c r="O114" i="460"/>
  <c r="O115" i="460"/>
  <c r="O116" i="460"/>
  <c r="O35" i="460"/>
  <c r="O17" i="460"/>
  <c r="O76" i="460"/>
  <c r="O77" i="460"/>
  <c r="O80" i="460"/>
  <c r="O81" i="460"/>
  <c r="O82" i="460"/>
  <c r="O84" i="460"/>
  <c r="O85" i="460"/>
  <c r="O86" i="460"/>
  <c r="O88" i="460"/>
  <c r="O89" i="460"/>
  <c r="O90" i="460"/>
  <c r="O92" i="460"/>
  <c r="O93" i="460"/>
  <c r="O94" i="460"/>
  <c r="O43" i="459"/>
  <c r="E154" i="459"/>
  <c r="E144" i="459"/>
  <c r="E159" i="459"/>
  <c r="O40" i="459"/>
  <c r="C143" i="459"/>
  <c r="C159" i="459"/>
  <c r="G147" i="459"/>
  <c r="O49" i="459"/>
  <c r="O39" i="459"/>
  <c r="O10" i="459"/>
  <c r="G144" i="459"/>
  <c r="C149" i="459"/>
  <c r="O35" i="459"/>
  <c r="O75" i="459"/>
  <c r="C142" i="459"/>
  <c r="F142" i="459"/>
  <c r="F155" i="459"/>
  <c r="D145" i="459"/>
  <c r="D158" i="459"/>
  <c r="H147" i="459"/>
  <c r="E142" i="459"/>
  <c r="O22" i="459"/>
  <c r="O14" i="459"/>
  <c r="G156" i="459"/>
  <c r="O97" i="459"/>
  <c r="O46" i="459"/>
  <c r="O38" i="459"/>
  <c r="O29" i="459"/>
  <c r="O21" i="459"/>
  <c r="O13" i="459"/>
  <c r="C158" i="459"/>
  <c r="O45" i="459"/>
  <c r="O37" i="459"/>
  <c r="O28" i="459"/>
  <c r="O20" i="459"/>
  <c r="O12" i="459"/>
  <c r="O132" i="459"/>
  <c r="E153" i="459"/>
  <c r="G154" i="459"/>
  <c r="C147" i="459"/>
  <c r="O42" i="459"/>
  <c r="O78" i="460"/>
  <c r="O56" i="460"/>
  <c r="C154" i="460"/>
  <c r="O42" i="460"/>
  <c r="O34" i="460"/>
  <c r="O32" i="460"/>
  <c r="C145" i="460"/>
  <c r="O23" i="460"/>
  <c r="O15" i="460"/>
  <c r="O22" i="460"/>
  <c r="O14" i="460"/>
  <c r="O28" i="460"/>
  <c r="O20" i="460"/>
  <c r="O12" i="460"/>
  <c r="O27" i="460"/>
  <c r="O19" i="460"/>
  <c r="O11" i="460"/>
  <c r="O18" i="460"/>
  <c r="F10" i="62"/>
  <c r="F201" i="120"/>
  <c r="E201" i="120"/>
  <c r="D201" i="120"/>
  <c r="E29" i="75"/>
  <c r="E5" i="75" s="1"/>
  <c r="E5" i="70" s="1"/>
  <c r="D19" i="103"/>
  <c r="U161" i="129"/>
  <c r="T161" i="129"/>
  <c r="V161" i="129"/>
  <c r="D194" i="81"/>
  <c r="D195" i="81"/>
  <c r="J200" i="86"/>
  <c r="E10" i="477"/>
  <c r="E192" i="81"/>
  <c r="E194" i="81"/>
  <c r="F194" i="81"/>
  <c r="D193" i="81"/>
  <c r="E195" i="81"/>
  <c r="W161" i="129"/>
  <c r="E218" i="129"/>
  <c r="F195" i="81"/>
  <c r="F192" i="81"/>
  <c r="I192" i="81"/>
  <c r="F4" i="120"/>
  <c r="F196" i="81"/>
  <c r="D218" i="129"/>
  <c r="G196" i="81"/>
  <c r="H196" i="81"/>
  <c r="I196" i="81"/>
  <c r="G195" i="81"/>
  <c r="H192" i="81"/>
  <c r="F29" i="75"/>
  <c r="F9" i="75" s="1"/>
  <c r="I195" i="81"/>
  <c r="C159" i="460"/>
  <c r="C157" i="459"/>
  <c r="F159" i="459"/>
  <c r="E157" i="459"/>
  <c r="H146" i="459"/>
  <c r="G146" i="459"/>
  <c r="C142" i="460"/>
  <c r="C144" i="460"/>
  <c r="C161" i="460"/>
  <c r="C141" i="460"/>
  <c r="C160" i="460"/>
  <c r="C158" i="460"/>
  <c r="C156" i="460"/>
  <c r="C149" i="460"/>
  <c r="E143" i="459"/>
  <c r="H156" i="459"/>
  <c r="H157" i="459"/>
  <c r="E146" i="459"/>
  <c r="C155" i="459"/>
  <c r="C146" i="459"/>
  <c r="C161" i="459"/>
  <c r="G157" i="459"/>
  <c r="F144" i="459"/>
  <c r="G145" i="459"/>
  <c r="H141" i="459"/>
  <c r="D141" i="459"/>
  <c r="H145" i="459"/>
  <c r="F143" i="459"/>
  <c r="G160" i="459"/>
  <c r="O131" i="459"/>
  <c r="G153" i="459"/>
  <c r="O120" i="459"/>
  <c r="O154" i="459" s="1"/>
  <c r="F145" i="459"/>
  <c r="C156" i="459"/>
  <c r="G149" i="459"/>
  <c r="F141" i="459"/>
  <c r="D156" i="459"/>
  <c r="O122" i="459"/>
  <c r="O156" i="459" s="1"/>
  <c r="O129" i="459"/>
  <c r="O134" i="459"/>
  <c r="D142" i="459"/>
  <c r="O137" i="459"/>
  <c r="C160" i="459"/>
  <c r="E155" i="459"/>
  <c r="F161" i="459"/>
  <c r="G143" i="459"/>
  <c r="E158" i="459"/>
  <c r="E161" i="459"/>
  <c r="O124" i="459"/>
  <c r="O158" i="459" s="1"/>
  <c r="O139" i="459"/>
  <c r="O135" i="459"/>
  <c r="E160" i="459"/>
  <c r="D149" i="459"/>
  <c r="O130" i="459"/>
  <c r="F160" i="459"/>
  <c r="D161" i="459"/>
  <c r="O138" i="459"/>
  <c r="O125" i="459"/>
  <c r="O159" i="459" s="1"/>
  <c r="E141" i="459"/>
  <c r="G155" i="459"/>
  <c r="O121" i="459"/>
  <c r="O155" i="459" s="1"/>
  <c r="D159" i="459"/>
  <c r="F149" i="459"/>
  <c r="O126" i="459"/>
  <c r="C141" i="459"/>
  <c r="H160" i="459"/>
  <c r="G161" i="459"/>
  <c r="H161" i="459"/>
  <c r="D157" i="459"/>
  <c r="C153" i="459"/>
  <c r="E147" i="459"/>
  <c r="H142" i="459"/>
  <c r="D144" i="459"/>
  <c r="D160" i="459"/>
  <c r="O123" i="459"/>
  <c r="O157" i="459" s="1"/>
  <c r="O133" i="459"/>
  <c r="O119" i="459"/>
  <c r="E149" i="459"/>
  <c r="O127" i="459"/>
  <c r="O136" i="459"/>
  <c r="H149" i="459"/>
  <c r="E219" i="129"/>
  <c r="J122" i="81" l="1"/>
  <c r="J146" i="81" s="1"/>
  <c r="F117" i="639"/>
  <c r="H117" i="639"/>
  <c r="I117" i="639"/>
  <c r="D117" i="639"/>
  <c r="E117" i="639"/>
  <c r="F29" i="654"/>
  <c r="D129" i="639"/>
  <c r="K123" i="130"/>
  <c r="E129" i="639"/>
  <c r="E18" i="211"/>
  <c r="E113" i="211" s="1"/>
  <c r="E18" i="158"/>
  <c r="E18" i="206"/>
  <c r="E20" i="473"/>
  <c r="E18" i="216"/>
  <c r="E18" i="163"/>
  <c r="E29" i="815"/>
  <c r="E29" i="814"/>
  <c r="E29" i="813"/>
  <c r="F18" i="216"/>
  <c r="F18" i="211"/>
  <c r="F113" i="211" s="1"/>
  <c r="F18" i="163"/>
  <c r="F113" i="163" s="1"/>
  <c r="F18" i="206"/>
  <c r="F18" i="158"/>
  <c r="F20" i="473"/>
  <c r="F29" i="814"/>
  <c r="F29" i="813"/>
  <c r="F29" i="815"/>
  <c r="G18" i="158"/>
  <c r="G18" i="206"/>
  <c r="G20" i="473"/>
  <c r="G115" i="473" s="1"/>
  <c r="G18" i="211"/>
  <c r="G113" i="211" s="1"/>
  <c r="G18" i="216"/>
  <c r="G18" i="163"/>
  <c r="G113" i="163" s="1"/>
  <c r="G29" i="814"/>
  <c r="G29" i="813"/>
  <c r="G29" i="815"/>
  <c r="H18" i="206"/>
  <c r="H20" i="473"/>
  <c r="H18" i="163"/>
  <c r="H113" i="163" s="1"/>
  <c r="H18" i="158"/>
  <c r="H18" i="216"/>
  <c r="H18" i="211"/>
  <c r="H113" i="211" s="1"/>
  <c r="H29" i="814"/>
  <c r="H29" i="813"/>
  <c r="H29" i="815"/>
  <c r="H19" i="129"/>
  <c r="V19" i="129" s="1"/>
  <c r="H85" i="129"/>
  <c r="H62" i="129"/>
  <c r="H74" i="129"/>
  <c r="H32" i="129"/>
  <c r="H101" i="129"/>
  <c r="H31" i="129"/>
  <c r="H6" i="129"/>
  <c r="H30" i="129"/>
  <c r="H35" i="129"/>
  <c r="H103" i="129"/>
  <c r="H84" i="129"/>
  <c r="H73" i="129"/>
  <c r="H87" i="129"/>
  <c r="H23" i="129"/>
  <c r="H68" i="129"/>
  <c r="H67" i="129"/>
  <c r="H81" i="129"/>
  <c r="H43" i="129"/>
  <c r="H56" i="129"/>
  <c r="H72" i="129"/>
  <c r="H54" i="129"/>
  <c r="H76" i="129"/>
  <c r="H98" i="129"/>
  <c r="H52" i="129"/>
  <c r="H97" i="129"/>
  <c r="H16" i="129"/>
  <c r="H89" i="129"/>
  <c r="H38" i="129"/>
  <c r="H100" i="129"/>
  <c r="H45" i="129"/>
  <c r="H83" i="129"/>
  <c r="H80" i="129"/>
  <c r="H24" i="129"/>
  <c r="H55" i="129"/>
  <c r="H37" i="129"/>
  <c r="H75" i="129"/>
  <c r="H36" i="129"/>
  <c r="H104" i="129"/>
  <c r="H60" i="129"/>
  <c r="H48" i="129"/>
  <c r="H96" i="129"/>
  <c r="H47" i="129"/>
  <c r="H28" i="129"/>
  <c r="H79" i="129"/>
  <c r="H105" i="129"/>
  <c r="H82" i="129"/>
  <c r="H33" i="129"/>
  <c r="H95" i="129"/>
  <c r="H69" i="129"/>
  <c r="H29" i="129"/>
  <c r="H11" i="129"/>
  <c r="H12" i="129"/>
  <c r="H53" i="129"/>
  <c r="H102" i="129"/>
  <c r="H66" i="129"/>
  <c r="H15" i="129"/>
  <c r="H90" i="129"/>
  <c r="H40" i="129"/>
  <c r="H41" i="129"/>
  <c r="H18" i="129"/>
  <c r="H94" i="129"/>
  <c r="H64" i="129"/>
  <c r="H91" i="129"/>
  <c r="H17" i="129"/>
  <c r="H77" i="129"/>
  <c r="H88" i="129"/>
  <c r="H63" i="129"/>
  <c r="H46" i="129"/>
  <c r="H22" i="129"/>
  <c r="H61" i="129"/>
  <c r="H70" i="129"/>
  <c r="H93" i="129"/>
  <c r="H42" i="129"/>
  <c r="D18" i="216"/>
  <c r="D18" i="158"/>
  <c r="D18" i="211"/>
  <c r="D113" i="211" s="1"/>
  <c r="D20" i="473"/>
  <c r="D18" i="163"/>
  <c r="D113" i="163" s="1"/>
  <c r="D18" i="206"/>
  <c r="D29" i="815"/>
  <c r="D29" i="814"/>
  <c r="D29" i="813"/>
  <c r="I18" i="216"/>
  <c r="I18" i="158"/>
  <c r="I18" i="206"/>
  <c r="I20" i="473"/>
  <c r="I18" i="211"/>
  <c r="I113" i="211" s="1"/>
  <c r="I18" i="163"/>
  <c r="I113" i="163" s="1"/>
  <c r="I29" i="814"/>
  <c r="I29" i="813"/>
  <c r="I29" i="815"/>
  <c r="E141" i="211"/>
  <c r="H139" i="211"/>
  <c r="G139" i="211"/>
  <c r="F139" i="211"/>
  <c r="D141" i="211"/>
  <c r="I140" i="211"/>
  <c r="G140" i="211"/>
  <c r="H140" i="211"/>
  <c r="F140" i="211"/>
  <c r="E140" i="211"/>
  <c r="D140" i="211"/>
  <c r="I139" i="211"/>
  <c r="E139" i="211"/>
  <c r="G141" i="211"/>
  <c r="D139" i="211"/>
  <c r="I141" i="211"/>
  <c r="H141" i="211"/>
  <c r="F141" i="211"/>
  <c r="D138" i="211"/>
  <c r="D137" i="211"/>
  <c r="D135" i="211"/>
  <c r="F130" i="163"/>
  <c r="D131" i="163"/>
  <c r="I130" i="163"/>
  <c r="H130" i="163"/>
  <c r="F132" i="163"/>
  <c r="E132" i="163"/>
  <c r="D132" i="163"/>
  <c r="D130" i="163"/>
  <c r="H132" i="163"/>
  <c r="I131" i="163"/>
  <c r="H131" i="163"/>
  <c r="G131" i="163"/>
  <c r="I132" i="163"/>
  <c r="G132" i="163"/>
  <c r="F131" i="163"/>
  <c r="E131" i="163"/>
  <c r="G130" i="163"/>
  <c r="E130" i="163"/>
  <c r="H126" i="163"/>
  <c r="D124" i="163"/>
  <c r="F124" i="163"/>
  <c r="E124" i="163"/>
  <c r="I126" i="163"/>
  <c r="H124" i="163"/>
  <c r="G124" i="163"/>
  <c r="E125" i="163"/>
  <c r="D125" i="163"/>
  <c r="I124" i="163"/>
  <c r="G126" i="163"/>
  <c r="F126" i="163"/>
  <c r="I125" i="163"/>
  <c r="G125" i="163"/>
  <c r="E126" i="163"/>
  <c r="D126" i="163"/>
  <c r="H125" i="163"/>
  <c r="F125" i="163"/>
  <c r="H21" i="163"/>
  <c r="H157" i="163" s="1"/>
  <c r="G21" i="163"/>
  <c r="G157" i="163" s="1"/>
  <c r="F21" i="163"/>
  <c r="F157" i="163" s="1"/>
  <c r="I21" i="163"/>
  <c r="I157" i="163" s="1"/>
  <c r="D21" i="163"/>
  <c r="E21" i="163"/>
  <c r="E157" i="163" s="1"/>
  <c r="H40" i="206"/>
  <c r="I132" i="211"/>
  <c r="E130" i="211"/>
  <c r="D131" i="211"/>
  <c r="I130" i="211"/>
  <c r="D128" i="211"/>
  <c r="H130" i="211"/>
  <c r="F131" i="211"/>
  <c r="E131" i="211"/>
  <c r="F130" i="211"/>
  <c r="G130" i="211"/>
  <c r="H132" i="211"/>
  <c r="G132" i="211"/>
  <c r="F132" i="211"/>
  <c r="E132" i="211"/>
  <c r="D132" i="211"/>
  <c r="I131" i="211"/>
  <c r="D130" i="211"/>
  <c r="H131" i="211"/>
  <c r="G131" i="211"/>
  <c r="E129" i="211"/>
  <c r="D129" i="211"/>
  <c r="D21" i="206"/>
  <c r="H21" i="206"/>
  <c r="G21" i="206"/>
  <c r="F21" i="206"/>
  <c r="E21" i="206"/>
  <c r="I21" i="206"/>
  <c r="H80" i="163"/>
  <c r="F141" i="163"/>
  <c r="H139" i="163"/>
  <c r="G139" i="163"/>
  <c r="F139" i="163"/>
  <c r="I141" i="163"/>
  <c r="G141" i="163"/>
  <c r="E141" i="163"/>
  <c r="H140" i="163"/>
  <c r="I140" i="163"/>
  <c r="H141" i="163"/>
  <c r="F140" i="163"/>
  <c r="G140" i="163"/>
  <c r="D140" i="163"/>
  <c r="I139" i="163"/>
  <c r="E139" i="163"/>
  <c r="D139" i="163"/>
  <c r="E140" i="163"/>
  <c r="H72" i="211"/>
  <c r="H80" i="211"/>
  <c r="H84" i="211"/>
  <c r="G126" i="211"/>
  <c r="F124" i="211"/>
  <c r="E124" i="211"/>
  <c r="I126" i="211"/>
  <c r="D124" i="211"/>
  <c r="F126" i="211"/>
  <c r="D123" i="211"/>
  <c r="E126" i="211"/>
  <c r="I125" i="211"/>
  <c r="D126" i="211"/>
  <c r="H126" i="211"/>
  <c r="H125" i="211"/>
  <c r="I124" i="211"/>
  <c r="H124" i="211"/>
  <c r="G124" i="211"/>
  <c r="G125" i="211"/>
  <c r="F125" i="211"/>
  <c r="D125" i="211"/>
  <c r="E125" i="211"/>
  <c r="E117" i="211"/>
  <c r="G117" i="211"/>
  <c r="F117" i="211"/>
  <c r="D117" i="211"/>
  <c r="I21" i="211"/>
  <c r="I158" i="211" s="1"/>
  <c r="H21" i="211"/>
  <c r="H158" i="211" s="1"/>
  <c r="F21" i="211"/>
  <c r="F158" i="211" s="1"/>
  <c r="G21" i="211"/>
  <c r="G158" i="211" s="1"/>
  <c r="E21" i="211"/>
  <c r="E158" i="211" s="1"/>
  <c r="D118" i="211"/>
  <c r="D21" i="211"/>
  <c r="D158" i="211" s="1"/>
  <c r="I117" i="211"/>
  <c r="H117" i="211"/>
  <c r="D115" i="211"/>
  <c r="D165" i="211" s="1"/>
  <c r="G128" i="473"/>
  <c r="E128" i="473"/>
  <c r="D128" i="473"/>
  <c r="D127" i="473"/>
  <c r="I126" i="473"/>
  <c r="F127" i="473"/>
  <c r="E127" i="473"/>
  <c r="H126" i="473"/>
  <c r="E126" i="473"/>
  <c r="D126" i="473"/>
  <c r="H127" i="473"/>
  <c r="G127" i="473"/>
  <c r="G126" i="473"/>
  <c r="F126" i="473"/>
  <c r="D125" i="473"/>
  <c r="H128" i="473"/>
  <c r="F128" i="473"/>
  <c r="I128" i="473"/>
  <c r="I127" i="473"/>
  <c r="E115" i="203"/>
  <c r="E164" i="203" s="1"/>
  <c r="D115" i="203"/>
  <c r="D164" i="203" s="1"/>
  <c r="I115" i="203"/>
  <c r="H115" i="203"/>
  <c r="G115" i="203"/>
  <c r="F115" i="203"/>
  <c r="H82" i="473"/>
  <c r="H86" i="473"/>
  <c r="H74" i="473"/>
  <c r="E142" i="473"/>
  <c r="I141" i="473"/>
  <c r="H141" i="473"/>
  <c r="D140" i="473"/>
  <c r="F141" i="473"/>
  <c r="E141" i="473"/>
  <c r="D141" i="473"/>
  <c r="I142" i="473"/>
  <c r="H142" i="473"/>
  <c r="G142" i="473"/>
  <c r="F142" i="473"/>
  <c r="G141" i="473"/>
  <c r="G140" i="473"/>
  <c r="I140" i="473"/>
  <c r="H140" i="473"/>
  <c r="F140" i="473"/>
  <c r="E140" i="473"/>
  <c r="H72" i="203"/>
  <c r="H80" i="203"/>
  <c r="H23" i="473"/>
  <c r="G23" i="473"/>
  <c r="F23" i="473"/>
  <c r="E23" i="473"/>
  <c r="D23" i="473"/>
  <c r="I23" i="473"/>
  <c r="E118" i="203"/>
  <c r="I21" i="203"/>
  <c r="I117" i="203"/>
  <c r="G21" i="203"/>
  <c r="H117" i="203"/>
  <c r="F21" i="203"/>
  <c r="F119" i="203"/>
  <c r="E119" i="203"/>
  <c r="I119" i="203"/>
  <c r="H119" i="203"/>
  <c r="G119" i="203"/>
  <c r="G118" i="203"/>
  <c r="D119" i="203"/>
  <c r="D165" i="203" s="1"/>
  <c r="I118" i="203"/>
  <c r="H118" i="203"/>
  <c r="F118" i="203"/>
  <c r="F117" i="203"/>
  <c r="E117" i="203"/>
  <c r="D21" i="203"/>
  <c r="D117" i="203"/>
  <c r="D118" i="203"/>
  <c r="H21" i="203"/>
  <c r="E21" i="203"/>
  <c r="G117" i="203"/>
  <c r="H135" i="158"/>
  <c r="G135" i="158"/>
  <c r="F135" i="158"/>
  <c r="E135" i="158"/>
  <c r="I135" i="158"/>
  <c r="D135" i="158"/>
  <c r="D161" i="158" s="1"/>
  <c r="I134" i="473"/>
  <c r="E132" i="473"/>
  <c r="G134" i="473"/>
  <c r="F134" i="473"/>
  <c r="H134" i="473"/>
  <c r="E134" i="473"/>
  <c r="F132" i="473"/>
  <c r="D132" i="473"/>
  <c r="G132" i="473"/>
  <c r="I133" i="473"/>
  <c r="D133" i="473"/>
  <c r="H133" i="473"/>
  <c r="G133" i="473"/>
  <c r="F133" i="473"/>
  <c r="E133" i="473"/>
  <c r="I132" i="473"/>
  <c r="D134" i="473"/>
  <c r="H132" i="473"/>
  <c r="F131" i="158"/>
  <c r="H128" i="158"/>
  <c r="D131" i="158"/>
  <c r="F128" i="158"/>
  <c r="I130" i="158"/>
  <c r="E128" i="158"/>
  <c r="E130" i="158"/>
  <c r="D130" i="158"/>
  <c r="I129" i="158"/>
  <c r="H129" i="158"/>
  <c r="I132" i="158"/>
  <c r="D129" i="158"/>
  <c r="H132" i="158"/>
  <c r="I128" i="158"/>
  <c r="G132" i="158"/>
  <c r="G128" i="158"/>
  <c r="F132" i="158"/>
  <c r="D128" i="158"/>
  <c r="I131" i="158"/>
  <c r="G130" i="158"/>
  <c r="H131" i="158"/>
  <c r="G131" i="158"/>
  <c r="H130" i="158"/>
  <c r="E131" i="158"/>
  <c r="E132" i="158"/>
  <c r="E129" i="158"/>
  <c r="D132" i="158"/>
  <c r="F129" i="158"/>
  <c r="F130" i="158"/>
  <c r="G129" i="158"/>
  <c r="F134" i="203"/>
  <c r="E134" i="203"/>
  <c r="I134" i="203"/>
  <c r="H134" i="203"/>
  <c r="H37" i="203"/>
  <c r="G134" i="203"/>
  <c r="D134" i="203"/>
  <c r="D160" i="203" s="1"/>
  <c r="I131" i="203"/>
  <c r="E129" i="203"/>
  <c r="G131" i="203"/>
  <c r="I128" i="203"/>
  <c r="F131" i="203"/>
  <c r="H128" i="203"/>
  <c r="D129" i="203"/>
  <c r="G128" i="203"/>
  <c r="I130" i="203"/>
  <c r="F127" i="203"/>
  <c r="H130" i="203"/>
  <c r="E127" i="203"/>
  <c r="G130" i="203"/>
  <c r="D127" i="203"/>
  <c r="F128" i="203"/>
  <c r="E128" i="203"/>
  <c r="D128" i="203"/>
  <c r="I127" i="203"/>
  <c r="I129" i="203"/>
  <c r="H129" i="203"/>
  <c r="G129" i="203"/>
  <c r="G127" i="203"/>
  <c r="F129" i="203"/>
  <c r="H127" i="203"/>
  <c r="E131" i="203"/>
  <c r="H131" i="203"/>
  <c r="D131" i="203"/>
  <c r="F130" i="203"/>
  <c r="E130" i="203"/>
  <c r="D130" i="203"/>
  <c r="F118" i="158"/>
  <c r="D118" i="158"/>
  <c r="I117" i="158"/>
  <c r="I118" i="158"/>
  <c r="H118" i="158"/>
  <c r="F117" i="158"/>
  <c r="E117" i="158"/>
  <c r="H21" i="158"/>
  <c r="G21" i="158"/>
  <c r="F21" i="158"/>
  <c r="E21" i="158"/>
  <c r="D21" i="158"/>
  <c r="H117" i="158"/>
  <c r="G117" i="158"/>
  <c r="G118" i="158"/>
  <c r="D117" i="158"/>
  <c r="I21" i="158"/>
  <c r="E118" i="158"/>
  <c r="G125" i="203"/>
  <c r="I122" i="203"/>
  <c r="E125" i="203"/>
  <c r="G122" i="203"/>
  <c r="D125" i="203"/>
  <c r="F122" i="203"/>
  <c r="G124" i="203"/>
  <c r="F124" i="203"/>
  <c r="H122" i="203"/>
  <c r="E122" i="203"/>
  <c r="D122" i="203"/>
  <c r="F123" i="203"/>
  <c r="E123" i="203"/>
  <c r="D123" i="203"/>
  <c r="I125" i="203"/>
  <c r="F125" i="203"/>
  <c r="E124" i="203"/>
  <c r="I123" i="203"/>
  <c r="H125" i="203"/>
  <c r="I124" i="203"/>
  <c r="H124" i="203"/>
  <c r="D124" i="203"/>
  <c r="H123" i="203"/>
  <c r="G123" i="203"/>
  <c r="E115" i="158"/>
  <c r="E165" i="158" s="1"/>
  <c r="D115" i="158"/>
  <c r="D165" i="158" s="1"/>
  <c r="G115" i="158"/>
  <c r="H115" i="158"/>
  <c r="F115" i="158"/>
  <c r="I115" i="158"/>
  <c r="H139" i="158"/>
  <c r="D137" i="158"/>
  <c r="F139" i="158"/>
  <c r="I141" i="158"/>
  <c r="E139" i="158"/>
  <c r="D140" i="158"/>
  <c r="I139" i="158"/>
  <c r="I140" i="158"/>
  <c r="H140" i="158"/>
  <c r="E137" i="158"/>
  <c r="G140" i="158"/>
  <c r="D141" i="158"/>
  <c r="F140" i="158"/>
  <c r="E140" i="158"/>
  <c r="G139" i="158"/>
  <c r="F141" i="158"/>
  <c r="E141" i="158"/>
  <c r="D139" i="158"/>
  <c r="I138" i="158"/>
  <c r="H138" i="158"/>
  <c r="G138" i="158"/>
  <c r="G141" i="158"/>
  <c r="F137" i="158"/>
  <c r="F138" i="158"/>
  <c r="H137" i="158"/>
  <c r="E138" i="158"/>
  <c r="D138" i="158"/>
  <c r="I137" i="158"/>
  <c r="G137" i="158"/>
  <c r="H141" i="158"/>
  <c r="E140" i="203"/>
  <c r="G137" i="203"/>
  <c r="I139" i="203"/>
  <c r="E137" i="203"/>
  <c r="H139" i="203"/>
  <c r="D137" i="203"/>
  <c r="G138" i="203"/>
  <c r="F138" i="203"/>
  <c r="I137" i="203"/>
  <c r="H137" i="203"/>
  <c r="F137" i="203"/>
  <c r="H140" i="203"/>
  <c r="E136" i="203"/>
  <c r="G140" i="203"/>
  <c r="D136" i="203"/>
  <c r="F140" i="203"/>
  <c r="D140" i="203"/>
  <c r="I138" i="203"/>
  <c r="H136" i="203"/>
  <c r="H138" i="203"/>
  <c r="E138" i="203"/>
  <c r="D138" i="203"/>
  <c r="I136" i="203"/>
  <c r="G136" i="203"/>
  <c r="I140" i="203"/>
  <c r="F136" i="203"/>
  <c r="F139" i="203"/>
  <c r="G139" i="203"/>
  <c r="E139" i="203"/>
  <c r="D139" i="203"/>
  <c r="D125" i="158"/>
  <c r="H124" i="158"/>
  <c r="G124" i="158"/>
  <c r="D126" i="158"/>
  <c r="I125" i="158"/>
  <c r="F125" i="158"/>
  <c r="E125" i="158"/>
  <c r="H123" i="158"/>
  <c r="G123" i="158"/>
  <c r="F123" i="158"/>
  <c r="E123" i="158"/>
  <c r="G125" i="158"/>
  <c r="D124" i="158"/>
  <c r="I124" i="158"/>
  <c r="F124" i="158"/>
  <c r="I123" i="158"/>
  <c r="E124" i="158"/>
  <c r="I126" i="158"/>
  <c r="F126" i="158"/>
  <c r="E126" i="158"/>
  <c r="D123" i="158"/>
  <c r="H125" i="158"/>
  <c r="G126" i="158"/>
  <c r="H126" i="158"/>
  <c r="D117" i="473"/>
  <c r="D136" i="473"/>
  <c r="D161" i="211"/>
  <c r="C22" i="381"/>
  <c r="D124" i="130"/>
  <c r="J135" i="81"/>
  <c r="H71" i="130"/>
  <c r="H207" i="130" s="1"/>
  <c r="S4" i="130"/>
  <c r="S113" i="130" s="1"/>
  <c r="I113" i="130"/>
  <c r="E113" i="130"/>
  <c r="J197" i="81"/>
  <c r="J196" i="81"/>
  <c r="G78" i="130"/>
  <c r="G208" i="130" s="1"/>
  <c r="G71" i="130"/>
  <c r="G207" i="130" s="1"/>
  <c r="H78" i="130"/>
  <c r="H208" i="130" s="1"/>
  <c r="F78" i="130"/>
  <c r="F208" i="130" s="1"/>
  <c r="F71" i="130"/>
  <c r="F207" i="130" s="1"/>
  <c r="E78" i="130"/>
  <c r="E208" i="130" s="1"/>
  <c r="E71" i="130"/>
  <c r="E207" i="130" s="1"/>
  <c r="J106" i="130"/>
  <c r="J83" i="130"/>
  <c r="J81" i="130"/>
  <c r="J76" i="130"/>
  <c r="J74" i="130"/>
  <c r="J69" i="130"/>
  <c r="J67" i="130"/>
  <c r="J49" i="130"/>
  <c r="I65" i="130"/>
  <c r="I206" i="130" s="1"/>
  <c r="H65" i="130"/>
  <c r="H206" i="130" s="1"/>
  <c r="G65" i="130"/>
  <c r="G206" i="130" s="1"/>
  <c r="F65" i="130"/>
  <c r="F206" i="130" s="1"/>
  <c r="E65" i="130"/>
  <c r="E206" i="130" s="1"/>
  <c r="J84" i="130"/>
  <c r="J82" i="130"/>
  <c r="J80" i="130"/>
  <c r="J77" i="130"/>
  <c r="J75" i="130"/>
  <c r="J73" i="130"/>
  <c r="J70" i="130"/>
  <c r="J68" i="130"/>
  <c r="J19" i="130"/>
  <c r="I78" i="130"/>
  <c r="I208" i="130" s="1"/>
  <c r="I71" i="130"/>
  <c r="I207" i="130" s="1"/>
  <c r="G117" i="639"/>
  <c r="G118" i="130"/>
  <c r="J66" i="130"/>
  <c r="D65" i="130"/>
  <c r="D206" i="130" s="1"/>
  <c r="D71" i="130"/>
  <c r="D207" i="130" s="1"/>
  <c r="J72" i="130"/>
  <c r="J79" i="130"/>
  <c r="D78" i="130"/>
  <c r="D208" i="130" s="1"/>
  <c r="R108" i="130"/>
  <c r="X108" i="130" s="1"/>
  <c r="Q108" i="130"/>
  <c r="I29" i="502"/>
  <c r="O4" i="129"/>
  <c r="H29" i="502"/>
  <c r="H164" i="129"/>
  <c r="N4" i="129"/>
  <c r="U4" i="129" s="1"/>
  <c r="AB4" i="129" s="1"/>
  <c r="G164" i="129"/>
  <c r="G29" i="502"/>
  <c r="F29" i="502"/>
  <c r="E29" i="502"/>
  <c r="D29" i="502"/>
  <c r="G154" i="81"/>
  <c r="G155" i="81"/>
  <c r="F29" i="657"/>
  <c r="D354" i="200"/>
  <c r="D354" i="508"/>
  <c r="V22" i="485"/>
  <c r="C21" i="631"/>
  <c r="C20" i="858" s="1"/>
  <c r="F29" i="658"/>
  <c r="Q26" i="62"/>
  <c r="J184" i="86"/>
  <c r="I112" i="742"/>
  <c r="F112" i="742"/>
  <c r="G112" i="742"/>
  <c r="H112" i="742"/>
  <c r="E112" i="742"/>
  <c r="D112" i="742"/>
  <c r="E49" i="39"/>
  <c r="E45" i="79" s="1"/>
  <c r="D28" i="506"/>
  <c r="D18" i="212"/>
  <c r="D113" i="212" s="1"/>
  <c r="D18" i="207"/>
  <c r="D28" i="498"/>
  <c r="E28" i="506"/>
  <c r="E18" i="212"/>
  <c r="E113" i="212" s="1"/>
  <c r="E28" i="498"/>
  <c r="E18" i="207"/>
  <c r="E113" i="163"/>
  <c r="F28" i="506"/>
  <c r="F18" i="212"/>
  <c r="F113" i="212" s="1"/>
  <c r="F18" i="207"/>
  <c r="F28" i="498"/>
  <c r="G28" i="506"/>
  <c r="G18" i="212"/>
  <c r="G113" i="212" s="1"/>
  <c r="G18" i="207"/>
  <c r="G28" i="498"/>
  <c r="H28" i="498"/>
  <c r="H18" i="212"/>
  <c r="H113" i="212" s="1"/>
  <c r="H18" i="207"/>
  <c r="H28" i="506"/>
  <c r="I28" i="498"/>
  <c r="I18" i="212"/>
  <c r="I113" i="212" s="1"/>
  <c r="I18" i="207"/>
  <c r="I28" i="506"/>
  <c r="F191" i="120"/>
  <c r="D192" i="120"/>
  <c r="E186" i="120"/>
  <c r="I31" i="506"/>
  <c r="I131" i="506" s="1"/>
  <c r="H31" i="506"/>
  <c r="H131" i="506" s="1"/>
  <c r="G31" i="506"/>
  <c r="G131" i="506" s="1"/>
  <c r="F31" i="506"/>
  <c r="F131" i="506" s="1"/>
  <c r="E31" i="506"/>
  <c r="E131" i="506" s="1"/>
  <c r="D31" i="506"/>
  <c r="P113" i="130"/>
  <c r="I154" i="81"/>
  <c r="D123" i="639"/>
  <c r="D122" i="639" s="1"/>
  <c r="D163" i="639" s="1"/>
  <c r="F431" i="657"/>
  <c r="E431" i="657"/>
  <c r="D431" i="657"/>
  <c r="D105" i="445"/>
  <c r="D82" i="445"/>
  <c r="D49" i="445"/>
  <c r="F29" i="445"/>
  <c r="F192" i="120"/>
  <c r="F18" i="445"/>
  <c r="F131" i="445" s="1"/>
  <c r="E103" i="445"/>
  <c r="H114" i="445"/>
  <c r="H112" i="445"/>
  <c r="H110" i="445"/>
  <c r="H106" i="445"/>
  <c r="H104" i="445"/>
  <c r="H102" i="445"/>
  <c r="H100" i="445"/>
  <c r="H98" i="445"/>
  <c r="H96" i="445"/>
  <c r="H93" i="445"/>
  <c r="H91" i="445"/>
  <c r="H89" i="445"/>
  <c r="H85" i="445"/>
  <c r="H83" i="445"/>
  <c r="H81" i="445"/>
  <c r="H79" i="445"/>
  <c r="H77" i="445"/>
  <c r="H75" i="445"/>
  <c r="H56" i="445"/>
  <c r="H54" i="445"/>
  <c r="H52" i="445"/>
  <c r="H50" i="445"/>
  <c r="H46" i="445"/>
  <c r="H44" i="445"/>
  <c r="H40" i="445"/>
  <c r="H38" i="445"/>
  <c r="E192" i="120"/>
  <c r="E195" i="120"/>
  <c r="E18" i="445"/>
  <c r="E131" i="445" s="1"/>
  <c r="G114" i="445"/>
  <c r="G104" i="445"/>
  <c r="G96" i="445"/>
  <c r="G93" i="445"/>
  <c r="G91" i="445"/>
  <c r="G89" i="445"/>
  <c r="G85" i="445"/>
  <c r="G83" i="445"/>
  <c r="G81" i="445"/>
  <c r="G79" i="445"/>
  <c r="G77" i="445"/>
  <c r="G75" i="445"/>
  <c r="G56" i="445"/>
  <c r="G54" i="445"/>
  <c r="G52" i="445"/>
  <c r="G50" i="445"/>
  <c r="G46" i="445"/>
  <c r="G40" i="445"/>
  <c r="G38" i="445"/>
  <c r="D29" i="445"/>
  <c r="D27" i="445"/>
  <c r="D18" i="445"/>
  <c r="D131" i="445" s="1"/>
  <c r="E97" i="445"/>
  <c r="E86" i="445"/>
  <c r="E57" i="445"/>
  <c r="H29" i="445"/>
  <c r="D109" i="445"/>
  <c r="D76" i="445"/>
  <c r="F114" i="445"/>
  <c r="F112" i="445"/>
  <c r="F110" i="445"/>
  <c r="F106" i="445"/>
  <c r="F104" i="445"/>
  <c r="F98" i="445"/>
  <c r="F96" i="445"/>
  <c r="F93" i="445"/>
  <c r="F91" i="445"/>
  <c r="F89" i="445"/>
  <c r="F85" i="445"/>
  <c r="F83" i="445"/>
  <c r="F81" i="445"/>
  <c r="F79" i="445"/>
  <c r="F77" i="445"/>
  <c r="F75" i="445"/>
  <c r="F54" i="445"/>
  <c r="F52" i="445"/>
  <c r="F50" i="445"/>
  <c r="F42" i="445"/>
  <c r="F40" i="445"/>
  <c r="F38" i="445"/>
  <c r="E105" i="445"/>
  <c r="E88" i="445"/>
  <c r="E82" i="445"/>
  <c r="E76" i="445"/>
  <c r="E39" i="445"/>
  <c r="E37" i="445"/>
  <c r="H18" i="445"/>
  <c r="H131" i="445" s="1"/>
  <c r="D113" i="445"/>
  <c r="D92" i="445"/>
  <c r="D39" i="445"/>
  <c r="G27" i="445"/>
  <c r="E110" i="445"/>
  <c r="E104" i="445"/>
  <c r="E102" i="445"/>
  <c r="E100" i="445"/>
  <c r="E93" i="445"/>
  <c r="E91" i="445"/>
  <c r="E89" i="445"/>
  <c r="E85" i="445"/>
  <c r="E83" i="445"/>
  <c r="E81" i="445"/>
  <c r="E79" i="445"/>
  <c r="E77" i="445"/>
  <c r="E75" i="445"/>
  <c r="E56" i="445"/>
  <c r="E44" i="445"/>
  <c r="E42" i="445"/>
  <c r="E38" i="445"/>
  <c r="H28" i="445"/>
  <c r="H19" i="445"/>
  <c r="E78" i="445"/>
  <c r="H27" i="445"/>
  <c r="D84" i="445"/>
  <c r="D55" i="445"/>
  <c r="D37" i="445"/>
  <c r="D114" i="445"/>
  <c r="D106" i="445"/>
  <c r="D104" i="445"/>
  <c r="D98" i="445"/>
  <c r="D96" i="445"/>
  <c r="D93" i="445"/>
  <c r="D91" i="445"/>
  <c r="D89" i="445"/>
  <c r="D85" i="445"/>
  <c r="D83" i="445"/>
  <c r="D81" i="445"/>
  <c r="D79" i="445"/>
  <c r="D77" i="445"/>
  <c r="D75" i="445"/>
  <c r="D52" i="445"/>
  <c r="D50" i="445"/>
  <c r="D44" i="445"/>
  <c r="D40" i="445"/>
  <c r="G26" i="445"/>
  <c r="G129" i="445"/>
  <c r="G19" i="445"/>
  <c r="G130" i="445" s="1"/>
  <c r="F28" i="445"/>
  <c r="F26" i="445"/>
  <c r="E113" i="445"/>
  <c r="E90" i="445"/>
  <c r="E41" i="445"/>
  <c r="D111" i="445"/>
  <c r="D90" i="445"/>
  <c r="D78" i="445"/>
  <c r="H113" i="445"/>
  <c r="H111" i="445"/>
  <c r="H109" i="445"/>
  <c r="H107" i="445"/>
  <c r="H105" i="445"/>
  <c r="H103" i="445"/>
  <c r="H99" i="445"/>
  <c r="H97" i="445"/>
  <c r="H92" i="445"/>
  <c r="H90" i="445"/>
  <c r="H88" i="445"/>
  <c r="H86" i="445"/>
  <c r="H84" i="445"/>
  <c r="H82" i="445"/>
  <c r="H78" i="445"/>
  <c r="H76" i="445"/>
  <c r="H49" i="445"/>
  <c r="H47" i="445"/>
  <c r="H45" i="445"/>
  <c r="H41" i="445"/>
  <c r="H39" i="445"/>
  <c r="E28" i="445"/>
  <c r="E26" i="445"/>
  <c r="E19" i="445"/>
  <c r="E92" i="445"/>
  <c r="E84" i="445"/>
  <c r="E51" i="445"/>
  <c r="S116" i="129"/>
  <c r="D97" i="445"/>
  <c r="D88" i="445"/>
  <c r="D47" i="445"/>
  <c r="G105" i="445"/>
  <c r="G103" i="445"/>
  <c r="G99" i="445"/>
  <c r="G97" i="445"/>
  <c r="G92" i="445"/>
  <c r="G90" i="445"/>
  <c r="G88" i="445"/>
  <c r="G86" i="445"/>
  <c r="G84" i="445"/>
  <c r="G82" i="445"/>
  <c r="G78" i="445"/>
  <c r="G76" i="445"/>
  <c r="G51" i="445"/>
  <c r="G49" i="445"/>
  <c r="G41" i="445"/>
  <c r="G39" i="445"/>
  <c r="G37" i="445"/>
  <c r="D129" i="445"/>
  <c r="D19" i="445"/>
  <c r="D86" i="445"/>
  <c r="F113" i="445"/>
  <c r="F107" i="445"/>
  <c r="F103" i="445"/>
  <c r="F99" i="445"/>
  <c r="F97" i="445"/>
  <c r="F92" i="445"/>
  <c r="F90" i="445"/>
  <c r="F88" i="445"/>
  <c r="F86" i="445"/>
  <c r="F84" i="445"/>
  <c r="F82" i="445"/>
  <c r="F78" i="445"/>
  <c r="F76" i="445"/>
  <c r="F57" i="445"/>
  <c r="F55" i="445"/>
  <c r="F51" i="445"/>
  <c r="F49" i="445"/>
  <c r="F41" i="445"/>
  <c r="F39" i="445"/>
  <c r="F37" i="445"/>
  <c r="L450" i="128"/>
  <c r="L451" i="128" s="1"/>
  <c r="D35" i="68"/>
  <c r="D34" i="68"/>
  <c r="D33" i="68"/>
  <c r="F18" i="639"/>
  <c r="F113" i="639" s="1"/>
  <c r="F18" i="640"/>
  <c r="G18" i="639"/>
  <c r="G113" i="639" s="1"/>
  <c r="G18" i="640"/>
  <c r="H18" i="640"/>
  <c r="H18" i="639"/>
  <c r="H113" i="639" s="1"/>
  <c r="I18" i="639"/>
  <c r="I113" i="639" s="1"/>
  <c r="I18" i="640"/>
  <c r="E18" i="639"/>
  <c r="E113" i="639" s="1"/>
  <c r="E18" i="640"/>
  <c r="D18" i="640"/>
  <c r="D18" i="639"/>
  <c r="D113" i="639" s="1"/>
  <c r="D398" i="202"/>
  <c r="D128" i="639"/>
  <c r="D118" i="639"/>
  <c r="D138" i="639"/>
  <c r="D137" i="639"/>
  <c r="D115" i="639"/>
  <c r="D165" i="639" s="1"/>
  <c r="D135" i="639"/>
  <c r="D161" i="639" s="1"/>
  <c r="V85" i="129"/>
  <c r="E164" i="129"/>
  <c r="E44" i="79"/>
  <c r="D28" i="486"/>
  <c r="D20" i="472"/>
  <c r="D115" i="472" s="1"/>
  <c r="D18" i="214"/>
  <c r="D113" i="214" s="1"/>
  <c r="E20" i="472"/>
  <c r="E115" i="472" s="1"/>
  <c r="E18" i="214"/>
  <c r="E113" i="214" s="1"/>
  <c r="E28" i="486"/>
  <c r="F28" i="486"/>
  <c r="F18" i="214"/>
  <c r="F113" i="214" s="1"/>
  <c r="F20" i="472"/>
  <c r="F115" i="472" s="1"/>
  <c r="I146" i="81"/>
  <c r="W167" i="823" s="1"/>
  <c r="G28" i="486"/>
  <c r="G20" i="472"/>
  <c r="G115" i="472" s="1"/>
  <c r="G18" i="214"/>
  <c r="G113" i="214" s="1"/>
  <c r="H20" i="472"/>
  <c r="H115" i="472" s="1"/>
  <c r="H18" i="214"/>
  <c r="H113" i="214" s="1"/>
  <c r="H28" i="486"/>
  <c r="I18" i="214"/>
  <c r="I113" i="214" s="1"/>
  <c r="I28" i="486"/>
  <c r="I20" i="472"/>
  <c r="I115" i="472" s="1"/>
  <c r="M331" i="128"/>
  <c r="M450" i="128"/>
  <c r="M451" i="128" s="1"/>
  <c r="I450" i="128"/>
  <c r="I451" i="128" s="1"/>
  <c r="I331" i="128"/>
  <c r="J450" i="128"/>
  <c r="J451" i="128" s="1"/>
  <c r="J331" i="128"/>
  <c r="K331" i="128"/>
  <c r="K450" i="128"/>
  <c r="K451" i="128" s="1"/>
  <c r="R124" i="129"/>
  <c r="R123" i="129"/>
  <c r="S124" i="129"/>
  <c r="S123" i="129"/>
  <c r="D137" i="130"/>
  <c r="F118" i="130"/>
  <c r="E130" i="130"/>
  <c r="D116" i="130"/>
  <c r="E118" i="130"/>
  <c r="F152" i="81"/>
  <c r="F154" i="81" s="1"/>
  <c r="E152" i="81"/>
  <c r="E155" i="81" s="1"/>
  <c r="H152" i="81"/>
  <c r="H155" i="81" s="1"/>
  <c r="G39" i="70"/>
  <c r="F39" i="70"/>
  <c r="E39" i="70"/>
  <c r="D37" i="70"/>
  <c r="D39" i="70"/>
  <c r="E20" i="40"/>
  <c r="T162" i="129"/>
  <c r="E188" i="120"/>
  <c r="E187" i="120"/>
  <c r="R137" i="129"/>
  <c r="E158" i="129"/>
  <c r="D187" i="120"/>
  <c r="S158" i="129"/>
  <c r="F189" i="120"/>
  <c r="D158" i="129"/>
  <c r="E189" i="120"/>
  <c r="M158" i="129"/>
  <c r="R158" i="129"/>
  <c r="R116" i="129"/>
  <c r="F158" i="129"/>
  <c r="F187" i="120"/>
  <c r="S26" i="485"/>
  <c r="R26" i="485"/>
  <c r="Q26" i="485"/>
  <c r="D186" i="120"/>
  <c r="D191" i="120"/>
  <c r="E193" i="120"/>
  <c r="F193" i="120"/>
  <c r="H48" i="130"/>
  <c r="H46" i="130"/>
  <c r="H42" i="130"/>
  <c r="H36" i="130"/>
  <c r="H29" i="130"/>
  <c r="H18" i="130"/>
  <c r="S122" i="130"/>
  <c r="G48" i="130"/>
  <c r="G46" i="130"/>
  <c r="G42" i="130"/>
  <c r="G29" i="130"/>
  <c r="G18" i="130"/>
  <c r="I48" i="130"/>
  <c r="F48" i="130"/>
  <c r="F46" i="130"/>
  <c r="F42" i="130"/>
  <c r="F36" i="130"/>
  <c r="F29" i="130"/>
  <c r="F18" i="130"/>
  <c r="J141" i="129"/>
  <c r="I29" i="130"/>
  <c r="E48" i="130"/>
  <c r="E46" i="130"/>
  <c r="E42" i="130"/>
  <c r="E36" i="130"/>
  <c r="E29" i="130"/>
  <c r="E18" i="130"/>
  <c r="D48" i="130"/>
  <c r="D42" i="130"/>
  <c r="D36" i="130"/>
  <c r="D18" i="130"/>
  <c r="I47" i="130"/>
  <c r="I43" i="130"/>
  <c r="I41" i="130"/>
  <c r="I32" i="130"/>
  <c r="I16" i="130"/>
  <c r="H47" i="130"/>
  <c r="H43" i="130"/>
  <c r="H41" i="130"/>
  <c r="H32" i="130"/>
  <c r="H16" i="130"/>
  <c r="G47" i="130"/>
  <c r="G43" i="130"/>
  <c r="G41" i="130"/>
  <c r="G32" i="130"/>
  <c r="G16" i="130"/>
  <c r="I18" i="130"/>
  <c r="F47" i="130"/>
  <c r="F41" i="130"/>
  <c r="F32" i="130"/>
  <c r="F16" i="130"/>
  <c r="I46" i="130"/>
  <c r="E47" i="130"/>
  <c r="E43" i="130"/>
  <c r="E41" i="130"/>
  <c r="E32" i="130"/>
  <c r="E16" i="130"/>
  <c r="I36" i="130"/>
  <c r="D47" i="130"/>
  <c r="D43" i="130"/>
  <c r="D41" i="130"/>
  <c r="D32" i="130"/>
  <c r="D16" i="130"/>
  <c r="J120" i="129"/>
  <c r="W113" i="130"/>
  <c r="D113" i="129"/>
  <c r="G113" i="129"/>
  <c r="H113" i="129"/>
  <c r="I164" i="129"/>
  <c r="D195" i="120"/>
  <c r="D144" i="130"/>
  <c r="K85" i="75"/>
  <c r="E31" i="39" s="1"/>
  <c r="D29" i="68"/>
  <c r="M64" i="113"/>
  <c r="G55" i="113"/>
  <c r="P55" i="113" s="1"/>
  <c r="G13" i="113"/>
  <c r="H13" i="113" s="1"/>
  <c r="G11" i="113"/>
  <c r="H11" i="113" s="1"/>
  <c r="G51" i="113"/>
  <c r="P51" i="113" s="1"/>
  <c r="G10" i="113"/>
  <c r="H10" i="113" s="1"/>
  <c r="G9" i="113"/>
  <c r="H9" i="113" s="1"/>
  <c r="G49" i="113"/>
  <c r="P49" i="113" s="1"/>
  <c r="G8" i="113"/>
  <c r="H8" i="113" s="1"/>
  <c r="G7" i="113"/>
  <c r="H7" i="113" s="1"/>
  <c r="G6" i="113"/>
  <c r="H6" i="113" s="1"/>
  <c r="D119" i="130"/>
  <c r="D115" i="129"/>
  <c r="J116" i="129"/>
  <c r="K128" i="130"/>
  <c r="D117" i="129"/>
  <c r="J119" i="129"/>
  <c r="D130" i="130"/>
  <c r="D140" i="130"/>
  <c r="K139" i="130"/>
  <c r="J129" i="129"/>
  <c r="D128" i="129"/>
  <c r="D141" i="130"/>
  <c r="J137" i="129"/>
  <c r="D136" i="129"/>
  <c r="K115" i="130"/>
  <c r="D139" i="129"/>
  <c r="J140" i="129"/>
  <c r="R115" i="130"/>
  <c r="K136" i="130"/>
  <c r="R136" i="130"/>
  <c r="S115" i="129"/>
  <c r="Q118" i="130"/>
  <c r="K117" i="130"/>
  <c r="X145" i="120"/>
  <c r="X134" i="120"/>
  <c r="T4" i="130"/>
  <c r="D190" i="120"/>
  <c r="D194" i="120"/>
  <c r="G132" i="127"/>
  <c r="G66" i="113"/>
  <c r="K4" i="130"/>
  <c r="K113" i="130" s="1"/>
  <c r="W162" i="129"/>
  <c r="U162" i="129"/>
  <c r="N4" i="130"/>
  <c r="N113" i="130" s="1"/>
  <c r="I46" i="113"/>
  <c r="K83" i="75"/>
  <c r="E29" i="39" s="1"/>
  <c r="J153" i="81"/>
  <c r="D164" i="129"/>
  <c r="K4" i="129"/>
  <c r="K164" i="129" s="1"/>
  <c r="I48" i="127"/>
  <c r="H48" i="127"/>
  <c r="G48" i="127"/>
  <c r="K48" i="127"/>
  <c r="L48" i="127"/>
  <c r="J48" i="127"/>
  <c r="D7" i="502"/>
  <c r="D17" i="75"/>
  <c r="F13" i="25"/>
  <c r="D13" i="19" s="1"/>
  <c r="F14" i="25"/>
  <c r="D14" i="19" s="1"/>
  <c r="G7" i="62"/>
  <c r="E17" i="75"/>
  <c r="H17" i="75"/>
  <c r="G17" i="75"/>
  <c r="F17" i="75"/>
  <c r="E37" i="70"/>
  <c r="F12" i="25"/>
  <c r="D12" i="19" s="1"/>
  <c r="F16" i="25"/>
  <c r="D16" i="19" s="1"/>
  <c r="G18" i="445"/>
  <c r="G131" i="445" s="1"/>
  <c r="G112" i="445"/>
  <c r="G110" i="445"/>
  <c r="G106" i="445"/>
  <c r="H42" i="445"/>
  <c r="G102" i="445"/>
  <c r="G100" i="445"/>
  <c r="G44" i="445"/>
  <c r="G42" i="445"/>
  <c r="G29" i="445"/>
  <c r="G113" i="445"/>
  <c r="G111" i="445"/>
  <c r="G109" i="445"/>
  <c r="G107" i="445"/>
  <c r="H57" i="445"/>
  <c r="H55" i="445"/>
  <c r="H51" i="445"/>
  <c r="H37" i="445"/>
  <c r="G57" i="445"/>
  <c r="G55" i="445"/>
  <c r="G45" i="445"/>
  <c r="H26" i="445"/>
  <c r="H129" i="445"/>
  <c r="P4" i="129"/>
  <c r="P113" i="129" s="1"/>
  <c r="I113" i="129"/>
  <c r="G29" i="75"/>
  <c r="G20" i="75" s="1"/>
  <c r="K107" i="62"/>
  <c r="O31" i="62"/>
  <c r="B12" i="19"/>
  <c r="B13" i="19" s="1"/>
  <c r="B14" i="19" s="1"/>
  <c r="B15" i="19" s="1"/>
  <c r="B16" i="19" s="1"/>
  <c r="B17" i="19" s="1"/>
  <c r="L213" i="127"/>
  <c r="K132" i="127"/>
  <c r="C148" i="460"/>
  <c r="C150" i="460" s="1"/>
  <c r="D118" i="130"/>
  <c r="I34" i="315"/>
  <c r="I44" i="315" s="1"/>
  <c r="J132" i="127"/>
  <c r="J213" i="127"/>
  <c r="I14" i="19"/>
  <c r="H14" i="19" s="1"/>
  <c r="H16" i="19"/>
  <c r="O17" i="62"/>
  <c r="P10" i="62"/>
  <c r="F21" i="62"/>
  <c r="P21" i="62" s="1"/>
  <c r="E39" i="62"/>
  <c r="O39" i="62" s="1"/>
  <c r="D9" i="75"/>
  <c r="D5" i="75"/>
  <c r="D5" i="70" s="1"/>
  <c r="D29" i="70" s="1"/>
  <c r="D20" i="70" s="1"/>
  <c r="J195" i="120"/>
  <c r="F87" i="62"/>
  <c r="C107" i="62"/>
  <c r="F98" i="62"/>
  <c r="J201" i="120"/>
  <c r="E191" i="120"/>
  <c r="E4" i="120"/>
  <c r="H16" i="445"/>
  <c r="H3" i="445" s="1"/>
  <c r="H29" i="75"/>
  <c r="F15" i="25"/>
  <c r="D15" i="19" s="1"/>
  <c r="I15" i="19"/>
  <c r="H15" i="19" s="1"/>
  <c r="D4" i="120"/>
  <c r="F195" i="120"/>
  <c r="D193" i="120"/>
  <c r="M365" i="127"/>
  <c r="E6" i="477" s="1"/>
  <c r="E5" i="477" s="1"/>
  <c r="D198" i="120"/>
  <c r="E7" i="62"/>
  <c r="O30" i="62"/>
  <c r="O28" i="62"/>
  <c r="K16" i="75"/>
  <c r="K69" i="75"/>
  <c r="M69" i="70" s="1"/>
  <c r="N69" i="70" s="1"/>
  <c r="K32" i="75"/>
  <c r="M32" i="70" s="1"/>
  <c r="E148" i="459"/>
  <c r="E150" i="459" s="1"/>
  <c r="F148" i="459"/>
  <c r="F150" i="459" s="1"/>
  <c r="E162" i="459"/>
  <c r="E164" i="459" s="1"/>
  <c r="D148" i="459"/>
  <c r="D150" i="459" s="1"/>
  <c r="O144" i="459"/>
  <c r="G162" i="459"/>
  <c r="G164" i="459" s="1"/>
  <c r="C145" i="459"/>
  <c r="C148" i="459" s="1"/>
  <c r="C150" i="459" s="1"/>
  <c r="G141" i="459"/>
  <c r="G148" i="459" s="1"/>
  <c r="G150" i="459" s="1"/>
  <c r="O128" i="459"/>
  <c r="O160" i="459" s="1"/>
  <c r="F162" i="459"/>
  <c r="F164" i="459" s="1"/>
  <c r="H162" i="459"/>
  <c r="H164" i="459" s="1"/>
  <c r="O141" i="459"/>
  <c r="O153" i="459"/>
  <c r="O147" i="459"/>
  <c r="O161" i="459"/>
  <c r="O96" i="459"/>
  <c r="O52" i="459"/>
  <c r="O96" i="460"/>
  <c r="O52" i="460"/>
  <c r="O30" i="460"/>
  <c r="O142" i="460"/>
  <c r="O74" i="460"/>
  <c r="O144" i="460"/>
  <c r="Q139" i="460"/>
  <c r="O147" i="460"/>
  <c r="O157" i="460"/>
  <c r="O154" i="460"/>
  <c r="O159" i="460"/>
  <c r="O146" i="460"/>
  <c r="O143" i="460"/>
  <c r="I361" i="127"/>
  <c r="I281" i="127"/>
  <c r="I87" i="127"/>
  <c r="H281" i="127"/>
  <c r="G19" i="113"/>
  <c r="H52" i="113" s="1"/>
  <c r="L34" i="113"/>
  <c r="H46" i="113"/>
  <c r="K34" i="113"/>
  <c r="J34" i="113"/>
  <c r="M71" i="113"/>
  <c r="M69" i="113"/>
  <c r="M60" i="113"/>
  <c r="G76" i="113"/>
  <c r="M73" i="113"/>
  <c r="M70" i="113"/>
  <c r="F56" i="445"/>
  <c r="G28" i="445"/>
  <c r="E20" i="75"/>
  <c r="E9" i="75"/>
  <c r="K65" i="70"/>
  <c r="N65" i="70" s="1"/>
  <c r="K72" i="70"/>
  <c r="N72" i="70" s="1"/>
  <c r="K70" i="70"/>
  <c r="N70" i="70" s="1"/>
  <c r="K35" i="75"/>
  <c r="M35" i="70" s="1"/>
  <c r="K33" i="75"/>
  <c r="M33" i="70" s="1"/>
  <c r="K39" i="75"/>
  <c r="M39" i="70" s="1"/>
  <c r="E8" i="79"/>
  <c r="I30" i="315"/>
  <c r="I40" i="315" s="1"/>
  <c r="E19" i="25"/>
  <c r="D19" i="25"/>
  <c r="H13" i="19"/>
  <c r="G12" i="19"/>
  <c r="G19" i="19" s="1"/>
  <c r="F17" i="25"/>
  <c r="D17" i="19" s="1"/>
  <c r="C28" i="315" a="1"/>
  <c r="E28" i="315" s="1"/>
  <c r="E38" i="315" s="1"/>
  <c r="I17" i="19"/>
  <c r="K14" i="75"/>
  <c r="K34" i="75"/>
  <c r="M34" i="70" s="1"/>
  <c r="K37" i="75"/>
  <c r="M37" i="70" s="1"/>
  <c r="H213" i="127"/>
  <c r="L4" i="129"/>
  <c r="L164" i="129" s="1"/>
  <c r="E113" i="129"/>
  <c r="H47" i="127"/>
  <c r="H361" i="127"/>
  <c r="H132" i="127"/>
  <c r="O4" i="130"/>
  <c r="D129" i="130"/>
  <c r="F113" i="130"/>
  <c r="Q159" i="129"/>
  <c r="F113" i="129"/>
  <c r="M4" i="129"/>
  <c r="T4" i="129" s="1"/>
  <c r="AA4" i="129" s="1"/>
  <c r="F164" i="129"/>
  <c r="S116" i="130"/>
  <c r="D221" i="129"/>
  <c r="H118" i="130"/>
  <c r="I118" i="130"/>
  <c r="L140" i="130"/>
  <c r="O33" i="62"/>
  <c r="F113" i="120"/>
  <c r="O21" i="62"/>
  <c r="I21" i="62"/>
  <c r="O35" i="62"/>
  <c r="I107" i="62"/>
  <c r="O6" i="62"/>
  <c r="O40" i="62"/>
  <c r="F100" i="62"/>
  <c r="D100" i="445"/>
  <c r="E54" i="445"/>
  <c r="V162" i="129"/>
  <c r="E29" i="445"/>
  <c r="U10" i="485"/>
  <c r="E27" i="445"/>
  <c r="E29" i="70"/>
  <c r="E20" i="70" s="1"/>
  <c r="E9" i="70"/>
  <c r="E200" i="120"/>
  <c r="X159" i="129"/>
  <c r="D28" i="445"/>
  <c r="F194" i="120"/>
  <c r="E10" i="62"/>
  <c r="F96" i="62"/>
  <c r="F190" i="120"/>
  <c r="F47" i="445"/>
  <c r="F45" i="445"/>
  <c r="E194" i="120"/>
  <c r="F89" i="62"/>
  <c r="E50" i="445"/>
  <c r="E49" i="445"/>
  <c r="E47" i="445"/>
  <c r="E112" i="445"/>
  <c r="E45" i="445"/>
  <c r="J193" i="120"/>
  <c r="O45" i="62"/>
  <c r="D45" i="445"/>
  <c r="F91" i="62"/>
  <c r="F186" i="120"/>
  <c r="F102" i="445"/>
  <c r="F100" i="445"/>
  <c r="F97" i="62"/>
  <c r="F111" i="445"/>
  <c r="F109" i="445"/>
  <c r="F105" i="445"/>
  <c r="E114" i="445"/>
  <c r="E52" i="445"/>
  <c r="J194" i="120"/>
  <c r="D54" i="445"/>
  <c r="F46" i="445"/>
  <c r="G66" i="62"/>
  <c r="F66" i="62"/>
  <c r="F88" i="62"/>
  <c r="F104" i="62"/>
  <c r="F188" i="120"/>
  <c r="D99" i="445"/>
  <c r="F44" i="445"/>
  <c r="O37" i="62"/>
  <c r="D42" i="445"/>
  <c r="O15" i="62"/>
  <c r="D26" i="445"/>
  <c r="E96" i="445"/>
  <c r="E5" i="62"/>
  <c r="O5" i="62" s="1"/>
  <c r="G89" i="62"/>
  <c r="H195" i="81"/>
  <c r="J195" i="81" s="1"/>
  <c r="F5" i="75"/>
  <c r="F5" i="70" s="1"/>
  <c r="F20" i="75"/>
  <c r="G87" i="62"/>
  <c r="D191" i="81"/>
  <c r="D57" i="445"/>
  <c r="E55" i="445"/>
  <c r="D38" i="445"/>
  <c r="J107" i="62"/>
  <c r="E46" i="445"/>
  <c r="E44" i="62"/>
  <c r="G98" i="62"/>
  <c r="E109" i="445"/>
  <c r="D103" i="445"/>
  <c r="D51" i="445"/>
  <c r="E107" i="445"/>
  <c r="F95" i="62"/>
  <c r="D155" i="81"/>
  <c r="D154" i="81"/>
  <c r="G34" i="113"/>
  <c r="O146" i="459"/>
  <c r="O142" i="459"/>
  <c r="O143" i="459"/>
  <c r="O145" i="459"/>
  <c r="K47" i="127"/>
  <c r="K87" i="127"/>
  <c r="K213" i="127"/>
  <c r="L281" i="127"/>
  <c r="K281" i="127"/>
  <c r="I47" i="127"/>
  <c r="I213" i="127"/>
  <c r="J47" i="127"/>
  <c r="K15" i="70"/>
  <c r="G213" i="127"/>
  <c r="J87" i="127"/>
  <c r="J281" i="127"/>
  <c r="L47" i="127"/>
  <c r="L361" i="127"/>
  <c r="G361" i="127"/>
  <c r="G47" i="127"/>
  <c r="L132" i="127"/>
  <c r="G281" i="127"/>
  <c r="G87" i="127"/>
  <c r="AH43" i="130"/>
  <c r="AH47" i="130"/>
  <c r="AH16" i="130"/>
  <c r="AH32" i="130"/>
  <c r="V33" i="485"/>
  <c r="C162" i="459"/>
  <c r="C164" i="459" s="1"/>
  <c r="H148" i="459"/>
  <c r="H150" i="459" s="1"/>
  <c r="D162" i="459"/>
  <c r="D164" i="459" s="1"/>
  <c r="O155" i="460"/>
  <c r="C162" i="460"/>
  <c r="C164" i="460" s="1"/>
  <c r="M4" i="120"/>
  <c r="F16" i="445"/>
  <c r="F3" i="445" s="1"/>
  <c r="K67" i="70"/>
  <c r="N67" i="70" s="1"/>
  <c r="G192" i="81"/>
  <c r="D200" i="120"/>
  <c r="G103" i="62"/>
  <c r="F103" i="62"/>
  <c r="F90" i="62"/>
  <c r="O74" i="459"/>
  <c r="F37" i="70"/>
  <c r="O8" i="459"/>
  <c r="H39" i="70"/>
  <c r="O30" i="459"/>
  <c r="V14" i="485"/>
  <c r="D110" i="445"/>
  <c r="G98" i="445"/>
  <c r="D112" i="445"/>
  <c r="D56" i="445"/>
  <c r="F19" i="445"/>
  <c r="G104" i="62"/>
  <c r="E98" i="445"/>
  <c r="E99" i="445"/>
  <c r="D102" i="445"/>
  <c r="D41" i="445"/>
  <c r="E106" i="445"/>
  <c r="E111" i="445"/>
  <c r="E40" i="445"/>
  <c r="D107" i="445"/>
  <c r="F27" i="445"/>
  <c r="J201" i="86"/>
  <c r="AH36" i="130"/>
  <c r="E190" i="120"/>
  <c r="D46" i="445"/>
  <c r="J198" i="86"/>
  <c r="G47" i="445"/>
  <c r="E34" i="62"/>
  <c r="S137" i="130"/>
  <c r="M130" i="130"/>
  <c r="L137" i="130"/>
  <c r="V38" i="485"/>
  <c r="AH41" i="130"/>
  <c r="AH46" i="130"/>
  <c r="D46" i="130"/>
  <c r="AH18" i="130"/>
  <c r="AH48" i="130"/>
  <c r="D29" i="130"/>
  <c r="AH29" i="130"/>
  <c r="G36" i="130"/>
  <c r="F43" i="130"/>
  <c r="U34" i="485"/>
  <c r="V9" i="485"/>
  <c r="I42" i="130"/>
  <c r="AH42" i="130"/>
  <c r="H35" i="206" l="1"/>
  <c r="V22" i="129"/>
  <c r="V53" i="129"/>
  <c r="H47" i="206"/>
  <c r="V54" i="129"/>
  <c r="H104" i="158"/>
  <c r="V12" i="129"/>
  <c r="H91" i="158"/>
  <c r="H40" i="203"/>
  <c r="V55" i="129"/>
  <c r="H54" i="206"/>
  <c r="H79" i="206"/>
  <c r="H43" i="211"/>
  <c r="H80" i="206"/>
  <c r="H72" i="206"/>
  <c r="H37" i="206"/>
  <c r="V24" i="129"/>
  <c r="H84" i="206"/>
  <c r="H57" i="203"/>
  <c r="V56" i="129"/>
  <c r="D123" i="130"/>
  <c r="D219" i="130" s="1"/>
  <c r="V23" i="129"/>
  <c r="H28" i="206"/>
  <c r="V6" i="129"/>
  <c r="P160" i="459"/>
  <c r="H105" i="158"/>
  <c r="H107" i="158"/>
  <c r="H75" i="211"/>
  <c r="H48" i="206"/>
  <c r="H59" i="206"/>
  <c r="H71" i="473"/>
  <c r="H42" i="203"/>
  <c r="V11" i="129"/>
  <c r="P161" i="459"/>
  <c r="H25" i="206"/>
  <c r="H31" i="211"/>
  <c r="V52" i="129"/>
  <c r="H77" i="211"/>
  <c r="H25" i="203"/>
  <c r="H39" i="203"/>
  <c r="H92" i="158"/>
  <c r="Q160" i="459"/>
  <c r="H51" i="203"/>
  <c r="H58" i="206"/>
  <c r="H29" i="203"/>
  <c r="H73" i="206"/>
  <c r="D129" i="163"/>
  <c r="H53" i="203"/>
  <c r="H93" i="158"/>
  <c r="H100" i="158"/>
  <c r="H46" i="203"/>
  <c r="C28" i="631"/>
  <c r="D116" i="639"/>
  <c r="D164" i="639" s="1"/>
  <c r="D127" i="639"/>
  <c r="D162" i="639" s="1"/>
  <c r="H54" i="203"/>
  <c r="H48" i="203"/>
  <c r="H84" i="203"/>
  <c r="H40" i="211"/>
  <c r="H77" i="473"/>
  <c r="H72" i="163"/>
  <c r="H84" i="163"/>
  <c r="H54" i="211"/>
  <c r="H81" i="473"/>
  <c r="H47" i="203"/>
  <c r="H58" i="203"/>
  <c r="H43" i="203"/>
  <c r="H75" i="473"/>
  <c r="H53" i="206"/>
  <c r="H51" i="206"/>
  <c r="H35" i="203"/>
  <c r="H79" i="473"/>
  <c r="H42" i="206"/>
  <c r="H79" i="203"/>
  <c r="H77" i="203"/>
  <c r="D128" i="163"/>
  <c r="H119" i="473"/>
  <c r="H69" i="206"/>
  <c r="H73" i="211"/>
  <c r="H47" i="211"/>
  <c r="H79" i="211"/>
  <c r="H77" i="163"/>
  <c r="H53" i="211"/>
  <c r="H52" i="211"/>
  <c r="D9" i="831"/>
  <c r="D354" i="502"/>
  <c r="D353" i="502" s="1"/>
  <c r="H46" i="206"/>
  <c r="H36" i="206"/>
  <c r="H97" i="158"/>
  <c r="E29" i="654"/>
  <c r="H52" i="203"/>
  <c r="H108" i="158"/>
  <c r="E135" i="211"/>
  <c r="E161" i="211" s="1"/>
  <c r="J117" i="639"/>
  <c r="H77" i="206"/>
  <c r="D135" i="163"/>
  <c r="D160" i="163" s="1"/>
  <c r="E129" i="163"/>
  <c r="H82" i="163"/>
  <c r="H59" i="203"/>
  <c r="H69" i="203"/>
  <c r="H20" i="206"/>
  <c r="H73" i="163"/>
  <c r="H83" i="206"/>
  <c r="H73" i="203"/>
  <c r="H101" i="158"/>
  <c r="H78" i="211"/>
  <c r="H75" i="163"/>
  <c r="H69" i="163"/>
  <c r="D29" i="654"/>
  <c r="D354" i="202"/>
  <c r="D353" i="202" s="1"/>
  <c r="D395" i="202" s="1"/>
  <c r="D141" i="163"/>
  <c r="J141" i="163" s="1"/>
  <c r="H117" i="163"/>
  <c r="D130" i="473"/>
  <c r="H20" i="203"/>
  <c r="H69" i="211"/>
  <c r="E116" i="742"/>
  <c r="E119" i="473"/>
  <c r="E117" i="163"/>
  <c r="D136" i="742"/>
  <c r="D139" i="473"/>
  <c r="D138" i="163"/>
  <c r="H299" i="502"/>
  <c r="H98" i="203"/>
  <c r="H98" i="206"/>
  <c r="H100" i="473"/>
  <c r="H98" i="640"/>
  <c r="H98" i="163"/>
  <c r="H98" i="639"/>
  <c r="H98" i="211"/>
  <c r="H98" i="186"/>
  <c r="H100" i="472"/>
  <c r="H86" i="163"/>
  <c r="H86" i="203"/>
  <c r="H88" i="473"/>
  <c r="H86" i="211"/>
  <c r="Q24" i="131"/>
  <c r="L24" i="131" s="1"/>
  <c r="K24" i="131" s="1"/>
  <c r="Q22" i="131"/>
  <c r="L22" i="131" s="1"/>
  <c r="K22" i="131" s="1"/>
  <c r="Q13" i="131"/>
  <c r="L13" i="131" s="1"/>
  <c r="K13" i="131" s="1"/>
  <c r="Q12" i="131"/>
  <c r="L12" i="131" s="1"/>
  <c r="K12" i="131" s="1"/>
  <c r="Q23" i="131"/>
  <c r="L23" i="131" s="1"/>
  <c r="K23" i="131" s="1"/>
  <c r="Q66" i="131"/>
  <c r="L66" i="131" s="1"/>
  <c r="K66" i="131" s="1"/>
  <c r="Q62" i="131"/>
  <c r="L62" i="131" s="1"/>
  <c r="K62" i="131" s="1"/>
  <c r="Q65" i="131"/>
  <c r="L65" i="131" s="1"/>
  <c r="K65" i="131" s="1"/>
  <c r="Q64" i="131"/>
  <c r="L64" i="131" s="1"/>
  <c r="K64" i="131" s="1"/>
  <c r="Q63" i="131"/>
  <c r="L63" i="131" s="1"/>
  <c r="K63" i="131" s="1"/>
  <c r="Q58" i="131"/>
  <c r="L58" i="131" s="1"/>
  <c r="K58" i="131" s="1"/>
  <c r="H70" i="211"/>
  <c r="H70" i="203"/>
  <c r="H70" i="206"/>
  <c r="H314" i="813"/>
  <c r="H345" i="813"/>
  <c r="H219" i="813"/>
  <c r="H124" i="813"/>
  <c r="H291" i="502"/>
  <c r="H90" i="206"/>
  <c r="H90" i="163"/>
  <c r="H90" i="211"/>
  <c r="H92" i="473"/>
  <c r="H90" i="203"/>
  <c r="H90" i="640"/>
  <c r="H90" i="639"/>
  <c r="H92" i="472"/>
  <c r="H90" i="186"/>
  <c r="H90" i="158"/>
  <c r="E136" i="473"/>
  <c r="H30" i="206"/>
  <c r="H30" i="203"/>
  <c r="H85" i="473"/>
  <c r="H83" i="163"/>
  <c r="H86" i="206"/>
  <c r="I345" i="815"/>
  <c r="I124" i="815"/>
  <c r="I219" i="815"/>
  <c r="I314" i="815"/>
  <c r="H295" i="502"/>
  <c r="H94" i="163"/>
  <c r="H94" i="211"/>
  <c r="H94" i="639"/>
  <c r="H94" i="640"/>
  <c r="H96" i="473"/>
  <c r="H94" i="206"/>
  <c r="H94" i="203"/>
  <c r="H96" i="472"/>
  <c r="H94" i="186"/>
  <c r="H94" i="158"/>
  <c r="H44" i="206"/>
  <c r="H44" i="203"/>
  <c r="D116" i="742"/>
  <c r="D117" i="163"/>
  <c r="I124" i="813"/>
  <c r="I345" i="813"/>
  <c r="I314" i="813"/>
  <c r="I219" i="813"/>
  <c r="H85" i="206"/>
  <c r="H85" i="211"/>
  <c r="H85" i="163"/>
  <c r="H85" i="203"/>
  <c r="H87" i="473"/>
  <c r="E127" i="742"/>
  <c r="E131" i="473"/>
  <c r="H304" i="502"/>
  <c r="H103" i="639"/>
  <c r="H103" i="203"/>
  <c r="H103" i="206"/>
  <c r="H105" i="473"/>
  <c r="H103" i="163"/>
  <c r="H103" i="640"/>
  <c r="H103" i="211"/>
  <c r="H103" i="186"/>
  <c r="H105" i="472"/>
  <c r="H103" i="158"/>
  <c r="D135" i="742"/>
  <c r="D138" i="473"/>
  <c r="F116" i="742"/>
  <c r="F117" i="163"/>
  <c r="H31" i="206"/>
  <c r="H31" i="203"/>
  <c r="H82" i="211"/>
  <c r="H84" i="473"/>
  <c r="H82" i="203"/>
  <c r="E124" i="815"/>
  <c r="E219" i="815"/>
  <c r="E345" i="815"/>
  <c r="E314" i="815"/>
  <c r="D137" i="163"/>
  <c r="H82" i="206"/>
  <c r="H36" i="203"/>
  <c r="D119" i="473"/>
  <c r="H83" i="203"/>
  <c r="H345" i="815"/>
  <c r="H124" i="815"/>
  <c r="H219" i="815"/>
  <c r="H314" i="815"/>
  <c r="F129" i="639"/>
  <c r="F129" i="211"/>
  <c r="H98" i="158"/>
  <c r="I314" i="814"/>
  <c r="I219" i="814"/>
  <c r="I124" i="814"/>
  <c r="I345" i="814"/>
  <c r="H309" i="502"/>
  <c r="H108" i="211"/>
  <c r="H108" i="206"/>
  <c r="H108" i="203"/>
  <c r="H110" i="473"/>
  <c r="H108" i="640"/>
  <c r="H108" i="163"/>
  <c r="H108" i="639"/>
  <c r="H108" i="186"/>
  <c r="H110" i="472"/>
  <c r="E219" i="814"/>
  <c r="E314" i="814"/>
  <c r="E124" i="814"/>
  <c r="E345" i="814"/>
  <c r="H49" i="203"/>
  <c r="H49" i="206"/>
  <c r="H49" i="211"/>
  <c r="H71" i="163"/>
  <c r="H71" i="206"/>
  <c r="H71" i="203"/>
  <c r="H71" i="211"/>
  <c r="H73" i="473"/>
  <c r="E345" i="813"/>
  <c r="E219" i="813"/>
  <c r="E124" i="813"/>
  <c r="E314" i="813"/>
  <c r="H124" i="814"/>
  <c r="H219" i="814"/>
  <c r="H345" i="814"/>
  <c r="H314" i="814"/>
  <c r="H76" i="211"/>
  <c r="H78" i="473"/>
  <c r="H76" i="163"/>
  <c r="H76" i="206"/>
  <c r="F119" i="473"/>
  <c r="H70" i="163"/>
  <c r="G116" i="742"/>
  <c r="G117" i="163"/>
  <c r="G119" i="473"/>
  <c r="H72" i="473"/>
  <c r="H83" i="211"/>
  <c r="D114" i="742"/>
  <c r="D162" i="742" s="1"/>
  <c r="D115" i="163"/>
  <c r="D164" i="163" s="1"/>
  <c r="H56" i="206"/>
  <c r="H56" i="203"/>
  <c r="H298" i="502"/>
  <c r="H97" i="211"/>
  <c r="H97" i="639"/>
  <c r="H97" i="203"/>
  <c r="H97" i="206"/>
  <c r="H97" i="163"/>
  <c r="H99" i="473"/>
  <c r="H97" i="640"/>
  <c r="H97" i="186"/>
  <c r="H99" i="472"/>
  <c r="H76" i="203"/>
  <c r="D133" i="742"/>
  <c r="D158" i="742" s="1"/>
  <c r="H29" i="206"/>
  <c r="D117" i="742"/>
  <c r="E137" i="639"/>
  <c r="E137" i="211"/>
  <c r="H87" i="163"/>
  <c r="H29" i="211"/>
  <c r="I116" i="742"/>
  <c r="I117" i="163"/>
  <c r="W172" i="823"/>
  <c r="H75" i="203"/>
  <c r="H43" i="206"/>
  <c r="H39" i="206"/>
  <c r="D127" i="742"/>
  <c r="D131" i="473"/>
  <c r="H89" i="473"/>
  <c r="H87" i="206"/>
  <c r="H116" i="742"/>
  <c r="Q47" i="131"/>
  <c r="L47" i="131" s="1"/>
  <c r="K47" i="131" s="1"/>
  <c r="Q75" i="131"/>
  <c r="L75" i="131" s="1"/>
  <c r="K75" i="131" s="1"/>
  <c r="Q55" i="131"/>
  <c r="L55" i="131" s="1"/>
  <c r="K55" i="131" s="1"/>
  <c r="Q51" i="131"/>
  <c r="L51" i="131" s="1"/>
  <c r="K51" i="131" s="1"/>
  <c r="Q46" i="131"/>
  <c r="L46" i="131" s="1"/>
  <c r="K46" i="131" s="1"/>
  <c r="Q42" i="131"/>
  <c r="L42" i="131" s="1"/>
  <c r="K42" i="131" s="1"/>
  <c r="Q73" i="131"/>
  <c r="L73" i="131" s="1"/>
  <c r="K73" i="131" s="1"/>
  <c r="Q54" i="131"/>
  <c r="L54" i="131" s="1"/>
  <c r="K54" i="131" s="1"/>
  <c r="Q74" i="131"/>
  <c r="L74" i="131" s="1"/>
  <c r="K74" i="131" s="1"/>
  <c r="Q50" i="131"/>
  <c r="L50" i="131" s="1"/>
  <c r="K50" i="131" s="1"/>
  <c r="Q28" i="131"/>
  <c r="L28" i="131" s="1"/>
  <c r="K28" i="131" s="1"/>
  <c r="H58" i="130"/>
  <c r="D122" i="742"/>
  <c r="D121" i="742" s="1"/>
  <c r="D118" i="163"/>
  <c r="D126" i="742"/>
  <c r="I119" i="473"/>
  <c r="H57" i="211"/>
  <c r="H294" i="502"/>
  <c r="H93" i="211"/>
  <c r="H93" i="640"/>
  <c r="H93" i="163"/>
  <c r="H93" i="203"/>
  <c r="H93" i="639"/>
  <c r="H93" i="206"/>
  <c r="H95" i="473"/>
  <c r="H93" i="186"/>
  <c r="H95" i="472"/>
  <c r="H300" i="502"/>
  <c r="H99" i="163"/>
  <c r="H101" i="473"/>
  <c r="H99" i="206"/>
  <c r="H99" i="203"/>
  <c r="H99" i="639"/>
  <c r="H99" i="211"/>
  <c r="H99" i="640"/>
  <c r="H99" i="186"/>
  <c r="H101" i="472"/>
  <c r="H99" i="158"/>
  <c r="H301" i="502"/>
  <c r="H100" i="639"/>
  <c r="H100" i="163"/>
  <c r="H100" i="211"/>
  <c r="H100" i="640"/>
  <c r="H100" i="206"/>
  <c r="H102" i="473"/>
  <c r="H100" i="203"/>
  <c r="H102" i="472"/>
  <c r="H100" i="186"/>
  <c r="F124" i="815"/>
  <c r="F219" i="815"/>
  <c r="F345" i="815"/>
  <c r="F314" i="815"/>
  <c r="H307" i="502"/>
  <c r="H106" i="163"/>
  <c r="H106" i="640"/>
  <c r="H106" i="203"/>
  <c r="H106" i="211"/>
  <c r="H106" i="206"/>
  <c r="H108" i="473"/>
  <c r="H106" i="639"/>
  <c r="H106" i="186"/>
  <c r="H108" i="472"/>
  <c r="H106" i="158"/>
  <c r="H297" i="502"/>
  <c r="H96" i="203"/>
  <c r="H96" i="206"/>
  <c r="H96" i="163"/>
  <c r="H96" i="640"/>
  <c r="H96" i="211"/>
  <c r="H96" i="639"/>
  <c r="H98" i="473"/>
  <c r="H96" i="186"/>
  <c r="H98" i="472"/>
  <c r="H28" i="203"/>
  <c r="H59" i="211"/>
  <c r="H63" i="203"/>
  <c r="H63" i="211"/>
  <c r="H63" i="206"/>
  <c r="F124" i="813"/>
  <c r="F314" i="813"/>
  <c r="F345" i="813"/>
  <c r="F219" i="813"/>
  <c r="H52" i="206"/>
  <c r="D139" i="742"/>
  <c r="J139" i="742" s="1"/>
  <c r="D142" i="473"/>
  <c r="J142" i="473" s="1"/>
  <c r="H87" i="203"/>
  <c r="H96" i="158"/>
  <c r="H87" i="211"/>
  <c r="H78" i="163"/>
  <c r="H57" i="206"/>
  <c r="H41" i="206"/>
  <c r="H306" i="502"/>
  <c r="H107" i="473"/>
  <c r="H105" i="640"/>
  <c r="H105" i="163"/>
  <c r="H105" i="206"/>
  <c r="H105" i="639"/>
  <c r="H105" i="203"/>
  <c r="H105" i="211"/>
  <c r="H105" i="186"/>
  <c r="H107" i="472"/>
  <c r="H308" i="502"/>
  <c r="H107" i="211"/>
  <c r="H107" i="640"/>
  <c r="H109" i="473"/>
  <c r="H107" i="206"/>
  <c r="H107" i="639"/>
  <c r="H107" i="163"/>
  <c r="H107" i="203"/>
  <c r="H109" i="472"/>
  <c r="H107" i="186"/>
  <c r="H79" i="163"/>
  <c r="H293" i="502"/>
  <c r="H92" i="639"/>
  <c r="H92" i="206"/>
  <c r="H92" i="203"/>
  <c r="H92" i="211"/>
  <c r="H94" i="473"/>
  <c r="H92" i="163"/>
  <c r="H92" i="640"/>
  <c r="H94" i="472"/>
  <c r="H92" i="186"/>
  <c r="D123" i="163"/>
  <c r="D122" i="163" s="1"/>
  <c r="H58" i="211"/>
  <c r="H41" i="203"/>
  <c r="D120" i="473"/>
  <c r="D219" i="813"/>
  <c r="D314" i="813"/>
  <c r="D345" i="813"/>
  <c r="D124" i="813"/>
  <c r="H26" i="206"/>
  <c r="H26" i="203"/>
  <c r="H78" i="203"/>
  <c r="H78" i="206"/>
  <c r="H80" i="473"/>
  <c r="H75" i="206"/>
  <c r="G345" i="815"/>
  <c r="G124" i="815"/>
  <c r="G219" i="815"/>
  <c r="G314" i="815"/>
  <c r="D219" i="814"/>
  <c r="D314" i="814"/>
  <c r="D124" i="814"/>
  <c r="D345" i="814"/>
  <c r="H67" i="206"/>
  <c r="H67" i="211"/>
  <c r="H67" i="203"/>
  <c r="G314" i="813"/>
  <c r="G345" i="813"/>
  <c r="G124" i="813"/>
  <c r="G219" i="813"/>
  <c r="D219" i="815"/>
  <c r="D124" i="815"/>
  <c r="D345" i="815"/>
  <c r="D314" i="815"/>
  <c r="H292" i="502"/>
  <c r="H91" i="203"/>
  <c r="H91" i="640"/>
  <c r="H91" i="211"/>
  <c r="H91" i="206"/>
  <c r="H93" i="473"/>
  <c r="H91" i="639"/>
  <c r="H91" i="163"/>
  <c r="H93" i="472"/>
  <c r="H91" i="186"/>
  <c r="H66" i="206"/>
  <c r="H66" i="203"/>
  <c r="H66" i="211"/>
  <c r="G219" i="814"/>
  <c r="G314" i="814"/>
  <c r="G345" i="814"/>
  <c r="G124" i="814"/>
  <c r="H302" i="502"/>
  <c r="H101" i="639"/>
  <c r="H101" i="206"/>
  <c r="H101" i="640"/>
  <c r="H103" i="473"/>
  <c r="H101" i="203"/>
  <c r="H101" i="163"/>
  <c r="H101" i="211"/>
  <c r="H103" i="472"/>
  <c r="H101" i="186"/>
  <c r="F219" i="814"/>
  <c r="F314" i="814"/>
  <c r="F124" i="814"/>
  <c r="F345" i="814"/>
  <c r="H64" i="211"/>
  <c r="H64" i="206"/>
  <c r="H64" i="203"/>
  <c r="H65" i="211"/>
  <c r="H65" i="203"/>
  <c r="H65" i="206"/>
  <c r="H305" i="502"/>
  <c r="H104" i="211"/>
  <c r="H104" i="203"/>
  <c r="H104" i="163"/>
  <c r="H106" i="473"/>
  <c r="H104" i="640"/>
  <c r="H104" i="639"/>
  <c r="H104" i="206"/>
  <c r="H104" i="186"/>
  <c r="H106" i="472"/>
  <c r="H59" i="163"/>
  <c r="H54" i="473"/>
  <c r="H42" i="473"/>
  <c r="H61" i="473"/>
  <c r="H58" i="163"/>
  <c r="H43" i="163"/>
  <c r="H52" i="163"/>
  <c r="H55" i="473"/>
  <c r="H47" i="163"/>
  <c r="H31" i="163"/>
  <c r="H33" i="473"/>
  <c r="H59" i="473"/>
  <c r="H57" i="163"/>
  <c r="H31" i="473"/>
  <c r="H49" i="473"/>
  <c r="H60" i="473"/>
  <c r="H45" i="473"/>
  <c r="H53" i="163"/>
  <c r="H54" i="163"/>
  <c r="H56" i="473"/>
  <c r="H40" i="163"/>
  <c r="H29" i="163"/>
  <c r="D368" i="815"/>
  <c r="D368" i="813"/>
  <c r="D368" i="814"/>
  <c r="D365" i="814"/>
  <c r="D365" i="813"/>
  <c r="D365" i="815"/>
  <c r="D367" i="813"/>
  <c r="D367" i="815"/>
  <c r="D367" i="814"/>
  <c r="D360" i="813"/>
  <c r="D360" i="814"/>
  <c r="D360" i="815"/>
  <c r="I349" i="813"/>
  <c r="I349" i="815"/>
  <c r="I349" i="814"/>
  <c r="H349" i="815"/>
  <c r="H349" i="813"/>
  <c r="H349" i="814"/>
  <c r="E349" i="814"/>
  <c r="E349" i="815"/>
  <c r="E349" i="813"/>
  <c r="G349" i="502"/>
  <c r="G349" i="815"/>
  <c r="G349" i="814"/>
  <c r="G349" i="813"/>
  <c r="D349" i="813"/>
  <c r="D349" i="814"/>
  <c r="D349" i="815"/>
  <c r="E360" i="813"/>
  <c r="E360" i="815"/>
  <c r="E360" i="814"/>
  <c r="F349" i="815"/>
  <c r="F349" i="814"/>
  <c r="F349" i="813"/>
  <c r="D354" i="814"/>
  <c r="D354" i="813"/>
  <c r="D354" i="815"/>
  <c r="D359" i="814"/>
  <c r="D359" i="815"/>
  <c r="D359" i="813"/>
  <c r="D371" i="813"/>
  <c r="J371" i="813" s="1"/>
  <c r="D371" i="814"/>
  <c r="J371" i="814" s="1"/>
  <c r="D371" i="815"/>
  <c r="J371" i="815" s="1"/>
  <c r="D347" i="814"/>
  <c r="D347" i="813"/>
  <c r="D347" i="815"/>
  <c r="D350" i="815"/>
  <c r="D350" i="814"/>
  <c r="D350" i="813"/>
  <c r="E21" i="40"/>
  <c r="G58" i="130"/>
  <c r="I58" i="130"/>
  <c r="F58" i="130"/>
  <c r="E58" i="130"/>
  <c r="G349" i="202"/>
  <c r="G349" i="508"/>
  <c r="G349" i="200"/>
  <c r="J126" i="211"/>
  <c r="J128" i="473"/>
  <c r="J125" i="203"/>
  <c r="J126" i="158"/>
  <c r="J126" i="163"/>
  <c r="V4" i="129"/>
  <c r="AC4" i="129" s="1"/>
  <c r="O164" i="129"/>
  <c r="O113" i="129"/>
  <c r="J65" i="130"/>
  <c r="J206" i="130" s="1"/>
  <c r="D23" i="485" s="1"/>
  <c r="D58" i="130"/>
  <c r="J71" i="130"/>
  <c r="J207" i="130" s="1"/>
  <c r="E23" i="485" s="1"/>
  <c r="J78" i="130"/>
  <c r="J208" i="130" s="1"/>
  <c r="F23" i="485" s="1"/>
  <c r="D371" i="200"/>
  <c r="J371" i="200" s="1"/>
  <c r="D371" i="202"/>
  <c r="J371" i="202" s="1"/>
  <c r="D371" i="508"/>
  <c r="J371" i="508" s="1"/>
  <c r="D371" i="502"/>
  <c r="J371" i="502" s="1"/>
  <c r="I345" i="502"/>
  <c r="I124" i="502"/>
  <c r="I219" i="502"/>
  <c r="I314" i="502"/>
  <c r="I345" i="508"/>
  <c r="I219" i="508"/>
  <c r="I124" i="508"/>
  <c r="I314" i="508"/>
  <c r="I219" i="200"/>
  <c r="I124" i="200"/>
  <c r="I345" i="200"/>
  <c r="I314" i="200"/>
  <c r="I345" i="202"/>
  <c r="I219" i="202"/>
  <c r="I124" i="202"/>
  <c r="I314" i="202"/>
  <c r="H345" i="502"/>
  <c r="H219" i="502"/>
  <c r="H124" i="502"/>
  <c r="H314" i="502"/>
  <c r="H345" i="508"/>
  <c r="H219" i="508"/>
  <c r="H124" i="508"/>
  <c r="H314" i="508"/>
  <c r="H345" i="202"/>
  <c r="H219" i="202"/>
  <c r="H124" i="202"/>
  <c r="H314" i="202"/>
  <c r="H124" i="200"/>
  <c r="H345" i="200"/>
  <c r="H219" i="200"/>
  <c r="H314" i="200"/>
  <c r="G345" i="508"/>
  <c r="G219" i="508"/>
  <c r="G124" i="508"/>
  <c r="G314" i="508"/>
  <c r="G219" i="502"/>
  <c r="G124" i="502"/>
  <c r="G345" i="502"/>
  <c r="G314" i="502"/>
  <c r="G219" i="200"/>
  <c r="G345" i="200"/>
  <c r="G124" i="200"/>
  <c r="G314" i="200"/>
  <c r="G345" i="202"/>
  <c r="G219" i="202"/>
  <c r="G314" i="202"/>
  <c r="G124" i="202"/>
  <c r="F345" i="502"/>
  <c r="F314" i="502"/>
  <c r="F219" i="502"/>
  <c r="F124" i="502"/>
  <c r="F345" i="200"/>
  <c r="F314" i="200"/>
  <c r="F219" i="200"/>
  <c r="F124" i="200"/>
  <c r="F345" i="508"/>
  <c r="F314" i="508"/>
  <c r="F219" i="508"/>
  <c r="F124" i="508"/>
  <c r="F314" i="202"/>
  <c r="F345" i="202"/>
  <c r="F219" i="202"/>
  <c r="F124" i="202"/>
  <c r="E345" i="200"/>
  <c r="E314" i="200"/>
  <c r="E219" i="200"/>
  <c r="E124" i="200"/>
  <c r="E314" i="202"/>
  <c r="E345" i="202"/>
  <c r="E124" i="202"/>
  <c r="E219" i="202"/>
  <c r="E314" i="502"/>
  <c r="E345" i="502"/>
  <c r="E219" i="502"/>
  <c r="E124" i="502"/>
  <c r="E314" i="508"/>
  <c r="E345" i="508"/>
  <c r="E219" i="508"/>
  <c r="E124" i="508"/>
  <c r="D124" i="502"/>
  <c r="D314" i="502"/>
  <c r="D345" i="502"/>
  <c r="D219" i="502"/>
  <c r="D124" i="202"/>
  <c r="D314" i="202"/>
  <c r="D345" i="202"/>
  <c r="D219" i="202"/>
  <c r="D124" i="200"/>
  <c r="D314" i="200"/>
  <c r="D345" i="200"/>
  <c r="D219" i="200"/>
  <c r="D124" i="508"/>
  <c r="D345" i="508"/>
  <c r="D314" i="508"/>
  <c r="D219" i="508"/>
  <c r="N113" i="129"/>
  <c r="N164" i="129"/>
  <c r="L64" i="62"/>
  <c r="L63" i="62"/>
  <c r="L60" i="62"/>
  <c r="L62" i="62"/>
  <c r="L61" i="62"/>
  <c r="L59" i="62"/>
  <c r="L58" i="62"/>
  <c r="F219" i="657"/>
  <c r="F314" i="657"/>
  <c r="F345" i="657"/>
  <c r="F124" i="657"/>
  <c r="F314" i="654"/>
  <c r="F345" i="654"/>
  <c r="F219" i="654"/>
  <c r="F124" i="654"/>
  <c r="D353" i="200"/>
  <c r="D353" i="508"/>
  <c r="D365" i="202"/>
  <c r="D393" i="202" s="1"/>
  <c r="D365" i="200"/>
  <c r="D393" i="200" s="1"/>
  <c r="D365" i="508"/>
  <c r="D365" i="502"/>
  <c r="F349" i="202"/>
  <c r="F349" i="200"/>
  <c r="F349" i="508"/>
  <c r="F349" i="502"/>
  <c r="E360" i="502"/>
  <c r="E360" i="200"/>
  <c r="E360" i="202"/>
  <c r="E360" i="508"/>
  <c r="D347" i="202"/>
  <c r="D397" i="202" s="1"/>
  <c r="D347" i="508"/>
  <c r="D397" i="508" s="1"/>
  <c r="D347" i="502"/>
  <c r="D397" i="502" s="1"/>
  <c r="D347" i="200"/>
  <c r="D397" i="200" s="1"/>
  <c r="E349" i="502"/>
  <c r="E349" i="508"/>
  <c r="E349" i="200"/>
  <c r="E349" i="202"/>
  <c r="D350" i="200"/>
  <c r="D350" i="508"/>
  <c r="D350" i="502"/>
  <c r="D350" i="202"/>
  <c r="D360" i="202"/>
  <c r="D360" i="508"/>
  <c r="D360" i="502"/>
  <c r="D360" i="200"/>
  <c r="D367" i="502"/>
  <c r="D367" i="202"/>
  <c r="D367" i="200"/>
  <c r="D367" i="508"/>
  <c r="D368" i="200"/>
  <c r="D368" i="508"/>
  <c r="D368" i="502"/>
  <c r="D368" i="202"/>
  <c r="D349" i="502"/>
  <c r="D349" i="200"/>
  <c r="D349" i="508"/>
  <c r="D349" i="202"/>
  <c r="E29" i="657"/>
  <c r="D29" i="657"/>
  <c r="D359" i="502"/>
  <c r="D359" i="202"/>
  <c r="D359" i="200"/>
  <c r="D359" i="508"/>
  <c r="H349" i="200"/>
  <c r="H349" i="502"/>
  <c r="H349" i="508"/>
  <c r="H349" i="202"/>
  <c r="I349" i="502"/>
  <c r="I349" i="200"/>
  <c r="I349" i="508"/>
  <c r="I349" i="202"/>
  <c r="J124" i="163"/>
  <c r="D157" i="163"/>
  <c r="J21" i="163"/>
  <c r="J157" i="163" s="1"/>
  <c r="J131" i="163"/>
  <c r="J130" i="163"/>
  <c r="J139" i="163"/>
  <c r="J132" i="163"/>
  <c r="J125" i="163"/>
  <c r="J140" i="163"/>
  <c r="E29" i="658"/>
  <c r="F124" i="658"/>
  <c r="F345" i="658"/>
  <c r="F219" i="658"/>
  <c r="F314" i="658"/>
  <c r="D29" i="658"/>
  <c r="L26" i="62"/>
  <c r="J29" i="130"/>
  <c r="J46" i="130"/>
  <c r="J47" i="130"/>
  <c r="J18" i="130"/>
  <c r="J36" i="130"/>
  <c r="J42" i="130"/>
  <c r="J43" i="130"/>
  <c r="J48" i="130"/>
  <c r="J16" i="130"/>
  <c r="J32" i="130"/>
  <c r="J41" i="130"/>
  <c r="J191" i="120"/>
  <c r="K15" i="19"/>
  <c r="L23" i="62"/>
  <c r="L22" i="62"/>
  <c r="L24" i="62"/>
  <c r="L11" i="62"/>
  <c r="L12" i="62"/>
  <c r="K14" i="19"/>
  <c r="J21" i="206"/>
  <c r="J21" i="211"/>
  <c r="J158" i="211" s="1"/>
  <c r="J23" i="473"/>
  <c r="J21" i="158"/>
  <c r="K13" i="19"/>
  <c r="K16" i="19"/>
  <c r="D188" i="120"/>
  <c r="J189" i="120"/>
  <c r="D189" i="120"/>
  <c r="J192" i="120"/>
  <c r="D438" i="200"/>
  <c r="D438" i="502"/>
  <c r="D438" i="508"/>
  <c r="J187" i="120"/>
  <c r="D434" i="200"/>
  <c r="J188" i="120"/>
  <c r="D398" i="200"/>
  <c r="D439" i="200"/>
  <c r="D131" i="506"/>
  <c r="J31" i="506"/>
  <c r="J131" i="506" s="1"/>
  <c r="I90" i="445"/>
  <c r="I79" i="445"/>
  <c r="I89" i="445"/>
  <c r="I82" i="445"/>
  <c r="I92" i="445"/>
  <c r="I84" i="445"/>
  <c r="I81" i="445"/>
  <c r="I91" i="445"/>
  <c r="I76" i="445"/>
  <c r="I86" i="445"/>
  <c r="I75" i="445"/>
  <c r="I83" i="445"/>
  <c r="I93" i="445"/>
  <c r="I85" i="445"/>
  <c r="I78" i="445"/>
  <c r="I88" i="445"/>
  <c r="I77" i="445"/>
  <c r="P50" i="113"/>
  <c r="G127" i="445"/>
  <c r="E127" i="445"/>
  <c r="D127" i="445"/>
  <c r="H127" i="445"/>
  <c r="Q8" i="131"/>
  <c r="L8" i="131" s="1"/>
  <c r="K8" i="131" s="1"/>
  <c r="H154" i="81"/>
  <c r="H25" i="445"/>
  <c r="D423" i="657"/>
  <c r="F429" i="657"/>
  <c r="E135" i="639"/>
  <c r="E161" i="639" s="1"/>
  <c r="E428" i="657"/>
  <c r="E387" i="657"/>
  <c r="E453" i="657" s="1"/>
  <c r="E423" i="657"/>
  <c r="D425" i="657"/>
  <c r="F423" i="657"/>
  <c r="E429" i="657"/>
  <c r="D429" i="657"/>
  <c r="D428" i="657"/>
  <c r="D387" i="657"/>
  <c r="D453" i="657" s="1"/>
  <c r="F432" i="657"/>
  <c r="F391" i="657"/>
  <c r="F451" i="657" s="1"/>
  <c r="E432" i="657"/>
  <c r="E391" i="657"/>
  <c r="E451" i="657" s="1"/>
  <c r="F425" i="657"/>
  <c r="D424" i="657"/>
  <c r="F428" i="657"/>
  <c r="F387" i="657"/>
  <c r="F453" i="657" s="1"/>
  <c r="E424" i="657"/>
  <c r="F424" i="657"/>
  <c r="E425" i="657"/>
  <c r="D430" i="657"/>
  <c r="D389" i="657"/>
  <c r="D452" i="657" s="1"/>
  <c r="E430" i="657"/>
  <c r="E389" i="657"/>
  <c r="E452" i="657" s="1"/>
  <c r="F430" i="657"/>
  <c r="F389" i="657"/>
  <c r="F452" i="657" s="1"/>
  <c r="D432" i="657"/>
  <c r="D391" i="657"/>
  <c r="D451" i="657" s="1"/>
  <c r="G16" i="445"/>
  <c r="G3" i="445" s="1"/>
  <c r="E16" i="445"/>
  <c r="E3" i="445" s="1"/>
  <c r="K4" i="120"/>
  <c r="R4" i="120" s="1"/>
  <c r="Y4" i="120" s="1"/>
  <c r="D16" i="445"/>
  <c r="D3" i="445" s="1"/>
  <c r="G430" i="657"/>
  <c r="G389" i="657"/>
  <c r="G452" i="657" s="1"/>
  <c r="G432" i="657"/>
  <c r="G391" i="657"/>
  <c r="G451" i="657" s="1"/>
  <c r="S137" i="129"/>
  <c r="U116" i="129"/>
  <c r="T116" i="129"/>
  <c r="G428" i="657"/>
  <c r="G387" i="657"/>
  <c r="G453" i="657" s="1"/>
  <c r="G431" i="657"/>
  <c r="J431" i="657"/>
  <c r="T137" i="129"/>
  <c r="L331" i="128"/>
  <c r="D439" i="202"/>
  <c r="D434" i="202"/>
  <c r="D438" i="202"/>
  <c r="D136" i="639"/>
  <c r="E116" i="203"/>
  <c r="E163" i="203" s="1"/>
  <c r="R4" i="130"/>
  <c r="R113" i="130" s="1"/>
  <c r="D115" i="130"/>
  <c r="D221" i="130" s="1"/>
  <c r="D136" i="130"/>
  <c r="D217" i="130" s="1"/>
  <c r="U4" i="130"/>
  <c r="U113" i="130" s="1"/>
  <c r="E154" i="81"/>
  <c r="J152" i="81"/>
  <c r="J155" i="81" s="1"/>
  <c r="R136" i="129"/>
  <c r="F155" i="81"/>
  <c r="K83" i="70"/>
  <c r="D29" i="39" s="1"/>
  <c r="K85" i="70"/>
  <c r="D31" i="39" s="1"/>
  <c r="H115" i="473"/>
  <c r="H43" i="445"/>
  <c r="AG47" i="130"/>
  <c r="AG32" i="130"/>
  <c r="G158" i="129"/>
  <c r="D215" i="129"/>
  <c r="D219" i="129"/>
  <c r="I158" i="129"/>
  <c r="N158" i="129"/>
  <c r="T158" i="129"/>
  <c r="H158" i="129"/>
  <c r="R115" i="129"/>
  <c r="L158" i="129"/>
  <c r="K158" i="129"/>
  <c r="AG41" i="130"/>
  <c r="Q19" i="131"/>
  <c r="L19" i="131" s="1"/>
  <c r="K19" i="131" s="1"/>
  <c r="Q9" i="131"/>
  <c r="L9" i="131" s="1"/>
  <c r="K9" i="131" s="1"/>
  <c r="Q53" i="131"/>
  <c r="L53" i="131" s="1"/>
  <c r="K53" i="131" s="1"/>
  <c r="Q68" i="131"/>
  <c r="L68" i="131" s="1"/>
  <c r="K68" i="131" s="1"/>
  <c r="Q32" i="131"/>
  <c r="Q31" i="131"/>
  <c r="L31" i="131" s="1"/>
  <c r="K31" i="131" s="1"/>
  <c r="Q30" i="131"/>
  <c r="L30" i="131" s="1"/>
  <c r="K30" i="131" s="1"/>
  <c r="Q70" i="131"/>
  <c r="L70" i="131" s="1"/>
  <c r="K70" i="131" s="1"/>
  <c r="Q59" i="131"/>
  <c r="L59" i="131" s="1"/>
  <c r="K59" i="131" s="1"/>
  <c r="Q60" i="131"/>
  <c r="L60" i="131" s="1"/>
  <c r="K60" i="131" s="1"/>
  <c r="J132" i="158"/>
  <c r="J129" i="158"/>
  <c r="G136" i="158"/>
  <c r="G134" i="158" s="1"/>
  <c r="H116" i="158"/>
  <c r="H114" i="158" s="1"/>
  <c r="J124" i="158"/>
  <c r="E122" i="158"/>
  <c r="E163" i="158" s="1"/>
  <c r="J130" i="158"/>
  <c r="F116" i="158"/>
  <c r="F114" i="158" s="1"/>
  <c r="P25" i="112"/>
  <c r="J134" i="473"/>
  <c r="D124" i="473"/>
  <c r="J141" i="473"/>
  <c r="J127" i="473"/>
  <c r="J140" i="473"/>
  <c r="J133" i="473"/>
  <c r="J126" i="473"/>
  <c r="J132" i="473"/>
  <c r="D127" i="211"/>
  <c r="D162" i="211" s="1"/>
  <c r="D122" i="211"/>
  <c r="D163" i="211" s="1"/>
  <c r="J130" i="211"/>
  <c r="J125" i="211"/>
  <c r="I9" i="502"/>
  <c r="J131" i="211"/>
  <c r="D136" i="211"/>
  <c r="I7" i="502"/>
  <c r="J139" i="211"/>
  <c r="I11" i="502"/>
  <c r="J117" i="211"/>
  <c r="D116" i="211"/>
  <c r="J141" i="211"/>
  <c r="J124" i="211"/>
  <c r="J132" i="211"/>
  <c r="J140" i="211"/>
  <c r="G122" i="158"/>
  <c r="E116" i="158"/>
  <c r="E114" i="158" s="1"/>
  <c r="I116" i="158"/>
  <c r="I114" i="158" s="1"/>
  <c r="G116" i="158"/>
  <c r="G114" i="158" s="1"/>
  <c r="J131" i="158"/>
  <c r="H136" i="158"/>
  <c r="H134" i="158" s="1"/>
  <c r="J137" i="158"/>
  <c r="D136" i="158"/>
  <c r="D134" i="158" s="1"/>
  <c r="J118" i="158"/>
  <c r="F127" i="158"/>
  <c r="I136" i="158"/>
  <c r="I134" i="158" s="1"/>
  <c r="J139" i="158"/>
  <c r="J141" i="158"/>
  <c r="F136" i="158"/>
  <c r="F134" i="158" s="1"/>
  <c r="J128" i="158"/>
  <c r="D127" i="158"/>
  <c r="H127" i="158"/>
  <c r="J115" i="158"/>
  <c r="E136" i="158"/>
  <c r="E134" i="158" s="1"/>
  <c r="F122" i="158"/>
  <c r="J138" i="158"/>
  <c r="H122" i="158"/>
  <c r="J135" i="158"/>
  <c r="E127" i="158"/>
  <c r="G127" i="158"/>
  <c r="I127" i="158"/>
  <c r="J140" i="158"/>
  <c r="I122" i="158"/>
  <c r="J123" i="158"/>
  <c r="D122" i="158"/>
  <c r="D163" i="158" s="1"/>
  <c r="J117" i="158"/>
  <c r="D116" i="158"/>
  <c r="J125" i="158"/>
  <c r="AG16" i="130"/>
  <c r="AG18" i="130"/>
  <c r="AG48" i="130"/>
  <c r="J136" i="129"/>
  <c r="D220" i="129"/>
  <c r="D166" i="473"/>
  <c r="J117" i="129"/>
  <c r="D162" i="473"/>
  <c r="L136" i="130"/>
  <c r="S136" i="130"/>
  <c r="S135" i="130" s="1"/>
  <c r="S115" i="130"/>
  <c r="S114" i="130" s="1"/>
  <c r="J139" i="129"/>
  <c r="T113" i="130"/>
  <c r="D116" i="203"/>
  <c r="D163" i="203" s="1"/>
  <c r="AG46" i="130"/>
  <c r="T136" i="129"/>
  <c r="S136" i="129"/>
  <c r="U164" i="129"/>
  <c r="U115" i="129"/>
  <c r="T113" i="129"/>
  <c r="T115" i="129"/>
  <c r="J144" i="130"/>
  <c r="L50" i="62"/>
  <c r="L54" i="62"/>
  <c r="L56" i="62"/>
  <c r="L52" i="62"/>
  <c r="L51" i="62"/>
  <c r="L55" i="62"/>
  <c r="L53" i="62"/>
  <c r="L48" i="62"/>
  <c r="D48" i="81" s="1"/>
  <c r="F14" i="502"/>
  <c r="H7" i="502"/>
  <c r="D115" i="473"/>
  <c r="K82" i="75"/>
  <c r="E28" i="39" s="1"/>
  <c r="Q49" i="131"/>
  <c r="L49" i="131" s="1"/>
  <c r="K49" i="131" s="1"/>
  <c r="Q45" i="131"/>
  <c r="L45" i="131" s="1"/>
  <c r="K45" i="131" s="1"/>
  <c r="Q71" i="131"/>
  <c r="L71" i="131" s="1"/>
  <c r="K71" i="131" s="1"/>
  <c r="Q72" i="131"/>
  <c r="L72" i="131" s="1"/>
  <c r="K72" i="131" s="1"/>
  <c r="Q41" i="131"/>
  <c r="L41" i="131" s="1"/>
  <c r="K41" i="131" s="1"/>
  <c r="Q43" i="131"/>
  <c r="L43" i="131" s="1"/>
  <c r="K43" i="131" s="1"/>
  <c r="Q69" i="131"/>
  <c r="L69" i="131" s="1"/>
  <c r="K69" i="131" s="1"/>
  <c r="Q76" i="131"/>
  <c r="L76" i="131" s="1"/>
  <c r="K76" i="131" s="1"/>
  <c r="Q29" i="131"/>
  <c r="L29" i="131" s="1"/>
  <c r="K29" i="131" s="1"/>
  <c r="F102" i="62"/>
  <c r="F101" i="62"/>
  <c r="K135" i="130"/>
  <c r="D128" i="130"/>
  <c r="J118" i="130"/>
  <c r="D117" i="130"/>
  <c r="D220" i="130" s="1"/>
  <c r="R114" i="130"/>
  <c r="J128" i="129"/>
  <c r="D122" i="129"/>
  <c r="R135" i="130"/>
  <c r="R122" i="130"/>
  <c r="D114" i="129"/>
  <c r="J115" i="129"/>
  <c r="K114" i="130"/>
  <c r="D139" i="130"/>
  <c r="D216" i="130" s="1"/>
  <c r="K122" i="130"/>
  <c r="G9" i="75"/>
  <c r="D135" i="203"/>
  <c r="D133" i="203" s="1"/>
  <c r="J140" i="203"/>
  <c r="J130" i="203"/>
  <c r="J131" i="203"/>
  <c r="J129" i="203"/>
  <c r="E135" i="203"/>
  <c r="E159" i="203" s="1"/>
  <c r="E5" i="40"/>
  <c r="G5" i="75"/>
  <c r="G5" i="70" s="1"/>
  <c r="D9" i="70"/>
  <c r="C8" i="818" s="1"/>
  <c r="H101" i="445"/>
  <c r="I115" i="473"/>
  <c r="R4" i="129"/>
  <c r="Y4" i="129" s="1"/>
  <c r="G87" i="445"/>
  <c r="G124" i="445" s="1"/>
  <c r="H74" i="445"/>
  <c r="H122" i="445" s="1"/>
  <c r="H87" i="445"/>
  <c r="H124" i="445" s="1"/>
  <c r="E162" i="203"/>
  <c r="G95" i="445"/>
  <c r="F15" i="502"/>
  <c r="H66" i="113"/>
  <c r="H53" i="445"/>
  <c r="H108" i="445"/>
  <c r="P164" i="129"/>
  <c r="W4" i="129"/>
  <c r="AD4" i="129" s="1"/>
  <c r="K113" i="129"/>
  <c r="M48" i="127"/>
  <c r="G53" i="445"/>
  <c r="G108" i="445"/>
  <c r="G74" i="445"/>
  <c r="G122" i="445" s="1"/>
  <c r="H95" i="445"/>
  <c r="H48" i="445"/>
  <c r="F7" i="62"/>
  <c r="G93" i="62"/>
  <c r="F93" i="62"/>
  <c r="K17" i="75"/>
  <c r="E6" i="40" s="1"/>
  <c r="O149" i="459"/>
  <c r="O118" i="459"/>
  <c r="P118" i="459" s="1"/>
  <c r="G80" i="445"/>
  <c r="G123" i="445" s="1"/>
  <c r="H36" i="445"/>
  <c r="G101" i="445"/>
  <c r="H80" i="445"/>
  <c r="H123" i="445" s="1"/>
  <c r="D162" i="203"/>
  <c r="D113" i="120"/>
  <c r="AB4" i="120"/>
  <c r="F200" i="120"/>
  <c r="G10" i="62"/>
  <c r="Q10" i="62" s="1"/>
  <c r="F198" i="120"/>
  <c r="F197" i="120"/>
  <c r="G21" i="62"/>
  <c r="Q21" i="62" s="1"/>
  <c r="F94" i="62"/>
  <c r="G96" i="62"/>
  <c r="J139" i="203"/>
  <c r="J124" i="203"/>
  <c r="J138" i="203"/>
  <c r="M372" i="127"/>
  <c r="J117" i="203"/>
  <c r="L113" i="129"/>
  <c r="M164" i="129"/>
  <c r="M113" i="129"/>
  <c r="O10" i="62"/>
  <c r="E25" i="445"/>
  <c r="F105" i="62"/>
  <c r="E199" i="120"/>
  <c r="D202" i="120"/>
  <c r="F202" i="120"/>
  <c r="G6" i="62"/>
  <c r="Q6" i="62" s="1"/>
  <c r="L28" i="62"/>
  <c r="D28" i="81" s="1"/>
  <c r="L39" i="62"/>
  <c r="L16" i="62"/>
  <c r="D16" i="81" s="1"/>
  <c r="L42" i="62"/>
  <c r="D42" i="81" s="1"/>
  <c r="L45" i="62"/>
  <c r="D45" i="81" s="1"/>
  <c r="L82" i="62"/>
  <c r="D82" i="81" s="1"/>
  <c r="L21" i="62"/>
  <c r="L71" i="62"/>
  <c r="L33" i="62"/>
  <c r="D33" i="81" s="1"/>
  <c r="L40" i="62"/>
  <c r="D40" i="81" s="1"/>
  <c r="L38" i="62"/>
  <c r="D38" i="81" s="1"/>
  <c r="L29" i="62"/>
  <c r="D29" i="81" s="1"/>
  <c r="L70" i="62"/>
  <c r="D70" i="81" s="1"/>
  <c r="L100" i="62"/>
  <c r="D100" i="81" s="1"/>
  <c r="L75" i="62"/>
  <c r="D75" i="81" s="1"/>
  <c r="L86" i="62"/>
  <c r="L92" i="62"/>
  <c r="L68" i="62"/>
  <c r="D68" i="81" s="1"/>
  <c r="L5" i="62"/>
  <c r="L79" i="62"/>
  <c r="D79" i="81" s="1"/>
  <c r="L104" i="62"/>
  <c r="D104" i="81" s="1"/>
  <c r="L88" i="62"/>
  <c r="D88" i="81" s="1"/>
  <c r="L78" i="62"/>
  <c r="L9" i="62"/>
  <c r="L99" i="62"/>
  <c r="L72" i="62"/>
  <c r="D72" i="81" s="1"/>
  <c r="L77" i="62"/>
  <c r="D77" i="81" s="1"/>
  <c r="L83" i="62"/>
  <c r="D83" i="81" s="1"/>
  <c r="L46" i="62"/>
  <c r="D46" i="81" s="1"/>
  <c r="L41" i="62"/>
  <c r="D41" i="81" s="1"/>
  <c r="L96" i="62"/>
  <c r="D96" i="81" s="1"/>
  <c r="L43" i="62"/>
  <c r="D43" i="81" s="1"/>
  <c r="L14" i="62"/>
  <c r="L31" i="62"/>
  <c r="D31" i="81" s="1"/>
  <c r="L84" i="62"/>
  <c r="D84" i="81" s="1"/>
  <c r="L35" i="62"/>
  <c r="D35" i="81" s="1"/>
  <c r="L67" i="62"/>
  <c r="D67" i="81" s="1"/>
  <c r="L69" i="62"/>
  <c r="D69" i="81" s="1"/>
  <c r="L81" i="62"/>
  <c r="L73" i="62"/>
  <c r="D73" i="81" s="1"/>
  <c r="L18" i="62"/>
  <c r="D18" i="81" s="1"/>
  <c r="L47" i="62"/>
  <c r="D47" i="81" s="1"/>
  <c r="L30" i="62"/>
  <c r="D30" i="81" s="1"/>
  <c r="L20" i="62"/>
  <c r="L76" i="62"/>
  <c r="D76" i="81" s="1"/>
  <c r="L17" i="62"/>
  <c r="D17" i="81" s="1"/>
  <c r="L44" i="62"/>
  <c r="L101" i="62"/>
  <c r="D101" i="81" s="1"/>
  <c r="L89" i="62"/>
  <c r="D89" i="81" s="1"/>
  <c r="L66" i="62"/>
  <c r="D66" i="81" s="1"/>
  <c r="L37" i="62"/>
  <c r="D37" i="81" s="1"/>
  <c r="L95" i="62"/>
  <c r="D95" i="81" s="1"/>
  <c r="L34" i="62"/>
  <c r="L98" i="62"/>
  <c r="D98" i="81" s="1"/>
  <c r="L105" i="62"/>
  <c r="L103" i="62"/>
  <c r="D103" i="81" s="1"/>
  <c r="L107" i="62"/>
  <c r="L27" i="62"/>
  <c r="L97" i="62"/>
  <c r="D97" i="81" s="1"/>
  <c r="L65" i="62"/>
  <c r="L80" i="62"/>
  <c r="D80" i="81" s="1"/>
  <c r="L91" i="62"/>
  <c r="D91" i="81" s="1"/>
  <c r="L87" i="62"/>
  <c r="D87" i="81" s="1"/>
  <c r="L102" i="62"/>
  <c r="D102" i="81" s="1"/>
  <c r="L90" i="62"/>
  <c r="D90" i="81" s="1"/>
  <c r="L93" i="62"/>
  <c r="D93" i="81" s="1"/>
  <c r="L10" i="62"/>
  <c r="L7" i="62"/>
  <c r="L94" i="62"/>
  <c r="D94" i="81" s="1"/>
  <c r="L6" i="62"/>
  <c r="D6" i="81" s="1"/>
  <c r="L74" i="62"/>
  <c r="D74" i="81" s="1"/>
  <c r="L36" i="62"/>
  <c r="D36" i="81" s="1"/>
  <c r="L32" i="62"/>
  <c r="D32" i="81" s="1"/>
  <c r="L15" i="62"/>
  <c r="D15" i="81" s="1"/>
  <c r="G7" i="502"/>
  <c r="F74" i="445"/>
  <c r="F122" i="445" s="1"/>
  <c r="J136" i="203"/>
  <c r="J123" i="203"/>
  <c r="D11" i="502"/>
  <c r="E197" i="120"/>
  <c r="S4" i="129"/>
  <c r="Z4" i="129" s="1"/>
  <c r="F13" i="502"/>
  <c r="F12" i="502"/>
  <c r="D28" i="315"/>
  <c r="D38" i="315" s="1"/>
  <c r="J221" i="129"/>
  <c r="L4" i="120"/>
  <c r="E113" i="120"/>
  <c r="T164" i="129"/>
  <c r="H5" i="75"/>
  <c r="H5" i="70" s="1"/>
  <c r="H20" i="75"/>
  <c r="H9" i="75"/>
  <c r="G105" i="62"/>
  <c r="D9" i="502"/>
  <c r="E87" i="445"/>
  <c r="E124" i="445" s="1"/>
  <c r="G9" i="502"/>
  <c r="H9" i="502"/>
  <c r="F10" i="502"/>
  <c r="D8" i="502"/>
  <c r="Q17" i="131"/>
  <c r="L17" i="131" s="1"/>
  <c r="K17" i="131" s="1"/>
  <c r="Q20" i="131"/>
  <c r="L20" i="131" s="1"/>
  <c r="K20" i="131" s="1"/>
  <c r="Q21" i="131"/>
  <c r="L21" i="131" s="1"/>
  <c r="K21" i="131" s="1"/>
  <c r="Q25" i="131"/>
  <c r="L25" i="131" s="1"/>
  <c r="K25" i="131" s="1"/>
  <c r="Q11" i="131"/>
  <c r="L11" i="131" s="1"/>
  <c r="K11" i="131" s="1"/>
  <c r="Q18" i="131"/>
  <c r="L18" i="131" s="1"/>
  <c r="K18" i="131" s="1"/>
  <c r="Q14" i="131"/>
  <c r="L14" i="131" s="1"/>
  <c r="K14" i="131" s="1"/>
  <c r="Q10" i="131"/>
  <c r="L10" i="131" s="1"/>
  <c r="K10" i="131" s="1"/>
  <c r="Q15" i="131"/>
  <c r="L15" i="131" s="1"/>
  <c r="K15" i="131" s="1"/>
  <c r="Q61" i="131"/>
  <c r="L61" i="131" s="1"/>
  <c r="K61" i="131" s="1"/>
  <c r="O160" i="460"/>
  <c r="O148" i="459"/>
  <c r="O162" i="459"/>
  <c r="O149" i="460"/>
  <c r="O161" i="460"/>
  <c r="O145" i="460"/>
  <c r="G25" i="445"/>
  <c r="G21" i="445" s="1"/>
  <c r="M63" i="113"/>
  <c r="G20" i="113" s="1"/>
  <c r="H53" i="113" s="1"/>
  <c r="H20" i="113" s="1"/>
  <c r="I53" i="113" s="1"/>
  <c r="M59" i="113"/>
  <c r="G16" i="113" s="1"/>
  <c r="G22" i="113"/>
  <c r="H55" i="113" s="1"/>
  <c r="G39" i="113"/>
  <c r="H19" i="113"/>
  <c r="I52" i="113" s="1"/>
  <c r="G17" i="445"/>
  <c r="F48" i="445"/>
  <c r="F19" i="25"/>
  <c r="H12" i="19"/>
  <c r="K12" i="19" s="1"/>
  <c r="H17" i="19"/>
  <c r="K17" i="19" s="1"/>
  <c r="I19" i="19"/>
  <c r="H19" i="19" s="1"/>
  <c r="I29" i="315"/>
  <c r="I39" i="315" s="1"/>
  <c r="F28" i="315"/>
  <c r="F38" i="315" s="1"/>
  <c r="C28" i="315"/>
  <c r="C38" i="315" s="1"/>
  <c r="H28" i="315"/>
  <c r="H38" i="315" s="1"/>
  <c r="G28" i="315"/>
  <c r="G38" i="315" s="1"/>
  <c r="D12" i="502"/>
  <c r="D15" i="502"/>
  <c r="D13" i="502"/>
  <c r="D14" i="502"/>
  <c r="D10" i="502"/>
  <c r="F8" i="502"/>
  <c r="E115" i="473"/>
  <c r="O113" i="130"/>
  <c r="V4" i="130"/>
  <c r="L116" i="130"/>
  <c r="E193" i="81"/>
  <c r="I221" i="129"/>
  <c r="U113" i="129"/>
  <c r="T116" i="130"/>
  <c r="F115" i="473"/>
  <c r="E221" i="129"/>
  <c r="I165" i="203"/>
  <c r="F221" i="129"/>
  <c r="F165" i="203"/>
  <c r="G165" i="203"/>
  <c r="G221" i="129"/>
  <c r="F160" i="203"/>
  <c r="H221" i="129"/>
  <c r="E216" i="129"/>
  <c r="F220" i="129"/>
  <c r="F165" i="158"/>
  <c r="F164" i="203"/>
  <c r="F199" i="120"/>
  <c r="E53" i="445"/>
  <c r="F43" i="445"/>
  <c r="E48" i="445"/>
  <c r="D196" i="120"/>
  <c r="G68" i="62"/>
  <c r="F68" i="62"/>
  <c r="I5" i="70"/>
  <c r="G97" i="62"/>
  <c r="D48" i="445"/>
  <c r="F53" i="445"/>
  <c r="G95" i="62"/>
  <c r="D17" i="445"/>
  <c r="D130" i="445"/>
  <c r="G100" i="62"/>
  <c r="G88" i="62"/>
  <c r="F101" i="445"/>
  <c r="F25" i="445"/>
  <c r="G91" i="62"/>
  <c r="E74" i="445"/>
  <c r="E122" i="445" s="1"/>
  <c r="G5" i="62"/>
  <c r="F5" i="62"/>
  <c r="P5" i="62" s="1"/>
  <c r="F108" i="445"/>
  <c r="O44" i="62"/>
  <c r="G194" i="81"/>
  <c r="F28" i="62"/>
  <c r="P28" i="62" s="1"/>
  <c r="D36" i="445"/>
  <c r="F15" i="62"/>
  <c r="P15" i="62" s="1"/>
  <c r="F29" i="70"/>
  <c r="F20" i="70" s="1"/>
  <c r="F9" i="70"/>
  <c r="D87" i="445"/>
  <c r="D124" i="445" s="1"/>
  <c r="F191" i="81"/>
  <c r="H34" i="127"/>
  <c r="M116" i="130"/>
  <c r="T124" i="130"/>
  <c r="T123" i="130" s="1"/>
  <c r="G220" i="129"/>
  <c r="I159" i="129"/>
  <c r="I152" i="129" s="1"/>
  <c r="D74" i="445"/>
  <c r="K31" i="75"/>
  <c r="M31" i="70" s="1"/>
  <c r="E191" i="81"/>
  <c r="M61" i="113"/>
  <c r="G18" i="113" s="1"/>
  <c r="H51" i="113" s="1"/>
  <c r="H18" i="113" s="1"/>
  <c r="I51" i="113" s="1"/>
  <c r="O34" i="62"/>
  <c r="E27" i="62"/>
  <c r="E20" i="62"/>
  <c r="G43" i="445"/>
  <c r="D43" i="445"/>
  <c r="D53" i="445"/>
  <c r="I39" i="70"/>
  <c r="F13" i="477"/>
  <c r="D26" i="79"/>
  <c r="G37" i="70"/>
  <c r="G94" i="62"/>
  <c r="Q134" i="460"/>
  <c r="E159" i="129"/>
  <c r="E152" i="129" s="1"/>
  <c r="M137" i="130"/>
  <c r="L124" i="130"/>
  <c r="L141" i="130"/>
  <c r="T137" i="130"/>
  <c r="G48" i="445"/>
  <c r="E17" i="445"/>
  <c r="E130" i="445"/>
  <c r="E80" i="445"/>
  <c r="E123" i="445" s="1"/>
  <c r="E108" i="445"/>
  <c r="D95" i="445"/>
  <c r="F129" i="445"/>
  <c r="D80" i="445"/>
  <c r="E202" i="120"/>
  <c r="J202" i="120"/>
  <c r="G90" i="62"/>
  <c r="E137" i="130"/>
  <c r="E14" i="62"/>
  <c r="F6" i="62"/>
  <c r="D24" i="103"/>
  <c r="E95" i="445"/>
  <c r="F95" i="445"/>
  <c r="G36" i="445"/>
  <c r="J199" i="120"/>
  <c r="D199" i="120"/>
  <c r="E36" i="445"/>
  <c r="D101" i="445"/>
  <c r="F130" i="445"/>
  <c r="F17" i="445"/>
  <c r="E19" i="79"/>
  <c r="U116" i="130"/>
  <c r="D126" i="203"/>
  <c r="G159" i="129"/>
  <c r="G152" i="129" s="1"/>
  <c r="D25" i="445"/>
  <c r="D21" i="445" s="1"/>
  <c r="E101" i="445"/>
  <c r="E43" i="445"/>
  <c r="F127" i="445"/>
  <c r="D108" i="445"/>
  <c r="G11" i="502"/>
  <c r="H11" i="502"/>
  <c r="M113" i="120"/>
  <c r="T4" i="120"/>
  <c r="AA4" i="120" s="1"/>
  <c r="M62" i="113"/>
  <c r="O158" i="460"/>
  <c r="L129" i="130"/>
  <c r="L119" i="130"/>
  <c r="N130" i="130"/>
  <c r="M140" i="130"/>
  <c r="F159" i="129"/>
  <c r="F152" i="129" s="1"/>
  <c r="F80" i="445"/>
  <c r="F123" i="445" s="1"/>
  <c r="J199" i="86"/>
  <c r="J204" i="86" s="1"/>
  <c r="F36" i="445"/>
  <c r="F130" i="130"/>
  <c r="E140" i="130"/>
  <c r="E129" i="445"/>
  <c r="H17" i="445"/>
  <c r="H130" i="445"/>
  <c r="F87" i="445"/>
  <c r="F124" i="445" s="1"/>
  <c r="O156" i="460"/>
  <c r="K13" i="48"/>
  <c r="AG36" i="130"/>
  <c r="AG29" i="130"/>
  <c r="AG43" i="130"/>
  <c r="O25" i="112"/>
  <c r="AG42" i="130"/>
  <c r="P162" i="459" l="1"/>
  <c r="P156" i="459"/>
  <c r="P155" i="459"/>
  <c r="P157" i="459"/>
  <c r="P158" i="459"/>
  <c r="P159" i="459"/>
  <c r="P154" i="459"/>
  <c r="P153" i="459"/>
  <c r="D121" i="639"/>
  <c r="V10" i="129"/>
  <c r="V50" i="129"/>
  <c r="V21" i="129"/>
  <c r="C23" i="858"/>
  <c r="D114" i="639"/>
  <c r="H97" i="473"/>
  <c r="D116" i="163"/>
  <c r="D163" i="163" s="1"/>
  <c r="E52" i="81"/>
  <c r="I52" i="81"/>
  <c r="H52" i="81"/>
  <c r="G52" i="81"/>
  <c r="F52" i="81"/>
  <c r="D52" i="81"/>
  <c r="D122" i="130"/>
  <c r="D218" i="130"/>
  <c r="G56" i="81"/>
  <c r="F56" i="81"/>
  <c r="I56" i="81"/>
  <c r="H56" i="81"/>
  <c r="E56" i="81"/>
  <c r="D56" i="81"/>
  <c r="G54" i="81"/>
  <c r="F54" i="81"/>
  <c r="E54" i="81"/>
  <c r="D54" i="81"/>
  <c r="I54" i="81"/>
  <c r="H54" i="81"/>
  <c r="H102" i="163"/>
  <c r="H91" i="472"/>
  <c r="E135" i="742"/>
  <c r="E138" i="473"/>
  <c r="E137" i="163"/>
  <c r="H95" i="163"/>
  <c r="H104" i="473"/>
  <c r="H91" i="473"/>
  <c r="F127" i="742"/>
  <c r="F131" i="473"/>
  <c r="F129" i="163"/>
  <c r="E117" i="473"/>
  <c r="E115" i="211"/>
  <c r="E165" i="211" s="1"/>
  <c r="F135" i="211"/>
  <c r="F161" i="211" s="1"/>
  <c r="F136" i="473"/>
  <c r="E85" i="129"/>
  <c r="S85" i="129" s="1"/>
  <c r="E19" i="129"/>
  <c r="S19" i="129" s="1"/>
  <c r="E68" i="129"/>
  <c r="E12" i="129"/>
  <c r="E69" i="129"/>
  <c r="E75" i="129"/>
  <c r="E96" i="129"/>
  <c r="E73" i="129"/>
  <c r="E38" i="129"/>
  <c r="E43" i="129"/>
  <c r="E11" i="129"/>
  <c r="E76" i="129"/>
  <c r="E35" i="129"/>
  <c r="E72" i="129"/>
  <c r="E84" i="129"/>
  <c r="E62" i="129"/>
  <c r="E60" i="129"/>
  <c r="E29" i="129"/>
  <c r="E95" i="129"/>
  <c r="E53" i="129"/>
  <c r="E102" i="129"/>
  <c r="E16" i="129"/>
  <c r="E15" i="129"/>
  <c r="E98" i="129"/>
  <c r="E32" i="129"/>
  <c r="E83" i="129"/>
  <c r="E47" i="129"/>
  <c r="E55" i="129"/>
  <c r="E28" i="129"/>
  <c r="E101" i="129"/>
  <c r="E67" i="129"/>
  <c r="E103" i="129"/>
  <c r="E56" i="129"/>
  <c r="E48" i="129"/>
  <c r="E97" i="129"/>
  <c r="E81" i="129"/>
  <c r="E36" i="129"/>
  <c r="E54" i="129"/>
  <c r="E52" i="129"/>
  <c r="E105" i="129"/>
  <c r="E82" i="129"/>
  <c r="E89" i="129"/>
  <c r="E100" i="129"/>
  <c r="E6" i="129"/>
  <c r="E45" i="129"/>
  <c r="E80" i="129"/>
  <c r="E33" i="129"/>
  <c r="E104" i="129"/>
  <c r="E24" i="129"/>
  <c r="E37" i="129"/>
  <c r="E79" i="129"/>
  <c r="E66" i="129"/>
  <c r="E74" i="129"/>
  <c r="E87" i="129"/>
  <c r="E31" i="129"/>
  <c r="E30" i="129"/>
  <c r="E23" i="129"/>
  <c r="E70" i="129"/>
  <c r="E91" i="129"/>
  <c r="E40" i="129"/>
  <c r="E17" i="129"/>
  <c r="E90" i="129"/>
  <c r="E41" i="129"/>
  <c r="E63" i="129"/>
  <c r="E18" i="129"/>
  <c r="E94" i="129"/>
  <c r="E93" i="129"/>
  <c r="E42" i="129"/>
  <c r="E46" i="129"/>
  <c r="E64" i="129"/>
  <c r="E77" i="129"/>
  <c r="E22" i="129"/>
  <c r="E88" i="129"/>
  <c r="E61" i="129"/>
  <c r="H89" i="163"/>
  <c r="F85" i="129"/>
  <c r="T85" i="129" s="1"/>
  <c r="F19" i="129"/>
  <c r="T19" i="129" s="1"/>
  <c r="F73" i="129"/>
  <c r="F38" i="129"/>
  <c r="F43" i="129"/>
  <c r="F11" i="129"/>
  <c r="F55" i="129"/>
  <c r="F60" i="129"/>
  <c r="F29" i="129"/>
  <c r="F47" i="129"/>
  <c r="F104" i="129"/>
  <c r="F28" i="129"/>
  <c r="F101" i="129"/>
  <c r="F53" i="129"/>
  <c r="F102" i="129"/>
  <c r="F66" i="129"/>
  <c r="F16" i="129"/>
  <c r="F15" i="129"/>
  <c r="F67" i="129"/>
  <c r="F62" i="129"/>
  <c r="F79" i="129"/>
  <c r="F105" i="129"/>
  <c r="F98" i="129"/>
  <c r="F32" i="129"/>
  <c r="F76" i="129"/>
  <c r="F35" i="129"/>
  <c r="F52" i="129"/>
  <c r="F103" i="129"/>
  <c r="F84" i="129"/>
  <c r="F56" i="129"/>
  <c r="F87" i="129"/>
  <c r="F48" i="129"/>
  <c r="F81" i="129"/>
  <c r="F54" i="129"/>
  <c r="F100" i="129"/>
  <c r="F82" i="129"/>
  <c r="F96" i="129"/>
  <c r="F89" i="129"/>
  <c r="F72" i="129"/>
  <c r="F30" i="129"/>
  <c r="F97" i="129"/>
  <c r="F6" i="129"/>
  <c r="F45" i="129"/>
  <c r="F83" i="129"/>
  <c r="F80" i="129"/>
  <c r="F36" i="129"/>
  <c r="F24" i="129"/>
  <c r="F37" i="129"/>
  <c r="F75" i="129"/>
  <c r="F74" i="129"/>
  <c r="F31" i="129"/>
  <c r="F23" i="129"/>
  <c r="F33" i="129"/>
  <c r="F95" i="129"/>
  <c r="F68" i="129"/>
  <c r="F12" i="129"/>
  <c r="F69" i="129"/>
  <c r="F93" i="129"/>
  <c r="F42" i="129"/>
  <c r="F17" i="129"/>
  <c r="F90" i="129"/>
  <c r="F91" i="129"/>
  <c r="F40" i="129"/>
  <c r="F41" i="129"/>
  <c r="F94" i="129"/>
  <c r="F18" i="129"/>
  <c r="F63" i="129"/>
  <c r="F64" i="129"/>
  <c r="F77" i="129"/>
  <c r="F22" i="129"/>
  <c r="F88" i="129"/>
  <c r="F46" i="129"/>
  <c r="F61" i="129"/>
  <c r="F70" i="129"/>
  <c r="F137" i="639"/>
  <c r="F137" i="211"/>
  <c r="G129" i="639"/>
  <c r="G129" i="211"/>
  <c r="H97" i="472"/>
  <c r="E138" i="639"/>
  <c r="E136" i="639" s="1"/>
  <c r="E160" i="639" s="1"/>
  <c r="E138" i="211"/>
  <c r="E136" i="211" s="1"/>
  <c r="L123" i="130"/>
  <c r="E125" i="473"/>
  <c r="E123" i="211"/>
  <c r="I19" i="129"/>
  <c r="W19" i="129" s="1"/>
  <c r="I85" i="129"/>
  <c r="W85" i="129" s="1"/>
  <c r="I29" i="129"/>
  <c r="I103" i="129"/>
  <c r="I84" i="129"/>
  <c r="I45" i="129"/>
  <c r="I95" i="129"/>
  <c r="I81" i="129"/>
  <c r="I23" i="129"/>
  <c r="I52" i="129"/>
  <c r="I16" i="129"/>
  <c r="I89" i="129"/>
  <c r="I38" i="129"/>
  <c r="I100" i="129"/>
  <c r="I33" i="129"/>
  <c r="I6" i="129"/>
  <c r="I66" i="129"/>
  <c r="I72" i="129"/>
  <c r="I54" i="129"/>
  <c r="I69" i="129"/>
  <c r="I73" i="129"/>
  <c r="I11" i="129"/>
  <c r="I83" i="129"/>
  <c r="I80" i="129"/>
  <c r="I76" i="129"/>
  <c r="I67" i="129"/>
  <c r="I35" i="129"/>
  <c r="I98" i="129"/>
  <c r="I55" i="129"/>
  <c r="I37" i="129"/>
  <c r="I60" i="129"/>
  <c r="I75" i="129"/>
  <c r="I36" i="129"/>
  <c r="I104" i="129"/>
  <c r="I56" i="129"/>
  <c r="I48" i="129"/>
  <c r="I96" i="129"/>
  <c r="I47" i="129"/>
  <c r="I28" i="129"/>
  <c r="I105" i="129"/>
  <c r="I82" i="129"/>
  <c r="I97" i="129"/>
  <c r="I31" i="129"/>
  <c r="I30" i="129"/>
  <c r="I24" i="129"/>
  <c r="I68" i="129"/>
  <c r="I12" i="129"/>
  <c r="I53" i="129"/>
  <c r="I102" i="129"/>
  <c r="I43" i="129"/>
  <c r="I15" i="129"/>
  <c r="I62" i="129"/>
  <c r="I79" i="129"/>
  <c r="I74" i="129"/>
  <c r="I87" i="129"/>
  <c r="I32" i="129"/>
  <c r="I101" i="129"/>
  <c r="I90" i="129"/>
  <c r="I40" i="129"/>
  <c r="I41" i="129"/>
  <c r="I18" i="129"/>
  <c r="I94" i="129"/>
  <c r="I17" i="129"/>
  <c r="I64" i="129"/>
  <c r="I91" i="129"/>
  <c r="I77" i="129"/>
  <c r="I63" i="129"/>
  <c r="I46" i="129"/>
  <c r="I93" i="129"/>
  <c r="I61" i="129"/>
  <c r="I70" i="129"/>
  <c r="I42" i="129"/>
  <c r="I88" i="129"/>
  <c r="I22" i="129"/>
  <c r="E118" i="639"/>
  <c r="E116" i="639" s="1"/>
  <c r="E164" i="639" s="1"/>
  <c r="E118" i="211"/>
  <c r="E116" i="211" s="1"/>
  <c r="E164" i="211" s="1"/>
  <c r="E128" i="639"/>
  <c r="E127" i="639" s="1"/>
  <c r="E162" i="639" s="1"/>
  <c r="E128" i="211"/>
  <c r="E127" i="211" s="1"/>
  <c r="E162" i="211" s="1"/>
  <c r="F117" i="473"/>
  <c r="F166" i="473" s="1"/>
  <c r="F115" i="211"/>
  <c r="F165" i="211" s="1"/>
  <c r="H104" i="472"/>
  <c r="G19" i="129"/>
  <c r="U19" i="129" s="1"/>
  <c r="G85" i="129"/>
  <c r="U85" i="129" s="1"/>
  <c r="G53" i="129"/>
  <c r="G102" i="129"/>
  <c r="G15" i="129"/>
  <c r="G79" i="129"/>
  <c r="G105" i="129"/>
  <c r="G82" i="129"/>
  <c r="G98" i="129"/>
  <c r="G74" i="129"/>
  <c r="G32" i="129"/>
  <c r="G81" i="129"/>
  <c r="G56" i="129"/>
  <c r="G54" i="129"/>
  <c r="G12" i="129"/>
  <c r="G76" i="129"/>
  <c r="G35" i="129"/>
  <c r="G103" i="129"/>
  <c r="G84" i="129"/>
  <c r="G67" i="129"/>
  <c r="G38" i="129"/>
  <c r="G31" i="129"/>
  <c r="G73" i="129"/>
  <c r="G36" i="129"/>
  <c r="G52" i="129"/>
  <c r="G16" i="129"/>
  <c r="G89" i="129"/>
  <c r="G72" i="129"/>
  <c r="G97" i="129"/>
  <c r="G6" i="129"/>
  <c r="G45" i="129"/>
  <c r="G100" i="129"/>
  <c r="G83" i="129"/>
  <c r="G80" i="129"/>
  <c r="G24" i="129"/>
  <c r="G37" i="129"/>
  <c r="G75" i="129"/>
  <c r="G104" i="129"/>
  <c r="G55" i="129"/>
  <c r="G60" i="129"/>
  <c r="G48" i="129"/>
  <c r="G96" i="129"/>
  <c r="G47" i="129"/>
  <c r="G28" i="129"/>
  <c r="G87" i="129"/>
  <c r="G23" i="129"/>
  <c r="G62" i="129"/>
  <c r="G66" i="129"/>
  <c r="G33" i="129"/>
  <c r="G30" i="129"/>
  <c r="G95" i="129"/>
  <c r="G68" i="129"/>
  <c r="G101" i="129"/>
  <c r="G69" i="129"/>
  <c r="G29" i="129"/>
  <c r="G43" i="129"/>
  <c r="G11" i="129"/>
  <c r="G90" i="129"/>
  <c r="G41" i="129"/>
  <c r="G61" i="129"/>
  <c r="G18" i="129"/>
  <c r="G94" i="129"/>
  <c r="G77" i="129"/>
  <c r="G63" i="129"/>
  <c r="G64" i="129"/>
  <c r="G91" i="129"/>
  <c r="G17" i="129"/>
  <c r="G88" i="129"/>
  <c r="G46" i="129"/>
  <c r="G22" i="129"/>
  <c r="G70" i="129"/>
  <c r="G93" i="129"/>
  <c r="G40" i="129"/>
  <c r="G42" i="129"/>
  <c r="E133" i="742"/>
  <c r="E158" i="742" s="1"/>
  <c r="E135" i="163"/>
  <c r="E160" i="163" s="1"/>
  <c r="F53" i="81"/>
  <c r="D53" i="81"/>
  <c r="I53" i="81"/>
  <c r="H53" i="81"/>
  <c r="G53" i="81"/>
  <c r="E53" i="81"/>
  <c r="J58" i="130"/>
  <c r="H55" i="81"/>
  <c r="D55" i="81"/>
  <c r="I55" i="81"/>
  <c r="G55" i="81"/>
  <c r="F55" i="81"/>
  <c r="E55" i="81"/>
  <c r="D358" i="813"/>
  <c r="D348" i="815"/>
  <c r="D346" i="815" s="1"/>
  <c r="J349" i="815"/>
  <c r="D366" i="813"/>
  <c r="D364" i="813" s="1"/>
  <c r="E365" i="814"/>
  <c r="E365" i="813"/>
  <c r="E365" i="815"/>
  <c r="D358" i="815"/>
  <c r="D348" i="814"/>
  <c r="J349" i="814"/>
  <c r="F360" i="814"/>
  <c r="F360" i="815"/>
  <c r="F360" i="813"/>
  <c r="D358" i="814"/>
  <c r="J349" i="813"/>
  <c r="D348" i="813"/>
  <c r="D346" i="813" s="1"/>
  <c r="D366" i="814"/>
  <c r="D364" i="814" s="1"/>
  <c r="D353" i="815"/>
  <c r="E367" i="813"/>
  <c r="E367" i="814"/>
  <c r="E367" i="815"/>
  <c r="D353" i="813"/>
  <c r="D366" i="815"/>
  <c r="D353" i="814"/>
  <c r="L32" i="131"/>
  <c r="K32" i="131" s="1"/>
  <c r="D136" i="163"/>
  <c r="D159" i="163" s="1"/>
  <c r="D127" i="163"/>
  <c r="D161" i="163" s="1"/>
  <c r="J117" i="163"/>
  <c r="V164" i="129"/>
  <c r="V113" i="129"/>
  <c r="D358" i="202"/>
  <c r="D352" i="202" s="1"/>
  <c r="D366" i="502"/>
  <c r="D364" i="502" s="1"/>
  <c r="D366" i="202"/>
  <c r="D364" i="202" s="1"/>
  <c r="D366" i="200"/>
  <c r="D364" i="200" s="1"/>
  <c r="D366" i="508"/>
  <c r="D364" i="508" s="1"/>
  <c r="D348" i="502"/>
  <c r="D346" i="502" s="1"/>
  <c r="J349" i="502"/>
  <c r="D348" i="200"/>
  <c r="D346" i="200" s="1"/>
  <c r="J349" i="200"/>
  <c r="D348" i="508"/>
  <c r="D346" i="508" s="1"/>
  <c r="J349" i="508"/>
  <c r="J349" i="202"/>
  <c r="D348" i="202"/>
  <c r="D346" i="202" s="1"/>
  <c r="E345" i="657"/>
  <c r="E219" i="657"/>
  <c r="E124" i="657"/>
  <c r="E314" i="657"/>
  <c r="E314" i="654"/>
  <c r="E345" i="654"/>
  <c r="E219" i="654"/>
  <c r="E124" i="654"/>
  <c r="D124" i="657"/>
  <c r="D314" i="657"/>
  <c r="D345" i="657"/>
  <c r="D219" i="657"/>
  <c r="D124" i="654"/>
  <c r="D314" i="654"/>
  <c r="D345" i="654"/>
  <c r="D219" i="654"/>
  <c r="D358" i="502"/>
  <c r="D352" i="502" s="1"/>
  <c r="D358" i="200"/>
  <c r="D352" i="200" s="1"/>
  <c r="D358" i="508"/>
  <c r="D352" i="508" s="1"/>
  <c r="E365" i="200"/>
  <c r="E393" i="200" s="1"/>
  <c r="E414" i="200" s="1"/>
  <c r="E365" i="202"/>
  <c r="E393" i="202" s="1"/>
  <c r="E414" i="202" s="1"/>
  <c r="E365" i="508"/>
  <c r="E365" i="502"/>
  <c r="F360" i="200"/>
  <c r="F360" i="202"/>
  <c r="F360" i="508"/>
  <c r="F360" i="502"/>
  <c r="E367" i="508"/>
  <c r="E367" i="502"/>
  <c r="E367" i="200"/>
  <c r="E367" i="202"/>
  <c r="J451" i="657"/>
  <c r="J452" i="657"/>
  <c r="J453" i="657"/>
  <c r="F31" i="445"/>
  <c r="H31" i="445"/>
  <c r="G31" i="445"/>
  <c r="G116" i="445" s="1"/>
  <c r="D31" i="445"/>
  <c r="E31" i="445"/>
  <c r="D162" i="163"/>
  <c r="E124" i="658"/>
  <c r="E219" i="658"/>
  <c r="E345" i="658"/>
  <c r="E314" i="658"/>
  <c r="T126" i="120"/>
  <c r="D219" i="658"/>
  <c r="D124" i="658"/>
  <c r="D345" i="658"/>
  <c r="D314" i="658"/>
  <c r="D5" i="81"/>
  <c r="D92" i="81"/>
  <c r="D39" i="81"/>
  <c r="D44" i="81"/>
  <c r="D86" i="81"/>
  <c r="D71" i="81"/>
  <c r="D65" i="81"/>
  <c r="D27" i="81"/>
  <c r="D34" i="81"/>
  <c r="D14" i="81"/>
  <c r="G37" i="113"/>
  <c r="D125" i="742"/>
  <c r="D134" i="742"/>
  <c r="D115" i="742"/>
  <c r="J116" i="742"/>
  <c r="D160" i="742"/>
  <c r="F71" i="743"/>
  <c r="D134" i="639"/>
  <c r="D160" i="639"/>
  <c r="D114" i="211"/>
  <c r="D164" i="211"/>
  <c r="D134" i="211"/>
  <c r="D160" i="211"/>
  <c r="E26" i="40"/>
  <c r="I23" i="81"/>
  <c r="H23" i="81"/>
  <c r="H36" i="158" s="1"/>
  <c r="G23" i="81"/>
  <c r="F23" i="81"/>
  <c r="E23" i="81"/>
  <c r="E36" i="158" s="1"/>
  <c r="D23" i="81"/>
  <c r="I12" i="81"/>
  <c r="H12" i="81"/>
  <c r="H26" i="158" s="1"/>
  <c r="G12" i="81"/>
  <c r="F12" i="81"/>
  <c r="E12" i="81"/>
  <c r="D12" i="81"/>
  <c r="G11" i="81"/>
  <c r="G25" i="158" s="1"/>
  <c r="F11" i="81"/>
  <c r="E11" i="81"/>
  <c r="D11" i="81"/>
  <c r="I11" i="81"/>
  <c r="H11" i="81"/>
  <c r="H25" i="158" s="1"/>
  <c r="I24" i="81"/>
  <c r="H24" i="81"/>
  <c r="H37" i="158" s="1"/>
  <c r="G24" i="81"/>
  <c r="F24" i="81"/>
  <c r="E24" i="81"/>
  <c r="D24" i="81"/>
  <c r="I22" i="81"/>
  <c r="H22" i="81"/>
  <c r="H35" i="158" s="1"/>
  <c r="G22" i="81"/>
  <c r="F22" i="81"/>
  <c r="E22" i="81"/>
  <c r="D22" i="81"/>
  <c r="H128" i="445"/>
  <c r="H21" i="445"/>
  <c r="F128" i="445"/>
  <c r="F21" i="445"/>
  <c r="E128" i="445"/>
  <c r="E21" i="445"/>
  <c r="J190" i="120"/>
  <c r="D395" i="508"/>
  <c r="D416" i="508" s="1"/>
  <c r="D393" i="502"/>
  <c r="D414" i="502" s="1"/>
  <c r="D393" i="508"/>
  <c r="D414" i="508" s="1"/>
  <c r="D395" i="502"/>
  <c r="D416" i="502" s="1"/>
  <c r="D395" i="200"/>
  <c r="D416" i="200" s="1"/>
  <c r="D418" i="200"/>
  <c r="D418" i="502"/>
  <c r="D414" i="200"/>
  <c r="J186" i="120"/>
  <c r="D435" i="200"/>
  <c r="J438" i="502"/>
  <c r="J398" i="200"/>
  <c r="J439" i="200"/>
  <c r="D433" i="200"/>
  <c r="D419" i="200"/>
  <c r="J434" i="200"/>
  <c r="D437" i="508"/>
  <c r="D437" i="502"/>
  <c r="J438" i="200"/>
  <c r="J438" i="508"/>
  <c r="D437" i="200"/>
  <c r="D418" i="508"/>
  <c r="I16" i="445"/>
  <c r="I3" i="445" s="1"/>
  <c r="K113" i="120"/>
  <c r="E408" i="657"/>
  <c r="E422" i="657"/>
  <c r="H38" i="127"/>
  <c r="H41" i="127" s="1"/>
  <c r="D427" i="657"/>
  <c r="F412" i="657"/>
  <c r="D412" i="657"/>
  <c r="E412" i="657"/>
  <c r="D408" i="657"/>
  <c r="F115" i="639"/>
  <c r="F165" i="639" s="1"/>
  <c r="E123" i="639"/>
  <c r="E122" i="639" s="1"/>
  <c r="E163" i="639" s="1"/>
  <c r="E115" i="639"/>
  <c r="E165" i="639" s="1"/>
  <c r="F135" i="639"/>
  <c r="F161" i="639" s="1"/>
  <c r="F408" i="657"/>
  <c r="E427" i="657"/>
  <c r="F427" i="657"/>
  <c r="F410" i="657"/>
  <c r="F422" i="657"/>
  <c r="E410" i="657"/>
  <c r="D422" i="657"/>
  <c r="D410" i="657"/>
  <c r="G410" i="657"/>
  <c r="G412" i="657"/>
  <c r="G408" i="657"/>
  <c r="G429" i="657"/>
  <c r="J429" i="657"/>
  <c r="G423" i="657"/>
  <c r="J423" i="657"/>
  <c r="J432" i="657"/>
  <c r="J391" i="657"/>
  <c r="J430" i="657"/>
  <c r="J389" i="657"/>
  <c r="G425" i="657"/>
  <c r="J425" i="657"/>
  <c r="J428" i="657"/>
  <c r="J387" i="657"/>
  <c r="G427" i="657"/>
  <c r="G422" i="657"/>
  <c r="G424" i="657"/>
  <c r="J424" i="657"/>
  <c r="U137" i="129"/>
  <c r="V116" i="129"/>
  <c r="D214" i="81"/>
  <c r="D213" i="81"/>
  <c r="D414" i="202"/>
  <c r="D416" i="202"/>
  <c r="D394" i="202"/>
  <c r="D418" i="202"/>
  <c r="J434" i="202"/>
  <c r="J438" i="202"/>
  <c r="D435" i="202"/>
  <c r="D419" i="202"/>
  <c r="D433" i="202"/>
  <c r="D437" i="202"/>
  <c r="J439" i="202"/>
  <c r="J398" i="202"/>
  <c r="D114" i="130"/>
  <c r="D118" i="473"/>
  <c r="D116" i="473" s="1"/>
  <c r="J154" i="81"/>
  <c r="D137" i="473"/>
  <c r="D135" i="473" s="1"/>
  <c r="P119" i="459"/>
  <c r="T124" i="129"/>
  <c r="T123" i="129"/>
  <c r="U21" i="485"/>
  <c r="S146" i="130"/>
  <c r="E179" i="130" s="1"/>
  <c r="J119" i="473"/>
  <c r="D129" i="473"/>
  <c r="D123" i="473" s="1"/>
  <c r="U158" i="129"/>
  <c r="P158" i="129"/>
  <c r="T113" i="120"/>
  <c r="W158" i="129"/>
  <c r="V158" i="129"/>
  <c r="O158" i="129"/>
  <c r="R113" i="120"/>
  <c r="H121" i="158"/>
  <c r="H143" i="158" s="1"/>
  <c r="E121" i="158"/>
  <c r="E143" i="158" s="1"/>
  <c r="Q25" i="112"/>
  <c r="E160" i="158"/>
  <c r="J116" i="158"/>
  <c r="G121" i="158"/>
  <c r="G143" i="158" s="1"/>
  <c r="D121" i="211"/>
  <c r="J127" i="158"/>
  <c r="J122" i="158"/>
  <c r="D121" i="158"/>
  <c r="D114" i="158"/>
  <c r="I121" i="158"/>
  <c r="I143" i="158" s="1"/>
  <c r="J136" i="158"/>
  <c r="F121" i="158"/>
  <c r="F143" i="158" s="1"/>
  <c r="J134" i="158"/>
  <c r="T136" i="130"/>
  <c r="T135" i="130" s="1"/>
  <c r="M136" i="130"/>
  <c r="U115" i="130"/>
  <c r="U114" i="130" s="1"/>
  <c r="T115" i="130"/>
  <c r="T114" i="130" s="1"/>
  <c r="M115" i="130"/>
  <c r="J122" i="129"/>
  <c r="D164" i="473"/>
  <c r="V113" i="130"/>
  <c r="D114" i="203"/>
  <c r="R164" i="129"/>
  <c r="V115" i="129"/>
  <c r="W113" i="129"/>
  <c r="U136" i="129"/>
  <c r="S164" i="129"/>
  <c r="S113" i="129"/>
  <c r="G101" i="62"/>
  <c r="G102" i="62"/>
  <c r="L117" i="130"/>
  <c r="L128" i="130"/>
  <c r="E136" i="130"/>
  <c r="E217" i="130" s="1"/>
  <c r="K146" i="130"/>
  <c r="E116" i="130"/>
  <c r="L115" i="130"/>
  <c r="R146" i="130"/>
  <c r="D179" i="130" s="1"/>
  <c r="J114" i="129"/>
  <c r="L139" i="130"/>
  <c r="X120" i="120"/>
  <c r="W164" i="129"/>
  <c r="R113" i="129"/>
  <c r="O27" i="62"/>
  <c r="Q27" i="62"/>
  <c r="H121" i="445"/>
  <c r="G40" i="113"/>
  <c r="H49" i="113"/>
  <c r="H16" i="113" s="1"/>
  <c r="I49" i="113" s="1"/>
  <c r="I16" i="113" s="1"/>
  <c r="J49" i="113" s="1"/>
  <c r="G36" i="113"/>
  <c r="G38" i="113"/>
  <c r="H38" i="113"/>
  <c r="H126" i="445"/>
  <c r="G9" i="70"/>
  <c r="G29" i="70"/>
  <c r="G20" i="70" s="1"/>
  <c r="E198" i="120"/>
  <c r="J198" i="120"/>
  <c r="H76" i="113"/>
  <c r="I76" i="113"/>
  <c r="I66" i="113"/>
  <c r="G121" i="445"/>
  <c r="J196" i="120"/>
  <c r="D81" i="81"/>
  <c r="G81" i="81"/>
  <c r="H81" i="81"/>
  <c r="H84" i="158" s="1"/>
  <c r="I81" i="81"/>
  <c r="E81" i="81"/>
  <c r="F81" i="81"/>
  <c r="I456" i="128"/>
  <c r="H386" i="127" s="1"/>
  <c r="P126" i="459"/>
  <c r="P127" i="459"/>
  <c r="P134" i="459"/>
  <c r="P131" i="459"/>
  <c r="P122" i="459"/>
  <c r="P133" i="459"/>
  <c r="P125" i="459"/>
  <c r="P123" i="459"/>
  <c r="P121" i="459"/>
  <c r="P130" i="459"/>
  <c r="P128" i="459"/>
  <c r="P139" i="459"/>
  <c r="P137" i="459"/>
  <c r="P132" i="459"/>
  <c r="O150" i="459"/>
  <c r="P135" i="459"/>
  <c r="P120" i="459"/>
  <c r="P124" i="459"/>
  <c r="P136" i="459"/>
  <c r="P138" i="459"/>
  <c r="P129" i="459"/>
  <c r="I28" i="315"/>
  <c r="I38" i="315" s="1"/>
  <c r="D164" i="158"/>
  <c r="F196" i="120"/>
  <c r="F203" i="120" s="1"/>
  <c r="J200" i="120"/>
  <c r="E196" i="120"/>
  <c r="E164" i="158"/>
  <c r="D160" i="158"/>
  <c r="D159" i="203"/>
  <c r="F17" i="62"/>
  <c r="P17" i="62" s="1"/>
  <c r="G15" i="62"/>
  <c r="F67" i="62"/>
  <c r="G103" i="81"/>
  <c r="H103" i="81"/>
  <c r="E103" i="81"/>
  <c r="F103" i="81"/>
  <c r="I103" i="81"/>
  <c r="I43" i="81"/>
  <c r="H43" i="81"/>
  <c r="H54" i="158" s="1"/>
  <c r="G43" i="81"/>
  <c r="E43" i="81"/>
  <c r="F43" i="81"/>
  <c r="E104" i="81"/>
  <c r="G104" i="81"/>
  <c r="H104" i="81"/>
  <c r="I104" i="81"/>
  <c r="F104" i="81"/>
  <c r="F33" i="81"/>
  <c r="I33" i="81"/>
  <c r="G33" i="81"/>
  <c r="E33" i="81"/>
  <c r="H33" i="81"/>
  <c r="H44" i="158" s="1"/>
  <c r="E105" i="81"/>
  <c r="H105" i="81"/>
  <c r="F105" i="81"/>
  <c r="I105" i="81"/>
  <c r="D105" i="81"/>
  <c r="G105" i="81"/>
  <c r="I30" i="81"/>
  <c r="F30" i="81"/>
  <c r="H30" i="81"/>
  <c r="H41" i="158" s="1"/>
  <c r="G30" i="81"/>
  <c r="E30" i="81"/>
  <c r="G96" i="81"/>
  <c r="E96" i="81"/>
  <c r="H96" i="81"/>
  <c r="I96" i="81"/>
  <c r="F96" i="81"/>
  <c r="E79" i="81"/>
  <c r="I79" i="81"/>
  <c r="H79" i="81"/>
  <c r="H82" i="158" s="1"/>
  <c r="G79" i="81"/>
  <c r="F79" i="81"/>
  <c r="H93" i="81"/>
  <c r="G93" i="81"/>
  <c r="E93" i="81"/>
  <c r="I93" i="81"/>
  <c r="F93" i="81"/>
  <c r="F98" i="81"/>
  <c r="E98" i="81"/>
  <c r="I98" i="81"/>
  <c r="G98" i="81"/>
  <c r="H98" i="81"/>
  <c r="H47" i="81"/>
  <c r="H58" i="158" s="1"/>
  <c r="E47" i="81"/>
  <c r="F47" i="81"/>
  <c r="F58" i="158" s="1"/>
  <c r="G47" i="81"/>
  <c r="I47" i="81"/>
  <c r="I58" i="158" s="1"/>
  <c r="E41" i="81"/>
  <c r="F41" i="81"/>
  <c r="G41" i="81"/>
  <c r="I41" i="81"/>
  <c r="H41" i="81"/>
  <c r="H52" i="158" s="1"/>
  <c r="F90" i="81"/>
  <c r="E90" i="81"/>
  <c r="H90" i="81"/>
  <c r="I90" i="81"/>
  <c r="G90" i="81"/>
  <c r="G18" i="81"/>
  <c r="H18" i="81"/>
  <c r="H31" i="158" s="1"/>
  <c r="E18" i="81"/>
  <c r="I18" i="81"/>
  <c r="F18" i="81"/>
  <c r="F46" i="81"/>
  <c r="G46" i="81"/>
  <c r="H46" i="81"/>
  <c r="H57" i="158" s="1"/>
  <c r="I46" i="81"/>
  <c r="E46" i="81"/>
  <c r="E57" i="158" s="1"/>
  <c r="I68" i="81"/>
  <c r="F68" i="81"/>
  <c r="H68" i="81"/>
  <c r="H71" i="158" s="1"/>
  <c r="G68" i="81"/>
  <c r="E68" i="81"/>
  <c r="E82" i="81"/>
  <c r="E85" i="158" s="1"/>
  <c r="G82" i="81"/>
  <c r="F82" i="81"/>
  <c r="H82" i="81"/>
  <c r="H85" i="158" s="1"/>
  <c r="I82" i="81"/>
  <c r="G102" i="81"/>
  <c r="E102" i="81"/>
  <c r="H102" i="81"/>
  <c r="I102" i="81"/>
  <c r="F102" i="81"/>
  <c r="H95" i="81"/>
  <c r="F95" i="81"/>
  <c r="G95" i="81"/>
  <c r="I95" i="81"/>
  <c r="E95" i="81"/>
  <c r="F73" i="81"/>
  <c r="I73" i="81"/>
  <c r="H73" i="81"/>
  <c r="H76" i="158" s="1"/>
  <c r="E73" i="81"/>
  <c r="G73" i="81"/>
  <c r="I83" i="81"/>
  <c r="H83" i="81"/>
  <c r="H86" i="158" s="1"/>
  <c r="G83" i="81"/>
  <c r="E83" i="81"/>
  <c r="F83" i="81"/>
  <c r="E45" i="81"/>
  <c r="I45" i="81"/>
  <c r="H45" i="81"/>
  <c r="H56" i="158" s="1"/>
  <c r="F45" i="81"/>
  <c r="F56" i="158" s="1"/>
  <c r="G45" i="81"/>
  <c r="I87" i="81"/>
  <c r="E87" i="81"/>
  <c r="H87" i="81"/>
  <c r="G87" i="81"/>
  <c r="F87" i="81"/>
  <c r="G37" i="81"/>
  <c r="I37" i="81"/>
  <c r="E37" i="81"/>
  <c r="H37" i="81"/>
  <c r="H48" i="158" s="1"/>
  <c r="F37" i="81"/>
  <c r="I77" i="81"/>
  <c r="G77" i="81"/>
  <c r="F77" i="81"/>
  <c r="H77" i="81"/>
  <c r="H80" i="158" s="1"/>
  <c r="E77" i="81"/>
  <c r="F42" i="81"/>
  <c r="F53" i="158" s="1"/>
  <c r="G42" i="81"/>
  <c r="I42" i="81"/>
  <c r="H42" i="81"/>
  <c r="H53" i="158" s="1"/>
  <c r="E42" i="81"/>
  <c r="F15" i="81"/>
  <c r="G15" i="81"/>
  <c r="G28" i="158" s="1"/>
  <c r="H15" i="81"/>
  <c r="H28" i="158" s="1"/>
  <c r="I15" i="81"/>
  <c r="E15" i="81"/>
  <c r="G91" i="81"/>
  <c r="E91" i="81"/>
  <c r="I91" i="81"/>
  <c r="H91" i="81"/>
  <c r="F91" i="81"/>
  <c r="I66" i="81"/>
  <c r="F66" i="81"/>
  <c r="H66" i="81"/>
  <c r="H69" i="158" s="1"/>
  <c r="E66" i="81"/>
  <c r="G66" i="81"/>
  <c r="F69" i="81"/>
  <c r="G69" i="81"/>
  <c r="E69" i="81"/>
  <c r="E72" i="158" s="1"/>
  <c r="H69" i="81"/>
  <c r="H72" i="158" s="1"/>
  <c r="I69" i="81"/>
  <c r="G72" i="81"/>
  <c r="I72" i="81"/>
  <c r="H72" i="81"/>
  <c r="H75" i="158" s="1"/>
  <c r="F72" i="81"/>
  <c r="E72" i="81"/>
  <c r="H75" i="81"/>
  <c r="H78" i="158" s="1"/>
  <c r="I75" i="81"/>
  <c r="F75" i="81"/>
  <c r="E75" i="81"/>
  <c r="E78" i="158" s="1"/>
  <c r="G75" i="81"/>
  <c r="G78" i="158" s="1"/>
  <c r="H16" i="81"/>
  <c r="H29" i="158" s="1"/>
  <c r="G16" i="81"/>
  <c r="F16" i="81"/>
  <c r="E16" i="81"/>
  <c r="I16" i="81"/>
  <c r="G32" i="81"/>
  <c r="F32" i="81"/>
  <c r="E32" i="81"/>
  <c r="E43" i="158" s="1"/>
  <c r="I32" i="81"/>
  <c r="H32" i="81"/>
  <c r="H43" i="158" s="1"/>
  <c r="I80" i="81"/>
  <c r="F80" i="81"/>
  <c r="E80" i="81"/>
  <c r="G80" i="81"/>
  <c r="H80" i="81"/>
  <c r="H83" i="158" s="1"/>
  <c r="H89" i="81"/>
  <c r="E89" i="81"/>
  <c r="G89" i="81"/>
  <c r="I89" i="81"/>
  <c r="F89" i="81"/>
  <c r="I67" i="81"/>
  <c r="G67" i="81"/>
  <c r="E67" i="81"/>
  <c r="H67" i="81"/>
  <c r="H70" i="158" s="1"/>
  <c r="F67" i="81"/>
  <c r="I100" i="81"/>
  <c r="E100" i="81"/>
  <c r="F100" i="81"/>
  <c r="G100" i="81"/>
  <c r="H100" i="81"/>
  <c r="G36" i="81"/>
  <c r="H36" i="81"/>
  <c r="H47" i="158" s="1"/>
  <c r="I36" i="81"/>
  <c r="E36" i="81"/>
  <c r="E47" i="158" s="1"/>
  <c r="F36" i="81"/>
  <c r="F47" i="158" s="1"/>
  <c r="E101" i="81"/>
  <c r="F101" i="81"/>
  <c r="I101" i="81"/>
  <c r="G101" i="81"/>
  <c r="H101" i="81"/>
  <c r="H35" i="81"/>
  <c r="H46" i="158" s="1"/>
  <c r="G35" i="81"/>
  <c r="I35" i="81"/>
  <c r="F35" i="81"/>
  <c r="F46" i="158" s="1"/>
  <c r="E35" i="81"/>
  <c r="G70" i="81"/>
  <c r="H70" i="81"/>
  <c r="H73" i="158" s="1"/>
  <c r="E70" i="81"/>
  <c r="F70" i="81"/>
  <c r="F73" i="158" s="1"/>
  <c r="I70" i="81"/>
  <c r="G28" i="81"/>
  <c r="E28" i="81"/>
  <c r="I28" i="81"/>
  <c r="H28" i="81"/>
  <c r="H39" i="158" s="1"/>
  <c r="F28" i="81"/>
  <c r="G74" i="81"/>
  <c r="F74" i="81"/>
  <c r="I74" i="81"/>
  <c r="I77" i="158" s="1"/>
  <c r="H74" i="81"/>
  <c r="H77" i="158" s="1"/>
  <c r="E74" i="81"/>
  <c r="E77" i="158" s="1"/>
  <c r="F97" i="81"/>
  <c r="E97" i="81"/>
  <c r="H97" i="81"/>
  <c r="I97" i="81"/>
  <c r="G97" i="81"/>
  <c r="H84" i="81"/>
  <c r="H87" i="158" s="1"/>
  <c r="F84" i="81"/>
  <c r="G84" i="81"/>
  <c r="I84" i="81"/>
  <c r="E84" i="81"/>
  <c r="E48" i="81"/>
  <c r="F48" i="81"/>
  <c r="H48" i="81"/>
  <c r="H59" i="158" s="1"/>
  <c r="I48" i="81"/>
  <c r="G48" i="81"/>
  <c r="E29" i="81"/>
  <c r="H29" i="81"/>
  <c r="H40" i="158" s="1"/>
  <c r="G29" i="81"/>
  <c r="G40" i="158" s="1"/>
  <c r="F29" i="81"/>
  <c r="I29" i="81"/>
  <c r="F6" i="81"/>
  <c r="F20" i="158" s="1"/>
  <c r="G6" i="81"/>
  <c r="H6" i="81"/>
  <c r="H20" i="158" s="1"/>
  <c r="I6" i="81"/>
  <c r="E6" i="81"/>
  <c r="I17" i="81"/>
  <c r="G17" i="81"/>
  <c r="H17" i="81"/>
  <c r="H30" i="158" s="1"/>
  <c r="F17" i="81"/>
  <c r="E17" i="81"/>
  <c r="G31" i="81"/>
  <c r="H31" i="81"/>
  <c r="H42" i="158" s="1"/>
  <c r="I31" i="81"/>
  <c r="F31" i="81"/>
  <c r="E31" i="81"/>
  <c r="F38" i="81"/>
  <c r="I38" i="81"/>
  <c r="E38" i="81"/>
  <c r="E49" i="158" s="1"/>
  <c r="G38" i="81"/>
  <c r="G49" i="158" s="1"/>
  <c r="H38" i="81"/>
  <c r="H49" i="158" s="1"/>
  <c r="G94" i="81"/>
  <c r="E94" i="81"/>
  <c r="I94" i="81"/>
  <c r="H94" i="81"/>
  <c r="F94" i="81"/>
  <c r="H76" i="81"/>
  <c r="H79" i="158" s="1"/>
  <c r="F76" i="81"/>
  <c r="I76" i="81"/>
  <c r="E76" i="81"/>
  <c r="G76" i="81"/>
  <c r="F88" i="81"/>
  <c r="E88" i="81"/>
  <c r="I88" i="81"/>
  <c r="H88" i="81"/>
  <c r="G88" i="81"/>
  <c r="E40" i="81"/>
  <c r="G40" i="81"/>
  <c r="H40" i="81"/>
  <c r="H51" i="158" s="1"/>
  <c r="F40" i="81"/>
  <c r="I40" i="81"/>
  <c r="G128" i="445"/>
  <c r="H29" i="70"/>
  <c r="H20" i="70" s="1"/>
  <c r="H9" i="70"/>
  <c r="S4" i="120"/>
  <c r="Z4" i="120" s="1"/>
  <c r="L113" i="120"/>
  <c r="H456" i="128"/>
  <c r="G386" i="127" s="1"/>
  <c r="J456" i="128"/>
  <c r="I386" i="127" s="1"/>
  <c r="K456" i="128"/>
  <c r="J386" i="127" s="1"/>
  <c r="I20" i="113"/>
  <c r="J53" i="113" s="1"/>
  <c r="H40" i="113"/>
  <c r="M75" i="113"/>
  <c r="I19" i="113"/>
  <c r="J52" i="113" s="1"/>
  <c r="H39" i="113"/>
  <c r="H22" i="113"/>
  <c r="I55" i="113" s="1"/>
  <c r="G42" i="113"/>
  <c r="M72" i="113"/>
  <c r="F126" i="445"/>
  <c r="F121" i="445"/>
  <c r="T167" i="129"/>
  <c r="T172" i="129" s="1"/>
  <c r="F193" i="81"/>
  <c r="F161" i="158"/>
  <c r="F216" i="129"/>
  <c r="E165" i="203"/>
  <c r="E114" i="203"/>
  <c r="H165" i="203"/>
  <c r="J119" i="203"/>
  <c r="J165" i="203" s="1"/>
  <c r="U5" i="485" s="1"/>
  <c r="G216" i="129"/>
  <c r="G161" i="158"/>
  <c r="G160" i="203"/>
  <c r="E126" i="203"/>
  <c r="E161" i="158"/>
  <c r="E133" i="203"/>
  <c r="E160" i="203"/>
  <c r="F161" i="129"/>
  <c r="F18" i="75"/>
  <c r="I29" i="70"/>
  <c r="I20" i="70" s="1"/>
  <c r="I9" i="70"/>
  <c r="G28" i="62"/>
  <c r="F31" i="62"/>
  <c r="P31" i="62" s="1"/>
  <c r="G191" i="81"/>
  <c r="H194" i="81"/>
  <c r="I34" i="127"/>
  <c r="I18" i="113"/>
  <c r="J51" i="113" s="1"/>
  <c r="O161" i="129"/>
  <c r="O162" i="129" s="1"/>
  <c r="N137" i="130"/>
  <c r="M129" i="130"/>
  <c r="D126" i="445"/>
  <c r="E129" i="130"/>
  <c r="D128" i="445"/>
  <c r="H220" i="129"/>
  <c r="P6" i="62"/>
  <c r="U137" i="130"/>
  <c r="F137" i="130"/>
  <c r="N140" i="130"/>
  <c r="F219" i="129"/>
  <c r="E126" i="445"/>
  <c r="G161" i="129"/>
  <c r="G18" i="75"/>
  <c r="D122" i="445"/>
  <c r="G67" i="62"/>
  <c r="F140" i="130"/>
  <c r="O14" i="62"/>
  <c r="H37" i="70"/>
  <c r="K39" i="70"/>
  <c r="N39" i="70" s="1"/>
  <c r="G130" i="130"/>
  <c r="F135" i="203"/>
  <c r="F160" i="129"/>
  <c r="D121" i="445"/>
  <c r="M141" i="130"/>
  <c r="P130" i="130"/>
  <c r="O130" i="130"/>
  <c r="D121" i="203"/>
  <c r="D217" i="129"/>
  <c r="V116" i="130"/>
  <c r="G126" i="445"/>
  <c r="E121" i="445"/>
  <c r="E9" i="62"/>
  <c r="E141" i="130"/>
  <c r="H37" i="113"/>
  <c r="I161" i="129"/>
  <c r="G165" i="158"/>
  <c r="F116" i="130"/>
  <c r="M119" i="130"/>
  <c r="F218" i="129"/>
  <c r="D123" i="445"/>
  <c r="M124" i="130"/>
  <c r="K64" i="75"/>
  <c r="G164" i="203"/>
  <c r="N116" i="130"/>
  <c r="E119" i="130"/>
  <c r="E124" i="130"/>
  <c r="E7" i="40"/>
  <c r="H161" i="129"/>
  <c r="H18" i="75"/>
  <c r="G17" i="62"/>
  <c r="U124" i="130"/>
  <c r="U123" i="130" s="1"/>
  <c r="W11" i="129" l="1"/>
  <c r="T6" i="129"/>
  <c r="U55" i="129"/>
  <c r="S52" i="129"/>
  <c r="U22" i="129"/>
  <c r="S54" i="129"/>
  <c r="W56" i="129"/>
  <c r="W54" i="129"/>
  <c r="T55" i="129"/>
  <c r="T22" i="129"/>
  <c r="T11" i="129"/>
  <c r="S24" i="129"/>
  <c r="S56" i="129"/>
  <c r="U53" i="129"/>
  <c r="S22" i="129"/>
  <c r="U12" i="129"/>
  <c r="W53" i="129"/>
  <c r="W6" i="129"/>
  <c r="T23" i="129"/>
  <c r="U23" i="129"/>
  <c r="U6" i="129"/>
  <c r="U54" i="129"/>
  <c r="W12" i="129"/>
  <c r="S53" i="129"/>
  <c r="U56" i="129"/>
  <c r="T54" i="129"/>
  <c r="T52" i="129"/>
  <c r="W24" i="129"/>
  <c r="W55" i="129"/>
  <c r="S6" i="129"/>
  <c r="S55" i="129"/>
  <c r="E80" i="158"/>
  <c r="S11" i="129"/>
  <c r="W23" i="129"/>
  <c r="S12" i="129"/>
  <c r="T24" i="129"/>
  <c r="U24" i="129"/>
  <c r="T12" i="129"/>
  <c r="G37" i="158"/>
  <c r="I53" i="158"/>
  <c r="U11" i="129"/>
  <c r="U52" i="129"/>
  <c r="W22" i="129"/>
  <c r="W52" i="129"/>
  <c r="T56" i="129"/>
  <c r="T53" i="129"/>
  <c r="S23" i="129"/>
  <c r="D143" i="639"/>
  <c r="D114" i="163"/>
  <c r="I87" i="158"/>
  <c r="G48" i="158"/>
  <c r="I76" i="158"/>
  <c r="I82" i="158"/>
  <c r="F72" i="158"/>
  <c r="E69" i="158"/>
  <c r="F40" i="158"/>
  <c r="G70" i="158"/>
  <c r="E53" i="158"/>
  <c r="F36" i="158"/>
  <c r="G51" i="158"/>
  <c r="I70" i="158"/>
  <c r="E71" i="158"/>
  <c r="G87" i="158"/>
  <c r="G20" i="158"/>
  <c r="F76" i="158"/>
  <c r="I44" i="158"/>
  <c r="E82" i="158"/>
  <c r="G30" i="158"/>
  <c r="F43" i="158"/>
  <c r="F57" i="158"/>
  <c r="I72" i="158"/>
  <c r="G59" i="158"/>
  <c r="F41" i="158"/>
  <c r="I59" i="158"/>
  <c r="I57" i="158"/>
  <c r="I35" i="158"/>
  <c r="F85" i="158"/>
  <c r="G73" i="158"/>
  <c r="E41" i="158"/>
  <c r="E26" i="158"/>
  <c r="I47" i="158"/>
  <c r="F79" i="158"/>
  <c r="G69" i="158"/>
  <c r="F49" i="158"/>
  <c r="G57" i="158"/>
  <c r="F42" i="158"/>
  <c r="G83" i="158"/>
  <c r="I71" i="158"/>
  <c r="F80" i="158"/>
  <c r="F35" i="158"/>
  <c r="E30" i="158"/>
  <c r="G46" i="158"/>
  <c r="G80" i="158"/>
  <c r="E56" i="158"/>
  <c r="G35" i="158"/>
  <c r="F44" i="158"/>
  <c r="I69" i="158"/>
  <c r="E40" i="158"/>
  <c r="F70" i="158"/>
  <c r="F54" i="158"/>
  <c r="G79" i="158"/>
  <c r="G56" i="158"/>
  <c r="G26" i="158"/>
  <c r="G44" i="158"/>
  <c r="I78" i="158"/>
  <c r="F71" i="158"/>
  <c r="E70" i="158"/>
  <c r="G86" i="158"/>
  <c r="I30" i="158"/>
  <c r="E83" i="158"/>
  <c r="F82" i="158"/>
  <c r="E87" i="158"/>
  <c r="F31" i="158"/>
  <c r="I48" i="158"/>
  <c r="I54" i="158"/>
  <c r="I40" i="158"/>
  <c r="E75" i="158"/>
  <c r="E52" i="158"/>
  <c r="I20" i="158"/>
  <c r="E39" i="158"/>
  <c r="E31" i="158"/>
  <c r="E51" i="158"/>
  <c r="G39" i="158"/>
  <c r="F29" i="158"/>
  <c r="I49" i="158"/>
  <c r="E37" i="158"/>
  <c r="E73" i="158"/>
  <c r="F69" i="158"/>
  <c r="E20" i="158"/>
  <c r="F78" i="158"/>
  <c r="F84" i="158"/>
  <c r="E79" i="158"/>
  <c r="E46" i="158"/>
  <c r="G41" i="158"/>
  <c r="E84" i="158"/>
  <c r="I31" i="158"/>
  <c r="F77" i="158"/>
  <c r="I80" i="158"/>
  <c r="I75" i="158"/>
  <c r="G84" i="158"/>
  <c r="G75" i="158"/>
  <c r="E42" i="158"/>
  <c r="G47" i="158"/>
  <c r="F83" i="158"/>
  <c r="G42" i="158"/>
  <c r="I46" i="158"/>
  <c r="I83" i="158"/>
  <c r="I52" i="158"/>
  <c r="F37" i="158"/>
  <c r="I84" i="158"/>
  <c r="F75" i="158"/>
  <c r="G52" i="158"/>
  <c r="I41" i="158"/>
  <c r="I79" i="158"/>
  <c r="F30" i="158"/>
  <c r="I43" i="158"/>
  <c r="F86" i="158"/>
  <c r="F52" i="158"/>
  <c r="I42" i="158"/>
  <c r="F51" i="158"/>
  <c r="F39" i="158"/>
  <c r="E28" i="158"/>
  <c r="G82" i="158"/>
  <c r="G54" i="158"/>
  <c r="I51" i="158"/>
  <c r="F48" i="158"/>
  <c r="E86" i="158"/>
  <c r="G43" i="158"/>
  <c r="I36" i="158"/>
  <c r="I28" i="158"/>
  <c r="G58" i="158"/>
  <c r="I39" i="158"/>
  <c r="I29" i="158"/>
  <c r="I86" i="158"/>
  <c r="I85" i="158"/>
  <c r="F59" i="158"/>
  <c r="E54" i="158"/>
  <c r="E59" i="158"/>
  <c r="E29" i="158"/>
  <c r="G76" i="158"/>
  <c r="E58" i="158"/>
  <c r="E25" i="158"/>
  <c r="G77" i="158"/>
  <c r="E48" i="158"/>
  <c r="F87" i="158"/>
  <c r="I73" i="158"/>
  <c r="G29" i="158"/>
  <c r="G85" i="158"/>
  <c r="E35" i="158"/>
  <c r="F135" i="742"/>
  <c r="F137" i="163"/>
  <c r="F138" i="473"/>
  <c r="G135" i="211"/>
  <c r="G161" i="211" s="1"/>
  <c r="G136" i="473"/>
  <c r="G115" i="211"/>
  <c r="G165" i="211" s="1"/>
  <c r="G117" i="473"/>
  <c r="I66" i="158"/>
  <c r="I76" i="481"/>
  <c r="I76" i="480"/>
  <c r="I76" i="482"/>
  <c r="G298" i="502"/>
  <c r="G97" i="163"/>
  <c r="G97" i="211"/>
  <c r="G97" i="640"/>
  <c r="G99" i="473"/>
  <c r="G97" i="206"/>
  <c r="G97" i="639"/>
  <c r="G97" i="203"/>
  <c r="G99" i="472"/>
  <c r="G97" i="186"/>
  <c r="G97" i="158"/>
  <c r="G36" i="206"/>
  <c r="G36" i="203"/>
  <c r="G20" i="203"/>
  <c r="G20" i="206"/>
  <c r="G65" i="206"/>
  <c r="G65" i="203"/>
  <c r="G65" i="211"/>
  <c r="I64" i="203"/>
  <c r="I64" i="211"/>
  <c r="I64" i="206"/>
  <c r="I78" i="203"/>
  <c r="I80" i="473"/>
  <c r="I78" i="206"/>
  <c r="I78" i="163"/>
  <c r="I78" i="211"/>
  <c r="I20" i="206"/>
  <c r="I20" i="203"/>
  <c r="F42" i="206"/>
  <c r="F42" i="203"/>
  <c r="F304" i="502"/>
  <c r="F103" i="163"/>
  <c r="F103" i="203"/>
  <c r="F103" i="639"/>
  <c r="F105" i="473"/>
  <c r="F103" i="211"/>
  <c r="F103" i="640"/>
  <c r="F103" i="206"/>
  <c r="F103" i="186"/>
  <c r="F105" i="472"/>
  <c r="F103" i="158"/>
  <c r="F70" i="203"/>
  <c r="F72" i="473"/>
  <c r="F70" i="206"/>
  <c r="F70" i="163"/>
  <c r="F70" i="211"/>
  <c r="F76" i="211"/>
  <c r="F76" i="206"/>
  <c r="F78" i="473"/>
  <c r="F76" i="203"/>
  <c r="F76" i="163"/>
  <c r="E298" i="502"/>
  <c r="E97" i="640"/>
  <c r="E97" i="163"/>
  <c r="E97" i="206"/>
  <c r="E97" i="203"/>
  <c r="E97" i="211"/>
  <c r="E99" i="473"/>
  <c r="E97" i="639"/>
  <c r="E97" i="186"/>
  <c r="E99" i="472"/>
  <c r="E97" i="158"/>
  <c r="E48" i="203"/>
  <c r="E48" i="206"/>
  <c r="E59" i="211"/>
  <c r="E59" i="203"/>
  <c r="E59" i="206"/>
  <c r="E59" i="163"/>
  <c r="E61" i="473"/>
  <c r="E40" i="211"/>
  <c r="E40" i="206"/>
  <c r="E40" i="203"/>
  <c r="E40" i="163"/>
  <c r="E42" i="473"/>
  <c r="F67" i="158"/>
  <c r="F77" i="482"/>
  <c r="F77" i="480"/>
  <c r="F77" i="481"/>
  <c r="E31" i="203"/>
  <c r="E31" i="206"/>
  <c r="E31" i="211"/>
  <c r="E31" i="163"/>
  <c r="E33" i="473"/>
  <c r="E37" i="206"/>
  <c r="E37" i="203"/>
  <c r="E67" i="211"/>
  <c r="E67" i="206"/>
  <c r="E67" i="203"/>
  <c r="G67" i="158"/>
  <c r="G77" i="480"/>
  <c r="G77" i="481"/>
  <c r="G77" i="482"/>
  <c r="G127" i="742"/>
  <c r="G131" i="473"/>
  <c r="G129" i="163"/>
  <c r="E126" i="742"/>
  <c r="E130" i="473"/>
  <c r="E128" i="163"/>
  <c r="J55" i="81"/>
  <c r="D76" i="480"/>
  <c r="D76" i="482"/>
  <c r="D76" i="481"/>
  <c r="G31" i="211"/>
  <c r="G31" i="206"/>
  <c r="G31" i="203"/>
  <c r="G33" i="473"/>
  <c r="G31" i="163"/>
  <c r="G291" i="502"/>
  <c r="G90" i="203"/>
  <c r="G90" i="163"/>
  <c r="G92" i="473"/>
  <c r="G90" i="206"/>
  <c r="G90" i="639"/>
  <c r="G90" i="640"/>
  <c r="G90" i="211"/>
  <c r="G92" i="472"/>
  <c r="G90" i="186"/>
  <c r="G90" i="158"/>
  <c r="G301" i="502"/>
  <c r="G102" i="473"/>
  <c r="G100" i="203"/>
  <c r="G100" i="206"/>
  <c r="G100" i="163"/>
  <c r="G100" i="211"/>
  <c r="G100" i="640"/>
  <c r="G100" i="639"/>
  <c r="G100" i="186"/>
  <c r="G102" i="472"/>
  <c r="G100" i="158"/>
  <c r="G67" i="203"/>
  <c r="G67" i="211"/>
  <c r="G67" i="206"/>
  <c r="I30" i="206"/>
  <c r="I30" i="203"/>
  <c r="I26" i="206"/>
  <c r="I26" i="203"/>
  <c r="I44" i="206"/>
  <c r="I44" i="203"/>
  <c r="F31" i="211"/>
  <c r="F31" i="203"/>
  <c r="F31" i="206"/>
  <c r="F33" i="473"/>
  <c r="F31" i="163"/>
  <c r="F77" i="206"/>
  <c r="F77" i="211"/>
  <c r="F77" i="203"/>
  <c r="F77" i="163"/>
  <c r="F79" i="473"/>
  <c r="F65" i="206"/>
  <c r="F65" i="211"/>
  <c r="F65" i="203"/>
  <c r="F28" i="203"/>
  <c r="F28" i="206"/>
  <c r="H129" i="639"/>
  <c r="H129" i="211"/>
  <c r="G53" i="158"/>
  <c r="G71" i="158"/>
  <c r="E114" i="742"/>
  <c r="E115" i="163"/>
  <c r="F25" i="158"/>
  <c r="H66" i="158"/>
  <c r="H76" i="480"/>
  <c r="H76" i="481"/>
  <c r="H76" i="482"/>
  <c r="G39" i="206"/>
  <c r="G39" i="203"/>
  <c r="G75" i="203"/>
  <c r="G77" i="473"/>
  <c r="G75" i="211"/>
  <c r="G75" i="163"/>
  <c r="G75" i="206"/>
  <c r="G84" i="211"/>
  <c r="G84" i="203"/>
  <c r="G84" i="163"/>
  <c r="G84" i="206"/>
  <c r="G86" i="473"/>
  <c r="I298" i="502"/>
  <c r="I97" i="203"/>
  <c r="I97" i="206"/>
  <c r="I97" i="640"/>
  <c r="I97" i="163"/>
  <c r="I97" i="211"/>
  <c r="I99" i="473"/>
  <c r="I97" i="639"/>
  <c r="I97" i="186"/>
  <c r="I99" i="472"/>
  <c r="I97" i="158"/>
  <c r="I71" i="211"/>
  <c r="I73" i="473"/>
  <c r="I71" i="203"/>
  <c r="I71" i="163"/>
  <c r="I71" i="206"/>
  <c r="I48" i="206"/>
  <c r="I48" i="203"/>
  <c r="I304" i="502"/>
  <c r="I103" i="211"/>
  <c r="I105" i="473"/>
  <c r="I103" i="163"/>
  <c r="I103" i="206"/>
  <c r="I103" i="203"/>
  <c r="I103" i="640"/>
  <c r="I103" i="639"/>
  <c r="I105" i="472"/>
  <c r="I103" i="186"/>
  <c r="I103" i="158"/>
  <c r="F298" i="502"/>
  <c r="F97" i="203"/>
  <c r="F97" i="640"/>
  <c r="F97" i="206"/>
  <c r="F97" i="163"/>
  <c r="F99" i="473"/>
  <c r="F97" i="211"/>
  <c r="F97" i="639"/>
  <c r="F99" i="472"/>
  <c r="F97" i="186"/>
  <c r="F97" i="158"/>
  <c r="F78" i="211"/>
  <c r="F78" i="163"/>
  <c r="F78" i="203"/>
  <c r="F78" i="206"/>
  <c r="F80" i="473"/>
  <c r="F86" i="473"/>
  <c r="F84" i="206"/>
  <c r="F84" i="163"/>
  <c r="F84" i="211"/>
  <c r="F84" i="203"/>
  <c r="F29" i="206"/>
  <c r="F29" i="211"/>
  <c r="F29" i="203"/>
  <c r="F29" i="163"/>
  <c r="F31" i="473"/>
  <c r="E308" i="502"/>
  <c r="E107" i="640"/>
  <c r="E107" i="639"/>
  <c r="E107" i="206"/>
  <c r="E107" i="211"/>
  <c r="E109" i="473"/>
  <c r="E107" i="163"/>
  <c r="E107" i="203"/>
  <c r="E107" i="186"/>
  <c r="E109" i="472"/>
  <c r="E107" i="158"/>
  <c r="E307" i="502"/>
  <c r="E106" i="163"/>
  <c r="E106" i="211"/>
  <c r="E106" i="639"/>
  <c r="E106" i="203"/>
  <c r="E106" i="206"/>
  <c r="E106" i="640"/>
  <c r="E108" i="473"/>
  <c r="E108" i="472"/>
  <c r="E106" i="186"/>
  <c r="E106" i="158"/>
  <c r="M123" i="130"/>
  <c r="F125" i="473"/>
  <c r="F124" i="473" s="1"/>
  <c r="F123" i="211"/>
  <c r="F122" i="211" s="1"/>
  <c r="F163" i="211" s="1"/>
  <c r="G137" i="639"/>
  <c r="G137" i="211"/>
  <c r="G52" i="203"/>
  <c r="G52" i="206"/>
  <c r="G52" i="211"/>
  <c r="G52" i="163"/>
  <c r="G54" i="473"/>
  <c r="G58" i="211"/>
  <c r="G58" i="203"/>
  <c r="G58" i="206"/>
  <c r="G60" i="473"/>
  <c r="G58" i="163"/>
  <c r="G293" i="502"/>
  <c r="G92" i="163"/>
  <c r="G94" i="473"/>
  <c r="G92" i="203"/>
  <c r="G92" i="211"/>
  <c r="G92" i="206"/>
  <c r="G92" i="639"/>
  <c r="G92" i="640"/>
  <c r="G92" i="186"/>
  <c r="G94" i="472"/>
  <c r="G92" i="158"/>
  <c r="G43" i="206"/>
  <c r="G43" i="211"/>
  <c r="G43" i="203"/>
  <c r="G45" i="473"/>
  <c r="G43" i="163"/>
  <c r="I31" i="203"/>
  <c r="I31" i="206"/>
  <c r="I31" i="211"/>
  <c r="I31" i="163"/>
  <c r="I33" i="473"/>
  <c r="I37" i="203"/>
  <c r="I37" i="206"/>
  <c r="I66" i="206"/>
  <c r="I66" i="203"/>
  <c r="I66" i="211"/>
  <c r="I49" i="206"/>
  <c r="I49" i="211"/>
  <c r="I49" i="203"/>
  <c r="F52" i="206"/>
  <c r="F52" i="211"/>
  <c r="F52" i="203"/>
  <c r="F52" i="163"/>
  <c r="F54" i="473"/>
  <c r="F48" i="206"/>
  <c r="F48" i="203"/>
  <c r="F59" i="203"/>
  <c r="F59" i="206"/>
  <c r="F59" i="211"/>
  <c r="F59" i="163"/>
  <c r="F61" i="473"/>
  <c r="F69" i="206"/>
  <c r="F71" i="473"/>
  <c r="F69" i="163"/>
  <c r="F69" i="211"/>
  <c r="F69" i="203"/>
  <c r="E52" i="203"/>
  <c r="E52" i="211"/>
  <c r="E52" i="206"/>
  <c r="E54" i="473"/>
  <c r="E52" i="163"/>
  <c r="E44" i="206"/>
  <c r="E44" i="203"/>
  <c r="E70" i="203"/>
  <c r="E70" i="211"/>
  <c r="E72" i="473"/>
  <c r="E70" i="206"/>
  <c r="E70" i="163"/>
  <c r="E87" i="211"/>
  <c r="E87" i="163"/>
  <c r="E89" i="473"/>
  <c r="E87" i="203"/>
  <c r="E87" i="206"/>
  <c r="F138" i="639"/>
  <c r="F136" i="639" s="1"/>
  <c r="F160" i="639" s="1"/>
  <c r="F138" i="211"/>
  <c r="F136" i="211" s="1"/>
  <c r="F160" i="211" s="1"/>
  <c r="F133" i="742"/>
  <c r="F158" i="742" s="1"/>
  <c r="F135" i="163"/>
  <c r="G53" i="211"/>
  <c r="G53" i="203"/>
  <c r="G53" i="206"/>
  <c r="G55" i="473"/>
  <c r="G53" i="163"/>
  <c r="G294" i="502"/>
  <c r="G93" i="206"/>
  <c r="G93" i="639"/>
  <c r="G95" i="473"/>
  <c r="G93" i="163"/>
  <c r="G93" i="211"/>
  <c r="G93" i="203"/>
  <c r="G93" i="640"/>
  <c r="G95" i="472"/>
  <c r="G93" i="186"/>
  <c r="G93" i="158"/>
  <c r="G300" i="502"/>
  <c r="G99" i="211"/>
  <c r="G99" i="639"/>
  <c r="G99" i="163"/>
  <c r="G101" i="473"/>
  <c r="G99" i="203"/>
  <c r="G99" i="640"/>
  <c r="G99" i="206"/>
  <c r="G101" i="472"/>
  <c r="G99" i="186"/>
  <c r="G99" i="158"/>
  <c r="G29" i="211"/>
  <c r="G29" i="206"/>
  <c r="G29" i="203"/>
  <c r="G29" i="163"/>
  <c r="G31" i="473"/>
  <c r="G77" i="203"/>
  <c r="G79" i="473"/>
  <c r="G77" i="211"/>
  <c r="G77" i="206"/>
  <c r="G77" i="163"/>
  <c r="I52" i="211"/>
  <c r="I52" i="206"/>
  <c r="I52" i="203"/>
  <c r="I52" i="163"/>
  <c r="I54" i="473"/>
  <c r="I41" i="203"/>
  <c r="I41" i="206"/>
  <c r="I302" i="502"/>
  <c r="I101" i="163"/>
  <c r="I101" i="206"/>
  <c r="I101" i="203"/>
  <c r="I103" i="473"/>
  <c r="I101" i="639"/>
  <c r="I101" i="640"/>
  <c r="I101" i="211"/>
  <c r="I103" i="472"/>
  <c r="I101" i="186"/>
  <c r="I101" i="158"/>
  <c r="I293" i="502"/>
  <c r="I94" i="473"/>
  <c r="I92" i="203"/>
  <c r="I92" i="163"/>
  <c r="I92" i="640"/>
  <c r="I92" i="206"/>
  <c r="I92" i="639"/>
  <c r="I92" i="211"/>
  <c r="I94" i="472"/>
  <c r="I92" i="186"/>
  <c r="I92" i="158"/>
  <c r="F51" i="206"/>
  <c r="F51" i="203"/>
  <c r="F37" i="203"/>
  <c r="F37" i="206"/>
  <c r="F291" i="502"/>
  <c r="F90" i="163"/>
  <c r="F90" i="211"/>
  <c r="F92" i="473"/>
  <c r="F90" i="203"/>
  <c r="F90" i="639"/>
  <c r="F90" i="206"/>
  <c r="F90" i="640"/>
  <c r="F90" i="186"/>
  <c r="F92" i="472"/>
  <c r="F90" i="158"/>
  <c r="F306" i="502"/>
  <c r="F107" i="473"/>
  <c r="F105" i="639"/>
  <c r="F105" i="211"/>
  <c r="F105" i="163"/>
  <c r="F105" i="206"/>
  <c r="F105" i="640"/>
  <c r="F105" i="203"/>
  <c r="F107" i="472"/>
  <c r="F105" i="186"/>
  <c r="F105" i="158"/>
  <c r="E294" i="502"/>
  <c r="E93" i="203"/>
  <c r="E93" i="163"/>
  <c r="E95" i="473"/>
  <c r="E93" i="211"/>
  <c r="E93" i="206"/>
  <c r="E93" i="639"/>
  <c r="E93" i="640"/>
  <c r="E93" i="186"/>
  <c r="E95" i="472"/>
  <c r="E93" i="158"/>
  <c r="E83" i="203"/>
  <c r="E83" i="163"/>
  <c r="E85" i="473"/>
  <c r="E83" i="206"/>
  <c r="E83" i="211"/>
  <c r="E305" i="502"/>
  <c r="E106" i="473"/>
  <c r="E104" i="211"/>
  <c r="E104" i="203"/>
  <c r="E104" i="163"/>
  <c r="E104" i="206"/>
  <c r="E104" i="640"/>
  <c r="E104" i="639"/>
  <c r="E104" i="186"/>
  <c r="E106" i="472"/>
  <c r="E104" i="158"/>
  <c r="E75" i="211"/>
  <c r="E77" i="473"/>
  <c r="E75" i="163"/>
  <c r="E75" i="206"/>
  <c r="E75" i="203"/>
  <c r="H65" i="158"/>
  <c r="H75" i="482"/>
  <c r="H75" i="481"/>
  <c r="H75" i="480"/>
  <c r="I129" i="639"/>
  <c r="I129" i="211"/>
  <c r="G51" i="206"/>
  <c r="G51" i="203"/>
  <c r="G25" i="206"/>
  <c r="G25" i="203"/>
  <c r="G59" i="206"/>
  <c r="G59" i="211"/>
  <c r="G59" i="203"/>
  <c r="G61" i="473"/>
  <c r="G59" i="163"/>
  <c r="G63" i="211"/>
  <c r="G63" i="203"/>
  <c r="G63" i="206"/>
  <c r="G302" i="502"/>
  <c r="G101" i="203"/>
  <c r="G101" i="639"/>
  <c r="G101" i="163"/>
  <c r="G103" i="473"/>
  <c r="G101" i="211"/>
  <c r="G101" i="640"/>
  <c r="G101" i="206"/>
  <c r="G103" i="472"/>
  <c r="G101" i="186"/>
  <c r="G101" i="158"/>
  <c r="I51" i="206"/>
  <c r="I51" i="203"/>
  <c r="I42" i="203"/>
  <c r="I42" i="206"/>
  <c r="I46" i="203"/>
  <c r="I46" i="206"/>
  <c r="I29" i="203"/>
  <c r="I29" i="211"/>
  <c r="I29" i="206"/>
  <c r="I31" i="473"/>
  <c r="I29" i="163"/>
  <c r="F295" i="502"/>
  <c r="F94" i="203"/>
  <c r="F94" i="211"/>
  <c r="F94" i="639"/>
  <c r="F96" i="473"/>
  <c r="F94" i="206"/>
  <c r="F94" i="163"/>
  <c r="F94" i="640"/>
  <c r="F94" i="186"/>
  <c r="F96" i="472"/>
  <c r="F94" i="158"/>
  <c r="F47" i="206"/>
  <c r="F47" i="211"/>
  <c r="F47" i="203"/>
  <c r="F49" i="473"/>
  <c r="F47" i="163"/>
  <c r="F67" i="211"/>
  <c r="F67" i="206"/>
  <c r="F67" i="203"/>
  <c r="F64" i="211"/>
  <c r="F64" i="206"/>
  <c r="F64" i="203"/>
  <c r="E30" i="206"/>
  <c r="E30" i="203"/>
  <c r="E56" i="206"/>
  <c r="E56" i="203"/>
  <c r="E39" i="203"/>
  <c r="E39" i="206"/>
  <c r="E46" i="206"/>
  <c r="E46" i="203"/>
  <c r="J54" i="81"/>
  <c r="I65" i="158"/>
  <c r="I75" i="481"/>
  <c r="I75" i="480"/>
  <c r="I75" i="482"/>
  <c r="F118" i="639"/>
  <c r="F116" i="639" s="1"/>
  <c r="F164" i="639" s="1"/>
  <c r="F118" i="211"/>
  <c r="I56" i="158"/>
  <c r="F26" i="158"/>
  <c r="J53" i="81"/>
  <c r="E64" i="158"/>
  <c r="E74" i="482"/>
  <c r="E74" i="480"/>
  <c r="E74" i="481"/>
  <c r="G297" i="502"/>
  <c r="G96" i="211"/>
  <c r="G98" i="473"/>
  <c r="G96" i="640"/>
  <c r="G96" i="163"/>
  <c r="G96" i="639"/>
  <c r="G96" i="206"/>
  <c r="G96" i="203"/>
  <c r="G98" i="472"/>
  <c r="G96" i="186"/>
  <c r="G96" i="158"/>
  <c r="G54" i="206"/>
  <c r="G54" i="203"/>
  <c r="G54" i="211"/>
  <c r="G54" i="163"/>
  <c r="G56" i="473"/>
  <c r="G47" i="206"/>
  <c r="G47" i="211"/>
  <c r="G49" i="473"/>
  <c r="G47" i="203"/>
  <c r="G47" i="163"/>
  <c r="G85" i="163"/>
  <c r="G85" i="203"/>
  <c r="G85" i="206"/>
  <c r="G85" i="211"/>
  <c r="G87" i="473"/>
  <c r="I35" i="203"/>
  <c r="I35" i="206"/>
  <c r="I294" i="502"/>
  <c r="I93" i="211"/>
  <c r="I93" i="206"/>
  <c r="I93" i="639"/>
  <c r="I95" i="473"/>
  <c r="I93" i="203"/>
  <c r="I93" i="163"/>
  <c r="I93" i="640"/>
  <c r="I95" i="472"/>
  <c r="I93" i="186"/>
  <c r="I93" i="158"/>
  <c r="I301" i="502"/>
  <c r="I100" i="203"/>
  <c r="I100" i="211"/>
  <c r="I100" i="163"/>
  <c r="I100" i="206"/>
  <c r="I102" i="473"/>
  <c r="I100" i="639"/>
  <c r="I100" i="640"/>
  <c r="I102" i="472"/>
  <c r="I100" i="186"/>
  <c r="I100" i="158"/>
  <c r="I70" i="206"/>
  <c r="I70" i="163"/>
  <c r="I70" i="211"/>
  <c r="I70" i="203"/>
  <c r="I72" i="473"/>
  <c r="I63" i="203"/>
  <c r="I63" i="206"/>
  <c r="I63" i="211"/>
  <c r="F294" i="502"/>
  <c r="F93" i="203"/>
  <c r="F93" i="211"/>
  <c r="F93" i="206"/>
  <c r="F93" i="639"/>
  <c r="F93" i="163"/>
  <c r="F95" i="473"/>
  <c r="F93" i="640"/>
  <c r="F95" i="472"/>
  <c r="F93" i="186"/>
  <c r="F93" i="158"/>
  <c r="F83" i="203"/>
  <c r="F85" i="473"/>
  <c r="F83" i="211"/>
  <c r="F83" i="163"/>
  <c r="F83" i="206"/>
  <c r="F87" i="206"/>
  <c r="F89" i="473"/>
  <c r="F87" i="163"/>
  <c r="F87" i="203"/>
  <c r="F87" i="211"/>
  <c r="F305" i="502"/>
  <c r="F104" i="206"/>
  <c r="F106" i="473"/>
  <c r="F104" i="639"/>
  <c r="F104" i="163"/>
  <c r="F104" i="203"/>
  <c r="F104" i="211"/>
  <c r="F104" i="640"/>
  <c r="F104" i="186"/>
  <c r="F106" i="472"/>
  <c r="F104" i="158"/>
  <c r="E51" i="203"/>
  <c r="E51" i="206"/>
  <c r="E20" i="203"/>
  <c r="E20" i="206"/>
  <c r="E66" i="206"/>
  <c r="E66" i="211"/>
  <c r="E66" i="203"/>
  <c r="E79" i="163"/>
  <c r="E79" i="211"/>
  <c r="E79" i="203"/>
  <c r="E81" i="473"/>
  <c r="E79" i="206"/>
  <c r="D75" i="482"/>
  <c r="D75" i="480"/>
  <c r="D75" i="481"/>
  <c r="G64" i="158"/>
  <c r="G74" i="481"/>
  <c r="G74" i="480"/>
  <c r="G74" i="482"/>
  <c r="G73" i="163"/>
  <c r="G73" i="211"/>
  <c r="G73" i="203"/>
  <c r="G73" i="206"/>
  <c r="G75" i="473"/>
  <c r="G40" i="203"/>
  <c r="G40" i="211"/>
  <c r="G40" i="206"/>
  <c r="G40" i="163"/>
  <c r="G42" i="473"/>
  <c r="G66" i="206"/>
  <c r="G66" i="211"/>
  <c r="G66" i="203"/>
  <c r="G78" i="473"/>
  <c r="G76" i="163"/>
  <c r="G76" i="211"/>
  <c r="G76" i="206"/>
  <c r="G76" i="203"/>
  <c r="G309" i="502"/>
  <c r="G108" i="163"/>
  <c r="G108" i="203"/>
  <c r="G108" i="206"/>
  <c r="G110" i="473"/>
  <c r="G108" i="211"/>
  <c r="G108" i="640"/>
  <c r="G108" i="639"/>
  <c r="G110" i="472"/>
  <c r="G108" i="186"/>
  <c r="G108" i="158"/>
  <c r="I292" i="502"/>
  <c r="I91" i="206"/>
  <c r="I93" i="473"/>
  <c r="I91" i="211"/>
  <c r="I91" i="163"/>
  <c r="I91" i="640"/>
  <c r="I91" i="203"/>
  <c r="I91" i="639"/>
  <c r="I91" i="186"/>
  <c r="I93" i="472"/>
  <c r="I91" i="158"/>
  <c r="I305" i="502"/>
  <c r="I104" i="206"/>
  <c r="I104" i="203"/>
  <c r="I104" i="211"/>
  <c r="I104" i="163"/>
  <c r="I106" i="473"/>
  <c r="I104" i="639"/>
  <c r="I104" i="640"/>
  <c r="I106" i="472"/>
  <c r="I104" i="186"/>
  <c r="I104" i="158"/>
  <c r="I87" i="473"/>
  <c r="I85" i="203"/>
  <c r="I85" i="163"/>
  <c r="I85" i="206"/>
  <c r="I85" i="211"/>
  <c r="I79" i="206"/>
  <c r="I79" i="211"/>
  <c r="I79" i="163"/>
  <c r="I81" i="473"/>
  <c r="I79" i="203"/>
  <c r="I36" i="206"/>
  <c r="I36" i="203"/>
  <c r="F30" i="203"/>
  <c r="F30" i="206"/>
  <c r="F86" i="163"/>
  <c r="F86" i="211"/>
  <c r="F86" i="206"/>
  <c r="F88" i="473"/>
  <c r="F86" i="203"/>
  <c r="F307" i="502"/>
  <c r="F106" i="206"/>
  <c r="F106" i="640"/>
  <c r="F106" i="163"/>
  <c r="F106" i="211"/>
  <c r="F108" i="473"/>
  <c r="F106" i="203"/>
  <c r="F106" i="639"/>
  <c r="F108" i="472"/>
  <c r="F106" i="186"/>
  <c r="F106" i="158"/>
  <c r="F39" i="206"/>
  <c r="F39" i="203"/>
  <c r="E295" i="502"/>
  <c r="E94" i="206"/>
  <c r="E96" i="473"/>
  <c r="E94" i="639"/>
  <c r="E94" i="163"/>
  <c r="E94" i="203"/>
  <c r="E94" i="211"/>
  <c r="E94" i="640"/>
  <c r="E96" i="472"/>
  <c r="E94" i="186"/>
  <c r="E94" i="158"/>
  <c r="E304" i="502"/>
  <c r="E103" i="203"/>
  <c r="E103" i="206"/>
  <c r="E103" i="211"/>
  <c r="E103" i="163"/>
  <c r="E105" i="473"/>
  <c r="E103" i="640"/>
  <c r="E103" i="639"/>
  <c r="E103" i="186"/>
  <c r="E105" i="472"/>
  <c r="E103" i="158"/>
  <c r="E58" i="206"/>
  <c r="E58" i="211"/>
  <c r="E58" i="203"/>
  <c r="E60" i="473"/>
  <c r="E58" i="163"/>
  <c r="E25" i="206"/>
  <c r="E25" i="203"/>
  <c r="E65" i="158"/>
  <c r="E75" i="480"/>
  <c r="E75" i="482"/>
  <c r="E75" i="481"/>
  <c r="D73" i="480"/>
  <c r="D73" i="481"/>
  <c r="D73" i="482"/>
  <c r="D50" i="81"/>
  <c r="H64" i="158"/>
  <c r="H74" i="480"/>
  <c r="H74" i="482"/>
  <c r="H74" i="481"/>
  <c r="G35" i="203"/>
  <c r="G35" i="206"/>
  <c r="G72" i="206"/>
  <c r="G72" i="203"/>
  <c r="G72" i="163"/>
  <c r="G74" i="473"/>
  <c r="G72" i="211"/>
  <c r="G308" i="502"/>
  <c r="G107" i="206"/>
  <c r="G107" i="203"/>
  <c r="G107" i="639"/>
  <c r="G107" i="163"/>
  <c r="G107" i="211"/>
  <c r="G109" i="473"/>
  <c r="G107" i="640"/>
  <c r="G107" i="186"/>
  <c r="G109" i="472"/>
  <c r="G107" i="158"/>
  <c r="G42" i="206"/>
  <c r="G42" i="203"/>
  <c r="G82" i="206"/>
  <c r="G84" i="473"/>
  <c r="G82" i="211"/>
  <c r="G82" i="163"/>
  <c r="G82" i="203"/>
  <c r="I53" i="206"/>
  <c r="I53" i="211"/>
  <c r="I53" i="203"/>
  <c r="I53" i="163"/>
  <c r="I55" i="473"/>
  <c r="I43" i="211"/>
  <c r="I43" i="206"/>
  <c r="I43" i="203"/>
  <c r="I43" i="163"/>
  <c r="I45" i="473"/>
  <c r="I309" i="502"/>
  <c r="I110" i="473"/>
  <c r="I108" i="639"/>
  <c r="I108" i="211"/>
  <c r="I108" i="640"/>
  <c r="I108" i="206"/>
  <c r="I108" i="163"/>
  <c r="I108" i="203"/>
  <c r="I110" i="472"/>
  <c r="I108" i="186"/>
  <c r="I108" i="158"/>
  <c r="I83" i="163"/>
  <c r="I83" i="203"/>
  <c r="I83" i="211"/>
  <c r="I85" i="473"/>
  <c r="I83" i="206"/>
  <c r="I84" i="206"/>
  <c r="I86" i="473"/>
  <c r="I84" i="163"/>
  <c r="I84" i="211"/>
  <c r="I84" i="203"/>
  <c r="F53" i="206"/>
  <c r="F53" i="211"/>
  <c r="F53" i="203"/>
  <c r="F53" i="163"/>
  <c r="F55" i="473"/>
  <c r="F56" i="206"/>
  <c r="F56" i="203"/>
  <c r="F63" i="203"/>
  <c r="F63" i="211"/>
  <c r="F63" i="206"/>
  <c r="F308" i="502"/>
  <c r="F107" i="163"/>
  <c r="F107" i="639"/>
  <c r="F107" i="206"/>
  <c r="F107" i="640"/>
  <c r="F109" i="473"/>
  <c r="F107" i="211"/>
  <c r="F107" i="203"/>
  <c r="F107" i="186"/>
  <c r="F109" i="472"/>
  <c r="F107" i="158"/>
  <c r="E73" i="203"/>
  <c r="E73" i="206"/>
  <c r="E73" i="211"/>
  <c r="E73" i="163"/>
  <c r="E75" i="473"/>
  <c r="E293" i="502"/>
  <c r="E92" i="206"/>
  <c r="E92" i="640"/>
  <c r="E92" i="211"/>
  <c r="E92" i="203"/>
  <c r="E92" i="163"/>
  <c r="E94" i="473"/>
  <c r="E92" i="639"/>
  <c r="E92" i="186"/>
  <c r="E94" i="472"/>
  <c r="E92" i="158"/>
  <c r="E86" i="203"/>
  <c r="E88" i="473"/>
  <c r="E86" i="211"/>
  <c r="E86" i="206"/>
  <c r="E86" i="163"/>
  <c r="E54" i="211"/>
  <c r="E54" i="203"/>
  <c r="E54" i="206"/>
  <c r="E56" i="473"/>
  <c r="E54" i="163"/>
  <c r="F65" i="158"/>
  <c r="F75" i="481"/>
  <c r="F75" i="482"/>
  <c r="F75" i="480"/>
  <c r="F73" i="480"/>
  <c r="F73" i="482"/>
  <c r="F73" i="481"/>
  <c r="F63" i="158"/>
  <c r="F50" i="81"/>
  <c r="I26" i="158"/>
  <c r="I64" i="158"/>
  <c r="I74" i="480"/>
  <c r="I74" i="482"/>
  <c r="I74" i="481"/>
  <c r="G57" i="206"/>
  <c r="G57" i="211"/>
  <c r="G57" i="203"/>
  <c r="G57" i="163"/>
  <c r="G59" i="473"/>
  <c r="G305" i="502"/>
  <c r="G104" i="163"/>
  <c r="G104" i="206"/>
  <c r="G104" i="203"/>
  <c r="G104" i="211"/>
  <c r="G106" i="473"/>
  <c r="G104" i="640"/>
  <c r="G104" i="639"/>
  <c r="G106" i="472"/>
  <c r="G104" i="186"/>
  <c r="G104" i="158"/>
  <c r="G78" i="203"/>
  <c r="G78" i="206"/>
  <c r="G80" i="473"/>
  <c r="G78" i="163"/>
  <c r="G78" i="211"/>
  <c r="G49" i="206"/>
  <c r="G49" i="203"/>
  <c r="G49" i="211"/>
  <c r="G28" i="206"/>
  <c r="G28" i="203"/>
  <c r="I73" i="203"/>
  <c r="I75" i="473"/>
  <c r="I73" i="163"/>
  <c r="I73" i="206"/>
  <c r="I73" i="211"/>
  <c r="I291" i="502"/>
  <c r="I90" i="639"/>
  <c r="I90" i="640"/>
  <c r="I90" i="203"/>
  <c r="I90" i="211"/>
  <c r="I92" i="473"/>
  <c r="I90" i="206"/>
  <c r="I90" i="163"/>
  <c r="I92" i="472"/>
  <c r="I90" i="186"/>
  <c r="I90" i="158"/>
  <c r="I39" i="206"/>
  <c r="I39" i="203"/>
  <c r="I86" i="206"/>
  <c r="I86" i="163"/>
  <c r="I86" i="203"/>
  <c r="I86" i="211"/>
  <c r="I88" i="473"/>
  <c r="I299" i="502"/>
  <c r="I100" i="473"/>
  <c r="I98" i="203"/>
  <c r="I98" i="639"/>
  <c r="I98" i="211"/>
  <c r="I98" i="640"/>
  <c r="I98" i="163"/>
  <c r="I98" i="206"/>
  <c r="I100" i="472"/>
  <c r="I98" i="186"/>
  <c r="I98" i="158"/>
  <c r="F73" i="206"/>
  <c r="F75" i="473"/>
  <c r="F73" i="203"/>
  <c r="F73" i="163"/>
  <c r="F73" i="211"/>
  <c r="F297" i="502"/>
  <c r="F98" i="473"/>
  <c r="F96" i="639"/>
  <c r="F96" i="211"/>
  <c r="F96" i="163"/>
  <c r="F96" i="203"/>
  <c r="F96" i="640"/>
  <c r="F96" i="206"/>
  <c r="F98" i="472"/>
  <c r="F96" i="186"/>
  <c r="F96" i="158"/>
  <c r="F20" i="206"/>
  <c r="F20" i="203"/>
  <c r="F46" i="203"/>
  <c r="F46" i="206"/>
  <c r="F58" i="206"/>
  <c r="F58" i="211"/>
  <c r="F58" i="203"/>
  <c r="F60" i="473"/>
  <c r="F58" i="163"/>
  <c r="E292" i="502"/>
  <c r="E91" i="163"/>
  <c r="E91" i="640"/>
  <c r="E91" i="203"/>
  <c r="E91" i="206"/>
  <c r="E91" i="639"/>
  <c r="E93" i="473"/>
  <c r="E91" i="211"/>
  <c r="E91" i="186"/>
  <c r="E93" i="472"/>
  <c r="E91" i="158"/>
  <c r="E36" i="203"/>
  <c r="E36" i="206"/>
  <c r="E87" i="473"/>
  <c r="E85" i="203"/>
  <c r="E85" i="211"/>
  <c r="E85" i="206"/>
  <c r="E85" i="163"/>
  <c r="E43" i="206"/>
  <c r="E43" i="203"/>
  <c r="E43" i="211"/>
  <c r="E45" i="473"/>
  <c r="E43" i="163"/>
  <c r="E49" i="203"/>
  <c r="E49" i="211"/>
  <c r="E49" i="206"/>
  <c r="G65" i="158"/>
  <c r="G75" i="480"/>
  <c r="G75" i="482"/>
  <c r="G75" i="481"/>
  <c r="J52" i="81"/>
  <c r="G73" i="480"/>
  <c r="G73" i="482"/>
  <c r="G73" i="481"/>
  <c r="G63" i="158"/>
  <c r="G50" i="81"/>
  <c r="D74" i="482"/>
  <c r="D74" i="480"/>
  <c r="D74" i="481"/>
  <c r="G292" i="502"/>
  <c r="G91" i="203"/>
  <c r="G91" i="163"/>
  <c r="G93" i="473"/>
  <c r="G91" i="211"/>
  <c r="G91" i="639"/>
  <c r="G91" i="206"/>
  <c r="G91" i="640"/>
  <c r="G93" i="472"/>
  <c r="G91" i="186"/>
  <c r="G91" i="158"/>
  <c r="G71" i="163"/>
  <c r="G71" i="206"/>
  <c r="G73" i="473"/>
  <c r="G71" i="211"/>
  <c r="G71" i="203"/>
  <c r="G48" i="206"/>
  <c r="G48" i="203"/>
  <c r="G70" i="206"/>
  <c r="G70" i="211"/>
  <c r="G72" i="473"/>
  <c r="G70" i="203"/>
  <c r="G70" i="163"/>
  <c r="G306" i="502"/>
  <c r="G105" i="639"/>
  <c r="G105" i="163"/>
  <c r="G105" i="203"/>
  <c r="G107" i="473"/>
  <c r="G105" i="206"/>
  <c r="G105" i="211"/>
  <c r="G105" i="640"/>
  <c r="G105" i="186"/>
  <c r="G107" i="472"/>
  <c r="G105" i="158"/>
  <c r="I77" i="203"/>
  <c r="I77" i="206"/>
  <c r="I77" i="163"/>
  <c r="I79" i="473"/>
  <c r="I77" i="211"/>
  <c r="I58" i="206"/>
  <c r="I58" i="211"/>
  <c r="I58" i="203"/>
  <c r="I60" i="473"/>
  <c r="I58" i="163"/>
  <c r="I25" i="203"/>
  <c r="I25" i="206"/>
  <c r="I56" i="203"/>
  <c r="I56" i="206"/>
  <c r="F72" i="211"/>
  <c r="F72" i="203"/>
  <c r="F72" i="163"/>
  <c r="F74" i="473"/>
  <c r="F72" i="206"/>
  <c r="F301" i="502"/>
  <c r="F100" i="640"/>
  <c r="F102" i="473"/>
  <c r="F100" i="203"/>
  <c r="F100" i="211"/>
  <c r="F100" i="163"/>
  <c r="F100" i="206"/>
  <c r="F100" i="639"/>
  <c r="F102" i="472"/>
  <c r="F100" i="186"/>
  <c r="F100" i="158"/>
  <c r="F81" i="473"/>
  <c r="F79" i="211"/>
  <c r="F79" i="203"/>
  <c r="F79" i="206"/>
  <c r="F79" i="163"/>
  <c r="F40" i="211"/>
  <c r="F40" i="203"/>
  <c r="F40" i="206"/>
  <c r="F40" i="163"/>
  <c r="F42" i="473"/>
  <c r="E35" i="203"/>
  <c r="E35" i="206"/>
  <c r="E41" i="203"/>
  <c r="E41" i="206"/>
  <c r="E309" i="502"/>
  <c r="E108" i="163"/>
  <c r="E108" i="639"/>
  <c r="E108" i="640"/>
  <c r="E108" i="203"/>
  <c r="E108" i="211"/>
  <c r="E108" i="206"/>
  <c r="E110" i="473"/>
  <c r="E108" i="186"/>
  <c r="E110" i="472"/>
  <c r="E108" i="158"/>
  <c r="E302" i="502"/>
  <c r="E101" i="163"/>
  <c r="E101" i="206"/>
  <c r="E103" i="473"/>
  <c r="E101" i="211"/>
  <c r="E101" i="640"/>
  <c r="E101" i="639"/>
  <c r="E101" i="203"/>
  <c r="E103" i="472"/>
  <c r="E101" i="186"/>
  <c r="E101" i="158"/>
  <c r="E76" i="163"/>
  <c r="E76" i="203"/>
  <c r="E78" i="473"/>
  <c r="E76" i="206"/>
  <c r="E76" i="211"/>
  <c r="H73" i="480"/>
  <c r="H73" i="482"/>
  <c r="H73" i="481"/>
  <c r="H63" i="158"/>
  <c r="H50" i="81"/>
  <c r="F128" i="639"/>
  <c r="F127" i="639" s="1"/>
  <c r="F162" i="639" s="1"/>
  <c r="F128" i="211"/>
  <c r="F64" i="158"/>
  <c r="F74" i="481"/>
  <c r="F74" i="482"/>
  <c r="F74" i="480"/>
  <c r="G30" i="203"/>
  <c r="G30" i="206"/>
  <c r="G299" i="502"/>
  <c r="G98" i="640"/>
  <c r="G98" i="163"/>
  <c r="G98" i="211"/>
  <c r="G98" i="206"/>
  <c r="G98" i="203"/>
  <c r="G100" i="473"/>
  <c r="G98" i="639"/>
  <c r="G100" i="472"/>
  <c r="G98" i="186"/>
  <c r="G98" i="158"/>
  <c r="G37" i="206"/>
  <c r="G37" i="203"/>
  <c r="G87" i="206"/>
  <c r="G87" i="163"/>
  <c r="G89" i="473"/>
  <c r="G87" i="211"/>
  <c r="G87" i="203"/>
  <c r="G64" i="211"/>
  <c r="G64" i="206"/>
  <c r="G64" i="203"/>
  <c r="I297" i="502"/>
  <c r="I96" i="203"/>
  <c r="I96" i="163"/>
  <c r="I96" i="640"/>
  <c r="I96" i="211"/>
  <c r="I96" i="639"/>
  <c r="I96" i="206"/>
  <c r="I98" i="473"/>
  <c r="I96" i="186"/>
  <c r="I98" i="472"/>
  <c r="I96" i="158"/>
  <c r="I84" i="473"/>
  <c r="I82" i="211"/>
  <c r="I82" i="163"/>
  <c r="I82" i="203"/>
  <c r="I82" i="206"/>
  <c r="I300" i="502"/>
  <c r="I99" i="203"/>
  <c r="I99" i="206"/>
  <c r="I99" i="163"/>
  <c r="I99" i="639"/>
  <c r="I99" i="211"/>
  <c r="I101" i="473"/>
  <c r="I99" i="640"/>
  <c r="I101" i="472"/>
  <c r="I99" i="186"/>
  <c r="I99" i="158"/>
  <c r="I78" i="473"/>
  <c r="I76" i="211"/>
  <c r="I76" i="206"/>
  <c r="I76" i="203"/>
  <c r="I76" i="163"/>
  <c r="I87" i="211"/>
  <c r="I87" i="163"/>
  <c r="I87" i="203"/>
  <c r="I89" i="473"/>
  <c r="I87" i="206"/>
  <c r="F57" i="211"/>
  <c r="F57" i="206"/>
  <c r="F57" i="203"/>
  <c r="F57" i="163"/>
  <c r="F59" i="473"/>
  <c r="F26" i="203"/>
  <c r="F26" i="206"/>
  <c r="F41" i="203"/>
  <c r="F41" i="206"/>
  <c r="F43" i="211"/>
  <c r="F43" i="206"/>
  <c r="F43" i="203"/>
  <c r="F43" i="163"/>
  <c r="F45" i="473"/>
  <c r="E80" i="203"/>
  <c r="E80" i="206"/>
  <c r="E80" i="211"/>
  <c r="E80" i="163"/>
  <c r="E82" i="473"/>
  <c r="E42" i="206"/>
  <c r="E42" i="203"/>
  <c r="E63" i="206"/>
  <c r="E63" i="211"/>
  <c r="E63" i="203"/>
  <c r="E28" i="206"/>
  <c r="E28" i="203"/>
  <c r="E300" i="502"/>
  <c r="E101" i="473"/>
  <c r="E99" i="206"/>
  <c r="E99" i="211"/>
  <c r="E99" i="640"/>
  <c r="E99" i="203"/>
  <c r="E99" i="163"/>
  <c r="E99" i="639"/>
  <c r="E99" i="186"/>
  <c r="E101" i="472"/>
  <c r="E99" i="158"/>
  <c r="I73" i="480"/>
  <c r="I73" i="482"/>
  <c r="I73" i="481"/>
  <c r="I63" i="158"/>
  <c r="I50" i="81"/>
  <c r="G295" i="502"/>
  <c r="G96" i="473"/>
  <c r="G94" i="211"/>
  <c r="G94" i="203"/>
  <c r="G94" i="206"/>
  <c r="G94" i="163"/>
  <c r="G94" i="639"/>
  <c r="G94" i="640"/>
  <c r="G94" i="186"/>
  <c r="G96" i="472"/>
  <c r="G94" i="158"/>
  <c r="G41" i="203"/>
  <c r="G41" i="206"/>
  <c r="G85" i="473"/>
  <c r="G83" i="206"/>
  <c r="G83" i="203"/>
  <c r="G83" i="211"/>
  <c r="G83" i="163"/>
  <c r="G307" i="502"/>
  <c r="G108" i="473"/>
  <c r="G106" i="206"/>
  <c r="G106" i="163"/>
  <c r="G106" i="203"/>
  <c r="G106" i="211"/>
  <c r="G106" i="639"/>
  <c r="G106" i="640"/>
  <c r="G108" i="472"/>
  <c r="G106" i="186"/>
  <c r="G106" i="158"/>
  <c r="I57" i="206"/>
  <c r="I57" i="203"/>
  <c r="I57" i="211"/>
  <c r="I59" i="473"/>
  <c r="I57" i="163"/>
  <c r="I59" i="211"/>
  <c r="I59" i="206"/>
  <c r="I59" i="203"/>
  <c r="I61" i="473"/>
  <c r="I59" i="163"/>
  <c r="I72" i="206"/>
  <c r="I72" i="211"/>
  <c r="I74" i="473"/>
  <c r="I72" i="203"/>
  <c r="I72" i="163"/>
  <c r="I307" i="502"/>
  <c r="I106" i="163"/>
  <c r="I106" i="639"/>
  <c r="I106" i="203"/>
  <c r="I106" i="640"/>
  <c r="I106" i="211"/>
  <c r="I106" i="206"/>
  <c r="I108" i="473"/>
  <c r="I106" i="186"/>
  <c r="I108" i="472"/>
  <c r="I106" i="158"/>
  <c r="F292" i="502"/>
  <c r="F93" i="473"/>
  <c r="F91" i="206"/>
  <c r="F91" i="640"/>
  <c r="F91" i="211"/>
  <c r="F91" i="163"/>
  <c r="F91" i="639"/>
  <c r="F91" i="203"/>
  <c r="F93" i="472"/>
  <c r="F91" i="186"/>
  <c r="F91" i="158"/>
  <c r="F73" i="473"/>
  <c r="F71" i="211"/>
  <c r="F71" i="163"/>
  <c r="F71" i="206"/>
  <c r="F71" i="203"/>
  <c r="F75" i="203"/>
  <c r="F75" i="206"/>
  <c r="F75" i="163"/>
  <c r="F75" i="211"/>
  <c r="F77" i="473"/>
  <c r="F302" i="502"/>
  <c r="F101" i="206"/>
  <c r="F101" i="203"/>
  <c r="F101" i="640"/>
  <c r="F101" i="211"/>
  <c r="F101" i="163"/>
  <c r="F101" i="639"/>
  <c r="F103" i="473"/>
  <c r="F103" i="472"/>
  <c r="F101" i="186"/>
  <c r="F101" i="158"/>
  <c r="F66" i="206"/>
  <c r="F66" i="211"/>
  <c r="F66" i="203"/>
  <c r="E291" i="502"/>
  <c r="E90" i="640"/>
  <c r="E90" i="163"/>
  <c r="E90" i="211"/>
  <c r="E90" i="206"/>
  <c r="E90" i="203"/>
  <c r="E92" i="473"/>
  <c r="E90" i="639"/>
  <c r="E90" i="186"/>
  <c r="E92" i="472"/>
  <c r="E90" i="158"/>
  <c r="E65" i="203"/>
  <c r="E65" i="211"/>
  <c r="E65" i="206"/>
  <c r="E29" i="211"/>
  <c r="E29" i="206"/>
  <c r="E29" i="203"/>
  <c r="E31" i="473"/>
  <c r="E29" i="163"/>
  <c r="E78" i="163"/>
  <c r="E78" i="211"/>
  <c r="E78" i="203"/>
  <c r="E78" i="206"/>
  <c r="E80" i="473"/>
  <c r="J56" i="81"/>
  <c r="D77" i="481"/>
  <c r="D77" i="482"/>
  <c r="D77" i="480"/>
  <c r="E73" i="480"/>
  <c r="E73" i="481"/>
  <c r="E73" i="482"/>
  <c r="E63" i="158"/>
  <c r="E50" i="81"/>
  <c r="F114" i="742"/>
  <c r="F162" i="742" s="1"/>
  <c r="F115" i="163"/>
  <c r="E136" i="742"/>
  <c r="E134" i="742" s="1"/>
  <c r="E139" i="473"/>
  <c r="E137" i="473" s="1"/>
  <c r="E138" i="163"/>
  <c r="E136" i="163" s="1"/>
  <c r="I37" i="158"/>
  <c r="G36" i="158"/>
  <c r="E66" i="158"/>
  <c r="E76" i="480"/>
  <c r="E76" i="481"/>
  <c r="E76" i="482"/>
  <c r="G44" i="206"/>
  <c r="G44" i="203"/>
  <c r="G86" i="206"/>
  <c r="G86" i="211"/>
  <c r="G86" i="203"/>
  <c r="G86" i="163"/>
  <c r="G88" i="473"/>
  <c r="G46" i="206"/>
  <c r="G46" i="203"/>
  <c r="I28" i="206"/>
  <c r="I28" i="203"/>
  <c r="I67" i="206"/>
  <c r="I67" i="203"/>
  <c r="I67" i="211"/>
  <c r="I65" i="211"/>
  <c r="I65" i="206"/>
  <c r="I65" i="203"/>
  <c r="I40" i="206"/>
  <c r="I40" i="203"/>
  <c r="I40" i="211"/>
  <c r="I42" i="473"/>
  <c r="I40" i="163"/>
  <c r="F35" i="203"/>
  <c r="F35" i="206"/>
  <c r="F299" i="502"/>
  <c r="F98" i="206"/>
  <c r="F98" i="639"/>
  <c r="F98" i="163"/>
  <c r="F98" i="203"/>
  <c r="F100" i="473"/>
  <c r="F98" i="211"/>
  <c r="F98" i="640"/>
  <c r="F98" i="186"/>
  <c r="F100" i="472"/>
  <c r="F98" i="158"/>
  <c r="F293" i="502"/>
  <c r="F94" i="473"/>
  <c r="F92" i="203"/>
  <c r="F92" i="639"/>
  <c r="F92" i="211"/>
  <c r="F92" i="206"/>
  <c r="F92" i="163"/>
  <c r="F92" i="640"/>
  <c r="F94" i="472"/>
  <c r="F92" i="186"/>
  <c r="F92" i="158"/>
  <c r="F309" i="502"/>
  <c r="F108" i="206"/>
  <c r="F108" i="211"/>
  <c r="F108" i="203"/>
  <c r="F108" i="639"/>
  <c r="F110" i="473"/>
  <c r="F108" i="163"/>
  <c r="F108" i="640"/>
  <c r="F110" i="472"/>
  <c r="F108" i="186"/>
  <c r="F108" i="158"/>
  <c r="F25" i="203"/>
  <c r="F25" i="206"/>
  <c r="E57" i="203"/>
  <c r="E57" i="211"/>
  <c r="E57" i="206"/>
  <c r="E59" i="473"/>
  <c r="E57" i="163"/>
  <c r="E77" i="203"/>
  <c r="E79" i="473"/>
  <c r="E77" i="163"/>
  <c r="E77" i="211"/>
  <c r="E77" i="206"/>
  <c r="E47" i="203"/>
  <c r="E47" i="206"/>
  <c r="E47" i="211"/>
  <c r="E49" i="473"/>
  <c r="E47" i="163"/>
  <c r="E306" i="502"/>
  <c r="E107" i="473"/>
  <c r="E105" i="639"/>
  <c r="E105" i="163"/>
  <c r="E105" i="203"/>
  <c r="E105" i="640"/>
  <c r="E105" i="206"/>
  <c r="E105" i="211"/>
  <c r="E105" i="186"/>
  <c r="E107" i="472"/>
  <c r="E105" i="158"/>
  <c r="E72" i="211"/>
  <c r="E72" i="163"/>
  <c r="E74" i="473"/>
  <c r="E72" i="203"/>
  <c r="E72" i="206"/>
  <c r="E67" i="158"/>
  <c r="E77" i="480"/>
  <c r="E77" i="481"/>
  <c r="E77" i="482"/>
  <c r="G72" i="158"/>
  <c r="F28" i="158"/>
  <c r="E76" i="158"/>
  <c r="F66" i="158"/>
  <c r="F76" i="481"/>
  <c r="F76" i="480"/>
  <c r="F76" i="482"/>
  <c r="G69" i="211"/>
  <c r="G69" i="163"/>
  <c r="G69" i="203"/>
  <c r="G69" i="206"/>
  <c r="G71" i="473"/>
  <c r="G304" i="502"/>
  <c r="G105" i="473"/>
  <c r="G103" i="163"/>
  <c r="G103" i="203"/>
  <c r="G103" i="639"/>
  <c r="G103" i="211"/>
  <c r="G103" i="206"/>
  <c r="G103" i="640"/>
  <c r="G103" i="186"/>
  <c r="G105" i="472"/>
  <c r="G103" i="158"/>
  <c r="G79" i="206"/>
  <c r="G79" i="211"/>
  <c r="G79" i="203"/>
  <c r="G81" i="473"/>
  <c r="G79" i="163"/>
  <c r="I80" i="211"/>
  <c r="I80" i="163"/>
  <c r="I80" i="206"/>
  <c r="I80" i="203"/>
  <c r="I82" i="473"/>
  <c r="I54" i="211"/>
  <c r="I54" i="203"/>
  <c r="I54" i="206"/>
  <c r="I54" i="163"/>
  <c r="I56" i="473"/>
  <c r="I308" i="502"/>
  <c r="I107" i="163"/>
  <c r="I107" i="640"/>
  <c r="I107" i="211"/>
  <c r="I109" i="473"/>
  <c r="I107" i="206"/>
  <c r="I107" i="203"/>
  <c r="I107" i="639"/>
  <c r="I109" i="472"/>
  <c r="I107" i="186"/>
  <c r="I107" i="158"/>
  <c r="I75" i="163"/>
  <c r="I75" i="203"/>
  <c r="I75" i="206"/>
  <c r="I77" i="473"/>
  <c r="I75" i="211"/>
  <c r="F80" i="206"/>
  <c r="F80" i="203"/>
  <c r="F80" i="211"/>
  <c r="F82" i="473"/>
  <c r="F80" i="163"/>
  <c r="F44" i="206"/>
  <c r="F44" i="203"/>
  <c r="F300" i="502"/>
  <c r="F99" i="206"/>
  <c r="F99" i="211"/>
  <c r="F99" i="203"/>
  <c r="F99" i="163"/>
  <c r="F101" i="473"/>
  <c r="F99" i="640"/>
  <c r="F99" i="639"/>
  <c r="F101" i="472"/>
  <c r="F99" i="186"/>
  <c r="F99" i="158"/>
  <c r="F82" i="163"/>
  <c r="F82" i="203"/>
  <c r="F84" i="473"/>
  <c r="F82" i="206"/>
  <c r="F82" i="211"/>
  <c r="F54" i="203"/>
  <c r="F54" i="206"/>
  <c r="F54" i="211"/>
  <c r="F54" i="163"/>
  <c r="F56" i="473"/>
  <c r="E53" i="211"/>
  <c r="E53" i="203"/>
  <c r="E53" i="206"/>
  <c r="E55" i="473"/>
  <c r="E53" i="163"/>
  <c r="E69" i="211"/>
  <c r="E69" i="203"/>
  <c r="E71" i="473"/>
  <c r="E69" i="163"/>
  <c r="E69" i="206"/>
  <c r="E86" i="473"/>
  <c r="E84" i="206"/>
  <c r="E84" i="163"/>
  <c r="E84" i="203"/>
  <c r="E84" i="211"/>
  <c r="E64" i="206"/>
  <c r="E64" i="203"/>
  <c r="E64" i="211"/>
  <c r="E26" i="206"/>
  <c r="E26" i="203"/>
  <c r="H67" i="158"/>
  <c r="H77" i="482"/>
  <c r="H77" i="481"/>
  <c r="H77" i="480"/>
  <c r="E122" i="742"/>
  <c r="E121" i="742" s="1"/>
  <c r="E123" i="163"/>
  <c r="E122" i="163" s="1"/>
  <c r="E117" i="742"/>
  <c r="E120" i="473"/>
  <c r="E118" i="163"/>
  <c r="G31" i="158"/>
  <c r="E44" i="158"/>
  <c r="I25" i="158"/>
  <c r="G66" i="158"/>
  <c r="G76" i="481"/>
  <c r="G76" i="482"/>
  <c r="G76" i="480"/>
  <c r="G80" i="203"/>
  <c r="G80" i="163"/>
  <c r="G80" i="206"/>
  <c r="G82" i="473"/>
  <c r="G80" i="211"/>
  <c r="G56" i="203"/>
  <c r="G56" i="206"/>
  <c r="G26" i="203"/>
  <c r="G26" i="206"/>
  <c r="I295" i="502"/>
  <c r="I94" i="203"/>
  <c r="I94" i="211"/>
  <c r="I94" i="163"/>
  <c r="I94" i="640"/>
  <c r="I94" i="206"/>
  <c r="I94" i="639"/>
  <c r="I96" i="473"/>
  <c r="I96" i="472"/>
  <c r="I94" i="186"/>
  <c r="I94" i="158"/>
  <c r="I306" i="502"/>
  <c r="I107" i="473"/>
  <c r="I105" i="640"/>
  <c r="I105" i="206"/>
  <c r="I105" i="163"/>
  <c r="I105" i="211"/>
  <c r="I105" i="639"/>
  <c r="I105" i="203"/>
  <c r="I105" i="186"/>
  <c r="I107" i="472"/>
  <c r="I105" i="158"/>
  <c r="I47" i="206"/>
  <c r="I47" i="203"/>
  <c r="I47" i="211"/>
  <c r="I49" i="473"/>
  <c r="I47" i="163"/>
  <c r="I69" i="163"/>
  <c r="I69" i="206"/>
  <c r="I69" i="211"/>
  <c r="I69" i="203"/>
  <c r="I71" i="473"/>
  <c r="F36" i="206"/>
  <c r="F36" i="203"/>
  <c r="F87" i="473"/>
  <c r="F85" i="163"/>
  <c r="F85" i="203"/>
  <c r="F85" i="211"/>
  <c r="F85" i="206"/>
  <c r="F49" i="203"/>
  <c r="F49" i="206"/>
  <c r="F49" i="211"/>
  <c r="E297" i="502"/>
  <c r="E96" i="639"/>
  <c r="E96" i="211"/>
  <c r="E96" i="163"/>
  <c r="E96" i="206"/>
  <c r="E98" i="473"/>
  <c r="E96" i="203"/>
  <c r="E96" i="640"/>
  <c r="E98" i="472"/>
  <c r="E96" i="186"/>
  <c r="E96" i="158"/>
  <c r="E82" i="163"/>
  <c r="E82" i="206"/>
  <c r="E84" i="473"/>
  <c r="E82" i="211"/>
  <c r="E82" i="203"/>
  <c r="E301" i="502"/>
  <c r="E100" i="639"/>
  <c r="E100" i="640"/>
  <c r="E102" i="473"/>
  <c r="E100" i="211"/>
  <c r="E100" i="206"/>
  <c r="E100" i="163"/>
  <c r="E100" i="203"/>
  <c r="E102" i="472"/>
  <c r="E100" i="186"/>
  <c r="E100" i="158"/>
  <c r="E299" i="502"/>
  <c r="E98" i="211"/>
  <c r="E98" i="163"/>
  <c r="E100" i="473"/>
  <c r="E98" i="640"/>
  <c r="E98" i="203"/>
  <c r="E98" i="639"/>
  <c r="E98" i="206"/>
  <c r="E100" i="472"/>
  <c r="E98" i="186"/>
  <c r="E98" i="158"/>
  <c r="E71" i="203"/>
  <c r="E73" i="473"/>
  <c r="E71" i="206"/>
  <c r="E71" i="163"/>
  <c r="E71" i="211"/>
  <c r="I67" i="158"/>
  <c r="I77" i="481"/>
  <c r="I77" i="482"/>
  <c r="I77" i="480"/>
  <c r="D134" i="163"/>
  <c r="D121" i="163"/>
  <c r="E347" i="814"/>
  <c r="E347" i="813"/>
  <c r="E347" i="815"/>
  <c r="F365" i="815"/>
  <c r="F365" i="814"/>
  <c r="F365" i="813"/>
  <c r="D352" i="815"/>
  <c r="E354" i="814"/>
  <c r="E354" i="813"/>
  <c r="E354" i="815"/>
  <c r="E368" i="815"/>
  <c r="E366" i="815" s="1"/>
  <c r="E364" i="815" s="1"/>
  <c r="E368" i="813"/>
  <c r="E366" i="813" s="1"/>
  <c r="E364" i="813" s="1"/>
  <c r="E368" i="814"/>
  <c r="E366" i="814" s="1"/>
  <c r="E350" i="813"/>
  <c r="E350" i="814"/>
  <c r="E350" i="815"/>
  <c r="F347" i="815"/>
  <c r="F347" i="814"/>
  <c r="F347" i="813"/>
  <c r="D352" i="813"/>
  <c r="D364" i="815"/>
  <c r="F367" i="814"/>
  <c r="F367" i="815"/>
  <c r="F367" i="813"/>
  <c r="G360" i="814"/>
  <c r="G360" i="815"/>
  <c r="G360" i="813"/>
  <c r="D352" i="814"/>
  <c r="D346" i="814"/>
  <c r="E359" i="813"/>
  <c r="E358" i="813" s="1"/>
  <c r="E359" i="814"/>
  <c r="E359" i="815"/>
  <c r="E83" i="112"/>
  <c r="F83" i="112" s="1"/>
  <c r="L27" i="631"/>
  <c r="F140" i="743"/>
  <c r="F351" i="743" s="1"/>
  <c r="F174" i="743"/>
  <c r="F169" i="743" s="1"/>
  <c r="N9" i="131"/>
  <c r="F280" i="743"/>
  <c r="F270" i="743" s="1"/>
  <c r="N8" i="131"/>
  <c r="N59" i="131"/>
  <c r="F218" i="743"/>
  <c r="F413" i="743" s="1"/>
  <c r="F142" i="743"/>
  <c r="F353" i="743" s="1"/>
  <c r="F208" i="743"/>
  <c r="F403" i="743" s="1"/>
  <c r="F397" i="743" s="1"/>
  <c r="N53" i="131"/>
  <c r="N29" i="131"/>
  <c r="J28" i="81"/>
  <c r="J40" i="81"/>
  <c r="J104" i="81"/>
  <c r="J88" i="81"/>
  <c r="J87" i="81"/>
  <c r="J95" i="81"/>
  <c r="N14" i="131"/>
  <c r="N70" i="131"/>
  <c r="F77" i="743"/>
  <c r="N60" i="131"/>
  <c r="N11" i="131"/>
  <c r="N43" i="131"/>
  <c r="N20" i="131"/>
  <c r="N18" i="131"/>
  <c r="N32" i="131"/>
  <c r="N76" i="131"/>
  <c r="N69" i="131"/>
  <c r="F276" i="743"/>
  <c r="F456" i="743" s="1"/>
  <c r="F450" i="743" s="1"/>
  <c r="N15" i="131"/>
  <c r="N19" i="131"/>
  <c r="N49" i="131"/>
  <c r="N17" i="131"/>
  <c r="N10" i="131"/>
  <c r="N68" i="131"/>
  <c r="N41" i="131"/>
  <c r="N71" i="131"/>
  <c r="N21" i="131"/>
  <c r="N45" i="131"/>
  <c r="N61" i="131"/>
  <c r="N72" i="131"/>
  <c r="N31" i="131"/>
  <c r="F105" i="743"/>
  <c r="F328" i="743" s="1"/>
  <c r="N25" i="131"/>
  <c r="N30" i="131"/>
  <c r="F243" i="743"/>
  <c r="F238" i="743" s="1"/>
  <c r="F103" i="743"/>
  <c r="F39" i="743"/>
  <c r="F102" i="743"/>
  <c r="F94" i="743" s="1"/>
  <c r="F149" i="743"/>
  <c r="F360" i="743" s="1"/>
  <c r="F183" i="743"/>
  <c r="F387" i="743" s="1"/>
  <c r="F252" i="743"/>
  <c r="F440" i="743" s="1"/>
  <c r="F246" i="743"/>
  <c r="F434" i="743" s="1"/>
  <c r="F177" i="743"/>
  <c r="F381" i="743" s="1"/>
  <c r="J105" i="81"/>
  <c r="J103" i="81"/>
  <c r="J102" i="81"/>
  <c r="J98" i="81"/>
  <c r="J90" i="81"/>
  <c r="J32" i="81"/>
  <c r="J70" i="81"/>
  <c r="J100" i="81"/>
  <c r="J94" i="81"/>
  <c r="J93" i="81"/>
  <c r="J96" i="81"/>
  <c r="J97" i="81"/>
  <c r="J91" i="81"/>
  <c r="J101" i="81"/>
  <c r="J89" i="81"/>
  <c r="J12" i="81"/>
  <c r="J36" i="81"/>
  <c r="J38" i="81"/>
  <c r="J46" i="81"/>
  <c r="J15" i="81"/>
  <c r="J77" i="81"/>
  <c r="J81" i="81"/>
  <c r="J66" i="81"/>
  <c r="J18" i="81"/>
  <c r="J82" i="81"/>
  <c r="J76" i="81"/>
  <c r="J30" i="81"/>
  <c r="J29" i="81"/>
  <c r="J24" i="81"/>
  <c r="J47" i="81"/>
  <c r="J80" i="81"/>
  <c r="E5" i="81"/>
  <c r="I5" i="81"/>
  <c r="J42" i="81"/>
  <c r="J69" i="81"/>
  <c r="J83" i="81"/>
  <c r="J22" i="81"/>
  <c r="J74" i="81"/>
  <c r="J23" i="81"/>
  <c r="J72" i="81"/>
  <c r="J16" i="81"/>
  <c r="J79" i="81"/>
  <c r="J17" i="81"/>
  <c r="G5" i="81"/>
  <c r="F5" i="81"/>
  <c r="J48" i="81"/>
  <c r="J84" i="81"/>
  <c r="J6" i="81"/>
  <c r="J35" i="81"/>
  <c r="H5" i="81"/>
  <c r="J68" i="81"/>
  <c r="J37" i="81"/>
  <c r="J75" i="81"/>
  <c r="J41" i="81"/>
  <c r="J73" i="81"/>
  <c r="D206" i="81"/>
  <c r="J11" i="81"/>
  <c r="J31" i="81"/>
  <c r="J43" i="81"/>
  <c r="D205" i="81"/>
  <c r="J67" i="81"/>
  <c r="J45" i="81"/>
  <c r="J33" i="81"/>
  <c r="D396" i="508"/>
  <c r="D417" i="508" s="1"/>
  <c r="F213" i="743"/>
  <c r="F408" i="743" s="1"/>
  <c r="F178" i="743"/>
  <c r="F382" i="743" s="1"/>
  <c r="D373" i="202"/>
  <c r="D373" i="508"/>
  <c r="D373" i="502"/>
  <c r="D373" i="200"/>
  <c r="E347" i="508"/>
  <c r="E347" i="200"/>
  <c r="E347" i="202"/>
  <c r="E347" i="502"/>
  <c r="E359" i="202"/>
  <c r="E359" i="200"/>
  <c r="E359" i="508"/>
  <c r="E359" i="502"/>
  <c r="F365" i="200"/>
  <c r="F393" i="200" s="1"/>
  <c r="F414" i="200" s="1"/>
  <c r="F365" i="202"/>
  <c r="F365" i="508"/>
  <c r="F365" i="502"/>
  <c r="F367" i="200"/>
  <c r="F367" i="508"/>
  <c r="F367" i="502"/>
  <c r="F367" i="202"/>
  <c r="G360" i="202"/>
  <c r="G360" i="502"/>
  <c r="G360" i="200"/>
  <c r="G360" i="508"/>
  <c r="E368" i="200"/>
  <c r="E368" i="202"/>
  <c r="E368" i="508"/>
  <c r="E368" i="502"/>
  <c r="F347" i="502"/>
  <c r="F347" i="508"/>
  <c r="F347" i="202"/>
  <c r="F347" i="200"/>
  <c r="E350" i="508"/>
  <c r="E350" i="200"/>
  <c r="E350" i="502"/>
  <c r="E350" i="202"/>
  <c r="E354" i="200"/>
  <c r="E354" i="502"/>
  <c r="E354" i="202"/>
  <c r="E354" i="508"/>
  <c r="F143" i="743"/>
  <c r="F247" i="743"/>
  <c r="F435" i="743" s="1"/>
  <c r="F281" i="743"/>
  <c r="F461" i="743" s="1"/>
  <c r="F144" i="743"/>
  <c r="F355" i="743" s="1"/>
  <c r="S125" i="120"/>
  <c r="T125" i="120"/>
  <c r="K136" i="120"/>
  <c r="R136" i="120" s="1"/>
  <c r="G14" i="81"/>
  <c r="G211" i="81" s="1"/>
  <c r="G39" i="81"/>
  <c r="H14" i="81"/>
  <c r="H211" i="81" s="1"/>
  <c r="D99" i="81"/>
  <c r="D211" i="81"/>
  <c r="D78" i="81"/>
  <c r="E44" i="81"/>
  <c r="G65" i="81"/>
  <c r="E39" i="81"/>
  <c r="F34" i="81"/>
  <c r="E65" i="81"/>
  <c r="E78" i="81"/>
  <c r="E207" i="81" s="1"/>
  <c r="G99" i="81"/>
  <c r="H99" i="81"/>
  <c r="E99" i="81"/>
  <c r="I99" i="81"/>
  <c r="F99" i="81"/>
  <c r="F92" i="81"/>
  <c r="I92" i="81"/>
  <c r="E92" i="81"/>
  <c r="G92" i="81"/>
  <c r="H92" i="81"/>
  <c r="F86" i="81"/>
  <c r="G86" i="81"/>
  <c r="H86" i="81"/>
  <c r="E86" i="81"/>
  <c r="I86" i="81"/>
  <c r="F65" i="81"/>
  <c r="F78" i="81"/>
  <c r="F207" i="81" s="1"/>
  <c r="G78" i="81"/>
  <c r="G207" i="81" s="1"/>
  <c r="H78" i="81"/>
  <c r="H207" i="81" s="1"/>
  <c r="I78" i="81"/>
  <c r="I207" i="81" s="1"/>
  <c r="E71" i="81"/>
  <c r="E206" i="81" s="1"/>
  <c r="H71" i="81"/>
  <c r="H206" i="81" s="1"/>
  <c r="I71" i="81"/>
  <c r="I206" i="81" s="1"/>
  <c r="G71" i="81"/>
  <c r="G206" i="81" s="1"/>
  <c r="F71" i="81"/>
  <c r="F206" i="81" s="1"/>
  <c r="H65" i="81"/>
  <c r="I65" i="81"/>
  <c r="I39" i="81"/>
  <c r="F44" i="81"/>
  <c r="I44" i="81"/>
  <c r="H44" i="81"/>
  <c r="H39" i="81"/>
  <c r="G44" i="81"/>
  <c r="I34" i="81"/>
  <c r="E34" i="81"/>
  <c r="F39" i="81"/>
  <c r="H34" i="81"/>
  <c r="F21" i="81"/>
  <c r="F186" i="81" s="1"/>
  <c r="F27" i="81"/>
  <c r="G34" i="81"/>
  <c r="H27" i="81"/>
  <c r="I27" i="81"/>
  <c r="E27" i="81"/>
  <c r="G27" i="81"/>
  <c r="G21" i="81"/>
  <c r="G210" i="81" s="1"/>
  <c r="E21" i="81"/>
  <c r="H21" i="81"/>
  <c r="I21" i="81"/>
  <c r="I210" i="81" s="1"/>
  <c r="E14" i="81"/>
  <c r="E211" i="81" s="1"/>
  <c r="I14" i="81"/>
  <c r="I211" i="81" s="1"/>
  <c r="F14" i="81"/>
  <c r="F211" i="81" s="1"/>
  <c r="D21" i="81"/>
  <c r="E10" i="81"/>
  <c r="D26" i="81"/>
  <c r="H10" i="81"/>
  <c r="H212" i="81" s="1"/>
  <c r="I10" i="81"/>
  <c r="F10" i="81"/>
  <c r="F188" i="81" s="1"/>
  <c r="G10" i="81"/>
  <c r="D10" i="81"/>
  <c r="D396" i="200"/>
  <c r="D417" i="200" s="1"/>
  <c r="E123" i="130"/>
  <c r="E219" i="130" s="1"/>
  <c r="M64" i="70"/>
  <c r="D161" i="742"/>
  <c r="D113" i="742"/>
  <c r="D159" i="742"/>
  <c r="D157" i="742"/>
  <c r="D132" i="742"/>
  <c r="D120" i="742"/>
  <c r="F106" i="743"/>
  <c r="F329" i="743" s="1"/>
  <c r="F286" i="743"/>
  <c r="F466" i="743" s="1"/>
  <c r="F73" i="743"/>
  <c r="F279" i="743"/>
  <c r="F459" i="743" s="1"/>
  <c r="F175" i="743"/>
  <c r="F379" i="743" s="1"/>
  <c r="F69" i="743"/>
  <c r="F244" i="743"/>
  <c r="F432" i="743" s="1"/>
  <c r="F111" i="743"/>
  <c r="F334" i="743" s="1"/>
  <c r="F211" i="743"/>
  <c r="F406" i="743" s="1"/>
  <c r="F212" i="743"/>
  <c r="F72" i="743"/>
  <c r="F209" i="743"/>
  <c r="F404" i="743" s="1"/>
  <c r="F139" i="743"/>
  <c r="F350" i="743" s="1"/>
  <c r="F344" i="743" s="1"/>
  <c r="F277" i="743"/>
  <c r="F457" i="743" s="1"/>
  <c r="D394" i="200"/>
  <c r="D415" i="200" s="1"/>
  <c r="E244" i="743"/>
  <c r="G383" i="653"/>
  <c r="G404" i="653" s="1"/>
  <c r="F38" i="743"/>
  <c r="F32" i="743" s="1"/>
  <c r="F68" i="743"/>
  <c r="F62" i="743" s="1"/>
  <c r="F45" i="743"/>
  <c r="F41" i="743"/>
  <c r="D392" i="200"/>
  <c r="D413" i="200" s="1"/>
  <c r="E134" i="211"/>
  <c r="E160" i="211"/>
  <c r="H383" i="653"/>
  <c r="H404" i="653" s="1"/>
  <c r="H384" i="653"/>
  <c r="H405" i="653" s="1"/>
  <c r="H116" i="445"/>
  <c r="F381" i="653"/>
  <c r="F402" i="653" s="1"/>
  <c r="D84" i="480"/>
  <c r="D84" i="482"/>
  <c r="D91" i="481"/>
  <c r="D78" i="481"/>
  <c r="D78" i="482"/>
  <c r="D78" i="480"/>
  <c r="D84" i="481"/>
  <c r="G384" i="653"/>
  <c r="G405" i="653" s="1"/>
  <c r="D396" i="502"/>
  <c r="D417" i="502" s="1"/>
  <c r="F383" i="653"/>
  <c r="F404" i="653" s="1"/>
  <c r="I381" i="653"/>
  <c r="I402" i="653" s="1"/>
  <c r="E393" i="502"/>
  <c r="E414" i="502" s="1"/>
  <c r="E393" i="508"/>
  <c r="E414" i="508" s="1"/>
  <c r="D394" i="508"/>
  <c r="D415" i="508" s="1"/>
  <c r="D392" i="502"/>
  <c r="D413" i="502" s="1"/>
  <c r="D394" i="502"/>
  <c r="D415" i="502" s="1"/>
  <c r="D392" i="508"/>
  <c r="D413" i="508" s="1"/>
  <c r="E381" i="653"/>
  <c r="E402" i="653" s="1"/>
  <c r="I383" i="653"/>
  <c r="I404" i="653" s="1"/>
  <c r="E384" i="653"/>
  <c r="E405" i="653" s="1"/>
  <c r="G381" i="653"/>
  <c r="J437" i="200"/>
  <c r="J437" i="502"/>
  <c r="J435" i="200"/>
  <c r="D383" i="653"/>
  <c r="D404" i="653" s="1"/>
  <c r="I384" i="653"/>
  <c r="I405" i="653" s="1"/>
  <c r="J437" i="508"/>
  <c r="F384" i="653"/>
  <c r="F405" i="653" s="1"/>
  <c r="D381" i="653"/>
  <c r="D384" i="653"/>
  <c r="D405" i="653" s="1"/>
  <c r="E383" i="653"/>
  <c r="E404" i="653" s="1"/>
  <c r="H381" i="653"/>
  <c r="J433" i="200"/>
  <c r="D396" i="202"/>
  <c r="D417" i="202" s="1"/>
  <c r="D392" i="202"/>
  <c r="D413" i="202" s="1"/>
  <c r="E440" i="657"/>
  <c r="E441" i="657" s="1"/>
  <c r="D440" i="657"/>
  <c r="D441" i="657" s="1"/>
  <c r="E114" i="639"/>
  <c r="H43" i="127"/>
  <c r="H44" i="127" s="1"/>
  <c r="I38" i="127"/>
  <c r="I41" i="127" s="1"/>
  <c r="G115" i="639"/>
  <c r="G165" i="639" s="1"/>
  <c r="F123" i="639"/>
  <c r="F122" i="639" s="1"/>
  <c r="G135" i="639"/>
  <c r="G161" i="639" s="1"/>
  <c r="F440" i="657"/>
  <c r="D74" i="656"/>
  <c r="D74" i="652"/>
  <c r="D68" i="652"/>
  <c r="D68" i="656"/>
  <c r="J410" i="657"/>
  <c r="J412" i="657"/>
  <c r="J422" i="657"/>
  <c r="G440" i="657"/>
  <c r="J408" i="657"/>
  <c r="V137" i="129"/>
  <c r="W116" i="129"/>
  <c r="J427" i="657"/>
  <c r="H213" i="81"/>
  <c r="F213" i="81"/>
  <c r="E213" i="81"/>
  <c r="E214" i="81"/>
  <c r="I214" i="81"/>
  <c r="H214" i="81"/>
  <c r="G214" i="81"/>
  <c r="F214" i="81"/>
  <c r="G213" i="81"/>
  <c r="I213" i="81"/>
  <c r="J437" i="202"/>
  <c r="D415" i="202"/>
  <c r="J433" i="202"/>
  <c r="J435" i="202"/>
  <c r="E134" i="639"/>
  <c r="E121" i="639"/>
  <c r="R137" i="120"/>
  <c r="E114" i="211"/>
  <c r="U124" i="129"/>
  <c r="U123" i="129"/>
  <c r="D209" i="81"/>
  <c r="H36" i="113"/>
  <c r="E124" i="473"/>
  <c r="M117" i="130"/>
  <c r="M114" i="130" s="1"/>
  <c r="G189" i="81"/>
  <c r="I189" i="81"/>
  <c r="H189" i="81"/>
  <c r="F189" i="81"/>
  <c r="E189" i="81"/>
  <c r="M128" i="130"/>
  <c r="S113" i="120"/>
  <c r="E122" i="211"/>
  <c r="E163" i="211" s="1"/>
  <c r="D144" i="473"/>
  <c r="D143" i="211"/>
  <c r="J121" i="158"/>
  <c r="D143" i="158"/>
  <c r="J143" i="158" s="1"/>
  <c r="J114" i="158"/>
  <c r="F162" i="473"/>
  <c r="D165" i="473"/>
  <c r="E166" i="473"/>
  <c r="N115" i="130"/>
  <c r="D161" i="473"/>
  <c r="V115" i="130"/>
  <c r="V114" i="130" s="1"/>
  <c r="E162" i="473"/>
  <c r="D163" i="473"/>
  <c r="U136" i="130"/>
  <c r="U135" i="130" s="1"/>
  <c r="N136" i="130"/>
  <c r="U122" i="130"/>
  <c r="F136" i="130"/>
  <c r="F217" i="130" s="1"/>
  <c r="F115" i="130"/>
  <c r="F221" i="130" s="1"/>
  <c r="V136" i="129"/>
  <c r="W115" i="129"/>
  <c r="X115" i="129" s="1"/>
  <c r="L136" i="120"/>
  <c r="S136" i="120" s="1"/>
  <c r="S137" i="120"/>
  <c r="Q126" i="120"/>
  <c r="R126" i="120"/>
  <c r="Q124" i="120"/>
  <c r="K123" i="120"/>
  <c r="R124" i="120"/>
  <c r="S126" i="120"/>
  <c r="M123" i="120"/>
  <c r="T123" i="120" s="1"/>
  <c r="T124" i="120"/>
  <c r="M136" i="120"/>
  <c r="T136" i="120" s="1"/>
  <c r="T137" i="120"/>
  <c r="Q125" i="120"/>
  <c r="R125" i="120"/>
  <c r="Q137" i="120"/>
  <c r="L123" i="120"/>
  <c r="S123" i="120" s="1"/>
  <c r="S124" i="120"/>
  <c r="Q130" i="130"/>
  <c r="E117" i="130"/>
  <c r="E220" i="130" s="1"/>
  <c r="M139" i="130"/>
  <c r="M135" i="130" s="1"/>
  <c r="L114" i="130"/>
  <c r="L122" i="130"/>
  <c r="E115" i="130"/>
  <c r="E221" i="130" s="1"/>
  <c r="E128" i="130"/>
  <c r="E218" i="130" s="1"/>
  <c r="T122" i="130"/>
  <c r="E139" i="130"/>
  <c r="L135" i="130"/>
  <c r="Q116" i="129"/>
  <c r="H132" i="445"/>
  <c r="E203" i="120"/>
  <c r="J76" i="113"/>
  <c r="I40" i="113"/>
  <c r="I36" i="113"/>
  <c r="J66" i="113"/>
  <c r="E116" i="445"/>
  <c r="F116" i="445"/>
  <c r="K81" i="75"/>
  <c r="E27" i="39" s="1"/>
  <c r="J16" i="113"/>
  <c r="K49" i="113" s="1"/>
  <c r="E28" i="79"/>
  <c r="D20" i="103"/>
  <c r="D21" i="103" s="1"/>
  <c r="N456" i="128"/>
  <c r="M386" i="127" s="1"/>
  <c r="F163" i="158"/>
  <c r="G132" i="445"/>
  <c r="G133" i="445" s="1"/>
  <c r="M456" i="128"/>
  <c r="L386" i="127" s="1"/>
  <c r="F162" i="129"/>
  <c r="G190" i="81"/>
  <c r="F190" i="81"/>
  <c r="D189" i="81"/>
  <c r="E190" i="81"/>
  <c r="I190" i="81"/>
  <c r="H190" i="81"/>
  <c r="D190" i="81"/>
  <c r="L456" i="128"/>
  <c r="K386" i="127" s="1"/>
  <c r="E161" i="129"/>
  <c r="E18" i="75"/>
  <c r="F132" i="445"/>
  <c r="J20" i="113"/>
  <c r="K53" i="113" s="1"/>
  <c r="I22" i="113"/>
  <c r="J55" i="113" s="1"/>
  <c r="H42" i="113"/>
  <c r="J19" i="113"/>
  <c r="K52" i="113" s="1"/>
  <c r="I39" i="113"/>
  <c r="E167" i="129"/>
  <c r="E224" i="129"/>
  <c r="G193" i="81"/>
  <c r="U167" i="129"/>
  <c r="U172" i="129" s="1"/>
  <c r="U11" i="485"/>
  <c r="U6" i="485"/>
  <c r="H216" i="129"/>
  <c r="E217" i="129"/>
  <c r="E148" i="129"/>
  <c r="E161" i="203"/>
  <c r="E121" i="203"/>
  <c r="E142" i="203" s="1"/>
  <c r="E132" i="445"/>
  <c r="F69" i="62"/>
  <c r="I194" i="81"/>
  <c r="J194" i="81" s="1"/>
  <c r="F29" i="62"/>
  <c r="H191" i="81"/>
  <c r="G31" i="62"/>
  <c r="G16" i="62"/>
  <c r="N141" i="130"/>
  <c r="D132" i="445"/>
  <c r="E160" i="129"/>
  <c r="O140" i="130"/>
  <c r="P140" i="130"/>
  <c r="H165" i="158"/>
  <c r="D116" i="445"/>
  <c r="O137" i="130"/>
  <c r="P137" i="130"/>
  <c r="P161" i="129"/>
  <c r="P162" i="129" s="1"/>
  <c r="N119" i="130"/>
  <c r="E107" i="62"/>
  <c r="O9" i="62"/>
  <c r="F141" i="130"/>
  <c r="F215" i="129"/>
  <c r="H160" i="129"/>
  <c r="H162" i="129" s="1"/>
  <c r="G140" i="130"/>
  <c r="G137" i="130"/>
  <c r="P116" i="130"/>
  <c r="O116" i="130"/>
  <c r="F124" i="130"/>
  <c r="G218" i="129"/>
  <c r="F162" i="203"/>
  <c r="F119" i="130"/>
  <c r="D161" i="203"/>
  <c r="K82" i="70"/>
  <c r="D28" i="39" s="1"/>
  <c r="I38" i="113"/>
  <c r="D160" i="129"/>
  <c r="F10" i="477"/>
  <c r="W124" i="130"/>
  <c r="W123" i="130" s="1"/>
  <c r="V124" i="130"/>
  <c r="V123" i="130" s="1"/>
  <c r="W116" i="130"/>
  <c r="I220" i="129"/>
  <c r="S167" i="129"/>
  <c r="J34" i="127"/>
  <c r="G135" i="203"/>
  <c r="G160" i="129"/>
  <c r="G162" i="129" s="1"/>
  <c r="G116" i="203"/>
  <c r="G219" i="129"/>
  <c r="F116" i="203"/>
  <c r="W137" i="130"/>
  <c r="V137" i="130"/>
  <c r="H164" i="203"/>
  <c r="N129" i="130"/>
  <c r="M161" i="129"/>
  <c r="M162" i="129" s="1"/>
  <c r="H130" i="130"/>
  <c r="S161" i="129"/>
  <c r="N161" i="129"/>
  <c r="N162" i="129" s="1"/>
  <c r="I37" i="70"/>
  <c r="L161" i="129"/>
  <c r="D162" i="158"/>
  <c r="F129" i="130"/>
  <c r="G116" i="130"/>
  <c r="N124" i="130"/>
  <c r="I130" i="130"/>
  <c r="I160" i="129"/>
  <c r="I162" i="129" s="1"/>
  <c r="U10" i="129" l="1"/>
  <c r="W50" i="129"/>
  <c r="T21" i="129"/>
  <c r="S21" i="129"/>
  <c r="U50" i="129"/>
  <c r="S50" i="129"/>
  <c r="W10" i="129"/>
  <c r="S10" i="129"/>
  <c r="W21" i="129"/>
  <c r="U21" i="129"/>
  <c r="T10" i="129"/>
  <c r="T50" i="129"/>
  <c r="H244" i="743"/>
  <c r="E91" i="473"/>
  <c r="D373" i="815"/>
  <c r="W253" i="825"/>
  <c r="G104" i="472"/>
  <c r="G9" i="81"/>
  <c r="F134" i="639"/>
  <c r="F97" i="473"/>
  <c r="F91" i="472"/>
  <c r="E71" i="480"/>
  <c r="E126" i="480" s="1"/>
  <c r="E95" i="163"/>
  <c r="F95" i="163"/>
  <c r="F71" i="482"/>
  <c r="F126" i="482" s="1"/>
  <c r="J129" i="639"/>
  <c r="E135" i="130"/>
  <c r="E216" i="130"/>
  <c r="F126" i="742"/>
  <c r="F125" i="742" s="1"/>
  <c r="F159" i="742" s="1"/>
  <c r="F130" i="473"/>
  <c r="F129" i="473" s="1"/>
  <c r="F123" i="473" s="1"/>
  <c r="F128" i="163"/>
  <c r="F127" i="163" s="1"/>
  <c r="F161" i="163" s="1"/>
  <c r="I115" i="211"/>
  <c r="I165" i="211" s="1"/>
  <c r="I117" i="473"/>
  <c r="F89" i="163"/>
  <c r="F117" i="742"/>
  <c r="F115" i="742" s="1"/>
  <c r="F120" i="473"/>
  <c r="F118" i="473" s="1"/>
  <c r="F116" i="473" s="1"/>
  <c r="F118" i="163"/>
  <c r="H135" i="211"/>
  <c r="H161" i="211" s="1"/>
  <c r="H136" i="473"/>
  <c r="H115" i="211"/>
  <c r="H165" i="211" s="1"/>
  <c r="H117" i="473"/>
  <c r="H166" i="473" s="1"/>
  <c r="H137" i="639"/>
  <c r="H137" i="211"/>
  <c r="G104" i="473"/>
  <c r="F97" i="472"/>
  <c r="G133" i="742"/>
  <c r="G135" i="163"/>
  <c r="E91" i="472"/>
  <c r="G91" i="473"/>
  <c r="F104" i="473"/>
  <c r="G128" i="639"/>
  <c r="G127" i="639" s="1"/>
  <c r="G162" i="639" s="1"/>
  <c r="G128" i="211"/>
  <c r="G127" i="211" s="1"/>
  <c r="G162" i="211" s="1"/>
  <c r="I135" i="211"/>
  <c r="I161" i="211" s="1"/>
  <c r="I136" i="473"/>
  <c r="I184" i="81"/>
  <c r="I208" i="81"/>
  <c r="I91" i="473"/>
  <c r="G135" i="742"/>
  <c r="G137" i="163"/>
  <c r="G138" i="473"/>
  <c r="G138" i="639"/>
  <c r="G136" i="639" s="1"/>
  <c r="G160" i="639" s="1"/>
  <c r="G138" i="211"/>
  <c r="E97" i="472"/>
  <c r="I71" i="481"/>
  <c r="I126" i="481" s="1"/>
  <c r="D184" i="81"/>
  <c r="J50" i="81"/>
  <c r="G22" i="485" s="1"/>
  <c r="C11" i="631" s="1"/>
  <c r="C10" i="858" s="1"/>
  <c r="D208" i="81"/>
  <c r="G89" i="163"/>
  <c r="I71" i="482"/>
  <c r="I126" i="482" s="1"/>
  <c r="I95" i="163"/>
  <c r="J74" i="481"/>
  <c r="F184" i="81"/>
  <c r="F208" i="81"/>
  <c r="I71" i="480"/>
  <c r="I126" i="480" s="1"/>
  <c r="J74" i="480"/>
  <c r="J73" i="482"/>
  <c r="D71" i="482"/>
  <c r="D126" i="482" s="1"/>
  <c r="F102" i="163"/>
  <c r="E208" i="81"/>
  <c r="E184" i="81"/>
  <c r="J74" i="482"/>
  <c r="F71" i="481"/>
  <c r="F126" i="481" s="1"/>
  <c r="J73" i="481"/>
  <c r="D71" i="481"/>
  <c r="D126" i="481" s="1"/>
  <c r="E104" i="472"/>
  <c r="G97" i="472"/>
  <c r="F136" i="742"/>
  <c r="F134" i="742" s="1"/>
  <c r="F138" i="163"/>
  <c r="F139" i="473"/>
  <c r="F137" i="473" s="1"/>
  <c r="F135" i="473" s="1"/>
  <c r="E97" i="473"/>
  <c r="E71" i="482"/>
  <c r="E126" i="482" s="1"/>
  <c r="F71" i="480"/>
  <c r="F126" i="480" s="1"/>
  <c r="I104" i="472"/>
  <c r="E71" i="481"/>
  <c r="E126" i="481" s="1"/>
  <c r="G208" i="81"/>
  <c r="G184" i="81"/>
  <c r="J77" i="480"/>
  <c r="E89" i="163"/>
  <c r="I97" i="472"/>
  <c r="H184" i="81"/>
  <c r="H208" i="81"/>
  <c r="G71" i="481"/>
  <c r="G126" i="481" s="1"/>
  <c r="G91" i="472"/>
  <c r="F104" i="472"/>
  <c r="H127" i="742"/>
  <c r="H129" i="163"/>
  <c r="H131" i="473"/>
  <c r="J73" i="480"/>
  <c r="D71" i="480"/>
  <c r="D126" i="480" s="1"/>
  <c r="G118" i="639"/>
  <c r="G116" i="639" s="1"/>
  <c r="G164" i="639" s="1"/>
  <c r="G118" i="211"/>
  <c r="G116" i="211" s="1"/>
  <c r="J77" i="482"/>
  <c r="E104" i="473"/>
  <c r="J77" i="481"/>
  <c r="H71" i="481"/>
  <c r="H126" i="481" s="1"/>
  <c r="G71" i="480"/>
  <c r="G126" i="480" s="1"/>
  <c r="E102" i="163"/>
  <c r="J76" i="481"/>
  <c r="G71" i="482"/>
  <c r="G126" i="482" s="1"/>
  <c r="I91" i="472"/>
  <c r="G95" i="163"/>
  <c r="F114" i="639"/>
  <c r="H71" i="482"/>
  <c r="H126" i="482" s="1"/>
  <c r="J75" i="481"/>
  <c r="G97" i="473"/>
  <c r="J76" i="482"/>
  <c r="I127" i="742"/>
  <c r="I129" i="163"/>
  <c r="I131" i="473"/>
  <c r="N123" i="130"/>
  <c r="G125" i="473"/>
  <c r="G124" i="473" s="1"/>
  <c r="G123" i="211"/>
  <c r="G114" i="742"/>
  <c r="G115" i="163"/>
  <c r="F122" i="742"/>
  <c r="F121" i="742" s="1"/>
  <c r="F160" i="742" s="1"/>
  <c r="F123" i="163"/>
  <c r="F122" i="163" s="1"/>
  <c r="I137" i="639"/>
  <c r="I137" i="211"/>
  <c r="G102" i="163"/>
  <c r="I97" i="473"/>
  <c r="H71" i="480"/>
  <c r="H126" i="480" s="1"/>
  <c r="I89" i="163"/>
  <c r="J75" i="480"/>
  <c r="F91" i="473"/>
  <c r="I102" i="163"/>
  <c r="J76" i="480"/>
  <c r="J75" i="482"/>
  <c r="I104" i="473"/>
  <c r="F326" i="743"/>
  <c r="D143" i="163"/>
  <c r="E13" i="743"/>
  <c r="F378" i="743"/>
  <c r="F373" i="743" s="1"/>
  <c r="E364" i="814"/>
  <c r="E353" i="814"/>
  <c r="E358" i="814"/>
  <c r="E348" i="813"/>
  <c r="D373" i="814"/>
  <c r="E358" i="815"/>
  <c r="H360" i="815"/>
  <c r="H360" i="814"/>
  <c r="H360" i="813"/>
  <c r="F368" i="813"/>
  <c r="F366" i="813" s="1"/>
  <c r="F368" i="814"/>
  <c r="F366" i="814" s="1"/>
  <c r="F364" i="814" s="1"/>
  <c r="F368" i="815"/>
  <c r="F366" i="815" s="1"/>
  <c r="F364" i="815" s="1"/>
  <c r="F350" i="814"/>
  <c r="F348" i="814" s="1"/>
  <c r="F346" i="814" s="1"/>
  <c r="F350" i="813"/>
  <c r="F348" i="813" s="1"/>
  <c r="F346" i="813" s="1"/>
  <c r="F350" i="815"/>
  <c r="F348" i="815" s="1"/>
  <c r="F346" i="815" s="1"/>
  <c r="I360" i="815"/>
  <c r="I360" i="813"/>
  <c r="I360" i="814"/>
  <c r="G365" i="814"/>
  <c r="G365" i="815"/>
  <c r="G365" i="813"/>
  <c r="E348" i="814"/>
  <c r="E346" i="814" s="1"/>
  <c r="E348" i="815"/>
  <c r="E353" i="815"/>
  <c r="D373" i="813"/>
  <c r="G367" i="814"/>
  <c r="G367" i="815"/>
  <c r="G367" i="813"/>
  <c r="G347" i="813"/>
  <c r="G347" i="815"/>
  <c r="G347" i="814"/>
  <c r="F354" i="813"/>
  <c r="F353" i="813" s="1"/>
  <c r="F354" i="815"/>
  <c r="F353" i="815" s="1"/>
  <c r="F354" i="814"/>
  <c r="F353" i="814" s="1"/>
  <c r="F359" i="815"/>
  <c r="F358" i="815" s="1"/>
  <c r="F359" i="813"/>
  <c r="F359" i="814"/>
  <c r="F358" i="814" s="1"/>
  <c r="E353" i="813"/>
  <c r="E243" i="743"/>
  <c r="F460" i="743"/>
  <c r="F452" i="743" s="1"/>
  <c r="E103" i="743"/>
  <c r="E247" i="743"/>
  <c r="H247" i="743" s="1"/>
  <c r="E45" i="743"/>
  <c r="E68" i="743"/>
  <c r="E38" i="743"/>
  <c r="E106" i="743"/>
  <c r="E178" i="743"/>
  <c r="E41" i="743"/>
  <c r="F200" i="743"/>
  <c r="E213" i="743"/>
  <c r="E142" i="743"/>
  <c r="E139" i="743"/>
  <c r="E281" i="743"/>
  <c r="H281" i="743" s="1"/>
  <c r="D7" i="472"/>
  <c r="E73" i="743"/>
  <c r="E277" i="743"/>
  <c r="E183" i="743"/>
  <c r="E212" i="743"/>
  <c r="E72" i="743"/>
  <c r="E143" i="743"/>
  <c r="E211" i="743"/>
  <c r="E304" i="743"/>
  <c r="H304" i="743" s="1"/>
  <c r="E208" i="743"/>
  <c r="J5" i="81"/>
  <c r="E302" i="743"/>
  <c r="H302" i="743" s="1"/>
  <c r="E105" i="743"/>
  <c r="F325" i="743"/>
  <c r="F320" i="743" s="1"/>
  <c r="E305" i="743"/>
  <c r="H305" i="743" s="1"/>
  <c r="E111" i="743"/>
  <c r="E71" i="743"/>
  <c r="E308" i="743"/>
  <c r="H308" i="743" s="1"/>
  <c r="E209" i="743"/>
  <c r="E39" i="743"/>
  <c r="E303" i="743"/>
  <c r="H303" i="743" s="1"/>
  <c r="E175" i="743"/>
  <c r="E218" i="743"/>
  <c r="E280" i="743"/>
  <c r="E252" i="743"/>
  <c r="E144" i="743"/>
  <c r="H144" i="743" s="1"/>
  <c r="F268" i="743"/>
  <c r="E174" i="743"/>
  <c r="E246" i="743"/>
  <c r="E306" i="743"/>
  <c r="H306" i="743" s="1"/>
  <c r="F431" i="743"/>
  <c r="F426" i="743" s="1"/>
  <c r="E310" i="743"/>
  <c r="H310" i="743" s="1"/>
  <c r="E149" i="743"/>
  <c r="E279" i="743"/>
  <c r="E140" i="743"/>
  <c r="E69" i="743"/>
  <c r="E102" i="743"/>
  <c r="E286" i="743"/>
  <c r="E177" i="743"/>
  <c r="E307" i="743"/>
  <c r="H307" i="743" s="1"/>
  <c r="E77" i="743"/>
  <c r="E276" i="743"/>
  <c r="E309" i="743"/>
  <c r="H309" i="743" s="1"/>
  <c r="J214" i="81"/>
  <c r="M22" i="485" s="1"/>
  <c r="C18" i="631" s="1"/>
  <c r="C17" i="858" s="1"/>
  <c r="J65" i="81"/>
  <c r="J86" i="81"/>
  <c r="J34" i="81"/>
  <c r="J39" i="81"/>
  <c r="J27" i="81"/>
  <c r="J92" i="81"/>
  <c r="J71" i="81"/>
  <c r="J213" i="81"/>
  <c r="L22" i="485" s="1"/>
  <c r="C17" i="631" s="1"/>
  <c r="C16" i="858" s="1"/>
  <c r="J211" i="81"/>
  <c r="J22" i="485" s="1"/>
  <c r="C15" i="631" s="1"/>
  <c r="C14" i="858" s="1"/>
  <c r="J44" i="81"/>
  <c r="J190" i="81"/>
  <c r="J10" i="81"/>
  <c r="D204" i="81"/>
  <c r="J99" i="81"/>
  <c r="J206" i="81"/>
  <c r="E22" i="485" s="1"/>
  <c r="C8" i="631" s="1"/>
  <c r="C7" i="858" s="1"/>
  <c r="J14" i="81"/>
  <c r="J189" i="81"/>
  <c r="D186" i="81"/>
  <c r="J21" i="81"/>
  <c r="D207" i="81"/>
  <c r="J207" i="81" s="1"/>
  <c r="F22" i="485" s="1"/>
  <c r="C9" i="631" s="1"/>
  <c r="C8" i="858" s="1"/>
  <c r="J78" i="81"/>
  <c r="F133" i="743"/>
  <c r="F354" i="743"/>
  <c r="F407" i="743"/>
  <c r="F399" i="743" s="1"/>
  <c r="F202" i="743"/>
  <c r="H186" i="81"/>
  <c r="H210" i="81"/>
  <c r="E212" i="81"/>
  <c r="E188" i="81"/>
  <c r="E134" i="163"/>
  <c r="E159" i="163"/>
  <c r="E164" i="163"/>
  <c r="E127" i="163"/>
  <c r="E121" i="163" s="1"/>
  <c r="E358" i="202"/>
  <c r="E358" i="200"/>
  <c r="E358" i="508"/>
  <c r="E358" i="502"/>
  <c r="F160" i="163"/>
  <c r="E366" i="200"/>
  <c r="E366" i="202"/>
  <c r="E392" i="202" s="1"/>
  <c r="E413" i="202" s="1"/>
  <c r="E366" i="508"/>
  <c r="E366" i="502"/>
  <c r="F164" i="163"/>
  <c r="E348" i="508"/>
  <c r="E348" i="200"/>
  <c r="E346" i="200" s="1"/>
  <c r="E348" i="502"/>
  <c r="E348" i="202"/>
  <c r="E116" i="163"/>
  <c r="E114" i="163" s="1"/>
  <c r="E353" i="200"/>
  <c r="E353" i="502"/>
  <c r="E353" i="202"/>
  <c r="E162" i="163"/>
  <c r="E353" i="508"/>
  <c r="F368" i="200"/>
  <c r="F368" i="502"/>
  <c r="F368" i="508"/>
  <c r="F368" i="202"/>
  <c r="G367" i="508"/>
  <c r="G367" i="200"/>
  <c r="G367" i="502"/>
  <c r="G367" i="202"/>
  <c r="G365" i="200"/>
  <c r="G365" i="508"/>
  <c r="G365" i="202"/>
  <c r="G365" i="502"/>
  <c r="F354" i="502"/>
  <c r="F354" i="508"/>
  <c r="F354" i="202"/>
  <c r="F354" i="200"/>
  <c r="F350" i="508"/>
  <c r="F350" i="202"/>
  <c r="F350" i="200"/>
  <c r="F350" i="502"/>
  <c r="H360" i="508"/>
  <c r="H360" i="202"/>
  <c r="H360" i="200"/>
  <c r="H360" i="502"/>
  <c r="F359" i="502"/>
  <c r="F358" i="502" s="1"/>
  <c r="F394" i="502" s="1"/>
  <c r="F415" i="502" s="1"/>
  <c r="F359" i="200"/>
  <c r="F358" i="200" s="1"/>
  <c r="F394" i="200" s="1"/>
  <c r="F415" i="200" s="1"/>
  <c r="F359" i="202"/>
  <c r="F358" i="202" s="1"/>
  <c r="F359" i="508"/>
  <c r="F358" i="508" s="1"/>
  <c r="F394" i="508" s="1"/>
  <c r="F415" i="508" s="1"/>
  <c r="G347" i="502"/>
  <c r="G347" i="508"/>
  <c r="G347" i="202"/>
  <c r="G397" i="202" s="1"/>
  <c r="G418" i="202" s="1"/>
  <c r="G347" i="200"/>
  <c r="I360" i="202"/>
  <c r="I360" i="200"/>
  <c r="I360" i="502"/>
  <c r="I360" i="508"/>
  <c r="N58" i="62"/>
  <c r="N59" i="62"/>
  <c r="N61" i="62"/>
  <c r="N62" i="62"/>
  <c r="N63" i="62"/>
  <c r="N64" i="62"/>
  <c r="N60" i="62"/>
  <c r="N26" i="62"/>
  <c r="F212" i="81"/>
  <c r="G186" i="81"/>
  <c r="G188" i="81"/>
  <c r="G212" i="81"/>
  <c r="H9" i="81"/>
  <c r="D58" i="81"/>
  <c r="F210" i="81"/>
  <c r="D188" i="81"/>
  <c r="I186" i="81"/>
  <c r="D210" i="81"/>
  <c r="F26" i="81"/>
  <c r="E205" i="81"/>
  <c r="E58" i="81"/>
  <c r="F205" i="81"/>
  <c r="F58" i="81"/>
  <c r="I205" i="81"/>
  <c r="I58" i="81"/>
  <c r="H205" i="81"/>
  <c r="H58" i="81"/>
  <c r="G205" i="81"/>
  <c r="G58" i="81"/>
  <c r="I9" i="81"/>
  <c r="G26" i="81"/>
  <c r="E26" i="81"/>
  <c r="I26" i="81"/>
  <c r="H26" i="81"/>
  <c r="F9" i="81"/>
  <c r="E186" i="81"/>
  <c r="E210" i="81"/>
  <c r="E9" i="81"/>
  <c r="H188" i="81"/>
  <c r="I188" i="81"/>
  <c r="I212" i="81"/>
  <c r="D9" i="81"/>
  <c r="D212" i="81"/>
  <c r="H133" i="445"/>
  <c r="F123" i="130"/>
  <c r="F219" i="130" s="1"/>
  <c r="D141" i="742"/>
  <c r="E115" i="742"/>
  <c r="E113" i="742" s="1"/>
  <c r="E157" i="742"/>
  <c r="E132" i="742"/>
  <c r="E125" i="742"/>
  <c r="E120" i="742" s="1"/>
  <c r="E160" i="742"/>
  <c r="E162" i="742"/>
  <c r="F131" i="743"/>
  <c r="E432" i="743"/>
  <c r="F121" i="639"/>
  <c r="F163" i="639"/>
  <c r="J89" i="482"/>
  <c r="G399" i="653"/>
  <c r="J96" i="481"/>
  <c r="F125" i="482"/>
  <c r="J96" i="480"/>
  <c r="J90" i="481"/>
  <c r="J92" i="480"/>
  <c r="J87" i="482"/>
  <c r="J83" i="481"/>
  <c r="J86" i="481"/>
  <c r="J88" i="480"/>
  <c r="J96" i="482"/>
  <c r="J93" i="482"/>
  <c r="J97" i="481"/>
  <c r="J88" i="482"/>
  <c r="J80" i="481"/>
  <c r="J86" i="480"/>
  <c r="J82" i="482"/>
  <c r="J93" i="481"/>
  <c r="J89" i="480"/>
  <c r="J85" i="481"/>
  <c r="E123" i="482"/>
  <c r="J82" i="481"/>
  <c r="J80" i="482"/>
  <c r="J93" i="480"/>
  <c r="J89" i="481"/>
  <c r="J95" i="482"/>
  <c r="J95" i="480"/>
  <c r="G123" i="480"/>
  <c r="J80" i="480"/>
  <c r="J83" i="482"/>
  <c r="J95" i="481"/>
  <c r="G123" i="481"/>
  <c r="J90" i="482"/>
  <c r="J83" i="480"/>
  <c r="J94" i="481"/>
  <c r="J81" i="481"/>
  <c r="J87" i="480"/>
  <c r="J81" i="482"/>
  <c r="J82" i="480"/>
  <c r="J90" i="480"/>
  <c r="J86" i="482"/>
  <c r="J81" i="480"/>
  <c r="H124" i="482"/>
  <c r="J97" i="482"/>
  <c r="J97" i="480"/>
  <c r="J87" i="481"/>
  <c r="E125" i="481"/>
  <c r="G124" i="480"/>
  <c r="J88" i="481"/>
  <c r="J92" i="482"/>
  <c r="D123" i="482"/>
  <c r="G125" i="482"/>
  <c r="E124" i="482"/>
  <c r="J79" i="482"/>
  <c r="D123" i="481"/>
  <c r="F124" i="481"/>
  <c r="G125" i="480"/>
  <c r="J79" i="481"/>
  <c r="J94" i="482"/>
  <c r="F124" i="482"/>
  <c r="D124" i="481"/>
  <c r="J94" i="480"/>
  <c r="G124" i="481"/>
  <c r="F124" i="480"/>
  <c r="D91" i="482"/>
  <c r="G124" i="482"/>
  <c r="D125" i="481"/>
  <c r="I125" i="482"/>
  <c r="I124" i="481"/>
  <c r="D91" i="480"/>
  <c r="J85" i="482"/>
  <c r="D123" i="480"/>
  <c r="E125" i="482"/>
  <c r="J92" i="481"/>
  <c r="I125" i="480"/>
  <c r="I124" i="482"/>
  <c r="H125" i="481"/>
  <c r="D124" i="482"/>
  <c r="J79" i="480"/>
  <c r="E125" i="480"/>
  <c r="I125" i="481"/>
  <c r="I124" i="480"/>
  <c r="H125" i="482"/>
  <c r="H125" i="480"/>
  <c r="H124" i="480"/>
  <c r="H124" i="481"/>
  <c r="J85" i="480"/>
  <c r="F125" i="480"/>
  <c r="E124" i="480"/>
  <c r="G125" i="481"/>
  <c r="D124" i="480"/>
  <c r="F125" i="481"/>
  <c r="E124" i="481"/>
  <c r="J79" i="652"/>
  <c r="J78" i="656"/>
  <c r="F420" i="653"/>
  <c r="J86" i="656"/>
  <c r="J80" i="656"/>
  <c r="J85" i="652"/>
  <c r="J69" i="656"/>
  <c r="J77" i="652"/>
  <c r="J71" i="652"/>
  <c r="J78" i="652"/>
  <c r="J71" i="656"/>
  <c r="J76" i="652"/>
  <c r="J76" i="656"/>
  <c r="J85" i="656"/>
  <c r="J75" i="652"/>
  <c r="J79" i="656"/>
  <c r="J72" i="656"/>
  <c r="J82" i="652"/>
  <c r="J75" i="656"/>
  <c r="J72" i="652"/>
  <c r="J82" i="656"/>
  <c r="J83" i="656"/>
  <c r="J69" i="652"/>
  <c r="J87" i="656"/>
  <c r="J70" i="656"/>
  <c r="J73" i="656"/>
  <c r="J83" i="652"/>
  <c r="J87" i="652"/>
  <c r="J70" i="652"/>
  <c r="J73" i="652"/>
  <c r="J86" i="652"/>
  <c r="J80" i="652"/>
  <c r="J77" i="656"/>
  <c r="D81" i="652"/>
  <c r="D33" i="652" s="1"/>
  <c r="J84" i="652"/>
  <c r="D81" i="656"/>
  <c r="J84" i="656"/>
  <c r="D116" i="652"/>
  <c r="D116" i="656"/>
  <c r="E397" i="502"/>
  <c r="E418" i="502" s="1"/>
  <c r="F397" i="508"/>
  <c r="F418" i="508" s="1"/>
  <c r="F393" i="502"/>
  <c r="F414" i="502" s="1"/>
  <c r="F397" i="502"/>
  <c r="F418" i="502" s="1"/>
  <c r="F393" i="508"/>
  <c r="F414" i="508" s="1"/>
  <c r="E397" i="508"/>
  <c r="E418" i="508" s="1"/>
  <c r="F397" i="200"/>
  <c r="F418" i="200" s="1"/>
  <c r="E397" i="200"/>
  <c r="E418" i="200" s="1"/>
  <c r="G402" i="653"/>
  <c r="G420" i="653" s="1"/>
  <c r="J383" i="653"/>
  <c r="J404" i="653" s="1"/>
  <c r="J381" i="653"/>
  <c r="J402" i="653" s="1"/>
  <c r="D402" i="653"/>
  <c r="D420" i="653" s="1"/>
  <c r="D399" i="653"/>
  <c r="H402" i="653"/>
  <c r="H420" i="653" s="1"/>
  <c r="H399" i="653"/>
  <c r="F399" i="653"/>
  <c r="E399" i="653"/>
  <c r="E420" i="653"/>
  <c r="N23" i="62"/>
  <c r="N24" i="62"/>
  <c r="N12" i="62"/>
  <c r="N11" i="62"/>
  <c r="N22" i="62"/>
  <c r="E149" i="120"/>
  <c r="I399" i="653"/>
  <c r="I420" i="653"/>
  <c r="J384" i="653"/>
  <c r="J405" i="653" s="1"/>
  <c r="F441" i="657"/>
  <c r="J440" i="657"/>
  <c r="I43" i="127"/>
  <c r="I44" i="127" s="1"/>
  <c r="J38" i="127"/>
  <c r="J41" i="127" s="1"/>
  <c r="H389" i="127"/>
  <c r="F116" i="652"/>
  <c r="G123" i="639"/>
  <c r="G122" i="639" s="1"/>
  <c r="I135" i="639"/>
  <c r="I161" i="639" s="1"/>
  <c r="H135" i="639"/>
  <c r="H161" i="639" s="1"/>
  <c r="H115" i="639"/>
  <c r="H165" i="639" s="1"/>
  <c r="I115" i="639"/>
  <c r="I165" i="639" s="1"/>
  <c r="E117" i="652"/>
  <c r="E116" i="652"/>
  <c r="E116" i="656"/>
  <c r="E117" i="656"/>
  <c r="D115" i="656"/>
  <c r="F117" i="652"/>
  <c r="F117" i="656"/>
  <c r="D115" i="652"/>
  <c r="F116" i="656"/>
  <c r="G441" i="657"/>
  <c r="W137" i="129"/>
  <c r="I116" i="656"/>
  <c r="H117" i="652"/>
  <c r="H117" i="656"/>
  <c r="H116" i="652"/>
  <c r="H116" i="656"/>
  <c r="I117" i="652"/>
  <c r="I117" i="656"/>
  <c r="I116" i="652"/>
  <c r="F393" i="202"/>
  <c r="F414" i="202" s="1"/>
  <c r="E397" i="202"/>
  <c r="E418" i="202" s="1"/>
  <c r="F397" i="202"/>
  <c r="F418" i="202" s="1"/>
  <c r="E143" i="639"/>
  <c r="G204" i="81"/>
  <c r="J129" i="211"/>
  <c r="F209" i="81"/>
  <c r="G209" i="81"/>
  <c r="I209" i="81"/>
  <c r="V124" i="129"/>
  <c r="V123" i="129"/>
  <c r="I204" i="81"/>
  <c r="H204" i="81"/>
  <c r="H209" i="81"/>
  <c r="F204" i="81"/>
  <c r="E204" i="81"/>
  <c r="E209" i="81"/>
  <c r="G182" i="81"/>
  <c r="F181" i="81"/>
  <c r="F187" i="81"/>
  <c r="I182" i="81"/>
  <c r="F183" i="81"/>
  <c r="G187" i="81"/>
  <c r="E183" i="81"/>
  <c r="E181" i="81"/>
  <c r="G181" i="81"/>
  <c r="E182" i="81"/>
  <c r="H183" i="81"/>
  <c r="G183" i="81"/>
  <c r="F182" i="81"/>
  <c r="E187" i="81"/>
  <c r="I183" i="81"/>
  <c r="H181" i="81"/>
  <c r="I181" i="81"/>
  <c r="H182" i="81"/>
  <c r="M122" i="130"/>
  <c r="M146" i="130" s="1"/>
  <c r="U146" i="130"/>
  <c r="G179" i="130" s="1"/>
  <c r="F149" i="120"/>
  <c r="E135" i="473"/>
  <c r="E129" i="473"/>
  <c r="F134" i="211"/>
  <c r="N128" i="130"/>
  <c r="N139" i="130"/>
  <c r="N135" i="130" s="1"/>
  <c r="F116" i="211"/>
  <c r="F164" i="211" s="1"/>
  <c r="E121" i="211"/>
  <c r="F127" i="211"/>
  <c r="N117" i="130"/>
  <c r="N114" i="130" s="1"/>
  <c r="E118" i="473"/>
  <c r="N101" i="62"/>
  <c r="N103" i="62"/>
  <c r="N104" i="62"/>
  <c r="N80" i="62"/>
  <c r="N105" i="62"/>
  <c r="N94" i="62"/>
  <c r="N84" i="62"/>
  <c r="N95" i="62"/>
  <c r="P115" i="130"/>
  <c r="W122" i="130"/>
  <c r="V136" i="130"/>
  <c r="V135" i="130" s="1"/>
  <c r="W115" i="130"/>
  <c r="W114" i="130" s="1"/>
  <c r="X114" i="130" s="1"/>
  <c r="W136" i="130"/>
  <c r="W135" i="130" s="1"/>
  <c r="F164" i="473"/>
  <c r="P136" i="130"/>
  <c r="O136" i="130"/>
  <c r="G166" i="473"/>
  <c r="E164" i="473"/>
  <c r="V122" i="130"/>
  <c r="O115" i="130"/>
  <c r="Q115" i="129"/>
  <c r="G162" i="473"/>
  <c r="G115" i="130"/>
  <c r="G221" i="130" s="1"/>
  <c r="F139" i="130"/>
  <c r="F117" i="130"/>
  <c r="G136" i="130"/>
  <c r="G217" i="130" s="1"/>
  <c r="F128" i="130"/>
  <c r="F218" i="130" s="1"/>
  <c r="W136" i="129"/>
  <c r="X136" i="129" s="1"/>
  <c r="N48" i="62"/>
  <c r="N50" i="62"/>
  <c r="N56" i="62"/>
  <c r="N51" i="62"/>
  <c r="N54" i="62"/>
  <c r="N53" i="62"/>
  <c r="N52" i="62"/>
  <c r="N55" i="62"/>
  <c r="E162" i="158"/>
  <c r="E133" i="445"/>
  <c r="X126" i="120"/>
  <c r="Q123" i="120"/>
  <c r="R123" i="120"/>
  <c r="Q136" i="120"/>
  <c r="J130" i="130"/>
  <c r="Q137" i="129"/>
  <c r="E122" i="130"/>
  <c r="Q137" i="130"/>
  <c r="T146" i="130"/>
  <c r="F179" i="130" s="1"/>
  <c r="X116" i="129"/>
  <c r="L146" i="130"/>
  <c r="X137" i="130"/>
  <c r="Q116" i="130"/>
  <c r="X116" i="130"/>
  <c r="X124" i="130"/>
  <c r="Q140" i="130"/>
  <c r="E114" i="130"/>
  <c r="X124" i="120"/>
  <c r="X125" i="120"/>
  <c r="X136" i="120"/>
  <c r="X137" i="120"/>
  <c r="E162" i="129"/>
  <c r="F133" i="445"/>
  <c r="D19" i="79"/>
  <c r="F204" i="120"/>
  <c r="N9" i="62"/>
  <c r="E172" i="129"/>
  <c r="L76" i="113"/>
  <c r="K76" i="113"/>
  <c r="M68" i="113"/>
  <c r="M76" i="113" s="1"/>
  <c r="I42" i="113"/>
  <c r="J40" i="113"/>
  <c r="K66" i="113"/>
  <c r="H180" i="81"/>
  <c r="F14" i="62"/>
  <c r="P14" i="62" s="1"/>
  <c r="G180" i="81"/>
  <c r="F185" i="81"/>
  <c r="E185" i="81"/>
  <c r="D185" i="81"/>
  <c r="I187" i="81"/>
  <c r="F180" i="81"/>
  <c r="D183" i="81"/>
  <c r="D182" i="81"/>
  <c r="D180" i="81"/>
  <c r="I180" i="81"/>
  <c r="D187" i="81"/>
  <c r="H185" i="81"/>
  <c r="E180" i="81"/>
  <c r="H187" i="81"/>
  <c r="G185" i="81"/>
  <c r="I185" i="81"/>
  <c r="D181" i="81"/>
  <c r="E204" i="120"/>
  <c r="J160" i="129"/>
  <c r="J22" i="113"/>
  <c r="K55" i="113" s="1"/>
  <c r="K20" i="113"/>
  <c r="L53" i="113" s="1"/>
  <c r="O53" i="113" s="1"/>
  <c r="J39" i="113"/>
  <c r="K37" i="70"/>
  <c r="N37" i="70" s="1"/>
  <c r="F167" i="129"/>
  <c r="F172" i="129" s="1"/>
  <c r="F224" i="129"/>
  <c r="H193" i="81"/>
  <c r="H160" i="203"/>
  <c r="H161" i="158"/>
  <c r="I216" i="129"/>
  <c r="I160" i="203"/>
  <c r="I161" i="158"/>
  <c r="G72" i="62"/>
  <c r="F72" i="62"/>
  <c r="F70" i="62"/>
  <c r="G69" i="62"/>
  <c r="G29" i="62"/>
  <c r="I191" i="81"/>
  <c r="J191" i="81" s="1"/>
  <c r="F30" i="62"/>
  <c r="P30" i="62" s="1"/>
  <c r="F160" i="158"/>
  <c r="T11" i="485"/>
  <c r="D142" i="203"/>
  <c r="G18" i="62"/>
  <c r="H218" i="129"/>
  <c r="I140" i="130"/>
  <c r="O124" i="130"/>
  <c r="P124" i="130"/>
  <c r="L162" i="129"/>
  <c r="G163" i="203"/>
  <c r="G114" i="203"/>
  <c r="H116" i="130"/>
  <c r="N15" i="62"/>
  <c r="N47" i="62"/>
  <c r="N37" i="62"/>
  <c r="N35" i="62"/>
  <c r="N16" i="62"/>
  <c r="N41" i="62"/>
  <c r="N21" i="62"/>
  <c r="N31" i="62"/>
  <c r="N40" i="62"/>
  <c r="N18" i="62"/>
  <c r="N6" i="62"/>
  <c r="N33" i="62"/>
  <c r="N44" i="62"/>
  <c r="N45" i="62"/>
  <c r="N39" i="62"/>
  <c r="N32" i="62"/>
  <c r="N29" i="62"/>
  <c r="N28" i="62"/>
  <c r="N10" i="62"/>
  <c r="N43" i="62"/>
  <c r="N36" i="62"/>
  <c r="N42" i="62"/>
  <c r="N5" i="62"/>
  <c r="N46" i="62"/>
  <c r="N17" i="62"/>
  <c r="N7" i="62"/>
  <c r="N38" i="62"/>
  <c r="N30" i="62"/>
  <c r="N107" i="62"/>
  <c r="N34" i="62"/>
  <c r="N27" i="62"/>
  <c r="N20" i="62"/>
  <c r="N14" i="62"/>
  <c r="H140" i="130"/>
  <c r="G160" i="158"/>
  <c r="I164" i="203"/>
  <c r="J115" i="203"/>
  <c r="J164" i="203" s="1"/>
  <c r="T5" i="485" s="1"/>
  <c r="G124" i="130"/>
  <c r="H135" i="203"/>
  <c r="G215" i="129"/>
  <c r="G162" i="203"/>
  <c r="I116" i="130"/>
  <c r="H219" i="129"/>
  <c r="H116" i="203"/>
  <c r="I135" i="203"/>
  <c r="P129" i="130"/>
  <c r="O129" i="130"/>
  <c r="G164" i="158"/>
  <c r="I165" i="158"/>
  <c r="J165" i="158"/>
  <c r="T3" i="485" s="1"/>
  <c r="I37" i="113"/>
  <c r="G119" i="130"/>
  <c r="G129" i="130"/>
  <c r="F163" i="203"/>
  <c r="F114" i="203"/>
  <c r="J220" i="129"/>
  <c r="J18" i="113"/>
  <c r="K51" i="113" s="1"/>
  <c r="P119" i="130"/>
  <c r="O119" i="130"/>
  <c r="D133" i="445"/>
  <c r="F164" i="158"/>
  <c r="G14" i="62"/>
  <c r="S162" i="129"/>
  <c r="G133" i="203"/>
  <c r="G159" i="203"/>
  <c r="S172" i="129"/>
  <c r="F133" i="203"/>
  <c r="F159" i="203"/>
  <c r="I137" i="130"/>
  <c r="G141" i="130"/>
  <c r="F9" i="62"/>
  <c r="J36" i="113"/>
  <c r="G163" i="158"/>
  <c r="H137" i="130"/>
  <c r="P141" i="130"/>
  <c r="O141" i="130"/>
  <c r="H279" i="743" l="1"/>
  <c r="H73" i="743"/>
  <c r="H243" i="743"/>
  <c r="H149" i="743"/>
  <c r="H71" i="743"/>
  <c r="H183" i="743"/>
  <c r="H140" i="743"/>
  <c r="H111" i="743"/>
  <c r="H103" i="743"/>
  <c r="H139" i="743"/>
  <c r="H209" i="743"/>
  <c r="H142" i="743"/>
  <c r="H246" i="743"/>
  <c r="H105" i="743"/>
  <c r="H174" i="743"/>
  <c r="H41" i="743"/>
  <c r="H69" i="743"/>
  <c r="H39" i="743"/>
  <c r="H208" i="743"/>
  <c r="H77" i="743"/>
  <c r="H252" i="743"/>
  <c r="H276" i="743"/>
  <c r="H13" i="743"/>
  <c r="H280" i="743"/>
  <c r="H211" i="743"/>
  <c r="H38" i="743"/>
  <c r="H177" i="743"/>
  <c r="H218" i="743"/>
  <c r="H143" i="743"/>
  <c r="H68" i="743"/>
  <c r="H286" i="743"/>
  <c r="H175" i="743"/>
  <c r="H72" i="743"/>
  <c r="H45" i="743"/>
  <c r="H277" i="743"/>
  <c r="H102" i="743"/>
  <c r="H212" i="743"/>
  <c r="C9" i="858"/>
  <c r="H106" i="743"/>
  <c r="H178" i="743"/>
  <c r="H213" i="743"/>
  <c r="W362" i="825"/>
  <c r="H432" i="743"/>
  <c r="J360" i="814"/>
  <c r="D43" i="480"/>
  <c r="D120" i="480" s="1"/>
  <c r="D43" i="481"/>
  <c r="D120" i="481" s="1"/>
  <c r="W115" i="825"/>
  <c r="W184" i="825"/>
  <c r="W177" i="825" s="1"/>
  <c r="V509" i="825"/>
  <c r="V510" i="825"/>
  <c r="V511" i="825"/>
  <c r="W119" i="825"/>
  <c r="V516" i="825"/>
  <c r="V517" i="825"/>
  <c r="W16" i="825"/>
  <c r="W159" i="825"/>
  <c r="W285" i="825"/>
  <c r="W276" i="825" s="1"/>
  <c r="W215" i="825"/>
  <c r="W205" i="825" s="1"/>
  <c r="W86" i="825"/>
  <c r="W255" i="825"/>
  <c r="W51" i="825"/>
  <c r="W149" i="825"/>
  <c r="W139" i="825" s="1"/>
  <c r="W152" i="825"/>
  <c r="W58" i="825"/>
  <c r="W59" i="825"/>
  <c r="W60" i="825"/>
  <c r="W259" i="825"/>
  <c r="V515" i="825"/>
  <c r="V514" i="825"/>
  <c r="W289" i="825"/>
  <c r="W281" i="825" s="1"/>
  <c r="W218" i="825"/>
  <c r="W12" i="825"/>
  <c r="W4" i="825" s="1"/>
  <c r="J137" i="639"/>
  <c r="V513" i="825"/>
  <c r="V512" i="825"/>
  <c r="W187" i="825"/>
  <c r="W225" i="825"/>
  <c r="W153" i="825"/>
  <c r="W144" i="825" s="1"/>
  <c r="W46" i="825"/>
  <c r="W38" i="825" s="1"/>
  <c r="W295" i="825"/>
  <c r="W185" i="825"/>
  <c r="W52" i="825"/>
  <c r="W20" i="825"/>
  <c r="W112" i="825"/>
  <c r="W104" i="825" s="1"/>
  <c r="W219" i="825"/>
  <c r="W210" i="825" s="1"/>
  <c r="W47" i="825"/>
  <c r="W48" i="825"/>
  <c r="W49" i="825"/>
  <c r="W13" i="825"/>
  <c r="W191" i="825"/>
  <c r="W113" i="825"/>
  <c r="W150" i="825"/>
  <c r="W216" i="825"/>
  <c r="W286" i="825"/>
  <c r="W288" i="825"/>
  <c r="W53" i="825"/>
  <c r="W252" i="825"/>
  <c r="W245" i="825" s="1"/>
  <c r="G134" i="639"/>
  <c r="F143" i="639"/>
  <c r="G114" i="639"/>
  <c r="G47" i="823"/>
  <c r="E47" i="823"/>
  <c r="I47" i="823"/>
  <c r="D47" i="823"/>
  <c r="H47" i="823"/>
  <c r="F47" i="823"/>
  <c r="D48" i="823"/>
  <c r="E48" i="823"/>
  <c r="H48" i="823"/>
  <c r="G48" i="823"/>
  <c r="F48" i="823"/>
  <c r="I48" i="823"/>
  <c r="F114" i="130"/>
  <c r="F220" i="130"/>
  <c r="D62" i="823"/>
  <c r="G62" i="823"/>
  <c r="N62" i="823" s="1"/>
  <c r="U62" i="823" s="1"/>
  <c r="H62" i="823"/>
  <c r="O62" i="823" s="1"/>
  <c r="V62" i="823" s="1"/>
  <c r="F62" i="823"/>
  <c r="M62" i="823" s="1"/>
  <c r="T62" i="823" s="1"/>
  <c r="I62" i="823"/>
  <c r="P62" i="823" s="1"/>
  <c r="W62" i="823" s="1"/>
  <c r="E62" i="823"/>
  <c r="L62" i="823" s="1"/>
  <c r="S62" i="823" s="1"/>
  <c r="I95" i="823"/>
  <c r="G95" i="823"/>
  <c r="D95" i="823"/>
  <c r="E95" i="823"/>
  <c r="H95" i="823"/>
  <c r="F95" i="823"/>
  <c r="E84" i="823"/>
  <c r="H84" i="823"/>
  <c r="G84" i="823"/>
  <c r="I84" i="823"/>
  <c r="F84" i="823"/>
  <c r="D84" i="823"/>
  <c r="J71" i="481"/>
  <c r="J126" i="481" s="1"/>
  <c r="J208" i="81"/>
  <c r="H46" i="823"/>
  <c r="I46" i="823"/>
  <c r="G46" i="823"/>
  <c r="F46" i="823"/>
  <c r="D46" i="823"/>
  <c r="E46" i="823"/>
  <c r="H135" i="742"/>
  <c r="H137" i="163"/>
  <c r="H138" i="473"/>
  <c r="I128" i="639"/>
  <c r="I127" i="639" s="1"/>
  <c r="I162" i="639" s="1"/>
  <c r="I128" i="211"/>
  <c r="I127" i="211" s="1"/>
  <c r="I162" i="211" s="1"/>
  <c r="F135" i="130"/>
  <c r="F216" i="130"/>
  <c r="H138" i="639"/>
  <c r="H136" i="639" s="1"/>
  <c r="H160" i="639" s="1"/>
  <c r="H138" i="211"/>
  <c r="H136" i="211" s="1"/>
  <c r="I30" i="823"/>
  <c r="F30" i="823"/>
  <c r="D30" i="823"/>
  <c r="H30" i="823"/>
  <c r="E30" i="823"/>
  <c r="G30" i="823"/>
  <c r="I33" i="823"/>
  <c r="G33" i="823"/>
  <c r="D33" i="823"/>
  <c r="E33" i="823"/>
  <c r="F33" i="823"/>
  <c r="H33" i="823"/>
  <c r="P123" i="130"/>
  <c r="I123" i="211"/>
  <c r="I122" i="211" s="1"/>
  <c r="I163" i="211" s="1"/>
  <c r="I125" i="473"/>
  <c r="I124" i="473" s="1"/>
  <c r="I138" i="639"/>
  <c r="I136" i="639" s="1"/>
  <c r="I160" i="639" s="1"/>
  <c r="I138" i="211"/>
  <c r="I136" i="211" s="1"/>
  <c r="H118" i="639"/>
  <c r="H116" i="639" s="1"/>
  <c r="H164" i="639" s="1"/>
  <c r="H118" i="211"/>
  <c r="H116" i="211" s="1"/>
  <c r="D38" i="823"/>
  <c r="F38" i="823"/>
  <c r="I38" i="823"/>
  <c r="H38" i="823"/>
  <c r="G38" i="823"/>
  <c r="E38" i="823"/>
  <c r="I6" i="823"/>
  <c r="G6" i="823"/>
  <c r="D6" i="823"/>
  <c r="E6" i="823"/>
  <c r="F6" i="823"/>
  <c r="H6" i="823"/>
  <c r="O123" i="130"/>
  <c r="H125" i="473"/>
  <c r="H124" i="473" s="1"/>
  <c r="H123" i="211"/>
  <c r="H122" i="211" s="1"/>
  <c r="H163" i="211" s="1"/>
  <c r="D94" i="823"/>
  <c r="G94" i="823"/>
  <c r="F94" i="823"/>
  <c r="H94" i="823"/>
  <c r="E94" i="823"/>
  <c r="I94" i="823"/>
  <c r="G117" i="742"/>
  <c r="G115" i="742" s="1"/>
  <c r="G161" i="742" s="1"/>
  <c r="G120" i="473"/>
  <c r="G118" i="163"/>
  <c r="G116" i="163" s="1"/>
  <c r="F56" i="823"/>
  <c r="E56" i="823"/>
  <c r="G56" i="823"/>
  <c r="D56" i="823"/>
  <c r="I56" i="823"/>
  <c r="H56" i="823"/>
  <c r="F45" i="823"/>
  <c r="E45" i="823"/>
  <c r="I45" i="823"/>
  <c r="H45" i="823"/>
  <c r="G45" i="823"/>
  <c r="D45" i="823"/>
  <c r="G61" i="823"/>
  <c r="E61" i="823"/>
  <c r="I61" i="823"/>
  <c r="H61" i="823"/>
  <c r="O61" i="823" s="1"/>
  <c r="V61" i="823" s="1"/>
  <c r="F61" i="823"/>
  <c r="M61" i="823" s="1"/>
  <c r="T61" i="823" s="1"/>
  <c r="D61" i="823"/>
  <c r="H133" i="742"/>
  <c r="H158" i="742" s="1"/>
  <c r="H135" i="163"/>
  <c r="I118" i="639"/>
  <c r="I116" i="639" s="1"/>
  <c r="I164" i="639" s="1"/>
  <c r="I118" i="211"/>
  <c r="I116" i="211" s="1"/>
  <c r="I114" i="742"/>
  <c r="I162" i="742" s="1"/>
  <c r="I115" i="163"/>
  <c r="E18" i="823"/>
  <c r="H18" i="823"/>
  <c r="G18" i="823"/>
  <c r="I18" i="823"/>
  <c r="F18" i="823"/>
  <c r="D18" i="823"/>
  <c r="I135" i="742"/>
  <c r="I138" i="473"/>
  <c r="I137" i="163"/>
  <c r="F105" i="823"/>
  <c r="E105" i="823"/>
  <c r="H105" i="823"/>
  <c r="I105" i="823"/>
  <c r="G105" i="823"/>
  <c r="D105" i="823"/>
  <c r="J184" i="81"/>
  <c r="F35" i="823"/>
  <c r="E35" i="823"/>
  <c r="D35" i="823"/>
  <c r="H35" i="823"/>
  <c r="G35" i="823"/>
  <c r="I35" i="823"/>
  <c r="G28" i="823"/>
  <c r="E28" i="823"/>
  <c r="I28" i="823"/>
  <c r="F28" i="823"/>
  <c r="H28" i="823"/>
  <c r="D28" i="823"/>
  <c r="H24" i="823"/>
  <c r="I24" i="823"/>
  <c r="G24" i="823"/>
  <c r="D24" i="823"/>
  <c r="F24" i="823"/>
  <c r="E24" i="823"/>
  <c r="I17" i="823"/>
  <c r="F17" i="823"/>
  <c r="E17" i="823"/>
  <c r="H17" i="823"/>
  <c r="G17" i="823"/>
  <c r="D17" i="823"/>
  <c r="I40" i="823"/>
  <c r="F40" i="823"/>
  <c r="H40" i="823"/>
  <c r="E40" i="823"/>
  <c r="D40" i="823"/>
  <c r="G40" i="823"/>
  <c r="I55" i="823"/>
  <c r="G55" i="823"/>
  <c r="D55" i="823"/>
  <c r="F55" i="823"/>
  <c r="E55" i="823"/>
  <c r="H55" i="823"/>
  <c r="G80" i="823"/>
  <c r="E80" i="823"/>
  <c r="I80" i="823"/>
  <c r="D80" i="823"/>
  <c r="H80" i="823"/>
  <c r="F80" i="823"/>
  <c r="J71" i="482"/>
  <c r="J126" i="482" s="1"/>
  <c r="H54" i="823"/>
  <c r="D54" i="823"/>
  <c r="G54" i="823"/>
  <c r="F54" i="823"/>
  <c r="I54" i="823"/>
  <c r="E54" i="823"/>
  <c r="I133" i="742"/>
  <c r="I158" i="742" s="1"/>
  <c r="I135" i="163"/>
  <c r="I160" i="163" s="1"/>
  <c r="G126" i="742"/>
  <c r="G128" i="163"/>
  <c r="G130" i="473"/>
  <c r="G129" i="473" s="1"/>
  <c r="G123" i="473" s="1"/>
  <c r="H36" i="823"/>
  <c r="G36" i="823"/>
  <c r="D36" i="823"/>
  <c r="F36" i="823"/>
  <c r="E36" i="823"/>
  <c r="I36" i="823"/>
  <c r="D16" i="823"/>
  <c r="H16" i="823"/>
  <c r="G16" i="823"/>
  <c r="E16" i="823"/>
  <c r="F16" i="823"/>
  <c r="I16" i="823"/>
  <c r="I22" i="823"/>
  <c r="G22" i="823"/>
  <c r="D22" i="823"/>
  <c r="F22" i="823"/>
  <c r="E22" i="823"/>
  <c r="H22" i="823"/>
  <c r="I52" i="823"/>
  <c r="F52" i="823"/>
  <c r="H52" i="823"/>
  <c r="E52" i="823"/>
  <c r="G52" i="823"/>
  <c r="D52" i="823"/>
  <c r="I104" i="823"/>
  <c r="G104" i="823"/>
  <c r="D104" i="823"/>
  <c r="E104" i="823"/>
  <c r="F104" i="823"/>
  <c r="H104" i="823"/>
  <c r="E53" i="823"/>
  <c r="H53" i="823"/>
  <c r="G53" i="823"/>
  <c r="I53" i="823"/>
  <c r="F53" i="823"/>
  <c r="D53" i="823"/>
  <c r="G136" i="742"/>
  <c r="G134" i="742" s="1"/>
  <c r="G157" i="742" s="1"/>
  <c r="G139" i="473"/>
  <c r="G138" i="163"/>
  <c r="G136" i="163" s="1"/>
  <c r="G122" i="742"/>
  <c r="G121" i="742" s="1"/>
  <c r="G160" i="742" s="1"/>
  <c r="G123" i="163"/>
  <c r="G122" i="163" s="1"/>
  <c r="I42" i="823"/>
  <c r="E42" i="823"/>
  <c r="G42" i="823"/>
  <c r="F42" i="823"/>
  <c r="D42" i="823"/>
  <c r="H42" i="823"/>
  <c r="F11" i="823"/>
  <c r="E11" i="823"/>
  <c r="H11" i="823"/>
  <c r="I11" i="823"/>
  <c r="D11" i="823"/>
  <c r="G11" i="823"/>
  <c r="G37" i="823"/>
  <c r="E37" i="823"/>
  <c r="I37" i="823"/>
  <c r="D37" i="823"/>
  <c r="H37" i="823"/>
  <c r="F37" i="823"/>
  <c r="H12" i="823"/>
  <c r="I12" i="823"/>
  <c r="F12" i="823"/>
  <c r="E12" i="823"/>
  <c r="D12" i="823"/>
  <c r="G12" i="823"/>
  <c r="H60" i="823"/>
  <c r="G60" i="823"/>
  <c r="I60" i="823"/>
  <c r="F60" i="823"/>
  <c r="E60" i="823"/>
  <c r="D60" i="823"/>
  <c r="J71" i="480"/>
  <c r="J126" i="480" s="1"/>
  <c r="E31" i="823"/>
  <c r="H31" i="823"/>
  <c r="G31" i="823"/>
  <c r="D31" i="823"/>
  <c r="I31" i="823"/>
  <c r="F31" i="823"/>
  <c r="F103" i="823"/>
  <c r="E103" i="823"/>
  <c r="I103" i="823"/>
  <c r="G103" i="823"/>
  <c r="D103" i="823"/>
  <c r="H103" i="823"/>
  <c r="I101" i="823"/>
  <c r="F101" i="823"/>
  <c r="G101" i="823"/>
  <c r="E101" i="823"/>
  <c r="H101" i="823"/>
  <c r="D101" i="823"/>
  <c r="E64" i="823"/>
  <c r="H64" i="823"/>
  <c r="G64" i="823"/>
  <c r="I64" i="823"/>
  <c r="D64" i="823"/>
  <c r="F64" i="823"/>
  <c r="E41" i="823"/>
  <c r="H41" i="823"/>
  <c r="G41" i="823"/>
  <c r="D41" i="823"/>
  <c r="I41" i="823"/>
  <c r="F41" i="823"/>
  <c r="I43" i="823"/>
  <c r="G43" i="823"/>
  <c r="D43" i="823"/>
  <c r="H43" i="823"/>
  <c r="E43" i="823"/>
  <c r="F43" i="823"/>
  <c r="D29" i="823"/>
  <c r="G29" i="823"/>
  <c r="H29" i="823"/>
  <c r="F29" i="823"/>
  <c r="I29" i="823"/>
  <c r="E29" i="823"/>
  <c r="G15" i="823"/>
  <c r="E15" i="823"/>
  <c r="I15" i="823"/>
  <c r="H15" i="823"/>
  <c r="D15" i="823"/>
  <c r="F15" i="823"/>
  <c r="F23" i="823"/>
  <c r="E23" i="823"/>
  <c r="G23" i="823"/>
  <c r="H23" i="823"/>
  <c r="D23" i="823"/>
  <c r="I23" i="823"/>
  <c r="F32" i="823"/>
  <c r="I32" i="823"/>
  <c r="H32" i="823"/>
  <c r="G32" i="823"/>
  <c r="E32" i="823"/>
  <c r="D32" i="823"/>
  <c r="H114" i="742"/>
  <c r="H115" i="163"/>
  <c r="H128" i="639"/>
  <c r="H127" i="639" s="1"/>
  <c r="H162" i="639" s="1"/>
  <c r="H128" i="211"/>
  <c r="I63" i="823"/>
  <c r="P63" i="823" s="1"/>
  <c r="W63" i="823" s="1"/>
  <c r="F63" i="823"/>
  <c r="H63" i="823"/>
  <c r="G63" i="823"/>
  <c r="N63" i="823" s="1"/>
  <c r="U63" i="823" s="1"/>
  <c r="D63" i="823"/>
  <c r="E63" i="823"/>
  <c r="E387" i="743"/>
  <c r="J360" i="815"/>
  <c r="E461" i="743"/>
  <c r="H461" i="743" s="1"/>
  <c r="E431" i="743"/>
  <c r="E238" i="743"/>
  <c r="H238" i="743" s="1"/>
  <c r="E435" i="743"/>
  <c r="H435" i="743" s="1"/>
  <c r="E326" i="743"/>
  <c r="E133" i="743"/>
  <c r="H133" i="743" s="1"/>
  <c r="E32" i="743"/>
  <c r="F364" i="813"/>
  <c r="E352" i="815"/>
  <c r="G354" i="815"/>
  <c r="G354" i="813"/>
  <c r="G353" i="813" s="1"/>
  <c r="G354" i="814"/>
  <c r="G353" i="814" s="1"/>
  <c r="H367" i="814"/>
  <c r="H367" i="815"/>
  <c r="H367" i="813"/>
  <c r="F352" i="815"/>
  <c r="F373" i="815" s="1"/>
  <c r="G350" i="814"/>
  <c r="G348" i="814" s="1"/>
  <c r="G346" i="814" s="1"/>
  <c r="G350" i="813"/>
  <c r="G348" i="813" s="1"/>
  <c r="G346" i="813" s="1"/>
  <c r="G350" i="815"/>
  <c r="E352" i="814"/>
  <c r="E373" i="814" s="1"/>
  <c r="E352" i="813"/>
  <c r="I365" i="813"/>
  <c r="I365" i="814"/>
  <c r="I365" i="815"/>
  <c r="G359" i="815"/>
  <c r="G358" i="815" s="1"/>
  <c r="G359" i="813"/>
  <c r="G358" i="813" s="1"/>
  <c r="G359" i="814"/>
  <c r="H347" i="815"/>
  <c r="H347" i="814"/>
  <c r="H347" i="813"/>
  <c r="F352" i="814"/>
  <c r="F373" i="814" s="1"/>
  <c r="E346" i="813"/>
  <c r="G368" i="813"/>
  <c r="G366" i="813" s="1"/>
  <c r="G368" i="814"/>
  <c r="G366" i="814" s="1"/>
  <c r="G368" i="815"/>
  <c r="G366" i="815" s="1"/>
  <c r="J360" i="813"/>
  <c r="E346" i="815"/>
  <c r="H365" i="815"/>
  <c r="H365" i="813"/>
  <c r="H365" i="814"/>
  <c r="I347" i="813"/>
  <c r="I347" i="815"/>
  <c r="I347" i="814"/>
  <c r="I367" i="815"/>
  <c r="I367" i="813"/>
  <c r="I367" i="814"/>
  <c r="F358" i="813"/>
  <c r="E202" i="743"/>
  <c r="H202" i="743" s="1"/>
  <c r="E354" i="743"/>
  <c r="E407" i="743"/>
  <c r="E408" i="743"/>
  <c r="H408" i="743" s="1"/>
  <c r="E62" i="743"/>
  <c r="E329" i="743"/>
  <c r="H329" i="743" s="1"/>
  <c r="E457" i="743"/>
  <c r="E382" i="743"/>
  <c r="H382" i="743" s="1"/>
  <c r="E350" i="743"/>
  <c r="E131" i="743"/>
  <c r="H131" i="743" s="1"/>
  <c r="E406" i="743"/>
  <c r="E328" i="743"/>
  <c r="E353" i="743"/>
  <c r="E200" i="743"/>
  <c r="H200" i="743" s="1"/>
  <c r="E403" i="743"/>
  <c r="J26" i="81"/>
  <c r="J209" i="81"/>
  <c r="H22" i="485" s="1"/>
  <c r="C13" i="631" s="1"/>
  <c r="C12" i="858" s="1"/>
  <c r="E434" i="743"/>
  <c r="E334" i="743"/>
  <c r="E460" i="743"/>
  <c r="E459" i="743"/>
  <c r="E169" i="743"/>
  <c r="H169" i="743" s="1"/>
  <c r="E378" i="743"/>
  <c r="E355" i="743"/>
  <c r="H355" i="743" s="1"/>
  <c r="E270" i="743"/>
  <c r="H270" i="743" s="1"/>
  <c r="E413" i="743"/>
  <c r="E379" i="743"/>
  <c r="E466" i="743"/>
  <c r="E404" i="743"/>
  <c r="E381" i="743"/>
  <c r="E351" i="743"/>
  <c r="E440" i="743"/>
  <c r="E325" i="743"/>
  <c r="E94" i="743"/>
  <c r="H94" i="743" s="1"/>
  <c r="E360" i="743"/>
  <c r="E268" i="743"/>
  <c r="H268" i="743" s="1"/>
  <c r="E456" i="743"/>
  <c r="J183" i="81"/>
  <c r="J204" i="81"/>
  <c r="J210" i="81"/>
  <c r="I22" i="485" s="1"/>
  <c r="C14" i="631" s="1"/>
  <c r="C13" i="858" s="1"/>
  <c r="J185" i="81"/>
  <c r="J187" i="81"/>
  <c r="J205" i="81"/>
  <c r="D22" i="485" s="1"/>
  <c r="C6" i="631" s="1"/>
  <c r="C5" i="858" s="1"/>
  <c r="J180" i="81"/>
  <c r="J182" i="81"/>
  <c r="J188" i="81"/>
  <c r="J181" i="81"/>
  <c r="E222" i="81"/>
  <c r="E226" i="81" s="1"/>
  <c r="G222" i="81"/>
  <c r="G226" i="81" s="1"/>
  <c r="J186" i="81"/>
  <c r="F222" i="81"/>
  <c r="F226" i="81" s="1"/>
  <c r="D20" i="81"/>
  <c r="D107" i="81" s="1"/>
  <c r="R165" i="823" s="1"/>
  <c r="J58" i="81"/>
  <c r="H222" i="81"/>
  <c r="J212" i="81"/>
  <c r="I222" i="81"/>
  <c r="I226" i="81" s="1"/>
  <c r="J9" i="81"/>
  <c r="F346" i="743"/>
  <c r="J360" i="502"/>
  <c r="J360" i="508"/>
  <c r="J360" i="202"/>
  <c r="J129" i="163"/>
  <c r="E143" i="163"/>
  <c r="E161" i="163"/>
  <c r="E364" i="200"/>
  <c r="E364" i="202"/>
  <c r="E364" i="508"/>
  <c r="E364" i="502"/>
  <c r="E346" i="508"/>
  <c r="E346" i="502"/>
  <c r="E346" i="202"/>
  <c r="E163" i="163"/>
  <c r="E352" i="200"/>
  <c r="E352" i="502"/>
  <c r="E352" i="202"/>
  <c r="E352" i="508"/>
  <c r="F136" i="163"/>
  <c r="G160" i="163"/>
  <c r="J360" i="200"/>
  <c r="G164" i="163"/>
  <c r="F366" i="200"/>
  <c r="F366" i="502"/>
  <c r="F366" i="508"/>
  <c r="F366" i="202"/>
  <c r="F392" i="202" s="1"/>
  <c r="F413" i="202" s="1"/>
  <c r="F353" i="502"/>
  <c r="F353" i="508"/>
  <c r="F353" i="202"/>
  <c r="F353" i="200"/>
  <c r="F352" i="200" s="1"/>
  <c r="F162" i="163"/>
  <c r="F121" i="163"/>
  <c r="F348" i="508"/>
  <c r="F348" i="202"/>
  <c r="F348" i="200"/>
  <c r="F348" i="502"/>
  <c r="F116" i="163"/>
  <c r="I367" i="200"/>
  <c r="I367" i="502"/>
  <c r="I367" i="508"/>
  <c r="I367" i="202"/>
  <c r="H347" i="202"/>
  <c r="H347" i="508"/>
  <c r="H347" i="502"/>
  <c r="H347" i="200"/>
  <c r="H367" i="508"/>
  <c r="H367" i="200"/>
  <c r="H367" i="502"/>
  <c r="H367" i="202"/>
  <c r="G354" i="502"/>
  <c r="G353" i="502" s="1"/>
  <c r="G354" i="508"/>
  <c r="G354" i="200"/>
  <c r="G354" i="202"/>
  <c r="I347" i="202"/>
  <c r="I397" i="202" s="1"/>
  <c r="I418" i="202" s="1"/>
  <c r="I347" i="508"/>
  <c r="I347" i="502"/>
  <c r="I347" i="200"/>
  <c r="G350" i="200"/>
  <c r="G348" i="200" s="1"/>
  <c r="G346" i="200" s="1"/>
  <c r="G350" i="202"/>
  <c r="G348" i="202" s="1"/>
  <c r="G346" i="202" s="1"/>
  <c r="G350" i="508"/>
  <c r="G348" i="508" s="1"/>
  <c r="G346" i="508" s="1"/>
  <c r="G350" i="502"/>
  <c r="G348" i="502" s="1"/>
  <c r="G346" i="502" s="1"/>
  <c r="G359" i="200"/>
  <c r="G359" i="202"/>
  <c r="G359" i="502"/>
  <c r="G359" i="508"/>
  <c r="I365" i="200"/>
  <c r="I365" i="202"/>
  <c r="I365" i="508"/>
  <c r="I365" i="502"/>
  <c r="G368" i="200"/>
  <c r="G366" i="200" s="1"/>
  <c r="G364" i="200" s="1"/>
  <c r="G368" i="508"/>
  <c r="G366" i="508" s="1"/>
  <c r="G392" i="508" s="1"/>
  <c r="G413" i="508" s="1"/>
  <c r="G368" i="502"/>
  <c r="G366" i="502" s="1"/>
  <c r="G368" i="202"/>
  <c r="G366" i="202" s="1"/>
  <c r="G364" i="202" s="1"/>
  <c r="H365" i="502"/>
  <c r="H365" i="200"/>
  <c r="H393" i="200" s="1"/>
  <c r="H414" i="200" s="1"/>
  <c r="H365" i="202"/>
  <c r="H365" i="508"/>
  <c r="O64" i="129"/>
  <c r="V64" i="129" s="1"/>
  <c r="P63" i="129"/>
  <c r="W63" i="129" s="1"/>
  <c r="L63" i="129"/>
  <c r="S63" i="129" s="1"/>
  <c r="M63" i="129"/>
  <c r="T63" i="129" s="1"/>
  <c r="M62" i="129"/>
  <c r="T62" i="129" s="1"/>
  <c r="F20" i="81"/>
  <c r="F107" i="81" s="1"/>
  <c r="T165" i="823" s="1"/>
  <c r="I20" i="81"/>
  <c r="I107" i="81" s="1"/>
  <c r="W165" i="823" s="1"/>
  <c r="H20" i="81"/>
  <c r="H107" i="81" s="1"/>
  <c r="V165" i="823" s="1"/>
  <c r="D222" i="81"/>
  <c r="D226" i="81" s="1"/>
  <c r="E20" i="81"/>
  <c r="E107" i="81" s="1"/>
  <c r="S165" i="823" s="1"/>
  <c r="G20" i="81"/>
  <c r="G107" i="81" s="1"/>
  <c r="U165" i="823" s="1"/>
  <c r="G123" i="130"/>
  <c r="G219" i="130" s="1"/>
  <c r="J127" i="742"/>
  <c r="F120" i="742"/>
  <c r="G158" i="742"/>
  <c r="E159" i="742"/>
  <c r="E141" i="742"/>
  <c r="F157" i="742"/>
  <c r="F132" i="742"/>
  <c r="E161" i="742"/>
  <c r="G162" i="742"/>
  <c r="F161" i="742"/>
  <c r="F113" i="742"/>
  <c r="G400" i="653"/>
  <c r="C10" i="631"/>
  <c r="F400" i="653"/>
  <c r="G121" i="639"/>
  <c r="G163" i="639"/>
  <c r="F121" i="211"/>
  <c r="F162" i="211"/>
  <c r="G114" i="211"/>
  <c r="G164" i="211"/>
  <c r="I400" i="653"/>
  <c r="E400" i="653"/>
  <c r="G43" i="480"/>
  <c r="G120" i="480" s="1"/>
  <c r="G140" i="480"/>
  <c r="J78" i="480"/>
  <c r="J123" i="480" s="1"/>
  <c r="J84" i="482"/>
  <c r="J124" i="482" s="1"/>
  <c r="H123" i="481"/>
  <c r="H140" i="481" s="1"/>
  <c r="H43" i="481"/>
  <c r="H120" i="481" s="1"/>
  <c r="J91" i="481"/>
  <c r="J125" i="481" s="1"/>
  <c r="F123" i="481"/>
  <c r="F140" i="481" s="1"/>
  <c r="F43" i="481"/>
  <c r="F120" i="481" s="1"/>
  <c r="I123" i="481"/>
  <c r="I140" i="481" s="1"/>
  <c r="I43" i="481"/>
  <c r="I120" i="481" s="1"/>
  <c r="I123" i="480"/>
  <c r="I140" i="480" s="1"/>
  <c r="I43" i="480"/>
  <c r="I120" i="480" s="1"/>
  <c r="F123" i="482"/>
  <c r="F140" i="482" s="1"/>
  <c r="F43" i="482"/>
  <c r="F120" i="482" s="1"/>
  <c r="E123" i="481"/>
  <c r="E140" i="481" s="1"/>
  <c r="E43" i="481"/>
  <c r="E120" i="481" s="1"/>
  <c r="F123" i="480"/>
  <c r="F140" i="480" s="1"/>
  <c r="F43" i="480"/>
  <c r="F120" i="480" s="1"/>
  <c r="J91" i="482"/>
  <c r="J125" i="482" s="1"/>
  <c r="D125" i="482"/>
  <c r="D140" i="482" s="1"/>
  <c r="J78" i="482"/>
  <c r="E123" i="480"/>
  <c r="E140" i="480" s="1"/>
  <c r="E43" i="480"/>
  <c r="E120" i="480" s="1"/>
  <c r="I123" i="482"/>
  <c r="I140" i="482" s="1"/>
  <c r="I43" i="482"/>
  <c r="I120" i="482" s="1"/>
  <c r="D43" i="482"/>
  <c r="D120" i="482" s="1"/>
  <c r="J91" i="480"/>
  <c r="J125" i="480" s="1"/>
  <c r="D125" i="480"/>
  <c r="D140" i="480" s="1"/>
  <c r="J84" i="480"/>
  <c r="J124" i="480" s="1"/>
  <c r="E43" i="482"/>
  <c r="E120" i="482" s="1"/>
  <c r="G43" i="481"/>
  <c r="G120" i="481" s="1"/>
  <c r="E140" i="482"/>
  <c r="J84" i="481"/>
  <c r="J124" i="481" s="1"/>
  <c r="D140" i="481"/>
  <c r="G140" i="481"/>
  <c r="G123" i="482"/>
  <c r="G140" i="482" s="1"/>
  <c r="G43" i="482"/>
  <c r="G120" i="482" s="1"/>
  <c r="J78" i="481"/>
  <c r="H123" i="482"/>
  <c r="H140" i="482" s="1"/>
  <c r="H43" i="482"/>
  <c r="H120" i="482" s="1"/>
  <c r="H123" i="480"/>
  <c r="H140" i="480" s="1"/>
  <c r="H43" i="480"/>
  <c r="H120" i="480" s="1"/>
  <c r="H400" i="653"/>
  <c r="I33" i="656"/>
  <c r="I110" i="656" s="1"/>
  <c r="J68" i="656"/>
  <c r="J68" i="652"/>
  <c r="H33" i="656"/>
  <c r="H110" i="656" s="1"/>
  <c r="D400" i="653"/>
  <c r="J74" i="652"/>
  <c r="J116" i="652" s="1"/>
  <c r="D117" i="656"/>
  <c r="D133" i="656" s="1"/>
  <c r="J81" i="656"/>
  <c r="J117" i="656" s="1"/>
  <c r="D117" i="652"/>
  <c r="D133" i="652" s="1"/>
  <c r="J81" i="652"/>
  <c r="J117" i="652" s="1"/>
  <c r="G33" i="656"/>
  <c r="G110" i="656" s="1"/>
  <c r="D110" i="652"/>
  <c r="J74" i="656"/>
  <c r="J116" i="656" s="1"/>
  <c r="D33" i="656"/>
  <c r="F33" i="652"/>
  <c r="F110" i="652" s="1"/>
  <c r="G397" i="200"/>
  <c r="G418" i="200" s="1"/>
  <c r="G397" i="502"/>
  <c r="G418" i="502" s="1"/>
  <c r="E395" i="502"/>
  <c r="E416" i="502" s="1"/>
  <c r="G393" i="502"/>
  <c r="G414" i="502" s="1"/>
  <c r="G393" i="508"/>
  <c r="G414" i="508" s="1"/>
  <c r="E395" i="508"/>
  <c r="E416" i="508" s="1"/>
  <c r="E396" i="508"/>
  <c r="E417" i="508" s="1"/>
  <c r="G393" i="200"/>
  <c r="G414" i="200" s="1"/>
  <c r="E395" i="200"/>
  <c r="E416" i="200" s="1"/>
  <c r="E392" i="502"/>
  <c r="E413" i="502" s="1"/>
  <c r="E392" i="200"/>
  <c r="E413" i="200" s="1"/>
  <c r="E392" i="508"/>
  <c r="E413" i="508" s="1"/>
  <c r="E394" i="200"/>
  <c r="E415" i="200" s="1"/>
  <c r="E394" i="502"/>
  <c r="E415" i="502" s="1"/>
  <c r="E396" i="502"/>
  <c r="E417" i="502" s="1"/>
  <c r="E394" i="508"/>
  <c r="E415" i="508" s="1"/>
  <c r="G397" i="508"/>
  <c r="G418" i="508" s="1"/>
  <c r="E396" i="200"/>
  <c r="E417" i="200" s="1"/>
  <c r="F33" i="656"/>
  <c r="F110" i="656" s="1"/>
  <c r="I33" i="652"/>
  <c r="I110" i="652" s="1"/>
  <c r="E115" i="656"/>
  <c r="E133" i="656" s="1"/>
  <c r="E33" i="656"/>
  <c r="E110" i="656" s="1"/>
  <c r="H33" i="652"/>
  <c r="H110" i="652" s="1"/>
  <c r="E115" i="652"/>
  <c r="E133" i="652" s="1"/>
  <c r="E33" i="652"/>
  <c r="E110" i="652" s="1"/>
  <c r="G33" i="652"/>
  <c r="G110" i="652" s="1"/>
  <c r="J399" i="653"/>
  <c r="J420" i="653"/>
  <c r="J135" i="639"/>
  <c r="J161" i="639" s="1"/>
  <c r="J441" i="657"/>
  <c r="J43" i="127"/>
  <c r="J44" i="127" s="1"/>
  <c r="I389" i="127"/>
  <c r="J115" i="639"/>
  <c r="J165" i="639" s="1"/>
  <c r="I123" i="639"/>
  <c r="I122" i="639" s="1"/>
  <c r="I163" i="639" s="1"/>
  <c r="H123" i="639"/>
  <c r="H122" i="639" s="1"/>
  <c r="H163" i="639" s="1"/>
  <c r="F115" i="652"/>
  <c r="F133" i="652" s="1"/>
  <c r="F115" i="656"/>
  <c r="F133" i="656" s="1"/>
  <c r="I115" i="656"/>
  <c r="I133" i="656" s="1"/>
  <c r="G117" i="656"/>
  <c r="H115" i="656"/>
  <c r="H133" i="656" s="1"/>
  <c r="G115" i="656"/>
  <c r="G116" i="652"/>
  <c r="G117" i="652"/>
  <c r="H115" i="652"/>
  <c r="H133" i="652" s="1"/>
  <c r="G115" i="652"/>
  <c r="G116" i="656"/>
  <c r="I115" i="652"/>
  <c r="I133" i="652" s="1"/>
  <c r="F394" i="202"/>
  <c r="F415" i="202" s="1"/>
  <c r="E395" i="202"/>
  <c r="E416" i="202" s="1"/>
  <c r="E394" i="202"/>
  <c r="E415" i="202" s="1"/>
  <c r="E396" i="202"/>
  <c r="E417" i="202" s="1"/>
  <c r="G393" i="202"/>
  <c r="G414" i="202" s="1"/>
  <c r="J137" i="211"/>
  <c r="N122" i="130"/>
  <c r="N146" i="130" s="1"/>
  <c r="F122" i="130"/>
  <c r="V146" i="130"/>
  <c r="H179" i="130" s="1"/>
  <c r="W124" i="129"/>
  <c r="W123" i="129"/>
  <c r="X123" i="129" s="1"/>
  <c r="T21" i="485"/>
  <c r="J131" i="473"/>
  <c r="J136" i="473"/>
  <c r="X135" i="130"/>
  <c r="J117" i="473"/>
  <c r="J166" i="473" s="1"/>
  <c r="T4" i="485" s="1"/>
  <c r="Q115" i="130"/>
  <c r="W146" i="130"/>
  <c r="I179" i="130" s="1"/>
  <c r="F163" i="473"/>
  <c r="X136" i="130"/>
  <c r="F144" i="473"/>
  <c r="X115" i="130"/>
  <c r="J115" i="211"/>
  <c r="P128" i="130"/>
  <c r="X122" i="130"/>
  <c r="P139" i="130"/>
  <c r="P135" i="130" s="1"/>
  <c r="P117" i="130"/>
  <c r="P114" i="130" s="1"/>
  <c r="E116" i="473"/>
  <c r="G122" i="211"/>
  <c r="G163" i="211" s="1"/>
  <c r="G136" i="211"/>
  <c r="G160" i="211" s="1"/>
  <c r="H162" i="473"/>
  <c r="X123" i="130"/>
  <c r="E143" i="211"/>
  <c r="F114" i="211"/>
  <c r="O128" i="130"/>
  <c r="E123" i="473"/>
  <c r="O139" i="130"/>
  <c r="O117" i="130"/>
  <c r="O114" i="130" s="1"/>
  <c r="J135" i="211"/>
  <c r="Q136" i="130"/>
  <c r="Q136" i="129"/>
  <c r="E161" i="473"/>
  <c r="E165" i="473"/>
  <c r="F165" i="473"/>
  <c r="E163" i="473"/>
  <c r="F161" i="473"/>
  <c r="I115" i="130"/>
  <c r="I221" i="130" s="1"/>
  <c r="H136" i="130"/>
  <c r="H217" i="130" s="1"/>
  <c r="I136" i="130"/>
  <c r="I217" i="130" s="1"/>
  <c r="G139" i="130"/>
  <c r="G128" i="130"/>
  <c r="G218" i="130" s="1"/>
  <c r="H115" i="130"/>
  <c r="H221" i="130" s="1"/>
  <c r="G117" i="130"/>
  <c r="X137" i="129"/>
  <c r="J116" i="130"/>
  <c r="Q129" i="130"/>
  <c r="Q124" i="130"/>
  <c r="J140" i="130"/>
  <c r="Q124" i="129"/>
  <c r="Q141" i="130"/>
  <c r="E146" i="130"/>
  <c r="J137" i="130"/>
  <c r="Q119" i="130"/>
  <c r="X123" i="120"/>
  <c r="L66" i="113"/>
  <c r="M58" i="113"/>
  <c r="G198" i="81"/>
  <c r="J160" i="158"/>
  <c r="O3" i="485" s="1"/>
  <c r="H198" i="81"/>
  <c r="F198" i="81"/>
  <c r="E198" i="81"/>
  <c r="P11" i="485"/>
  <c r="K40" i="113"/>
  <c r="K19" i="113"/>
  <c r="L52" i="113" s="1"/>
  <c r="O52" i="113" s="1"/>
  <c r="L20" i="113"/>
  <c r="I193" i="81"/>
  <c r="J135" i="203"/>
  <c r="J159" i="203" s="1"/>
  <c r="O5" i="485" s="1"/>
  <c r="J134" i="203"/>
  <c r="J160" i="203" s="1"/>
  <c r="P5" i="485" s="1"/>
  <c r="J137" i="203"/>
  <c r="J127" i="203"/>
  <c r="J215" i="129"/>
  <c r="J161" i="158"/>
  <c r="P3" i="485" s="1"/>
  <c r="F75" i="62"/>
  <c r="G75" i="62"/>
  <c r="G65" i="62"/>
  <c r="F65" i="62"/>
  <c r="G70" i="62"/>
  <c r="V167" i="129"/>
  <c r="G30" i="62"/>
  <c r="F32" i="62"/>
  <c r="J219" i="129"/>
  <c r="J218" i="129"/>
  <c r="K16" i="113"/>
  <c r="L49" i="113" s="1"/>
  <c r="O49" i="113" s="1"/>
  <c r="G9" i="62"/>
  <c r="H119" i="130"/>
  <c r="I159" i="203"/>
  <c r="I133" i="203"/>
  <c r="H162" i="203"/>
  <c r="I119" i="130"/>
  <c r="H163" i="158"/>
  <c r="I215" i="129"/>
  <c r="H163" i="203"/>
  <c r="H114" i="203"/>
  <c r="F126" i="203"/>
  <c r="H159" i="203"/>
  <c r="H133" i="203"/>
  <c r="J38" i="113"/>
  <c r="I160" i="158"/>
  <c r="I124" i="130"/>
  <c r="L34" i="127"/>
  <c r="H141" i="130"/>
  <c r="H160" i="158"/>
  <c r="I218" i="129"/>
  <c r="H124" i="130"/>
  <c r="I141" i="130"/>
  <c r="H129" i="130"/>
  <c r="J42" i="113"/>
  <c r="P9" i="62"/>
  <c r="I116" i="203"/>
  <c r="J116" i="203" s="1"/>
  <c r="J163" i="203" s="1"/>
  <c r="S5" i="485" s="1"/>
  <c r="I219" i="129"/>
  <c r="I129" i="130"/>
  <c r="H215" i="129"/>
  <c r="H32" i="743" l="1"/>
  <c r="W491" i="825"/>
  <c r="H326" i="743"/>
  <c r="W329" i="825"/>
  <c r="W318" i="825" s="1"/>
  <c r="H456" i="743"/>
  <c r="W332" i="825"/>
  <c r="H459" i="743"/>
  <c r="H62" i="743"/>
  <c r="W333" i="825"/>
  <c r="W323" i="825" s="1"/>
  <c r="H460" i="743"/>
  <c r="W461" i="825"/>
  <c r="W451" i="825" s="1"/>
  <c r="H354" i="743"/>
  <c r="W490" i="825"/>
  <c r="W482" i="825" s="1"/>
  <c r="H325" i="743"/>
  <c r="W403" i="825"/>
  <c r="H413" i="743"/>
  <c r="W457" i="825"/>
  <c r="W446" i="825" s="1"/>
  <c r="H350" i="743"/>
  <c r="W361" i="825"/>
  <c r="W353" i="825" s="1"/>
  <c r="H431" i="743"/>
  <c r="W368" i="825"/>
  <c r="H440" i="743"/>
  <c r="W433" i="825"/>
  <c r="H387" i="743"/>
  <c r="W458" i="825"/>
  <c r="H351" i="743"/>
  <c r="W393" i="825"/>
  <c r="W382" i="825" s="1"/>
  <c r="H403" i="743"/>
  <c r="W467" i="825"/>
  <c r="H360" i="743"/>
  <c r="W364" i="825"/>
  <c r="H434" i="743"/>
  <c r="W429" i="825"/>
  <c r="H381" i="743"/>
  <c r="W330" i="825"/>
  <c r="H457" i="743"/>
  <c r="W497" i="825"/>
  <c r="H334" i="743"/>
  <c r="W394" i="825"/>
  <c r="H404" i="743"/>
  <c r="W460" i="825"/>
  <c r="H353" i="743"/>
  <c r="W397" i="825"/>
  <c r="W387" i="825" s="1"/>
  <c r="H407" i="743"/>
  <c r="W339" i="825"/>
  <c r="H466" i="743"/>
  <c r="W493" i="825"/>
  <c r="H328" i="743"/>
  <c r="W426" i="825"/>
  <c r="W418" i="825" s="1"/>
  <c r="H378" i="743"/>
  <c r="W427" i="825"/>
  <c r="H379" i="743"/>
  <c r="W396" i="825"/>
  <c r="H406" i="743"/>
  <c r="D141" i="480"/>
  <c r="D141" i="481"/>
  <c r="G143" i="639"/>
  <c r="F21" i="823"/>
  <c r="J24" i="823"/>
  <c r="F146" i="130"/>
  <c r="M167" i="823" s="1"/>
  <c r="M172" i="823" s="1"/>
  <c r="I134" i="639"/>
  <c r="H134" i="639"/>
  <c r="I114" i="639"/>
  <c r="H114" i="639"/>
  <c r="J118" i="639"/>
  <c r="J138" i="639"/>
  <c r="J116" i="639"/>
  <c r="J164" i="639" s="1"/>
  <c r="I122" i="742"/>
  <c r="I121" i="742" s="1"/>
  <c r="I160" i="742" s="1"/>
  <c r="I123" i="163"/>
  <c r="I122" i="163" s="1"/>
  <c r="G114" i="130"/>
  <c r="G220" i="130"/>
  <c r="E178" i="130"/>
  <c r="L167" i="823"/>
  <c r="L172" i="823" s="1"/>
  <c r="E225" i="130"/>
  <c r="E244" i="508"/>
  <c r="E244" i="202"/>
  <c r="E244" i="200"/>
  <c r="E42" i="742"/>
  <c r="G229" i="508"/>
  <c r="G14" i="823"/>
  <c r="G229" i="202"/>
  <c r="G229" i="200"/>
  <c r="G253" i="508"/>
  <c r="G253" i="202"/>
  <c r="G253" i="200"/>
  <c r="G51" i="742"/>
  <c r="P64" i="823"/>
  <c r="W64" i="823" s="1"/>
  <c r="F243" i="508"/>
  <c r="F243" i="202"/>
  <c r="F243" i="200"/>
  <c r="K60" i="823"/>
  <c r="D59" i="823"/>
  <c r="J60" i="823"/>
  <c r="H227" i="508"/>
  <c r="H227" i="202"/>
  <c r="H227" i="200"/>
  <c r="G254" i="508"/>
  <c r="G254" i="202"/>
  <c r="G254" i="200"/>
  <c r="G52" i="742"/>
  <c r="F248" i="508"/>
  <c r="F248" i="202"/>
  <c r="F248" i="200"/>
  <c r="F46" i="742"/>
  <c r="G266" i="508"/>
  <c r="G266" i="202"/>
  <c r="G266" i="200"/>
  <c r="H267" i="508"/>
  <c r="H267" i="202"/>
  <c r="H267" i="200"/>
  <c r="F231" i="508"/>
  <c r="F231" i="202"/>
  <c r="F231" i="200"/>
  <c r="H247" i="508"/>
  <c r="H34" i="823"/>
  <c r="H247" i="202"/>
  <c r="H247" i="200"/>
  <c r="D268" i="508"/>
  <c r="J56" i="823"/>
  <c r="D268" i="202"/>
  <c r="D268" i="200"/>
  <c r="G298" i="508"/>
  <c r="G298" i="200"/>
  <c r="G298" i="202"/>
  <c r="G96" i="742"/>
  <c r="D250" i="508"/>
  <c r="J38" i="823"/>
  <c r="D250" i="202"/>
  <c r="D250" i="200"/>
  <c r="H242" i="508"/>
  <c r="H242" i="202"/>
  <c r="H242" i="200"/>
  <c r="D258" i="508"/>
  <c r="J46" i="823"/>
  <c r="D258" i="202"/>
  <c r="D258" i="200"/>
  <c r="D56" i="742"/>
  <c r="H260" i="508"/>
  <c r="H260" i="202"/>
  <c r="H260" i="200"/>
  <c r="H58" i="742"/>
  <c r="G244" i="508"/>
  <c r="G244" i="202"/>
  <c r="G244" i="200"/>
  <c r="G42" i="742"/>
  <c r="E241" i="508"/>
  <c r="E241" i="202"/>
  <c r="E241" i="200"/>
  <c r="E39" i="742"/>
  <c r="H253" i="508"/>
  <c r="H253" i="202"/>
  <c r="H253" i="200"/>
  <c r="H51" i="742"/>
  <c r="N64" i="823"/>
  <c r="U64" i="823" s="1"/>
  <c r="I243" i="508"/>
  <c r="I243" i="202"/>
  <c r="I243" i="200"/>
  <c r="E59" i="823"/>
  <c r="L60" i="823"/>
  <c r="F249" i="508"/>
  <c r="F249" i="202"/>
  <c r="F249" i="200"/>
  <c r="E254" i="508"/>
  <c r="E254" i="202"/>
  <c r="E254" i="200"/>
  <c r="E52" i="742"/>
  <c r="E265" i="508"/>
  <c r="E265" i="202"/>
  <c r="E265" i="200"/>
  <c r="D248" i="508"/>
  <c r="J36" i="823"/>
  <c r="D248" i="202"/>
  <c r="D248" i="200"/>
  <c r="D46" i="742"/>
  <c r="D266" i="508"/>
  <c r="J54" i="823"/>
  <c r="D266" i="202"/>
  <c r="D266" i="200"/>
  <c r="E267" i="508"/>
  <c r="E267" i="202"/>
  <c r="E267" i="200"/>
  <c r="I231" i="508"/>
  <c r="I231" i="202"/>
  <c r="I231" i="200"/>
  <c r="D247" i="508"/>
  <c r="D34" i="823"/>
  <c r="J35" i="823"/>
  <c r="D247" i="202"/>
  <c r="D247" i="200"/>
  <c r="G268" i="508"/>
  <c r="G268" i="202"/>
  <c r="G268" i="200"/>
  <c r="D298" i="508"/>
  <c r="D298" i="202"/>
  <c r="J94" i="823"/>
  <c r="D298" i="200"/>
  <c r="D96" i="742"/>
  <c r="D242" i="508"/>
  <c r="J30" i="823"/>
  <c r="D242" i="202"/>
  <c r="D242" i="200"/>
  <c r="F258" i="508"/>
  <c r="F258" i="202"/>
  <c r="F258" i="200"/>
  <c r="F56" i="742"/>
  <c r="E299" i="508"/>
  <c r="E299" i="202"/>
  <c r="E299" i="200"/>
  <c r="E97" i="742"/>
  <c r="E260" i="508"/>
  <c r="E260" i="202"/>
  <c r="E260" i="200"/>
  <c r="E58" i="742"/>
  <c r="H126" i="742"/>
  <c r="H125" i="742" s="1"/>
  <c r="H159" i="742" s="1"/>
  <c r="H128" i="163"/>
  <c r="H130" i="473"/>
  <c r="D229" i="508"/>
  <c r="D14" i="823"/>
  <c r="J15" i="823"/>
  <c r="D229" i="202"/>
  <c r="D229" i="200"/>
  <c r="I255" i="508"/>
  <c r="I255" i="202"/>
  <c r="I255" i="200"/>
  <c r="I53" i="742"/>
  <c r="G307" i="508"/>
  <c r="G307" i="200"/>
  <c r="G307" i="202"/>
  <c r="G105" i="742"/>
  <c r="I126" i="742"/>
  <c r="I125" i="742" s="1"/>
  <c r="I159" i="742" s="1"/>
  <c r="I128" i="163"/>
  <c r="I127" i="163" s="1"/>
  <c r="I161" i="163" s="1"/>
  <c r="I130" i="473"/>
  <c r="I129" i="473" s="1"/>
  <c r="I123" i="473" s="1"/>
  <c r="H265" i="508"/>
  <c r="H265" i="202"/>
  <c r="H265" i="200"/>
  <c r="H299" i="508"/>
  <c r="H299" i="202"/>
  <c r="H299" i="200"/>
  <c r="H97" i="742"/>
  <c r="J128" i="639"/>
  <c r="H244" i="508"/>
  <c r="H244" i="202"/>
  <c r="H244" i="200"/>
  <c r="H42" i="742"/>
  <c r="I241" i="508"/>
  <c r="I241" i="202"/>
  <c r="I241" i="200"/>
  <c r="I39" i="742"/>
  <c r="E253" i="508"/>
  <c r="E253" i="202"/>
  <c r="E253" i="200"/>
  <c r="E51" i="742"/>
  <c r="O64" i="823"/>
  <c r="V64" i="823" s="1"/>
  <c r="D243" i="508"/>
  <c r="J31" i="823"/>
  <c r="D243" i="202"/>
  <c r="D243" i="200"/>
  <c r="F59" i="823"/>
  <c r="M60" i="823"/>
  <c r="H249" i="508"/>
  <c r="H249" i="202"/>
  <c r="H249" i="200"/>
  <c r="I254" i="508"/>
  <c r="I254" i="202"/>
  <c r="I254" i="200"/>
  <c r="I52" i="742"/>
  <c r="H308" i="508"/>
  <c r="H308" i="202"/>
  <c r="H308" i="200"/>
  <c r="H106" i="742"/>
  <c r="H21" i="823"/>
  <c r="G248" i="508"/>
  <c r="G248" i="202"/>
  <c r="G248" i="200"/>
  <c r="G46" i="742"/>
  <c r="H266" i="508"/>
  <c r="H266" i="202"/>
  <c r="H266" i="200"/>
  <c r="F267" i="508"/>
  <c r="F267" i="202"/>
  <c r="F267" i="200"/>
  <c r="E247" i="508"/>
  <c r="E34" i="823"/>
  <c r="E247" i="202"/>
  <c r="E247" i="200"/>
  <c r="D232" i="508"/>
  <c r="J18" i="823"/>
  <c r="D232" i="202"/>
  <c r="D232" i="200"/>
  <c r="D30" i="742"/>
  <c r="K61" i="823"/>
  <c r="R61" i="823" s="1"/>
  <c r="J61" i="823"/>
  <c r="E268" i="508"/>
  <c r="E268" i="202"/>
  <c r="E268" i="200"/>
  <c r="F27" i="823"/>
  <c r="F242" i="508"/>
  <c r="F242" i="202"/>
  <c r="F242" i="200"/>
  <c r="G258" i="508"/>
  <c r="G258" i="202"/>
  <c r="G258" i="200"/>
  <c r="G56" i="742"/>
  <c r="D299" i="508"/>
  <c r="D299" i="202"/>
  <c r="D299" i="200"/>
  <c r="J95" i="823"/>
  <c r="D97" i="742"/>
  <c r="D260" i="508"/>
  <c r="J48" i="823"/>
  <c r="D260" i="202"/>
  <c r="D260" i="200"/>
  <c r="D58" i="742"/>
  <c r="L63" i="823"/>
  <c r="S63" i="823" s="1"/>
  <c r="I244" i="508"/>
  <c r="I244" i="202"/>
  <c r="I244" i="200"/>
  <c r="I42" i="742"/>
  <c r="F241" i="508"/>
  <c r="F241" i="202"/>
  <c r="F241" i="200"/>
  <c r="F39" i="742"/>
  <c r="L64" i="823"/>
  <c r="S64" i="823" s="1"/>
  <c r="G243" i="508"/>
  <c r="G243" i="202"/>
  <c r="G243" i="200"/>
  <c r="P60" i="823"/>
  <c r="W60" i="823" s="1"/>
  <c r="I59" i="823"/>
  <c r="D249" i="508"/>
  <c r="J37" i="823"/>
  <c r="D249" i="202"/>
  <c r="D249" i="200"/>
  <c r="F308" i="508"/>
  <c r="F308" i="200"/>
  <c r="F308" i="202"/>
  <c r="F106" i="742"/>
  <c r="E21" i="823"/>
  <c r="H248" i="508"/>
  <c r="H248" i="202"/>
  <c r="H248" i="200"/>
  <c r="H46" i="742"/>
  <c r="D267" i="508"/>
  <c r="J55" i="823"/>
  <c r="D267" i="202"/>
  <c r="D267" i="200"/>
  <c r="F247" i="508"/>
  <c r="F34" i="823"/>
  <c r="F247" i="202"/>
  <c r="F247" i="200"/>
  <c r="F232" i="508"/>
  <c r="F232" i="202"/>
  <c r="F232" i="200"/>
  <c r="F30" i="742"/>
  <c r="F268" i="508"/>
  <c r="F268" i="202"/>
  <c r="F268" i="200"/>
  <c r="I242" i="508"/>
  <c r="I242" i="202"/>
  <c r="I242" i="200"/>
  <c r="I258" i="508"/>
  <c r="I258" i="202"/>
  <c r="I258" i="200"/>
  <c r="I56" i="742"/>
  <c r="G299" i="508"/>
  <c r="G299" i="202"/>
  <c r="G299" i="200"/>
  <c r="G97" i="742"/>
  <c r="F259" i="508"/>
  <c r="F259" i="202"/>
  <c r="F259" i="200"/>
  <c r="F57" i="742"/>
  <c r="K63" i="823"/>
  <c r="R63" i="823" s="1"/>
  <c r="J63" i="823"/>
  <c r="F244" i="508"/>
  <c r="F244" i="202"/>
  <c r="F244" i="200"/>
  <c r="F42" i="742"/>
  <c r="H241" i="508"/>
  <c r="H241" i="202"/>
  <c r="H241" i="200"/>
  <c r="H39" i="742"/>
  <c r="D305" i="508"/>
  <c r="J101" i="823"/>
  <c r="D305" i="202"/>
  <c r="D305" i="200"/>
  <c r="D103" i="742"/>
  <c r="H243" i="508"/>
  <c r="H243" i="202"/>
  <c r="H243" i="200"/>
  <c r="N60" i="823"/>
  <c r="U60" i="823" s="1"/>
  <c r="G59" i="823"/>
  <c r="I249" i="508"/>
  <c r="I249" i="202"/>
  <c r="I249" i="200"/>
  <c r="E308" i="508"/>
  <c r="E308" i="200"/>
  <c r="E308" i="202"/>
  <c r="E106" i="742"/>
  <c r="G267" i="508"/>
  <c r="G267" i="202"/>
  <c r="G267" i="200"/>
  <c r="I232" i="508"/>
  <c r="I232" i="202"/>
  <c r="I232" i="200"/>
  <c r="I30" i="742"/>
  <c r="H258" i="508"/>
  <c r="H258" i="202"/>
  <c r="H258" i="200"/>
  <c r="H56" i="742"/>
  <c r="I299" i="508"/>
  <c r="I299" i="202"/>
  <c r="I299" i="200"/>
  <c r="I97" i="742"/>
  <c r="H259" i="508"/>
  <c r="H259" i="202"/>
  <c r="H259" i="200"/>
  <c r="H57" i="742"/>
  <c r="G241" i="508"/>
  <c r="G241" i="202"/>
  <c r="G241" i="200"/>
  <c r="G39" i="742"/>
  <c r="H305" i="508"/>
  <c r="H305" i="200"/>
  <c r="H305" i="202"/>
  <c r="H103" i="742"/>
  <c r="E243" i="508"/>
  <c r="E243" i="202"/>
  <c r="E243" i="200"/>
  <c r="H59" i="823"/>
  <c r="O60" i="823"/>
  <c r="E249" i="508"/>
  <c r="E249" i="202"/>
  <c r="E249" i="200"/>
  <c r="D308" i="508"/>
  <c r="D308" i="202"/>
  <c r="D308" i="200"/>
  <c r="J104" i="823"/>
  <c r="D106" i="742"/>
  <c r="J22" i="823"/>
  <c r="D21" i="823"/>
  <c r="I267" i="508"/>
  <c r="I267" i="202"/>
  <c r="I267" i="200"/>
  <c r="G232" i="508"/>
  <c r="G232" i="202"/>
  <c r="G232" i="200"/>
  <c r="G30" i="742"/>
  <c r="P61" i="823"/>
  <c r="W61" i="823" s="1"/>
  <c r="H221" i="508"/>
  <c r="H220" i="508" s="1"/>
  <c r="H214" i="823"/>
  <c r="H5" i="823"/>
  <c r="H221" i="202"/>
  <c r="H220" i="202" s="1"/>
  <c r="H221" i="200"/>
  <c r="H220" i="200" s="1"/>
  <c r="D259" i="508"/>
  <c r="J47" i="823"/>
  <c r="D259" i="202"/>
  <c r="D259" i="200"/>
  <c r="D57" i="742"/>
  <c r="U170" i="823"/>
  <c r="U168" i="823"/>
  <c r="O63" i="823"/>
  <c r="V63" i="823" s="1"/>
  <c r="J23" i="823"/>
  <c r="D241" i="508"/>
  <c r="J29" i="823"/>
  <c r="D241" i="202"/>
  <c r="D241" i="200"/>
  <c r="D39" i="742"/>
  <c r="E305" i="508"/>
  <c r="E305" i="202"/>
  <c r="E305" i="200"/>
  <c r="E103" i="742"/>
  <c r="G249" i="508"/>
  <c r="G249" i="202"/>
  <c r="G249" i="200"/>
  <c r="G308" i="508"/>
  <c r="G308" i="202"/>
  <c r="G308" i="200"/>
  <c r="G106" i="742"/>
  <c r="G21" i="823"/>
  <c r="G252" i="508"/>
  <c r="G39" i="823"/>
  <c r="G252" i="202"/>
  <c r="G252" i="200"/>
  <c r="H232" i="508"/>
  <c r="H232" i="202"/>
  <c r="H232" i="200"/>
  <c r="H30" i="742"/>
  <c r="L61" i="823"/>
  <c r="S61" i="823" s="1"/>
  <c r="F221" i="508"/>
  <c r="F220" i="508" s="1"/>
  <c r="F5" i="823"/>
  <c r="F214" i="823"/>
  <c r="F221" i="202"/>
  <c r="F220" i="202" s="1"/>
  <c r="F221" i="200"/>
  <c r="F220" i="200" s="1"/>
  <c r="I259" i="508"/>
  <c r="I259" i="202"/>
  <c r="I259" i="200"/>
  <c r="I57" i="742"/>
  <c r="H122" i="742"/>
  <c r="H121" i="742" s="1"/>
  <c r="H160" i="742" s="1"/>
  <c r="H123" i="163"/>
  <c r="G135" i="130"/>
  <c r="G216" i="130"/>
  <c r="J136" i="639"/>
  <c r="J160" i="639" s="1"/>
  <c r="S168" i="823"/>
  <c r="S170" i="823"/>
  <c r="M63" i="823"/>
  <c r="T63" i="823" s="1"/>
  <c r="F255" i="508"/>
  <c r="F255" i="202"/>
  <c r="F255" i="200"/>
  <c r="F53" i="742"/>
  <c r="G305" i="508"/>
  <c r="G305" i="202"/>
  <c r="G305" i="200"/>
  <c r="G103" i="742"/>
  <c r="G226" i="508"/>
  <c r="G10" i="823"/>
  <c r="G212" i="823" s="1"/>
  <c r="G226" i="202"/>
  <c r="G226" i="200"/>
  <c r="I308" i="508"/>
  <c r="I308" i="202"/>
  <c r="I308" i="200"/>
  <c r="I106" i="742"/>
  <c r="I21" i="823"/>
  <c r="D252" i="508"/>
  <c r="D39" i="823"/>
  <c r="J40" i="823"/>
  <c r="D252" i="202"/>
  <c r="D252" i="200"/>
  <c r="D309" i="508"/>
  <c r="D309" i="200"/>
  <c r="D309" i="202"/>
  <c r="J105" i="823"/>
  <c r="D107" i="742"/>
  <c r="E232" i="508"/>
  <c r="E232" i="202"/>
  <c r="E232" i="200"/>
  <c r="E30" i="742"/>
  <c r="N61" i="823"/>
  <c r="U61" i="823" s="1"/>
  <c r="E221" i="508"/>
  <c r="E220" i="508" s="1"/>
  <c r="E5" i="823"/>
  <c r="E214" i="823"/>
  <c r="E221" i="202"/>
  <c r="E220" i="202" s="1"/>
  <c r="E221" i="200"/>
  <c r="E220" i="200" s="1"/>
  <c r="E259" i="508"/>
  <c r="E259" i="202"/>
  <c r="E259" i="200"/>
  <c r="E57" i="742"/>
  <c r="I136" i="742"/>
  <c r="I138" i="163"/>
  <c r="I136" i="163" s="1"/>
  <c r="I139" i="473"/>
  <c r="E255" i="508"/>
  <c r="E255" i="202"/>
  <c r="E255" i="200"/>
  <c r="E53" i="742"/>
  <c r="F305" i="508"/>
  <c r="F305" i="200"/>
  <c r="F305" i="202"/>
  <c r="F103" i="742"/>
  <c r="D226" i="508"/>
  <c r="D10" i="823"/>
  <c r="J11" i="823"/>
  <c r="D226" i="202"/>
  <c r="D226" i="200"/>
  <c r="D264" i="508"/>
  <c r="J52" i="823"/>
  <c r="D50" i="823"/>
  <c r="D208" i="823" s="1"/>
  <c r="D264" i="202"/>
  <c r="D264" i="200"/>
  <c r="I230" i="508"/>
  <c r="I230" i="202"/>
  <c r="I230" i="200"/>
  <c r="I28" i="742"/>
  <c r="E252" i="508"/>
  <c r="E39" i="823"/>
  <c r="E252" i="202"/>
  <c r="E252" i="200"/>
  <c r="D240" i="508"/>
  <c r="D27" i="823"/>
  <c r="J28" i="823"/>
  <c r="D240" i="202"/>
  <c r="D240" i="200"/>
  <c r="G309" i="508"/>
  <c r="G309" i="202"/>
  <c r="G309" i="200"/>
  <c r="G107" i="742"/>
  <c r="D257" i="508"/>
  <c r="J45" i="823"/>
  <c r="D44" i="823"/>
  <c r="D257" i="202"/>
  <c r="D257" i="200"/>
  <c r="D221" i="508"/>
  <c r="D5" i="823"/>
  <c r="D214" i="823"/>
  <c r="J6" i="823"/>
  <c r="J214" i="823" s="1"/>
  <c r="D221" i="202"/>
  <c r="D221" i="200"/>
  <c r="H245" i="508"/>
  <c r="H245" i="202"/>
  <c r="H245" i="200"/>
  <c r="G259" i="508"/>
  <c r="G259" i="202"/>
  <c r="G259" i="200"/>
  <c r="G57" i="742"/>
  <c r="I305" i="508"/>
  <c r="I305" i="202"/>
  <c r="I305" i="200"/>
  <c r="I103" i="742"/>
  <c r="G264" i="508"/>
  <c r="G50" i="823"/>
  <c r="G208" i="823" s="1"/>
  <c r="G264" i="202"/>
  <c r="G264" i="200"/>
  <c r="F230" i="508"/>
  <c r="F230" i="202"/>
  <c r="F230" i="200"/>
  <c r="F28" i="742"/>
  <c r="H252" i="508"/>
  <c r="H39" i="823"/>
  <c r="H252" i="202"/>
  <c r="H252" i="200"/>
  <c r="H240" i="508"/>
  <c r="H27" i="823"/>
  <c r="H240" i="202"/>
  <c r="H240" i="200"/>
  <c r="G221" i="508"/>
  <c r="G220" i="508" s="1"/>
  <c r="G214" i="823"/>
  <c r="G5" i="823"/>
  <c r="G221" i="202"/>
  <c r="G220" i="202" s="1"/>
  <c r="G221" i="200"/>
  <c r="G220" i="200" s="1"/>
  <c r="F245" i="508"/>
  <c r="F245" i="202"/>
  <c r="F245" i="200"/>
  <c r="D288" i="508"/>
  <c r="J84" i="823"/>
  <c r="D86" i="742"/>
  <c r="D288" i="202"/>
  <c r="D288" i="200"/>
  <c r="V170" i="823"/>
  <c r="V168" i="823"/>
  <c r="H255" i="508"/>
  <c r="H255" i="202"/>
  <c r="H255" i="200"/>
  <c r="H53" i="742"/>
  <c r="I226" i="508"/>
  <c r="I10" i="823"/>
  <c r="I212" i="823" s="1"/>
  <c r="I226" i="202"/>
  <c r="I226" i="200"/>
  <c r="I309" i="508"/>
  <c r="I309" i="202"/>
  <c r="I309" i="200"/>
  <c r="I107" i="742"/>
  <c r="G257" i="508"/>
  <c r="G44" i="823"/>
  <c r="G257" i="202"/>
  <c r="G257" i="200"/>
  <c r="H136" i="742"/>
  <c r="H134" i="742" s="1"/>
  <c r="H139" i="473"/>
  <c r="H137" i="473" s="1"/>
  <c r="H135" i="473" s="1"/>
  <c r="H138" i="163"/>
  <c r="H117" i="742"/>
  <c r="H115" i="742" s="1"/>
  <c r="H113" i="742" s="1"/>
  <c r="H118" i="163"/>
  <c r="H120" i="473"/>
  <c r="H118" i="473" s="1"/>
  <c r="H116" i="473" s="1"/>
  <c r="W170" i="823"/>
  <c r="W168" i="823"/>
  <c r="R170" i="823"/>
  <c r="X165" i="823"/>
  <c r="X170" i="823" s="1"/>
  <c r="D255" i="508"/>
  <c r="J43" i="823"/>
  <c r="D255" i="202"/>
  <c r="D255" i="200"/>
  <c r="D53" i="742"/>
  <c r="H307" i="508"/>
  <c r="H307" i="200"/>
  <c r="H307" i="202"/>
  <c r="H105" i="742"/>
  <c r="H226" i="508"/>
  <c r="H10" i="823"/>
  <c r="H226" i="202"/>
  <c r="H226" i="200"/>
  <c r="E264" i="508"/>
  <c r="E50" i="823"/>
  <c r="E208" i="823" s="1"/>
  <c r="E264" i="202"/>
  <c r="E264" i="200"/>
  <c r="E230" i="508"/>
  <c r="E230" i="202"/>
  <c r="E230" i="200"/>
  <c r="E28" i="742"/>
  <c r="F284" i="508"/>
  <c r="F82" i="742"/>
  <c r="F284" i="202"/>
  <c r="F284" i="200"/>
  <c r="F252" i="508"/>
  <c r="F39" i="823"/>
  <c r="F252" i="202"/>
  <c r="F252" i="200"/>
  <c r="F240" i="508"/>
  <c r="F240" i="202"/>
  <c r="F240" i="200"/>
  <c r="H309" i="508"/>
  <c r="H309" i="202"/>
  <c r="H309" i="200"/>
  <c r="H107" i="742"/>
  <c r="H257" i="508"/>
  <c r="H44" i="823"/>
  <c r="H257" i="202"/>
  <c r="H257" i="200"/>
  <c r="I221" i="508"/>
  <c r="I220" i="508" s="1"/>
  <c r="I214" i="823"/>
  <c r="I5" i="823"/>
  <c r="I221" i="202"/>
  <c r="I220" i="202" s="1"/>
  <c r="I221" i="200"/>
  <c r="I220" i="200" s="1"/>
  <c r="E245" i="508"/>
  <c r="E245" i="202"/>
  <c r="E245" i="200"/>
  <c r="F288" i="508"/>
  <c r="F86" i="742"/>
  <c r="F288" i="202"/>
  <c r="F288" i="200"/>
  <c r="J62" i="823"/>
  <c r="K62" i="823"/>
  <c r="Q62" i="823" s="1"/>
  <c r="T170" i="823"/>
  <c r="T168" i="823"/>
  <c r="F229" i="508"/>
  <c r="F14" i="823"/>
  <c r="F211" i="823" s="1"/>
  <c r="F229" i="202"/>
  <c r="F229" i="200"/>
  <c r="G255" i="508"/>
  <c r="G255" i="202"/>
  <c r="G255" i="200"/>
  <c r="G53" i="742"/>
  <c r="D307" i="508"/>
  <c r="J103" i="823"/>
  <c r="D307" i="202"/>
  <c r="D307" i="200"/>
  <c r="D105" i="742"/>
  <c r="G227" i="508"/>
  <c r="G227" i="202"/>
  <c r="G227" i="200"/>
  <c r="E226" i="508"/>
  <c r="E10" i="823"/>
  <c r="E226" i="202"/>
  <c r="E226" i="200"/>
  <c r="H264" i="508"/>
  <c r="H50" i="823"/>
  <c r="H264" i="202"/>
  <c r="H264" i="200"/>
  <c r="G230" i="508"/>
  <c r="G230" i="202"/>
  <c r="G230" i="200"/>
  <c r="G28" i="742"/>
  <c r="H284" i="508"/>
  <c r="H82" i="742"/>
  <c r="H284" i="202"/>
  <c r="H284" i="200"/>
  <c r="I39" i="823"/>
  <c r="I252" i="508"/>
  <c r="I252" i="202"/>
  <c r="I252" i="200"/>
  <c r="I240" i="508"/>
  <c r="I27" i="823"/>
  <c r="I240" i="202"/>
  <c r="I240" i="200"/>
  <c r="E309" i="508"/>
  <c r="E309" i="202"/>
  <c r="E309" i="200"/>
  <c r="E107" i="742"/>
  <c r="I257" i="508"/>
  <c r="I44" i="823"/>
  <c r="I257" i="202"/>
  <c r="I257" i="200"/>
  <c r="E250" i="508"/>
  <c r="E250" i="202"/>
  <c r="E250" i="200"/>
  <c r="D245" i="508"/>
  <c r="J33" i="823"/>
  <c r="D245" i="202"/>
  <c r="D245" i="200"/>
  <c r="I288" i="508"/>
  <c r="I86" i="742"/>
  <c r="I288" i="202"/>
  <c r="I288" i="200"/>
  <c r="D227" i="508"/>
  <c r="J12" i="823"/>
  <c r="D227" i="202"/>
  <c r="D227" i="200"/>
  <c r="F226" i="508"/>
  <c r="F10" i="823"/>
  <c r="F226" i="202"/>
  <c r="F226" i="200"/>
  <c r="D265" i="508"/>
  <c r="J53" i="823"/>
  <c r="D265" i="202"/>
  <c r="D265" i="200"/>
  <c r="F264" i="508"/>
  <c r="F50" i="823"/>
  <c r="F208" i="823" s="1"/>
  <c r="F264" i="202"/>
  <c r="F264" i="200"/>
  <c r="H230" i="508"/>
  <c r="H230" i="202"/>
  <c r="H230" i="200"/>
  <c r="H28" i="742"/>
  <c r="D284" i="508"/>
  <c r="J80" i="823"/>
  <c r="D82" i="742"/>
  <c r="D284" i="202"/>
  <c r="D284" i="200"/>
  <c r="D231" i="508"/>
  <c r="J17" i="823"/>
  <c r="D231" i="202"/>
  <c r="D231" i="200"/>
  <c r="E240" i="508"/>
  <c r="E27" i="823"/>
  <c r="E240" i="202"/>
  <c r="E240" i="200"/>
  <c r="F309" i="508"/>
  <c r="F309" i="202"/>
  <c r="F309" i="200"/>
  <c r="F107" i="742"/>
  <c r="E257" i="508"/>
  <c r="E44" i="823"/>
  <c r="E257" i="202"/>
  <c r="E257" i="200"/>
  <c r="I298" i="508"/>
  <c r="I298" i="200"/>
  <c r="I298" i="202"/>
  <c r="I96" i="742"/>
  <c r="G250" i="508"/>
  <c r="G250" i="202"/>
  <c r="G250" i="200"/>
  <c r="G245" i="508"/>
  <c r="G245" i="202"/>
  <c r="G245" i="200"/>
  <c r="G288" i="508"/>
  <c r="G86" i="742"/>
  <c r="G288" i="202"/>
  <c r="G288" i="200"/>
  <c r="H229" i="508"/>
  <c r="H14" i="823"/>
  <c r="H211" i="823" s="1"/>
  <c r="H229" i="202"/>
  <c r="H229" i="200"/>
  <c r="F253" i="508"/>
  <c r="F253" i="202"/>
  <c r="F253" i="200"/>
  <c r="F51" i="742"/>
  <c r="I307" i="508"/>
  <c r="I307" i="200"/>
  <c r="I307" i="202"/>
  <c r="I105" i="742"/>
  <c r="E227" i="508"/>
  <c r="E227" i="202"/>
  <c r="E227" i="200"/>
  <c r="H254" i="508"/>
  <c r="H254" i="202"/>
  <c r="H254" i="200"/>
  <c r="H52" i="742"/>
  <c r="F265" i="508"/>
  <c r="F265" i="202"/>
  <c r="F265" i="200"/>
  <c r="I264" i="508"/>
  <c r="I50" i="823"/>
  <c r="I208" i="823" s="1"/>
  <c r="I264" i="202"/>
  <c r="I264" i="200"/>
  <c r="D230" i="508"/>
  <c r="J16" i="823"/>
  <c r="D230" i="202"/>
  <c r="D230" i="200"/>
  <c r="D28" i="742"/>
  <c r="E266" i="508"/>
  <c r="E266" i="202"/>
  <c r="E266" i="200"/>
  <c r="I284" i="508"/>
  <c r="I82" i="742"/>
  <c r="I284" i="202"/>
  <c r="I284" i="200"/>
  <c r="G231" i="508"/>
  <c r="G231" i="202"/>
  <c r="G231" i="200"/>
  <c r="G240" i="508"/>
  <c r="G27" i="823"/>
  <c r="G240" i="202"/>
  <c r="G240" i="200"/>
  <c r="F257" i="508"/>
  <c r="F44" i="823"/>
  <c r="F257" i="202"/>
  <c r="F257" i="200"/>
  <c r="E298" i="508"/>
  <c r="E298" i="200"/>
  <c r="E298" i="202"/>
  <c r="E96" i="742"/>
  <c r="H250" i="508"/>
  <c r="H250" i="202"/>
  <c r="H250" i="200"/>
  <c r="I245" i="508"/>
  <c r="I245" i="202"/>
  <c r="I245" i="200"/>
  <c r="H288" i="508"/>
  <c r="H86" i="742"/>
  <c r="H288" i="202"/>
  <c r="H288" i="200"/>
  <c r="I260" i="508"/>
  <c r="I260" i="202"/>
  <c r="I260" i="200"/>
  <c r="I58" i="742"/>
  <c r="I117" i="742"/>
  <c r="I115" i="742" s="1"/>
  <c r="I120" i="473"/>
  <c r="I118" i="473" s="1"/>
  <c r="I116" i="473" s="1"/>
  <c r="I118" i="163"/>
  <c r="I116" i="163" s="1"/>
  <c r="I229" i="508"/>
  <c r="I14" i="823"/>
  <c r="I229" i="202"/>
  <c r="I229" i="200"/>
  <c r="I253" i="508"/>
  <c r="I253" i="202"/>
  <c r="I253" i="200"/>
  <c r="I51" i="742"/>
  <c r="M64" i="823"/>
  <c r="T64" i="823" s="1"/>
  <c r="E307" i="508"/>
  <c r="E307" i="202"/>
  <c r="E307" i="200"/>
  <c r="E105" i="742"/>
  <c r="F227" i="508"/>
  <c r="F227" i="202"/>
  <c r="F227" i="200"/>
  <c r="D254" i="508"/>
  <c r="J42" i="823"/>
  <c r="D254" i="202"/>
  <c r="D254" i="200"/>
  <c r="D52" i="742"/>
  <c r="I265" i="508"/>
  <c r="I265" i="202"/>
  <c r="I265" i="200"/>
  <c r="I248" i="508"/>
  <c r="I248" i="202"/>
  <c r="I248" i="200"/>
  <c r="I46" i="742"/>
  <c r="I266" i="508"/>
  <c r="I266" i="202"/>
  <c r="I266" i="200"/>
  <c r="E284" i="508"/>
  <c r="E82" i="742"/>
  <c r="E284" i="202"/>
  <c r="E284" i="200"/>
  <c r="H231" i="508"/>
  <c r="H231" i="202"/>
  <c r="H231" i="200"/>
  <c r="I247" i="508"/>
  <c r="I34" i="823"/>
  <c r="I247" i="202"/>
  <c r="I247" i="200"/>
  <c r="H268" i="508"/>
  <c r="H268" i="202"/>
  <c r="H268" i="200"/>
  <c r="H298" i="508"/>
  <c r="H298" i="200"/>
  <c r="H298" i="202"/>
  <c r="H96" i="742"/>
  <c r="I250" i="508"/>
  <c r="I250" i="202"/>
  <c r="I250" i="200"/>
  <c r="G242" i="508"/>
  <c r="G242" i="202"/>
  <c r="G242" i="200"/>
  <c r="E288" i="508"/>
  <c r="E86" i="742"/>
  <c r="E288" i="202"/>
  <c r="E288" i="200"/>
  <c r="F260" i="508"/>
  <c r="F260" i="202"/>
  <c r="F260" i="200"/>
  <c r="F58" i="742"/>
  <c r="D244" i="508"/>
  <c r="J32" i="823"/>
  <c r="D244" i="202"/>
  <c r="D244" i="200"/>
  <c r="D42" i="742"/>
  <c r="E229" i="508"/>
  <c r="E14" i="823"/>
  <c r="E211" i="823" s="1"/>
  <c r="E229" i="202"/>
  <c r="E229" i="200"/>
  <c r="D253" i="508"/>
  <c r="J41" i="823"/>
  <c r="D253" i="202"/>
  <c r="D253" i="200"/>
  <c r="D51" i="742"/>
  <c r="K64" i="823"/>
  <c r="R64" i="823" s="1"/>
  <c r="J64" i="823"/>
  <c r="F307" i="508"/>
  <c r="F307" i="202"/>
  <c r="F307" i="200"/>
  <c r="F105" i="742"/>
  <c r="I227" i="508"/>
  <c r="I227" i="202"/>
  <c r="I227" i="200"/>
  <c r="F254" i="508"/>
  <c r="F254" i="202"/>
  <c r="F254" i="200"/>
  <c r="F52" i="742"/>
  <c r="G265" i="508"/>
  <c r="G265" i="202"/>
  <c r="G265" i="200"/>
  <c r="E248" i="508"/>
  <c r="E248" i="202"/>
  <c r="E248" i="200"/>
  <c r="E46" i="742"/>
  <c r="F266" i="508"/>
  <c r="F266" i="202"/>
  <c r="F266" i="200"/>
  <c r="G284" i="508"/>
  <c r="G82" i="742"/>
  <c r="G284" i="202"/>
  <c r="G284" i="200"/>
  <c r="E231" i="508"/>
  <c r="E231" i="202"/>
  <c r="E231" i="200"/>
  <c r="G247" i="508"/>
  <c r="G34" i="823"/>
  <c r="G247" i="202"/>
  <c r="G247" i="200"/>
  <c r="I268" i="508"/>
  <c r="I268" i="202"/>
  <c r="I268" i="200"/>
  <c r="F298" i="508"/>
  <c r="F298" i="202"/>
  <c r="F298" i="200"/>
  <c r="F96" i="742"/>
  <c r="F250" i="508"/>
  <c r="F250" i="202"/>
  <c r="F250" i="200"/>
  <c r="E242" i="508"/>
  <c r="E242" i="202"/>
  <c r="E242" i="200"/>
  <c r="E258" i="508"/>
  <c r="E258" i="202"/>
  <c r="E258" i="200"/>
  <c r="E56" i="742"/>
  <c r="F299" i="508"/>
  <c r="F299" i="202"/>
  <c r="F299" i="200"/>
  <c r="F97" i="742"/>
  <c r="G260" i="508"/>
  <c r="G260" i="202"/>
  <c r="G260" i="200"/>
  <c r="G58" i="742"/>
  <c r="D39" i="644"/>
  <c r="D56" i="644"/>
  <c r="D70" i="644"/>
  <c r="D46" i="644"/>
  <c r="D62" i="644"/>
  <c r="D54" i="644"/>
  <c r="D68" i="644"/>
  <c r="D76" i="644"/>
  <c r="D84" i="644"/>
  <c r="D82" i="644"/>
  <c r="J365" i="815"/>
  <c r="J365" i="814"/>
  <c r="J365" i="813"/>
  <c r="G352" i="813"/>
  <c r="E346" i="743"/>
  <c r="H346" i="743" s="1"/>
  <c r="E426" i="743"/>
  <c r="H426" i="743" s="1"/>
  <c r="E399" i="743"/>
  <c r="H399" i="743" s="1"/>
  <c r="D8" i="644"/>
  <c r="L26" i="631"/>
  <c r="G364" i="814"/>
  <c r="G364" i="813"/>
  <c r="J367" i="814"/>
  <c r="E373" i="813"/>
  <c r="H354" i="815"/>
  <c r="H353" i="815" s="1"/>
  <c r="H354" i="814"/>
  <c r="H353" i="814" s="1"/>
  <c r="H354" i="813"/>
  <c r="E373" i="200"/>
  <c r="I359" i="813"/>
  <c r="I358" i="813" s="1"/>
  <c r="I359" i="815"/>
  <c r="I358" i="815" s="1"/>
  <c r="I359" i="814"/>
  <c r="I358" i="814" s="1"/>
  <c r="J347" i="813"/>
  <c r="I368" i="815"/>
  <c r="I366" i="815" s="1"/>
  <c r="I364" i="815" s="1"/>
  <c r="I368" i="813"/>
  <c r="I368" i="814"/>
  <c r="G348" i="815"/>
  <c r="H368" i="814"/>
  <c r="H366" i="814" s="1"/>
  <c r="H364" i="814" s="1"/>
  <c r="H368" i="813"/>
  <c r="H366" i="813" s="1"/>
  <c r="H364" i="813" s="1"/>
  <c r="H368" i="815"/>
  <c r="H366" i="815" s="1"/>
  <c r="H364" i="815" s="1"/>
  <c r="H359" i="815"/>
  <c r="H358" i="815" s="1"/>
  <c r="J358" i="815" s="1"/>
  <c r="H359" i="813"/>
  <c r="H359" i="814"/>
  <c r="H358" i="814" s="1"/>
  <c r="I350" i="815"/>
  <c r="I348" i="815" s="1"/>
  <c r="I346" i="815" s="1"/>
  <c r="I350" i="814"/>
  <c r="I348" i="814" s="1"/>
  <c r="I346" i="814" s="1"/>
  <c r="I350" i="813"/>
  <c r="I348" i="813" s="1"/>
  <c r="I346" i="813" s="1"/>
  <c r="J347" i="815"/>
  <c r="G364" i="815"/>
  <c r="H350" i="815"/>
  <c r="H348" i="815" s="1"/>
  <c r="H346" i="815" s="1"/>
  <c r="H350" i="813"/>
  <c r="H350" i="814"/>
  <c r="I354" i="815"/>
  <c r="I353" i="815" s="1"/>
  <c r="I354" i="814"/>
  <c r="I353" i="814" s="1"/>
  <c r="I354" i="813"/>
  <c r="I353" i="813" s="1"/>
  <c r="J347" i="814"/>
  <c r="E373" i="815"/>
  <c r="G358" i="814"/>
  <c r="J367" i="813"/>
  <c r="G353" i="815"/>
  <c r="F352" i="813"/>
  <c r="F373" i="813" s="1"/>
  <c r="J367" i="815"/>
  <c r="E452" i="743"/>
  <c r="H452" i="743" s="1"/>
  <c r="E397" i="743"/>
  <c r="H397" i="743" s="1"/>
  <c r="E344" i="743"/>
  <c r="H344" i="743" s="1"/>
  <c r="E373" i="743"/>
  <c r="H373" i="743" s="1"/>
  <c r="J367" i="508"/>
  <c r="F395" i="200"/>
  <c r="F416" i="200" s="1"/>
  <c r="G396" i="200"/>
  <c r="G417" i="200" s="1"/>
  <c r="G392" i="200"/>
  <c r="G413" i="200" s="1"/>
  <c r="E450" i="743"/>
  <c r="H450" i="743" s="1"/>
  <c r="E320" i="743"/>
  <c r="H320" i="743" s="1"/>
  <c r="G396" i="508"/>
  <c r="G417" i="508" s="1"/>
  <c r="J137" i="163"/>
  <c r="J222" i="81"/>
  <c r="K22" i="485"/>
  <c r="C16" i="631" s="1"/>
  <c r="C15" i="858" s="1"/>
  <c r="J107" i="81"/>
  <c r="J20" i="81"/>
  <c r="I198" i="81"/>
  <c r="J193" i="81"/>
  <c r="J365" i="200"/>
  <c r="J393" i="200" s="1"/>
  <c r="J414" i="200" s="1"/>
  <c r="P12" i="485" s="1"/>
  <c r="J365" i="502"/>
  <c r="J393" i="502" s="1"/>
  <c r="J414" i="502" s="1"/>
  <c r="J365" i="508"/>
  <c r="J393" i="508" s="1"/>
  <c r="J414" i="508" s="1"/>
  <c r="G364" i="502"/>
  <c r="G392" i="502"/>
  <c r="G413" i="502" s="1"/>
  <c r="F352" i="508"/>
  <c r="F395" i="508"/>
  <c r="F416" i="508" s="1"/>
  <c r="G163" i="163"/>
  <c r="G114" i="163"/>
  <c r="F352" i="502"/>
  <c r="F395" i="502"/>
  <c r="F416" i="502" s="1"/>
  <c r="F352" i="202"/>
  <c r="F395" i="202"/>
  <c r="F416" i="202" s="1"/>
  <c r="F346" i="202"/>
  <c r="F396" i="202"/>
  <c r="F417" i="202" s="1"/>
  <c r="G134" i="163"/>
  <c r="G159" i="163"/>
  <c r="E373" i="502"/>
  <c r="E373" i="202"/>
  <c r="E373" i="508"/>
  <c r="F134" i="163"/>
  <c r="F159" i="163"/>
  <c r="F392" i="508"/>
  <c r="F413" i="508" s="1"/>
  <c r="F364" i="508"/>
  <c r="F396" i="508"/>
  <c r="F417" i="508" s="1"/>
  <c r="F346" i="508"/>
  <c r="F396" i="200"/>
  <c r="F417" i="200" s="1"/>
  <c r="F346" i="200"/>
  <c r="F396" i="502"/>
  <c r="F417" i="502" s="1"/>
  <c r="F346" i="502"/>
  <c r="F114" i="163"/>
  <c r="F163" i="163"/>
  <c r="J347" i="202"/>
  <c r="J397" i="202" s="1"/>
  <c r="J418" i="202" s="1"/>
  <c r="J115" i="163"/>
  <c r="J164" i="163" s="1"/>
  <c r="T7" i="485" s="1"/>
  <c r="T6" i="485" s="1"/>
  <c r="H164" i="163"/>
  <c r="J347" i="200"/>
  <c r="J397" i="200" s="1"/>
  <c r="J418" i="200" s="1"/>
  <c r="T12" i="485" s="1"/>
  <c r="J367" i="200"/>
  <c r="J367" i="502"/>
  <c r="J367" i="202"/>
  <c r="G162" i="163"/>
  <c r="I164" i="163"/>
  <c r="G358" i="200"/>
  <c r="G358" i="202"/>
  <c r="G358" i="502"/>
  <c r="G358" i="508"/>
  <c r="G127" i="163"/>
  <c r="G121" i="163" s="1"/>
  <c r="J365" i="202"/>
  <c r="J393" i="202" s="1"/>
  <c r="J414" i="202" s="1"/>
  <c r="H160" i="163"/>
  <c r="J135" i="163"/>
  <c r="J160" i="163" s="1"/>
  <c r="P7" i="485" s="1"/>
  <c r="J347" i="508"/>
  <c r="J397" i="508" s="1"/>
  <c r="J418" i="508" s="1"/>
  <c r="J347" i="502"/>
  <c r="J397" i="502" s="1"/>
  <c r="J418" i="502" s="1"/>
  <c r="G364" i="508"/>
  <c r="F364" i="200"/>
  <c r="F364" i="502"/>
  <c r="F392" i="502"/>
  <c r="F413" i="502" s="1"/>
  <c r="F364" i="202"/>
  <c r="G353" i="508"/>
  <c r="G395" i="508" s="1"/>
  <c r="G416" i="508" s="1"/>
  <c r="G353" i="200"/>
  <c r="G395" i="200" s="1"/>
  <c r="G416" i="200" s="1"/>
  <c r="G353" i="202"/>
  <c r="H350" i="200"/>
  <c r="H350" i="508"/>
  <c r="H350" i="502"/>
  <c r="H350" i="202"/>
  <c r="I350" i="508"/>
  <c r="I348" i="508" s="1"/>
  <c r="I350" i="200"/>
  <c r="I348" i="200" s="1"/>
  <c r="I350" i="202"/>
  <c r="I348" i="202" s="1"/>
  <c r="I346" i="202" s="1"/>
  <c r="I350" i="502"/>
  <c r="I348" i="502" s="1"/>
  <c r="I354" i="508"/>
  <c r="I353" i="508" s="1"/>
  <c r="I354" i="202"/>
  <c r="I353" i="202" s="1"/>
  <c r="I354" i="502"/>
  <c r="I353" i="502" s="1"/>
  <c r="I354" i="200"/>
  <c r="I353" i="200" s="1"/>
  <c r="I395" i="200" s="1"/>
  <c r="I416" i="200" s="1"/>
  <c r="H368" i="508"/>
  <c r="H368" i="202"/>
  <c r="H366" i="202" s="1"/>
  <c r="H368" i="200"/>
  <c r="H366" i="200" s="1"/>
  <c r="H368" i="502"/>
  <c r="H366" i="502" s="1"/>
  <c r="H354" i="202"/>
  <c r="H354" i="508"/>
  <c r="H354" i="502"/>
  <c r="H354" i="200"/>
  <c r="I368" i="200"/>
  <c r="I366" i="200" s="1"/>
  <c r="I364" i="200" s="1"/>
  <c r="I368" i="508"/>
  <c r="I366" i="508" s="1"/>
  <c r="I368" i="502"/>
  <c r="I366" i="502" s="1"/>
  <c r="I364" i="502" s="1"/>
  <c r="I368" i="202"/>
  <c r="I366" i="202" s="1"/>
  <c r="I364" i="202" s="1"/>
  <c r="H359" i="502"/>
  <c r="H359" i="200"/>
  <c r="H359" i="202"/>
  <c r="H359" i="508"/>
  <c r="I359" i="502"/>
  <c r="I358" i="502" s="1"/>
  <c r="I394" i="502" s="1"/>
  <c r="I415" i="502" s="1"/>
  <c r="I359" i="202"/>
  <c r="I358" i="202" s="1"/>
  <c r="I394" i="202" s="1"/>
  <c r="I415" i="202" s="1"/>
  <c r="I359" i="508"/>
  <c r="I358" i="508" s="1"/>
  <c r="I394" i="508" s="1"/>
  <c r="I415" i="508" s="1"/>
  <c r="I359" i="200"/>
  <c r="I358" i="200" s="1"/>
  <c r="E247" i="502"/>
  <c r="I248" i="502"/>
  <c r="G232" i="502"/>
  <c r="H245" i="502"/>
  <c r="F250" i="502"/>
  <c r="I242" i="502"/>
  <c r="E253" i="502"/>
  <c r="E229" i="502"/>
  <c r="H257" i="502"/>
  <c r="H230" i="502"/>
  <c r="H284" i="502"/>
  <c r="E288" i="502"/>
  <c r="G266" i="502"/>
  <c r="I264" i="502"/>
  <c r="F247" i="502"/>
  <c r="H232" i="502"/>
  <c r="I245" i="502"/>
  <c r="E250" i="502"/>
  <c r="G253" i="502"/>
  <c r="F229" i="502"/>
  <c r="I257" i="502"/>
  <c r="F230" i="502"/>
  <c r="I284" i="502"/>
  <c r="G288" i="502"/>
  <c r="I266" i="502"/>
  <c r="E264" i="502"/>
  <c r="E243" i="502"/>
  <c r="G247" i="502"/>
  <c r="F232" i="502"/>
  <c r="E258" i="502"/>
  <c r="G250" i="502"/>
  <c r="H253" i="502"/>
  <c r="G231" i="502"/>
  <c r="E257" i="502"/>
  <c r="I230" i="502"/>
  <c r="H264" i="502"/>
  <c r="F288" i="502"/>
  <c r="G268" i="502"/>
  <c r="H266" i="502"/>
  <c r="F264" i="502"/>
  <c r="F243" i="502"/>
  <c r="H247" i="502"/>
  <c r="I252" i="502"/>
  <c r="I232" i="502"/>
  <c r="F258" i="502"/>
  <c r="I250" i="502"/>
  <c r="E244" i="502"/>
  <c r="I253" i="502"/>
  <c r="H231" i="502"/>
  <c r="F257" i="502"/>
  <c r="E241" i="502"/>
  <c r="H288" i="502"/>
  <c r="E268" i="502"/>
  <c r="E266" i="502"/>
  <c r="E267" i="502"/>
  <c r="G243" i="502"/>
  <c r="I247" i="502"/>
  <c r="E252" i="502"/>
  <c r="I254" i="502"/>
  <c r="G258" i="502"/>
  <c r="H250" i="502"/>
  <c r="F244" i="502"/>
  <c r="I231" i="502"/>
  <c r="G257" i="502"/>
  <c r="F241" i="502"/>
  <c r="F284" i="502"/>
  <c r="I263" i="502"/>
  <c r="I288" i="502"/>
  <c r="H268" i="502"/>
  <c r="F266" i="502"/>
  <c r="F267" i="502"/>
  <c r="H243" i="502"/>
  <c r="F252" i="502"/>
  <c r="E254" i="502"/>
  <c r="H258" i="502"/>
  <c r="F240" i="502"/>
  <c r="G244" i="502"/>
  <c r="E231" i="502"/>
  <c r="E260" i="502"/>
  <c r="H241" i="502"/>
  <c r="F268" i="502"/>
  <c r="I265" i="502"/>
  <c r="G267" i="502"/>
  <c r="I243" i="502"/>
  <c r="G252" i="502"/>
  <c r="E227" i="502"/>
  <c r="G254" i="502"/>
  <c r="I258" i="502"/>
  <c r="G240" i="502"/>
  <c r="I244" i="502"/>
  <c r="F231" i="502"/>
  <c r="F260" i="502"/>
  <c r="I241" i="502"/>
  <c r="I268" i="502"/>
  <c r="G265" i="502"/>
  <c r="H267" i="502"/>
  <c r="E255" i="502"/>
  <c r="H252" i="502"/>
  <c r="F227" i="502"/>
  <c r="F254" i="502"/>
  <c r="E249" i="502"/>
  <c r="E240" i="502"/>
  <c r="H244" i="502"/>
  <c r="H259" i="502"/>
  <c r="G260" i="502"/>
  <c r="G241" i="502"/>
  <c r="F221" i="502"/>
  <c r="F220" i="502" s="1"/>
  <c r="H226" i="502"/>
  <c r="E263" i="502"/>
  <c r="H265" i="502"/>
  <c r="I267" i="502"/>
  <c r="F255" i="502"/>
  <c r="E248" i="502"/>
  <c r="G227" i="502"/>
  <c r="H254" i="502"/>
  <c r="F249" i="502"/>
  <c r="H240" i="502"/>
  <c r="E242" i="502"/>
  <c r="I259" i="502"/>
  <c r="H260" i="502"/>
  <c r="E221" i="502"/>
  <c r="E220" i="502" s="1"/>
  <c r="G221" i="502"/>
  <c r="G220" i="502" s="1"/>
  <c r="G226" i="502"/>
  <c r="F263" i="502"/>
  <c r="F265" i="502"/>
  <c r="H255" i="502"/>
  <c r="G248" i="502"/>
  <c r="H227" i="502"/>
  <c r="E245" i="502"/>
  <c r="H249" i="502"/>
  <c r="I240" i="502"/>
  <c r="F242" i="502"/>
  <c r="G229" i="502"/>
  <c r="F259" i="502"/>
  <c r="I260" i="502"/>
  <c r="E284" i="502"/>
  <c r="H221" i="502"/>
  <c r="H220" i="502" s="1"/>
  <c r="F226" i="502"/>
  <c r="G263" i="502"/>
  <c r="E265" i="502"/>
  <c r="G255" i="502"/>
  <c r="H248" i="502"/>
  <c r="I227" i="502"/>
  <c r="G245" i="502"/>
  <c r="G249" i="502"/>
  <c r="G242" i="502"/>
  <c r="H229" i="502"/>
  <c r="E259" i="502"/>
  <c r="E230" i="502"/>
  <c r="I226" i="502"/>
  <c r="G284" i="502"/>
  <c r="I221" i="502"/>
  <c r="I220" i="502" s="1"/>
  <c r="E226" i="502"/>
  <c r="H263" i="502"/>
  <c r="G264" i="502"/>
  <c r="I255" i="502"/>
  <c r="F248" i="502"/>
  <c r="E232" i="502"/>
  <c r="F245" i="502"/>
  <c r="I249" i="502"/>
  <c r="H242" i="502"/>
  <c r="F253" i="502"/>
  <c r="I229" i="502"/>
  <c r="G259" i="502"/>
  <c r="G230" i="502"/>
  <c r="E5" i="129"/>
  <c r="G5" i="129"/>
  <c r="I97" i="486"/>
  <c r="I97" i="506"/>
  <c r="I87" i="640"/>
  <c r="I87" i="639"/>
  <c r="E93" i="486"/>
  <c r="E83" i="640"/>
  <c r="E93" i="506"/>
  <c r="E83" i="639"/>
  <c r="G93" i="486"/>
  <c r="G83" i="640"/>
  <c r="G93" i="506"/>
  <c r="G83" i="639"/>
  <c r="F93" i="486"/>
  <c r="F83" i="640"/>
  <c r="F93" i="506"/>
  <c r="F83" i="639"/>
  <c r="H83" i="640"/>
  <c r="H93" i="506"/>
  <c r="H93" i="486"/>
  <c r="H83" i="639"/>
  <c r="E97" i="486"/>
  <c r="E97" i="506"/>
  <c r="E87" i="639"/>
  <c r="E87" i="640"/>
  <c r="I83" i="640"/>
  <c r="I93" i="506"/>
  <c r="I93" i="486"/>
  <c r="I83" i="639"/>
  <c r="G97" i="486"/>
  <c r="G97" i="506"/>
  <c r="G87" i="640"/>
  <c r="G87" i="639"/>
  <c r="F97" i="486"/>
  <c r="F97" i="506"/>
  <c r="F87" i="640"/>
  <c r="F87" i="639"/>
  <c r="F5" i="129"/>
  <c r="H97" i="486"/>
  <c r="H97" i="506"/>
  <c r="H87" i="640"/>
  <c r="H87" i="639"/>
  <c r="H5" i="129"/>
  <c r="I5" i="129"/>
  <c r="N60" i="129"/>
  <c r="G59" i="129"/>
  <c r="O60" i="129"/>
  <c r="H59" i="129"/>
  <c r="O63" i="129"/>
  <c r="V63" i="129" s="1"/>
  <c r="L60" i="129"/>
  <c r="E59" i="129"/>
  <c r="P61" i="129"/>
  <c r="W61" i="129" s="1"/>
  <c r="M60" i="129"/>
  <c r="F59" i="129"/>
  <c r="L62" i="129"/>
  <c r="S62" i="129" s="1"/>
  <c r="L61" i="129"/>
  <c r="S61" i="129" s="1"/>
  <c r="L64" i="129"/>
  <c r="S64" i="129" s="1"/>
  <c r="N63" i="129"/>
  <c r="U63" i="129" s="1"/>
  <c r="N61" i="129"/>
  <c r="U61" i="129" s="1"/>
  <c r="N62" i="129"/>
  <c r="U62" i="129" s="1"/>
  <c r="M64" i="129"/>
  <c r="T64" i="129" s="1"/>
  <c r="M61" i="129"/>
  <c r="T61" i="129" s="1"/>
  <c r="O62" i="129"/>
  <c r="V62" i="129" s="1"/>
  <c r="N64" i="129"/>
  <c r="U64" i="129" s="1"/>
  <c r="O61" i="129"/>
  <c r="V61" i="129" s="1"/>
  <c r="P62" i="129"/>
  <c r="W62" i="129" s="1"/>
  <c r="P60" i="129"/>
  <c r="I59" i="129"/>
  <c r="P64" i="129"/>
  <c r="W64" i="129" s="1"/>
  <c r="G14" i="129"/>
  <c r="I50" i="129"/>
  <c r="F50" i="129"/>
  <c r="E50" i="129"/>
  <c r="G50" i="129"/>
  <c r="H50" i="129"/>
  <c r="I14" i="129"/>
  <c r="E44" i="129"/>
  <c r="F44" i="129"/>
  <c r="G44" i="129"/>
  <c r="H44" i="129"/>
  <c r="I44" i="129"/>
  <c r="G21" i="129"/>
  <c r="I39" i="129"/>
  <c r="E39" i="129"/>
  <c r="F21" i="129"/>
  <c r="F39" i="129"/>
  <c r="E21" i="129"/>
  <c r="G39" i="129"/>
  <c r="H39" i="129"/>
  <c r="F34" i="129"/>
  <c r="I34" i="129"/>
  <c r="H34" i="129"/>
  <c r="E34" i="129"/>
  <c r="G34" i="129"/>
  <c r="F27" i="129"/>
  <c r="E27" i="129"/>
  <c r="G27" i="129"/>
  <c r="H27" i="129"/>
  <c r="I27" i="129"/>
  <c r="I21" i="129"/>
  <c r="F14" i="129"/>
  <c r="H21" i="129"/>
  <c r="E14" i="129"/>
  <c r="H14" i="129"/>
  <c r="H10" i="129"/>
  <c r="G10" i="129"/>
  <c r="F10" i="129"/>
  <c r="E10" i="129"/>
  <c r="I10" i="129"/>
  <c r="F141" i="742"/>
  <c r="J133" i="742"/>
  <c r="J158" i="742" s="1"/>
  <c r="I123" i="130"/>
  <c r="I219" i="130" s="1"/>
  <c r="H123" i="130"/>
  <c r="H219" i="130" s="1"/>
  <c r="G125" i="742"/>
  <c r="J135" i="742"/>
  <c r="G132" i="742"/>
  <c r="H162" i="742"/>
  <c r="J114" i="742"/>
  <c r="J162" i="742" s="1"/>
  <c r="G113" i="742"/>
  <c r="H141" i="480"/>
  <c r="I141" i="480"/>
  <c r="F141" i="481"/>
  <c r="I141" i="481"/>
  <c r="J165" i="211"/>
  <c r="T8" i="485" s="1"/>
  <c r="T10" i="485" s="1"/>
  <c r="J161" i="211"/>
  <c r="P8" i="485" s="1"/>
  <c r="P10" i="485" s="1"/>
  <c r="H134" i="211"/>
  <c r="H160" i="211"/>
  <c r="I114" i="211"/>
  <c r="I164" i="211"/>
  <c r="I134" i="211"/>
  <c r="I160" i="211"/>
  <c r="H114" i="211"/>
  <c r="H164" i="211"/>
  <c r="G141" i="480"/>
  <c r="D141" i="482"/>
  <c r="H141" i="481"/>
  <c r="G141" i="482"/>
  <c r="E141" i="481"/>
  <c r="J120" i="480"/>
  <c r="G19" i="203"/>
  <c r="G141" i="481"/>
  <c r="H19" i="203"/>
  <c r="F141" i="480"/>
  <c r="E19" i="203"/>
  <c r="I141" i="482"/>
  <c r="J120" i="481"/>
  <c r="E141" i="482"/>
  <c r="F141" i="482"/>
  <c r="H141" i="482"/>
  <c r="J120" i="482"/>
  <c r="J123" i="482"/>
  <c r="J140" i="482" s="1"/>
  <c r="J43" i="482"/>
  <c r="F19" i="203"/>
  <c r="J123" i="481"/>
  <c r="J140" i="481" s="1"/>
  <c r="J43" i="481"/>
  <c r="I19" i="203"/>
  <c r="E141" i="480"/>
  <c r="J43" i="480"/>
  <c r="J140" i="480"/>
  <c r="D134" i="652"/>
  <c r="J33" i="656"/>
  <c r="D110" i="656"/>
  <c r="J110" i="656" s="1"/>
  <c r="J111" i="656" s="1"/>
  <c r="J33" i="652"/>
  <c r="J110" i="652"/>
  <c r="J111" i="652" s="1"/>
  <c r="I397" i="508"/>
  <c r="I418" i="508" s="1"/>
  <c r="I397" i="200"/>
  <c r="I418" i="200" s="1"/>
  <c r="I397" i="502"/>
  <c r="I418" i="502" s="1"/>
  <c r="H397" i="508"/>
  <c r="H418" i="508" s="1"/>
  <c r="H393" i="502"/>
  <c r="H414" i="502" s="1"/>
  <c r="I393" i="502"/>
  <c r="I414" i="502" s="1"/>
  <c r="H393" i="508"/>
  <c r="H414" i="508" s="1"/>
  <c r="I393" i="508"/>
  <c r="I414" i="508" s="1"/>
  <c r="H397" i="200"/>
  <c r="H418" i="200" s="1"/>
  <c r="I393" i="200"/>
  <c r="I414" i="200" s="1"/>
  <c r="F392" i="200"/>
  <c r="F413" i="200" s="1"/>
  <c r="H397" i="502"/>
  <c r="H418" i="502" s="1"/>
  <c r="E29" i="640"/>
  <c r="E29" i="639"/>
  <c r="E39" i="506"/>
  <c r="E116" i="506"/>
  <c r="E52" i="506"/>
  <c r="E31" i="640"/>
  <c r="E31" i="639"/>
  <c r="E41" i="506"/>
  <c r="H69" i="506"/>
  <c r="G30" i="640"/>
  <c r="G40" i="506"/>
  <c r="G76" i="506"/>
  <c r="I19" i="158"/>
  <c r="I19" i="206"/>
  <c r="I30" i="506"/>
  <c r="G37" i="640"/>
  <c r="G47" i="506"/>
  <c r="G47" i="486"/>
  <c r="I26" i="640"/>
  <c r="I36" i="506"/>
  <c r="I36" i="486"/>
  <c r="H35" i="640"/>
  <c r="H45" i="506"/>
  <c r="H45" i="486"/>
  <c r="F69" i="506"/>
  <c r="I75" i="506"/>
  <c r="I37" i="640"/>
  <c r="I47" i="506"/>
  <c r="I47" i="486"/>
  <c r="F58" i="506"/>
  <c r="F29" i="640"/>
  <c r="F29" i="639"/>
  <c r="F39" i="506"/>
  <c r="F108" i="506"/>
  <c r="F56" i="506"/>
  <c r="F51" i="506"/>
  <c r="F116" i="506"/>
  <c r="F49" i="506"/>
  <c r="F117" i="506"/>
  <c r="F52" i="506"/>
  <c r="F61" i="506"/>
  <c r="F31" i="640"/>
  <c r="F31" i="639"/>
  <c r="F41" i="506"/>
  <c r="F66" i="506"/>
  <c r="I30" i="640"/>
  <c r="I40" i="506"/>
  <c r="E76" i="506"/>
  <c r="F75" i="506"/>
  <c r="E19" i="158"/>
  <c r="E19" i="206"/>
  <c r="E30" i="506"/>
  <c r="F37" i="640"/>
  <c r="F47" i="486"/>
  <c r="F47" i="506"/>
  <c r="F35" i="640"/>
  <c r="F45" i="486"/>
  <c r="F45" i="506"/>
  <c r="E56" i="506"/>
  <c r="I69" i="506"/>
  <c r="G58" i="506"/>
  <c r="H29" i="640"/>
  <c r="H29" i="639"/>
  <c r="H39" i="506"/>
  <c r="G108" i="506"/>
  <c r="G56" i="506"/>
  <c r="G51" i="506"/>
  <c r="H116" i="506"/>
  <c r="G49" i="506"/>
  <c r="G117" i="506"/>
  <c r="H52" i="506"/>
  <c r="G61" i="506"/>
  <c r="H31" i="640"/>
  <c r="H31" i="639"/>
  <c r="H41" i="506"/>
  <c r="G66" i="506"/>
  <c r="G54" i="506"/>
  <c r="H76" i="506"/>
  <c r="H75" i="506"/>
  <c r="G72" i="506"/>
  <c r="H36" i="640"/>
  <c r="H46" i="506"/>
  <c r="H46" i="486"/>
  <c r="E37" i="640"/>
  <c r="E47" i="486"/>
  <c r="E47" i="506"/>
  <c r="E108" i="506"/>
  <c r="G116" i="506"/>
  <c r="E117" i="506"/>
  <c r="G31" i="640"/>
  <c r="G31" i="639"/>
  <c r="G41" i="506"/>
  <c r="E75" i="506"/>
  <c r="H58" i="506"/>
  <c r="I29" i="640"/>
  <c r="I29" i="639"/>
  <c r="I39" i="506"/>
  <c r="H108" i="506"/>
  <c r="H56" i="506"/>
  <c r="H51" i="506"/>
  <c r="I116" i="506"/>
  <c r="H49" i="506"/>
  <c r="H117" i="506"/>
  <c r="I52" i="506"/>
  <c r="H61" i="506"/>
  <c r="I31" i="640"/>
  <c r="I31" i="639"/>
  <c r="I41" i="506"/>
  <c r="H66" i="506"/>
  <c r="E68" i="506"/>
  <c r="E54" i="506"/>
  <c r="E28" i="640"/>
  <c r="E38" i="506"/>
  <c r="F73" i="506"/>
  <c r="H77" i="506"/>
  <c r="I72" i="506"/>
  <c r="I36" i="640"/>
  <c r="I46" i="486"/>
  <c r="I46" i="506"/>
  <c r="H25" i="640"/>
  <c r="H35" i="486"/>
  <c r="H35" i="506"/>
  <c r="E35" i="640"/>
  <c r="E45" i="486"/>
  <c r="E45" i="506"/>
  <c r="G29" i="640"/>
  <c r="G29" i="639"/>
  <c r="G39" i="506"/>
  <c r="I58" i="506"/>
  <c r="I108" i="506"/>
  <c r="I51" i="506"/>
  <c r="I49" i="506"/>
  <c r="I117" i="506"/>
  <c r="I61" i="506"/>
  <c r="I66" i="506"/>
  <c r="F68" i="506"/>
  <c r="F54" i="506"/>
  <c r="F28" i="640"/>
  <c r="F38" i="506"/>
  <c r="H73" i="506"/>
  <c r="F74" i="506"/>
  <c r="I77" i="506"/>
  <c r="F72" i="506"/>
  <c r="G36" i="640"/>
  <c r="G46" i="506"/>
  <c r="G46" i="486"/>
  <c r="G25" i="640"/>
  <c r="G35" i="506"/>
  <c r="G35" i="486"/>
  <c r="I35" i="640"/>
  <c r="I45" i="486"/>
  <c r="I45" i="506"/>
  <c r="H37" i="640"/>
  <c r="H47" i="486"/>
  <c r="H47" i="506"/>
  <c r="I56" i="506"/>
  <c r="E59" i="506"/>
  <c r="E50" i="506"/>
  <c r="E67" i="506"/>
  <c r="E114" i="506"/>
  <c r="E62" i="506"/>
  <c r="E64" i="506"/>
  <c r="E118" i="506"/>
  <c r="G57" i="506"/>
  <c r="E107" i="506"/>
  <c r="G68" i="506"/>
  <c r="H54" i="506"/>
  <c r="G28" i="640"/>
  <c r="G38" i="506"/>
  <c r="I73" i="506"/>
  <c r="G74" i="506"/>
  <c r="E72" i="506"/>
  <c r="F36" i="640"/>
  <c r="F46" i="506"/>
  <c r="F46" i="486"/>
  <c r="F25" i="640"/>
  <c r="F35" i="486"/>
  <c r="F35" i="506"/>
  <c r="G35" i="640"/>
  <c r="G45" i="506"/>
  <c r="G45" i="486"/>
  <c r="E58" i="506"/>
  <c r="E51" i="506"/>
  <c r="E49" i="506"/>
  <c r="G52" i="506"/>
  <c r="E61" i="506"/>
  <c r="E66" i="506"/>
  <c r="I76" i="506"/>
  <c r="G59" i="506"/>
  <c r="G50" i="506"/>
  <c r="G67" i="506"/>
  <c r="E53" i="506"/>
  <c r="G114" i="506"/>
  <c r="G62" i="506"/>
  <c r="G64" i="506"/>
  <c r="G118" i="506"/>
  <c r="E57" i="506"/>
  <c r="E63" i="506"/>
  <c r="G107" i="506"/>
  <c r="H68" i="506"/>
  <c r="I54" i="506"/>
  <c r="H28" i="640"/>
  <c r="H38" i="506"/>
  <c r="H74" i="506"/>
  <c r="E77" i="506"/>
  <c r="H26" i="640"/>
  <c r="H36" i="506"/>
  <c r="H36" i="486"/>
  <c r="H19" i="158"/>
  <c r="H19" i="206"/>
  <c r="H30" i="506"/>
  <c r="F59" i="506"/>
  <c r="F50" i="506"/>
  <c r="F67" i="506"/>
  <c r="F53" i="506"/>
  <c r="F114" i="506"/>
  <c r="F62" i="506"/>
  <c r="F64" i="506"/>
  <c r="F118" i="506"/>
  <c r="F57" i="506"/>
  <c r="F63" i="506"/>
  <c r="F107" i="506"/>
  <c r="I68" i="506"/>
  <c r="I28" i="640"/>
  <c r="I38" i="506"/>
  <c r="E73" i="506"/>
  <c r="I74" i="506"/>
  <c r="G77" i="506"/>
  <c r="H72" i="506"/>
  <c r="E36" i="640"/>
  <c r="E46" i="506"/>
  <c r="E46" i="486"/>
  <c r="G26" i="640"/>
  <c r="G36" i="486"/>
  <c r="G36" i="506"/>
  <c r="E25" i="640"/>
  <c r="E35" i="486"/>
  <c r="E35" i="506"/>
  <c r="I53" i="506"/>
  <c r="I63" i="506"/>
  <c r="F30" i="640"/>
  <c r="F40" i="506"/>
  <c r="F76" i="506"/>
  <c r="H30" i="640"/>
  <c r="H40" i="506"/>
  <c r="H59" i="506"/>
  <c r="H50" i="506"/>
  <c r="H67" i="506"/>
  <c r="G53" i="506"/>
  <c r="H114" i="506"/>
  <c r="H62" i="506"/>
  <c r="H64" i="506"/>
  <c r="H118" i="506"/>
  <c r="H57" i="506"/>
  <c r="G63" i="506"/>
  <c r="H107" i="506"/>
  <c r="G69" i="506"/>
  <c r="G73" i="506"/>
  <c r="E74" i="506"/>
  <c r="F77" i="506"/>
  <c r="F19" i="158"/>
  <c r="F19" i="206"/>
  <c r="F30" i="506"/>
  <c r="F26" i="640"/>
  <c r="F36" i="506"/>
  <c r="F36" i="486"/>
  <c r="I25" i="640"/>
  <c r="I35" i="486"/>
  <c r="I35" i="506"/>
  <c r="I59" i="506"/>
  <c r="I50" i="506"/>
  <c r="I67" i="506"/>
  <c r="H53" i="506"/>
  <c r="I114" i="506"/>
  <c r="I62" i="506"/>
  <c r="I64" i="506"/>
  <c r="I118" i="506"/>
  <c r="I57" i="506"/>
  <c r="H63" i="506"/>
  <c r="I107" i="506"/>
  <c r="E69" i="506"/>
  <c r="E30" i="640"/>
  <c r="E40" i="506"/>
  <c r="G75" i="506"/>
  <c r="G19" i="158"/>
  <c r="G19" i="206"/>
  <c r="G30" i="506"/>
  <c r="E26" i="640"/>
  <c r="E36" i="506"/>
  <c r="E36" i="486"/>
  <c r="I121" i="639"/>
  <c r="J122" i="639"/>
  <c r="J163" i="639" s="1"/>
  <c r="E134" i="652"/>
  <c r="G62" i="639"/>
  <c r="G62" i="640"/>
  <c r="I62" i="639"/>
  <c r="I62" i="640"/>
  <c r="F62" i="639"/>
  <c r="F62" i="640"/>
  <c r="E62" i="639"/>
  <c r="E62" i="640"/>
  <c r="H62" i="639"/>
  <c r="H62" i="640"/>
  <c r="H121" i="639"/>
  <c r="E134" i="656"/>
  <c r="L38" i="127"/>
  <c r="J389" i="127"/>
  <c r="J123" i="639"/>
  <c r="F134" i="656"/>
  <c r="F134" i="652"/>
  <c r="H134" i="652"/>
  <c r="H134" i="656"/>
  <c r="J115" i="652"/>
  <c r="J133" i="652" s="1"/>
  <c r="I134" i="652"/>
  <c r="G133" i="652"/>
  <c r="G134" i="652" s="1"/>
  <c r="J115" i="656"/>
  <c r="J133" i="656" s="1"/>
  <c r="G133" i="656"/>
  <c r="G134" i="656" s="1"/>
  <c r="I134" i="656"/>
  <c r="I393" i="202"/>
  <c r="I414" i="202" s="1"/>
  <c r="H397" i="202"/>
  <c r="H418" i="202" s="1"/>
  <c r="H393" i="202"/>
  <c r="H414" i="202" s="1"/>
  <c r="E431" i="202"/>
  <c r="G431" i="202"/>
  <c r="F431" i="202"/>
  <c r="H431" i="202"/>
  <c r="I431" i="202"/>
  <c r="E57" i="640"/>
  <c r="E57" i="639"/>
  <c r="G59" i="640"/>
  <c r="G59" i="639"/>
  <c r="F65" i="639"/>
  <c r="F65" i="640"/>
  <c r="G49" i="640"/>
  <c r="G49" i="639"/>
  <c r="G40" i="640"/>
  <c r="G40" i="639"/>
  <c r="G57" i="640"/>
  <c r="G57" i="639"/>
  <c r="E43" i="640"/>
  <c r="E43" i="639"/>
  <c r="E39" i="640"/>
  <c r="G42" i="640"/>
  <c r="E51" i="640"/>
  <c r="E56" i="640"/>
  <c r="E20" i="640"/>
  <c r="E59" i="640"/>
  <c r="E59" i="639"/>
  <c r="H66" i="639"/>
  <c r="H66" i="640"/>
  <c r="H65" i="640"/>
  <c r="H65" i="639"/>
  <c r="F49" i="640"/>
  <c r="F49" i="639"/>
  <c r="F43" i="640"/>
  <c r="F43" i="639"/>
  <c r="F42" i="640"/>
  <c r="F51" i="640"/>
  <c r="F56" i="640"/>
  <c r="F59" i="640"/>
  <c r="F59" i="639"/>
  <c r="F63" i="640"/>
  <c r="F63" i="639"/>
  <c r="H67" i="639"/>
  <c r="H67" i="640"/>
  <c r="E49" i="640"/>
  <c r="E49" i="639"/>
  <c r="F40" i="640"/>
  <c r="F40" i="639"/>
  <c r="F57" i="640"/>
  <c r="F57" i="639"/>
  <c r="F39" i="640"/>
  <c r="F20" i="640"/>
  <c r="F124" i="640" s="1"/>
  <c r="H49" i="640"/>
  <c r="H49" i="639"/>
  <c r="H40" i="640"/>
  <c r="H40" i="639"/>
  <c r="H57" i="640"/>
  <c r="H57" i="639"/>
  <c r="G43" i="640"/>
  <c r="G43" i="639"/>
  <c r="G39" i="640"/>
  <c r="H42" i="640"/>
  <c r="G51" i="640"/>
  <c r="G56" i="640"/>
  <c r="G20" i="640"/>
  <c r="H59" i="640"/>
  <c r="H59" i="639"/>
  <c r="H63" i="640"/>
  <c r="H63" i="639"/>
  <c r="F64" i="640"/>
  <c r="F64" i="639"/>
  <c r="I67" i="639"/>
  <c r="I67" i="640"/>
  <c r="J127" i="639"/>
  <c r="J162" i="639" s="1"/>
  <c r="E42" i="640"/>
  <c r="I49" i="640"/>
  <c r="I49" i="639"/>
  <c r="I40" i="640"/>
  <c r="I40" i="639"/>
  <c r="I57" i="640"/>
  <c r="I57" i="639"/>
  <c r="H43" i="640"/>
  <c r="H43" i="639"/>
  <c r="H39" i="640"/>
  <c r="I42" i="640"/>
  <c r="H51" i="640"/>
  <c r="H56" i="640"/>
  <c r="H20" i="640"/>
  <c r="I59" i="640"/>
  <c r="I59" i="639"/>
  <c r="I63" i="639"/>
  <c r="I63" i="640"/>
  <c r="G64" i="639"/>
  <c r="G64" i="640"/>
  <c r="I43" i="640"/>
  <c r="I43" i="639"/>
  <c r="I39" i="640"/>
  <c r="I51" i="640"/>
  <c r="I56" i="640"/>
  <c r="I20" i="640"/>
  <c r="H64" i="640"/>
  <c r="H64" i="639"/>
  <c r="E67" i="639"/>
  <c r="E67" i="640"/>
  <c r="E21" i="640"/>
  <c r="E123" i="640" s="1"/>
  <c r="E21" i="639"/>
  <c r="E158" i="639" s="1"/>
  <c r="E52" i="640"/>
  <c r="E52" i="639"/>
  <c r="E54" i="640"/>
  <c r="E54" i="639"/>
  <c r="G47" i="640"/>
  <c r="G47" i="639"/>
  <c r="G44" i="640"/>
  <c r="E63" i="639"/>
  <c r="E63" i="640"/>
  <c r="I64" i="639"/>
  <c r="I64" i="640"/>
  <c r="G67" i="639"/>
  <c r="G67" i="640"/>
  <c r="E66" i="639"/>
  <c r="E66" i="640"/>
  <c r="E48" i="640"/>
  <c r="E46" i="640"/>
  <c r="E41" i="640"/>
  <c r="G21" i="640"/>
  <c r="G123" i="640" s="1"/>
  <c r="G21" i="639"/>
  <c r="G158" i="639" s="1"/>
  <c r="G52" i="640"/>
  <c r="G52" i="639"/>
  <c r="G54" i="640"/>
  <c r="G54" i="639"/>
  <c r="E47" i="640"/>
  <c r="E47" i="639"/>
  <c r="E53" i="640"/>
  <c r="E53" i="639"/>
  <c r="E58" i="640"/>
  <c r="E58" i="639"/>
  <c r="E44" i="640"/>
  <c r="G63" i="640"/>
  <c r="G63" i="639"/>
  <c r="E64" i="640"/>
  <c r="E64" i="639"/>
  <c r="F67" i="640"/>
  <c r="F67" i="639"/>
  <c r="F48" i="640"/>
  <c r="F46" i="640"/>
  <c r="F41" i="640"/>
  <c r="F21" i="640"/>
  <c r="F21" i="639"/>
  <c r="F158" i="639" s="1"/>
  <c r="F52" i="640"/>
  <c r="F52" i="639"/>
  <c r="F54" i="640"/>
  <c r="F54" i="639"/>
  <c r="F47" i="640"/>
  <c r="F47" i="639"/>
  <c r="F53" i="640"/>
  <c r="F53" i="639"/>
  <c r="F58" i="640"/>
  <c r="F58" i="639"/>
  <c r="F44" i="640"/>
  <c r="G65" i="639"/>
  <c r="G65" i="640"/>
  <c r="G48" i="640"/>
  <c r="G46" i="640"/>
  <c r="G41" i="640"/>
  <c r="H21" i="640"/>
  <c r="H123" i="640" s="1"/>
  <c r="H21" i="639"/>
  <c r="H158" i="639" s="1"/>
  <c r="H52" i="640"/>
  <c r="H52" i="639"/>
  <c r="H54" i="640"/>
  <c r="H54" i="639"/>
  <c r="H47" i="640"/>
  <c r="H47" i="639"/>
  <c r="G53" i="640"/>
  <c r="G53" i="639"/>
  <c r="G58" i="640"/>
  <c r="G58" i="639"/>
  <c r="H44" i="640"/>
  <c r="F66" i="639"/>
  <c r="F66" i="640"/>
  <c r="I65" i="640"/>
  <c r="I65" i="639"/>
  <c r="E40" i="640"/>
  <c r="E40" i="639"/>
  <c r="H48" i="640"/>
  <c r="H46" i="640"/>
  <c r="H41" i="640"/>
  <c r="I21" i="640"/>
  <c r="I123" i="640" s="1"/>
  <c r="I21" i="639"/>
  <c r="I158" i="639" s="1"/>
  <c r="I52" i="640"/>
  <c r="I52" i="639"/>
  <c r="I54" i="640"/>
  <c r="I54" i="639"/>
  <c r="I47" i="640"/>
  <c r="I47" i="639"/>
  <c r="H53" i="640"/>
  <c r="H53" i="639"/>
  <c r="H58" i="640"/>
  <c r="H58" i="639"/>
  <c r="I44" i="640"/>
  <c r="G66" i="639"/>
  <c r="G66" i="640"/>
  <c r="I48" i="640"/>
  <c r="I46" i="640"/>
  <c r="I41" i="640"/>
  <c r="D21" i="640"/>
  <c r="D21" i="639"/>
  <c r="D158" i="639" s="1"/>
  <c r="I53" i="640"/>
  <c r="I53" i="639"/>
  <c r="I58" i="640"/>
  <c r="I58" i="639"/>
  <c r="I66" i="640"/>
  <c r="I66" i="639"/>
  <c r="E65" i="640"/>
  <c r="E65" i="639"/>
  <c r="E72" i="486"/>
  <c r="F73" i="486"/>
  <c r="H73" i="486"/>
  <c r="F72" i="486"/>
  <c r="E73" i="486"/>
  <c r="G72" i="486"/>
  <c r="G73" i="486"/>
  <c r="H72" i="486"/>
  <c r="I72" i="486"/>
  <c r="F74" i="486"/>
  <c r="G74" i="486"/>
  <c r="H74" i="486"/>
  <c r="I74" i="486"/>
  <c r="I73" i="486"/>
  <c r="E74" i="486"/>
  <c r="F223" i="81"/>
  <c r="I53" i="486"/>
  <c r="H63" i="486"/>
  <c r="E61" i="486"/>
  <c r="F76" i="486"/>
  <c r="G39" i="486"/>
  <c r="Q139" i="130"/>
  <c r="E58" i="486"/>
  <c r="O135" i="130"/>
  <c r="Q135" i="130" s="1"/>
  <c r="Q114" i="130"/>
  <c r="P122" i="130"/>
  <c r="P146" i="130" s="1"/>
  <c r="G223" i="81"/>
  <c r="I223" i="81"/>
  <c r="X146" i="130"/>
  <c r="E223" i="81"/>
  <c r="T165" i="129"/>
  <c r="T170" i="129" s="1"/>
  <c r="H223" i="81"/>
  <c r="F62" i="486"/>
  <c r="F52" i="486"/>
  <c r="F69" i="486"/>
  <c r="I39" i="486"/>
  <c r="G76" i="486"/>
  <c r="G57" i="486"/>
  <c r="E63" i="486"/>
  <c r="H52" i="486"/>
  <c r="E50" i="486"/>
  <c r="I76" i="486"/>
  <c r="G63" i="486"/>
  <c r="E75" i="486"/>
  <c r="F50" i="486"/>
  <c r="H67" i="486"/>
  <c r="G50" i="486"/>
  <c r="I61" i="486"/>
  <c r="E41" i="486"/>
  <c r="G77" i="486"/>
  <c r="G30" i="486"/>
  <c r="I67" i="486"/>
  <c r="G66" i="486"/>
  <c r="G40" i="486"/>
  <c r="H50" i="486"/>
  <c r="H68" i="486"/>
  <c r="J21" i="203"/>
  <c r="D31" i="486"/>
  <c r="H53" i="486"/>
  <c r="I50" i="486"/>
  <c r="E157" i="203"/>
  <c r="E31" i="486"/>
  <c r="E131" i="486" s="1"/>
  <c r="E123" i="206"/>
  <c r="E158" i="158"/>
  <c r="I38" i="486"/>
  <c r="F49" i="486"/>
  <c r="F61" i="486"/>
  <c r="F59" i="486"/>
  <c r="E39" i="486"/>
  <c r="G49" i="486"/>
  <c r="G51" i="486"/>
  <c r="I64" i="486"/>
  <c r="G61" i="486"/>
  <c r="E53" i="486"/>
  <c r="F56" i="486"/>
  <c r="H59" i="486"/>
  <c r="E52" i="486"/>
  <c r="I54" i="486"/>
  <c r="I31" i="486"/>
  <c r="G53" i="486"/>
  <c r="I59" i="486"/>
  <c r="R21" i="485"/>
  <c r="S21" i="485"/>
  <c r="O21" i="485"/>
  <c r="H129" i="473"/>
  <c r="G163" i="473"/>
  <c r="Q128" i="130"/>
  <c r="J136" i="130"/>
  <c r="J217" i="130" s="1"/>
  <c r="P23" i="485" s="1"/>
  <c r="H226" i="81"/>
  <c r="C22" i="485"/>
  <c r="J115" i="130"/>
  <c r="J221" i="130" s="1"/>
  <c r="T23" i="485" s="1"/>
  <c r="T24" i="485" s="1"/>
  <c r="G122" i="130"/>
  <c r="Q117" i="130"/>
  <c r="J138" i="211"/>
  <c r="J124" i="473"/>
  <c r="J164" i="473" s="1"/>
  <c r="J123" i="211"/>
  <c r="F199" i="81"/>
  <c r="I121" i="211"/>
  <c r="J125" i="473"/>
  <c r="G134" i="211"/>
  <c r="J136" i="211"/>
  <c r="E144" i="473"/>
  <c r="G137" i="473"/>
  <c r="G161" i="473" s="1"/>
  <c r="J116" i="211"/>
  <c r="F143" i="211"/>
  <c r="G121" i="211"/>
  <c r="J122" i="211"/>
  <c r="J163" i="211" s="1"/>
  <c r="J118" i="211"/>
  <c r="O122" i="130"/>
  <c r="H127" i="211"/>
  <c r="J128" i="211"/>
  <c r="J138" i="473"/>
  <c r="G118" i="473"/>
  <c r="G165" i="473" s="1"/>
  <c r="I164" i="473"/>
  <c r="Q123" i="129"/>
  <c r="I162" i="473"/>
  <c r="J162" i="473"/>
  <c r="P4" i="485" s="1"/>
  <c r="H164" i="473"/>
  <c r="I166" i="473"/>
  <c r="G164" i="473"/>
  <c r="H117" i="130"/>
  <c r="I128" i="130"/>
  <c r="I218" i="130" s="1"/>
  <c r="H139" i="130"/>
  <c r="H128" i="130"/>
  <c r="H218" i="130" s="1"/>
  <c r="I117" i="130"/>
  <c r="J141" i="130"/>
  <c r="J129" i="130"/>
  <c r="X124" i="129"/>
  <c r="J119" i="130"/>
  <c r="J124" i="130"/>
  <c r="Q123" i="130"/>
  <c r="I139" i="130"/>
  <c r="I216" i="130" s="1"/>
  <c r="L455" i="128"/>
  <c r="L457" i="128" s="1"/>
  <c r="K387" i="127" s="1"/>
  <c r="K455" i="128"/>
  <c r="J385" i="127" s="1"/>
  <c r="M66" i="113"/>
  <c r="H199" i="81"/>
  <c r="G199" i="81"/>
  <c r="U165" i="129"/>
  <c r="M455" i="128"/>
  <c r="J163" i="158"/>
  <c r="R3" i="485" s="1"/>
  <c r="V165" i="129"/>
  <c r="V170" i="129" s="1"/>
  <c r="E199" i="81"/>
  <c r="W165" i="129"/>
  <c r="W170" i="129" s="1"/>
  <c r="S165" i="129"/>
  <c r="R165" i="129"/>
  <c r="G214" i="129"/>
  <c r="L40" i="113"/>
  <c r="M40" i="113" s="1"/>
  <c r="K39" i="113"/>
  <c r="G224" i="129"/>
  <c r="G167" i="129"/>
  <c r="G172" i="129" s="1"/>
  <c r="J133" i="203"/>
  <c r="G73" i="62"/>
  <c r="F73" i="62"/>
  <c r="V172" i="129"/>
  <c r="F33" i="62"/>
  <c r="P33" i="62" s="1"/>
  <c r="G32" i="62"/>
  <c r="G126" i="203"/>
  <c r="I164" i="158"/>
  <c r="D213" i="129"/>
  <c r="K36" i="113"/>
  <c r="F217" i="129"/>
  <c r="J118" i="203"/>
  <c r="H126" i="203"/>
  <c r="E213" i="129"/>
  <c r="I163" i="158"/>
  <c r="H164" i="158"/>
  <c r="J164" i="158"/>
  <c r="S3" i="485" s="1"/>
  <c r="K22" i="113"/>
  <c r="L55" i="113" s="1"/>
  <c r="O55" i="113" s="1"/>
  <c r="I162" i="203"/>
  <c r="K18" i="113"/>
  <c r="L51" i="113" s="1"/>
  <c r="O51" i="113" s="1"/>
  <c r="L167" i="129"/>
  <c r="I163" i="203"/>
  <c r="I114" i="203"/>
  <c r="J114" i="203" s="1"/>
  <c r="J37" i="113"/>
  <c r="J122" i="203"/>
  <c r="J162" i="203" s="1"/>
  <c r="R5" i="485" s="1"/>
  <c r="C18" i="858" l="1"/>
  <c r="J114" i="639"/>
  <c r="J134" i="639"/>
  <c r="G373" i="813"/>
  <c r="F178" i="130"/>
  <c r="M167" i="129"/>
  <c r="M172" i="129" s="1"/>
  <c r="F210" i="823"/>
  <c r="F235" i="202"/>
  <c r="F428" i="202" s="1"/>
  <c r="H143" i="639"/>
  <c r="R62" i="823"/>
  <c r="X62" i="823" s="1"/>
  <c r="X61" i="823"/>
  <c r="F235" i="200"/>
  <c r="F428" i="200" s="1"/>
  <c r="G146" i="130"/>
  <c r="N167" i="823" s="1"/>
  <c r="N172" i="823" s="1"/>
  <c r="I143" i="639"/>
  <c r="F225" i="130"/>
  <c r="O59" i="823"/>
  <c r="V59" i="823" s="1"/>
  <c r="J368" i="813"/>
  <c r="F235" i="508"/>
  <c r="F428" i="508" s="1"/>
  <c r="L59" i="823"/>
  <c r="S59" i="823" s="1"/>
  <c r="D211" i="823"/>
  <c r="J14" i="823"/>
  <c r="J211" i="823" s="1"/>
  <c r="E26" i="823"/>
  <c r="T175" i="823"/>
  <c r="T173" i="823"/>
  <c r="H135" i="130"/>
  <c r="H216" i="130"/>
  <c r="H114" i="130"/>
  <c r="H220" i="130"/>
  <c r="I9" i="823"/>
  <c r="I211" i="823"/>
  <c r="G209" i="823"/>
  <c r="G26" i="823"/>
  <c r="F212" i="823"/>
  <c r="F9" i="823"/>
  <c r="E9" i="823"/>
  <c r="E212" i="823"/>
  <c r="T60" i="823"/>
  <c r="M59" i="823"/>
  <c r="J34" i="823"/>
  <c r="I114" i="130"/>
  <c r="I220" i="130"/>
  <c r="T59" i="823"/>
  <c r="V173" i="823"/>
  <c r="V175" i="823"/>
  <c r="E235" i="508"/>
  <c r="E428" i="508" s="1"/>
  <c r="E210" i="823"/>
  <c r="E235" i="202"/>
  <c r="E428" i="202" s="1"/>
  <c r="E235" i="200"/>
  <c r="P59" i="823"/>
  <c r="W59" i="823" s="1"/>
  <c r="J353" i="815"/>
  <c r="D235" i="508"/>
  <c r="D210" i="823"/>
  <c r="J21" i="823"/>
  <c r="J210" i="823" s="1"/>
  <c r="D235" i="202"/>
  <c r="D235" i="200"/>
  <c r="J39" i="823"/>
  <c r="J5" i="823"/>
  <c r="Q61" i="823"/>
  <c r="S60" i="823"/>
  <c r="H26" i="823"/>
  <c r="H209" i="823"/>
  <c r="D209" i="823"/>
  <c r="D26" i="823"/>
  <c r="J27" i="823"/>
  <c r="F209" i="823"/>
  <c r="I209" i="823"/>
  <c r="I26" i="823"/>
  <c r="X64" i="823"/>
  <c r="G235" i="508"/>
  <c r="G210" i="823"/>
  <c r="G235" i="202"/>
  <c r="G428" i="202" s="1"/>
  <c r="G235" i="200"/>
  <c r="G428" i="200" s="1"/>
  <c r="Q64" i="823"/>
  <c r="J44" i="823"/>
  <c r="V60" i="823"/>
  <c r="J10" i="823"/>
  <c r="J212" i="823" s="1"/>
  <c r="H212" i="823"/>
  <c r="H9" i="823"/>
  <c r="S175" i="823"/>
  <c r="S173" i="823"/>
  <c r="Q63" i="823"/>
  <c r="N59" i="823"/>
  <c r="U59" i="823" s="1"/>
  <c r="X63" i="823"/>
  <c r="J50" i="823"/>
  <c r="J208" i="823" s="1"/>
  <c r="H208" i="823"/>
  <c r="U173" i="823"/>
  <c r="U175" i="823"/>
  <c r="I235" i="508"/>
  <c r="I428" i="508" s="1"/>
  <c r="I210" i="823"/>
  <c r="I235" i="202"/>
  <c r="I428" i="202" s="1"/>
  <c r="I235" i="200"/>
  <c r="I428" i="200" s="1"/>
  <c r="G9" i="823"/>
  <c r="G211" i="823"/>
  <c r="J59" i="823"/>
  <c r="W175" i="823"/>
  <c r="W173" i="823"/>
  <c r="D9" i="823"/>
  <c r="D212" i="823"/>
  <c r="F26" i="823"/>
  <c r="E209" i="823"/>
  <c r="H235" i="508"/>
  <c r="H210" i="823"/>
  <c r="H235" i="202"/>
  <c r="H428" i="202" s="1"/>
  <c r="H235" i="200"/>
  <c r="H428" i="200" s="1"/>
  <c r="R60" i="823"/>
  <c r="K59" i="823"/>
  <c r="R59" i="823" s="1"/>
  <c r="Q60" i="823"/>
  <c r="D100" i="644"/>
  <c r="D92" i="644"/>
  <c r="D106" i="644"/>
  <c r="D114" i="644"/>
  <c r="D98" i="644"/>
  <c r="D119" i="644"/>
  <c r="D112" i="644"/>
  <c r="D127" i="644"/>
  <c r="D125" i="644"/>
  <c r="J368" i="814"/>
  <c r="I366" i="813"/>
  <c r="I364" i="813" s="1"/>
  <c r="J364" i="813" s="1"/>
  <c r="I352" i="814"/>
  <c r="I352" i="815"/>
  <c r="I373" i="815" s="1"/>
  <c r="L24" i="631"/>
  <c r="L21" i="631"/>
  <c r="L25" i="631"/>
  <c r="N22" i="858" s="1"/>
  <c r="I366" i="814"/>
  <c r="J358" i="814"/>
  <c r="G352" i="814"/>
  <c r="J354" i="814"/>
  <c r="J366" i="815"/>
  <c r="H353" i="813"/>
  <c r="J354" i="813"/>
  <c r="G352" i="815"/>
  <c r="J364" i="815"/>
  <c r="H352" i="814"/>
  <c r="J353" i="814"/>
  <c r="H348" i="813"/>
  <c r="J350" i="813"/>
  <c r="H352" i="815"/>
  <c r="H373" i="815" s="1"/>
  <c r="H348" i="814"/>
  <c r="J350" i="814"/>
  <c r="H358" i="813"/>
  <c r="J358" i="813" s="1"/>
  <c r="J359" i="813"/>
  <c r="J359" i="814"/>
  <c r="J368" i="815"/>
  <c r="J359" i="815"/>
  <c r="I352" i="813"/>
  <c r="G346" i="815"/>
  <c r="J348" i="815"/>
  <c r="J354" i="815"/>
  <c r="J350" i="815"/>
  <c r="G225" i="502"/>
  <c r="G430" i="502" s="1"/>
  <c r="G225" i="508"/>
  <c r="I225" i="508"/>
  <c r="I430" i="508" s="1"/>
  <c r="G143" i="163"/>
  <c r="G225" i="200"/>
  <c r="G430" i="200" s="1"/>
  <c r="G225" i="202"/>
  <c r="I225" i="200"/>
  <c r="I430" i="200" s="1"/>
  <c r="I225" i="502"/>
  <c r="I430" i="502" s="1"/>
  <c r="I352" i="200"/>
  <c r="F373" i="502"/>
  <c r="F225" i="202"/>
  <c r="F430" i="202" s="1"/>
  <c r="E225" i="508"/>
  <c r="E430" i="508" s="1"/>
  <c r="E225" i="502"/>
  <c r="E225" i="202"/>
  <c r="E430" i="202" s="1"/>
  <c r="F373" i="508"/>
  <c r="F143" i="163"/>
  <c r="G352" i="200"/>
  <c r="G394" i="202"/>
  <c r="G415" i="202" s="1"/>
  <c r="G352" i="202"/>
  <c r="G352" i="502"/>
  <c r="G352" i="508"/>
  <c r="G161" i="163"/>
  <c r="F373" i="200"/>
  <c r="F373" i="202"/>
  <c r="J350" i="200"/>
  <c r="H348" i="200"/>
  <c r="J118" i="163"/>
  <c r="H116" i="163"/>
  <c r="J350" i="508"/>
  <c r="H348" i="508"/>
  <c r="J350" i="502"/>
  <c r="H348" i="502"/>
  <c r="J350" i="202"/>
  <c r="H348" i="202"/>
  <c r="H366" i="508"/>
  <c r="J368" i="508"/>
  <c r="H136" i="163"/>
  <c r="J138" i="163"/>
  <c r="J354" i="502"/>
  <c r="H353" i="502"/>
  <c r="H395" i="502" s="1"/>
  <c r="H416" i="502" s="1"/>
  <c r="I134" i="163"/>
  <c r="I159" i="163"/>
  <c r="J368" i="502"/>
  <c r="J368" i="200"/>
  <c r="I352" i="502"/>
  <c r="J368" i="202"/>
  <c r="I352" i="202"/>
  <c r="I373" i="202" s="1"/>
  <c r="I352" i="508"/>
  <c r="I162" i="163"/>
  <c r="I121" i="163"/>
  <c r="I346" i="508"/>
  <c r="I396" i="508"/>
  <c r="I417" i="508" s="1"/>
  <c r="I346" i="200"/>
  <c r="I396" i="200"/>
  <c r="I417" i="200" s="1"/>
  <c r="I346" i="502"/>
  <c r="I396" i="502"/>
  <c r="I417" i="502" s="1"/>
  <c r="I163" i="163"/>
  <c r="I114" i="163"/>
  <c r="J366" i="202"/>
  <c r="J392" i="202" s="1"/>
  <c r="J413" i="202" s="1"/>
  <c r="H364" i="202"/>
  <c r="J364" i="202" s="1"/>
  <c r="J366" i="200"/>
  <c r="H364" i="200"/>
  <c r="J364" i="200" s="1"/>
  <c r="H392" i="502"/>
  <c r="H413" i="502" s="1"/>
  <c r="J366" i="502"/>
  <c r="J392" i="502" s="1"/>
  <c r="J413" i="502" s="1"/>
  <c r="H364" i="502"/>
  <c r="J364" i="502" s="1"/>
  <c r="H122" i="163"/>
  <c r="J123" i="163"/>
  <c r="H353" i="202"/>
  <c r="H395" i="202" s="1"/>
  <c r="H416" i="202" s="1"/>
  <c r="J354" i="202"/>
  <c r="H353" i="508"/>
  <c r="H395" i="508" s="1"/>
  <c r="H416" i="508" s="1"/>
  <c r="J354" i="508"/>
  <c r="H353" i="200"/>
  <c r="J354" i="200"/>
  <c r="I364" i="508"/>
  <c r="I392" i="508"/>
  <c r="I413" i="508" s="1"/>
  <c r="H358" i="502"/>
  <c r="J359" i="502"/>
  <c r="H358" i="200"/>
  <c r="J359" i="200"/>
  <c r="H358" i="202"/>
  <c r="J359" i="202"/>
  <c r="H127" i="163"/>
  <c r="J128" i="163"/>
  <c r="H358" i="508"/>
  <c r="J359" i="508"/>
  <c r="I262" i="502"/>
  <c r="I426" i="502" s="1"/>
  <c r="F251" i="508"/>
  <c r="F239" i="508"/>
  <c r="G251" i="502"/>
  <c r="H225" i="508"/>
  <c r="H225" i="502"/>
  <c r="H225" i="200"/>
  <c r="E262" i="508"/>
  <c r="E426" i="508" s="1"/>
  <c r="H239" i="508"/>
  <c r="I239" i="502"/>
  <c r="G262" i="502"/>
  <c r="G426" i="502" s="1"/>
  <c r="H228" i="202"/>
  <c r="I228" i="508"/>
  <c r="I429" i="508" s="1"/>
  <c r="I228" i="202"/>
  <c r="I228" i="200"/>
  <c r="E225" i="200"/>
  <c r="G262" i="202"/>
  <c r="G426" i="202" s="1"/>
  <c r="F225" i="200"/>
  <c r="G228" i="202"/>
  <c r="F251" i="200"/>
  <c r="G251" i="200"/>
  <c r="E251" i="202"/>
  <c r="H262" i="202"/>
  <c r="H426" i="202" s="1"/>
  <c r="H225" i="202"/>
  <c r="H251" i="200"/>
  <c r="H251" i="202"/>
  <c r="F251" i="202"/>
  <c r="I246" i="200"/>
  <c r="G239" i="200"/>
  <c r="E228" i="508"/>
  <c r="E429" i="508" s="1"/>
  <c r="I235" i="502"/>
  <c r="I428" i="502" s="1"/>
  <c r="I228" i="502"/>
  <c r="E262" i="502"/>
  <c r="E426" i="502" s="1"/>
  <c r="E239" i="202"/>
  <c r="G239" i="202"/>
  <c r="I262" i="508"/>
  <c r="I426" i="508" s="1"/>
  <c r="G256" i="200"/>
  <c r="I246" i="202"/>
  <c r="G246" i="502"/>
  <c r="F228" i="200"/>
  <c r="G228" i="508"/>
  <c r="G429" i="508" s="1"/>
  <c r="E235" i="502"/>
  <c r="G256" i="202"/>
  <c r="I251" i="200"/>
  <c r="F228" i="202"/>
  <c r="F246" i="200"/>
  <c r="H228" i="508"/>
  <c r="I225" i="202"/>
  <c r="F262" i="200"/>
  <c r="F426" i="200" s="1"/>
  <c r="E239" i="502"/>
  <c r="G239" i="502"/>
  <c r="F251" i="502"/>
  <c r="I246" i="508"/>
  <c r="F256" i="200"/>
  <c r="I251" i="202"/>
  <c r="E256" i="200"/>
  <c r="F246" i="202"/>
  <c r="H256" i="200"/>
  <c r="F235" i="502"/>
  <c r="F428" i="502" s="1"/>
  <c r="I239" i="200"/>
  <c r="G246" i="508"/>
  <c r="F262" i="202"/>
  <c r="F426" i="202" s="1"/>
  <c r="E239" i="508"/>
  <c r="H256" i="508"/>
  <c r="G256" i="508"/>
  <c r="I246" i="502"/>
  <c r="F256" i="202"/>
  <c r="E256" i="202"/>
  <c r="H251" i="508"/>
  <c r="F228" i="502"/>
  <c r="F429" i="502" s="1"/>
  <c r="G262" i="508"/>
  <c r="G426" i="508" s="1"/>
  <c r="H256" i="202"/>
  <c r="E239" i="200"/>
  <c r="G228" i="200"/>
  <c r="G429" i="200" s="1"/>
  <c r="I239" i="202"/>
  <c r="H239" i="200"/>
  <c r="G256" i="502"/>
  <c r="I251" i="508"/>
  <c r="H251" i="502"/>
  <c r="F246" i="508"/>
  <c r="H228" i="200"/>
  <c r="H429" i="200" s="1"/>
  <c r="F262" i="502"/>
  <c r="F426" i="502" s="1"/>
  <c r="H239" i="202"/>
  <c r="F225" i="502"/>
  <c r="F256" i="508"/>
  <c r="I251" i="502"/>
  <c r="E256" i="508"/>
  <c r="F246" i="502"/>
  <c r="H256" i="502"/>
  <c r="G235" i="502"/>
  <c r="G428" i="502" s="1"/>
  <c r="H262" i="200"/>
  <c r="H426" i="200" s="1"/>
  <c r="I239" i="508"/>
  <c r="F262" i="508"/>
  <c r="F426" i="508" s="1"/>
  <c r="G239" i="508"/>
  <c r="F225" i="508"/>
  <c r="E251" i="200"/>
  <c r="F256" i="502"/>
  <c r="H246" i="200"/>
  <c r="E256" i="502"/>
  <c r="E246" i="200"/>
  <c r="G228" i="502"/>
  <c r="I256" i="508"/>
  <c r="F239" i="200"/>
  <c r="H246" i="202"/>
  <c r="F228" i="508"/>
  <c r="F429" i="508" s="1"/>
  <c r="I256" i="200"/>
  <c r="E228" i="200"/>
  <c r="E429" i="200" s="1"/>
  <c r="E246" i="202"/>
  <c r="H228" i="502"/>
  <c r="H429" i="502" s="1"/>
  <c r="H239" i="502"/>
  <c r="E262" i="200"/>
  <c r="E426" i="200" s="1"/>
  <c r="I256" i="502"/>
  <c r="G251" i="202"/>
  <c r="F239" i="202"/>
  <c r="I262" i="200"/>
  <c r="I426" i="200" s="1"/>
  <c r="G246" i="200"/>
  <c r="I256" i="202"/>
  <c r="E228" i="202"/>
  <c r="H262" i="502"/>
  <c r="H426" i="502" s="1"/>
  <c r="E262" i="202"/>
  <c r="E426" i="202" s="1"/>
  <c r="I262" i="202"/>
  <c r="I426" i="202" s="1"/>
  <c r="E251" i="508"/>
  <c r="H246" i="508"/>
  <c r="G246" i="202"/>
  <c r="G251" i="508"/>
  <c r="E246" i="508"/>
  <c r="H235" i="502"/>
  <c r="H428" i="502" s="1"/>
  <c r="H262" i="508"/>
  <c r="H426" i="508" s="1"/>
  <c r="G262" i="200"/>
  <c r="G426" i="200" s="1"/>
  <c r="F239" i="502"/>
  <c r="E251" i="502"/>
  <c r="H246" i="502"/>
  <c r="E228" i="502"/>
  <c r="E246" i="502"/>
  <c r="L59" i="129"/>
  <c r="M59" i="129"/>
  <c r="S60" i="129"/>
  <c r="S59" i="129" s="1"/>
  <c r="J400" i="653"/>
  <c r="W60" i="129"/>
  <c r="W59" i="129" s="1"/>
  <c r="P59" i="129"/>
  <c r="V60" i="129"/>
  <c r="V59" i="129" s="1"/>
  <c r="O59" i="129"/>
  <c r="N59" i="129"/>
  <c r="T60" i="129"/>
  <c r="T59" i="129" s="1"/>
  <c r="U60" i="129"/>
  <c r="U59" i="129" s="1"/>
  <c r="G9" i="129"/>
  <c r="F9" i="129"/>
  <c r="H9" i="129"/>
  <c r="E9" i="129"/>
  <c r="I9" i="129"/>
  <c r="I24" i="640"/>
  <c r="I122" i="640" s="1"/>
  <c r="J136" i="742"/>
  <c r="J121" i="742"/>
  <c r="J160" i="742" s="1"/>
  <c r="J122" i="742"/>
  <c r="I134" i="742"/>
  <c r="I132" i="742" s="1"/>
  <c r="H157" i="742"/>
  <c r="H132" i="742"/>
  <c r="I161" i="742"/>
  <c r="I113" i="742"/>
  <c r="J113" i="742" s="1"/>
  <c r="J117" i="742"/>
  <c r="J126" i="742"/>
  <c r="G159" i="742"/>
  <c r="G120" i="742"/>
  <c r="G141" i="742" s="1"/>
  <c r="J125" i="742"/>
  <c r="J159" i="742" s="1"/>
  <c r="I120" i="742"/>
  <c r="H120" i="742"/>
  <c r="H161" i="742"/>
  <c r="J115" i="742"/>
  <c r="J161" i="742" s="1"/>
  <c r="H24" i="203"/>
  <c r="E24" i="203"/>
  <c r="E156" i="203" s="1"/>
  <c r="J134" i="211"/>
  <c r="G24" i="203"/>
  <c r="J114" i="211"/>
  <c r="J141" i="481"/>
  <c r="I61" i="203"/>
  <c r="G27" i="203"/>
  <c r="F24" i="203"/>
  <c r="F156" i="203" s="1"/>
  <c r="H34" i="203"/>
  <c r="G34" i="203"/>
  <c r="G154" i="203" s="1"/>
  <c r="E27" i="203"/>
  <c r="G61" i="203"/>
  <c r="G152" i="203" s="1"/>
  <c r="F61" i="203"/>
  <c r="E61" i="203"/>
  <c r="I143" i="211"/>
  <c r="J127" i="211"/>
  <c r="J162" i="211" s="1"/>
  <c r="H162" i="211"/>
  <c r="J164" i="211"/>
  <c r="S8" i="485" s="1"/>
  <c r="S10" i="485" s="1"/>
  <c r="J160" i="211"/>
  <c r="O8" i="485" s="1"/>
  <c r="O10" i="485" s="1"/>
  <c r="I45" i="203"/>
  <c r="E45" i="203"/>
  <c r="H45" i="203"/>
  <c r="J141" i="480"/>
  <c r="G45" i="203"/>
  <c r="H50" i="203"/>
  <c r="F55" i="203"/>
  <c r="E55" i="203"/>
  <c r="E38" i="203"/>
  <c r="I38" i="203"/>
  <c r="F45" i="203"/>
  <c r="F17" i="477"/>
  <c r="C10" i="606" s="1"/>
  <c r="I34" i="203"/>
  <c r="E34" i="203"/>
  <c r="E154" i="203" s="1"/>
  <c r="G50" i="203"/>
  <c r="F27" i="203"/>
  <c r="H27" i="203"/>
  <c r="I24" i="203"/>
  <c r="E50" i="203"/>
  <c r="H38" i="203"/>
  <c r="F34" i="203"/>
  <c r="F154" i="203" s="1"/>
  <c r="G55" i="203"/>
  <c r="H61" i="203"/>
  <c r="I27" i="203"/>
  <c r="G38" i="203"/>
  <c r="F38" i="203"/>
  <c r="I50" i="203"/>
  <c r="H55" i="203"/>
  <c r="E27" i="158"/>
  <c r="F50" i="203"/>
  <c r="I55" i="203"/>
  <c r="J141" i="482"/>
  <c r="F18" i="477"/>
  <c r="I34" i="486"/>
  <c r="J21" i="640"/>
  <c r="J123" i="640" s="1"/>
  <c r="I34" i="506"/>
  <c r="I130" i="506" s="1"/>
  <c r="E34" i="506"/>
  <c r="E130" i="506" s="1"/>
  <c r="F71" i="506"/>
  <c r="F126" i="506" s="1"/>
  <c r="I44" i="486"/>
  <c r="D134" i="656"/>
  <c r="I392" i="200"/>
  <c r="I413" i="200" s="1"/>
  <c r="H392" i="200"/>
  <c r="H413" i="200" s="1"/>
  <c r="I395" i="502"/>
  <c r="I416" i="502" s="1"/>
  <c r="I395" i="508"/>
  <c r="I416" i="508" s="1"/>
  <c r="I394" i="200"/>
  <c r="I415" i="200" s="1"/>
  <c r="G396" i="502"/>
  <c r="G417" i="502" s="1"/>
  <c r="G394" i="502"/>
  <c r="G415" i="502" s="1"/>
  <c r="G395" i="502"/>
  <c r="G416" i="502" s="1"/>
  <c r="G394" i="508"/>
  <c r="G415" i="508" s="1"/>
  <c r="G394" i="200"/>
  <c r="G415" i="200" s="1"/>
  <c r="I27" i="206"/>
  <c r="F44" i="486"/>
  <c r="F128" i="486" s="1"/>
  <c r="G27" i="158"/>
  <c r="I44" i="506"/>
  <c r="I128" i="506" s="1"/>
  <c r="F37" i="506"/>
  <c r="F129" i="506" s="1"/>
  <c r="E34" i="640"/>
  <c r="E120" i="640" s="1"/>
  <c r="I34" i="640"/>
  <c r="I120" i="640" s="1"/>
  <c r="I37" i="506"/>
  <c r="I129" i="506" s="1"/>
  <c r="G34" i="486"/>
  <c r="G34" i="206"/>
  <c r="G120" i="206" s="1"/>
  <c r="G27" i="640"/>
  <c r="G121" i="640" s="1"/>
  <c r="I24" i="206"/>
  <c r="G34" i="640"/>
  <c r="G120" i="640" s="1"/>
  <c r="G44" i="486"/>
  <c r="G128" i="486" s="1"/>
  <c r="F34" i="486"/>
  <c r="F130" i="486" s="1"/>
  <c r="H71" i="506"/>
  <c r="H126" i="506" s="1"/>
  <c r="G44" i="506"/>
  <c r="G128" i="506" s="1"/>
  <c r="H34" i="506"/>
  <c r="H130" i="506" s="1"/>
  <c r="E24" i="158"/>
  <c r="E34" i="158"/>
  <c r="E155" i="158" s="1"/>
  <c r="H24" i="158"/>
  <c r="F27" i="158"/>
  <c r="J134" i="652"/>
  <c r="F432" i="502"/>
  <c r="G71" i="506"/>
  <c r="G126" i="506" s="1"/>
  <c r="G60" i="506"/>
  <c r="E432" i="502"/>
  <c r="F432" i="508"/>
  <c r="E24" i="206"/>
  <c r="E122" i="206" s="1"/>
  <c r="E60" i="506"/>
  <c r="F34" i="506"/>
  <c r="F24" i="158"/>
  <c r="I48" i="506"/>
  <c r="E44" i="506"/>
  <c r="I34" i="158"/>
  <c r="I27" i="640"/>
  <c r="I121" i="640" s="1"/>
  <c r="F44" i="506"/>
  <c r="E432" i="508"/>
  <c r="F65" i="506"/>
  <c r="F48" i="506"/>
  <c r="F55" i="506"/>
  <c r="H44" i="486"/>
  <c r="H34" i="158"/>
  <c r="E44" i="486"/>
  <c r="E128" i="486" s="1"/>
  <c r="H60" i="506"/>
  <c r="H44" i="506"/>
  <c r="I132" i="506"/>
  <c r="I29" i="506"/>
  <c r="G29" i="506"/>
  <c r="G132" i="506"/>
  <c r="H27" i="206"/>
  <c r="G37" i="506"/>
  <c r="G129" i="506" s="1"/>
  <c r="I34" i="206"/>
  <c r="H24" i="206"/>
  <c r="I432" i="200"/>
  <c r="E34" i="486"/>
  <c r="E130" i="486" s="1"/>
  <c r="G24" i="206"/>
  <c r="F27" i="206"/>
  <c r="E27" i="206"/>
  <c r="G65" i="506"/>
  <c r="G48" i="506"/>
  <c r="G55" i="506"/>
  <c r="F34" i="640"/>
  <c r="H34" i="640"/>
  <c r="H120" i="640" s="1"/>
  <c r="I432" i="502"/>
  <c r="G432" i="502"/>
  <c r="E24" i="640"/>
  <c r="E122" i="640" s="1"/>
  <c r="H132" i="506"/>
  <c r="H29" i="506"/>
  <c r="F24" i="640"/>
  <c r="F34" i="158"/>
  <c r="F155" i="158" s="1"/>
  <c r="I65" i="506"/>
  <c r="I432" i="508"/>
  <c r="G432" i="508"/>
  <c r="H432" i="200"/>
  <c r="H65" i="506"/>
  <c r="H48" i="506"/>
  <c r="H55" i="506"/>
  <c r="I24" i="158"/>
  <c r="I27" i="158"/>
  <c r="H432" i="502"/>
  <c r="H27" i="158"/>
  <c r="G24" i="158"/>
  <c r="H34" i="486"/>
  <c r="I71" i="506"/>
  <c r="I126" i="506" s="1"/>
  <c r="H432" i="508"/>
  <c r="G34" i="158"/>
  <c r="G155" i="158" s="1"/>
  <c r="G27" i="206"/>
  <c r="F27" i="640"/>
  <c r="F121" i="640" s="1"/>
  <c r="E27" i="640"/>
  <c r="E121" i="640" s="1"/>
  <c r="H27" i="640"/>
  <c r="H121" i="640" s="1"/>
  <c r="E65" i="506"/>
  <c r="E48" i="506"/>
  <c r="I55" i="506"/>
  <c r="G34" i="506"/>
  <c r="I60" i="506"/>
  <c r="H24" i="640"/>
  <c r="H122" i="640" s="1"/>
  <c r="E55" i="506"/>
  <c r="F34" i="206"/>
  <c r="F120" i="206" s="1"/>
  <c r="F60" i="506"/>
  <c r="E29" i="506"/>
  <c r="E132" i="506"/>
  <c r="G432" i="200"/>
  <c r="F132" i="506"/>
  <c r="F29" i="506"/>
  <c r="F432" i="200"/>
  <c r="H37" i="506"/>
  <c r="H129" i="506" s="1"/>
  <c r="F24" i="206"/>
  <c r="F122" i="206" s="1"/>
  <c r="E71" i="506"/>
  <c r="E126" i="506" s="1"/>
  <c r="G24" i="640"/>
  <c r="G122" i="640" s="1"/>
  <c r="E34" i="206"/>
  <c r="E37" i="506"/>
  <c r="E129" i="506" s="1"/>
  <c r="E432" i="200"/>
  <c r="H34" i="206"/>
  <c r="J121" i="639"/>
  <c r="E15" i="40"/>
  <c r="E17" i="40"/>
  <c r="J134" i="656"/>
  <c r="T37" i="485"/>
  <c r="T13" i="485"/>
  <c r="H392" i="202"/>
  <c r="H413" i="202" s="1"/>
  <c r="G395" i="202"/>
  <c r="G416" i="202" s="1"/>
  <c r="G396" i="202"/>
  <c r="G417" i="202" s="1"/>
  <c r="I395" i="202"/>
  <c r="I416" i="202" s="1"/>
  <c r="G392" i="202"/>
  <c r="G413" i="202" s="1"/>
  <c r="I396" i="202"/>
  <c r="I417" i="202" s="1"/>
  <c r="D431" i="202"/>
  <c r="J431" i="202"/>
  <c r="I432" i="202"/>
  <c r="H432" i="202"/>
  <c r="G432" i="202"/>
  <c r="F432" i="202"/>
  <c r="E432" i="202"/>
  <c r="Q122" i="130"/>
  <c r="E61" i="639"/>
  <c r="E153" i="639" s="1"/>
  <c r="H45" i="640"/>
  <c r="G45" i="640"/>
  <c r="I19" i="640"/>
  <c r="I124" i="640"/>
  <c r="F50" i="640"/>
  <c r="I45" i="640"/>
  <c r="H61" i="639"/>
  <c r="H153" i="639" s="1"/>
  <c r="G124" i="640"/>
  <c r="G19" i="640"/>
  <c r="H61" i="640"/>
  <c r="H118" i="640" s="1"/>
  <c r="D123" i="640"/>
  <c r="F45" i="640"/>
  <c r="I61" i="640"/>
  <c r="I118" i="640" s="1"/>
  <c r="H124" i="640"/>
  <c r="H19" i="640"/>
  <c r="I38" i="640"/>
  <c r="I61" i="639"/>
  <c r="I153" i="639" s="1"/>
  <c r="G38" i="640"/>
  <c r="J21" i="639"/>
  <c r="J158" i="639" s="1"/>
  <c r="I55" i="640"/>
  <c r="I50" i="640"/>
  <c r="F55" i="640"/>
  <c r="E124" i="640"/>
  <c r="E19" i="640"/>
  <c r="F19" i="640"/>
  <c r="F123" i="640"/>
  <c r="G61" i="639"/>
  <c r="G153" i="639" s="1"/>
  <c r="E45" i="640"/>
  <c r="H38" i="640"/>
  <c r="G50" i="640"/>
  <c r="G61" i="640"/>
  <c r="G118" i="640" s="1"/>
  <c r="G55" i="640"/>
  <c r="F38" i="640"/>
  <c r="H50" i="640"/>
  <c r="F61" i="639"/>
  <c r="F153" i="639" s="1"/>
  <c r="E38" i="640"/>
  <c r="E61" i="640"/>
  <c r="E118" i="640" s="1"/>
  <c r="H55" i="640"/>
  <c r="E50" i="640"/>
  <c r="F61" i="640"/>
  <c r="F118" i="640" s="1"/>
  <c r="E55" i="640"/>
  <c r="F75" i="486"/>
  <c r="G41" i="486"/>
  <c r="I52" i="486"/>
  <c r="H57" i="486"/>
  <c r="G52" i="486"/>
  <c r="I49" i="486"/>
  <c r="H40" i="486"/>
  <c r="H61" i="486"/>
  <c r="E68" i="486"/>
  <c r="E40" i="486"/>
  <c r="F40" i="486"/>
  <c r="I63" i="486"/>
  <c r="I40" i="486"/>
  <c r="E61" i="206"/>
  <c r="E118" i="206" s="1"/>
  <c r="I68" i="486"/>
  <c r="F53" i="486"/>
  <c r="E67" i="486"/>
  <c r="E59" i="486"/>
  <c r="E62" i="486"/>
  <c r="G38" i="486"/>
  <c r="F68" i="486"/>
  <c r="F57" i="486"/>
  <c r="F41" i="486"/>
  <c r="F210" i="129"/>
  <c r="E77" i="486"/>
  <c r="H58" i="486"/>
  <c r="F212" i="129"/>
  <c r="H41" i="486"/>
  <c r="I75" i="486"/>
  <c r="H51" i="486"/>
  <c r="G50" i="206"/>
  <c r="F63" i="486"/>
  <c r="G62" i="486"/>
  <c r="G59" i="486"/>
  <c r="G67" i="486"/>
  <c r="I66" i="486"/>
  <c r="E30" i="486"/>
  <c r="E132" i="486" s="1"/>
  <c r="I41" i="486"/>
  <c r="E54" i="486"/>
  <c r="I62" i="486"/>
  <c r="F67" i="486"/>
  <c r="E214" i="129"/>
  <c r="E208" i="129"/>
  <c r="F39" i="486"/>
  <c r="F77" i="486"/>
  <c r="I57" i="486"/>
  <c r="H62" i="486"/>
  <c r="E76" i="486"/>
  <c r="F38" i="486"/>
  <c r="G64" i="486"/>
  <c r="F54" i="486"/>
  <c r="I56" i="486"/>
  <c r="H39" i="486"/>
  <c r="G68" i="486"/>
  <c r="E61" i="211"/>
  <c r="E153" i="211" s="1"/>
  <c r="G75" i="486"/>
  <c r="G71" i="486" s="1"/>
  <c r="G126" i="486" s="1"/>
  <c r="G208" i="129"/>
  <c r="F208" i="129"/>
  <c r="H49" i="486"/>
  <c r="H38" i="486"/>
  <c r="E57" i="486"/>
  <c r="F66" i="486"/>
  <c r="H76" i="486"/>
  <c r="E49" i="486"/>
  <c r="E210" i="129"/>
  <c r="F26" i="129"/>
  <c r="H66" i="486"/>
  <c r="I30" i="486"/>
  <c r="G54" i="486"/>
  <c r="H77" i="486"/>
  <c r="F158" i="203"/>
  <c r="H54" i="486"/>
  <c r="F30" i="486"/>
  <c r="F132" i="486" s="1"/>
  <c r="T168" i="129"/>
  <c r="F124" i="206"/>
  <c r="F159" i="158"/>
  <c r="F214" i="129"/>
  <c r="E64" i="486"/>
  <c r="E26" i="129"/>
  <c r="H208" i="129"/>
  <c r="H75" i="486"/>
  <c r="G56" i="486"/>
  <c r="G69" i="486"/>
  <c r="E56" i="486"/>
  <c r="I77" i="486"/>
  <c r="F58" i="486"/>
  <c r="H31" i="486"/>
  <c r="I208" i="129"/>
  <c r="F51" i="486"/>
  <c r="H30" i="486"/>
  <c r="E212" i="129"/>
  <c r="H157" i="203"/>
  <c r="G58" i="486"/>
  <c r="E38" i="486"/>
  <c r="H64" i="486"/>
  <c r="I51" i="486"/>
  <c r="E69" i="486"/>
  <c r="I58" i="486"/>
  <c r="O146" i="130"/>
  <c r="Q146" i="130" s="1"/>
  <c r="F31" i="486"/>
  <c r="F131" i="486" s="1"/>
  <c r="G31" i="486"/>
  <c r="G131" i="486" s="1"/>
  <c r="E51" i="486"/>
  <c r="F64" i="486"/>
  <c r="H56" i="486"/>
  <c r="E66" i="486"/>
  <c r="H69" i="486"/>
  <c r="I61" i="206"/>
  <c r="I118" i="206" s="1"/>
  <c r="F158" i="158"/>
  <c r="F157" i="203"/>
  <c r="G157" i="203"/>
  <c r="F123" i="206"/>
  <c r="G123" i="206"/>
  <c r="F213" i="129"/>
  <c r="G213" i="129"/>
  <c r="I69" i="486"/>
  <c r="E117" i="486"/>
  <c r="I108" i="486"/>
  <c r="F118" i="486"/>
  <c r="F117" i="486"/>
  <c r="G118" i="486"/>
  <c r="G117" i="486"/>
  <c r="E108" i="486"/>
  <c r="E118" i="486"/>
  <c r="H117" i="486"/>
  <c r="F108" i="486"/>
  <c r="H118" i="486"/>
  <c r="G108" i="486"/>
  <c r="I118" i="486"/>
  <c r="E114" i="486"/>
  <c r="H108" i="486"/>
  <c r="F114" i="486"/>
  <c r="G114" i="486"/>
  <c r="F116" i="486"/>
  <c r="E107" i="486"/>
  <c r="H114" i="486"/>
  <c r="G116" i="486"/>
  <c r="F107" i="486"/>
  <c r="I114" i="486"/>
  <c r="H116" i="486"/>
  <c r="G107" i="486"/>
  <c r="I117" i="486"/>
  <c r="E116" i="486"/>
  <c r="H107" i="486"/>
  <c r="I116" i="486"/>
  <c r="I107" i="486"/>
  <c r="I163" i="473"/>
  <c r="C5" i="631"/>
  <c r="N22" i="485"/>
  <c r="W22" i="485" s="1"/>
  <c r="J226" i="81"/>
  <c r="X22" i="485" s="1"/>
  <c r="J129" i="473"/>
  <c r="H123" i="473"/>
  <c r="J123" i="473" s="1"/>
  <c r="J120" i="473"/>
  <c r="I165" i="473"/>
  <c r="J128" i="130"/>
  <c r="J218" i="130" s="1"/>
  <c r="Q23" i="485" s="1"/>
  <c r="J139" i="473"/>
  <c r="J123" i="130"/>
  <c r="J219" i="130" s="1"/>
  <c r="R23" i="485" s="1"/>
  <c r="R24" i="485" s="1"/>
  <c r="I137" i="473"/>
  <c r="I135" i="473" s="1"/>
  <c r="I144" i="473" s="1"/>
  <c r="G116" i="473"/>
  <c r="J118" i="473"/>
  <c r="G143" i="211"/>
  <c r="H121" i="211"/>
  <c r="H143" i="211" s="1"/>
  <c r="G135" i="473"/>
  <c r="J130" i="473"/>
  <c r="I122" i="130"/>
  <c r="H161" i="473"/>
  <c r="H122" i="130"/>
  <c r="J117" i="130"/>
  <c r="J220" i="130" s="1"/>
  <c r="S23" i="485" s="1"/>
  <c r="S24" i="485" s="1"/>
  <c r="K457" i="128"/>
  <c r="J387" i="127" s="1"/>
  <c r="I135" i="130"/>
  <c r="J139" i="130"/>
  <c r="J216" i="130" s="1"/>
  <c r="O23" i="485" s="1"/>
  <c r="K385" i="127"/>
  <c r="J455" i="128"/>
  <c r="J457" i="128" s="1"/>
  <c r="I387" i="127" s="1"/>
  <c r="G15" i="113"/>
  <c r="G56" i="113"/>
  <c r="P56" i="113" s="1"/>
  <c r="R4" i="485"/>
  <c r="V168" i="129"/>
  <c r="U170" i="129"/>
  <c r="U168" i="129"/>
  <c r="M457" i="128"/>
  <c r="L387" i="127" s="1"/>
  <c r="L385" i="127"/>
  <c r="F9" i="477"/>
  <c r="F5" i="477" s="1"/>
  <c r="S168" i="129"/>
  <c r="S170" i="129"/>
  <c r="I455" i="128"/>
  <c r="H385" i="127" s="1"/>
  <c r="G158" i="203"/>
  <c r="G124" i="206"/>
  <c r="G159" i="158"/>
  <c r="G132" i="486"/>
  <c r="G212" i="129"/>
  <c r="X165" i="129"/>
  <c r="X170" i="129" s="1"/>
  <c r="R170" i="129"/>
  <c r="G210" i="129"/>
  <c r="G26" i="129"/>
  <c r="L41" i="127"/>
  <c r="L19" i="113"/>
  <c r="I167" i="129"/>
  <c r="I172" i="129" s="1"/>
  <c r="I224" i="129"/>
  <c r="H224" i="129"/>
  <c r="H167" i="129"/>
  <c r="H172" i="129" s="1"/>
  <c r="W167" i="129"/>
  <c r="I199" i="81"/>
  <c r="F76" i="62"/>
  <c r="G76" i="62"/>
  <c r="F74" i="62"/>
  <c r="F35" i="62"/>
  <c r="P35" i="62" s="1"/>
  <c r="G27" i="62"/>
  <c r="F27" i="62"/>
  <c r="P27" i="62" s="1"/>
  <c r="G33" i="62"/>
  <c r="G161" i="203"/>
  <c r="G121" i="203"/>
  <c r="G142" i="203" s="1"/>
  <c r="K38" i="113"/>
  <c r="P6" i="485"/>
  <c r="H161" i="203"/>
  <c r="H121" i="203"/>
  <c r="H142" i="203" s="1"/>
  <c r="I126" i="203"/>
  <c r="L16" i="113"/>
  <c r="R11" i="485"/>
  <c r="D157" i="203"/>
  <c r="D131" i="486"/>
  <c r="D158" i="158"/>
  <c r="G217" i="129"/>
  <c r="G148" i="129"/>
  <c r="F161" i="203"/>
  <c r="F121" i="203"/>
  <c r="L172" i="129"/>
  <c r="K42" i="113"/>
  <c r="O11" i="485"/>
  <c r="H217" i="129"/>
  <c r="H148" i="129"/>
  <c r="F148" i="129"/>
  <c r="S11" i="485"/>
  <c r="O50" i="113"/>
  <c r="F162" i="158"/>
  <c r="D123" i="206"/>
  <c r="Q159" i="459" l="1"/>
  <c r="Q161" i="459" s="1"/>
  <c r="C4" i="858"/>
  <c r="C6" i="858" s="1"/>
  <c r="C7" i="631"/>
  <c r="J143" i="639"/>
  <c r="G178" i="130"/>
  <c r="G225" i="130"/>
  <c r="J114" i="130"/>
  <c r="I373" i="813"/>
  <c r="H146" i="130"/>
  <c r="H178" i="130" s="1"/>
  <c r="X59" i="823"/>
  <c r="V23" i="485"/>
  <c r="J9" i="823"/>
  <c r="J209" i="823"/>
  <c r="O24" i="485"/>
  <c r="Q59" i="823"/>
  <c r="X60" i="823"/>
  <c r="J26" i="823"/>
  <c r="J366" i="813"/>
  <c r="J352" i="815"/>
  <c r="H352" i="813"/>
  <c r="J352" i="813" s="1"/>
  <c r="J353" i="813"/>
  <c r="J352" i="814"/>
  <c r="G373" i="814"/>
  <c r="G373" i="815"/>
  <c r="J373" i="815" s="1"/>
  <c r="J346" i="815"/>
  <c r="H346" i="814"/>
  <c r="J348" i="814"/>
  <c r="I364" i="814"/>
  <c r="J366" i="814"/>
  <c r="J348" i="813"/>
  <c r="H346" i="813"/>
  <c r="E224" i="502"/>
  <c r="G224" i="508"/>
  <c r="I224" i="508"/>
  <c r="E429" i="502"/>
  <c r="I373" i="200"/>
  <c r="I224" i="200"/>
  <c r="G224" i="202"/>
  <c r="I224" i="202"/>
  <c r="E224" i="202"/>
  <c r="F224" i="202"/>
  <c r="G224" i="200"/>
  <c r="I224" i="502"/>
  <c r="I429" i="502"/>
  <c r="E224" i="508"/>
  <c r="I373" i="502"/>
  <c r="I373" i="508"/>
  <c r="H394" i="502"/>
  <c r="H415" i="502" s="1"/>
  <c r="J358" i="502"/>
  <c r="J394" i="502" s="1"/>
  <c r="J415" i="502" s="1"/>
  <c r="H394" i="200"/>
  <c r="H415" i="200" s="1"/>
  <c r="J358" i="200"/>
  <c r="J394" i="200" s="1"/>
  <c r="J415" i="200" s="1"/>
  <c r="H394" i="202"/>
  <c r="H415" i="202" s="1"/>
  <c r="J358" i="202"/>
  <c r="J394" i="202" s="1"/>
  <c r="J415" i="202" s="1"/>
  <c r="H394" i="508"/>
  <c r="H415" i="508" s="1"/>
  <c r="J358" i="508"/>
  <c r="J394" i="508" s="1"/>
  <c r="H224" i="200"/>
  <c r="E224" i="200"/>
  <c r="H224" i="502"/>
  <c r="H161" i="163"/>
  <c r="J127" i="163"/>
  <c r="J161" i="163" s="1"/>
  <c r="H224" i="202"/>
  <c r="H430" i="202"/>
  <c r="F224" i="200"/>
  <c r="F429" i="200"/>
  <c r="H224" i="508"/>
  <c r="H429" i="508"/>
  <c r="G224" i="502"/>
  <c r="G429" i="502"/>
  <c r="G373" i="200"/>
  <c r="G373" i="202"/>
  <c r="G373" i="502"/>
  <c r="G373" i="508"/>
  <c r="H346" i="200"/>
  <c r="H396" i="200"/>
  <c r="H417" i="200" s="1"/>
  <c r="J348" i="200"/>
  <c r="J396" i="200" s="1"/>
  <c r="J417" i="200" s="1"/>
  <c r="S12" i="485" s="1"/>
  <c r="H114" i="163"/>
  <c r="J114" i="163" s="1"/>
  <c r="J116" i="163"/>
  <c r="J163" i="163" s="1"/>
  <c r="S7" i="485" s="1"/>
  <c r="H163" i="163"/>
  <c r="J348" i="508"/>
  <c r="J396" i="508" s="1"/>
  <c r="J417" i="508" s="1"/>
  <c r="H346" i="508"/>
  <c r="H396" i="502"/>
  <c r="H417" i="502" s="1"/>
  <c r="J348" i="502"/>
  <c r="J396" i="502" s="1"/>
  <c r="H346" i="502"/>
  <c r="J346" i="502" s="1"/>
  <c r="H396" i="202"/>
  <c r="H417" i="202" s="1"/>
  <c r="H346" i="202"/>
  <c r="J348" i="202"/>
  <c r="J396" i="202" s="1"/>
  <c r="J417" i="202" s="1"/>
  <c r="J366" i="508"/>
  <c r="J392" i="508" s="1"/>
  <c r="J413" i="508" s="1"/>
  <c r="H364" i="508"/>
  <c r="J364" i="508" s="1"/>
  <c r="H134" i="163"/>
  <c r="J134" i="163" s="1"/>
  <c r="J136" i="163"/>
  <c r="J159" i="163" s="1"/>
  <c r="O7" i="485" s="1"/>
  <c r="H159" i="163"/>
  <c r="H352" i="502"/>
  <c r="J353" i="502"/>
  <c r="J395" i="502" s="1"/>
  <c r="J416" i="502" s="1"/>
  <c r="H162" i="163"/>
  <c r="H121" i="163"/>
  <c r="J122" i="163"/>
  <c r="J162" i="163" s="1"/>
  <c r="R7" i="485" s="1"/>
  <c r="H352" i="202"/>
  <c r="J352" i="202" s="1"/>
  <c r="J353" i="202"/>
  <c r="J395" i="202" s="1"/>
  <c r="J416" i="202" s="1"/>
  <c r="H352" i="508"/>
  <c r="J352" i="508" s="1"/>
  <c r="J353" i="508"/>
  <c r="J395" i="508" s="1"/>
  <c r="J416" i="508" s="1"/>
  <c r="H352" i="200"/>
  <c r="J352" i="200" s="1"/>
  <c r="J353" i="200"/>
  <c r="J395" i="200" s="1"/>
  <c r="J416" i="200" s="1"/>
  <c r="R12" i="485" s="1"/>
  <c r="I143" i="163"/>
  <c r="F224" i="502"/>
  <c r="E428" i="200"/>
  <c r="F224" i="508"/>
  <c r="I429" i="200"/>
  <c r="I430" i="202"/>
  <c r="H428" i="508"/>
  <c r="E428" i="502"/>
  <c r="G428" i="508"/>
  <c r="H23" i="206"/>
  <c r="I157" i="742"/>
  <c r="J134" i="742"/>
  <c r="J157" i="742" s="1"/>
  <c r="H141" i="742"/>
  <c r="J132" i="742"/>
  <c r="I141" i="742"/>
  <c r="J120" i="742"/>
  <c r="D14" i="606"/>
  <c r="H23" i="203"/>
  <c r="E23" i="158"/>
  <c r="E23" i="203"/>
  <c r="F23" i="203"/>
  <c r="H23" i="158"/>
  <c r="G23" i="203"/>
  <c r="I23" i="206"/>
  <c r="E157" i="158"/>
  <c r="F23" i="158"/>
  <c r="I23" i="203"/>
  <c r="F157" i="158"/>
  <c r="D10" i="606"/>
  <c r="F19" i="477"/>
  <c r="I23" i="640"/>
  <c r="P34" i="445"/>
  <c r="P35" i="445"/>
  <c r="G430" i="202"/>
  <c r="G23" i="158"/>
  <c r="J392" i="200"/>
  <c r="J413" i="200" s="1"/>
  <c r="O12" i="485" s="1"/>
  <c r="H396" i="508"/>
  <c r="H417" i="508" s="1"/>
  <c r="H395" i="200"/>
  <c r="H416" i="200" s="1"/>
  <c r="H392" i="508"/>
  <c r="H413" i="508" s="1"/>
  <c r="I392" i="502"/>
  <c r="I413" i="502" s="1"/>
  <c r="I33" i="506"/>
  <c r="H33" i="506"/>
  <c r="F23" i="640"/>
  <c r="G23" i="640"/>
  <c r="H427" i="200"/>
  <c r="G427" i="502"/>
  <c r="F427" i="200"/>
  <c r="F127" i="506"/>
  <c r="I127" i="506"/>
  <c r="G427" i="508"/>
  <c r="G427" i="200"/>
  <c r="I427" i="502"/>
  <c r="F430" i="502"/>
  <c r="E427" i="508"/>
  <c r="E427" i="502"/>
  <c r="E427" i="200"/>
  <c r="F430" i="508"/>
  <c r="G430" i="508"/>
  <c r="F122" i="640"/>
  <c r="E127" i="506"/>
  <c r="H427" i="502"/>
  <c r="I23" i="158"/>
  <c r="F427" i="502"/>
  <c r="F128" i="506"/>
  <c r="H430" i="502"/>
  <c r="G33" i="506"/>
  <c r="G130" i="506"/>
  <c r="G127" i="506"/>
  <c r="F120" i="640"/>
  <c r="H427" i="508"/>
  <c r="I427" i="508"/>
  <c r="E33" i="506"/>
  <c r="I427" i="200"/>
  <c r="H430" i="508"/>
  <c r="F130" i="506"/>
  <c r="F33" i="506"/>
  <c r="F430" i="200"/>
  <c r="E430" i="502"/>
  <c r="H430" i="200"/>
  <c r="H127" i="506"/>
  <c r="E23" i="640"/>
  <c r="H128" i="506"/>
  <c r="H23" i="640"/>
  <c r="E430" i="200"/>
  <c r="F427" i="508"/>
  <c r="F23" i="206"/>
  <c r="E128" i="506"/>
  <c r="E23" i="206"/>
  <c r="G23" i="206"/>
  <c r="H429" i="202"/>
  <c r="E429" i="202"/>
  <c r="F429" i="202"/>
  <c r="G429" i="202"/>
  <c r="I429" i="202"/>
  <c r="L43" i="127"/>
  <c r="L44" i="127" s="1"/>
  <c r="G61" i="158"/>
  <c r="G153" i="158" s="1"/>
  <c r="E155" i="203"/>
  <c r="G427" i="202"/>
  <c r="F427" i="202"/>
  <c r="I392" i="202"/>
  <c r="I413" i="202" s="1"/>
  <c r="E60" i="486"/>
  <c r="I427" i="202"/>
  <c r="E427" i="202"/>
  <c r="H427" i="202"/>
  <c r="H119" i="640"/>
  <c r="G119" i="640"/>
  <c r="F119" i="640"/>
  <c r="E119" i="640"/>
  <c r="I119" i="640"/>
  <c r="F50" i="158"/>
  <c r="G61" i="211"/>
  <c r="G153" i="211" s="1"/>
  <c r="I55" i="206"/>
  <c r="F55" i="206"/>
  <c r="F211" i="129"/>
  <c r="E152" i="203"/>
  <c r="F60" i="486"/>
  <c r="I50" i="158"/>
  <c r="F71" i="486"/>
  <c r="F126" i="486" s="1"/>
  <c r="I38" i="206"/>
  <c r="I50" i="206"/>
  <c r="G61" i="206"/>
  <c r="G118" i="206" s="1"/>
  <c r="F45" i="206"/>
  <c r="F55" i="158"/>
  <c r="F121" i="206"/>
  <c r="F61" i="206"/>
  <c r="F118" i="206" s="1"/>
  <c r="H45" i="206"/>
  <c r="G38" i="158"/>
  <c r="H50" i="206"/>
  <c r="G121" i="206"/>
  <c r="G38" i="206"/>
  <c r="E124" i="206"/>
  <c r="F61" i="211"/>
  <c r="F153" i="211" s="1"/>
  <c r="E156" i="158"/>
  <c r="F50" i="206"/>
  <c r="E71" i="486"/>
  <c r="E126" i="486" s="1"/>
  <c r="E61" i="158"/>
  <c r="E153" i="158" s="1"/>
  <c r="F61" i="158"/>
  <c r="F153" i="158" s="1"/>
  <c r="E37" i="486"/>
  <c r="E33" i="486" s="1"/>
  <c r="F37" i="486"/>
  <c r="H45" i="158"/>
  <c r="E29" i="486"/>
  <c r="G50" i="158"/>
  <c r="F45" i="158"/>
  <c r="E158" i="203"/>
  <c r="F55" i="486"/>
  <c r="F38" i="158"/>
  <c r="I55" i="158"/>
  <c r="F38" i="206"/>
  <c r="I152" i="203"/>
  <c r="I71" i="486"/>
  <c r="I126" i="486" s="1"/>
  <c r="H38" i="206"/>
  <c r="E50" i="206"/>
  <c r="G45" i="158"/>
  <c r="E55" i="158"/>
  <c r="F155" i="203"/>
  <c r="E159" i="158"/>
  <c r="E120" i="206"/>
  <c r="F152" i="203"/>
  <c r="H50" i="158"/>
  <c r="G55" i="158"/>
  <c r="G55" i="206"/>
  <c r="E55" i="486"/>
  <c r="E50" i="158"/>
  <c r="F65" i="486"/>
  <c r="I45" i="158"/>
  <c r="E38" i="206"/>
  <c r="H61" i="158"/>
  <c r="H153" i="158" s="1"/>
  <c r="H38" i="158"/>
  <c r="F48" i="486"/>
  <c r="E48" i="486"/>
  <c r="H61" i="211"/>
  <c r="H153" i="211" s="1"/>
  <c r="H152" i="203"/>
  <c r="H55" i="158"/>
  <c r="E211" i="129"/>
  <c r="G45" i="206"/>
  <c r="F209" i="129"/>
  <c r="H55" i="206"/>
  <c r="H71" i="486"/>
  <c r="H126" i="486" s="1"/>
  <c r="E38" i="158"/>
  <c r="E45" i="158"/>
  <c r="T175" i="129"/>
  <c r="I38" i="158"/>
  <c r="T173" i="129"/>
  <c r="F29" i="486"/>
  <c r="E65" i="486"/>
  <c r="E209" i="129"/>
  <c r="G158" i="158"/>
  <c r="E55" i="206"/>
  <c r="E45" i="206"/>
  <c r="I45" i="206"/>
  <c r="H61" i="206"/>
  <c r="H118" i="206" s="1"/>
  <c r="I61" i="158"/>
  <c r="I153" i="158" s="1"/>
  <c r="I61" i="211"/>
  <c r="I153" i="211" s="1"/>
  <c r="Y22" i="485"/>
  <c r="H144" i="473"/>
  <c r="V175" i="129"/>
  <c r="J137" i="473"/>
  <c r="J161" i="473" s="1"/>
  <c r="O4" i="485" s="1"/>
  <c r="J135" i="473"/>
  <c r="I161" i="473"/>
  <c r="E30" i="40"/>
  <c r="D13" i="606"/>
  <c r="J122" i="130"/>
  <c r="J121" i="211"/>
  <c r="G144" i="473"/>
  <c r="J116" i="473"/>
  <c r="J143" i="211"/>
  <c r="P13" i="485"/>
  <c r="P37" i="485"/>
  <c r="I146" i="130"/>
  <c r="H163" i="473"/>
  <c r="J163" i="473"/>
  <c r="H165" i="473"/>
  <c r="J165" i="473"/>
  <c r="S4" i="485" s="1"/>
  <c r="U15" i="485"/>
  <c r="G211" i="129"/>
  <c r="G157" i="158"/>
  <c r="G122" i="206"/>
  <c r="G156" i="203"/>
  <c r="G130" i="486"/>
  <c r="G162" i="158"/>
  <c r="H162" i="158"/>
  <c r="I385" i="127"/>
  <c r="H48" i="113"/>
  <c r="G35" i="113"/>
  <c r="G43" i="113" s="1"/>
  <c r="D108" i="823" s="1"/>
  <c r="G23" i="113"/>
  <c r="V173" i="129"/>
  <c r="U175" i="129"/>
  <c r="U173" i="129"/>
  <c r="F15" i="477"/>
  <c r="E26" i="79"/>
  <c r="I457" i="128"/>
  <c r="H387" i="127" s="1"/>
  <c r="Q8" i="485"/>
  <c r="R8" i="485"/>
  <c r="H155" i="158"/>
  <c r="H120" i="206"/>
  <c r="H210" i="129"/>
  <c r="H154" i="203"/>
  <c r="S175" i="129"/>
  <c r="S173" i="129"/>
  <c r="G60" i="486"/>
  <c r="G29" i="486"/>
  <c r="G37" i="486"/>
  <c r="H212" i="129"/>
  <c r="H213" i="129"/>
  <c r="H123" i="206"/>
  <c r="H158" i="158"/>
  <c r="H131" i="486"/>
  <c r="G65" i="486"/>
  <c r="G55" i="486"/>
  <c r="G209" i="129"/>
  <c r="G48" i="486"/>
  <c r="H132" i="486"/>
  <c r="H214" i="129"/>
  <c r="H124" i="206"/>
  <c r="H158" i="203"/>
  <c r="H159" i="158"/>
  <c r="L39" i="113"/>
  <c r="M39" i="113" s="1"/>
  <c r="W172" i="129"/>
  <c r="W168" i="129"/>
  <c r="F77" i="62"/>
  <c r="G74" i="62"/>
  <c r="G35" i="62"/>
  <c r="F37" i="62"/>
  <c r="P37" i="62" s="1"/>
  <c r="J217" i="129"/>
  <c r="L22" i="113"/>
  <c r="I217" i="129"/>
  <c r="I148" i="129"/>
  <c r="L18" i="113"/>
  <c r="L36" i="113"/>
  <c r="M36" i="113" s="1"/>
  <c r="F142" i="203"/>
  <c r="J128" i="203"/>
  <c r="K37" i="113"/>
  <c r="N167" i="129"/>
  <c r="O167" i="823" l="1"/>
  <c r="O172" i="823" s="1"/>
  <c r="C11" i="858"/>
  <c r="H225" i="130"/>
  <c r="C12" i="631"/>
  <c r="I178" i="130"/>
  <c r="P167" i="823"/>
  <c r="P172" i="823" s="1"/>
  <c r="I225" i="130"/>
  <c r="D166" i="823"/>
  <c r="D171" i="823" s="1"/>
  <c r="R108" i="823"/>
  <c r="H373" i="814"/>
  <c r="J346" i="814"/>
  <c r="I373" i="814"/>
  <c r="J364" i="814"/>
  <c r="H373" i="813"/>
  <c r="J373" i="813" s="1"/>
  <c r="J346" i="813"/>
  <c r="J415" i="508"/>
  <c r="Q13" i="485"/>
  <c r="H373" i="200"/>
  <c r="J373" i="200" s="1"/>
  <c r="J346" i="200"/>
  <c r="J346" i="508"/>
  <c r="H373" i="508"/>
  <c r="J373" i="508" s="1"/>
  <c r="J346" i="202"/>
  <c r="H373" i="202"/>
  <c r="J373" i="202" s="1"/>
  <c r="J121" i="163"/>
  <c r="H143" i="163"/>
  <c r="J143" i="163" s="1"/>
  <c r="J417" i="502"/>
  <c r="S37" i="485"/>
  <c r="H373" i="502"/>
  <c r="J373" i="502" s="1"/>
  <c r="J352" i="502"/>
  <c r="H26" i="129"/>
  <c r="D16" i="606"/>
  <c r="J141" i="742"/>
  <c r="C9" i="606"/>
  <c r="P58" i="485"/>
  <c r="E10" i="606"/>
  <c r="S13" i="485"/>
  <c r="P23" i="445"/>
  <c r="P33" i="445"/>
  <c r="P24" i="445"/>
  <c r="G155" i="203"/>
  <c r="F129" i="486"/>
  <c r="F33" i="486"/>
  <c r="G129" i="486"/>
  <c r="G33" i="486"/>
  <c r="L389" i="127"/>
  <c r="O37" i="485"/>
  <c r="G156" i="158"/>
  <c r="E129" i="486"/>
  <c r="F153" i="203"/>
  <c r="F156" i="158"/>
  <c r="F119" i="206"/>
  <c r="F154" i="158"/>
  <c r="E121" i="206"/>
  <c r="E153" i="203"/>
  <c r="E127" i="486"/>
  <c r="E154" i="158"/>
  <c r="F127" i="486"/>
  <c r="E119" i="206"/>
  <c r="J144" i="473"/>
  <c r="P167" i="129"/>
  <c r="P172" i="129" s="1"/>
  <c r="Q21" i="485"/>
  <c r="P15" i="485"/>
  <c r="Q10" i="485"/>
  <c r="U16" i="485"/>
  <c r="U19" i="485" s="1"/>
  <c r="O13" i="485"/>
  <c r="R13" i="485"/>
  <c r="R37" i="485"/>
  <c r="Q37" i="485"/>
  <c r="O6" i="485"/>
  <c r="S6" i="485"/>
  <c r="T15" i="485"/>
  <c r="T16" i="485" s="1"/>
  <c r="T19" i="485" s="1"/>
  <c r="H128" i="486"/>
  <c r="H211" i="129"/>
  <c r="H130" i="486"/>
  <c r="H122" i="206"/>
  <c r="H156" i="203"/>
  <c r="H157" i="158"/>
  <c r="Q11" i="485"/>
  <c r="D108" i="129"/>
  <c r="G220" i="608" s="1"/>
  <c r="H15" i="113"/>
  <c r="H56" i="113"/>
  <c r="R6" i="485"/>
  <c r="J162" i="158"/>
  <c r="Q3" i="485" s="1"/>
  <c r="R10" i="485"/>
  <c r="V8" i="485"/>
  <c r="Q4" i="485"/>
  <c r="I214" i="129"/>
  <c r="J213" i="129"/>
  <c r="I212" i="129"/>
  <c r="I132" i="486"/>
  <c r="H156" i="158"/>
  <c r="I159" i="158"/>
  <c r="I124" i="206"/>
  <c r="L14" i="485"/>
  <c r="I213" i="129"/>
  <c r="J123" i="206"/>
  <c r="L9" i="485" s="1"/>
  <c r="I157" i="203"/>
  <c r="J158" i="158"/>
  <c r="L3" i="485" s="1"/>
  <c r="I131" i="486"/>
  <c r="G119" i="206"/>
  <c r="H121" i="206"/>
  <c r="G153" i="203"/>
  <c r="I155" i="158"/>
  <c r="I154" i="203"/>
  <c r="I210" i="129"/>
  <c r="H37" i="486"/>
  <c r="H65" i="486"/>
  <c r="G154" i="158"/>
  <c r="I26" i="129"/>
  <c r="Q7" i="485"/>
  <c r="H60" i="486"/>
  <c r="H209" i="129"/>
  <c r="H29" i="486"/>
  <c r="G127" i="486"/>
  <c r="H55" i="486"/>
  <c r="H48" i="486"/>
  <c r="O167" i="129"/>
  <c r="O172" i="129" s="1"/>
  <c r="W175" i="129"/>
  <c r="W173" i="129"/>
  <c r="G71" i="62"/>
  <c r="F71" i="62"/>
  <c r="G79" i="62"/>
  <c r="F79" i="62"/>
  <c r="G77" i="62"/>
  <c r="G37" i="62"/>
  <c r="F36" i="62"/>
  <c r="L42" i="113"/>
  <c r="M42" i="113" s="1"/>
  <c r="N172" i="129"/>
  <c r="I162" i="158"/>
  <c r="L38" i="113"/>
  <c r="M38" i="113" s="1"/>
  <c r="I158" i="203"/>
  <c r="I161" i="203"/>
  <c r="I121" i="203"/>
  <c r="J126" i="203"/>
  <c r="J161" i="203" s="1"/>
  <c r="Q5" i="485" s="1"/>
  <c r="C19" i="858" l="1"/>
  <c r="J373" i="814"/>
  <c r="L23" i="631"/>
  <c r="N21" i="858" s="1"/>
  <c r="Q24" i="485"/>
  <c r="Q58" i="485"/>
  <c r="S58" i="485"/>
  <c r="R108" i="129"/>
  <c r="R58" i="485"/>
  <c r="O58" i="485"/>
  <c r="H155" i="203"/>
  <c r="H129" i="486"/>
  <c r="H33" i="486"/>
  <c r="L21" i="485"/>
  <c r="L24" i="485" s="1"/>
  <c r="E8" i="48"/>
  <c r="P16" i="485"/>
  <c r="P19" i="485" s="1"/>
  <c r="V11" i="485"/>
  <c r="V7" i="485"/>
  <c r="V4" i="485"/>
  <c r="S15" i="485"/>
  <c r="O44" i="112"/>
  <c r="T17" i="485"/>
  <c r="O60" i="112"/>
  <c r="O45" i="112"/>
  <c r="U17" i="485"/>
  <c r="O61" i="112"/>
  <c r="I211" i="129"/>
  <c r="D166" i="129"/>
  <c r="D171" i="129" s="1"/>
  <c r="Q12" i="485"/>
  <c r="I156" i="203"/>
  <c r="I130" i="486"/>
  <c r="I122" i="206"/>
  <c r="I157" i="158"/>
  <c r="I48" i="113"/>
  <c r="H35" i="113"/>
  <c r="H23" i="113"/>
  <c r="R15" i="485"/>
  <c r="O24" i="112"/>
  <c r="O26" i="112" s="1"/>
  <c r="O79" i="112" s="1"/>
  <c r="V10" i="485"/>
  <c r="I128" i="486"/>
  <c r="J157" i="203"/>
  <c r="L5" i="485" s="1"/>
  <c r="I123" i="206"/>
  <c r="J31" i="486"/>
  <c r="J131" i="486" s="1"/>
  <c r="L11" i="485"/>
  <c r="I158" i="158"/>
  <c r="I120" i="206"/>
  <c r="I29" i="486"/>
  <c r="I65" i="486"/>
  <c r="I48" i="486"/>
  <c r="I37" i="486"/>
  <c r="I33" i="486" s="1"/>
  <c r="I209" i="129"/>
  <c r="I55" i="486"/>
  <c r="I156" i="158"/>
  <c r="I60" i="486"/>
  <c r="H154" i="158"/>
  <c r="H127" i="486"/>
  <c r="H153" i="203"/>
  <c r="H119" i="206"/>
  <c r="G82" i="62"/>
  <c r="F82" i="62"/>
  <c r="F38" i="62"/>
  <c r="G36" i="62"/>
  <c r="Q6" i="485"/>
  <c r="V3" i="485"/>
  <c r="I142" i="203"/>
  <c r="J142" i="203" s="1"/>
  <c r="J121" i="203"/>
  <c r="L37" i="113"/>
  <c r="V5" i="485"/>
  <c r="C24" i="858" l="1"/>
  <c r="D6" i="858" s="1"/>
  <c r="F26" i="631"/>
  <c r="F27" i="631"/>
  <c r="E61" i="112"/>
  <c r="E45" i="112" s="1"/>
  <c r="L17" i="631"/>
  <c r="N16" i="858" s="1"/>
  <c r="O16" i="858" s="1"/>
  <c r="E81" i="112"/>
  <c r="F81" i="112" s="1"/>
  <c r="I155" i="203"/>
  <c r="O23" i="112"/>
  <c r="O78" i="112" s="1"/>
  <c r="O27" i="112"/>
  <c r="O56" i="112"/>
  <c r="O20" i="112"/>
  <c r="R16" i="485"/>
  <c r="R19" i="485" s="1"/>
  <c r="S16" i="485"/>
  <c r="S19" i="485" s="1"/>
  <c r="Q15" i="485"/>
  <c r="V12" i="485"/>
  <c r="F80" i="62"/>
  <c r="H43" i="113"/>
  <c r="E108" i="823" s="1"/>
  <c r="I15" i="113"/>
  <c r="I56" i="113"/>
  <c r="M37" i="113"/>
  <c r="I129" i="486"/>
  <c r="I121" i="206"/>
  <c r="I119" i="206"/>
  <c r="I127" i="486"/>
  <c r="I154" i="158"/>
  <c r="I153" i="203"/>
  <c r="G38" i="62"/>
  <c r="G34" i="62"/>
  <c r="F34" i="62"/>
  <c r="P34" i="62" s="1"/>
  <c r="F40" i="62"/>
  <c r="P40" i="62" s="1"/>
  <c r="O21" i="112"/>
  <c r="O19" i="112"/>
  <c r="V6" i="485"/>
  <c r="D21" i="858" l="1"/>
  <c r="D22" i="858"/>
  <c r="D20" i="858"/>
  <c r="D23" i="858"/>
  <c r="D7" i="858"/>
  <c r="D14" i="858"/>
  <c r="D10" i="858"/>
  <c r="D8" i="858"/>
  <c r="D17" i="858"/>
  <c r="D16" i="858"/>
  <c r="D13" i="858"/>
  <c r="D5" i="858"/>
  <c r="D12" i="858"/>
  <c r="D9" i="858"/>
  <c r="D15" i="858"/>
  <c r="D4" i="858"/>
  <c r="D18" i="858"/>
  <c r="D11" i="858"/>
  <c r="D19" i="858"/>
  <c r="E166" i="823"/>
  <c r="E171" i="823" s="1"/>
  <c r="S108" i="823"/>
  <c r="T18" i="485"/>
  <c r="O58" i="112"/>
  <c r="Q16" i="485"/>
  <c r="Q19" i="485" s="1"/>
  <c r="S17" i="485"/>
  <c r="O43" i="112"/>
  <c r="O59" i="112"/>
  <c r="G80" i="62"/>
  <c r="E108" i="129"/>
  <c r="O42" i="112"/>
  <c r="R17" i="485"/>
  <c r="J48" i="113"/>
  <c r="I23" i="113"/>
  <c r="I35" i="113"/>
  <c r="G83" i="62"/>
  <c r="F83" i="62"/>
  <c r="F42" i="62"/>
  <c r="G40" i="62"/>
  <c r="O22" i="112"/>
  <c r="O77" i="112" s="1"/>
  <c r="D24" i="858" l="1"/>
  <c r="F25" i="631"/>
  <c r="F8" i="48"/>
  <c r="H220" i="608"/>
  <c r="F24" i="631"/>
  <c r="S108" i="129"/>
  <c r="O57" i="112"/>
  <c r="Q17" i="485"/>
  <c r="R18" i="485"/>
  <c r="O41" i="112"/>
  <c r="V37" i="485"/>
  <c r="E166" i="129"/>
  <c r="E171" i="129" s="1"/>
  <c r="F81" i="62"/>
  <c r="I43" i="113"/>
  <c r="F108" i="823" s="1"/>
  <c r="J15" i="113"/>
  <c r="J56" i="113"/>
  <c r="G84" i="62"/>
  <c r="F84" i="62"/>
  <c r="F41" i="62"/>
  <c r="G42" i="62"/>
  <c r="E22" i="858" l="1"/>
  <c r="O22" i="858" s="1"/>
  <c r="Q22" i="858" s="1"/>
  <c r="I22" i="858" s="1"/>
  <c r="T108" i="823"/>
  <c r="F166" i="823"/>
  <c r="F171" i="823" s="1"/>
  <c r="F23" i="631"/>
  <c r="O15" i="485"/>
  <c r="V13" i="485"/>
  <c r="V58" i="485" s="1"/>
  <c r="F108" i="129"/>
  <c r="G81" i="62"/>
  <c r="K48" i="113"/>
  <c r="J35" i="113"/>
  <c r="J23" i="113"/>
  <c r="F78" i="62"/>
  <c r="G78" i="62"/>
  <c r="F43" i="62"/>
  <c r="G41" i="62"/>
  <c r="E21" i="858" l="1"/>
  <c r="O21" i="858" s="1"/>
  <c r="Q21" i="858" s="1"/>
  <c r="I21" i="858" s="1"/>
  <c r="G8" i="48"/>
  <c r="I220" i="608"/>
  <c r="T108" i="129"/>
  <c r="F166" i="129"/>
  <c r="F171" i="129" s="1"/>
  <c r="AC37" i="485"/>
  <c r="O16" i="485"/>
  <c r="O19" i="485" s="1"/>
  <c r="V15" i="485"/>
  <c r="O28" i="112"/>
  <c r="O29" i="112" s="1"/>
  <c r="O30" i="112" s="1"/>
  <c r="J43" i="113"/>
  <c r="G108" i="823" s="1"/>
  <c r="K15" i="113"/>
  <c r="K56" i="113"/>
  <c r="F45" i="62"/>
  <c r="P45" i="62" s="1"/>
  <c r="G39" i="62"/>
  <c r="F39" i="62"/>
  <c r="P39" i="62" s="1"/>
  <c r="G43" i="62"/>
  <c r="G166" i="823" l="1"/>
  <c r="G171" i="823" s="1"/>
  <c r="U108" i="823"/>
  <c r="V16" i="485"/>
  <c r="V19" i="485" s="1"/>
  <c r="O39" i="112"/>
  <c r="O17" i="485"/>
  <c r="O55" i="112"/>
  <c r="O80" i="112"/>
  <c r="O81" i="112" s="1"/>
  <c r="G108" i="129"/>
  <c r="L48" i="113"/>
  <c r="O48" i="113" s="1"/>
  <c r="K35" i="113"/>
  <c r="K23" i="113"/>
  <c r="F47" i="62"/>
  <c r="G45" i="62"/>
  <c r="H8" i="48" l="1"/>
  <c r="J220" i="608"/>
  <c r="F21" i="631"/>
  <c r="O62" i="112"/>
  <c r="O64" i="112" s="1"/>
  <c r="U108" i="129"/>
  <c r="G166" i="129"/>
  <c r="G171" i="129" s="1"/>
  <c r="K43" i="113"/>
  <c r="H108" i="823" s="1"/>
  <c r="L15" i="113"/>
  <c r="L56" i="113"/>
  <c r="G47" i="62"/>
  <c r="F46" i="62"/>
  <c r="H166" i="823" l="1"/>
  <c r="H171" i="823" s="1"/>
  <c r="V108" i="823"/>
  <c r="O63" i="112"/>
  <c r="O56" i="113"/>
  <c r="N56" i="113"/>
  <c r="H108" i="129"/>
  <c r="L35" i="113"/>
  <c r="L23" i="113"/>
  <c r="N23" i="113" s="1"/>
  <c r="G46" i="62"/>
  <c r="F48" i="62"/>
  <c r="I8" i="48" l="1"/>
  <c r="K220" i="608"/>
  <c r="V108" i="129"/>
  <c r="H166" i="129"/>
  <c r="H171" i="129" s="1"/>
  <c r="L43" i="113"/>
  <c r="I108" i="823" s="1"/>
  <c r="M35" i="113"/>
  <c r="M43" i="113" s="1"/>
  <c r="G48" i="62"/>
  <c r="F44" i="62"/>
  <c r="P44" i="62" s="1"/>
  <c r="I166" i="823" l="1"/>
  <c r="I171" i="823" s="1"/>
  <c r="W108" i="823"/>
  <c r="X108" i="823" s="1"/>
  <c r="J108" i="823"/>
  <c r="J166" i="823" s="1"/>
  <c r="J171" i="823" s="1"/>
  <c r="N43" i="113"/>
  <c r="I108" i="129"/>
  <c r="G44" i="62"/>
  <c r="F20" i="62"/>
  <c r="P20" i="62" s="1"/>
  <c r="J8" i="48" l="1"/>
  <c r="K8" i="48" s="1"/>
  <c r="L220" i="608"/>
  <c r="M220" i="608" s="1"/>
  <c r="W108" i="129"/>
  <c r="X108" i="129" s="1"/>
  <c r="J108" i="129"/>
  <c r="J166" i="129" s="1"/>
  <c r="I166" i="129"/>
  <c r="I171" i="129" s="1"/>
  <c r="G20" i="62"/>
  <c r="F107" i="62"/>
  <c r="P107" i="62" l="1"/>
  <c r="J171" i="129"/>
  <c r="G107" i="62"/>
  <c r="D26" i="103"/>
  <c r="W144" i="129" l="1"/>
  <c r="V144" i="129"/>
  <c r="T144" i="129"/>
  <c r="S144" i="129"/>
  <c r="U144" i="129"/>
  <c r="T131" i="129"/>
  <c r="V131" i="129"/>
  <c r="W131" i="129"/>
  <c r="R131" i="129"/>
  <c r="S131" i="129"/>
  <c r="U131" i="129"/>
  <c r="W129" i="129"/>
  <c r="W120" i="129"/>
  <c r="U119" i="129"/>
  <c r="R129" i="129"/>
  <c r="V129" i="129"/>
  <c r="U129" i="129"/>
  <c r="T129" i="129"/>
  <c r="S129" i="129"/>
  <c r="R130" i="129"/>
  <c r="S130" i="129"/>
  <c r="U130" i="129"/>
  <c r="W130" i="129"/>
  <c r="V130" i="129"/>
  <c r="T130" i="129"/>
  <c r="V140" i="129"/>
  <c r="R140" i="129"/>
  <c r="T140" i="129"/>
  <c r="U140" i="129"/>
  <c r="W140" i="129"/>
  <c r="S140" i="129"/>
  <c r="R144" i="129" l="1"/>
  <c r="X144" i="129" s="1"/>
  <c r="Q144" i="129"/>
  <c r="W118" i="129"/>
  <c r="Q129" i="129"/>
  <c r="Q140" i="129"/>
  <c r="Q131" i="129"/>
  <c r="Q130" i="129"/>
  <c r="R133" i="129"/>
  <c r="W133" i="129"/>
  <c r="V133" i="129"/>
  <c r="T133" i="129"/>
  <c r="U133" i="129"/>
  <c r="S133" i="129"/>
  <c r="T119" i="129"/>
  <c r="S119" i="129"/>
  <c r="R119" i="129"/>
  <c r="W119" i="129"/>
  <c r="R132" i="129"/>
  <c r="T132" i="129"/>
  <c r="S132" i="129"/>
  <c r="U132" i="129"/>
  <c r="V132" i="129"/>
  <c r="W132" i="129"/>
  <c r="V119" i="129"/>
  <c r="R120" i="129"/>
  <c r="T120" i="129"/>
  <c r="U120" i="129"/>
  <c r="S120" i="129"/>
  <c r="V120" i="129"/>
  <c r="AH7" i="130"/>
  <c r="S141" i="129"/>
  <c r="R141" i="129"/>
  <c r="T141" i="129"/>
  <c r="V141" i="129"/>
  <c r="U141" i="129"/>
  <c r="W141" i="129"/>
  <c r="G385" i="657" l="1"/>
  <c r="G406" i="657" s="1"/>
  <c r="D385" i="657"/>
  <c r="D406" i="657" s="1"/>
  <c r="E385" i="657"/>
  <c r="E406" i="657" s="1"/>
  <c r="F385" i="657"/>
  <c r="F406" i="657" s="1"/>
  <c r="I159" i="473"/>
  <c r="T118" i="129"/>
  <c r="R118" i="129"/>
  <c r="V118" i="129"/>
  <c r="U118" i="129"/>
  <c r="S118" i="129"/>
  <c r="L8" i="485"/>
  <c r="Q118" i="129"/>
  <c r="U117" i="129"/>
  <c r="Q141" i="129"/>
  <c r="Q133" i="129"/>
  <c r="S117" i="129"/>
  <c r="U128" i="129"/>
  <c r="W128" i="129"/>
  <c r="X130" i="129"/>
  <c r="T128" i="129"/>
  <c r="S128" i="129"/>
  <c r="Q132" i="129"/>
  <c r="X129" i="129"/>
  <c r="R128" i="129"/>
  <c r="W117" i="129"/>
  <c r="X131" i="129"/>
  <c r="Q120" i="129"/>
  <c r="X140" i="129"/>
  <c r="V117" i="129"/>
  <c r="R117" i="129"/>
  <c r="Q119" i="129"/>
  <c r="T117" i="129"/>
  <c r="V128" i="129"/>
  <c r="R142" i="129"/>
  <c r="U142" i="129"/>
  <c r="S142" i="129"/>
  <c r="W142" i="129"/>
  <c r="T142" i="129"/>
  <c r="V142" i="129"/>
  <c r="AG7" i="130"/>
  <c r="J385" i="657" l="1"/>
  <c r="E159" i="473"/>
  <c r="H159" i="473"/>
  <c r="F159" i="473"/>
  <c r="G159" i="473"/>
  <c r="L7" i="485"/>
  <c r="J159" i="473"/>
  <c r="L4" i="485" s="1"/>
  <c r="D159" i="473"/>
  <c r="T122" i="129"/>
  <c r="V114" i="129"/>
  <c r="W122" i="129"/>
  <c r="U122" i="129"/>
  <c r="S114" i="129"/>
  <c r="W114" i="129"/>
  <c r="V122" i="129"/>
  <c r="U114" i="129"/>
  <c r="T114" i="129"/>
  <c r="S122" i="129"/>
  <c r="X132" i="129"/>
  <c r="X133" i="129"/>
  <c r="X120" i="129"/>
  <c r="X118" i="129"/>
  <c r="X141" i="129"/>
  <c r="Q128" i="129"/>
  <c r="R122" i="129"/>
  <c r="Q142" i="129"/>
  <c r="Q117" i="129"/>
  <c r="R114" i="129"/>
  <c r="X119" i="129"/>
  <c r="V143" i="129"/>
  <c r="R143" i="129"/>
  <c r="S143" i="129"/>
  <c r="T143" i="129"/>
  <c r="U143" i="129"/>
  <c r="W143" i="129"/>
  <c r="L10" i="485"/>
  <c r="J406" i="657" l="1"/>
  <c r="Q122" i="129"/>
  <c r="X142" i="129"/>
  <c r="V139" i="129"/>
  <c r="W139" i="129"/>
  <c r="U139" i="129"/>
  <c r="T139" i="129"/>
  <c r="S139" i="129"/>
  <c r="Q143" i="129"/>
  <c r="Q114" i="129"/>
  <c r="X128" i="129"/>
  <c r="X122" i="129"/>
  <c r="X117" i="129"/>
  <c r="R139" i="129"/>
  <c r="L6" i="485"/>
  <c r="T135" i="129" l="1"/>
  <c r="U135" i="129"/>
  <c r="W135" i="129"/>
  <c r="V135" i="129"/>
  <c r="S135" i="129"/>
  <c r="X139" i="129"/>
  <c r="Q139" i="129"/>
  <c r="X114" i="129"/>
  <c r="X143" i="129"/>
  <c r="V146" i="129" l="1"/>
  <c r="W146" i="129"/>
  <c r="T146" i="129"/>
  <c r="S146" i="129"/>
  <c r="U146" i="129"/>
  <c r="Q135" i="129"/>
  <c r="Q146" i="129" l="1"/>
  <c r="H147" i="129"/>
  <c r="G147" i="129"/>
  <c r="F147" i="129"/>
  <c r="E147" i="129"/>
  <c r="I147" i="129"/>
  <c r="E38" i="130" l="1"/>
  <c r="AH38" i="130"/>
  <c r="D38" i="130"/>
  <c r="F38" i="130"/>
  <c r="H38" i="130"/>
  <c r="I38" i="130"/>
  <c r="G38" i="130"/>
  <c r="D48" i="742" l="1"/>
  <c r="E48" i="742"/>
  <c r="E51" i="473"/>
  <c r="E49" i="163"/>
  <c r="G48" i="742"/>
  <c r="G49" i="163"/>
  <c r="G51" i="473"/>
  <c r="I48" i="742"/>
  <c r="I49" i="163"/>
  <c r="I51" i="473"/>
  <c r="H48" i="742"/>
  <c r="H51" i="473"/>
  <c r="H49" i="163"/>
  <c r="F48" i="742"/>
  <c r="F51" i="473"/>
  <c r="F49" i="163"/>
  <c r="J38" i="130"/>
  <c r="AG38" i="130"/>
  <c r="E40" i="79" l="1"/>
  <c r="C5" i="606" l="1"/>
  <c r="E7" i="79" l="1"/>
  <c r="I31" i="315" l="1"/>
  <c r="I41" i="315" s="1"/>
  <c r="K73" i="75" l="1"/>
  <c r="M73" i="70" l="1"/>
  <c r="K75" i="75"/>
  <c r="D8" i="831" l="1"/>
  <c r="K84" i="75"/>
  <c r="K86" i="75" s="1"/>
  <c r="K87" i="75" s="1"/>
  <c r="M75" i="70"/>
  <c r="E30" i="39" l="1"/>
  <c r="E32" i="39" s="1"/>
  <c r="E33" i="39" l="1"/>
  <c r="E54" i="39"/>
  <c r="K73" i="70"/>
  <c r="N73" i="70" s="1"/>
  <c r="K34" i="127" l="1"/>
  <c r="K38" i="127" l="1"/>
  <c r="K41" i="127" l="1"/>
  <c r="K43" i="127" l="1"/>
  <c r="K44" i="127" s="1"/>
  <c r="K389" i="127" l="1"/>
  <c r="D198" i="86" l="1"/>
  <c r="D204" i="86" s="1"/>
  <c r="D197" i="120"/>
  <c r="D203" i="120" s="1"/>
  <c r="J197" i="120"/>
  <c r="J203" i="120" s="1"/>
  <c r="D192" i="81"/>
  <c r="D216" i="129"/>
  <c r="D135" i="81"/>
  <c r="D146" i="81" s="1"/>
  <c r="R167" i="823" s="1"/>
  <c r="D135" i="130"/>
  <c r="J216" i="129"/>
  <c r="D135" i="129"/>
  <c r="X167" i="823" l="1"/>
  <c r="X172" i="823" s="1"/>
  <c r="R172" i="823"/>
  <c r="R168" i="823"/>
  <c r="D198" i="81"/>
  <c r="J198" i="81" s="1"/>
  <c r="J199" i="81" s="1"/>
  <c r="J192" i="81"/>
  <c r="D223" i="81"/>
  <c r="R135" i="129"/>
  <c r="X135" i="129" s="1"/>
  <c r="J135" i="129"/>
  <c r="D146" i="129"/>
  <c r="J135" i="130"/>
  <c r="D146" i="130"/>
  <c r="P21" i="485"/>
  <c r="V24" i="485" s="1"/>
  <c r="R167" i="129"/>
  <c r="D178" i="130" l="1"/>
  <c r="K167" i="823"/>
  <c r="D225" i="130"/>
  <c r="X168" i="823"/>
  <c r="R173" i="823"/>
  <c r="R175" i="823"/>
  <c r="L22" i="631"/>
  <c r="P24" i="485"/>
  <c r="D199" i="81"/>
  <c r="R146" i="129"/>
  <c r="X146" i="129" s="1"/>
  <c r="J146" i="130"/>
  <c r="J225" i="130" s="1"/>
  <c r="J205" i="86"/>
  <c r="K161" i="129"/>
  <c r="Q161" i="129" s="1"/>
  <c r="J146" i="129"/>
  <c r="D205" i="86"/>
  <c r="R161" i="129"/>
  <c r="R162" i="129" s="1"/>
  <c r="J135" i="120"/>
  <c r="K167" i="129"/>
  <c r="P17" i="485"/>
  <c r="O40" i="112"/>
  <c r="P18" i="485"/>
  <c r="V21" i="485"/>
  <c r="X167" i="129"/>
  <c r="R168" i="129"/>
  <c r="L28" i="631" l="1"/>
  <c r="N20" i="858"/>
  <c r="N23" i="858"/>
  <c r="X173" i="823"/>
  <c r="X175" i="823"/>
  <c r="Q167" i="823"/>
  <c r="Q172" i="823" s="1"/>
  <c r="K172" i="823"/>
  <c r="F22" i="631"/>
  <c r="E20" i="858" s="1"/>
  <c r="O20" i="858" s="1"/>
  <c r="X162" i="129"/>
  <c r="K172" i="129"/>
  <c r="K162" i="129"/>
  <c r="Q162" i="129" s="1"/>
  <c r="R172" i="129"/>
  <c r="AG9" i="485"/>
  <c r="AK9" i="485" s="1"/>
  <c r="AG14" i="485"/>
  <c r="AK14" i="485" s="1"/>
  <c r="AG33" i="485"/>
  <c r="AL9" i="485" s="1"/>
  <c r="AG38" i="485"/>
  <c r="AL14" i="485" s="1"/>
  <c r="AG8" i="485"/>
  <c r="AK8" i="485" s="1"/>
  <c r="AG10" i="485"/>
  <c r="AK10" i="485" s="1"/>
  <c r="AP12" i="485" s="1"/>
  <c r="AG4" i="485"/>
  <c r="AK4" i="485" s="1"/>
  <c r="AG7" i="485"/>
  <c r="AK7" i="485" s="1"/>
  <c r="AG5" i="485"/>
  <c r="AK5" i="485" s="1"/>
  <c r="AG11" i="485"/>
  <c r="AK11" i="485" s="1"/>
  <c r="AG6" i="485"/>
  <c r="AK6" i="485" s="1"/>
  <c r="AQ12" i="485" s="1"/>
  <c r="AG12" i="485"/>
  <c r="AK12" i="485" s="1"/>
  <c r="AG37" i="485"/>
  <c r="AL13" i="485" s="1"/>
  <c r="AG13" i="485"/>
  <c r="AK13" i="485" s="1"/>
  <c r="AG15" i="485"/>
  <c r="AK15" i="485" s="1"/>
  <c r="AG16" i="485"/>
  <c r="AK16" i="485" s="1"/>
  <c r="AG3" i="485"/>
  <c r="AK3" i="485" s="1"/>
  <c r="X161" i="129"/>
  <c r="X172" i="129" s="1"/>
  <c r="D147" i="129"/>
  <c r="J147" i="129"/>
  <c r="J146" i="120"/>
  <c r="Q167" i="129"/>
  <c r="Q172" i="129" s="1"/>
  <c r="R175" i="129"/>
  <c r="R173" i="129"/>
  <c r="X168" i="129"/>
  <c r="V17" i="485"/>
  <c r="J66" i="112"/>
  <c r="O23" i="858" l="1"/>
  <c r="Q20" i="858"/>
  <c r="I20" i="858" s="1"/>
  <c r="F28" i="631"/>
  <c r="O13" i="112"/>
  <c r="V13" i="112" s="1"/>
  <c r="O10" i="112"/>
  <c r="V10" i="112" s="1"/>
  <c r="O8" i="112"/>
  <c r="V8" i="112" s="1"/>
  <c r="O5" i="112"/>
  <c r="V5" i="112" s="1"/>
  <c r="O6" i="112"/>
  <c r="V6" i="112" s="1"/>
  <c r="O9" i="112"/>
  <c r="O4" i="112"/>
  <c r="O12" i="112"/>
  <c r="K66" i="112"/>
  <c r="AO12" i="485"/>
  <c r="X175" i="129"/>
  <c r="X173" i="129"/>
  <c r="E23" i="858" l="1"/>
  <c r="V9" i="112"/>
  <c r="O11" i="112"/>
  <c r="AR12" i="485"/>
  <c r="P10" i="112"/>
  <c r="O14" i="112"/>
  <c r="V12" i="112"/>
  <c r="V4" i="112"/>
  <c r="O7" i="112"/>
  <c r="O71" i="112" s="1"/>
  <c r="Q23" i="858" l="1"/>
  <c r="I23" i="858" s="1"/>
  <c r="O15" i="112"/>
  <c r="W10" i="112"/>
  <c r="Q10" i="112"/>
  <c r="V7" i="112"/>
  <c r="V11" i="112"/>
  <c r="O72" i="112"/>
  <c r="O73" i="112"/>
  <c r="V14" i="112"/>
  <c r="O46" i="112" l="1"/>
  <c r="O75" i="112"/>
  <c r="O74" i="112"/>
  <c r="J90" i="112" l="1"/>
  <c r="D18" i="75"/>
  <c r="K18" i="75" s="1"/>
  <c r="E34" i="39" s="1"/>
  <c r="J224" i="129"/>
  <c r="J161" i="129"/>
  <c r="J167" i="129"/>
  <c r="D167" i="129"/>
  <c r="D161" i="129"/>
  <c r="D224" i="129"/>
  <c r="D148" i="129"/>
  <c r="D172" i="129" l="1"/>
  <c r="J172" i="129"/>
  <c r="J148" i="129"/>
  <c r="E35" i="39" l="1"/>
  <c r="D12" i="472" l="1"/>
  <c r="D11" i="472" l="1"/>
  <c r="D8" i="472"/>
  <c r="D9" i="472"/>
  <c r="D10" i="472"/>
  <c r="N82" i="62" l="1"/>
  <c r="N102" i="62"/>
  <c r="I82" i="823" l="1"/>
  <c r="F82" i="823"/>
  <c r="D82" i="823"/>
  <c r="H82" i="823"/>
  <c r="E82" i="823"/>
  <c r="G82" i="823"/>
  <c r="E102" i="823"/>
  <c r="H102" i="823"/>
  <c r="G102" i="823"/>
  <c r="I102" i="823"/>
  <c r="F102" i="823"/>
  <c r="D102" i="823"/>
  <c r="N83" i="62"/>
  <c r="N81" i="62"/>
  <c r="E286" i="508" l="1"/>
  <c r="E84" i="742"/>
  <c r="E286" i="202"/>
  <c r="E286" i="200"/>
  <c r="H286" i="508"/>
  <c r="H84" i="742"/>
  <c r="H286" i="202"/>
  <c r="H286" i="200"/>
  <c r="F286" i="508"/>
  <c r="F84" i="742"/>
  <c r="F286" i="202"/>
  <c r="F286" i="200"/>
  <c r="E83" i="823"/>
  <c r="H83" i="823"/>
  <c r="G83" i="823"/>
  <c r="D83" i="823"/>
  <c r="I83" i="823"/>
  <c r="F83" i="823"/>
  <c r="F306" i="508"/>
  <c r="F306" i="202"/>
  <c r="F306" i="200"/>
  <c r="F104" i="742"/>
  <c r="I306" i="508"/>
  <c r="I306" i="202"/>
  <c r="I306" i="200"/>
  <c r="I104" i="742"/>
  <c r="G306" i="508"/>
  <c r="G306" i="202"/>
  <c r="G306" i="200"/>
  <c r="G104" i="742"/>
  <c r="D286" i="508"/>
  <c r="J82" i="823"/>
  <c r="D84" i="742"/>
  <c r="D286" i="202"/>
  <c r="D286" i="200"/>
  <c r="D81" i="823"/>
  <c r="E81" i="823"/>
  <c r="I81" i="823"/>
  <c r="G81" i="823"/>
  <c r="F81" i="823"/>
  <c r="H81" i="823"/>
  <c r="D306" i="508"/>
  <c r="D306" i="200"/>
  <c r="D306" i="202"/>
  <c r="J102" i="823"/>
  <c r="D104" i="742"/>
  <c r="H306" i="508"/>
  <c r="H306" i="202"/>
  <c r="H306" i="200"/>
  <c r="H104" i="742"/>
  <c r="E306" i="508"/>
  <c r="E306" i="202"/>
  <c r="E306" i="200"/>
  <c r="E104" i="742"/>
  <c r="G286" i="508"/>
  <c r="G84" i="742"/>
  <c r="G286" i="202"/>
  <c r="G286" i="200"/>
  <c r="I286" i="508"/>
  <c r="I84" i="742"/>
  <c r="I286" i="202"/>
  <c r="I286" i="200"/>
  <c r="E286" i="502"/>
  <c r="H286" i="502"/>
  <c r="I286" i="502"/>
  <c r="G286" i="502"/>
  <c r="F286" i="502"/>
  <c r="I95" i="486"/>
  <c r="I85" i="640"/>
  <c r="I95" i="506"/>
  <c r="I85" i="639"/>
  <c r="G95" i="486"/>
  <c r="G85" i="640"/>
  <c r="G95" i="506"/>
  <c r="G85" i="639"/>
  <c r="F95" i="486"/>
  <c r="F85" i="640"/>
  <c r="F95" i="506"/>
  <c r="F85" i="639"/>
  <c r="E95" i="486"/>
  <c r="E85" i="640"/>
  <c r="E85" i="639"/>
  <c r="E95" i="506"/>
  <c r="H95" i="486"/>
  <c r="H85" i="640"/>
  <c r="H95" i="506"/>
  <c r="H85" i="639"/>
  <c r="F115" i="506"/>
  <c r="G115" i="506"/>
  <c r="E115" i="506"/>
  <c r="H115" i="506"/>
  <c r="I115" i="506"/>
  <c r="I115" i="486"/>
  <c r="E115" i="486"/>
  <c r="F115" i="486"/>
  <c r="G115" i="486"/>
  <c r="H115" i="486"/>
  <c r="N100" i="62"/>
  <c r="N79" i="62"/>
  <c r="H285" i="508" l="1"/>
  <c r="H83" i="742"/>
  <c r="H285" i="202"/>
  <c r="H285" i="200"/>
  <c r="F285" i="508"/>
  <c r="F83" i="742"/>
  <c r="F285" i="202"/>
  <c r="F285" i="200"/>
  <c r="G285" i="508"/>
  <c r="G83" i="742"/>
  <c r="G285" i="202"/>
  <c r="G285" i="200"/>
  <c r="I285" i="508"/>
  <c r="I83" i="742"/>
  <c r="I285" i="202"/>
  <c r="I285" i="200"/>
  <c r="D100" i="823"/>
  <c r="H100" i="823"/>
  <c r="E100" i="823"/>
  <c r="G100" i="823"/>
  <c r="F100" i="823"/>
  <c r="I100" i="823"/>
  <c r="D285" i="508"/>
  <c r="J81" i="823"/>
  <c r="D83" i="742"/>
  <c r="D285" i="202"/>
  <c r="D285" i="200"/>
  <c r="G287" i="508"/>
  <c r="G85" i="742"/>
  <c r="G287" i="202"/>
  <c r="G287" i="200"/>
  <c r="E287" i="508"/>
  <c r="E85" i="742"/>
  <c r="E287" i="202"/>
  <c r="E287" i="200"/>
  <c r="H79" i="823"/>
  <c r="E79" i="823"/>
  <c r="I79" i="823"/>
  <c r="F79" i="823"/>
  <c r="D79" i="823"/>
  <c r="G79" i="823"/>
  <c r="E285" i="508"/>
  <c r="E83" i="742"/>
  <c r="E285" i="202"/>
  <c r="E285" i="200"/>
  <c r="F287" i="508"/>
  <c r="F85" i="742"/>
  <c r="F287" i="202"/>
  <c r="F287" i="200"/>
  <c r="I287" i="508"/>
  <c r="I85" i="742"/>
  <c r="I287" i="202"/>
  <c r="I287" i="200"/>
  <c r="D287" i="508"/>
  <c r="J83" i="823"/>
  <c r="D85" i="742"/>
  <c r="D287" i="202"/>
  <c r="D287" i="200"/>
  <c r="H287" i="508"/>
  <c r="H85" i="742"/>
  <c r="H287" i="202"/>
  <c r="H287" i="200"/>
  <c r="G287" i="502"/>
  <c r="H287" i="502"/>
  <c r="E287" i="502"/>
  <c r="I287" i="502"/>
  <c r="F287" i="502"/>
  <c r="F285" i="502"/>
  <c r="G285" i="502"/>
  <c r="E285" i="502"/>
  <c r="H285" i="502"/>
  <c r="I285" i="502"/>
  <c r="H94" i="506"/>
  <c r="H94" i="486"/>
  <c r="H84" i="640"/>
  <c r="H84" i="639"/>
  <c r="I94" i="486"/>
  <c r="I84" i="640"/>
  <c r="I84" i="639"/>
  <c r="I94" i="506"/>
  <c r="E86" i="640"/>
  <c r="E96" i="506"/>
  <c r="E96" i="486"/>
  <c r="E86" i="639"/>
  <c r="H96" i="506"/>
  <c r="H96" i="486"/>
  <c r="H86" i="639"/>
  <c r="H86" i="640"/>
  <c r="G94" i="506"/>
  <c r="G94" i="486"/>
  <c r="G84" i="640"/>
  <c r="G84" i="639"/>
  <c r="G86" i="640"/>
  <c r="G96" i="506"/>
  <c r="G96" i="486"/>
  <c r="G86" i="639"/>
  <c r="I96" i="486"/>
  <c r="I96" i="506"/>
  <c r="I86" i="639"/>
  <c r="I86" i="640"/>
  <c r="F86" i="640"/>
  <c r="F96" i="506"/>
  <c r="F96" i="486"/>
  <c r="F86" i="639"/>
  <c r="E84" i="640"/>
  <c r="E94" i="506"/>
  <c r="E94" i="486"/>
  <c r="E84" i="639"/>
  <c r="F94" i="506"/>
  <c r="F94" i="486"/>
  <c r="F84" i="640"/>
  <c r="F84" i="639"/>
  <c r="N99" i="62"/>
  <c r="N78" i="62"/>
  <c r="G283" i="508" l="1"/>
  <c r="G282" i="508" s="1"/>
  <c r="G425" i="508" s="1"/>
  <c r="G78" i="823"/>
  <c r="G207" i="823" s="1"/>
  <c r="G81" i="742"/>
  <c r="G80" i="742" s="1"/>
  <c r="G149" i="742" s="1"/>
  <c r="G283" i="202"/>
  <c r="G282" i="202" s="1"/>
  <c r="G425" i="202" s="1"/>
  <c r="G283" i="200"/>
  <c r="G282" i="200" s="1"/>
  <c r="G425" i="200" s="1"/>
  <c r="D283" i="508"/>
  <c r="D78" i="823"/>
  <c r="J79" i="823"/>
  <c r="D81" i="742"/>
  <c r="D283" i="202"/>
  <c r="D283" i="200"/>
  <c r="F283" i="508"/>
  <c r="F282" i="508" s="1"/>
  <c r="F425" i="508" s="1"/>
  <c r="F78" i="823"/>
  <c r="F207" i="823" s="1"/>
  <c r="F81" i="742"/>
  <c r="F80" i="742" s="1"/>
  <c r="F149" i="742" s="1"/>
  <c r="F283" i="202"/>
  <c r="F282" i="202" s="1"/>
  <c r="F425" i="202" s="1"/>
  <c r="F283" i="200"/>
  <c r="F282" i="200" s="1"/>
  <c r="F425" i="200" s="1"/>
  <c r="I283" i="508"/>
  <c r="I282" i="508" s="1"/>
  <c r="I425" i="508" s="1"/>
  <c r="I78" i="823"/>
  <c r="I207" i="823" s="1"/>
  <c r="I81" i="742"/>
  <c r="I80" i="742" s="1"/>
  <c r="I149" i="742" s="1"/>
  <c r="I283" i="202"/>
  <c r="I282" i="202" s="1"/>
  <c r="I425" i="202" s="1"/>
  <c r="I283" i="200"/>
  <c r="I282" i="200" s="1"/>
  <c r="I425" i="200" s="1"/>
  <c r="E283" i="508"/>
  <c r="E282" i="508" s="1"/>
  <c r="E425" i="508" s="1"/>
  <c r="E78" i="823"/>
  <c r="E207" i="823" s="1"/>
  <c r="E81" i="742"/>
  <c r="E80" i="742" s="1"/>
  <c r="E149" i="742" s="1"/>
  <c r="E283" i="202"/>
  <c r="E282" i="202" s="1"/>
  <c r="E425" i="202" s="1"/>
  <c r="E283" i="200"/>
  <c r="E282" i="200" s="1"/>
  <c r="E425" i="200" s="1"/>
  <c r="H283" i="508"/>
  <c r="H282" i="508" s="1"/>
  <c r="H425" i="508" s="1"/>
  <c r="H78" i="823"/>
  <c r="H207" i="823" s="1"/>
  <c r="H81" i="742"/>
  <c r="H80" i="742" s="1"/>
  <c r="H149" i="742" s="1"/>
  <c r="H283" i="202"/>
  <c r="H282" i="202" s="1"/>
  <c r="H425" i="202" s="1"/>
  <c r="H283" i="200"/>
  <c r="H282" i="200" s="1"/>
  <c r="H425" i="200" s="1"/>
  <c r="I304" i="508"/>
  <c r="I303" i="508" s="1"/>
  <c r="I99" i="823"/>
  <c r="I304" i="200"/>
  <c r="I303" i="200" s="1"/>
  <c r="I304" i="202"/>
  <c r="I303" i="202" s="1"/>
  <c r="I102" i="742"/>
  <c r="I101" i="742" s="1"/>
  <c r="F304" i="508"/>
  <c r="F303" i="508" s="1"/>
  <c r="F99" i="823"/>
  <c r="F304" i="200"/>
  <c r="F303" i="200" s="1"/>
  <c r="F304" i="202"/>
  <c r="F303" i="202" s="1"/>
  <c r="F102" i="742"/>
  <c r="F101" i="742" s="1"/>
  <c r="G304" i="508"/>
  <c r="G303" i="508" s="1"/>
  <c r="G99" i="823"/>
  <c r="G304" i="202"/>
  <c r="G303" i="202" s="1"/>
  <c r="G304" i="200"/>
  <c r="G303" i="200" s="1"/>
  <c r="G102" i="742"/>
  <c r="G101" i="742" s="1"/>
  <c r="E304" i="508"/>
  <c r="E303" i="508" s="1"/>
  <c r="E99" i="823"/>
  <c r="E304" i="202"/>
  <c r="E303" i="202" s="1"/>
  <c r="E304" i="200"/>
  <c r="E303" i="200" s="1"/>
  <c r="E102" i="742"/>
  <c r="E101" i="742" s="1"/>
  <c r="H304" i="508"/>
  <c r="H303" i="508" s="1"/>
  <c r="H304" i="200"/>
  <c r="H303" i="200" s="1"/>
  <c r="H304" i="202"/>
  <c r="H303" i="202" s="1"/>
  <c r="H99" i="823"/>
  <c r="H102" i="742"/>
  <c r="H101" i="742" s="1"/>
  <c r="D304" i="508"/>
  <c r="J100" i="823"/>
  <c r="D99" i="823"/>
  <c r="D304" i="202"/>
  <c r="D304" i="200"/>
  <c r="D102" i="742"/>
  <c r="I283" i="502"/>
  <c r="I282" i="502" s="1"/>
  <c r="I425" i="502" s="1"/>
  <c r="I81" i="203"/>
  <c r="I151" i="203" s="1"/>
  <c r="E303" i="502"/>
  <c r="F303" i="502"/>
  <c r="G303" i="502"/>
  <c r="H303" i="502"/>
  <c r="G283" i="502"/>
  <c r="G282" i="502" s="1"/>
  <c r="G425" i="502" s="1"/>
  <c r="G81" i="203"/>
  <c r="G151" i="203" s="1"/>
  <c r="H283" i="502"/>
  <c r="H282" i="502" s="1"/>
  <c r="H425" i="502" s="1"/>
  <c r="H81" i="203"/>
  <c r="H151" i="203" s="1"/>
  <c r="I303" i="502"/>
  <c r="E283" i="502"/>
  <c r="E282" i="502" s="1"/>
  <c r="E425" i="502" s="1"/>
  <c r="E81" i="203"/>
  <c r="E151" i="203" s="1"/>
  <c r="F283" i="502"/>
  <c r="F282" i="502" s="1"/>
  <c r="F425" i="502" s="1"/>
  <c r="F81" i="203"/>
  <c r="F151" i="203" s="1"/>
  <c r="E78" i="129"/>
  <c r="E81" i="206"/>
  <c r="E117" i="206" s="1"/>
  <c r="E92" i="506"/>
  <c r="E91" i="506" s="1"/>
  <c r="E125" i="506" s="1"/>
  <c r="E92" i="486"/>
  <c r="E91" i="486" s="1"/>
  <c r="E125" i="486" s="1"/>
  <c r="E81" i="163"/>
  <c r="E151" i="163" s="1"/>
  <c r="E82" i="640"/>
  <c r="E81" i="640" s="1"/>
  <c r="E117" i="640" s="1"/>
  <c r="E82" i="639"/>
  <c r="E81" i="639" s="1"/>
  <c r="E152" i="639" s="1"/>
  <c r="E81" i="211"/>
  <c r="E152" i="211" s="1"/>
  <c r="E83" i="473"/>
  <c r="E153" i="473" s="1"/>
  <c r="E81" i="158"/>
  <c r="E152" i="158" s="1"/>
  <c r="G78" i="129"/>
  <c r="G81" i="206"/>
  <c r="G117" i="206" s="1"/>
  <c r="G92" i="506"/>
  <c r="G91" i="506" s="1"/>
  <c r="G125" i="506" s="1"/>
  <c r="G92" i="486"/>
  <c r="G91" i="486" s="1"/>
  <c r="G125" i="486" s="1"/>
  <c r="G82" i="640"/>
  <c r="G81" i="640" s="1"/>
  <c r="G117" i="640" s="1"/>
  <c r="G82" i="639"/>
  <c r="G81" i="639" s="1"/>
  <c r="G152" i="639" s="1"/>
  <c r="G81" i="211"/>
  <c r="G152" i="211" s="1"/>
  <c r="G83" i="473"/>
  <c r="G153" i="473" s="1"/>
  <c r="G81" i="158"/>
  <c r="G152" i="158" s="1"/>
  <c r="G81" i="163"/>
  <c r="G151" i="163" s="1"/>
  <c r="F78" i="129"/>
  <c r="F81" i="206"/>
  <c r="F117" i="206" s="1"/>
  <c r="F92" i="506"/>
  <c r="F91" i="506" s="1"/>
  <c r="F125" i="506" s="1"/>
  <c r="F92" i="486"/>
  <c r="F91" i="486" s="1"/>
  <c r="F125" i="486" s="1"/>
  <c r="F82" i="640"/>
  <c r="F81" i="640" s="1"/>
  <c r="F117" i="640" s="1"/>
  <c r="F82" i="639"/>
  <c r="F81" i="639" s="1"/>
  <c r="F152" i="639" s="1"/>
  <c r="F81" i="211"/>
  <c r="F152" i="211" s="1"/>
  <c r="F83" i="473"/>
  <c r="F153" i="473" s="1"/>
  <c r="F81" i="158"/>
  <c r="F152" i="158" s="1"/>
  <c r="F81" i="163"/>
  <c r="F151" i="163" s="1"/>
  <c r="I78" i="129"/>
  <c r="I92" i="486"/>
  <c r="I91" i="486" s="1"/>
  <c r="I125" i="486" s="1"/>
  <c r="I82" i="640"/>
  <c r="I81" i="640" s="1"/>
  <c r="I117" i="640" s="1"/>
  <c r="I82" i="639"/>
  <c r="I81" i="639" s="1"/>
  <c r="I152" i="639" s="1"/>
  <c r="I81" i="206"/>
  <c r="I117" i="206" s="1"/>
  <c r="I81" i="211"/>
  <c r="I152" i="211" s="1"/>
  <c r="I83" i="473"/>
  <c r="I153" i="473" s="1"/>
  <c r="I81" i="158"/>
  <c r="I152" i="158" s="1"/>
  <c r="I92" i="506"/>
  <c r="I91" i="506" s="1"/>
  <c r="I125" i="506" s="1"/>
  <c r="I81" i="163"/>
  <c r="I151" i="163" s="1"/>
  <c r="H78" i="129"/>
  <c r="H92" i="506"/>
  <c r="H91" i="506" s="1"/>
  <c r="H125" i="506" s="1"/>
  <c r="H92" i="486"/>
  <c r="H91" i="486" s="1"/>
  <c r="H125" i="486" s="1"/>
  <c r="H82" i="640"/>
  <c r="H81" i="640" s="1"/>
  <c r="H117" i="640" s="1"/>
  <c r="H82" i="639"/>
  <c r="H81" i="639" s="1"/>
  <c r="H152" i="639" s="1"/>
  <c r="H81" i="206"/>
  <c r="H117" i="206" s="1"/>
  <c r="H81" i="163"/>
  <c r="H151" i="163" s="1"/>
  <c r="H81" i="211"/>
  <c r="H152" i="211" s="1"/>
  <c r="H83" i="473"/>
  <c r="H153" i="473" s="1"/>
  <c r="H81" i="158"/>
  <c r="H152" i="158" s="1"/>
  <c r="F99" i="129"/>
  <c r="H99" i="129"/>
  <c r="E99" i="129"/>
  <c r="I99" i="129"/>
  <c r="G99" i="129"/>
  <c r="F102" i="203"/>
  <c r="H102" i="203"/>
  <c r="G102" i="203"/>
  <c r="I102" i="203"/>
  <c r="H113" i="506"/>
  <c r="H112" i="506" s="1"/>
  <c r="E113" i="506"/>
  <c r="E112" i="506" s="1"/>
  <c r="F113" i="506"/>
  <c r="F112" i="506" s="1"/>
  <c r="G113" i="506"/>
  <c r="G112" i="506" s="1"/>
  <c r="I113" i="506"/>
  <c r="I112" i="506" s="1"/>
  <c r="I102" i="640"/>
  <c r="I102" i="639"/>
  <c r="H102" i="639"/>
  <c r="H102" i="640"/>
  <c r="G102" i="640"/>
  <c r="G102" i="639"/>
  <c r="E102" i="639"/>
  <c r="E102" i="640"/>
  <c r="F102" i="639"/>
  <c r="F102" i="640"/>
  <c r="F102" i="211"/>
  <c r="F102" i="158"/>
  <c r="F102" i="206"/>
  <c r="F113" i="486"/>
  <c r="F112" i="486" s="1"/>
  <c r="G113" i="486"/>
  <c r="G112" i="486" s="1"/>
  <c r="G102" i="211"/>
  <c r="G102" i="206"/>
  <c r="G102" i="158"/>
  <c r="H102" i="206"/>
  <c r="H102" i="158"/>
  <c r="H102" i="211"/>
  <c r="H113" i="486"/>
  <c r="H112" i="486" s="1"/>
  <c r="I113" i="486"/>
  <c r="I112" i="486" s="1"/>
  <c r="I102" i="211"/>
  <c r="I102" i="158"/>
  <c r="I102" i="206"/>
  <c r="E102" i="206"/>
  <c r="E102" i="211"/>
  <c r="E113" i="486"/>
  <c r="E112" i="486" s="1"/>
  <c r="E102" i="158"/>
  <c r="D207" i="823" l="1"/>
  <c r="J78" i="823"/>
  <c r="J207" i="823" s="1"/>
  <c r="J99" i="823"/>
  <c r="E102" i="203"/>
  <c r="G207" i="129"/>
  <c r="E207" i="129"/>
  <c r="F207" i="129"/>
  <c r="H207" i="129"/>
  <c r="I207" i="129"/>
  <c r="N90" i="62" l="1"/>
  <c r="N73" i="62"/>
  <c r="N89" i="62"/>
  <c r="N74" i="62"/>
  <c r="N66" i="62"/>
  <c r="N97" i="62"/>
  <c r="N88" i="62"/>
  <c r="N98" i="62"/>
  <c r="N76" i="62"/>
  <c r="N91" i="62"/>
  <c r="N68" i="62"/>
  <c r="N67" i="62"/>
  <c r="I73" i="823" l="1"/>
  <c r="F73" i="823"/>
  <c r="H73" i="823"/>
  <c r="E73" i="823"/>
  <c r="D73" i="823"/>
  <c r="G73" i="823"/>
  <c r="D90" i="823"/>
  <c r="I90" i="823"/>
  <c r="H90" i="823"/>
  <c r="G90" i="823"/>
  <c r="F90" i="823"/>
  <c r="E90" i="823"/>
  <c r="I67" i="823"/>
  <c r="G67" i="823"/>
  <c r="D67" i="823"/>
  <c r="E67" i="823"/>
  <c r="F67" i="823"/>
  <c r="H67" i="823"/>
  <c r="F68" i="823"/>
  <c r="E68" i="823"/>
  <c r="G68" i="823"/>
  <c r="D68" i="823"/>
  <c r="I68" i="823"/>
  <c r="H68" i="823"/>
  <c r="I91" i="823"/>
  <c r="F91" i="823"/>
  <c r="H91" i="823"/>
  <c r="G91" i="823"/>
  <c r="E91" i="823"/>
  <c r="D91" i="823"/>
  <c r="I76" i="823"/>
  <c r="G76" i="823"/>
  <c r="D76" i="823"/>
  <c r="E76" i="823"/>
  <c r="F76" i="823"/>
  <c r="H76" i="823"/>
  <c r="G98" i="823"/>
  <c r="E98" i="823"/>
  <c r="I98" i="823"/>
  <c r="F98" i="823"/>
  <c r="D98" i="823"/>
  <c r="H98" i="823"/>
  <c r="H88" i="823"/>
  <c r="I88" i="823"/>
  <c r="D88" i="823"/>
  <c r="E88" i="823"/>
  <c r="G88" i="823"/>
  <c r="F88" i="823"/>
  <c r="H97" i="823"/>
  <c r="G97" i="823"/>
  <c r="I97" i="823"/>
  <c r="F97" i="823"/>
  <c r="D97" i="823"/>
  <c r="E97" i="823"/>
  <c r="G66" i="823"/>
  <c r="I66" i="823"/>
  <c r="H66" i="823"/>
  <c r="F66" i="823"/>
  <c r="D66" i="823"/>
  <c r="E66" i="823"/>
  <c r="E74" i="823"/>
  <c r="H74" i="823"/>
  <c r="G74" i="823"/>
  <c r="F74" i="823"/>
  <c r="D74" i="823"/>
  <c r="I74" i="823"/>
  <c r="G89" i="823"/>
  <c r="E89" i="823"/>
  <c r="I89" i="823"/>
  <c r="H89" i="823"/>
  <c r="F89" i="823"/>
  <c r="D89" i="823"/>
  <c r="N92" i="62"/>
  <c r="N86" i="62"/>
  <c r="N71" i="62"/>
  <c r="N77" i="62"/>
  <c r="N87" i="62"/>
  <c r="N93" i="62"/>
  <c r="N96" i="62"/>
  <c r="N75" i="62"/>
  <c r="N72" i="62"/>
  <c r="N70" i="62"/>
  <c r="N69" i="62"/>
  <c r="G280" i="508" l="1"/>
  <c r="G78" i="742"/>
  <c r="G280" i="202"/>
  <c r="G280" i="200"/>
  <c r="E93" i="823"/>
  <c r="H93" i="823"/>
  <c r="G93" i="823"/>
  <c r="F93" i="823"/>
  <c r="D93" i="823"/>
  <c r="I93" i="823"/>
  <c r="E292" i="508"/>
  <c r="E292" i="200"/>
  <c r="E292" i="202"/>
  <c r="E90" i="742"/>
  <c r="D295" i="508"/>
  <c r="J91" i="823"/>
  <c r="D295" i="202"/>
  <c r="D295" i="200"/>
  <c r="D93" i="742"/>
  <c r="G271" i="508"/>
  <c r="G69" i="742"/>
  <c r="G271" i="202"/>
  <c r="G271" i="200"/>
  <c r="F96" i="823"/>
  <c r="E96" i="823"/>
  <c r="I96" i="823"/>
  <c r="H96" i="823"/>
  <c r="G96" i="823"/>
  <c r="D96" i="823"/>
  <c r="I280" i="508"/>
  <c r="I78" i="742"/>
  <c r="I280" i="202"/>
  <c r="I280" i="200"/>
  <c r="F87" i="823"/>
  <c r="E87" i="823"/>
  <c r="I87" i="823"/>
  <c r="D87" i="823"/>
  <c r="H87" i="823"/>
  <c r="G87" i="823"/>
  <c r="E295" i="508"/>
  <c r="E295" i="202"/>
  <c r="E295" i="200"/>
  <c r="E93" i="742"/>
  <c r="F77" i="823"/>
  <c r="E77" i="823"/>
  <c r="I77" i="823"/>
  <c r="H77" i="823"/>
  <c r="G77" i="823"/>
  <c r="D77" i="823"/>
  <c r="E270" i="508"/>
  <c r="E68" i="742"/>
  <c r="E270" i="202"/>
  <c r="E270" i="200"/>
  <c r="I292" i="508"/>
  <c r="I292" i="202"/>
  <c r="I292" i="200"/>
  <c r="I90" i="742"/>
  <c r="E294" i="508"/>
  <c r="E294" i="202"/>
  <c r="E294" i="200"/>
  <c r="E92" i="742"/>
  <c r="D270" i="508"/>
  <c r="J66" i="823"/>
  <c r="D68" i="742"/>
  <c r="D270" i="202"/>
  <c r="D270" i="200"/>
  <c r="H292" i="508"/>
  <c r="H292" i="200"/>
  <c r="H292" i="202"/>
  <c r="H90" i="742"/>
  <c r="F294" i="508"/>
  <c r="F294" i="202"/>
  <c r="F294" i="200"/>
  <c r="F92" i="742"/>
  <c r="F295" i="508"/>
  <c r="F295" i="202"/>
  <c r="F295" i="200"/>
  <c r="F93" i="742"/>
  <c r="H270" i="508"/>
  <c r="H68" i="742"/>
  <c r="H270" i="202"/>
  <c r="H270" i="200"/>
  <c r="D302" i="508"/>
  <c r="D302" i="202"/>
  <c r="J98" i="823"/>
  <c r="D302" i="200"/>
  <c r="D100" i="742"/>
  <c r="I295" i="508"/>
  <c r="I295" i="202"/>
  <c r="I295" i="200"/>
  <c r="I93" i="742"/>
  <c r="H294" i="508"/>
  <c r="H294" i="202"/>
  <c r="H294" i="200"/>
  <c r="H92" i="742"/>
  <c r="F75" i="823"/>
  <c r="I75" i="823"/>
  <c r="H75" i="823"/>
  <c r="D75" i="823"/>
  <c r="G75" i="823"/>
  <c r="E75" i="823"/>
  <c r="F292" i="508"/>
  <c r="F292" i="200"/>
  <c r="F292" i="202"/>
  <c r="F90" i="742"/>
  <c r="E271" i="508"/>
  <c r="E69" i="742"/>
  <c r="E271" i="202"/>
  <c r="E271" i="200"/>
  <c r="D271" i="508"/>
  <c r="J67" i="823"/>
  <c r="D69" i="742"/>
  <c r="D271" i="202"/>
  <c r="D271" i="200"/>
  <c r="H278" i="508"/>
  <c r="H76" i="742"/>
  <c r="H278" i="202"/>
  <c r="H278" i="200"/>
  <c r="E278" i="508"/>
  <c r="E76" i="742"/>
  <c r="E278" i="202"/>
  <c r="E278" i="200"/>
  <c r="D292" i="508"/>
  <c r="D292" i="202"/>
  <c r="D292" i="200"/>
  <c r="J88" i="823"/>
  <c r="D90" i="742"/>
  <c r="I271" i="508"/>
  <c r="I69" i="742"/>
  <c r="I271" i="202"/>
  <c r="I271" i="200"/>
  <c r="G295" i="508"/>
  <c r="G295" i="200"/>
  <c r="G295" i="202"/>
  <c r="G93" i="742"/>
  <c r="H295" i="508"/>
  <c r="H295" i="200"/>
  <c r="H295" i="202"/>
  <c r="H93" i="742"/>
  <c r="F270" i="508"/>
  <c r="F68" i="742"/>
  <c r="F270" i="202"/>
  <c r="F270" i="200"/>
  <c r="H302" i="508"/>
  <c r="H302" i="200"/>
  <c r="H302" i="202"/>
  <c r="H100" i="742"/>
  <c r="G294" i="508"/>
  <c r="G294" i="200"/>
  <c r="G294" i="202"/>
  <c r="G92" i="742"/>
  <c r="D293" i="508"/>
  <c r="J89" i="823"/>
  <c r="D293" i="202"/>
  <c r="D293" i="200"/>
  <c r="D91" i="742"/>
  <c r="I270" i="508"/>
  <c r="I68" i="742"/>
  <c r="I270" i="202"/>
  <c r="I270" i="200"/>
  <c r="F302" i="508"/>
  <c r="F302" i="202"/>
  <c r="F302" i="200"/>
  <c r="F100" i="742"/>
  <c r="H272" i="508"/>
  <c r="H70" i="742"/>
  <c r="H272" i="202"/>
  <c r="H272" i="200"/>
  <c r="I294" i="508"/>
  <c r="I294" i="202"/>
  <c r="I294" i="200"/>
  <c r="I92" i="742"/>
  <c r="F293" i="508"/>
  <c r="F293" i="202"/>
  <c r="F293" i="200"/>
  <c r="F91" i="742"/>
  <c r="G270" i="508"/>
  <c r="G68" i="742"/>
  <c r="G270" i="202"/>
  <c r="G270" i="200"/>
  <c r="I302" i="508"/>
  <c r="I302" i="200"/>
  <c r="I302" i="202"/>
  <c r="I100" i="742"/>
  <c r="I272" i="508"/>
  <c r="I70" i="742"/>
  <c r="I272" i="202"/>
  <c r="I272" i="200"/>
  <c r="D294" i="508"/>
  <c r="J90" i="823"/>
  <c r="D294" i="200"/>
  <c r="D294" i="202"/>
  <c r="D92" i="742"/>
  <c r="H293" i="508"/>
  <c r="H293" i="200"/>
  <c r="H293" i="202"/>
  <c r="H91" i="742"/>
  <c r="E301" i="508"/>
  <c r="E301" i="202"/>
  <c r="E301" i="200"/>
  <c r="E99" i="742"/>
  <c r="E302" i="508"/>
  <c r="E302" i="202"/>
  <c r="E302" i="200"/>
  <c r="E100" i="742"/>
  <c r="D272" i="508"/>
  <c r="J68" i="823"/>
  <c r="D70" i="742"/>
  <c r="D272" i="202"/>
  <c r="D272" i="200"/>
  <c r="G277" i="508"/>
  <c r="G75" i="742"/>
  <c r="G277" i="202"/>
  <c r="G277" i="200"/>
  <c r="G278" i="508"/>
  <c r="G76" i="742"/>
  <c r="G278" i="202"/>
  <c r="G278" i="200"/>
  <c r="I293" i="508"/>
  <c r="I293" i="202"/>
  <c r="I293" i="200"/>
  <c r="I91" i="742"/>
  <c r="G302" i="508"/>
  <c r="G302" i="202"/>
  <c r="G302" i="200"/>
  <c r="G100" i="742"/>
  <c r="G272" i="508"/>
  <c r="G70" i="742"/>
  <c r="G272" i="202"/>
  <c r="G272" i="200"/>
  <c r="E272" i="508"/>
  <c r="E70" i="742"/>
  <c r="E272" i="202"/>
  <c r="E272" i="200"/>
  <c r="H69" i="823"/>
  <c r="F69" i="823"/>
  <c r="G69" i="823"/>
  <c r="E69" i="823"/>
  <c r="D69" i="823"/>
  <c r="I69" i="823"/>
  <c r="G293" i="508"/>
  <c r="G293" i="202"/>
  <c r="G293" i="200"/>
  <c r="G91" i="742"/>
  <c r="I301" i="508"/>
  <c r="I301" i="202"/>
  <c r="I301" i="200"/>
  <c r="I99" i="742"/>
  <c r="F280" i="508"/>
  <c r="F78" i="742"/>
  <c r="F280" i="202"/>
  <c r="F280" i="200"/>
  <c r="F272" i="508"/>
  <c r="F70" i="742"/>
  <c r="F272" i="202"/>
  <c r="F272" i="200"/>
  <c r="H277" i="508"/>
  <c r="H75" i="742"/>
  <c r="H277" i="202"/>
  <c r="H277" i="200"/>
  <c r="F278" i="508"/>
  <c r="F76" i="742"/>
  <c r="F278" i="202"/>
  <c r="F278" i="200"/>
  <c r="G292" i="508"/>
  <c r="G292" i="202"/>
  <c r="G292" i="200"/>
  <c r="G90" i="742"/>
  <c r="D301" i="508"/>
  <c r="J97" i="823"/>
  <c r="D301" i="202"/>
  <c r="D301" i="200"/>
  <c r="D99" i="742"/>
  <c r="D277" i="508"/>
  <c r="J73" i="823"/>
  <c r="D75" i="742"/>
  <c r="D277" i="202"/>
  <c r="D277" i="200"/>
  <c r="E293" i="508"/>
  <c r="E293" i="202"/>
  <c r="E293" i="200"/>
  <c r="E91" i="742"/>
  <c r="F301" i="508"/>
  <c r="F301" i="202"/>
  <c r="F301" i="200"/>
  <c r="F99" i="742"/>
  <c r="H280" i="508"/>
  <c r="H78" i="742"/>
  <c r="H280" i="202"/>
  <c r="H280" i="200"/>
  <c r="E277" i="508"/>
  <c r="E75" i="742"/>
  <c r="E277" i="202"/>
  <c r="E277" i="200"/>
  <c r="G70" i="823"/>
  <c r="E70" i="823"/>
  <c r="I70" i="823"/>
  <c r="F70" i="823"/>
  <c r="H70" i="823"/>
  <c r="D70" i="823"/>
  <c r="I278" i="508"/>
  <c r="I76" i="742"/>
  <c r="I278" i="202"/>
  <c r="I278" i="200"/>
  <c r="G301" i="508"/>
  <c r="G301" i="202"/>
  <c r="G301" i="200"/>
  <c r="G99" i="742"/>
  <c r="E280" i="508"/>
  <c r="E78" i="742"/>
  <c r="E280" i="202"/>
  <c r="E280" i="200"/>
  <c r="H271" i="508"/>
  <c r="H69" i="742"/>
  <c r="H271" i="202"/>
  <c r="H271" i="200"/>
  <c r="F277" i="508"/>
  <c r="F75" i="742"/>
  <c r="F277" i="202"/>
  <c r="F277" i="200"/>
  <c r="D72" i="823"/>
  <c r="F72" i="823"/>
  <c r="E72" i="823"/>
  <c r="I72" i="823"/>
  <c r="H72" i="823"/>
  <c r="G72" i="823"/>
  <c r="D278" i="508"/>
  <c r="J74" i="823"/>
  <c r="D76" i="742"/>
  <c r="D278" i="202"/>
  <c r="D278" i="200"/>
  <c r="H301" i="508"/>
  <c r="H301" i="202"/>
  <c r="H301" i="200"/>
  <c r="H99" i="742"/>
  <c r="D280" i="508"/>
  <c r="J76" i="823"/>
  <c r="D78" i="742"/>
  <c r="D280" i="202"/>
  <c r="D280" i="200"/>
  <c r="F271" i="508"/>
  <c r="F69" i="742"/>
  <c r="F271" i="202"/>
  <c r="F271" i="200"/>
  <c r="I277" i="508"/>
  <c r="I75" i="742"/>
  <c r="I277" i="202"/>
  <c r="I277" i="200"/>
  <c r="I280" i="502"/>
  <c r="H277" i="502"/>
  <c r="H271" i="502"/>
  <c r="H280" i="502"/>
  <c r="E271" i="502"/>
  <c r="I271" i="502"/>
  <c r="I270" i="502"/>
  <c r="G271" i="502"/>
  <c r="E272" i="502"/>
  <c r="G272" i="502"/>
  <c r="H272" i="502"/>
  <c r="H278" i="502"/>
  <c r="E270" i="502"/>
  <c r="I278" i="502"/>
  <c r="G270" i="502"/>
  <c r="E277" i="502"/>
  <c r="G280" i="502"/>
  <c r="E278" i="502"/>
  <c r="F278" i="502"/>
  <c r="I272" i="502"/>
  <c r="E280" i="502"/>
  <c r="F270" i="502"/>
  <c r="G277" i="502"/>
  <c r="I277" i="502"/>
  <c r="F271" i="502"/>
  <c r="F272" i="502"/>
  <c r="G278" i="502"/>
  <c r="F280" i="502"/>
  <c r="H270" i="502"/>
  <c r="F277" i="502"/>
  <c r="I86" i="486"/>
  <c r="I76" i="640"/>
  <c r="I86" i="506"/>
  <c r="I76" i="639"/>
  <c r="E70" i="640"/>
  <c r="E80" i="506"/>
  <c r="E80" i="486"/>
  <c r="E70" i="639"/>
  <c r="F70" i="640"/>
  <c r="F80" i="506"/>
  <c r="F80" i="486"/>
  <c r="F70" i="639"/>
  <c r="E81" i="506"/>
  <c r="E81" i="486"/>
  <c r="E71" i="640"/>
  <c r="E71" i="639"/>
  <c r="G80" i="506"/>
  <c r="G70" i="640"/>
  <c r="G80" i="486"/>
  <c r="G70" i="639"/>
  <c r="H80" i="506"/>
  <c r="H80" i="486"/>
  <c r="H70" i="640"/>
  <c r="H70" i="639"/>
  <c r="I79" i="486"/>
  <c r="I69" i="640"/>
  <c r="I79" i="506"/>
  <c r="I69" i="639"/>
  <c r="E87" i="486"/>
  <c r="E77" i="640"/>
  <c r="E87" i="506"/>
  <c r="E77" i="639"/>
  <c r="F87" i="486"/>
  <c r="F77" i="640"/>
  <c r="F87" i="506"/>
  <c r="F77" i="639"/>
  <c r="H81" i="506"/>
  <c r="H81" i="486"/>
  <c r="H71" i="640"/>
  <c r="H71" i="639"/>
  <c r="I80" i="506"/>
  <c r="I80" i="486"/>
  <c r="I70" i="640"/>
  <c r="I70" i="639"/>
  <c r="H89" i="486"/>
  <c r="H89" i="506"/>
  <c r="H79" i="640"/>
  <c r="H79" i="639"/>
  <c r="I89" i="486"/>
  <c r="I89" i="506"/>
  <c r="I79" i="640"/>
  <c r="I79" i="639"/>
  <c r="G87" i="486"/>
  <c r="G77" i="640"/>
  <c r="G87" i="506"/>
  <c r="G77" i="639"/>
  <c r="I81" i="486"/>
  <c r="I71" i="640"/>
  <c r="I71" i="639"/>
  <c r="I81" i="506"/>
  <c r="H87" i="486"/>
  <c r="H77" i="640"/>
  <c r="H87" i="506"/>
  <c r="H77" i="639"/>
  <c r="E79" i="506"/>
  <c r="E79" i="486"/>
  <c r="E69" i="640"/>
  <c r="E69" i="639"/>
  <c r="H86" i="486"/>
  <c r="H76" i="640"/>
  <c r="H76" i="639"/>
  <c r="H86" i="506"/>
  <c r="G81" i="506"/>
  <c r="G81" i="486"/>
  <c r="G71" i="640"/>
  <c r="G71" i="639"/>
  <c r="I87" i="486"/>
  <c r="I77" i="640"/>
  <c r="I87" i="506"/>
  <c r="I77" i="639"/>
  <c r="G79" i="506"/>
  <c r="G79" i="486"/>
  <c r="G69" i="640"/>
  <c r="G69" i="639"/>
  <c r="E76" i="640"/>
  <c r="E86" i="506"/>
  <c r="E86" i="486"/>
  <c r="E76" i="639"/>
  <c r="G89" i="486"/>
  <c r="G89" i="506"/>
  <c r="G79" i="640"/>
  <c r="G79" i="639"/>
  <c r="E89" i="486"/>
  <c r="E89" i="506"/>
  <c r="E79" i="639"/>
  <c r="E79" i="640"/>
  <c r="F79" i="506"/>
  <c r="F79" i="486"/>
  <c r="F69" i="640"/>
  <c r="F69" i="639"/>
  <c r="G86" i="506"/>
  <c r="G86" i="486"/>
  <c r="G76" i="640"/>
  <c r="G76" i="639"/>
  <c r="F81" i="506"/>
  <c r="F81" i="486"/>
  <c r="F71" i="640"/>
  <c r="F71" i="639"/>
  <c r="F89" i="486"/>
  <c r="F89" i="506"/>
  <c r="F79" i="640"/>
  <c r="F79" i="639"/>
  <c r="H79" i="506"/>
  <c r="H79" i="486"/>
  <c r="H69" i="640"/>
  <c r="H69" i="639"/>
  <c r="F86" i="506"/>
  <c r="F86" i="486"/>
  <c r="F76" i="639"/>
  <c r="F76" i="640"/>
  <c r="F111" i="506"/>
  <c r="F104" i="506"/>
  <c r="F103" i="506"/>
  <c r="H111" i="506"/>
  <c r="H104" i="506"/>
  <c r="G103" i="506"/>
  <c r="G111" i="506"/>
  <c r="I111" i="506"/>
  <c r="I104" i="506"/>
  <c r="H103" i="506"/>
  <c r="I103" i="506"/>
  <c r="E104" i="506"/>
  <c r="G104" i="506"/>
  <c r="E102" i="506"/>
  <c r="G102" i="506"/>
  <c r="E110" i="506"/>
  <c r="E101" i="506"/>
  <c r="E103" i="506"/>
  <c r="F102" i="506"/>
  <c r="F110" i="506"/>
  <c r="F101" i="506"/>
  <c r="H102" i="506"/>
  <c r="G110" i="506"/>
  <c r="G101" i="506"/>
  <c r="I102" i="506"/>
  <c r="H110" i="506"/>
  <c r="H101" i="506"/>
  <c r="E111" i="506"/>
  <c r="I110" i="506"/>
  <c r="I101" i="506"/>
  <c r="E102" i="486"/>
  <c r="F102" i="486"/>
  <c r="I103" i="486"/>
  <c r="G102" i="486"/>
  <c r="I110" i="486"/>
  <c r="H102" i="486"/>
  <c r="E103" i="486"/>
  <c r="I111" i="486"/>
  <c r="I102" i="486"/>
  <c r="F103" i="486"/>
  <c r="E110" i="486"/>
  <c r="F104" i="486"/>
  <c r="I101" i="486"/>
  <c r="G103" i="486"/>
  <c r="F110" i="486"/>
  <c r="G104" i="486"/>
  <c r="H103" i="486"/>
  <c r="G110" i="486"/>
  <c r="F111" i="486"/>
  <c r="H104" i="486"/>
  <c r="E101" i="486"/>
  <c r="H110" i="486"/>
  <c r="E111" i="486"/>
  <c r="E104" i="486"/>
  <c r="F101" i="486"/>
  <c r="G111" i="486"/>
  <c r="I104" i="486"/>
  <c r="G101" i="486"/>
  <c r="H111" i="486"/>
  <c r="H101" i="486"/>
  <c r="O20" i="62"/>
  <c r="O107" i="62"/>
  <c r="N65" i="62"/>
  <c r="F65" i="823" l="1"/>
  <c r="F205" i="823" s="1"/>
  <c r="H65" i="823"/>
  <c r="H205" i="823" s="1"/>
  <c r="G65" i="823"/>
  <c r="G205" i="823" s="1"/>
  <c r="D281" i="508"/>
  <c r="J77" i="823"/>
  <c r="D79" i="742"/>
  <c r="D281" i="202"/>
  <c r="D281" i="200"/>
  <c r="D291" i="508"/>
  <c r="D86" i="823"/>
  <c r="J87" i="823"/>
  <c r="D291" i="202"/>
  <c r="D291" i="200"/>
  <c r="D89" i="742"/>
  <c r="G281" i="508"/>
  <c r="G79" i="742"/>
  <c r="G281" i="202"/>
  <c r="G281" i="200"/>
  <c r="I291" i="508"/>
  <c r="I290" i="508" s="1"/>
  <c r="I86" i="823"/>
  <c r="I291" i="202"/>
  <c r="I290" i="202" s="1"/>
  <c r="I291" i="200"/>
  <c r="I290" i="200" s="1"/>
  <c r="I89" i="742"/>
  <c r="I88" i="742" s="1"/>
  <c r="H281" i="508"/>
  <c r="H79" i="742"/>
  <c r="H281" i="202"/>
  <c r="H281" i="200"/>
  <c r="E291" i="508"/>
  <c r="E290" i="508" s="1"/>
  <c r="E86" i="823"/>
  <c r="E291" i="202"/>
  <c r="E290" i="202" s="1"/>
  <c r="E291" i="200"/>
  <c r="E290" i="200" s="1"/>
  <c r="E89" i="742"/>
  <c r="E88" i="742" s="1"/>
  <c r="I281" i="508"/>
  <c r="I79" i="742"/>
  <c r="I281" i="202"/>
  <c r="I281" i="200"/>
  <c r="F291" i="508"/>
  <c r="F290" i="508" s="1"/>
  <c r="F86" i="823"/>
  <c r="F291" i="202"/>
  <c r="F290" i="202" s="1"/>
  <c r="F291" i="200"/>
  <c r="F290" i="200" s="1"/>
  <c r="F89" i="742"/>
  <c r="F88" i="742" s="1"/>
  <c r="E281" i="508"/>
  <c r="E79" i="742"/>
  <c r="E281" i="202"/>
  <c r="E281" i="200"/>
  <c r="I273" i="508"/>
  <c r="I71" i="742"/>
  <c r="I273" i="202"/>
  <c r="I273" i="200"/>
  <c r="F281" i="508"/>
  <c r="F79" i="742"/>
  <c r="F281" i="202"/>
  <c r="F281" i="200"/>
  <c r="I297" i="508"/>
  <c r="I92" i="823"/>
  <c r="I297" i="202"/>
  <c r="I297" i="200"/>
  <c r="I95" i="742"/>
  <c r="D273" i="508"/>
  <c r="J69" i="823"/>
  <c r="D71" i="742"/>
  <c r="D273" i="202"/>
  <c r="D273" i="200"/>
  <c r="E279" i="508"/>
  <c r="E77" i="742"/>
  <c r="E279" i="202"/>
  <c r="E279" i="200"/>
  <c r="D65" i="823"/>
  <c r="D297" i="508"/>
  <c r="J93" i="823"/>
  <c r="D92" i="823"/>
  <c r="D297" i="202"/>
  <c r="D297" i="200"/>
  <c r="D95" i="742"/>
  <c r="E273" i="508"/>
  <c r="E71" i="742"/>
  <c r="E273" i="202"/>
  <c r="E273" i="200"/>
  <c r="G279" i="508"/>
  <c r="G77" i="742"/>
  <c r="G279" i="202"/>
  <c r="G279" i="200"/>
  <c r="F297" i="508"/>
  <c r="F92" i="823"/>
  <c r="F297" i="202"/>
  <c r="F297" i="200"/>
  <c r="F95" i="742"/>
  <c r="G273" i="508"/>
  <c r="G71" i="742"/>
  <c r="G273" i="202"/>
  <c r="G273" i="200"/>
  <c r="D279" i="508"/>
  <c r="J75" i="823"/>
  <c r="D77" i="742"/>
  <c r="D279" i="202"/>
  <c r="D279" i="200"/>
  <c r="G297" i="508"/>
  <c r="G92" i="823"/>
  <c r="G297" i="202"/>
  <c r="G297" i="200"/>
  <c r="G95" i="742"/>
  <c r="H276" i="508"/>
  <c r="H71" i="823"/>
  <c r="H74" i="742"/>
  <c r="H276" i="202"/>
  <c r="H276" i="200"/>
  <c r="D300" i="508"/>
  <c r="J96" i="823"/>
  <c r="D300" i="202"/>
  <c r="D300" i="200"/>
  <c r="D98" i="742"/>
  <c r="H297" i="508"/>
  <c r="H92" i="823"/>
  <c r="H297" i="202"/>
  <c r="H297" i="200"/>
  <c r="H95" i="742"/>
  <c r="G276" i="508"/>
  <c r="G71" i="823"/>
  <c r="G206" i="823" s="1"/>
  <c r="G74" i="742"/>
  <c r="G276" i="202"/>
  <c r="G276" i="200"/>
  <c r="F273" i="508"/>
  <c r="F71" i="742"/>
  <c r="F273" i="202"/>
  <c r="F273" i="200"/>
  <c r="I65" i="823"/>
  <c r="H279" i="508"/>
  <c r="H77" i="742"/>
  <c r="H279" i="202"/>
  <c r="H279" i="200"/>
  <c r="I276" i="508"/>
  <c r="I71" i="823"/>
  <c r="I206" i="823" s="1"/>
  <c r="I74" i="742"/>
  <c r="I276" i="202"/>
  <c r="I276" i="200"/>
  <c r="D274" i="508"/>
  <c r="J70" i="823"/>
  <c r="D72" i="742"/>
  <c r="D274" i="202"/>
  <c r="D274" i="200"/>
  <c r="H273" i="508"/>
  <c r="H71" i="742"/>
  <c r="H273" i="202"/>
  <c r="H273" i="200"/>
  <c r="I279" i="508"/>
  <c r="I77" i="742"/>
  <c r="I279" i="202"/>
  <c r="I279" i="200"/>
  <c r="G300" i="508"/>
  <c r="G300" i="200"/>
  <c r="G300" i="202"/>
  <c r="G98" i="742"/>
  <c r="E297" i="508"/>
  <c r="E92" i="823"/>
  <c r="E297" i="200"/>
  <c r="E297" i="202"/>
  <c r="E95" i="742"/>
  <c r="E276" i="508"/>
  <c r="E71" i="823"/>
  <c r="E206" i="823" s="1"/>
  <c r="E74" i="742"/>
  <c r="E276" i="202"/>
  <c r="E276" i="200"/>
  <c r="H274" i="508"/>
  <c r="H72" i="742"/>
  <c r="H274" i="202"/>
  <c r="H274" i="200"/>
  <c r="F279" i="508"/>
  <c r="F77" i="742"/>
  <c r="F279" i="202"/>
  <c r="F279" i="200"/>
  <c r="H300" i="508"/>
  <c r="H300" i="202"/>
  <c r="H300" i="200"/>
  <c r="H98" i="742"/>
  <c r="F276" i="508"/>
  <c r="F71" i="823"/>
  <c r="F206" i="823" s="1"/>
  <c r="F74" i="742"/>
  <c r="F276" i="202"/>
  <c r="F276" i="200"/>
  <c r="F274" i="508"/>
  <c r="F72" i="742"/>
  <c r="F274" i="202"/>
  <c r="F274" i="200"/>
  <c r="I300" i="508"/>
  <c r="I300" i="202"/>
  <c r="I300" i="200"/>
  <c r="I98" i="742"/>
  <c r="D276" i="508"/>
  <c r="D71" i="823"/>
  <c r="D206" i="823" s="1"/>
  <c r="J72" i="823"/>
  <c r="D74" i="742"/>
  <c r="D276" i="202"/>
  <c r="D276" i="200"/>
  <c r="I274" i="508"/>
  <c r="I72" i="742"/>
  <c r="I274" i="202"/>
  <c r="I274" i="200"/>
  <c r="E65" i="823"/>
  <c r="E205" i="823" s="1"/>
  <c r="E300" i="508"/>
  <c r="E300" i="202"/>
  <c r="E300" i="200"/>
  <c r="E98" i="742"/>
  <c r="E274" i="508"/>
  <c r="E72" i="742"/>
  <c r="E274" i="202"/>
  <c r="E274" i="200"/>
  <c r="G291" i="508"/>
  <c r="G290" i="508" s="1"/>
  <c r="G86" i="823"/>
  <c r="G291" i="202"/>
  <c r="G290" i="202" s="1"/>
  <c r="G291" i="200"/>
  <c r="G290" i="200" s="1"/>
  <c r="G89" i="742"/>
  <c r="G88" i="742" s="1"/>
  <c r="F300" i="508"/>
  <c r="F300" i="202"/>
  <c r="F300" i="200"/>
  <c r="F98" i="742"/>
  <c r="G274" i="508"/>
  <c r="G72" i="742"/>
  <c r="G274" i="202"/>
  <c r="G274" i="200"/>
  <c r="H291" i="508"/>
  <c r="H290" i="508" s="1"/>
  <c r="H291" i="200"/>
  <c r="H290" i="200" s="1"/>
  <c r="H86" i="823"/>
  <c r="H291" i="202"/>
  <c r="H290" i="202" s="1"/>
  <c r="H89" i="742"/>
  <c r="H88" i="742" s="1"/>
  <c r="G274" i="502"/>
  <c r="H281" i="502"/>
  <c r="G279" i="502"/>
  <c r="E281" i="502"/>
  <c r="F274" i="502"/>
  <c r="I281" i="502"/>
  <c r="E279" i="502"/>
  <c r="I276" i="502"/>
  <c r="E290" i="502"/>
  <c r="G290" i="502"/>
  <c r="E274" i="502"/>
  <c r="H274" i="502"/>
  <c r="F279" i="502"/>
  <c r="I279" i="502"/>
  <c r="E273" i="502"/>
  <c r="F290" i="502"/>
  <c r="F273" i="502"/>
  <c r="H290" i="502"/>
  <c r="I274" i="502"/>
  <c r="E276" i="502"/>
  <c r="G273" i="502"/>
  <c r="I290" i="502"/>
  <c r="H276" i="502"/>
  <c r="H279" i="502"/>
  <c r="F276" i="502"/>
  <c r="H273" i="502"/>
  <c r="F281" i="502"/>
  <c r="G276" i="502"/>
  <c r="I273" i="502"/>
  <c r="G281" i="502"/>
  <c r="F82" i="486"/>
  <c r="F72" i="640"/>
  <c r="F82" i="506"/>
  <c r="F72" i="639"/>
  <c r="H86" i="129"/>
  <c r="I86" i="129"/>
  <c r="F85" i="486"/>
  <c r="F75" i="640"/>
  <c r="F85" i="506"/>
  <c r="F75" i="639"/>
  <c r="H72" i="640"/>
  <c r="H82" i="506"/>
  <c r="H72" i="639"/>
  <c r="H82" i="486"/>
  <c r="E82" i="486"/>
  <c r="E72" i="640"/>
  <c r="E72" i="639"/>
  <c r="E82" i="506"/>
  <c r="I75" i="640"/>
  <c r="I85" i="506"/>
  <c r="I85" i="486"/>
  <c r="I75" i="639"/>
  <c r="E90" i="486"/>
  <c r="E90" i="506"/>
  <c r="E80" i="640"/>
  <c r="E80" i="639"/>
  <c r="G72" i="640"/>
  <c r="G82" i="506"/>
  <c r="G82" i="486"/>
  <c r="G72" i="639"/>
  <c r="G85" i="486"/>
  <c r="G75" i="640"/>
  <c r="G85" i="506"/>
  <c r="G75" i="639"/>
  <c r="H75" i="640"/>
  <c r="H85" i="506"/>
  <c r="H85" i="486"/>
  <c r="H75" i="639"/>
  <c r="I88" i="486"/>
  <c r="I88" i="506"/>
  <c r="I78" i="639"/>
  <c r="I78" i="640"/>
  <c r="E85" i="486"/>
  <c r="E75" i="640"/>
  <c r="E85" i="506"/>
  <c r="E75" i="639"/>
  <c r="I82" i="506"/>
  <c r="I72" i="640"/>
  <c r="I82" i="486"/>
  <c r="I72" i="639"/>
  <c r="G90" i="506"/>
  <c r="G80" i="640"/>
  <c r="G80" i="639"/>
  <c r="G90" i="486"/>
  <c r="E83" i="506"/>
  <c r="E83" i="486"/>
  <c r="E73" i="640"/>
  <c r="E73" i="639"/>
  <c r="F90" i="486"/>
  <c r="F90" i="506"/>
  <c r="F80" i="640"/>
  <c r="F80" i="639"/>
  <c r="F83" i="506"/>
  <c r="F83" i="486"/>
  <c r="F73" i="640"/>
  <c r="F73" i="639"/>
  <c r="I80" i="640"/>
  <c r="I90" i="506"/>
  <c r="I90" i="486"/>
  <c r="I80" i="639"/>
  <c r="E88" i="506"/>
  <c r="E78" i="640"/>
  <c r="E78" i="639"/>
  <c r="E88" i="486"/>
  <c r="F86" i="129"/>
  <c r="H83" i="506"/>
  <c r="H83" i="486"/>
  <c r="H73" i="640"/>
  <c r="H73" i="639"/>
  <c r="E86" i="129"/>
  <c r="F88" i="506"/>
  <c r="F78" i="640"/>
  <c r="F88" i="486"/>
  <c r="F78" i="639"/>
  <c r="G83" i="506"/>
  <c r="G83" i="486"/>
  <c r="G73" i="640"/>
  <c r="G73" i="639"/>
  <c r="H80" i="640"/>
  <c r="H90" i="506"/>
  <c r="H90" i="486"/>
  <c r="H80" i="639"/>
  <c r="G88" i="506"/>
  <c r="G78" i="640"/>
  <c r="G88" i="486"/>
  <c r="G78" i="639"/>
  <c r="I83" i="486"/>
  <c r="I73" i="640"/>
  <c r="I83" i="506"/>
  <c r="I73" i="639"/>
  <c r="G86" i="129"/>
  <c r="H88" i="486"/>
  <c r="H88" i="506"/>
  <c r="H78" i="639"/>
  <c r="H78" i="640"/>
  <c r="E92" i="129"/>
  <c r="F92" i="129"/>
  <c r="G92" i="129"/>
  <c r="H92" i="129"/>
  <c r="I92" i="129"/>
  <c r="H71" i="129"/>
  <c r="E65" i="129"/>
  <c r="E71" i="129"/>
  <c r="F65" i="129"/>
  <c r="F71" i="129"/>
  <c r="G65" i="129"/>
  <c r="G71" i="129"/>
  <c r="H65" i="129"/>
  <c r="I65" i="129"/>
  <c r="I71" i="129"/>
  <c r="E89" i="203"/>
  <c r="G89" i="203"/>
  <c r="F89" i="203"/>
  <c r="H89" i="203"/>
  <c r="G109" i="506"/>
  <c r="E109" i="506"/>
  <c r="F109" i="506"/>
  <c r="H109" i="506"/>
  <c r="E106" i="506"/>
  <c r="E100" i="506"/>
  <c r="E99" i="506" s="1"/>
  <c r="F106" i="506"/>
  <c r="G100" i="506"/>
  <c r="G99" i="506" s="1"/>
  <c r="H106" i="506"/>
  <c r="H100" i="506"/>
  <c r="H99" i="506" s="1"/>
  <c r="G106" i="506"/>
  <c r="I106" i="506"/>
  <c r="I100" i="506"/>
  <c r="I99" i="506" s="1"/>
  <c r="I109" i="506"/>
  <c r="F100" i="506"/>
  <c r="F99" i="506" s="1"/>
  <c r="F106" i="486"/>
  <c r="E106" i="486"/>
  <c r="F89" i="639"/>
  <c r="F89" i="640"/>
  <c r="H89" i="639"/>
  <c r="H89" i="640"/>
  <c r="I89" i="640"/>
  <c r="I89" i="639"/>
  <c r="E89" i="639"/>
  <c r="E89" i="640"/>
  <c r="G89" i="640"/>
  <c r="G89" i="639"/>
  <c r="I106" i="486"/>
  <c r="G106" i="486"/>
  <c r="H106" i="486"/>
  <c r="E109" i="486"/>
  <c r="E89" i="206"/>
  <c r="E89" i="158"/>
  <c r="E100" i="486"/>
  <c r="E99" i="486" s="1"/>
  <c r="E89" i="211"/>
  <c r="F109" i="486"/>
  <c r="G89" i="158"/>
  <c r="G89" i="206"/>
  <c r="G100" i="486"/>
  <c r="G99" i="486" s="1"/>
  <c r="G89" i="211"/>
  <c r="F100" i="486"/>
  <c r="F99" i="486" s="1"/>
  <c r="F89" i="206"/>
  <c r="F89" i="211"/>
  <c r="F89" i="158"/>
  <c r="I109" i="486"/>
  <c r="H109" i="486"/>
  <c r="H100" i="486"/>
  <c r="H99" i="486" s="1"/>
  <c r="H89" i="206"/>
  <c r="H89" i="211"/>
  <c r="H89" i="158"/>
  <c r="I89" i="206"/>
  <c r="I100" i="486"/>
  <c r="I99" i="486" s="1"/>
  <c r="I89" i="158"/>
  <c r="I89" i="211"/>
  <c r="G109" i="486"/>
  <c r="F204" i="823" l="1"/>
  <c r="F222" i="823" s="1"/>
  <c r="G204" i="823"/>
  <c r="G222" i="823" s="1"/>
  <c r="H204" i="823"/>
  <c r="E204" i="823"/>
  <c r="E222" i="823" s="1"/>
  <c r="J86" i="823"/>
  <c r="I204" i="823"/>
  <c r="G58" i="823"/>
  <c r="G20" i="823" s="1"/>
  <c r="G107" i="823" s="1"/>
  <c r="E58" i="823"/>
  <c r="E20" i="823" s="1"/>
  <c r="E107" i="823" s="1"/>
  <c r="I205" i="823"/>
  <c r="I58" i="823"/>
  <c r="I20" i="823" s="1"/>
  <c r="I107" i="823" s="1"/>
  <c r="F58" i="823"/>
  <c r="F20" i="823" s="1"/>
  <c r="F107" i="823" s="1"/>
  <c r="H58" i="823"/>
  <c r="D204" i="823"/>
  <c r="J92" i="823"/>
  <c r="D205" i="823"/>
  <c r="D58" i="823"/>
  <c r="D20" i="823" s="1"/>
  <c r="J71" i="823"/>
  <c r="J206" i="823" s="1"/>
  <c r="H206" i="823"/>
  <c r="J65" i="823"/>
  <c r="J205" i="823" s="1"/>
  <c r="F296" i="508"/>
  <c r="F422" i="508" s="1"/>
  <c r="G269" i="502"/>
  <c r="E269" i="202"/>
  <c r="E269" i="502"/>
  <c r="E423" i="502" s="1"/>
  <c r="E269" i="200"/>
  <c r="E423" i="200" s="1"/>
  <c r="E68" i="203"/>
  <c r="E269" i="508"/>
  <c r="E423" i="508" s="1"/>
  <c r="F68" i="206"/>
  <c r="G275" i="502"/>
  <c r="G424" i="502" s="1"/>
  <c r="H148" i="163"/>
  <c r="G148" i="163"/>
  <c r="F269" i="502"/>
  <c r="F423" i="502" s="1"/>
  <c r="H269" i="502"/>
  <c r="H423" i="502" s="1"/>
  <c r="G68" i="203"/>
  <c r="H269" i="508"/>
  <c r="H423" i="508" s="1"/>
  <c r="H269" i="200"/>
  <c r="H423" i="200" s="1"/>
  <c r="H68" i="203"/>
  <c r="H149" i="203" s="1"/>
  <c r="F275" i="502"/>
  <c r="F424" i="502" s="1"/>
  <c r="E68" i="639"/>
  <c r="E150" i="639" s="1"/>
  <c r="H68" i="158"/>
  <c r="H68" i="211"/>
  <c r="H150" i="211" s="1"/>
  <c r="H296" i="508"/>
  <c r="H422" i="508" s="1"/>
  <c r="I296" i="502"/>
  <c r="I422" i="502" s="1"/>
  <c r="I296" i="508"/>
  <c r="I422" i="508" s="1"/>
  <c r="F269" i="508"/>
  <c r="F269" i="202"/>
  <c r="F423" i="202" s="1"/>
  <c r="F269" i="200"/>
  <c r="F423" i="200" s="1"/>
  <c r="F68" i="203"/>
  <c r="F149" i="203" s="1"/>
  <c r="E275" i="508"/>
  <c r="E275" i="202"/>
  <c r="E424" i="202" s="1"/>
  <c r="E74" i="203"/>
  <c r="G269" i="508"/>
  <c r="G423" i="508" s="1"/>
  <c r="G269" i="202"/>
  <c r="G423" i="202" s="1"/>
  <c r="G269" i="200"/>
  <c r="H275" i="508"/>
  <c r="H275" i="502"/>
  <c r="H424" i="502" s="1"/>
  <c r="H275" i="200"/>
  <c r="H424" i="200" s="1"/>
  <c r="F275" i="508"/>
  <c r="F424" i="508" s="1"/>
  <c r="F74" i="203"/>
  <c r="F150" i="203" s="1"/>
  <c r="G275" i="200"/>
  <c r="G424" i="200" s="1"/>
  <c r="G74" i="203"/>
  <c r="I269" i="502"/>
  <c r="I269" i="508"/>
  <c r="I269" i="202"/>
  <c r="I423" i="202" s="1"/>
  <c r="I269" i="200"/>
  <c r="I423" i="200" s="1"/>
  <c r="I68" i="203"/>
  <c r="F78" i="506"/>
  <c r="F123" i="506" s="1"/>
  <c r="F67" i="742"/>
  <c r="F147" i="742" s="1"/>
  <c r="F68" i="211"/>
  <c r="F150" i="211" s="1"/>
  <c r="F70" i="473"/>
  <c r="F68" i="163"/>
  <c r="F149" i="163" s="1"/>
  <c r="I275" i="202"/>
  <c r="I424" i="202" s="1"/>
  <c r="G296" i="200"/>
  <c r="G422" i="200" s="1"/>
  <c r="E275" i="200"/>
  <c r="E424" i="200" s="1"/>
  <c r="G68" i="211"/>
  <c r="G150" i="211" s="1"/>
  <c r="F78" i="486"/>
  <c r="H269" i="202"/>
  <c r="H423" i="202" s="1"/>
  <c r="I296" i="202"/>
  <c r="H296" i="202"/>
  <c r="H422" i="202" s="1"/>
  <c r="H70" i="473"/>
  <c r="F68" i="639"/>
  <c r="F150" i="639" s="1"/>
  <c r="G296" i="202"/>
  <c r="G422" i="202" s="1"/>
  <c r="G68" i="163"/>
  <c r="G149" i="163" s="1"/>
  <c r="E68" i="158"/>
  <c r="H296" i="502"/>
  <c r="H422" i="502" s="1"/>
  <c r="I275" i="502"/>
  <c r="I424" i="502" s="1"/>
  <c r="G296" i="502"/>
  <c r="I275" i="508"/>
  <c r="I424" i="508" s="1"/>
  <c r="G296" i="508"/>
  <c r="G422" i="508" s="1"/>
  <c r="G275" i="202"/>
  <c r="G424" i="202" s="1"/>
  <c r="F275" i="200"/>
  <c r="F424" i="200" s="1"/>
  <c r="F296" i="200"/>
  <c r="F422" i="200" s="1"/>
  <c r="G275" i="508"/>
  <c r="G424" i="508" s="1"/>
  <c r="F275" i="202"/>
  <c r="F424" i="202" s="1"/>
  <c r="F296" i="202"/>
  <c r="F422" i="202" s="1"/>
  <c r="I296" i="200"/>
  <c r="I422" i="200" s="1"/>
  <c r="E296" i="200"/>
  <c r="E422" i="200" s="1"/>
  <c r="E296" i="202"/>
  <c r="E422" i="202" s="1"/>
  <c r="I148" i="163"/>
  <c r="F296" i="502"/>
  <c r="F422" i="502" s="1"/>
  <c r="H74" i="203"/>
  <c r="E275" i="502"/>
  <c r="I74" i="203"/>
  <c r="I150" i="203" s="1"/>
  <c r="E296" i="502"/>
  <c r="E422" i="502" s="1"/>
  <c r="H275" i="202"/>
  <c r="H424" i="202" s="1"/>
  <c r="H296" i="200"/>
  <c r="H422" i="200" s="1"/>
  <c r="I275" i="200"/>
  <c r="I424" i="200" s="1"/>
  <c r="E296" i="508"/>
  <c r="H68" i="639"/>
  <c r="H150" i="639" s="1"/>
  <c r="I73" i="742"/>
  <c r="I148" i="742" s="1"/>
  <c r="G70" i="473"/>
  <c r="I68" i="639"/>
  <c r="I150" i="639" s="1"/>
  <c r="F68" i="158"/>
  <c r="G78" i="506"/>
  <c r="G123" i="506" s="1"/>
  <c r="H68" i="206"/>
  <c r="G84" i="486"/>
  <c r="G124" i="486" s="1"/>
  <c r="H73" i="742"/>
  <c r="H148" i="742" s="1"/>
  <c r="H78" i="506"/>
  <c r="H123" i="506" s="1"/>
  <c r="F74" i="639"/>
  <c r="F151" i="639" s="1"/>
  <c r="I78" i="506"/>
  <c r="I123" i="506" s="1"/>
  <c r="E73" i="742"/>
  <c r="E148" i="742" s="1"/>
  <c r="E68" i="640"/>
  <c r="F74" i="163"/>
  <c r="F150" i="163" s="1"/>
  <c r="E78" i="506"/>
  <c r="E123" i="506" s="1"/>
  <c r="F68" i="640"/>
  <c r="E68" i="163"/>
  <c r="E149" i="163" s="1"/>
  <c r="I68" i="206"/>
  <c r="I74" i="639"/>
  <c r="I151" i="639" s="1"/>
  <c r="E67" i="742"/>
  <c r="E147" i="742" s="1"/>
  <c r="I74" i="158"/>
  <c r="I151" i="158" s="1"/>
  <c r="E74" i="640"/>
  <c r="E116" i="640" s="1"/>
  <c r="I68" i="163"/>
  <c r="I149" i="163" s="1"/>
  <c r="G73" i="742"/>
  <c r="G148" i="742" s="1"/>
  <c r="I68" i="158"/>
  <c r="G68" i="206"/>
  <c r="E74" i="158"/>
  <c r="E151" i="158" s="1"/>
  <c r="E84" i="486"/>
  <c r="E124" i="486" s="1"/>
  <c r="G68" i="640"/>
  <c r="H68" i="640"/>
  <c r="H74" i="163"/>
  <c r="H150" i="163" s="1"/>
  <c r="G68" i="639"/>
  <c r="G150" i="639" s="1"/>
  <c r="E78" i="486"/>
  <c r="E123" i="486" s="1"/>
  <c r="I67" i="742"/>
  <c r="I147" i="742" s="1"/>
  <c r="G74" i="640"/>
  <c r="G116" i="640" s="1"/>
  <c r="I78" i="486"/>
  <c r="I123" i="486" s="1"/>
  <c r="E74" i="639"/>
  <c r="E151" i="639" s="1"/>
  <c r="G76" i="473"/>
  <c r="G152" i="473" s="1"/>
  <c r="I68" i="640"/>
  <c r="E74" i="163"/>
  <c r="E150" i="163" s="1"/>
  <c r="G78" i="486"/>
  <c r="E70" i="473"/>
  <c r="H67" i="742"/>
  <c r="H147" i="742" s="1"/>
  <c r="H74" i="640"/>
  <c r="H116" i="640" s="1"/>
  <c r="H74" i="158"/>
  <c r="H151" i="158" s="1"/>
  <c r="G68" i="158"/>
  <c r="F73" i="742"/>
  <c r="F148" i="742" s="1"/>
  <c r="I70" i="473"/>
  <c r="G67" i="742"/>
  <c r="G147" i="742" s="1"/>
  <c r="E68" i="211"/>
  <c r="E150" i="211" s="1"/>
  <c r="H78" i="486"/>
  <c r="I68" i="211"/>
  <c r="I150" i="211" s="1"/>
  <c r="I74" i="640"/>
  <c r="I116" i="640" s="1"/>
  <c r="G74" i="163"/>
  <c r="G150" i="163" s="1"/>
  <c r="F74" i="640"/>
  <c r="F116" i="640" s="1"/>
  <c r="H68" i="163"/>
  <c r="H149" i="163" s="1"/>
  <c r="E68" i="206"/>
  <c r="I74" i="206"/>
  <c r="I116" i="206" s="1"/>
  <c r="E84" i="506"/>
  <c r="E124" i="506" s="1"/>
  <c r="H76" i="473"/>
  <c r="H152" i="473" s="1"/>
  <c r="I76" i="473"/>
  <c r="I152" i="473" s="1"/>
  <c r="E74" i="206"/>
  <c r="H84" i="486"/>
  <c r="H124" i="486" s="1"/>
  <c r="G84" i="506"/>
  <c r="G124" i="506" s="1"/>
  <c r="I74" i="211"/>
  <c r="I151" i="211" s="1"/>
  <c r="F76" i="473"/>
  <c r="F84" i="486"/>
  <c r="F124" i="486" s="1"/>
  <c r="H74" i="639"/>
  <c r="H151" i="639" s="1"/>
  <c r="F74" i="206"/>
  <c r="F116" i="206" s="1"/>
  <c r="H74" i="211"/>
  <c r="H151" i="211" s="1"/>
  <c r="G74" i="206"/>
  <c r="G116" i="206" s="1"/>
  <c r="I74" i="163"/>
  <c r="I150" i="163" s="1"/>
  <c r="G74" i="639"/>
  <c r="G151" i="639" s="1"/>
  <c r="H84" i="506"/>
  <c r="H124" i="506" s="1"/>
  <c r="F74" i="158"/>
  <c r="F151" i="158" s="1"/>
  <c r="H74" i="206"/>
  <c r="H116" i="206" s="1"/>
  <c r="G74" i="211"/>
  <c r="G151" i="211" s="1"/>
  <c r="I84" i="486"/>
  <c r="I124" i="486" s="1"/>
  <c r="E74" i="211"/>
  <c r="E151" i="211" s="1"/>
  <c r="E148" i="163"/>
  <c r="F74" i="211"/>
  <c r="F151" i="211" s="1"/>
  <c r="E76" i="473"/>
  <c r="E152" i="473" s="1"/>
  <c r="G74" i="158"/>
  <c r="G151" i="158" s="1"/>
  <c r="I84" i="506"/>
  <c r="I124" i="506" s="1"/>
  <c r="F84" i="506"/>
  <c r="F124" i="506" s="1"/>
  <c r="G58" i="129"/>
  <c r="G20" i="129" s="1"/>
  <c r="H58" i="129"/>
  <c r="I58" i="129"/>
  <c r="I20" i="129" s="1"/>
  <c r="E58" i="129"/>
  <c r="E20" i="129" s="1"/>
  <c r="F58" i="129"/>
  <c r="F20" i="129" s="1"/>
  <c r="F94" i="742"/>
  <c r="F146" i="742" s="1"/>
  <c r="I94" i="742"/>
  <c r="I146" i="742" s="1"/>
  <c r="H94" i="742"/>
  <c r="H146" i="742" s="1"/>
  <c r="G94" i="742"/>
  <c r="G146" i="742" s="1"/>
  <c r="E94" i="742"/>
  <c r="G95" i="203"/>
  <c r="G148" i="203" s="1"/>
  <c r="F95" i="203"/>
  <c r="I95" i="203"/>
  <c r="E95" i="203"/>
  <c r="E148" i="203" s="1"/>
  <c r="I89" i="203"/>
  <c r="H95" i="203"/>
  <c r="H148" i="203" s="1"/>
  <c r="E105" i="506"/>
  <c r="E122" i="506" s="1"/>
  <c r="I105" i="506"/>
  <c r="I122" i="506" s="1"/>
  <c r="F105" i="506"/>
  <c r="F122" i="506" s="1"/>
  <c r="H105" i="506"/>
  <c r="H122" i="506" s="1"/>
  <c r="G105" i="506"/>
  <c r="G122" i="506" s="1"/>
  <c r="I95" i="640"/>
  <c r="I114" i="640" s="1"/>
  <c r="E95" i="640"/>
  <c r="E114" i="640" s="1"/>
  <c r="I95" i="639"/>
  <c r="I149" i="639" s="1"/>
  <c r="E95" i="639"/>
  <c r="E149" i="639" s="1"/>
  <c r="F95" i="639"/>
  <c r="F149" i="639" s="1"/>
  <c r="H95" i="639"/>
  <c r="H149" i="639" s="1"/>
  <c r="H95" i="640"/>
  <c r="H114" i="640" s="1"/>
  <c r="F95" i="640"/>
  <c r="G95" i="640"/>
  <c r="G114" i="640" s="1"/>
  <c r="G95" i="639"/>
  <c r="G149" i="639" s="1"/>
  <c r="G95" i="158"/>
  <c r="G149" i="158" s="1"/>
  <c r="I95" i="158"/>
  <c r="I149" i="158" s="1"/>
  <c r="F206" i="129"/>
  <c r="E204" i="129"/>
  <c r="E206" i="129"/>
  <c r="G204" i="129"/>
  <c r="I205" i="129"/>
  <c r="H206" i="129"/>
  <c r="G206" i="129"/>
  <c r="I206" i="129"/>
  <c r="I150" i="473"/>
  <c r="F95" i="158"/>
  <c r="F149" i="158" s="1"/>
  <c r="H95" i="206"/>
  <c r="H114" i="206" s="1"/>
  <c r="E95" i="158"/>
  <c r="E149" i="158" s="1"/>
  <c r="H204" i="129"/>
  <c r="H95" i="158"/>
  <c r="H149" i="158" s="1"/>
  <c r="H95" i="211"/>
  <c r="H149" i="211" s="1"/>
  <c r="I95" i="211"/>
  <c r="I149" i="211" s="1"/>
  <c r="E150" i="473"/>
  <c r="I95" i="206"/>
  <c r="I114" i="206" s="1"/>
  <c r="G150" i="473"/>
  <c r="H150" i="473"/>
  <c r="E95" i="206"/>
  <c r="E114" i="206" s="1"/>
  <c r="F150" i="473"/>
  <c r="E95" i="211"/>
  <c r="E149" i="211" s="1"/>
  <c r="F95" i="206"/>
  <c r="F114" i="206" s="1"/>
  <c r="G95" i="211"/>
  <c r="G149" i="211" s="1"/>
  <c r="F95" i="211"/>
  <c r="F149" i="211" s="1"/>
  <c r="G95" i="206"/>
  <c r="G114" i="206" s="1"/>
  <c r="F204" i="129"/>
  <c r="I204" i="129"/>
  <c r="I105" i="486"/>
  <c r="I122" i="486" s="1"/>
  <c r="H105" i="486"/>
  <c r="H122" i="486" s="1"/>
  <c r="E105" i="486"/>
  <c r="E122" i="486" s="1"/>
  <c r="F105" i="486"/>
  <c r="F122" i="486" s="1"/>
  <c r="G105" i="486"/>
  <c r="G122" i="486" s="1"/>
  <c r="E205" i="129"/>
  <c r="H205" i="129"/>
  <c r="F16" i="477"/>
  <c r="F20" i="477" s="1"/>
  <c r="F205" i="129"/>
  <c r="G205" i="129"/>
  <c r="H222" i="823" l="1"/>
  <c r="I222" i="823"/>
  <c r="D107" i="823"/>
  <c r="F223" i="823"/>
  <c r="F225" i="823" s="1"/>
  <c r="F226" i="823" s="1"/>
  <c r="F153" i="823"/>
  <c r="F165" i="823"/>
  <c r="F109" i="823"/>
  <c r="I223" i="823"/>
  <c r="I225" i="823" s="1"/>
  <c r="I165" i="823"/>
  <c r="I109" i="823"/>
  <c r="I153" i="823"/>
  <c r="G153" i="823"/>
  <c r="G109" i="823"/>
  <c r="G165" i="823"/>
  <c r="G223" i="823"/>
  <c r="G225" i="823" s="1"/>
  <c r="G226" i="823" s="1"/>
  <c r="J204" i="823"/>
  <c r="J222" i="823" s="1"/>
  <c r="D222" i="823"/>
  <c r="J58" i="823"/>
  <c r="H20" i="823"/>
  <c r="H107" i="823" s="1"/>
  <c r="E223" i="823"/>
  <c r="E225" i="823" s="1"/>
  <c r="E226" i="823" s="1"/>
  <c r="E165" i="823"/>
  <c r="E153" i="823"/>
  <c r="E109" i="823"/>
  <c r="I234" i="508"/>
  <c r="I311" i="508" s="1"/>
  <c r="G234" i="502"/>
  <c r="G311" i="502" s="1"/>
  <c r="G422" i="502"/>
  <c r="E234" i="200"/>
  <c r="E311" i="200" s="1"/>
  <c r="I234" i="202"/>
  <c r="I311" i="202" s="1"/>
  <c r="H234" i="502"/>
  <c r="H311" i="502" s="1"/>
  <c r="I234" i="502"/>
  <c r="I311" i="502" s="1"/>
  <c r="G234" i="508"/>
  <c r="G311" i="508" s="1"/>
  <c r="E234" i="202"/>
  <c r="E311" i="202" s="1"/>
  <c r="F234" i="502"/>
  <c r="F311" i="502" s="1"/>
  <c r="E234" i="502"/>
  <c r="E311" i="502" s="1"/>
  <c r="F234" i="508"/>
  <c r="F311" i="508" s="1"/>
  <c r="F423" i="508"/>
  <c r="F440" i="508" s="1"/>
  <c r="E234" i="508"/>
  <c r="E311" i="508" s="1"/>
  <c r="E424" i="508"/>
  <c r="G234" i="200"/>
  <c r="G311" i="200" s="1"/>
  <c r="G423" i="200"/>
  <c r="G440" i="200" s="1"/>
  <c r="H234" i="508"/>
  <c r="H311" i="508" s="1"/>
  <c r="H424" i="508"/>
  <c r="H440" i="508" s="1"/>
  <c r="G234" i="202"/>
  <c r="G311" i="202" s="1"/>
  <c r="H234" i="202"/>
  <c r="H311" i="202" s="1"/>
  <c r="H234" i="200"/>
  <c r="H311" i="200" s="1"/>
  <c r="I234" i="200"/>
  <c r="I311" i="200" s="1"/>
  <c r="I422" i="202"/>
  <c r="I440" i="202" s="1"/>
  <c r="F234" i="202"/>
  <c r="F311" i="202" s="1"/>
  <c r="F234" i="200"/>
  <c r="F311" i="200" s="1"/>
  <c r="G423" i="502"/>
  <c r="E422" i="508"/>
  <c r="E424" i="502"/>
  <c r="E440" i="502" s="1"/>
  <c r="F148" i="163"/>
  <c r="H20" i="129"/>
  <c r="H107" i="129" s="1"/>
  <c r="G107" i="129"/>
  <c r="F107" i="129"/>
  <c r="E107" i="129"/>
  <c r="I107" i="129"/>
  <c r="E146" i="742"/>
  <c r="E33" i="203"/>
  <c r="E110" i="203" s="1"/>
  <c r="E144" i="203" s="1"/>
  <c r="I148" i="203"/>
  <c r="G33" i="203"/>
  <c r="G110" i="203" s="1"/>
  <c r="G144" i="203" s="1"/>
  <c r="F33" i="203"/>
  <c r="F110" i="203" s="1"/>
  <c r="F144" i="203" s="1"/>
  <c r="E150" i="203"/>
  <c r="G150" i="203"/>
  <c r="H33" i="203"/>
  <c r="H110" i="203" s="1"/>
  <c r="H144" i="203" s="1"/>
  <c r="I33" i="203"/>
  <c r="I110" i="203" s="1"/>
  <c r="I144" i="203" s="1"/>
  <c r="G440" i="508"/>
  <c r="H150" i="203"/>
  <c r="H166" i="203" s="1"/>
  <c r="H33" i="206"/>
  <c r="H110" i="206" s="1"/>
  <c r="F43" i="506"/>
  <c r="F120" i="506" s="1"/>
  <c r="F440" i="200"/>
  <c r="E140" i="506"/>
  <c r="I140" i="506"/>
  <c r="E440" i="200"/>
  <c r="G33" i="158"/>
  <c r="G110" i="158" s="1"/>
  <c r="G145" i="158" s="1"/>
  <c r="I440" i="200"/>
  <c r="H440" i="200"/>
  <c r="F140" i="506"/>
  <c r="I423" i="508"/>
  <c r="I440" i="508" s="1"/>
  <c r="I423" i="502"/>
  <c r="I440" i="502" s="1"/>
  <c r="I33" i="206"/>
  <c r="I110" i="206" s="1"/>
  <c r="G140" i="506"/>
  <c r="F440" i="502"/>
  <c r="H440" i="502"/>
  <c r="H33" i="158"/>
  <c r="H110" i="158" s="1"/>
  <c r="H145" i="158" s="1"/>
  <c r="H43" i="506"/>
  <c r="H120" i="506" s="1"/>
  <c r="G33" i="206"/>
  <c r="G110" i="206" s="1"/>
  <c r="I43" i="506"/>
  <c r="I120" i="506" s="1"/>
  <c r="F115" i="640"/>
  <c r="F33" i="640"/>
  <c r="F110" i="640" s="1"/>
  <c r="G43" i="506"/>
  <c r="G120" i="506" s="1"/>
  <c r="I150" i="158"/>
  <c r="I168" i="158" s="1"/>
  <c r="I33" i="158"/>
  <c r="I110" i="158" s="1"/>
  <c r="I145" i="158" s="1"/>
  <c r="F150" i="158"/>
  <c r="F168" i="158" s="1"/>
  <c r="F33" i="158"/>
  <c r="F110" i="158" s="1"/>
  <c r="F145" i="158" s="1"/>
  <c r="E150" i="158"/>
  <c r="E168" i="158" s="1"/>
  <c r="E33" i="158"/>
  <c r="E110" i="158" s="1"/>
  <c r="E145" i="158" s="1"/>
  <c r="E115" i="206"/>
  <c r="E33" i="206"/>
  <c r="E110" i="206" s="1"/>
  <c r="G115" i="640"/>
  <c r="G133" i="640" s="1"/>
  <c r="G33" i="640"/>
  <c r="G110" i="640" s="1"/>
  <c r="E115" i="640"/>
  <c r="E133" i="640" s="1"/>
  <c r="E33" i="640"/>
  <c r="E110" i="640" s="1"/>
  <c r="I115" i="640"/>
  <c r="I133" i="640" s="1"/>
  <c r="I33" i="640"/>
  <c r="I110" i="640" s="1"/>
  <c r="F115" i="206"/>
  <c r="F133" i="206" s="1"/>
  <c r="F33" i="206"/>
  <c r="F110" i="206" s="1"/>
  <c r="E151" i="473"/>
  <c r="E43" i="506"/>
  <c r="E120" i="506" s="1"/>
  <c r="F151" i="473"/>
  <c r="H151" i="473"/>
  <c r="G151" i="473"/>
  <c r="H115" i="640"/>
  <c r="H133" i="640" s="1"/>
  <c r="H33" i="640"/>
  <c r="H110" i="640" s="1"/>
  <c r="H140" i="506"/>
  <c r="G440" i="202"/>
  <c r="F440" i="202"/>
  <c r="E423" i="202"/>
  <c r="E440" i="202" s="1"/>
  <c r="H440" i="202"/>
  <c r="F114" i="640"/>
  <c r="G222" i="129"/>
  <c r="E222" i="129"/>
  <c r="I222" i="129"/>
  <c r="G149" i="203"/>
  <c r="I151" i="473"/>
  <c r="H222" i="129"/>
  <c r="H115" i="206"/>
  <c r="H133" i="206" s="1"/>
  <c r="E116" i="206"/>
  <c r="F152" i="473"/>
  <c r="F222" i="129"/>
  <c r="I43" i="486"/>
  <c r="I120" i="486" s="1"/>
  <c r="I140" i="486"/>
  <c r="F43" i="486"/>
  <c r="F120" i="486" s="1"/>
  <c r="E140" i="486"/>
  <c r="E43" i="486"/>
  <c r="E120" i="486" s="1"/>
  <c r="H43" i="486"/>
  <c r="H120" i="486" s="1"/>
  <c r="G43" i="486"/>
  <c r="G120" i="486" s="1"/>
  <c r="E149" i="203"/>
  <c r="F148" i="203"/>
  <c r="F166" i="203" s="1"/>
  <c r="G123" i="486"/>
  <c r="G140" i="486" s="1"/>
  <c r="I149" i="203"/>
  <c r="F123" i="486"/>
  <c r="F140" i="486" s="1"/>
  <c r="G115" i="206"/>
  <c r="G133" i="206" s="1"/>
  <c r="D9" i="606"/>
  <c r="D12" i="606" s="1"/>
  <c r="H123" i="486"/>
  <c r="H140" i="486" s="1"/>
  <c r="G150" i="158"/>
  <c r="G168" i="158" s="1"/>
  <c r="H150" i="158"/>
  <c r="H168" i="158" s="1"/>
  <c r="I115" i="206"/>
  <c r="I133" i="206" s="1"/>
  <c r="I226" i="823" l="1"/>
  <c r="G170" i="823"/>
  <c r="G168" i="823"/>
  <c r="E170" i="823"/>
  <c r="E168" i="823"/>
  <c r="I168" i="823"/>
  <c r="I170" i="823"/>
  <c r="H165" i="823"/>
  <c r="H223" i="823"/>
  <c r="H225" i="823" s="1"/>
  <c r="H226" i="823" s="1"/>
  <c r="H153" i="823"/>
  <c r="H109" i="823"/>
  <c r="F168" i="823"/>
  <c r="F170" i="823"/>
  <c r="D109" i="823"/>
  <c r="D223" i="823"/>
  <c r="D225" i="823" s="1"/>
  <c r="D226" i="823" s="1"/>
  <c r="D165" i="823"/>
  <c r="D153" i="823"/>
  <c r="J107" i="823"/>
  <c r="J20" i="823"/>
  <c r="I223" i="129"/>
  <c r="I225" i="129" s="1"/>
  <c r="L219" i="608"/>
  <c r="L221" i="608" s="1"/>
  <c r="L224" i="608" s="1"/>
  <c r="J7" i="48"/>
  <c r="J9" i="48" s="1"/>
  <c r="H219" i="608"/>
  <c r="H221" i="608" s="1"/>
  <c r="F7" i="48"/>
  <c r="F9" i="48" s="1"/>
  <c r="G7" i="48"/>
  <c r="G9" i="48" s="1"/>
  <c r="I219" i="608"/>
  <c r="I221" i="608" s="1"/>
  <c r="I224" i="608" s="1"/>
  <c r="J219" i="608"/>
  <c r="J221" i="608" s="1"/>
  <c r="J224" i="608" s="1"/>
  <c r="H7" i="48"/>
  <c r="H9" i="48" s="1"/>
  <c r="I7" i="48"/>
  <c r="I9" i="48" s="1"/>
  <c r="K219" i="608"/>
  <c r="K221" i="608" s="1"/>
  <c r="K224" i="608" s="1"/>
  <c r="G440" i="502"/>
  <c r="G441" i="502" s="1"/>
  <c r="E440" i="508"/>
  <c r="E441" i="508" s="1"/>
  <c r="I109" i="129"/>
  <c r="I153" i="129"/>
  <c r="I165" i="129"/>
  <c r="I166" i="203"/>
  <c r="I167" i="203" s="1"/>
  <c r="E441" i="502"/>
  <c r="F441" i="508"/>
  <c r="E166" i="203"/>
  <c r="E167" i="203" s="1"/>
  <c r="H441" i="508"/>
  <c r="F441" i="200"/>
  <c r="I141" i="506"/>
  <c r="G166" i="203"/>
  <c r="G167" i="203" s="1"/>
  <c r="G441" i="508"/>
  <c r="F133" i="640"/>
  <c r="F134" i="640" s="1"/>
  <c r="F441" i="502"/>
  <c r="E441" i="200"/>
  <c r="I441" i="502"/>
  <c r="F141" i="506"/>
  <c r="I441" i="200"/>
  <c r="G141" i="506"/>
  <c r="H441" i="200"/>
  <c r="G441" i="200"/>
  <c r="H441" i="502"/>
  <c r="I441" i="508"/>
  <c r="E133" i="206"/>
  <c r="E134" i="206" s="1"/>
  <c r="E141" i="506"/>
  <c r="H141" i="506"/>
  <c r="F441" i="202"/>
  <c r="G441" i="202"/>
  <c r="I441" i="202"/>
  <c r="E441" i="202"/>
  <c r="I134" i="640"/>
  <c r="H441" i="202"/>
  <c r="E134" i="640"/>
  <c r="G134" i="640"/>
  <c r="H134" i="640"/>
  <c r="I226" i="129"/>
  <c r="H134" i="206"/>
  <c r="F167" i="203"/>
  <c r="G134" i="206"/>
  <c r="I141" i="486"/>
  <c r="E169" i="158"/>
  <c r="H167" i="203"/>
  <c r="F169" i="158"/>
  <c r="F134" i="206"/>
  <c r="F141" i="486"/>
  <c r="E141" i="486"/>
  <c r="G141" i="486"/>
  <c r="I169" i="158"/>
  <c r="H169" i="158"/>
  <c r="F23" i="477"/>
  <c r="F223" i="129"/>
  <c r="F225" i="129" s="1"/>
  <c r="F226" i="129" s="1"/>
  <c r="F153" i="129"/>
  <c r="F109" i="129"/>
  <c r="F165" i="129"/>
  <c r="E9" i="606"/>
  <c r="E223" i="129"/>
  <c r="E225" i="129" s="1"/>
  <c r="E226" i="129" s="1"/>
  <c r="E153" i="129"/>
  <c r="E165" i="129"/>
  <c r="E109" i="129"/>
  <c r="G223" i="129"/>
  <c r="G225" i="129" s="1"/>
  <c r="G226" i="129" s="1"/>
  <c r="G165" i="129"/>
  <c r="G153" i="129"/>
  <c r="G109" i="129"/>
  <c r="I134" i="206"/>
  <c r="H141" i="486"/>
  <c r="H109" i="129"/>
  <c r="H165" i="129"/>
  <c r="H223" i="129"/>
  <c r="H225" i="129" s="1"/>
  <c r="H226" i="129" s="1"/>
  <c r="H153" i="129"/>
  <c r="G169" i="158"/>
  <c r="F175" i="823" l="1"/>
  <c r="F173" i="823"/>
  <c r="J223" i="823"/>
  <c r="J225" i="823" s="1"/>
  <c r="J226" i="823" s="1"/>
  <c r="J165" i="823"/>
  <c r="J153" i="823"/>
  <c r="H168" i="823"/>
  <c r="H170" i="823"/>
  <c r="I173" i="823"/>
  <c r="I175" i="823"/>
  <c r="E173" i="823"/>
  <c r="E175" i="823"/>
  <c r="D170" i="823"/>
  <c r="D168" i="823"/>
  <c r="G173" i="823"/>
  <c r="G175" i="823"/>
  <c r="J109" i="823"/>
  <c r="K222" i="608"/>
  <c r="K223" i="608" s="1"/>
  <c r="I10" i="48" s="1"/>
  <c r="I11" i="48" s="1"/>
  <c r="I16" i="48" s="1"/>
  <c r="K228" i="608"/>
  <c r="J222" i="608"/>
  <c r="J223" i="608" s="1"/>
  <c r="H10" i="48" s="1"/>
  <c r="H11" i="48" s="1"/>
  <c r="H16" i="48" s="1"/>
  <c r="J228" i="608"/>
  <c r="I222" i="608"/>
  <c r="I223" i="608" s="1"/>
  <c r="G10" i="48" s="1"/>
  <c r="G11" i="48" s="1"/>
  <c r="G16" i="48" s="1"/>
  <c r="I228" i="608"/>
  <c r="H224" i="608"/>
  <c r="L222" i="608"/>
  <c r="L223" i="608" s="1"/>
  <c r="J10" i="48" s="1"/>
  <c r="J11" i="48" s="1"/>
  <c r="J16" i="48" s="1"/>
  <c r="L228" i="608"/>
  <c r="I168" i="129"/>
  <c r="I173" i="129" s="1"/>
  <c r="I170" i="129"/>
  <c r="G168" i="129"/>
  <c r="G170" i="129"/>
  <c r="D17" i="606"/>
  <c r="E58" i="39"/>
  <c r="E168" i="129"/>
  <c r="E170" i="129"/>
  <c r="H170" i="129"/>
  <c r="H168" i="129"/>
  <c r="C11" i="606"/>
  <c r="C12" i="606" s="1"/>
  <c r="F170" i="129"/>
  <c r="F168" i="129"/>
  <c r="D175" i="823" l="1"/>
  <c r="D173" i="823"/>
  <c r="H175" i="823"/>
  <c r="H173" i="823"/>
  <c r="J170" i="823"/>
  <c r="J168" i="823"/>
  <c r="H228" i="608"/>
  <c r="H222" i="608"/>
  <c r="H223" i="608" s="1"/>
  <c r="F10" i="48" s="1"/>
  <c r="F11" i="48" s="1"/>
  <c r="F16" i="48" s="1"/>
  <c r="J17" i="48"/>
  <c r="L343" i="608"/>
  <c r="L431" i="608"/>
  <c r="L194" i="608" s="1"/>
  <c r="L372" i="608"/>
  <c r="L370" i="608"/>
  <c r="L441" i="608"/>
  <c r="L204" i="608" s="1"/>
  <c r="L395" i="608"/>
  <c r="L158" i="608" s="1"/>
  <c r="L371" i="608"/>
  <c r="L404" i="608"/>
  <c r="L167" i="608" s="1"/>
  <c r="L360" i="608"/>
  <c r="L325" i="608"/>
  <c r="L339" i="608"/>
  <c r="L331" i="608"/>
  <c r="L401" i="608"/>
  <c r="L164" i="608" s="1"/>
  <c r="L418" i="608"/>
  <c r="L181" i="608" s="1"/>
  <c r="L423" i="608"/>
  <c r="L186" i="608" s="1"/>
  <c r="L400" i="608"/>
  <c r="L163" i="608" s="1"/>
  <c r="L323" i="608"/>
  <c r="L352" i="608"/>
  <c r="L345" i="608"/>
  <c r="L412" i="608"/>
  <c r="L175" i="608" s="1"/>
  <c r="L443" i="608"/>
  <c r="L206" i="608" s="1"/>
  <c r="L419" i="608"/>
  <c r="L182" i="608" s="1"/>
  <c r="L393" i="608"/>
  <c r="L156" i="608" s="1"/>
  <c r="L340" i="608"/>
  <c r="L361" i="608"/>
  <c r="L346" i="608"/>
  <c r="L356" i="608"/>
  <c r="L407" i="608"/>
  <c r="L170" i="608" s="1"/>
  <c r="L362" i="608"/>
  <c r="L359" i="608"/>
  <c r="L328" i="608"/>
  <c r="L373" i="608"/>
  <c r="L391" i="608"/>
  <c r="L154" i="608" s="1"/>
  <c r="L437" i="608"/>
  <c r="L200" i="608" s="1"/>
  <c r="L388" i="608"/>
  <c r="L151" i="608" s="1"/>
  <c r="L365" i="608"/>
  <c r="L429" i="608"/>
  <c r="L192" i="608" s="1"/>
  <c r="L430" i="608"/>
  <c r="L193" i="608" s="1"/>
  <c r="L357" i="608"/>
  <c r="L333" i="608"/>
  <c r="L405" i="608"/>
  <c r="L168" i="608" s="1"/>
  <c r="L335" i="608"/>
  <c r="L406" i="608"/>
  <c r="L169" i="608" s="1"/>
  <c r="L415" i="608"/>
  <c r="L178" i="608" s="1"/>
  <c r="L410" i="608"/>
  <c r="L173" i="608" s="1"/>
  <c r="L428" i="608"/>
  <c r="L191" i="608" s="1"/>
  <c r="L324" i="608"/>
  <c r="L440" i="608"/>
  <c r="L203" i="608" s="1"/>
  <c r="L344" i="608"/>
  <c r="L349" i="608"/>
  <c r="L332" i="608"/>
  <c r="L369" i="608"/>
  <c r="L330" i="608"/>
  <c r="L353" i="608"/>
  <c r="L358" i="608"/>
  <c r="L334" i="608"/>
  <c r="L355" i="608"/>
  <c r="L420" i="608"/>
  <c r="L183" i="608" s="1"/>
  <c r="L364" i="608"/>
  <c r="L327" i="608"/>
  <c r="L396" i="608"/>
  <c r="L159" i="608" s="1"/>
  <c r="L363" i="608"/>
  <c r="L403" i="608"/>
  <c r="L166" i="608" s="1"/>
  <c r="L389" i="608"/>
  <c r="L152" i="608" s="1"/>
  <c r="L231" i="608"/>
  <c r="L229" i="608" s="1"/>
  <c r="L390" i="608"/>
  <c r="L153" i="608" s="1"/>
  <c r="L435" i="608"/>
  <c r="L198" i="608" s="1"/>
  <c r="L320" i="608"/>
  <c r="L347" i="608"/>
  <c r="L426" i="608"/>
  <c r="L189" i="608" s="1"/>
  <c r="L417" i="608"/>
  <c r="L180" i="608" s="1"/>
  <c r="L341" i="608"/>
  <c r="L436" i="608"/>
  <c r="L199" i="608" s="1"/>
  <c r="L432" i="608"/>
  <c r="L195" i="608" s="1"/>
  <c r="L399" i="608"/>
  <c r="L162" i="608" s="1"/>
  <c r="L317" i="608"/>
  <c r="L425" i="608"/>
  <c r="L188" i="608" s="1"/>
  <c r="L439" i="608"/>
  <c r="L202" i="608" s="1"/>
  <c r="L394" i="608"/>
  <c r="L157" i="608" s="1"/>
  <c r="L337" i="608"/>
  <c r="L329" i="608"/>
  <c r="L408" i="608"/>
  <c r="L171" i="608" s="1"/>
  <c r="L348" i="608"/>
  <c r="L368" i="608"/>
  <c r="L434" i="608"/>
  <c r="L197" i="608" s="1"/>
  <c r="L421" i="608"/>
  <c r="L184" i="608" s="1"/>
  <c r="L322" i="608"/>
  <c r="L367" i="608"/>
  <c r="L411" i="608"/>
  <c r="L174" i="608" s="1"/>
  <c r="L427" i="608"/>
  <c r="L190" i="608" s="1"/>
  <c r="L397" i="608"/>
  <c r="L160" i="608" s="1"/>
  <c r="L402" i="608"/>
  <c r="L165" i="608" s="1"/>
  <c r="L387" i="608"/>
  <c r="L338" i="608"/>
  <c r="L409" i="608"/>
  <c r="L172" i="608" s="1"/>
  <c r="L321" i="608"/>
  <c r="L350" i="608"/>
  <c r="L424" i="608"/>
  <c r="L187" i="608" s="1"/>
  <c r="L442" i="608"/>
  <c r="L205" i="608" s="1"/>
  <c r="L416" i="608"/>
  <c r="L179" i="608" s="1"/>
  <c r="L351" i="608"/>
  <c r="L438" i="608"/>
  <c r="L201" i="608" s="1"/>
  <c r="L318" i="608"/>
  <c r="L336" i="608"/>
  <c r="L414" i="608"/>
  <c r="L177" i="608" s="1"/>
  <c r="L342" i="608"/>
  <c r="L398" i="608"/>
  <c r="L161" i="608" s="1"/>
  <c r="L319" i="608"/>
  <c r="L413" i="608"/>
  <c r="L176" i="608" s="1"/>
  <c r="L354" i="608"/>
  <c r="L422" i="608"/>
  <c r="L185" i="608" s="1"/>
  <c r="L366" i="608"/>
  <c r="L433" i="608"/>
  <c r="L196" i="608" s="1"/>
  <c r="L392" i="608"/>
  <c r="L155" i="608" s="1"/>
  <c r="L326" i="608"/>
  <c r="I175" i="129"/>
  <c r="I17" i="48"/>
  <c r="K340" i="608"/>
  <c r="K436" i="608"/>
  <c r="K199" i="608" s="1"/>
  <c r="K367" i="608"/>
  <c r="K440" i="608"/>
  <c r="K203" i="608" s="1"/>
  <c r="K393" i="608"/>
  <c r="K156" i="608" s="1"/>
  <c r="K333" i="608"/>
  <c r="K317" i="608"/>
  <c r="K373" i="608"/>
  <c r="K430" i="608"/>
  <c r="K193" i="608" s="1"/>
  <c r="K327" i="608"/>
  <c r="K347" i="608"/>
  <c r="K337" i="608"/>
  <c r="K406" i="608"/>
  <c r="K169" i="608" s="1"/>
  <c r="K400" i="608"/>
  <c r="K163" i="608" s="1"/>
  <c r="K397" i="608"/>
  <c r="K160" i="608" s="1"/>
  <c r="K324" i="608"/>
  <c r="K341" i="608"/>
  <c r="K344" i="608"/>
  <c r="K415" i="608"/>
  <c r="K178" i="608" s="1"/>
  <c r="K419" i="608"/>
  <c r="K182" i="608" s="1"/>
  <c r="K392" i="608"/>
  <c r="K155" i="608" s="1"/>
  <c r="K355" i="608"/>
  <c r="K352" i="608"/>
  <c r="K428" i="608"/>
  <c r="K191" i="608" s="1"/>
  <c r="K413" i="608"/>
  <c r="K176" i="608" s="1"/>
  <c r="K353" i="608"/>
  <c r="K331" i="608"/>
  <c r="K425" i="608"/>
  <c r="K188" i="608" s="1"/>
  <c r="K351" i="608"/>
  <c r="K391" i="608"/>
  <c r="K154" i="608" s="1"/>
  <c r="K368" i="608"/>
  <c r="K369" i="608"/>
  <c r="K330" i="608"/>
  <c r="K345" i="608"/>
  <c r="K401" i="608"/>
  <c r="K164" i="608" s="1"/>
  <c r="K335" i="608"/>
  <c r="K395" i="608"/>
  <c r="K158" i="608" s="1"/>
  <c r="K370" i="608"/>
  <c r="K357" i="608"/>
  <c r="K403" i="608"/>
  <c r="K166" i="608" s="1"/>
  <c r="K361" i="608"/>
  <c r="K412" i="608"/>
  <c r="K175" i="608" s="1"/>
  <c r="K396" i="608"/>
  <c r="K159" i="608" s="1"/>
  <c r="K414" i="608"/>
  <c r="K177" i="608" s="1"/>
  <c r="K342" i="608"/>
  <c r="K346" i="608"/>
  <c r="K323" i="608"/>
  <c r="K343" i="608"/>
  <c r="K363" i="608"/>
  <c r="K411" i="608"/>
  <c r="K174" i="608" s="1"/>
  <c r="K329" i="608"/>
  <c r="K359" i="608"/>
  <c r="K332" i="608"/>
  <c r="K387" i="608"/>
  <c r="K325" i="608"/>
  <c r="K360" i="608"/>
  <c r="K405" i="608"/>
  <c r="K168" i="608" s="1"/>
  <c r="K318" i="608"/>
  <c r="K433" i="608"/>
  <c r="K196" i="608" s="1"/>
  <c r="K372" i="608"/>
  <c r="K438" i="608"/>
  <c r="K201" i="608" s="1"/>
  <c r="K338" i="608"/>
  <c r="K417" i="608"/>
  <c r="K180" i="608" s="1"/>
  <c r="K435" i="608"/>
  <c r="K198" i="608" s="1"/>
  <c r="K354" i="608"/>
  <c r="K434" i="608"/>
  <c r="K197" i="608" s="1"/>
  <c r="K399" i="608"/>
  <c r="K162" i="608" s="1"/>
  <c r="K366" i="608"/>
  <c r="K441" i="608"/>
  <c r="K204" i="608" s="1"/>
  <c r="K398" i="608"/>
  <c r="K161" i="608" s="1"/>
  <c r="K326" i="608"/>
  <c r="K362" i="608"/>
  <c r="K427" i="608"/>
  <c r="K190" i="608" s="1"/>
  <c r="K334" i="608"/>
  <c r="K426" i="608"/>
  <c r="K189" i="608" s="1"/>
  <c r="K349" i="608"/>
  <c r="K348" i="608"/>
  <c r="K420" i="608"/>
  <c r="K183" i="608" s="1"/>
  <c r="K443" i="608"/>
  <c r="K206" i="608" s="1"/>
  <c r="K388" i="608"/>
  <c r="K151" i="608" s="1"/>
  <c r="K356" i="608"/>
  <c r="K424" i="608"/>
  <c r="K187" i="608" s="1"/>
  <c r="K409" i="608"/>
  <c r="K172" i="608" s="1"/>
  <c r="K371" i="608"/>
  <c r="K350" i="608"/>
  <c r="K390" i="608"/>
  <c r="K153" i="608" s="1"/>
  <c r="K410" i="608"/>
  <c r="K173" i="608" s="1"/>
  <c r="K322" i="608"/>
  <c r="K442" i="608"/>
  <c r="K205" i="608" s="1"/>
  <c r="K416" i="608"/>
  <c r="K179" i="608" s="1"/>
  <c r="K365" i="608"/>
  <c r="K320" i="608"/>
  <c r="K389" i="608"/>
  <c r="K152" i="608" s="1"/>
  <c r="K364" i="608"/>
  <c r="K394" i="608"/>
  <c r="K157" i="608" s="1"/>
  <c r="K404" i="608"/>
  <c r="K167" i="608" s="1"/>
  <c r="K408" i="608"/>
  <c r="K171" i="608" s="1"/>
  <c r="K231" i="608"/>
  <c r="K229" i="608" s="1"/>
  <c r="K321" i="608"/>
  <c r="K432" i="608"/>
  <c r="K195" i="608" s="1"/>
  <c r="K336" i="608"/>
  <c r="K429" i="608"/>
  <c r="K192" i="608" s="1"/>
  <c r="K319" i="608"/>
  <c r="K437" i="608"/>
  <c r="K200" i="608" s="1"/>
  <c r="K421" i="608"/>
  <c r="K184" i="608" s="1"/>
  <c r="K328" i="608"/>
  <c r="K423" i="608"/>
  <c r="K186" i="608" s="1"/>
  <c r="K339" i="608"/>
  <c r="K358" i="608"/>
  <c r="K439" i="608"/>
  <c r="K202" i="608" s="1"/>
  <c r="K402" i="608"/>
  <c r="K165" i="608" s="1"/>
  <c r="K407" i="608"/>
  <c r="K170" i="608" s="1"/>
  <c r="K418" i="608"/>
  <c r="K181" i="608" s="1"/>
  <c r="K422" i="608"/>
  <c r="K185" i="608" s="1"/>
  <c r="K431" i="608"/>
  <c r="K194" i="608" s="1"/>
  <c r="I369" i="608"/>
  <c r="I424" i="608"/>
  <c r="I187" i="608" s="1"/>
  <c r="I354" i="608"/>
  <c r="I398" i="608"/>
  <c r="I161" i="608" s="1"/>
  <c r="I405" i="608"/>
  <c r="I168" i="608" s="1"/>
  <c r="I328" i="608"/>
  <c r="I430" i="608"/>
  <c r="I193" i="608" s="1"/>
  <c r="I441" i="608"/>
  <c r="I204" i="608" s="1"/>
  <c r="I432" i="608"/>
  <c r="I195" i="608" s="1"/>
  <c r="I352" i="608"/>
  <c r="I373" i="608"/>
  <c r="I330" i="608"/>
  <c r="I417" i="608"/>
  <c r="I180" i="608" s="1"/>
  <c r="I326" i="608"/>
  <c r="I338" i="608"/>
  <c r="I348" i="608"/>
  <c r="I343" i="608"/>
  <c r="I390" i="608"/>
  <c r="I153" i="608" s="1"/>
  <c r="I437" i="608"/>
  <c r="I200" i="608" s="1"/>
  <c r="I355" i="608"/>
  <c r="I360" i="608"/>
  <c r="I345" i="608"/>
  <c r="I334" i="608"/>
  <c r="I425" i="608"/>
  <c r="I188" i="608" s="1"/>
  <c r="I419" i="608"/>
  <c r="I182" i="608" s="1"/>
  <c r="I427" i="608"/>
  <c r="I190" i="608" s="1"/>
  <c r="I406" i="608"/>
  <c r="I169" i="608" s="1"/>
  <c r="I321" i="608"/>
  <c r="I332" i="608"/>
  <c r="I337" i="608"/>
  <c r="I327" i="608"/>
  <c r="I442" i="608"/>
  <c r="I205" i="608" s="1"/>
  <c r="I429" i="608"/>
  <c r="I192" i="608" s="1"/>
  <c r="I349" i="608"/>
  <c r="I399" i="608"/>
  <c r="I162" i="608" s="1"/>
  <c r="I351" i="608"/>
  <c r="I418" i="608"/>
  <c r="I181" i="608" s="1"/>
  <c r="I395" i="608"/>
  <c r="I158" i="608" s="1"/>
  <c r="I389" i="608"/>
  <c r="I152" i="608" s="1"/>
  <c r="I421" i="608"/>
  <c r="I184" i="608" s="1"/>
  <c r="I361" i="608"/>
  <c r="I404" i="608"/>
  <c r="I167" i="608" s="1"/>
  <c r="I438" i="608"/>
  <c r="I201" i="608" s="1"/>
  <c r="I402" i="608"/>
  <c r="I165" i="608" s="1"/>
  <c r="I333" i="608"/>
  <c r="I231" i="608"/>
  <c r="I229" i="608" s="1"/>
  <c r="I344" i="608"/>
  <c r="I325" i="608"/>
  <c r="I371" i="608"/>
  <c r="I323" i="608"/>
  <c r="I436" i="608"/>
  <c r="I199" i="608" s="1"/>
  <c r="I397" i="608"/>
  <c r="I160" i="608" s="1"/>
  <c r="I434" i="608"/>
  <c r="I197" i="608" s="1"/>
  <c r="G17" i="48"/>
  <c r="I400" i="608"/>
  <c r="I163" i="608" s="1"/>
  <c r="I401" i="608"/>
  <c r="I164" i="608" s="1"/>
  <c r="I368" i="608"/>
  <c r="I318" i="608"/>
  <c r="I320" i="608"/>
  <c r="I366" i="608"/>
  <c r="I435" i="608"/>
  <c r="I198" i="608" s="1"/>
  <c r="I336" i="608"/>
  <c r="I324" i="608"/>
  <c r="I364" i="608"/>
  <c r="I403" i="608"/>
  <c r="I166" i="608" s="1"/>
  <c r="I359" i="608"/>
  <c r="I415" i="608"/>
  <c r="I178" i="608" s="1"/>
  <c r="I353" i="608"/>
  <c r="I420" i="608"/>
  <c r="I183" i="608" s="1"/>
  <c r="I393" i="608"/>
  <c r="I156" i="608" s="1"/>
  <c r="I362" i="608"/>
  <c r="I347" i="608"/>
  <c r="I341" i="608"/>
  <c r="I422" i="608"/>
  <c r="I185" i="608" s="1"/>
  <c r="I317" i="608"/>
  <c r="I331" i="608"/>
  <c r="I357" i="608"/>
  <c r="I329" i="608"/>
  <c r="I342" i="608"/>
  <c r="I440" i="608"/>
  <c r="I203" i="608" s="1"/>
  <c r="I387" i="608"/>
  <c r="I367" i="608"/>
  <c r="I443" i="608"/>
  <c r="I206" i="608" s="1"/>
  <c r="I433" i="608"/>
  <c r="I196" i="608" s="1"/>
  <c r="I396" i="608"/>
  <c r="I159" i="608" s="1"/>
  <c r="I411" i="608"/>
  <c r="I174" i="608" s="1"/>
  <c r="I413" i="608"/>
  <c r="I176" i="608" s="1"/>
  <c r="I372" i="608"/>
  <c r="I428" i="608"/>
  <c r="I191" i="608" s="1"/>
  <c r="I423" i="608"/>
  <c r="I186" i="608" s="1"/>
  <c r="I363" i="608"/>
  <c r="I426" i="608"/>
  <c r="I189" i="608" s="1"/>
  <c r="I335" i="608"/>
  <c r="I391" i="608"/>
  <c r="I154" i="608" s="1"/>
  <c r="I409" i="608"/>
  <c r="I172" i="608" s="1"/>
  <c r="I356" i="608"/>
  <c r="I340" i="608"/>
  <c r="I408" i="608"/>
  <c r="I171" i="608" s="1"/>
  <c r="I412" i="608"/>
  <c r="I175" i="608" s="1"/>
  <c r="I431" i="608"/>
  <c r="I194" i="608" s="1"/>
  <c r="I407" i="608"/>
  <c r="I170" i="608" s="1"/>
  <c r="I388" i="608"/>
  <c r="I151" i="608" s="1"/>
  <c r="I339" i="608"/>
  <c r="I358" i="608"/>
  <c r="I416" i="608"/>
  <c r="I179" i="608" s="1"/>
  <c r="I392" i="608"/>
  <c r="I155" i="608" s="1"/>
  <c r="I414" i="608"/>
  <c r="I177" i="608" s="1"/>
  <c r="I346" i="608"/>
  <c r="I410" i="608"/>
  <c r="I173" i="608" s="1"/>
  <c r="I365" i="608"/>
  <c r="I350" i="608"/>
  <c r="I322" i="608"/>
  <c r="I319" i="608"/>
  <c r="I370" i="608"/>
  <c r="I394" i="608"/>
  <c r="I157" i="608" s="1"/>
  <c r="I439" i="608"/>
  <c r="I202" i="608" s="1"/>
  <c r="H17" i="48"/>
  <c r="J396" i="608"/>
  <c r="J159" i="608" s="1"/>
  <c r="J332" i="608"/>
  <c r="J340" i="608"/>
  <c r="J417" i="608"/>
  <c r="J180" i="608" s="1"/>
  <c r="J352" i="608"/>
  <c r="J412" i="608"/>
  <c r="J175" i="608" s="1"/>
  <c r="J372" i="608"/>
  <c r="J334" i="608"/>
  <c r="J363" i="608"/>
  <c r="J324" i="608"/>
  <c r="J362" i="608"/>
  <c r="J361" i="608"/>
  <c r="J329" i="608"/>
  <c r="J431" i="608"/>
  <c r="J194" i="608" s="1"/>
  <c r="J320" i="608"/>
  <c r="J423" i="608"/>
  <c r="J186" i="608" s="1"/>
  <c r="J398" i="608"/>
  <c r="J161" i="608" s="1"/>
  <c r="J319" i="608"/>
  <c r="J346" i="608"/>
  <c r="J388" i="608"/>
  <c r="J151" i="608" s="1"/>
  <c r="J439" i="608"/>
  <c r="J202" i="608" s="1"/>
  <c r="J437" i="608"/>
  <c r="J200" i="608" s="1"/>
  <c r="J337" i="608"/>
  <c r="J365" i="608"/>
  <c r="J345" i="608"/>
  <c r="J422" i="608"/>
  <c r="J185" i="608" s="1"/>
  <c r="J430" i="608"/>
  <c r="J193" i="608" s="1"/>
  <c r="J425" i="608"/>
  <c r="J188" i="608" s="1"/>
  <c r="J393" i="608"/>
  <c r="J156" i="608" s="1"/>
  <c r="J371" i="608"/>
  <c r="J406" i="608"/>
  <c r="J169" i="608" s="1"/>
  <c r="J394" i="608"/>
  <c r="J157" i="608" s="1"/>
  <c r="J318" i="608"/>
  <c r="J428" i="608"/>
  <c r="J191" i="608" s="1"/>
  <c r="J433" i="608"/>
  <c r="J196" i="608" s="1"/>
  <c r="J407" i="608"/>
  <c r="J170" i="608" s="1"/>
  <c r="J368" i="608"/>
  <c r="J391" i="608"/>
  <c r="J154" i="608" s="1"/>
  <c r="J421" i="608"/>
  <c r="J184" i="608" s="1"/>
  <c r="J442" i="608"/>
  <c r="J205" i="608" s="1"/>
  <c r="J441" i="608"/>
  <c r="J204" i="608" s="1"/>
  <c r="J359" i="608"/>
  <c r="J426" i="608"/>
  <c r="J189" i="608" s="1"/>
  <c r="J317" i="608"/>
  <c r="J392" i="608"/>
  <c r="J155" i="608" s="1"/>
  <c r="J369" i="608"/>
  <c r="J419" i="608"/>
  <c r="J182" i="608" s="1"/>
  <c r="J333" i="608"/>
  <c r="J326" i="608"/>
  <c r="J414" i="608"/>
  <c r="J177" i="608" s="1"/>
  <c r="J353" i="608"/>
  <c r="J416" i="608"/>
  <c r="J179" i="608" s="1"/>
  <c r="J338" i="608"/>
  <c r="J330" i="608"/>
  <c r="J429" i="608"/>
  <c r="J192" i="608" s="1"/>
  <c r="J397" i="608"/>
  <c r="J160" i="608" s="1"/>
  <c r="J366" i="608"/>
  <c r="J322" i="608"/>
  <c r="J347" i="608"/>
  <c r="J231" i="608"/>
  <c r="J229" i="608" s="1"/>
  <c r="J434" i="608"/>
  <c r="J197" i="608" s="1"/>
  <c r="J351" i="608"/>
  <c r="J364" i="608"/>
  <c r="J410" i="608"/>
  <c r="J173" i="608" s="1"/>
  <c r="J328" i="608"/>
  <c r="J387" i="608"/>
  <c r="J150" i="608" s="1"/>
  <c r="J415" i="608"/>
  <c r="J178" i="608" s="1"/>
  <c r="J358" i="608"/>
  <c r="J389" i="608"/>
  <c r="J152" i="608" s="1"/>
  <c r="J418" i="608"/>
  <c r="J181" i="608" s="1"/>
  <c r="J438" i="608"/>
  <c r="J201" i="608" s="1"/>
  <c r="J390" i="608"/>
  <c r="J153" i="608" s="1"/>
  <c r="J402" i="608"/>
  <c r="J165" i="608" s="1"/>
  <c r="J413" i="608"/>
  <c r="J176" i="608" s="1"/>
  <c r="J420" i="608"/>
  <c r="J183" i="608" s="1"/>
  <c r="J348" i="608"/>
  <c r="J405" i="608"/>
  <c r="J168" i="608" s="1"/>
  <c r="J344" i="608"/>
  <c r="J357" i="608"/>
  <c r="J327" i="608"/>
  <c r="J435" i="608"/>
  <c r="J198" i="608" s="1"/>
  <c r="J360" i="608"/>
  <c r="J373" i="608"/>
  <c r="J424" i="608"/>
  <c r="J187" i="608" s="1"/>
  <c r="J343" i="608"/>
  <c r="J350" i="608"/>
  <c r="J440" i="608"/>
  <c r="J203" i="608" s="1"/>
  <c r="J432" i="608"/>
  <c r="J195" i="608" s="1"/>
  <c r="J401" i="608"/>
  <c r="J164" i="608" s="1"/>
  <c r="J323" i="608"/>
  <c r="J436" i="608"/>
  <c r="J199" i="608" s="1"/>
  <c r="J336" i="608"/>
  <c r="J367" i="608"/>
  <c r="J404" i="608"/>
  <c r="J167" i="608" s="1"/>
  <c r="J427" i="608"/>
  <c r="J190" i="608" s="1"/>
  <c r="J408" i="608"/>
  <c r="J171" i="608" s="1"/>
  <c r="J325" i="608"/>
  <c r="J400" i="608"/>
  <c r="J163" i="608" s="1"/>
  <c r="J342" i="608"/>
  <c r="J399" i="608"/>
  <c r="J162" i="608" s="1"/>
  <c r="J411" i="608"/>
  <c r="J174" i="608" s="1"/>
  <c r="J335" i="608"/>
  <c r="J356" i="608"/>
  <c r="J443" i="608"/>
  <c r="J206" i="608" s="1"/>
  <c r="J370" i="608"/>
  <c r="J409" i="608"/>
  <c r="J172" i="608" s="1"/>
  <c r="J355" i="608"/>
  <c r="J403" i="608"/>
  <c r="J166" i="608" s="1"/>
  <c r="J341" i="608"/>
  <c r="J321" i="608"/>
  <c r="J339" i="608"/>
  <c r="J349" i="608"/>
  <c r="J354" i="608"/>
  <c r="J331" i="608"/>
  <c r="J395" i="608"/>
  <c r="J158" i="608" s="1"/>
  <c r="D18" i="606"/>
  <c r="D20" i="606" s="1"/>
  <c r="F175" i="129"/>
  <c r="F173" i="129"/>
  <c r="G175" i="129"/>
  <c r="G173" i="129"/>
  <c r="E173" i="129"/>
  <c r="E175" i="129"/>
  <c r="C18" i="606"/>
  <c r="E11" i="606"/>
  <c r="E12" i="606" s="1"/>
  <c r="H173" i="129"/>
  <c r="H175" i="129"/>
  <c r="L577" i="608" l="1"/>
  <c r="I577" i="608"/>
  <c r="K577" i="608"/>
  <c r="J577" i="608"/>
  <c r="J173" i="823"/>
  <c r="J175" i="823"/>
  <c r="L375" i="608"/>
  <c r="L130" i="608" s="1"/>
  <c r="I375" i="608"/>
  <c r="I130" i="608" s="1"/>
  <c r="K375" i="608"/>
  <c r="K381" i="608" s="1"/>
  <c r="K383" i="608" s="1"/>
  <c r="J106" i="608"/>
  <c r="J315" i="127" s="1"/>
  <c r="J166" i="127"/>
  <c r="J159" i="127"/>
  <c r="J99" i="608"/>
  <c r="J308" i="127" s="1"/>
  <c r="J154" i="127"/>
  <c r="J94" i="608"/>
  <c r="J303" i="127" s="1"/>
  <c r="J184" i="127"/>
  <c r="J124" i="608"/>
  <c r="J333" i="127" s="1"/>
  <c r="J168" i="127"/>
  <c r="J108" i="608"/>
  <c r="J317" i="127" s="1"/>
  <c r="I102" i="608"/>
  <c r="I311" i="127" s="1"/>
  <c r="I162" i="127"/>
  <c r="I87" i="608"/>
  <c r="I296" i="127" s="1"/>
  <c r="I147" i="127"/>
  <c r="I182" i="127"/>
  <c r="I122" i="608"/>
  <c r="I331" i="127" s="1"/>
  <c r="I137" i="127"/>
  <c r="I77" i="608"/>
  <c r="I286" i="127" s="1"/>
  <c r="I86" i="608"/>
  <c r="I295" i="127" s="1"/>
  <c r="I146" i="127"/>
  <c r="K112" i="608"/>
  <c r="K579" i="608"/>
  <c r="K172" i="127"/>
  <c r="K170" i="127"/>
  <c r="K110" i="608"/>
  <c r="K578" i="608"/>
  <c r="K119" i="608"/>
  <c r="K328" i="127" s="1"/>
  <c r="K179" i="127"/>
  <c r="K86" i="608"/>
  <c r="K295" i="127" s="1"/>
  <c r="K146" i="127"/>
  <c r="K157" i="127"/>
  <c r="K97" i="608"/>
  <c r="K306" i="127" s="1"/>
  <c r="K96" i="608"/>
  <c r="K305" i="127" s="1"/>
  <c r="K156" i="127"/>
  <c r="L92" i="608"/>
  <c r="L573" i="608"/>
  <c r="L152" i="127"/>
  <c r="L123" i="608"/>
  <c r="L332" i="127" s="1"/>
  <c r="L183" i="127"/>
  <c r="L157" i="127"/>
  <c r="L97" i="608"/>
  <c r="L306" i="127" s="1"/>
  <c r="L90" i="608"/>
  <c r="L150" i="127"/>
  <c r="L89" i="608"/>
  <c r="L149" i="127"/>
  <c r="L96" i="608"/>
  <c r="L305" i="127" s="1"/>
  <c r="L156" i="127"/>
  <c r="J122" i="608"/>
  <c r="J331" i="127" s="1"/>
  <c r="J182" i="127"/>
  <c r="I172" i="127"/>
  <c r="I112" i="608"/>
  <c r="I579" i="608"/>
  <c r="I164" i="127"/>
  <c r="I104" i="608"/>
  <c r="I313" i="127" s="1"/>
  <c r="K573" i="608"/>
  <c r="K92" i="608"/>
  <c r="K152" i="127"/>
  <c r="K88" i="608"/>
  <c r="K297" i="127" s="1"/>
  <c r="K148" i="127"/>
  <c r="L87" i="608"/>
  <c r="L296" i="127" s="1"/>
  <c r="L147" i="127"/>
  <c r="I181" i="127"/>
  <c r="I121" i="608"/>
  <c r="I330" i="127" s="1"/>
  <c r="I92" i="608"/>
  <c r="I152" i="127"/>
  <c r="I573" i="608"/>
  <c r="I230" i="608"/>
  <c r="I457" i="608"/>
  <c r="I456" i="608"/>
  <c r="J146" i="127"/>
  <c r="J86" i="608"/>
  <c r="J295" i="127" s="1"/>
  <c r="I91" i="608"/>
  <c r="I300" i="127" s="1"/>
  <c r="I151" i="127"/>
  <c r="I89" i="608"/>
  <c r="I298" i="127" s="1"/>
  <c r="I149" i="127"/>
  <c r="I168" i="127"/>
  <c r="I108" i="608"/>
  <c r="I317" i="127" s="1"/>
  <c r="J147" i="127"/>
  <c r="J87" i="608"/>
  <c r="J296" i="127" s="1"/>
  <c r="J176" i="127"/>
  <c r="J116" i="608"/>
  <c r="J325" i="127" s="1"/>
  <c r="J75" i="608"/>
  <c r="J284" i="127" s="1"/>
  <c r="J135" i="127"/>
  <c r="I97" i="608"/>
  <c r="I306" i="127" s="1"/>
  <c r="I157" i="127"/>
  <c r="K102" i="608"/>
  <c r="K311" i="127" s="1"/>
  <c r="K162" i="127"/>
  <c r="L103" i="608"/>
  <c r="L163" i="127"/>
  <c r="I114" i="608"/>
  <c r="I174" i="127"/>
  <c r="I103" i="608"/>
  <c r="I312" i="127" s="1"/>
  <c r="I163" i="127"/>
  <c r="K114" i="608"/>
  <c r="K174" i="127"/>
  <c r="K107" i="608"/>
  <c r="K316" i="127" s="1"/>
  <c r="K167" i="127"/>
  <c r="L136" i="127"/>
  <c r="L76" i="608"/>
  <c r="L285" i="127" s="1"/>
  <c r="L121" i="608"/>
  <c r="L330" i="127" s="1"/>
  <c r="L181" i="127"/>
  <c r="L186" i="127"/>
  <c r="L126" i="608"/>
  <c r="L335" i="127" s="1"/>
  <c r="J105" i="608"/>
  <c r="J314" i="127" s="1"/>
  <c r="J165" i="127"/>
  <c r="J83" i="608"/>
  <c r="J292" i="127" s="1"/>
  <c r="J143" i="127"/>
  <c r="J89" i="608"/>
  <c r="J298" i="127" s="1"/>
  <c r="J149" i="127"/>
  <c r="I95" i="608"/>
  <c r="I304" i="127" s="1"/>
  <c r="I155" i="127"/>
  <c r="I178" i="127"/>
  <c r="I118" i="608"/>
  <c r="I327" i="127" s="1"/>
  <c r="I150" i="127"/>
  <c r="I90" i="608"/>
  <c r="I299" i="127" s="1"/>
  <c r="K155" i="127"/>
  <c r="K95" i="608"/>
  <c r="K304" i="127" s="1"/>
  <c r="K76" i="608"/>
  <c r="K285" i="127" s="1"/>
  <c r="K136" i="127"/>
  <c r="K165" i="127"/>
  <c r="K105" i="608"/>
  <c r="K314" i="127" s="1"/>
  <c r="K128" i="608"/>
  <c r="K337" i="127" s="1"/>
  <c r="K188" i="127"/>
  <c r="K93" i="608"/>
  <c r="K302" i="127" s="1"/>
  <c r="K153" i="127"/>
  <c r="L82" i="608"/>
  <c r="L291" i="127" s="1"/>
  <c r="L142" i="127"/>
  <c r="L164" i="127"/>
  <c r="L104" i="608"/>
  <c r="L313" i="127" s="1"/>
  <c r="L88" i="608"/>
  <c r="L148" i="127"/>
  <c r="L161" i="127"/>
  <c r="L101" i="608"/>
  <c r="L128" i="608"/>
  <c r="L188" i="127"/>
  <c r="J179" i="127"/>
  <c r="J119" i="608"/>
  <c r="J328" i="127" s="1"/>
  <c r="I141" i="127"/>
  <c r="I81" i="608"/>
  <c r="I290" i="127" s="1"/>
  <c r="L83" i="608"/>
  <c r="L292" i="127" s="1"/>
  <c r="L143" i="127"/>
  <c r="J150" i="127"/>
  <c r="J90" i="608"/>
  <c r="J299" i="127" s="1"/>
  <c r="I100" i="608"/>
  <c r="I309" i="127" s="1"/>
  <c r="I160" i="127"/>
  <c r="L102" i="608"/>
  <c r="L162" i="127"/>
  <c r="K161" i="127"/>
  <c r="K101" i="608"/>
  <c r="K310" i="127" s="1"/>
  <c r="J114" i="608"/>
  <c r="J174" i="127"/>
  <c r="I136" i="127"/>
  <c r="I76" i="608"/>
  <c r="I285" i="127" s="1"/>
  <c r="I129" i="608"/>
  <c r="I338" i="127" s="1"/>
  <c r="I189" i="127"/>
  <c r="K159" i="127"/>
  <c r="K99" i="608"/>
  <c r="K308" i="127" s="1"/>
  <c r="L78" i="608"/>
  <c r="L287" i="127" s="1"/>
  <c r="L138" i="127"/>
  <c r="L574" i="608"/>
  <c r="L173" i="127"/>
  <c r="L113" i="608"/>
  <c r="J96" i="608"/>
  <c r="J305" i="127" s="1"/>
  <c r="J156" i="127"/>
  <c r="L109" i="608"/>
  <c r="L575" i="608"/>
  <c r="L169" i="127"/>
  <c r="K180" i="127"/>
  <c r="K120" i="608"/>
  <c r="K329" i="127" s="1"/>
  <c r="J170" i="127"/>
  <c r="J110" i="608"/>
  <c r="J578" i="608"/>
  <c r="J74" i="608"/>
  <c r="J283" i="127" s="1"/>
  <c r="J134" i="127"/>
  <c r="K104" i="608"/>
  <c r="K313" i="127" s="1"/>
  <c r="K164" i="127"/>
  <c r="K158" i="127"/>
  <c r="K98" i="608"/>
  <c r="K580" i="608"/>
  <c r="L124" i="608"/>
  <c r="L333" i="127" s="1"/>
  <c r="L184" i="127"/>
  <c r="L185" i="127"/>
  <c r="L125" i="608"/>
  <c r="L334" i="127" s="1"/>
  <c r="J155" i="127"/>
  <c r="J95" i="608"/>
  <c r="J304" i="127" s="1"/>
  <c r="J173" i="127"/>
  <c r="J113" i="608"/>
  <c r="J574" i="608"/>
  <c r="J120" i="608"/>
  <c r="J329" i="127" s="1"/>
  <c r="J180" i="127"/>
  <c r="J136" i="127"/>
  <c r="J76" i="608"/>
  <c r="J285" i="127" s="1"/>
  <c r="I445" i="608"/>
  <c r="I207" i="608" s="1"/>
  <c r="I101" i="608"/>
  <c r="I310" i="127" s="1"/>
  <c r="I161" i="127"/>
  <c r="I576" i="608"/>
  <c r="I84" i="608"/>
  <c r="I144" i="127"/>
  <c r="K181" i="127"/>
  <c r="K121" i="608"/>
  <c r="K330" i="127" s="1"/>
  <c r="K147" i="127"/>
  <c r="K87" i="608"/>
  <c r="K296" i="127" s="1"/>
  <c r="K163" i="127"/>
  <c r="K103" i="608"/>
  <c r="K312" i="127" s="1"/>
  <c r="L105" i="608"/>
  <c r="L314" i="127" s="1"/>
  <c r="L165" i="127"/>
  <c r="L108" i="608"/>
  <c r="L168" i="127"/>
  <c r="I78" i="608"/>
  <c r="I287" i="127" s="1"/>
  <c r="I138" i="127"/>
  <c r="I82" i="608"/>
  <c r="I291" i="127" s="1"/>
  <c r="I142" i="127"/>
  <c r="L98" i="608"/>
  <c r="L158" i="127"/>
  <c r="L580" i="608"/>
  <c r="L111" i="608"/>
  <c r="L320" i="127" s="1"/>
  <c r="L171" i="127"/>
  <c r="J82" i="608"/>
  <c r="J291" i="127" s="1"/>
  <c r="J142" i="127"/>
  <c r="J137" i="127"/>
  <c r="J77" i="608"/>
  <c r="J286" i="127" s="1"/>
  <c r="K144" i="127"/>
  <c r="K576" i="608"/>
  <c r="K84" i="608"/>
  <c r="K90" i="608"/>
  <c r="K299" i="127" s="1"/>
  <c r="K150" i="127"/>
  <c r="K134" i="127"/>
  <c r="K74" i="608"/>
  <c r="K283" i="127" s="1"/>
  <c r="K109" i="608"/>
  <c r="K575" i="608"/>
  <c r="K169" i="127"/>
  <c r="K83" i="608"/>
  <c r="K292" i="127" s="1"/>
  <c r="K143" i="127"/>
  <c r="L106" i="608"/>
  <c r="L166" i="127"/>
  <c r="L85" i="608"/>
  <c r="L294" i="127" s="1"/>
  <c r="L145" i="127"/>
  <c r="L230" i="608"/>
  <c r="L457" i="608"/>
  <c r="L456" i="608"/>
  <c r="L100" i="608"/>
  <c r="L160" i="127"/>
  <c r="L139" i="127"/>
  <c r="L79" i="608"/>
  <c r="L288" i="127" s="1"/>
  <c r="L159" i="127"/>
  <c r="L99" i="608"/>
  <c r="L308" i="127" s="1"/>
  <c r="J126" i="608"/>
  <c r="J335" i="127" s="1"/>
  <c r="J186" i="127"/>
  <c r="L73" i="608"/>
  <c r="L133" i="127"/>
  <c r="L572" i="608"/>
  <c r="I106" i="608"/>
  <c r="I315" i="127" s="1"/>
  <c r="I166" i="127"/>
  <c r="I143" i="127"/>
  <c r="I83" i="608"/>
  <c r="I292" i="127" s="1"/>
  <c r="K187" i="127"/>
  <c r="K127" i="608"/>
  <c r="K336" i="127" s="1"/>
  <c r="K151" i="127"/>
  <c r="K91" i="608"/>
  <c r="K300" i="127" s="1"/>
  <c r="J579" i="608"/>
  <c r="J112" i="608"/>
  <c r="J172" i="127"/>
  <c r="J128" i="608"/>
  <c r="J337" i="127" s="1"/>
  <c r="J188" i="127"/>
  <c r="I85" i="608"/>
  <c r="I294" i="127" s="1"/>
  <c r="I145" i="127"/>
  <c r="K137" i="127"/>
  <c r="K77" i="608"/>
  <c r="K286" i="127" s="1"/>
  <c r="L81" i="608"/>
  <c r="L290" i="127" s="1"/>
  <c r="L141" i="127"/>
  <c r="K230" i="608"/>
  <c r="K456" i="608"/>
  <c r="K457" i="608"/>
  <c r="K100" i="608"/>
  <c r="K309" i="127" s="1"/>
  <c r="K160" i="127"/>
  <c r="K125" i="608"/>
  <c r="K334" i="127" s="1"/>
  <c r="K185" i="127"/>
  <c r="K79" i="608"/>
  <c r="K288" i="127" s="1"/>
  <c r="K139" i="127"/>
  <c r="L445" i="608"/>
  <c r="L207" i="608" s="1"/>
  <c r="J85" i="608"/>
  <c r="J294" i="127" s="1"/>
  <c r="J145" i="127"/>
  <c r="I109" i="608"/>
  <c r="I575" i="608"/>
  <c r="I169" i="127"/>
  <c r="I167" i="127"/>
  <c r="I107" i="608"/>
  <c r="I316" i="127" s="1"/>
  <c r="I171" i="127"/>
  <c r="I111" i="608"/>
  <c r="I320" i="127" s="1"/>
  <c r="K117" i="608"/>
  <c r="K326" i="127" s="1"/>
  <c r="K177" i="127"/>
  <c r="L182" i="127"/>
  <c r="L122" i="608"/>
  <c r="L137" i="127"/>
  <c r="L77" i="608"/>
  <c r="L286" i="127" s="1"/>
  <c r="L93" i="608"/>
  <c r="L153" i="127"/>
  <c r="L189" i="127"/>
  <c r="L129" i="608"/>
  <c r="L338" i="127" s="1"/>
  <c r="L135" i="127"/>
  <c r="L75" i="608"/>
  <c r="L284" i="127" s="1"/>
  <c r="J181" i="127"/>
  <c r="J121" i="608"/>
  <c r="J330" i="127" s="1"/>
  <c r="I140" i="127"/>
  <c r="I80" i="608"/>
  <c r="I289" i="127" s="1"/>
  <c r="K122" i="608"/>
  <c r="K331" i="127" s="1"/>
  <c r="K182" i="127"/>
  <c r="L579" i="608"/>
  <c r="L112" i="608"/>
  <c r="L172" i="127"/>
  <c r="K123" i="608"/>
  <c r="K332" i="127" s="1"/>
  <c r="K183" i="127"/>
  <c r="L151" i="127"/>
  <c r="L91" i="608"/>
  <c r="L300" i="127" s="1"/>
  <c r="J151" i="127"/>
  <c r="J91" i="608"/>
  <c r="J300" i="127" s="1"/>
  <c r="L117" i="608"/>
  <c r="L326" i="127" s="1"/>
  <c r="L177" i="127"/>
  <c r="J445" i="608"/>
  <c r="I119" i="608"/>
  <c r="I328" i="127" s="1"/>
  <c r="I179" i="127"/>
  <c r="L74" i="608"/>
  <c r="L283" i="127" s="1"/>
  <c r="L134" i="127"/>
  <c r="L114" i="608"/>
  <c r="L174" i="127"/>
  <c r="L127" i="608"/>
  <c r="L336" i="127" s="1"/>
  <c r="L187" i="127"/>
  <c r="J129" i="608"/>
  <c r="J338" i="127" s="1"/>
  <c r="J189" i="127"/>
  <c r="J148" i="127"/>
  <c r="J88" i="608"/>
  <c r="J297" i="127" s="1"/>
  <c r="I184" i="127"/>
  <c r="I124" i="608"/>
  <c r="I333" i="127" s="1"/>
  <c r="I117" i="608"/>
  <c r="I326" i="127" s="1"/>
  <c r="I177" i="127"/>
  <c r="L146" i="127"/>
  <c r="L86" i="608"/>
  <c r="L295" i="127" s="1"/>
  <c r="J125" i="608"/>
  <c r="J334" i="127" s="1"/>
  <c r="J185" i="127"/>
  <c r="J127" i="608"/>
  <c r="J336" i="127" s="1"/>
  <c r="J187" i="127"/>
  <c r="I116" i="608"/>
  <c r="I325" i="127" s="1"/>
  <c r="I176" i="127"/>
  <c r="J97" i="608"/>
  <c r="J306" i="127" s="1"/>
  <c r="J157" i="127"/>
  <c r="J183" i="127"/>
  <c r="J123" i="608"/>
  <c r="J332" i="127" s="1"/>
  <c r="J92" i="608"/>
  <c r="J152" i="127"/>
  <c r="J573" i="608"/>
  <c r="J164" i="127"/>
  <c r="J104" i="608"/>
  <c r="J313" i="127" s="1"/>
  <c r="J457" i="608"/>
  <c r="J456" i="608"/>
  <c r="J230" i="608"/>
  <c r="J133" i="127"/>
  <c r="J73" i="608"/>
  <c r="J572" i="608"/>
  <c r="J117" i="608"/>
  <c r="J326" i="127" s="1"/>
  <c r="J177" i="127"/>
  <c r="I110" i="608"/>
  <c r="I578" i="608"/>
  <c r="I170" i="127"/>
  <c r="K138" i="127"/>
  <c r="K78" i="608"/>
  <c r="K287" i="127" s="1"/>
  <c r="K118" i="608"/>
  <c r="K327" i="127" s="1"/>
  <c r="K178" i="127"/>
  <c r="K176" i="127"/>
  <c r="K116" i="608"/>
  <c r="K325" i="127" s="1"/>
  <c r="K129" i="608"/>
  <c r="K338" i="127" s="1"/>
  <c r="K189" i="127"/>
  <c r="L80" i="608"/>
  <c r="L289" i="127" s="1"/>
  <c r="L140" i="127"/>
  <c r="L144" i="127"/>
  <c r="L84" i="608"/>
  <c r="L576" i="608"/>
  <c r="K115" i="608"/>
  <c r="K324" i="127" s="1"/>
  <c r="K175" i="127"/>
  <c r="I153" i="127"/>
  <c r="I93" i="608"/>
  <c r="I302" i="127" s="1"/>
  <c r="K145" i="127"/>
  <c r="K85" i="608"/>
  <c r="K294" i="127" s="1"/>
  <c r="I148" i="127"/>
  <c r="I88" i="608"/>
  <c r="I297" i="127" s="1"/>
  <c r="K80" i="608"/>
  <c r="K289" i="127" s="1"/>
  <c r="K140" i="127"/>
  <c r="J84" i="608"/>
  <c r="J144" i="127"/>
  <c r="J576" i="608"/>
  <c r="I188" i="127"/>
  <c r="I128" i="608"/>
  <c r="I337" i="127" s="1"/>
  <c r="J107" i="608"/>
  <c r="J316" i="127" s="1"/>
  <c r="J167" i="127"/>
  <c r="J171" i="127"/>
  <c r="J111" i="608"/>
  <c r="J320" i="127" s="1"/>
  <c r="J118" i="608"/>
  <c r="J327" i="127" s="1"/>
  <c r="J178" i="127"/>
  <c r="I186" i="127"/>
  <c r="I126" i="608"/>
  <c r="I335" i="127" s="1"/>
  <c r="I115" i="608"/>
  <c r="I324" i="127" s="1"/>
  <c r="I175" i="127"/>
  <c r="K75" i="608"/>
  <c r="K284" i="127" s="1"/>
  <c r="K135" i="127"/>
  <c r="K142" i="127"/>
  <c r="K82" i="608"/>
  <c r="K291" i="127" s="1"/>
  <c r="K81" i="608"/>
  <c r="K290" i="127" s="1"/>
  <c r="K141" i="127"/>
  <c r="K113" i="608"/>
  <c r="K574" i="608"/>
  <c r="K173" i="127"/>
  <c r="K108" i="608"/>
  <c r="K317" i="127" s="1"/>
  <c r="K168" i="127"/>
  <c r="K73" i="608"/>
  <c r="K133" i="127"/>
  <c r="K572" i="608"/>
  <c r="L170" i="127"/>
  <c r="L578" i="608"/>
  <c r="L110" i="608"/>
  <c r="L94" i="608"/>
  <c r="L154" i="127"/>
  <c r="L119" i="608"/>
  <c r="L328" i="127" s="1"/>
  <c r="L179" i="127"/>
  <c r="L115" i="608"/>
  <c r="L175" i="127"/>
  <c r="H358" i="608"/>
  <c r="H330" i="608"/>
  <c r="H336" i="608"/>
  <c r="H422" i="608"/>
  <c r="H185" i="608" s="1"/>
  <c r="H443" i="608"/>
  <c r="H206" i="608" s="1"/>
  <c r="H396" i="608"/>
  <c r="H159" i="608" s="1"/>
  <c r="H363" i="608"/>
  <c r="F17" i="48"/>
  <c r="H423" i="608"/>
  <c r="H186" i="608" s="1"/>
  <c r="H344" i="608"/>
  <c r="H323" i="608"/>
  <c r="H342" i="608"/>
  <c r="H331" i="608"/>
  <c r="H431" i="608"/>
  <c r="H194" i="608" s="1"/>
  <c r="H353" i="608"/>
  <c r="H321" i="608"/>
  <c r="H325" i="608"/>
  <c r="H361" i="608"/>
  <c r="H347" i="608"/>
  <c r="H328" i="608"/>
  <c r="H427" i="608"/>
  <c r="H190" i="608" s="1"/>
  <c r="H333" i="608"/>
  <c r="H337" i="608"/>
  <c r="H231" i="608"/>
  <c r="H229" i="608" s="1"/>
  <c r="H426" i="608"/>
  <c r="H189" i="608" s="1"/>
  <c r="H403" i="608"/>
  <c r="H166" i="608" s="1"/>
  <c r="H435" i="608"/>
  <c r="H198" i="608" s="1"/>
  <c r="H345" i="608"/>
  <c r="H349" i="608"/>
  <c r="H391" i="608"/>
  <c r="H154" i="608" s="1"/>
  <c r="H373" i="608"/>
  <c r="H324" i="608"/>
  <c r="H392" i="608"/>
  <c r="H155" i="608" s="1"/>
  <c r="H406" i="608"/>
  <c r="H169" i="608" s="1"/>
  <c r="H402" i="608"/>
  <c r="H165" i="608" s="1"/>
  <c r="H407" i="608"/>
  <c r="H170" i="608" s="1"/>
  <c r="H319" i="608"/>
  <c r="H339" i="608"/>
  <c r="H343" i="608"/>
  <c r="H394" i="608"/>
  <c r="H157" i="608" s="1"/>
  <c r="H405" i="608"/>
  <c r="H168" i="608" s="1"/>
  <c r="H356" i="608"/>
  <c r="H442" i="608"/>
  <c r="H205" i="608" s="1"/>
  <c r="H410" i="608"/>
  <c r="H173" i="608" s="1"/>
  <c r="H365" i="608"/>
  <c r="H428" i="608"/>
  <c r="H191" i="608" s="1"/>
  <c r="H430" i="608"/>
  <c r="H193" i="608" s="1"/>
  <c r="H320" i="608"/>
  <c r="H420" i="608"/>
  <c r="H183" i="608" s="1"/>
  <c r="H418" i="608"/>
  <c r="H181" i="608" s="1"/>
  <c r="H421" i="608"/>
  <c r="H184" i="608" s="1"/>
  <c r="H341" i="608"/>
  <c r="H439" i="608"/>
  <c r="H202" i="608" s="1"/>
  <c r="H350" i="608"/>
  <c r="H429" i="608"/>
  <c r="H192" i="608" s="1"/>
  <c r="H399" i="608"/>
  <c r="H162" i="608" s="1"/>
  <c r="H322" i="608"/>
  <c r="H369" i="608"/>
  <c r="H393" i="608"/>
  <c r="H156" i="608" s="1"/>
  <c r="H401" i="608"/>
  <c r="H164" i="608" s="1"/>
  <c r="H424" i="608"/>
  <c r="H187" i="608" s="1"/>
  <c r="H368" i="608"/>
  <c r="H408" i="608"/>
  <c r="H171" i="608" s="1"/>
  <c r="H335" i="608"/>
  <c r="H417" i="608"/>
  <c r="H180" i="608" s="1"/>
  <c r="H409" i="608"/>
  <c r="H172" i="608" s="1"/>
  <c r="H317" i="608"/>
  <c r="H432" i="608"/>
  <c r="H195" i="608" s="1"/>
  <c r="H332" i="608"/>
  <c r="H416" i="608"/>
  <c r="H179" i="608" s="1"/>
  <c r="H387" i="608"/>
  <c r="H414" i="608"/>
  <c r="H177" i="608" s="1"/>
  <c r="H419" i="608"/>
  <c r="H182" i="608" s="1"/>
  <c r="H388" i="608"/>
  <c r="H151" i="608" s="1"/>
  <c r="H411" i="608"/>
  <c r="H174" i="608" s="1"/>
  <c r="H436" i="608"/>
  <c r="H199" i="608" s="1"/>
  <c r="H329" i="608"/>
  <c r="H354" i="608"/>
  <c r="H397" i="608"/>
  <c r="H160" i="608" s="1"/>
  <c r="H362" i="608"/>
  <c r="H413" i="608"/>
  <c r="H176" i="608" s="1"/>
  <c r="H389" i="608"/>
  <c r="H152" i="608" s="1"/>
  <c r="H390" i="608"/>
  <c r="H153" i="608" s="1"/>
  <c r="H398" i="608"/>
  <c r="H161" i="608" s="1"/>
  <c r="H404" i="608"/>
  <c r="H167" i="608" s="1"/>
  <c r="H437" i="608"/>
  <c r="H200" i="608" s="1"/>
  <c r="H434" i="608"/>
  <c r="H197" i="608" s="1"/>
  <c r="H340" i="608"/>
  <c r="H395" i="608"/>
  <c r="H158" i="608" s="1"/>
  <c r="H367" i="608"/>
  <c r="H364" i="608"/>
  <c r="H360" i="608"/>
  <c r="H355" i="608"/>
  <c r="H346" i="608"/>
  <c r="H348" i="608"/>
  <c r="H440" i="608"/>
  <c r="H203" i="608" s="1"/>
  <c r="H400" i="608"/>
  <c r="H163" i="608" s="1"/>
  <c r="H415" i="608"/>
  <c r="H178" i="608" s="1"/>
  <c r="H351" i="608"/>
  <c r="H326" i="608"/>
  <c r="H352" i="608"/>
  <c r="H327" i="608"/>
  <c r="H359" i="608"/>
  <c r="H433" i="608"/>
  <c r="H196" i="608" s="1"/>
  <c r="H372" i="608"/>
  <c r="H334" i="608"/>
  <c r="H366" i="608"/>
  <c r="H338" i="608"/>
  <c r="H412" i="608"/>
  <c r="H175" i="608" s="1"/>
  <c r="H370" i="608"/>
  <c r="H441" i="608"/>
  <c r="H204" i="608" s="1"/>
  <c r="H425" i="608"/>
  <c r="H188" i="608" s="1"/>
  <c r="H371" i="608"/>
  <c r="H438" i="608"/>
  <c r="H201" i="608" s="1"/>
  <c r="H318" i="608"/>
  <c r="H357" i="608"/>
  <c r="J161" i="127"/>
  <c r="J101" i="608"/>
  <c r="J310" i="127" s="1"/>
  <c r="I120" i="608"/>
  <c r="I329" i="127" s="1"/>
  <c r="I180" i="127"/>
  <c r="K166" i="127"/>
  <c r="K106" i="608"/>
  <c r="K315" i="127" s="1"/>
  <c r="I580" i="608"/>
  <c r="I98" i="608"/>
  <c r="I158" i="127"/>
  <c r="I154" i="127"/>
  <c r="I94" i="608"/>
  <c r="I303" i="127" s="1"/>
  <c r="K445" i="608"/>
  <c r="K207" i="608" s="1"/>
  <c r="L120" i="608"/>
  <c r="L329" i="127" s="1"/>
  <c r="L180" i="127"/>
  <c r="L95" i="608"/>
  <c r="L304" i="127" s="1"/>
  <c r="L155" i="127"/>
  <c r="J153" i="127"/>
  <c r="J93" i="608"/>
  <c r="J302" i="127" s="1"/>
  <c r="I574" i="608"/>
  <c r="I173" i="127"/>
  <c r="I113" i="608"/>
  <c r="L116" i="608"/>
  <c r="L325" i="127" s="1"/>
  <c r="L176" i="127"/>
  <c r="J375" i="608"/>
  <c r="I73" i="608"/>
  <c r="I133" i="127"/>
  <c r="I572" i="608"/>
  <c r="J580" i="608"/>
  <c r="J98" i="608"/>
  <c r="J158" i="127"/>
  <c r="J575" i="608"/>
  <c r="J109" i="608"/>
  <c r="J169" i="127"/>
  <c r="J162" i="127"/>
  <c r="J102" i="608"/>
  <c r="J311" i="127" s="1"/>
  <c r="I134" i="127"/>
  <c r="I74" i="608"/>
  <c r="I283" i="127" s="1"/>
  <c r="K124" i="608"/>
  <c r="K333" i="127" s="1"/>
  <c r="K184" i="127"/>
  <c r="K94" i="608"/>
  <c r="K303" i="127" s="1"/>
  <c r="K154" i="127"/>
  <c r="L167" i="127"/>
  <c r="L107" i="608"/>
  <c r="J141" i="127"/>
  <c r="J81" i="608"/>
  <c r="J290" i="127" s="1"/>
  <c r="J100" i="608"/>
  <c r="J309" i="127" s="1"/>
  <c r="J160" i="127"/>
  <c r="J163" i="127"/>
  <c r="J103" i="608"/>
  <c r="J312" i="127" s="1"/>
  <c r="I123" i="608"/>
  <c r="I332" i="127" s="1"/>
  <c r="I183" i="127"/>
  <c r="I79" i="608"/>
  <c r="I288" i="127" s="1"/>
  <c r="I139" i="127"/>
  <c r="I165" i="127"/>
  <c r="I105" i="608"/>
  <c r="I314" i="127" s="1"/>
  <c r="J139" i="127"/>
  <c r="J79" i="608"/>
  <c r="J288" i="127" s="1"/>
  <c r="J138" i="127"/>
  <c r="J78" i="608"/>
  <c r="J287" i="127" s="1"/>
  <c r="J175" i="127"/>
  <c r="J115" i="608"/>
  <c r="J324" i="127" s="1"/>
  <c r="J140" i="127"/>
  <c r="J80" i="608"/>
  <c r="J289" i="127" s="1"/>
  <c r="I75" i="608"/>
  <c r="I284" i="127" s="1"/>
  <c r="I135" i="127"/>
  <c r="I156" i="127"/>
  <c r="I96" i="608"/>
  <c r="I305" i="127" s="1"/>
  <c r="I150" i="608"/>
  <c r="I187" i="127"/>
  <c r="I127" i="608"/>
  <c r="I336" i="127" s="1"/>
  <c r="I99" i="608"/>
  <c r="I308" i="127" s="1"/>
  <c r="I159" i="127"/>
  <c r="I125" i="608"/>
  <c r="I334" i="127" s="1"/>
  <c r="I185" i="127"/>
  <c r="K150" i="608"/>
  <c r="K126" i="608"/>
  <c r="K335" i="127" s="1"/>
  <c r="K186" i="127"/>
  <c r="K111" i="608"/>
  <c r="K320" i="127" s="1"/>
  <c r="K171" i="127"/>
  <c r="K89" i="608"/>
  <c r="K298" i="127" s="1"/>
  <c r="K149" i="127"/>
  <c r="L150" i="608"/>
  <c r="L178" i="127"/>
  <c r="L118" i="608"/>
  <c r="G299" i="743"/>
  <c r="G231" i="743"/>
  <c r="G58" i="743"/>
  <c r="G88" i="743"/>
  <c r="G194" i="743"/>
  <c r="G125" i="743"/>
  <c r="G263" i="743"/>
  <c r="G162" i="743"/>
  <c r="D7" i="186"/>
  <c r="D10" i="186"/>
  <c r="D9" i="186"/>
  <c r="D11" i="186"/>
  <c r="D12" i="186"/>
  <c r="D15" i="186"/>
  <c r="D8" i="186"/>
  <c r="D14" i="186"/>
  <c r="E18" i="606"/>
  <c r="E46" i="39"/>
  <c r="L381" i="608" l="1"/>
  <c r="L383" i="608" s="1"/>
  <c r="I381" i="608"/>
  <c r="I383" i="608" s="1"/>
  <c r="H577" i="608"/>
  <c r="L323" i="127"/>
  <c r="L535" i="608"/>
  <c r="J323" i="127"/>
  <c r="J535" i="608"/>
  <c r="I323" i="127"/>
  <c r="I255" i="127" s="1"/>
  <c r="I535" i="608"/>
  <c r="K323" i="127"/>
  <c r="K255" i="127" s="1"/>
  <c r="K535" i="608"/>
  <c r="K247" i="127"/>
  <c r="K130" i="608"/>
  <c r="K144" i="608" s="1"/>
  <c r="K146" i="608" s="1"/>
  <c r="J458" i="608"/>
  <c r="L451" i="608"/>
  <c r="L453" i="608" s="1"/>
  <c r="L454" i="608" s="1"/>
  <c r="I458" i="608"/>
  <c r="L212" i="608"/>
  <c r="L214" i="608" s="1"/>
  <c r="L458" i="608"/>
  <c r="L585" i="608"/>
  <c r="L586" i="608" s="1"/>
  <c r="H375" i="608"/>
  <c r="H130" i="608" s="1"/>
  <c r="K212" i="608"/>
  <c r="K214" i="608" s="1"/>
  <c r="I321" i="127"/>
  <c r="I253" i="127" s="1"/>
  <c r="I537" i="608"/>
  <c r="I615" i="608" s="1"/>
  <c r="J585" i="608"/>
  <c r="J198" i="127"/>
  <c r="J130" i="608"/>
  <c r="H121" i="608"/>
  <c r="H330" i="127" s="1"/>
  <c r="H181" i="127"/>
  <c r="H122" i="608"/>
  <c r="H331" i="127" s="1"/>
  <c r="H182" i="127"/>
  <c r="H79" i="608"/>
  <c r="H288" i="127" s="1"/>
  <c r="H139" i="127"/>
  <c r="L302" i="127"/>
  <c r="L198" i="127"/>
  <c r="H86" i="608"/>
  <c r="H295" i="127" s="1"/>
  <c r="H146" i="127"/>
  <c r="H174" i="127"/>
  <c r="H114" i="608"/>
  <c r="H118" i="608"/>
  <c r="H327" i="127" s="1"/>
  <c r="H178" i="127"/>
  <c r="H80" i="608"/>
  <c r="H289" i="127" s="1"/>
  <c r="H140" i="127"/>
  <c r="K538" i="608"/>
  <c r="K616" i="608" s="1"/>
  <c r="K307" i="127"/>
  <c r="K239" i="127" s="1"/>
  <c r="H169" i="127"/>
  <c r="H575" i="608"/>
  <c r="H109" i="608"/>
  <c r="L327" i="127"/>
  <c r="H126" i="608"/>
  <c r="H335" i="127" s="1"/>
  <c r="H186" i="127"/>
  <c r="I322" i="127"/>
  <c r="I254" i="127" s="1"/>
  <c r="I532" i="608"/>
  <c r="I610" i="608" s="1"/>
  <c r="L303" i="127"/>
  <c r="J293" i="127"/>
  <c r="J225" i="127" s="1"/>
  <c r="J534" i="608"/>
  <c r="J612" i="608" s="1"/>
  <c r="J529" i="608"/>
  <c r="J282" i="127"/>
  <c r="J214" i="127" s="1"/>
  <c r="H90" i="608"/>
  <c r="H299" i="127" s="1"/>
  <c r="H150" i="127"/>
  <c r="H183" i="127"/>
  <c r="H123" i="608"/>
  <c r="H332" i="127" s="1"/>
  <c r="H264" i="127" s="1"/>
  <c r="H185" i="127"/>
  <c r="H125" i="608"/>
  <c r="H334" i="127" s="1"/>
  <c r="H172" i="127"/>
  <c r="H579" i="608"/>
  <c r="H112" i="608"/>
  <c r="H100" i="608"/>
  <c r="H309" i="127" s="1"/>
  <c r="H160" i="127"/>
  <c r="L319" i="127"/>
  <c r="L536" i="608"/>
  <c r="L614" i="608" s="1"/>
  <c r="L321" i="127"/>
  <c r="L537" i="608"/>
  <c r="L615" i="608" s="1"/>
  <c r="L529" i="608"/>
  <c r="L282" i="127"/>
  <c r="L144" i="608"/>
  <c r="L146" i="608" s="1"/>
  <c r="L315" i="127"/>
  <c r="L298" i="127"/>
  <c r="I144" i="608"/>
  <c r="I146" i="608" s="1"/>
  <c r="I347" i="127"/>
  <c r="I547" i="608"/>
  <c r="K458" i="608"/>
  <c r="L301" i="127"/>
  <c r="L530" i="608"/>
  <c r="L609" i="608" s="1"/>
  <c r="I319" i="127"/>
  <c r="I251" i="127" s="1"/>
  <c r="I536" i="608"/>
  <c r="I614" i="608" s="1"/>
  <c r="L297" i="127"/>
  <c r="L324" i="127"/>
  <c r="K534" i="608"/>
  <c r="K612" i="608" s="1"/>
  <c r="K293" i="127"/>
  <c r="K225" i="127" s="1"/>
  <c r="H171" i="127"/>
  <c r="H111" i="608"/>
  <c r="H320" i="127" s="1"/>
  <c r="L347" i="127"/>
  <c r="L547" i="608"/>
  <c r="H188" i="127"/>
  <c r="H128" i="608"/>
  <c r="H337" i="127" s="1"/>
  <c r="H78" i="608"/>
  <c r="H287" i="127" s="1"/>
  <c r="H138" i="127"/>
  <c r="J532" i="608"/>
  <c r="J610" i="608" s="1"/>
  <c r="J322" i="127"/>
  <c r="J254" i="127" s="1"/>
  <c r="J536" i="608"/>
  <c r="J614" i="608" s="1"/>
  <c r="I585" i="608"/>
  <c r="H137" i="127"/>
  <c r="H77" i="608"/>
  <c r="H286" i="127" s="1"/>
  <c r="H129" i="608"/>
  <c r="H338" i="127" s="1"/>
  <c r="H189" i="127"/>
  <c r="H87" i="608"/>
  <c r="H296" i="127" s="1"/>
  <c r="H147" i="127"/>
  <c r="I451" i="608"/>
  <c r="I453" i="608" s="1"/>
  <c r="I454" i="608" s="1"/>
  <c r="H456" i="608"/>
  <c r="H230" i="608"/>
  <c r="H457" i="608"/>
  <c r="L299" i="127"/>
  <c r="I198" i="127"/>
  <c r="I293" i="127"/>
  <c r="I225" i="127" s="1"/>
  <c r="I534" i="608"/>
  <c r="I612" i="608" s="1"/>
  <c r="H187" i="127"/>
  <c r="H127" i="608"/>
  <c r="H336" i="127" s="1"/>
  <c r="H268" i="127" s="1"/>
  <c r="H151" i="127"/>
  <c r="H91" i="608"/>
  <c r="H300" i="127" s="1"/>
  <c r="H102" i="608"/>
  <c r="H311" i="127" s="1"/>
  <c r="H162" i="127"/>
  <c r="H124" i="608"/>
  <c r="H333" i="127" s="1"/>
  <c r="H184" i="127"/>
  <c r="L317" i="127"/>
  <c r="I301" i="127"/>
  <c r="I233" i="127" s="1"/>
  <c r="I530" i="608"/>
  <c r="I609" i="608" s="1"/>
  <c r="J381" i="608"/>
  <c r="J383" i="608" s="1"/>
  <c r="L209" i="127"/>
  <c r="L331" i="127"/>
  <c r="H159" i="127"/>
  <c r="H99" i="608"/>
  <c r="H308" i="127" s="1"/>
  <c r="H153" i="127"/>
  <c r="H93" i="608"/>
  <c r="H302" i="127" s="1"/>
  <c r="H119" i="608"/>
  <c r="H328" i="127" s="1"/>
  <c r="H179" i="127"/>
  <c r="J537" i="608"/>
  <c r="J615" i="608" s="1"/>
  <c r="J321" i="127"/>
  <c r="J253" i="127" s="1"/>
  <c r="K319" i="127"/>
  <c r="K251" i="127" s="1"/>
  <c r="K536" i="608"/>
  <c r="K614" i="608" s="1"/>
  <c r="K585" i="608"/>
  <c r="L533" i="608"/>
  <c r="L611" i="608" s="1"/>
  <c r="L318" i="127"/>
  <c r="K321" i="127"/>
  <c r="K253" i="127" s="1"/>
  <c r="K537" i="608"/>
  <c r="K615" i="608" s="1"/>
  <c r="H81" i="608"/>
  <c r="H290" i="127" s="1"/>
  <c r="H141" i="127"/>
  <c r="K532" i="608"/>
  <c r="K610" i="608" s="1"/>
  <c r="K322" i="127"/>
  <c r="K254" i="127" s="1"/>
  <c r="L322" i="127"/>
  <c r="L532" i="608"/>
  <c r="L293" i="127"/>
  <c r="L534" i="608"/>
  <c r="H105" i="608"/>
  <c r="H314" i="127" s="1"/>
  <c r="H165" i="127"/>
  <c r="H94" i="608"/>
  <c r="H303" i="127" s="1"/>
  <c r="H154" i="127"/>
  <c r="H158" i="127"/>
  <c r="H580" i="608"/>
  <c r="H98" i="608"/>
  <c r="H96" i="608"/>
  <c r="H305" i="127" s="1"/>
  <c r="H156" i="127"/>
  <c r="J533" i="608"/>
  <c r="J611" i="608" s="1"/>
  <c r="J318" i="127"/>
  <c r="J250" i="127" s="1"/>
  <c r="H115" i="608"/>
  <c r="H324" i="127" s="1"/>
  <c r="H175" i="127"/>
  <c r="H150" i="608"/>
  <c r="H83" i="608"/>
  <c r="H292" i="127" s="1"/>
  <c r="H143" i="127"/>
  <c r="H106" i="608"/>
  <c r="H315" i="127" s="1"/>
  <c r="H166" i="127"/>
  <c r="H95" i="608"/>
  <c r="H304" i="127" s="1"/>
  <c r="H155" i="127"/>
  <c r="H149" i="127"/>
  <c r="H89" i="608"/>
  <c r="H298" i="127" s="1"/>
  <c r="J319" i="127"/>
  <c r="J251" i="127" s="1"/>
  <c r="L312" i="127"/>
  <c r="K530" i="608"/>
  <c r="K609" i="608" s="1"/>
  <c r="K301" i="127"/>
  <c r="K233" i="127" s="1"/>
  <c r="K198" i="127"/>
  <c r="H134" i="127"/>
  <c r="H74" i="608"/>
  <c r="H283" i="127" s="1"/>
  <c r="H133" i="127"/>
  <c r="H572" i="608"/>
  <c r="H73" i="608"/>
  <c r="H92" i="608"/>
  <c r="H573" i="608"/>
  <c r="H152" i="127"/>
  <c r="J530" i="608"/>
  <c r="J609" i="608" s="1"/>
  <c r="J301" i="127"/>
  <c r="J233" i="127" s="1"/>
  <c r="L311" i="127"/>
  <c r="I529" i="608"/>
  <c r="I282" i="127"/>
  <c r="I214" i="127" s="1"/>
  <c r="H104" i="608"/>
  <c r="H313" i="127" s="1"/>
  <c r="H164" i="127"/>
  <c r="I307" i="127"/>
  <c r="I239" i="127" s="1"/>
  <c r="I538" i="608"/>
  <c r="I616" i="608" s="1"/>
  <c r="H578" i="608"/>
  <c r="H170" i="127"/>
  <c r="H110" i="608"/>
  <c r="H101" i="608"/>
  <c r="H310" i="127" s="1"/>
  <c r="H161" i="127"/>
  <c r="I212" i="608"/>
  <c r="I214" i="608" s="1"/>
  <c r="H180" i="127"/>
  <c r="H120" i="608"/>
  <c r="H329" i="127" s="1"/>
  <c r="H445" i="608"/>
  <c r="H207" i="608" s="1"/>
  <c r="H168" i="127"/>
  <c r="H108" i="608"/>
  <c r="H317" i="127" s="1"/>
  <c r="H148" i="127"/>
  <c r="H88" i="608"/>
  <c r="H297" i="127" s="1"/>
  <c r="H75" i="608"/>
  <c r="H284" i="127" s="1"/>
  <c r="H135" i="127"/>
  <c r="K282" i="127"/>
  <c r="K214" i="127" s="1"/>
  <c r="K529" i="608"/>
  <c r="J451" i="608"/>
  <c r="J453" i="608" s="1"/>
  <c r="J207" i="608"/>
  <c r="J212" i="608" s="1"/>
  <c r="J214" i="608" s="1"/>
  <c r="H167" i="127"/>
  <c r="H107" i="608"/>
  <c r="H316" i="127" s="1"/>
  <c r="H103" i="608"/>
  <c r="H312" i="127" s="1"/>
  <c r="H163" i="127"/>
  <c r="L310" i="127"/>
  <c r="L316" i="127"/>
  <c r="I209" i="127"/>
  <c r="H117" i="608"/>
  <c r="H326" i="127" s="1"/>
  <c r="H177" i="127"/>
  <c r="L309" i="127"/>
  <c r="H76" i="608"/>
  <c r="H285" i="127" s="1"/>
  <c r="H136" i="127"/>
  <c r="I318" i="127"/>
  <c r="I250" i="127" s="1"/>
  <c r="I533" i="608"/>
  <c r="I611" i="608" s="1"/>
  <c r="H85" i="608"/>
  <c r="H294" i="127" s="1"/>
  <c r="H145" i="127"/>
  <c r="H116" i="608"/>
  <c r="H325" i="127" s="1"/>
  <c r="H176" i="127"/>
  <c r="K451" i="608"/>
  <c r="K453" i="608" s="1"/>
  <c r="K454" i="608" s="1"/>
  <c r="J307" i="127"/>
  <c r="J239" i="127" s="1"/>
  <c r="J538" i="608"/>
  <c r="J616" i="608" s="1"/>
  <c r="H113" i="608"/>
  <c r="H574" i="608"/>
  <c r="H173" i="127"/>
  <c r="H142" i="127"/>
  <c r="H82" i="608"/>
  <c r="H291" i="127" s="1"/>
  <c r="H97" i="608"/>
  <c r="H306" i="127" s="1"/>
  <c r="H238" i="127" s="1"/>
  <c r="H157" i="127"/>
  <c r="H144" i="127"/>
  <c r="H84" i="608"/>
  <c r="H576" i="608"/>
  <c r="K318" i="127"/>
  <c r="K250" i="127" s="1"/>
  <c r="K533" i="608"/>
  <c r="K611" i="608" s="1"/>
  <c r="L538" i="608"/>
  <c r="L616" i="608" s="1"/>
  <c r="L307" i="127"/>
  <c r="L337" i="127"/>
  <c r="K209" i="127"/>
  <c r="J224" i="127"/>
  <c r="K269" i="127"/>
  <c r="K258" i="127"/>
  <c r="K238" i="127"/>
  <c r="K228" i="127"/>
  <c r="I252" i="127"/>
  <c r="I236" i="127"/>
  <c r="I267" i="127"/>
  <c r="I216" i="127"/>
  <c r="K241" i="127"/>
  <c r="K229" i="127"/>
  <c r="K222" i="127"/>
  <c r="I226" i="127"/>
  <c r="I259" i="127"/>
  <c r="K246" i="127"/>
  <c r="K248" i="127"/>
  <c r="I242" i="127"/>
  <c r="I224" i="127"/>
  <c r="K217" i="127"/>
  <c r="I245" i="127"/>
  <c r="J237" i="127"/>
  <c r="J261" i="127"/>
  <c r="J256" i="127"/>
  <c r="J216" i="127"/>
  <c r="J230" i="127"/>
  <c r="J228" i="127"/>
  <c r="J235" i="127"/>
  <c r="J231" i="127"/>
  <c r="J217" i="127"/>
  <c r="I243" i="127"/>
  <c r="J223" i="127"/>
  <c r="J241" i="127"/>
  <c r="J255" i="127"/>
  <c r="J238" i="127"/>
  <c r="J264" i="127"/>
  <c r="J248" i="127"/>
  <c r="J266" i="127"/>
  <c r="J247" i="127"/>
  <c r="J218" i="127"/>
  <c r="I241" i="127"/>
  <c r="I229" i="127"/>
  <c r="J242" i="127"/>
  <c r="I268" i="127"/>
  <c r="I232" i="127"/>
  <c r="I237" i="127"/>
  <c r="J270" i="127"/>
  <c r="J269" i="127"/>
  <c r="I258" i="127"/>
  <c r="J244" i="127"/>
  <c r="K219" i="127"/>
  <c r="I235" i="127"/>
  <c r="I246" i="127"/>
  <c r="I266" i="127"/>
  <c r="K265" i="127"/>
  <c r="I270" i="127"/>
  <c r="I223" i="127"/>
  <c r="I262" i="127"/>
  <c r="K230" i="127"/>
  <c r="K262" i="127"/>
  <c r="J267" i="127"/>
  <c r="J226" i="127"/>
  <c r="K261" i="127"/>
  <c r="J260" i="127"/>
  <c r="J245" i="127"/>
  <c r="J243" i="127"/>
  <c r="I218" i="127"/>
  <c r="I249" i="127"/>
  <c r="I269" i="127"/>
  <c r="I265" i="127"/>
  <c r="K252" i="127"/>
  <c r="K218" i="127"/>
  <c r="I215" i="127"/>
  <c r="I244" i="127"/>
  <c r="J262" i="127"/>
  <c r="H274" i="127"/>
  <c r="J229" i="127"/>
  <c r="I247" i="127"/>
  <c r="K259" i="127"/>
  <c r="K215" i="127"/>
  <c r="I275" i="127"/>
  <c r="I276" i="127"/>
  <c r="I263" i="127"/>
  <c r="J257" i="127"/>
  <c r="J268" i="127"/>
  <c r="K266" i="127"/>
  <c r="J259" i="127"/>
  <c r="I248" i="127"/>
  <c r="I222" i="127"/>
  <c r="K236" i="127"/>
  <c r="I234" i="127"/>
  <c r="K234" i="127"/>
  <c r="K221" i="127"/>
  <c r="J263" i="127"/>
  <c r="I264" i="127"/>
  <c r="I256" i="127"/>
  <c r="J227" i="127"/>
  <c r="I230" i="127"/>
  <c r="J215" i="127"/>
  <c r="K232" i="127"/>
  <c r="K224" i="127"/>
  <c r="J220" i="127"/>
  <c r="J221" i="127"/>
  <c r="K227" i="127"/>
  <c r="K268" i="127"/>
  <c r="I231" i="127"/>
  <c r="I260" i="127"/>
  <c r="J246" i="127"/>
  <c r="I221" i="127"/>
  <c r="I217" i="127"/>
  <c r="K244" i="127"/>
  <c r="I219" i="127"/>
  <c r="K275" i="127"/>
  <c r="K276" i="127"/>
  <c r="K257" i="127"/>
  <c r="K270" i="127"/>
  <c r="K245" i="127"/>
  <c r="K242" i="127"/>
  <c r="K226" i="127"/>
  <c r="K231" i="127"/>
  <c r="H276" i="127"/>
  <c r="H275" i="127"/>
  <c r="K264" i="127"/>
  <c r="I261" i="127"/>
  <c r="I227" i="127"/>
  <c r="J276" i="127"/>
  <c r="J275" i="127"/>
  <c r="J232" i="127"/>
  <c r="J234" i="127"/>
  <c r="K216" i="127"/>
  <c r="I238" i="127"/>
  <c r="K260" i="127"/>
  <c r="I228" i="127"/>
  <c r="J219" i="127"/>
  <c r="K223" i="127"/>
  <c r="I220" i="127"/>
  <c r="J222" i="127"/>
  <c r="K243" i="127"/>
  <c r="J265" i="127"/>
  <c r="I257" i="127"/>
  <c r="K267" i="127"/>
  <c r="J258" i="127"/>
  <c r="K256" i="127"/>
  <c r="J252" i="127"/>
  <c r="K220" i="127"/>
  <c r="J249" i="127"/>
  <c r="K249" i="127"/>
  <c r="J236" i="127"/>
  <c r="K237" i="127"/>
  <c r="K235" i="127"/>
  <c r="K263" i="127"/>
  <c r="I72" i="186"/>
  <c r="H72" i="186"/>
  <c r="G72" i="186"/>
  <c r="F72" i="186"/>
  <c r="E72" i="186"/>
  <c r="I71" i="186"/>
  <c r="E71" i="186"/>
  <c r="H71" i="186"/>
  <c r="F71" i="186"/>
  <c r="G71" i="186"/>
  <c r="I125" i="186"/>
  <c r="F125" i="186"/>
  <c r="E125" i="186"/>
  <c r="H125" i="186"/>
  <c r="D125" i="186"/>
  <c r="G125" i="186"/>
  <c r="H87" i="186"/>
  <c r="H85" i="186"/>
  <c r="H83" i="186"/>
  <c r="G79" i="186"/>
  <c r="G77" i="186"/>
  <c r="G75" i="186"/>
  <c r="G87" i="186"/>
  <c r="G85" i="186"/>
  <c r="G83" i="186"/>
  <c r="F79" i="186"/>
  <c r="F77" i="186"/>
  <c r="F75" i="186"/>
  <c r="G70" i="186"/>
  <c r="I84" i="186"/>
  <c r="F87" i="186"/>
  <c r="F85" i="186"/>
  <c r="F83" i="186"/>
  <c r="E79" i="186"/>
  <c r="E77" i="186"/>
  <c r="E75" i="186"/>
  <c r="F70" i="186"/>
  <c r="H80" i="186"/>
  <c r="H78" i="186"/>
  <c r="H76" i="186"/>
  <c r="I73" i="186"/>
  <c r="I69" i="186"/>
  <c r="H86" i="186"/>
  <c r="G78" i="186"/>
  <c r="G76" i="186"/>
  <c r="H73" i="186"/>
  <c r="H69" i="186"/>
  <c r="E87" i="186"/>
  <c r="E85" i="186"/>
  <c r="E83" i="186"/>
  <c r="E70" i="186"/>
  <c r="I82" i="186"/>
  <c r="G80" i="186"/>
  <c r="I80" i="186"/>
  <c r="I78" i="186"/>
  <c r="I76" i="186"/>
  <c r="I86" i="186"/>
  <c r="H84" i="186"/>
  <c r="H70" i="186"/>
  <c r="H82" i="186"/>
  <c r="G86" i="186"/>
  <c r="G84" i="186"/>
  <c r="G82" i="186"/>
  <c r="F80" i="186"/>
  <c r="F78" i="186"/>
  <c r="F76" i="186"/>
  <c r="G73" i="186"/>
  <c r="G69" i="186"/>
  <c r="I79" i="186"/>
  <c r="I77" i="186"/>
  <c r="I75" i="186"/>
  <c r="I87" i="186"/>
  <c r="I70" i="186"/>
  <c r="F86" i="186"/>
  <c r="F84" i="186"/>
  <c r="F82" i="186"/>
  <c r="E80" i="186"/>
  <c r="E78" i="186"/>
  <c r="E76" i="186"/>
  <c r="F73" i="186"/>
  <c r="F69" i="186"/>
  <c r="I85" i="186"/>
  <c r="E86" i="186"/>
  <c r="E84" i="186"/>
  <c r="E82" i="186"/>
  <c r="E73" i="186"/>
  <c r="E69" i="186"/>
  <c r="I83" i="186"/>
  <c r="H79" i="186"/>
  <c r="H77" i="186"/>
  <c r="H75" i="186"/>
  <c r="E58" i="743"/>
  <c r="E88" i="743"/>
  <c r="H115" i="186"/>
  <c r="G115" i="186"/>
  <c r="F115" i="186"/>
  <c r="E115" i="186"/>
  <c r="D115" i="186"/>
  <c r="I20" i="186"/>
  <c r="H20" i="186"/>
  <c r="I115" i="186"/>
  <c r="E20" i="186"/>
  <c r="G20" i="186"/>
  <c r="F20" i="186"/>
  <c r="I36" i="186"/>
  <c r="H36" i="186"/>
  <c r="G36" i="186"/>
  <c r="I134" i="186"/>
  <c r="F36" i="186"/>
  <c r="H134" i="186"/>
  <c r="E36" i="186"/>
  <c r="G134" i="186"/>
  <c r="E37" i="186"/>
  <c r="F134" i="186"/>
  <c r="I37" i="186"/>
  <c r="I35" i="186"/>
  <c r="E134" i="186"/>
  <c r="H37" i="186"/>
  <c r="H35" i="186"/>
  <c r="E35" i="186"/>
  <c r="D134" i="186"/>
  <c r="G37" i="186"/>
  <c r="G35" i="186"/>
  <c r="F37" i="186"/>
  <c r="F35" i="186"/>
  <c r="E118" i="186"/>
  <c r="D118" i="186"/>
  <c r="I21" i="186"/>
  <c r="I157" i="186" s="1"/>
  <c r="H21" i="186"/>
  <c r="H157" i="186" s="1"/>
  <c r="I119" i="186"/>
  <c r="I165" i="186" s="1"/>
  <c r="I117" i="186"/>
  <c r="H119" i="186"/>
  <c r="H165" i="186" s="1"/>
  <c r="H117" i="186"/>
  <c r="G21" i="186"/>
  <c r="G157" i="186" s="1"/>
  <c r="G119" i="186"/>
  <c r="G165" i="186" s="1"/>
  <c r="G117" i="186"/>
  <c r="F21" i="186"/>
  <c r="F157" i="186" s="1"/>
  <c r="F119" i="186"/>
  <c r="F165" i="186" s="1"/>
  <c r="F117" i="186"/>
  <c r="E21" i="186"/>
  <c r="E157" i="186" s="1"/>
  <c r="E119" i="186"/>
  <c r="E165" i="186" s="1"/>
  <c r="E117" i="186"/>
  <c r="D21" i="186"/>
  <c r="D119" i="186"/>
  <c r="D117" i="186"/>
  <c r="F118" i="186"/>
  <c r="I118" i="186"/>
  <c r="H118" i="186"/>
  <c r="G118" i="186"/>
  <c r="I67" i="186"/>
  <c r="I65" i="186"/>
  <c r="I63" i="186"/>
  <c r="G65" i="186"/>
  <c r="H67" i="186"/>
  <c r="H65" i="186"/>
  <c r="H63" i="186"/>
  <c r="G67" i="186"/>
  <c r="G63" i="186"/>
  <c r="F67" i="186"/>
  <c r="F65" i="186"/>
  <c r="F63" i="186"/>
  <c r="E67" i="186"/>
  <c r="E65" i="186"/>
  <c r="E63" i="186"/>
  <c r="I66" i="186"/>
  <c r="I64" i="186"/>
  <c r="I62" i="186"/>
  <c r="H66" i="186"/>
  <c r="H64" i="186"/>
  <c r="H62" i="186"/>
  <c r="G66" i="186"/>
  <c r="G64" i="186"/>
  <c r="G62" i="186"/>
  <c r="F66" i="186"/>
  <c r="F64" i="186"/>
  <c r="F62" i="186"/>
  <c r="E66" i="186"/>
  <c r="E64" i="186"/>
  <c r="E62" i="186"/>
  <c r="D124" i="186"/>
  <c r="D122" i="186"/>
  <c r="I123" i="186"/>
  <c r="I25" i="186"/>
  <c r="H25" i="186"/>
  <c r="H123" i="186"/>
  <c r="G123" i="186"/>
  <c r="G25" i="186"/>
  <c r="F123" i="186"/>
  <c r="F25" i="186"/>
  <c r="E123" i="186"/>
  <c r="E25" i="186"/>
  <c r="D123" i="186"/>
  <c r="I124" i="186"/>
  <c r="I122" i="186"/>
  <c r="I26" i="186"/>
  <c r="H124" i="186"/>
  <c r="H122" i="186"/>
  <c r="H26" i="186"/>
  <c r="G124" i="186"/>
  <c r="G122" i="186"/>
  <c r="G26" i="186"/>
  <c r="E122" i="186"/>
  <c r="F124" i="186"/>
  <c r="F122" i="186"/>
  <c r="F26" i="186"/>
  <c r="E124" i="186"/>
  <c r="E26" i="186"/>
  <c r="H131" i="186"/>
  <c r="H129" i="186"/>
  <c r="H127" i="186"/>
  <c r="H30" i="186"/>
  <c r="H28" i="186"/>
  <c r="G131" i="186"/>
  <c r="G129" i="186"/>
  <c r="G127" i="186"/>
  <c r="G30" i="186"/>
  <c r="G28" i="186"/>
  <c r="F131" i="186"/>
  <c r="F30" i="186"/>
  <c r="F129" i="186"/>
  <c r="F127" i="186"/>
  <c r="F28" i="186"/>
  <c r="E131" i="186"/>
  <c r="E129" i="186"/>
  <c r="E127" i="186"/>
  <c r="E30" i="186"/>
  <c r="E28" i="186"/>
  <c r="D131" i="186"/>
  <c r="D129" i="186"/>
  <c r="D127" i="186"/>
  <c r="I130" i="186"/>
  <c r="I128" i="186"/>
  <c r="I31" i="186"/>
  <c r="I29" i="186"/>
  <c r="H130" i="186"/>
  <c r="H128" i="186"/>
  <c r="H31" i="186"/>
  <c r="H29" i="186"/>
  <c r="G130" i="186"/>
  <c r="G128" i="186"/>
  <c r="G31" i="186"/>
  <c r="G29" i="186"/>
  <c r="I127" i="186"/>
  <c r="F130" i="186"/>
  <c r="F128" i="186"/>
  <c r="F31" i="186"/>
  <c r="F29" i="186"/>
  <c r="I129" i="186"/>
  <c r="I28" i="186"/>
  <c r="E130" i="186"/>
  <c r="E128" i="186"/>
  <c r="E31" i="186"/>
  <c r="E29" i="186"/>
  <c r="I131" i="186"/>
  <c r="I30" i="186"/>
  <c r="D130" i="186"/>
  <c r="D128" i="186"/>
  <c r="F140" i="186"/>
  <c r="F138" i="186"/>
  <c r="F136" i="186"/>
  <c r="E58" i="186"/>
  <c r="E56" i="186"/>
  <c r="F53" i="186"/>
  <c r="F51" i="186"/>
  <c r="G48" i="186"/>
  <c r="G46" i="186"/>
  <c r="H43" i="186"/>
  <c r="H41" i="186"/>
  <c r="I39" i="186"/>
  <c r="D136" i="186"/>
  <c r="I59" i="186"/>
  <c r="E46" i="186"/>
  <c r="E140" i="186"/>
  <c r="E138" i="186"/>
  <c r="E136" i="186"/>
  <c r="E53" i="186"/>
  <c r="E51" i="186"/>
  <c r="F48" i="186"/>
  <c r="F46" i="186"/>
  <c r="G43" i="186"/>
  <c r="G41" i="186"/>
  <c r="H39" i="186"/>
  <c r="I57" i="186"/>
  <c r="E48" i="186"/>
  <c r="F41" i="186"/>
  <c r="G39" i="186"/>
  <c r="D140" i="186"/>
  <c r="D138" i="186"/>
  <c r="F43" i="186"/>
  <c r="I139" i="186"/>
  <c r="I137" i="186"/>
  <c r="H59" i="186"/>
  <c r="H57" i="186"/>
  <c r="I54" i="186"/>
  <c r="I52" i="186"/>
  <c r="E43" i="186"/>
  <c r="E41" i="186"/>
  <c r="F39" i="186"/>
  <c r="H139" i="186"/>
  <c r="H137" i="186"/>
  <c r="G59" i="186"/>
  <c r="G57" i="186"/>
  <c r="H54" i="186"/>
  <c r="H52" i="186"/>
  <c r="I49" i="186"/>
  <c r="I47" i="186"/>
  <c r="E39" i="186"/>
  <c r="G139" i="186"/>
  <c r="G137" i="186"/>
  <c r="F59" i="186"/>
  <c r="F57" i="186"/>
  <c r="G54" i="186"/>
  <c r="G52" i="186"/>
  <c r="H49" i="186"/>
  <c r="H47" i="186"/>
  <c r="I44" i="186"/>
  <c r="I42" i="186"/>
  <c r="I41" i="186"/>
  <c r="F139" i="186"/>
  <c r="F137" i="186"/>
  <c r="E59" i="186"/>
  <c r="E57" i="186"/>
  <c r="F54" i="186"/>
  <c r="F52" i="186"/>
  <c r="G49" i="186"/>
  <c r="G47" i="186"/>
  <c r="H44" i="186"/>
  <c r="H42" i="186"/>
  <c r="I40" i="186"/>
  <c r="E139" i="186"/>
  <c r="E137" i="186"/>
  <c r="E54" i="186"/>
  <c r="E52" i="186"/>
  <c r="F49" i="186"/>
  <c r="F47" i="186"/>
  <c r="G44" i="186"/>
  <c r="G42" i="186"/>
  <c r="H40" i="186"/>
  <c r="G136" i="186"/>
  <c r="F56" i="186"/>
  <c r="I43" i="186"/>
  <c r="D139" i="186"/>
  <c r="D137" i="186"/>
  <c r="I58" i="186"/>
  <c r="I56" i="186"/>
  <c r="E49" i="186"/>
  <c r="E47" i="186"/>
  <c r="F44" i="186"/>
  <c r="F42" i="186"/>
  <c r="G40" i="186"/>
  <c r="G140" i="186"/>
  <c r="F58" i="186"/>
  <c r="G53" i="186"/>
  <c r="H46" i="186"/>
  <c r="I140" i="186"/>
  <c r="I138" i="186"/>
  <c r="I136" i="186"/>
  <c r="H58" i="186"/>
  <c r="H56" i="186"/>
  <c r="I53" i="186"/>
  <c r="I51" i="186"/>
  <c r="E44" i="186"/>
  <c r="E42" i="186"/>
  <c r="F40" i="186"/>
  <c r="H48" i="186"/>
  <c r="H140" i="186"/>
  <c r="H138" i="186"/>
  <c r="H136" i="186"/>
  <c r="G58" i="186"/>
  <c r="G56" i="186"/>
  <c r="H53" i="186"/>
  <c r="H51" i="186"/>
  <c r="I48" i="186"/>
  <c r="I46" i="186"/>
  <c r="E40" i="186"/>
  <c r="G138" i="186"/>
  <c r="G51" i="186"/>
  <c r="J240" i="127"/>
  <c r="K240" i="127"/>
  <c r="I240" i="127"/>
  <c r="E13" i="216"/>
  <c r="E10" i="216"/>
  <c r="E15" i="216"/>
  <c r="D9" i="216"/>
  <c r="D15" i="216"/>
  <c r="E12" i="216"/>
  <c r="E8" i="216"/>
  <c r="D10" i="216"/>
  <c r="E7" i="216"/>
  <c r="D14" i="216"/>
  <c r="E14" i="216"/>
  <c r="E9" i="216"/>
  <c r="D11" i="216"/>
  <c r="D12" i="216"/>
  <c r="E11" i="216"/>
  <c r="D8" i="216"/>
  <c r="D7" i="216"/>
  <c r="E10" i="472"/>
  <c r="D16" i="472"/>
  <c r="D17" i="472"/>
  <c r="H11" i="472"/>
  <c r="F7" i="472"/>
  <c r="E12" i="472"/>
  <c r="F139" i="472" s="1"/>
  <c r="E8" i="472"/>
  <c r="I119" i="472" s="1"/>
  <c r="G11" i="472"/>
  <c r="H7" i="472"/>
  <c r="F9" i="472"/>
  <c r="F11" i="472"/>
  <c r="G7" i="472"/>
  <c r="D15" i="472"/>
  <c r="H9" i="472"/>
  <c r="G9" i="472"/>
  <c r="D14" i="472"/>
  <c r="E59" i="39"/>
  <c r="E60" i="39" s="1"/>
  <c r="D13" i="498"/>
  <c r="H58" i="743" l="1"/>
  <c r="H88" i="743"/>
  <c r="K613" i="608"/>
  <c r="I613" i="608"/>
  <c r="J613" i="608"/>
  <c r="L613" i="608"/>
  <c r="L602" i="608"/>
  <c r="L594" i="608"/>
  <c r="K347" i="127"/>
  <c r="K273" i="127" s="1"/>
  <c r="K547" i="608"/>
  <c r="K548" i="608" s="1"/>
  <c r="L606" i="608"/>
  <c r="H323" i="127"/>
  <c r="H255" i="127" s="1"/>
  <c r="H535" i="608"/>
  <c r="I621" i="608"/>
  <c r="K606" i="608"/>
  <c r="I606" i="608"/>
  <c r="J608" i="608"/>
  <c r="J606" i="608"/>
  <c r="H451" i="608"/>
  <c r="H453" i="608" s="1"/>
  <c r="E67" i="216"/>
  <c r="H62" i="216"/>
  <c r="H64" i="216"/>
  <c r="E62" i="216"/>
  <c r="I66" i="216"/>
  <c r="G64" i="216"/>
  <c r="D62" i="216"/>
  <c r="G63" i="216"/>
  <c r="F63" i="216"/>
  <c r="F65" i="216"/>
  <c r="I65" i="216"/>
  <c r="E63" i="216"/>
  <c r="H65" i="216"/>
  <c r="G65" i="216"/>
  <c r="I62" i="216"/>
  <c r="H66" i="216"/>
  <c r="G62" i="216"/>
  <c r="G66" i="216"/>
  <c r="F62" i="216"/>
  <c r="E65" i="216"/>
  <c r="E64" i="216"/>
  <c r="G67" i="216"/>
  <c r="H63" i="216"/>
  <c r="F66" i="216"/>
  <c r="I67" i="216"/>
  <c r="I63" i="216"/>
  <c r="E66" i="216"/>
  <c r="I64" i="216"/>
  <c r="F64" i="216"/>
  <c r="H67" i="216"/>
  <c r="F67" i="216"/>
  <c r="D141" i="216"/>
  <c r="F138" i="216"/>
  <c r="D140" i="216"/>
  <c r="E137" i="216"/>
  <c r="F58" i="216"/>
  <c r="H54" i="216"/>
  <c r="F48" i="216"/>
  <c r="H44" i="216"/>
  <c r="F39" i="216"/>
  <c r="I139" i="216"/>
  <c r="D137" i="216"/>
  <c r="E139" i="216"/>
  <c r="H57" i="216"/>
  <c r="I53" i="216"/>
  <c r="E47" i="216"/>
  <c r="F43" i="216"/>
  <c r="D139" i="216"/>
  <c r="G57" i="216"/>
  <c r="H53" i="216"/>
  <c r="I49" i="216"/>
  <c r="E43" i="216"/>
  <c r="F40" i="216"/>
  <c r="I141" i="216"/>
  <c r="E138" i="216"/>
  <c r="I58" i="216"/>
  <c r="G54" i="216"/>
  <c r="F51" i="216"/>
  <c r="I46" i="216"/>
  <c r="H42" i="216"/>
  <c r="H39" i="216"/>
  <c r="I140" i="216"/>
  <c r="I57" i="216"/>
  <c r="E49" i="216"/>
  <c r="H141" i="216"/>
  <c r="D138" i="216"/>
  <c r="H58" i="216"/>
  <c r="F54" i="216"/>
  <c r="E51" i="216"/>
  <c r="H46" i="216"/>
  <c r="G42" i="216"/>
  <c r="G39" i="216"/>
  <c r="H41" i="216"/>
  <c r="G141" i="216"/>
  <c r="I137" i="216"/>
  <c r="G58" i="216"/>
  <c r="E54" i="216"/>
  <c r="H49" i="216"/>
  <c r="G46" i="216"/>
  <c r="F42" i="216"/>
  <c r="E39" i="216"/>
  <c r="F137" i="216"/>
  <c r="F53" i="216"/>
  <c r="F141" i="216"/>
  <c r="H137" i="216"/>
  <c r="E58" i="216"/>
  <c r="G49" i="216"/>
  <c r="F46" i="216"/>
  <c r="E42" i="216"/>
  <c r="E141" i="216"/>
  <c r="G137" i="216"/>
  <c r="G53" i="216"/>
  <c r="F49" i="216"/>
  <c r="E46" i="216"/>
  <c r="I41" i="216"/>
  <c r="F56" i="216"/>
  <c r="H48" i="216"/>
  <c r="H140" i="216"/>
  <c r="E53" i="216"/>
  <c r="I40" i="216"/>
  <c r="F59" i="216"/>
  <c r="F47" i="216"/>
  <c r="H40" i="216"/>
  <c r="G139" i="216"/>
  <c r="F44" i="216"/>
  <c r="E56" i="216"/>
  <c r="G48" i="216"/>
  <c r="I42" i="216"/>
  <c r="H47" i="216"/>
  <c r="F140" i="216"/>
  <c r="I52" i="216"/>
  <c r="H52" i="216"/>
  <c r="F139" i="216"/>
  <c r="H138" i="216"/>
  <c r="H51" i="216"/>
  <c r="H56" i="216"/>
  <c r="H43" i="216"/>
  <c r="E48" i="216"/>
  <c r="G41" i="216"/>
  <c r="G140" i="216"/>
  <c r="H59" i="216"/>
  <c r="G59" i="216"/>
  <c r="G47" i="216"/>
  <c r="E140" i="216"/>
  <c r="F57" i="216"/>
  <c r="E52" i="216"/>
  <c r="I54" i="216"/>
  <c r="F41" i="216"/>
  <c r="I59" i="216"/>
  <c r="I47" i="216"/>
  <c r="E41" i="216"/>
  <c r="H139" i="216"/>
  <c r="E59" i="216"/>
  <c r="G52" i="216"/>
  <c r="I44" i="216"/>
  <c r="G40" i="216"/>
  <c r="F52" i="216"/>
  <c r="G44" i="216"/>
  <c r="E40" i="216"/>
  <c r="I138" i="216"/>
  <c r="E57" i="216"/>
  <c r="I51" i="216"/>
  <c r="E44" i="216"/>
  <c r="I39" i="216"/>
  <c r="G138" i="216"/>
  <c r="I56" i="216"/>
  <c r="G51" i="216"/>
  <c r="I43" i="216"/>
  <c r="I48" i="216"/>
  <c r="G43" i="216"/>
  <c r="G56" i="216"/>
  <c r="H35" i="216"/>
  <c r="D135" i="216"/>
  <c r="D161" i="216" s="1"/>
  <c r="G36" i="216"/>
  <c r="G35" i="216"/>
  <c r="H37" i="216"/>
  <c r="F35" i="216"/>
  <c r="E35" i="216"/>
  <c r="I37" i="216"/>
  <c r="G135" i="216"/>
  <c r="I36" i="216"/>
  <c r="F37" i="216"/>
  <c r="H135" i="216"/>
  <c r="H161" i="216" s="1"/>
  <c r="F135" i="216"/>
  <c r="F161" i="216" s="1"/>
  <c r="H36" i="216"/>
  <c r="I35" i="216"/>
  <c r="G37" i="216"/>
  <c r="I135" i="216"/>
  <c r="I161" i="216" s="1"/>
  <c r="E135" i="216"/>
  <c r="F36" i="216"/>
  <c r="E36" i="216"/>
  <c r="E37" i="216"/>
  <c r="E86" i="216"/>
  <c r="G83" i="216"/>
  <c r="I79" i="216"/>
  <c r="E77" i="216"/>
  <c r="G73" i="216"/>
  <c r="I70" i="216"/>
  <c r="E84" i="216"/>
  <c r="F80" i="216"/>
  <c r="G77" i="216"/>
  <c r="H73" i="216"/>
  <c r="H70" i="216"/>
  <c r="I86" i="216"/>
  <c r="E80" i="216"/>
  <c r="F77" i="216"/>
  <c r="F73" i="216"/>
  <c r="G70" i="216"/>
  <c r="I80" i="216"/>
  <c r="H77" i="216"/>
  <c r="I69" i="216"/>
  <c r="F87" i="216"/>
  <c r="I83" i="216"/>
  <c r="G79" i="216"/>
  <c r="F76" i="216"/>
  <c r="I84" i="216"/>
  <c r="H80" i="216"/>
  <c r="I72" i="216"/>
  <c r="H69" i="216"/>
  <c r="I87" i="216"/>
  <c r="H84" i="216"/>
  <c r="G80" i="216"/>
  <c r="I76" i="216"/>
  <c r="H72" i="216"/>
  <c r="G69" i="216"/>
  <c r="E72" i="216"/>
  <c r="H87" i="216"/>
  <c r="G84" i="216"/>
  <c r="H76" i="216"/>
  <c r="G72" i="216"/>
  <c r="F69" i="216"/>
  <c r="G87" i="216"/>
  <c r="F84" i="216"/>
  <c r="H79" i="216"/>
  <c r="G76" i="216"/>
  <c r="F72" i="216"/>
  <c r="E69" i="216"/>
  <c r="F85" i="216"/>
  <c r="H78" i="216"/>
  <c r="E76" i="216"/>
  <c r="H82" i="216"/>
  <c r="F70" i="216"/>
  <c r="E70" i="216"/>
  <c r="F75" i="216"/>
  <c r="G85" i="216"/>
  <c r="E73" i="216"/>
  <c r="E85" i="216"/>
  <c r="G78" i="216"/>
  <c r="I71" i="216"/>
  <c r="I77" i="216"/>
  <c r="E71" i="216"/>
  <c r="E87" i="216"/>
  <c r="F79" i="216"/>
  <c r="I85" i="216"/>
  <c r="H85" i="216"/>
  <c r="H83" i="216"/>
  <c r="F78" i="216"/>
  <c r="H71" i="216"/>
  <c r="I82" i="216"/>
  <c r="I75" i="216"/>
  <c r="F82" i="216"/>
  <c r="G86" i="216"/>
  <c r="E82" i="216"/>
  <c r="G75" i="216"/>
  <c r="E75" i="216"/>
  <c r="I73" i="216"/>
  <c r="F83" i="216"/>
  <c r="E78" i="216"/>
  <c r="G71" i="216"/>
  <c r="E83" i="216"/>
  <c r="F71" i="216"/>
  <c r="G82" i="216"/>
  <c r="H86" i="216"/>
  <c r="H75" i="216"/>
  <c r="F86" i="216"/>
  <c r="E79" i="216"/>
  <c r="I78" i="216"/>
  <c r="H20" i="216"/>
  <c r="H159" i="216" s="1"/>
  <c r="D115" i="216"/>
  <c r="D165" i="216" s="1"/>
  <c r="G115" i="216"/>
  <c r="G165" i="216" s="1"/>
  <c r="F115" i="216"/>
  <c r="F165" i="216" s="1"/>
  <c r="E115" i="216"/>
  <c r="E165" i="216" s="1"/>
  <c r="F20" i="216"/>
  <c r="F159" i="216" s="1"/>
  <c r="E20" i="216"/>
  <c r="I20" i="216"/>
  <c r="I115" i="216"/>
  <c r="H115" i="216"/>
  <c r="H165" i="216" s="1"/>
  <c r="G20" i="216"/>
  <c r="G159" i="216" s="1"/>
  <c r="I108" i="216"/>
  <c r="E106" i="216"/>
  <c r="G103" i="216"/>
  <c r="I99" i="216"/>
  <c r="E97" i="216"/>
  <c r="G93" i="216"/>
  <c r="I90" i="216"/>
  <c r="H108" i="216"/>
  <c r="F103" i="216"/>
  <c r="H99" i="216"/>
  <c r="H105" i="216"/>
  <c r="H101" i="216"/>
  <c r="H98" i="216"/>
  <c r="H94" i="216"/>
  <c r="I91" i="216"/>
  <c r="G108" i="216"/>
  <c r="G105" i="216"/>
  <c r="G101" i="216"/>
  <c r="G98" i="216"/>
  <c r="G94" i="216"/>
  <c r="H91" i="216"/>
  <c r="I105" i="216"/>
  <c r="E101" i="216"/>
  <c r="I97" i="216"/>
  <c r="F93" i="216"/>
  <c r="E90" i="216"/>
  <c r="E108" i="216"/>
  <c r="H104" i="216"/>
  <c r="H96" i="216"/>
  <c r="F105" i="216"/>
  <c r="H97" i="216"/>
  <c r="E93" i="216"/>
  <c r="H92" i="216"/>
  <c r="G92" i="216"/>
  <c r="E105" i="216"/>
  <c r="I100" i="216"/>
  <c r="G97" i="216"/>
  <c r="G100" i="216"/>
  <c r="F100" i="216"/>
  <c r="F108" i="216"/>
  <c r="H100" i="216"/>
  <c r="F97" i="216"/>
  <c r="I92" i="216"/>
  <c r="I104" i="216"/>
  <c r="I96" i="216"/>
  <c r="G104" i="216"/>
  <c r="I98" i="216"/>
  <c r="F90" i="216"/>
  <c r="E107" i="216"/>
  <c r="F92" i="216"/>
  <c r="E92" i="216"/>
  <c r="F104" i="216"/>
  <c r="F98" i="216"/>
  <c r="G91" i="216"/>
  <c r="H103" i="216"/>
  <c r="F96" i="216"/>
  <c r="G90" i="216"/>
  <c r="I106" i="216"/>
  <c r="G99" i="216"/>
  <c r="I93" i="216"/>
  <c r="G106" i="216"/>
  <c r="E104" i="216"/>
  <c r="E98" i="216"/>
  <c r="F91" i="216"/>
  <c r="I103" i="216"/>
  <c r="H90" i="216"/>
  <c r="E103" i="216"/>
  <c r="E96" i="216"/>
  <c r="E100" i="216"/>
  <c r="E94" i="216"/>
  <c r="E91" i="216"/>
  <c r="G96" i="216"/>
  <c r="I107" i="216"/>
  <c r="H107" i="216"/>
  <c r="G107" i="216"/>
  <c r="I101" i="216"/>
  <c r="I94" i="216"/>
  <c r="F107" i="216"/>
  <c r="F101" i="216"/>
  <c r="F94" i="216"/>
  <c r="H106" i="216"/>
  <c r="F99" i="216"/>
  <c r="H93" i="216"/>
  <c r="E99" i="216"/>
  <c r="F106" i="216"/>
  <c r="G131" i="216"/>
  <c r="I128" i="216"/>
  <c r="F131" i="216"/>
  <c r="H128" i="216"/>
  <c r="D130" i="216"/>
  <c r="I132" i="216"/>
  <c r="I129" i="216"/>
  <c r="H30" i="216"/>
  <c r="I131" i="216"/>
  <c r="E128" i="216"/>
  <c r="G29" i="216"/>
  <c r="H130" i="216"/>
  <c r="H28" i="216"/>
  <c r="H131" i="216"/>
  <c r="D128" i="216"/>
  <c r="F29" i="216"/>
  <c r="E131" i="216"/>
  <c r="E29" i="216"/>
  <c r="H31" i="216"/>
  <c r="D131" i="216"/>
  <c r="I130" i="216"/>
  <c r="I31" i="216"/>
  <c r="I28" i="216"/>
  <c r="G128" i="216"/>
  <c r="G28" i="216"/>
  <c r="E31" i="216"/>
  <c r="F30" i="216"/>
  <c r="F129" i="216"/>
  <c r="D129" i="216"/>
  <c r="F128" i="216"/>
  <c r="F28" i="216"/>
  <c r="F132" i="216"/>
  <c r="D132" i="216"/>
  <c r="G129" i="216"/>
  <c r="E28" i="216"/>
  <c r="E132" i="216"/>
  <c r="G31" i="216"/>
  <c r="E130" i="216"/>
  <c r="E129" i="216"/>
  <c r="I29" i="216"/>
  <c r="H132" i="216"/>
  <c r="G132" i="216"/>
  <c r="F31" i="216"/>
  <c r="G130" i="216"/>
  <c r="F130" i="216"/>
  <c r="I30" i="216"/>
  <c r="H129" i="216"/>
  <c r="G30" i="216"/>
  <c r="E30" i="216"/>
  <c r="H29" i="216"/>
  <c r="E125" i="216"/>
  <c r="F26" i="216"/>
  <c r="D125" i="216"/>
  <c r="D126" i="216"/>
  <c r="D123" i="216"/>
  <c r="I125" i="216"/>
  <c r="I26" i="216"/>
  <c r="I123" i="216"/>
  <c r="G25" i="216"/>
  <c r="H123" i="216"/>
  <c r="F25" i="216"/>
  <c r="F126" i="216"/>
  <c r="I126" i="216"/>
  <c r="G123" i="216"/>
  <c r="E25" i="216"/>
  <c r="H126" i="216"/>
  <c r="F123" i="216"/>
  <c r="G126" i="216"/>
  <c r="E123" i="216"/>
  <c r="F125" i="216"/>
  <c r="I124" i="216"/>
  <c r="H124" i="216"/>
  <c r="G124" i="216"/>
  <c r="G125" i="216"/>
  <c r="I25" i="216"/>
  <c r="F124" i="216"/>
  <c r="E126" i="216"/>
  <c r="H26" i="216"/>
  <c r="G26" i="216"/>
  <c r="H25" i="216"/>
  <c r="H125" i="216"/>
  <c r="E26" i="216"/>
  <c r="E124" i="216"/>
  <c r="D124" i="216"/>
  <c r="G118" i="216"/>
  <c r="F118" i="216"/>
  <c r="I118" i="216"/>
  <c r="H118" i="216"/>
  <c r="H21" i="216"/>
  <c r="H158" i="216" s="1"/>
  <c r="I21" i="216"/>
  <c r="I158" i="216" s="1"/>
  <c r="G117" i="216"/>
  <c r="H117" i="216"/>
  <c r="F117" i="216"/>
  <c r="E21" i="216"/>
  <c r="E158" i="216" s="1"/>
  <c r="D21" i="216"/>
  <c r="D158" i="216" s="1"/>
  <c r="I117" i="216"/>
  <c r="E117" i="216"/>
  <c r="G21" i="216"/>
  <c r="G158" i="216" s="1"/>
  <c r="E118" i="216"/>
  <c r="D118" i="216"/>
  <c r="D117" i="216"/>
  <c r="F21" i="216"/>
  <c r="F158" i="216" s="1"/>
  <c r="H222" i="127"/>
  <c r="H259" i="127"/>
  <c r="H219" i="127"/>
  <c r="H215" i="127"/>
  <c r="H267" i="127"/>
  <c r="H237" i="127"/>
  <c r="H245" i="127"/>
  <c r="H241" i="127"/>
  <c r="H236" i="127"/>
  <c r="L621" i="608"/>
  <c r="H381" i="608"/>
  <c r="H383" i="608" s="1"/>
  <c r="H209" i="127" s="1"/>
  <c r="H230" i="127"/>
  <c r="K215" i="608"/>
  <c r="H270" i="127"/>
  <c r="L215" i="608"/>
  <c r="H234" i="127"/>
  <c r="H218" i="127"/>
  <c r="H226" i="127"/>
  <c r="H228" i="127"/>
  <c r="H221" i="127"/>
  <c r="H258" i="127"/>
  <c r="H256" i="127"/>
  <c r="H229" i="127"/>
  <c r="H249" i="127"/>
  <c r="H227" i="127"/>
  <c r="H244" i="127"/>
  <c r="H266" i="127"/>
  <c r="H252" i="127"/>
  <c r="H231" i="127"/>
  <c r="H212" i="608"/>
  <c r="H214" i="608" s="1"/>
  <c r="H260" i="127"/>
  <c r="H232" i="127"/>
  <c r="H217" i="127"/>
  <c r="H242" i="127"/>
  <c r="H240" i="127"/>
  <c r="H235" i="127"/>
  <c r="H247" i="127"/>
  <c r="H263" i="127"/>
  <c r="H248" i="127"/>
  <c r="H261" i="127"/>
  <c r="H262" i="127"/>
  <c r="L597" i="608"/>
  <c r="H265" i="127"/>
  <c r="H257" i="127"/>
  <c r="L587" i="608"/>
  <c r="H220" i="127"/>
  <c r="H223" i="127"/>
  <c r="L592" i="608"/>
  <c r="H224" i="127"/>
  <c r="H243" i="127"/>
  <c r="I586" i="608"/>
  <c r="H246" i="127"/>
  <c r="H269" i="127"/>
  <c r="H216" i="127"/>
  <c r="L589" i="608"/>
  <c r="I215" i="608"/>
  <c r="J586" i="608"/>
  <c r="L603" i="608"/>
  <c r="L598" i="608"/>
  <c r="L599" i="608"/>
  <c r="L601" i="608"/>
  <c r="L600" i="608"/>
  <c r="J209" i="127"/>
  <c r="J454" i="608"/>
  <c r="L596" i="608"/>
  <c r="H532" i="608"/>
  <c r="H610" i="608" s="1"/>
  <c r="H322" i="127"/>
  <c r="H254" i="127" s="1"/>
  <c r="I608" i="608"/>
  <c r="I548" i="608"/>
  <c r="K608" i="608"/>
  <c r="H293" i="127"/>
  <c r="H225" i="127" s="1"/>
  <c r="H534" i="608"/>
  <c r="H612" i="608" s="1"/>
  <c r="L591" i="608"/>
  <c r="H530" i="608"/>
  <c r="H609" i="608" s="1"/>
  <c r="H301" i="127"/>
  <c r="H233" i="127" s="1"/>
  <c r="H538" i="608"/>
  <c r="H616" i="608" s="1"/>
  <c r="H307" i="127"/>
  <c r="H239" i="127" s="1"/>
  <c r="L610" i="608"/>
  <c r="L593" i="608"/>
  <c r="H536" i="608"/>
  <c r="H614" i="608" s="1"/>
  <c r="H319" i="127"/>
  <c r="H251" i="127" s="1"/>
  <c r="L548" i="608"/>
  <c r="L622" i="608" s="1"/>
  <c r="L608" i="608"/>
  <c r="L612" i="608"/>
  <c r="L595" i="608"/>
  <c r="H537" i="608"/>
  <c r="H615" i="608" s="1"/>
  <c r="H321" i="127"/>
  <c r="H253" i="127" s="1"/>
  <c r="H547" i="608"/>
  <c r="H347" i="127"/>
  <c r="H458" i="608"/>
  <c r="L590" i="608"/>
  <c r="H585" i="608"/>
  <c r="H586" i="608" s="1"/>
  <c r="H594" i="608" s="1"/>
  <c r="K586" i="608"/>
  <c r="H529" i="608"/>
  <c r="H282" i="127"/>
  <c r="H214" i="127" s="1"/>
  <c r="H144" i="608"/>
  <c r="H146" i="608" s="1"/>
  <c r="J144" i="608"/>
  <c r="J146" i="608" s="1"/>
  <c r="J215" i="608" s="1"/>
  <c r="J347" i="127"/>
  <c r="J273" i="127" s="1"/>
  <c r="J547" i="608"/>
  <c r="J548" i="608" s="1"/>
  <c r="H318" i="127"/>
  <c r="H250" i="127" s="1"/>
  <c r="H533" i="608"/>
  <c r="H611" i="608" s="1"/>
  <c r="H198" i="127"/>
  <c r="L274" i="127"/>
  <c r="L252" i="127"/>
  <c r="L257" i="127"/>
  <c r="L233" i="127"/>
  <c r="L258" i="127"/>
  <c r="L248" i="127"/>
  <c r="L229" i="127"/>
  <c r="L217" i="127"/>
  <c r="L237" i="127"/>
  <c r="L232" i="127"/>
  <c r="L222" i="127"/>
  <c r="L223" i="127"/>
  <c r="L224" i="127"/>
  <c r="L260" i="127"/>
  <c r="L243" i="127"/>
  <c r="L220" i="127"/>
  <c r="L268" i="127"/>
  <c r="L270" i="127"/>
  <c r="L216" i="127"/>
  <c r="L249" i="127"/>
  <c r="L230" i="127"/>
  <c r="L226" i="127"/>
  <c r="L253" i="127"/>
  <c r="L267" i="127"/>
  <c r="L245" i="127"/>
  <c r="L255" i="127"/>
  <c r="L259" i="127"/>
  <c r="L265" i="127"/>
  <c r="L241" i="127"/>
  <c r="L221" i="127"/>
  <c r="L256" i="127"/>
  <c r="L215" i="127"/>
  <c r="L244" i="127"/>
  <c r="L250" i="127"/>
  <c r="L228" i="127"/>
  <c r="L235" i="127"/>
  <c r="L242" i="127"/>
  <c r="L238" i="127"/>
  <c r="L254" i="127"/>
  <c r="L263" i="127"/>
  <c r="L239" i="127"/>
  <c r="L218" i="127"/>
  <c r="L251" i="127"/>
  <c r="L214" i="127"/>
  <c r="L275" i="127"/>
  <c r="L276" i="127"/>
  <c r="L247" i="127"/>
  <c r="L262" i="127"/>
  <c r="L236" i="127"/>
  <c r="L227" i="127"/>
  <c r="L261" i="127"/>
  <c r="L234" i="127"/>
  <c r="L219" i="127"/>
  <c r="L269" i="127"/>
  <c r="L266" i="127"/>
  <c r="L246" i="127"/>
  <c r="L225" i="127"/>
  <c r="L231" i="127"/>
  <c r="L264" i="127"/>
  <c r="J125" i="186"/>
  <c r="F128" i="472"/>
  <c r="G128" i="472"/>
  <c r="D128" i="472"/>
  <c r="H128" i="472"/>
  <c r="I128" i="472"/>
  <c r="E128" i="472"/>
  <c r="E68" i="186"/>
  <c r="E149" i="186" s="1"/>
  <c r="H81" i="186"/>
  <c r="H151" i="186" s="1"/>
  <c r="H74" i="186"/>
  <c r="H150" i="186" s="1"/>
  <c r="H68" i="186"/>
  <c r="H149" i="186" s="1"/>
  <c r="I81" i="186"/>
  <c r="I151" i="186" s="1"/>
  <c r="F81" i="186"/>
  <c r="F151" i="186" s="1"/>
  <c r="E81" i="186"/>
  <c r="E151" i="186" s="1"/>
  <c r="G85" i="472"/>
  <c r="H85" i="472"/>
  <c r="E89" i="472"/>
  <c r="F89" i="472"/>
  <c r="I89" i="472"/>
  <c r="E85" i="472"/>
  <c r="F85" i="472"/>
  <c r="G89" i="472"/>
  <c r="I85" i="472"/>
  <c r="H89" i="472"/>
  <c r="G87" i="472"/>
  <c r="F87" i="472"/>
  <c r="H87" i="472"/>
  <c r="E87" i="472"/>
  <c r="I87" i="472"/>
  <c r="E88" i="472"/>
  <c r="I86" i="472"/>
  <c r="I88" i="472"/>
  <c r="H88" i="472"/>
  <c r="G88" i="472"/>
  <c r="H86" i="472"/>
  <c r="E86" i="472"/>
  <c r="F86" i="472"/>
  <c r="G86" i="472"/>
  <c r="F88" i="472"/>
  <c r="E84" i="472"/>
  <c r="G84" i="472"/>
  <c r="F84" i="472"/>
  <c r="I84" i="472"/>
  <c r="H84" i="472"/>
  <c r="H72" i="472"/>
  <c r="I71" i="472"/>
  <c r="H73" i="472"/>
  <c r="G72" i="472"/>
  <c r="G79" i="472"/>
  <c r="I73" i="472"/>
  <c r="H79" i="472"/>
  <c r="I79" i="472"/>
  <c r="F79" i="472"/>
  <c r="H78" i="472"/>
  <c r="G73" i="472"/>
  <c r="H71" i="472"/>
  <c r="E79" i="472"/>
  <c r="H81" i="472"/>
  <c r="G81" i="472"/>
  <c r="I78" i="472"/>
  <c r="I72" i="472"/>
  <c r="E78" i="472"/>
  <c r="F71" i="472"/>
  <c r="E73" i="472"/>
  <c r="G71" i="472"/>
  <c r="G78" i="472"/>
  <c r="F73" i="472"/>
  <c r="F72" i="472"/>
  <c r="E71" i="472"/>
  <c r="F81" i="472"/>
  <c r="F78" i="472"/>
  <c r="E72" i="472"/>
  <c r="E81" i="472"/>
  <c r="I81" i="472"/>
  <c r="H74" i="472"/>
  <c r="E82" i="472"/>
  <c r="G77" i="472"/>
  <c r="I74" i="472"/>
  <c r="F77" i="472"/>
  <c r="E74" i="472"/>
  <c r="I77" i="472"/>
  <c r="I80" i="472"/>
  <c r="H82" i="472"/>
  <c r="G74" i="472"/>
  <c r="F80" i="472"/>
  <c r="H80" i="472"/>
  <c r="F82" i="472"/>
  <c r="H77" i="472"/>
  <c r="F75" i="472"/>
  <c r="I75" i="472"/>
  <c r="G82" i="472"/>
  <c r="E77" i="472"/>
  <c r="G75" i="472"/>
  <c r="E75" i="472"/>
  <c r="F74" i="472"/>
  <c r="I82" i="472"/>
  <c r="E80" i="472"/>
  <c r="H75" i="472"/>
  <c r="G80" i="472"/>
  <c r="I74" i="186"/>
  <c r="I150" i="186" s="1"/>
  <c r="E74" i="186"/>
  <c r="E150" i="186" s="1"/>
  <c r="G68" i="186"/>
  <c r="G149" i="186" s="1"/>
  <c r="I68" i="186"/>
  <c r="I149" i="186" s="1"/>
  <c r="G74" i="186"/>
  <c r="G150" i="186" s="1"/>
  <c r="F68" i="186"/>
  <c r="F149" i="186" s="1"/>
  <c r="G81" i="186"/>
  <c r="G151" i="186" s="1"/>
  <c r="F74" i="186"/>
  <c r="F150" i="186" s="1"/>
  <c r="G93" i="498"/>
  <c r="G97" i="498"/>
  <c r="E97" i="498"/>
  <c r="H93" i="498"/>
  <c r="F97" i="498"/>
  <c r="F93" i="498"/>
  <c r="E93" i="498"/>
  <c r="I93" i="498"/>
  <c r="I97" i="498"/>
  <c r="H97" i="498"/>
  <c r="H95" i="498"/>
  <c r="F95" i="498"/>
  <c r="I95" i="498"/>
  <c r="G95" i="498"/>
  <c r="E95" i="498"/>
  <c r="H94" i="498"/>
  <c r="I94" i="498"/>
  <c r="H96" i="498"/>
  <c r="E96" i="498"/>
  <c r="G94" i="498"/>
  <c r="I96" i="498"/>
  <c r="G96" i="498"/>
  <c r="F96" i="498"/>
  <c r="F94" i="498"/>
  <c r="E94" i="498"/>
  <c r="H92" i="498"/>
  <c r="G92" i="498"/>
  <c r="F92" i="498"/>
  <c r="I92" i="498"/>
  <c r="E92" i="498"/>
  <c r="I86" i="498"/>
  <c r="F86" i="498"/>
  <c r="H87" i="498"/>
  <c r="G89" i="498"/>
  <c r="I79" i="498"/>
  <c r="F87" i="498"/>
  <c r="E79" i="498"/>
  <c r="H86" i="498"/>
  <c r="F89" i="498"/>
  <c r="E80" i="498"/>
  <c r="H89" i="498"/>
  <c r="E81" i="498"/>
  <c r="I89" i="498"/>
  <c r="E89" i="498"/>
  <c r="F80" i="498"/>
  <c r="G86" i="498"/>
  <c r="I81" i="498"/>
  <c r="F79" i="498"/>
  <c r="G87" i="498"/>
  <c r="G81" i="498"/>
  <c r="G80" i="498"/>
  <c r="E87" i="498"/>
  <c r="I87" i="498"/>
  <c r="H81" i="498"/>
  <c r="I80" i="498"/>
  <c r="G79" i="498"/>
  <c r="E86" i="498"/>
  <c r="F81" i="498"/>
  <c r="H80" i="498"/>
  <c r="H79" i="498"/>
  <c r="H83" i="498"/>
  <c r="I85" i="498"/>
  <c r="G82" i="498"/>
  <c r="F90" i="498"/>
  <c r="F82" i="498"/>
  <c r="F85" i="498"/>
  <c r="E90" i="498"/>
  <c r="I82" i="498"/>
  <c r="H90" i="498"/>
  <c r="F88" i="498"/>
  <c r="I90" i="498"/>
  <c r="I88" i="498"/>
  <c r="G83" i="498"/>
  <c r="G85" i="498"/>
  <c r="E83" i="498"/>
  <c r="F83" i="498"/>
  <c r="G88" i="498"/>
  <c r="H82" i="498"/>
  <c r="H85" i="498"/>
  <c r="I83" i="498"/>
  <c r="E88" i="498"/>
  <c r="G90" i="498"/>
  <c r="H88" i="498"/>
  <c r="E82" i="498"/>
  <c r="E85" i="498"/>
  <c r="L240" i="127"/>
  <c r="L273" i="127"/>
  <c r="F116" i="186"/>
  <c r="F163" i="186" s="1"/>
  <c r="I34" i="186"/>
  <c r="I154" i="186" s="1"/>
  <c r="H34" i="186"/>
  <c r="H154" i="186" s="1"/>
  <c r="D116" i="186"/>
  <c r="D163" i="186" s="1"/>
  <c r="F34" i="186"/>
  <c r="F154" i="186" s="1"/>
  <c r="E116" i="186"/>
  <c r="E163" i="186" s="1"/>
  <c r="G95" i="186"/>
  <c r="F24" i="186"/>
  <c r="F156" i="186" s="1"/>
  <c r="F45" i="186"/>
  <c r="J131" i="186"/>
  <c r="H61" i="186"/>
  <c r="H152" i="186" s="1"/>
  <c r="I116" i="186"/>
  <c r="I163" i="186" s="1"/>
  <c r="I38" i="186"/>
  <c r="I50" i="186"/>
  <c r="G45" i="186"/>
  <c r="I126" i="186"/>
  <c r="I161" i="186" s="1"/>
  <c r="I61" i="186"/>
  <c r="I152" i="186" s="1"/>
  <c r="G61" i="186"/>
  <c r="G152" i="186" s="1"/>
  <c r="F19" i="186"/>
  <c r="F158" i="186"/>
  <c r="F95" i="186"/>
  <c r="I27" i="186"/>
  <c r="I155" i="186" s="1"/>
  <c r="H27" i="186"/>
  <c r="H155" i="186" s="1"/>
  <c r="G162" i="186"/>
  <c r="E61" i="186"/>
  <c r="E152" i="186" s="1"/>
  <c r="G116" i="186"/>
  <c r="G163" i="186" s="1"/>
  <c r="G158" i="186"/>
  <c r="G19" i="186"/>
  <c r="H50" i="186"/>
  <c r="F55" i="186"/>
  <c r="J139" i="186"/>
  <c r="E38" i="186"/>
  <c r="J138" i="186"/>
  <c r="E50" i="186"/>
  <c r="H95" i="186"/>
  <c r="H89" i="186"/>
  <c r="I89" i="186"/>
  <c r="J128" i="186"/>
  <c r="G160" i="186"/>
  <c r="E19" i="186"/>
  <c r="E158" i="186"/>
  <c r="G135" i="186"/>
  <c r="G159" i="186" s="1"/>
  <c r="J140" i="186"/>
  <c r="J130" i="186"/>
  <c r="F27" i="186"/>
  <c r="F155" i="186" s="1"/>
  <c r="H126" i="186"/>
  <c r="H161" i="186" s="1"/>
  <c r="G24" i="186"/>
  <c r="G34" i="186"/>
  <c r="I164" i="186"/>
  <c r="G55" i="186"/>
  <c r="F38" i="186"/>
  <c r="H38" i="186"/>
  <c r="G38" i="186"/>
  <c r="E95" i="186"/>
  <c r="F126" i="186"/>
  <c r="F161" i="186" s="1"/>
  <c r="H162" i="186"/>
  <c r="F61" i="186"/>
  <c r="F152" i="186" s="1"/>
  <c r="J117" i="186"/>
  <c r="H116" i="186"/>
  <c r="H114" i="186" s="1"/>
  <c r="J134" i="186"/>
  <c r="J160" i="186" s="1"/>
  <c r="P29" i="485" s="1"/>
  <c r="P50" i="485" s="1"/>
  <c r="D160" i="186"/>
  <c r="H160" i="186"/>
  <c r="H19" i="186"/>
  <c r="H158" i="186"/>
  <c r="H55" i="186"/>
  <c r="I45" i="186"/>
  <c r="F50" i="186"/>
  <c r="I102" i="186"/>
  <c r="E102" i="186"/>
  <c r="F89" i="186"/>
  <c r="J123" i="186"/>
  <c r="J119" i="186"/>
  <c r="J165" i="186" s="1"/>
  <c r="U29" i="485" s="1"/>
  <c r="D165" i="186"/>
  <c r="E34" i="186"/>
  <c r="I158" i="186"/>
  <c r="I19" i="186"/>
  <c r="H135" i="186"/>
  <c r="H159" i="186" s="1"/>
  <c r="E135" i="186"/>
  <c r="E159" i="186" s="1"/>
  <c r="G27" i="186"/>
  <c r="G155" i="186" s="1"/>
  <c r="H24" i="186"/>
  <c r="J21" i="186"/>
  <c r="J157" i="186" s="1"/>
  <c r="L29" i="485" s="1"/>
  <c r="L50" i="485" s="1"/>
  <c r="D157" i="186"/>
  <c r="I160" i="186"/>
  <c r="D164" i="186"/>
  <c r="J115" i="186"/>
  <c r="J164" i="186" s="1"/>
  <c r="T29" i="485" s="1"/>
  <c r="T50" i="485" s="1"/>
  <c r="G50" i="186"/>
  <c r="I135" i="186"/>
  <c r="I159" i="186" s="1"/>
  <c r="E55" i="186"/>
  <c r="J127" i="186"/>
  <c r="D126" i="186"/>
  <c r="I162" i="186"/>
  <c r="I24" i="186"/>
  <c r="E164" i="186"/>
  <c r="I95" i="186"/>
  <c r="H102" i="186"/>
  <c r="E126" i="186"/>
  <c r="E161" i="186" s="1"/>
  <c r="G126" i="186"/>
  <c r="G161" i="186" s="1"/>
  <c r="E160" i="186"/>
  <c r="F164" i="186"/>
  <c r="I55" i="186"/>
  <c r="E45" i="186"/>
  <c r="F135" i="186"/>
  <c r="F159" i="186" s="1"/>
  <c r="F162" i="186"/>
  <c r="G164" i="186"/>
  <c r="H45" i="186"/>
  <c r="G89" i="186"/>
  <c r="E27" i="186"/>
  <c r="E155" i="186" s="1"/>
  <c r="J122" i="186"/>
  <c r="D162" i="186"/>
  <c r="J118" i="186"/>
  <c r="J137" i="186"/>
  <c r="J136" i="186"/>
  <c r="D135" i="186"/>
  <c r="D133" i="186" s="1"/>
  <c r="G102" i="186"/>
  <c r="E89" i="186"/>
  <c r="F102" i="186"/>
  <c r="J129" i="186"/>
  <c r="E162" i="186"/>
  <c r="E24" i="186"/>
  <c r="J124" i="186"/>
  <c r="F160" i="186"/>
  <c r="H164" i="186"/>
  <c r="H131" i="472"/>
  <c r="E31" i="472"/>
  <c r="F33" i="472"/>
  <c r="I33" i="472"/>
  <c r="I31" i="472"/>
  <c r="G33" i="472"/>
  <c r="H31" i="472"/>
  <c r="E33" i="472"/>
  <c r="F31" i="472"/>
  <c r="H33" i="472"/>
  <c r="G31" i="472"/>
  <c r="G117" i="498"/>
  <c r="G115" i="498"/>
  <c r="G113" i="498"/>
  <c r="F104" i="498"/>
  <c r="F102" i="498"/>
  <c r="F100" i="498"/>
  <c r="F73" i="498"/>
  <c r="E107" i="498"/>
  <c r="F117" i="498"/>
  <c r="F115" i="498"/>
  <c r="F113" i="498"/>
  <c r="I110" i="498"/>
  <c r="I108" i="498"/>
  <c r="I106" i="498"/>
  <c r="E104" i="498"/>
  <c r="E102" i="498"/>
  <c r="E100" i="498"/>
  <c r="I76" i="498"/>
  <c r="E73" i="498"/>
  <c r="H117" i="498"/>
  <c r="G104" i="498"/>
  <c r="G102" i="498"/>
  <c r="G100" i="498"/>
  <c r="E77" i="498"/>
  <c r="E117" i="498"/>
  <c r="E115" i="498"/>
  <c r="E113" i="498"/>
  <c r="H110" i="498"/>
  <c r="H108" i="498"/>
  <c r="H106" i="498"/>
  <c r="H76" i="498"/>
  <c r="I74" i="498"/>
  <c r="G110" i="498"/>
  <c r="G108" i="498"/>
  <c r="G106" i="498"/>
  <c r="I103" i="498"/>
  <c r="I101" i="498"/>
  <c r="G76" i="498"/>
  <c r="H74" i="498"/>
  <c r="I72" i="498"/>
  <c r="H115" i="498"/>
  <c r="I118" i="498"/>
  <c r="I116" i="498"/>
  <c r="I114" i="498"/>
  <c r="F110" i="498"/>
  <c r="F108" i="498"/>
  <c r="F106" i="498"/>
  <c r="H103" i="498"/>
  <c r="H101" i="498"/>
  <c r="F76" i="498"/>
  <c r="G74" i="498"/>
  <c r="H72" i="498"/>
  <c r="E109" i="498"/>
  <c r="G73" i="498"/>
  <c r="H118" i="498"/>
  <c r="H116" i="498"/>
  <c r="H114" i="498"/>
  <c r="E110" i="498"/>
  <c r="E108" i="498"/>
  <c r="E106" i="498"/>
  <c r="G103" i="498"/>
  <c r="G101" i="498"/>
  <c r="E76" i="498"/>
  <c r="F74" i="498"/>
  <c r="G72" i="498"/>
  <c r="G118" i="498"/>
  <c r="G116" i="498"/>
  <c r="G114" i="498"/>
  <c r="I111" i="498"/>
  <c r="F103" i="498"/>
  <c r="F101" i="498"/>
  <c r="E74" i="498"/>
  <c r="F72" i="498"/>
  <c r="F118" i="498"/>
  <c r="F116" i="498"/>
  <c r="F114" i="498"/>
  <c r="H111" i="498"/>
  <c r="I109" i="498"/>
  <c r="I107" i="498"/>
  <c r="E103" i="498"/>
  <c r="E101" i="498"/>
  <c r="I77" i="498"/>
  <c r="I75" i="498"/>
  <c r="E72" i="498"/>
  <c r="E118" i="498"/>
  <c r="E116" i="498"/>
  <c r="E114" i="498"/>
  <c r="G111" i="498"/>
  <c r="H109" i="498"/>
  <c r="H107" i="498"/>
  <c r="H77" i="498"/>
  <c r="H75" i="498"/>
  <c r="F111" i="498"/>
  <c r="G109" i="498"/>
  <c r="G107" i="498"/>
  <c r="I104" i="498"/>
  <c r="I102" i="498"/>
  <c r="I100" i="498"/>
  <c r="G77" i="498"/>
  <c r="G75" i="498"/>
  <c r="I73" i="498"/>
  <c r="H113" i="498"/>
  <c r="E75" i="498"/>
  <c r="I117" i="498"/>
  <c r="I115" i="498"/>
  <c r="I113" i="498"/>
  <c r="E111" i="498"/>
  <c r="F109" i="498"/>
  <c r="F107" i="498"/>
  <c r="H104" i="498"/>
  <c r="H102" i="498"/>
  <c r="H100" i="498"/>
  <c r="F77" i="498"/>
  <c r="F75" i="498"/>
  <c r="H73" i="498"/>
  <c r="J274" i="127"/>
  <c r="K274" i="127"/>
  <c r="I273" i="127"/>
  <c r="I274" i="127"/>
  <c r="F45" i="472"/>
  <c r="G61" i="472"/>
  <c r="F60" i="472"/>
  <c r="E59" i="472"/>
  <c r="E60" i="472"/>
  <c r="H45" i="472"/>
  <c r="P61" i="445"/>
  <c r="P64" i="445"/>
  <c r="P65" i="445"/>
  <c r="G161" i="216"/>
  <c r="E126" i="472"/>
  <c r="E139" i="472"/>
  <c r="I54" i="472"/>
  <c r="E140" i="472"/>
  <c r="F141" i="472"/>
  <c r="H141" i="472"/>
  <c r="D142" i="472"/>
  <c r="D138" i="472"/>
  <c r="I142" i="472"/>
  <c r="H42" i="472"/>
  <c r="F140" i="472"/>
  <c r="E138" i="472"/>
  <c r="G54" i="472"/>
  <c r="I126" i="472"/>
  <c r="G127" i="472"/>
  <c r="H61" i="472"/>
  <c r="I45" i="472"/>
  <c r="G140" i="472"/>
  <c r="P62" i="445"/>
  <c r="G138" i="472"/>
  <c r="H56" i="472"/>
  <c r="I141" i="472"/>
  <c r="F55" i="472"/>
  <c r="E142" i="472"/>
  <c r="H127" i="472"/>
  <c r="F138" i="472"/>
  <c r="F142" i="472"/>
  <c r="E133" i="472"/>
  <c r="I130" i="472"/>
  <c r="F132" i="472"/>
  <c r="G131" i="472"/>
  <c r="G130" i="472"/>
  <c r="G133" i="472"/>
  <c r="E125" i="472"/>
  <c r="D125" i="472"/>
  <c r="H126" i="472"/>
  <c r="F127" i="472"/>
  <c r="I125" i="472"/>
  <c r="I127" i="472"/>
  <c r="D127" i="472"/>
  <c r="G125" i="472"/>
  <c r="H125" i="472"/>
  <c r="F125" i="472"/>
  <c r="E127" i="472"/>
  <c r="G126" i="472"/>
  <c r="D126" i="472"/>
  <c r="F126" i="472"/>
  <c r="D134" i="472"/>
  <c r="I133" i="472"/>
  <c r="I131" i="472"/>
  <c r="F130" i="472"/>
  <c r="I117" i="472"/>
  <c r="I166" i="472" s="1"/>
  <c r="E51" i="472"/>
  <c r="E54" i="472"/>
  <c r="I134" i="472"/>
  <c r="H132" i="472"/>
  <c r="G132" i="472"/>
  <c r="D131" i="472"/>
  <c r="D133" i="472"/>
  <c r="F134" i="472"/>
  <c r="E134" i="472"/>
  <c r="D132" i="472"/>
  <c r="H130" i="472"/>
  <c r="E130" i="472"/>
  <c r="E132" i="472"/>
  <c r="G134" i="472"/>
  <c r="D130" i="472"/>
  <c r="H117" i="472"/>
  <c r="H166" i="472" s="1"/>
  <c r="P63" i="445"/>
  <c r="P60" i="445"/>
  <c r="F133" i="472"/>
  <c r="I132" i="472"/>
  <c r="H134" i="472"/>
  <c r="G49" i="472"/>
  <c r="F131" i="472"/>
  <c r="E131" i="472"/>
  <c r="H133" i="472"/>
  <c r="G117" i="472"/>
  <c r="G166" i="472" s="1"/>
  <c r="E117" i="472"/>
  <c r="E166" i="472" s="1"/>
  <c r="F117" i="472"/>
  <c r="F166" i="472" s="1"/>
  <c r="D117" i="472"/>
  <c r="D166" i="472" s="1"/>
  <c r="I139" i="472"/>
  <c r="G55" i="472"/>
  <c r="H55" i="472"/>
  <c r="H54" i="472"/>
  <c r="F59" i="472"/>
  <c r="I61" i="472"/>
  <c r="G139" i="472"/>
  <c r="G59" i="472"/>
  <c r="F54" i="472"/>
  <c r="E55" i="472"/>
  <c r="I55" i="472"/>
  <c r="F56" i="472"/>
  <c r="G141" i="472"/>
  <c r="H51" i="472"/>
  <c r="E42" i="472"/>
  <c r="H59" i="472"/>
  <c r="E141" i="472"/>
  <c r="G56" i="472"/>
  <c r="I56" i="472"/>
  <c r="F42" i="472"/>
  <c r="G45" i="472"/>
  <c r="D141" i="472"/>
  <c r="D139" i="472"/>
  <c r="H60" i="472"/>
  <c r="I138" i="472"/>
  <c r="I59" i="472"/>
  <c r="G142" i="472"/>
  <c r="D140" i="472"/>
  <c r="I140" i="472"/>
  <c r="E56" i="472"/>
  <c r="G42" i="472"/>
  <c r="H140" i="472"/>
  <c r="G51" i="472"/>
  <c r="E45" i="472"/>
  <c r="E49" i="472"/>
  <c r="E61" i="472"/>
  <c r="F61" i="472"/>
  <c r="H142" i="472"/>
  <c r="F51" i="472"/>
  <c r="H23" i="472"/>
  <c r="H159" i="472" s="1"/>
  <c r="H139" i="472"/>
  <c r="H49" i="472"/>
  <c r="I51" i="472"/>
  <c r="F49" i="472"/>
  <c r="G60" i="472"/>
  <c r="I49" i="472"/>
  <c r="I60" i="472"/>
  <c r="H138" i="472"/>
  <c r="I42" i="472"/>
  <c r="D23" i="472"/>
  <c r="G119" i="472"/>
  <c r="H120" i="472"/>
  <c r="D119" i="472"/>
  <c r="G120" i="472"/>
  <c r="H119" i="472"/>
  <c r="I120" i="472"/>
  <c r="I118" i="472" s="1"/>
  <c r="I23" i="472"/>
  <c r="I159" i="472" s="1"/>
  <c r="E120" i="472"/>
  <c r="E119" i="472"/>
  <c r="D120" i="472"/>
  <c r="E23" i="472"/>
  <c r="E159" i="472" s="1"/>
  <c r="F120" i="472"/>
  <c r="E136" i="472"/>
  <c r="E162" i="472" s="1"/>
  <c r="F23" i="472"/>
  <c r="F159" i="472" s="1"/>
  <c r="F119" i="472"/>
  <c r="G23" i="472"/>
  <c r="G159" i="472" s="1"/>
  <c r="F136" i="472"/>
  <c r="F162" i="472" s="1"/>
  <c r="D136" i="472"/>
  <c r="D162" i="472" s="1"/>
  <c r="H136" i="472"/>
  <c r="H162" i="472" s="1"/>
  <c r="I136" i="472"/>
  <c r="I162" i="472" s="1"/>
  <c r="G136" i="472"/>
  <c r="G162" i="472" s="1"/>
  <c r="D14" i="498"/>
  <c r="K621" i="608" l="1"/>
  <c r="H613" i="608"/>
  <c r="K602" i="608"/>
  <c r="K594" i="608"/>
  <c r="J602" i="608"/>
  <c r="J594" i="608"/>
  <c r="I593" i="608"/>
  <c r="I594" i="608"/>
  <c r="H608" i="608"/>
  <c r="H606" i="608"/>
  <c r="H454" i="608"/>
  <c r="H587" i="608" s="1"/>
  <c r="H215" i="608"/>
  <c r="I601" i="608"/>
  <c r="I599" i="608"/>
  <c r="I600" i="608"/>
  <c r="I602" i="608"/>
  <c r="I590" i="608"/>
  <c r="I597" i="608"/>
  <c r="I591" i="608"/>
  <c r="J622" i="608"/>
  <c r="H596" i="608"/>
  <c r="H589" i="608"/>
  <c r="H590" i="608"/>
  <c r="I596" i="608"/>
  <c r="I589" i="608"/>
  <c r="I598" i="608"/>
  <c r="I595" i="608"/>
  <c r="I603" i="608"/>
  <c r="I587" i="608"/>
  <c r="I592" i="608"/>
  <c r="L549" i="608"/>
  <c r="K622" i="608"/>
  <c r="J621" i="608"/>
  <c r="J549" i="608"/>
  <c r="I622" i="608"/>
  <c r="H600" i="608"/>
  <c r="H603" i="608"/>
  <c r="H601" i="608"/>
  <c r="H598" i="608"/>
  <c r="H599" i="608"/>
  <c r="H273" i="127"/>
  <c r="J603" i="608"/>
  <c r="J601" i="608"/>
  <c r="J599" i="608"/>
  <c r="J600" i="608"/>
  <c r="J598" i="608"/>
  <c r="J592" i="608"/>
  <c r="J591" i="608"/>
  <c r="J596" i="608"/>
  <c r="J595" i="608"/>
  <c r="J589" i="608"/>
  <c r="J597" i="608"/>
  <c r="J593" i="608"/>
  <c r="J590" i="608"/>
  <c r="L604" i="608"/>
  <c r="H548" i="608"/>
  <c r="H622" i="608" s="1"/>
  <c r="H592" i="608"/>
  <c r="I549" i="608"/>
  <c r="K549" i="608"/>
  <c r="J587" i="608"/>
  <c r="K598" i="608"/>
  <c r="K603" i="608"/>
  <c r="K599" i="608"/>
  <c r="K601" i="608"/>
  <c r="K600" i="608"/>
  <c r="K591" i="608"/>
  <c r="K595" i="608"/>
  <c r="K592" i="608"/>
  <c r="K597" i="608"/>
  <c r="K589" i="608"/>
  <c r="K596" i="608"/>
  <c r="K593" i="608"/>
  <c r="K590" i="608"/>
  <c r="H593" i="608"/>
  <c r="H591" i="608"/>
  <c r="H595" i="608"/>
  <c r="H602" i="608"/>
  <c r="H621" i="608"/>
  <c r="H597" i="608"/>
  <c r="K587" i="608"/>
  <c r="H122" i="216"/>
  <c r="H163" i="216" s="1"/>
  <c r="D122" i="216"/>
  <c r="J126" i="216"/>
  <c r="F122" i="216"/>
  <c r="F163" i="216" s="1"/>
  <c r="G122" i="216"/>
  <c r="G163" i="216" s="1"/>
  <c r="I122" i="216"/>
  <c r="I163" i="216" s="1"/>
  <c r="E122" i="216"/>
  <c r="E163" i="216" s="1"/>
  <c r="J128" i="472"/>
  <c r="E70" i="472"/>
  <c r="E151" i="472" s="1"/>
  <c r="E68" i="216"/>
  <c r="E150" i="216" s="1"/>
  <c r="G78" i="498"/>
  <c r="G123" i="498" s="1"/>
  <c r="H74" i="216"/>
  <c r="H151" i="216" s="1"/>
  <c r="I68" i="216"/>
  <c r="I150" i="216" s="1"/>
  <c r="H68" i="216"/>
  <c r="H150" i="216" s="1"/>
  <c r="I70" i="472"/>
  <c r="I151" i="472" s="1"/>
  <c r="I76" i="472"/>
  <c r="I152" i="472" s="1"/>
  <c r="E76" i="472"/>
  <c r="E152" i="472" s="1"/>
  <c r="H70" i="472"/>
  <c r="H151" i="472" s="1"/>
  <c r="H83" i="472"/>
  <c r="H153" i="472" s="1"/>
  <c r="F76" i="472"/>
  <c r="F152" i="472" s="1"/>
  <c r="I83" i="472"/>
  <c r="I153" i="472" s="1"/>
  <c r="E81" i="216"/>
  <c r="E152" i="216" s="1"/>
  <c r="F83" i="472"/>
  <c r="F153" i="472" s="1"/>
  <c r="F74" i="216"/>
  <c r="F151" i="216" s="1"/>
  <c r="G81" i="216"/>
  <c r="G152" i="216" s="1"/>
  <c r="F70" i="472"/>
  <c r="F151" i="472" s="1"/>
  <c r="G76" i="472"/>
  <c r="G152" i="472" s="1"/>
  <c r="G70" i="472"/>
  <c r="G151" i="472" s="1"/>
  <c r="G83" i="472"/>
  <c r="G153" i="472" s="1"/>
  <c r="G74" i="216"/>
  <c r="G151" i="216" s="1"/>
  <c r="H81" i="216"/>
  <c r="H152" i="216" s="1"/>
  <c r="H76" i="472"/>
  <c r="H152" i="472" s="1"/>
  <c r="E83" i="472"/>
  <c r="E153" i="472" s="1"/>
  <c r="E74" i="216"/>
  <c r="E151" i="216" s="1"/>
  <c r="I74" i="216"/>
  <c r="I151" i="216" s="1"/>
  <c r="F81" i="216"/>
  <c r="F152" i="216" s="1"/>
  <c r="I81" i="216"/>
  <c r="I152" i="216" s="1"/>
  <c r="F68" i="216"/>
  <c r="F150" i="216" s="1"/>
  <c r="G68" i="216"/>
  <c r="G150" i="216" s="1"/>
  <c r="I78" i="498"/>
  <c r="I123" i="498" s="1"/>
  <c r="H84" i="498"/>
  <c r="H124" i="498" s="1"/>
  <c r="F84" i="498"/>
  <c r="F124" i="498" s="1"/>
  <c r="E91" i="498"/>
  <c r="E125" i="498" s="1"/>
  <c r="I91" i="498"/>
  <c r="I125" i="498" s="1"/>
  <c r="F78" i="498"/>
  <c r="F123" i="498" s="1"/>
  <c r="F91" i="498"/>
  <c r="F125" i="498" s="1"/>
  <c r="G91" i="498"/>
  <c r="G125" i="498" s="1"/>
  <c r="G84" i="498"/>
  <c r="G124" i="498" s="1"/>
  <c r="I84" i="498"/>
  <c r="I124" i="498" s="1"/>
  <c r="H91" i="498"/>
  <c r="H125" i="498" s="1"/>
  <c r="E84" i="498"/>
  <c r="E124" i="498" s="1"/>
  <c r="E78" i="498"/>
  <c r="E123" i="498" s="1"/>
  <c r="H78" i="498"/>
  <c r="H123" i="498" s="1"/>
  <c r="E125" i="743"/>
  <c r="F114" i="186"/>
  <c r="E114" i="186"/>
  <c r="G114" i="186"/>
  <c r="D114" i="186"/>
  <c r="U30" i="485"/>
  <c r="U51" i="485" s="1"/>
  <c r="U50" i="485"/>
  <c r="I114" i="186"/>
  <c r="E133" i="186"/>
  <c r="I121" i="186"/>
  <c r="F121" i="186"/>
  <c r="G133" i="186"/>
  <c r="F23" i="186"/>
  <c r="G148" i="186"/>
  <c r="I33" i="186"/>
  <c r="G153" i="186"/>
  <c r="F153" i="186"/>
  <c r="I133" i="186"/>
  <c r="I153" i="186"/>
  <c r="D121" i="186"/>
  <c r="D161" i="186"/>
  <c r="J126" i="186"/>
  <c r="J161" i="186" s="1"/>
  <c r="Q29" i="485" s="1"/>
  <c r="Q50" i="485" s="1"/>
  <c r="F133" i="186"/>
  <c r="J116" i="186"/>
  <c r="J163" i="186" s="1"/>
  <c r="S29" i="485" s="1"/>
  <c r="S50" i="485" s="1"/>
  <c r="H163" i="186"/>
  <c r="G121" i="186"/>
  <c r="F148" i="186"/>
  <c r="H153" i="186"/>
  <c r="I148" i="186"/>
  <c r="E153" i="186"/>
  <c r="E156" i="186"/>
  <c r="E23" i="186"/>
  <c r="H121" i="186"/>
  <c r="H148" i="186"/>
  <c r="F33" i="186"/>
  <c r="G23" i="186"/>
  <c r="G156" i="186"/>
  <c r="E121" i="186"/>
  <c r="D159" i="186"/>
  <c r="J135" i="186"/>
  <c r="J159" i="186" s="1"/>
  <c r="O29" i="485" s="1"/>
  <c r="O50" i="485" s="1"/>
  <c r="J162" i="186"/>
  <c r="R29" i="485" s="1"/>
  <c r="R50" i="485" s="1"/>
  <c r="H23" i="186"/>
  <c r="H156" i="186"/>
  <c r="H33" i="186"/>
  <c r="I23" i="186"/>
  <c r="I156" i="186"/>
  <c r="E154" i="186"/>
  <c r="E33" i="186"/>
  <c r="H133" i="186"/>
  <c r="E148" i="186"/>
  <c r="G33" i="186"/>
  <c r="G154" i="186"/>
  <c r="E27" i="216"/>
  <c r="E156" i="216" s="1"/>
  <c r="E34" i="216"/>
  <c r="E155" i="216" s="1"/>
  <c r="G24" i="216"/>
  <c r="G157" i="216" s="1"/>
  <c r="H24" i="216"/>
  <c r="H157" i="216" s="1"/>
  <c r="F27" i="216"/>
  <c r="F156" i="216" s="1"/>
  <c r="H27" i="216"/>
  <c r="H156" i="216" s="1"/>
  <c r="I24" i="216"/>
  <c r="I157" i="216" s="1"/>
  <c r="G34" i="216"/>
  <c r="G155" i="216" s="1"/>
  <c r="I34" i="216"/>
  <c r="I155" i="216" s="1"/>
  <c r="H34" i="216"/>
  <c r="H155" i="216" s="1"/>
  <c r="F24" i="216"/>
  <c r="I27" i="216"/>
  <c r="G27" i="216"/>
  <c r="E24" i="216"/>
  <c r="E157" i="216" s="1"/>
  <c r="F34" i="216"/>
  <c r="F155" i="216" s="1"/>
  <c r="F112" i="498"/>
  <c r="F99" i="498"/>
  <c r="E99" i="498"/>
  <c r="H105" i="498"/>
  <c r="G99" i="498"/>
  <c r="I112" i="498"/>
  <c r="F71" i="498"/>
  <c r="F126" i="498" s="1"/>
  <c r="E71" i="498"/>
  <c r="E126" i="498" s="1"/>
  <c r="I71" i="498"/>
  <c r="I126" i="498" s="1"/>
  <c r="G105" i="498"/>
  <c r="E112" i="498"/>
  <c r="H71" i="498"/>
  <c r="H126" i="498" s="1"/>
  <c r="F105" i="498"/>
  <c r="I105" i="498"/>
  <c r="G112" i="498"/>
  <c r="H112" i="498"/>
  <c r="G71" i="498"/>
  <c r="G126" i="498" s="1"/>
  <c r="H99" i="498"/>
  <c r="I99" i="498"/>
  <c r="E105" i="498"/>
  <c r="E19" i="216"/>
  <c r="I19" i="216"/>
  <c r="H127" i="216"/>
  <c r="H162" i="216" s="1"/>
  <c r="H116" i="216"/>
  <c r="H164" i="216" s="1"/>
  <c r="H45" i="216"/>
  <c r="E127" i="216"/>
  <c r="E162" i="216" s="1"/>
  <c r="J132" i="216"/>
  <c r="E118" i="472"/>
  <c r="E116" i="472" s="1"/>
  <c r="H136" i="216"/>
  <c r="H160" i="216" s="1"/>
  <c r="J128" i="216"/>
  <c r="D116" i="216"/>
  <c r="D114" i="216" s="1"/>
  <c r="I127" i="216"/>
  <c r="I162" i="216" s="1"/>
  <c r="J130" i="216"/>
  <c r="I116" i="216"/>
  <c r="I164" i="216" s="1"/>
  <c r="D127" i="216"/>
  <c r="D162" i="216" s="1"/>
  <c r="G127" i="216"/>
  <c r="G162" i="216" s="1"/>
  <c r="J129" i="216"/>
  <c r="I159" i="216"/>
  <c r="F45" i="216"/>
  <c r="H102" i="216"/>
  <c r="J131" i="216"/>
  <c r="G50" i="216"/>
  <c r="E116" i="216"/>
  <c r="E164" i="216" s="1"/>
  <c r="J125" i="216"/>
  <c r="I95" i="216"/>
  <c r="F102" i="216"/>
  <c r="F116" i="216"/>
  <c r="F164" i="216" s="1"/>
  <c r="F50" i="216"/>
  <c r="F127" i="216"/>
  <c r="F162" i="216" s="1"/>
  <c r="E89" i="216"/>
  <c r="G95" i="216"/>
  <c r="H38" i="216"/>
  <c r="E137" i="472"/>
  <c r="E161" i="472" s="1"/>
  <c r="F124" i="472"/>
  <c r="F164" i="472" s="1"/>
  <c r="F137" i="472"/>
  <c r="F161" i="472" s="1"/>
  <c r="I124" i="472"/>
  <c r="I164" i="472" s="1"/>
  <c r="G116" i="216"/>
  <c r="G164" i="216" s="1"/>
  <c r="G89" i="216"/>
  <c r="F118" i="472"/>
  <c r="F165" i="472" s="1"/>
  <c r="G118" i="472"/>
  <c r="G165" i="472" s="1"/>
  <c r="J135" i="216"/>
  <c r="J161" i="216" s="1"/>
  <c r="P27" i="485" s="1"/>
  <c r="P48" i="485" s="1"/>
  <c r="J21" i="216"/>
  <c r="J158" i="216" s="1"/>
  <c r="L27" i="485" s="1"/>
  <c r="L48" i="485" s="1"/>
  <c r="F55" i="216"/>
  <c r="H89" i="216"/>
  <c r="D137" i="472"/>
  <c r="D161" i="472" s="1"/>
  <c r="J127" i="472"/>
  <c r="H124" i="472"/>
  <c r="H164" i="472" s="1"/>
  <c r="J139" i="216"/>
  <c r="H55" i="216"/>
  <c r="I55" i="216"/>
  <c r="G55" i="216"/>
  <c r="I102" i="216"/>
  <c r="J118" i="216"/>
  <c r="F89" i="216"/>
  <c r="E102" i="216"/>
  <c r="I45" i="216"/>
  <c r="E38" i="216"/>
  <c r="I89" i="216"/>
  <c r="F95" i="216"/>
  <c r="J117" i="216"/>
  <c r="H95" i="216"/>
  <c r="G102" i="216"/>
  <c r="J141" i="216"/>
  <c r="J141" i="472"/>
  <c r="E95" i="216"/>
  <c r="F19" i="216"/>
  <c r="E161" i="216"/>
  <c r="J140" i="216"/>
  <c r="F136" i="216"/>
  <c r="F160" i="216" s="1"/>
  <c r="G19" i="216"/>
  <c r="E124" i="472"/>
  <c r="E164" i="472" s="1"/>
  <c r="E136" i="216"/>
  <c r="E160" i="216" s="1"/>
  <c r="J132" i="472"/>
  <c r="J138" i="472"/>
  <c r="I38" i="216"/>
  <c r="G38" i="216"/>
  <c r="J138" i="216"/>
  <c r="E50" i="216"/>
  <c r="E45" i="216"/>
  <c r="I136" i="216"/>
  <c r="I160" i="216" s="1"/>
  <c r="E61" i="216"/>
  <c r="E153" i="216" s="1"/>
  <c r="D129" i="472"/>
  <c r="D163" i="472" s="1"/>
  <c r="J137" i="216"/>
  <c r="G45" i="216"/>
  <c r="H50" i="216"/>
  <c r="E55" i="216"/>
  <c r="G136" i="216"/>
  <c r="G160" i="216" s="1"/>
  <c r="J123" i="216"/>
  <c r="I50" i="216"/>
  <c r="F38" i="216"/>
  <c r="I116" i="472"/>
  <c r="D136" i="216"/>
  <c r="F61" i="216"/>
  <c r="F153" i="216" s="1"/>
  <c r="J133" i="472"/>
  <c r="G124" i="472"/>
  <c r="G164" i="472" s="1"/>
  <c r="J124" i="216"/>
  <c r="I61" i="216"/>
  <c r="I153" i="216" s="1"/>
  <c r="J115" i="216"/>
  <c r="J165" i="216" s="1"/>
  <c r="T27" i="485" s="1"/>
  <c r="T48" i="485" s="1"/>
  <c r="J130" i="472"/>
  <c r="G129" i="472"/>
  <c r="G163" i="472" s="1"/>
  <c r="E159" i="216"/>
  <c r="I165" i="216"/>
  <c r="J131" i="472"/>
  <c r="J117" i="472"/>
  <c r="J166" i="472" s="1"/>
  <c r="T28" i="485" s="1"/>
  <c r="T49" i="485" s="1"/>
  <c r="J119" i="472"/>
  <c r="J125" i="472"/>
  <c r="G137" i="472"/>
  <c r="G161" i="472" s="1"/>
  <c r="J142" i="472"/>
  <c r="E129" i="472"/>
  <c r="E163" i="472" s="1"/>
  <c r="F129" i="472"/>
  <c r="F163" i="472" s="1"/>
  <c r="D124" i="472"/>
  <c r="D164" i="472" s="1"/>
  <c r="I129" i="472"/>
  <c r="I163" i="472" s="1"/>
  <c r="J126" i="472"/>
  <c r="J139" i="472"/>
  <c r="I137" i="472"/>
  <c r="I161" i="472" s="1"/>
  <c r="J134" i="472"/>
  <c r="P59" i="445"/>
  <c r="P125" i="445" s="1"/>
  <c r="H129" i="472"/>
  <c r="H163" i="472" s="1"/>
  <c r="H118" i="472"/>
  <c r="H165" i="472" s="1"/>
  <c r="J140" i="472"/>
  <c r="G61" i="216"/>
  <c r="G153" i="216" s="1"/>
  <c r="H19" i="216"/>
  <c r="H137" i="472"/>
  <c r="H161" i="472" s="1"/>
  <c r="H61" i="216"/>
  <c r="H153" i="216" s="1"/>
  <c r="J23" i="472"/>
  <c r="J159" i="472" s="1"/>
  <c r="L28" i="485" s="1"/>
  <c r="L49" i="485" s="1"/>
  <c r="J120" i="472"/>
  <c r="D159" i="472"/>
  <c r="D118" i="472"/>
  <c r="D165" i="472" s="1"/>
  <c r="J136" i="472"/>
  <c r="J162" i="472" s="1"/>
  <c r="P28" i="485" s="1"/>
  <c r="P49" i="485" s="1"/>
  <c r="I165" i="472"/>
  <c r="D12" i="498"/>
  <c r="H125" i="743" l="1"/>
  <c r="H549" i="608"/>
  <c r="I604" i="608"/>
  <c r="J604" i="608"/>
  <c r="H604" i="608"/>
  <c r="K604" i="608"/>
  <c r="E162" i="743"/>
  <c r="D142" i="186"/>
  <c r="E110" i="186"/>
  <c r="J114" i="186"/>
  <c r="E165" i="472"/>
  <c r="G142" i="186"/>
  <c r="F110" i="186"/>
  <c r="H110" i="186"/>
  <c r="F142" i="186"/>
  <c r="E142" i="186"/>
  <c r="I166" i="186"/>
  <c r="G166" i="186"/>
  <c r="G110" i="186"/>
  <c r="F166" i="186"/>
  <c r="I110" i="186"/>
  <c r="I142" i="186"/>
  <c r="H23" i="216"/>
  <c r="E166" i="186"/>
  <c r="J133" i="186"/>
  <c r="H142" i="186"/>
  <c r="E23" i="216"/>
  <c r="G23" i="216"/>
  <c r="I23" i="216"/>
  <c r="J121" i="186"/>
  <c r="H166" i="186"/>
  <c r="I156" i="216"/>
  <c r="G156" i="216"/>
  <c r="F23" i="216"/>
  <c r="F157" i="216"/>
  <c r="F122" i="498"/>
  <c r="E122" i="498"/>
  <c r="G122" i="498"/>
  <c r="I122" i="498"/>
  <c r="H122" i="498"/>
  <c r="G69" i="498"/>
  <c r="G67" i="498"/>
  <c r="I64" i="498"/>
  <c r="I62" i="498"/>
  <c r="F58" i="498"/>
  <c r="F56" i="498"/>
  <c r="H53" i="498"/>
  <c r="H51" i="498"/>
  <c r="I49" i="498"/>
  <c r="F69" i="498"/>
  <c r="F67" i="498"/>
  <c r="H64" i="498"/>
  <c r="H62" i="498"/>
  <c r="E58" i="498"/>
  <c r="E56" i="498"/>
  <c r="G53" i="498"/>
  <c r="G51" i="498"/>
  <c r="H49" i="498"/>
  <c r="H69" i="498"/>
  <c r="G58" i="498"/>
  <c r="E69" i="498"/>
  <c r="E67" i="498"/>
  <c r="G64" i="498"/>
  <c r="G62" i="498"/>
  <c r="F53" i="498"/>
  <c r="F51" i="498"/>
  <c r="G49" i="498"/>
  <c r="F64" i="498"/>
  <c r="F62" i="498"/>
  <c r="I59" i="498"/>
  <c r="I57" i="498"/>
  <c r="E53" i="498"/>
  <c r="E51" i="498"/>
  <c r="F49" i="498"/>
  <c r="I68" i="498"/>
  <c r="I66" i="498"/>
  <c r="E64" i="498"/>
  <c r="E62" i="498"/>
  <c r="H59" i="498"/>
  <c r="H57" i="498"/>
  <c r="E49" i="498"/>
  <c r="I51" i="498"/>
  <c r="H68" i="498"/>
  <c r="H66" i="498"/>
  <c r="G59" i="498"/>
  <c r="G57" i="498"/>
  <c r="I54" i="498"/>
  <c r="I52" i="498"/>
  <c r="I50" i="498"/>
  <c r="G68" i="498"/>
  <c r="G66" i="498"/>
  <c r="I63" i="498"/>
  <c r="F59" i="498"/>
  <c r="F57" i="498"/>
  <c r="H54" i="498"/>
  <c r="H52" i="498"/>
  <c r="H50" i="498"/>
  <c r="H67" i="498"/>
  <c r="E61" i="498"/>
  <c r="I53" i="498"/>
  <c r="F68" i="498"/>
  <c r="F66" i="498"/>
  <c r="H63" i="498"/>
  <c r="I61" i="498"/>
  <c r="E59" i="498"/>
  <c r="E57" i="498"/>
  <c r="G54" i="498"/>
  <c r="G52" i="498"/>
  <c r="G50" i="498"/>
  <c r="E68" i="498"/>
  <c r="E66" i="498"/>
  <c r="G63" i="498"/>
  <c r="H61" i="498"/>
  <c r="F54" i="498"/>
  <c r="F52" i="498"/>
  <c r="F50" i="498"/>
  <c r="F63" i="498"/>
  <c r="G61" i="498"/>
  <c r="I58" i="498"/>
  <c r="I56" i="498"/>
  <c r="E54" i="498"/>
  <c r="E52" i="498"/>
  <c r="E50" i="498"/>
  <c r="G56" i="498"/>
  <c r="I69" i="498"/>
  <c r="I67" i="498"/>
  <c r="E63" i="498"/>
  <c r="F61" i="498"/>
  <c r="H58" i="498"/>
  <c r="H56" i="498"/>
  <c r="D121" i="216"/>
  <c r="F135" i="472"/>
  <c r="F116" i="472"/>
  <c r="D135" i="472"/>
  <c r="D116" i="472"/>
  <c r="I114" i="216"/>
  <c r="H134" i="216"/>
  <c r="I149" i="216"/>
  <c r="H114" i="216"/>
  <c r="E114" i="216"/>
  <c r="E135" i="472"/>
  <c r="D164" i="216"/>
  <c r="V29" i="485"/>
  <c r="J127" i="216"/>
  <c r="J162" i="216" s="1"/>
  <c r="Q27" i="485" s="1"/>
  <c r="Q48" i="485" s="1"/>
  <c r="D163" i="216"/>
  <c r="G149" i="216"/>
  <c r="H121" i="216"/>
  <c r="F134" i="216"/>
  <c r="I154" i="216"/>
  <c r="F149" i="216"/>
  <c r="E121" i="216"/>
  <c r="J116" i="216"/>
  <c r="J164" i="216" s="1"/>
  <c r="S27" i="485" s="1"/>
  <c r="S48" i="485" s="1"/>
  <c r="F121" i="216"/>
  <c r="F114" i="216"/>
  <c r="H135" i="472"/>
  <c r="G121" i="216"/>
  <c r="E134" i="216"/>
  <c r="D123" i="472"/>
  <c r="G116" i="472"/>
  <c r="E154" i="216"/>
  <c r="E123" i="472"/>
  <c r="I33" i="216"/>
  <c r="J122" i="216"/>
  <c r="J163" i="216" s="1"/>
  <c r="R27" i="485" s="1"/>
  <c r="R48" i="485" s="1"/>
  <c r="I121" i="216"/>
  <c r="H154" i="216"/>
  <c r="I123" i="472"/>
  <c r="G114" i="216"/>
  <c r="F123" i="472"/>
  <c r="E149" i="216"/>
  <c r="J136" i="216"/>
  <c r="J160" i="216" s="1"/>
  <c r="O27" i="485" s="1"/>
  <c r="O48" i="485" s="1"/>
  <c r="F154" i="216"/>
  <c r="F33" i="216"/>
  <c r="I134" i="216"/>
  <c r="G134" i="216"/>
  <c r="D160" i="216"/>
  <c r="H149" i="216"/>
  <c r="E33" i="216"/>
  <c r="D134" i="216"/>
  <c r="G33" i="216"/>
  <c r="G154" i="216"/>
  <c r="J124" i="472"/>
  <c r="J164" i="472" s="1"/>
  <c r="R28" i="485" s="1"/>
  <c r="R49" i="485" s="1"/>
  <c r="G123" i="472"/>
  <c r="H33" i="216"/>
  <c r="H123" i="472"/>
  <c r="J129" i="472"/>
  <c r="J163" i="472" s="1"/>
  <c r="Q28" i="485" s="1"/>
  <c r="Q49" i="485" s="1"/>
  <c r="J137" i="472"/>
  <c r="J161" i="472" s="1"/>
  <c r="O28" i="485" s="1"/>
  <c r="O49" i="485" s="1"/>
  <c r="G135" i="472"/>
  <c r="H116" i="472"/>
  <c r="I135" i="472"/>
  <c r="J118" i="472"/>
  <c r="J165" i="472" s="1"/>
  <c r="S28" i="485" s="1"/>
  <c r="S49" i="485" s="1"/>
  <c r="H150" i="472"/>
  <c r="E150" i="472"/>
  <c r="F150" i="472"/>
  <c r="I150" i="472"/>
  <c r="G150" i="472"/>
  <c r="D11" i="498"/>
  <c r="H162" i="743" l="1"/>
  <c r="E194" i="743"/>
  <c r="E144" i="186"/>
  <c r="E167" i="186" s="1"/>
  <c r="G144" i="186"/>
  <c r="G167" i="186" s="1"/>
  <c r="F144" i="186"/>
  <c r="F167" i="186" s="1"/>
  <c r="H144" i="186"/>
  <c r="H167" i="186" s="1"/>
  <c r="P21" i="112"/>
  <c r="R21" i="112" s="1"/>
  <c r="V50" i="485"/>
  <c r="I144" i="186"/>
  <c r="I167" i="186" s="1"/>
  <c r="J142" i="186"/>
  <c r="F65" i="498"/>
  <c r="D143" i="216"/>
  <c r="H60" i="498"/>
  <c r="F55" i="498"/>
  <c r="AC29" i="485"/>
  <c r="AG29" i="485"/>
  <c r="AL5" i="485" s="1"/>
  <c r="I55" i="498"/>
  <c r="I60" i="498"/>
  <c r="H55" i="498"/>
  <c r="E65" i="498"/>
  <c r="E60" i="498"/>
  <c r="G60" i="498"/>
  <c r="G48" i="498"/>
  <c r="H48" i="498"/>
  <c r="I65" i="498"/>
  <c r="I48" i="498"/>
  <c r="E55" i="498"/>
  <c r="G55" i="498"/>
  <c r="H65" i="498"/>
  <c r="F48" i="498"/>
  <c r="F60" i="498"/>
  <c r="I46" i="498"/>
  <c r="E47" i="498"/>
  <c r="H46" i="498"/>
  <c r="G46" i="498"/>
  <c r="F46" i="498"/>
  <c r="E46" i="498"/>
  <c r="E45" i="498"/>
  <c r="I47" i="498"/>
  <c r="I45" i="498"/>
  <c r="H47" i="498"/>
  <c r="H45" i="498"/>
  <c r="G47" i="498"/>
  <c r="G45" i="498"/>
  <c r="F47" i="498"/>
  <c r="F45" i="498"/>
  <c r="G65" i="498"/>
  <c r="E48" i="498"/>
  <c r="E110" i="216"/>
  <c r="F110" i="216"/>
  <c r="I168" i="216"/>
  <c r="E168" i="216"/>
  <c r="D144" i="472"/>
  <c r="I144" i="472"/>
  <c r="E144" i="472"/>
  <c r="F144" i="472"/>
  <c r="H143" i="216"/>
  <c r="G110" i="216"/>
  <c r="H110" i="216"/>
  <c r="E143" i="216"/>
  <c r="G168" i="216"/>
  <c r="I110" i="216"/>
  <c r="F168" i="216"/>
  <c r="J114" i="216"/>
  <c r="F143" i="216"/>
  <c r="V27" i="485"/>
  <c r="J134" i="216"/>
  <c r="I143" i="216"/>
  <c r="J121" i="216"/>
  <c r="H168" i="216"/>
  <c r="G143" i="216"/>
  <c r="G144" i="472"/>
  <c r="J123" i="472"/>
  <c r="H144" i="472"/>
  <c r="J116" i="472"/>
  <c r="V28" i="485"/>
  <c r="J135" i="472"/>
  <c r="D10" i="498"/>
  <c r="H194" i="743" l="1"/>
  <c r="E231" i="743"/>
  <c r="Q21" i="112"/>
  <c r="P6" i="112"/>
  <c r="W6" i="112" s="1"/>
  <c r="AG28" i="485"/>
  <c r="AL4" i="485" s="1"/>
  <c r="V49" i="485"/>
  <c r="P19" i="112"/>
  <c r="Q19" i="112" s="1"/>
  <c r="V48" i="485"/>
  <c r="I127" i="498"/>
  <c r="F127" i="498"/>
  <c r="E145" i="216"/>
  <c r="E169" i="216" s="1"/>
  <c r="F145" i="216"/>
  <c r="F169" i="216" s="1"/>
  <c r="E127" i="498"/>
  <c r="E44" i="498"/>
  <c r="E43" i="498" s="1"/>
  <c r="H127" i="498"/>
  <c r="G127" i="498"/>
  <c r="F44" i="498"/>
  <c r="G44" i="498"/>
  <c r="H44" i="498"/>
  <c r="I44" i="498"/>
  <c r="G40" i="498"/>
  <c r="G38" i="498"/>
  <c r="F40" i="498"/>
  <c r="F38" i="498"/>
  <c r="H38" i="498"/>
  <c r="E40" i="498"/>
  <c r="E38" i="498"/>
  <c r="I41" i="498"/>
  <c r="I39" i="498"/>
  <c r="H41" i="498"/>
  <c r="H39" i="498"/>
  <c r="G41" i="498"/>
  <c r="G39" i="498"/>
  <c r="F41" i="498"/>
  <c r="F39" i="498"/>
  <c r="E41" i="498"/>
  <c r="E39" i="498"/>
  <c r="H40" i="498"/>
  <c r="I40" i="498"/>
  <c r="I38" i="498"/>
  <c r="G145" i="216"/>
  <c r="G169" i="216" s="1"/>
  <c r="H145" i="216"/>
  <c r="H169" i="216" s="1"/>
  <c r="AC27" i="485"/>
  <c r="J143" i="216"/>
  <c r="AG27" i="485"/>
  <c r="AL3" i="485" s="1"/>
  <c r="I145" i="216"/>
  <c r="I169" i="216" s="1"/>
  <c r="J144" i="472"/>
  <c r="AC28" i="485"/>
  <c r="P20" i="112"/>
  <c r="R20" i="112" s="1"/>
  <c r="D9" i="498"/>
  <c r="H231" i="743" l="1"/>
  <c r="E263" i="743"/>
  <c r="Q6" i="112"/>
  <c r="R6" i="112"/>
  <c r="P4" i="112"/>
  <c r="W4" i="112" s="1"/>
  <c r="R19" i="112"/>
  <c r="E128" i="498"/>
  <c r="H37" i="498"/>
  <c r="H129" i="498" s="1"/>
  <c r="I37" i="498"/>
  <c r="I129" i="498" s="1"/>
  <c r="E37" i="498"/>
  <c r="E129" i="498" s="1"/>
  <c r="F37" i="498"/>
  <c r="F129" i="498" s="1"/>
  <c r="H128" i="498"/>
  <c r="H43" i="498"/>
  <c r="G37" i="498"/>
  <c r="G129" i="498" s="1"/>
  <c r="G128" i="498"/>
  <c r="G43" i="498"/>
  <c r="I128" i="498"/>
  <c r="I43" i="498"/>
  <c r="I35" i="498"/>
  <c r="H35" i="498"/>
  <c r="G35" i="498"/>
  <c r="E36" i="498"/>
  <c r="F35" i="498"/>
  <c r="E35" i="498"/>
  <c r="I36" i="498"/>
  <c r="H36" i="498"/>
  <c r="G36" i="498"/>
  <c r="F36" i="498"/>
  <c r="F128" i="498"/>
  <c r="F43" i="498"/>
  <c r="P5" i="112"/>
  <c r="R5" i="112" s="1"/>
  <c r="Q20" i="112"/>
  <c r="D8" i="498"/>
  <c r="H263" i="743" l="1"/>
  <c r="E299" i="743"/>
  <c r="Q4" i="112"/>
  <c r="R4" i="112"/>
  <c r="E34" i="498"/>
  <c r="E33" i="498" s="1"/>
  <c r="I34" i="498"/>
  <c r="F34" i="498"/>
  <c r="I31" i="498"/>
  <c r="I131" i="498" s="1"/>
  <c r="H31" i="498"/>
  <c r="H131" i="498" s="1"/>
  <c r="G31" i="498"/>
  <c r="G131" i="498" s="1"/>
  <c r="F31" i="498"/>
  <c r="F131" i="498" s="1"/>
  <c r="E31" i="498"/>
  <c r="E131" i="498" s="1"/>
  <c r="D31" i="498"/>
  <c r="G34" i="498"/>
  <c r="H34" i="498"/>
  <c r="Q5" i="112"/>
  <c r="W5" i="112"/>
  <c r="D7" i="498"/>
  <c r="H299" i="743" l="1"/>
  <c r="E130" i="498"/>
  <c r="I33" i="498"/>
  <c r="I130" i="498"/>
  <c r="I30" i="498"/>
  <c r="H30" i="498"/>
  <c r="G30" i="498"/>
  <c r="F30" i="498"/>
  <c r="E30" i="498"/>
  <c r="H33" i="498"/>
  <c r="H130" i="498"/>
  <c r="F130" i="498"/>
  <c r="F33" i="498"/>
  <c r="G130" i="498"/>
  <c r="G33" i="498"/>
  <c r="D131" i="498"/>
  <c r="J31" i="498"/>
  <c r="J131" i="498" s="1"/>
  <c r="L38" i="485" s="1"/>
  <c r="E29" i="498" l="1"/>
  <c r="E120" i="498" s="1"/>
  <c r="E132" i="498"/>
  <c r="E140" i="498" s="1"/>
  <c r="F132" i="498"/>
  <c r="F140" i="498" s="1"/>
  <c r="F29" i="498"/>
  <c r="F120" i="498" s="1"/>
  <c r="G29" i="498"/>
  <c r="G120" i="498" s="1"/>
  <c r="G132" i="498"/>
  <c r="G140" i="498" s="1"/>
  <c r="H29" i="498"/>
  <c r="H120" i="498" s="1"/>
  <c r="H132" i="498"/>
  <c r="H140" i="498" s="1"/>
  <c r="I132" i="498"/>
  <c r="I140" i="498" s="1"/>
  <c r="I29" i="498"/>
  <c r="I120" i="498" s="1"/>
  <c r="G141" i="498" l="1"/>
  <c r="F141" i="498"/>
  <c r="E141" i="498"/>
  <c r="H141" i="498"/>
  <c r="I141" i="498"/>
  <c r="T30" i="485" l="1"/>
  <c r="T51" i="485" s="1"/>
  <c r="L30" i="485"/>
  <c r="L51" i="485" s="1"/>
  <c r="P30" i="485"/>
  <c r="P51" i="485" s="1"/>
  <c r="S30" i="485" l="1"/>
  <c r="S51" i="485" s="1"/>
  <c r="O30" i="485"/>
  <c r="O51" i="485" s="1"/>
  <c r="Q30" i="485"/>
  <c r="Q51" i="485" s="1"/>
  <c r="R30" i="485"/>
  <c r="R51" i="485" s="1"/>
  <c r="V30" i="485" l="1"/>
  <c r="AG30" i="485" l="1"/>
  <c r="AL6" i="485" s="1"/>
  <c r="AQ13" i="485" s="1"/>
  <c r="V51" i="485"/>
  <c r="AC30" i="485"/>
  <c r="P22" i="112"/>
  <c r="P77" i="112" s="1"/>
  <c r="Q22" i="112" l="1"/>
  <c r="R22" i="112"/>
  <c r="AQ14" i="485"/>
  <c r="P7" i="112"/>
  <c r="P71" i="112" s="1"/>
  <c r="Q7" i="112" l="1"/>
  <c r="R7" i="112"/>
  <c r="Q77" i="112"/>
  <c r="W7" i="112"/>
  <c r="Q71" i="112" l="1"/>
  <c r="C19" i="631" l="1"/>
  <c r="C20" i="631" l="1"/>
  <c r="C29" i="631" l="1"/>
  <c r="D27" i="631" l="1"/>
  <c r="D7" i="631"/>
  <c r="D25" i="631"/>
  <c r="D20" i="631"/>
  <c r="D19" i="631"/>
  <c r="D13" i="631"/>
  <c r="D14" i="631"/>
  <c r="D15" i="631"/>
  <c r="D6" i="631"/>
  <c r="D18" i="631"/>
  <c r="D8" i="631"/>
  <c r="D9" i="631"/>
  <c r="D10" i="631"/>
  <c r="D23" i="631"/>
  <c r="D28" i="631"/>
  <c r="D21" i="631"/>
  <c r="D17" i="631"/>
  <c r="D26" i="631"/>
  <c r="D24" i="631"/>
  <c r="D5" i="631"/>
  <c r="D22" i="631"/>
  <c r="D16" i="631"/>
  <c r="D11" i="631"/>
  <c r="D12" i="631"/>
  <c r="D29" i="631" l="1"/>
  <c r="K191" i="127"/>
  <c r="J191" i="127"/>
  <c r="L191" i="127"/>
  <c r="I16" i="70" s="1"/>
  <c r="H191" i="127"/>
  <c r="E16" i="70" s="1"/>
  <c r="I191" i="127"/>
  <c r="F16" i="70" s="1"/>
  <c r="J197" i="127" l="1"/>
  <c r="J201" i="127" s="1"/>
  <c r="J204" i="127" s="1"/>
  <c r="J206" i="127" s="1"/>
  <c r="G16" i="70"/>
  <c r="K197" i="127"/>
  <c r="K201" i="127" s="1"/>
  <c r="K204" i="127" s="1"/>
  <c r="K206" i="127" s="1"/>
  <c r="H16" i="70"/>
  <c r="K205" i="127"/>
  <c r="H17" i="70" s="1"/>
  <c r="H18" i="70" s="1"/>
  <c r="H14" i="70" s="1"/>
  <c r="H10" i="70" s="1"/>
  <c r="H32" i="70" s="1"/>
  <c r="J205" i="127"/>
  <c r="G17" i="70" s="1"/>
  <c r="G18" i="70" s="1"/>
  <c r="G14" i="70" s="1"/>
  <c r="G11" i="70" s="1"/>
  <c r="G33" i="70" s="1"/>
  <c r="L340" i="127"/>
  <c r="I340" i="127"/>
  <c r="H197" i="127"/>
  <c r="H201" i="127" s="1"/>
  <c r="H204" i="127" s="1"/>
  <c r="H206" i="127" s="1"/>
  <c r="H205" i="127"/>
  <c r="E17" i="70" s="1"/>
  <c r="E18" i="70" s="1"/>
  <c r="E14" i="70" s="1"/>
  <c r="I197" i="127"/>
  <c r="I201" i="127" s="1"/>
  <c r="I204" i="127" s="1"/>
  <c r="I206" i="127" s="1"/>
  <c r="I205" i="127"/>
  <c r="F17" i="70" s="1"/>
  <c r="F18" i="70" s="1"/>
  <c r="F14" i="70" s="1"/>
  <c r="J340" i="127"/>
  <c r="K340" i="127"/>
  <c r="H340" i="127"/>
  <c r="L197" i="127"/>
  <c r="L201" i="127" s="1"/>
  <c r="L204" i="127" s="1"/>
  <c r="L206" i="127" s="1"/>
  <c r="L205" i="127"/>
  <c r="I17" i="70" s="1"/>
  <c r="I18" i="70" s="1"/>
  <c r="I14" i="70" s="1"/>
  <c r="L391" i="127" l="1"/>
  <c r="H391" i="127"/>
  <c r="J391" i="127"/>
  <c r="I391" i="127"/>
  <c r="K391" i="127"/>
  <c r="H13" i="70"/>
  <c r="H35" i="70" s="1"/>
  <c r="H12" i="70"/>
  <c r="H34" i="70" s="1"/>
  <c r="H11" i="70"/>
  <c r="H33" i="70" s="1"/>
  <c r="L210" i="127"/>
  <c r="J210" i="127"/>
  <c r="K382" i="127"/>
  <c r="K210" i="127"/>
  <c r="G12" i="70"/>
  <c r="G34" i="70" s="1"/>
  <c r="G13" i="70"/>
  <c r="G35" i="70" s="1"/>
  <c r="G10" i="70"/>
  <c r="G32" i="70" s="1"/>
  <c r="H210" i="127"/>
  <c r="J272" i="127"/>
  <c r="J346" i="127"/>
  <c r="J356" i="127" s="1"/>
  <c r="J358" i="127" s="1"/>
  <c r="I272" i="127"/>
  <c r="I346" i="127"/>
  <c r="I356" i="127" s="1"/>
  <c r="I358" i="127" s="1"/>
  <c r="I382" i="127"/>
  <c r="E12" i="70"/>
  <c r="E34" i="70" s="1"/>
  <c r="E11" i="70"/>
  <c r="E33" i="70" s="1"/>
  <c r="E13" i="70"/>
  <c r="E35" i="70" s="1"/>
  <c r="E10" i="70"/>
  <c r="E32" i="70" s="1"/>
  <c r="I210" i="127"/>
  <c r="L382" i="127"/>
  <c r="H382" i="127"/>
  <c r="K272" i="127"/>
  <c r="K346" i="127"/>
  <c r="K356" i="127" s="1"/>
  <c r="K358" i="127" s="1"/>
  <c r="J382" i="127"/>
  <c r="F11" i="70"/>
  <c r="F33" i="70" s="1"/>
  <c r="F12" i="70"/>
  <c r="F34" i="70" s="1"/>
  <c r="F10" i="70"/>
  <c r="F32" i="70" s="1"/>
  <c r="F13" i="70"/>
  <c r="F35" i="70" s="1"/>
  <c r="I10" i="70"/>
  <c r="I32" i="70" s="1"/>
  <c r="I11" i="70"/>
  <c r="I33" i="70" s="1"/>
  <c r="I12" i="70"/>
  <c r="I34" i="70" s="1"/>
  <c r="I13" i="70"/>
  <c r="I35" i="70" s="1"/>
  <c r="H272" i="127"/>
  <c r="H346" i="127"/>
  <c r="H356" i="127" s="1"/>
  <c r="H358" i="127" s="1"/>
  <c r="L346" i="127"/>
  <c r="L356" i="127" s="1"/>
  <c r="L358" i="127" s="1"/>
  <c r="L272" i="127"/>
  <c r="H31" i="70" l="1"/>
  <c r="H64" i="70" s="1"/>
  <c r="H75" i="70" s="1"/>
  <c r="G31" i="70"/>
  <c r="G64" i="70" s="1"/>
  <c r="G75" i="70" s="1"/>
  <c r="I31" i="70"/>
  <c r="I64" i="70" s="1"/>
  <c r="I75" i="70" s="1"/>
  <c r="E31" i="70"/>
  <c r="E64" i="70" s="1"/>
  <c r="E75" i="70" s="1"/>
  <c r="K374" i="127"/>
  <c r="K278" i="127"/>
  <c r="F31" i="70"/>
  <c r="F64" i="70" s="1"/>
  <c r="F75" i="70" s="1"/>
  <c r="L374" i="127"/>
  <c r="L278" i="127"/>
  <c r="I278" i="127"/>
  <c r="I374" i="127"/>
  <c r="J374" i="127"/>
  <c r="J278" i="127"/>
  <c r="H374" i="127"/>
  <c r="H278" i="127"/>
  <c r="I44" i="445" l="1"/>
  <c r="I49" i="445"/>
  <c r="I38" i="445"/>
  <c r="I57" i="445"/>
  <c r="I106" i="445"/>
  <c r="I113" i="445"/>
  <c r="I114" i="445"/>
  <c r="I41" i="445"/>
  <c r="I97" i="445"/>
  <c r="I55" i="445"/>
  <c r="I46" i="445"/>
  <c r="I105" i="445"/>
  <c r="I107" i="445"/>
  <c r="I45" i="445"/>
  <c r="I98" i="445"/>
  <c r="I56" i="445"/>
  <c r="I99" i="445"/>
  <c r="I28" i="445"/>
  <c r="I50" i="445"/>
  <c r="I40" i="445"/>
  <c r="I42" i="445"/>
  <c r="I29" i="445"/>
  <c r="I103" i="445"/>
  <c r="I27" i="445"/>
  <c r="I104" i="445"/>
  <c r="I51" i="445"/>
  <c r="I47" i="445"/>
  <c r="I110" i="445"/>
  <c r="I112" i="445"/>
  <c r="I52" i="445"/>
  <c r="I100" i="445"/>
  <c r="I39" i="445"/>
  <c r="I111" i="445"/>
  <c r="I96" i="445"/>
  <c r="I129" i="445"/>
  <c r="I26" i="445"/>
  <c r="I102" i="445"/>
  <c r="I109" i="445"/>
  <c r="I18" i="445"/>
  <c r="I54" i="445"/>
  <c r="I37" i="445"/>
  <c r="I19" i="445"/>
  <c r="I127" i="445" l="1"/>
  <c r="I25" i="445"/>
  <c r="P102" i="445"/>
  <c r="P54" i="445"/>
  <c r="P38" i="445"/>
  <c r="P47" i="445"/>
  <c r="P37" i="445"/>
  <c r="I87" i="445"/>
  <c r="I124" i="445" s="1"/>
  <c r="P79" i="445"/>
  <c r="P75" i="445"/>
  <c r="P89" i="445"/>
  <c r="P104" i="445"/>
  <c r="P19" i="445"/>
  <c r="P130" i="445" s="1"/>
  <c r="P56" i="445"/>
  <c r="P106" i="445"/>
  <c r="I43" i="445"/>
  <c r="P86" i="445"/>
  <c r="I48" i="445"/>
  <c r="P27" i="445"/>
  <c r="P93" i="445"/>
  <c r="P111" i="445"/>
  <c r="P92" i="445"/>
  <c r="P103" i="445"/>
  <c r="P41" i="445"/>
  <c r="P77" i="445"/>
  <c r="P44" i="445"/>
  <c r="P29" i="445"/>
  <c r="P57" i="445"/>
  <c r="P46" i="445"/>
  <c r="P90" i="445"/>
  <c r="P83" i="445"/>
  <c r="P22" i="445"/>
  <c r="P129" i="445" s="1"/>
  <c r="P107" i="445"/>
  <c r="P50" i="445"/>
  <c r="P84" i="445"/>
  <c r="P85" i="445"/>
  <c r="P88" i="445"/>
  <c r="P113" i="445"/>
  <c r="P28" i="445"/>
  <c r="P91" i="445"/>
  <c r="P114" i="445"/>
  <c r="P78" i="445"/>
  <c r="P42" i="445"/>
  <c r="P98" i="445"/>
  <c r="P81" i="445"/>
  <c r="P76" i="445"/>
  <c r="I17" i="445"/>
  <c r="P100" i="445"/>
  <c r="P110" i="445"/>
  <c r="P109" i="445"/>
  <c r="P51" i="445"/>
  <c r="I74" i="445"/>
  <c r="I122" i="445" s="1"/>
  <c r="P105" i="445"/>
  <c r="P40" i="445"/>
  <c r="I131" i="445"/>
  <c r="I95" i="445"/>
  <c r="P112" i="445"/>
  <c r="P55" i="445"/>
  <c r="P99" i="445"/>
  <c r="P39" i="445"/>
  <c r="P97" i="445"/>
  <c r="P52" i="445"/>
  <c r="P82" i="445"/>
  <c r="I53" i="445"/>
  <c r="I108" i="445"/>
  <c r="P49" i="445"/>
  <c r="P45" i="445"/>
  <c r="I101" i="445"/>
  <c r="P32" i="445"/>
  <c r="P127" i="445" s="1"/>
  <c r="P18" i="445"/>
  <c r="P131" i="445" s="1"/>
  <c r="P96" i="445"/>
  <c r="I80" i="445"/>
  <c r="I36" i="445"/>
  <c r="P26" i="445"/>
  <c r="I130" i="445"/>
  <c r="I31" i="445" l="1"/>
  <c r="I128" i="445"/>
  <c r="I21" i="445"/>
  <c r="I121" i="445"/>
  <c r="P25" i="445"/>
  <c r="P128" i="445" s="1"/>
  <c r="P53" i="445"/>
  <c r="P95" i="445"/>
  <c r="P101" i="445"/>
  <c r="P108" i="445"/>
  <c r="P17" i="445"/>
  <c r="P43" i="445"/>
  <c r="P87" i="445"/>
  <c r="P124" i="445" s="1"/>
  <c r="P48" i="445"/>
  <c r="P80" i="445"/>
  <c r="P123" i="445" s="1"/>
  <c r="I123" i="445"/>
  <c r="I126" i="445"/>
  <c r="P36" i="445"/>
  <c r="P74" i="445"/>
  <c r="P122" i="445" s="1"/>
  <c r="P121" i="445" l="1"/>
  <c r="I132" i="445"/>
  <c r="P21" i="445"/>
  <c r="P126" i="445"/>
  <c r="P31" i="445"/>
  <c r="I116" i="445"/>
  <c r="E8" i="381" s="1" a="1"/>
  <c r="E8" i="381" l="1"/>
  <c r="O8" i="381" s="1"/>
  <c r="E12" i="381"/>
  <c r="O12" i="381" s="1"/>
  <c r="E10" i="381"/>
  <c r="O10" i="381" s="1"/>
  <c r="E17" i="381"/>
  <c r="E11" i="381"/>
  <c r="O11" i="381" s="1"/>
  <c r="E15" i="381"/>
  <c r="O15" i="381" s="1"/>
  <c r="E18" i="381"/>
  <c r="E13" i="381"/>
  <c r="O13" i="381" s="1"/>
  <c r="E16" i="381"/>
  <c r="O16" i="381" s="1"/>
  <c r="E9" i="381"/>
  <c r="O9" i="381" s="1"/>
  <c r="E14" i="381"/>
  <c r="O14" i="381" s="1"/>
  <c r="H16" i="381"/>
  <c r="H12" i="381"/>
  <c r="H11" i="381"/>
  <c r="H14" i="381"/>
  <c r="I133" i="445"/>
  <c r="P132" i="445"/>
  <c r="P116" i="445"/>
  <c r="H15" i="381" l="1"/>
  <c r="H9" i="381"/>
  <c r="H13" i="381"/>
  <c r="H10" i="381"/>
  <c r="O18" i="381"/>
  <c r="H18" i="381"/>
  <c r="O17" i="381"/>
  <c r="H17" i="381"/>
  <c r="H8" i="381"/>
  <c r="J8" i="381" s="1"/>
  <c r="E20" i="381"/>
  <c r="E39" i="79"/>
  <c r="P133" i="445"/>
  <c r="H20" i="381" l="1"/>
  <c r="D4" i="606"/>
  <c r="E59" i="79"/>
  <c r="J9" i="381" l="1"/>
  <c r="K8" i="381"/>
  <c r="E4" i="606"/>
  <c r="K9" i="381" l="1"/>
  <c r="J10" i="381"/>
  <c r="G34" i="127"/>
  <c r="G38" i="127" s="1"/>
  <c r="J11" i="381" l="1"/>
  <c r="K10" i="381"/>
  <c r="M10" i="381" s="1"/>
  <c r="M34" i="127"/>
  <c r="M38" i="127" s="1"/>
  <c r="G41" i="127"/>
  <c r="G43" i="127" s="1"/>
  <c r="G44" i="127" s="1"/>
  <c r="M122" i="127"/>
  <c r="D9" i="79" s="1"/>
  <c r="J12" i="381" l="1"/>
  <c r="K11" i="381"/>
  <c r="M11" i="381" s="1"/>
  <c r="G389" i="127"/>
  <c r="M39" i="127"/>
  <c r="M41" i="127" s="1"/>
  <c r="M43" i="127" s="1"/>
  <c r="M44" i="127" s="1"/>
  <c r="G82" i="127"/>
  <c r="M82" i="127" s="1"/>
  <c r="J13" i="381" l="1"/>
  <c r="K12" i="381"/>
  <c r="M12" i="381" s="1"/>
  <c r="M389" i="127"/>
  <c r="J14" i="381" l="1"/>
  <c r="K13" i="381"/>
  <c r="G117" i="127"/>
  <c r="H117" i="127"/>
  <c r="H121" i="127" s="1"/>
  <c r="J117" i="127"/>
  <c r="L117" i="127"/>
  <c r="K117" i="127"/>
  <c r="M13" i="381" l="1"/>
  <c r="J15" i="381"/>
  <c r="K14" i="381"/>
  <c r="M14" i="381" s="1"/>
  <c r="L77" i="127"/>
  <c r="L121" i="127"/>
  <c r="J121" i="127"/>
  <c r="J77" i="127"/>
  <c r="K121" i="127"/>
  <c r="K77" i="127"/>
  <c r="G121" i="127"/>
  <c r="G77" i="127"/>
  <c r="H126" i="127"/>
  <c r="H128" i="127" s="1"/>
  <c r="H129" i="127" s="1"/>
  <c r="H81" i="127"/>
  <c r="I117" i="127"/>
  <c r="H77" i="127"/>
  <c r="M117" i="127"/>
  <c r="M121" i="127" s="1"/>
  <c r="D8" i="79" s="1"/>
  <c r="J16" i="381" l="1"/>
  <c r="K15" i="381"/>
  <c r="M15" i="381" s="1"/>
  <c r="K126" i="127"/>
  <c r="K128" i="127" s="1"/>
  <c r="K129" i="127" s="1"/>
  <c r="K81" i="127"/>
  <c r="G81" i="127"/>
  <c r="G126" i="127"/>
  <c r="G128" i="127" s="1"/>
  <c r="G129" i="127" s="1"/>
  <c r="M570" i="608"/>
  <c r="J81" i="127"/>
  <c r="J126" i="127"/>
  <c r="J128" i="127" s="1"/>
  <c r="J129" i="127" s="1"/>
  <c r="H376" i="127"/>
  <c r="H377" i="127" s="1"/>
  <c r="H390" i="127"/>
  <c r="H84" i="127"/>
  <c r="L126" i="127"/>
  <c r="L128" i="127" s="1"/>
  <c r="L129" i="127" s="1"/>
  <c r="L81" i="127"/>
  <c r="D7" i="79"/>
  <c r="M126" i="127"/>
  <c r="M128" i="127" s="1"/>
  <c r="E5" i="831" s="1"/>
  <c r="I121" i="127"/>
  <c r="I77" i="127"/>
  <c r="M77" i="127" s="1"/>
  <c r="M129" i="127" l="1"/>
  <c r="M390" i="127" s="1"/>
  <c r="K16" i="381"/>
  <c r="M16" i="381" s="1"/>
  <c r="J17" i="381"/>
  <c r="L84" i="127"/>
  <c r="L376" i="127"/>
  <c r="L377" i="127" s="1"/>
  <c r="L390" i="127"/>
  <c r="J390" i="127"/>
  <c r="J376" i="127"/>
  <c r="J377" i="127" s="1"/>
  <c r="J84" i="127"/>
  <c r="G84" i="127"/>
  <c r="G390" i="127"/>
  <c r="H392" i="127"/>
  <c r="H381" i="127"/>
  <c r="H383" i="127" s="1"/>
  <c r="I126" i="127"/>
  <c r="I128" i="127" s="1"/>
  <c r="I129" i="127" s="1"/>
  <c r="I81" i="127"/>
  <c r="M81" i="127" s="1"/>
  <c r="K84" i="127"/>
  <c r="K390" i="127"/>
  <c r="K376" i="127"/>
  <c r="K377" i="127" s="1"/>
  <c r="J18" i="381" l="1"/>
  <c r="K18" i="381" s="1"/>
  <c r="M18" i="381" s="1"/>
  <c r="K17" i="381"/>
  <c r="J381" i="127"/>
  <c r="J383" i="127" s="1"/>
  <c r="J392" i="127"/>
  <c r="K381" i="127"/>
  <c r="K383" i="127" s="1"/>
  <c r="K392" i="127"/>
  <c r="L381" i="127"/>
  <c r="L383" i="127" s="1"/>
  <c r="L392" i="127"/>
  <c r="I84" i="127"/>
  <c r="M84" i="127" s="1"/>
  <c r="I376" i="127"/>
  <c r="I377" i="127" s="1"/>
  <c r="I390" i="127"/>
  <c r="M17" i="381" l="1"/>
  <c r="K20" i="381"/>
  <c r="I381" i="127"/>
  <c r="I383" i="127" s="1"/>
  <c r="I392" i="127"/>
  <c r="E46" i="79" l="1"/>
  <c r="H120" i="651"/>
  <c r="F39" i="651"/>
  <c r="F46" i="651"/>
  <c r="D57" i="651"/>
  <c r="G39" i="651"/>
  <c r="D44" i="651"/>
  <c r="E51" i="651"/>
  <c r="F62" i="651"/>
  <c r="H46" i="651"/>
  <c r="H51" i="651"/>
  <c r="D48" i="651"/>
  <c r="E56" i="651"/>
  <c r="D41" i="651"/>
  <c r="D42" i="651"/>
  <c r="D53" i="651"/>
  <c r="I51" i="651"/>
  <c r="G62" i="651"/>
  <c r="F51" i="651"/>
  <c r="H56" i="651"/>
  <c r="H39" i="651"/>
  <c r="F56" i="651"/>
  <c r="I39" i="651"/>
  <c r="G51" i="651"/>
  <c r="D52" i="651"/>
  <c r="E39" i="651"/>
  <c r="D40" i="651"/>
  <c r="D65" i="651"/>
  <c r="G56" i="651"/>
  <c r="D54" i="651"/>
  <c r="E46" i="651"/>
  <c r="H62" i="651"/>
  <c r="E62" i="651"/>
  <c r="D63" i="651"/>
  <c r="D58" i="651"/>
  <c r="D56" i="651"/>
  <c r="D49" i="651"/>
  <c r="I46" i="651"/>
  <c r="D39" i="651"/>
  <c r="I56" i="651"/>
  <c r="G46" i="651"/>
  <c r="D66" i="651"/>
  <c r="D47" i="651"/>
  <c r="I62" i="651"/>
  <c r="D51" i="651"/>
  <c r="D67" i="651"/>
  <c r="D59" i="651"/>
  <c r="D64" i="651"/>
  <c r="D62" i="651"/>
  <c r="D46" i="651"/>
  <c r="D43" i="651"/>
  <c r="G57" i="651"/>
  <c r="I48" i="651"/>
  <c r="E49" i="651"/>
  <c r="I54" i="651"/>
  <c r="I47" i="651"/>
  <c r="H42" i="651"/>
  <c r="I43" i="651"/>
  <c r="H43" i="651"/>
  <c r="I58" i="651"/>
  <c r="F47" i="651"/>
  <c r="E40" i="651"/>
  <c r="E54" i="651"/>
  <c r="E47" i="651"/>
  <c r="I49" i="651"/>
  <c r="H44" i="651"/>
  <c r="E43" i="651"/>
  <c r="H57" i="651"/>
  <c r="H53" i="651"/>
  <c r="E48" i="651"/>
  <c r="E44" i="651"/>
  <c r="E59" i="651"/>
  <c r="E52" i="651"/>
  <c r="G53" i="651"/>
  <c r="G52" i="651"/>
  <c r="G48" i="651"/>
  <c r="F52" i="651"/>
  <c r="F48" i="651"/>
  <c r="E41" i="651"/>
  <c r="E42" i="651"/>
  <c r="E57" i="651"/>
  <c r="E53" i="651"/>
  <c r="F53" i="651"/>
  <c r="F49" i="651"/>
  <c r="G44" i="651"/>
  <c r="G42" i="651"/>
  <c r="F43" i="651"/>
  <c r="I40" i="651"/>
  <c r="H59" i="651"/>
  <c r="I57" i="651"/>
  <c r="H41" i="651"/>
  <c r="F57" i="651"/>
  <c r="F58" i="651"/>
  <c r="F54" i="651"/>
  <c r="I59" i="651"/>
  <c r="G54" i="651"/>
  <c r="H52" i="651"/>
  <c r="I53" i="651"/>
  <c r="H49" i="651"/>
  <c r="E58" i="651"/>
  <c r="F40" i="651"/>
  <c r="F59" i="651"/>
  <c r="I44" i="651"/>
  <c r="I41" i="651"/>
  <c r="G59" i="651"/>
  <c r="H54" i="651"/>
  <c r="I52" i="651"/>
  <c r="G47" i="651"/>
  <c r="H48" i="651"/>
  <c r="G58" i="651"/>
  <c r="F44" i="651"/>
  <c r="F41" i="651"/>
  <c r="F42" i="651"/>
  <c r="G40" i="651"/>
  <c r="G41" i="651"/>
  <c r="G49" i="651"/>
  <c r="H47" i="651"/>
  <c r="H40" i="651"/>
  <c r="G43" i="651"/>
  <c r="I42" i="651"/>
  <c r="H58" i="651"/>
  <c r="E63" i="651"/>
  <c r="G65" i="651"/>
  <c r="H66" i="651"/>
  <c r="E67" i="651"/>
  <c r="I63" i="651"/>
  <c r="E65" i="651"/>
  <c r="F67" i="651"/>
  <c r="F65" i="651"/>
  <c r="F64" i="651"/>
  <c r="G67" i="651"/>
  <c r="H65" i="651"/>
  <c r="H63" i="651"/>
  <c r="I67" i="651"/>
  <c r="G64" i="651"/>
  <c r="I66" i="651"/>
  <c r="I64" i="651"/>
  <c r="H67" i="651"/>
  <c r="I65" i="651"/>
  <c r="E66" i="651"/>
  <c r="G63" i="651"/>
  <c r="G66" i="651"/>
  <c r="F63" i="651"/>
  <c r="E64" i="651"/>
  <c r="F66" i="651"/>
  <c r="H64" i="651"/>
  <c r="I122" i="651"/>
  <c r="D124" i="651"/>
  <c r="E124" i="651"/>
  <c r="F124" i="651"/>
  <c r="G124" i="651"/>
  <c r="G123" i="651"/>
  <c r="E123" i="651"/>
  <c r="D123" i="651"/>
  <c r="F123" i="651"/>
  <c r="G127" i="651"/>
  <c r="G130" i="651"/>
  <c r="H127" i="651"/>
  <c r="H130" i="651"/>
  <c r="I127" i="651"/>
  <c r="I130" i="651"/>
  <c r="J127" i="651"/>
  <c r="J130" i="651"/>
  <c r="J129" i="651"/>
  <c r="G125" i="651"/>
  <c r="G128" i="651"/>
  <c r="G131" i="651"/>
  <c r="H125" i="651"/>
  <c r="H128" i="651"/>
  <c r="H131" i="651"/>
  <c r="I125" i="651"/>
  <c r="I128" i="651"/>
  <c r="I131" i="651"/>
  <c r="J125" i="651"/>
  <c r="J128" i="651"/>
  <c r="J131" i="651"/>
  <c r="J132" i="651"/>
  <c r="G126" i="651"/>
  <c r="G129" i="651"/>
  <c r="G132" i="651"/>
  <c r="H126" i="651"/>
  <c r="H129" i="651"/>
  <c r="H132" i="651"/>
  <c r="J126" i="651"/>
  <c r="H124" i="651"/>
  <c r="I126" i="651"/>
  <c r="I129" i="651"/>
  <c r="I132" i="651"/>
  <c r="E125" i="651"/>
  <c r="E129" i="651"/>
  <c r="D126" i="651"/>
  <c r="D130" i="651"/>
  <c r="E126" i="651"/>
  <c r="E130" i="651"/>
  <c r="D125" i="651"/>
  <c r="F126" i="651"/>
  <c r="F130" i="651"/>
  <c r="D127" i="651"/>
  <c r="D131" i="651"/>
  <c r="E127" i="651"/>
  <c r="E131" i="651"/>
  <c r="F127" i="651"/>
  <c r="F131" i="651"/>
  <c r="D129" i="651"/>
  <c r="D128" i="651"/>
  <c r="D132" i="651"/>
  <c r="F125" i="651"/>
  <c r="E128" i="651"/>
  <c r="E132" i="651"/>
  <c r="F129" i="651"/>
  <c r="F128" i="651"/>
  <c r="F132" i="651"/>
  <c r="F121" i="651"/>
  <c r="I123" i="651"/>
  <c r="J124" i="651"/>
  <c r="I124" i="651"/>
  <c r="F122" i="651"/>
  <c r="H121" i="651"/>
  <c r="G121" i="651"/>
  <c r="C7" i="606" l="1"/>
  <c r="E7" i="606" s="1"/>
  <c r="E64" i="79"/>
  <c r="J52" i="651"/>
  <c r="J59" i="651"/>
  <c r="J78" i="651"/>
  <c r="J106" i="651"/>
  <c r="J56" i="651"/>
  <c r="H61" i="651"/>
  <c r="H118" i="651" s="1"/>
  <c r="J67" i="651"/>
  <c r="J39" i="651"/>
  <c r="J97" i="651"/>
  <c r="G50" i="651"/>
  <c r="J99" i="651"/>
  <c r="J51" i="651"/>
  <c r="J101" i="651"/>
  <c r="J98" i="651"/>
  <c r="J82" i="651"/>
  <c r="J49" i="651"/>
  <c r="J107" i="651"/>
  <c r="J94" i="651"/>
  <c r="J87" i="651"/>
  <c r="J76" i="651"/>
  <c r="D102" i="651"/>
  <c r="J103" i="651"/>
  <c r="J105" i="651"/>
  <c r="J54" i="651"/>
  <c r="J42" i="651"/>
  <c r="D74" i="651"/>
  <c r="D116" i="651" s="1"/>
  <c r="J75" i="651"/>
  <c r="J79" i="651"/>
  <c r="G95" i="651"/>
  <c r="G116" i="651"/>
  <c r="J100" i="651"/>
  <c r="J44" i="651"/>
  <c r="D68" i="651"/>
  <c r="D115" i="651" s="1"/>
  <c r="J69" i="651"/>
  <c r="J85" i="651"/>
  <c r="J47" i="651"/>
  <c r="J93" i="651"/>
  <c r="J65" i="651"/>
  <c r="J86" i="651"/>
  <c r="J70" i="651"/>
  <c r="J43" i="651"/>
  <c r="J92" i="651"/>
  <c r="J58" i="651"/>
  <c r="J41" i="651"/>
  <c r="J84" i="651"/>
  <c r="J71" i="651"/>
  <c r="J46" i="651"/>
  <c r="J66" i="651"/>
  <c r="J63" i="651"/>
  <c r="D89" i="651"/>
  <c r="J90" i="651"/>
  <c r="J104" i="651"/>
  <c r="D95" i="651"/>
  <c r="J96" i="651"/>
  <c r="J108" i="651"/>
  <c r="J83" i="651"/>
  <c r="J91" i="651"/>
  <c r="J73" i="651"/>
  <c r="D61" i="651"/>
  <c r="D118" i="651" s="1"/>
  <c r="J62" i="651"/>
  <c r="J40" i="651"/>
  <c r="J57" i="651"/>
  <c r="J80" i="651"/>
  <c r="J77" i="651"/>
  <c r="J64" i="651"/>
  <c r="J53" i="651"/>
  <c r="J48" i="651"/>
  <c r="J72" i="651"/>
  <c r="H45" i="651"/>
  <c r="I50" i="651"/>
  <c r="E38" i="651"/>
  <c r="H89" i="651"/>
  <c r="F115" i="651"/>
  <c r="I45" i="651"/>
  <c r="D50" i="651"/>
  <c r="G89" i="651"/>
  <c r="I117" i="651"/>
  <c r="F102" i="651"/>
  <c r="I38" i="651"/>
  <c r="D55" i="651"/>
  <c r="H95" i="651"/>
  <c r="H117" i="651"/>
  <c r="I61" i="651"/>
  <c r="I118" i="651" s="1"/>
  <c r="G55" i="651"/>
  <c r="H50" i="651"/>
  <c r="F38" i="651"/>
  <c r="H55" i="651"/>
  <c r="G115" i="651"/>
  <c r="D45" i="651"/>
  <c r="G45" i="651"/>
  <c r="E61" i="651"/>
  <c r="E118" i="651" s="1"/>
  <c r="E95" i="651"/>
  <c r="F50" i="651"/>
  <c r="E89" i="651"/>
  <c r="I55" i="651"/>
  <c r="E116" i="651"/>
  <c r="E115" i="651"/>
  <c r="H116" i="651"/>
  <c r="I121" i="651"/>
  <c r="J120" i="651"/>
  <c r="E121" i="651"/>
  <c r="E102" i="651"/>
  <c r="F61" i="651"/>
  <c r="F118" i="651" s="1"/>
  <c r="D81" i="651"/>
  <c r="F120" i="651"/>
  <c r="F95" i="651"/>
  <c r="I89" i="651"/>
  <c r="G117" i="651"/>
  <c r="D38" i="651"/>
  <c r="G102" i="651"/>
  <c r="G38" i="651"/>
  <c r="H122" i="651"/>
  <c r="I95" i="651"/>
  <c r="F89" i="651"/>
  <c r="H115" i="651"/>
  <c r="I120" i="651"/>
  <c r="G61" i="651"/>
  <c r="G118" i="651" s="1"/>
  <c r="H102" i="651"/>
  <c r="F117" i="651"/>
  <c r="I102" i="651"/>
  <c r="I115" i="651"/>
  <c r="F45" i="651"/>
  <c r="E45" i="651"/>
  <c r="G122" i="651"/>
  <c r="H19" i="651"/>
  <c r="J123" i="651"/>
  <c r="H123" i="651"/>
  <c r="E122" i="651"/>
  <c r="F55" i="651"/>
  <c r="H38" i="651"/>
  <c r="F116" i="651"/>
  <c r="E55" i="651"/>
  <c r="E50" i="651"/>
  <c r="I116" i="651"/>
  <c r="E117" i="651"/>
  <c r="I19" i="651"/>
  <c r="H114" i="651" l="1"/>
  <c r="G114" i="651"/>
  <c r="E114" i="651"/>
  <c r="J95" i="651"/>
  <c r="D114" i="651"/>
  <c r="J50" i="651"/>
  <c r="J38" i="651"/>
  <c r="F119" i="651"/>
  <c r="J89" i="651"/>
  <c r="J74" i="651"/>
  <c r="J116" i="651" s="1"/>
  <c r="J61" i="651"/>
  <c r="J118" i="651" s="1"/>
  <c r="J45" i="651"/>
  <c r="J19" i="651"/>
  <c r="J81" i="651"/>
  <c r="J117" i="651" s="1"/>
  <c r="J68" i="651"/>
  <c r="J115" i="651" s="1"/>
  <c r="J102" i="651"/>
  <c r="F114" i="651"/>
  <c r="J55" i="651"/>
  <c r="E119" i="651"/>
  <c r="I119" i="651"/>
  <c r="F33" i="651"/>
  <c r="F110" i="651" s="1"/>
  <c r="I33" i="651"/>
  <c r="I110" i="651" s="1"/>
  <c r="H119" i="651"/>
  <c r="H33" i="651"/>
  <c r="H110" i="651" s="1"/>
  <c r="D33" i="651"/>
  <c r="G119" i="651"/>
  <c r="G33" i="651"/>
  <c r="G110" i="651" s="1"/>
  <c r="E33" i="651"/>
  <c r="E110" i="651" s="1"/>
  <c r="I114" i="651"/>
  <c r="D120" i="651"/>
  <c r="J121" i="651"/>
  <c r="D121" i="651"/>
  <c r="G120" i="651"/>
  <c r="J122" i="651"/>
  <c r="D122" i="651"/>
  <c r="D117" i="651"/>
  <c r="E120" i="651"/>
  <c r="D119" i="651"/>
  <c r="H133" i="651" l="1"/>
  <c r="H134" i="651" s="1"/>
  <c r="J114" i="651"/>
  <c r="F133" i="651"/>
  <c r="F134" i="651" s="1"/>
  <c r="E133" i="651"/>
  <c r="E134" i="651" s="1"/>
  <c r="D133" i="651"/>
  <c r="J33" i="651"/>
  <c r="I133" i="651"/>
  <c r="I134" i="651" s="1"/>
  <c r="G133" i="651"/>
  <c r="G134" i="651" s="1"/>
  <c r="D110" i="651"/>
  <c r="J110" i="651" s="1"/>
  <c r="J119" i="651"/>
  <c r="J133" i="651" l="1"/>
  <c r="J134" i="651" s="1"/>
  <c r="E16" i="40"/>
  <c r="D134" i="651"/>
  <c r="E18" i="40" l="1"/>
  <c r="C14" i="606"/>
  <c r="E31" i="40" l="1"/>
  <c r="E32" i="40" s="1"/>
  <c r="E14" i="606"/>
  <c r="D113" i="158" l="1"/>
  <c r="D113" i="216"/>
  <c r="E113" i="158"/>
  <c r="E113" i="216"/>
  <c r="F113" i="216"/>
  <c r="I113" i="216"/>
  <c r="H113" i="216"/>
  <c r="I113" i="158"/>
  <c r="F113" i="158"/>
  <c r="H113" i="158"/>
  <c r="G113" i="158"/>
  <c r="G113" i="216"/>
  <c r="J113" i="158" l="1"/>
  <c r="J113" i="216"/>
  <c r="O9" i="460" l="1"/>
  <c r="O8" i="460" s="1"/>
  <c r="O119" i="460" l="1"/>
  <c r="O153" i="460" l="1"/>
  <c r="O118" i="460"/>
  <c r="P119" i="460" s="1"/>
  <c r="O141" i="460"/>
  <c r="O148" i="460" s="1"/>
  <c r="O150" i="460" s="1"/>
  <c r="O162" i="460" l="1"/>
  <c r="P153" i="460" s="1"/>
  <c r="P121" i="460"/>
  <c r="P120" i="460"/>
  <c r="P126" i="460"/>
  <c r="P137" i="460"/>
  <c r="P131" i="460"/>
  <c r="P139" i="460"/>
  <c r="P132" i="460"/>
  <c r="P125" i="460"/>
  <c r="P118" i="460"/>
  <c r="P130" i="460"/>
  <c r="P128" i="460"/>
  <c r="P124" i="460"/>
  <c r="P135" i="460"/>
  <c r="P136" i="460"/>
  <c r="P129" i="460"/>
  <c r="P122" i="460"/>
  <c r="P134" i="460"/>
  <c r="P138" i="460"/>
  <c r="P133" i="460"/>
  <c r="P127" i="460"/>
  <c r="P123" i="460"/>
  <c r="P156" i="460" l="1"/>
  <c r="P159" i="460"/>
  <c r="P162" i="460"/>
  <c r="P157" i="460"/>
  <c r="P160" i="460"/>
  <c r="P155" i="460"/>
  <c r="P161" i="460"/>
  <c r="P158" i="460"/>
  <c r="P154" i="460"/>
  <c r="H329" i="128" l="1"/>
  <c r="N329" i="128" s="1"/>
  <c r="E16" i="79"/>
  <c r="E14" i="79" s="1"/>
  <c r="N434" i="128"/>
  <c r="C27" i="315"/>
  <c r="C37" i="315" s="1"/>
  <c r="H434" i="128"/>
  <c r="H331" i="128" l="1"/>
  <c r="H436" i="128"/>
  <c r="H450" i="128" s="1"/>
  <c r="H451" i="128" s="1"/>
  <c r="I27" i="315"/>
  <c r="I37" i="315" s="1"/>
  <c r="N436" i="128"/>
  <c r="N331" i="128"/>
  <c r="E6" i="79"/>
  <c r="N450" i="128" l="1"/>
  <c r="D6" i="831" s="1"/>
  <c r="D7" i="831" s="1"/>
  <c r="H455" i="128"/>
  <c r="G385" i="127" s="1"/>
  <c r="E52" i="79"/>
  <c r="D10" i="831" l="1"/>
  <c r="D14" i="831" s="1"/>
  <c r="D13" i="831"/>
  <c r="H457" i="128"/>
  <c r="G387" i="127" s="1"/>
  <c r="N451" i="128"/>
  <c r="N455" i="128" l="1"/>
  <c r="E5" i="79"/>
  <c r="M385" i="127" l="1"/>
  <c r="N457" i="128"/>
  <c r="M387" i="127" s="1"/>
  <c r="F27" i="477" l="1"/>
  <c r="J204" i="120"/>
  <c r="D204" i="120"/>
  <c r="D236" i="87"/>
  <c r="D167" i="87"/>
  <c r="D107" i="633"/>
  <c r="J159" i="129"/>
  <c r="J162" i="129" s="1"/>
  <c r="D109" i="87"/>
  <c r="D159" i="129"/>
  <c r="D162" i="129" s="1"/>
  <c r="D109" i="120" l="1"/>
  <c r="D110" i="120" s="1"/>
  <c r="J109" i="87"/>
  <c r="R109" i="87"/>
  <c r="D149" i="87"/>
  <c r="D152" i="129"/>
  <c r="J167" i="87"/>
  <c r="J236" i="87"/>
  <c r="D85" i="129" l="1"/>
  <c r="R85" i="129" s="1"/>
  <c r="D19" i="129"/>
  <c r="D66" i="129"/>
  <c r="D87" i="129"/>
  <c r="D23" i="129"/>
  <c r="D33" i="129"/>
  <c r="D76" i="129"/>
  <c r="D67" i="129"/>
  <c r="D68" i="129"/>
  <c r="D12" i="129"/>
  <c r="D54" i="129"/>
  <c r="D69" i="129"/>
  <c r="D98" i="129"/>
  <c r="D36" i="129"/>
  <c r="D103" i="129"/>
  <c r="D83" i="129"/>
  <c r="D37" i="129"/>
  <c r="D75" i="129"/>
  <c r="D74" i="129"/>
  <c r="D96" i="129"/>
  <c r="D24" i="129"/>
  <c r="D73" i="129"/>
  <c r="D38" i="129"/>
  <c r="D11" i="129"/>
  <c r="D53" i="129"/>
  <c r="D102" i="129"/>
  <c r="D81" i="129"/>
  <c r="D16" i="129"/>
  <c r="D15" i="129"/>
  <c r="D35" i="129"/>
  <c r="D72" i="129"/>
  <c r="D84" i="129"/>
  <c r="D104" i="129"/>
  <c r="D56" i="129"/>
  <c r="D48" i="129"/>
  <c r="D60" i="129"/>
  <c r="D52" i="129"/>
  <c r="D105" i="129"/>
  <c r="D82" i="129"/>
  <c r="D55" i="129"/>
  <c r="D97" i="129"/>
  <c r="D89" i="129"/>
  <c r="D100" i="129"/>
  <c r="D6" i="129"/>
  <c r="D45" i="129"/>
  <c r="D95" i="129"/>
  <c r="D80" i="129"/>
  <c r="D62" i="129"/>
  <c r="D29" i="129"/>
  <c r="D43" i="129"/>
  <c r="D30" i="129"/>
  <c r="D47" i="129"/>
  <c r="D28" i="129"/>
  <c r="D101" i="129"/>
  <c r="D79" i="129"/>
  <c r="D32" i="129"/>
  <c r="D31" i="129"/>
  <c r="D61" i="129"/>
  <c r="D40" i="129"/>
  <c r="D41" i="129"/>
  <c r="D91" i="129"/>
  <c r="D90" i="129"/>
  <c r="D17" i="129"/>
  <c r="D70" i="129"/>
  <c r="D18" i="129"/>
  <c r="D94" i="129"/>
  <c r="D63" i="129"/>
  <c r="D46" i="129"/>
  <c r="D64" i="129"/>
  <c r="D77" i="129"/>
  <c r="D42" i="129"/>
  <c r="D22" i="129"/>
  <c r="D93" i="129"/>
  <c r="D88" i="129"/>
  <c r="E30" i="79"/>
  <c r="D110" i="145"/>
  <c r="J109" i="120"/>
  <c r="J110" i="145"/>
  <c r="J149" i="87"/>
  <c r="D149" i="120"/>
  <c r="R149" i="87"/>
  <c r="D150" i="87" s="1"/>
  <c r="X109" i="87"/>
  <c r="X149" i="87" s="1"/>
  <c r="D22" i="103"/>
  <c r="D23" i="103" s="1"/>
  <c r="D25" i="103" s="1"/>
  <c r="D27" i="103" s="1"/>
  <c r="D32" i="103" s="1"/>
  <c r="D110" i="87"/>
  <c r="E36" i="39"/>
  <c r="J152" i="129"/>
  <c r="R19" i="129"/>
  <c r="E33" i="79"/>
  <c r="R23" i="129" l="1"/>
  <c r="R53" i="129"/>
  <c r="R24" i="129"/>
  <c r="R22" i="129"/>
  <c r="R12" i="129"/>
  <c r="R55" i="129"/>
  <c r="R11" i="129"/>
  <c r="R52" i="129"/>
  <c r="R56" i="129"/>
  <c r="R6" i="129"/>
  <c r="R54" i="129"/>
  <c r="D56" i="206"/>
  <c r="D56" i="203"/>
  <c r="D56" i="158"/>
  <c r="D56" i="216"/>
  <c r="D20" i="203"/>
  <c r="D20" i="206"/>
  <c r="D20" i="158"/>
  <c r="D20" i="216"/>
  <c r="D304" i="502"/>
  <c r="D103" i="206"/>
  <c r="D103" i="640"/>
  <c r="D103" i="639"/>
  <c r="D103" i="211"/>
  <c r="D105" i="473"/>
  <c r="D103" i="203"/>
  <c r="D103" i="163"/>
  <c r="D105" i="472"/>
  <c r="D103" i="186"/>
  <c r="D103" i="158"/>
  <c r="D103" i="216"/>
  <c r="D292" i="502"/>
  <c r="J292" i="502" s="1"/>
  <c r="D91" i="211"/>
  <c r="J91" i="211" s="1"/>
  <c r="D91" i="206"/>
  <c r="J91" i="206" s="1"/>
  <c r="D93" i="473"/>
  <c r="D91" i="640"/>
  <c r="J91" i="640" s="1"/>
  <c r="D91" i="163"/>
  <c r="D91" i="203"/>
  <c r="D91" i="639"/>
  <c r="J91" i="639" s="1"/>
  <c r="D93" i="472"/>
  <c r="J93" i="472" s="1"/>
  <c r="D91" i="186"/>
  <c r="J91" i="186" s="1"/>
  <c r="D91" i="158"/>
  <c r="J91" i="158" s="1"/>
  <c r="D91" i="216"/>
  <c r="J91" i="216" s="1"/>
  <c r="D42" i="206"/>
  <c r="J42" i="206" s="1"/>
  <c r="D42" i="203"/>
  <c r="J42" i="203" s="1"/>
  <c r="D42" i="158"/>
  <c r="J42" i="158" s="1"/>
  <c r="D42" i="216"/>
  <c r="J42" i="216" s="1"/>
  <c r="D79" i="211"/>
  <c r="J79" i="211" s="1"/>
  <c r="D79" i="203"/>
  <c r="J79" i="203" s="1"/>
  <c r="D79" i="206"/>
  <c r="J79" i="206" s="1"/>
  <c r="D79" i="163"/>
  <c r="D81" i="473"/>
  <c r="J81" i="473" s="1"/>
  <c r="D79" i="158"/>
  <c r="J79" i="158" s="1"/>
  <c r="D79" i="216"/>
  <c r="J79" i="216" s="1"/>
  <c r="D87" i="206"/>
  <c r="J87" i="206" s="1"/>
  <c r="D87" i="163"/>
  <c r="J87" i="163" s="1"/>
  <c r="D87" i="203"/>
  <c r="D87" i="211"/>
  <c r="J87" i="211" s="1"/>
  <c r="D89" i="473"/>
  <c r="J89" i="473" s="1"/>
  <c r="D87" i="158"/>
  <c r="J87" i="158" s="1"/>
  <c r="D87" i="216"/>
  <c r="J87" i="216" s="1"/>
  <c r="D294" i="502"/>
  <c r="J294" i="502" s="1"/>
  <c r="D93" i="203"/>
  <c r="J93" i="203" s="1"/>
  <c r="D93" i="163"/>
  <c r="J93" i="163" s="1"/>
  <c r="D93" i="211"/>
  <c r="J93" i="211" s="1"/>
  <c r="D93" i="206"/>
  <c r="J93" i="206" s="1"/>
  <c r="D93" i="640"/>
  <c r="D93" i="639"/>
  <c r="J93" i="639" s="1"/>
  <c r="D95" i="473"/>
  <c r="D93" i="186"/>
  <c r="J93" i="186" s="1"/>
  <c r="D95" i="472"/>
  <c r="J95" i="472" s="1"/>
  <c r="D93" i="158"/>
  <c r="D93" i="216"/>
  <c r="J93" i="216" s="1"/>
  <c r="D29" i="206"/>
  <c r="J29" i="206" s="1"/>
  <c r="D29" i="211"/>
  <c r="J29" i="211" s="1"/>
  <c r="D29" i="203"/>
  <c r="J29" i="203" s="1"/>
  <c r="D31" i="473"/>
  <c r="J31" i="473" s="1"/>
  <c r="D29" i="163"/>
  <c r="J29" i="163" s="1"/>
  <c r="D29" i="158"/>
  <c r="J29" i="158" s="1"/>
  <c r="D29" i="216"/>
  <c r="J29" i="216" s="1"/>
  <c r="D51" i="203"/>
  <c r="D51" i="206"/>
  <c r="D51" i="158"/>
  <c r="D51" i="216"/>
  <c r="D293" i="502"/>
  <c r="D92" i="211"/>
  <c r="J92" i="211" s="1"/>
  <c r="D92" i="203"/>
  <c r="J92" i="203" s="1"/>
  <c r="D92" i="206"/>
  <c r="J92" i="206" s="1"/>
  <c r="D92" i="639"/>
  <c r="J92" i="639" s="1"/>
  <c r="D92" i="640"/>
  <c r="J92" i="640" s="1"/>
  <c r="D92" i="163"/>
  <c r="J92" i="163" s="1"/>
  <c r="D94" i="473"/>
  <c r="J94" i="473" s="1"/>
  <c r="D94" i="472"/>
  <c r="J94" i="472" s="1"/>
  <c r="D92" i="186"/>
  <c r="J92" i="186" s="1"/>
  <c r="D92" i="158"/>
  <c r="J92" i="158" s="1"/>
  <c r="D92" i="216"/>
  <c r="J92" i="216" s="1"/>
  <c r="D25" i="206"/>
  <c r="D25" i="203"/>
  <c r="D25" i="158"/>
  <c r="D25" i="216"/>
  <c r="D85" i="206"/>
  <c r="J85" i="206" s="1"/>
  <c r="D85" i="163"/>
  <c r="J85" i="163" s="1"/>
  <c r="D87" i="473"/>
  <c r="J87" i="473" s="1"/>
  <c r="D85" i="211"/>
  <c r="J85" i="211" s="1"/>
  <c r="D85" i="203"/>
  <c r="D85" i="158"/>
  <c r="J85" i="158" s="1"/>
  <c r="D85" i="216"/>
  <c r="J85" i="216" s="1"/>
  <c r="D49" i="211"/>
  <c r="J49" i="211" s="1"/>
  <c r="D49" i="206"/>
  <c r="J49" i="206" s="1"/>
  <c r="D49" i="203"/>
  <c r="J49" i="203" s="1"/>
  <c r="D49" i="158"/>
  <c r="J49" i="158" s="1"/>
  <c r="D51" i="473"/>
  <c r="J51" i="473" s="1"/>
  <c r="D49" i="163"/>
  <c r="J49" i="163" s="1"/>
  <c r="D49" i="216"/>
  <c r="J49" i="216" s="1"/>
  <c r="D80" i="203"/>
  <c r="D80" i="211"/>
  <c r="J80" i="211" s="1"/>
  <c r="D82" i="473"/>
  <c r="D80" i="163"/>
  <c r="J80" i="163" s="1"/>
  <c r="D80" i="206"/>
  <c r="J80" i="206" s="1"/>
  <c r="D80" i="158"/>
  <c r="J80" i="158" s="1"/>
  <c r="D80" i="216"/>
  <c r="J80" i="216" s="1"/>
  <c r="D305" i="502"/>
  <c r="J305" i="502" s="1"/>
  <c r="D104" i="211"/>
  <c r="J104" i="211" s="1"/>
  <c r="D104" i="640"/>
  <c r="J104" i="640" s="1"/>
  <c r="D104" i="639"/>
  <c r="J104" i="639" s="1"/>
  <c r="D106" i="473"/>
  <c r="J106" i="473" s="1"/>
  <c r="D104" i="163"/>
  <c r="J104" i="163" s="1"/>
  <c r="D104" i="203"/>
  <c r="J104" i="203" s="1"/>
  <c r="D104" i="206"/>
  <c r="J104" i="206" s="1"/>
  <c r="D104" i="186"/>
  <c r="J104" i="186" s="1"/>
  <c r="D106" i="472"/>
  <c r="J106" i="472" s="1"/>
  <c r="D104" i="158"/>
  <c r="J104" i="158" s="1"/>
  <c r="D104" i="216"/>
  <c r="J104" i="216" s="1"/>
  <c r="D309" i="502"/>
  <c r="D108" i="163"/>
  <c r="J108" i="163" s="1"/>
  <c r="D108" i="211"/>
  <c r="J108" i="211" s="1"/>
  <c r="D108" i="206"/>
  <c r="J108" i="206" s="1"/>
  <c r="D108" i="640"/>
  <c r="J108" i="640" s="1"/>
  <c r="D108" i="639"/>
  <c r="J108" i="639" s="1"/>
  <c r="D110" i="473"/>
  <c r="J110" i="473" s="1"/>
  <c r="D108" i="203"/>
  <c r="J108" i="203" s="1"/>
  <c r="D110" i="472"/>
  <c r="J110" i="472" s="1"/>
  <c r="D108" i="186"/>
  <c r="J108" i="186" s="1"/>
  <c r="D108" i="158"/>
  <c r="J108" i="158" s="1"/>
  <c r="D108" i="216"/>
  <c r="J108" i="216" s="1"/>
  <c r="D76" i="203"/>
  <c r="J76" i="203" s="1"/>
  <c r="D76" i="206"/>
  <c r="J76" i="206" s="1"/>
  <c r="D76" i="163"/>
  <c r="J76" i="163" s="1"/>
  <c r="D76" i="211"/>
  <c r="J76" i="211" s="1"/>
  <c r="D78" i="473"/>
  <c r="J78" i="473" s="1"/>
  <c r="D76" i="158"/>
  <c r="D76" i="216"/>
  <c r="J76" i="216" s="1"/>
  <c r="D44" i="206"/>
  <c r="J44" i="206" s="1"/>
  <c r="D44" i="203"/>
  <c r="J44" i="203" s="1"/>
  <c r="D44" i="158"/>
  <c r="J44" i="158" s="1"/>
  <c r="D44" i="216"/>
  <c r="J44" i="216" s="1"/>
  <c r="D75" i="473"/>
  <c r="J75" i="473" s="1"/>
  <c r="D73" i="211"/>
  <c r="J73" i="211" s="1"/>
  <c r="D73" i="206"/>
  <c r="J73" i="206" s="1"/>
  <c r="D73" i="203"/>
  <c r="J73" i="203" s="1"/>
  <c r="D73" i="163"/>
  <c r="J73" i="163" s="1"/>
  <c r="D73" i="158"/>
  <c r="D73" i="216"/>
  <c r="J73" i="216" s="1"/>
  <c r="D30" i="203"/>
  <c r="D30" i="206"/>
  <c r="J30" i="206" s="1"/>
  <c r="D30" i="158"/>
  <c r="J30" i="158" s="1"/>
  <c r="D30" i="216"/>
  <c r="J30" i="216" s="1"/>
  <c r="D301" i="502"/>
  <c r="D102" i="473"/>
  <c r="J102" i="473" s="1"/>
  <c r="D100" i="203"/>
  <c r="J100" i="203" s="1"/>
  <c r="D100" i="639"/>
  <c r="J100" i="639" s="1"/>
  <c r="D100" i="640"/>
  <c r="J100" i="640" s="1"/>
  <c r="D100" i="163"/>
  <c r="J100" i="163" s="1"/>
  <c r="D100" i="206"/>
  <c r="J100" i="206" s="1"/>
  <c r="D100" i="211"/>
  <c r="J100" i="211" s="1"/>
  <c r="D100" i="186"/>
  <c r="J100" i="186" s="1"/>
  <c r="D102" i="472"/>
  <c r="J102" i="472" s="1"/>
  <c r="D100" i="158"/>
  <c r="D100" i="216"/>
  <c r="J100" i="216" s="1"/>
  <c r="D43" i="203"/>
  <c r="J43" i="203" s="1"/>
  <c r="D43" i="211"/>
  <c r="J43" i="211" s="1"/>
  <c r="D43" i="206"/>
  <c r="J43" i="206" s="1"/>
  <c r="D45" i="473"/>
  <c r="J45" i="473" s="1"/>
  <c r="D43" i="163"/>
  <c r="J43" i="163" s="1"/>
  <c r="D43" i="158"/>
  <c r="J43" i="158" s="1"/>
  <c r="D43" i="216"/>
  <c r="J43" i="216" s="1"/>
  <c r="D82" i="206"/>
  <c r="D82" i="163"/>
  <c r="J82" i="163" s="1"/>
  <c r="D82" i="203"/>
  <c r="D82" i="211"/>
  <c r="D84" i="473"/>
  <c r="D82" i="158"/>
  <c r="J82" i="158" s="1"/>
  <c r="D82" i="216"/>
  <c r="D39" i="206"/>
  <c r="D39" i="203"/>
  <c r="D39" i="158"/>
  <c r="D39" i="216"/>
  <c r="D57" i="211"/>
  <c r="J57" i="211" s="1"/>
  <c r="D57" i="203"/>
  <c r="J57" i="203" s="1"/>
  <c r="D57" i="206"/>
  <c r="J57" i="206" s="1"/>
  <c r="D57" i="163"/>
  <c r="J57" i="163" s="1"/>
  <c r="D59" i="473"/>
  <c r="J59" i="473" s="1"/>
  <c r="D57" i="158"/>
  <c r="J57" i="158" s="1"/>
  <c r="D57" i="216"/>
  <c r="J57" i="216" s="1"/>
  <c r="D58" i="211"/>
  <c r="J58" i="211" s="1"/>
  <c r="D58" i="203"/>
  <c r="J58" i="203" s="1"/>
  <c r="D58" i="206"/>
  <c r="J58" i="206" s="1"/>
  <c r="D60" i="473"/>
  <c r="J60" i="473" s="1"/>
  <c r="D58" i="163"/>
  <c r="J58" i="163" s="1"/>
  <c r="D58" i="158"/>
  <c r="J58" i="158" s="1"/>
  <c r="D58" i="216"/>
  <c r="J58" i="216" s="1"/>
  <c r="D300" i="502"/>
  <c r="D99" i="640"/>
  <c r="J99" i="640" s="1"/>
  <c r="D99" i="163"/>
  <c r="J99" i="163" s="1"/>
  <c r="D99" i="211"/>
  <c r="J99" i="211" s="1"/>
  <c r="D99" i="206"/>
  <c r="J99" i="206" s="1"/>
  <c r="D99" i="203"/>
  <c r="J99" i="203" s="1"/>
  <c r="D101" i="473"/>
  <c r="J101" i="473" s="1"/>
  <c r="D99" i="639"/>
  <c r="J99" i="639" s="1"/>
  <c r="D99" i="186"/>
  <c r="J99" i="186" s="1"/>
  <c r="D101" i="472"/>
  <c r="J101" i="472" s="1"/>
  <c r="D99" i="158"/>
  <c r="J99" i="158" s="1"/>
  <c r="D99" i="216"/>
  <c r="J99" i="216" s="1"/>
  <c r="D291" i="502"/>
  <c r="D90" i="203"/>
  <c r="D90" i="639"/>
  <c r="D90" i="640"/>
  <c r="D90" i="211"/>
  <c r="D90" i="163"/>
  <c r="J90" i="163" s="1"/>
  <c r="D92" i="473"/>
  <c r="D90" i="206"/>
  <c r="D92" i="472"/>
  <c r="D90" i="186"/>
  <c r="D90" i="158"/>
  <c r="D90" i="216"/>
  <c r="D75" i="163"/>
  <c r="D75" i="203"/>
  <c r="D77" i="473"/>
  <c r="D75" i="206"/>
  <c r="D75" i="211"/>
  <c r="D75" i="158"/>
  <c r="J75" i="158" s="1"/>
  <c r="D75" i="216"/>
  <c r="D47" i="203"/>
  <c r="J47" i="203" s="1"/>
  <c r="D47" i="211"/>
  <c r="J47" i="211" s="1"/>
  <c r="D47" i="206"/>
  <c r="J47" i="206" s="1"/>
  <c r="D49" i="473"/>
  <c r="J49" i="473" s="1"/>
  <c r="D47" i="163"/>
  <c r="J47" i="163" s="1"/>
  <c r="D47" i="158"/>
  <c r="J47" i="158" s="1"/>
  <c r="D47" i="216"/>
  <c r="J47" i="216" s="1"/>
  <c r="D28" i="203"/>
  <c r="D28" i="206"/>
  <c r="D28" i="158"/>
  <c r="D28" i="216"/>
  <c r="D72" i="163"/>
  <c r="J72" i="163" s="1"/>
  <c r="D74" i="473"/>
  <c r="J74" i="473" s="1"/>
  <c r="D72" i="206"/>
  <c r="J72" i="206" s="1"/>
  <c r="D72" i="203"/>
  <c r="J72" i="203" s="1"/>
  <c r="D72" i="211"/>
  <c r="J72" i="211" s="1"/>
  <c r="D72" i="158"/>
  <c r="D72" i="216"/>
  <c r="J72" i="216" s="1"/>
  <c r="D26" i="206"/>
  <c r="J26" i="206" s="1"/>
  <c r="D26" i="203"/>
  <c r="J26" i="203" s="1"/>
  <c r="D26" i="158"/>
  <c r="J26" i="158" s="1"/>
  <c r="D26" i="216"/>
  <c r="J26" i="216" s="1"/>
  <c r="D64" i="206"/>
  <c r="J64" i="206" s="1"/>
  <c r="D64" i="203"/>
  <c r="J64" i="203" s="1"/>
  <c r="D64" i="211"/>
  <c r="J64" i="211" s="1"/>
  <c r="D64" i="158"/>
  <c r="J64" i="158" s="1"/>
  <c r="D64" i="216"/>
  <c r="J64" i="216" s="1"/>
  <c r="D66" i="206"/>
  <c r="J66" i="206" s="1"/>
  <c r="D66" i="211"/>
  <c r="J66" i="211" s="1"/>
  <c r="D66" i="203"/>
  <c r="J66" i="203" s="1"/>
  <c r="D66" i="158"/>
  <c r="J66" i="158" s="1"/>
  <c r="D66" i="216"/>
  <c r="J66" i="216" s="1"/>
  <c r="D53" i="211"/>
  <c r="J53" i="211" s="1"/>
  <c r="D53" i="203"/>
  <c r="J53" i="203" s="1"/>
  <c r="D53" i="206"/>
  <c r="D55" i="473"/>
  <c r="J55" i="473" s="1"/>
  <c r="D53" i="163"/>
  <c r="J53" i="163" s="1"/>
  <c r="D53" i="158"/>
  <c r="J53" i="158" s="1"/>
  <c r="D53" i="216"/>
  <c r="J53" i="216" s="1"/>
  <c r="D36" i="206"/>
  <c r="J36" i="206" s="1"/>
  <c r="D36" i="203"/>
  <c r="J36" i="203" s="1"/>
  <c r="D36" i="158"/>
  <c r="J36" i="158" s="1"/>
  <c r="D36" i="216"/>
  <c r="J36" i="216" s="1"/>
  <c r="D41" i="206"/>
  <c r="J41" i="206" s="1"/>
  <c r="D41" i="203"/>
  <c r="J41" i="203" s="1"/>
  <c r="D41" i="158"/>
  <c r="J41" i="158" s="1"/>
  <c r="D41" i="216"/>
  <c r="J41" i="216" s="1"/>
  <c r="D59" i="206"/>
  <c r="J59" i="206" s="1"/>
  <c r="D59" i="203"/>
  <c r="J59" i="203" s="1"/>
  <c r="D59" i="211"/>
  <c r="J59" i="211" s="1"/>
  <c r="D61" i="473"/>
  <c r="D59" i="163"/>
  <c r="J59" i="163" s="1"/>
  <c r="D59" i="158"/>
  <c r="J59" i="158" s="1"/>
  <c r="D59" i="216"/>
  <c r="J59" i="216" s="1"/>
  <c r="D77" i="163"/>
  <c r="J77" i="163" s="1"/>
  <c r="D79" i="473"/>
  <c r="J79" i="473" s="1"/>
  <c r="D77" i="206"/>
  <c r="J77" i="206" s="1"/>
  <c r="D77" i="203"/>
  <c r="J77" i="203" s="1"/>
  <c r="D77" i="211"/>
  <c r="J77" i="211" s="1"/>
  <c r="D77" i="158"/>
  <c r="J77" i="158" s="1"/>
  <c r="D77" i="216"/>
  <c r="J77" i="216" s="1"/>
  <c r="D69" i="163"/>
  <c r="D69" i="211"/>
  <c r="D71" i="473"/>
  <c r="D69" i="206"/>
  <c r="D69" i="203"/>
  <c r="D69" i="158"/>
  <c r="J69" i="158" s="1"/>
  <c r="D69" i="216"/>
  <c r="D86" i="203"/>
  <c r="J86" i="203" s="1"/>
  <c r="D88" i="473"/>
  <c r="J88" i="473" s="1"/>
  <c r="D86" i="163"/>
  <c r="J86" i="163" s="1"/>
  <c r="D86" i="211"/>
  <c r="J86" i="211" s="1"/>
  <c r="D86" i="206"/>
  <c r="J86" i="206" s="1"/>
  <c r="D86" i="158"/>
  <c r="J86" i="158" s="1"/>
  <c r="D86" i="216"/>
  <c r="J86" i="216" s="1"/>
  <c r="D83" i="211"/>
  <c r="J83" i="211" s="1"/>
  <c r="D83" i="206"/>
  <c r="J83" i="206" s="1"/>
  <c r="D83" i="163"/>
  <c r="D83" i="203"/>
  <c r="J83" i="203" s="1"/>
  <c r="D85" i="473"/>
  <c r="J85" i="473" s="1"/>
  <c r="D83" i="158"/>
  <c r="J83" i="158" s="1"/>
  <c r="D83" i="216"/>
  <c r="J83" i="216" s="1"/>
  <c r="D46" i="203"/>
  <c r="D46" i="206"/>
  <c r="D46" i="158"/>
  <c r="D46" i="216"/>
  <c r="D295" i="502"/>
  <c r="J295" i="502" s="1"/>
  <c r="D96" i="473"/>
  <c r="J96" i="473" s="1"/>
  <c r="D94" i="206"/>
  <c r="J94" i="206" s="1"/>
  <c r="D94" i="639"/>
  <c r="J94" i="639" s="1"/>
  <c r="D94" i="640"/>
  <c r="J94" i="640" s="1"/>
  <c r="D94" i="163"/>
  <c r="J94" i="163" s="1"/>
  <c r="D94" i="203"/>
  <c r="J94" i="203" s="1"/>
  <c r="D94" i="211"/>
  <c r="J94" i="211" s="1"/>
  <c r="D94" i="186"/>
  <c r="J94" i="186" s="1"/>
  <c r="D96" i="472"/>
  <c r="J96" i="472" s="1"/>
  <c r="D94" i="158"/>
  <c r="J94" i="158" s="1"/>
  <c r="D94" i="216"/>
  <c r="J94" i="216" s="1"/>
  <c r="D52" i="211"/>
  <c r="J52" i="211" s="1"/>
  <c r="D52" i="206"/>
  <c r="D52" i="203"/>
  <c r="J52" i="203" s="1"/>
  <c r="D54" i="473"/>
  <c r="J54" i="473" s="1"/>
  <c r="D52" i="163"/>
  <c r="J52" i="163" s="1"/>
  <c r="D52" i="158"/>
  <c r="J52" i="158" s="1"/>
  <c r="D52" i="216"/>
  <c r="J52" i="216" s="1"/>
  <c r="D65" i="203"/>
  <c r="J65" i="203" s="1"/>
  <c r="D65" i="211"/>
  <c r="J65" i="211" s="1"/>
  <c r="D65" i="206"/>
  <c r="J65" i="206" s="1"/>
  <c r="D65" i="158"/>
  <c r="J65" i="158" s="1"/>
  <c r="D65" i="216"/>
  <c r="J65" i="216" s="1"/>
  <c r="D71" i="163"/>
  <c r="J71" i="163" s="1"/>
  <c r="D71" i="203"/>
  <c r="J71" i="203" s="1"/>
  <c r="D71" i="211"/>
  <c r="J71" i="211" s="1"/>
  <c r="D73" i="473"/>
  <c r="J73" i="473" s="1"/>
  <c r="D71" i="206"/>
  <c r="J71" i="206" s="1"/>
  <c r="D71" i="158"/>
  <c r="D71" i="216"/>
  <c r="J71" i="216" s="1"/>
  <c r="D37" i="206"/>
  <c r="J37" i="206" s="1"/>
  <c r="D37" i="203"/>
  <c r="J37" i="203" s="1"/>
  <c r="D37" i="158"/>
  <c r="J37" i="158" s="1"/>
  <c r="D37" i="216"/>
  <c r="J37" i="216" s="1"/>
  <c r="D298" i="502"/>
  <c r="J298" i="502" s="1"/>
  <c r="D97" i="639"/>
  <c r="J97" i="639" s="1"/>
  <c r="D97" i="211"/>
  <c r="J97" i="211" s="1"/>
  <c r="D99" i="473"/>
  <c r="J99" i="473" s="1"/>
  <c r="D97" i="206"/>
  <c r="J97" i="206" s="1"/>
  <c r="D97" i="163"/>
  <c r="J97" i="163" s="1"/>
  <c r="D97" i="640"/>
  <c r="J97" i="640" s="1"/>
  <c r="D97" i="203"/>
  <c r="J97" i="203" s="1"/>
  <c r="D99" i="472"/>
  <c r="J99" i="472" s="1"/>
  <c r="D97" i="186"/>
  <c r="J97" i="186" s="1"/>
  <c r="D97" i="158"/>
  <c r="J97" i="158" s="1"/>
  <c r="D97" i="216"/>
  <c r="J97" i="216" s="1"/>
  <c r="D54" i="206"/>
  <c r="J54" i="206" s="1"/>
  <c r="D54" i="211"/>
  <c r="J54" i="211" s="1"/>
  <c r="D54" i="203"/>
  <c r="J54" i="203" s="1"/>
  <c r="D56" i="473"/>
  <c r="J56" i="473" s="1"/>
  <c r="D54" i="163"/>
  <c r="J54" i="163" s="1"/>
  <c r="D54" i="158"/>
  <c r="J54" i="158" s="1"/>
  <c r="D54" i="216"/>
  <c r="J54" i="216" s="1"/>
  <c r="D67" i="206"/>
  <c r="J67" i="206" s="1"/>
  <c r="D67" i="203"/>
  <c r="J67" i="203" s="1"/>
  <c r="D67" i="211"/>
  <c r="J67" i="211" s="1"/>
  <c r="D67" i="158"/>
  <c r="J67" i="158" s="1"/>
  <c r="D67" i="216"/>
  <c r="J67" i="216" s="1"/>
  <c r="D80" i="473"/>
  <c r="J80" i="473" s="1"/>
  <c r="D78" i="206"/>
  <c r="J78" i="206" s="1"/>
  <c r="D78" i="203"/>
  <c r="J78" i="203" s="1"/>
  <c r="D78" i="211"/>
  <c r="J78" i="211" s="1"/>
  <c r="D78" i="163"/>
  <c r="J78" i="163" s="1"/>
  <c r="D78" i="158"/>
  <c r="J78" i="158" s="1"/>
  <c r="D78" i="216"/>
  <c r="J78" i="216" s="1"/>
  <c r="D307" i="502"/>
  <c r="J307" i="502" s="1"/>
  <c r="D106" i="203"/>
  <c r="J106" i="203" s="1"/>
  <c r="D106" i="206"/>
  <c r="J106" i="206" s="1"/>
  <c r="D108" i="473"/>
  <c r="J108" i="473" s="1"/>
  <c r="D106" i="163"/>
  <c r="J106" i="163" s="1"/>
  <c r="D106" i="211"/>
  <c r="J106" i="211" s="1"/>
  <c r="D106" i="639"/>
  <c r="J106" i="639" s="1"/>
  <c r="D106" i="640"/>
  <c r="J106" i="640" s="1"/>
  <c r="D108" i="472"/>
  <c r="J108" i="472" s="1"/>
  <c r="D106" i="186"/>
  <c r="J106" i="186" s="1"/>
  <c r="D106" i="158"/>
  <c r="D106" i="216"/>
  <c r="J106" i="216" s="1"/>
  <c r="D299" i="502"/>
  <c r="J299" i="502" s="1"/>
  <c r="D98" i="639"/>
  <c r="J98" i="639" s="1"/>
  <c r="D100" i="473"/>
  <c r="J100" i="473" s="1"/>
  <c r="D98" i="203"/>
  <c r="J98" i="203" s="1"/>
  <c r="D98" i="206"/>
  <c r="J98" i="206" s="1"/>
  <c r="D98" i="163"/>
  <c r="J98" i="163" s="1"/>
  <c r="D98" i="211"/>
  <c r="J98" i="211" s="1"/>
  <c r="D98" i="640"/>
  <c r="J98" i="640" s="1"/>
  <c r="D98" i="186"/>
  <c r="J98" i="186" s="1"/>
  <c r="D100" i="472"/>
  <c r="J100" i="472" s="1"/>
  <c r="D98" i="158"/>
  <c r="J98" i="158" s="1"/>
  <c r="D98" i="216"/>
  <c r="J98" i="216" s="1"/>
  <c r="D302" i="502"/>
  <c r="J302" i="502" s="1"/>
  <c r="D101" i="163"/>
  <c r="J101" i="163" s="1"/>
  <c r="D101" i="640"/>
  <c r="J101" i="640" s="1"/>
  <c r="D101" i="206"/>
  <c r="J101" i="206" s="1"/>
  <c r="D101" i="203"/>
  <c r="J101" i="203" s="1"/>
  <c r="D101" i="211"/>
  <c r="J101" i="211" s="1"/>
  <c r="D103" i="473"/>
  <c r="J103" i="473" s="1"/>
  <c r="D101" i="639"/>
  <c r="J101" i="639" s="1"/>
  <c r="D101" i="186"/>
  <c r="J101" i="186" s="1"/>
  <c r="D103" i="472"/>
  <c r="J103" i="472" s="1"/>
  <c r="D101" i="158"/>
  <c r="J101" i="158" s="1"/>
  <c r="D101" i="216"/>
  <c r="J101" i="216" s="1"/>
  <c r="D86" i="473"/>
  <c r="J86" i="473" s="1"/>
  <c r="D84" i="211"/>
  <c r="J84" i="211" s="1"/>
  <c r="D84" i="206"/>
  <c r="J84" i="206" s="1"/>
  <c r="D84" i="203"/>
  <c r="J84" i="203" s="1"/>
  <c r="D84" i="163"/>
  <c r="J84" i="163" s="1"/>
  <c r="D84" i="158"/>
  <c r="D84" i="216"/>
  <c r="J84" i="216" s="1"/>
  <c r="D306" i="502"/>
  <c r="J306" i="502" s="1"/>
  <c r="D105" i="211"/>
  <c r="J105" i="211" s="1"/>
  <c r="D105" i="163"/>
  <c r="D105" i="640"/>
  <c r="J105" i="640" s="1"/>
  <c r="D107" i="473"/>
  <c r="J107" i="473" s="1"/>
  <c r="D105" i="639"/>
  <c r="J105" i="639" s="1"/>
  <c r="D105" i="206"/>
  <c r="J105" i="206" s="1"/>
  <c r="D105" i="203"/>
  <c r="J105" i="203" s="1"/>
  <c r="D107" i="472"/>
  <c r="J107" i="472" s="1"/>
  <c r="D105" i="186"/>
  <c r="J105" i="186" s="1"/>
  <c r="D105" i="158"/>
  <c r="J105" i="158" s="1"/>
  <c r="D105" i="216"/>
  <c r="J105" i="216" s="1"/>
  <c r="D297" i="502"/>
  <c r="D96" i="211"/>
  <c r="D96" i="639"/>
  <c r="D96" i="206"/>
  <c r="D96" i="163"/>
  <c r="D98" i="473"/>
  <c r="D96" i="640"/>
  <c r="D96" i="203"/>
  <c r="D98" i="472"/>
  <c r="D96" i="186"/>
  <c r="D96" i="158"/>
  <c r="D96" i="216"/>
  <c r="D35" i="206"/>
  <c r="D35" i="203"/>
  <c r="D35" i="158"/>
  <c r="D35" i="216"/>
  <c r="D70" i="203"/>
  <c r="J70" i="203" s="1"/>
  <c r="D70" i="163"/>
  <c r="J70" i="163" s="1"/>
  <c r="D70" i="211"/>
  <c r="J70" i="211" s="1"/>
  <c r="D72" i="473"/>
  <c r="D70" i="206"/>
  <c r="J70" i="206" s="1"/>
  <c r="D70" i="158"/>
  <c r="J70" i="158" s="1"/>
  <c r="D70" i="216"/>
  <c r="J70" i="216" s="1"/>
  <c r="D63" i="203"/>
  <c r="J63" i="203" s="1"/>
  <c r="D63" i="211"/>
  <c r="J63" i="211" s="1"/>
  <c r="D63" i="206"/>
  <c r="J63" i="206" s="1"/>
  <c r="D63" i="158"/>
  <c r="J63" i="158" s="1"/>
  <c r="D63" i="216"/>
  <c r="J63" i="216" s="1"/>
  <c r="D31" i="203"/>
  <c r="J31" i="203" s="1"/>
  <c r="D31" i="211"/>
  <c r="J31" i="211" s="1"/>
  <c r="D31" i="206"/>
  <c r="J31" i="206" s="1"/>
  <c r="D31" i="163"/>
  <c r="J31" i="163" s="1"/>
  <c r="D33" i="473"/>
  <c r="J33" i="473" s="1"/>
  <c r="D31" i="158"/>
  <c r="J31" i="158" s="1"/>
  <c r="D31" i="216"/>
  <c r="J31" i="216" s="1"/>
  <c r="D40" i="211"/>
  <c r="J40" i="211" s="1"/>
  <c r="D40" i="203"/>
  <c r="D40" i="206"/>
  <c r="J40" i="206" s="1"/>
  <c r="D40" i="163"/>
  <c r="J40" i="163" s="1"/>
  <c r="D42" i="473"/>
  <c r="J42" i="473" s="1"/>
  <c r="D40" i="158"/>
  <c r="J40" i="158" s="1"/>
  <c r="D40" i="216"/>
  <c r="J40" i="216" s="1"/>
  <c r="D308" i="502"/>
  <c r="J308" i="502" s="1"/>
  <c r="D109" i="473"/>
  <c r="J109" i="473" s="1"/>
  <c r="D107" i="206"/>
  <c r="J107" i="206" s="1"/>
  <c r="D107" i="163"/>
  <c r="J107" i="163" s="1"/>
  <c r="D107" i="640"/>
  <c r="J107" i="640" s="1"/>
  <c r="D107" i="203"/>
  <c r="J107" i="203" s="1"/>
  <c r="D107" i="211"/>
  <c r="J107" i="211" s="1"/>
  <c r="D107" i="639"/>
  <c r="J107" i="639" s="1"/>
  <c r="D109" i="472"/>
  <c r="J109" i="472" s="1"/>
  <c r="D107" i="186"/>
  <c r="D107" i="158"/>
  <c r="D107" i="216"/>
  <c r="J107" i="216" s="1"/>
  <c r="D48" i="206"/>
  <c r="J48" i="206" s="1"/>
  <c r="D48" i="203"/>
  <c r="J48" i="203" s="1"/>
  <c r="D48" i="158"/>
  <c r="J48" i="158" s="1"/>
  <c r="D48" i="216"/>
  <c r="J48" i="216" s="1"/>
  <c r="AG93" i="823"/>
  <c r="AG74" i="823"/>
  <c r="AG69" i="823"/>
  <c r="AG51" i="823"/>
  <c r="AG68" i="823"/>
  <c r="AG77" i="823"/>
  <c r="AG88" i="823"/>
  <c r="AG102" i="823"/>
  <c r="AG97" i="823"/>
  <c r="AG78" i="823"/>
  <c r="AG55" i="823"/>
  <c r="AG92" i="823"/>
  <c r="AG82" i="823"/>
  <c r="AG73" i="823"/>
  <c r="AG96" i="823"/>
  <c r="AG87" i="823"/>
  <c r="AG104" i="823"/>
  <c r="AG84" i="823"/>
  <c r="AG65" i="823"/>
  <c r="AG90" i="823"/>
  <c r="AG56" i="823"/>
  <c r="AG71" i="823"/>
  <c r="AG101" i="823"/>
  <c r="AG103" i="823"/>
  <c r="AG83" i="823"/>
  <c r="AG89" i="823"/>
  <c r="AG76" i="823"/>
  <c r="AG70" i="823"/>
  <c r="AG54" i="823"/>
  <c r="AG95" i="823"/>
  <c r="AG81" i="823"/>
  <c r="AG105" i="823"/>
  <c r="AG79" i="823"/>
  <c r="AG86" i="823"/>
  <c r="AG67" i="823"/>
  <c r="AG94" i="823"/>
  <c r="AG75" i="823"/>
  <c r="AG66" i="823"/>
  <c r="AG100" i="823"/>
  <c r="AG91" i="823"/>
  <c r="AG80" i="823"/>
  <c r="AG52" i="823"/>
  <c r="AG50" i="823"/>
  <c r="AG99" i="823"/>
  <c r="AG72" i="823"/>
  <c r="AG53" i="823"/>
  <c r="AG98" i="823"/>
  <c r="D71" i="186"/>
  <c r="J71" i="186" s="1"/>
  <c r="D72" i="186"/>
  <c r="J72" i="186" s="1"/>
  <c r="E8" i="40"/>
  <c r="J149" i="120"/>
  <c r="J150" i="87"/>
  <c r="D247" i="502"/>
  <c r="D248" i="502"/>
  <c r="J248" i="502" s="1"/>
  <c r="J248" i="508"/>
  <c r="J248" i="202"/>
  <c r="J248" i="200"/>
  <c r="J287" i="508"/>
  <c r="D287" i="502"/>
  <c r="J287" i="502" s="1"/>
  <c r="J287" i="202"/>
  <c r="J287" i="200"/>
  <c r="D86" i="186"/>
  <c r="J86" i="186" s="1"/>
  <c r="J260" i="508"/>
  <c r="D260" i="502"/>
  <c r="J260" i="502" s="1"/>
  <c r="J260" i="202"/>
  <c r="J260" i="200"/>
  <c r="J227" i="508"/>
  <c r="D227" i="502"/>
  <c r="J227" i="502" s="1"/>
  <c r="J227" i="202"/>
  <c r="J227" i="200"/>
  <c r="D283" i="502"/>
  <c r="D82" i="186"/>
  <c r="D276" i="502"/>
  <c r="D75" i="186"/>
  <c r="D245" i="502"/>
  <c r="J245" i="502" s="1"/>
  <c r="J245" i="508"/>
  <c r="J245" i="202"/>
  <c r="J245" i="200"/>
  <c r="D241" i="502"/>
  <c r="J241" i="502" s="1"/>
  <c r="J241" i="508"/>
  <c r="J241" i="202"/>
  <c r="J241" i="200"/>
  <c r="D231" i="502"/>
  <c r="J231" i="502" s="1"/>
  <c r="J231" i="508"/>
  <c r="J231" i="202"/>
  <c r="J231" i="200"/>
  <c r="D284" i="502"/>
  <c r="J284" i="502" s="1"/>
  <c r="J284" i="508"/>
  <c r="J284" i="202"/>
  <c r="J284" i="200"/>
  <c r="D83" i="186"/>
  <c r="J83" i="186" s="1"/>
  <c r="J244" i="508"/>
  <c r="D244" i="502"/>
  <c r="J244" i="502" s="1"/>
  <c r="J244" i="202"/>
  <c r="J244" i="200"/>
  <c r="J298" i="508"/>
  <c r="J298" i="202"/>
  <c r="J298" i="200"/>
  <c r="J242" i="508"/>
  <c r="D242" i="502"/>
  <c r="J242" i="502" s="1"/>
  <c r="J242" i="202"/>
  <c r="J242" i="200"/>
  <c r="D240" i="502"/>
  <c r="J264" i="508"/>
  <c r="D264" i="502"/>
  <c r="J264" i="502" s="1"/>
  <c r="J264" i="202"/>
  <c r="J264" i="200"/>
  <c r="J295" i="508"/>
  <c r="J295" i="202"/>
  <c r="J295" i="200"/>
  <c r="J307" i="508"/>
  <c r="J307" i="202"/>
  <c r="J307" i="200"/>
  <c r="J232" i="508"/>
  <c r="D232" i="502"/>
  <c r="J232" i="502" s="1"/>
  <c r="J232" i="202"/>
  <c r="J232" i="200"/>
  <c r="D254" i="502"/>
  <c r="J254" i="502" s="1"/>
  <c r="J254" i="508"/>
  <c r="J254" i="202"/>
  <c r="J254" i="200"/>
  <c r="J249" i="508"/>
  <c r="D249" i="502"/>
  <c r="J249" i="502" s="1"/>
  <c r="J249" i="202"/>
  <c r="J249" i="200"/>
  <c r="J299" i="508"/>
  <c r="J299" i="202"/>
  <c r="J299" i="200"/>
  <c r="D270" i="502"/>
  <c r="D69" i="186"/>
  <c r="J285" i="508"/>
  <c r="D285" i="502"/>
  <c r="J285" i="502" s="1"/>
  <c r="J285" i="202"/>
  <c r="J285" i="200"/>
  <c r="D84" i="186"/>
  <c r="J84" i="186" s="1"/>
  <c r="D265" i="502"/>
  <c r="J265" i="502" s="1"/>
  <c r="J265" i="508"/>
  <c r="J265" i="202"/>
  <c r="J265" i="200"/>
  <c r="D221" i="502"/>
  <c r="J258" i="508"/>
  <c r="D258" i="502"/>
  <c r="J258" i="502" s="1"/>
  <c r="J258" i="202"/>
  <c r="J258" i="200"/>
  <c r="J300" i="502"/>
  <c r="J300" i="508"/>
  <c r="J300" i="202"/>
  <c r="J300" i="200"/>
  <c r="J23" i="129"/>
  <c r="J266" i="508"/>
  <c r="D266" i="502"/>
  <c r="J266" i="502" s="1"/>
  <c r="J266" i="202"/>
  <c r="J266" i="200"/>
  <c r="D286" i="502"/>
  <c r="J286" i="502" s="1"/>
  <c r="J286" i="508"/>
  <c r="J286" i="202"/>
  <c r="J286" i="200"/>
  <c r="J85" i="203"/>
  <c r="D85" i="186"/>
  <c r="J85" i="186" s="1"/>
  <c r="D278" i="502"/>
  <c r="J278" i="502" s="1"/>
  <c r="J278" i="508"/>
  <c r="J278" i="202"/>
  <c r="J278" i="200"/>
  <c r="D77" i="186"/>
  <c r="J77" i="186" s="1"/>
  <c r="J309" i="502"/>
  <c r="J309" i="508"/>
  <c r="J309" i="202"/>
  <c r="J309" i="200"/>
  <c r="J302" i="508"/>
  <c r="J302" i="202"/>
  <c r="J302" i="200"/>
  <c r="J24" i="129"/>
  <c r="D257" i="502"/>
  <c r="J268" i="508"/>
  <c r="D268" i="502"/>
  <c r="J268" i="502" s="1"/>
  <c r="J268" i="202"/>
  <c r="J268" i="200"/>
  <c r="J253" i="508"/>
  <c r="D253" i="502"/>
  <c r="J253" i="502" s="1"/>
  <c r="J253" i="202"/>
  <c r="J253" i="200"/>
  <c r="D250" i="502"/>
  <c r="J250" i="502" s="1"/>
  <c r="J250" i="508"/>
  <c r="J250" i="202"/>
  <c r="J250" i="200"/>
  <c r="D259" i="502"/>
  <c r="J259" i="502" s="1"/>
  <c r="J259" i="508"/>
  <c r="J259" i="202"/>
  <c r="J259" i="200"/>
  <c r="J308" i="508"/>
  <c r="J308" i="202"/>
  <c r="J308" i="200"/>
  <c r="D281" i="502"/>
  <c r="J281" i="502" s="1"/>
  <c r="J281" i="508"/>
  <c r="J281" i="202"/>
  <c r="J281" i="200"/>
  <c r="J80" i="203"/>
  <c r="D80" i="186"/>
  <c r="J80" i="186" s="1"/>
  <c r="D272" i="502"/>
  <c r="J272" i="502" s="1"/>
  <c r="J272" i="508"/>
  <c r="J272" i="202"/>
  <c r="J272" i="200"/>
  <c r="J255" i="508"/>
  <c r="D255" i="502"/>
  <c r="J255" i="502" s="1"/>
  <c r="J255" i="202"/>
  <c r="J255" i="200"/>
  <c r="D229" i="502"/>
  <c r="D280" i="502"/>
  <c r="J280" i="502" s="1"/>
  <c r="J280" i="508"/>
  <c r="J280" i="202"/>
  <c r="J280" i="200"/>
  <c r="D79" i="186"/>
  <c r="J79" i="186" s="1"/>
  <c r="J294" i="508"/>
  <c r="J294" i="202"/>
  <c r="J294" i="200"/>
  <c r="J273" i="508"/>
  <c r="D273" i="502"/>
  <c r="J273" i="502" s="1"/>
  <c r="J273" i="202"/>
  <c r="J273" i="200"/>
  <c r="D279" i="502"/>
  <c r="J279" i="502" s="1"/>
  <c r="J279" i="508"/>
  <c r="J279" i="202"/>
  <c r="J279" i="200"/>
  <c r="D78" i="186"/>
  <c r="J78" i="186" s="1"/>
  <c r="J230" i="508"/>
  <c r="D230" i="502"/>
  <c r="J230" i="502" s="1"/>
  <c r="J230" i="202"/>
  <c r="J230" i="200"/>
  <c r="J271" i="508"/>
  <c r="D271" i="502"/>
  <c r="J271" i="502" s="1"/>
  <c r="J271" i="202"/>
  <c r="J271" i="200"/>
  <c r="D70" i="186"/>
  <c r="J70" i="186" s="1"/>
  <c r="D288" i="502"/>
  <c r="J288" i="502" s="1"/>
  <c r="J288" i="508"/>
  <c r="J288" i="202"/>
  <c r="J288" i="200"/>
  <c r="J87" i="203"/>
  <c r="D87" i="186"/>
  <c r="J87" i="186" s="1"/>
  <c r="J306" i="508"/>
  <c r="J306" i="202"/>
  <c r="J306" i="200"/>
  <c r="J292" i="508"/>
  <c r="J292" i="202"/>
  <c r="J292" i="200"/>
  <c r="D243" i="502"/>
  <c r="J243" i="502" s="1"/>
  <c r="J243" i="508"/>
  <c r="J243" i="202"/>
  <c r="J243" i="200"/>
  <c r="D263" i="502"/>
  <c r="J293" i="508"/>
  <c r="J293" i="502"/>
  <c r="J293" i="202"/>
  <c r="J293" i="200"/>
  <c r="J301" i="508"/>
  <c r="J301" i="502"/>
  <c r="J301" i="202"/>
  <c r="J301" i="200"/>
  <c r="J305" i="508"/>
  <c r="J305" i="202"/>
  <c r="J305" i="200"/>
  <c r="D226" i="502"/>
  <c r="D277" i="502"/>
  <c r="J277" i="502" s="1"/>
  <c r="J277" i="508"/>
  <c r="J277" i="202"/>
  <c r="J277" i="200"/>
  <c r="D76" i="186"/>
  <c r="J76" i="186" s="1"/>
  <c r="D274" i="502"/>
  <c r="J274" i="502" s="1"/>
  <c r="J274" i="508"/>
  <c r="J274" i="202"/>
  <c r="J274" i="200"/>
  <c r="D73" i="186"/>
  <c r="J73" i="186" s="1"/>
  <c r="J22" i="129"/>
  <c r="D252" i="502"/>
  <c r="D267" i="502"/>
  <c r="J267" i="502" s="1"/>
  <c r="J267" i="508"/>
  <c r="J267" i="202"/>
  <c r="J267" i="200"/>
  <c r="AG61" i="120"/>
  <c r="AG62" i="120"/>
  <c r="AG63" i="120"/>
  <c r="AG64" i="120"/>
  <c r="AG60" i="120"/>
  <c r="J81" i="129"/>
  <c r="D94" i="506"/>
  <c r="J94" i="506" s="1"/>
  <c r="D94" i="498"/>
  <c r="J94" i="498" s="1"/>
  <c r="D84" i="639"/>
  <c r="J84" i="639" s="1"/>
  <c r="J83" i="742"/>
  <c r="D84" i="640"/>
  <c r="J84" i="640" s="1"/>
  <c r="D86" i="472"/>
  <c r="J86" i="472" s="1"/>
  <c r="D94" i="486"/>
  <c r="J94" i="486" s="1"/>
  <c r="J30" i="129"/>
  <c r="J28" i="129"/>
  <c r="J52" i="129"/>
  <c r="J53" i="129"/>
  <c r="J46" i="129"/>
  <c r="J45" i="129"/>
  <c r="J56" i="129"/>
  <c r="J88" i="129"/>
  <c r="J43" i="129"/>
  <c r="J15" i="129"/>
  <c r="J31" i="129"/>
  <c r="J51" i="129"/>
  <c r="J40" i="129"/>
  <c r="J55" i="129"/>
  <c r="J104" i="129"/>
  <c r="J17" i="129"/>
  <c r="J35" i="129"/>
  <c r="J95" i="129"/>
  <c r="J77" i="129"/>
  <c r="D90" i="486"/>
  <c r="J90" i="486" s="1"/>
  <c r="D90" i="506"/>
  <c r="J90" i="506" s="1"/>
  <c r="D90" i="498"/>
  <c r="J90" i="498" s="1"/>
  <c r="D80" i="640"/>
  <c r="J80" i="640" s="1"/>
  <c r="J82" i="473"/>
  <c r="D80" i="639"/>
  <c r="J80" i="639" s="1"/>
  <c r="D82" i="472"/>
  <c r="J82" i="472" s="1"/>
  <c r="J79" i="742"/>
  <c r="J68" i="129"/>
  <c r="D81" i="506"/>
  <c r="J81" i="506" s="1"/>
  <c r="D81" i="498"/>
  <c r="J81" i="498" s="1"/>
  <c r="D81" i="486"/>
  <c r="J81" i="486" s="1"/>
  <c r="D71" i="640"/>
  <c r="J71" i="640" s="1"/>
  <c r="J71" i="158"/>
  <c r="J70" i="742"/>
  <c r="D71" i="639"/>
  <c r="J71" i="639" s="1"/>
  <c r="D73" i="472"/>
  <c r="J73" i="472" s="1"/>
  <c r="J84" i="129"/>
  <c r="D97" i="498"/>
  <c r="J97" i="498" s="1"/>
  <c r="D87" i="640"/>
  <c r="J87" i="640" s="1"/>
  <c r="D97" i="486"/>
  <c r="J97" i="486" s="1"/>
  <c r="D97" i="506"/>
  <c r="J97" i="506" s="1"/>
  <c r="J86" i="742"/>
  <c r="D87" i="639"/>
  <c r="J87" i="639" s="1"/>
  <c r="D89" i="472"/>
  <c r="J89" i="472" s="1"/>
  <c r="J11" i="129"/>
  <c r="J83" i="129"/>
  <c r="D96" i="506"/>
  <c r="J96" i="506" s="1"/>
  <c r="D96" i="498"/>
  <c r="J96" i="498" s="1"/>
  <c r="D86" i="640"/>
  <c r="J86" i="640" s="1"/>
  <c r="D96" i="486"/>
  <c r="J96" i="486" s="1"/>
  <c r="J85" i="742"/>
  <c r="D86" i="639"/>
  <c r="J86" i="639" s="1"/>
  <c r="D88" i="472"/>
  <c r="J88" i="472" s="1"/>
  <c r="J89" i="129"/>
  <c r="J41" i="129"/>
  <c r="J36" i="129"/>
  <c r="J105" i="129"/>
  <c r="J102" i="129"/>
  <c r="J105" i="163"/>
  <c r="J73" i="129"/>
  <c r="D86" i="506"/>
  <c r="J86" i="506" s="1"/>
  <c r="D86" i="498"/>
  <c r="J86" i="498" s="1"/>
  <c r="D76" i="640"/>
  <c r="J76" i="640" s="1"/>
  <c r="D86" i="486"/>
  <c r="J86" i="486" s="1"/>
  <c r="J75" i="742"/>
  <c r="D76" i="639"/>
  <c r="J76" i="639" s="1"/>
  <c r="D78" i="472"/>
  <c r="J78" i="472" s="1"/>
  <c r="J79" i="129"/>
  <c r="D82" i="640"/>
  <c r="D92" i="486"/>
  <c r="D92" i="506"/>
  <c r="D92" i="498"/>
  <c r="D84" i="472"/>
  <c r="D82" i="639"/>
  <c r="J91" i="129"/>
  <c r="J97" i="129"/>
  <c r="J69" i="129"/>
  <c r="D82" i="498"/>
  <c r="J82" i="498" s="1"/>
  <c r="D82" i="506"/>
  <c r="J82" i="506" s="1"/>
  <c r="D82" i="486"/>
  <c r="J82" i="486" s="1"/>
  <c r="D72" i="640"/>
  <c r="J72" i="640" s="1"/>
  <c r="J71" i="742"/>
  <c r="D72" i="639"/>
  <c r="J72" i="639" s="1"/>
  <c r="D74" i="472"/>
  <c r="J74" i="472" s="1"/>
  <c r="J48" i="129"/>
  <c r="J12" i="129"/>
  <c r="J98" i="129"/>
  <c r="J76" i="129"/>
  <c r="D79" i="640"/>
  <c r="J79" i="640" s="1"/>
  <c r="D89" i="486"/>
  <c r="J89" i="486" s="1"/>
  <c r="D79" i="639"/>
  <c r="J79" i="639" s="1"/>
  <c r="D81" i="472"/>
  <c r="J81" i="472" s="1"/>
  <c r="J79" i="163"/>
  <c r="D89" i="498"/>
  <c r="J89" i="498" s="1"/>
  <c r="D89" i="506"/>
  <c r="J89" i="506" s="1"/>
  <c r="J78" i="742"/>
  <c r="J90" i="129"/>
  <c r="J6" i="129"/>
  <c r="J80" i="129"/>
  <c r="D93" i="486"/>
  <c r="J93" i="486" s="1"/>
  <c r="D93" i="498"/>
  <c r="J93" i="498" s="1"/>
  <c r="D93" i="506"/>
  <c r="J93" i="506" s="1"/>
  <c r="J82" i="742"/>
  <c r="D85" i="472"/>
  <c r="J85" i="472" s="1"/>
  <c r="D83" i="640"/>
  <c r="J83" i="640" s="1"/>
  <c r="D83" i="639"/>
  <c r="J83" i="639" s="1"/>
  <c r="J82" i="129"/>
  <c r="D95" i="498"/>
  <c r="J95" i="498" s="1"/>
  <c r="D95" i="506"/>
  <c r="J95" i="506" s="1"/>
  <c r="D95" i="486"/>
  <c r="J95" i="486" s="1"/>
  <c r="D85" i="640"/>
  <c r="J85" i="640" s="1"/>
  <c r="J84" i="742"/>
  <c r="D85" i="639"/>
  <c r="J85" i="639" s="1"/>
  <c r="D87" i="472"/>
  <c r="J87" i="472" s="1"/>
  <c r="J75" i="129"/>
  <c r="D88" i="506"/>
  <c r="J88" i="506" s="1"/>
  <c r="D78" i="640"/>
  <c r="J78" i="640" s="1"/>
  <c r="D88" i="486"/>
  <c r="J88" i="486" s="1"/>
  <c r="D88" i="498"/>
  <c r="J88" i="498" s="1"/>
  <c r="J77" i="742"/>
  <c r="D78" i="639"/>
  <c r="J78" i="639" s="1"/>
  <c r="D80" i="472"/>
  <c r="J80" i="472" s="1"/>
  <c r="J18" i="129"/>
  <c r="J54" i="129"/>
  <c r="J38" i="129"/>
  <c r="J96" i="129"/>
  <c r="J87" i="129"/>
  <c r="J72" i="129"/>
  <c r="D75" i="640"/>
  <c r="D85" i="486"/>
  <c r="D85" i="506"/>
  <c r="D75" i="639"/>
  <c r="D77" i="472"/>
  <c r="D85" i="498"/>
  <c r="J101" i="129"/>
  <c r="J100" i="129"/>
  <c r="J74" i="129"/>
  <c r="D77" i="640"/>
  <c r="J77" i="640" s="1"/>
  <c r="D87" i="486"/>
  <c r="J87" i="486" s="1"/>
  <c r="J76" i="742"/>
  <c r="D77" i="639"/>
  <c r="J77" i="639" s="1"/>
  <c r="D79" i="472"/>
  <c r="J79" i="472" s="1"/>
  <c r="D87" i="506"/>
  <c r="J87" i="506" s="1"/>
  <c r="D87" i="498"/>
  <c r="J87" i="498" s="1"/>
  <c r="J42" i="129"/>
  <c r="J33" i="129"/>
  <c r="J32" i="129"/>
  <c r="J66" i="129"/>
  <c r="D79" i="486"/>
  <c r="D69" i="640"/>
  <c r="D79" i="506"/>
  <c r="D79" i="498"/>
  <c r="D69" i="639"/>
  <c r="D71" i="472"/>
  <c r="J70" i="129"/>
  <c r="D83" i="506"/>
  <c r="J83" i="506" s="1"/>
  <c r="D83" i="486"/>
  <c r="J83" i="486" s="1"/>
  <c r="D73" i="640"/>
  <c r="J73" i="640" s="1"/>
  <c r="D83" i="498"/>
  <c r="J83" i="498" s="1"/>
  <c r="J72" i="742"/>
  <c r="D73" i="639"/>
  <c r="J73" i="639" s="1"/>
  <c r="D75" i="472"/>
  <c r="J75" i="472" s="1"/>
  <c r="J73" i="158"/>
  <c r="J103" i="129"/>
  <c r="J94" i="129"/>
  <c r="J93" i="129"/>
  <c r="J67" i="129"/>
  <c r="D80" i="498"/>
  <c r="J80" i="498" s="1"/>
  <c r="D80" i="506"/>
  <c r="J80" i="506" s="1"/>
  <c r="D80" i="486"/>
  <c r="J80" i="486" s="1"/>
  <c r="J72" i="473"/>
  <c r="J69" i="742"/>
  <c r="D70" i="639"/>
  <c r="J70" i="639" s="1"/>
  <c r="D72" i="472"/>
  <c r="J72" i="472" s="1"/>
  <c r="D70" i="640"/>
  <c r="J70" i="640" s="1"/>
  <c r="J16" i="129"/>
  <c r="J37" i="129"/>
  <c r="J47" i="129"/>
  <c r="J29" i="129"/>
  <c r="K61" i="129"/>
  <c r="Q61" i="129" s="1"/>
  <c r="J61" i="129"/>
  <c r="K64" i="129"/>
  <c r="Q64" i="129" s="1"/>
  <c r="J64" i="129"/>
  <c r="K62" i="129"/>
  <c r="Q62" i="129" s="1"/>
  <c r="J62" i="129"/>
  <c r="K60" i="129"/>
  <c r="R60" i="129" s="1"/>
  <c r="J60" i="129"/>
  <c r="D59" i="129"/>
  <c r="K63" i="129"/>
  <c r="Q63" i="129" s="1"/>
  <c r="J63" i="129"/>
  <c r="X19" i="129"/>
  <c r="J19" i="129"/>
  <c r="X85" i="129"/>
  <c r="J85" i="129"/>
  <c r="D31" i="103"/>
  <c r="D30" i="103"/>
  <c r="D29" i="103"/>
  <c r="J110" i="87"/>
  <c r="E37" i="39"/>
  <c r="E42" i="39" s="1"/>
  <c r="D64" i="186"/>
  <c r="J64" i="186" s="1"/>
  <c r="D74" i="498"/>
  <c r="J74" i="498" s="1"/>
  <c r="D74" i="486"/>
  <c r="J74" i="486" s="1"/>
  <c r="D64" i="640"/>
  <c r="J64" i="640" s="1"/>
  <c r="D74" i="506"/>
  <c r="J74" i="506" s="1"/>
  <c r="D64" i="639"/>
  <c r="J64" i="639" s="1"/>
  <c r="D41" i="498"/>
  <c r="J41" i="498" s="1"/>
  <c r="D31" i="186"/>
  <c r="J31" i="186" s="1"/>
  <c r="D33" i="472"/>
  <c r="J33" i="472" s="1"/>
  <c r="J30" i="742"/>
  <c r="D31" i="639"/>
  <c r="J31" i="639" s="1"/>
  <c r="D41" i="486"/>
  <c r="J41" i="486" s="1"/>
  <c r="D31" i="640"/>
  <c r="J31" i="640" s="1"/>
  <c r="D41" i="506"/>
  <c r="J41" i="506" s="1"/>
  <c r="D111" i="498"/>
  <c r="J111" i="498" s="1"/>
  <c r="D111" i="506"/>
  <c r="J111" i="506" s="1"/>
  <c r="J100" i="742"/>
  <c r="D111" i="486"/>
  <c r="J111" i="486" s="1"/>
  <c r="D68" i="498"/>
  <c r="J68" i="498" s="1"/>
  <c r="D58" i="186"/>
  <c r="J58" i="186" s="1"/>
  <c r="D60" i="472"/>
  <c r="J60" i="472" s="1"/>
  <c r="D68" i="486"/>
  <c r="J68" i="486" s="1"/>
  <c r="D58" i="640"/>
  <c r="J58" i="640" s="1"/>
  <c r="D58" i="639"/>
  <c r="J58" i="639" s="1"/>
  <c r="D68" i="506"/>
  <c r="J68" i="506" s="1"/>
  <c r="J57" i="742"/>
  <c r="D63" i="498"/>
  <c r="J63" i="498" s="1"/>
  <c r="D55" i="472"/>
  <c r="J55" i="472" s="1"/>
  <c r="D53" i="186"/>
  <c r="J53" i="186" s="1"/>
  <c r="D63" i="506"/>
  <c r="J63" i="506" s="1"/>
  <c r="D53" i="640"/>
  <c r="J53" i="640" s="1"/>
  <c r="D63" i="486"/>
  <c r="J63" i="486" s="1"/>
  <c r="J52" i="742"/>
  <c r="J53" i="206"/>
  <c r="D53" i="639"/>
  <c r="J53" i="639" s="1"/>
  <c r="D38" i="498"/>
  <c r="D28" i="186"/>
  <c r="D28" i="640"/>
  <c r="D38" i="506"/>
  <c r="D14" i="129"/>
  <c r="D38" i="486"/>
  <c r="D54" i="472"/>
  <c r="J54" i="472" s="1"/>
  <c r="D62" i="498"/>
  <c r="J62" i="498" s="1"/>
  <c r="D52" i="186"/>
  <c r="J52" i="186" s="1"/>
  <c r="D62" i="486"/>
  <c r="J62" i="486" s="1"/>
  <c r="J51" i="742"/>
  <c r="D52" i="640"/>
  <c r="J52" i="640" s="1"/>
  <c r="D52" i="639"/>
  <c r="J52" i="639" s="1"/>
  <c r="D62" i="506"/>
  <c r="J62" i="506" s="1"/>
  <c r="J52" i="206"/>
  <c r="D51" i="498"/>
  <c r="J51" i="498" s="1"/>
  <c r="D41" i="186"/>
  <c r="J41" i="186" s="1"/>
  <c r="D51" i="486"/>
  <c r="J51" i="486" s="1"/>
  <c r="D41" i="640"/>
  <c r="J41" i="640" s="1"/>
  <c r="D51" i="506"/>
  <c r="J51" i="506" s="1"/>
  <c r="D30" i="498"/>
  <c r="D20" i="186"/>
  <c r="D20" i="640"/>
  <c r="D214" i="129"/>
  <c r="D30" i="506"/>
  <c r="D5" i="129"/>
  <c r="J5" i="129" s="1"/>
  <c r="D30" i="486"/>
  <c r="D35" i="498"/>
  <c r="D25" i="186"/>
  <c r="D35" i="506"/>
  <c r="D10" i="129"/>
  <c r="D25" i="640"/>
  <c r="D35" i="486"/>
  <c r="D115" i="498"/>
  <c r="J115" i="498" s="1"/>
  <c r="D115" i="506"/>
  <c r="J115" i="506" s="1"/>
  <c r="D115" i="486"/>
  <c r="J115" i="486" s="1"/>
  <c r="J104" i="742"/>
  <c r="D101" i="498"/>
  <c r="J101" i="498" s="1"/>
  <c r="D101" i="486"/>
  <c r="J101" i="486" s="1"/>
  <c r="J90" i="742"/>
  <c r="J93" i="473"/>
  <c r="J91" i="203"/>
  <c r="D101" i="506"/>
  <c r="J101" i="506" s="1"/>
  <c r="D65" i="129"/>
  <c r="J65" i="129" s="1"/>
  <c r="D114" i="498"/>
  <c r="J114" i="498" s="1"/>
  <c r="D114" i="486"/>
  <c r="J114" i="486" s="1"/>
  <c r="D114" i="506"/>
  <c r="J114" i="506" s="1"/>
  <c r="J103" i="742"/>
  <c r="D72" i="498"/>
  <c r="D62" i="186"/>
  <c r="D72" i="506"/>
  <c r="D62" i="639"/>
  <c r="D62" i="640"/>
  <c r="D50" i="129"/>
  <c r="D72" i="486"/>
  <c r="D116" i="498"/>
  <c r="J116" i="498" s="1"/>
  <c r="J106" i="158"/>
  <c r="D116" i="506"/>
  <c r="J116" i="506" s="1"/>
  <c r="D116" i="486"/>
  <c r="J116" i="486" s="1"/>
  <c r="J105" i="742"/>
  <c r="D59" i="472"/>
  <c r="J59" i="472" s="1"/>
  <c r="D67" i="498"/>
  <c r="J67" i="498" s="1"/>
  <c r="D57" i="186"/>
  <c r="J57" i="186" s="1"/>
  <c r="D67" i="486"/>
  <c r="J67" i="486" s="1"/>
  <c r="J56" i="742"/>
  <c r="D67" i="506"/>
  <c r="J67" i="506" s="1"/>
  <c r="D57" i="639"/>
  <c r="J57" i="639" s="1"/>
  <c r="D57" i="640"/>
  <c r="J57" i="640" s="1"/>
  <c r="D43" i="186"/>
  <c r="J43" i="186" s="1"/>
  <c r="D53" i="498"/>
  <c r="J53" i="498" s="1"/>
  <c r="D45" i="472"/>
  <c r="J45" i="472" s="1"/>
  <c r="D53" i="486"/>
  <c r="J53" i="486" s="1"/>
  <c r="J42" i="742"/>
  <c r="D53" i="506"/>
  <c r="J53" i="506" s="1"/>
  <c r="D43" i="640"/>
  <c r="J43" i="640" s="1"/>
  <c r="D43" i="639"/>
  <c r="J43" i="639" s="1"/>
  <c r="D36" i="498"/>
  <c r="J36" i="498" s="1"/>
  <c r="D26" i="186"/>
  <c r="J26" i="186" s="1"/>
  <c r="D26" i="640"/>
  <c r="J26" i="640" s="1"/>
  <c r="D36" i="486"/>
  <c r="J36" i="486" s="1"/>
  <c r="D36" i="506"/>
  <c r="J36" i="506" s="1"/>
  <c r="D109" i="498"/>
  <c r="J109" i="498" s="1"/>
  <c r="D109" i="486"/>
  <c r="J109" i="486" s="1"/>
  <c r="J98" i="742"/>
  <c r="D109" i="506"/>
  <c r="J109" i="506" s="1"/>
  <c r="D108" i="498"/>
  <c r="J108" i="498" s="1"/>
  <c r="D108" i="486"/>
  <c r="J108" i="486" s="1"/>
  <c r="J97" i="742"/>
  <c r="D108" i="506"/>
  <c r="J108" i="506" s="1"/>
  <c r="D78" i="129"/>
  <c r="J78" i="129" s="1"/>
  <c r="D59" i="186"/>
  <c r="J59" i="186" s="1"/>
  <c r="D69" i="498"/>
  <c r="J69" i="498" s="1"/>
  <c r="D61" i="472"/>
  <c r="J61" i="472" s="1"/>
  <c r="D69" i="486"/>
  <c r="J69" i="486" s="1"/>
  <c r="J61" i="473"/>
  <c r="D69" i="506"/>
  <c r="J69" i="506" s="1"/>
  <c r="D59" i="639"/>
  <c r="J59" i="639" s="1"/>
  <c r="D59" i="640"/>
  <c r="J59" i="640" s="1"/>
  <c r="J58" i="742"/>
  <c r="D58" i="498"/>
  <c r="J58" i="498" s="1"/>
  <c r="D48" i="186"/>
  <c r="J48" i="186" s="1"/>
  <c r="D58" i="486"/>
  <c r="J58" i="486" s="1"/>
  <c r="D48" i="640"/>
  <c r="J48" i="640" s="1"/>
  <c r="D58" i="506"/>
  <c r="J58" i="506" s="1"/>
  <c r="D104" i="498"/>
  <c r="J104" i="498" s="1"/>
  <c r="J93" i="742"/>
  <c r="D104" i="486"/>
  <c r="J104" i="486" s="1"/>
  <c r="D104" i="506"/>
  <c r="J104" i="506" s="1"/>
  <c r="D71" i="129"/>
  <c r="J71" i="129" s="1"/>
  <c r="D52" i="498"/>
  <c r="J52" i="498" s="1"/>
  <c r="D42" i="186"/>
  <c r="J42" i="186" s="1"/>
  <c r="D52" i="486"/>
  <c r="J52" i="486" s="1"/>
  <c r="D52" i="506"/>
  <c r="J52" i="506" s="1"/>
  <c r="D42" i="640"/>
  <c r="J42" i="640" s="1"/>
  <c r="D113" i="498"/>
  <c r="D113" i="506"/>
  <c r="D113" i="486"/>
  <c r="D99" i="129"/>
  <c r="J99" i="129" s="1"/>
  <c r="D66" i="186"/>
  <c r="J66" i="186" s="1"/>
  <c r="D76" i="498"/>
  <c r="J76" i="498" s="1"/>
  <c r="D66" i="640"/>
  <c r="J66" i="640" s="1"/>
  <c r="D76" i="486"/>
  <c r="J76" i="486" s="1"/>
  <c r="D76" i="506"/>
  <c r="J76" i="506" s="1"/>
  <c r="D66" i="639"/>
  <c r="J66" i="639" s="1"/>
  <c r="D107" i="498"/>
  <c r="J107" i="498" s="1"/>
  <c r="J96" i="742"/>
  <c r="D107" i="486"/>
  <c r="J107" i="486" s="1"/>
  <c r="D107" i="506"/>
  <c r="J107" i="506" s="1"/>
  <c r="D49" i="498"/>
  <c r="D39" i="186"/>
  <c r="D49" i="486"/>
  <c r="D39" i="640"/>
  <c r="D49" i="506"/>
  <c r="D27" i="129"/>
  <c r="D40" i="498"/>
  <c r="J40" i="498" s="1"/>
  <c r="D30" i="186"/>
  <c r="J30" i="186" s="1"/>
  <c r="D40" i="486"/>
  <c r="J40" i="486" s="1"/>
  <c r="D40" i="506"/>
  <c r="J40" i="506" s="1"/>
  <c r="D30" i="640"/>
  <c r="J30" i="640" s="1"/>
  <c r="J30" i="203"/>
  <c r="D45" i="498"/>
  <c r="D35" i="186"/>
  <c r="D21" i="129"/>
  <c r="D45" i="486"/>
  <c r="D45" i="506"/>
  <c r="D35" i="640"/>
  <c r="D56" i="472"/>
  <c r="J56" i="472" s="1"/>
  <c r="D64" i="498"/>
  <c r="J64" i="498" s="1"/>
  <c r="D54" i="186"/>
  <c r="J54" i="186" s="1"/>
  <c r="J53" i="742"/>
  <c r="D64" i="486"/>
  <c r="J64" i="486" s="1"/>
  <c r="D54" i="639"/>
  <c r="J54" i="639" s="1"/>
  <c r="D64" i="506"/>
  <c r="J64" i="506" s="1"/>
  <c r="D54" i="640"/>
  <c r="J54" i="640" s="1"/>
  <c r="D51" i="472"/>
  <c r="J51" i="472" s="1"/>
  <c r="D49" i="186"/>
  <c r="J49" i="186" s="1"/>
  <c r="D59" i="498"/>
  <c r="J59" i="498" s="1"/>
  <c r="J48" i="742"/>
  <c r="D59" i="486"/>
  <c r="J59" i="486" s="1"/>
  <c r="D49" i="639"/>
  <c r="J49" i="639" s="1"/>
  <c r="D59" i="506"/>
  <c r="J59" i="506" s="1"/>
  <c r="D49" i="640"/>
  <c r="J49" i="640" s="1"/>
  <c r="D103" i="498"/>
  <c r="J103" i="498" s="1"/>
  <c r="J92" i="742"/>
  <c r="J93" i="158"/>
  <c r="D103" i="506"/>
  <c r="J103" i="506" s="1"/>
  <c r="J95" i="473"/>
  <c r="J93" i="640"/>
  <c r="D103" i="486"/>
  <c r="J103" i="486" s="1"/>
  <c r="D102" i="498"/>
  <c r="J102" i="498" s="1"/>
  <c r="J91" i="742"/>
  <c r="D102" i="506"/>
  <c r="J102" i="506" s="1"/>
  <c r="D102" i="486"/>
  <c r="J102" i="486" s="1"/>
  <c r="D54" i="498"/>
  <c r="J54" i="498" s="1"/>
  <c r="D44" i="186"/>
  <c r="J44" i="186" s="1"/>
  <c r="D44" i="640"/>
  <c r="J44" i="640" s="1"/>
  <c r="D54" i="506"/>
  <c r="J54" i="506" s="1"/>
  <c r="D54" i="486"/>
  <c r="J54" i="486" s="1"/>
  <c r="D77" i="498"/>
  <c r="J77" i="498" s="1"/>
  <c r="D67" i="186"/>
  <c r="J67" i="186" s="1"/>
  <c r="D67" i="640"/>
  <c r="J67" i="640" s="1"/>
  <c r="D67" i="639"/>
  <c r="J67" i="639" s="1"/>
  <c r="D77" i="486"/>
  <c r="J77" i="486" s="1"/>
  <c r="D77" i="506"/>
  <c r="J77" i="506" s="1"/>
  <c r="D50" i="498"/>
  <c r="J50" i="498" s="1"/>
  <c r="D42" i="472"/>
  <c r="J42" i="472" s="1"/>
  <c r="D40" i="186"/>
  <c r="J40" i="186" s="1"/>
  <c r="J39" i="742"/>
  <c r="D50" i="506"/>
  <c r="J50" i="506" s="1"/>
  <c r="D50" i="486"/>
  <c r="J50" i="486" s="1"/>
  <c r="D40" i="640"/>
  <c r="J40" i="640" s="1"/>
  <c r="J40" i="203"/>
  <c r="D40" i="639"/>
  <c r="J40" i="639" s="1"/>
  <c r="D46" i="498"/>
  <c r="J46" i="498" s="1"/>
  <c r="D36" i="186"/>
  <c r="J36" i="186" s="1"/>
  <c r="D36" i="640"/>
  <c r="J36" i="640" s="1"/>
  <c r="D46" i="506"/>
  <c r="J46" i="506" s="1"/>
  <c r="D46" i="486"/>
  <c r="J46" i="486" s="1"/>
  <c r="D39" i="498"/>
  <c r="J39" i="498" s="1"/>
  <c r="D29" i="186"/>
  <c r="J29" i="186" s="1"/>
  <c r="D31" i="472"/>
  <c r="J31" i="472" s="1"/>
  <c r="D39" i="486"/>
  <c r="J39" i="486" s="1"/>
  <c r="D29" i="639"/>
  <c r="J29" i="639" s="1"/>
  <c r="J28" i="742"/>
  <c r="D39" i="506"/>
  <c r="J39" i="506" s="1"/>
  <c r="D29" i="640"/>
  <c r="J29" i="640" s="1"/>
  <c r="D110" i="498"/>
  <c r="J110" i="498" s="1"/>
  <c r="D110" i="486"/>
  <c r="J110" i="486" s="1"/>
  <c r="D110" i="506"/>
  <c r="J110" i="506" s="1"/>
  <c r="J100" i="158"/>
  <c r="J99" i="742"/>
  <c r="D73" i="498"/>
  <c r="J73" i="498" s="1"/>
  <c r="D63" i="186"/>
  <c r="J63" i="186" s="1"/>
  <c r="D63" i="640"/>
  <c r="J63" i="640" s="1"/>
  <c r="D63" i="639"/>
  <c r="J63" i="639" s="1"/>
  <c r="D73" i="486"/>
  <c r="J73" i="486" s="1"/>
  <c r="D73" i="506"/>
  <c r="J73" i="506" s="1"/>
  <c r="D57" i="498"/>
  <c r="J57" i="498" s="1"/>
  <c r="D49" i="472"/>
  <c r="J49" i="472" s="1"/>
  <c r="D47" i="186"/>
  <c r="J47" i="186" s="1"/>
  <c r="D57" i="486"/>
  <c r="J57" i="486" s="1"/>
  <c r="D47" i="639"/>
  <c r="J47" i="639" s="1"/>
  <c r="D47" i="640"/>
  <c r="J47" i="640" s="1"/>
  <c r="D57" i="506"/>
  <c r="J57" i="506" s="1"/>
  <c r="J46" i="742"/>
  <c r="D118" i="498"/>
  <c r="J118" i="498" s="1"/>
  <c r="D118" i="506"/>
  <c r="J118" i="506" s="1"/>
  <c r="D118" i="486"/>
  <c r="J118" i="486" s="1"/>
  <c r="J107" i="742"/>
  <c r="D100" i="498"/>
  <c r="D86" i="129"/>
  <c r="J86" i="129" s="1"/>
  <c r="D100" i="506"/>
  <c r="D100" i="486"/>
  <c r="D106" i="498"/>
  <c r="D106" i="506"/>
  <c r="D106" i="486"/>
  <c r="D92" i="129"/>
  <c r="J92" i="129" s="1"/>
  <c r="D47" i="498"/>
  <c r="J47" i="498" s="1"/>
  <c r="D37" i="186"/>
  <c r="J37" i="186" s="1"/>
  <c r="D37" i="640"/>
  <c r="J37" i="640" s="1"/>
  <c r="D47" i="506"/>
  <c r="J47" i="506" s="1"/>
  <c r="D47" i="486"/>
  <c r="J47" i="486" s="1"/>
  <c r="D56" i="186"/>
  <c r="D66" i="498"/>
  <c r="D66" i="506"/>
  <c r="D66" i="486"/>
  <c r="D56" i="640"/>
  <c r="D44" i="129"/>
  <c r="AG72" i="129"/>
  <c r="AG75" i="129"/>
  <c r="AG83" i="129"/>
  <c r="K83" i="129" s="1"/>
  <c r="AG76" i="129"/>
  <c r="K76" i="129" s="1"/>
  <c r="AG68" i="129"/>
  <c r="K68" i="129" s="1"/>
  <c r="AG77" i="129"/>
  <c r="AG70" i="129"/>
  <c r="K70" i="129" s="1"/>
  <c r="AG90" i="129"/>
  <c r="K90" i="129" s="1"/>
  <c r="AG81" i="129"/>
  <c r="AG79" i="129"/>
  <c r="K79" i="129" s="1"/>
  <c r="AG89" i="129"/>
  <c r="AG88" i="129"/>
  <c r="AG91" i="129"/>
  <c r="AG73" i="129"/>
  <c r="AG96" i="129"/>
  <c r="K96" i="129" s="1"/>
  <c r="AG98" i="129"/>
  <c r="AG100" i="129"/>
  <c r="K100" i="129" s="1"/>
  <c r="AG66" i="129"/>
  <c r="K66" i="129" s="1"/>
  <c r="AG97" i="129"/>
  <c r="K97" i="129" s="1"/>
  <c r="AG82" i="129"/>
  <c r="K82" i="129" s="1"/>
  <c r="AG69" i="129"/>
  <c r="K69" i="129" s="1"/>
  <c r="AG67" i="129"/>
  <c r="K67" i="129" s="1"/>
  <c r="AG74" i="129"/>
  <c r="AG102" i="129"/>
  <c r="AG93" i="129"/>
  <c r="AG87" i="129"/>
  <c r="AG80" i="129"/>
  <c r="AG88" i="120"/>
  <c r="AG91" i="120"/>
  <c r="AG67" i="120"/>
  <c r="AG54" i="129"/>
  <c r="AG66" i="120"/>
  <c r="AG69" i="120"/>
  <c r="AG80" i="120"/>
  <c r="AG75" i="120"/>
  <c r="AG53" i="129"/>
  <c r="AG103" i="129"/>
  <c r="AG82" i="120"/>
  <c r="AG97" i="120"/>
  <c r="AG74" i="120"/>
  <c r="AG51" i="129"/>
  <c r="AG83" i="120"/>
  <c r="AG68" i="120"/>
  <c r="AG73" i="120"/>
  <c r="AG104" i="129"/>
  <c r="K104" i="129" s="1"/>
  <c r="AG95" i="129"/>
  <c r="AG76" i="120"/>
  <c r="AG84" i="129"/>
  <c r="AG81" i="120"/>
  <c r="AG101" i="120"/>
  <c r="AG104" i="120"/>
  <c r="AG105" i="129"/>
  <c r="K105" i="129" s="1"/>
  <c r="AG72" i="120"/>
  <c r="AG89" i="120"/>
  <c r="AG93" i="120"/>
  <c r="AG90" i="120"/>
  <c r="AG101" i="129"/>
  <c r="AG77" i="120"/>
  <c r="AG56" i="129"/>
  <c r="AG95" i="120"/>
  <c r="AG94" i="129"/>
  <c r="AG55" i="129"/>
  <c r="AG94" i="120"/>
  <c r="AG79" i="120"/>
  <c r="AG105" i="120"/>
  <c r="AG96" i="120"/>
  <c r="AG70" i="120"/>
  <c r="AG52" i="120"/>
  <c r="AG78" i="120"/>
  <c r="AG52" i="129"/>
  <c r="AG99" i="129"/>
  <c r="AG51" i="120"/>
  <c r="AG71" i="120"/>
  <c r="AG85" i="120"/>
  <c r="AG84" i="120"/>
  <c r="AG78" i="129"/>
  <c r="AG53" i="120"/>
  <c r="AG98" i="120"/>
  <c r="F32" i="103"/>
  <c r="AG86" i="120"/>
  <c r="AG86" i="129"/>
  <c r="AG71" i="129"/>
  <c r="AG54" i="120"/>
  <c r="AG55" i="120"/>
  <c r="AG65" i="129"/>
  <c r="AG50" i="129"/>
  <c r="AG92" i="129"/>
  <c r="AG87" i="120"/>
  <c r="AG56" i="120"/>
  <c r="G32" i="103"/>
  <c r="AG100" i="120"/>
  <c r="AG103" i="120"/>
  <c r="AG92" i="120"/>
  <c r="AG50" i="120"/>
  <c r="AG102" i="120"/>
  <c r="AG99" i="120"/>
  <c r="AG65" i="120"/>
  <c r="D117" i="498"/>
  <c r="J117" i="498" s="1"/>
  <c r="J107" i="186"/>
  <c r="D117" i="486"/>
  <c r="J117" i="486" s="1"/>
  <c r="J107" i="158"/>
  <c r="D117" i="506"/>
  <c r="J117" i="506" s="1"/>
  <c r="J106" i="742"/>
  <c r="D56" i="498"/>
  <c r="D46" i="186"/>
  <c r="D46" i="640"/>
  <c r="D56" i="506"/>
  <c r="D56" i="486"/>
  <c r="D34" i="129"/>
  <c r="D75" i="498"/>
  <c r="J75" i="498" s="1"/>
  <c r="D65" i="186"/>
  <c r="J65" i="186" s="1"/>
  <c r="D65" i="640"/>
  <c r="J65" i="640" s="1"/>
  <c r="D65" i="639"/>
  <c r="J65" i="639" s="1"/>
  <c r="D75" i="506"/>
  <c r="J75" i="506" s="1"/>
  <c r="D75" i="486"/>
  <c r="J75" i="486" s="1"/>
  <c r="D61" i="498"/>
  <c r="D51" i="186"/>
  <c r="D39" i="129"/>
  <c r="D51" i="640"/>
  <c r="D61" i="486"/>
  <c r="D61" i="506"/>
  <c r="X52" i="129" l="1"/>
  <c r="R50" i="129"/>
  <c r="X50" i="129" s="1"/>
  <c r="R10" i="129"/>
  <c r="X11" i="129"/>
  <c r="X55" i="129"/>
  <c r="X60" i="129"/>
  <c r="X54" i="129"/>
  <c r="X56" i="129"/>
  <c r="X53" i="129"/>
  <c r="X24" i="129"/>
  <c r="X12" i="129"/>
  <c r="X22" i="129"/>
  <c r="R21" i="129"/>
  <c r="X21" i="129" s="1"/>
  <c r="X23" i="129"/>
  <c r="D91" i="473"/>
  <c r="D89" i="163"/>
  <c r="D97" i="473"/>
  <c r="J97" i="473" s="1"/>
  <c r="D95" i="163"/>
  <c r="J95" i="163" s="1"/>
  <c r="D102" i="163"/>
  <c r="J102" i="163" s="1"/>
  <c r="D104" i="473"/>
  <c r="J104" i="473" s="1"/>
  <c r="N105" i="823"/>
  <c r="L105" i="823"/>
  <c r="M105" i="823"/>
  <c r="K105" i="823"/>
  <c r="P105" i="823"/>
  <c r="O105" i="823"/>
  <c r="P54" i="823"/>
  <c r="N54" i="823"/>
  <c r="L54" i="823"/>
  <c r="M54" i="823"/>
  <c r="K54" i="823"/>
  <c r="O54" i="823"/>
  <c r="N97" i="823"/>
  <c r="M97" i="823"/>
  <c r="P97" i="823"/>
  <c r="L97" i="823"/>
  <c r="K97" i="823"/>
  <c r="O97" i="823"/>
  <c r="M88" i="823"/>
  <c r="L88" i="823"/>
  <c r="P88" i="823"/>
  <c r="K88" i="823"/>
  <c r="N88" i="823"/>
  <c r="O88" i="823"/>
  <c r="D104" i="502"/>
  <c r="P66" i="823"/>
  <c r="L66" i="823"/>
  <c r="M66" i="823"/>
  <c r="N66" i="823"/>
  <c r="K66" i="823"/>
  <c r="O66" i="823"/>
  <c r="N77" i="823"/>
  <c r="M77" i="823"/>
  <c r="P77" i="823"/>
  <c r="L77" i="823"/>
  <c r="K77" i="823"/>
  <c r="O77" i="823"/>
  <c r="L100" i="823"/>
  <c r="N100" i="823"/>
  <c r="M100" i="823"/>
  <c r="K100" i="823"/>
  <c r="P100" i="823"/>
  <c r="O100" i="823"/>
  <c r="P75" i="823"/>
  <c r="N75" i="823"/>
  <c r="M75" i="823"/>
  <c r="K75" i="823"/>
  <c r="L75" i="823"/>
  <c r="O75" i="823"/>
  <c r="L56" i="823"/>
  <c r="M56" i="823"/>
  <c r="P56" i="823"/>
  <c r="N56" i="823"/>
  <c r="K56" i="823"/>
  <c r="O56" i="823"/>
  <c r="M68" i="823"/>
  <c r="P68" i="823"/>
  <c r="N68" i="823"/>
  <c r="L68" i="823"/>
  <c r="K68" i="823"/>
  <c r="O68" i="823"/>
  <c r="N87" i="823"/>
  <c r="M87" i="823"/>
  <c r="K87" i="823"/>
  <c r="L87" i="823"/>
  <c r="P87" i="823"/>
  <c r="O87" i="823"/>
  <c r="L98" i="823"/>
  <c r="N98" i="823"/>
  <c r="M98" i="823"/>
  <c r="P98" i="823"/>
  <c r="K98" i="823"/>
  <c r="O98" i="823"/>
  <c r="P53" i="823"/>
  <c r="N53" i="823"/>
  <c r="M53" i="823"/>
  <c r="K53" i="823"/>
  <c r="L53" i="823"/>
  <c r="O53" i="823"/>
  <c r="D110" i="502"/>
  <c r="N82" i="823"/>
  <c r="M82" i="823"/>
  <c r="P82" i="823"/>
  <c r="L82" i="823"/>
  <c r="K82" i="823"/>
  <c r="O82" i="823"/>
  <c r="M55" i="823"/>
  <c r="N55" i="823"/>
  <c r="P55" i="823"/>
  <c r="L55" i="823"/>
  <c r="K55" i="823"/>
  <c r="O55" i="823"/>
  <c r="M89" i="823"/>
  <c r="N89" i="823"/>
  <c r="L89" i="823"/>
  <c r="P89" i="823"/>
  <c r="K89" i="823"/>
  <c r="O89" i="823"/>
  <c r="M83" i="823"/>
  <c r="P83" i="823"/>
  <c r="L83" i="823"/>
  <c r="N83" i="823"/>
  <c r="K83" i="823"/>
  <c r="O83" i="823"/>
  <c r="M101" i="823"/>
  <c r="N101" i="823"/>
  <c r="K101" i="823"/>
  <c r="L101" i="823"/>
  <c r="P101" i="823"/>
  <c r="O101" i="823"/>
  <c r="K94" i="823"/>
  <c r="L94" i="823"/>
  <c r="M94" i="823"/>
  <c r="N94" i="823"/>
  <c r="P94" i="823"/>
  <c r="O94" i="823"/>
  <c r="N90" i="823"/>
  <c r="M90" i="823"/>
  <c r="K90" i="823"/>
  <c r="P90" i="823"/>
  <c r="L90" i="823"/>
  <c r="O90" i="823"/>
  <c r="M51" i="823"/>
  <c r="P51" i="823"/>
  <c r="K51" i="823"/>
  <c r="L51" i="823"/>
  <c r="O51" i="823"/>
  <c r="N51" i="823"/>
  <c r="D114" i="502"/>
  <c r="N96" i="823"/>
  <c r="M96" i="823"/>
  <c r="P96" i="823"/>
  <c r="L96" i="823"/>
  <c r="K96" i="823"/>
  <c r="O96" i="823"/>
  <c r="AI102" i="823"/>
  <c r="AI97" i="823"/>
  <c r="AI78" i="823"/>
  <c r="AI55" i="823"/>
  <c r="AI87" i="823"/>
  <c r="AI92" i="823"/>
  <c r="AI82" i="823"/>
  <c r="AI73" i="823"/>
  <c r="AI68" i="823"/>
  <c r="AI96" i="823"/>
  <c r="AI77" i="823"/>
  <c r="AI101" i="823"/>
  <c r="AI91" i="823"/>
  <c r="AI81" i="823"/>
  <c r="AI72" i="823"/>
  <c r="AI54" i="823"/>
  <c r="AI67" i="823"/>
  <c r="AI71" i="823"/>
  <c r="AI103" i="823"/>
  <c r="AI83" i="823"/>
  <c r="AI89" i="823"/>
  <c r="AI76" i="823"/>
  <c r="AI95" i="823"/>
  <c r="AI75" i="823"/>
  <c r="AI53" i="823"/>
  <c r="AI100" i="823"/>
  <c r="AI94" i="823"/>
  <c r="AI70" i="823"/>
  <c r="AI69" i="823"/>
  <c r="AI50" i="823"/>
  <c r="AI86" i="823"/>
  <c r="AI51" i="823"/>
  <c r="AI104" i="823"/>
  <c r="AI84" i="823"/>
  <c r="AI66" i="823"/>
  <c r="AI93" i="823"/>
  <c r="AI65" i="823"/>
  <c r="AI56" i="823"/>
  <c r="AI74" i="823"/>
  <c r="AI88" i="823"/>
  <c r="AI105" i="823"/>
  <c r="AI79" i="823"/>
  <c r="AI99" i="823"/>
  <c r="AI90" i="823"/>
  <c r="AI80" i="823"/>
  <c r="AI98" i="823"/>
  <c r="AI52" i="823"/>
  <c r="L76" i="823"/>
  <c r="N76" i="823"/>
  <c r="M76" i="823"/>
  <c r="K76" i="823"/>
  <c r="P76" i="823"/>
  <c r="O76" i="823"/>
  <c r="P80" i="823"/>
  <c r="K80" i="823"/>
  <c r="M80" i="823"/>
  <c r="N80" i="823"/>
  <c r="L80" i="823"/>
  <c r="O80" i="823"/>
  <c r="L102" i="823"/>
  <c r="N102" i="823"/>
  <c r="M102" i="823"/>
  <c r="P102" i="823"/>
  <c r="K102" i="823"/>
  <c r="O102" i="823"/>
  <c r="L67" i="823"/>
  <c r="M67" i="823"/>
  <c r="K67" i="823"/>
  <c r="N67" i="823"/>
  <c r="P67" i="823"/>
  <c r="O67" i="823"/>
  <c r="P69" i="823"/>
  <c r="M69" i="823"/>
  <c r="L69" i="823"/>
  <c r="N69" i="823"/>
  <c r="K69" i="823"/>
  <c r="O69" i="823"/>
  <c r="AG46" i="823"/>
  <c r="AG30" i="823"/>
  <c r="AG22" i="823"/>
  <c r="AG21" i="823"/>
  <c r="AG41" i="823"/>
  <c r="AG144" i="823"/>
  <c r="AG33" i="823"/>
  <c r="AG38" i="823"/>
  <c r="AG34" i="823"/>
  <c r="AG45" i="823"/>
  <c r="AG135" i="823"/>
  <c r="AG43" i="823"/>
  <c r="AG39" i="823"/>
  <c r="AG23" i="823"/>
  <c r="AG48" i="823"/>
  <c r="AG27" i="823"/>
  <c r="K155" i="823" s="1"/>
  <c r="L155" i="823" s="1"/>
  <c r="M155" i="823" s="1"/>
  <c r="N155" i="823" s="1"/>
  <c r="O155" i="823" s="1"/>
  <c r="P155" i="823" s="1"/>
  <c r="Q155" i="823" s="1"/>
  <c r="AG37" i="823"/>
  <c r="AG32" i="823"/>
  <c r="AG42" i="823"/>
  <c r="AG31" i="823"/>
  <c r="AG35" i="823"/>
  <c r="AG40" i="823"/>
  <c r="AG137" i="823"/>
  <c r="AG139" i="823"/>
  <c r="AG136" i="823"/>
  <c r="AG47" i="823"/>
  <c r="AG143" i="823"/>
  <c r="AG142" i="823"/>
  <c r="AG141" i="823"/>
  <c r="AG140" i="823"/>
  <c r="AG29" i="823"/>
  <c r="AG28" i="823"/>
  <c r="AG24" i="823"/>
  <c r="AG44" i="823"/>
  <c r="AG36" i="823"/>
  <c r="P73" i="823"/>
  <c r="N73" i="823"/>
  <c r="M73" i="823"/>
  <c r="K73" i="823"/>
  <c r="L73" i="823"/>
  <c r="O73" i="823"/>
  <c r="N72" i="823"/>
  <c r="M72" i="823"/>
  <c r="L72" i="823"/>
  <c r="K72" i="823"/>
  <c r="P72" i="823"/>
  <c r="O72" i="823"/>
  <c r="P70" i="823"/>
  <c r="L70" i="823"/>
  <c r="K70" i="823"/>
  <c r="N70" i="823"/>
  <c r="M70" i="823"/>
  <c r="O70" i="823"/>
  <c r="D118" i="502"/>
  <c r="M103" i="823"/>
  <c r="N103" i="823"/>
  <c r="L103" i="823"/>
  <c r="K103" i="823"/>
  <c r="P103" i="823"/>
  <c r="O103" i="823"/>
  <c r="D119" i="502"/>
  <c r="AG114" i="823"/>
  <c r="AG6" i="823"/>
  <c r="AG118" i="823"/>
  <c r="AG117" i="823"/>
  <c r="AG7" i="823"/>
  <c r="AG115" i="823"/>
  <c r="AG116" i="823"/>
  <c r="AG120" i="823"/>
  <c r="AG119" i="823"/>
  <c r="P84" i="823"/>
  <c r="N84" i="823"/>
  <c r="M84" i="823"/>
  <c r="L84" i="823"/>
  <c r="K84" i="823"/>
  <c r="O84" i="823"/>
  <c r="N74" i="823"/>
  <c r="M74" i="823"/>
  <c r="L74" i="823"/>
  <c r="K74" i="823"/>
  <c r="P74" i="823"/>
  <c r="O74" i="823"/>
  <c r="N81" i="823"/>
  <c r="M81" i="823"/>
  <c r="L81" i="823"/>
  <c r="P81" i="823"/>
  <c r="K81" i="823"/>
  <c r="O81" i="823"/>
  <c r="N95" i="823"/>
  <c r="M95" i="823"/>
  <c r="L95" i="823"/>
  <c r="K95" i="823"/>
  <c r="P95" i="823"/>
  <c r="O95" i="823"/>
  <c r="N52" i="823"/>
  <c r="M52" i="823"/>
  <c r="P52" i="823"/>
  <c r="L52" i="823"/>
  <c r="K52" i="823"/>
  <c r="O52" i="823"/>
  <c r="N91" i="823"/>
  <c r="M91" i="823"/>
  <c r="L91" i="823"/>
  <c r="P91" i="823"/>
  <c r="K91" i="823"/>
  <c r="O91" i="823"/>
  <c r="D111" i="502"/>
  <c r="AG133" i="823"/>
  <c r="AG128" i="823"/>
  <c r="AG132" i="823"/>
  <c r="AG131" i="823"/>
  <c r="AG16" i="823"/>
  <c r="AG130" i="823"/>
  <c r="AG129" i="823"/>
  <c r="AG12" i="823"/>
  <c r="AG17" i="823"/>
  <c r="AG15" i="823"/>
  <c r="AG122" i="823"/>
  <c r="AG11" i="823"/>
  <c r="AG18" i="823"/>
  <c r="AG125" i="823"/>
  <c r="AG126" i="823"/>
  <c r="AG124" i="823"/>
  <c r="AG10" i="823"/>
  <c r="AG14" i="823"/>
  <c r="AG123" i="823"/>
  <c r="L79" i="823"/>
  <c r="K79" i="823"/>
  <c r="M79" i="823"/>
  <c r="P79" i="823"/>
  <c r="N79" i="823"/>
  <c r="O79" i="823"/>
  <c r="L104" i="823"/>
  <c r="K104" i="823"/>
  <c r="N104" i="823"/>
  <c r="M104" i="823"/>
  <c r="P104" i="823"/>
  <c r="O104" i="823"/>
  <c r="M93" i="823"/>
  <c r="L93" i="823"/>
  <c r="N93" i="823"/>
  <c r="K93" i="823"/>
  <c r="P93" i="823"/>
  <c r="O93" i="823"/>
  <c r="AG6" i="120"/>
  <c r="E9" i="40"/>
  <c r="E14" i="40" s="1"/>
  <c r="AG34" i="129"/>
  <c r="AG137" i="129"/>
  <c r="AG39" i="129"/>
  <c r="AG46" i="120"/>
  <c r="AG140" i="129"/>
  <c r="AG21" i="120"/>
  <c r="AG142" i="129"/>
  <c r="AG141" i="129"/>
  <c r="AG36" i="120"/>
  <c r="AG39" i="120"/>
  <c r="AG21" i="129"/>
  <c r="AG34" i="120"/>
  <c r="AG38" i="120"/>
  <c r="AG24" i="120"/>
  <c r="AG144" i="129"/>
  <c r="AG31" i="120"/>
  <c r="AG40" i="120"/>
  <c r="AG22" i="129"/>
  <c r="AG24" i="129"/>
  <c r="AG140" i="120"/>
  <c r="AG23" i="120"/>
  <c r="AG45" i="120"/>
  <c r="AG44" i="120"/>
  <c r="AG144" i="120"/>
  <c r="AG143" i="129"/>
  <c r="AG37" i="120"/>
  <c r="AG139" i="129"/>
  <c r="AG22" i="120"/>
  <c r="AG41" i="120"/>
  <c r="AG139" i="120"/>
  <c r="AG42" i="120"/>
  <c r="AG37" i="129"/>
  <c r="AG48" i="120"/>
  <c r="AG29" i="120"/>
  <c r="AG141" i="120"/>
  <c r="AG27" i="129"/>
  <c r="K155" i="129" s="1"/>
  <c r="L155" i="129" s="1"/>
  <c r="M155" i="129" s="1"/>
  <c r="N155" i="129" s="1"/>
  <c r="O155" i="129" s="1"/>
  <c r="P155" i="129" s="1"/>
  <c r="Q155" i="129" s="1"/>
  <c r="AG33" i="120"/>
  <c r="AG47" i="120"/>
  <c r="AG23" i="129"/>
  <c r="AG35" i="129"/>
  <c r="AG30" i="129"/>
  <c r="AG31" i="129"/>
  <c r="AG33" i="129"/>
  <c r="AG43" i="129"/>
  <c r="AG142" i="120"/>
  <c r="AG28" i="129"/>
  <c r="AG38" i="129"/>
  <c r="AG143" i="120"/>
  <c r="AG47" i="129"/>
  <c r="AG42" i="129"/>
  <c r="AG40" i="129"/>
  <c r="AG36" i="129"/>
  <c r="AG48" i="129"/>
  <c r="AG17" i="129"/>
  <c r="AG18" i="129"/>
  <c r="AG133" i="120"/>
  <c r="AG131" i="120"/>
  <c r="AG124" i="129"/>
  <c r="AG14" i="129"/>
  <c r="AG11" i="120"/>
  <c r="AG132" i="129"/>
  <c r="AG130" i="120"/>
  <c r="AG14" i="120"/>
  <c r="AG131" i="129"/>
  <c r="AG122" i="129"/>
  <c r="AG12" i="120"/>
  <c r="J304" i="502"/>
  <c r="D303" i="502"/>
  <c r="J303" i="502" s="1"/>
  <c r="J257" i="508"/>
  <c r="D256" i="508"/>
  <c r="J256" i="508" s="1"/>
  <c r="J283" i="202"/>
  <c r="D282" i="202"/>
  <c r="J282" i="202" s="1"/>
  <c r="D235" i="502"/>
  <c r="J297" i="200"/>
  <c r="D296" i="200"/>
  <c r="J296" i="200" s="1"/>
  <c r="J263" i="200"/>
  <c r="D262" i="200"/>
  <c r="J262" i="200" s="1"/>
  <c r="J304" i="508"/>
  <c r="D303" i="508"/>
  <c r="J303" i="508" s="1"/>
  <c r="J257" i="502"/>
  <c r="D256" i="502"/>
  <c r="J256" i="502" s="1"/>
  <c r="J291" i="200"/>
  <c r="D290" i="200"/>
  <c r="J290" i="200" s="1"/>
  <c r="D74" i="186"/>
  <c r="D296" i="202"/>
  <c r="J296" i="202" s="1"/>
  <c r="J297" i="202"/>
  <c r="D262" i="202"/>
  <c r="J262" i="202" s="1"/>
  <c r="J263" i="202"/>
  <c r="D68" i="186"/>
  <c r="J291" i="202"/>
  <c r="D290" i="202"/>
  <c r="J290" i="202" s="1"/>
  <c r="J283" i="502"/>
  <c r="D282" i="502"/>
  <c r="J282" i="502" s="1"/>
  <c r="D275" i="200"/>
  <c r="J275" i="200" s="1"/>
  <c r="J276" i="200"/>
  <c r="J283" i="508"/>
  <c r="D282" i="508"/>
  <c r="J282" i="508" s="1"/>
  <c r="J297" i="502"/>
  <c r="D296" i="502"/>
  <c r="J296" i="502" s="1"/>
  <c r="J263" i="508"/>
  <c r="D262" i="508"/>
  <c r="J262" i="508" s="1"/>
  <c r="J291" i="502"/>
  <c r="D290" i="502"/>
  <c r="J290" i="502" s="1"/>
  <c r="J276" i="202"/>
  <c r="D275" i="202"/>
  <c r="J275" i="202" s="1"/>
  <c r="J297" i="508"/>
  <c r="D296" i="508"/>
  <c r="J296" i="508" s="1"/>
  <c r="J263" i="502"/>
  <c r="D262" i="502"/>
  <c r="J262" i="502" s="1"/>
  <c r="D228" i="200"/>
  <c r="J228" i="200" s="1"/>
  <c r="J229" i="200"/>
  <c r="J270" i="200"/>
  <c r="D269" i="200"/>
  <c r="J269" i="200" s="1"/>
  <c r="J240" i="200"/>
  <c r="D239" i="200"/>
  <c r="J239" i="200" s="1"/>
  <c r="J291" i="508"/>
  <c r="D290" i="508"/>
  <c r="J290" i="508" s="1"/>
  <c r="D251" i="200"/>
  <c r="J251" i="200" s="1"/>
  <c r="J252" i="200"/>
  <c r="J229" i="202"/>
  <c r="D228" i="202"/>
  <c r="J228" i="202" s="1"/>
  <c r="J270" i="202"/>
  <c r="D269" i="202"/>
  <c r="J269" i="202" s="1"/>
  <c r="J240" i="202"/>
  <c r="D239" i="202"/>
  <c r="J239" i="202" s="1"/>
  <c r="D275" i="502"/>
  <c r="J275" i="502" s="1"/>
  <c r="J276" i="502"/>
  <c r="D251" i="202"/>
  <c r="J251" i="202" s="1"/>
  <c r="J252" i="202"/>
  <c r="D225" i="200"/>
  <c r="J226" i="200"/>
  <c r="J221" i="200"/>
  <c r="J432" i="200" s="1"/>
  <c r="M11" i="485" s="1"/>
  <c r="D220" i="200"/>
  <c r="J220" i="200" s="1"/>
  <c r="D275" i="508"/>
  <c r="J275" i="508" s="1"/>
  <c r="J276" i="508"/>
  <c r="J247" i="200"/>
  <c r="D246" i="200"/>
  <c r="J246" i="200" s="1"/>
  <c r="D225" i="202"/>
  <c r="J226" i="202"/>
  <c r="J229" i="502"/>
  <c r="D228" i="502"/>
  <c r="J228" i="502" s="1"/>
  <c r="J221" i="202"/>
  <c r="J432" i="202" s="1"/>
  <c r="D220" i="202"/>
  <c r="J220" i="202" s="1"/>
  <c r="J270" i="508"/>
  <c r="D269" i="508"/>
  <c r="J269" i="508" s="1"/>
  <c r="J240" i="502"/>
  <c r="D239" i="502"/>
  <c r="J239" i="502" s="1"/>
  <c r="J247" i="202"/>
  <c r="D246" i="202"/>
  <c r="J246" i="202" s="1"/>
  <c r="J252" i="508"/>
  <c r="D251" i="508"/>
  <c r="J251" i="508" s="1"/>
  <c r="J229" i="508"/>
  <c r="D228" i="508"/>
  <c r="J228" i="508" s="1"/>
  <c r="J304" i="200"/>
  <c r="D303" i="200"/>
  <c r="J303" i="200" s="1"/>
  <c r="J257" i="200"/>
  <c r="D256" i="200"/>
  <c r="J256" i="200" s="1"/>
  <c r="D269" i="502"/>
  <c r="J269" i="502" s="1"/>
  <c r="J270" i="502"/>
  <c r="J240" i="508"/>
  <c r="D239" i="508"/>
  <c r="J239" i="508" s="1"/>
  <c r="D81" i="186"/>
  <c r="J252" i="502"/>
  <c r="D251" i="502"/>
  <c r="J251" i="502" s="1"/>
  <c r="J226" i="502"/>
  <c r="D225" i="502"/>
  <c r="D303" i="202"/>
  <c r="J303" i="202" s="1"/>
  <c r="J304" i="202"/>
  <c r="J257" i="202"/>
  <c r="D256" i="202"/>
  <c r="J256" i="202" s="1"/>
  <c r="J221" i="502"/>
  <c r="J432" i="502" s="1"/>
  <c r="D220" i="502"/>
  <c r="J220" i="502" s="1"/>
  <c r="J247" i="502"/>
  <c r="D246" i="502"/>
  <c r="J246" i="502" s="1"/>
  <c r="J226" i="508"/>
  <c r="D225" i="508"/>
  <c r="J221" i="508"/>
  <c r="J432" i="508" s="1"/>
  <c r="D220" i="508"/>
  <c r="J220" i="508" s="1"/>
  <c r="D282" i="200"/>
  <c r="J282" i="200" s="1"/>
  <c r="J283" i="200"/>
  <c r="J247" i="508"/>
  <c r="D246" i="508"/>
  <c r="J246" i="508" s="1"/>
  <c r="AG116" i="129"/>
  <c r="AG117" i="120"/>
  <c r="AG115" i="120"/>
  <c r="AG7" i="120"/>
  <c r="D81" i="502"/>
  <c r="D93" i="502"/>
  <c r="D83" i="502"/>
  <c r="D96" i="502"/>
  <c r="AI62" i="120"/>
  <c r="AI63" i="120"/>
  <c r="AI64" i="120"/>
  <c r="AI60" i="120"/>
  <c r="AI61" i="120"/>
  <c r="D84" i="502"/>
  <c r="D80" i="502"/>
  <c r="O60" i="120"/>
  <c r="K60" i="120"/>
  <c r="M60" i="120"/>
  <c r="P60" i="120"/>
  <c r="N60" i="120"/>
  <c r="L60" i="120"/>
  <c r="D90" i="502"/>
  <c r="K64" i="120"/>
  <c r="P64" i="120"/>
  <c r="W64" i="120" s="1"/>
  <c r="O64" i="120"/>
  <c r="V64" i="120" s="1"/>
  <c r="M64" i="120"/>
  <c r="T64" i="120" s="1"/>
  <c r="N64" i="120"/>
  <c r="U64" i="120" s="1"/>
  <c r="L64" i="120"/>
  <c r="S64" i="120" s="1"/>
  <c r="D97" i="502"/>
  <c r="O63" i="120"/>
  <c r="V63" i="120" s="1"/>
  <c r="L63" i="120"/>
  <c r="S63" i="120" s="1"/>
  <c r="M63" i="120"/>
  <c r="T63" i="120" s="1"/>
  <c r="K63" i="120"/>
  <c r="N63" i="120"/>
  <c r="U63" i="120" s="1"/>
  <c r="P63" i="120"/>
  <c r="W63" i="120" s="1"/>
  <c r="M62" i="120"/>
  <c r="T62" i="120" s="1"/>
  <c r="P62" i="120"/>
  <c r="W62" i="120" s="1"/>
  <c r="K62" i="120"/>
  <c r="O62" i="120"/>
  <c r="V62" i="120" s="1"/>
  <c r="L62" i="120"/>
  <c r="S62" i="120" s="1"/>
  <c r="N62" i="120"/>
  <c r="U62" i="120" s="1"/>
  <c r="D82" i="502"/>
  <c r="N61" i="120"/>
  <c r="U61" i="120" s="1"/>
  <c r="K61" i="120"/>
  <c r="L61" i="120"/>
  <c r="S61" i="120" s="1"/>
  <c r="M61" i="120"/>
  <c r="T61" i="120" s="1"/>
  <c r="P61" i="120"/>
  <c r="W61" i="120" s="1"/>
  <c r="O61" i="120"/>
  <c r="V61" i="120" s="1"/>
  <c r="D78" i="506"/>
  <c r="D91" i="506"/>
  <c r="D74" i="206"/>
  <c r="D81" i="206"/>
  <c r="D68" i="206"/>
  <c r="D74" i="211"/>
  <c r="D70" i="473"/>
  <c r="R61" i="129"/>
  <c r="X61" i="129" s="1"/>
  <c r="R105" i="129"/>
  <c r="R76" i="129"/>
  <c r="AG27" i="120"/>
  <c r="AG44" i="129"/>
  <c r="AG30" i="120"/>
  <c r="P30" i="120" s="1"/>
  <c r="I52" i="654" s="1"/>
  <c r="AG45" i="129"/>
  <c r="P45" i="129" s="1"/>
  <c r="W45" i="129" s="1"/>
  <c r="AG41" i="129"/>
  <c r="P41" i="129" s="1"/>
  <c r="AG32" i="129"/>
  <c r="P32" i="129" s="1"/>
  <c r="D78" i="498"/>
  <c r="D68" i="211"/>
  <c r="D84" i="498"/>
  <c r="D81" i="163"/>
  <c r="J83" i="163"/>
  <c r="D91" i="498"/>
  <c r="R96" i="129"/>
  <c r="R83" i="129"/>
  <c r="D68" i="163"/>
  <c r="J69" i="163"/>
  <c r="D74" i="158"/>
  <c r="J74" i="158" s="1"/>
  <c r="J76" i="158"/>
  <c r="D81" i="158"/>
  <c r="J81" i="158" s="1"/>
  <c r="J84" i="158"/>
  <c r="J75" i="163"/>
  <c r="D74" i="163"/>
  <c r="R67" i="129"/>
  <c r="J96" i="163"/>
  <c r="R104" i="129"/>
  <c r="D76" i="473"/>
  <c r="D68" i="158"/>
  <c r="J68" i="158" s="1"/>
  <c r="J72" i="158"/>
  <c r="R82" i="129"/>
  <c r="R90" i="129"/>
  <c r="D83" i="473"/>
  <c r="J91" i="163"/>
  <c r="R79" i="129"/>
  <c r="R69" i="129"/>
  <c r="AG32" i="120"/>
  <c r="N32" i="120" s="1"/>
  <c r="G54" i="654" s="1"/>
  <c r="G31" i="103"/>
  <c r="F31" i="103"/>
  <c r="AG43" i="120"/>
  <c r="AG35" i="120"/>
  <c r="AG46" i="129"/>
  <c r="N46" i="129" s="1"/>
  <c r="D81" i="211"/>
  <c r="D84" i="506"/>
  <c r="R97" i="129"/>
  <c r="R70" i="129"/>
  <c r="R66" i="129"/>
  <c r="AG20" i="120"/>
  <c r="AG135" i="129"/>
  <c r="AG136" i="129"/>
  <c r="AG28" i="120"/>
  <c r="AG29" i="129"/>
  <c r="P29" i="129" s="1"/>
  <c r="R100" i="129"/>
  <c r="R68" i="129"/>
  <c r="R63" i="129"/>
  <c r="X63" i="129" s="1"/>
  <c r="J103" i="163"/>
  <c r="Q60" i="129"/>
  <c r="K59" i="129"/>
  <c r="G29" i="103"/>
  <c r="AG116" i="120"/>
  <c r="M116" i="120" s="1"/>
  <c r="AG10" i="120"/>
  <c r="AG128" i="120"/>
  <c r="AG129" i="120"/>
  <c r="K129" i="120" s="1"/>
  <c r="AG120" i="129"/>
  <c r="AG115" i="129"/>
  <c r="AG6" i="129"/>
  <c r="K6" i="129" s="1"/>
  <c r="Y6" i="129" s="1"/>
  <c r="AG12" i="129"/>
  <c r="P12" i="129" s="1"/>
  <c r="AD12" i="129" s="1"/>
  <c r="AG16" i="120"/>
  <c r="AG16" i="129"/>
  <c r="M16" i="129" s="1"/>
  <c r="R62" i="129"/>
  <c r="X62" i="129" s="1"/>
  <c r="F29" i="103"/>
  <c r="AG7" i="129"/>
  <c r="M7" i="129" s="1"/>
  <c r="AG129" i="129"/>
  <c r="G30" i="103"/>
  <c r="AG132" i="120"/>
  <c r="K132" i="120" s="1"/>
  <c r="AG117" i="129"/>
  <c r="AG123" i="129"/>
  <c r="F30" i="103"/>
  <c r="AG125" i="129"/>
  <c r="R64" i="129"/>
  <c r="X64" i="129" s="1"/>
  <c r="AG118" i="120"/>
  <c r="L118" i="120" s="1"/>
  <c r="AG118" i="129"/>
  <c r="AG10" i="129"/>
  <c r="AG15" i="120"/>
  <c r="AG126" i="129"/>
  <c r="AG119" i="129"/>
  <c r="AG130" i="129"/>
  <c r="AG133" i="129"/>
  <c r="AG18" i="120"/>
  <c r="M18" i="120" s="1"/>
  <c r="F42" i="654" s="1"/>
  <c r="AG119" i="120"/>
  <c r="M119" i="120" s="1"/>
  <c r="T119" i="120" s="1"/>
  <c r="AG114" i="129"/>
  <c r="AG5" i="120"/>
  <c r="AG17" i="120"/>
  <c r="L17" i="120" s="1"/>
  <c r="E41" i="654" s="1"/>
  <c r="AG11" i="129"/>
  <c r="K11" i="129" s="1"/>
  <c r="Y11" i="129" s="1"/>
  <c r="AG15" i="129"/>
  <c r="P15" i="129" s="1"/>
  <c r="W15" i="129" s="1"/>
  <c r="AG120" i="120"/>
  <c r="AG9" i="120"/>
  <c r="AG128" i="129"/>
  <c r="J59" i="129"/>
  <c r="M53" i="129"/>
  <c r="N53" i="129"/>
  <c r="K53" i="129"/>
  <c r="O53" i="129"/>
  <c r="P53" i="129"/>
  <c r="L53" i="129"/>
  <c r="L56" i="129"/>
  <c r="N56" i="129"/>
  <c r="O56" i="129"/>
  <c r="P56" i="129"/>
  <c r="M56" i="129"/>
  <c r="K56" i="129"/>
  <c r="Y56" i="129" s="1"/>
  <c r="O52" i="129"/>
  <c r="L52" i="129"/>
  <c r="M52" i="129"/>
  <c r="P52" i="129"/>
  <c r="N52" i="129"/>
  <c r="K52" i="129"/>
  <c r="N55" i="129"/>
  <c r="L55" i="129"/>
  <c r="M55" i="129"/>
  <c r="O55" i="129"/>
  <c r="K55" i="129"/>
  <c r="P55" i="129"/>
  <c r="P54" i="129"/>
  <c r="O54" i="129"/>
  <c r="L54" i="129"/>
  <c r="N54" i="129"/>
  <c r="K54" i="129"/>
  <c r="M54" i="129"/>
  <c r="O51" i="129"/>
  <c r="K51" i="129"/>
  <c r="M51" i="129"/>
  <c r="P51" i="129"/>
  <c r="L51" i="129"/>
  <c r="N51" i="129"/>
  <c r="J50" i="129"/>
  <c r="J44" i="129"/>
  <c r="J39" i="129"/>
  <c r="J34" i="129"/>
  <c r="J27" i="129"/>
  <c r="J21" i="129"/>
  <c r="J10" i="129"/>
  <c r="D211" i="129"/>
  <c r="J14" i="129"/>
  <c r="J211" i="129" s="1"/>
  <c r="J21" i="485" s="1"/>
  <c r="K65" i="129"/>
  <c r="E47" i="39"/>
  <c r="E50" i="39" s="1"/>
  <c r="E55" i="39"/>
  <c r="C17" i="606"/>
  <c r="E17" i="606" s="1"/>
  <c r="C19" i="606" s="1"/>
  <c r="L94" i="129"/>
  <c r="N94" i="129"/>
  <c r="M94" i="129"/>
  <c r="O94" i="129"/>
  <c r="P94" i="129"/>
  <c r="L81" i="120"/>
  <c r="E95" i="654" s="1"/>
  <c r="M81" i="120"/>
  <c r="F95" i="654" s="1"/>
  <c r="K81" i="120"/>
  <c r="D95" i="654" s="1"/>
  <c r="O81" i="120"/>
  <c r="H95" i="654" s="1"/>
  <c r="P81" i="120"/>
  <c r="I95" i="654" s="1"/>
  <c r="N81" i="120"/>
  <c r="G95" i="654" s="1"/>
  <c r="N103" i="129"/>
  <c r="P103" i="129"/>
  <c r="M103" i="129"/>
  <c r="O103" i="129"/>
  <c r="L103" i="129"/>
  <c r="M93" i="129"/>
  <c r="O93" i="129"/>
  <c r="P93" i="129"/>
  <c r="L93" i="129"/>
  <c r="N93" i="129"/>
  <c r="O91" i="129"/>
  <c r="N91" i="129"/>
  <c r="L91" i="129"/>
  <c r="M91" i="129"/>
  <c r="P91" i="129"/>
  <c r="N72" i="129"/>
  <c r="O72" i="129"/>
  <c r="M72" i="129"/>
  <c r="P72" i="129"/>
  <c r="L72" i="129"/>
  <c r="D65" i="498"/>
  <c r="J65" i="498" s="1"/>
  <c r="J66" i="498"/>
  <c r="D94" i="742"/>
  <c r="J94" i="742" s="1"/>
  <c r="J95" i="742"/>
  <c r="D89" i="639"/>
  <c r="J90" i="639"/>
  <c r="J35" i="186"/>
  <c r="D34" i="186"/>
  <c r="D38" i="203"/>
  <c r="J39" i="203"/>
  <c r="D45" i="158"/>
  <c r="J45" i="158" s="1"/>
  <c r="J46" i="158"/>
  <c r="L95" i="120"/>
  <c r="E109" i="654" s="1"/>
  <c r="N95" i="120"/>
  <c r="G109" i="654" s="1"/>
  <c r="M95" i="120"/>
  <c r="F109" i="654" s="1"/>
  <c r="O95" i="120"/>
  <c r="H109" i="654" s="1"/>
  <c r="K95" i="120"/>
  <c r="D109" i="654" s="1"/>
  <c r="P95" i="120"/>
  <c r="I109" i="654" s="1"/>
  <c r="P84" i="129"/>
  <c r="M84" i="129"/>
  <c r="O84" i="129"/>
  <c r="N84" i="129"/>
  <c r="L84" i="129"/>
  <c r="L102" i="129"/>
  <c r="N102" i="129"/>
  <c r="P102" i="129"/>
  <c r="M102" i="129"/>
  <c r="O102" i="129"/>
  <c r="O88" i="129"/>
  <c r="N88" i="129"/>
  <c r="M88" i="129"/>
  <c r="P88" i="129"/>
  <c r="L88" i="129"/>
  <c r="D55" i="186"/>
  <c r="J55" i="186" s="1"/>
  <c r="J56" i="186"/>
  <c r="J98" i="473"/>
  <c r="D95" i="216"/>
  <c r="J95" i="216" s="1"/>
  <c r="J96" i="216"/>
  <c r="D89" i="216"/>
  <c r="J90" i="216"/>
  <c r="D44" i="498"/>
  <c r="J45" i="498"/>
  <c r="J44" i="498" s="1"/>
  <c r="D48" i="486"/>
  <c r="J49" i="486"/>
  <c r="D102" i="206"/>
  <c r="J102" i="206" s="1"/>
  <c r="J103" i="206"/>
  <c r="J103" i="639"/>
  <c r="D102" i="639"/>
  <c r="J102" i="639" s="1"/>
  <c r="J207" i="129"/>
  <c r="F21" i="485" s="1"/>
  <c r="D207" i="129"/>
  <c r="D208" i="129"/>
  <c r="J62" i="216"/>
  <c r="D61" i="216"/>
  <c r="K84" i="129"/>
  <c r="D432" i="202"/>
  <c r="D27" i="203"/>
  <c r="J28" i="203"/>
  <c r="D60" i="506"/>
  <c r="J60" i="506" s="1"/>
  <c r="J61" i="506"/>
  <c r="M73" i="129"/>
  <c r="P73" i="129"/>
  <c r="O73" i="129"/>
  <c r="N73" i="129"/>
  <c r="L73" i="129"/>
  <c r="D38" i="206"/>
  <c r="J39" i="206"/>
  <c r="D74" i="639"/>
  <c r="J75" i="639"/>
  <c r="D71" i="498"/>
  <c r="D126" i="498" s="1"/>
  <c r="J72" i="498"/>
  <c r="J71" i="498" s="1"/>
  <c r="J126" i="498" s="1"/>
  <c r="G38" i="485" s="1"/>
  <c r="J71" i="473"/>
  <c r="K102" i="129"/>
  <c r="D432" i="508"/>
  <c r="P105" i="120"/>
  <c r="I119" i="654" s="1"/>
  <c r="O105" i="120"/>
  <c r="H119" i="654" s="1"/>
  <c r="N105" i="120"/>
  <c r="G119" i="654" s="1"/>
  <c r="L105" i="120"/>
  <c r="E119" i="654" s="1"/>
  <c r="K105" i="120"/>
  <c r="D119" i="654" s="1"/>
  <c r="M105" i="120"/>
  <c r="F119" i="654" s="1"/>
  <c r="D55" i="640"/>
  <c r="J55" i="640" s="1"/>
  <c r="J56" i="640"/>
  <c r="J51" i="206"/>
  <c r="D50" i="206"/>
  <c r="J50" i="206" s="1"/>
  <c r="D45" i="206"/>
  <c r="J45" i="206" s="1"/>
  <c r="J46" i="206"/>
  <c r="J56" i="498"/>
  <c r="D55" i="498"/>
  <c r="J55" i="498" s="1"/>
  <c r="K82" i="120"/>
  <c r="D96" i="654" s="1"/>
  <c r="L82" i="120"/>
  <c r="E96" i="654" s="1"/>
  <c r="O82" i="120"/>
  <c r="H96" i="654" s="1"/>
  <c r="N82" i="120"/>
  <c r="G96" i="654" s="1"/>
  <c r="P82" i="120"/>
  <c r="I96" i="654" s="1"/>
  <c r="M82" i="120"/>
  <c r="F96" i="654" s="1"/>
  <c r="P87" i="129"/>
  <c r="M87" i="129"/>
  <c r="L87" i="129"/>
  <c r="N87" i="129"/>
  <c r="O87" i="129"/>
  <c r="O75" i="129"/>
  <c r="M75" i="129"/>
  <c r="L75" i="129"/>
  <c r="N75" i="129"/>
  <c r="P75" i="129"/>
  <c r="J51" i="158"/>
  <c r="D50" i="158"/>
  <c r="J50" i="158" s="1"/>
  <c r="D97" i="472"/>
  <c r="J97" i="472" s="1"/>
  <c r="J98" i="472"/>
  <c r="D60" i="486"/>
  <c r="J60" i="486" s="1"/>
  <c r="J61" i="486"/>
  <c r="D50" i="186"/>
  <c r="J50" i="186" s="1"/>
  <c r="J51" i="186"/>
  <c r="O102" i="120"/>
  <c r="H116" i="654" s="1"/>
  <c r="N102" i="120"/>
  <c r="G116" i="654" s="1"/>
  <c r="P102" i="120"/>
  <c r="I116" i="654" s="1"/>
  <c r="M102" i="120"/>
  <c r="F116" i="654" s="1"/>
  <c r="K102" i="120"/>
  <c r="D116" i="654" s="1"/>
  <c r="L102" i="120"/>
  <c r="E116" i="654" s="1"/>
  <c r="K76" i="120"/>
  <c r="D90" i="654" s="1"/>
  <c r="P76" i="120"/>
  <c r="I90" i="654" s="1"/>
  <c r="N76" i="120"/>
  <c r="G90" i="654" s="1"/>
  <c r="L76" i="120"/>
  <c r="E90" i="654" s="1"/>
  <c r="O76" i="120"/>
  <c r="H90" i="654" s="1"/>
  <c r="M76" i="120"/>
  <c r="F90" i="654" s="1"/>
  <c r="N75" i="120"/>
  <c r="G89" i="654" s="1"/>
  <c r="P75" i="120"/>
  <c r="I89" i="654" s="1"/>
  <c r="M75" i="120"/>
  <c r="F89" i="654" s="1"/>
  <c r="O75" i="120"/>
  <c r="H89" i="654" s="1"/>
  <c r="L75" i="120"/>
  <c r="E89" i="654" s="1"/>
  <c r="K75" i="120"/>
  <c r="D89" i="654" s="1"/>
  <c r="N74" i="129"/>
  <c r="M74" i="129"/>
  <c r="O74" i="129"/>
  <c r="P74" i="129"/>
  <c r="L74" i="129"/>
  <c r="O89" i="129"/>
  <c r="L89" i="129"/>
  <c r="M89" i="129"/>
  <c r="N89" i="129"/>
  <c r="P89" i="129"/>
  <c r="D65" i="486"/>
  <c r="J65" i="486" s="1"/>
  <c r="J66" i="486"/>
  <c r="K75" i="129"/>
  <c r="D95" i="640"/>
  <c r="J95" i="640" s="1"/>
  <c r="J96" i="640"/>
  <c r="D89" i="186"/>
  <c r="J90" i="186"/>
  <c r="J51" i="203"/>
  <c r="D50" i="203"/>
  <c r="J50" i="203" s="1"/>
  <c r="J51" i="216"/>
  <c r="D50" i="216"/>
  <c r="J50" i="216" s="1"/>
  <c r="D55" i="506"/>
  <c r="J55" i="506" s="1"/>
  <c r="J56" i="506"/>
  <c r="N77" i="120"/>
  <c r="G91" i="654" s="1"/>
  <c r="L77" i="120"/>
  <c r="E91" i="654" s="1"/>
  <c r="K77" i="120"/>
  <c r="D91" i="654" s="1"/>
  <c r="M77" i="120"/>
  <c r="F91" i="654" s="1"/>
  <c r="P77" i="120"/>
  <c r="I91" i="654" s="1"/>
  <c r="O77" i="120"/>
  <c r="H91" i="654" s="1"/>
  <c r="L95" i="129"/>
  <c r="N95" i="129"/>
  <c r="M95" i="129"/>
  <c r="O95" i="129"/>
  <c r="P95" i="129"/>
  <c r="K80" i="120"/>
  <c r="D94" i="654" s="1"/>
  <c r="O80" i="120"/>
  <c r="H94" i="654" s="1"/>
  <c r="L80" i="120"/>
  <c r="E94" i="654" s="1"/>
  <c r="M80" i="120"/>
  <c r="F94" i="654" s="1"/>
  <c r="P80" i="120"/>
  <c r="I94" i="654" s="1"/>
  <c r="N80" i="120"/>
  <c r="G94" i="654" s="1"/>
  <c r="P67" i="129"/>
  <c r="L67" i="129"/>
  <c r="O67" i="129"/>
  <c r="M67" i="129"/>
  <c r="N67" i="129"/>
  <c r="O79" i="129"/>
  <c r="N79" i="129"/>
  <c r="P79" i="129"/>
  <c r="M79" i="129"/>
  <c r="L79" i="129"/>
  <c r="D105" i="498"/>
  <c r="J105" i="498" s="1"/>
  <c r="J106" i="498"/>
  <c r="D89" i="158"/>
  <c r="J90" i="158"/>
  <c r="D99" i="498"/>
  <c r="J100" i="498"/>
  <c r="D38" i="158"/>
  <c r="J39" i="158"/>
  <c r="D101" i="742"/>
  <c r="J101" i="742" s="1"/>
  <c r="J102" i="742"/>
  <c r="J85" i="506"/>
  <c r="J92" i="486"/>
  <c r="D91" i="486"/>
  <c r="D81" i="639"/>
  <c r="J82" i="639"/>
  <c r="D61" i="640"/>
  <c r="J62" i="640"/>
  <c r="J25" i="203"/>
  <c r="D24" i="203"/>
  <c r="D158" i="186"/>
  <c r="D19" i="186"/>
  <c r="J20" i="186"/>
  <c r="J158" i="186" s="1"/>
  <c r="M29" i="485" s="1"/>
  <c r="J28" i="206"/>
  <c r="D27" i="206"/>
  <c r="D34" i="640"/>
  <c r="J35" i="640"/>
  <c r="K73" i="129"/>
  <c r="K94" i="129"/>
  <c r="J113" i="506"/>
  <c r="D112" i="506"/>
  <c r="J112" i="506" s="1"/>
  <c r="J75" i="211"/>
  <c r="K72" i="129"/>
  <c r="D80" i="742"/>
  <c r="J81" i="742"/>
  <c r="J62" i="211"/>
  <c r="D61" i="211"/>
  <c r="D61" i="639"/>
  <c r="J62" i="639"/>
  <c r="D24" i="186"/>
  <c r="J25" i="186"/>
  <c r="J28" i="158"/>
  <c r="D27" i="158"/>
  <c r="J46" i="216"/>
  <c r="D45" i="216"/>
  <c r="J45" i="216" s="1"/>
  <c r="L84" i="120"/>
  <c r="E98" i="654" s="1"/>
  <c r="M84" i="120"/>
  <c r="F98" i="654" s="1"/>
  <c r="P84" i="120"/>
  <c r="I98" i="654" s="1"/>
  <c r="N84" i="120"/>
  <c r="G98" i="654" s="1"/>
  <c r="O84" i="120"/>
  <c r="H98" i="654" s="1"/>
  <c r="K84" i="120"/>
  <c r="D98" i="654" s="1"/>
  <c r="K104" i="120"/>
  <c r="D118" i="654" s="1"/>
  <c r="L104" i="120"/>
  <c r="E118" i="654" s="1"/>
  <c r="N104" i="120"/>
  <c r="G118" i="654" s="1"/>
  <c r="M104" i="120"/>
  <c r="F118" i="654" s="1"/>
  <c r="O104" i="120"/>
  <c r="H118" i="654" s="1"/>
  <c r="P104" i="120"/>
  <c r="I118" i="654" s="1"/>
  <c r="O80" i="129"/>
  <c r="L80" i="129"/>
  <c r="N80" i="129"/>
  <c r="M80" i="129"/>
  <c r="P80" i="129"/>
  <c r="P96" i="129"/>
  <c r="M96" i="129"/>
  <c r="N96" i="129"/>
  <c r="O96" i="129"/>
  <c r="L96" i="129"/>
  <c r="D34" i="216"/>
  <c r="J35" i="216"/>
  <c r="D95" i="158"/>
  <c r="J95" i="158" s="1"/>
  <c r="J96" i="158"/>
  <c r="L90" i="120"/>
  <c r="E104" i="654" s="1"/>
  <c r="P90" i="120"/>
  <c r="I104" i="654" s="1"/>
  <c r="K90" i="120"/>
  <c r="D104" i="654" s="1"/>
  <c r="M90" i="120"/>
  <c r="F104" i="654" s="1"/>
  <c r="O90" i="120"/>
  <c r="H104" i="654" s="1"/>
  <c r="N90" i="120"/>
  <c r="G104" i="654" s="1"/>
  <c r="D55" i="203"/>
  <c r="J55" i="203" s="1"/>
  <c r="J56" i="203"/>
  <c r="D95" i="203"/>
  <c r="J95" i="203" s="1"/>
  <c r="J96" i="203"/>
  <c r="D89" i="640"/>
  <c r="J90" i="640"/>
  <c r="K89" i="129"/>
  <c r="D34" i="158"/>
  <c r="J35" i="158"/>
  <c r="D38" i="186"/>
  <c r="J39" i="186"/>
  <c r="D112" i="486"/>
  <c r="J112" i="486" s="1"/>
  <c r="J113" i="486"/>
  <c r="J103" i="211"/>
  <c r="D102" i="211"/>
  <c r="J102" i="211" s="1"/>
  <c r="J75" i="206"/>
  <c r="D74" i="203"/>
  <c r="J75" i="203"/>
  <c r="D68" i="216"/>
  <c r="J69" i="216"/>
  <c r="J25" i="206"/>
  <c r="D24" i="206"/>
  <c r="D432" i="502"/>
  <c r="J20" i="216"/>
  <c r="J159" i="216" s="1"/>
  <c r="M27" i="485" s="1"/>
  <c r="D159" i="216"/>
  <c r="D19" i="216"/>
  <c r="J19" i="216" s="1"/>
  <c r="D45" i="186"/>
  <c r="J45" i="186" s="1"/>
  <c r="J46" i="186"/>
  <c r="N91" i="120"/>
  <c r="G105" i="654" s="1"/>
  <c r="L91" i="120"/>
  <c r="E105" i="654" s="1"/>
  <c r="K91" i="120"/>
  <c r="D105" i="654" s="1"/>
  <c r="M91" i="120"/>
  <c r="F105" i="654" s="1"/>
  <c r="P91" i="120"/>
  <c r="I105" i="654" s="1"/>
  <c r="O91" i="120"/>
  <c r="H105" i="654" s="1"/>
  <c r="D44" i="486"/>
  <c r="J45" i="486"/>
  <c r="J44" i="486" s="1"/>
  <c r="D88" i="742"/>
  <c r="J89" i="742"/>
  <c r="D91" i="472"/>
  <c r="J92" i="472"/>
  <c r="D45" i="203"/>
  <c r="J45" i="203" s="1"/>
  <c r="J46" i="203"/>
  <c r="L82" i="129"/>
  <c r="M82" i="129"/>
  <c r="P82" i="129"/>
  <c r="O82" i="129"/>
  <c r="N82" i="129"/>
  <c r="M100" i="120"/>
  <c r="F114" i="654" s="1"/>
  <c r="K100" i="120"/>
  <c r="D114" i="654" s="1"/>
  <c r="N100" i="120"/>
  <c r="G114" i="654" s="1"/>
  <c r="P100" i="120"/>
  <c r="I114" i="654" s="1"/>
  <c r="L100" i="120"/>
  <c r="E114" i="654" s="1"/>
  <c r="O100" i="120"/>
  <c r="H114" i="654" s="1"/>
  <c r="AI84" i="120"/>
  <c r="AI88" i="120"/>
  <c r="AI95" i="120"/>
  <c r="AI99" i="120"/>
  <c r="AI103" i="120"/>
  <c r="AI90" i="129"/>
  <c r="AI53" i="120"/>
  <c r="AI74" i="129"/>
  <c r="AI87" i="120"/>
  <c r="AI73" i="129"/>
  <c r="AI55" i="129"/>
  <c r="AI69" i="129"/>
  <c r="AI93" i="129"/>
  <c r="AI85" i="120"/>
  <c r="AI103" i="129"/>
  <c r="AI52" i="129"/>
  <c r="AI70" i="129"/>
  <c r="AI76" i="120"/>
  <c r="AI68" i="120"/>
  <c r="AI80" i="129"/>
  <c r="AI96" i="120"/>
  <c r="AI90" i="120"/>
  <c r="AI54" i="129"/>
  <c r="AI50" i="129"/>
  <c r="AI72" i="120"/>
  <c r="AI75" i="129"/>
  <c r="AI80" i="120"/>
  <c r="AI81" i="129"/>
  <c r="AI79" i="129"/>
  <c r="AI102" i="120"/>
  <c r="AI56" i="129"/>
  <c r="AI56" i="120"/>
  <c r="AI82" i="129"/>
  <c r="AI84" i="129"/>
  <c r="AI91" i="120"/>
  <c r="AI51" i="120"/>
  <c r="AI95" i="129"/>
  <c r="AI50" i="120"/>
  <c r="AI93" i="120"/>
  <c r="AI92" i="120"/>
  <c r="AI52" i="120"/>
  <c r="AI101" i="129"/>
  <c r="AI86" i="129"/>
  <c r="AI86" i="120"/>
  <c r="AI96" i="129"/>
  <c r="AI71" i="120"/>
  <c r="AI92" i="129"/>
  <c r="AI99" i="129"/>
  <c r="AI88" i="129"/>
  <c r="AI82" i="120"/>
  <c r="AI79" i="120"/>
  <c r="AI104" i="129"/>
  <c r="AI83" i="120"/>
  <c r="AI72" i="129"/>
  <c r="AI101" i="120"/>
  <c r="AI68" i="129"/>
  <c r="AI97" i="129"/>
  <c r="AI67" i="120"/>
  <c r="AI97" i="120"/>
  <c r="AI66" i="129"/>
  <c r="AI67" i="129"/>
  <c r="AI70" i="120"/>
  <c r="AI65" i="120"/>
  <c r="AI78" i="120"/>
  <c r="AI94" i="120"/>
  <c r="AI53" i="129"/>
  <c r="AI76" i="129"/>
  <c r="AI100" i="129"/>
  <c r="AI87" i="129"/>
  <c r="AI77" i="120"/>
  <c r="AI98" i="120"/>
  <c r="AI102" i="129"/>
  <c r="AI78" i="129"/>
  <c r="AI105" i="120"/>
  <c r="AI104" i="120"/>
  <c r="AI89" i="129"/>
  <c r="AI89" i="120"/>
  <c r="AI55" i="120"/>
  <c r="AI65" i="129"/>
  <c r="AI83" i="129"/>
  <c r="AI77" i="129"/>
  <c r="AI75" i="120"/>
  <c r="AI74" i="120"/>
  <c r="AI69" i="120"/>
  <c r="AI105" i="129"/>
  <c r="AI100" i="120"/>
  <c r="AI91" i="129"/>
  <c r="AI54" i="120"/>
  <c r="AI66" i="120"/>
  <c r="AI94" i="129"/>
  <c r="AI81" i="120"/>
  <c r="AI51" i="129"/>
  <c r="AI98" i="129"/>
  <c r="AI71" i="129"/>
  <c r="AI73" i="120"/>
  <c r="K70" i="120"/>
  <c r="D84" i="654" s="1"/>
  <c r="M70" i="120"/>
  <c r="F84" i="654" s="1"/>
  <c r="N70" i="120"/>
  <c r="G84" i="654" s="1"/>
  <c r="O70" i="120"/>
  <c r="H84" i="654" s="1"/>
  <c r="L70" i="120"/>
  <c r="E84" i="654" s="1"/>
  <c r="P70" i="120"/>
  <c r="I84" i="654" s="1"/>
  <c r="M93" i="120"/>
  <c r="F107" i="654" s="1"/>
  <c r="O93" i="120"/>
  <c r="H107" i="654" s="1"/>
  <c r="P93" i="120"/>
  <c r="I107" i="654" s="1"/>
  <c r="N93" i="120"/>
  <c r="G107" i="654" s="1"/>
  <c r="L93" i="120"/>
  <c r="E107" i="654" s="1"/>
  <c r="K93" i="120"/>
  <c r="D107" i="654" s="1"/>
  <c r="K68" i="120"/>
  <c r="D82" i="654" s="1"/>
  <c r="L68" i="120"/>
  <c r="E82" i="654" s="1"/>
  <c r="M68" i="120"/>
  <c r="F82" i="654" s="1"/>
  <c r="O68" i="120"/>
  <c r="H82" i="654" s="1"/>
  <c r="N68" i="120"/>
  <c r="G82" i="654" s="1"/>
  <c r="P68" i="120"/>
  <c r="I82" i="654" s="1"/>
  <c r="M97" i="129"/>
  <c r="L97" i="129"/>
  <c r="P97" i="129"/>
  <c r="N97" i="129"/>
  <c r="O97" i="129"/>
  <c r="P70" i="129"/>
  <c r="N70" i="129"/>
  <c r="O70" i="129"/>
  <c r="L70" i="129"/>
  <c r="M70" i="129"/>
  <c r="J56" i="206"/>
  <c r="D55" i="206"/>
  <c r="J55" i="206" s="1"/>
  <c r="D95" i="639"/>
  <c r="J95" i="639" s="1"/>
  <c r="J96" i="639"/>
  <c r="D95" i="211"/>
  <c r="J95" i="211" s="1"/>
  <c r="J96" i="211"/>
  <c r="J92" i="473"/>
  <c r="D34" i="203"/>
  <c r="J35" i="203"/>
  <c r="D209" i="129"/>
  <c r="D26" i="129"/>
  <c r="J103" i="203"/>
  <c r="D102" i="203"/>
  <c r="J102" i="203" s="1"/>
  <c r="K95" i="129"/>
  <c r="K80" i="129"/>
  <c r="D71" i="506"/>
  <c r="D126" i="506" s="1"/>
  <c r="J72" i="506"/>
  <c r="J71" i="506" s="1"/>
  <c r="J126" i="506" s="1"/>
  <c r="G14" i="485" s="1"/>
  <c r="J79" i="506"/>
  <c r="J79" i="498"/>
  <c r="J25" i="216"/>
  <c r="D24" i="216"/>
  <c r="D132" i="506"/>
  <c r="D29" i="506"/>
  <c r="J29" i="506" s="1"/>
  <c r="J30" i="506"/>
  <c r="J132" i="506" s="1"/>
  <c r="M14" i="485" s="1"/>
  <c r="D29" i="498"/>
  <c r="J29" i="498" s="1"/>
  <c r="D132" i="498"/>
  <c r="J30" i="498"/>
  <c r="J132" i="498" s="1"/>
  <c r="M38" i="485" s="1"/>
  <c r="D37" i="486"/>
  <c r="J38" i="486"/>
  <c r="O72" i="120"/>
  <c r="H86" i="654" s="1"/>
  <c r="L72" i="120"/>
  <c r="E86" i="654" s="1"/>
  <c r="M72" i="120"/>
  <c r="F86" i="654" s="1"/>
  <c r="N72" i="120"/>
  <c r="G86" i="654" s="1"/>
  <c r="K72" i="120"/>
  <c r="D86" i="654" s="1"/>
  <c r="P72" i="120"/>
  <c r="I86" i="654" s="1"/>
  <c r="N68" i="129"/>
  <c r="P68" i="129"/>
  <c r="M68" i="129"/>
  <c r="O68" i="129"/>
  <c r="L68" i="129"/>
  <c r="O97" i="120"/>
  <c r="H111" i="654" s="1"/>
  <c r="P97" i="120"/>
  <c r="I111" i="654" s="1"/>
  <c r="L97" i="120"/>
  <c r="E111" i="654" s="1"/>
  <c r="K97" i="120"/>
  <c r="D111" i="654" s="1"/>
  <c r="N97" i="120"/>
  <c r="G111" i="654" s="1"/>
  <c r="M97" i="120"/>
  <c r="F111" i="654" s="1"/>
  <c r="D55" i="216"/>
  <c r="J55" i="216" s="1"/>
  <c r="J56" i="216"/>
  <c r="D99" i="506"/>
  <c r="J100" i="506"/>
  <c r="K101" i="120"/>
  <c r="D115" i="654" s="1"/>
  <c r="N101" i="120"/>
  <c r="G115" i="654" s="1"/>
  <c r="M101" i="120"/>
  <c r="F115" i="654" s="1"/>
  <c r="O101" i="120"/>
  <c r="H115" i="654" s="1"/>
  <c r="L101" i="120"/>
  <c r="E115" i="654" s="1"/>
  <c r="P101" i="120"/>
  <c r="I115" i="654" s="1"/>
  <c r="D60" i="498"/>
  <c r="J60" i="498" s="1"/>
  <c r="J61" i="498"/>
  <c r="D45" i="640"/>
  <c r="J45" i="640" s="1"/>
  <c r="J46" i="640"/>
  <c r="P101" i="129"/>
  <c r="O101" i="129"/>
  <c r="N101" i="129"/>
  <c r="L101" i="129"/>
  <c r="M101" i="129"/>
  <c r="M104" i="129"/>
  <c r="N104" i="129"/>
  <c r="O104" i="129"/>
  <c r="L104" i="129"/>
  <c r="P104" i="129"/>
  <c r="O69" i="120"/>
  <c r="H83" i="654" s="1"/>
  <c r="N69" i="120"/>
  <c r="G83" i="654" s="1"/>
  <c r="M69" i="120"/>
  <c r="F83" i="654" s="1"/>
  <c r="K69" i="120"/>
  <c r="D83" i="654" s="1"/>
  <c r="L69" i="120"/>
  <c r="E83" i="654" s="1"/>
  <c r="P69" i="120"/>
  <c r="I83" i="654" s="1"/>
  <c r="M69" i="129"/>
  <c r="L69" i="129"/>
  <c r="O69" i="129"/>
  <c r="P69" i="129"/>
  <c r="N69" i="129"/>
  <c r="O81" i="129"/>
  <c r="P81" i="129"/>
  <c r="M81" i="129"/>
  <c r="N81" i="129"/>
  <c r="L81" i="129"/>
  <c r="D65" i="506"/>
  <c r="J65" i="506" s="1"/>
  <c r="J66" i="506"/>
  <c r="K93" i="129"/>
  <c r="D50" i="640"/>
  <c r="J50" i="640" s="1"/>
  <c r="J51" i="640"/>
  <c r="O103" i="120"/>
  <c r="H117" i="654" s="1"/>
  <c r="N103" i="120"/>
  <c r="G117" i="654" s="1"/>
  <c r="M103" i="120"/>
  <c r="F117" i="654" s="1"/>
  <c r="P103" i="120"/>
  <c r="I117" i="654" s="1"/>
  <c r="L103" i="120"/>
  <c r="E117" i="654" s="1"/>
  <c r="K103" i="120"/>
  <c r="D117" i="654" s="1"/>
  <c r="K73" i="120"/>
  <c r="D87" i="654" s="1"/>
  <c r="M73" i="120"/>
  <c r="F87" i="654" s="1"/>
  <c r="L73" i="120"/>
  <c r="E87" i="654" s="1"/>
  <c r="N73" i="120"/>
  <c r="G87" i="654" s="1"/>
  <c r="P73" i="120"/>
  <c r="I87" i="654" s="1"/>
  <c r="O73" i="120"/>
  <c r="H87" i="654" s="1"/>
  <c r="M66" i="120"/>
  <c r="F80" i="654" s="1"/>
  <c r="L66" i="120"/>
  <c r="E80" i="654" s="1"/>
  <c r="N66" i="120"/>
  <c r="G80" i="654" s="1"/>
  <c r="P66" i="120"/>
  <c r="I80" i="654" s="1"/>
  <c r="K66" i="120"/>
  <c r="D80" i="654" s="1"/>
  <c r="O66" i="120"/>
  <c r="H80" i="654" s="1"/>
  <c r="N90" i="129"/>
  <c r="O90" i="129"/>
  <c r="L90" i="129"/>
  <c r="M90" i="129"/>
  <c r="P90" i="129"/>
  <c r="D99" i="486"/>
  <c r="J100" i="486"/>
  <c r="D210" i="129"/>
  <c r="K74" i="129"/>
  <c r="K98" i="120"/>
  <c r="D112" i="654" s="1"/>
  <c r="N98" i="120"/>
  <c r="G112" i="654" s="1"/>
  <c r="O98" i="120"/>
  <c r="H112" i="654" s="1"/>
  <c r="P98" i="120"/>
  <c r="I112" i="654" s="1"/>
  <c r="M98" i="120"/>
  <c r="F112" i="654" s="1"/>
  <c r="L98" i="120"/>
  <c r="E112" i="654" s="1"/>
  <c r="N96" i="120"/>
  <c r="G110" i="654" s="1"/>
  <c r="O96" i="120"/>
  <c r="H110" i="654" s="1"/>
  <c r="M96" i="120"/>
  <c r="F110" i="654" s="1"/>
  <c r="L96" i="120"/>
  <c r="E110" i="654" s="1"/>
  <c r="P96" i="120"/>
  <c r="I110" i="654" s="1"/>
  <c r="K96" i="120"/>
  <c r="D110" i="654" s="1"/>
  <c r="O89" i="120"/>
  <c r="H103" i="654" s="1"/>
  <c r="P89" i="120"/>
  <c r="I103" i="654" s="1"/>
  <c r="N89" i="120"/>
  <c r="G103" i="654" s="1"/>
  <c r="M89" i="120"/>
  <c r="F103" i="654" s="1"/>
  <c r="L89" i="120"/>
  <c r="E103" i="654" s="1"/>
  <c r="K89" i="120"/>
  <c r="D103" i="654" s="1"/>
  <c r="O83" i="120"/>
  <c r="H97" i="654" s="1"/>
  <c r="N83" i="120"/>
  <c r="G97" i="654" s="1"/>
  <c r="P83" i="120"/>
  <c r="I97" i="654" s="1"/>
  <c r="K83" i="120"/>
  <c r="D97" i="654" s="1"/>
  <c r="M83" i="120"/>
  <c r="F97" i="654" s="1"/>
  <c r="L83" i="120"/>
  <c r="E97" i="654" s="1"/>
  <c r="M67" i="120"/>
  <c r="F81" i="654" s="1"/>
  <c r="K67" i="120"/>
  <c r="D81" i="654" s="1"/>
  <c r="O67" i="120"/>
  <c r="H81" i="654" s="1"/>
  <c r="N67" i="120"/>
  <c r="G81" i="654" s="1"/>
  <c r="P67" i="120"/>
  <c r="I81" i="654" s="1"/>
  <c r="L67" i="120"/>
  <c r="E81" i="654" s="1"/>
  <c r="P66" i="129"/>
  <c r="L66" i="129"/>
  <c r="O66" i="129"/>
  <c r="M66" i="129"/>
  <c r="N66" i="129"/>
  <c r="N77" i="129"/>
  <c r="O77" i="129"/>
  <c r="M77" i="129"/>
  <c r="P77" i="129"/>
  <c r="L77" i="129"/>
  <c r="D55" i="158"/>
  <c r="J55" i="158" s="1"/>
  <c r="J56" i="158"/>
  <c r="D105" i="486"/>
  <c r="J105" i="486" s="1"/>
  <c r="J106" i="486"/>
  <c r="K87" i="129"/>
  <c r="J45" i="506"/>
  <c r="J44" i="506" s="1"/>
  <c r="D44" i="506"/>
  <c r="D48" i="498"/>
  <c r="J49" i="498"/>
  <c r="D102" i="158"/>
  <c r="J102" i="158" s="1"/>
  <c r="J103" i="158"/>
  <c r="J77" i="472"/>
  <c r="D76" i="472"/>
  <c r="J84" i="473"/>
  <c r="J69" i="186"/>
  <c r="K88" i="129"/>
  <c r="D9" i="129"/>
  <c r="D212" i="129"/>
  <c r="D34" i="498"/>
  <c r="J35" i="498"/>
  <c r="J34" i="498" s="1"/>
  <c r="D89" i="203"/>
  <c r="J90" i="203"/>
  <c r="D205" i="129"/>
  <c r="D58" i="129"/>
  <c r="J69" i="206"/>
  <c r="D70" i="472"/>
  <c r="J71" i="472"/>
  <c r="D24" i="158"/>
  <c r="J25" i="158"/>
  <c r="D432" i="200"/>
  <c r="J20" i="206"/>
  <c r="J124" i="206" s="1"/>
  <c r="M9" i="485" s="1"/>
  <c r="D124" i="206"/>
  <c r="D19" i="206"/>
  <c r="J19" i="206" s="1"/>
  <c r="K81" i="129"/>
  <c r="J39" i="216"/>
  <c r="D38" i="216"/>
  <c r="D102" i="216"/>
  <c r="J102" i="216" s="1"/>
  <c r="J103" i="216"/>
  <c r="J74" i="742"/>
  <c r="D73" i="742"/>
  <c r="J75" i="186"/>
  <c r="K91" i="129"/>
  <c r="J92" i="498"/>
  <c r="J56" i="486"/>
  <c r="D55" i="486"/>
  <c r="J55" i="486" s="1"/>
  <c r="K87" i="120"/>
  <c r="D101" i="654" s="1"/>
  <c r="P87" i="120"/>
  <c r="I101" i="654" s="1"/>
  <c r="L87" i="120"/>
  <c r="E101" i="654" s="1"/>
  <c r="M87" i="120"/>
  <c r="F101" i="654" s="1"/>
  <c r="O87" i="120"/>
  <c r="H101" i="654" s="1"/>
  <c r="N87" i="120"/>
  <c r="G101" i="654" s="1"/>
  <c r="P79" i="120"/>
  <c r="I93" i="654" s="1"/>
  <c r="N79" i="120"/>
  <c r="G93" i="654" s="1"/>
  <c r="O79" i="120"/>
  <c r="H93" i="654" s="1"/>
  <c r="M79" i="120"/>
  <c r="F93" i="654" s="1"/>
  <c r="K79" i="120"/>
  <c r="D93" i="654" s="1"/>
  <c r="L79" i="120"/>
  <c r="E93" i="654" s="1"/>
  <c r="N105" i="129"/>
  <c r="L105" i="129"/>
  <c r="P105" i="129"/>
  <c r="O105" i="129"/>
  <c r="M105" i="129"/>
  <c r="M74" i="120"/>
  <c r="F88" i="654" s="1"/>
  <c r="O74" i="120"/>
  <c r="H88" i="654" s="1"/>
  <c r="K74" i="120"/>
  <c r="D88" i="654" s="1"/>
  <c r="P74" i="120"/>
  <c r="I88" i="654" s="1"/>
  <c r="N74" i="120"/>
  <c r="G88" i="654" s="1"/>
  <c r="L74" i="120"/>
  <c r="E88" i="654" s="1"/>
  <c r="M88" i="120"/>
  <c r="F102" i="654" s="1"/>
  <c r="N88" i="120"/>
  <c r="G102" i="654" s="1"/>
  <c r="O88" i="120"/>
  <c r="H102" i="654" s="1"/>
  <c r="K88" i="120"/>
  <c r="D102" i="654" s="1"/>
  <c r="L88" i="120"/>
  <c r="E102" i="654" s="1"/>
  <c r="P88" i="120"/>
  <c r="I102" i="654" s="1"/>
  <c r="L98" i="129"/>
  <c r="N98" i="129"/>
  <c r="M98" i="129"/>
  <c r="O98" i="129"/>
  <c r="P98" i="129"/>
  <c r="M76" i="129"/>
  <c r="L76" i="129"/>
  <c r="N76" i="129"/>
  <c r="O76" i="129"/>
  <c r="P76" i="129"/>
  <c r="D95" i="206"/>
  <c r="J95" i="206" s="1"/>
  <c r="J96" i="206"/>
  <c r="J49" i="506"/>
  <c r="D48" i="506"/>
  <c r="J113" i="498"/>
  <c r="D112" i="498"/>
  <c r="J112" i="498" s="1"/>
  <c r="J75" i="640"/>
  <c r="D74" i="640"/>
  <c r="J75" i="216"/>
  <c r="D74" i="216"/>
  <c r="J82" i="640"/>
  <c r="D81" i="640"/>
  <c r="J82" i="216"/>
  <c r="D81" i="216"/>
  <c r="D61" i="206"/>
  <c r="J62" i="206"/>
  <c r="K101" i="129"/>
  <c r="D124" i="640"/>
  <c r="J20" i="640"/>
  <c r="J124" i="640" s="1"/>
  <c r="D19" i="640"/>
  <c r="J19" i="640" s="1"/>
  <c r="D37" i="506"/>
  <c r="J38" i="506"/>
  <c r="D27" i="186"/>
  <c r="J28" i="186"/>
  <c r="J103" i="186"/>
  <c r="D102" i="186"/>
  <c r="J102" i="186" s="1"/>
  <c r="J206" i="129"/>
  <c r="E21" i="485" s="1"/>
  <c r="L8" i="631" s="1"/>
  <c r="N7" i="858" s="1"/>
  <c r="O7" i="858" s="1"/>
  <c r="D206" i="129"/>
  <c r="J85" i="498"/>
  <c r="J92" i="506"/>
  <c r="J82" i="211"/>
  <c r="J82" i="186"/>
  <c r="J72" i="486"/>
  <c r="J71" i="486" s="1"/>
  <c r="J126" i="486" s="1"/>
  <c r="D71" i="486"/>
  <c r="D126" i="486" s="1"/>
  <c r="J69" i="211"/>
  <c r="J69" i="203"/>
  <c r="D68" i="203"/>
  <c r="J35" i="486"/>
  <c r="J34" i="486" s="1"/>
  <c r="D34" i="486"/>
  <c r="J35" i="506"/>
  <c r="J34" i="506" s="1"/>
  <c r="D34" i="506"/>
  <c r="D19" i="203"/>
  <c r="J20" i="203"/>
  <c r="J158" i="203" s="1"/>
  <c r="M5" i="485" s="1"/>
  <c r="D158" i="203"/>
  <c r="J20" i="158"/>
  <c r="J159" i="158" s="1"/>
  <c r="M3" i="485" s="1"/>
  <c r="D159" i="158"/>
  <c r="D19" i="158"/>
  <c r="J19" i="158" s="1"/>
  <c r="D37" i="498"/>
  <c r="J38" i="498"/>
  <c r="N100" i="129"/>
  <c r="P100" i="129"/>
  <c r="M100" i="129"/>
  <c r="L100" i="129"/>
  <c r="O100" i="129"/>
  <c r="O94" i="120"/>
  <c r="H108" i="654" s="1"/>
  <c r="L94" i="120"/>
  <c r="E108" i="654" s="1"/>
  <c r="P94" i="120"/>
  <c r="I108" i="654" s="1"/>
  <c r="N94" i="120"/>
  <c r="G108" i="654" s="1"/>
  <c r="K94" i="120"/>
  <c r="D108" i="654" s="1"/>
  <c r="M94" i="120"/>
  <c r="F108" i="654" s="1"/>
  <c r="L83" i="129"/>
  <c r="P83" i="129"/>
  <c r="O83" i="129"/>
  <c r="N83" i="129"/>
  <c r="M83" i="129"/>
  <c r="D105" i="506"/>
  <c r="J105" i="506" s="1"/>
  <c r="J106" i="506"/>
  <c r="J90" i="206"/>
  <c r="D89" i="206"/>
  <c r="D95" i="186"/>
  <c r="J95" i="186" s="1"/>
  <c r="J96" i="186"/>
  <c r="D204" i="129"/>
  <c r="J35" i="206"/>
  <c r="D34" i="206"/>
  <c r="D38" i="640"/>
  <c r="J39" i="640"/>
  <c r="J105" i="473"/>
  <c r="D104" i="472"/>
  <c r="J104" i="472" s="1"/>
  <c r="J105" i="472"/>
  <c r="D84" i="486"/>
  <c r="J85" i="486"/>
  <c r="D83" i="472"/>
  <c r="J84" i="472"/>
  <c r="K103" i="129"/>
  <c r="D61" i="203"/>
  <c r="J62" i="203"/>
  <c r="J68" i="742"/>
  <c r="D67" i="742"/>
  <c r="J69" i="639"/>
  <c r="D68" i="639"/>
  <c r="J214" i="129"/>
  <c r="M21" i="485" s="1"/>
  <c r="J28" i="640"/>
  <c r="D27" i="640"/>
  <c r="D27" i="216"/>
  <c r="J28" i="216"/>
  <c r="D89" i="211"/>
  <c r="J90" i="211"/>
  <c r="J103" i="640"/>
  <c r="D102" i="640"/>
  <c r="J102" i="640" s="1"/>
  <c r="J77" i="473"/>
  <c r="J82" i="203"/>
  <c r="D81" i="203"/>
  <c r="J82" i="206"/>
  <c r="J62" i="158"/>
  <c r="D61" i="158"/>
  <c r="D61" i="186"/>
  <c r="J62" i="186"/>
  <c r="D68" i="640"/>
  <c r="J69" i="640"/>
  <c r="J79" i="486"/>
  <c r="D78" i="486"/>
  <c r="D24" i="640"/>
  <c r="J25" i="640"/>
  <c r="D29" i="486"/>
  <c r="J29" i="486" s="1"/>
  <c r="D132" i="486"/>
  <c r="J30" i="486"/>
  <c r="J132" i="486" s="1"/>
  <c r="K77" i="129"/>
  <c r="K98" i="129"/>
  <c r="AC55" i="129" l="1"/>
  <c r="Z53" i="129"/>
  <c r="R59" i="129"/>
  <c r="X10" i="129"/>
  <c r="AA55" i="129"/>
  <c r="AD53" i="129"/>
  <c r="AC53" i="129"/>
  <c r="AD55" i="129"/>
  <c r="Z51" i="129"/>
  <c r="AB55" i="129"/>
  <c r="Y53" i="129"/>
  <c r="AD51" i="129"/>
  <c r="Y52" i="129"/>
  <c r="AB53" i="129"/>
  <c r="AB56" i="129"/>
  <c r="AB51" i="129"/>
  <c r="Y51" i="129"/>
  <c r="AD52" i="129"/>
  <c r="AC51" i="129"/>
  <c r="AA52" i="129"/>
  <c r="Y5" i="129"/>
  <c r="AE6" i="129"/>
  <c r="AA54" i="129"/>
  <c r="Z52" i="129"/>
  <c r="Y55" i="129"/>
  <c r="Y54" i="129"/>
  <c r="AC52" i="129"/>
  <c r="Z56" i="129"/>
  <c r="Z55" i="129"/>
  <c r="AB54" i="129"/>
  <c r="R65" i="129"/>
  <c r="AA51" i="129"/>
  <c r="AB52" i="129"/>
  <c r="AA53" i="129"/>
  <c r="Z54" i="129"/>
  <c r="AA56" i="129"/>
  <c r="Q59" i="129"/>
  <c r="AC54" i="129"/>
  <c r="AD56" i="129"/>
  <c r="AD54" i="129"/>
  <c r="AC56" i="129"/>
  <c r="D88" i="202"/>
  <c r="I107" i="202"/>
  <c r="E93" i="202"/>
  <c r="E88" i="202"/>
  <c r="H86" i="202"/>
  <c r="D83" i="202"/>
  <c r="E116" i="202"/>
  <c r="F110" i="202"/>
  <c r="I108" i="202"/>
  <c r="F97" i="202"/>
  <c r="I96" i="202"/>
  <c r="H101" i="202"/>
  <c r="E91" i="202"/>
  <c r="F102" i="202"/>
  <c r="F119" i="202"/>
  <c r="H107" i="202"/>
  <c r="D107" i="202"/>
  <c r="H109" i="202"/>
  <c r="F88" i="202"/>
  <c r="I86" i="202"/>
  <c r="G83" i="202"/>
  <c r="H94" i="202"/>
  <c r="G110" i="202"/>
  <c r="G108" i="202"/>
  <c r="H103" i="202"/>
  <c r="F96" i="202"/>
  <c r="I101" i="202"/>
  <c r="I91" i="202"/>
  <c r="H111" i="202"/>
  <c r="E119" i="202"/>
  <c r="D91" i="202"/>
  <c r="G107" i="202"/>
  <c r="I109" i="202"/>
  <c r="G88" i="202"/>
  <c r="D86" i="202"/>
  <c r="E83" i="202"/>
  <c r="E94" i="202"/>
  <c r="F108" i="202"/>
  <c r="D103" i="202"/>
  <c r="G96" i="202"/>
  <c r="E101" i="202"/>
  <c r="H89" i="202"/>
  <c r="F91" i="202"/>
  <c r="D111" i="202"/>
  <c r="G119" i="202"/>
  <c r="E107" i="202"/>
  <c r="D109" i="202"/>
  <c r="H98" i="202"/>
  <c r="H117" i="202"/>
  <c r="E86" i="202"/>
  <c r="F83" i="202"/>
  <c r="G94" i="202"/>
  <c r="E108" i="202"/>
  <c r="I103" i="202"/>
  <c r="D101" i="202"/>
  <c r="E89" i="202"/>
  <c r="G91" i="202"/>
  <c r="E111" i="202"/>
  <c r="I119" i="202"/>
  <c r="F107" i="202"/>
  <c r="E109" i="202"/>
  <c r="D98" i="202"/>
  <c r="I117" i="202"/>
  <c r="F86" i="202"/>
  <c r="I83" i="202"/>
  <c r="F94" i="202"/>
  <c r="D108" i="202"/>
  <c r="E103" i="202"/>
  <c r="F101" i="202"/>
  <c r="D89" i="202"/>
  <c r="H80" i="202"/>
  <c r="I111" i="202"/>
  <c r="H118" i="202"/>
  <c r="H105" i="202"/>
  <c r="F109" i="202"/>
  <c r="E98" i="202"/>
  <c r="D117" i="202"/>
  <c r="G86" i="202"/>
  <c r="H81" i="202"/>
  <c r="D94" i="202"/>
  <c r="H115" i="202"/>
  <c r="G103" i="202"/>
  <c r="G101" i="202"/>
  <c r="F89" i="202"/>
  <c r="D80" i="202"/>
  <c r="F111" i="202"/>
  <c r="I88" i="202"/>
  <c r="F116" i="202"/>
  <c r="E110" i="202"/>
  <c r="G104" i="202"/>
  <c r="E97" i="202"/>
  <c r="D96" i="202"/>
  <c r="H91" i="202"/>
  <c r="I118" i="202"/>
  <c r="D105" i="202"/>
  <c r="G109" i="202"/>
  <c r="F98" i="202"/>
  <c r="E117" i="202"/>
  <c r="H87" i="202"/>
  <c r="I81" i="202"/>
  <c r="I94" i="202"/>
  <c r="I115" i="202"/>
  <c r="F103" i="202"/>
  <c r="H82" i="202"/>
  <c r="G89" i="202"/>
  <c r="G80" i="202"/>
  <c r="G111" i="202"/>
  <c r="D93" i="202"/>
  <c r="H83" i="202"/>
  <c r="G116" i="202"/>
  <c r="I110" i="202"/>
  <c r="H108" i="202"/>
  <c r="I97" i="202"/>
  <c r="E96" i="202"/>
  <c r="E112" i="202"/>
  <c r="E102" i="202"/>
  <c r="F118" i="202"/>
  <c r="I105" i="202"/>
  <c r="H95" i="202"/>
  <c r="G98" i="202"/>
  <c r="G117" i="202"/>
  <c r="E87" i="202"/>
  <c r="G81" i="202"/>
  <c r="H90" i="202"/>
  <c r="E115" i="202"/>
  <c r="D82" i="202"/>
  <c r="I89" i="202"/>
  <c r="F80" i="202"/>
  <c r="G118" i="202"/>
  <c r="E105" i="202"/>
  <c r="D95" i="202"/>
  <c r="I98" i="202"/>
  <c r="F117" i="202"/>
  <c r="D87" i="202"/>
  <c r="D81" i="202"/>
  <c r="I90" i="202"/>
  <c r="D115" i="202"/>
  <c r="E82" i="202"/>
  <c r="H114" i="202"/>
  <c r="E80" i="202"/>
  <c r="D102" i="202"/>
  <c r="D118" i="202"/>
  <c r="F105" i="202"/>
  <c r="I95" i="202"/>
  <c r="F87" i="202"/>
  <c r="F81" i="202"/>
  <c r="D90" i="202"/>
  <c r="H104" i="202"/>
  <c r="G115" i="202"/>
  <c r="G82" i="202"/>
  <c r="I114" i="202"/>
  <c r="I80" i="202"/>
  <c r="I93" i="202"/>
  <c r="H88" i="202"/>
  <c r="D84" i="202"/>
  <c r="I116" i="202"/>
  <c r="D110" i="202"/>
  <c r="F104" i="202"/>
  <c r="G97" i="202"/>
  <c r="H96" i="202"/>
  <c r="F112" i="202"/>
  <c r="E114" i="202"/>
  <c r="H119" i="202"/>
  <c r="G112" i="202"/>
  <c r="D119" i="202"/>
  <c r="E118" i="202"/>
  <c r="G105" i="202"/>
  <c r="E95" i="202"/>
  <c r="H84" i="202"/>
  <c r="G87" i="202"/>
  <c r="E81" i="202"/>
  <c r="F90" i="202"/>
  <c r="E104" i="202"/>
  <c r="F115" i="202"/>
  <c r="H112" i="202"/>
  <c r="I82" i="202"/>
  <c r="D114" i="202"/>
  <c r="F93" i="202"/>
  <c r="E84" i="202"/>
  <c r="I102" i="202"/>
  <c r="I84" i="202"/>
  <c r="H93" i="202"/>
  <c r="F95" i="202"/>
  <c r="F84" i="202"/>
  <c r="I87" i="202"/>
  <c r="H116" i="202"/>
  <c r="G90" i="202"/>
  <c r="I104" i="202"/>
  <c r="H97" i="202"/>
  <c r="D112" i="202"/>
  <c r="F82" i="202"/>
  <c r="F114" i="202"/>
  <c r="H102" i="202"/>
  <c r="G93" i="202"/>
  <c r="G95" i="202"/>
  <c r="G84" i="202"/>
  <c r="D116" i="202"/>
  <c r="E90" i="202"/>
  <c r="H110" i="202"/>
  <c r="D104" i="202"/>
  <c r="D97" i="202"/>
  <c r="I112" i="202"/>
  <c r="G114" i="202"/>
  <c r="G102" i="202"/>
  <c r="E77" i="202"/>
  <c r="D75" i="202"/>
  <c r="I77" i="202"/>
  <c r="F75" i="202"/>
  <c r="G77" i="202"/>
  <c r="G75" i="202"/>
  <c r="H78" i="202"/>
  <c r="F76" i="202"/>
  <c r="I75" i="202"/>
  <c r="E76" i="202"/>
  <c r="H74" i="202"/>
  <c r="G78" i="202"/>
  <c r="G76" i="202"/>
  <c r="D78" i="202"/>
  <c r="D74" i="202"/>
  <c r="I78" i="202"/>
  <c r="I76" i="202"/>
  <c r="E74" i="202"/>
  <c r="G73" i="202"/>
  <c r="F78" i="202"/>
  <c r="I74" i="202"/>
  <c r="H73" i="202"/>
  <c r="E78" i="202"/>
  <c r="F77" i="202"/>
  <c r="H76" i="202"/>
  <c r="D76" i="202"/>
  <c r="F74" i="202"/>
  <c r="E73" i="202"/>
  <c r="G74" i="202"/>
  <c r="D73" i="202"/>
  <c r="I73" i="202"/>
  <c r="H77" i="202"/>
  <c r="H75" i="202"/>
  <c r="F73" i="202"/>
  <c r="D77" i="202"/>
  <c r="E75" i="202"/>
  <c r="F117" i="502"/>
  <c r="I118" i="508"/>
  <c r="W104" i="823"/>
  <c r="I118" i="200"/>
  <c r="H109" i="508"/>
  <c r="H109" i="200"/>
  <c r="V95" i="823"/>
  <c r="M71" i="823"/>
  <c r="T71" i="823" s="1"/>
  <c r="T74" i="823"/>
  <c r="F88" i="200"/>
  <c r="F88" i="508"/>
  <c r="S73" i="823"/>
  <c r="E87" i="200"/>
  <c r="E87" i="508"/>
  <c r="N38" i="823"/>
  <c r="M38" i="823"/>
  <c r="P38" i="823"/>
  <c r="K38" i="823"/>
  <c r="L38" i="823"/>
  <c r="O38" i="823"/>
  <c r="U67" i="823"/>
  <c r="G81" i="200"/>
  <c r="G81" i="508"/>
  <c r="U80" i="823"/>
  <c r="G94" i="200"/>
  <c r="G94" i="508"/>
  <c r="T90" i="823"/>
  <c r="F104" i="508"/>
  <c r="F104" i="200"/>
  <c r="R83" i="823"/>
  <c r="D97" i="200"/>
  <c r="D97" i="508"/>
  <c r="T55" i="823"/>
  <c r="F77" i="508"/>
  <c r="F77" i="200"/>
  <c r="U53" i="823"/>
  <c r="G75" i="508"/>
  <c r="G75" i="200"/>
  <c r="L65" i="823"/>
  <c r="S68" i="823"/>
  <c r="E82" i="200"/>
  <c r="E82" i="508"/>
  <c r="T66" i="823"/>
  <c r="M65" i="823"/>
  <c r="F80" i="200"/>
  <c r="F80" i="508"/>
  <c r="S97" i="823"/>
  <c r="E111" i="508"/>
  <c r="E111" i="200"/>
  <c r="G102" i="502"/>
  <c r="I117" i="502"/>
  <c r="T104" i="823"/>
  <c r="F118" i="508"/>
  <c r="F118" i="200"/>
  <c r="N18" i="823"/>
  <c r="M18" i="823"/>
  <c r="L18" i="823"/>
  <c r="P18" i="823"/>
  <c r="K18" i="823"/>
  <c r="O18" i="823"/>
  <c r="W95" i="823"/>
  <c r="I109" i="508"/>
  <c r="I109" i="200"/>
  <c r="U74" i="823"/>
  <c r="G88" i="200"/>
  <c r="G88" i="508"/>
  <c r="R73" i="823"/>
  <c r="D87" i="200"/>
  <c r="D87" i="508"/>
  <c r="M33" i="823"/>
  <c r="T33" i="823" s="1"/>
  <c r="P33" i="823"/>
  <c r="W33" i="823" s="1"/>
  <c r="N33" i="823"/>
  <c r="U33" i="823" s="1"/>
  <c r="L33" i="823"/>
  <c r="S33" i="823" s="1"/>
  <c r="K33" i="823"/>
  <c r="R33" i="823" s="1"/>
  <c r="O33" i="823"/>
  <c r="R67" i="823"/>
  <c r="D81" i="200"/>
  <c r="D81" i="508"/>
  <c r="T80" i="823"/>
  <c r="F94" i="200"/>
  <c r="F94" i="508"/>
  <c r="U90" i="823"/>
  <c r="G104" i="508"/>
  <c r="G104" i="200"/>
  <c r="U83" i="823"/>
  <c r="G97" i="200"/>
  <c r="G97" i="508"/>
  <c r="V82" i="823"/>
  <c r="H96" i="200"/>
  <c r="H96" i="508"/>
  <c r="W53" i="823"/>
  <c r="I75" i="508"/>
  <c r="I75" i="200"/>
  <c r="U68" i="823"/>
  <c r="G82" i="200"/>
  <c r="G82" i="508"/>
  <c r="H114" i="508"/>
  <c r="H114" i="200"/>
  <c r="O99" i="823"/>
  <c r="V99" i="823" s="1"/>
  <c r="V100" i="823"/>
  <c r="S66" i="823"/>
  <c r="E80" i="200"/>
  <c r="E80" i="508"/>
  <c r="W97" i="823"/>
  <c r="I111" i="508"/>
  <c r="I111" i="200"/>
  <c r="I115" i="502"/>
  <c r="H102" i="502"/>
  <c r="G117" i="502"/>
  <c r="U104" i="823"/>
  <c r="G118" i="508"/>
  <c r="G118" i="200"/>
  <c r="N11" i="823"/>
  <c r="M11" i="823"/>
  <c r="P11" i="823"/>
  <c r="L11" i="823"/>
  <c r="K11" i="823"/>
  <c r="O11" i="823"/>
  <c r="R95" i="823"/>
  <c r="D109" i="508"/>
  <c r="D109" i="200"/>
  <c r="Q95" i="823"/>
  <c r="Q84" i="823"/>
  <c r="V84" i="823"/>
  <c r="H98" i="200"/>
  <c r="H98" i="508"/>
  <c r="T73" i="823"/>
  <c r="F87" i="200"/>
  <c r="F87" i="508"/>
  <c r="M40" i="823"/>
  <c r="L40" i="823"/>
  <c r="S40" i="823" s="1"/>
  <c r="N40" i="823"/>
  <c r="P40" i="823"/>
  <c r="K40" i="823"/>
  <c r="O40" i="823"/>
  <c r="T67" i="823"/>
  <c r="F81" i="200"/>
  <c r="F81" i="508"/>
  <c r="R80" i="823"/>
  <c r="D94" i="200"/>
  <c r="D94" i="508"/>
  <c r="Q94" i="823"/>
  <c r="H108" i="508"/>
  <c r="V94" i="823"/>
  <c r="H108" i="200"/>
  <c r="S83" i="823"/>
  <c r="E97" i="200"/>
  <c r="E97" i="508"/>
  <c r="R82" i="823"/>
  <c r="Q82" i="823"/>
  <c r="D96" i="200"/>
  <c r="D96" i="508"/>
  <c r="Q98" i="823"/>
  <c r="H112" i="508"/>
  <c r="H112" i="200"/>
  <c r="V98" i="823"/>
  <c r="W68" i="823"/>
  <c r="I82" i="200"/>
  <c r="I82" i="508"/>
  <c r="W100" i="823"/>
  <c r="I114" i="508"/>
  <c r="P99" i="823"/>
  <c r="W99" i="823" s="1"/>
  <c r="I114" i="200"/>
  <c r="W66" i="823"/>
  <c r="I80" i="200"/>
  <c r="I80" i="508"/>
  <c r="T97" i="823"/>
  <c r="F111" i="508"/>
  <c r="F111" i="200"/>
  <c r="D118" i="508"/>
  <c r="R104" i="823"/>
  <c r="D118" i="200"/>
  <c r="E109" i="508"/>
  <c r="S95" i="823"/>
  <c r="E109" i="200"/>
  <c r="R84" i="823"/>
  <c r="D98" i="200"/>
  <c r="D98" i="508"/>
  <c r="Q70" i="823"/>
  <c r="V70" i="823"/>
  <c r="H84" i="200"/>
  <c r="H84" i="508"/>
  <c r="N71" i="823"/>
  <c r="U71" i="823" s="1"/>
  <c r="U73" i="823"/>
  <c r="G87" i="200"/>
  <c r="G87" i="508"/>
  <c r="M35" i="823"/>
  <c r="P35" i="823"/>
  <c r="K35" i="823"/>
  <c r="L35" i="823"/>
  <c r="N35" i="823"/>
  <c r="O35" i="823"/>
  <c r="P41" i="823"/>
  <c r="M41" i="823"/>
  <c r="N41" i="823"/>
  <c r="K41" i="823"/>
  <c r="L41" i="823"/>
  <c r="O41" i="823"/>
  <c r="S67" i="823"/>
  <c r="E81" i="200"/>
  <c r="E81" i="508"/>
  <c r="W80" i="823"/>
  <c r="I94" i="200"/>
  <c r="I94" i="508"/>
  <c r="W94" i="823"/>
  <c r="I108" i="508"/>
  <c r="I108" i="200"/>
  <c r="W83" i="823"/>
  <c r="I97" i="200"/>
  <c r="I97" i="508"/>
  <c r="S82" i="823"/>
  <c r="E96" i="200"/>
  <c r="E96" i="508"/>
  <c r="R98" i="823"/>
  <c r="D112" i="508"/>
  <c r="D112" i="200"/>
  <c r="T68" i="823"/>
  <c r="F82" i="200"/>
  <c r="F82" i="508"/>
  <c r="D114" i="508"/>
  <c r="K99" i="823"/>
  <c r="D114" i="200"/>
  <c r="R100" i="823"/>
  <c r="Q100" i="823"/>
  <c r="G111" i="508"/>
  <c r="U97" i="823"/>
  <c r="G111" i="200"/>
  <c r="H104" i="502"/>
  <c r="G104" i="502"/>
  <c r="D109" i="502"/>
  <c r="H112" i="502"/>
  <c r="D199" i="502"/>
  <c r="D214" i="502"/>
  <c r="F112" i="502"/>
  <c r="H119" i="502"/>
  <c r="H111" i="502"/>
  <c r="G103" i="502"/>
  <c r="F116" i="502"/>
  <c r="I105" i="502"/>
  <c r="R11" i="130"/>
  <c r="AI130" i="120"/>
  <c r="AI16" i="823"/>
  <c r="AI12" i="823"/>
  <c r="AI125" i="823"/>
  <c r="AI130" i="823"/>
  <c r="AI128" i="823"/>
  <c r="AI129" i="823"/>
  <c r="AI126" i="823"/>
  <c r="AI15" i="823"/>
  <c r="AI122" i="823"/>
  <c r="AI11" i="823"/>
  <c r="AI14" i="823"/>
  <c r="AI10" i="823"/>
  <c r="AI18" i="823"/>
  <c r="AI124" i="823"/>
  <c r="AI123" i="823"/>
  <c r="AI17" i="823"/>
  <c r="AI131" i="823"/>
  <c r="AI133" i="823"/>
  <c r="AI132" i="823"/>
  <c r="S104" i="823"/>
  <c r="E118" i="508"/>
  <c r="E118" i="200"/>
  <c r="N15" i="823"/>
  <c r="L15" i="823"/>
  <c r="K15" i="823"/>
  <c r="M15" i="823"/>
  <c r="P15" i="823"/>
  <c r="O15" i="823"/>
  <c r="Q91" i="823"/>
  <c r="H105" i="508"/>
  <c r="H105" i="200"/>
  <c r="V91" i="823"/>
  <c r="T95" i="823"/>
  <c r="F109" i="508"/>
  <c r="F109" i="200"/>
  <c r="S84" i="823"/>
  <c r="E98" i="200"/>
  <c r="E98" i="508"/>
  <c r="T70" i="823"/>
  <c r="F84" i="200"/>
  <c r="F84" i="508"/>
  <c r="W73" i="823"/>
  <c r="I87" i="200"/>
  <c r="I87" i="508"/>
  <c r="M31" i="823"/>
  <c r="T31" i="823" s="1"/>
  <c r="L31" i="823"/>
  <c r="S31" i="823" s="1"/>
  <c r="N31" i="823"/>
  <c r="U31" i="823" s="1"/>
  <c r="K31" i="823"/>
  <c r="P31" i="823"/>
  <c r="W31" i="823" s="1"/>
  <c r="O31" i="823"/>
  <c r="V31" i="823" s="1"/>
  <c r="V76" i="823"/>
  <c r="H90" i="200"/>
  <c r="H90" i="508"/>
  <c r="U94" i="823"/>
  <c r="G108" i="508"/>
  <c r="G108" i="200"/>
  <c r="T83" i="823"/>
  <c r="F97" i="200"/>
  <c r="F97" i="508"/>
  <c r="W82" i="823"/>
  <c r="I96" i="200"/>
  <c r="I96" i="508"/>
  <c r="I112" i="508"/>
  <c r="W98" i="823"/>
  <c r="I112" i="200"/>
  <c r="Q56" i="823"/>
  <c r="V56" i="823"/>
  <c r="H78" i="508"/>
  <c r="H78" i="200"/>
  <c r="F114" i="508"/>
  <c r="M99" i="823"/>
  <c r="T99" i="823" s="1"/>
  <c r="T100" i="823"/>
  <c r="F114" i="200"/>
  <c r="V54" i="823"/>
  <c r="H76" i="508"/>
  <c r="H76" i="200"/>
  <c r="G112" i="502"/>
  <c r="I119" i="502"/>
  <c r="G111" i="502"/>
  <c r="F103" i="502"/>
  <c r="I116" i="502"/>
  <c r="F105" i="502"/>
  <c r="D205" i="502"/>
  <c r="V79" i="823"/>
  <c r="O78" i="823"/>
  <c r="H93" i="200"/>
  <c r="H93" i="508"/>
  <c r="N17" i="823"/>
  <c r="U17" i="823" s="1"/>
  <c r="M17" i="823"/>
  <c r="T17" i="823" s="1"/>
  <c r="L17" i="823"/>
  <c r="S17" i="823" s="1"/>
  <c r="K17" i="823"/>
  <c r="R17" i="823" s="1"/>
  <c r="P17" i="823"/>
  <c r="W17" i="823" s="1"/>
  <c r="O17" i="823"/>
  <c r="D105" i="508"/>
  <c r="D105" i="200"/>
  <c r="R91" i="823"/>
  <c r="U95" i="823"/>
  <c r="G109" i="508"/>
  <c r="G109" i="200"/>
  <c r="T84" i="823"/>
  <c r="F98" i="200"/>
  <c r="F98" i="508"/>
  <c r="U70" i="823"/>
  <c r="G84" i="200"/>
  <c r="G84" i="508"/>
  <c r="N36" i="823"/>
  <c r="P36" i="823"/>
  <c r="L36" i="823"/>
  <c r="M36" i="823"/>
  <c r="K36" i="823"/>
  <c r="O36" i="823"/>
  <c r="M42" i="823"/>
  <c r="L42" i="823"/>
  <c r="N42" i="823"/>
  <c r="P42" i="823"/>
  <c r="K42" i="823"/>
  <c r="O42" i="823"/>
  <c r="N22" i="823"/>
  <c r="P22" i="823"/>
  <c r="W22" i="823" s="1"/>
  <c r="L22" i="823"/>
  <c r="M22" i="823"/>
  <c r="K22" i="823"/>
  <c r="O22" i="823"/>
  <c r="W76" i="823"/>
  <c r="I90" i="200"/>
  <c r="I90" i="508"/>
  <c r="F108" i="508"/>
  <c r="T94" i="823"/>
  <c r="F108" i="200"/>
  <c r="Q89" i="823"/>
  <c r="H103" i="508"/>
  <c r="H103" i="200"/>
  <c r="V89" i="823"/>
  <c r="T82" i="823"/>
  <c r="F96" i="200"/>
  <c r="F96" i="508"/>
  <c r="T98" i="823"/>
  <c r="F112" i="508"/>
  <c r="F112" i="200"/>
  <c r="R56" i="823"/>
  <c r="D78" i="508"/>
  <c r="D78" i="200"/>
  <c r="G114" i="508"/>
  <c r="N99" i="823"/>
  <c r="U99" i="823" s="1"/>
  <c r="U100" i="823"/>
  <c r="G114" i="200"/>
  <c r="R54" i="823"/>
  <c r="Q54" i="823"/>
  <c r="D76" i="508"/>
  <c r="D76" i="200"/>
  <c r="D112" i="502"/>
  <c r="E112" i="502"/>
  <c r="E103" i="502"/>
  <c r="D206" i="502"/>
  <c r="U79" i="823"/>
  <c r="N78" i="823"/>
  <c r="U78" i="823" s="1"/>
  <c r="G93" i="200"/>
  <c r="G93" i="508"/>
  <c r="L12" i="823"/>
  <c r="S12" i="823" s="1"/>
  <c r="P12" i="823"/>
  <c r="W12" i="823" s="1"/>
  <c r="N12" i="823"/>
  <c r="U12" i="823" s="1"/>
  <c r="M12" i="823"/>
  <c r="T12" i="823" s="1"/>
  <c r="K12" i="823"/>
  <c r="R12" i="823" s="1"/>
  <c r="O12" i="823"/>
  <c r="I105" i="508"/>
  <c r="W91" i="823"/>
  <c r="I105" i="200"/>
  <c r="Q81" i="823"/>
  <c r="V81" i="823"/>
  <c r="H95" i="200"/>
  <c r="H95" i="508"/>
  <c r="U84" i="823"/>
  <c r="G98" i="200"/>
  <c r="G98" i="508"/>
  <c r="R70" i="823"/>
  <c r="D84" i="200"/>
  <c r="D84" i="508"/>
  <c r="N30" i="823"/>
  <c r="U30" i="823" s="1"/>
  <c r="M30" i="823"/>
  <c r="T30" i="823" s="1"/>
  <c r="L30" i="823"/>
  <c r="S30" i="823" s="1"/>
  <c r="K30" i="823"/>
  <c r="R30" i="823" s="1"/>
  <c r="P30" i="823"/>
  <c r="W30" i="823" s="1"/>
  <c r="O30" i="823"/>
  <c r="S94" i="823"/>
  <c r="E108" i="508"/>
  <c r="E108" i="200"/>
  <c r="U82" i="823"/>
  <c r="G96" i="200"/>
  <c r="G96" i="508"/>
  <c r="G112" i="508"/>
  <c r="U98" i="823"/>
  <c r="G112" i="200"/>
  <c r="U56" i="823"/>
  <c r="G78" i="508"/>
  <c r="G78" i="200"/>
  <c r="H114" i="502"/>
  <c r="G119" i="502"/>
  <c r="D105" i="502"/>
  <c r="E111" i="502"/>
  <c r="H103" i="502"/>
  <c r="E116" i="502"/>
  <c r="G105" i="502"/>
  <c r="W79" i="823"/>
  <c r="P78" i="823"/>
  <c r="W78" i="823" s="1"/>
  <c r="I93" i="200"/>
  <c r="I93" i="508"/>
  <c r="E105" i="508"/>
  <c r="S91" i="823"/>
  <c r="E105" i="200"/>
  <c r="K78" i="823"/>
  <c r="R78" i="823" s="1"/>
  <c r="R81" i="823"/>
  <c r="D95" i="200"/>
  <c r="D95" i="508"/>
  <c r="W84" i="823"/>
  <c r="I98" i="200"/>
  <c r="I98" i="508"/>
  <c r="S70" i="823"/>
  <c r="E84" i="200"/>
  <c r="E84" i="508"/>
  <c r="K24" i="823"/>
  <c r="R24" i="823" s="1"/>
  <c r="P24" i="823"/>
  <c r="W24" i="823" s="1"/>
  <c r="M24" i="823"/>
  <c r="T24" i="823" s="1"/>
  <c r="L24" i="823"/>
  <c r="S24" i="823" s="1"/>
  <c r="N24" i="823"/>
  <c r="U24" i="823" s="1"/>
  <c r="O24" i="823"/>
  <c r="L37" i="823"/>
  <c r="S37" i="823" s="1"/>
  <c r="M37" i="823"/>
  <c r="T37" i="823" s="1"/>
  <c r="K37" i="823"/>
  <c r="N37" i="823"/>
  <c r="U37" i="823" s="1"/>
  <c r="P37" i="823"/>
  <c r="W37" i="823" s="1"/>
  <c r="O37" i="823"/>
  <c r="V37" i="823" s="1"/>
  <c r="M46" i="823"/>
  <c r="K46" i="823"/>
  <c r="N46" i="823"/>
  <c r="L46" i="823"/>
  <c r="P46" i="823"/>
  <c r="O46" i="823"/>
  <c r="D116" i="508"/>
  <c r="D116" i="200"/>
  <c r="R102" i="823"/>
  <c r="Q102" i="823"/>
  <c r="T76" i="823"/>
  <c r="F90" i="200"/>
  <c r="F90" i="508"/>
  <c r="V51" i="823"/>
  <c r="O50" i="823"/>
  <c r="V50" i="823" s="1"/>
  <c r="H73" i="508"/>
  <c r="H73" i="200"/>
  <c r="D108" i="508"/>
  <c r="R94" i="823"/>
  <c r="D108" i="200"/>
  <c r="W89" i="823"/>
  <c r="I103" i="508"/>
  <c r="I103" i="200"/>
  <c r="E112" i="508"/>
  <c r="S98" i="823"/>
  <c r="E112" i="200"/>
  <c r="W56" i="823"/>
  <c r="I78" i="508"/>
  <c r="I78" i="200"/>
  <c r="V77" i="823"/>
  <c r="H91" i="200"/>
  <c r="H91" i="508"/>
  <c r="S54" i="823"/>
  <c r="E76" i="508"/>
  <c r="E76" i="200"/>
  <c r="H105" i="502"/>
  <c r="T79" i="823"/>
  <c r="M78" i="823"/>
  <c r="T78" i="823" s="1"/>
  <c r="F93" i="200"/>
  <c r="F93" i="508"/>
  <c r="T91" i="823"/>
  <c r="F105" i="508"/>
  <c r="F105" i="200"/>
  <c r="W81" i="823"/>
  <c r="I95" i="200"/>
  <c r="I95" i="508"/>
  <c r="Q103" i="823"/>
  <c r="H117" i="508"/>
  <c r="V103" i="823"/>
  <c r="H117" i="200"/>
  <c r="W70" i="823"/>
  <c r="I84" i="200"/>
  <c r="I84" i="508"/>
  <c r="L28" i="823"/>
  <c r="N28" i="823"/>
  <c r="K28" i="823"/>
  <c r="M28" i="823"/>
  <c r="P28" i="823"/>
  <c r="O28" i="823"/>
  <c r="Q69" i="823"/>
  <c r="V69" i="823"/>
  <c r="H83" i="200"/>
  <c r="H83" i="508"/>
  <c r="W102" i="823"/>
  <c r="I116" i="508"/>
  <c r="I116" i="200"/>
  <c r="U76" i="823"/>
  <c r="G90" i="200"/>
  <c r="G90" i="508"/>
  <c r="S51" i="823"/>
  <c r="L50" i="823"/>
  <c r="S50" i="823" s="1"/>
  <c r="E73" i="508"/>
  <c r="E73" i="200"/>
  <c r="S89" i="823"/>
  <c r="E103" i="508"/>
  <c r="E103" i="200"/>
  <c r="H101" i="508"/>
  <c r="H101" i="200"/>
  <c r="V87" i="823"/>
  <c r="O86" i="823"/>
  <c r="V86" i="823" s="1"/>
  <c r="T56" i="823"/>
  <c r="F78" i="508"/>
  <c r="F78" i="200"/>
  <c r="R77" i="823"/>
  <c r="Q77" i="823"/>
  <c r="D91" i="200"/>
  <c r="D91" i="508"/>
  <c r="Q88" i="823"/>
  <c r="H102" i="508"/>
  <c r="H102" i="200"/>
  <c r="V88" i="823"/>
  <c r="U54" i="823"/>
  <c r="G76" i="508"/>
  <c r="G76" i="200"/>
  <c r="D107" i="502"/>
  <c r="G116" i="502"/>
  <c r="E114" i="508"/>
  <c r="S100" i="823"/>
  <c r="E114" i="200"/>
  <c r="F111" i="502"/>
  <c r="D103" i="502"/>
  <c r="I118" i="502"/>
  <c r="E110" i="502"/>
  <c r="G107" i="502"/>
  <c r="I108" i="502"/>
  <c r="H107" i="508"/>
  <c r="V93" i="823"/>
  <c r="H107" i="200"/>
  <c r="O92" i="823"/>
  <c r="V92" i="823" s="1"/>
  <c r="R79" i="823"/>
  <c r="Q79" i="823"/>
  <c r="D93" i="200"/>
  <c r="D93" i="508"/>
  <c r="L16" i="823"/>
  <c r="M16" i="823"/>
  <c r="P16" i="823"/>
  <c r="N16" i="823"/>
  <c r="K16" i="823"/>
  <c r="O16" i="823"/>
  <c r="G105" i="508"/>
  <c r="U91" i="823"/>
  <c r="G105" i="200"/>
  <c r="S81" i="823"/>
  <c r="E95" i="200"/>
  <c r="E95" i="508"/>
  <c r="I117" i="508"/>
  <c r="W103" i="823"/>
  <c r="I117" i="200"/>
  <c r="V72" i="823"/>
  <c r="O71" i="823"/>
  <c r="V71" i="823" s="1"/>
  <c r="H86" i="200"/>
  <c r="H86" i="508"/>
  <c r="M29" i="823"/>
  <c r="P29" i="823"/>
  <c r="L29" i="823"/>
  <c r="K29" i="823"/>
  <c r="N29" i="823"/>
  <c r="O29" i="823"/>
  <c r="L48" i="823"/>
  <c r="M48" i="823"/>
  <c r="N48" i="823"/>
  <c r="P48" i="823"/>
  <c r="K48" i="823"/>
  <c r="O48" i="823"/>
  <c r="R69" i="823"/>
  <c r="D83" i="200"/>
  <c r="D83" i="508"/>
  <c r="T102" i="823"/>
  <c r="F116" i="508"/>
  <c r="F116" i="200"/>
  <c r="S76" i="823"/>
  <c r="E90" i="200"/>
  <c r="E90" i="508"/>
  <c r="V96" i="823"/>
  <c r="H110" i="508"/>
  <c r="H110" i="200"/>
  <c r="R51" i="823"/>
  <c r="Q51" i="823"/>
  <c r="K50" i="823"/>
  <c r="D73" i="508"/>
  <c r="D73" i="200"/>
  <c r="Q101" i="823"/>
  <c r="H115" i="508"/>
  <c r="H115" i="200"/>
  <c r="V101" i="823"/>
  <c r="U89" i="823"/>
  <c r="G103" i="508"/>
  <c r="G103" i="200"/>
  <c r="I101" i="508"/>
  <c r="W87" i="823"/>
  <c r="P86" i="823"/>
  <c r="W86" i="823" s="1"/>
  <c r="I101" i="200"/>
  <c r="S56" i="823"/>
  <c r="E78" i="508"/>
  <c r="E78" i="200"/>
  <c r="S77" i="823"/>
  <c r="E91" i="200"/>
  <c r="E91" i="508"/>
  <c r="N86" i="823"/>
  <c r="U86" i="823" s="1"/>
  <c r="G102" i="508"/>
  <c r="U88" i="823"/>
  <c r="G102" i="200"/>
  <c r="W54" i="823"/>
  <c r="I76" i="508"/>
  <c r="I76" i="200"/>
  <c r="D102" i="502"/>
  <c r="H115" i="502"/>
  <c r="I114" i="502"/>
  <c r="E118" i="502"/>
  <c r="E107" i="502"/>
  <c r="H108" i="502"/>
  <c r="W93" i="823"/>
  <c r="I107" i="508"/>
  <c r="I107" i="200"/>
  <c r="P92" i="823"/>
  <c r="W92" i="823" s="1"/>
  <c r="S79" i="823"/>
  <c r="L78" i="823"/>
  <c r="S78" i="823" s="1"/>
  <c r="E93" i="200"/>
  <c r="E93" i="508"/>
  <c r="Q52" i="823"/>
  <c r="V52" i="823"/>
  <c r="H74" i="508"/>
  <c r="H74" i="200"/>
  <c r="T81" i="823"/>
  <c r="F95" i="200"/>
  <c r="F95" i="508"/>
  <c r="D117" i="508"/>
  <c r="R103" i="823"/>
  <c r="D117" i="200"/>
  <c r="P71" i="823"/>
  <c r="W71" i="823" s="1"/>
  <c r="W72" i="823"/>
  <c r="I86" i="200"/>
  <c r="I86" i="508"/>
  <c r="N23" i="823"/>
  <c r="U23" i="823" s="1"/>
  <c r="M23" i="823"/>
  <c r="T23" i="823" s="1"/>
  <c r="P23" i="823"/>
  <c r="L23" i="823"/>
  <c r="S23" i="823" s="1"/>
  <c r="K23" i="823"/>
  <c r="R23" i="823" s="1"/>
  <c r="O23" i="823"/>
  <c r="N65" i="823"/>
  <c r="U69" i="823"/>
  <c r="G83" i="200"/>
  <c r="G83" i="508"/>
  <c r="U102" i="823"/>
  <c r="G116" i="508"/>
  <c r="G116" i="200"/>
  <c r="R96" i="823"/>
  <c r="D110" i="508"/>
  <c r="Q96" i="823"/>
  <c r="D110" i="200"/>
  <c r="W51" i="823"/>
  <c r="P50" i="823"/>
  <c r="W50" i="823" s="1"/>
  <c r="I73" i="508"/>
  <c r="I73" i="200"/>
  <c r="I115" i="508"/>
  <c r="W101" i="823"/>
  <c r="I115" i="200"/>
  <c r="T89" i="823"/>
  <c r="F103" i="508"/>
  <c r="F103" i="200"/>
  <c r="E101" i="508"/>
  <c r="S87" i="823"/>
  <c r="L86" i="823"/>
  <c r="S86" i="823" s="1"/>
  <c r="E101" i="200"/>
  <c r="V75" i="823"/>
  <c r="H89" i="200"/>
  <c r="H89" i="508"/>
  <c r="W77" i="823"/>
  <c r="I91" i="200"/>
  <c r="I91" i="508"/>
  <c r="R88" i="823"/>
  <c r="D102" i="508"/>
  <c r="D102" i="200"/>
  <c r="V105" i="823"/>
  <c r="H119" i="508"/>
  <c r="H119" i="200"/>
  <c r="I103" i="502"/>
  <c r="H116" i="502"/>
  <c r="D116" i="502"/>
  <c r="H110" i="502"/>
  <c r="G114" i="502"/>
  <c r="H118" i="502"/>
  <c r="G110" i="502"/>
  <c r="I109" i="502"/>
  <c r="I107" i="502"/>
  <c r="F108" i="502"/>
  <c r="AI6" i="823"/>
  <c r="AI7" i="823"/>
  <c r="AI118" i="823"/>
  <c r="AI117" i="823"/>
  <c r="AI114" i="823"/>
  <c r="AI115" i="823"/>
  <c r="AI116" i="823"/>
  <c r="AI120" i="823"/>
  <c r="AI119" i="823"/>
  <c r="D107" i="508"/>
  <c r="D107" i="200"/>
  <c r="K92" i="823"/>
  <c r="R93" i="823"/>
  <c r="Q93" i="823"/>
  <c r="R52" i="823"/>
  <c r="D74" i="508"/>
  <c r="D74" i="200"/>
  <c r="U81" i="823"/>
  <c r="G95" i="200"/>
  <c r="G95" i="508"/>
  <c r="L99" i="823"/>
  <c r="S99" i="823" s="1"/>
  <c r="E117" i="508"/>
  <c r="S103" i="823"/>
  <c r="E117" i="200"/>
  <c r="R72" i="823"/>
  <c r="K71" i="823"/>
  <c r="Q72" i="823"/>
  <c r="D86" i="200"/>
  <c r="D86" i="508"/>
  <c r="S69" i="823"/>
  <c r="E83" i="200"/>
  <c r="E83" i="508"/>
  <c r="E116" i="508"/>
  <c r="S102" i="823"/>
  <c r="E116" i="200"/>
  <c r="E110" i="508"/>
  <c r="S96" i="823"/>
  <c r="E110" i="200"/>
  <c r="T51" i="823"/>
  <c r="F73" i="508"/>
  <c r="F73" i="200"/>
  <c r="E115" i="508"/>
  <c r="S101" i="823"/>
  <c r="E115" i="200"/>
  <c r="V55" i="823"/>
  <c r="H77" i="508"/>
  <c r="H77" i="200"/>
  <c r="R87" i="823"/>
  <c r="D101" i="508"/>
  <c r="D101" i="200"/>
  <c r="K86" i="823"/>
  <c r="Q87" i="823"/>
  <c r="S75" i="823"/>
  <c r="E89" i="200"/>
  <c r="E89" i="508"/>
  <c r="T77" i="823"/>
  <c r="F91" i="200"/>
  <c r="F91" i="508"/>
  <c r="W88" i="823"/>
  <c r="I102" i="508"/>
  <c r="I102" i="200"/>
  <c r="I119" i="508"/>
  <c r="W105" i="823"/>
  <c r="I119" i="200"/>
  <c r="D213" i="502"/>
  <c r="F114" i="502"/>
  <c r="D101" i="502"/>
  <c r="H109" i="502"/>
  <c r="H101" i="502"/>
  <c r="H107" i="502"/>
  <c r="G108" i="502"/>
  <c r="AI34" i="823"/>
  <c r="AI33" i="823"/>
  <c r="AI139" i="823"/>
  <c r="AI45" i="823"/>
  <c r="AI21" i="823"/>
  <c r="AI144" i="823"/>
  <c r="AI135" i="823"/>
  <c r="AI137" i="823"/>
  <c r="AI41" i="823"/>
  <c r="AI143" i="823"/>
  <c r="AI44" i="823"/>
  <c r="AI37" i="823"/>
  <c r="AI29" i="823"/>
  <c r="AI142" i="823"/>
  <c r="AI48" i="823"/>
  <c r="AI27" i="823"/>
  <c r="AI38" i="823"/>
  <c r="AI42" i="823"/>
  <c r="AI22" i="823"/>
  <c r="AI31" i="823"/>
  <c r="AI32" i="823"/>
  <c r="AI47" i="823"/>
  <c r="AI40" i="823"/>
  <c r="AI136" i="823"/>
  <c r="AI141" i="823"/>
  <c r="AI140" i="823"/>
  <c r="AI39" i="823"/>
  <c r="AI30" i="823"/>
  <c r="AI46" i="823"/>
  <c r="AI24" i="823"/>
  <c r="AI23" i="823"/>
  <c r="AI36" i="823"/>
  <c r="AI28" i="823"/>
  <c r="AI43" i="823"/>
  <c r="AI35" i="823"/>
  <c r="U93" i="823"/>
  <c r="G107" i="508"/>
  <c r="N92" i="823"/>
  <c r="U92" i="823" s="1"/>
  <c r="G107" i="200"/>
  <c r="S52" i="823"/>
  <c r="E74" i="508"/>
  <c r="E74" i="200"/>
  <c r="V74" i="823"/>
  <c r="H88" i="200"/>
  <c r="H88" i="508"/>
  <c r="O7" i="823"/>
  <c r="P7" i="823"/>
  <c r="N7" i="823"/>
  <c r="K7" i="823"/>
  <c r="M7" i="823"/>
  <c r="L7" i="823"/>
  <c r="U103" i="823"/>
  <c r="G117" i="508"/>
  <c r="G117" i="200"/>
  <c r="S72" i="823"/>
  <c r="L71" i="823"/>
  <c r="S71" i="823" s="1"/>
  <c r="E86" i="200"/>
  <c r="E86" i="508"/>
  <c r="P43" i="823"/>
  <c r="L43" i="823"/>
  <c r="M43" i="823"/>
  <c r="N43" i="823"/>
  <c r="K43" i="823"/>
  <c r="O43" i="823"/>
  <c r="T69" i="823"/>
  <c r="F83" i="200"/>
  <c r="F83" i="508"/>
  <c r="I110" i="508"/>
  <c r="W96" i="823"/>
  <c r="I110" i="200"/>
  <c r="Q90" i="823"/>
  <c r="H104" i="508"/>
  <c r="H104" i="200"/>
  <c r="V90" i="823"/>
  <c r="R101" i="823"/>
  <c r="D115" i="508"/>
  <c r="D115" i="200"/>
  <c r="R55" i="823"/>
  <c r="Q55" i="823"/>
  <c r="D77" i="508"/>
  <c r="D77" i="200"/>
  <c r="Q53" i="823"/>
  <c r="V53" i="823"/>
  <c r="H75" i="508"/>
  <c r="H75" i="200"/>
  <c r="F101" i="508"/>
  <c r="M86" i="823"/>
  <c r="T86" i="823" s="1"/>
  <c r="T87" i="823"/>
  <c r="F101" i="200"/>
  <c r="R75" i="823"/>
  <c r="Q75" i="823"/>
  <c r="D89" i="200"/>
  <c r="D89" i="508"/>
  <c r="U77" i="823"/>
  <c r="G91" i="200"/>
  <c r="G91" i="508"/>
  <c r="S88" i="823"/>
  <c r="E102" i="508"/>
  <c r="E102" i="200"/>
  <c r="D119" i="508"/>
  <c r="R105" i="823"/>
  <c r="D119" i="200"/>
  <c r="Q105" i="823"/>
  <c r="G115" i="502"/>
  <c r="F102" i="502"/>
  <c r="I112" i="502"/>
  <c r="F119" i="502"/>
  <c r="E119" i="502"/>
  <c r="I111" i="502"/>
  <c r="E105" i="502"/>
  <c r="D115" i="502"/>
  <c r="G118" i="502"/>
  <c r="F110" i="502"/>
  <c r="I104" i="502"/>
  <c r="F118" i="502"/>
  <c r="I110" i="502"/>
  <c r="F109" i="502"/>
  <c r="G101" i="502"/>
  <c r="F107" i="502"/>
  <c r="E108" i="502"/>
  <c r="S93" i="823"/>
  <c r="E107" i="508"/>
  <c r="E107" i="200"/>
  <c r="L92" i="823"/>
  <c r="S92" i="823" s="1"/>
  <c r="W52" i="823"/>
  <c r="I74" i="508"/>
  <c r="I74" i="200"/>
  <c r="W74" i="823"/>
  <c r="I88" i="200"/>
  <c r="I88" i="508"/>
  <c r="T103" i="823"/>
  <c r="F117" i="508"/>
  <c r="F117" i="200"/>
  <c r="T72" i="823"/>
  <c r="F86" i="200"/>
  <c r="F86" i="508"/>
  <c r="W69" i="823"/>
  <c r="I83" i="200"/>
  <c r="I83" i="508"/>
  <c r="T96" i="823"/>
  <c r="F110" i="508"/>
  <c r="F110" i="200"/>
  <c r="S90" i="823"/>
  <c r="E104" i="508"/>
  <c r="E104" i="200"/>
  <c r="U101" i="823"/>
  <c r="G115" i="508"/>
  <c r="G115" i="200"/>
  <c r="S55" i="823"/>
  <c r="E77" i="508"/>
  <c r="E77" i="200"/>
  <c r="S53" i="823"/>
  <c r="E75" i="508"/>
  <c r="E75" i="200"/>
  <c r="U87" i="823"/>
  <c r="G101" i="508"/>
  <c r="G101" i="200"/>
  <c r="T75" i="823"/>
  <c r="F89" i="200"/>
  <c r="F89" i="508"/>
  <c r="Q66" i="823"/>
  <c r="V66" i="823"/>
  <c r="O65" i="823"/>
  <c r="H80" i="200"/>
  <c r="H80" i="508"/>
  <c r="F102" i="508"/>
  <c r="T88" i="823"/>
  <c r="F102" i="200"/>
  <c r="F119" i="508"/>
  <c r="T105" i="823"/>
  <c r="F119" i="200"/>
  <c r="I101" i="502"/>
  <c r="G109" i="502"/>
  <c r="E101" i="502"/>
  <c r="E102" i="502"/>
  <c r="E117" i="502"/>
  <c r="D209" i="502"/>
  <c r="T93" i="823"/>
  <c r="F107" i="508"/>
  <c r="M92" i="823"/>
  <c r="T92" i="823" s="1"/>
  <c r="F107" i="200"/>
  <c r="T52" i="823"/>
  <c r="F74" i="508"/>
  <c r="F74" i="200"/>
  <c r="R74" i="823"/>
  <c r="Q74" i="823"/>
  <c r="D88" i="200"/>
  <c r="D88" i="508"/>
  <c r="U72" i="823"/>
  <c r="G86" i="200"/>
  <c r="G86" i="508"/>
  <c r="M47" i="823"/>
  <c r="P47" i="823"/>
  <c r="K47" i="823"/>
  <c r="L47" i="823"/>
  <c r="N47" i="823"/>
  <c r="O47" i="823"/>
  <c r="P45" i="823"/>
  <c r="W45" i="823" s="1"/>
  <c r="K45" i="823"/>
  <c r="M45" i="823"/>
  <c r="T45" i="823" s="1"/>
  <c r="L45" i="823"/>
  <c r="N45" i="823"/>
  <c r="O45" i="823"/>
  <c r="Q67" i="823"/>
  <c r="V67" i="823"/>
  <c r="H81" i="200"/>
  <c r="H81" i="508"/>
  <c r="Q80" i="823"/>
  <c r="V80" i="823"/>
  <c r="H94" i="200"/>
  <c r="H94" i="508"/>
  <c r="U96" i="823"/>
  <c r="G110" i="508"/>
  <c r="G110" i="200"/>
  <c r="I104" i="508"/>
  <c r="W90" i="823"/>
  <c r="I104" i="200"/>
  <c r="T101" i="823"/>
  <c r="F115" i="508"/>
  <c r="F115" i="200"/>
  <c r="W55" i="823"/>
  <c r="I77" i="508"/>
  <c r="I77" i="200"/>
  <c r="R53" i="823"/>
  <c r="D75" i="508"/>
  <c r="D75" i="200"/>
  <c r="V68" i="823"/>
  <c r="H82" i="200"/>
  <c r="H82" i="508"/>
  <c r="U75" i="823"/>
  <c r="G89" i="200"/>
  <c r="G89" i="508"/>
  <c r="R66" i="823"/>
  <c r="K65" i="823"/>
  <c r="D80" i="200"/>
  <c r="D80" i="508"/>
  <c r="V97" i="823"/>
  <c r="H111" i="508"/>
  <c r="H111" i="200"/>
  <c r="E119" i="508"/>
  <c r="S105" i="823"/>
  <c r="E119" i="200"/>
  <c r="M32" i="823"/>
  <c r="N32" i="823"/>
  <c r="P32" i="823"/>
  <c r="L32" i="823"/>
  <c r="K32" i="823"/>
  <c r="O32" i="823"/>
  <c r="H116" i="508"/>
  <c r="H116" i="200"/>
  <c r="V102" i="823"/>
  <c r="R76" i="823"/>
  <c r="Q76" i="823"/>
  <c r="D90" i="200"/>
  <c r="D90" i="508"/>
  <c r="U51" i="823"/>
  <c r="N50" i="823"/>
  <c r="U50" i="823" s="1"/>
  <c r="G73" i="508"/>
  <c r="G73" i="200"/>
  <c r="D103" i="508"/>
  <c r="D103" i="200"/>
  <c r="R89" i="823"/>
  <c r="M50" i="823"/>
  <c r="T50" i="823" s="1"/>
  <c r="T54" i="823"/>
  <c r="F76" i="508"/>
  <c r="F76" i="200"/>
  <c r="D117" i="502"/>
  <c r="E114" i="502"/>
  <c r="F104" i="502"/>
  <c r="F115" i="502"/>
  <c r="E104" i="502"/>
  <c r="E115" i="502"/>
  <c r="D108" i="502"/>
  <c r="E109" i="502"/>
  <c r="F101" i="502"/>
  <c r="I102" i="502"/>
  <c r="H117" i="502"/>
  <c r="Q104" i="823"/>
  <c r="H118" i="508"/>
  <c r="H118" i="200"/>
  <c r="V104" i="823"/>
  <c r="U52" i="823"/>
  <c r="G74" i="508"/>
  <c r="G74" i="200"/>
  <c r="S74" i="823"/>
  <c r="E88" i="200"/>
  <c r="E88" i="508"/>
  <c r="L6" i="823"/>
  <c r="P6" i="823"/>
  <c r="K6" i="823"/>
  <c r="M6" i="823"/>
  <c r="N6" i="823"/>
  <c r="O6" i="823"/>
  <c r="Q73" i="823"/>
  <c r="V73" i="823"/>
  <c r="H87" i="200"/>
  <c r="H87" i="508"/>
  <c r="P65" i="823"/>
  <c r="W67" i="823"/>
  <c r="I81" i="200"/>
  <c r="I81" i="508"/>
  <c r="S80" i="823"/>
  <c r="E94" i="200"/>
  <c r="E94" i="508"/>
  <c r="D104" i="508"/>
  <c r="R90" i="823"/>
  <c r="D104" i="200"/>
  <c r="Q83" i="823"/>
  <c r="V83" i="823"/>
  <c r="H97" i="200"/>
  <c r="H97" i="508"/>
  <c r="U55" i="823"/>
  <c r="G77" i="508"/>
  <c r="G77" i="200"/>
  <c r="T53" i="823"/>
  <c r="F75" i="508"/>
  <c r="F75" i="200"/>
  <c r="Q68" i="823"/>
  <c r="R68" i="823"/>
  <c r="D82" i="200"/>
  <c r="D82" i="508"/>
  <c r="W75" i="823"/>
  <c r="I89" i="200"/>
  <c r="I89" i="508"/>
  <c r="U66" i="823"/>
  <c r="G80" i="200"/>
  <c r="G80" i="508"/>
  <c r="R97" i="823"/>
  <c r="D111" i="508"/>
  <c r="D111" i="200"/>
  <c r="Q97" i="823"/>
  <c r="U105" i="823"/>
  <c r="G119" i="508"/>
  <c r="G119" i="200"/>
  <c r="H115" i="658"/>
  <c r="H115" i="657"/>
  <c r="H114" i="657"/>
  <c r="H114" i="658"/>
  <c r="I103" i="658"/>
  <c r="I103" i="657"/>
  <c r="E114" i="657"/>
  <c r="E114" i="658"/>
  <c r="D110" i="657"/>
  <c r="D110" i="658"/>
  <c r="D114" i="658"/>
  <c r="D114" i="657"/>
  <c r="E110" i="658"/>
  <c r="E110" i="657"/>
  <c r="H109" i="658"/>
  <c r="H109" i="657"/>
  <c r="F109" i="658"/>
  <c r="F109" i="657"/>
  <c r="F104" i="657"/>
  <c r="F104" i="658"/>
  <c r="I101" i="657"/>
  <c r="I101" i="658"/>
  <c r="G108" i="657"/>
  <c r="G108" i="658"/>
  <c r="D101" i="657"/>
  <c r="D101" i="658"/>
  <c r="E112" i="658"/>
  <c r="E112" i="657"/>
  <c r="H117" i="657"/>
  <c r="H117" i="658"/>
  <c r="D111" i="657"/>
  <c r="D111" i="658"/>
  <c r="H107" i="658"/>
  <c r="H107" i="657"/>
  <c r="I104" i="657"/>
  <c r="I104" i="658"/>
  <c r="I118" i="658"/>
  <c r="I118" i="657"/>
  <c r="H119" i="657"/>
  <c r="H119" i="658"/>
  <c r="G102" i="657"/>
  <c r="G102" i="658"/>
  <c r="H105" i="658"/>
  <c r="H105" i="657"/>
  <c r="H116" i="658"/>
  <c r="H116" i="657"/>
  <c r="E117" i="657"/>
  <c r="E117" i="658"/>
  <c r="D107" i="658"/>
  <c r="D107" i="657"/>
  <c r="G104" i="657"/>
  <c r="G104" i="658"/>
  <c r="G107" i="658"/>
  <c r="G107" i="657"/>
  <c r="G117" i="657"/>
  <c r="G117" i="658"/>
  <c r="G105" i="658"/>
  <c r="G105" i="657"/>
  <c r="I108" i="657"/>
  <c r="I108" i="658"/>
  <c r="F112" i="658"/>
  <c r="F112" i="657"/>
  <c r="E111" i="657"/>
  <c r="E111" i="658"/>
  <c r="F107" i="657"/>
  <c r="F107" i="658"/>
  <c r="E104" i="657"/>
  <c r="E104" i="658"/>
  <c r="H118" i="658"/>
  <c r="H118" i="657"/>
  <c r="I119" i="657"/>
  <c r="I119" i="658"/>
  <c r="H102" i="657"/>
  <c r="H102" i="658"/>
  <c r="G103" i="658"/>
  <c r="G103" i="657"/>
  <c r="D116" i="658"/>
  <c r="D116" i="657"/>
  <c r="F116" i="657"/>
  <c r="F116" i="658"/>
  <c r="D115" i="658"/>
  <c r="D115" i="657"/>
  <c r="I110" i="657"/>
  <c r="I110" i="658"/>
  <c r="D109" i="657"/>
  <c r="D109" i="658"/>
  <c r="F105" i="657"/>
  <c r="F105" i="658"/>
  <c r="E105" i="657"/>
  <c r="E105" i="658"/>
  <c r="G109" i="658"/>
  <c r="G109" i="657"/>
  <c r="D104" i="658"/>
  <c r="D104" i="657"/>
  <c r="G119" i="657"/>
  <c r="G119" i="658"/>
  <c r="E108" i="657"/>
  <c r="E108" i="658"/>
  <c r="I112" i="658"/>
  <c r="I112" i="657"/>
  <c r="I111" i="658"/>
  <c r="I111" i="657"/>
  <c r="F118" i="658"/>
  <c r="F118" i="657"/>
  <c r="D102" i="657"/>
  <c r="D102" i="658"/>
  <c r="F103" i="658"/>
  <c r="F103" i="657"/>
  <c r="E116" i="658"/>
  <c r="E116" i="657"/>
  <c r="G116" i="658"/>
  <c r="G116" i="657"/>
  <c r="F114" i="657"/>
  <c r="F114" i="658"/>
  <c r="F110" i="658"/>
  <c r="F110" i="657"/>
  <c r="E107" i="658"/>
  <c r="E107" i="657"/>
  <c r="H104" i="657"/>
  <c r="H104" i="658"/>
  <c r="D119" i="657"/>
  <c r="D119" i="658"/>
  <c r="E101" i="658"/>
  <c r="E101" i="657"/>
  <c r="F117" i="657"/>
  <c r="F117" i="658"/>
  <c r="E119" i="658"/>
  <c r="E119" i="657"/>
  <c r="D108" i="657"/>
  <c r="D108" i="658"/>
  <c r="G111" i="657"/>
  <c r="G111" i="658"/>
  <c r="I107" i="657"/>
  <c r="I107" i="658"/>
  <c r="H108" i="658"/>
  <c r="H108" i="657"/>
  <c r="H112" i="657"/>
  <c r="H112" i="658"/>
  <c r="H111" i="657"/>
  <c r="H111" i="658"/>
  <c r="G118" i="658"/>
  <c r="G118" i="657"/>
  <c r="G115" i="658"/>
  <c r="G115" i="657"/>
  <c r="I114" i="657"/>
  <c r="I114" i="658"/>
  <c r="G114" i="657"/>
  <c r="G114" i="658"/>
  <c r="D117" i="657"/>
  <c r="D117" i="658"/>
  <c r="H101" i="657"/>
  <c r="H101" i="658"/>
  <c r="F119" i="658"/>
  <c r="F119" i="657"/>
  <c r="F101" i="658"/>
  <c r="F101" i="657"/>
  <c r="H110" i="657"/>
  <c r="H110" i="658"/>
  <c r="G110" i="657"/>
  <c r="G110" i="658"/>
  <c r="E109" i="658"/>
  <c r="E109" i="657"/>
  <c r="I102" i="658"/>
  <c r="I102" i="657"/>
  <c r="D103" i="658"/>
  <c r="D103" i="657"/>
  <c r="G112" i="658"/>
  <c r="G112" i="657"/>
  <c r="I115" i="658"/>
  <c r="I115" i="657"/>
  <c r="E118" i="658"/>
  <c r="E118" i="657"/>
  <c r="F115" i="657"/>
  <c r="F115" i="658"/>
  <c r="F102" i="658"/>
  <c r="F102" i="657"/>
  <c r="H103" i="657"/>
  <c r="H103" i="658"/>
  <c r="I116" i="657"/>
  <c r="I116" i="658"/>
  <c r="I109" i="658"/>
  <c r="I109" i="657"/>
  <c r="G101" i="657"/>
  <c r="G101" i="658"/>
  <c r="I105" i="658"/>
  <c r="I105" i="657"/>
  <c r="I117" i="657"/>
  <c r="I117" i="658"/>
  <c r="D105" i="657"/>
  <c r="D105" i="658"/>
  <c r="F108" i="657"/>
  <c r="F108" i="658"/>
  <c r="F111" i="658"/>
  <c r="F111" i="657"/>
  <c r="E102" i="657"/>
  <c r="E102" i="658"/>
  <c r="E103" i="658"/>
  <c r="E103" i="657"/>
  <c r="D112" i="658"/>
  <c r="D112" i="657"/>
  <c r="E115" i="657"/>
  <c r="E115" i="658"/>
  <c r="D118" i="657"/>
  <c r="D118" i="658"/>
  <c r="D9" i="91"/>
  <c r="AI6" i="129"/>
  <c r="N7" i="129"/>
  <c r="P7" i="129"/>
  <c r="C13" i="606"/>
  <c r="E13" i="606" s="1"/>
  <c r="C15" i="606" s="1"/>
  <c r="E27" i="40"/>
  <c r="E19" i="40"/>
  <c r="E22" i="40" s="1"/>
  <c r="P46" i="120"/>
  <c r="O46" i="120"/>
  <c r="H68" i="654" s="1"/>
  <c r="K46" i="120"/>
  <c r="D68" i="654" s="1"/>
  <c r="N46" i="120"/>
  <c r="M46" i="120"/>
  <c r="F68" i="654" s="1"/>
  <c r="L46" i="120"/>
  <c r="E68" i="654" s="1"/>
  <c r="O36" i="120"/>
  <c r="P36" i="120"/>
  <c r="K36" i="120"/>
  <c r="M36" i="120"/>
  <c r="L36" i="120"/>
  <c r="N36" i="120"/>
  <c r="G58" i="654" s="1"/>
  <c r="O38" i="120"/>
  <c r="H60" i="654" s="1"/>
  <c r="N38" i="120"/>
  <c r="L38" i="120"/>
  <c r="E60" i="654" s="1"/>
  <c r="K38" i="120"/>
  <c r="M38" i="120"/>
  <c r="P38" i="120"/>
  <c r="M31" i="120"/>
  <c r="O31" i="120"/>
  <c r="L31" i="120"/>
  <c r="P31" i="120"/>
  <c r="I53" i="654" s="1"/>
  <c r="N31" i="120"/>
  <c r="K31" i="120"/>
  <c r="N40" i="120"/>
  <c r="O40" i="120"/>
  <c r="M40" i="120"/>
  <c r="L40" i="120"/>
  <c r="P40" i="120"/>
  <c r="K40" i="120"/>
  <c r="L22" i="129"/>
  <c r="Z22" i="129" s="1"/>
  <c r="P22" i="129"/>
  <c r="AD22" i="129" s="1"/>
  <c r="M22" i="129"/>
  <c r="AA22" i="129" s="1"/>
  <c r="N22" i="129"/>
  <c r="AB22" i="129" s="1"/>
  <c r="K22" i="129"/>
  <c r="O22" i="129"/>
  <c r="AC22" i="129" s="1"/>
  <c r="O24" i="129"/>
  <c r="AC24" i="129" s="1"/>
  <c r="N24" i="129"/>
  <c r="AB24" i="129" s="1"/>
  <c r="L24" i="129"/>
  <c r="Z24" i="129" s="1"/>
  <c r="M24" i="129"/>
  <c r="AA24" i="129" s="1"/>
  <c r="P24" i="129"/>
  <c r="AD24" i="129" s="1"/>
  <c r="K24" i="129"/>
  <c r="Y24" i="129" s="1"/>
  <c r="N140" i="120"/>
  <c r="U140" i="120" s="1"/>
  <c r="L140" i="120"/>
  <c r="S140" i="120" s="1"/>
  <c r="M140" i="120"/>
  <c r="T140" i="120" s="1"/>
  <c r="K140" i="120"/>
  <c r="O140" i="120"/>
  <c r="V140" i="120" s="1"/>
  <c r="P140" i="120"/>
  <c r="W140" i="120" s="1"/>
  <c r="M45" i="120"/>
  <c r="L45" i="120"/>
  <c r="E67" i="654" s="1"/>
  <c r="O45" i="120"/>
  <c r="H67" i="654" s="1"/>
  <c r="N45" i="120"/>
  <c r="P45" i="120"/>
  <c r="K45" i="120"/>
  <c r="P144" i="120"/>
  <c r="W144" i="120" s="1"/>
  <c r="O144" i="120"/>
  <c r="V144" i="120" s="1"/>
  <c r="L144" i="120"/>
  <c r="S144" i="120" s="1"/>
  <c r="N144" i="120"/>
  <c r="U144" i="120" s="1"/>
  <c r="K144" i="120"/>
  <c r="R144" i="120" s="1"/>
  <c r="M144" i="120"/>
  <c r="T144" i="120" s="1"/>
  <c r="K37" i="120"/>
  <c r="P37" i="120"/>
  <c r="L37" i="120"/>
  <c r="M37" i="120"/>
  <c r="O37" i="120"/>
  <c r="H59" i="654" s="1"/>
  <c r="N37" i="120"/>
  <c r="G59" i="654" s="1"/>
  <c r="M41" i="120"/>
  <c r="N41" i="120"/>
  <c r="G63" i="654" s="1"/>
  <c r="O41" i="120"/>
  <c r="L41" i="120"/>
  <c r="K41" i="120"/>
  <c r="P41" i="120"/>
  <c r="K37" i="129"/>
  <c r="K37" i="130" s="1"/>
  <c r="P37" i="129"/>
  <c r="W37" i="129" s="1"/>
  <c r="O37" i="129"/>
  <c r="V37" i="129" s="1"/>
  <c r="N37" i="129"/>
  <c r="U37" i="129" s="1"/>
  <c r="M37" i="129"/>
  <c r="T37" i="129" s="1"/>
  <c r="L37" i="129"/>
  <c r="S37" i="129" s="1"/>
  <c r="L48" i="120"/>
  <c r="N48" i="120"/>
  <c r="G70" i="654" s="1"/>
  <c r="O48" i="120"/>
  <c r="K48" i="120"/>
  <c r="D70" i="654" s="1"/>
  <c r="P48" i="120"/>
  <c r="I70" i="654" s="1"/>
  <c r="M48" i="120"/>
  <c r="O29" i="120"/>
  <c r="K29" i="120"/>
  <c r="D51" i="654" s="1"/>
  <c r="N29" i="120"/>
  <c r="M29" i="120"/>
  <c r="F51" i="654" s="1"/>
  <c r="L29" i="120"/>
  <c r="P29" i="120"/>
  <c r="I51" i="654" s="1"/>
  <c r="K141" i="120"/>
  <c r="L141" i="120"/>
  <c r="S141" i="120" s="1"/>
  <c r="P141" i="120"/>
  <c r="W141" i="120" s="1"/>
  <c r="O141" i="120"/>
  <c r="V141" i="120" s="1"/>
  <c r="N141" i="120"/>
  <c r="U141" i="120" s="1"/>
  <c r="M141" i="120"/>
  <c r="T141" i="120" s="1"/>
  <c r="M33" i="120"/>
  <c r="F55" i="654" s="1"/>
  <c r="L33" i="120"/>
  <c r="K33" i="120"/>
  <c r="P33" i="120"/>
  <c r="I55" i="654" s="1"/>
  <c r="O33" i="120"/>
  <c r="H55" i="654" s="1"/>
  <c r="N33" i="120"/>
  <c r="N47" i="120"/>
  <c r="M47" i="120"/>
  <c r="F69" i="654" s="1"/>
  <c r="P47" i="120"/>
  <c r="O47" i="120"/>
  <c r="H69" i="654" s="1"/>
  <c r="K47" i="120"/>
  <c r="D69" i="654" s="1"/>
  <c r="L47" i="120"/>
  <c r="L23" i="129"/>
  <c r="Z23" i="129" s="1"/>
  <c r="O23" i="129"/>
  <c r="AC23" i="129" s="1"/>
  <c r="N23" i="129"/>
  <c r="AB23" i="129" s="1"/>
  <c r="P23" i="129"/>
  <c r="AD23" i="129" s="1"/>
  <c r="K23" i="129"/>
  <c r="Y23" i="129" s="1"/>
  <c r="M23" i="129"/>
  <c r="AA23" i="129" s="1"/>
  <c r="N35" i="129"/>
  <c r="U35" i="129" s="1"/>
  <c r="M35" i="129"/>
  <c r="T35" i="129" s="1"/>
  <c r="L35" i="129"/>
  <c r="S35" i="129" s="1"/>
  <c r="K35" i="129"/>
  <c r="K35" i="130" s="1"/>
  <c r="O35" i="129"/>
  <c r="V35" i="129" s="1"/>
  <c r="P35" i="129"/>
  <c r="W35" i="129" s="1"/>
  <c r="M30" i="129"/>
  <c r="T30" i="129" s="1"/>
  <c r="N30" i="129"/>
  <c r="U30" i="129" s="1"/>
  <c r="O30" i="129"/>
  <c r="V30" i="129" s="1"/>
  <c r="K30" i="129"/>
  <c r="K30" i="130" s="1"/>
  <c r="P30" i="129"/>
  <c r="W30" i="129" s="1"/>
  <c r="L30" i="129"/>
  <c r="S30" i="129" s="1"/>
  <c r="O31" i="129"/>
  <c r="V31" i="129" s="1"/>
  <c r="L31" i="129"/>
  <c r="S31" i="129" s="1"/>
  <c r="K31" i="129"/>
  <c r="R31" i="129" s="1"/>
  <c r="M31" i="129"/>
  <c r="T31" i="129" s="1"/>
  <c r="L33" i="129"/>
  <c r="S33" i="129" s="1"/>
  <c r="K33" i="129"/>
  <c r="R33" i="129" s="1"/>
  <c r="P33" i="129"/>
  <c r="P33" i="130" s="1"/>
  <c r="M33" i="129"/>
  <c r="T33" i="129" s="1"/>
  <c r="N33" i="129"/>
  <c r="U33" i="129" s="1"/>
  <c r="O33" i="129"/>
  <c r="V33" i="129" s="1"/>
  <c r="K43" i="129"/>
  <c r="O43" i="129"/>
  <c r="N43" i="129"/>
  <c r="P43" i="129"/>
  <c r="L43" i="129"/>
  <c r="M43" i="129"/>
  <c r="K142" i="120"/>
  <c r="N142" i="120"/>
  <c r="U142" i="120" s="1"/>
  <c r="O142" i="120"/>
  <c r="V142" i="120" s="1"/>
  <c r="M142" i="120"/>
  <c r="T142" i="120" s="1"/>
  <c r="P142" i="120"/>
  <c r="W142" i="120" s="1"/>
  <c r="L142" i="120"/>
  <c r="S142" i="120" s="1"/>
  <c r="P28" i="129"/>
  <c r="W28" i="129" s="1"/>
  <c r="M28" i="129"/>
  <c r="T28" i="129" s="1"/>
  <c r="L28" i="129"/>
  <c r="S28" i="129" s="1"/>
  <c r="K28" i="129"/>
  <c r="N28" i="129"/>
  <c r="U28" i="129" s="1"/>
  <c r="O28" i="129"/>
  <c r="V28" i="129" s="1"/>
  <c r="P38" i="129"/>
  <c r="L38" i="129"/>
  <c r="K38" i="129"/>
  <c r="O38" i="129"/>
  <c r="N38" i="129"/>
  <c r="M38" i="129"/>
  <c r="L47" i="129"/>
  <c r="M47" i="129"/>
  <c r="N47" i="129"/>
  <c r="K47" i="129"/>
  <c r="O47" i="129"/>
  <c r="P47" i="129"/>
  <c r="M42" i="129"/>
  <c r="O42" i="129"/>
  <c r="K42" i="129"/>
  <c r="N42" i="129"/>
  <c r="P42" i="129"/>
  <c r="L42" i="129"/>
  <c r="L36" i="129"/>
  <c r="P36" i="129"/>
  <c r="O36" i="129"/>
  <c r="M36" i="129"/>
  <c r="K36" i="129"/>
  <c r="N36" i="129"/>
  <c r="O48" i="129"/>
  <c r="K48" i="129"/>
  <c r="P48" i="129"/>
  <c r="N48" i="129"/>
  <c r="M48" i="129"/>
  <c r="L48" i="129"/>
  <c r="N17" i="129"/>
  <c r="U17" i="129" s="1"/>
  <c r="L17" i="129"/>
  <c r="L17" i="130" s="1"/>
  <c r="O17" i="129"/>
  <c r="V17" i="129" s="1"/>
  <c r="M17" i="129"/>
  <c r="T17" i="129" s="1"/>
  <c r="K17" i="129"/>
  <c r="R17" i="129" s="1"/>
  <c r="P17" i="129"/>
  <c r="W17" i="129" s="1"/>
  <c r="M133" i="120"/>
  <c r="T133" i="120" s="1"/>
  <c r="P133" i="120"/>
  <c r="W133" i="120" s="1"/>
  <c r="K133" i="120"/>
  <c r="O133" i="120"/>
  <c r="V133" i="120" s="1"/>
  <c r="N133" i="120"/>
  <c r="U133" i="120" s="1"/>
  <c r="L133" i="120"/>
  <c r="S133" i="120" s="1"/>
  <c r="K130" i="120"/>
  <c r="O130" i="120"/>
  <c r="V130" i="120" s="1"/>
  <c r="L130" i="120"/>
  <c r="S130" i="120" s="1"/>
  <c r="P130" i="120"/>
  <c r="W130" i="120" s="1"/>
  <c r="M130" i="120"/>
  <c r="T130" i="120" s="1"/>
  <c r="N130" i="120"/>
  <c r="U130" i="120" s="1"/>
  <c r="P42" i="120"/>
  <c r="N42" i="120"/>
  <c r="O42" i="120"/>
  <c r="L42" i="120"/>
  <c r="E64" i="654" s="1"/>
  <c r="M42" i="120"/>
  <c r="F64" i="654" s="1"/>
  <c r="K42" i="120"/>
  <c r="N31" i="129"/>
  <c r="U31" i="129" s="1"/>
  <c r="P31" i="129"/>
  <c r="W31" i="129" s="1"/>
  <c r="K143" i="120"/>
  <c r="P143" i="120"/>
  <c r="L143" i="120"/>
  <c r="N143" i="120"/>
  <c r="M143" i="120"/>
  <c r="O143" i="120"/>
  <c r="N40" i="129"/>
  <c r="K40" i="129"/>
  <c r="L40" i="129"/>
  <c r="M40" i="129"/>
  <c r="O40" i="129"/>
  <c r="P40" i="129"/>
  <c r="L18" i="129"/>
  <c r="K18" i="129"/>
  <c r="O18" i="129"/>
  <c r="M18" i="129"/>
  <c r="N18" i="129"/>
  <c r="P18" i="129"/>
  <c r="P131" i="120"/>
  <c r="W131" i="120" s="1"/>
  <c r="K131" i="120"/>
  <c r="M131" i="120"/>
  <c r="T131" i="120" s="1"/>
  <c r="O131" i="120"/>
  <c r="V131" i="120" s="1"/>
  <c r="L131" i="120"/>
  <c r="S131" i="120" s="1"/>
  <c r="N131" i="120"/>
  <c r="U131" i="120" s="1"/>
  <c r="M7" i="120"/>
  <c r="F32" i="654" s="1"/>
  <c r="P7" i="120"/>
  <c r="I32" i="654" s="1"/>
  <c r="O7" i="120"/>
  <c r="H32" i="654" s="1"/>
  <c r="L7" i="120"/>
  <c r="E32" i="654" s="1"/>
  <c r="K7" i="120"/>
  <c r="D32" i="654" s="1"/>
  <c r="N7" i="120"/>
  <c r="G32" i="654" s="1"/>
  <c r="AI42" i="129"/>
  <c r="AI46" i="129"/>
  <c r="AI41" i="129"/>
  <c r="AI44" i="120"/>
  <c r="AI137" i="129"/>
  <c r="AI30" i="129"/>
  <c r="AI139" i="129"/>
  <c r="AI39" i="129"/>
  <c r="AI35" i="129"/>
  <c r="AI34" i="120"/>
  <c r="AI28" i="120"/>
  <c r="AI20" i="120"/>
  <c r="AI143" i="120"/>
  <c r="AI48" i="129"/>
  <c r="AI27" i="120"/>
  <c r="AI22" i="129"/>
  <c r="AI27" i="129"/>
  <c r="AI32" i="120"/>
  <c r="AI22" i="120"/>
  <c r="AI41" i="120"/>
  <c r="AI44" i="129"/>
  <c r="AI144" i="120"/>
  <c r="AI42" i="120"/>
  <c r="AI23" i="129"/>
  <c r="AI40" i="129"/>
  <c r="AI135" i="129"/>
  <c r="AI142" i="120"/>
  <c r="AI29" i="129"/>
  <c r="AI143" i="129"/>
  <c r="AI31" i="129"/>
  <c r="AI34" i="129"/>
  <c r="AI38" i="129"/>
  <c r="AI140" i="129"/>
  <c r="AI136" i="129"/>
  <c r="AI32" i="129"/>
  <c r="AI140" i="120"/>
  <c r="AI43" i="129"/>
  <c r="AI30" i="120"/>
  <c r="AI23" i="120"/>
  <c r="AI36" i="120"/>
  <c r="AI40" i="120"/>
  <c r="AI29" i="120"/>
  <c r="AI33" i="129"/>
  <c r="AI31" i="120"/>
  <c r="AI39" i="120"/>
  <c r="AI47" i="120"/>
  <c r="AI33" i="120"/>
  <c r="AI37" i="120"/>
  <c r="AI48" i="120"/>
  <c r="AI28" i="129"/>
  <c r="AI21" i="129"/>
  <c r="AI36" i="129"/>
  <c r="AI139" i="120"/>
  <c r="AI43" i="120"/>
  <c r="AI47" i="129"/>
  <c r="AI144" i="129"/>
  <c r="AI141" i="120"/>
  <c r="AI46" i="120"/>
  <c r="AI45" i="129"/>
  <c r="L43" i="120"/>
  <c r="E65" i="654" s="1"/>
  <c r="K43" i="120"/>
  <c r="P43" i="120"/>
  <c r="I65" i="654" s="1"/>
  <c r="P35" i="120"/>
  <c r="I57" i="654" s="1"/>
  <c r="O35" i="120"/>
  <c r="H57" i="654" s="1"/>
  <c r="M35" i="120"/>
  <c r="F57" i="654" s="1"/>
  <c r="N35" i="120"/>
  <c r="L35" i="120"/>
  <c r="E57" i="654" s="1"/>
  <c r="K35" i="120"/>
  <c r="D57" i="654" s="1"/>
  <c r="M28" i="120"/>
  <c r="F50" i="654" s="1"/>
  <c r="N28" i="120"/>
  <c r="G50" i="654" s="1"/>
  <c r="P28" i="120"/>
  <c r="I50" i="654" s="1"/>
  <c r="K28" i="120"/>
  <c r="D50" i="654" s="1"/>
  <c r="O28" i="120"/>
  <c r="H50" i="654" s="1"/>
  <c r="L28" i="120"/>
  <c r="E50" i="654" s="1"/>
  <c r="P16" i="120"/>
  <c r="I40" i="654" s="1"/>
  <c r="K16" i="120"/>
  <c r="D40" i="654" s="1"/>
  <c r="M15" i="120"/>
  <c r="F39" i="654" s="1"/>
  <c r="L15" i="120"/>
  <c r="E39" i="654" s="1"/>
  <c r="O15" i="120"/>
  <c r="H39" i="654" s="1"/>
  <c r="J225" i="202"/>
  <c r="J430" i="202" s="1"/>
  <c r="D224" i="202"/>
  <c r="J224" i="202" s="1"/>
  <c r="J235" i="200"/>
  <c r="J428" i="200" s="1"/>
  <c r="I11" i="485" s="1"/>
  <c r="D234" i="200"/>
  <c r="J235" i="202"/>
  <c r="J428" i="202" s="1"/>
  <c r="D234" i="202"/>
  <c r="D224" i="200"/>
  <c r="J224" i="200" s="1"/>
  <c r="J225" i="200"/>
  <c r="J430" i="200" s="1"/>
  <c r="K11" i="485" s="1"/>
  <c r="J235" i="502"/>
  <c r="J428" i="502" s="1"/>
  <c r="D234" i="502"/>
  <c r="J235" i="508"/>
  <c r="J428" i="508" s="1"/>
  <c r="D234" i="508"/>
  <c r="D224" i="508"/>
  <c r="J224" i="508" s="1"/>
  <c r="J225" i="508"/>
  <c r="J430" i="508" s="1"/>
  <c r="J225" i="502"/>
  <c r="J430" i="502" s="1"/>
  <c r="D224" i="502"/>
  <c r="J224" i="502" s="1"/>
  <c r="L116" i="120"/>
  <c r="K116" i="120"/>
  <c r="AI142" i="129"/>
  <c r="AI37" i="129"/>
  <c r="AI24" i="129"/>
  <c r="P15" i="120"/>
  <c r="I39" i="654" s="1"/>
  <c r="O116" i="120"/>
  <c r="AI24" i="120"/>
  <c r="AI141" i="129"/>
  <c r="AI38" i="120"/>
  <c r="N15" i="120"/>
  <c r="G39" i="654" s="1"/>
  <c r="L7" i="129"/>
  <c r="N116" i="120"/>
  <c r="K15" i="120"/>
  <c r="D39" i="654" s="1"/>
  <c r="O7" i="129"/>
  <c r="P116" i="120"/>
  <c r="AI45" i="120"/>
  <c r="AI21" i="120"/>
  <c r="K7" i="129"/>
  <c r="AI35" i="120"/>
  <c r="K45" i="129"/>
  <c r="K45" i="130" s="1"/>
  <c r="L41" i="129"/>
  <c r="O118" i="120"/>
  <c r="V118" i="120" s="1"/>
  <c r="O41" i="129"/>
  <c r="N41" i="129"/>
  <c r="K41" i="129"/>
  <c r="M41" i="129"/>
  <c r="O43" i="120"/>
  <c r="H65" i="654" s="1"/>
  <c r="M29" i="129"/>
  <c r="N43" i="120"/>
  <c r="G65" i="654" s="1"/>
  <c r="AI11" i="120"/>
  <c r="M43" i="120"/>
  <c r="L16" i="129"/>
  <c r="AI5" i="120"/>
  <c r="N11" i="129"/>
  <c r="AB11" i="129" s="1"/>
  <c r="AI116" i="129"/>
  <c r="P11" i="129"/>
  <c r="AD11" i="129" s="1"/>
  <c r="M11" i="129"/>
  <c r="AA11" i="129" s="1"/>
  <c r="AE11" i="129" s="1"/>
  <c r="K11" i="130"/>
  <c r="O11" i="129"/>
  <c r="AC11" i="129" s="1"/>
  <c r="L11" i="129"/>
  <c r="Z11" i="129" s="1"/>
  <c r="AI7" i="120"/>
  <c r="N16" i="129"/>
  <c r="O30" i="120"/>
  <c r="AI6" i="120"/>
  <c r="F42" i="657"/>
  <c r="I52" i="657"/>
  <c r="I90" i="502"/>
  <c r="G90" i="502"/>
  <c r="E80" i="657"/>
  <c r="G82" i="657"/>
  <c r="I91" i="657"/>
  <c r="H89" i="657"/>
  <c r="I98" i="502"/>
  <c r="D77" i="502"/>
  <c r="G75" i="502"/>
  <c r="E93" i="657"/>
  <c r="E91" i="502"/>
  <c r="G81" i="657"/>
  <c r="F80" i="657"/>
  <c r="E95" i="502"/>
  <c r="D83" i="657"/>
  <c r="F82" i="502"/>
  <c r="F32" i="502"/>
  <c r="AI115" i="120"/>
  <c r="F84" i="502"/>
  <c r="H82" i="657"/>
  <c r="H84" i="657"/>
  <c r="H96" i="502"/>
  <c r="I94" i="657"/>
  <c r="F91" i="657"/>
  <c r="K30" i="120"/>
  <c r="F89" i="657"/>
  <c r="F96" i="657"/>
  <c r="I63" i="502"/>
  <c r="G76" i="502"/>
  <c r="H77" i="502"/>
  <c r="E78" i="502"/>
  <c r="F75" i="502"/>
  <c r="D131" i="502"/>
  <c r="D178" i="502"/>
  <c r="D192" i="502"/>
  <c r="S60" i="120"/>
  <c r="L59" i="120"/>
  <c r="S59" i="120" s="1"/>
  <c r="N18" i="120"/>
  <c r="G42" i="654" s="1"/>
  <c r="P18" i="120"/>
  <c r="I42" i="654" s="1"/>
  <c r="I81" i="657"/>
  <c r="E83" i="657"/>
  <c r="H82" i="502"/>
  <c r="D94" i="502"/>
  <c r="G94" i="657"/>
  <c r="G86" i="502"/>
  <c r="D76" i="502"/>
  <c r="G78" i="502"/>
  <c r="I134" i="502"/>
  <c r="G54" i="657"/>
  <c r="Q64" i="120"/>
  <c r="R64" i="120"/>
  <c r="X64" i="120" s="1"/>
  <c r="E90" i="502"/>
  <c r="F90" i="502"/>
  <c r="E88" i="657"/>
  <c r="D93" i="657"/>
  <c r="I91" i="502"/>
  <c r="H81" i="657"/>
  <c r="H87" i="657"/>
  <c r="G95" i="502"/>
  <c r="F83" i="657"/>
  <c r="I82" i="502"/>
  <c r="AI114" i="129"/>
  <c r="AI118" i="129"/>
  <c r="E84" i="502"/>
  <c r="F82" i="657"/>
  <c r="G84" i="657"/>
  <c r="I96" i="502"/>
  <c r="E93" i="502"/>
  <c r="F94" i="657"/>
  <c r="D91" i="657"/>
  <c r="L30" i="120"/>
  <c r="I89" i="657"/>
  <c r="I96" i="657"/>
  <c r="E76" i="502"/>
  <c r="F77" i="502"/>
  <c r="D74" i="502"/>
  <c r="E41" i="657"/>
  <c r="F40" i="502"/>
  <c r="D175" i="502"/>
  <c r="D188" i="502"/>
  <c r="R62" i="120"/>
  <c r="X62" i="120" s="1"/>
  <c r="Q62" i="120"/>
  <c r="U60" i="120"/>
  <c r="N59" i="120"/>
  <c r="U59" i="120" s="1"/>
  <c r="G96" i="502"/>
  <c r="G88" i="657"/>
  <c r="F93" i="657"/>
  <c r="F91" i="502"/>
  <c r="D81" i="657"/>
  <c r="I87" i="657"/>
  <c r="F95" i="502"/>
  <c r="G83" i="657"/>
  <c r="G82" i="502"/>
  <c r="AI120" i="129"/>
  <c r="AI115" i="129"/>
  <c r="H84" i="502"/>
  <c r="E82" i="657"/>
  <c r="F84" i="657"/>
  <c r="F96" i="502"/>
  <c r="F93" i="502"/>
  <c r="E94" i="657"/>
  <c r="E91" i="657"/>
  <c r="N30" i="120"/>
  <c r="G52" i="654" s="1"/>
  <c r="G89" i="657"/>
  <c r="I89" i="502"/>
  <c r="G96" i="657"/>
  <c r="H76" i="502"/>
  <c r="E77" i="502"/>
  <c r="G74" i="502"/>
  <c r="D179" i="502"/>
  <c r="D185" i="502"/>
  <c r="W60" i="120"/>
  <c r="P59" i="120"/>
  <c r="W59" i="120" s="1"/>
  <c r="E84" i="657"/>
  <c r="F97" i="502"/>
  <c r="I88" i="657"/>
  <c r="H93" i="657"/>
  <c r="H91" i="502"/>
  <c r="F81" i="657"/>
  <c r="G87" i="657"/>
  <c r="I95" i="502"/>
  <c r="H83" i="657"/>
  <c r="I86" i="657"/>
  <c r="AI119" i="129"/>
  <c r="AI117" i="120"/>
  <c r="G84" i="502"/>
  <c r="D82" i="657"/>
  <c r="D84" i="657"/>
  <c r="E96" i="502"/>
  <c r="D87" i="502"/>
  <c r="I93" i="502"/>
  <c r="H94" i="657"/>
  <c r="G91" i="657"/>
  <c r="M30" i="120"/>
  <c r="F90" i="657"/>
  <c r="G89" i="502"/>
  <c r="H96" i="657"/>
  <c r="G95" i="657"/>
  <c r="I76" i="502"/>
  <c r="G77" i="502"/>
  <c r="I74" i="502"/>
  <c r="I132" i="502"/>
  <c r="D176" i="502"/>
  <c r="T60" i="120"/>
  <c r="M59" i="120"/>
  <c r="T59" i="120" s="1"/>
  <c r="G97" i="502"/>
  <c r="D88" i="657"/>
  <c r="G93" i="657"/>
  <c r="G91" i="502"/>
  <c r="E97" i="657"/>
  <c r="D88" i="502"/>
  <c r="E87" i="657"/>
  <c r="H95" i="502"/>
  <c r="D86" i="657"/>
  <c r="AI117" i="129"/>
  <c r="AI7" i="129"/>
  <c r="I84" i="502"/>
  <c r="D98" i="657"/>
  <c r="G93" i="502"/>
  <c r="D94" i="657"/>
  <c r="E88" i="502"/>
  <c r="H90" i="657"/>
  <c r="E89" i="502"/>
  <c r="E96" i="657"/>
  <c r="I95" i="657"/>
  <c r="G73" i="502"/>
  <c r="F74" i="502"/>
  <c r="D126" i="502"/>
  <c r="Q61" i="120"/>
  <c r="R61" i="120"/>
  <c r="X61" i="120" s="1"/>
  <c r="Q60" i="120"/>
  <c r="R60" i="120"/>
  <c r="K59" i="120"/>
  <c r="D177" i="502"/>
  <c r="V60" i="120"/>
  <c r="O59" i="120"/>
  <c r="V59" i="120" s="1"/>
  <c r="H88" i="657"/>
  <c r="G83" i="502"/>
  <c r="I94" i="502"/>
  <c r="I88" i="502"/>
  <c r="D96" i="657"/>
  <c r="D98" i="502"/>
  <c r="E73" i="502"/>
  <c r="M32" i="120"/>
  <c r="I97" i="502"/>
  <c r="L18" i="120"/>
  <c r="F88" i="657"/>
  <c r="F80" i="502"/>
  <c r="D97" i="657"/>
  <c r="D87" i="657"/>
  <c r="I83" i="502"/>
  <c r="F86" i="657"/>
  <c r="AI120" i="120"/>
  <c r="AI119" i="120"/>
  <c r="F94" i="502"/>
  <c r="G98" i="657"/>
  <c r="G81" i="502"/>
  <c r="H88" i="502"/>
  <c r="G90" i="657"/>
  <c r="H89" i="502"/>
  <c r="E87" i="502"/>
  <c r="D95" i="657"/>
  <c r="I73" i="502"/>
  <c r="L12" i="129"/>
  <c r="Z12" i="129" s="1"/>
  <c r="H74" i="502"/>
  <c r="G68" i="502"/>
  <c r="D79" i="502"/>
  <c r="K18" i="120"/>
  <c r="H97" i="502"/>
  <c r="I93" i="657"/>
  <c r="D95" i="502"/>
  <c r="G80" i="502"/>
  <c r="F97" i="657"/>
  <c r="G86" i="657"/>
  <c r="H98" i="657"/>
  <c r="H93" i="502"/>
  <c r="E90" i="657"/>
  <c r="F89" i="502"/>
  <c r="H95" i="657"/>
  <c r="E74" i="502"/>
  <c r="D91" i="502"/>
  <c r="K32" i="120"/>
  <c r="E97" i="502"/>
  <c r="O18" i="120"/>
  <c r="H80" i="502"/>
  <c r="I97" i="657"/>
  <c r="H80" i="657"/>
  <c r="H83" i="502"/>
  <c r="E86" i="657"/>
  <c r="AI118" i="120"/>
  <c r="G94" i="502"/>
  <c r="I98" i="657"/>
  <c r="F81" i="502"/>
  <c r="F88" i="502"/>
  <c r="I90" i="657"/>
  <c r="G87" i="502"/>
  <c r="E98" i="502"/>
  <c r="E86" i="502"/>
  <c r="F95" i="657"/>
  <c r="F73" i="502"/>
  <c r="D78" i="502"/>
  <c r="E75" i="502"/>
  <c r="D191" i="502"/>
  <c r="F87" i="657"/>
  <c r="E80" i="502"/>
  <c r="G97" i="657"/>
  <c r="D80" i="657"/>
  <c r="E83" i="502"/>
  <c r="H86" i="657"/>
  <c r="AI116" i="120"/>
  <c r="E94" i="502"/>
  <c r="F98" i="657"/>
  <c r="H81" i="502"/>
  <c r="D89" i="502"/>
  <c r="G88" i="502"/>
  <c r="D90" i="657"/>
  <c r="H87" i="502"/>
  <c r="G98" i="502"/>
  <c r="I86" i="502"/>
  <c r="E95" i="657"/>
  <c r="D73" i="502"/>
  <c r="F78" i="502"/>
  <c r="I75" i="502"/>
  <c r="I51" i="502"/>
  <c r="I54" i="502"/>
  <c r="I80" i="502"/>
  <c r="H97" i="657"/>
  <c r="I80" i="657"/>
  <c r="F83" i="502"/>
  <c r="H94" i="502"/>
  <c r="E98" i="657"/>
  <c r="E81" i="502"/>
  <c r="D89" i="657"/>
  <c r="I87" i="502"/>
  <c r="H98" i="502"/>
  <c r="F86" i="502"/>
  <c r="H73" i="502"/>
  <c r="I78" i="502"/>
  <c r="H75" i="502"/>
  <c r="H90" i="502"/>
  <c r="E81" i="657"/>
  <c r="G80" i="657"/>
  <c r="I83" i="657"/>
  <c r="E82" i="502"/>
  <c r="I82" i="657"/>
  <c r="I84" i="657"/>
  <c r="D86" i="502"/>
  <c r="I81" i="502"/>
  <c r="H91" i="657"/>
  <c r="E89" i="657"/>
  <c r="F87" i="502"/>
  <c r="F98" i="502"/>
  <c r="H86" i="502"/>
  <c r="F76" i="502"/>
  <c r="I77" i="502"/>
  <c r="H78" i="502"/>
  <c r="D75" i="502"/>
  <c r="I162" i="502"/>
  <c r="R63" i="120"/>
  <c r="X63" i="120" s="1"/>
  <c r="Q63" i="120"/>
  <c r="S17" i="120"/>
  <c r="E136" i="654" s="1"/>
  <c r="E41" i="658"/>
  <c r="V103" i="120"/>
  <c r="H212" i="654" s="1"/>
  <c r="V70" i="120"/>
  <c r="H179" i="654" s="1"/>
  <c r="H84" i="658"/>
  <c r="U91" i="120"/>
  <c r="G200" i="654" s="1"/>
  <c r="T94" i="120"/>
  <c r="F203" i="654" s="1"/>
  <c r="R74" i="120"/>
  <c r="D183" i="654" s="1"/>
  <c r="D88" i="658"/>
  <c r="U79" i="120"/>
  <c r="G188" i="654" s="1"/>
  <c r="G93" i="658"/>
  <c r="W67" i="120"/>
  <c r="I176" i="654" s="1"/>
  <c r="I81" i="658"/>
  <c r="S89" i="120"/>
  <c r="E198" i="654" s="1"/>
  <c r="T98" i="120"/>
  <c r="F207" i="654" s="1"/>
  <c r="S66" i="120"/>
  <c r="E175" i="654" s="1"/>
  <c r="E80" i="658"/>
  <c r="U103" i="120"/>
  <c r="G212" i="654" s="1"/>
  <c r="S69" i="120"/>
  <c r="E178" i="654" s="1"/>
  <c r="E83" i="658"/>
  <c r="R101" i="120"/>
  <c r="D210" i="654" s="1"/>
  <c r="U68" i="120"/>
  <c r="G177" i="654" s="1"/>
  <c r="G82" i="658"/>
  <c r="S70" i="120"/>
  <c r="E179" i="654" s="1"/>
  <c r="E84" i="658"/>
  <c r="N118" i="120"/>
  <c r="U118" i="120" s="1"/>
  <c r="S91" i="120"/>
  <c r="E200" i="654" s="1"/>
  <c r="R90" i="120"/>
  <c r="D199" i="654" s="1"/>
  <c r="S84" i="120"/>
  <c r="E193" i="654" s="1"/>
  <c r="E98" i="658"/>
  <c r="R76" i="120"/>
  <c r="D185" i="654" s="1"/>
  <c r="D90" i="658"/>
  <c r="R105" i="120"/>
  <c r="D214" i="654" s="1"/>
  <c r="R95" i="120"/>
  <c r="D204" i="654" s="1"/>
  <c r="U94" i="120"/>
  <c r="G203" i="654" s="1"/>
  <c r="T74" i="120"/>
  <c r="F183" i="654" s="1"/>
  <c r="F88" i="658"/>
  <c r="U87" i="120"/>
  <c r="G196" i="654" s="1"/>
  <c r="V67" i="120"/>
  <c r="H176" i="654" s="1"/>
  <c r="H81" i="658"/>
  <c r="U89" i="120"/>
  <c r="G198" i="654" s="1"/>
  <c r="V98" i="120"/>
  <c r="H207" i="654" s="1"/>
  <c r="V73" i="120"/>
  <c r="H182" i="654" s="1"/>
  <c r="H87" i="658"/>
  <c r="T69" i="120"/>
  <c r="F178" i="654" s="1"/>
  <c r="F83" i="658"/>
  <c r="T68" i="120"/>
  <c r="F177" i="654" s="1"/>
  <c r="F82" i="658"/>
  <c r="U70" i="120"/>
  <c r="G179" i="654" s="1"/>
  <c r="G84" i="658"/>
  <c r="P118" i="120"/>
  <c r="W118" i="120" s="1"/>
  <c r="P17" i="120"/>
  <c r="I41" i="654" s="1"/>
  <c r="S90" i="120"/>
  <c r="E199" i="654" s="1"/>
  <c r="V104" i="120"/>
  <c r="H213" i="654" s="1"/>
  <c r="U80" i="120"/>
  <c r="G189" i="654" s="1"/>
  <c r="G94" i="658"/>
  <c r="W77" i="120"/>
  <c r="I186" i="654" s="1"/>
  <c r="I91" i="658"/>
  <c r="S75" i="120"/>
  <c r="E184" i="654" s="1"/>
  <c r="E89" i="658"/>
  <c r="R102" i="120"/>
  <c r="D211" i="654" s="1"/>
  <c r="U105" i="120"/>
  <c r="G214" i="654" s="1"/>
  <c r="T95" i="120"/>
  <c r="F204" i="654" s="1"/>
  <c r="W79" i="120"/>
  <c r="I188" i="654" s="1"/>
  <c r="I93" i="658"/>
  <c r="W98" i="120"/>
  <c r="I207" i="654" s="1"/>
  <c r="S105" i="120"/>
  <c r="E214" i="654" s="1"/>
  <c r="W94" i="120"/>
  <c r="I203" i="654" s="1"/>
  <c r="W88" i="120"/>
  <c r="I197" i="654" s="1"/>
  <c r="V87" i="120"/>
  <c r="H196" i="654" s="1"/>
  <c r="R67" i="120"/>
  <c r="D176" i="654" s="1"/>
  <c r="D81" i="658"/>
  <c r="W89" i="120"/>
  <c r="I198" i="654" s="1"/>
  <c r="U98" i="120"/>
  <c r="G207" i="654" s="1"/>
  <c r="W73" i="120"/>
  <c r="I182" i="654" s="1"/>
  <c r="I87" i="658"/>
  <c r="U69" i="120"/>
  <c r="G178" i="654" s="1"/>
  <c r="G83" i="658"/>
  <c r="S68" i="120"/>
  <c r="E177" i="654" s="1"/>
  <c r="E82" i="658"/>
  <c r="T70" i="120"/>
  <c r="F179" i="654" s="1"/>
  <c r="F84" i="658"/>
  <c r="M118" i="120"/>
  <c r="M117" i="120" s="1"/>
  <c r="T117" i="120" s="1"/>
  <c r="K17" i="120"/>
  <c r="D41" i="654" s="1"/>
  <c r="T104" i="120"/>
  <c r="F213" i="654" s="1"/>
  <c r="W80" i="120"/>
  <c r="I189" i="654" s="1"/>
  <c r="I94" i="658"/>
  <c r="T77" i="120"/>
  <c r="F186" i="654" s="1"/>
  <c r="F91" i="658"/>
  <c r="V75" i="120"/>
  <c r="H184" i="654" s="1"/>
  <c r="H89" i="658"/>
  <c r="T102" i="120"/>
  <c r="F211" i="654" s="1"/>
  <c r="V105" i="120"/>
  <c r="H214" i="654" s="1"/>
  <c r="U95" i="120"/>
  <c r="G204" i="654" s="1"/>
  <c r="U81" i="120"/>
  <c r="G190" i="654" s="1"/>
  <c r="G95" i="658"/>
  <c r="T66" i="120"/>
  <c r="F175" i="654" s="1"/>
  <c r="F80" i="658"/>
  <c r="S94" i="120"/>
  <c r="E203" i="654" s="1"/>
  <c r="T18" i="120"/>
  <c r="F137" i="654" s="1"/>
  <c r="F42" i="658"/>
  <c r="S88" i="120"/>
  <c r="E197" i="654" s="1"/>
  <c r="T87" i="120"/>
  <c r="F196" i="654" s="1"/>
  <c r="T67" i="120"/>
  <c r="F176" i="654" s="1"/>
  <c r="F81" i="658"/>
  <c r="V89" i="120"/>
  <c r="H198" i="654" s="1"/>
  <c r="R98" i="120"/>
  <c r="D207" i="654" s="1"/>
  <c r="U73" i="120"/>
  <c r="G182" i="654" s="1"/>
  <c r="G87" i="658"/>
  <c r="V69" i="120"/>
  <c r="H178" i="654" s="1"/>
  <c r="H83" i="658"/>
  <c r="W72" i="120"/>
  <c r="I181" i="654" s="1"/>
  <c r="I86" i="658"/>
  <c r="R68" i="120"/>
  <c r="D177" i="654" s="1"/>
  <c r="D82" i="658"/>
  <c r="R70" i="120"/>
  <c r="D179" i="654" s="1"/>
  <c r="D84" i="658"/>
  <c r="V100" i="120"/>
  <c r="H209" i="654" s="1"/>
  <c r="N17" i="120"/>
  <c r="G41" i="654" s="1"/>
  <c r="U104" i="120"/>
  <c r="G213" i="654" s="1"/>
  <c r="T80" i="120"/>
  <c r="F189" i="654" s="1"/>
  <c r="F94" i="658"/>
  <c r="R77" i="120"/>
  <c r="D186" i="654" s="1"/>
  <c r="D91" i="658"/>
  <c r="T75" i="120"/>
  <c r="F184" i="654" s="1"/>
  <c r="F89" i="658"/>
  <c r="W102" i="120"/>
  <c r="I211" i="654" s="1"/>
  <c r="T82" i="120"/>
  <c r="F191" i="654" s="1"/>
  <c r="F96" i="658"/>
  <c r="W105" i="120"/>
  <c r="I214" i="654" s="1"/>
  <c r="S95" i="120"/>
  <c r="E204" i="654" s="1"/>
  <c r="W81" i="120"/>
  <c r="I190" i="654" s="1"/>
  <c r="I95" i="658"/>
  <c r="V94" i="120"/>
  <c r="H203" i="654" s="1"/>
  <c r="R88" i="120"/>
  <c r="D197" i="654" s="1"/>
  <c r="S87" i="120"/>
  <c r="E196" i="654" s="1"/>
  <c r="S83" i="120"/>
  <c r="E192" i="654" s="1"/>
  <c r="E97" i="658"/>
  <c r="R96" i="120"/>
  <c r="D205" i="654" s="1"/>
  <c r="S73" i="120"/>
  <c r="E182" i="654" s="1"/>
  <c r="E87" i="658"/>
  <c r="T97" i="120"/>
  <c r="F206" i="654" s="1"/>
  <c r="R72" i="120"/>
  <c r="D181" i="654" s="1"/>
  <c r="D86" i="658"/>
  <c r="R93" i="120"/>
  <c r="D202" i="654" s="1"/>
  <c r="S100" i="120"/>
  <c r="E209" i="654" s="1"/>
  <c r="M17" i="120"/>
  <c r="F41" i="654" s="1"/>
  <c r="S104" i="120"/>
  <c r="E213" i="654" s="1"/>
  <c r="S80" i="120"/>
  <c r="E189" i="654" s="1"/>
  <c r="E94" i="658"/>
  <c r="S77" i="120"/>
  <c r="E186" i="654" s="1"/>
  <c r="E91" i="658"/>
  <c r="W75" i="120"/>
  <c r="I184" i="654" s="1"/>
  <c r="I89" i="658"/>
  <c r="U102" i="120"/>
  <c r="G211" i="654" s="1"/>
  <c r="W82" i="120"/>
  <c r="I191" i="654" s="1"/>
  <c r="I96" i="658"/>
  <c r="V81" i="120"/>
  <c r="H190" i="654" s="1"/>
  <c r="H95" i="658"/>
  <c r="U67" i="120"/>
  <c r="G176" i="654" s="1"/>
  <c r="G81" i="658"/>
  <c r="V88" i="120"/>
  <c r="H197" i="654" s="1"/>
  <c r="W87" i="120"/>
  <c r="I196" i="654" s="1"/>
  <c r="T83" i="120"/>
  <c r="F192" i="654" s="1"/>
  <c r="F97" i="658"/>
  <c r="W96" i="120"/>
  <c r="I205" i="654" s="1"/>
  <c r="T73" i="120"/>
  <c r="F182" i="654" s="1"/>
  <c r="F87" i="658"/>
  <c r="U97" i="120"/>
  <c r="G206" i="654" s="1"/>
  <c r="U72" i="120"/>
  <c r="G181" i="654" s="1"/>
  <c r="G86" i="658"/>
  <c r="S93" i="120"/>
  <c r="E202" i="654" s="1"/>
  <c r="W100" i="120"/>
  <c r="I209" i="654" s="1"/>
  <c r="O17" i="120"/>
  <c r="H41" i="654" s="1"/>
  <c r="R104" i="120"/>
  <c r="D213" i="654" s="1"/>
  <c r="V80" i="120"/>
  <c r="H189" i="654" s="1"/>
  <c r="H94" i="658"/>
  <c r="U77" i="120"/>
  <c r="G186" i="654" s="1"/>
  <c r="G91" i="658"/>
  <c r="U75" i="120"/>
  <c r="G184" i="654" s="1"/>
  <c r="G89" i="658"/>
  <c r="V102" i="120"/>
  <c r="H211" i="654" s="1"/>
  <c r="U82" i="120"/>
  <c r="G191" i="654" s="1"/>
  <c r="G96" i="658"/>
  <c r="R81" i="120"/>
  <c r="D190" i="654" s="1"/>
  <c r="D95" i="658"/>
  <c r="W30" i="120"/>
  <c r="I147" i="654" s="1"/>
  <c r="I52" i="658"/>
  <c r="U88" i="120"/>
  <c r="G197" i="654" s="1"/>
  <c r="R87" i="120"/>
  <c r="D196" i="654" s="1"/>
  <c r="R83" i="120"/>
  <c r="D192" i="654" s="1"/>
  <c r="D97" i="658"/>
  <c r="S96" i="120"/>
  <c r="E205" i="654" s="1"/>
  <c r="R73" i="120"/>
  <c r="D182" i="654" s="1"/>
  <c r="D87" i="658"/>
  <c r="W101" i="120"/>
  <c r="I210" i="654" s="1"/>
  <c r="R97" i="120"/>
  <c r="D206" i="654" s="1"/>
  <c r="T72" i="120"/>
  <c r="F181" i="654" s="1"/>
  <c r="F86" i="658"/>
  <c r="U93" i="120"/>
  <c r="G202" i="654" s="1"/>
  <c r="U100" i="120"/>
  <c r="G209" i="654" s="1"/>
  <c r="R84" i="120"/>
  <c r="D193" i="654" s="1"/>
  <c r="D98" i="658"/>
  <c r="R80" i="120"/>
  <c r="D189" i="654" s="1"/>
  <c r="D94" i="658"/>
  <c r="T76" i="120"/>
  <c r="F185" i="654" s="1"/>
  <c r="F90" i="658"/>
  <c r="V82" i="120"/>
  <c r="H191" i="654" s="1"/>
  <c r="H96" i="658"/>
  <c r="T81" i="120"/>
  <c r="F190" i="654" s="1"/>
  <c r="F95" i="658"/>
  <c r="V77" i="120"/>
  <c r="H186" i="654" s="1"/>
  <c r="H91" i="658"/>
  <c r="T88" i="120"/>
  <c r="F197" i="654" s="1"/>
  <c r="S79" i="120"/>
  <c r="E188" i="654" s="1"/>
  <c r="E93" i="658"/>
  <c r="W83" i="120"/>
  <c r="I192" i="654" s="1"/>
  <c r="I97" i="658"/>
  <c r="T96" i="120"/>
  <c r="F205" i="654" s="1"/>
  <c r="V66" i="120"/>
  <c r="H175" i="654" s="1"/>
  <c r="H80" i="658"/>
  <c r="R103" i="120"/>
  <c r="D212" i="654" s="1"/>
  <c r="S101" i="120"/>
  <c r="E210" i="654" s="1"/>
  <c r="S97" i="120"/>
  <c r="E206" i="654" s="1"/>
  <c r="S72" i="120"/>
  <c r="E181" i="654" s="1"/>
  <c r="E86" i="658"/>
  <c r="W93" i="120"/>
  <c r="I202" i="654" s="1"/>
  <c r="R100" i="120"/>
  <c r="D209" i="654" s="1"/>
  <c r="V91" i="120"/>
  <c r="H200" i="654" s="1"/>
  <c r="V84" i="120"/>
  <c r="H193" i="654" s="1"/>
  <c r="H98" i="658"/>
  <c r="V76" i="120"/>
  <c r="H185" i="654" s="1"/>
  <c r="H90" i="658"/>
  <c r="S82" i="120"/>
  <c r="E191" i="654" s="1"/>
  <c r="E96" i="658"/>
  <c r="S81" i="120"/>
  <c r="E190" i="654" s="1"/>
  <c r="E95" i="658"/>
  <c r="R69" i="120"/>
  <c r="D178" i="654" s="1"/>
  <c r="D83" i="658"/>
  <c r="W104" i="120"/>
  <c r="I213" i="654" s="1"/>
  <c r="R75" i="120"/>
  <c r="D184" i="654" s="1"/>
  <c r="D89" i="658"/>
  <c r="V95" i="120"/>
  <c r="H204" i="654" s="1"/>
  <c r="S74" i="120"/>
  <c r="E183" i="654" s="1"/>
  <c r="E88" i="658"/>
  <c r="R79" i="120"/>
  <c r="D188" i="654" s="1"/>
  <c r="D93" i="658"/>
  <c r="U83" i="120"/>
  <c r="G192" i="654" s="1"/>
  <c r="G97" i="658"/>
  <c r="V96" i="120"/>
  <c r="H205" i="654" s="1"/>
  <c r="R66" i="120"/>
  <c r="D175" i="654" s="1"/>
  <c r="D80" i="658"/>
  <c r="S103" i="120"/>
  <c r="E212" i="654" s="1"/>
  <c r="V101" i="120"/>
  <c r="H210" i="654" s="1"/>
  <c r="W97" i="120"/>
  <c r="I206" i="654" s="1"/>
  <c r="V72" i="120"/>
  <c r="H181" i="654" s="1"/>
  <c r="H86" i="658"/>
  <c r="V93" i="120"/>
  <c r="H202" i="654" s="1"/>
  <c r="T100" i="120"/>
  <c r="F209" i="654" s="1"/>
  <c r="W91" i="120"/>
  <c r="I200" i="654" s="1"/>
  <c r="U90" i="120"/>
  <c r="G199" i="654" s="1"/>
  <c r="U84" i="120"/>
  <c r="G193" i="654" s="1"/>
  <c r="G98" i="658"/>
  <c r="S76" i="120"/>
  <c r="E185" i="654" s="1"/>
  <c r="E90" i="658"/>
  <c r="R82" i="120"/>
  <c r="D191" i="654" s="1"/>
  <c r="D96" i="658"/>
  <c r="V74" i="120"/>
  <c r="H183" i="654" s="1"/>
  <c r="H88" i="658"/>
  <c r="T89" i="120"/>
  <c r="F198" i="654" s="1"/>
  <c r="W90" i="120"/>
  <c r="I199" i="654" s="1"/>
  <c r="U74" i="120"/>
  <c r="G183" i="654" s="1"/>
  <c r="G88" i="658"/>
  <c r="T79" i="120"/>
  <c r="F188" i="654" s="1"/>
  <c r="F93" i="658"/>
  <c r="V83" i="120"/>
  <c r="H192" i="654" s="1"/>
  <c r="H97" i="658"/>
  <c r="U96" i="120"/>
  <c r="G205" i="654" s="1"/>
  <c r="W66" i="120"/>
  <c r="I175" i="654" s="1"/>
  <c r="I80" i="658"/>
  <c r="W103" i="120"/>
  <c r="I212" i="654" s="1"/>
  <c r="T101" i="120"/>
  <c r="F210" i="654" s="1"/>
  <c r="V97" i="120"/>
  <c r="H206" i="654" s="1"/>
  <c r="T93" i="120"/>
  <c r="F202" i="654" s="1"/>
  <c r="K118" i="120"/>
  <c r="R118" i="120" s="1"/>
  <c r="T91" i="120"/>
  <c r="F200" i="654" s="1"/>
  <c r="V90" i="120"/>
  <c r="H199" i="654" s="1"/>
  <c r="W84" i="120"/>
  <c r="I193" i="654" s="1"/>
  <c r="I98" i="658"/>
  <c r="U76" i="120"/>
  <c r="G185" i="654" s="1"/>
  <c r="G90" i="658"/>
  <c r="R94" i="120"/>
  <c r="D203" i="654" s="1"/>
  <c r="V68" i="120"/>
  <c r="H177" i="654" s="1"/>
  <c r="H82" i="658"/>
  <c r="S102" i="120"/>
  <c r="E211" i="654" s="1"/>
  <c r="W74" i="120"/>
  <c r="I183" i="654" s="1"/>
  <c r="I88" i="658"/>
  <c r="V79" i="120"/>
  <c r="H188" i="654" s="1"/>
  <c r="H93" i="658"/>
  <c r="S67" i="120"/>
  <c r="E176" i="654" s="1"/>
  <c r="E81" i="658"/>
  <c r="R89" i="120"/>
  <c r="D198" i="654" s="1"/>
  <c r="S98" i="120"/>
  <c r="E207" i="654" s="1"/>
  <c r="U66" i="120"/>
  <c r="G175" i="654" s="1"/>
  <c r="G80" i="658"/>
  <c r="T103" i="120"/>
  <c r="F212" i="654" s="1"/>
  <c r="W69" i="120"/>
  <c r="I178" i="654" s="1"/>
  <c r="I83" i="658"/>
  <c r="U101" i="120"/>
  <c r="G210" i="654" s="1"/>
  <c r="W68" i="120"/>
  <c r="I177" i="654" s="1"/>
  <c r="I82" i="658"/>
  <c r="W70" i="120"/>
  <c r="I179" i="654" s="1"/>
  <c r="I84" i="658"/>
  <c r="R91" i="120"/>
  <c r="D200" i="654" s="1"/>
  <c r="T90" i="120"/>
  <c r="F199" i="654" s="1"/>
  <c r="T84" i="120"/>
  <c r="F193" i="654" s="1"/>
  <c r="F98" i="658"/>
  <c r="W76" i="120"/>
  <c r="I185" i="654" s="1"/>
  <c r="I90" i="658"/>
  <c r="T105" i="120"/>
  <c r="F214" i="654" s="1"/>
  <c r="W95" i="120"/>
  <c r="I204" i="654" s="1"/>
  <c r="U32" i="120"/>
  <c r="G149" i="654" s="1"/>
  <c r="G54" i="658"/>
  <c r="M129" i="120"/>
  <c r="T129" i="120" s="1"/>
  <c r="K32" i="129"/>
  <c r="M45" i="129"/>
  <c r="T45" i="129" s="1"/>
  <c r="L32" i="129"/>
  <c r="P129" i="120"/>
  <c r="W129" i="120" s="1"/>
  <c r="M32" i="129"/>
  <c r="L45" i="129"/>
  <c r="S45" i="129" s="1"/>
  <c r="M132" i="120"/>
  <c r="T132" i="120" s="1"/>
  <c r="L129" i="120"/>
  <c r="S129" i="120" s="1"/>
  <c r="N32" i="129"/>
  <c r="O45" i="129"/>
  <c r="V45" i="129" s="1"/>
  <c r="N132" i="120"/>
  <c r="U132" i="120" s="1"/>
  <c r="N129" i="120"/>
  <c r="U129" i="120" s="1"/>
  <c r="O32" i="129"/>
  <c r="N45" i="129"/>
  <c r="U45" i="129" s="1"/>
  <c r="O132" i="120"/>
  <c r="V132" i="120" s="1"/>
  <c r="O129" i="120"/>
  <c r="V129" i="120" s="1"/>
  <c r="L132" i="120"/>
  <c r="S132" i="120" s="1"/>
  <c r="L29" i="129"/>
  <c r="P132" i="120"/>
  <c r="W132" i="120" s="1"/>
  <c r="K29" i="129"/>
  <c r="N29" i="129"/>
  <c r="O29" i="129"/>
  <c r="L46" i="129"/>
  <c r="M15" i="129"/>
  <c r="T15" i="129" s="1"/>
  <c r="K12" i="129"/>
  <c r="Y12" i="129" s="1"/>
  <c r="Y10" i="129" s="1"/>
  <c r="P46" i="129"/>
  <c r="L119" i="120"/>
  <c r="S119" i="120" s="1"/>
  <c r="AI18" i="129"/>
  <c r="K119" i="120"/>
  <c r="R119" i="120" s="1"/>
  <c r="AI17" i="120"/>
  <c r="P32" i="120"/>
  <c r="I54" i="654" s="1"/>
  <c r="AI10" i="129"/>
  <c r="L32" i="120"/>
  <c r="E54" i="654" s="1"/>
  <c r="AI133" i="120"/>
  <c r="O32" i="120"/>
  <c r="H54" i="654" s="1"/>
  <c r="AI16" i="129"/>
  <c r="U46" i="129"/>
  <c r="T16" i="129"/>
  <c r="W12" i="130"/>
  <c r="T105" i="129"/>
  <c r="U77" i="129"/>
  <c r="U83" i="129"/>
  <c r="T100" i="129"/>
  <c r="W98" i="129"/>
  <c r="V69" i="129"/>
  <c r="U104" i="129"/>
  <c r="T68" i="129"/>
  <c r="R95" i="129"/>
  <c r="W70" i="129"/>
  <c r="S80" i="129"/>
  <c r="R75" i="129"/>
  <c r="U74" i="129"/>
  <c r="S73" i="129"/>
  <c r="U84" i="129"/>
  <c r="U93" i="129"/>
  <c r="W29" i="129"/>
  <c r="D151" i="163"/>
  <c r="J81" i="163"/>
  <c r="J151" i="163" s="1"/>
  <c r="F7" i="485" s="1"/>
  <c r="V98" i="129"/>
  <c r="S77" i="129"/>
  <c r="S69" i="129"/>
  <c r="T104" i="129"/>
  <c r="W68" i="129"/>
  <c r="V97" i="129"/>
  <c r="U82" i="129"/>
  <c r="R89" i="129"/>
  <c r="V80" i="129"/>
  <c r="R94" i="129"/>
  <c r="U73" i="129"/>
  <c r="S88" i="129"/>
  <c r="V84" i="129"/>
  <c r="S93" i="129"/>
  <c r="O16" i="129"/>
  <c r="M46" i="129"/>
  <c r="V83" i="129"/>
  <c r="W100" i="129"/>
  <c r="W83" i="129"/>
  <c r="U100" i="129"/>
  <c r="T98" i="129"/>
  <c r="W77" i="129"/>
  <c r="R93" i="129"/>
  <c r="T69" i="129"/>
  <c r="T101" i="129"/>
  <c r="U68" i="129"/>
  <c r="U97" i="129"/>
  <c r="V82" i="129"/>
  <c r="S79" i="129"/>
  <c r="W75" i="129"/>
  <c r="V73" i="129"/>
  <c r="W88" i="129"/>
  <c r="T84" i="129"/>
  <c r="S72" i="129"/>
  <c r="W93" i="129"/>
  <c r="O12" i="129"/>
  <c r="AC12" i="129" s="1"/>
  <c r="K15" i="129"/>
  <c r="K15" i="130" s="1"/>
  <c r="S83" i="129"/>
  <c r="U98" i="129"/>
  <c r="R91" i="129"/>
  <c r="T77" i="129"/>
  <c r="S101" i="129"/>
  <c r="W97" i="129"/>
  <c r="W82" i="129"/>
  <c r="T79" i="129"/>
  <c r="W89" i="129"/>
  <c r="U75" i="129"/>
  <c r="W73" i="129"/>
  <c r="R84" i="129"/>
  <c r="T88" i="129"/>
  <c r="W84" i="129"/>
  <c r="W72" i="129"/>
  <c r="V93" i="129"/>
  <c r="S98" i="129"/>
  <c r="V77" i="129"/>
  <c r="U101" i="129"/>
  <c r="S97" i="129"/>
  <c r="T82" i="129"/>
  <c r="S96" i="129"/>
  <c r="R73" i="129"/>
  <c r="W79" i="129"/>
  <c r="U89" i="129"/>
  <c r="S75" i="129"/>
  <c r="T73" i="129"/>
  <c r="U88" i="129"/>
  <c r="T72" i="129"/>
  <c r="T93" i="129"/>
  <c r="W94" i="129"/>
  <c r="L15" i="129"/>
  <c r="S15" i="129" s="1"/>
  <c r="V101" i="129"/>
  <c r="T97" i="129"/>
  <c r="S82" i="129"/>
  <c r="V96" i="129"/>
  <c r="U79" i="129"/>
  <c r="T89" i="129"/>
  <c r="T75" i="129"/>
  <c r="V88" i="129"/>
  <c r="V72" i="129"/>
  <c r="S103" i="129"/>
  <c r="V94" i="129"/>
  <c r="M12" i="129"/>
  <c r="AA12" i="129" s="1"/>
  <c r="N15" i="129"/>
  <c r="U15" i="129" s="1"/>
  <c r="J68" i="163"/>
  <c r="J149" i="163" s="1"/>
  <c r="D7" i="485" s="1"/>
  <c r="D149" i="163"/>
  <c r="V105" i="129"/>
  <c r="U66" i="129"/>
  <c r="U81" i="129"/>
  <c r="W101" i="129"/>
  <c r="U96" i="129"/>
  <c r="V79" i="129"/>
  <c r="W95" i="129"/>
  <c r="S89" i="129"/>
  <c r="V75" i="129"/>
  <c r="V102" i="129"/>
  <c r="U72" i="129"/>
  <c r="V103" i="129"/>
  <c r="T94" i="129"/>
  <c r="N12" i="129"/>
  <c r="AB12" i="129" s="1"/>
  <c r="O15" i="129"/>
  <c r="V15" i="129" s="1"/>
  <c r="T96" i="129"/>
  <c r="U67" i="129"/>
  <c r="V95" i="129"/>
  <c r="V89" i="129"/>
  <c r="V87" i="129"/>
  <c r="T102" i="129"/>
  <c r="W91" i="129"/>
  <c r="T103" i="129"/>
  <c r="U94" i="129"/>
  <c r="W32" i="129"/>
  <c r="R101" i="129"/>
  <c r="R99" i="129" s="1"/>
  <c r="W105" i="129"/>
  <c r="W90" i="129"/>
  <c r="T81" i="129"/>
  <c r="V76" i="129"/>
  <c r="S105" i="129"/>
  <c r="R87" i="129"/>
  <c r="V66" i="129"/>
  <c r="T90" i="129"/>
  <c r="W81" i="129"/>
  <c r="T7" i="129"/>
  <c r="T70" i="129"/>
  <c r="W96" i="129"/>
  <c r="T67" i="129"/>
  <c r="T95" i="129"/>
  <c r="S74" i="129"/>
  <c r="U87" i="129"/>
  <c r="W102" i="129"/>
  <c r="T91" i="129"/>
  <c r="W103" i="129"/>
  <c r="S94" i="129"/>
  <c r="K16" i="129"/>
  <c r="O46" i="129"/>
  <c r="D150" i="163"/>
  <c r="J74" i="163"/>
  <c r="J150" i="163" s="1"/>
  <c r="E7" i="485" s="1"/>
  <c r="W76" i="129"/>
  <c r="T66" i="129"/>
  <c r="R98" i="129"/>
  <c r="U76" i="129"/>
  <c r="U105" i="129"/>
  <c r="R81" i="129"/>
  <c r="S66" i="129"/>
  <c r="R74" i="129"/>
  <c r="S90" i="129"/>
  <c r="V81" i="129"/>
  <c r="W104" i="129"/>
  <c r="S70" i="129"/>
  <c r="W80" i="129"/>
  <c r="R72" i="129"/>
  <c r="V67" i="129"/>
  <c r="U95" i="129"/>
  <c r="W74" i="129"/>
  <c r="S87" i="129"/>
  <c r="U102" i="129"/>
  <c r="S91" i="129"/>
  <c r="U103" i="129"/>
  <c r="P16" i="129"/>
  <c r="K46" i="129"/>
  <c r="S81" i="129"/>
  <c r="R77" i="129"/>
  <c r="W66" i="129"/>
  <c r="T80" i="129"/>
  <c r="S95" i="129"/>
  <c r="V74" i="129"/>
  <c r="T87" i="129"/>
  <c r="R102" i="129"/>
  <c r="S102" i="129"/>
  <c r="U91" i="129"/>
  <c r="V100" i="129"/>
  <c r="S76" i="129"/>
  <c r="R88" i="129"/>
  <c r="V90" i="129"/>
  <c r="U69" i="129"/>
  <c r="S104" i="129"/>
  <c r="S68" i="129"/>
  <c r="V70" i="129"/>
  <c r="S67" i="129"/>
  <c r="R103" i="129"/>
  <c r="T83" i="129"/>
  <c r="S100" i="129"/>
  <c r="T76" i="129"/>
  <c r="U90" i="129"/>
  <c r="W69" i="129"/>
  <c r="V104" i="129"/>
  <c r="V68" i="129"/>
  <c r="R80" i="129"/>
  <c r="R78" i="129" s="1"/>
  <c r="U70" i="129"/>
  <c r="U80" i="129"/>
  <c r="W67" i="129"/>
  <c r="T74" i="129"/>
  <c r="W87" i="129"/>
  <c r="S84" i="129"/>
  <c r="V91" i="129"/>
  <c r="W41" i="129"/>
  <c r="J89" i="163"/>
  <c r="J148" i="163" s="1"/>
  <c r="D148" i="163"/>
  <c r="AI18" i="120"/>
  <c r="AI128" i="129"/>
  <c r="AI17" i="129"/>
  <c r="P119" i="120"/>
  <c r="W119" i="120" s="1"/>
  <c r="AI15" i="120"/>
  <c r="AI123" i="129"/>
  <c r="AI125" i="129"/>
  <c r="N119" i="120"/>
  <c r="U119" i="120" s="1"/>
  <c r="AI129" i="120"/>
  <c r="AI14" i="120"/>
  <c r="AI133" i="129"/>
  <c r="M6" i="129"/>
  <c r="AA6" i="129" s="1"/>
  <c r="O119" i="120"/>
  <c r="V119" i="120" s="1"/>
  <c r="AI16" i="120"/>
  <c r="AI126" i="129"/>
  <c r="AI14" i="129"/>
  <c r="P6" i="129"/>
  <c r="AD6" i="129" s="1"/>
  <c r="AI129" i="129"/>
  <c r="AI124" i="129"/>
  <c r="AI131" i="129"/>
  <c r="N6" i="129"/>
  <c r="AB6" i="129" s="1"/>
  <c r="AI131" i="120"/>
  <c r="AI12" i="120"/>
  <c r="AI12" i="129"/>
  <c r="L6" i="129"/>
  <c r="Z6" i="129" s="1"/>
  <c r="M16" i="120"/>
  <c r="F40" i="654" s="1"/>
  <c r="AI9" i="120"/>
  <c r="AI15" i="129"/>
  <c r="AI130" i="129"/>
  <c r="O6" i="129"/>
  <c r="AC6" i="129" s="1"/>
  <c r="O16" i="120"/>
  <c r="H40" i="654" s="1"/>
  <c r="AI10" i="120"/>
  <c r="AI122" i="129"/>
  <c r="AI132" i="129"/>
  <c r="N16" i="120"/>
  <c r="G40" i="654" s="1"/>
  <c r="AI128" i="120"/>
  <c r="AI11" i="129"/>
  <c r="L16" i="120"/>
  <c r="E40" i="654" s="1"/>
  <c r="AI132" i="120"/>
  <c r="Q56" i="129"/>
  <c r="Q51" i="129"/>
  <c r="Q54" i="129"/>
  <c r="Q55" i="129"/>
  <c r="Q53" i="129"/>
  <c r="Q52" i="129"/>
  <c r="J58" i="129"/>
  <c r="J26" i="129"/>
  <c r="J9" i="129"/>
  <c r="R6" i="130"/>
  <c r="Q88" i="129"/>
  <c r="Q93" i="129"/>
  <c r="Q80" i="120"/>
  <c r="Q72" i="129"/>
  <c r="Q103" i="129"/>
  <c r="Q87" i="129"/>
  <c r="Q91" i="129"/>
  <c r="Q94" i="129"/>
  <c r="Q66" i="129"/>
  <c r="Q68" i="120"/>
  <c r="Q70" i="120"/>
  <c r="Q73" i="129"/>
  <c r="Q100" i="129"/>
  <c r="N78" i="120"/>
  <c r="U78" i="120" s="1"/>
  <c r="Q105" i="120"/>
  <c r="Q95" i="129"/>
  <c r="Q79" i="129"/>
  <c r="Q79" i="120"/>
  <c r="Q101" i="120"/>
  <c r="Q104" i="120"/>
  <c r="Q81" i="120"/>
  <c r="Q69" i="120"/>
  <c r="Q91" i="120"/>
  <c r="Q84" i="120"/>
  <c r="Q97" i="129"/>
  <c r="Q74" i="120"/>
  <c r="Q67" i="120"/>
  <c r="Q73" i="120"/>
  <c r="Q93" i="120"/>
  <c r="Q90" i="120"/>
  <c r="Q102" i="129"/>
  <c r="Q67" i="129"/>
  <c r="Q98" i="120"/>
  <c r="Q103" i="120"/>
  <c r="Q80" i="129"/>
  <c r="Q102" i="120"/>
  <c r="Q76" i="129"/>
  <c r="Q96" i="129"/>
  <c r="Q90" i="129"/>
  <c r="Q98" i="129"/>
  <c r="Q96" i="120"/>
  <c r="Q66" i="120"/>
  <c r="Q97" i="120"/>
  <c r="Q72" i="120"/>
  <c r="Q83" i="129"/>
  <c r="Q82" i="129"/>
  <c r="Q100" i="120"/>
  <c r="Q70" i="129"/>
  <c r="Q104" i="129"/>
  <c r="Q94" i="120"/>
  <c r="Q83" i="120"/>
  <c r="Q77" i="129"/>
  <c r="Q81" i="129"/>
  <c r="Q75" i="129"/>
  <c r="Q76" i="120"/>
  <c r="Q95" i="120"/>
  <c r="Q88" i="120"/>
  <c r="Q101" i="129"/>
  <c r="Q87" i="120"/>
  <c r="Q89" i="129"/>
  <c r="Q75" i="120"/>
  <c r="Q82" i="120"/>
  <c r="Q105" i="129"/>
  <c r="Q68" i="129"/>
  <c r="Q69" i="129"/>
  <c r="Q89" i="120"/>
  <c r="Q74" i="129"/>
  <c r="Q77" i="120"/>
  <c r="Q84" i="129"/>
  <c r="M99" i="129"/>
  <c r="K99" i="129"/>
  <c r="O99" i="129"/>
  <c r="L99" i="129"/>
  <c r="O99" i="120"/>
  <c r="V99" i="120" s="1"/>
  <c r="P99" i="129"/>
  <c r="N99" i="129"/>
  <c r="L99" i="120"/>
  <c r="S99" i="120" s="1"/>
  <c r="P99" i="120"/>
  <c r="W99" i="120" s="1"/>
  <c r="N99" i="120"/>
  <c r="U99" i="120" s="1"/>
  <c r="K99" i="120"/>
  <c r="R99" i="120" s="1"/>
  <c r="M99" i="120"/>
  <c r="T99" i="120" s="1"/>
  <c r="K92" i="129"/>
  <c r="N92" i="129"/>
  <c r="L92" i="129"/>
  <c r="P92" i="129"/>
  <c r="O92" i="129"/>
  <c r="K92" i="120"/>
  <c r="R92" i="120" s="1"/>
  <c r="M92" i="129"/>
  <c r="N92" i="120"/>
  <c r="U92" i="120" s="1"/>
  <c r="M86" i="120"/>
  <c r="T86" i="120" s="1"/>
  <c r="P92" i="120"/>
  <c r="W92" i="120" s="1"/>
  <c r="O92" i="120"/>
  <c r="V92" i="120" s="1"/>
  <c r="L92" i="120"/>
  <c r="S92" i="120" s="1"/>
  <c r="P86" i="120"/>
  <c r="W86" i="120" s="1"/>
  <c r="M92" i="120"/>
  <c r="T92" i="120" s="1"/>
  <c r="K86" i="120"/>
  <c r="R86" i="120" s="1"/>
  <c r="O86" i="129"/>
  <c r="N86" i="129"/>
  <c r="L86" i="129"/>
  <c r="N86" i="120"/>
  <c r="U86" i="120" s="1"/>
  <c r="K86" i="129"/>
  <c r="K78" i="129"/>
  <c r="M86" i="129"/>
  <c r="O86" i="120"/>
  <c r="V86" i="120" s="1"/>
  <c r="P86" i="129"/>
  <c r="L86" i="120"/>
  <c r="S86" i="120" s="1"/>
  <c r="N71" i="120"/>
  <c r="U71" i="120" s="1"/>
  <c r="L78" i="120"/>
  <c r="S78" i="120" s="1"/>
  <c r="K78" i="120"/>
  <c r="R78" i="120" s="1"/>
  <c r="M78" i="120"/>
  <c r="T78" i="120" s="1"/>
  <c r="L78" i="129"/>
  <c r="O78" i="120"/>
  <c r="V78" i="120" s="1"/>
  <c r="M78" i="129"/>
  <c r="P78" i="129"/>
  <c r="P78" i="120"/>
  <c r="W78" i="120" s="1"/>
  <c r="N78" i="129"/>
  <c r="O78" i="129"/>
  <c r="M71" i="120"/>
  <c r="T71" i="120" s="1"/>
  <c r="K71" i="129"/>
  <c r="K58" i="129" s="1"/>
  <c r="L71" i="120"/>
  <c r="S71" i="120" s="1"/>
  <c r="O71" i="120"/>
  <c r="V71" i="120" s="1"/>
  <c r="L71" i="129"/>
  <c r="P71" i="129"/>
  <c r="M71" i="129"/>
  <c r="O71" i="129"/>
  <c r="N71" i="129"/>
  <c r="P71" i="120"/>
  <c r="W71" i="120" s="1"/>
  <c r="N65" i="129"/>
  <c r="K71" i="120"/>
  <c r="R71" i="120" s="1"/>
  <c r="M65" i="129"/>
  <c r="P65" i="120"/>
  <c r="W65" i="120" s="1"/>
  <c r="O65" i="129"/>
  <c r="N65" i="120"/>
  <c r="U65" i="120" s="1"/>
  <c r="L65" i="129"/>
  <c r="L65" i="120"/>
  <c r="S65" i="120" s="1"/>
  <c r="P65" i="129"/>
  <c r="M65" i="120"/>
  <c r="T65" i="120" s="1"/>
  <c r="O65" i="120"/>
  <c r="V65" i="120" s="1"/>
  <c r="K65" i="120"/>
  <c r="R65" i="120" s="1"/>
  <c r="J205" i="129"/>
  <c r="D21" i="485" s="1"/>
  <c r="L6" i="631" s="1"/>
  <c r="N5" i="858" s="1"/>
  <c r="O5" i="858" s="1"/>
  <c r="M50" i="129"/>
  <c r="O50" i="129"/>
  <c r="N50" i="129"/>
  <c r="P50" i="129"/>
  <c r="L50" i="129"/>
  <c r="K50" i="129"/>
  <c r="D222" i="129"/>
  <c r="D20" i="129"/>
  <c r="E62" i="39"/>
  <c r="E56" i="39"/>
  <c r="L18" i="631"/>
  <c r="N17" i="858" s="1"/>
  <c r="O17" i="858" s="1"/>
  <c r="E82" i="112"/>
  <c r="F82" i="112" s="1"/>
  <c r="M115" i="120"/>
  <c r="T116" i="120"/>
  <c r="D148" i="186"/>
  <c r="J89" i="186"/>
  <c r="J148" i="186" s="1"/>
  <c r="J151" i="158"/>
  <c r="E3" i="485" s="1"/>
  <c r="D151" i="158"/>
  <c r="D430" i="202"/>
  <c r="D33" i="186"/>
  <c r="J33" i="186" s="1"/>
  <c r="J34" i="186"/>
  <c r="J154" i="186" s="1"/>
  <c r="I29" i="485" s="1"/>
  <c r="D154" i="186"/>
  <c r="D149" i="639"/>
  <c r="J89" i="639"/>
  <c r="J149" i="639" s="1"/>
  <c r="K6" i="130"/>
  <c r="D430" i="502"/>
  <c r="J81" i="640"/>
  <c r="J117" i="640" s="1"/>
  <c r="D117" i="640"/>
  <c r="J48" i="506"/>
  <c r="J127" i="506" s="1"/>
  <c r="H14" i="485" s="1"/>
  <c r="D127" i="506"/>
  <c r="D122" i="206"/>
  <c r="D23" i="206"/>
  <c r="J23" i="206" s="1"/>
  <c r="J24" i="206"/>
  <c r="J122" i="206" s="1"/>
  <c r="K9" i="485" s="1"/>
  <c r="J425" i="202"/>
  <c r="D425" i="202"/>
  <c r="D122" i="498"/>
  <c r="J99" i="498"/>
  <c r="J122" i="498" s="1"/>
  <c r="P45" i="130"/>
  <c r="D153" i="216"/>
  <c r="J61" i="216"/>
  <c r="J73" i="742"/>
  <c r="J148" i="742" s="1"/>
  <c r="D148" i="742"/>
  <c r="J61" i="158"/>
  <c r="D153" i="158"/>
  <c r="D152" i="473"/>
  <c r="J76" i="473"/>
  <c r="J152" i="473" s="1"/>
  <c r="E4" i="485" s="1"/>
  <c r="J204" i="129"/>
  <c r="J429" i="508"/>
  <c r="D429" i="508"/>
  <c r="D149" i="203"/>
  <c r="J68" i="203"/>
  <c r="J149" i="203" s="1"/>
  <c r="D5" i="485" s="1"/>
  <c r="J429" i="200"/>
  <c r="J11" i="485" s="1"/>
  <c r="D429" i="200"/>
  <c r="J70" i="472"/>
  <c r="J151" i="472" s="1"/>
  <c r="D28" i="485" s="1"/>
  <c r="D151" i="472"/>
  <c r="D153" i="473"/>
  <c r="J83" i="473"/>
  <c r="J153" i="473" s="1"/>
  <c r="F4" i="485" s="1"/>
  <c r="D427" i="508"/>
  <c r="J427" i="508"/>
  <c r="E19" i="606"/>
  <c r="E20" i="606" s="1"/>
  <c r="C20" i="606"/>
  <c r="P15" i="130"/>
  <c r="R132" i="120"/>
  <c r="D153" i="186"/>
  <c r="J38" i="186"/>
  <c r="J153" i="186" s="1"/>
  <c r="H29" i="485" s="1"/>
  <c r="J27" i="158"/>
  <c r="J156" i="158" s="1"/>
  <c r="J3" i="485" s="1"/>
  <c r="D156" i="158"/>
  <c r="D153" i="639"/>
  <c r="J61" i="639"/>
  <c r="J153" i="639" s="1"/>
  <c r="D23" i="203"/>
  <c r="J23" i="203" s="1"/>
  <c r="J24" i="203"/>
  <c r="J156" i="203" s="1"/>
  <c r="K5" i="485" s="1"/>
  <c r="D156" i="203"/>
  <c r="R129" i="120"/>
  <c r="D151" i="639"/>
  <c r="J74" i="639"/>
  <c r="J151" i="639" s="1"/>
  <c r="D119" i="206"/>
  <c r="J38" i="206"/>
  <c r="J119" i="206" s="1"/>
  <c r="H9" i="485" s="1"/>
  <c r="D127" i="486"/>
  <c r="J48" i="486"/>
  <c r="J127" i="486" s="1"/>
  <c r="D428" i="502"/>
  <c r="D129" i="498"/>
  <c r="J37" i="498"/>
  <c r="J129" i="498" s="1"/>
  <c r="J38" i="485" s="1"/>
  <c r="J130" i="486"/>
  <c r="J37" i="506"/>
  <c r="J129" i="506" s="1"/>
  <c r="J14" i="485" s="1"/>
  <c r="D129" i="506"/>
  <c r="J81" i="186"/>
  <c r="J151" i="186" s="1"/>
  <c r="F29" i="485" s="1"/>
  <c r="D151" i="186"/>
  <c r="J74" i="216"/>
  <c r="J151" i="216" s="1"/>
  <c r="E27" i="485" s="1"/>
  <c r="D151" i="216"/>
  <c r="J76" i="472"/>
  <c r="J152" i="472" s="1"/>
  <c r="E28" i="485" s="1"/>
  <c r="D152" i="472"/>
  <c r="D43" i="506"/>
  <c r="D128" i="506"/>
  <c r="S118" i="120"/>
  <c r="D150" i="472"/>
  <c r="J91" i="472"/>
  <c r="J150" i="472" s="1"/>
  <c r="D153" i="211"/>
  <c r="J61" i="211"/>
  <c r="J84" i="506"/>
  <c r="J124" i="506" s="1"/>
  <c r="E14" i="485" s="1"/>
  <c r="D124" i="506"/>
  <c r="D149" i="158"/>
  <c r="J89" i="158"/>
  <c r="J149" i="158" s="1"/>
  <c r="D429" i="202"/>
  <c r="J429" i="202"/>
  <c r="J210" i="129"/>
  <c r="I21" i="485" s="1"/>
  <c r="J128" i="498"/>
  <c r="I38" i="485" s="1"/>
  <c r="D149" i="216"/>
  <c r="J89" i="216"/>
  <c r="J149" i="216" s="1"/>
  <c r="J68" i="639"/>
  <c r="J150" i="639" s="1"/>
  <c r="D150" i="639"/>
  <c r="J83" i="472"/>
  <c r="J153" i="472" s="1"/>
  <c r="F28" i="485" s="1"/>
  <c r="D153" i="472"/>
  <c r="D114" i="206"/>
  <c r="J89" i="206"/>
  <c r="J114" i="206" s="1"/>
  <c r="J81" i="211"/>
  <c r="J152" i="211" s="1"/>
  <c r="F8" i="485" s="1"/>
  <c r="D152" i="211"/>
  <c r="D423" i="202"/>
  <c r="J423" i="202"/>
  <c r="J68" i="206"/>
  <c r="J115" i="206" s="1"/>
  <c r="D9" i="485" s="1"/>
  <c r="D115" i="206"/>
  <c r="J89" i="203"/>
  <c r="J148" i="203" s="1"/>
  <c r="D148" i="203"/>
  <c r="J128" i="506"/>
  <c r="I14" i="485" s="1"/>
  <c r="J91" i="473"/>
  <c r="J150" i="473" s="1"/>
  <c r="D150" i="473"/>
  <c r="L15" i="631"/>
  <c r="N14" i="858" s="1"/>
  <c r="O14" i="858" s="1"/>
  <c r="E79" i="112"/>
  <c r="F79" i="112" s="1"/>
  <c r="J68" i="216"/>
  <c r="J150" i="216" s="1"/>
  <c r="D27" i="485" s="1"/>
  <c r="D150" i="216"/>
  <c r="D150" i="203"/>
  <c r="J74" i="203"/>
  <c r="J150" i="203" s="1"/>
  <c r="E5" i="485" s="1"/>
  <c r="D427" i="502"/>
  <c r="J427" i="502"/>
  <c r="J89" i="640"/>
  <c r="J114" i="640" s="1"/>
  <c r="D114" i="640"/>
  <c r="J424" i="200"/>
  <c r="E11" i="485" s="1"/>
  <c r="D424" i="200"/>
  <c r="J70" i="473"/>
  <c r="J151" i="473" s="1"/>
  <c r="D4" i="485" s="1"/>
  <c r="D151" i="473"/>
  <c r="G21" i="485"/>
  <c r="J208" i="129"/>
  <c r="D128" i="498"/>
  <c r="D43" i="498"/>
  <c r="D130" i="506"/>
  <c r="D33" i="506"/>
  <c r="D127" i="498"/>
  <c r="J48" i="498"/>
  <c r="J127" i="498" s="1"/>
  <c r="H38" i="485" s="1"/>
  <c r="D23" i="640"/>
  <c r="J23" i="640" s="1"/>
  <c r="D122" i="640"/>
  <c r="J24" i="640"/>
  <c r="J122" i="640" s="1"/>
  <c r="J425" i="508"/>
  <c r="D425" i="508"/>
  <c r="J68" i="211"/>
  <c r="J150" i="211" s="1"/>
  <c r="D8" i="485" s="1"/>
  <c r="D150" i="211"/>
  <c r="J74" i="640"/>
  <c r="J116" i="640" s="1"/>
  <c r="D116" i="640"/>
  <c r="D149" i="186"/>
  <c r="J68" i="186"/>
  <c r="J149" i="186" s="1"/>
  <c r="D29" i="485" s="1"/>
  <c r="D146" i="742"/>
  <c r="J88" i="742"/>
  <c r="J146" i="742" s="1"/>
  <c r="D116" i="206"/>
  <c r="J74" i="206"/>
  <c r="J116" i="206" s="1"/>
  <c r="E9" i="485" s="1"/>
  <c r="J150" i="158"/>
  <c r="D3" i="485" s="1"/>
  <c r="D150" i="158"/>
  <c r="J423" i="502"/>
  <c r="D423" i="502"/>
  <c r="J429" i="502"/>
  <c r="D429" i="502"/>
  <c r="D122" i="506"/>
  <c r="J99" i="506"/>
  <c r="J122" i="506" s="1"/>
  <c r="D422" i="508"/>
  <c r="J422" i="508"/>
  <c r="J424" i="202"/>
  <c r="D424" i="202"/>
  <c r="J24" i="216"/>
  <c r="J157" i="216" s="1"/>
  <c r="K27" i="485" s="1"/>
  <c r="D23" i="216"/>
  <c r="J23" i="216" s="1"/>
  <c r="D157" i="216"/>
  <c r="J425" i="200"/>
  <c r="F11" i="485" s="1"/>
  <c r="D425" i="200"/>
  <c r="J209" i="129"/>
  <c r="H21" i="485" s="1"/>
  <c r="J34" i="158"/>
  <c r="J155" i="158" s="1"/>
  <c r="I3" i="485" s="1"/>
  <c r="D33" i="158"/>
  <c r="D155" i="158"/>
  <c r="D149" i="742"/>
  <c r="J80" i="742"/>
  <c r="J149" i="742" s="1"/>
  <c r="J427" i="200"/>
  <c r="H11" i="485" s="1"/>
  <c r="D427" i="200"/>
  <c r="D121" i="206"/>
  <c r="J27" i="206"/>
  <c r="J121" i="206" s="1"/>
  <c r="J9" i="485" s="1"/>
  <c r="D426" i="502"/>
  <c r="J426" i="502"/>
  <c r="J81" i="203"/>
  <c r="J151" i="203" s="1"/>
  <c r="F5" i="485" s="1"/>
  <c r="D151" i="203"/>
  <c r="J78" i="506"/>
  <c r="J123" i="506" s="1"/>
  <c r="D14" i="485" s="1"/>
  <c r="D123" i="506"/>
  <c r="J61" i="186"/>
  <c r="D152" i="186"/>
  <c r="J61" i="203"/>
  <c r="D152" i="203"/>
  <c r="D123" i="486"/>
  <c r="J78" i="486"/>
  <c r="J123" i="486" s="1"/>
  <c r="D147" i="742"/>
  <c r="J67" i="742"/>
  <c r="J147" i="742" s="1"/>
  <c r="J91" i="506"/>
  <c r="J125" i="506" s="1"/>
  <c r="F14" i="485" s="1"/>
  <c r="D125" i="506"/>
  <c r="D423" i="508"/>
  <c r="J423" i="508"/>
  <c r="D125" i="498"/>
  <c r="J91" i="498"/>
  <c r="J125" i="498" s="1"/>
  <c r="F38" i="485" s="1"/>
  <c r="J38" i="216"/>
  <c r="J154" i="216" s="1"/>
  <c r="H27" i="485" s="1"/>
  <c r="D154" i="216"/>
  <c r="D423" i="200"/>
  <c r="J423" i="200"/>
  <c r="D11" i="485" s="1"/>
  <c r="D118" i="640"/>
  <c r="J61" i="640"/>
  <c r="J118" i="640" s="1"/>
  <c r="J27" i="203"/>
  <c r="J155" i="203" s="1"/>
  <c r="J5" i="485" s="1"/>
  <c r="D155" i="203"/>
  <c r="D124" i="486"/>
  <c r="J84" i="486"/>
  <c r="J124" i="486" s="1"/>
  <c r="D130" i="486"/>
  <c r="D33" i="486"/>
  <c r="J24" i="158"/>
  <c r="J157" i="158" s="1"/>
  <c r="K3" i="485" s="1"/>
  <c r="D157" i="158"/>
  <c r="D23" i="158"/>
  <c r="J23" i="158" s="1"/>
  <c r="J212" i="129"/>
  <c r="K21" i="485" s="1"/>
  <c r="J89" i="211"/>
  <c r="J149" i="211" s="1"/>
  <c r="D149" i="211"/>
  <c r="J27" i="216"/>
  <c r="J156" i="216" s="1"/>
  <c r="J27" i="485" s="1"/>
  <c r="D156" i="216"/>
  <c r="J425" i="502"/>
  <c r="D425" i="502"/>
  <c r="J38" i="640"/>
  <c r="J119" i="640" s="1"/>
  <c r="D119" i="640"/>
  <c r="J426" i="200"/>
  <c r="G11" i="485" s="1"/>
  <c r="D426" i="200"/>
  <c r="D428" i="202"/>
  <c r="P12" i="130"/>
  <c r="D430" i="508"/>
  <c r="D33" i="203"/>
  <c r="J33" i="203" s="1"/>
  <c r="D154" i="203"/>
  <c r="J34" i="203"/>
  <c r="J154" i="203" s="1"/>
  <c r="I5" i="485" s="1"/>
  <c r="J128" i="486"/>
  <c r="J426" i="508"/>
  <c r="D426" i="508"/>
  <c r="J34" i="216"/>
  <c r="J155" i="216" s="1"/>
  <c r="I27" i="485" s="1"/>
  <c r="D155" i="216"/>
  <c r="D33" i="216"/>
  <c r="J24" i="186"/>
  <c r="J156" i="186" s="1"/>
  <c r="K29" i="485" s="1"/>
  <c r="D156" i="186"/>
  <c r="D23" i="186"/>
  <c r="J23" i="186" s="1"/>
  <c r="M50" i="485"/>
  <c r="J68" i="640"/>
  <c r="J115" i="640" s="1"/>
  <c r="D115" i="640"/>
  <c r="D121" i="640"/>
  <c r="J27" i="640"/>
  <c r="J121" i="640" s="1"/>
  <c r="D33" i="206"/>
  <c r="D120" i="206"/>
  <c r="J34" i="206"/>
  <c r="J120" i="206" s="1"/>
  <c r="I9" i="485" s="1"/>
  <c r="J19" i="203"/>
  <c r="J84" i="498"/>
  <c r="J124" i="498" s="1"/>
  <c r="E38" i="485" s="1"/>
  <c r="D124" i="498"/>
  <c r="J61" i="206"/>
  <c r="D118" i="206"/>
  <c r="D422" i="200"/>
  <c r="J422" i="200"/>
  <c r="J427" i="202"/>
  <c r="D427" i="202"/>
  <c r="D422" i="502"/>
  <c r="J422" i="502"/>
  <c r="D428" i="200"/>
  <c r="J99" i="486"/>
  <c r="J122" i="486" s="1"/>
  <c r="D122" i="486"/>
  <c r="D43" i="486"/>
  <c r="D128" i="486"/>
  <c r="M48" i="485"/>
  <c r="D426" i="202"/>
  <c r="J426" i="202"/>
  <c r="D430" i="200"/>
  <c r="J19" i="186"/>
  <c r="J81" i="639"/>
  <c r="J152" i="639" s="1"/>
  <c r="D152" i="639"/>
  <c r="J38" i="158"/>
  <c r="J154" i="158" s="1"/>
  <c r="H3" i="485" s="1"/>
  <c r="D154" i="158"/>
  <c r="J152" i="158"/>
  <c r="F3" i="485" s="1"/>
  <c r="D152" i="158"/>
  <c r="D153" i="203"/>
  <c r="J38" i="203"/>
  <c r="J153" i="203" s="1"/>
  <c r="H5" i="485" s="1"/>
  <c r="J74" i="211"/>
  <c r="J151" i="211" s="1"/>
  <c r="E8" i="485" s="1"/>
  <c r="D151" i="211"/>
  <c r="D33" i="640"/>
  <c r="J34" i="640"/>
  <c r="J120" i="640" s="1"/>
  <c r="D120" i="640"/>
  <c r="J91" i="486"/>
  <c r="J125" i="486" s="1"/>
  <c r="D125" i="486"/>
  <c r="J130" i="498"/>
  <c r="K38" i="485" s="1"/>
  <c r="J78" i="498"/>
  <c r="J123" i="498" s="1"/>
  <c r="D38" i="485" s="1"/>
  <c r="D123" i="498"/>
  <c r="D117" i="206"/>
  <c r="J81" i="206"/>
  <c r="J117" i="206" s="1"/>
  <c r="F9" i="485" s="1"/>
  <c r="J424" i="502"/>
  <c r="D424" i="502"/>
  <c r="J130" i="506"/>
  <c r="K14" i="485" s="1"/>
  <c r="D155" i="186"/>
  <c r="J27" i="186"/>
  <c r="J155" i="186" s="1"/>
  <c r="J29" i="485" s="1"/>
  <c r="J81" i="216"/>
  <c r="J152" i="216" s="1"/>
  <c r="F27" i="485" s="1"/>
  <c r="D152" i="216"/>
  <c r="J74" i="186"/>
  <c r="J150" i="186" s="1"/>
  <c r="E29" i="485" s="1"/>
  <c r="D150" i="186"/>
  <c r="D33" i="498"/>
  <c r="D130" i="498"/>
  <c r="D428" i="508"/>
  <c r="D129" i="486"/>
  <c r="J37" i="486"/>
  <c r="J129" i="486" s="1"/>
  <c r="D424" i="508"/>
  <c r="J424" i="508"/>
  <c r="D422" i="202"/>
  <c r="J422" i="202"/>
  <c r="Y9" i="129" l="1"/>
  <c r="Z50" i="129"/>
  <c r="P58" i="129"/>
  <c r="Z5" i="129"/>
  <c r="AD10" i="129"/>
  <c r="AD9" i="129" s="1"/>
  <c r="AC21" i="129"/>
  <c r="AE55" i="129"/>
  <c r="AD50" i="129"/>
  <c r="K22" i="130"/>
  <c r="Y22" i="129"/>
  <c r="L58" i="129"/>
  <c r="Q58" i="129" s="1"/>
  <c r="V78" i="129"/>
  <c r="U78" i="129"/>
  <c r="AB10" i="129"/>
  <c r="AB9" i="129" s="1"/>
  <c r="R7" i="129"/>
  <c r="AB21" i="129"/>
  <c r="AE23" i="129"/>
  <c r="AA21" i="129"/>
  <c r="AA20" i="129" s="1"/>
  <c r="S65" i="129"/>
  <c r="X65" i="129" s="1"/>
  <c r="W78" i="129"/>
  <c r="U92" i="129"/>
  <c r="AA50" i="129"/>
  <c r="Y50" i="129"/>
  <c r="AE51" i="129"/>
  <c r="O58" i="129"/>
  <c r="AB5" i="129"/>
  <c r="V99" i="129"/>
  <c r="S86" i="129"/>
  <c r="T65" i="129"/>
  <c r="V86" i="129"/>
  <c r="AD21" i="129"/>
  <c r="AD20" i="129" s="1"/>
  <c r="AB50" i="129"/>
  <c r="U86" i="129"/>
  <c r="V71" i="129"/>
  <c r="T78" i="129"/>
  <c r="AC50" i="129"/>
  <c r="AE53" i="129"/>
  <c r="S92" i="129"/>
  <c r="R92" i="129"/>
  <c r="R58" i="129" s="1"/>
  <c r="Z21" i="129"/>
  <c r="Z20" i="129" s="1"/>
  <c r="M58" i="129"/>
  <c r="U65" i="129"/>
  <c r="U58" i="129" s="1"/>
  <c r="S78" i="129"/>
  <c r="X78" i="129" s="1"/>
  <c r="AE54" i="129"/>
  <c r="W86" i="129"/>
  <c r="V65" i="129"/>
  <c r="V92" i="129"/>
  <c r="T86" i="129"/>
  <c r="R71" i="129"/>
  <c r="R86" i="129"/>
  <c r="W71" i="129"/>
  <c r="U99" i="129"/>
  <c r="S99" i="129"/>
  <c r="X99" i="129" s="1"/>
  <c r="T92" i="129"/>
  <c r="W92" i="129"/>
  <c r="AA10" i="129"/>
  <c r="AA9" i="129" s="1"/>
  <c r="AC5" i="129"/>
  <c r="T99" i="129"/>
  <c r="AE52" i="129"/>
  <c r="AE56" i="129"/>
  <c r="AD5" i="129"/>
  <c r="AD107" i="129" s="1"/>
  <c r="AD109" i="129" s="1"/>
  <c r="W65" i="129"/>
  <c r="Z10" i="129"/>
  <c r="Z9" i="129" s="1"/>
  <c r="W34" i="129"/>
  <c r="N58" i="129"/>
  <c r="U14" i="129"/>
  <c r="U9" i="129" s="1"/>
  <c r="T71" i="129"/>
  <c r="S71" i="129"/>
  <c r="W99" i="129"/>
  <c r="AE24" i="129"/>
  <c r="AA5" i="129"/>
  <c r="AA107" i="129" s="1"/>
  <c r="AA109" i="129" s="1"/>
  <c r="U71" i="129"/>
  <c r="AE12" i="129"/>
  <c r="AC10" i="129"/>
  <c r="AC9" i="129" s="1"/>
  <c r="X59" i="129"/>
  <c r="Q5" i="858"/>
  <c r="D79" i="202"/>
  <c r="I211" i="202"/>
  <c r="H154" i="202"/>
  <c r="I141" i="202"/>
  <c r="G179" i="202"/>
  <c r="G182" i="202"/>
  <c r="F176" i="202"/>
  <c r="G150" i="202"/>
  <c r="E69" i="473"/>
  <c r="E189" i="202"/>
  <c r="F184" i="202"/>
  <c r="G186" i="202"/>
  <c r="D172" i="202"/>
  <c r="G65" i="202"/>
  <c r="H32" i="202"/>
  <c r="E184" i="202"/>
  <c r="E205" i="202"/>
  <c r="D70" i="202"/>
  <c r="I212" i="202"/>
  <c r="H196" i="202"/>
  <c r="I154" i="202"/>
  <c r="I193" i="202"/>
  <c r="I147" i="202"/>
  <c r="I200" i="202"/>
  <c r="F191" i="202"/>
  <c r="G203" i="202"/>
  <c r="E176" i="202"/>
  <c r="F206" i="202"/>
  <c r="D204" i="202"/>
  <c r="I150" i="202"/>
  <c r="G42" i="202"/>
  <c r="H204" i="202"/>
  <c r="E199" i="202"/>
  <c r="G211" i="202"/>
  <c r="F179" i="202"/>
  <c r="D207" i="202"/>
  <c r="H63" i="202"/>
  <c r="F150" i="202"/>
  <c r="I67" i="473"/>
  <c r="D185" i="202"/>
  <c r="E65" i="202"/>
  <c r="G178" i="202"/>
  <c r="E173" i="202"/>
  <c r="D168" i="202"/>
  <c r="G70" i="202"/>
  <c r="H178" i="202"/>
  <c r="E147" i="202"/>
  <c r="D64" i="202"/>
  <c r="F193" i="202"/>
  <c r="H188" i="202"/>
  <c r="E193" i="202"/>
  <c r="E213" i="202"/>
  <c r="E63" i="202"/>
  <c r="D191" i="202"/>
  <c r="E175" i="202"/>
  <c r="G192" i="202"/>
  <c r="G176" i="202"/>
  <c r="F170" i="202"/>
  <c r="I176" i="202"/>
  <c r="H211" i="202"/>
  <c r="G196" i="202"/>
  <c r="D210" i="202"/>
  <c r="I65" i="202"/>
  <c r="H183" i="202"/>
  <c r="E211" i="202"/>
  <c r="G190" i="202"/>
  <c r="I210" i="202"/>
  <c r="F190" i="202"/>
  <c r="F70" i="202"/>
  <c r="G171" i="202"/>
  <c r="I190" i="202"/>
  <c r="F154" i="202"/>
  <c r="D190" i="202"/>
  <c r="F147" i="202"/>
  <c r="D132" i="202"/>
  <c r="D171" i="202"/>
  <c r="I64" i="202"/>
  <c r="H173" i="202"/>
  <c r="H185" i="202"/>
  <c r="D63" i="202"/>
  <c r="H179" i="202"/>
  <c r="I175" i="202"/>
  <c r="H209" i="202"/>
  <c r="F213" i="202"/>
  <c r="G170" i="202"/>
  <c r="H60" i="202"/>
  <c r="G214" i="202"/>
  <c r="F205" i="202"/>
  <c r="I69" i="473"/>
  <c r="G169" i="202"/>
  <c r="F210" i="202"/>
  <c r="F214" i="202"/>
  <c r="D184" i="202"/>
  <c r="H199" i="202"/>
  <c r="D197" i="202"/>
  <c r="E70" i="202"/>
  <c r="E190" i="202"/>
  <c r="H202" i="202"/>
  <c r="H197" i="202"/>
  <c r="I173" i="202"/>
  <c r="F185" i="202"/>
  <c r="E154" i="202"/>
  <c r="G147" i="202"/>
  <c r="F132" i="202"/>
  <c r="G64" i="202"/>
  <c r="H148" i="202"/>
  <c r="E191" i="202"/>
  <c r="G63" i="202"/>
  <c r="E157" i="202"/>
  <c r="D182" i="202"/>
  <c r="E60" i="202"/>
  <c r="I213" i="202"/>
  <c r="I206" i="202"/>
  <c r="F65" i="202"/>
  <c r="H214" i="202"/>
  <c r="F198" i="202"/>
  <c r="I70" i="202"/>
  <c r="D188" i="202"/>
  <c r="H186" i="202"/>
  <c r="G154" i="202"/>
  <c r="D147" i="202"/>
  <c r="H198" i="202"/>
  <c r="H64" i="202"/>
  <c r="F68" i="473"/>
  <c r="H213" i="202"/>
  <c r="D175" i="202"/>
  <c r="D183" i="202"/>
  <c r="I178" i="202"/>
  <c r="E202" i="202"/>
  <c r="D196" i="202"/>
  <c r="D142" i="202"/>
  <c r="I196" i="202"/>
  <c r="H205" i="202"/>
  <c r="H51" i="202"/>
  <c r="E198" i="202"/>
  <c r="G173" i="202"/>
  <c r="G132" i="202"/>
  <c r="G209" i="202"/>
  <c r="E64" i="202"/>
  <c r="G204" i="202"/>
  <c r="I148" i="202"/>
  <c r="F204" i="202"/>
  <c r="G206" i="202"/>
  <c r="F63" i="202"/>
  <c r="E192" i="202"/>
  <c r="G199" i="202"/>
  <c r="D60" i="202"/>
  <c r="F64" i="473"/>
  <c r="G67" i="473"/>
  <c r="I66" i="473"/>
  <c r="D206" i="202"/>
  <c r="G172" i="202"/>
  <c r="F171" i="202"/>
  <c r="H54" i="202"/>
  <c r="I199" i="202"/>
  <c r="F162" i="202"/>
  <c r="E170" i="202"/>
  <c r="F196" i="202"/>
  <c r="E169" i="202"/>
  <c r="I214" i="202"/>
  <c r="D169" i="202"/>
  <c r="E142" i="202"/>
  <c r="H169" i="202"/>
  <c r="G51" i="202"/>
  <c r="G200" i="202"/>
  <c r="F200" i="202"/>
  <c r="E207" i="202"/>
  <c r="D211" i="202"/>
  <c r="G143" i="202"/>
  <c r="E200" i="202"/>
  <c r="I132" i="202"/>
  <c r="F203" i="202"/>
  <c r="F64" i="202"/>
  <c r="D200" i="202"/>
  <c r="I207" i="202"/>
  <c r="H200" i="202"/>
  <c r="I63" i="202"/>
  <c r="F172" i="202"/>
  <c r="I60" i="202"/>
  <c r="H206" i="202"/>
  <c r="I169" i="202"/>
  <c r="H191" i="202"/>
  <c r="E68" i="473"/>
  <c r="E183" i="202"/>
  <c r="G181" i="202"/>
  <c r="I186" i="202"/>
  <c r="D51" i="202"/>
  <c r="I209" i="202"/>
  <c r="D198" i="202"/>
  <c r="E54" i="202"/>
  <c r="G184" i="202"/>
  <c r="I162" i="202"/>
  <c r="F169" i="202"/>
  <c r="F181" i="202"/>
  <c r="H172" i="202"/>
  <c r="D202" i="202"/>
  <c r="I168" i="202"/>
  <c r="F142" i="202"/>
  <c r="I171" i="202"/>
  <c r="E185" i="202"/>
  <c r="E51" i="202"/>
  <c r="H40" i="202"/>
  <c r="F143" i="202"/>
  <c r="D58" i="202"/>
  <c r="E148" i="202"/>
  <c r="D209" i="202"/>
  <c r="F182" i="202"/>
  <c r="F189" i="202"/>
  <c r="E206" i="202"/>
  <c r="G60" i="202"/>
  <c r="F69" i="473"/>
  <c r="E178" i="202"/>
  <c r="I192" i="202"/>
  <c r="D193" i="202"/>
  <c r="G183" i="202"/>
  <c r="G175" i="202"/>
  <c r="H192" i="202"/>
  <c r="I54" i="202"/>
  <c r="H69" i="202"/>
  <c r="E172" i="202"/>
  <c r="D214" i="202"/>
  <c r="I205" i="202"/>
  <c r="G142" i="202"/>
  <c r="G198" i="202"/>
  <c r="I51" i="202"/>
  <c r="D40" i="202"/>
  <c r="E168" i="202"/>
  <c r="H68" i="202"/>
  <c r="I143" i="202"/>
  <c r="F58" i="202"/>
  <c r="F148" i="202"/>
  <c r="E204" i="202"/>
  <c r="G213" i="202"/>
  <c r="G177" i="202"/>
  <c r="D192" i="202"/>
  <c r="E186" i="202"/>
  <c r="G189" i="202"/>
  <c r="D54" i="202"/>
  <c r="D179" i="202"/>
  <c r="H203" i="202"/>
  <c r="F60" i="202"/>
  <c r="G54" i="202"/>
  <c r="G205" i="202"/>
  <c r="G69" i="202"/>
  <c r="G212" i="202"/>
  <c r="G202" i="202"/>
  <c r="I197" i="202"/>
  <c r="E210" i="202"/>
  <c r="H184" i="202"/>
  <c r="G197" i="202"/>
  <c r="H210" i="202"/>
  <c r="F51" i="202"/>
  <c r="G40" i="202"/>
  <c r="F188" i="202"/>
  <c r="I198" i="202"/>
  <c r="I68" i="202"/>
  <c r="D143" i="202"/>
  <c r="G193" i="202"/>
  <c r="D173" i="202"/>
  <c r="I185" i="202"/>
  <c r="E58" i="202"/>
  <c r="I136" i="202"/>
  <c r="I191" i="202"/>
  <c r="I203" i="202"/>
  <c r="I177" i="202"/>
  <c r="I204" i="202"/>
  <c r="E181" i="202"/>
  <c r="H58" i="202"/>
  <c r="F54" i="202"/>
  <c r="H177" i="202"/>
  <c r="E69" i="202"/>
  <c r="F212" i="202"/>
  <c r="H170" i="202"/>
  <c r="E32" i="202"/>
  <c r="E188" i="202"/>
  <c r="F211" i="202"/>
  <c r="I40" i="202"/>
  <c r="D186" i="202"/>
  <c r="E68" i="202"/>
  <c r="I188" i="202"/>
  <c r="G191" i="202"/>
  <c r="G188" i="202"/>
  <c r="I58" i="202"/>
  <c r="D136" i="202"/>
  <c r="H207" i="202"/>
  <c r="H193" i="202"/>
  <c r="D176" i="202"/>
  <c r="H42" i="202"/>
  <c r="E182" i="202"/>
  <c r="D177" i="202"/>
  <c r="D65" i="202"/>
  <c r="I172" i="202"/>
  <c r="G210" i="202"/>
  <c r="F32" i="202"/>
  <c r="G68" i="202"/>
  <c r="G58" i="202"/>
  <c r="E136" i="202"/>
  <c r="H171" i="202"/>
  <c r="I182" i="202"/>
  <c r="D189" i="202"/>
  <c r="I32" i="202"/>
  <c r="D212" i="202"/>
  <c r="F42" i="202"/>
  <c r="H176" i="202"/>
  <c r="H168" i="202"/>
  <c r="H182" i="202"/>
  <c r="F197" i="202"/>
  <c r="E143" i="202"/>
  <c r="G207" i="202"/>
  <c r="E132" i="202"/>
  <c r="G148" i="202"/>
  <c r="I184" i="202"/>
  <c r="D199" i="202"/>
  <c r="D69" i="202"/>
  <c r="F202" i="202"/>
  <c r="H175" i="202"/>
  <c r="D181" i="202"/>
  <c r="D205" i="202"/>
  <c r="I181" i="202"/>
  <c r="F40" i="202"/>
  <c r="G185" i="202"/>
  <c r="I179" i="202"/>
  <c r="D203" i="202"/>
  <c r="D213" i="202"/>
  <c r="I170" i="202"/>
  <c r="D42" i="202"/>
  <c r="F175" i="202"/>
  <c r="F199" i="202"/>
  <c r="E214" i="202"/>
  <c r="H189" i="202"/>
  <c r="I69" i="202"/>
  <c r="E197" i="202"/>
  <c r="F178" i="202"/>
  <c r="D32" i="202"/>
  <c r="F186" i="202"/>
  <c r="E196" i="202"/>
  <c r="E40" i="202"/>
  <c r="E209" i="202"/>
  <c r="D68" i="202"/>
  <c r="E179" i="202"/>
  <c r="H190" i="202"/>
  <c r="F207" i="202"/>
  <c r="F136" i="202"/>
  <c r="F192" i="202"/>
  <c r="I189" i="202"/>
  <c r="D150" i="202"/>
  <c r="I42" i="202"/>
  <c r="I202" i="202"/>
  <c r="H70" i="202"/>
  <c r="E177" i="202"/>
  <c r="G168" i="202"/>
  <c r="D170" i="202"/>
  <c r="F69" i="202"/>
  <c r="I183" i="202"/>
  <c r="H65" i="202"/>
  <c r="G32" i="202"/>
  <c r="F168" i="202"/>
  <c r="E212" i="202"/>
  <c r="D178" i="202"/>
  <c r="H181" i="202"/>
  <c r="F173" i="202"/>
  <c r="H212" i="202"/>
  <c r="E171" i="202"/>
  <c r="F68" i="202"/>
  <c r="E203" i="202"/>
  <c r="G136" i="202"/>
  <c r="F209" i="202"/>
  <c r="F177" i="202"/>
  <c r="E150" i="202"/>
  <c r="E42" i="202"/>
  <c r="F183" i="202"/>
  <c r="D69" i="473"/>
  <c r="D67" i="163"/>
  <c r="H63" i="742"/>
  <c r="G64" i="742"/>
  <c r="D62" i="742"/>
  <c r="H66" i="742"/>
  <c r="G63" i="742"/>
  <c r="F61" i="742"/>
  <c r="F66" i="742"/>
  <c r="E61" i="742"/>
  <c r="D46" i="202"/>
  <c r="D35" i="211"/>
  <c r="E62" i="163"/>
  <c r="F66" i="163"/>
  <c r="I66" i="742"/>
  <c r="G67" i="163"/>
  <c r="E65" i="163"/>
  <c r="E64" i="473"/>
  <c r="G63" i="163"/>
  <c r="G69" i="473"/>
  <c r="I67" i="163"/>
  <c r="E67" i="473"/>
  <c r="F62" i="742"/>
  <c r="G65" i="473"/>
  <c r="D52" i="202"/>
  <c r="D41" i="211"/>
  <c r="E66" i="163"/>
  <c r="G65" i="163"/>
  <c r="H63" i="163"/>
  <c r="D62" i="163"/>
  <c r="I66" i="163"/>
  <c r="G64" i="163"/>
  <c r="H65" i="473"/>
  <c r="F65" i="742"/>
  <c r="G61" i="742"/>
  <c r="D64" i="473"/>
  <c r="F62" i="163"/>
  <c r="I68" i="473"/>
  <c r="H65" i="163"/>
  <c r="G66" i="473"/>
  <c r="G65" i="742"/>
  <c r="H67" i="473"/>
  <c r="I64" i="163"/>
  <c r="I63" i="163"/>
  <c r="D65" i="163"/>
  <c r="E66" i="742"/>
  <c r="E62" i="742"/>
  <c r="E67" i="163"/>
  <c r="I62" i="163"/>
  <c r="I65" i="473"/>
  <c r="D67" i="473"/>
  <c r="F63" i="163"/>
  <c r="D66" i="742"/>
  <c r="D63" i="742"/>
  <c r="I64" i="473"/>
  <c r="H61" i="742"/>
  <c r="F65" i="473"/>
  <c r="E64" i="742"/>
  <c r="H66" i="163"/>
  <c r="D63" i="163"/>
  <c r="D66" i="163"/>
  <c r="E65" i="742"/>
  <c r="E41" i="202"/>
  <c r="E30" i="211"/>
  <c r="D59" i="202"/>
  <c r="D48" i="211"/>
  <c r="D64" i="163"/>
  <c r="H68" i="473"/>
  <c r="D65" i="473"/>
  <c r="D64" i="742"/>
  <c r="I62" i="742"/>
  <c r="H62" i="163"/>
  <c r="I63" i="742"/>
  <c r="D68" i="473"/>
  <c r="H67" i="163"/>
  <c r="H65" i="742"/>
  <c r="D66" i="473"/>
  <c r="H64" i="163"/>
  <c r="E63" i="163"/>
  <c r="H64" i="473"/>
  <c r="G66" i="742"/>
  <c r="E64" i="163"/>
  <c r="H69" i="473"/>
  <c r="I39" i="202"/>
  <c r="I28" i="211"/>
  <c r="G62" i="163"/>
  <c r="H66" i="473"/>
  <c r="E65" i="473"/>
  <c r="E66" i="473"/>
  <c r="E63" i="742"/>
  <c r="I61" i="742"/>
  <c r="G66" i="163"/>
  <c r="D61" i="742"/>
  <c r="G64" i="473"/>
  <c r="H62" i="742"/>
  <c r="F63" i="742"/>
  <c r="I65" i="163"/>
  <c r="I55" i="202"/>
  <c r="I44" i="211"/>
  <c r="F67" i="163"/>
  <c r="G68" i="473"/>
  <c r="F65" i="163"/>
  <c r="I64" i="742"/>
  <c r="F64" i="163"/>
  <c r="I25" i="742"/>
  <c r="I37" i="202"/>
  <c r="I28" i="473"/>
  <c r="I26" i="211"/>
  <c r="I26" i="163"/>
  <c r="D31" i="202"/>
  <c r="D20" i="163"/>
  <c r="D22" i="473"/>
  <c r="D20" i="211"/>
  <c r="D36" i="202"/>
  <c r="D25" i="163"/>
  <c r="D27" i="473"/>
  <c r="D25" i="211"/>
  <c r="D57" i="202"/>
  <c r="D46" i="211"/>
  <c r="D39" i="202"/>
  <c r="D28" i="211"/>
  <c r="I67" i="202"/>
  <c r="I56" i="211"/>
  <c r="I55" i="211" s="1"/>
  <c r="D67" i="202"/>
  <c r="D56" i="211"/>
  <c r="D55" i="211" s="1"/>
  <c r="D65" i="742"/>
  <c r="G62" i="742"/>
  <c r="H64" i="742"/>
  <c r="F67" i="473"/>
  <c r="F66" i="473"/>
  <c r="F64" i="742"/>
  <c r="I65" i="742"/>
  <c r="D79" i="200"/>
  <c r="D79" i="508"/>
  <c r="H200" i="502"/>
  <c r="E204" i="502"/>
  <c r="D196" i="502"/>
  <c r="H196" i="502"/>
  <c r="E198" i="502"/>
  <c r="E212" i="502"/>
  <c r="F202" i="502"/>
  <c r="H202" i="502"/>
  <c r="D39" i="200"/>
  <c r="D39" i="508"/>
  <c r="D203" i="502"/>
  <c r="S42" i="129"/>
  <c r="W43" i="129"/>
  <c r="D52" i="200"/>
  <c r="D52" i="508"/>
  <c r="I176" i="200"/>
  <c r="I176" i="508"/>
  <c r="E183" i="200"/>
  <c r="E183" i="508"/>
  <c r="I199" i="508"/>
  <c r="I199" i="200"/>
  <c r="G181" i="200"/>
  <c r="G181" i="508"/>
  <c r="F202" i="508"/>
  <c r="F202" i="200"/>
  <c r="F205" i="508"/>
  <c r="F205" i="200"/>
  <c r="X90" i="823"/>
  <c r="H199" i="508"/>
  <c r="H199" i="200"/>
  <c r="U43" i="823"/>
  <c r="G65" i="200"/>
  <c r="G65" i="508"/>
  <c r="U7" i="823"/>
  <c r="G32" i="200"/>
  <c r="G32" i="508"/>
  <c r="X105" i="823"/>
  <c r="H214" i="508"/>
  <c r="H214" i="200"/>
  <c r="Q23" i="823"/>
  <c r="V23" i="823"/>
  <c r="R48" i="823"/>
  <c r="D70" i="200"/>
  <c r="D70" i="508"/>
  <c r="T16" i="823"/>
  <c r="F40" i="200"/>
  <c r="F40" i="508"/>
  <c r="X87" i="823"/>
  <c r="H196" i="508"/>
  <c r="H196" i="200"/>
  <c r="U28" i="823"/>
  <c r="N27" i="823"/>
  <c r="H168" i="508"/>
  <c r="H168" i="200"/>
  <c r="H154" i="200"/>
  <c r="H154" i="508"/>
  <c r="D132" i="508"/>
  <c r="D132" i="200"/>
  <c r="T42" i="823"/>
  <c r="F64" i="200"/>
  <c r="F64" i="508"/>
  <c r="Q78" i="823"/>
  <c r="V78" i="823"/>
  <c r="X78" i="823" s="1"/>
  <c r="I191" i="200"/>
  <c r="I191" i="508"/>
  <c r="I148" i="200"/>
  <c r="I148" i="508"/>
  <c r="E193" i="200"/>
  <c r="E193" i="508"/>
  <c r="F176" i="200"/>
  <c r="F176" i="508"/>
  <c r="E150" i="200"/>
  <c r="E150" i="508"/>
  <c r="V18" i="823"/>
  <c r="H42" i="200"/>
  <c r="H42" i="508"/>
  <c r="S38" i="823"/>
  <c r="E60" i="200"/>
  <c r="E60" i="508"/>
  <c r="W65" i="823"/>
  <c r="P58" i="823"/>
  <c r="I183" i="200"/>
  <c r="I183" i="508"/>
  <c r="T43" i="823"/>
  <c r="F65" i="200"/>
  <c r="F65" i="508"/>
  <c r="W7" i="823"/>
  <c r="I32" i="200"/>
  <c r="I32" i="508"/>
  <c r="G202" i="508"/>
  <c r="G202" i="200"/>
  <c r="I168" i="508"/>
  <c r="I168" i="200"/>
  <c r="D142" i="508"/>
  <c r="D142" i="200"/>
  <c r="G198" i="508"/>
  <c r="G198" i="200"/>
  <c r="W48" i="823"/>
  <c r="I70" i="200"/>
  <c r="I70" i="508"/>
  <c r="I212" i="508"/>
  <c r="I212" i="200"/>
  <c r="S16" i="823"/>
  <c r="E40" i="200"/>
  <c r="E40" i="508"/>
  <c r="S28" i="823"/>
  <c r="L27" i="823"/>
  <c r="I154" i="200"/>
  <c r="I154" i="508"/>
  <c r="I188" i="200"/>
  <c r="I188" i="508"/>
  <c r="D179" i="200"/>
  <c r="D179" i="508"/>
  <c r="F132" i="508"/>
  <c r="F132" i="200"/>
  <c r="Q36" i="823"/>
  <c r="V36" i="823"/>
  <c r="H58" i="200"/>
  <c r="H58" i="508"/>
  <c r="X79" i="823"/>
  <c r="H188" i="200"/>
  <c r="H188" i="508"/>
  <c r="R31" i="823"/>
  <c r="Q31" i="823"/>
  <c r="R99" i="823"/>
  <c r="X99" i="823" s="1"/>
  <c r="Q99" i="823"/>
  <c r="E176" i="200"/>
  <c r="E176" i="508"/>
  <c r="G182" i="200"/>
  <c r="G182" i="508"/>
  <c r="I209" i="508"/>
  <c r="I209" i="200"/>
  <c r="V40" i="823"/>
  <c r="O39" i="823"/>
  <c r="V39" i="823" s="1"/>
  <c r="G192" i="200"/>
  <c r="G192" i="508"/>
  <c r="G150" i="200"/>
  <c r="G150" i="508"/>
  <c r="R18" i="823"/>
  <c r="Q18" i="823"/>
  <c r="D42" i="200"/>
  <c r="D42" i="508"/>
  <c r="E177" i="200"/>
  <c r="E177" i="508"/>
  <c r="R38" i="823"/>
  <c r="D60" i="200"/>
  <c r="D60" i="508"/>
  <c r="X68" i="823"/>
  <c r="D177" i="200"/>
  <c r="D177" i="508"/>
  <c r="X83" i="823"/>
  <c r="H192" i="200"/>
  <c r="H192" i="508"/>
  <c r="U45" i="823"/>
  <c r="N44" i="823"/>
  <c r="U44" i="823" s="1"/>
  <c r="H170" i="508"/>
  <c r="H170" i="200"/>
  <c r="S43" i="823"/>
  <c r="E65" i="200"/>
  <c r="E65" i="508"/>
  <c r="V7" i="823"/>
  <c r="H32" i="200"/>
  <c r="H32" i="508"/>
  <c r="D196" i="508"/>
  <c r="D196" i="200"/>
  <c r="F168" i="508"/>
  <c r="F168" i="200"/>
  <c r="E142" i="508"/>
  <c r="E142" i="200"/>
  <c r="F190" i="200"/>
  <c r="F190" i="508"/>
  <c r="E186" i="200"/>
  <c r="E186" i="508"/>
  <c r="X101" i="823"/>
  <c r="H210" i="508"/>
  <c r="H210" i="200"/>
  <c r="X96" i="823"/>
  <c r="H205" i="508"/>
  <c r="H205" i="200"/>
  <c r="U48" i="823"/>
  <c r="G70" i="200"/>
  <c r="G70" i="508"/>
  <c r="G185" i="200"/>
  <c r="G185" i="508"/>
  <c r="F200" i="508"/>
  <c r="F200" i="200"/>
  <c r="E171" i="508"/>
  <c r="E171" i="200"/>
  <c r="G154" i="200"/>
  <c r="G154" i="508"/>
  <c r="G132" i="508"/>
  <c r="G132" i="200"/>
  <c r="R36" i="823"/>
  <c r="D58" i="200"/>
  <c r="D58" i="508"/>
  <c r="G204" i="508"/>
  <c r="G204" i="200"/>
  <c r="G148" i="200"/>
  <c r="G148" i="508"/>
  <c r="Q41" i="823"/>
  <c r="V41" i="823"/>
  <c r="H63" i="200"/>
  <c r="H63" i="508"/>
  <c r="D213" i="508"/>
  <c r="D213" i="200"/>
  <c r="R40" i="823"/>
  <c r="K39" i="823"/>
  <c r="Q40" i="823"/>
  <c r="I150" i="200"/>
  <c r="I150" i="508"/>
  <c r="W18" i="823"/>
  <c r="I42" i="200"/>
  <c r="I42" i="508"/>
  <c r="S65" i="823"/>
  <c r="L58" i="823"/>
  <c r="S58" i="823" s="1"/>
  <c r="D192" i="200"/>
  <c r="D192" i="508"/>
  <c r="W38" i="823"/>
  <c r="I60" i="200"/>
  <c r="I60" i="508"/>
  <c r="E41" i="200"/>
  <c r="E41" i="508"/>
  <c r="U42" i="129"/>
  <c r="D64" i="502"/>
  <c r="R43" i="129"/>
  <c r="D37" i="130"/>
  <c r="D59" i="200"/>
  <c r="D59" i="508"/>
  <c r="V32" i="823"/>
  <c r="H54" i="200"/>
  <c r="H54" i="508"/>
  <c r="S45" i="823"/>
  <c r="L44" i="823"/>
  <c r="S44" i="823" s="1"/>
  <c r="G186" i="200"/>
  <c r="G186" i="508"/>
  <c r="W43" i="823"/>
  <c r="I65" i="200"/>
  <c r="I65" i="508"/>
  <c r="R71" i="823"/>
  <c r="X71" i="823" s="1"/>
  <c r="Q71" i="823"/>
  <c r="D169" i="508"/>
  <c r="D169" i="200"/>
  <c r="P21" i="823"/>
  <c r="W23" i="823"/>
  <c r="I202" i="508"/>
  <c r="I202" i="200"/>
  <c r="T48" i="823"/>
  <c r="F70" i="200"/>
  <c r="F70" i="508"/>
  <c r="R37" i="823"/>
  <c r="Q37" i="823"/>
  <c r="I193" i="200"/>
  <c r="I193" i="508"/>
  <c r="G191" i="200"/>
  <c r="G191" i="508"/>
  <c r="I132" i="508"/>
  <c r="I132" i="200"/>
  <c r="F207" i="508"/>
  <c r="F207" i="200"/>
  <c r="T36" i="823"/>
  <c r="F58" i="200"/>
  <c r="F58" i="508"/>
  <c r="D200" i="508"/>
  <c r="D200" i="200"/>
  <c r="E148" i="200"/>
  <c r="E148" i="508"/>
  <c r="E213" i="508"/>
  <c r="E213" i="200"/>
  <c r="I192" i="200"/>
  <c r="I192" i="508"/>
  <c r="L39" i="823"/>
  <c r="S39" i="823" s="1"/>
  <c r="S41" i="823"/>
  <c r="E63" i="200"/>
  <c r="E63" i="508"/>
  <c r="E192" i="200"/>
  <c r="E192" i="508"/>
  <c r="W40" i="823"/>
  <c r="P39" i="823"/>
  <c r="W39" i="823" s="1"/>
  <c r="G177" i="200"/>
  <c r="G177" i="508"/>
  <c r="F150" i="200"/>
  <c r="F150" i="508"/>
  <c r="S18" i="823"/>
  <c r="E42" i="200"/>
  <c r="E42" i="508"/>
  <c r="T38" i="823"/>
  <c r="F60" i="200"/>
  <c r="F60" i="508"/>
  <c r="I213" i="508"/>
  <c r="I213" i="200"/>
  <c r="O44" i="823"/>
  <c r="V44" i="823" s="1"/>
  <c r="V45" i="823"/>
  <c r="I213" i="502"/>
  <c r="S48" i="129"/>
  <c r="V42" i="129"/>
  <c r="I197" i="508"/>
  <c r="I197" i="200"/>
  <c r="E205" i="508"/>
  <c r="E205" i="200"/>
  <c r="D181" i="200"/>
  <c r="D181" i="508"/>
  <c r="D197" i="508"/>
  <c r="D197" i="200"/>
  <c r="F142" i="508"/>
  <c r="F142" i="200"/>
  <c r="S48" i="823"/>
  <c r="E70" i="200"/>
  <c r="E70" i="508"/>
  <c r="F185" i="200"/>
  <c r="F185" i="508"/>
  <c r="F154" i="200"/>
  <c r="F154" i="508"/>
  <c r="E132" i="508"/>
  <c r="E132" i="200"/>
  <c r="D171" i="508"/>
  <c r="D171" i="200"/>
  <c r="I185" i="200"/>
  <c r="I185" i="508"/>
  <c r="S36" i="823"/>
  <c r="E58" i="200"/>
  <c r="E58" i="508"/>
  <c r="F192" i="200"/>
  <c r="F192" i="508"/>
  <c r="F148" i="200"/>
  <c r="F148" i="508"/>
  <c r="F204" i="508"/>
  <c r="F204" i="200"/>
  <c r="R41" i="823"/>
  <c r="D63" i="200"/>
  <c r="D63" i="508"/>
  <c r="U40" i="823"/>
  <c r="N39" i="823"/>
  <c r="U39" i="823" s="1"/>
  <c r="T18" i="823"/>
  <c r="F42" i="200"/>
  <c r="F42" i="508"/>
  <c r="U38" i="823"/>
  <c r="G60" i="200"/>
  <c r="G60" i="508"/>
  <c r="X97" i="823"/>
  <c r="H206" i="508"/>
  <c r="H206" i="200"/>
  <c r="F207" i="502"/>
  <c r="I199" i="502"/>
  <c r="G209" i="502"/>
  <c r="R32" i="823"/>
  <c r="Q32" i="823"/>
  <c r="D54" i="200"/>
  <c r="D54" i="508"/>
  <c r="X53" i="823"/>
  <c r="D170" i="508"/>
  <c r="D170" i="200"/>
  <c r="F162" i="200"/>
  <c r="F162" i="508"/>
  <c r="F214" i="508"/>
  <c r="F214" i="200"/>
  <c r="F184" i="200"/>
  <c r="F184" i="508"/>
  <c r="E172" i="508"/>
  <c r="E172" i="200"/>
  <c r="H199" i="502"/>
  <c r="I211" i="502"/>
  <c r="I214" i="502"/>
  <c r="G198" i="502"/>
  <c r="I202" i="502"/>
  <c r="R32" i="129"/>
  <c r="T48" i="129"/>
  <c r="S24" i="130"/>
  <c r="H182" i="200"/>
  <c r="H182" i="508"/>
  <c r="S32" i="823"/>
  <c r="E54" i="200"/>
  <c r="E54" i="508"/>
  <c r="K58" i="823"/>
  <c r="R65" i="823"/>
  <c r="R45" i="823"/>
  <c r="K44" i="823"/>
  <c r="Q45" i="823"/>
  <c r="D183" i="200"/>
  <c r="D183" i="508"/>
  <c r="I178" i="200"/>
  <c r="I178" i="508"/>
  <c r="D202" i="508"/>
  <c r="D202" i="200"/>
  <c r="X93" i="823"/>
  <c r="G142" i="508"/>
  <c r="G142" i="200"/>
  <c r="V29" i="823"/>
  <c r="H51" i="200"/>
  <c r="H51" i="508"/>
  <c r="I179" i="200"/>
  <c r="I179" i="508"/>
  <c r="I198" i="508"/>
  <c r="I198" i="200"/>
  <c r="E154" i="200"/>
  <c r="E154" i="508"/>
  <c r="G193" i="200"/>
  <c r="G193" i="508"/>
  <c r="O21" i="823"/>
  <c r="V22" i="823"/>
  <c r="W36" i="823"/>
  <c r="I58" i="200"/>
  <c r="I58" i="508"/>
  <c r="X91" i="823"/>
  <c r="H200" i="508"/>
  <c r="H200" i="200"/>
  <c r="U41" i="823"/>
  <c r="G63" i="200"/>
  <c r="G63" i="508"/>
  <c r="I177" i="200"/>
  <c r="I177" i="508"/>
  <c r="X94" i="823"/>
  <c r="H203" i="508"/>
  <c r="H203" i="200"/>
  <c r="E157" i="200"/>
  <c r="E157" i="508"/>
  <c r="D204" i="508"/>
  <c r="D204" i="200"/>
  <c r="G199" i="508"/>
  <c r="G199" i="200"/>
  <c r="U18" i="823"/>
  <c r="G42" i="200"/>
  <c r="G42" i="508"/>
  <c r="D31" i="200"/>
  <c r="D31" i="508"/>
  <c r="F64" i="472"/>
  <c r="F196" i="502"/>
  <c r="F199" i="502"/>
  <c r="I200" i="502"/>
  <c r="H211" i="502"/>
  <c r="G67" i="472"/>
  <c r="I66" i="472"/>
  <c r="G207" i="502"/>
  <c r="E197" i="502"/>
  <c r="F214" i="502"/>
  <c r="D212" i="502"/>
  <c r="F211" i="502"/>
  <c r="H203" i="502"/>
  <c r="I203" i="502"/>
  <c r="F210" i="502"/>
  <c r="G202" i="502"/>
  <c r="S46" i="129"/>
  <c r="S44" i="129" s="1"/>
  <c r="D57" i="200"/>
  <c r="D57" i="508"/>
  <c r="U24" i="130"/>
  <c r="D206" i="508"/>
  <c r="D206" i="200"/>
  <c r="D199" i="508"/>
  <c r="D199" i="200"/>
  <c r="G169" i="508"/>
  <c r="G169" i="200"/>
  <c r="W32" i="823"/>
  <c r="I54" i="200"/>
  <c r="I54" i="508"/>
  <c r="D175" i="200"/>
  <c r="D175" i="508"/>
  <c r="G205" i="508"/>
  <c r="G205" i="200"/>
  <c r="I162" i="200"/>
  <c r="I162" i="508"/>
  <c r="I205" i="508"/>
  <c r="I205" i="200"/>
  <c r="X74" i="823"/>
  <c r="H183" i="200"/>
  <c r="H183" i="508"/>
  <c r="E212" i="508"/>
  <c r="E212" i="200"/>
  <c r="R92" i="823"/>
  <c r="X92" i="823" s="1"/>
  <c r="Q92" i="823"/>
  <c r="F198" i="508"/>
  <c r="F198" i="200"/>
  <c r="D205" i="508"/>
  <c r="D205" i="200"/>
  <c r="E185" i="200"/>
  <c r="E185" i="508"/>
  <c r="U29" i="823"/>
  <c r="G51" i="200"/>
  <c r="G51" i="508"/>
  <c r="D188" i="200"/>
  <c r="D188" i="508"/>
  <c r="I211" i="508"/>
  <c r="I211" i="200"/>
  <c r="D211" i="508"/>
  <c r="D211" i="200"/>
  <c r="X102" i="823"/>
  <c r="Q24" i="823"/>
  <c r="V24" i="823"/>
  <c r="G209" i="508"/>
  <c r="G209" i="200"/>
  <c r="R22" i="823"/>
  <c r="K21" i="823"/>
  <c r="Q22" i="823"/>
  <c r="U36" i="823"/>
  <c r="G58" i="200"/>
  <c r="G58" i="508"/>
  <c r="T41" i="823"/>
  <c r="F63" i="200"/>
  <c r="F63" i="508"/>
  <c r="X70" i="823"/>
  <c r="H179" i="200"/>
  <c r="H179" i="508"/>
  <c r="X98" i="823"/>
  <c r="H207" i="508"/>
  <c r="H207" i="200"/>
  <c r="T40" i="823"/>
  <c r="M39" i="823"/>
  <c r="T39" i="823" s="1"/>
  <c r="O10" i="823"/>
  <c r="V11" i="823"/>
  <c r="I206" i="508"/>
  <c r="I206" i="200"/>
  <c r="F199" i="508"/>
  <c r="F199" i="200"/>
  <c r="F197" i="502"/>
  <c r="F198" i="502"/>
  <c r="X104" i="823"/>
  <c r="H213" i="508"/>
  <c r="H213" i="200"/>
  <c r="U32" i="823"/>
  <c r="G54" i="200"/>
  <c r="G54" i="508"/>
  <c r="V47" i="823"/>
  <c r="H69" i="200"/>
  <c r="H69" i="508"/>
  <c r="X52" i="823"/>
  <c r="H169" i="508"/>
  <c r="H169" i="200"/>
  <c r="Q29" i="823"/>
  <c r="R29" i="823"/>
  <c r="D51" i="200"/>
  <c r="D51" i="508"/>
  <c r="E190" i="200"/>
  <c r="E190" i="508"/>
  <c r="E198" i="508"/>
  <c r="E198" i="200"/>
  <c r="X103" i="823"/>
  <c r="H212" i="508"/>
  <c r="H212" i="200"/>
  <c r="F188" i="200"/>
  <c r="F188" i="508"/>
  <c r="H186" i="200"/>
  <c r="H186" i="508"/>
  <c r="D203" i="508"/>
  <c r="D203" i="200"/>
  <c r="G143" i="508"/>
  <c r="G143" i="200"/>
  <c r="D190" i="200"/>
  <c r="D190" i="508"/>
  <c r="E203" i="508"/>
  <c r="E203" i="200"/>
  <c r="F191" i="200"/>
  <c r="F191" i="508"/>
  <c r="T22" i="823"/>
  <c r="M21" i="823"/>
  <c r="Q17" i="823"/>
  <c r="V17" i="823"/>
  <c r="H173" i="508"/>
  <c r="H173" i="200"/>
  <c r="F177" i="200"/>
  <c r="F177" i="508"/>
  <c r="I203" i="508"/>
  <c r="I203" i="200"/>
  <c r="W41" i="823"/>
  <c r="I63" i="200"/>
  <c r="I63" i="508"/>
  <c r="K10" i="823"/>
  <c r="R11" i="823"/>
  <c r="Q11" i="823"/>
  <c r="X73" i="823"/>
  <c r="D182" i="200"/>
  <c r="D182" i="508"/>
  <c r="E213" i="502"/>
  <c r="G205" i="502"/>
  <c r="D204" i="502"/>
  <c r="S12" i="130"/>
  <c r="W48" i="129"/>
  <c r="V47" i="129"/>
  <c r="O5" i="823"/>
  <c r="V6" i="823"/>
  <c r="I169" i="508"/>
  <c r="I169" i="200"/>
  <c r="H209" i="502"/>
  <c r="G212" i="502"/>
  <c r="G214" i="502"/>
  <c r="F204" i="502"/>
  <c r="E69" i="472"/>
  <c r="F206" i="502"/>
  <c r="E205" i="502"/>
  <c r="I197" i="502"/>
  <c r="G213" i="502"/>
  <c r="D67" i="200"/>
  <c r="D67" i="508"/>
  <c r="D70" i="502"/>
  <c r="F152" i="502"/>
  <c r="V22" i="130"/>
  <c r="U6" i="823"/>
  <c r="N5" i="823"/>
  <c r="T32" i="823"/>
  <c r="F54" i="200"/>
  <c r="F54" i="508"/>
  <c r="U47" i="823"/>
  <c r="G69" i="200"/>
  <c r="G69" i="508"/>
  <c r="F197" i="508"/>
  <c r="F197" i="200"/>
  <c r="G196" i="508"/>
  <c r="G196" i="200"/>
  <c r="G210" i="508"/>
  <c r="G210" i="200"/>
  <c r="D184" i="200"/>
  <c r="D184" i="508"/>
  <c r="E181" i="200"/>
  <c r="E181" i="508"/>
  <c r="F186" i="200"/>
  <c r="F186" i="508"/>
  <c r="X55" i="823"/>
  <c r="H172" i="508"/>
  <c r="H172" i="200"/>
  <c r="E211" i="508"/>
  <c r="E211" i="200"/>
  <c r="I186" i="200"/>
  <c r="I186" i="508"/>
  <c r="I210" i="508"/>
  <c r="I210" i="200"/>
  <c r="E173" i="508"/>
  <c r="E173" i="200"/>
  <c r="S29" i="823"/>
  <c r="E51" i="200"/>
  <c r="E51" i="508"/>
  <c r="X77" i="823"/>
  <c r="D186" i="200"/>
  <c r="D186" i="508"/>
  <c r="E143" i="508"/>
  <c r="E143" i="200"/>
  <c r="Q30" i="823"/>
  <c r="V30" i="823"/>
  <c r="X81" i="823"/>
  <c r="H190" i="200"/>
  <c r="H190" i="508"/>
  <c r="H198" i="508"/>
  <c r="H198" i="200"/>
  <c r="S22" i="823"/>
  <c r="L21" i="823"/>
  <c r="I136" i="200"/>
  <c r="I136" i="508"/>
  <c r="G203" i="508"/>
  <c r="G203" i="200"/>
  <c r="I182" i="200"/>
  <c r="I182" i="508"/>
  <c r="V35" i="823"/>
  <c r="O34" i="823"/>
  <c r="V34" i="823" s="1"/>
  <c r="F206" i="508"/>
  <c r="F206" i="200"/>
  <c r="L10" i="823"/>
  <c r="S11" i="823"/>
  <c r="E206" i="508"/>
  <c r="E206" i="200"/>
  <c r="G170" i="508"/>
  <c r="G170" i="200"/>
  <c r="E182" i="200"/>
  <c r="E182" i="508"/>
  <c r="I67" i="200"/>
  <c r="I67" i="508"/>
  <c r="E214" i="502"/>
  <c r="H198" i="502"/>
  <c r="I204" i="502"/>
  <c r="S32" i="129"/>
  <c r="E199" i="502"/>
  <c r="F200" i="502"/>
  <c r="F205" i="502"/>
  <c r="H205" i="502"/>
  <c r="H213" i="502"/>
  <c r="E200" i="502"/>
  <c r="E68" i="472"/>
  <c r="H210" i="502"/>
  <c r="H207" i="502"/>
  <c r="U18" i="129"/>
  <c r="V48" i="129"/>
  <c r="G69" i="502"/>
  <c r="D46" i="200"/>
  <c r="D46" i="508"/>
  <c r="F170" i="508"/>
  <c r="F170" i="200"/>
  <c r="T6" i="823"/>
  <c r="M5" i="823"/>
  <c r="G168" i="508"/>
  <c r="G168" i="200"/>
  <c r="S47" i="823"/>
  <c r="E69" i="200"/>
  <c r="E69" i="508"/>
  <c r="F181" i="200"/>
  <c r="F181" i="508"/>
  <c r="D214" i="508"/>
  <c r="D214" i="200"/>
  <c r="I181" i="200"/>
  <c r="I181" i="508"/>
  <c r="I171" i="508"/>
  <c r="I171" i="200"/>
  <c r="W29" i="823"/>
  <c r="I51" i="200"/>
  <c r="I51" i="508"/>
  <c r="G200" i="508"/>
  <c r="G200" i="200"/>
  <c r="H202" i="508"/>
  <c r="H202" i="200"/>
  <c r="F143" i="508"/>
  <c r="F143" i="200"/>
  <c r="I147" i="200"/>
  <c r="I147" i="508"/>
  <c r="G188" i="200"/>
  <c r="G188" i="508"/>
  <c r="I141" i="508"/>
  <c r="I141" i="200"/>
  <c r="D136" i="200"/>
  <c r="D136" i="508"/>
  <c r="N34" i="823"/>
  <c r="U34" i="823" s="1"/>
  <c r="U35" i="823"/>
  <c r="P10" i="823"/>
  <c r="W11" i="823"/>
  <c r="I170" i="508"/>
  <c r="I170" i="200"/>
  <c r="F189" i="200"/>
  <c r="F189" i="508"/>
  <c r="F213" i="508"/>
  <c r="F213" i="200"/>
  <c r="E203" i="502"/>
  <c r="H204" i="502"/>
  <c r="H197" i="502"/>
  <c r="R29" i="129"/>
  <c r="D197" i="502"/>
  <c r="G196" i="502"/>
  <c r="I209" i="502"/>
  <c r="F213" i="502"/>
  <c r="I55" i="200"/>
  <c r="I55" i="508"/>
  <c r="I39" i="200"/>
  <c r="I39" i="508"/>
  <c r="V32" i="129"/>
  <c r="I37" i="200"/>
  <c r="I37" i="508"/>
  <c r="G211" i="502"/>
  <c r="D207" i="502"/>
  <c r="I205" i="502"/>
  <c r="E206" i="502"/>
  <c r="I206" i="502"/>
  <c r="I207" i="502"/>
  <c r="T47" i="129"/>
  <c r="G175" i="200"/>
  <c r="G175" i="508"/>
  <c r="K5" i="823"/>
  <c r="R6" i="823"/>
  <c r="Q6" i="823"/>
  <c r="G184" i="200"/>
  <c r="G184" i="508"/>
  <c r="I172" i="508"/>
  <c r="I172" i="200"/>
  <c r="X80" i="823"/>
  <c r="H189" i="200"/>
  <c r="H189" i="508"/>
  <c r="R47" i="823"/>
  <c r="Q47" i="823"/>
  <c r="D69" i="200"/>
  <c r="D69" i="508"/>
  <c r="F196" i="508"/>
  <c r="F196" i="200"/>
  <c r="E210" i="508"/>
  <c r="E210" i="200"/>
  <c r="G211" i="508"/>
  <c r="G211" i="200"/>
  <c r="F211" i="508"/>
  <c r="F211" i="200"/>
  <c r="T29" i="823"/>
  <c r="F51" i="200"/>
  <c r="F51" i="508"/>
  <c r="X69" i="823"/>
  <c r="H178" i="200"/>
  <c r="H178" i="508"/>
  <c r="V46" i="823"/>
  <c r="H68" i="200"/>
  <c r="H68" i="508"/>
  <c r="I143" i="508"/>
  <c r="I143" i="200"/>
  <c r="E200" i="508"/>
  <c r="E200" i="200"/>
  <c r="D147" i="200"/>
  <c r="D147" i="508"/>
  <c r="U22" i="823"/>
  <c r="N21" i="823"/>
  <c r="G179" i="200"/>
  <c r="G179" i="508"/>
  <c r="E136" i="200"/>
  <c r="E136" i="508"/>
  <c r="I207" i="508"/>
  <c r="I207" i="200"/>
  <c r="V15" i="823"/>
  <c r="O14" i="823"/>
  <c r="L34" i="823"/>
  <c r="S34" i="823" s="1"/>
  <c r="S35" i="823"/>
  <c r="F182" i="200"/>
  <c r="F182" i="508"/>
  <c r="M10" i="823"/>
  <c r="T11" i="823"/>
  <c r="E175" i="200"/>
  <c r="E175" i="508"/>
  <c r="G189" i="200"/>
  <c r="G189" i="508"/>
  <c r="I196" i="502"/>
  <c r="G197" i="502"/>
  <c r="D198" i="502"/>
  <c r="D36" i="200"/>
  <c r="D36" i="508"/>
  <c r="F203" i="502"/>
  <c r="G210" i="502"/>
  <c r="F209" i="502"/>
  <c r="R36" i="129"/>
  <c r="S47" i="129"/>
  <c r="R23" i="130"/>
  <c r="P5" i="823"/>
  <c r="W6" i="823"/>
  <c r="E214" i="508"/>
  <c r="E214" i="200"/>
  <c r="W47" i="823"/>
  <c r="I69" i="200"/>
  <c r="I69" i="508"/>
  <c r="F169" i="508"/>
  <c r="F169" i="200"/>
  <c r="D172" i="508"/>
  <c r="D172" i="200"/>
  <c r="G197" i="508"/>
  <c r="G197" i="200"/>
  <c r="I196" i="508"/>
  <c r="I196" i="200"/>
  <c r="P44" i="823"/>
  <c r="W44" i="823" s="1"/>
  <c r="W46" i="823"/>
  <c r="I68" i="200"/>
  <c r="I68" i="508"/>
  <c r="D143" i="508"/>
  <c r="D143" i="200"/>
  <c r="G173" i="508"/>
  <c r="G173" i="200"/>
  <c r="E147" i="200"/>
  <c r="E147" i="508"/>
  <c r="V42" i="823"/>
  <c r="H64" i="200"/>
  <c r="H64" i="508"/>
  <c r="F136" i="200"/>
  <c r="F136" i="508"/>
  <c r="W15" i="823"/>
  <c r="P14" i="823"/>
  <c r="G206" i="508"/>
  <c r="G206" i="200"/>
  <c r="D207" i="508"/>
  <c r="D207" i="200"/>
  <c r="R35" i="823"/>
  <c r="K34" i="823"/>
  <c r="Q35" i="823"/>
  <c r="X84" i="823"/>
  <c r="D193" i="200"/>
  <c r="D193" i="508"/>
  <c r="N10" i="823"/>
  <c r="U11" i="823"/>
  <c r="X100" i="823"/>
  <c r="H209" i="508"/>
  <c r="H209" i="200"/>
  <c r="G183" i="200"/>
  <c r="G183" i="508"/>
  <c r="T32" i="129"/>
  <c r="W42" i="129"/>
  <c r="R24" i="130"/>
  <c r="G199" i="502"/>
  <c r="G200" i="502"/>
  <c r="E196" i="502"/>
  <c r="E210" i="502"/>
  <c r="E211" i="502"/>
  <c r="G203" i="502"/>
  <c r="H212" i="502"/>
  <c r="E202" i="502"/>
  <c r="T36" i="129"/>
  <c r="T34" i="129" s="1"/>
  <c r="I141" i="502"/>
  <c r="E189" i="200"/>
  <c r="E189" i="508"/>
  <c r="S6" i="823"/>
  <c r="L5" i="823"/>
  <c r="T47" i="823"/>
  <c r="F69" i="200"/>
  <c r="F69" i="508"/>
  <c r="E199" i="508"/>
  <c r="E199" i="200"/>
  <c r="E202" i="508"/>
  <c r="E202" i="200"/>
  <c r="G212" i="508"/>
  <c r="G212" i="200"/>
  <c r="E169" i="508"/>
  <c r="E169" i="200"/>
  <c r="E184" i="200"/>
  <c r="E184" i="508"/>
  <c r="X75" i="823"/>
  <c r="H184" i="200"/>
  <c r="H184" i="508"/>
  <c r="D212" i="508"/>
  <c r="D212" i="200"/>
  <c r="R50" i="823"/>
  <c r="X50" i="823" s="1"/>
  <c r="Q50" i="823"/>
  <c r="V16" i="823"/>
  <c r="H40" i="200"/>
  <c r="H40" i="508"/>
  <c r="E209" i="508"/>
  <c r="E209" i="200"/>
  <c r="V28" i="823"/>
  <c r="O27" i="823"/>
  <c r="S46" i="823"/>
  <c r="E68" i="200"/>
  <c r="E68" i="508"/>
  <c r="F147" i="200"/>
  <c r="F147" i="508"/>
  <c r="I200" i="508"/>
  <c r="I200" i="200"/>
  <c r="R42" i="823"/>
  <c r="Q42" i="823"/>
  <c r="D64" i="200"/>
  <c r="D64" i="508"/>
  <c r="G136" i="200"/>
  <c r="G136" i="508"/>
  <c r="X54" i="823"/>
  <c r="H171" i="508"/>
  <c r="H171" i="200"/>
  <c r="F179" i="200"/>
  <c r="F179" i="508"/>
  <c r="T15" i="823"/>
  <c r="M14" i="823"/>
  <c r="W35" i="823"/>
  <c r="P34" i="823"/>
  <c r="W34" i="823" s="1"/>
  <c r="I175" i="200"/>
  <c r="I175" i="508"/>
  <c r="D189" i="200"/>
  <c r="D189" i="508"/>
  <c r="T65" i="823"/>
  <c r="M58" i="823"/>
  <c r="F183" i="200"/>
  <c r="F183" i="508"/>
  <c r="D202" i="502"/>
  <c r="G214" i="508"/>
  <c r="G214" i="200"/>
  <c r="I212" i="502"/>
  <c r="I210" i="502"/>
  <c r="H206" i="502"/>
  <c r="D210" i="502"/>
  <c r="U48" i="129"/>
  <c r="H214" i="502"/>
  <c r="I198" i="502"/>
  <c r="E209" i="502"/>
  <c r="D211" i="502"/>
  <c r="G204" i="502"/>
  <c r="F212" i="502"/>
  <c r="F68" i="472"/>
  <c r="E207" i="502"/>
  <c r="D200" i="502"/>
  <c r="G206" i="502"/>
  <c r="V36" i="129"/>
  <c r="V34" i="129" s="1"/>
  <c r="U38" i="129"/>
  <c r="I32" i="502"/>
  <c r="F171" i="508"/>
  <c r="F171" i="200"/>
  <c r="Q65" i="823"/>
  <c r="V65" i="823"/>
  <c r="O58" i="823"/>
  <c r="V58" i="823" s="1"/>
  <c r="F212" i="508"/>
  <c r="F212" i="200"/>
  <c r="F178" i="200"/>
  <c r="F178" i="508"/>
  <c r="S7" i="823"/>
  <c r="E32" i="200"/>
  <c r="E32" i="508"/>
  <c r="G190" i="200"/>
  <c r="G190" i="508"/>
  <c r="R16" i="823"/>
  <c r="Q16" i="823"/>
  <c r="D40" i="200"/>
  <c r="D40" i="508"/>
  <c r="P27" i="823"/>
  <c r="W28" i="823"/>
  <c r="I173" i="508"/>
  <c r="I173" i="200"/>
  <c r="U46" i="823"/>
  <c r="G68" i="200"/>
  <c r="G68" i="508"/>
  <c r="G207" i="508"/>
  <c r="G207" i="200"/>
  <c r="G147" i="200"/>
  <c r="G147" i="508"/>
  <c r="W42" i="823"/>
  <c r="I64" i="200"/>
  <c r="I64" i="508"/>
  <c r="R15" i="823"/>
  <c r="K14" i="823"/>
  <c r="Q15" i="823"/>
  <c r="I189" i="200"/>
  <c r="I189" i="508"/>
  <c r="T35" i="823"/>
  <c r="M34" i="823"/>
  <c r="T34" i="823" s="1"/>
  <c r="E204" i="508"/>
  <c r="E204" i="200"/>
  <c r="H191" i="200"/>
  <c r="H191" i="508"/>
  <c r="D176" i="200"/>
  <c r="D176" i="508"/>
  <c r="F175" i="200"/>
  <c r="F175" i="508"/>
  <c r="I58" i="502"/>
  <c r="V38" i="129"/>
  <c r="I184" i="200"/>
  <c r="I184" i="508"/>
  <c r="X76" i="823"/>
  <c r="D185" i="200"/>
  <c r="D185" i="508"/>
  <c r="H177" i="200"/>
  <c r="H177" i="508"/>
  <c r="F210" i="508"/>
  <c r="F210" i="200"/>
  <c r="E170" i="508"/>
  <c r="E170" i="200"/>
  <c r="Q43" i="823"/>
  <c r="V43" i="823"/>
  <c r="H65" i="200"/>
  <c r="H65" i="508"/>
  <c r="T7" i="823"/>
  <c r="F32" i="200"/>
  <c r="F32" i="508"/>
  <c r="I214" i="508"/>
  <c r="I214" i="200"/>
  <c r="R86" i="823"/>
  <c r="X86" i="823" s="1"/>
  <c r="Q86" i="823"/>
  <c r="E178" i="200"/>
  <c r="E178" i="508"/>
  <c r="G178" i="200"/>
  <c r="G178" i="508"/>
  <c r="E188" i="200"/>
  <c r="E188" i="508"/>
  <c r="X51" i="823"/>
  <c r="D168" i="508"/>
  <c r="D168" i="200"/>
  <c r="D178" i="200"/>
  <c r="D178" i="508"/>
  <c r="U16" i="823"/>
  <c r="G40" i="200"/>
  <c r="G40" i="508"/>
  <c r="G171" i="508"/>
  <c r="G171" i="200"/>
  <c r="F173" i="508"/>
  <c r="F173" i="200"/>
  <c r="E168" i="508"/>
  <c r="E168" i="200"/>
  <c r="T28" i="823"/>
  <c r="M27" i="823"/>
  <c r="I190" i="200"/>
  <c r="I190" i="508"/>
  <c r="R46" i="823"/>
  <c r="Q46" i="823"/>
  <c r="D68" i="200"/>
  <c r="D68" i="508"/>
  <c r="F203" i="508"/>
  <c r="F203" i="200"/>
  <c r="U42" i="823"/>
  <c r="G64" i="200"/>
  <c r="G64" i="508"/>
  <c r="F193" i="200"/>
  <c r="F193" i="508"/>
  <c r="F209" i="508"/>
  <c r="F209" i="200"/>
  <c r="H185" i="200"/>
  <c r="H185" i="508"/>
  <c r="S15" i="823"/>
  <c r="L14" i="823"/>
  <c r="Q33" i="823"/>
  <c r="V33" i="823"/>
  <c r="F172" i="508"/>
  <c r="F172" i="200"/>
  <c r="G176" i="200"/>
  <c r="G176" i="508"/>
  <c r="X95" i="823"/>
  <c r="H204" i="508"/>
  <c r="H204" i="200"/>
  <c r="S43" i="129"/>
  <c r="I147" i="502"/>
  <c r="F154" i="502"/>
  <c r="G172" i="508"/>
  <c r="G172" i="200"/>
  <c r="D198" i="508"/>
  <c r="D198" i="200"/>
  <c r="X89" i="823"/>
  <c r="H211" i="508"/>
  <c r="H211" i="200"/>
  <c r="X67" i="823"/>
  <c r="H176" i="200"/>
  <c r="H176" i="508"/>
  <c r="X66" i="823"/>
  <c r="H175" i="200"/>
  <c r="H175" i="508"/>
  <c r="E197" i="508"/>
  <c r="E197" i="200"/>
  <c r="D210" i="508"/>
  <c r="D210" i="200"/>
  <c r="R43" i="823"/>
  <c r="D65" i="200"/>
  <c r="D65" i="508"/>
  <c r="Q7" i="823"/>
  <c r="R7" i="823"/>
  <c r="D32" i="200"/>
  <c r="D32" i="508"/>
  <c r="E196" i="508"/>
  <c r="E196" i="200"/>
  <c r="U65" i="823"/>
  <c r="N58" i="823"/>
  <c r="U58" i="823" s="1"/>
  <c r="Q48" i="823"/>
  <c r="V48" i="823"/>
  <c r="H70" i="200"/>
  <c r="H70" i="508"/>
  <c r="X72" i="823"/>
  <c r="H181" i="200"/>
  <c r="H181" i="508"/>
  <c r="W16" i="823"/>
  <c r="I40" i="200"/>
  <c r="I40" i="508"/>
  <c r="X88" i="823"/>
  <c r="H197" i="508"/>
  <c r="H197" i="200"/>
  <c r="R28" i="823"/>
  <c r="K27" i="823"/>
  <c r="Q28" i="823"/>
  <c r="E207" i="508"/>
  <c r="E207" i="200"/>
  <c r="M44" i="823"/>
  <c r="T44" i="823" s="1"/>
  <c r="T46" i="823"/>
  <c r="F68" i="200"/>
  <c r="F68" i="508"/>
  <c r="E179" i="200"/>
  <c r="E179" i="508"/>
  <c r="Q12" i="823"/>
  <c r="V12" i="823"/>
  <c r="X56" i="823"/>
  <c r="D173" i="508"/>
  <c r="D173" i="200"/>
  <c r="S42" i="823"/>
  <c r="E64" i="200"/>
  <c r="E64" i="508"/>
  <c r="H148" i="200"/>
  <c r="H148" i="508"/>
  <c r="U15" i="823"/>
  <c r="N14" i="823"/>
  <c r="D209" i="508"/>
  <c r="D209" i="200"/>
  <c r="E191" i="200"/>
  <c r="E191" i="508"/>
  <c r="X82" i="823"/>
  <c r="D191" i="200"/>
  <c r="D191" i="508"/>
  <c r="H193" i="200"/>
  <c r="H193" i="508"/>
  <c r="G213" i="508"/>
  <c r="G213" i="200"/>
  <c r="D150" i="200"/>
  <c r="D150" i="508"/>
  <c r="I204" i="508"/>
  <c r="I204" i="200"/>
  <c r="Q38" i="823"/>
  <c r="V38" i="823"/>
  <c r="H60" i="200"/>
  <c r="H60" i="508"/>
  <c r="W37" i="120"/>
  <c r="I154" i="654" s="1"/>
  <c r="I59" i="654"/>
  <c r="D65" i="657"/>
  <c r="D65" i="654"/>
  <c r="H64" i="658"/>
  <c r="H64" i="654"/>
  <c r="R37" i="120"/>
  <c r="D154" i="654" s="1"/>
  <c r="D59" i="654"/>
  <c r="I62" i="658"/>
  <c r="I62" i="654"/>
  <c r="R40" i="120"/>
  <c r="D157" i="654" s="1"/>
  <c r="D62" i="654"/>
  <c r="G64" i="657"/>
  <c r="G64" i="654"/>
  <c r="E69" i="657"/>
  <c r="E69" i="654"/>
  <c r="E62" i="658"/>
  <c r="E62" i="654"/>
  <c r="G60" i="658"/>
  <c r="G60" i="654"/>
  <c r="R18" i="120"/>
  <c r="D137" i="654" s="1"/>
  <c r="D42" i="654"/>
  <c r="S18" i="120"/>
  <c r="E137" i="654" s="1"/>
  <c r="E42" i="654"/>
  <c r="V30" i="120"/>
  <c r="H147" i="654" s="1"/>
  <c r="H52" i="654"/>
  <c r="I64" i="657"/>
  <c r="I64" i="654"/>
  <c r="F62" i="657"/>
  <c r="F62" i="654"/>
  <c r="S36" i="120"/>
  <c r="E153" i="654" s="1"/>
  <c r="E58" i="654"/>
  <c r="H62" i="657"/>
  <c r="H62" i="654"/>
  <c r="F58" i="657"/>
  <c r="F58" i="654"/>
  <c r="I69" i="657"/>
  <c r="I69" i="654"/>
  <c r="E51" i="657"/>
  <c r="E51" i="654"/>
  <c r="G62" i="657"/>
  <c r="G62" i="654"/>
  <c r="D58" i="657"/>
  <c r="D58" i="654"/>
  <c r="T32" i="120"/>
  <c r="F149" i="654" s="1"/>
  <c r="F54" i="654"/>
  <c r="W41" i="120"/>
  <c r="I158" i="654" s="1"/>
  <c r="I63" i="654"/>
  <c r="R31" i="120"/>
  <c r="D148" i="654" s="1"/>
  <c r="D53" i="654"/>
  <c r="W36" i="120"/>
  <c r="I153" i="654" s="1"/>
  <c r="I58" i="654"/>
  <c r="G69" i="657"/>
  <c r="G69" i="654"/>
  <c r="G51" i="657"/>
  <c r="G51" i="654"/>
  <c r="D63" i="657"/>
  <c r="D63" i="654"/>
  <c r="G53" i="657"/>
  <c r="G53" i="654"/>
  <c r="H58" i="658"/>
  <c r="H58" i="654"/>
  <c r="S30" i="120"/>
  <c r="E147" i="654" s="1"/>
  <c r="E52" i="654"/>
  <c r="G55" i="657"/>
  <c r="G55" i="654"/>
  <c r="E63" i="657"/>
  <c r="E63" i="654"/>
  <c r="D67" i="657"/>
  <c r="D67" i="654"/>
  <c r="H51" i="658"/>
  <c r="H51" i="654"/>
  <c r="H63" i="657"/>
  <c r="H63" i="654"/>
  <c r="W45" i="120"/>
  <c r="I162" i="654" s="1"/>
  <c r="I67" i="654"/>
  <c r="E53" i="657"/>
  <c r="E53" i="654"/>
  <c r="F70" i="657"/>
  <c r="F70" i="654"/>
  <c r="G67" i="658"/>
  <c r="G67" i="654"/>
  <c r="H53" i="657"/>
  <c r="H53" i="654"/>
  <c r="U46" i="120"/>
  <c r="G163" i="654" s="1"/>
  <c r="G68" i="654"/>
  <c r="V18" i="120"/>
  <c r="H137" i="654" s="1"/>
  <c r="H42" i="654"/>
  <c r="R33" i="120"/>
  <c r="D150" i="654" s="1"/>
  <c r="D55" i="654"/>
  <c r="F63" i="657"/>
  <c r="F63" i="654"/>
  <c r="F53" i="657"/>
  <c r="F53" i="654"/>
  <c r="R30" i="120"/>
  <c r="D147" i="654" s="1"/>
  <c r="D52" i="654"/>
  <c r="G57" i="657"/>
  <c r="G57" i="654"/>
  <c r="E55" i="657"/>
  <c r="E55" i="654"/>
  <c r="I60" i="657"/>
  <c r="I60" i="654"/>
  <c r="H70" i="657"/>
  <c r="H70" i="654"/>
  <c r="T45" i="120"/>
  <c r="F162" i="654" s="1"/>
  <c r="F67" i="654"/>
  <c r="F60" i="657"/>
  <c r="F60" i="654"/>
  <c r="I68" i="658"/>
  <c r="I68" i="654"/>
  <c r="R32" i="120"/>
  <c r="D149" i="654" s="1"/>
  <c r="D54" i="654"/>
  <c r="D64" i="657"/>
  <c r="D64" i="654"/>
  <c r="T37" i="120"/>
  <c r="F154" i="654" s="1"/>
  <c r="F59" i="654"/>
  <c r="D60" i="657"/>
  <c r="D60" i="654"/>
  <c r="T30" i="120"/>
  <c r="F147" i="654" s="1"/>
  <c r="F52" i="654"/>
  <c r="T43" i="120"/>
  <c r="F160" i="654" s="1"/>
  <c r="F65" i="654"/>
  <c r="E70" i="657"/>
  <c r="E70" i="654"/>
  <c r="E59" i="657"/>
  <c r="E59" i="654"/>
  <c r="I200" i="658"/>
  <c r="I200" i="657"/>
  <c r="E214" i="658"/>
  <c r="E214" i="657"/>
  <c r="H202" i="658"/>
  <c r="H202" i="657"/>
  <c r="H214" i="657"/>
  <c r="H214" i="658"/>
  <c r="E202" i="658"/>
  <c r="E202" i="657"/>
  <c r="F211" i="658"/>
  <c r="F211" i="657"/>
  <c r="D203" i="657"/>
  <c r="D203" i="658"/>
  <c r="I196" i="657"/>
  <c r="I196" i="658"/>
  <c r="E204" i="657"/>
  <c r="E204" i="658"/>
  <c r="E203" i="657"/>
  <c r="E203" i="658"/>
  <c r="H212" i="657"/>
  <c r="H212" i="658"/>
  <c r="H197" i="657"/>
  <c r="H197" i="658"/>
  <c r="I209" i="657"/>
  <c r="I209" i="658"/>
  <c r="D211" i="658"/>
  <c r="D211" i="657"/>
  <c r="F205" i="658"/>
  <c r="F205" i="657"/>
  <c r="G211" i="658"/>
  <c r="G211" i="657"/>
  <c r="D205" i="658"/>
  <c r="D205" i="657"/>
  <c r="D207" i="658"/>
  <c r="D207" i="657"/>
  <c r="E200" i="657"/>
  <c r="E200" i="658"/>
  <c r="D200" i="657"/>
  <c r="D200" i="658"/>
  <c r="F210" i="657"/>
  <c r="F210" i="658"/>
  <c r="H205" i="657"/>
  <c r="H205" i="658"/>
  <c r="H198" i="658"/>
  <c r="H198" i="657"/>
  <c r="G207" i="658"/>
  <c r="G207" i="657"/>
  <c r="H207" i="658"/>
  <c r="H207" i="657"/>
  <c r="I203" i="657"/>
  <c r="I203" i="658"/>
  <c r="F209" i="657"/>
  <c r="F209" i="658"/>
  <c r="I202" i="657"/>
  <c r="I202" i="658"/>
  <c r="F212" i="657"/>
  <c r="F212" i="658"/>
  <c r="E212" i="657"/>
  <c r="E212" i="658"/>
  <c r="F202" i="658"/>
  <c r="F202" i="657"/>
  <c r="D199" i="658"/>
  <c r="D199" i="657"/>
  <c r="F199" i="657"/>
  <c r="F199" i="658"/>
  <c r="H206" i="657"/>
  <c r="H206" i="658"/>
  <c r="I212" i="657"/>
  <c r="I212" i="658"/>
  <c r="G209" i="657"/>
  <c r="G209" i="658"/>
  <c r="G206" i="657"/>
  <c r="G206" i="658"/>
  <c r="I198" i="658"/>
  <c r="I198" i="657"/>
  <c r="G198" i="658"/>
  <c r="G198" i="657"/>
  <c r="E211" i="658"/>
  <c r="E211" i="657"/>
  <c r="D197" i="657"/>
  <c r="D197" i="658"/>
  <c r="F196" i="658"/>
  <c r="F196" i="657"/>
  <c r="F203" i="657"/>
  <c r="F203" i="658"/>
  <c r="I214" i="657"/>
  <c r="I214" i="658"/>
  <c r="G197" i="657"/>
  <c r="G197" i="658"/>
  <c r="G202" i="658"/>
  <c r="G202" i="657"/>
  <c r="E196" i="658"/>
  <c r="E196" i="657"/>
  <c r="G213" i="658"/>
  <c r="G213" i="657"/>
  <c r="G205" i="657"/>
  <c r="G205" i="658"/>
  <c r="F197" i="657"/>
  <c r="F197" i="658"/>
  <c r="H211" i="658"/>
  <c r="H211" i="657"/>
  <c r="I205" i="657"/>
  <c r="I205" i="658"/>
  <c r="H203" i="657"/>
  <c r="H203" i="658"/>
  <c r="H209" i="657"/>
  <c r="H209" i="658"/>
  <c r="E197" i="657"/>
  <c r="E197" i="658"/>
  <c r="H196" i="657"/>
  <c r="H196" i="658"/>
  <c r="H213" i="658"/>
  <c r="H213" i="657"/>
  <c r="G196" i="657"/>
  <c r="G196" i="658"/>
  <c r="G200" i="657"/>
  <c r="G200" i="658"/>
  <c r="G210" i="657"/>
  <c r="G210" i="658"/>
  <c r="G199" i="657"/>
  <c r="G199" i="658"/>
  <c r="H200" i="658"/>
  <c r="H200" i="657"/>
  <c r="D206" i="657"/>
  <c r="D206" i="658"/>
  <c r="F213" i="658"/>
  <c r="F213" i="657"/>
  <c r="I197" i="657"/>
  <c r="I197" i="658"/>
  <c r="E199" i="657"/>
  <c r="E199" i="658"/>
  <c r="D210" i="657"/>
  <c r="D210" i="658"/>
  <c r="I207" i="658"/>
  <c r="I207" i="657"/>
  <c r="D204" i="657"/>
  <c r="D204" i="658"/>
  <c r="G212" i="657"/>
  <c r="G212" i="658"/>
  <c r="I210" i="658"/>
  <c r="I210" i="657"/>
  <c r="H204" i="658"/>
  <c r="H204" i="657"/>
  <c r="G203" i="657"/>
  <c r="G203" i="658"/>
  <c r="E206" i="657"/>
  <c r="E206" i="658"/>
  <c r="D209" i="658"/>
  <c r="D209" i="657"/>
  <c r="E213" i="657"/>
  <c r="E213" i="658"/>
  <c r="E209" i="657"/>
  <c r="E209" i="658"/>
  <c r="I204" i="658"/>
  <c r="I204" i="657"/>
  <c r="E205" i="658"/>
  <c r="E205" i="657"/>
  <c r="D202" i="658"/>
  <c r="D202" i="657"/>
  <c r="D214" i="658"/>
  <c r="D214" i="657"/>
  <c r="F214" i="658"/>
  <c r="F214" i="657"/>
  <c r="I213" i="658"/>
  <c r="I213" i="657"/>
  <c r="E207" i="658"/>
  <c r="E207" i="657"/>
  <c r="H199" i="657"/>
  <c r="H199" i="658"/>
  <c r="I199" i="657"/>
  <c r="I199" i="658"/>
  <c r="I206" i="657"/>
  <c r="I206" i="658"/>
  <c r="E210" i="657"/>
  <c r="E210" i="658"/>
  <c r="D213" i="657"/>
  <c r="D213" i="658"/>
  <c r="I211" i="657"/>
  <c r="I211" i="658"/>
  <c r="F204" i="658"/>
  <c r="F204" i="657"/>
  <c r="F207" i="658"/>
  <c r="F207" i="657"/>
  <c r="D198" i="658"/>
  <c r="D198" i="657"/>
  <c r="F200" i="657"/>
  <c r="F200" i="658"/>
  <c r="F198" i="658"/>
  <c r="F198" i="657"/>
  <c r="H210" i="658"/>
  <c r="H210" i="657"/>
  <c r="D212" i="657"/>
  <c r="D212" i="658"/>
  <c r="D196" i="657"/>
  <c r="D196" i="658"/>
  <c r="F206" i="657"/>
  <c r="F206" i="658"/>
  <c r="G204" i="658"/>
  <c r="G204" i="657"/>
  <c r="G214" i="658"/>
  <c r="G214" i="657"/>
  <c r="E198" i="658"/>
  <c r="E198" i="657"/>
  <c r="L9" i="631"/>
  <c r="N8" i="858" s="1"/>
  <c r="L11" i="631"/>
  <c r="E68" i="658"/>
  <c r="P35" i="130"/>
  <c r="H39" i="657"/>
  <c r="H59" i="657"/>
  <c r="F150" i="502"/>
  <c r="F60" i="502"/>
  <c r="D62" i="658"/>
  <c r="L31" i="130"/>
  <c r="V23" i="130"/>
  <c r="W46" i="120"/>
  <c r="W23" i="130"/>
  <c r="G148" i="502"/>
  <c r="I59" i="658"/>
  <c r="P31" i="130"/>
  <c r="K31" i="130"/>
  <c r="K23" i="130"/>
  <c r="N31" i="130"/>
  <c r="N22" i="130"/>
  <c r="I68" i="657"/>
  <c r="P23" i="130"/>
  <c r="P22" i="130"/>
  <c r="H68" i="657"/>
  <c r="T38" i="129"/>
  <c r="G70" i="657"/>
  <c r="W22" i="130"/>
  <c r="F67" i="658"/>
  <c r="I142" i="502"/>
  <c r="D142" i="502"/>
  <c r="E69" i="502"/>
  <c r="M31" i="130"/>
  <c r="L30" i="130"/>
  <c r="G143" i="502"/>
  <c r="M28" i="130"/>
  <c r="E63" i="658"/>
  <c r="S41" i="120"/>
  <c r="F58" i="502"/>
  <c r="N24" i="130"/>
  <c r="R35" i="129"/>
  <c r="M33" i="130"/>
  <c r="U47" i="129"/>
  <c r="Q46" i="120"/>
  <c r="S22" i="130"/>
  <c r="U7" i="129"/>
  <c r="G32" i="502"/>
  <c r="E141" i="502"/>
  <c r="T43" i="129"/>
  <c r="Q31" i="129"/>
  <c r="F69" i="502"/>
  <c r="G59" i="657"/>
  <c r="P17" i="130"/>
  <c r="O31" i="130"/>
  <c r="U38" i="120"/>
  <c r="E60" i="657"/>
  <c r="E154" i="502"/>
  <c r="L22" i="130"/>
  <c r="G60" i="657"/>
  <c r="O23" i="130"/>
  <c r="D22" i="130"/>
  <c r="D35" i="639"/>
  <c r="U23" i="130"/>
  <c r="D55" i="658"/>
  <c r="G67" i="657"/>
  <c r="D68" i="657"/>
  <c r="W36" i="129"/>
  <c r="R48" i="120"/>
  <c r="H142" i="502"/>
  <c r="E147" i="502"/>
  <c r="D69" i="502"/>
  <c r="G68" i="657"/>
  <c r="W7" i="129"/>
  <c r="K33" i="130"/>
  <c r="E60" i="658"/>
  <c r="E67" i="657"/>
  <c r="G142" i="502"/>
  <c r="L37" i="130"/>
  <c r="Q48" i="129"/>
  <c r="U22" i="130"/>
  <c r="S38" i="120"/>
  <c r="Q38" i="120"/>
  <c r="R47" i="129"/>
  <c r="D68" i="658"/>
  <c r="I67" i="658"/>
  <c r="M23" i="130"/>
  <c r="U36" i="129"/>
  <c r="G68" i="658"/>
  <c r="H53" i="658"/>
  <c r="H148" i="502"/>
  <c r="E150" i="502"/>
  <c r="F141" i="502"/>
  <c r="G60" i="502"/>
  <c r="L33" i="130"/>
  <c r="M22" i="130"/>
  <c r="T22" i="130"/>
  <c r="I70" i="658"/>
  <c r="U45" i="120"/>
  <c r="F59" i="658"/>
  <c r="H141" i="502"/>
  <c r="H60" i="502"/>
  <c r="D57" i="657"/>
  <c r="N35" i="130"/>
  <c r="D46" i="502"/>
  <c r="N21" i="129"/>
  <c r="R46" i="120"/>
  <c r="O37" i="130"/>
  <c r="N23" i="130"/>
  <c r="G58" i="502"/>
  <c r="I70" i="657"/>
  <c r="D67" i="658"/>
  <c r="S46" i="120"/>
  <c r="W48" i="120"/>
  <c r="V31" i="120"/>
  <c r="R45" i="120"/>
  <c r="E68" i="657"/>
  <c r="E53" i="658"/>
  <c r="D51" i="657"/>
  <c r="Q36" i="120"/>
  <c r="W33" i="129"/>
  <c r="T40" i="120"/>
  <c r="S31" i="120"/>
  <c r="V36" i="120"/>
  <c r="D150" i="502"/>
  <c r="M35" i="130"/>
  <c r="L24" i="130"/>
  <c r="G53" i="658"/>
  <c r="G69" i="658"/>
  <c r="O22" i="130"/>
  <c r="U31" i="120"/>
  <c r="G148" i="654" s="1"/>
  <c r="U47" i="120"/>
  <c r="F62" i="658"/>
  <c r="H69" i="502"/>
  <c r="O35" i="130"/>
  <c r="R48" i="129"/>
  <c r="O30" i="130"/>
  <c r="V40" i="120"/>
  <c r="Q36" i="129"/>
  <c r="S38" i="129"/>
  <c r="H154" i="502"/>
  <c r="H147" i="502"/>
  <c r="Q45" i="120"/>
  <c r="O21" i="129"/>
  <c r="S17" i="129"/>
  <c r="D69" i="657"/>
  <c r="O28" i="130"/>
  <c r="Q29" i="120"/>
  <c r="W38" i="129"/>
  <c r="F58" i="658"/>
  <c r="I64" i="502"/>
  <c r="D143" i="502"/>
  <c r="G42" i="502"/>
  <c r="I60" i="502"/>
  <c r="E60" i="502"/>
  <c r="E58" i="658"/>
  <c r="G70" i="502"/>
  <c r="H136" i="502"/>
  <c r="O17" i="130"/>
  <c r="H62" i="658"/>
  <c r="P37" i="130"/>
  <c r="M34" i="129"/>
  <c r="S40" i="120"/>
  <c r="G154" i="502"/>
  <c r="Q31" i="120"/>
  <c r="U36" i="120"/>
  <c r="N37" i="130"/>
  <c r="Q23" i="129"/>
  <c r="H64" i="657"/>
  <c r="G147" i="502"/>
  <c r="G58" i="658"/>
  <c r="G58" i="657"/>
  <c r="O34" i="129"/>
  <c r="X144" i="120"/>
  <c r="Q144" i="120"/>
  <c r="P21" i="129"/>
  <c r="V29" i="120"/>
  <c r="F64" i="502"/>
  <c r="H51" i="657"/>
  <c r="T36" i="120"/>
  <c r="V43" i="129"/>
  <c r="I65" i="502"/>
  <c r="O24" i="130"/>
  <c r="M21" i="129"/>
  <c r="Q37" i="120"/>
  <c r="I58" i="658"/>
  <c r="E69" i="658"/>
  <c r="I63" i="658"/>
  <c r="H60" i="658"/>
  <c r="I154" i="502"/>
  <c r="I58" i="657"/>
  <c r="F136" i="502"/>
  <c r="Q48" i="120"/>
  <c r="H60" i="657"/>
  <c r="V42" i="120"/>
  <c r="D59" i="657"/>
  <c r="I63" i="657"/>
  <c r="N34" i="129"/>
  <c r="Q40" i="120"/>
  <c r="P30" i="130"/>
  <c r="M37" i="130"/>
  <c r="S47" i="120"/>
  <c r="V38" i="120"/>
  <c r="I67" i="657"/>
  <c r="H58" i="657"/>
  <c r="E62" i="657"/>
  <c r="D136" i="502"/>
  <c r="Q35" i="129"/>
  <c r="T42" i="129"/>
  <c r="L23" i="130"/>
  <c r="R30" i="129"/>
  <c r="S23" i="130"/>
  <c r="S36" i="129"/>
  <c r="D53" i="658"/>
  <c r="D59" i="658"/>
  <c r="I145" i="502"/>
  <c r="D53" i="657"/>
  <c r="L28" i="130"/>
  <c r="N33" i="130"/>
  <c r="W40" i="120"/>
  <c r="F147" i="502"/>
  <c r="I62" i="657"/>
  <c r="K21" i="129"/>
  <c r="K24" i="130"/>
  <c r="M17" i="130"/>
  <c r="N30" i="130"/>
  <c r="N17" i="130"/>
  <c r="T24" i="130"/>
  <c r="I143" i="502"/>
  <c r="H150" i="502"/>
  <c r="N28" i="130"/>
  <c r="P28" i="130"/>
  <c r="L34" i="129"/>
  <c r="F143" i="502"/>
  <c r="E143" i="502"/>
  <c r="Q37" i="129"/>
  <c r="R37" i="129"/>
  <c r="G136" i="502"/>
  <c r="I152" i="502"/>
  <c r="Q47" i="129"/>
  <c r="W24" i="130"/>
  <c r="M30" i="130"/>
  <c r="K34" i="129"/>
  <c r="R42" i="129"/>
  <c r="R38" i="129"/>
  <c r="D60" i="502"/>
  <c r="E145" i="502"/>
  <c r="E70" i="502"/>
  <c r="Q38" i="129"/>
  <c r="O33" i="130"/>
  <c r="L35" i="130"/>
  <c r="L21" i="129"/>
  <c r="Q33" i="129"/>
  <c r="F70" i="502"/>
  <c r="E142" i="502"/>
  <c r="M24" i="130"/>
  <c r="Q43" i="129"/>
  <c r="G150" i="502"/>
  <c r="H152" i="502"/>
  <c r="P24" i="130"/>
  <c r="Q42" i="129"/>
  <c r="P27" i="129"/>
  <c r="Q30" i="129"/>
  <c r="Q24" i="129"/>
  <c r="P34" i="129"/>
  <c r="K17" i="130"/>
  <c r="D48" i="639"/>
  <c r="K34" i="130"/>
  <c r="D59" i="502"/>
  <c r="D46" i="639"/>
  <c r="D35" i="130"/>
  <c r="W47" i="129"/>
  <c r="I53" i="658"/>
  <c r="D70" i="657"/>
  <c r="I69" i="502"/>
  <c r="W31" i="120"/>
  <c r="Q22" i="129"/>
  <c r="Q28" i="129"/>
  <c r="Q17" i="129"/>
  <c r="D70" i="658"/>
  <c r="H65" i="502"/>
  <c r="G141" i="502"/>
  <c r="K44" i="120"/>
  <c r="R44" i="120" s="1"/>
  <c r="P44" i="120"/>
  <c r="W44" i="120" s="1"/>
  <c r="Q42" i="120"/>
  <c r="N44" i="120"/>
  <c r="U44" i="120" s="1"/>
  <c r="F65" i="502"/>
  <c r="I136" i="502"/>
  <c r="M44" i="120"/>
  <c r="T44" i="120" s="1"/>
  <c r="D28" i="639"/>
  <c r="D57" i="502"/>
  <c r="P44" i="129"/>
  <c r="G152" i="502"/>
  <c r="D65" i="502"/>
  <c r="U43" i="129"/>
  <c r="R28" i="129"/>
  <c r="K28" i="130"/>
  <c r="E28" i="40"/>
  <c r="E34" i="40"/>
  <c r="E35" i="40" s="1"/>
  <c r="E36" i="40" s="1"/>
  <c r="E37" i="40" s="1"/>
  <c r="D10" i="91"/>
  <c r="H68" i="658"/>
  <c r="V46" i="120"/>
  <c r="F68" i="658"/>
  <c r="T46" i="120"/>
  <c r="F163" i="654" s="1"/>
  <c r="F68" i="657"/>
  <c r="R36" i="120"/>
  <c r="D153" i="654" s="1"/>
  <c r="D58" i="658"/>
  <c r="E58" i="657"/>
  <c r="D60" i="658"/>
  <c r="R38" i="120"/>
  <c r="T38" i="120"/>
  <c r="F60" i="658"/>
  <c r="I60" i="658"/>
  <c r="W38" i="120"/>
  <c r="F53" i="658"/>
  <c r="T31" i="120"/>
  <c r="I53" i="657"/>
  <c r="U40" i="120"/>
  <c r="G62" i="658"/>
  <c r="D62" i="657"/>
  <c r="Q140" i="120"/>
  <c r="R140" i="120"/>
  <c r="X140" i="120" s="1"/>
  <c r="L44" i="120"/>
  <c r="S44" i="120" s="1"/>
  <c r="S45" i="120"/>
  <c r="E67" i="658"/>
  <c r="O44" i="120"/>
  <c r="V44" i="120" s="1"/>
  <c r="H67" i="657"/>
  <c r="I59" i="657"/>
  <c r="S37" i="120"/>
  <c r="E59" i="658"/>
  <c r="F59" i="657"/>
  <c r="V37" i="120"/>
  <c r="H59" i="658"/>
  <c r="G59" i="658"/>
  <c r="U37" i="120"/>
  <c r="T41" i="120"/>
  <c r="F63" i="658"/>
  <c r="G63" i="658"/>
  <c r="G63" i="657"/>
  <c r="U41" i="120"/>
  <c r="H63" i="658"/>
  <c r="V41" i="120"/>
  <c r="R41" i="120"/>
  <c r="D63" i="658"/>
  <c r="Q41" i="120"/>
  <c r="E70" i="658"/>
  <c r="S48" i="120"/>
  <c r="G70" i="658"/>
  <c r="U48" i="120"/>
  <c r="V48" i="120"/>
  <c r="H70" i="658"/>
  <c r="T48" i="120"/>
  <c r="F165" i="654" s="1"/>
  <c r="F70" i="658"/>
  <c r="R29" i="120"/>
  <c r="D51" i="658"/>
  <c r="U29" i="120"/>
  <c r="G51" i="658"/>
  <c r="F51" i="657"/>
  <c r="T29" i="120"/>
  <c r="F51" i="658"/>
  <c r="S29" i="120"/>
  <c r="E51" i="658"/>
  <c r="I51" i="657"/>
  <c r="R141" i="120"/>
  <c r="X141" i="120" s="1"/>
  <c r="Q141" i="120"/>
  <c r="F55" i="657"/>
  <c r="F55" i="658"/>
  <c r="T33" i="120"/>
  <c r="E55" i="658"/>
  <c r="S33" i="120"/>
  <c r="D55" i="657"/>
  <c r="Q33" i="120"/>
  <c r="W33" i="120"/>
  <c r="I55" i="658"/>
  <c r="H55" i="657"/>
  <c r="V33" i="120"/>
  <c r="H55" i="658"/>
  <c r="U33" i="120"/>
  <c r="G55" i="658"/>
  <c r="F69" i="657"/>
  <c r="T47" i="120"/>
  <c r="F164" i="654" s="1"/>
  <c r="F69" i="658"/>
  <c r="H69" i="657"/>
  <c r="V47" i="120"/>
  <c r="H69" i="658"/>
  <c r="R47" i="120"/>
  <c r="D69" i="658"/>
  <c r="Q47" i="120"/>
  <c r="R142" i="120"/>
  <c r="X142" i="120" s="1"/>
  <c r="Q142" i="120"/>
  <c r="R133" i="120"/>
  <c r="X133" i="120" s="1"/>
  <c r="Q133" i="120"/>
  <c r="R130" i="120"/>
  <c r="X130" i="120" s="1"/>
  <c r="Q130" i="120"/>
  <c r="I64" i="658"/>
  <c r="W42" i="120"/>
  <c r="U42" i="120"/>
  <c r="G64" i="658"/>
  <c r="E64" i="657"/>
  <c r="F64" i="657"/>
  <c r="F67" i="657"/>
  <c r="H67" i="658"/>
  <c r="V45" i="120"/>
  <c r="I51" i="658"/>
  <c r="W29" i="120"/>
  <c r="I55" i="657"/>
  <c r="W47" i="120"/>
  <c r="I69" i="658"/>
  <c r="E152" i="502"/>
  <c r="E148" i="502"/>
  <c r="F148" i="502"/>
  <c r="G65" i="502"/>
  <c r="E65" i="502"/>
  <c r="F145" i="502"/>
  <c r="H145" i="502"/>
  <c r="H64" i="502"/>
  <c r="G64" i="502"/>
  <c r="E64" i="502"/>
  <c r="E58" i="502"/>
  <c r="H58" i="502"/>
  <c r="D58" i="502"/>
  <c r="H70" i="502"/>
  <c r="I70" i="502"/>
  <c r="S42" i="120"/>
  <c r="E64" i="658"/>
  <c r="T42" i="120"/>
  <c r="F64" i="658"/>
  <c r="R42" i="120"/>
  <c r="D64" i="658"/>
  <c r="I148" i="502"/>
  <c r="K139" i="120"/>
  <c r="R143" i="120"/>
  <c r="Q143" i="120"/>
  <c r="W143" i="120"/>
  <c r="P139" i="120"/>
  <c r="S143" i="120"/>
  <c r="L139" i="120"/>
  <c r="U143" i="120"/>
  <c r="N139" i="120"/>
  <c r="T143" i="120"/>
  <c r="M139" i="120"/>
  <c r="V143" i="120"/>
  <c r="O139" i="120"/>
  <c r="U40" i="129"/>
  <c r="N40" i="130"/>
  <c r="Q40" i="129"/>
  <c r="R40" i="129"/>
  <c r="K40" i="130"/>
  <c r="S40" i="129"/>
  <c r="L40" i="130"/>
  <c r="T40" i="129"/>
  <c r="M40" i="130"/>
  <c r="V40" i="129"/>
  <c r="O40" i="130"/>
  <c r="W40" i="129"/>
  <c r="P40" i="130"/>
  <c r="P39" i="129"/>
  <c r="S18" i="129"/>
  <c r="E42" i="502"/>
  <c r="R18" i="129"/>
  <c r="Q18" i="129"/>
  <c r="D42" i="502"/>
  <c r="H42" i="502"/>
  <c r="V18" i="129"/>
  <c r="F42" i="502"/>
  <c r="T18" i="129"/>
  <c r="T14" i="129" s="1"/>
  <c r="T9" i="129" s="1"/>
  <c r="I42" i="502"/>
  <c r="W18" i="129"/>
  <c r="R131" i="120"/>
  <c r="X131" i="120" s="1"/>
  <c r="K128" i="120"/>
  <c r="Q131" i="120"/>
  <c r="M5" i="120"/>
  <c r="T5" i="120" s="1"/>
  <c r="F30" i="654"/>
  <c r="F32" i="658"/>
  <c r="F30" i="658" s="1"/>
  <c r="T7" i="120"/>
  <c r="F32" i="657"/>
  <c r="F30" i="657" s="1"/>
  <c r="P5" i="120"/>
  <c r="W5" i="120" s="1"/>
  <c r="W7" i="120"/>
  <c r="I32" i="657"/>
  <c r="I30" i="657" s="1"/>
  <c r="I30" i="654"/>
  <c r="I32" i="658"/>
  <c r="I30" i="658" s="1"/>
  <c r="O5" i="120"/>
  <c r="V5" i="120" s="1"/>
  <c r="H32" i="658"/>
  <c r="H30" i="658" s="1"/>
  <c r="H32" i="657"/>
  <c r="H30" i="657" s="1"/>
  <c r="H30" i="654"/>
  <c r="V7" i="120"/>
  <c r="L5" i="120"/>
  <c r="S5" i="120" s="1"/>
  <c r="E32" i="657"/>
  <c r="E30" i="657" s="1"/>
  <c r="E32" i="658"/>
  <c r="E30" i="658" s="1"/>
  <c r="S7" i="120"/>
  <c r="E30" i="654"/>
  <c r="Q7" i="120"/>
  <c r="D32" i="657"/>
  <c r="K5" i="120"/>
  <c r="R7" i="120"/>
  <c r="D32" i="658"/>
  <c r="G32" i="658"/>
  <c r="G30" i="658" s="1"/>
  <c r="U7" i="120"/>
  <c r="G127" i="654" s="1"/>
  <c r="N5" i="120"/>
  <c r="U5" i="120" s="1"/>
  <c r="G32" i="657"/>
  <c r="G30" i="657" s="1"/>
  <c r="G30" i="654"/>
  <c r="S43" i="120"/>
  <c r="E160" i="654" s="1"/>
  <c r="E65" i="657"/>
  <c r="L39" i="120"/>
  <c r="S39" i="120" s="1"/>
  <c r="E65" i="658"/>
  <c r="K39" i="120"/>
  <c r="R39" i="120" s="1"/>
  <c r="R43" i="120"/>
  <c r="D160" i="654" s="1"/>
  <c r="D65" i="658"/>
  <c r="I65" i="658"/>
  <c r="W43" i="120"/>
  <c r="I57" i="657"/>
  <c r="M34" i="120"/>
  <c r="T34" i="120" s="1"/>
  <c r="F57" i="658"/>
  <c r="T35" i="120"/>
  <c r="F57" i="657"/>
  <c r="N34" i="120"/>
  <c r="U34" i="120" s="1"/>
  <c r="U35" i="120"/>
  <c r="G57" i="658"/>
  <c r="E57" i="658"/>
  <c r="S35" i="120"/>
  <c r="E152" i="654" s="1"/>
  <c r="K34" i="120"/>
  <c r="R34" i="120" s="1"/>
  <c r="D57" i="658"/>
  <c r="R35" i="120"/>
  <c r="D152" i="654" s="1"/>
  <c r="Q35" i="120"/>
  <c r="F50" i="657"/>
  <c r="G50" i="657"/>
  <c r="H50" i="657"/>
  <c r="E50" i="658"/>
  <c r="S28" i="120"/>
  <c r="E145" i="654" s="1"/>
  <c r="W16" i="120"/>
  <c r="I135" i="654" s="1"/>
  <c r="I40" i="658"/>
  <c r="I40" i="657"/>
  <c r="D40" i="658"/>
  <c r="R16" i="120"/>
  <c r="T15" i="120"/>
  <c r="F39" i="658"/>
  <c r="F39" i="657"/>
  <c r="E39" i="658"/>
  <c r="S15" i="120"/>
  <c r="E134" i="654" s="1"/>
  <c r="H39" i="658"/>
  <c r="V15" i="120"/>
  <c r="H134" i="654" s="1"/>
  <c r="Q116" i="120"/>
  <c r="R116" i="120"/>
  <c r="K115" i="120"/>
  <c r="R115" i="120" s="1"/>
  <c r="O115" i="120"/>
  <c r="V115" i="120" s="1"/>
  <c r="V116" i="120"/>
  <c r="N115" i="120"/>
  <c r="U115" i="120" s="1"/>
  <c r="U116" i="120"/>
  <c r="P115" i="120"/>
  <c r="W115" i="120" s="1"/>
  <c r="W116" i="120"/>
  <c r="D56" i="639"/>
  <c r="D55" i="639" s="1"/>
  <c r="D45" i="130"/>
  <c r="F63" i="502"/>
  <c r="P10" i="129"/>
  <c r="P11" i="130"/>
  <c r="M11" i="130"/>
  <c r="O11" i="130"/>
  <c r="L11" i="130"/>
  <c r="J90" i="202"/>
  <c r="P14" i="120"/>
  <c r="P27" i="120"/>
  <c r="P39" i="120"/>
  <c r="W39" i="120" s="1"/>
  <c r="I65" i="657"/>
  <c r="I57" i="658"/>
  <c r="W35" i="120"/>
  <c r="I152" i="654" s="1"/>
  <c r="P34" i="120"/>
  <c r="W34" i="120" s="1"/>
  <c r="H57" i="657"/>
  <c r="H57" i="658"/>
  <c r="V35" i="120"/>
  <c r="O34" i="120"/>
  <c r="V34" i="120" s="1"/>
  <c r="E57" i="657"/>
  <c r="L34" i="120"/>
  <c r="T28" i="120"/>
  <c r="F145" i="654" s="1"/>
  <c r="F50" i="658"/>
  <c r="G50" i="658"/>
  <c r="U28" i="120"/>
  <c r="G145" i="654" s="1"/>
  <c r="N27" i="120"/>
  <c r="U27" i="120" s="1"/>
  <c r="I50" i="658"/>
  <c r="I50" i="657"/>
  <c r="W28" i="120"/>
  <c r="D50" i="658"/>
  <c r="Q28" i="120"/>
  <c r="R28" i="120"/>
  <c r="D145" i="654" s="1"/>
  <c r="D50" i="657"/>
  <c r="H50" i="658"/>
  <c r="V28" i="120"/>
  <c r="H145" i="654" s="1"/>
  <c r="E50" i="657"/>
  <c r="D40" i="657"/>
  <c r="E39" i="657"/>
  <c r="S116" i="120"/>
  <c r="L115" i="120"/>
  <c r="S115" i="120" s="1"/>
  <c r="W15" i="120"/>
  <c r="I134" i="654" s="1"/>
  <c r="I39" i="658"/>
  <c r="I39" i="657"/>
  <c r="G39" i="657"/>
  <c r="R15" i="120"/>
  <c r="D134" i="654" s="1"/>
  <c r="D39" i="658"/>
  <c r="D39" i="657"/>
  <c r="H32" i="502"/>
  <c r="V7" i="129"/>
  <c r="D32" i="502"/>
  <c r="K5" i="129"/>
  <c r="V41" i="129"/>
  <c r="O39" i="129"/>
  <c r="H63" i="502"/>
  <c r="U41" i="129"/>
  <c r="N39" i="129"/>
  <c r="G63" i="502"/>
  <c r="M39" i="129"/>
  <c r="T41" i="129"/>
  <c r="O39" i="120"/>
  <c r="V39" i="120" s="1"/>
  <c r="H65" i="657"/>
  <c r="V43" i="120"/>
  <c r="H65" i="658"/>
  <c r="T29" i="129"/>
  <c r="F51" i="502"/>
  <c r="G65" i="658"/>
  <c r="N39" i="120"/>
  <c r="U43" i="120"/>
  <c r="G160" i="654" s="1"/>
  <c r="G65" i="657"/>
  <c r="S16" i="129"/>
  <c r="S14" i="129" s="1"/>
  <c r="S9" i="129" s="1"/>
  <c r="E40" i="502"/>
  <c r="D36" i="502"/>
  <c r="D27" i="472"/>
  <c r="D25" i="639"/>
  <c r="D11" i="130"/>
  <c r="U18" i="120"/>
  <c r="G42" i="658"/>
  <c r="I42" i="658"/>
  <c r="W18" i="120"/>
  <c r="I137" i="654" s="1"/>
  <c r="U30" i="120"/>
  <c r="G147" i="654" s="1"/>
  <c r="G52" i="658"/>
  <c r="R41" i="129"/>
  <c r="J234" i="202"/>
  <c r="D311" i="202"/>
  <c r="J311" i="202" s="1"/>
  <c r="J234" i="508"/>
  <c r="D311" i="508"/>
  <c r="J311" i="508" s="1"/>
  <c r="J234" i="200"/>
  <c r="D311" i="200"/>
  <c r="J311" i="200" s="1"/>
  <c r="J234" i="502"/>
  <c r="D311" i="502"/>
  <c r="J311" i="502" s="1"/>
  <c r="K39" i="129"/>
  <c r="D63" i="502"/>
  <c r="K44" i="130"/>
  <c r="R45" i="129"/>
  <c r="D67" i="502"/>
  <c r="Q41" i="129"/>
  <c r="L39" i="129"/>
  <c r="S41" i="129"/>
  <c r="G39" i="658"/>
  <c r="U15" i="120"/>
  <c r="G134" i="654" s="1"/>
  <c r="G79" i="657"/>
  <c r="Q15" i="120"/>
  <c r="E63" i="502"/>
  <c r="S7" i="129"/>
  <c r="N11" i="130"/>
  <c r="Q11" i="129"/>
  <c r="G131" i="502"/>
  <c r="F52" i="658"/>
  <c r="U11" i="130"/>
  <c r="E32" i="502"/>
  <c r="Q7" i="129"/>
  <c r="P6" i="130"/>
  <c r="N27" i="129"/>
  <c r="U16" i="129"/>
  <c r="O12" i="130"/>
  <c r="M27" i="120"/>
  <c r="T27" i="120" s="1"/>
  <c r="F65" i="657"/>
  <c r="M39" i="120"/>
  <c r="Q43" i="120"/>
  <c r="F65" i="658"/>
  <c r="G40" i="502"/>
  <c r="L12" i="130"/>
  <c r="L10" i="129"/>
  <c r="G79" i="654"/>
  <c r="E42" i="658"/>
  <c r="L117" i="120"/>
  <c r="D15" i="130"/>
  <c r="Q18" i="120"/>
  <c r="W46" i="129"/>
  <c r="F54" i="658"/>
  <c r="D92" i="200"/>
  <c r="J110" i="508"/>
  <c r="J78" i="202"/>
  <c r="N6" i="130"/>
  <c r="O10" i="129"/>
  <c r="M27" i="129"/>
  <c r="H79" i="657"/>
  <c r="J103" i="657"/>
  <c r="J82" i="508"/>
  <c r="F106" i="508"/>
  <c r="J81" i="508"/>
  <c r="J82" i="200"/>
  <c r="H79" i="654"/>
  <c r="J96" i="508"/>
  <c r="J96" i="502"/>
  <c r="R15" i="129"/>
  <c r="L27" i="129"/>
  <c r="J83" i="508"/>
  <c r="J96" i="200"/>
  <c r="M6" i="130"/>
  <c r="J114" i="200"/>
  <c r="J75" i="502"/>
  <c r="D113" i="508"/>
  <c r="E85" i="502"/>
  <c r="J75" i="508"/>
  <c r="N12" i="130"/>
  <c r="J116" i="657"/>
  <c r="I100" i="508"/>
  <c r="J119" i="508"/>
  <c r="K10" i="129"/>
  <c r="O6" i="130"/>
  <c r="O27" i="120"/>
  <c r="V27" i="120" s="1"/>
  <c r="J119" i="202"/>
  <c r="J119" i="200"/>
  <c r="E100" i="200"/>
  <c r="K12" i="130"/>
  <c r="X98" i="129"/>
  <c r="J104" i="654"/>
  <c r="J81" i="202"/>
  <c r="D113" i="502"/>
  <c r="M14" i="129"/>
  <c r="G100" i="502"/>
  <c r="J111" i="200"/>
  <c r="J118" i="502"/>
  <c r="J104" i="502"/>
  <c r="I92" i="202"/>
  <c r="J110" i="502"/>
  <c r="J104" i="508"/>
  <c r="J110" i="200"/>
  <c r="J84" i="200"/>
  <c r="N14" i="120"/>
  <c r="J80" i="502"/>
  <c r="J80" i="508"/>
  <c r="J74" i="202"/>
  <c r="J104" i="200"/>
  <c r="J89" i="657"/>
  <c r="H52" i="657"/>
  <c r="O128" i="120"/>
  <c r="J81" i="200"/>
  <c r="M128" i="120"/>
  <c r="M122" i="120" s="1"/>
  <c r="T122" i="120" s="1"/>
  <c r="I100" i="657"/>
  <c r="J114" i="502"/>
  <c r="H52" i="658"/>
  <c r="F106" i="654"/>
  <c r="G92" i="508"/>
  <c r="J110" i="202"/>
  <c r="D113" i="200"/>
  <c r="J84" i="202"/>
  <c r="N10" i="129"/>
  <c r="F100" i="502"/>
  <c r="P128" i="120"/>
  <c r="P122" i="120" s="1"/>
  <c r="W122" i="120" s="1"/>
  <c r="J104" i="657"/>
  <c r="F106" i="200"/>
  <c r="E100" i="202"/>
  <c r="H85" i="654"/>
  <c r="J83" i="502"/>
  <c r="J97" i="502"/>
  <c r="G72" i="200"/>
  <c r="J82" i="502"/>
  <c r="H42" i="658"/>
  <c r="H85" i="508"/>
  <c r="H106" i="202"/>
  <c r="J111" i="202"/>
  <c r="J97" i="508"/>
  <c r="G85" i="657"/>
  <c r="J95" i="502"/>
  <c r="G72" i="202"/>
  <c r="J84" i="508"/>
  <c r="D113" i="202"/>
  <c r="Q30" i="120"/>
  <c r="E52" i="658"/>
  <c r="K14" i="120"/>
  <c r="R14" i="120" s="1"/>
  <c r="H85" i="200"/>
  <c r="J105" i="654"/>
  <c r="I85" i="502"/>
  <c r="J119" i="654"/>
  <c r="J83" i="200"/>
  <c r="J97" i="200"/>
  <c r="J95" i="508"/>
  <c r="I113" i="202"/>
  <c r="J112" i="202"/>
  <c r="J87" i="654"/>
  <c r="J97" i="657"/>
  <c r="G100" i="657"/>
  <c r="G113" i="508"/>
  <c r="N15" i="130"/>
  <c r="D52" i="658"/>
  <c r="J90" i="508"/>
  <c r="F85" i="508"/>
  <c r="J89" i="502"/>
  <c r="J111" i="502"/>
  <c r="D42" i="658"/>
  <c r="J90" i="200"/>
  <c r="I106" i="508"/>
  <c r="H100" i="200"/>
  <c r="J118" i="202"/>
  <c r="K27" i="120"/>
  <c r="R27" i="120" s="1"/>
  <c r="J118" i="200"/>
  <c r="D92" i="202"/>
  <c r="J108" i="200"/>
  <c r="F85" i="202"/>
  <c r="O117" i="120"/>
  <c r="V117" i="120" s="1"/>
  <c r="N45" i="130"/>
  <c r="G100" i="508"/>
  <c r="J93" i="200"/>
  <c r="J119" i="502"/>
  <c r="E100" i="654"/>
  <c r="H92" i="657"/>
  <c r="J87" i="202"/>
  <c r="H113" i="654"/>
  <c r="J105" i="508"/>
  <c r="J97" i="202"/>
  <c r="J84" i="654"/>
  <c r="I100" i="502"/>
  <c r="N14" i="129"/>
  <c r="F100" i="508"/>
  <c r="H72" i="508"/>
  <c r="E100" i="657"/>
  <c r="G100" i="202"/>
  <c r="E85" i="508"/>
  <c r="G106" i="508"/>
  <c r="F100" i="200"/>
  <c r="E100" i="502"/>
  <c r="J90" i="654"/>
  <c r="J118" i="508"/>
  <c r="E79" i="202"/>
  <c r="J111" i="508"/>
  <c r="J93" i="502"/>
  <c r="J104" i="202"/>
  <c r="J90" i="502"/>
  <c r="J103" i="202"/>
  <c r="J84" i="502"/>
  <c r="J109" i="508"/>
  <c r="J83" i="657"/>
  <c r="J81" i="502"/>
  <c r="E106" i="502"/>
  <c r="J111" i="654"/>
  <c r="E41" i="502"/>
  <c r="E177" i="502"/>
  <c r="F190" i="502"/>
  <c r="H184" i="658"/>
  <c r="H184" i="657"/>
  <c r="J73" i="200"/>
  <c r="D72" i="200"/>
  <c r="I67" i="502"/>
  <c r="K27" i="129"/>
  <c r="H126" i="502"/>
  <c r="D189" i="502"/>
  <c r="E190" i="502"/>
  <c r="I183" i="502"/>
  <c r="G181" i="502"/>
  <c r="G184" i="502"/>
  <c r="H64" i="472"/>
  <c r="H168" i="502"/>
  <c r="G191" i="502"/>
  <c r="E169" i="502"/>
  <c r="G183" i="502"/>
  <c r="G186" i="502"/>
  <c r="F54" i="502"/>
  <c r="I185" i="658"/>
  <c r="I185" i="657"/>
  <c r="I179" i="658"/>
  <c r="I179" i="657"/>
  <c r="D192" i="657"/>
  <c r="E175" i="658"/>
  <c r="E175" i="657"/>
  <c r="H85" i="202"/>
  <c r="J86" i="508"/>
  <c r="D85" i="508"/>
  <c r="J105" i="657"/>
  <c r="D106" i="202"/>
  <c r="J107" i="202"/>
  <c r="J73" i="508"/>
  <c r="D72" i="508"/>
  <c r="H106" i="502"/>
  <c r="J90" i="657"/>
  <c r="J109" i="202"/>
  <c r="F113" i="657"/>
  <c r="D79" i="657"/>
  <c r="J80" i="657"/>
  <c r="F72" i="502"/>
  <c r="I106" i="200"/>
  <c r="H100" i="202"/>
  <c r="I106" i="654"/>
  <c r="E85" i="654"/>
  <c r="J101" i="200"/>
  <c r="D100" i="200"/>
  <c r="G79" i="200"/>
  <c r="I92" i="654"/>
  <c r="F113" i="200"/>
  <c r="G106" i="654"/>
  <c r="J111" i="657"/>
  <c r="J96" i="654"/>
  <c r="G72" i="508"/>
  <c r="J94" i="654"/>
  <c r="D92" i="502"/>
  <c r="I92" i="502"/>
  <c r="J118" i="654"/>
  <c r="H113" i="657"/>
  <c r="J105" i="200"/>
  <c r="J115" i="502"/>
  <c r="E79" i="657"/>
  <c r="J108" i="202"/>
  <c r="H100" i="508"/>
  <c r="J76" i="502"/>
  <c r="F113" i="654"/>
  <c r="J109" i="200"/>
  <c r="E92" i="654"/>
  <c r="J77" i="502"/>
  <c r="D186" i="502"/>
  <c r="E183" i="502"/>
  <c r="G175" i="502"/>
  <c r="F193" i="502"/>
  <c r="E162" i="502"/>
  <c r="L15" i="130"/>
  <c r="M15" i="130"/>
  <c r="N44" i="129"/>
  <c r="F142" i="502"/>
  <c r="E168" i="502"/>
  <c r="F168" i="502"/>
  <c r="H177" i="502"/>
  <c r="G178" i="502"/>
  <c r="I168" i="502"/>
  <c r="G185" i="502"/>
  <c r="G168" i="502"/>
  <c r="F176" i="502"/>
  <c r="G170" i="502"/>
  <c r="F191" i="502"/>
  <c r="D39" i="502"/>
  <c r="H182" i="502"/>
  <c r="D184" i="502"/>
  <c r="I183" i="658"/>
  <c r="I183" i="657"/>
  <c r="G193" i="658"/>
  <c r="G193" i="657"/>
  <c r="H185" i="658"/>
  <c r="H185" i="657"/>
  <c r="F185" i="658"/>
  <c r="F185" i="657"/>
  <c r="F181" i="658"/>
  <c r="F181" i="657"/>
  <c r="I191" i="658"/>
  <c r="I191" i="657"/>
  <c r="E182" i="658"/>
  <c r="E182" i="657"/>
  <c r="I190" i="658"/>
  <c r="I190" i="657"/>
  <c r="D179" i="657"/>
  <c r="G182" i="658"/>
  <c r="G182" i="657"/>
  <c r="F137" i="657"/>
  <c r="I188" i="658"/>
  <c r="I188" i="657"/>
  <c r="D185" i="657"/>
  <c r="G188" i="658"/>
  <c r="G188" i="657"/>
  <c r="J86" i="200"/>
  <c r="D85" i="200"/>
  <c r="I100" i="654"/>
  <c r="F106" i="202"/>
  <c r="I79" i="502"/>
  <c r="D72" i="202"/>
  <c r="J73" i="202"/>
  <c r="H106" i="508"/>
  <c r="F72" i="200"/>
  <c r="I106" i="202"/>
  <c r="I106" i="657"/>
  <c r="E85" i="657"/>
  <c r="J101" i="202"/>
  <c r="D100" i="202"/>
  <c r="G79" i="202"/>
  <c r="I92" i="657"/>
  <c r="F113" i="202"/>
  <c r="I72" i="502"/>
  <c r="E106" i="200"/>
  <c r="G106" i="657"/>
  <c r="E42" i="657"/>
  <c r="J96" i="657"/>
  <c r="R59" i="120"/>
  <c r="X59" i="120" s="1"/>
  <c r="Q59" i="120"/>
  <c r="J94" i="657"/>
  <c r="J88" i="502"/>
  <c r="I92" i="508"/>
  <c r="J118" i="657"/>
  <c r="J105" i="202"/>
  <c r="J115" i="508"/>
  <c r="F92" i="502"/>
  <c r="G79" i="508"/>
  <c r="E92" i="502"/>
  <c r="J76" i="200"/>
  <c r="H79" i="200"/>
  <c r="D52" i="657"/>
  <c r="E92" i="657"/>
  <c r="J77" i="200"/>
  <c r="I100" i="200"/>
  <c r="E79" i="654"/>
  <c r="F192" i="658"/>
  <c r="F192" i="657"/>
  <c r="J117" i="202"/>
  <c r="L14" i="129"/>
  <c r="I158" i="502"/>
  <c r="H176" i="502"/>
  <c r="G173" i="502"/>
  <c r="F188" i="502"/>
  <c r="I192" i="502"/>
  <c r="I177" i="502"/>
  <c r="E189" i="502"/>
  <c r="E54" i="502"/>
  <c r="I177" i="658"/>
  <c r="I177" i="657"/>
  <c r="E181" i="658"/>
  <c r="E181" i="657"/>
  <c r="I192" i="658"/>
  <c r="I192" i="657"/>
  <c r="D186" i="657"/>
  <c r="F179" i="658"/>
  <c r="F179" i="657"/>
  <c r="I186" i="658"/>
  <c r="I186" i="657"/>
  <c r="G179" i="658"/>
  <c r="G179" i="657"/>
  <c r="E179" i="658"/>
  <c r="E179" i="657"/>
  <c r="E136" i="657"/>
  <c r="D85" i="202"/>
  <c r="J86" i="202"/>
  <c r="J103" i="654"/>
  <c r="F85" i="502"/>
  <c r="I79" i="508"/>
  <c r="H106" i="200"/>
  <c r="H106" i="654"/>
  <c r="F72" i="508"/>
  <c r="G106" i="502"/>
  <c r="I72" i="200"/>
  <c r="E106" i="202"/>
  <c r="J97" i="654"/>
  <c r="G100" i="654"/>
  <c r="G113" i="502"/>
  <c r="X60" i="120"/>
  <c r="G92" i="502"/>
  <c r="J88" i="508"/>
  <c r="J116" i="508"/>
  <c r="I92" i="200"/>
  <c r="I85" i="654"/>
  <c r="H92" i="654"/>
  <c r="J115" i="200"/>
  <c r="F92" i="508"/>
  <c r="D174" i="502"/>
  <c r="E92" i="508"/>
  <c r="J76" i="508"/>
  <c r="J77" i="202"/>
  <c r="I100" i="202"/>
  <c r="F169" i="502"/>
  <c r="R16" i="129"/>
  <c r="D40" i="502"/>
  <c r="D182" i="502"/>
  <c r="E51" i="502"/>
  <c r="J101" i="508"/>
  <c r="D100" i="508"/>
  <c r="I126" i="502"/>
  <c r="I178" i="502"/>
  <c r="G169" i="502"/>
  <c r="D181" i="502"/>
  <c r="S29" i="129"/>
  <c r="F179" i="502"/>
  <c r="H184" i="502"/>
  <c r="H181" i="502"/>
  <c r="E134" i="502"/>
  <c r="F181" i="502"/>
  <c r="I191" i="502"/>
  <c r="E170" i="502"/>
  <c r="I184" i="502"/>
  <c r="F135" i="502"/>
  <c r="I68" i="502"/>
  <c r="G162" i="502"/>
  <c r="F162" i="502"/>
  <c r="H183" i="658"/>
  <c r="H183" i="657"/>
  <c r="D189" i="657"/>
  <c r="G186" i="658"/>
  <c r="G186" i="657"/>
  <c r="G181" i="658"/>
  <c r="G181" i="657"/>
  <c r="D177" i="657"/>
  <c r="F186" i="658"/>
  <c r="F186" i="657"/>
  <c r="D176" i="657"/>
  <c r="H176" i="658"/>
  <c r="H176" i="657"/>
  <c r="D183" i="657"/>
  <c r="I79" i="200"/>
  <c r="H106" i="657"/>
  <c r="H85" i="657"/>
  <c r="F72" i="202"/>
  <c r="J83" i="202"/>
  <c r="I72" i="508"/>
  <c r="J88" i="200"/>
  <c r="J84" i="657"/>
  <c r="I85" i="657"/>
  <c r="J115" i="202"/>
  <c r="F92" i="200"/>
  <c r="J82" i="202"/>
  <c r="G92" i="200"/>
  <c r="E92" i="200"/>
  <c r="J93" i="654"/>
  <c r="D92" i="654"/>
  <c r="J76" i="202"/>
  <c r="J115" i="654"/>
  <c r="F100" i="657"/>
  <c r="J77" i="508"/>
  <c r="J102" i="502"/>
  <c r="D173" i="502"/>
  <c r="E40" i="657"/>
  <c r="F40" i="657"/>
  <c r="X90" i="129"/>
  <c r="E185" i="502"/>
  <c r="R46" i="129"/>
  <c r="D68" i="502"/>
  <c r="I189" i="502"/>
  <c r="F175" i="502"/>
  <c r="F127" i="502"/>
  <c r="F390" i="502" s="1"/>
  <c r="F411" i="502" s="1"/>
  <c r="G132" i="502"/>
  <c r="H170" i="502"/>
  <c r="E188" i="502"/>
  <c r="H192" i="502"/>
  <c r="E178" i="502"/>
  <c r="D168" i="502"/>
  <c r="I179" i="502"/>
  <c r="G163" i="502"/>
  <c r="H54" i="502"/>
  <c r="D54" i="502"/>
  <c r="I175" i="658"/>
  <c r="I175" i="657"/>
  <c r="D175" i="657"/>
  <c r="D184" i="657"/>
  <c r="I147" i="657"/>
  <c r="I184" i="658"/>
  <c r="I184" i="657"/>
  <c r="F41" i="657"/>
  <c r="E192" i="658"/>
  <c r="E192" i="657"/>
  <c r="F189" i="658"/>
  <c r="F189" i="657"/>
  <c r="G190" i="658"/>
  <c r="G190" i="657"/>
  <c r="E177" i="658"/>
  <c r="E177" i="657"/>
  <c r="G189" i="658"/>
  <c r="G189" i="657"/>
  <c r="F177" i="658"/>
  <c r="F177" i="657"/>
  <c r="G177" i="658"/>
  <c r="G177" i="657"/>
  <c r="F85" i="200"/>
  <c r="J89" i="654"/>
  <c r="I79" i="654"/>
  <c r="I79" i="202"/>
  <c r="E85" i="200"/>
  <c r="G106" i="200"/>
  <c r="H92" i="502"/>
  <c r="I113" i="654"/>
  <c r="E132" i="502"/>
  <c r="I72" i="202"/>
  <c r="J87" i="657"/>
  <c r="F79" i="502"/>
  <c r="G113" i="200"/>
  <c r="E113" i="654"/>
  <c r="J86" i="654"/>
  <c r="D85" i="654"/>
  <c r="J95" i="202"/>
  <c r="J88" i="202"/>
  <c r="J82" i="654"/>
  <c r="E113" i="502"/>
  <c r="F92" i="202"/>
  <c r="J96" i="202"/>
  <c r="E92" i="202"/>
  <c r="J93" i="657"/>
  <c r="D92" i="657"/>
  <c r="G85" i="502"/>
  <c r="J115" i="657"/>
  <c r="J102" i="508"/>
  <c r="L44" i="129"/>
  <c r="G145" i="502"/>
  <c r="E126" i="502"/>
  <c r="F185" i="502"/>
  <c r="P14" i="129"/>
  <c r="P154" i="129" s="1"/>
  <c r="I40" i="502"/>
  <c r="E179" i="502"/>
  <c r="I185" i="502"/>
  <c r="I190" i="502"/>
  <c r="F170" i="502"/>
  <c r="E172" i="502"/>
  <c r="G134" i="502"/>
  <c r="I173" i="502"/>
  <c r="H186" i="502"/>
  <c r="H132" i="502"/>
  <c r="H191" i="502"/>
  <c r="H193" i="502"/>
  <c r="E186" i="502"/>
  <c r="F134" i="502"/>
  <c r="E176" i="658"/>
  <c r="E176" i="657"/>
  <c r="I193" i="658"/>
  <c r="I193" i="657"/>
  <c r="F188" i="658"/>
  <c r="F188" i="657"/>
  <c r="D191" i="657"/>
  <c r="D188" i="657"/>
  <c r="H189" i="658"/>
  <c r="H189" i="657"/>
  <c r="F176" i="658"/>
  <c r="F176" i="657"/>
  <c r="I189" i="658"/>
  <c r="I189" i="657"/>
  <c r="I79" i="657"/>
  <c r="J80" i="200"/>
  <c r="I85" i="508"/>
  <c r="J119" i="657"/>
  <c r="E85" i="202"/>
  <c r="G106" i="202"/>
  <c r="H92" i="508"/>
  <c r="I113" i="657"/>
  <c r="F79" i="508"/>
  <c r="G113" i="202"/>
  <c r="G92" i="202"/>
  <c r="E113" i="657"/>
  <c r="J86" i="657"/>
  <c r="D85" i="657"/>
  <c r="J110" i="654"/>
  <c r="J82" i="657"/>
  <c r="E113" i="508"/>
  <c r="H113" i="502"/>
  <c r="G85" i="508"/>
  <c r="D100" i="654"/>
  <c r="J101" i="654"/>
  <c r="J102" i="200"/>
  <c r="F173" i="502"/>
  <c r="I186" i="502"/>
  <c r="G192" i="502"/>
  <c r="D41" i="657"/>
  <c r="I41" i="657"/>
  <c r="D106" i="200"/>
  <c r="J107" i="200"/>
  <c r="F113" i="508"/>
  <c r="L45" i="130"/>
  <c r="M45" i="130"/>
  <c r="D169" i="502"/>
  <c r="D148" i="502"/>
  <c r="Q32" i="129"/>
  <c r="E193" i="502"/>
  <c r="E173" i="502"/>
  <c r="H188" i="502"/>
  <c r="F184" i="502"/>
  <c r="F182" i="502"/>
  <c r="I181" i="502"/>
  <c r="I172" i="502"/>
  <c r="I146" i="502"/>
  <c r="F177" i="502"/>
  <c r="H54" i="657"/>
  <c r="E68" i="502"/>
  <c r="F193" i="658"/>
  <c r="F193" i="657"/>
  <c r="D190" i="657"/>
  <c r="J75" i="200"/>
  <c r="H72" i="502"/>
  <c r="I85" i="200"/>
  <c r="J89" i="508"/>
  <c r="E106" i="508"/>
  <c r="F100" i="654"/>
  <c r="J117" i="654"/>
  <c r="H79" i="502"/>
  <c r="H42" i="657"/>
  <c r="H92" i="200"/>
  <c r="I113" i="502"/>
  <c r="J112" i="502"/>
  <c r="D42" i="657"/>
  <c r="F79" i="200"/>
  <c r="J110" i="657"/>
  <c r="G92" i="654"/>
  <c r="J112" i="654"/>
  <c r="E113" i="200"/>
  <c r="H113" i="508"/>
  <c r="J102" i="654"/>
  <c r="G85" i="200"/>
  <c r="J101" i="657"/>
  <c r="D100" i="657"/>
  <c r="J102" i="202"/>
  <c r="I55" i="502"/>
  <c r="F65" i="472"/>
  <c r="M44" i="129"/>
  <c r="D170" i="502"/>
  <c r="D132" i="502"/>
  <c r="G40" i="657"/>
  <c r="F192" i="502"/>
  <c r="H183" i="502"/>
  <c r="H190" i="502"/>
  <c r="H175" i="502"/>
  <c r="G172" i="502"/>
  <c r="H171" i="502"/>
  <c r="H173" i="502"/>
  <c r="I193" i="502"/>
  <c r="F186" i="502"/>
  <c r="G177" i="502"/>
  <c r="G182" i="502"/>
  <c r="H51" i="502"/>
  <c r="H162" i="502"/>
  <c r="I178" i="658"/>
  <c r="I178" i="657"/>
  <c r="G183" i="658"/>
  <c r="G183" i="657"/>
  <c r="E185" i="658"/>
  <c r="E185" i="657"/>
  <c r="E183" i="658"/>
  <c r="E183" i="657"/>
  <c r="D178" i="657"/>
  <c r="H193" i="658"/>
  <c r="H193" i="657"/>
  <c r="H186" i="658"/>
  <c r="H186" i="657"/>
  <c r="D182" i="657"/>
  <c r="G176" i="658"/>
  <c r="G176" i="657"/>
  <c r="F191" i="658"/>
  <c r="F191" i="657"/>
  <c r="I181" i="658"/>
  <c r="I181" i="657"/>
  <c r="E193" i="658"/>
  <c r="E193" i="657"/>
  <c r="I176" i="658"/>
  <c r="I176" i="657"/>
  <c r="J75" i="202"/>
  <c r="F100" i="202"/>
  <c r="J80" i="202"/>
  <c r="H72" i="200"/>
  <c r="I85" i="202"/>
  <c r="J89" i="200"/>
  <c r="J117" i="657"/>
  <c r="H79" i="508"/>
  <c r="H92" i="202"/>
  <c r="G85" i="654"/>
  <c r="I113" i="508"/>
  <c r="J112" i="508"/>
  <c r="J93" i="202"/>
  <c r="G100" i="200"/>
  <c r="F79" i="202"/>
  <c r="E72" i="502"/>
  <c r="J107" i="654"/>
  <c r="D106" i="654"/>
  <c r="G92" i="657"/>
  <c r="J116" i="502"/>
  <c r="F52" i="657"/>
  <c r="J112" i="657"/>
  <c r="E113" i="202"/>
  <c r="F92" i="654"/>
  <c r="H113" i="200"/>
  <c r="J102" i="657"/>
  <c r="G85" i="202"/>
  <c r="J94" i="502"/>
  <c r="F85" i="654"/>
  <c r="F79" i="654"/>
  <c r="I37" i="502"/>
  <c r="G179" i="502"/>
  <c r="H134" i="502"/>
  <c r="E191" i="658"/>
  <c r="E191" i="657"/>
  <c r="H41" i="657"/>
  <c r="H179" i="658"/>
  <c r="H179" i="657"/>
  <c r="D52" i="502"/>
  <c r="D172" i="502"/>
  <c r="F126" i="502"/>
  <c r="X74" i="129"/>
  <c r="F183" i="502"/>
  <c r="G176" i="502"/>
  <c r="G188" i="502"/>
  <c r="H68" i="472"/>
  <c r="H172" i="502"/>
  <c r="E184" i="502"/>
  <c r="F171" i="502"/>
  <c r="H169" i="502"/>
  <c r="H178" i="502"/>
  <c r="E54" i="657"/>
  <c r="U29" i="129"/>
  <c r="U27" i="129" s="1"/>
  <c r="G51" i="502"/>
  <c r="U32" i="129"/>
  <c r="G54" i="502"/>
  <c r="G149" i="657"/>
  <c r="H177" i="658"/>
  <c r="H177" i="657"/>
  <c r="G191" i="658"/>
  <c r="G191" i="657"/>
  <c r="F182" i="658"/>
  <c r="F182" i="657"/>
  <c r="E186" i="658"/>
  <c r="E186" i="657"/>
  <c r="D181" i="657"/>
  <c r="G178" i="658"/>
  <c r="G178" i="657"/>
  <c r="F178" i="658"/>
  <c r="F178" i="657"/>
  <c r="J116" i="654"/>
  <c r="J114" i="508"/>
  <c r="E79" i="502"/>
  <c r="J78" i="502"/>
  <c r="H100" i="654"/>
  <c r="I113" i="200"/>
  <c r="J112" i="200"/>
  <c r="E72" i="200"/>
  <c r="D106" i="657"/>
  <c r="J107" i="657"/>
  <c r="J88" i="654"/>
  <c r="J117" i="502"/>
  <c r="J89" i="202"/>
  <c r="J87" i="502"/>
  <c r="G52" i="657"/>
  <c r="F92" i="657"/>
  <c r="H113" i="202"/>
  <c r="J74" i="502"/>
  <c r="J109" i="654"/>
  <c r="E52" i="657"/>
  <c r="J94" i="508"/>
  <c r="I42" i="657"/>
  <c r="J103" i="502"/>
  <c r="F79" i="657"/>
  <c r="H40" i="657"/>
  <c r="G185" i="658"/>
  <c r="G185" i="657"/>
  <c r="J86" i="502"/>
  <c r="D85" i="502"/>
  <c r="D54" i="657"/>
  <c r="D31" i="502"/>
  <c r="I176" i="502"/>
  <c r="E176" i="502"/>
  <c r="F189" i="502"/>
  <c r="D183" i="502"/>
  <c r="I171" i="502"/>
  <c r="F132" i="502"/>
  <c r="D193" i="502"/>
  <c r="F178" i="502"/>
  <c r="F68" i="502"/>
  <c r="G193" i="502"/>
  <c r="D51" i="502"/>
  <c r="H192" i="658"/>
  <c r="H192" i="657"/>
  <c r="H181" i="658"/>
  <c r="H181" i="657"/>
  <c r="G192" i="658"/>
  <c r="G192" i="657"/>
  <c r="E190" i="658"/>
  <c r="E190" i="657"/>
  <c r="H175" i="658"/>
  <c r="H175" i="657"/>
  <c r="F190" i="658"/>
  <c r="F190" i="657"/>
  <c r="D193" i="657"/>
  <c r="H190" i="658"/>
  <c r="H190" i="657"/>
  <c r="H178" i="658"/>
  <c r="H178" i="657"/>
  <c r="E178" i="658"/>
  <c r="E178" i="657"/>
  <c r="H85" i="502"/>
  <c r="H72" i="202"/>
  <c r="F106" i="657"/>
  <c r="D106" i="502"/>
  <c r="J107" i="502"/>
  <c r="E79" i="508"/>
  <c r="E106" i="654"/>
  <c r="J78" i="200"/>
  <c r="H100" i="502"/>
  <c r="D113" i="654"/>
  <c r="J114" i="654"/>
  <c r="H79" i="202"/>
  <c r="H100" i="657"/>
  <c r="J95" i="654"/>
  <c r="G113" i="654"/>
  <c r="E72" i="508"/>
  <c r="D92" i="508"/>
  <c r="G72" i="502"/>
  <c r="J88" i="657"/>
  <c r="J117" i="508"/>
  <c r="J116" i="200"/>
  <c r="J87" i="508"/>
  <c r="J108" i="502"/>
  <c r="J81" i="654"/>
  <c r="J108" i="654"/>
  <c r="J74" i="200"/>
  <c r="J109" i="657"/>
  <c r="J94" i="200"/>
  <c r="G42" i="657"/>
  <c r="J103" i="508"/>
  <c r="D190" i="502"/>
  <c r="E171" i="502"/>
  <c r="H188" i="658"/>
  <c r="H188" i="657"/>
  <c r="H191" i="658"/>
  <c r="H191" i="657"/>
  <c r="G184" i="658"/>
  <c r="G184" i="657"/>
  <c r="J80" i="654"/>
  <c r="D79" i="654"/>
  <c r="I39" i="502"/>
  <c r="D67" i="472"/>
  <c r="D171" i="502"/>
  <c r="G126" i="502"/>
  <c r="G189" i="502"/>
  <c r="H179" i="502"/>
  <c r="I169" i="502"/>
  <c r="I175" i="502"/>
  <c r="E175" i="502"/>
  <c r="H68" i="502"/>
  <c r="H185" i="502"/>
  <c r="I149" i="502"/>
  <c r="G190" i="502"/>
  <c r="F172" i="502"/>
  <c r="X82" i="129"/>
  <c r="E191" i="502"/>
  <c r="G171" i="502"/>
  <c r="I188" i="502"/>
  <c r="I170" i="502"/>
  <c r="I182" i="502"/>
  <c r="E192" i="502"/>
  <c r="E181" i="502"/>
  <c r="H40" i="502"/>
  <c r="H189" i="502"/>
  <c r="E182" i="502"/>
  <c r="I54" i="657"/>
  <c r="G175" i="658"/>
  <c r="G175" i="657"/>
  <c r="D54" i="658"/>
  <c r="E188" i="658"/>
  <c r="E188" i="657"/>
  <c r="E189" i="658"/>
  <c r="E189" i="657"/>
  <c r="F184" i="658"/>
  <c r="F184" i="657"/>
  <c r="G41" i="657"/>
  <c r="F175" i="658"/>
  <c r="F175" i="657"/>
  <c r="I182" i="658"/>
  <c r="I182" i="657"/>
  <c r="E184" i="658"/>
  <c r="E184" i="657"/>
  <c r="H182" i="658"/>
  <c r="H182" i="657"/>
  <c r="F183" i="658"/>
  <c r="F183" i="657"/>
  <c r="F106" i="502"/>
  <c r="E100" i="508"/>
  <c r="J107" i="508"/>
  <c r="D106" i="508"/>
  <c r="J73" i="502"/>
  <c r="D72" i="502"/>
  <c r="E79" i="200"/>
  <c r="E106" i="657"/>
  <c r="J78" i="508"/>
  <c r="I106" i="502"/>
  <c r="J114" i="657"/>
  <c r="D113" i="657"/>
  <c r="D100" i="502"/>
  <c r="J101" i="502"/>
  <c r="G79" i="502"/>
  <c r="J95" i="200"/>
  <c r="F113" i="502"/>
  <c r="J95" i="657"/>
  <c r="G113" i="657"/>
  <c r="F85" i="657"/>
  <c r="F54" i="657"/>
  <c r="E72" i="202"/>
  <c r="J93" i="508"/>
  <c r="J117" i="200"/>
  <c r="J116" i="202"/>
  <c r="J87" i="200"/>
  <c r="J105" i="502"/>
  <c r="J108" i="508"/>
  <c r="J81" i="657"/>
  <c r="J108" i="657"/>
  <c r="J74" i="508"/>
  <c r="J94" i="202"/>
  <c r="J103" i="200"/>
  <c r="J109" i="502"/>
  <c r="J83" i="654"/>
  <c r="J114" i="202"/>
  <c r="J89" i="658"/>
  <c r="E100" i="658"/>
  <c r="T118" i="120"/>
  <c r="X118" i="120" s="1"/>
  <c r="H85" i="658"/>
  <c r="J94" i="658"/>
  <c r="J103" i="658"/>
  <c r="F106" i="658"/>
  <c r="H92" i="658"/>
  <c r="N128" i="120"/>
  <c r="N122" i="120" s="1"/>
  <c r="U122" i="120" s="1"/>
  <c r="W32" i="120"/>
  <c r="I149" i="654" s="1"/>
  <c r="I54" i="658"/>
  <c r="E85" i="658"/>
  <c r="E92" i="658"/>
  <c r="D177" i="658"/>
  <c r="G79" i="658"/>
  <c r="G92" i="658"/>
  <c r="D193" i="658"/>
  <c r="V17" i="120"/>
  <c r="H136" i="654" s="1"/>
  <c r="H41" i="658"/>
  <c r="D181" i="658"/>
  <c r="U17" i="120"/>
  <c r="G136" i="654" s="1"/>
  <c r="G41" i="658"/>
  <c r="L128" i="120"/>
  <c r="S128" i="120" s="1"/>
  <c r="Q129" i="120"/>
  <c r="Q118" i="120"/>
  <c r="D191" i="658"/>
  <c r="H106" i="658"/>
  <c r="D79" i="658"/>
  <c r="J80" i="658"/>
  <c r="J83" i="658"/>
  <c r="J90" i="658"/>
  <c r="I113" i="658"/>
  <c r="H113" i="658"/>
  <c r="J109" i="658"/>
  <c r="V16" i="120"/>
  <c r="H135" i="654" s="1"/>
  <c r="H40" i="658"/>
  <c r="D85" i="658"/>
  <c r="J86" i="658"/>
  <c r="K117" i="120"/>
  <c r="D175" i="658"/>
  <c r="D178" i="658"/>
  <c r="D113" i="658"/>
  <c r="J114" i="658"/>
  <c r="J117" i="658"/>
  <c r="T17" i="120"/>
  <c r="F136" i="654" s="1"/>
  <c r="F41" i="658"/>
  <c r="F137" i="658"/>
  <c r="D185" i="658"/>
  <c r="J88" i="658"/>
  <c r="J108" i="658"/>
  <c r="G113" i="658"/>
  <c r="J111" i="658"/>
  <c r="J87" i="658"/>
  <c r="J97" i="658"/>
  <c r="E113" i="658"/>
  <c r="J110" i="658"/>
  <c r="J102" i="658"/>
  <c r="J81" i="658"/>
  <c r="H100" i="658"/>
  <c r="J116" i="658"/>
  <c r="W17" i="120"/>
  <c r="I136" i="654" s="1"/>
  <c r="I41" i="658"/>
  <c r="D183" i="658"/>
  <c r="L14" i="120"/>
  <c r="S16" i="120"/>
  <c r="E135" i="654" s="1"/>
  <c r="E40" i="658"/>
  <c r="M14" i="120"/>
  <c r="T16" i="120"/>
  <c r="F135" i="654" s="1"/>
  <c r="F40" i="658"/>
  <c r="I79" i="658"/>
  <c r="D182" i="658"/>
  <c r="D192" i="658"/>
  <c r="I147" i="658"/>
  <c r="D186" i="658"/>
  <c r="D176" i="658"/>
  <c r="D92" i="658"/>
  <c r="J93" i="658"/>
  <c r="E106" i="658"/>
  <c r="J84" i="658"/>
  <c r="I85" i="658"/>
  <c r="F100" i="658"/>
  <c r="X132" i="120"/>
  <c r="Q17" i="120"/>
  <c r="V32" i="120"/>
  <c r="H149" i="654" s="1"/>
  <c r="H54" i="658"/>
  <c r="D188" i="658"/>
  <c r="D184" i="658"/>
  <c r="I106" i="658"/>
  <c r="H79" i="658"/>
  <c r="D179" i="658"/>
  <c r="E79" i="658"/>
  <c r="J115" i="658"/>
  <c r="U16" i="120"/>
  <c r="G135" i="654" s="1"/>
  <c r="G40" i="658"/>
  <c r="J105" i="658"/>
  <c r="G106" i="658"/>
  <c r="D100" i="658"/>
  <c r="J101" i="658"/>
  <c r="J95" i="658"/>
  <c r="D106" i="658"/>
  <c r="J107" i="658"/>
  <c r="F85" i="658"/>
  <c r="I92" i="658"/>
  <c r="E136" i="658"/>
  <c r="D189" i="658"/>
  <c r="S32" i="120"/>
  <c r="E149" i="654" s="1"/>
  <c r="E54" i="658"/>
  <c r="G149" i="658"/>
  <c r="F92" i="658"/>
  <c r="D190" i="658"/>
  <c r="J118" i="658"/>
  <c r="D137" i="658"/>
  <c r="J96" i="658"/>
  <c r="Q132" i="120"/>
  <c r="F113" i="658"/>
  <c r="G85" i="658"/>
  <c r="I100" i="658"/>
  <c r="J82" i="658"/>
  <c r="J112" i="658"/>
  <c r="F79" i="658"/>
  <c r="R17" i="120"/>
  <c r="D136" i="654" s="1"/>
  <c r="D41" i="658"/>
  <c r="G100" i="658"/>
  <c r="J119" i="658"/>
  <c r="J104" i="658"/>
  <c r="V29" i="129"/>
  <c r="X103" i="129"/>
  <c r="Q45" i="129"/>
  <c r="K14" i="129"/>
  <c r="O27" i="129"/>
  <c r="O45" i="130"/>
  <c r="Q29" i="129"/>
  <c r="L27" i="120"/>
  <c r="S27" i="120" s="1"/>
  <c r="Q32" i="120"/>
  <c r="L6" i="130"/>
  <c r="X77" i="129"/>
  <c r="I68" i="472"/>
  <c r="Q12" i="129"/>
  <c r="X89" i="129"/>
  <c r="X73" i="129"/>
  <c r="M10" i="129"/>
  <c r="M12" i="130"/>
  <c r="D50" i="485"/>
  <c r="P5" i="129"/>
  <c r="X70" i="129"/>
  <c r="X83" i="129"/>
  <c r="X88" i="129"/>
  <c r="X80" i="129"/>
  <c r="X68" i="129"/>
  <c r="X84" i="129"/>
  <c r="X75" i="129"/>
  <c r="X69" i="129"/>
  <c r="X101" i="129"/>
  <c r="X97" i="129"/>
  <c r="X119" i="120"/>
  <c r="X91" i="129"/>
  <c r="L5" i="129"/>
  <c r="X102" i="129"/>
  <c r="Q15" i="129"/>
  <c r="O15" i="130"/>
  <c r="O14" i="129"/>
  <c r="K44" i="129"/>
  <c r="X96" i="129"/>
  <c r="M5" i="129"/>
  <c r="N5" i="129"/>
  <c r="X81" i="129"/>
  <c r="X67" i="129"/>
  <c r="X6" i="129"/>
  <c r="X104" i="129"/>
  <c r="X67" i="120"/>
  <c r="V46" i="129"/>
  <c r="V16" i="129"/>
  <c r="V14" i="129" s="1"/>
  <c r="V9" i="129" s="1"/>
  <c r="X88" i="120"/>
  <c r="X102" i="120"/>
  <c r="X73" i="120"/>
  <c r="X31" i="129"/>
  <c r="W6" i="130"/>
  <c r="W5" i="130" s="1"/>
  <c r="T12" i="130"/>
  <c r="V12" i="130"/>
  <c r="X89" i="120"/>
  <c r="X82" i="120"/>
  <c r="X95" i="129"/>
  <c r="X105" i="129"/>
  <c r="Q16" i="129"/>
  <c r="S6" i="130"/>
  <c r="S5" i="130" s="1"/>
  <c r="X98" i="120"/>
  <c r="Q119" i="120"/>
  <c r="X83" i="120"/>
  <c r="X90" i="120"/>
  <c r="X91" i="120"/>
  <c r="X84" i="120"/>
  <c r="X95" i="120"/>
  <c r="X97" i="120"/>
  <c r="O44" i="129"/>
  <c r="Q46" i="129"/>
  <c r="U12" i="130"/>
  <c r="X68" i="120"/>
  <c r="X104" i="120"/>
  <c r="N117" i="120"/>
  <c r="U117" i="120" s="1"/>
  <c r="X103" i="120"/>
  <c r="X101" i="120"/>
  <c r="T6" i="130"/>
  <c r="T5" i="130" s="1"/>
  <c r="X70" i="120"/>
  <c r="P117" i="120"/>
  <c r="W117" i="120" s="1"/>
  <c r="X81" i="120"/>
  <c r="X94" i="129"/>
  <c r="R5" i="130"/>
  <c r="W16" i="129"/>
  <c r="X105" i="120"/>
  <c r="T5" i="129"/>
  <c r="X74" i="120"/>
  <c r="O5" i="129"/>
  <c r="X76" i="129"/>
  <c r="U6" i="130"/>
  <c r="U5" i="130" s="1"/>
  <c r="X80" i="120"/>
  <c r="E50" i="485"/>
  <c r="X94" i="120"/>
  <c r="Q6" i="129"/>
  <c r="T23" i="130"/>
  <c r="X69" i="120"/>
  <c r="V6" i="130"/>
  <c r="V5" i="130" s="1"/>
  <c r="X77" i="120"/>
  <c r="X75" i="120"/>
  <c r="X96" i="120"/>
  <c r="X76" i="120"/>
  <c r="P44" i="130"/>
  <c r="T46" i="129"/>
  <c r="T44" i="129" s="1"/>
  <c r="Q16" i="120"/>
  <c r="O14" i="120"/>
  <c r="R12" i="130"/>
  <c r="K50" i="485"/>
  <c r="J33" i="498"/>
  <c r="X72" i="129"/>
  <c r="X87" i="120"/>
  <c r="X87" i="129"/>
  <c r="X66" i="120"/>
  <c r="X66" i="129"/>
  <c r="X100" i="120"/>
  <c r="X93" i="129"/>
  <c r="Q65" i="129"/>
  <c r="X93" i="120"/>
  <c r="X72" i="120"/>
  <c r="Q86" i="129"/>
  <c r="X79" i="129"/>
  <c r="X79" i="120"/>
  <c r="X100" i="129"/>
  <c r="Q78" i="129"/>
  <c r="Q78" i="120"/>
  <c r="Q92" i="120"/>
  <c r="Q71" i="129"/>
  <c r="Q50" i="129"/>
  <c r="Q65" i="120"/>
  <c r="Q71" i="120"/>
  <c r="Q86" i="120"/>
  <c r="Q99" i="129"/>
  <c r="Q92" i="129"/>
  <c r="K5" i="130"/>
  <c r="Q99" i="120"/>
  <c r="D107" i="129"/>
  <c r="J20" i="129"/>
  <c r="L58" i="120"/>
  <c r="S58" i="120" s="1"/>
  <c r="P58" i="120"/>
  <c r="W58" i="120" s="1"/>
  <c r="O58" i="120"/>
  <c r="V58" i="120" s="1"/>
  <c r="D120" i="486"/>
  <c r="J120" i="486" s="1"/>
  <c r="M58" i="120"/>
  <c r="T58" i="120" s="1"/>
  <c r="N58" i="120"/>
  <c r="U58" i="120" s="1"/>
  <c r="D110" i="186"/>
  <c r="D144" i="186" s="1"/>
  <c r="K58" i="120"/>
  <c r="R58" i="120" s="1"/>
  <c r="J33" i="506"/>
  <c r="D110" i="203"/>
  <c r="J110" i="203" s="1"/>
  <c r="J144" i="203" s="1"/>
  <c r="J50" i="485"/>
  <c r="E49" i="485"/>
  <c r="F49" i="485"/>
  <c r="H66" i="472"/>
  <c r="G69" i="472"/>
  <c r="F66" i="472"/>
  <c r="E67" i="472"/>
  <c r="I64" i="472"/>
  <c r="E10" i="485"/>
  <c r="D65" i="472"/>
  <c r="F6" i="485"/>
  <c r="F67" i="472"/>
  <c r="D49" i="485"/>
  <c r="G66" i="472"/>
  <c r="D69" i="472"/>
  <c r="D440" i="502"/>
  <c r="D10" i="485"/>
  <c r="E64" i="472"/>
  <c r="E66" i="472"/>
  <c r="E63" i="39"/>
  <c r="E64" i="39" s="1"/>
  <c r="E65" i="39" s="1"/>
  <c r="G65" i="472"/>
  <c r="D68" i="472"/>
  <c r="J440" i="202"/>
  <c r="D6" i="485"/>
  <c r="H65" i="472"/>
  <c r="F69" i="472"/>
  <c r="I69" i="472"/>
  <c r="F10" i="485"/>
  <c r="H50" i="485"/>
  <c r="D166" i="186"/>
  <c r="C14" i="485"/>
  <c r="N14" i="485" s="1"/>
  <c r="J140" i="506"/>
  <c r="F30" i="485"/>
  <c r="F48" i="485"/>
  <c r="H48" i="485"/>
  <c r="D140" i="506"/>
  <c r="C9" i="485"/>
  <c r="G3" i="485"/>
  <c r="J153" i="158"/>
  <c r="J168" i="158" s="1"/>
  <c r="I45" i="130"/>
  <c r="I56" i="639"/>
  <c r="I55" i="639" s="1"/>
  <c r="E15" i="606"/>
  <c r="E16" i="606" s="1"/>
  <c r="C16" i="606"/>
  <c r="G5" i="485"/>
  <c r="J152" i="203"/>
  <c r="J166" i="203" s="1"/>
  <c r="J152" i="186"/>
  <c r="J166" i="186" s="1"/>
  <c r="G29" i="485"/>
  <c r="D133" i="640"/>
  <c r="D133" i="206"/>
  <c r="E30" i="485"/>
  <c r="E48" i="485"/>
  <c r="J33" i="486"/>
  <c r="X129" i="120"/>
  <c r="C7" i="485"/>
  <c r="J440" i="502"/>
  <c r="K48" i="485"/>
  <c r="J133" i="640"/>
  <c r="C27" i="485"/>
  <c r="C28" i="485"/>
  <c r="I28" i="639"/>
  <c r="I15" i="130"/>
  <c r="J440" i="508"/>
  <c r="D168" i="216"/>
  <c r="F50" i="485"/>
  <c r="E6" i="485"/>
  <c r="J140" i="486"/>
  <c r="J48" i="485"/>
  <c r="D440" i="508"/>
  <c r="C4" i="485"/>
  <c r="J140" i="498"/>
  <c r="C38" i="485"/>
  <c r="N38" i="485" s="1"/>
  <c r="D110" i="206"/>
  <c r="J110" i="206" s="1"/>
  <c r="J33" i="206"/>
  <c r="J43" i="486"/>
  <c r="I12" i="130"/>
  <c r="I28" i="472"/>
  <c r="I26" i="639"/>
  <c r="C8" i="485"/>
  <c r="C3" i="485"/>
  <c r="D140" i="498"/>
  <c r="D440" i="202"/>
  <c r="J118" i="206"/>
  <c r="J133" i="206" s="1"/>
  <c r="G9" i="485"/>
  <c r="H67" i="472"/>
  <c r="D110" i="640"/>
  <c r="J110" i="640" s="1"/>
  <c r="J33" i="640"/>
  <c r="J33" i="216"/>
  <c r="D110" i="216"/>
  <c r="D120" i="498"/>
  <c r="J120" i="498" s="1"/>
  <c r="D168" i="158"/>
  <c r="J153" i="211"/>
  <c r="G8" i="485"/>
  <c r="E17" i="130"/>
  <c r="E30" i="639"/>
  <c r="G68" i="472"/>
  <c r="J33" i="158"/>
  <c r="D110" i="158"/>
  <c r="J43" i="506"/>
  <c r="D120" i="506"/>
  <c r="J120" i="506" s="1"/>
  <c r="D20" i="639"/>
  <c r="D6" i="130"/>
  <c r="D215" i="130" s="1"/>
  <c r="D22" i="472"/>
  <c r="L16" i="631"/>
  <c r="N15" i="858" s="1"/>
  <c r="O15" i="858" s="1"/>
  <c r="E80" i="112"/>
  <c r="F80" i="112" s="1"/>
  <c r="I67" i="472"/>
  <c r="J440" i="200"/>
  <c r="C11" i="485"/>
  <c r="I48" i="485"/>
  <c r="E77" i="112"/>
  <c r="F77" i="112" s="1"/>
  <c r="L13" i="631"/>
  <c r="N12" i="858" s="1"/>
  <c r="O12" i="858" s="1"/>
  <c r="H69" i="472"/>
  <c r="D30" i="485"/>
  <c r="D48" i="485"/>
  <c r="J43" i="498"/>
  <c r="L14" i="631"/>
  <c r="N13" i="858" s="1"/>
  <c r="O13" i="858" s="1"/>
  <c r="E78" i="112"/>
  <c r="F78" i="112" s="1"/>
  <c r="I65" i="472"/>
  <c r="J153" i="216"/>
  <c r="J168" i="216" s="1"/>
  <c r="G27" i="485"/>
  <c r="I50" i="485"/>
  <c r="T115" i="120"/>
  <c r="M114" i="120"/>
  <c r="D64" i="472"/>
  <c r="D440" i="200"/>
  <c r="D166" i="203"/>
  <c r="J222" i="129"/>
  <c r="C21" i="485"/>
  <c r="G64" i="472"/>
  <c r="D140" i="486"/>
  <c r="I44" i="639"/>
  <c r="I33" i="130"/>
  <c r="C5" i="485"/>
  <c r="D41" i="639"/>
  <c r="D30" i="130"/>
  <c r="E65" i="472"/>
  <c r="C29" i="485"/>
  <c r="D66" i="472"/>
  <c r="R39" i="129" l="1"/>
  <c r="V39" i="129"/>
  <c r="AE5" i="129"/>
  <c r="AC20" i="129"/>
  <c r="AC107" i="129" s="1"/>
  <c r="AC109" i="129" s="1"/>
  <c r="S39" i="129"/>
  <c r="W14" i="129"/>
  <c r="W9" i="129" s="1"/>
  <c r="U39" i="129"/>
  <c r="U26" i="129" s="1"/>
  <c r="U20" i="129" s="1"/>
  <c r="X86" i="129"/>
  <c r="AB20" i="129"/>
  <c r="R44" i="129"/>
  <c r="S58" i="129"/>
  <c r="X58" i="129" s="1"/>
  <c r="S163" i="460"/>
  <c r="R14" i="129"/>
  <c r="U44" i="129"/>
  <c r="R34" i="129"/>
  <c r="W44" i="129"/>
  <c r="R27" i="129"/>
  <c r="W58" i="129"/>
  <c r="R5" i="129"/>
  <c r="AE22" i="129"/>
  <c r="Y21" i="129"/>
  <c r="S27" i="129"/>
  <c r="T58" i="129"/>
  <c r="X71" i="129"/>
  <c r="AB107" i="129"/>
  <c r="AB109" i="129" s="1"/>
  <c r="S34" i="129"/>
  <c r="AE10" i="129"/>
  <c r="T39" i="129"/>
  <c r="F164" i="502"/>
  <c r="E163" i="502"/>
  <c r="V27" i="129"/>
  <c r="V58" i="129"/>
  <c r="X92" i="129"/>
  <c r="U34" i="129"/>
  <c r="Z107" i="129"/>
  <c r="Z109" i="129" s="1"/>
  <c r="AE9" i="129"/>
  <c r="V44" i="129"/>
  <c r="W39" i="129"/>
  <c r="AE50" i="129"/>
  <c r="T27" i="129"/>
  <c r="W27" i="129"/>
  <c r="W26" i="129" s="1"/>
  <c r="W20" i="129" s="1"/>
  <c r="O18" i="858"/>
  <c r="N9" i="858"/>
  <c r="O8" i="858"/>
  <c r="O9" i="858" s="1"/>
  <c r="E9" i="858" s="1"/>
  <c r="N10" i="858"/>
  <c r="O10" i="858" s="1"/>
  <c r="Q10" i="858" s="1"/>
  <c r="N18" i="858"/>
  <c r="D174" i="202"/>
  <c r="D382" i="202" s="1"/>
  <c r="D403" i="202" s="1"/>
  <c r="F165" i="202"/>
  <c r="G163" i="202"/>
  <c r="D164" i="202"/>
  <c r="H143" i="202"/>
  <c r="J143" i="202" s="1"/>
  <c r="G158" i="202"/>
  <c r="G164" i="202"/>
  <c r="D145" i="202"/>
  <c r="G149" i="202"/>
  <c r="F149" i="202"/>
  <c r="H135" i="202"/>
  <c r="H157" i="202"/>
  <c r="I142" i="202"/>
  <c r="I140" i="202" s="1"/>
  <c r="G165" i="202"/>
  <c r="I145" i="202"/>
  <c r="I149" i="202"/>
  <c r="H146" i="202"/>
  <c r="I137" i="202"/>
  <c r="G145" i="202"/>
  <c r="I127" i="202"/>
  <c r="I390" i="202" s="1"/>
  <c r="I411" i="202" s="1"/>
  <c r="I164" i="202"/>
  <c r="H162" i="202"/>
  <c r="G135" i="202"/>
  <c r="F164" i="202"/>
  <c r="F146" i="202"/>
  <c r="G126" i="202"/>
  <c r="E149" i="202"/>
  <c r="E165" i="202"/>
  <c r="D50" i="472"/>
  <c r="I165" i="202"/>
  <c r="G127" i="202"/>
  <c r="G390" i="202" s="1"/>
  <c r="G411" i="202" s="1"/>
  <c r="G137" i="202"/>
  <c r="F153" i="202"/>
  <c r="F160" i="202"/>
  <c r="D127" i="202"/>
  <c r="H150" i="202"/>
  <c r="J150" i="202" s="1"/>
  <c r="I152" i="202"/>
  <c r="I126" i="202"/>
  <c r="G141" i="202"/>
  <c r="G140" i="202" s="1"/>
  <c r="E146" i="202"/>
  <c r="H126" i="202"/>
  <c r="I158" i="202"/>
  <c r="D153" i="202"/>
  <c r="H127" i="202"/>
  <c r="H390" i="202" s="1"/>
  <c r="H411" i="202" s="1"/>
  <c r="D155" i="202"/>
  <c r="F127" i="202"/>
  <c r="F390" i="202" s="1"/>
  <c r="F411" i="202" s="1"/>
  <c r="D134" i="202"/>
  <c r="E126" i="202"/>
  <c r="I163" i="202"/>
  <c r="F131" i="202"/>
  <c r="F130" i="202" s="1"/>
  <c r="E141" i="202"/>
  <c r="E140" i="202" s="1"/>
  <c r="I153" i="202"/>
  <c r="G155" i="202"/>
  <c r="E158" i="202"/>
  <c r="I135" i="202"/>
  <c r="D163" i="202"/>
  <c r="F134" i="202"/>
  <c r="D146" i="202"/>
  <c r="F158" i="202"/>
  <c r="H141" i="202"/>
  <c r="E153" i="202"/>
  <c r="G160" i="202"/>
  <c r="E159" i="202"/>
  <c r="D131" i="202"/>
  <c r="D130" i="202" s="1"/>
  <c r="D135" i="202"/>
  <c r="E134" i="202"/>
  <c r="I134" i="202"/>
  <c r="E164" i="202"/>
  <c r="F155" i="202"/>
  <c r="D157" i="202"/>
  <c r="E160" i="202"/>
  <c r="D160" i="202"/>
  <c r="H160" i="202"/>
  <c r="I159" i="202"/>
  <c r="E163" i="202"/>
  <c r="D126" i="202"/>
  <c r="D391" i="202" s="1"/>
  <c r="D412" i="202" s="1"/>
  <c r="I131" i="202"/>
  <c r="E131" i="202"/>
  <c r="E130" i="202" s="1"/>
  <c r="F137" i="202"/>
  <c r="E155" i="202"/>
  <c r="F135" i="202"/>
  <c r="D35" i="163"/>
  <c r="H149" i="202"/>
  <c r="D159" i="202"/>
  <c r="H155" i="202"/>
  <c r="E152" i="202"/>
  <c r="G153" i="202"/>
  <c r="I160" i="202"/>
  <c r="F141" i="202"/>
  <c r="F140" i="202" s="1"/>
  <c r="H153" i="202"/>
  <c r="F163" i="202"/>
  <c r="F145" i="202"/>
  <c r="H145" i="202"/>
  <c r="G131" i="202"/>
  <c r="G130" i="202" s="1"/>
  <c r="G152" i="202"/>
  <c r="H131" i="202"/>
  <c r="G146" i="202"/>
  <c r="G157" i="202"/>
  <c r="E137" i="202"/>
  <c r="D137" i="202"/>
  <c r="D148" i="202"/>
  <c r="J148" i="202" s="1"/>
  <c r="F159" i="202"/>
  <c r="F152" i="202"/>
  <c r="G134" i="202"/>
  <c r="F126" i="202"/>
  <c r="H147" i="202"/>
  <c r="H136" i="202"/>
  <c r="J136" i="202" s="1"/>
  <c r="I155" i="202"/>
  <c r="G162" i="202"/>
  <c r="E145" i="202"/>
  <c r="H137" i="202"/>
  <c r="D165" i="202"/>
  <c r="L10" i="631"/>
  <c r="H165" i="202"/>
  <c r="E127" i="202"/>
  <c r="H159" i="202"/>
  <c r="H134" i="202"/>
  <c r="I146" i="202"/>
  <c r="D141" i="202"/>
  <c r="D149" i="202"/>
  <c r="H158" i="202"/>
  <c r="H142" i="202"/>
  <c r="D162" i="202"/>
  <c r="E135" i="202"/>
  <c r="G159" i="202"/>
  <c r="I157" i="202"/>
  <c r="D152" i="202"/>
  <c r="H163" i="202"/>
  <c r="H152" i="202"/>
  <c r="H164" i="202"/>
  <c r="F157" i="202"/>
  <c r="D158" i="202"/>
  <c r="E162" i="202"/>
  <c r="H164" i="502"/>
  <c r="D137" i="657"/>
  <c r="G155" i="502"/>
  <c r="G163" i="658"/>
  <c r="I154" i="658"/>
  <c r="I158" i="658"/>
  <c r="I154" i="657"/>
  <c r="D146" i="502"/>
  <c r="I162" i="657"/>
  <c r="D149" i="502"/>
  <c r="I153" i="658"/>
  <c r="E160" i="502"/>
  <c r="F154" i="657"/>
  <c r="H153" i="502"/>
  <c r="D148" i="657"/>
  <c r="I158" i="657"/>
  <c r="E147" i="657"/>
  <c r="E153" i="657"/>
  <c r="D149" i="657"/>
  <c r="I159" i="502"/>
  <c r="D148" i="658"/>
  <c r="E153" i="658"/>
  <c r="E137" i="658"/>
  <c r="F153" i="502"/>
  <c r="E147" i="658"/>
  <c r="F154" i="658"/>
  <c r="F147" i="657"/>
  <c r="I165" i="502"/>
  <c r="D160" i="502"/>
  <c r="F147" i="658"/>
  <c r="H137" i="658"/>
  <c r="E159" i="502"/>
  <c r="D153" i="502"/>
  <c r="H137" i="657"/>
  <c r="H149" i="502"/>
  <c r="H155" i="502"/>
  <c r="G159" i="502"/>
  <c r="G163" i="657"/>
  <c r="H147" i="658"/>
  <c r="H159" i="502"/>
  <c r="E164" i="502"/>
  <c r="F149" i="502"/>
  <c r="I153" i="657"/>
  <c r="F162" i="657"/>
  <c r="F160" i="657"/>
  <c r="D150" i="657"/>
  <c r="F160" i="658"/>
  <c r="I162" i="658"/>
  <c r="D154" i="658"/>
  <c r="D150" i="658"/>
  <c r="I160" i="502"/>
  <c r="D40" i="742"/>
  <c r="D43" i="473"/>
  <c r="D41" i="163"/>
  <c r="E165" i="502"/>
  <c r="D25" i="742"/>
  <c r="D37" i="202"/>
  <c r="D35" i="202" s="1"/>
  <c r="D26" i="211"/>
  <c r="D24" i="211" s="1"/>
  <c r="D26" i="163"/>
  <c r="D24" i="163" s="1"/>
  <c r="D28" i="473"/>
  <c r="D26" i="473" s="1"/>
  <c r="F19" i="742"/>
  <c r="F18" i="742" s="1"/>
  <c r="F31" i="202"/>
  <c r="F30" i="202" s="1"/>
  <c r="F20" i="211"/>
  <c r="F159" i="211" s="1"/>
  <c r="F22" i="473"/>
  <c r="F20" i="163"/>
  <c r="F158" i="163" s="1"/>
  <c r="G19" i="742"/>
  <c r="G156" i="742" s="1"/>
  <c r="G31" i="202"/>
  <c r="G20" i="163"/>
  <c r="G158" i="163" s="1"/>
  <c r="G20" i="211"/>
  <c r="G22" i="473"/>
  <c r="G21" i="473" s="1"/>
  <c r="E24" i="742"/>
  <c r="E36" i="202"/>
  <c r="E25" i="211"/>
  <c r="E25" i="163"/>
  <c r="E62" i="202"/>
  <c r="E61" i="202" s="1"/>
  <c r="E51" i="211"/>
  <c r="E50" i="211" s="1"/>
  <c r="F50" i="202"/>
  <c r="F39" i="211"/>
  <c r="G53" i="202"/>
  <c r="G42" i="211"/>
  <c r="G24" i="742"/>
  <c r="G36" i="202"/>
  <c r="G25" i="211"/>
  <c r="G27" i="473"/>
  <c r="G25" i="163"/>
  <c r="I35" i="742"/>
  <c r="I47" i="202"/>
  <c r="I36" i="211"/>
  <c r="I38" i="473"/>
  <c r="I36" i="163"/>
  <c r="F52" i="202"/>
  <c r="F41" i="211"/>
  <c r="G41" i="202"/>
  <c r="G30" i="211"/>
  <c r="H50" i="202"/>
  <c r="H39" i="211"/>
  <c r="D35" i="742"/>
  <c r="D47" i="202"/>
  <c r="D38" i="473"/>
  <c r="D36" i="211"/>
  <c r="D36" i="163"/>
  <c r="D47" i="742"/>
  <c r="D50" i="473"/>
  <c r="D48" i="163"/>
  <c r="H36" i="742"/>
  <c r="H48" i="202"/>
  <c r="H37" i="211"/>
  <c r="H37" i="163"/>
  <c r="H57" i="202"/>
  <c r="H46" i="211"/>
  <c r="D45" i="742"/>
  <c r="D46" i="163"/>
  <c r="D48" i="473"/>
  <c r="F41" i="202"/>
  <c r="F30" i="211"/>
  <c r="I59" i="202"/>
  <c r="I48" i="211"/>
  <c r="F53" i="202"/>
  <c r="F42" i="211"/>
  <c r="I53" i="202"/>
  <c r="I42" i="211"/>
  <c r="D19" i="742"/>
  <c r="D156" i="742" s="1"/>
  <c r="H24" i="742"/>
  <c r="H36" i="202"/>
  <c r="H25" i="211"/>
  <c r="H25" i="163"/>
  <c r="H25" i="742"/>
  <c r="H37" i="202"/>
  <c r="H26" i="211"/>
  <c r="H28" i="473"/>
  <c r="H26" i="163"/>
  <c r="F24" i="742"/>
  <c r="F25" i="639"/>
  <c r="F36" i="202"/>
  <c r="F25" i="163"/>
  <c r="F25" i="211"/>
  <c r="D36" i="742"/>
  <c r="D48" i="202"/>
  <c r="D37" i="211"/>
  <c r="D37" i="163"/>
  <c r="D39" i="473"/>
  <c r="F34" i="742"/>
  <c r="F46" i="202"/>
  <c r="F35" i="163"/>
  <c r="F35" i="211"/>
  <c r="F37" i="473"/>
  <c r="F36" i="742"/>
  <c r="F48" i="202"/>
  <c r="F37" i="163"/>
  <c r="F39" i="473"/>
  <c r="F37" i="211"/>
  <c r="E35" i="742"/>
  <c r="E47" i="202"/>
  <c r="E36" i="163"/>
  <c r="E36" i="211"/>
  <c r="E38" i="473"/>
  <c r="D53" i="202"/>
  <c r="D42" i="211"/>
  <c r="G62" i="202"/>
  <c r="G61" i="202" s="1"/>
  <c r="G51" i="211"/>
  <c r="G50" i="211" s="1"/>
  <c r="E36" i="742"/>
  <c r="E48" i="202"/>
  <c r="E37" i="211"/>
  <c r="E39" i="473"/>
  <c r="E37" i="163"/>
  <c r="I19" i="742"/>
  <c r="I156" i="742" s="1"/>
  <c r="I31" i="202"/>
  <c r="I22" i="473"/>
  <c r="I21" i="473" s="1"/>
  <c r="I20" i="163"/>
  <c r="I20" i="211"/>
  <c r="I159" i="211" s="1"/>
  <c r="I24" i="742"/>
  <c r="I23" i="742" s="1"/>
  <c r="I36" i="202"/>
  <c r="I35" i="202" s="1"/>
  <c r="I25" i="211"/>
  <c r="I24" i="211" s="1"/>
  <c r="I157" i="211" s="1"/>
  <c r="I25" i="163"/>
  <c r="I24" i="163" s="1"/>
  <c r="I156" i="163" s="1"/>
  <c r="F57" i="202"/>
  <c r="F46" i="211"/>
  <c r="E59" i="202"/>
  <c r="E48" i="211"/>
  <c r="D27" i="742"/>
  <c r="D30" i="473"/>
  <c r="D28" i="163"/>
  <c r="G35" i="742"/>
  <c r="G47" i="202"/>
  <c r="G36" i="163"/>
  <c r="G38" i="473"/>
  <c r="G36" i="211"/>
  <c r="D41" i="202"/>
  <c r="D38" i="202" s="1"/>
  <c r="D30" i="211"/>
  <c r="D27" i="211" s="1"/>
  <c r="D156" i="211" s="1"/>
  <c r="H55" i="202"/>
  <c r="H44" i="211"/>
  <c r="H59" i="202"/>
  <c r="H48" i="211"/>
  <c r="H35" i="742"/>
  <c r="H47" i="202"/>
  <c r="H38" i="473"/>
  <c r="H36" i="163"/>
  <c r="H36" i="211"/>
  <c r="X12" i="823"/>
  <c r="H132" i="202"/>
  <c r="G50" i="202"/>
  <c r="G39" i="211"/>
  <c r="G59" i="202"/>
  <c r="G48" i="211"/>
  <c r="F35" i="742"/>
  <c r="F47" i="202"/>
  <c r="F36" i="163"/>
  <c r="F38" i="473"/>
  <c r="F36" i="211"/>
  <c r="E52" i="202"/>
  <c r="E41" i="211"/>
  <c r="I43" i="742"/>
  <c r="I46" i="473"/>
  <c r="I44" i="163"/>
  <c r="E19" i="742"/>
  <c r="E156" i="742" s="1"/>
  <c r="E31" i="202"/>
  <c r="E20" i="163"/>
  <c r="E158" i="163" s="1"/>
  <c r="E20" i="211"/>
  <c r="E22" i="473"/>
  <c r="E160" i="473" s="1"/>
  <c r="H67" i="202"/>
  <c r="H66" i="202" s="1"/>
  <c r="H56" i="211"/>
  <c r="H55" i="211" s="1"/>
  <c r="E57" i="202"/>
  <c r="E46" i="211"/>
  <c r="F162" i="658"/>
  <c r="E29" i="742"/>
  <c r="E32" i="473"/>
  <c r="E30" i="163"/>
  <c r="I27" i="742"/>
  <c r="I30" i="473"/>
  <c r="I28" i="163"/>
  <c r="D149" i="658"/>
  <c r="G67" i="202"/>
  <c r="G66" i="202" s="1"/>
  <c r="G56" i="211"/>
  <c r="G55" i="211" s="1"/>
  <c r="D50" i="202"/>
  <c r="D39" i="211"/>
  <c r="G55" i="202"/>
  <c r="G44" i="211"/>
  <c r="E53" i="202"/>
  <c r="E42" i="211"/>
  <c r="D62" i="202"/>
  <c r="D51" i="211"/>
  <c r="D50" i="211" s="1"/>
  <c r="H34" i="742"/>
  <c r="H46" i="202"/>
  <c r="H35" i="211"/>
  <c r="H37" i="473"/>
  <c r="H35" i="163"/>
  <c r="H39" i="202"/>
  <c r="H28" i="211"/>
  <c r="H165" i="502"/>
  <c r="G39" i="202"/>
  <c r="G28" i="211"/>
  <c r="G25" i="742"/>
  <c r="G37" i="202"/>
  <c r="G26" i="163"/>
  <c r="G28" i="473"/>
  <c r="G26" i="211"/>
  <c r="D55" i="742"/>
  <c r="D54" i="742" s="1"/>
  <c r="D58" i="473"/>
  <c r="D57" i="473" s="1"/>
  <c r="D56" i="163"/>
  <c r="D55" i="163" s="1"/>
  <c r="I62" i="202"/>
  <c r="I61" i="202" s="1"/>
  <c r="I51" i="211"/>
  <c r="I50" i="211" s="1"/>
  <c r="E50" i="202"/>
  <c r="E39" i="211"/>
  <c r="D55" i="202"/>
  <c r="D44" i="211"/>
  <c r="E34" i="742"/>
  <c r="E46" i="202"/>
  <c r="E37" i="473"/>
  <c r="E35" i="163"/>
  <c r="E35" i="211"/>
  <c r="F55" i="202"/>
  <c r="F44" i="211"/>
  <c r="G52" i="202"/>
  <c r="G41" i="211"/>
  <c r="H19" i="742"/>
  <c r="H31" i="202"/>
  <c r="H22" i="473"/>
  <c r="H20" i="211"/>
  <c r="H159" i="211" s="1"/>
  <c r="H20" i="163"/>
  <c r="H19" i="163" s="1"/>
  <c r="H41" i="202"/>
  <c r="H30" i="211"/>
  <c r="E55" i="202"/>
  <c r="E44" i="211"/>
  <c r="F39" i="202"/>
  <c r="F28" i="211"/>
  <c r="F59" i="202"/>
  <c r="F48" i="211"/>
  <c r="H52" i="202"/>
  <c r="H41" i="211"/>
  <c r="F25" i="742"/>
  <c r="F37" i="202"/>
  <c r="F26" i="211"/>
  <c r="F26" i="163"/>
  <c r="F28" i="473"/>
  <c r="D157" i="658"/>
  <c r="G137" i="502"/>
  <c r="E39" i="202"/>
  <c r="E38" i="202" s="1"/>
  <c r="E28" i="211"/>
  <c r="E27" i="211" s="1"/>
  <c r="E156" i="211" s="1"/>
  <c r="E25" i="742"/>
  <c r="E37" i="202"/>
  <c r="E26" i="211"/>
  <c r="E26" i="163"/>
  <c r="E28" i="473"/>
  <c r="H62" i="202"/>
  <c r="H61" i="202" s="1"/>
  <c r="H51" i="211"/>
  <c r="H50" i="211" s="1"/>
  <c r="I50" i="202"/>
  <c r="I39" i="211"/>
  <c r="I52" i="202"/>
  <c r="I41" i="211"/>
  <c r="G57" i="202"/>
  <c r="G46" i="211"/>
  <c r="G36" i="742"/>
  <c r="G48" i="202"/>
  <c r="G37" i="163"/>
  <c r="G39" i="473"/>
  <c r="G37" i="211"/>
  <c r="I34" i="742"/>
  <c r="I46" i="202"/>
  <c r="I37" i="473"/>
  <c r="I35" i="163"/>
  <c r="I35" i="211"/>
  <c r="F67" i="202"/>
  <c r="F66" i="202" s="1"/>
  <c r="F56" i="211"/>
  <c r="F55" i="211" s="1"/>
  <c r="E149" i="502"/>
  <c r="D24" i="742"/>
  <c r="F62" i="202"/>
  <c r="F61" i="202" s="1"/>
  <c r="F51" i="211"/>
  <c r="F50" i="211" s="1"/>
  <c r="I36" i="742"/>
  <c r="I48" i="202"/>
  <c r="I39" i="473"/>
  <c r="I37" i="211"/>
  <c r="I37" i="163"/>
  <c r="H53" i="202"/>
  <c r="H42" i="211"/>
  <c r="I55" i="742"/>
  <c r="I54" i="742" s="1"/>
  <c r="I56" i="163"/>
  <c r="I55" i="163" s="1"/>
  <c r="I58" i="473"/>
  <c r="I57" i="473" s="1"/>
  <c r="F149" i="658"/>
  <c r="F165" i="502"/>
  <c r="E67" i="202"/>
  <c r="E56" i="211"/>
  <c r="E55" i="211" s="1"/>
  <c r="H147" i="657"/>
  <c r="D157" i="657"/>
  <c r="I41" i="202"/>
  <c r="I38" i="202" s="1"/>
  <c r="I30" i="211"/>
  <c r="I27" i="211" s="1"/>
  <c r="I156" i="211" s="1"/>
  <c r="G34" i="742"/>
  <c r="G46" i="202"/>
  <c r="G35" i="163"/>
  <c r="G35" i="211"/>
  <c r="G37" i="473"/>
  <c r="I57" i="202"/>
  <c r="I46" i="211"/>
  <c r="X31" i="823"/>
  <c r="X37" i="823"/>
  <c r="D154" i="202"/>
  <c r="J154" i="202" s="1"/>
  <c r="D34" i="742"/>
  <c r="D174" i="508"/>
  <c r="D382" i="508" s="1"/>
  <c r="D403" i="508" s="1"/>
  <c r="D45" i="211"/>
  <c r="D174" i="200"/>
  <c r="D382" i="200" s="1"/>
  <c r="D403" i="200" s="1"/>
  <c r="D147" i="657"/>
  <c r="F149" i="657"/>
  <c r="G165" i="502"/>
  <c r="G40" i="130"/>
  <c r="G62" i="200"/>
  <c r="G61" i="200" s="1"/>
  <c r="G62" i="508"/>
  <c r="G61" i="508" s="1"/>
  <c r="D48" i="200"/>
  <c r="D48" i="508"/>
  <c r="H53" i="200"/>
  <c r="H53" i="508"/>
  <c r="T27" i="823"/>
  <c r="M26" i="823"/>
  <c r="T26" i="823" s="1"/>
  <c r="V27" i="823"/>
  <c r="O26" i="823"/>
  <c r="D164" i="200"/>
  <c r="D164" i="508"/>
  <c r="X30" i="823"/>
  <c r="H147" i="200"/>
  <c r="J147" i="200" s="1"/>
  <c r="H147" i="508"/>
  <c r="J147" i="508" s="1"/>
  <c r="X24" i="823"/>
  <c r="H143" i="508"/>
  <c r="J143" i="508" s="1"/>
  <c r="H143" i="200"/>
  <c r="I153" i="200"/>
  <c r="I153" i="508"/>
  <c r="G162" i="200"/>
  <c r="G162" i="508"/>
  <c r="E31" i="200"/>
  <c r="E30" i="200" s="1"/>
  <c r="E31" i="508"/>
  <c r="E30" i="508" s="1"/>
  <c r="G67" i="200"/>
  <c r="G66" i="200" s="1"/>
  <c r="G67" i="508"/>
  <c r="G66" i="508" s="1"/>
  <c r="E47" i="200"/>
  <c r="E47" i="508"/>
  <c r="H30" i="130"/>
  <c r="H52" i="200"/>
  <c r="H52" i="508"/>
  <c r="E59" i="200"/>
  <c r="E59" i="508"/>
  <c r="G48" i="200"/>
  <c r="G48" i="508"/>
  <c r="H155" i="200"/>
  <c r="H155" i="508"/>
  <c r="D160" i="200"/>
  <c r="D160" i="508"/>
  <c r="F145" i="200"/>
  <c r="F145" i="508"/>
  <c r="X28" i="823"/>
  <c r="H145" i="200"/>
  <c r="H145" i="508"/>
  <c r="T5" i="823"/>
  <c r="F126" i="508"/>
  <c r="F126" i="200"/>
  <c r="F158" i="200"/>
  <c r="F158" i="508"/>
  <c r="H141" i="508"/>
  <c r="H141" i="200"/>
  <c r="E165" i="200"/>
  <c r="E165" i="508"/>
  <c r="I160" i="200"/>
  <c r="I160" i="508"/>
  <c r="S27" i="823"/>
  <c r="L26" i="823"/>
  <c r="S26" i="823" s="1"/>
  <c r="I48" i="200"/>
  <c r="I48" i="508"/>
  <c r="G57" i="200"/>
  <c r="G57" i="508"/>
  <c r="I41" i="200"/>
  <c r="I38" i="200" s="1"/>
  <c r="I41" i="508"/>
  <c r="I38" i="508" s="1"/>
  <c r="X33" i="823"/>
  <c r="H150" i="200"/>
  <c r="J150" i="200" s="1"/>
  <c r="H150" i="508"/>
  <c r="J150" i="508" s="1"/>
  <c r="G159" i="200"/>
  <c r="G159" i="508"/>
  <c r="T14" i="823"/>
  <c r="M154" i="823"/>
  <c r="D159" i="200"/>
  <c r="D159" i="508"/>
  <c r="G131" i="508"/>
  <c r="G130" i="508" s="1"/>
  <c r="G131" i="200"/>
  <c r="G130" i="200" s="1"/>
  <c r="F131" i="508"/>
  <c r="F130" i="508" s="1"/>
  <c r="F131" i="200"/>
  <c r="F130" i="200" s="1"/>
  <c r="X11" i="823"/>
  <c r="H131" i="508"/>
  <c r="H131" i="200"/>
  <c r="V21" i="823"/>
  <c r="O153" i="823"/>
  <c r="F165" i="200"/>
  <c r="F165" i="508"/>
  <c r="E145" i="200"/>
  <c r="E145" i="508"/>
  <c r="I127" i="200"/>
  <c r="I390" i="200" s="1"/>
  <c r="I411" i="200" s="1"/>
  <c r="I127" i="508"/>
  <c r="I390" i="508" s="1"/>
  <c r="I411" i="508" s="1"/>
  <c r="G127" i="200"/>
  <c r="G390" i="200" s="1"/>
  <c r="G411" i="200" s="1"/>
  <c r="G127" i="508"/>
  <c r="G390" i="508" s="1"/>
  <c r="G411" i="508" s="1"/>
  <c r="G39" i="200"/>
  <c r="G39" i="508"/>
  <c r="G37" i="200"/>
  <c r="G37" i="508"/>
  <c r="X45" i="129"/>
  <c r="D154" i="657"/>
  <c r="I50" i="200"/>
  <c r="I50" i="508"/>
  <c r="H57" i="200"/>
  <c r="H57" i="508"/>
  <c r="F134" i="200"/>
  <c r="F134" i="508"/>
  <c r="U10" i="823"/>
  <c r="N152" i="823"/>
  <c r="N9" i="823"/>
  <c r="U9" i="823" s="1"/>
  <c r="P154" i="823"/>
  <c r="W14" i="823"/>
  <c r="M9" i="823"/>
  <c r="T9" i="823" s="1"/>
  <c r="T10" i="823"/>
  <c r="M152" i="823"/>
  <c r="O152" i="823"/>
  <c r="V10" i="823"/>
  <c r="O9" i="823"/>
  <c r="V9" i="823" s="1"/>
  <c r="G137" i="200"/>
  <c r="G137" i="508"/>
  <c r="H146" i="200"/>
  <c r="H146" i="508"/>
  <c r="F137" i="200"/>
  <c r="F137" i="508"/>
  <c r="R39" i="823"/>
  <c r="X39" i="823" s="1"/>
  <c r="Q39" i="823"/>
  <c r="H153" i="200"/>
  <c r="H153" i="508"/>
  <c r="E155" i="200"/>
  <c r="E155" i="508"/>
  <c r="F135" i="200"/>
  <c r="F135" i="508"/>
  <c r="I137" i="502"/>
  <c r="D50" i="200"/>
  <c r="D50" i="508"/>
  <c r="G50" i="200"/>
  <c r="G50" i="508"/>
  <c r="H47" i="200"/>
  <c r="H47" i="508"/>
  <c r="E53" i="200"/>
  <c r="E53" i="508"/>
  <c r="L154" i="823"/>
  <c r="S14" i="823"/>
  <c r="R14" i="823"/>
  <c r="K154" i="823"/>
  <c r="Q14" i="823"/>
  <c r="Q154" i="823" s="1"/>
  <c r="G163" i="200"/>
  <c r="G163" i="508"/>
  <c r="T58" i="823"/>
  <c r="I134" i="200"/>
  <c r="I134" i="508"/>
  <c r="I164" i="200"/>
  <c r="I164" i="508"/>
  <c r="X46" i="823"/>
  <c r="H163" i="200"/>
  <c r="H163" i="508"/>
  <c r="H136" i="200"/>
  <c r="J136" i="200" s="1"/>
  <c r="H136" i="508"/>
  <c r="J136" i="508" s="1"/>
  <c r="X32" i="823"/>
  <c r="D149" i="200"/>
  <c r="D149" i="508"/>
  <c r="D157" i="200"/>
  <c r="D157" i="508"/>
  <c r="P39" i="130"/>
  <c r="I62" i="200"/>
  <c r="I61" i="200" s="1"/>
  <c r="I62" i="508"/>
  <c r="I61" i="508" s="1"/>
  <c r="X28" i="129"/>
  <c r="I59" i="200"/>
  <c r="I59" i="508"/>
  <c r="H50" i="200"/>
  <c r="H50" i="508"/>
  <c r="F163" i="200"/>
  <c r="F163" i="508"/>
  <c r="I135" i="200"/>
  <c r="I135" i="508"/>
  <c r="E134" i="200"/>
  <c r="E134" i="508"/>
  <c r="D134" i="200"/>
  <c r="D134" i="508"/>
  <c r="G164" i="200"/>
  <c r="G164" i="508"/>
  <c r="D131" i="508"/>
  <c r="D130" i="508" s="1"/>
  <c r="D131" i="200"/>
  <c r="D130" i="200" s="1"/>
  <c r="F157" i="200"/>
  <c r="F157" i="508"/>
  <c r="I149" i="200"/>
  <c r="I149" i="508"/>
  <c r="I157" i="200"/>
  <c r="I157" i="508"/>
  <c r="I155" i="200"/>
  <c r="I155" i="508"/>
  <c r="D137" i="200"/>
  <c r="D137" i="508"/>
  <c r="E37" i="200"/>
  <c r="E37" i="508"/>
  <c r="E25" i="639"/>
  <c r="E36" i="200"/>
  <c r="E36" i="508"/>
  <c r="H39" i="200"/>
  <c r="H39" i="508"/>
  <c r="F15" i="130"/>
  <c r="F39" i="200"/>
  <c r="F39" i="508"/>
  <c r="G36" i="200"/>
  <c r="G36" i="508"/>
  <c r="H36" i="200"/>
  <c r="H36" i="508"/>
  <c r="G160" i="502"/>
  <c r="F48" i="200"/>
  <c r="F48" i="508"/>
  <c r="D55" i="502"/>
  <c r="D55" i="200"/>
  <c r="D55" i="508"/>
  <c r="I46" i="200"/>
  <c r="I46" i="508"/>
  <c r="X65" i="823"/>
  <c r="U21" i="823"/>
  <c r="N153" i="823"/>
  <c r="I131" i="508"/>
  <c r="I131" i="200"/>
  <c r="I130" i="200" s="1"/>
  <c r="E131" i="508"/>
  <c r="E130" i="508" s="1"/>
  <c r="E131" i="200"/>
  <c r="R10" i="823"/>
  <c r="K152" i="823"/>
  <c r="Q10" i="823"/>
  <c r="Q152" i="823" s="1"/>
  <c r="K9" i="823"/>
  <c r="M153" i="823"/>
  <c r="T21" i="823"/>
  <c r="G157" i="200"/>
  <c r="G157" i="508"/>
  <c r="I142" i="508"/>
  <c r="I140" i="508" s="1"/>
  <c r="I142" i="200"/>
  <c r="I140" i="200" s="1"/>
  <c r="E162" i="200"/>
  <c r="E162" i="508"/>
  <c r="X36" i="823"/>
  <c r="D153" i="200"/>
  <c r="D153" i="508"/>
  <c r="H127" i="200"/>
  <c r="H127" i="508"/>
  <c r="H390" i="508" s="1"/>
  <c r="H411" i="508" s="1"/>
  <c r="E135" i="200"/>
  <c r="E135" i="508"/>
  <c r="F160" i="200"/>
  <c r="F160" i="508"/>
  <c r="G160" i="200"/>
  <c r="G160" i="508"/>
  <c r="H67" i="200"/>
  <c r="H66" i="200" s="1"/>
  <c r="H67" i="508"/>
  <c r="H66" i="508" s="1"/>
  <c r="H51" i="639"/>
  <c r="H50" i="639" s="1"/>
  <c r="H62" i="200"/>
  <c r="H61" i="200" s="1"/>
  <c r="H62" i="508"/>
  <c r="H61" i="508" s="1"/>
  <c r="F52" i="200"/>
  <c r="F52" i="508"/>
  <c r="G55" i="200"/>
  <c r="G55" i="508"/>
  <c r="H41" i="200"/>
  <c r="H41" i="508"/>
  <c r="W5" i="129"/>
  <c r="I23" i="130"/>
  <c r="I47" i="200"/>
  <c r="I47" i="508"/>
  <c r="E159" i="200"/>
  <c r="E159" i="508"/>
  <c r="F164" i="200"/>
  <c r="F164" i="508"/>
  <c r="E152" i="200"/>
  <c r="E152" i="508"/>
  <c r="G141" i="508"/>
  <c r="G140" i="508" s="1"/>
  <c r="G141" i="200"/>
  <c r="G140" i="200" s="1"/>
  <c r="W10" i="823"/>
  <c r="P152" i="823"/>
  <c r="P9" i="823"/>
  <c r="W9" i="823" s="1"/>
  <c r="I146" i="200"/>
  <c r="I146" i="508"/>
  <c r="L152" i="823"/>
  <c r="L9" i="823"/>
  <c r="S9" i="823" s="1"/>
  <c r="S10" i="823"/>
  <c r="S21" i="823"/>
  <c r="L153" i="823"/>
  <c r="F141" i="508"/>
  <c r="F140" i="508" s="1"/>
  <c r="F141" i="200"/>
  <c r="F140" i="200" s="1"/>
  <c r="X47" i="823"/>
  <c r="H164" i="200"/>
  <c r="H164" i="508"/>
  <c r="G153" i="200"/>
  <c r="G153" i="508"/>
  <c r="G158" i="200"/>
  <c r="G158" i="508"/>
  <c r="Q44" i="823"/>
  <c r="R44" i="823"/>
  <c r="X44" i="823" s="1"/>
  <c r="W21" i="823"/>
  <c r="P153" i="823"/>
  <c r="X18" i="823"/>
  <c r="H137" i="200"/>
  <c r="H137" i="508"/>
  <c r="X48" i="823"/>
  <c r="D165" i="200"/>
  <c r="D165" i="508"/>
  <c r="X32" i="129"/>
  <c r="E39" i="200"/>
  <c r="E38" i="200" s="1"/>
  <c r="E39" i="508"/>
  <c r="E38" i="508" s="1"/>
  <c r="S5" i="129"/>
  <c r="D37" i="200"/>
  <c r="D35" i="200" s="1"/>
  <c r="D37" i="508"/>
  <c r="D35" i="508" s="1"/>
  <c r="F31" i="200"/>
  <c r="F30" i="200" s="1"/>
  <c r="F31" i="508"/>
  <c r="F30" i="508" s="1"/>
  <c r="G31" i="200"/>
  <c r="G30" i="200" s="1"/>
  <c r="G31" i="508"/>
  <c r="F36" i="200"/>
  <c r="F36" i="508"/>
  <c r="E50" i="200"/>
  <c r="E50" i="508"/>
  <c r="H22" i="130"/>
  <c r="H46" i="200"/>
  <c r="H46" i="508"/>
  <c r="F47" i="200"/>
  <c r="F47" i="508"/>
  <c r="E46" i="200"/>
  <c r="E46" i="508"/>
  <c r="F50" i="200"/>
  <c r="F50" i="508"/>
  <c r="W5" i="823"/>
  <c r="I126" i="508"/>
  <c r="I126" i="200"/>
  <c r="G152" i="200"/>
  <c r="G152" i="508"/>
  <c r="E141" i="508"/>
  <c r="E140" i="508" s="1"/>
  <c r="E141" i="200"/>
  <c r="E140" i="200" s="1"/>
  <c r="D162" i="200"/>
  <c r="D162" i="508"/>
  <c r="X23" i="823"/>
  <c r="H142" i="508"/>
  <c r="H142" i="200"/>
  <c r="F67" i="200"/>
  <c r="F66" i="200" s="1"/>
  <c r="F67" i="508"/>
  <c r="F66" i="508" s="1"/>
  <c r="E137" i="657"/>
  <c r="F62" i="200"/>
  <c r="F61" i="200" s="1"/>
  <c r="F62" i="508"/>
  <c r="F61" i="508" s="1"/>
  <c r="G46" i="200"/>
  <c r="G46" i="508"/>
  <c r="F127" i="200"/>
  <c r="F390" i="200" s="1"/>
  <c r="F411" i="200" s="1"/>
  <c r="F127" i="508"/>
  <c r="F390" i="508" s="1"/>
  <c r="F411" i="508" s="1"/>
  <c r="I159" i="200"/>
  <c r="I159" i="508"/>
  <c r="I145" i="200"/>
  <c r="I145" i="508"/>
  <c r="H135" i="200"/>
  <c r="H135" i="508"/>
  <c r="I163" i="200"/>
  <c r="I163" i="508"/>
  <c r="F149" i="200"/>
  <c r="F149" i="508"/>
  <c r="R21" i="823"/>
  <c r="K153" i="823"/>
  <c r="Q21" i="823"/>
  <c r="Q153" i="823" s="1"/>
  <c r="F155" i="200"/>
  <c r="F155" i="508"/>
  <c r="I36" i="200"/>
  <c r="I35" i="200" s="1"/>
  <c r="I36" i="508"/>
  <c r="I35" i="508" s="1"/>
  <c r="F59" i="200"/>
  <c r="F59" i="508"/>
  <c r="F46" i="200"/>
  <c r="F46" i="508"/>
  <c r="E52" i="502"/>
  <c r="E52" i="200"/>
  <c r="E52" i="508"/>
  <c r="G53" i="200"/>
  <c r="G53" i="508"/>
  <c r="W27" i="823"/>
  <c r="P26" i="823"/>
  <c r="W26" i="823" s="1"/>
  <c r="S5" i="823"/>
  <c r="E126" i="508"/>
  <c r="E126" i="200"/>
  <c r="O154" i="823"/>
  <c r="V14" i="823"/>
  <c r="I158" i="200"/>
  <c r="I158" i="508"/>
  <c r="X22" i="823"/>
  <c r="D141" i="508"/>
  <c r="D141" i="200"/>
  <c r="R58" i="823"/>
  <c r="Q58" i="823"/>
  <c r="E153" i="200"/>
  <c r="E153" i="508"/>
  <c r="G165" i="200"/>
  <c r="G165" i="508"/>
  <c r="E160" i="200"/>
  <c r="E160" i="508"/>
  <c r="D148" i="200"/>
  <c r="J148" i="200" s="1"/>
  <c r="D148" i="508"/>
  <c r="J148" i="508" s="1"/>
  <c r="U27" i="823"/>
  <c r="N26" i="823"/>
  <c r="U26" i="823" s="1"/>
  <c r="E67" i="200"/>
  <c r="E67" i="508"/>
  <c r="V5" i="129"/>
  <c r="H37" i="200"/>
  <c r="H37" i="508"/>
  <c r="E40" i="130"/>
  <c r="E62" i="200"/>
  <c r="E61" i="200" s="1"/>
  <c r="E62" i="508"/>
  <c r="E61" i="508" s="1"/>
  <c r="D41" i="200"/>
  <c r="D41" i="508"/>
  <c r="E46" i="639"/>
  <c r="E57" i="200"/>
  <c r="E57" i="508"/>
  <c r="I52" i="502"/>
  <c r="I52" i="200"/>
  <c r="I52" i="508"/>
  <c r="E48" i="200"/>
  <c r="E48" i="508"/>
  <c r="E55" i="200"/>
  <c r="E55" i="508"/>
  <c r="F31" i="130"/>
  <c r="F53" i="200"/>
  <c r="F53" i="508"/>
  <c r="D47" i="200"/>
  <c r="D47" i="508"/>
  <c r="D163" i="200"/>
  <c r="D163" i="508"/>
  <c r="R34" i="823"/>
  <c r="X34" i="823" s="1"/>
  <c r="Q34" i="823"/>
  <c r="X42" i="823"/>
  <c r="H159" i="200"/>
  <c r="H159" i="508"/>
  <c r="X15" i="823"/>
  <c r="H134" i="200"/>
  <c r="H134" i="508"/>
  <c r="E164" i="200"/>
  <c r="E164" i="508"/>
  <c r="U5" i="823"/>
  <c r="G126" i="508"/>
  <c r="G126" i="200"/>
  <c r="G149" i="200"/>
  <c r="G149" i="508"/>
  <c r="X41" i="823"/>
  <c r="D158" i="200"/>
  <c r="D158" i="508"/>
  <c r="H149" i="200"/>
  <c r="H149" i="508"/>
  <c r="H158" i="200"/>
  <c r="H158" i="508"/>
  <c r="G145" i="200"/>
  <c r="G145" i="508"/>
  <c r="H55" i="200"/>
  <c r="H55" i="508"/>
  <c r="G17" i="130"/>
  <c r="G41" i="200"/>
  <c r="G41" i="508"/>
  <c r="F57" i="200"/>
  <c r="F57" i="508"/>
  <c r="D42" i="639"/>
  <c r="D53" i="200"/>
  <c r="D53" i="508"/>
  <c r="H132" i="508"/>
  <c r="H132" i="200"/>
  <c r="J132" i="200" s="1"/>
  <c r="R27" i="823"/>
  <c r="K26" i="823"/>
  <c r="Q27" i="823"/>
  <c r="X7" i="823"/>
  <c r="D127" i="200"/>
  <c r="D127" i="508"/>
  <c r="D390" i="508" s="1"/>
  <c r="D411" i="508" s="1"/>
  <c r="E127" i="200"/>
  <c r="E127" i="508"/>
  <c r="D152" i="200"/>
  <c r="D152" i="508"/>
  <c r="X35" i="823"/>
  <c r="H152" i="200"/>
  <c r="H152" i="508"/>
  <c r="E146" i="200"/>
  <c r="E146" i="508"/>
  <c r="V5" i="823"/>
  <c r="H126" i="508"/>
  <c r="H126" i="200"/>
  <c r="E158" i="200"/>
  <c r="E158" i="508"/>
  <c r="X38" i="823"/>
  <c r="D155" i="200"/>
  <c r="D155" i="508"/>
  <c r="W58" i="823"/>
  <c r="H31" i="200"/>
  <c r="H31" i="508"/>
  <c r="H30" i="508" s="1"/>
  <c r="K39" i="130"/>
  <c r="D62" i="200"/>
  <c r="D62" i="508"/>
  <c r="H48" i="200"/>
  <c r="H48" i="508"/>
  <c r="G47" i="200"/>
  <c r="G47" i="508"/>
  <c r="I53" i="200"/>
  <c r="I53" i="508"/>
  <c r="N154" i="823"/>
  <c r="U14" i="823"/>
  <c r="D145" i="200"/>
  <c r="D145" i="508"/>
  <c r="H165" i="200"/>
  <c r="H165" i="508"/>
  <c r="X43" i="823"/>
  <c r="H160" i="200"/>
  <c r="H160" i="508"/>
  <c r="R5" i="823"/>
  <c r="X6" i="823"/>
  <c r="D126" i="508"/>
  <c r="D391" i="508" s="1"/>
  <c r="D412" i="508" s="1"/>
  <c r="D126" i="200"/>
  <c r="D391" i="200" s="1"/>
  <c r="D412" i="200" s="1"/>
  <c r="X29" i="823"/>
  <c r="D146" i="200"/>
  <c r="D146" i="508"/>
  <c r="E137" i="200"/>
  <c r="E137" i="508"/>
  <c r="D154" i="200"/>
  <c r="J154" i="200" s="1"/>
  <c r="D154" i="508"/>
  <c r="J154" i="508" s="1"/>
  <c r="X40" i="823"/>
  <c r="H157" i="200"/>
  <c r="H157" i="508"/>
  <c r="I165" i="200"/>
  <c r="I165" i="508"/>
  <c r="F159" i="200"/>
  <c r="F159" i="508"/>
  <c r="F37" i="200"/>
  <c r="F37" i="508"/>
  <c r="I31" i="200"/>
  <c r="I31" i="508"/>
  <c r="I30" i="508" s="1"/>
  <c r="E158" i="502"/>
  <c r="D157" i="502"/>
  <c r="G41" i="639"/>
  <c r="G52" i="200"/>
  <c r="G52" i="508"/>
  <c r="H37" i="130"/>
  <c r="H59" i="200"/>
  <c r="H59" i="508"/>
  <c r="F44" i="639"/>
  <c r="F55" i="200"/>
  <c r="F55" i="508"/>
  <c r="I57" i="200"/>
  <c r="I57" i="508"/>
  <c r="G134" i="200"/>
  <c r="G134" i="508"/>
  <c r="G135" i="200"/>
  <c r="G135" i="508"/>
  <c r="E163" i="200"/>
  <c r="E163" i="508"/>
  <c r="F146" i="200"/>
  <c r="F146" i="508"/>
  <c r="Q5" i="823"/>
  <c r="X17" i="823"/>
  <c r="E149" i="200"/>
  <c r="E149" i="508"/>
  <c r="I137" i="200"/>
  <c r="I137" i="508"/>
  <c r="D44" i="130"/>
  <c r="F30" i="639"/>
  <c r="F41" i="200"/>
  <c r="F41" i="508"/>
  <c r="G59" i="502"/>
  <c r="G59" i="200"/>
  <c r="G59" i="508"/>
  <c r="F152" i="200"/>
  <c r="F152" i="508"/>
  <c r="X16" i="823"/>
  <c r="D135" i="200"/>
  <c r="D135" i="508"/>
  <c r="I152" i="200"/>
  <c r="I152" i="508"/>
  <c r="G146" i="200"/>
  <c r="G146" i="508"/>
  <c r="G155" i="200"/>
  <c r="G155" i="508"/>
  <c r="X45" i="823"/>
  <c r="H162" i="200"/>
  <c r="H162" i="508"/>
  <c r="F153" i="200"/>
  <c r="F153" i="508"/>
  <c r="I145" i="658"/>
  <c r="I145" i="654"/>
  <c r="E127" i="658"/>
  <c r="E125" i="658" s="1"/>
  <c r="E127" i="654"/>
  <c r="H165" i="657"/>
  <c r="H165" i="654"/>
  <c r="G157" i="657"/>
  <c r="G157" i="654"/>
  <c r="H163" i="657"/>
  <c r="H163" i="654"/>
  <c r="H153" i="657"/>
  <c r="H153" i="654"/>
  <c r="G165" i="658"/>
  <c r="G165" i="654"/>
  <c r="E148" i="658"/>
  <c r="E148" i="654"/>
  <c r="D163" i="657"/>
  <c r="D163" i="654"/>
  <c r="G159" i="658"/>
  <c r="G159" i="654"/>
  <c r="I159" i="657"/>
  <c r="I159" i="654"/>
  <c r="H154" i="658"/>
  <c r="H154" i="654"/>
  <c r="F148" i="658"/>
  <c r="F148" i="654"/>
  <c r="F153" i="657"/>
  <c r="F153" i="654"/>
  <c r="G153" i="658"/>
  <c r="G153" i="654"/>
  <c r="H157" i="658"/>
  <c r="H157" i="654"/>
  <c r="F157" i="657"/>
  <c r="F157" i="654"/>
  <c r="F134" i="658"/>
  <c r="F134" i="654"/>
  <c r="E165" i="657"/>
  <c r="E165" i="654"/>
  <c r="H159" i="658"/>
  <c r="H159" i="654"/>
  <c r="I163" i="657"/>
  <c r="I163" i="654"/>
  <c r="I155" i="658"/>
  <c r="I155" i="654"/>
  <c r="G152" i="658"/>
  <c r="G152" i="654"/>
  <c r="E146" i="658"/>
  <c r="E146" i="654"/>
  <c r="E154" i="658"/>
  <c r="E154" i="654"/>
  <c r="E157" i="657"/>
  <c r="E157" i="654"/>
  <c r="F159" i="658"/>
  <c r="F159" i="654"/>
  <c r="H150" i="658"/>
  <c r="H150" i="654"/>
  <c r="H146" i="658"/>
  <c r="H146" i="654"/>
  <c r="H127" i="658"/>
  <c r="H125" i="658" s="1"/>
  <c r="H127" i="654"/>
  <c r="H125" i="654" s="1"/>
  <c r="D159" i="658"/>
  <c r="D159" i="654"/>
  <c r="G150" i="657"/>
  <c r="G150" i="654"/>
  <c r="F146" i="658"/>
  <c r="F146" i="654"/>
  <c r="D158" i="657"/>
  <c r="D158" i="654"/>
  <c r="F155" i="658"/>
  <c r="F155" i="654"/>
  <c r="E158" i="657"/>
  <c r="E158" i="654"/>
  <c r="F152" i="658"/>
  <c r="F152" i="654"/>
  <c r="H158" i="658"/>
  <c r="H158" i="654"/>
  <c r="D155" i="658"/>
  <c r="D155" i="654"/>
  <c r="G164" i="658"/>
  <c r="G164" i="654"/>
  <c r="D162" i="657"/>
  <c r="D162" i="654"/>
  <c r="H160" i="658"/>
  <c r="H160" i="654"/>
  <c r="I146" i="657"/>
  <c r="I146" i="654"/>
  <c r="I150" i="658"/>
  <c r="I150" i="654"/>
  <c r="H148" i="658"/>
  <c r="H148" i="654"/>
  <c r="G162" i="658"/>
  <c r="G162" i="654"/>
  <c r="I164" i="658"/>
  <c r="I164" i="654"/>
  <c r="E159" i="658"/>
  <c r="E159" i="654"/>
  <c r="I157" i="658"/>
  <c r="I157" i="654"/>
  <c r="G146" i="657"/>
  <c r="G146" i="654"/>
  <c r="G158" i="658"/>
  <c r="G158" i="654"/>
  <c r="E162" i="658"/>
  <c r="E162" i="654"/>
  <c r="I148" i="658"/>
  <c r="I148" i="654"/>
  <c r="H155" i="658"/>
  <c r="H155" i="654"/>
  <c r="I165" i="658"/>
  <c r="I165" i="654"/>
  <c r="G137" i="657"/>
  <c r="G137" i="654"/>
  <c r="H152" i="657"/>
  <c r="H152" i="654"/>
  <c r="D127" i="658"/>
  <c r="D125" i="658" s="1"/>
  <c r="D127" i="654"/>
  <c r="D125" i="654" s="1"/>
  <c r="H162" i="658"/>
  <c r="H162" i="654"/>
  <c r="E164" i="658"/>
  <c r="E164" i="654"/>
  <c r="E163" i="658"/>
  <c r="E163" i="654"/>
  <c r="I160" i="658"/>
  <c r="I160" i="654"/>
  <c r="I127" i="658"/>
  <c r="I125" i="658" s="1"/>
  <c r="I127" i="654"/>
  <c r="D164" i="658"/>
  <c r="D164" i="654"/>
  <c r="E150" i="657"/>
  <c r="E150" i="654"/>
  <c r="D146" i="657"/>
  <c r="D146" i="654"/>
  <c r="D135" i="658"/>
  <c r="D135" i="654"/>
  <c r="D147" i="658"/>
  <c r="D165" i="657"/>
  <c r="D165" i="654"/>
  <c r="H164" i="658"/>
  <c r="H164" i="654"/>
  <c r="F150" i="658"/>
  <c r="F150" i="654"/>
  <c r="F158" i="658"/>
  <c r="F158" i="654"/>
  <c r="F127" i="658"/>
  <c r="F125" i="658" s="1"/>
  <c r="F127" i="654"/>
  <c r="F125" i="654" s="1"/>
  <c r="G154" i="658"/>
  <c r="G154" i="654"/>
  <c r="E155" i="658"/>
  <c r="E155" i="654"/>
  <c r="G155" i="657"/>
  <c r="G155" i="654"/>
  <c r="I46" i="639"/>
  <c r="E7" i="48"/>
  <c r="E9" i="48" s="1"/>
  <c r="K9" i="48" s="1"/>
  <c r="G219" i="608"/>
  <c r="I35" i="130"/>
  <c r="I57" i="502"/>
  <c r="G35" i="639"/>
  <c r="G31" i="130"/>
  <c r="E31" i="130"/>
  <c r="G46" i="502"/>
  <c r="G22" i="130"/>
  <c r="G155" i="658"/>
  <c r="I163" i="658"/>
  <c r="H61" i="657"/>
  <c r="E158" i="658"/>
  <c r="I38" i="472"/>
  <c r="D47" i="502"/>
  <c r="J68" i="654"/>
  <c r="D33" i="130"/>
  <c r="J60" i="202"/>
  <c r="I46" i="502"/>
  <c r="G153" i="502"/>
  <c r="E53" i="502"/>
  <c r="G47" i="502"/>
  <c r="E42" i="639"/>
  <c r="E148" i="657"/>
  <c r="I47" i="502"/>
  <c r="G66" i="654"/>
  <c r="I53" i="502"/>
  <c r="I153" i="502"/>
  <c r="F53" i="502"/>
  <c r="L153" i="129"/>
  <c r="D165" i="658"/>
  <c r="I42" i="639"/>
  <c r="I31" i="130"/>
  <c r="H31" i="130"/>
  <c r="S21" i="130"/>
  <c r="S20" i="130" s="1"/>
  <c r="I140" i="502"/>
  <c r="D56" i="654"/>
  <c r="H42" i="639"/>
  <c r="H53" i="502"/>
  <c r="H38" i="472"/>
  <c r="E165" i="658"/>
  <c r="D141" i="502"/>
  <c r="J141" i="502" s="1"/>
  <c r="G140" i="502"/>
  <c r="H36" i="639"/>
  <c r="E164" i="657"/>
  <c r="H23" i="130"/>
  <c r="D38" i="472"/>
  <c r="E163" i="657"/>
  <c r="F55" i="502"/>
  <c r="D23" i="130"/>
  <c r="G127" i="502"/>
  <c r="G390" i="502" s="1"/>
  <c r="G411" i="502" s="1"/>
  <c r="D53" i="502"/>
  <c r="E66" i="654"/>
  <c r="AH31" i="130"/>
  <c r="N21" i="130"/>
  <c r="W21" i="130"/>
  <c r="W20" i="130" s="1"/>
  <c r="R22" i="130"/>
  <c r="D37" i="473" s="1"/>
  <c r="D36" i="639"/>
  <c r="D31" i="130"/>
  <c r="D165" i="502"/>
  <c r="H148" i="657"/>
  <c r="X36" i="129"/>
  <c r="X47" i="129"/>
  <c r="M27" i="130"/>
  <c r="F28" i="130"/>
  <c r="F155" i="502"/>
  <c r="G164" i="502"/>
  <c r="G162" i="657"/>
  <c r="F39" i="639"/>
  <c r="G42" i="639"/>
  <c r="E30" i="130"/>
  <c r="Q31" i="130"/>
  <c r="G37" i="472"/>
  <c r="F33" i="130"/>
  <c r="I36" i="639"/>
  <c r="I37" i="472"/>
  <c r="G53" i="502"/>
  <c r="I22" i="130"/>
  <c r="E41" i="639"/>
  <c r="F42" i="639"/>
  <c r="F160" i="502"/>
  <c r="F50" i="502"/>
  <c r="I35" i="639"/>
  <c r="F153" i="658"/>
  <c r="P153" i="129"/>
  <c r="H146" i="657"/>
  <c r="G39" i="472"/>
  <c r="G37" i="639"/>
  <c r="D152" i="502"/>
  <c r="J152" i="502" s="1"/>
  <c r="X35" i="129"/>
  <c r="G24" i="130"/>
  <c r="G23" i="130"/>
  <c r="G36" i="639"/>
  <c r="G48" i="502"/>
  <c r="D164" i="502"/>
  <c r="H17" i="130"/>
  <c r="J69" i="502"/>
  <c r="J70" i="654"/>
  <c r="E22" i="130"/>
  <c r="I30" i="639"/>
  <c r="I27" i="639" s="1"/>
  <c r="I156" i="639" s="1"/>
  <c r="U5" i="129"/>
  <c r="I165" i="657"/>
  <c r="J60" i="657"/>
  <c r="E46" i="502"/>
  <c r="H48" i="639"/>
  <c r="I17" i="130"/>
  <c r="O153" i="129"/>
  <c r="G39" i="639"/>
  <c r="G56" i="657"/>
  <c r="X33" i="129"/>
  <c r="G157" i="658"/>
  <c r="P14" i="130"/>
  <c r="D147" i="502"/>
  <c r="J147" i="502" s="1"/>
  <c r="H59" i="502"/>
  <c r="J60" i="502"/>
  <c r="H47" i="502"/>
  <c r="E35" i="639"/>
  <c r="G164" i="657"/>
  <c r="E37" i="472"/>
  <c r="I41" i="502"/>
  <c r="I38" i="502" s="1"/>
  <c r="G153" i="657"/>
  <c r="F148" i="657"/>
  <c r="E140" i="502"/>
  <c r="D163" i="658"/>
  <c r="U21" i="130"/>
  <c r="U20" i="130" s="1"/>
  <c r="O34" i="130"/>
  <c r="H30" i="639"/>
  <c r="G38" i="472"/>
  <c r="G28" i="130"/>
  <c r="D44" i="639"/>
  <c r="E66" i="657"/>
  <c r="D56" i="657"/>
  <c r="E57" i="502"/>
  <c r="I48" i="639"/>
  <c r="I37" i="130"/>
  <c r="G52" i="502"/>
  <c r="H52" i="502"/>
  <c r="I66" i="654"/>
  <c r="G66" i="657"/>
  <c r="E39" i="472"/>
  <c r="E33" i="130"/>
  <c r="G46" i="639"/>
  <c r="I66" i="657"/>
  <c r="H35" i="130"/>
  <c r="H46" i="639"/>
  <c r="H57" i="502"/>
  <c r="L34" i="130"/>
  <c r="E28" i="130"/>
  <c r="D40" i="130"/>
  <c r="E39" i="639"/>
  <c r="D51" i="639"/>
  <c r="D50" i="639" s="1"/>
  <c r="E37" i="130"/>
  <c r="E48" i="639"/>
  <c r="G41" i="502"/>
  <c r="X17" i="129"/>
  <c r="AH35" i="130"/>
  <c r="F46" i="639"/>
  <c r="F35" i="130"/>
  <c r="F140" i="502"/>
  <c r="Q35" i="130"/>
  <c r="E136" i="502"/>
  <c r="J136" i="502" s="1"/>
  <c r="F47" i="502"/>
  <c r="L27" i="130"/>
  <c r="F157" i="658"/>
  <c r="G57" i="502"/>
  <c r="P152" i="129"/>
  <c r="I51" i="639"/>
  <c r="I50" i="639" s="1"/>
  <c r="F23" i="130"/>
  <c r="D127" i="657"/>
  <c r="D390" i="657" s="1"/>
  <c r="G154" i="657"/>
  <c r="E153" i="502"/>
  <c r="E35" i="130"/>
  <c r="G30" i="639"/>
  <c r="I40" i="130"/>
  <c r="V24" i="130"/>
  <c r="H39" i="473" s="1"/>
  <c r="G35" i="130"/>
  <c r="F36" i="639"/>
  <c r="N153" i="129"/>
  <c r="H55" i="502"/>
  <c r="E155" i="657"/>
  <c r="H127" i="502"/>
  <c r="H125" i="502" s="1"/>
  <c r="F57" i="502"/>
  <c r="J62" i="658"/>
  <c r="E55" i="502"/>
  <c r="H155" i="657"/>
  <c r="I127" i="502"/>
  <c r="I390" i="502" s="1"/>
  <c r="I411" i="502" s="1"/>
  <c r="F22" i="130"/>
  <c r="D162" i="658"/>
  <c r="H143" i="502"/>
  <c r="J143" i="502" s="1"/>
  <c r="F28" i="639"/>
  <c r="F35" i="639"/>
  <c r="F163" i="658"/>
  <c r="F155" i="657"/>
  <c r="G50" i="502"/>
  <c r="E24" i="130"/>
  <c r="E44" i="639"/>
  <c r="F17" i="130"/>
  <c r="D158" i="658"/>
  <c r="I150" i="502"/>
  <c r="J150" i="502" s="1"/>
  <c r="E59" i="502"/>
  <c r="E48" i="502"/>
  <c r="G148" i="657"/>
  <c r="F46" i="502"/>
  <c r="J69" i="200"/>
  <c r="J60" i="654"/>
  <c r="D66" i="654"/>
  <c r="E37" i="639"/>
  <c r="F37" i="472"/>
  <c r="F163" i="657"/>
  <c r="I66" i="658"/>
  <c r="G56" i="654"/>
  <c r="F165" i="657"/>
  <c r="J68" i="657"/>
  <c r="G150" i="658"/>
  <c r="H61" i="654"/>
  <c r="E157" i="658"/>
  <c r="F165" i="658"/>
  <c r="H56" i="654"/>
  <c r="I146" i="658"/>
  <c r="D155" i="657"/>
  <c r="J58" i="657"/>
  <c r="G148" i="658"/>
  <c r="E146" i="657"/>
  <c r="G66" i="658"/>
  <c r="D61" i="654"/>
  <c r="H163" i="658"/>
  <c r="X37" i="129"/>
  <c r="D17" i="130"/>
  <c r="X43" i="129"/>
  <c r="F51" i="639"/>
  <c r="F50" i="639" s="1"/>
  <c r="I59" i="502"/>
  <c r="Q22" i="130"/>
  <c r="H41" i="639"/>
  <c r="P34" i="130"/>
  <c r="G165" i="657"/>
  <c r="G159" i="657"/>
  <c r="X48" i="129"/>
  <c r="H46" i="502"/>
  <c r="F37" i="130"/>
  <c r="AH22" i="130"/>
  <c r="F48" i="639"/>
  <c r="H35" i="639"/>
  <c r="M34" i="130"/>
  <c r="H157" i="657"/>
  <c r="X36" i="120"/>
  <c r="N27" i="130"/>
  <c r="E36" i="639"/>
  <c r="X30" i="129"/>
  <c r="H153" i="658"/>
  <c r="H37" i="472"/>
  <c r="F30" i="130"/>
  <c r="M39" i="130"/>
  <c r="E155" i="502"/>
  <c r="D154" i="502"/>
  <c r="J154" i="502" s="1"/>
  <c r="J53" i="654"/>
  <c r="J69" i="202"/>
  <c r="F164" i="657"/>
  <c r="F59" i="502"/>
  <c r="H165" i="658"/>
  <c r="J60" i="200"/>
  <c r="K21" i="130"/>
  <c r="F41" i="639"/>
  <c r="I155" i="502"/>
  <c r="M153" i="129"/>
  <c r="D146" i="658"/>
  <c r="G33" i="130"/>
  <c r="D34" i="130"/>
  <c r="G55" i="502"/>
  <c r="AH23" i="130"/>
  <c r="G44" i="639"/>
  <c r="I30" i="130"/>
  <c r="D153" i="658"/>
  <c r="D153" i="657"/>
  <c r="F41" i="502"/>
  <c r="I39" i="472"/>
  <c r="J53" i="657"/>
  <c r="D66" i="657"/>
  <c r="D48" i="472"/>
  <c r="Q44" i="120"/>
  <c r="X31" i="120"/>
  <c r="Q30" i="130"/>
  <c r="J69" i="654"/>
  <c r="J60" i="508"/>
  <c r="Q23" i="130"/>
  <c r="H28" i="130"/>
  <c r="E47" i="502"/>
  <c r="I157" i="657"/>
  <c r="F159" i="502"/>
  <c r="I145" i="657"/>
  <c r="E51" i="639"/>
  <c r="E50" i="639" s="1"/>
  <c r="X40" i="120"/>
  <c r="E23" i="130"/>
  <c r="I41" i="639"/>
  <c r="H39" i="639"/>
  <c r="H154" i="657"/>
  <c r="H50" i="502"/>
  <c r="D58" i="472"/>
  <c r="D57" i="472" s="1"/>
  <c r="E38" i="472"/>
  <c r="L21" i="130"/>
  <c r="E50" i="502"/>
  <c r="I148" i="657"/>
  <c r="H41" i="502"/>
  <c r="F164" i="658"/>
  <c r="I61" i="654"/>
  <c r="AH37" i="130"/>
  <c r="Q21" i="129"/>
  <c r="Q153" i="129" s="1"/>
  <c r="X42" i="129"/>
  <c r="E150" i="658"/>
  <c r="E154" i="657"/>
  <c r="Q33" i="130"/>
  <c r="G37" i="130"/>
  <c r="N34" i="130"/>
  <c r="I50" i="502"/>
  <c r="H48" i="502"/>
  <c r="F52" i="502"/>
  <c r="D48" i="502"/>
  <c r="J63" i="657"/>
  <c r="F127" i="657"/>
  <c r="F125" i="657" s="1"/>
  <c r="H160" i="502"/>
  <c r="H159" i="657"/>
  <c r="D37" i="639"/>
  <c r="X38" i="120"/>
  <c r="AH28" i="130"/>
  <c r="F137" i="502"/>
  <c r="F133" i="502" s="1"/>
  <c r="G158" i="657"/>
  <c r="D39" i="472"/>
  <c r="X38" i="129"/>
  <c r="G48" i="639"/>
  <c r="I28" i="130"/>
  <c r="G30" i="130"/>
  <c r="O21" i="130"/>
  <c r="I48" i="502"/>
  <c r="AH30" i="130"/>
  <c r="H24" i="130"/>
  <c r="P21" i="130"/>
  <c r="K14" i="130"/>
  <c r="I159" i="658"/>
  <c r="I155" i="657"/>
  <c r="D24" i="130"/>
  <c r="I61" i="657"/>
  <c r="I39" i="639"/>
  <c r="Q24" i="130"/>
  <c r="H37" i="639"/>
  <c r="AH17" i="130"/>
  <c r="I37" i="639"/>
  <c r="O27" i="130"/>
  <c r="Q34" i="129"/>
  <c r="G146" i="658"/>
  <c r="J62" i="654"/>
  <c r="J58" i="658"/>
  <c r="J69" i="508"/>
  <c r="J70" i="202"/>
  <c r="I24" i="130"/>
  <c r="H44" i="639"/>
  <c r="P27" i="130"/>
  <c r="AH33" i="130"/>
  <c r="H33" i="130"/>
  <c r="D159" i="502"/>
  <c r="X48" i="120"/>
  <c r="I164" i="502"/>
  <c r="D30" i="639"/>
  <c r="D155" i="502"/>
  <c r="K153" i="129"/>
  <c r="Q37" i="130"/>
  <c r="D41" i="502"/>
  <c r="D38" i="502" s="1"/>
  <c r="H56" i="657"/>
  <c r="F24" i="130"/>
  <c r="P26" i="129"/>
  <c r="F37" i="639"/>
  <c r="H137" i="502"/>
  <c r="F48" i="502"/>
  <c r="Q17" i="130"/>
  <c r="M21" i="130"/>
  <c r="F39" i="472"/>
  <c r="D45" i="639"/>
  <c r="AH24" i="130"/>
  <c r="D39" i="639"/>
  <c r="D50" i="502"/>
  <c r="F40" i="130"/>
  <c r="K27" i="130"/>
  <c r="J42" i="502"/>
  <c r="E11" i="130"/>
  <c r="F62" i="502"/>
  <c r="F61" i="502" s="1"/>
  <c r="Q28" i="130"/>
  <c r="AH40" i="130"/>
  <c r="J63" i="654"/>
  <c r="J53" i="658"/>
  <c r="H40" i="130"/>
  <c r="J70" i="657"/>
  <c r="I61" i="658"/>
  <c r="P10" i="130"/>
  <c r="I25" i="639"/>
  <c r="I24" i="639" s="1"/>
  <c r="I157" i="639" s="1"/>
  <c r="N39" i="130"/>
  <c r="O39" i="130"/>
  <c r="J58" i="654"/>
  <c r="Q40" i="130"/>
  <c r="I11" i="130"/>
  <c r="I10" i="130" s="1"/>
  <c r="I213" i="130" s="1"/>
  <c r="G51" i="639"/>
  <c r="G50" i="639" s="1"/>
  <c r="J67" i="657"/>
  <c r="J64" i="508"/>
  <c r="J59" i="657"/>
  <c r="I56" i="657"/>
  <c r="J65" i="508"/>
  <c r="J68" i="658"/>
  <c r="E66" i="658"/>
  <c r="J64" i="202"/>
  <c r="D56" i="202"/>
  <c r="J58" i="202"/>
  <c r="J63" i="202"/>
  <c r="J51" i="657"/>
  <c r="H66" i="658"/>
  <c r="I56" i="654"/>
  <c r="J64" i="658"/>
  <c r="J65" i="202"/>
  <c r="F56" i="657"/>
  <c r="G49" i="654"/>
  <c r="J148" i="502"/>
  <c r="F56" i="658"/>
  <c r="L19" i="631"/>
  <c r="X46" i="120"/>
  <c r="J63" i="658"/>
  <c r="F6" i="130"/>
  <c r="D61" i="658"/>
  <c r="X41" i="120"/>
  <c r="J32" i="508"/>
  <c r="J65" i="502"/>
  <c r="X29" i="120"/>
  <c r="J59" i="654"/>
  <c r="F56" i="639"/>
  <c r="F55" i="639" s="1"/>
  <c r="X7" i="120"/>
  <c r="F56" i="654"/>
  <c r="X42" i="120"/>
  <c r="X37" i="120"/>
  <c r="G31" i="502"/>
  <c r="G30" i="502" s="1"/>
  <c r="E61" i="657"/>
  <c r="J64" i="502"/>
  <c r="F66" i="657"/>
  <c r="E61" i="654"/>
  <c r="X33" i="120"/>
  <c r="M14" i="130"/>
  <c r="J64" i="200"/>
  <c r="D28" i="130"/>
  <c r="H56" i="639"/>
  <c r="H55" i="639" s="1"/>
  <c r="F14" i="477"/>
  <c r="F25" i="477" s="1"/>
  <c r="F12" i="130"/>
  <c r="F66" i="658"/>
  <c r="J60" i="658"/>
  <c r="J67" i="658"/>
  <c r="H66" i="654"/>
  <c r="J59" i="658"/>
  <c r="J70" i="658"/>
  <c r="J51" i="658"/>
  <c r="J51" i="654"/>
  <c r="J55" i="658"/>
  <c r="G56" i="658"/>
  <c r="E56" i="658"/>
  <c r="H61" i="658"/>
  <c r="G61" i="654"/>
  <c r="G61" i="657"/>
  <c r="F61" i="657"/>
  <c r="J62" i="657"/>
  <c r="D61" i="657"/>
  <c r="D66" i="658"/>
  <c r="J69" i="658"/>
  <c r="J64" i="654"/>
  <c r="J70" i="502"/>
  <c r="J55" i="654"/>
  <c r="J70" i="508"/>
  <c r="E61" i="658"/>
  <c r="F66" i="654"/>
  <c r="J67" i="654"/>
  <c r="J70" i="200"/>
  <c r="H66" i="657"/>
  <c r="J69" i="657"/>
  <c r="D56" i="200"/>
  <c r="J58" i="200"/>
  <c r="J65" i="200"/>
  <c r="J55" i="657"/>
  <c r="J64" i="657"/>
  <c r="J42" i="200"/>
  <c r="D56" i="502"/>
  <c r="J58" i="502"/>
  <c r="D56" i="508"/>
  <c r="J58" i="508"/>
  <c r="G62" i="502"/>
  <c r="G61" i="502" s="1"/>
  <c r="I62" i="502"/>
  <c r="I61" i="502" s="1"/>
  <c r="D145" i="502"/>
  <c r="D137" i="502"/>
  <c r="I56" i="658"/>
  <c r="H56" i="658"/>
  <c r="J50" i="654"/>
  <c r="Q115" i="120"/>
  <c r="J39" i="657"/>
  <c r="J39" i="654"/>
  <c r="G61" i="658"/>
  <c r="F61" i="654"/>
  <c r="G49" i="657"/>
  <c r="E162" i="657"/>
  <c r="F158" i="657"/>
  <c r="H158" i="657"/>
  <c r="F146" i="657"/>
  <c r="F150" i="657"/>
  <c r="I150" i="657"/>
  <c r="H150" i="657"/>
  <c r="H164" i="657"/>
  <c r="D164" i="657"/>
  <c r="X47" i="120"/>
  <c r="H162" i="657"/>
  <c r="X45" i="120"/>
  <c r="I164" i="657"/>
  <c r="E159" i="657"/>
  <c r="F159" i="657"/>
  <c r="R139" i="120"/>
  <c r="K135" i="120"/>
  <c r="R135" i="120" s="1"/>
  <c r="Q139" i="120"/>
  <c r="W139" i="120"/>
  <c r="P135" i="120"/>
  <c r="W135" i="120" s="1"/>
  <c r="L135" i="120"/>
  <c r="S135" i="120" s="1"/>
  <c r="S139" i="120"/>
  <c r="T139" i="120"/>
  <c r="M135" i="120"/>
  <c r="V139" i="120"/>
  <c r="O135" i="120"/>
  <c r="V135" i="120" s="1"/>
  <c r="I127" i="657"/>
  <c r="J32" i="657"/>
  <c r="D30" i="657"/>
  <c r="J30" i="657" s="1"/>
  <c r="G127" i="658"/>
  <c r="G127" i="657"/>
  <c r="G125" i="657" s="1"/>
  <c r="E160" i="658"/>
  <c r="E160" i="657"/>
  <c r="I160" i="657"/>
  <c r="F152" i="657"/>
  <c r="E152" i="658"/>
  <c r="E152" i="657"/>
  <c r="D152" i="658"/>
  <c r="D152" i="657"/>
  <c r="E145" i="658"/>
  <c r="E145" i="657"/>
  <c r="D135" i="657"/>
  <c r="F134" i="657"/>
  <c r="X116" i="120"/>
  <c r="J32" i="658"/>
  <c r="D30" i="658"/>
  <c r="J30" i="658" s="1"/>
  <c r="E56" i="657"/>
  <c r="J57" i="657"/>
  <c r="J42" i="202"/>
  <c r="G49" i="658"/>
  <c r="J39" i="658"/>
  <c r="J32" i="202"/>
  <c r="J32" i="502"/>
  <c r="D159" i="657"/>
  <c r="H127" i="657"/>
  <c r="H125" i="657" s="1"/>
  <c r="E134" i="658"/>
  <c r="E134" i="657"/>
  <c r="H134" i="658"/>
  <c r="H134" i="657"/>
  <c r="T11" i="130"/>
  <c r="T10" i="130" s="1"/>
  <c r="T9" i="130" s="1"/>
  <c r="F131" i="502"/>
  <c r="F130" i="502" s="1"/>
  <c r="H131" i="502"/>
  <c r="H130" i="502" s="1"/>
  <c r="V11" i="130"/>
  <c r="H27" i="473" s="1"/>
  <c r="S11" i="130"/>
  <c r="E27" i="472" s="1"/>
  <c r="E131" i="502"/>
  <c r="E130" i="502" s="1"/>
  <c r="H145" i="658"/>
  <c r="H145" i="657"/>
  <c r="D134" i="657"/>
  <c r="D127" i="502"/>
  <c r="G137" i="658"/>
  <c r="G147" i="657"/>
  <c r="J147" i="654"/>
  <c r="J42" i="508"/>
  <c r="J63" i="508"/>
  <c r="U39" i="120"/>
  <c r="N26" i="120"/>
  <c r="E28" i="472"/>
  <c r="E12" i="130"/>
  <c r="E26" i="639"/>
  <c r="S117" i="120"/>
  <c r="L114" i="120"/>
  <c r="S114" i="120" s="1"/>
  <c r="D30" i="472"/>
  <c r="X143" i="120"/>
  <c r="X40" i="129"/>
  <c r="X18" i="129"/>
  <c r="J65" i="657"/>
  <c r="J50" i="658"/>
  <c r="J50" i="657"/>
  <c r="J63" i="200"/>
  <c r="L9" i="129"/>
  <c r="D66" i="200"/>
  <c r="D66" i="508"/>
  <c r="D66" i="502"/>
  <c r="I49" i="658"/>
  <c r="G157" i="502"/>
  <c r="D62" i="502"/>
  <c r="L39" i="130"/>
  <c r="E62" i="502"/>
  <c r="E61" i="502" s="1"/>
  <c r="H62" i="502"/>
  <c r="H61" i="502" s="1"/>
  <c r="E137" i="502"/>
  <c r="E127" i="657"/>
  <c r="J32" i="654"/>
  <c r="D30" i="654"/>
  <c r="J30" i="654" s="1"/>
  <c r="I135" i="658"/>
  <c r="I135" i="657"/>
  <c r="I36" i="502"/>
  <c r="I35" i="502" s="1"/>
  <c r="H36" i="502"/>
  <c r="X35" i="120"/>
  <c r="H152" i="658"/>
  <c r="G145" i="658"/>
  <c r="G145" i="657"/>
  <c r="D145" i="657"/>
  <c r="H158" i="502"/>
  <c r="F158" i="502"/>
  <c r="D158" i="502"/>
  <c r="F61" i="658"/>
  <c r="J65" i="658"/>
  <c r="L10" i="130"/>
  <c r="E37" i="502"/>
  <c r="L152" i="129"/>
  <c r="E157" i="502"/>
  <c r="F157" i="502"/>
  <c r="H157" i="502"/>
  <c r="I157" i="502"/>
  <c r="I131" i="502"/>
  <c r="W11" i="130"/>
  <c r="I27" i="473" s="1"/>
  <c r="J32" i="200"/>
  <c r="X18" i="120"/>
  <c r="I49" i="657"/>
  <c r="I49" i="654"/>
  <c r="K114" i="120"/>
  <c r="U10" i="130"/>
  <c r="U9" i="130" s="1"/>
  <c r="N135" i="120"/>
  <c r="U139" i="120"/>
  <c r="R128" i="120"/>
  <c r="K122" i="120"/>
  <c r="R122" i="120" s="1"/>
  <c r="R5" i="120"/>
  <c r="X5" i="120" s="1"/>
  <c r="Q5" i="120"/>
  <c r="D160" i="658"/>
  <c r="X43" i="120"/>
  <c r="D160" i="657"/>
  <c r="G152" i="657"/>
  <c r="D56" i="658"/>
  <c r="J57" i="658"/>
  <c r="F11" i="130"/>
  <c r="F36" i="502"/>
  <c r="H11" i="130"/>
  <c r="H25" i="639"/>
  <c r="E36" i="502"/>
  <c r="W14" i="120"/>
  <c r="P9" i="120"/>
  <c r="W9" i="120" s="1"/>
  <c r="W27" i="120"/>
  <c r="X27" i="120" s="1"/>
  <c r="P26" i="120"/>
  <c r="I152" i="658"/>
  <c r="I152" i="657"/>
  <c r="E56" i="654"/>
  <c r="J57" i="654"/>
  <c r="S34" i="120"/>
  <c r="X34" i="120" s="1"/>
  <c r="Q34" i="120"/>
  <c r="F145" i="657"/>
  <c r="F145" i="658"/>
  <c r="D145" i="658"/>
  <c r="X28" i="120"/>
  <c r="I134" i="657"/>
  <c r="I134" i="658"/>
  <c r="D134" i="658"/>
  <c r="X15" i="120"/>
  <c r="G158" i="502"/>
  <c r="H160" i="657"/>
  <c r="F146" i="502"/>
  <c r="G160" i="658"/>
  <c r="G160" i="657"/>
  <c r="E135" i="502"/>
  <c r="I137" i="658"/>
  <c r="I137" i="657"/>
  <c r="Q39" i="129"/>
  <c r="G134" i="658"/>
  <c r="G134" i="657"/>
  <c r="X7" i="129"/>
  <c r="E127" i="502"/>
  <c r="U14" i="120"/>
  <c r="N9" i="120"/>
  <c r="U9" i="120" s="1"/>
  <c r="G15" i="130"/>
  <c r="J63" i="502"/>
  <c r="N9" i="129"/>
  <c r="H49" i="654"/>
  <c r="D49" i="657"/>
  <c r="I38" i="658"/>
  <c r="I34" i="658" s="1"/>
  <c r="G147" i="658"/>
  <c r="X30" i="120"/>
  <c r="D162" i="502"/>
  <c r="J162" i="502" s="1"/>
  <c r="G27" i="472"/>
  <c r="G11" i="130"/>
  <c r="AH11" i="130"/>
  <c r="P5" i="130"/>
  <c r="I6" i="130"/>
  <c r="I20" i="639"/>
  <c r="T39" i="120"/>
  <c r="Q39" i="120"/>
  <c r="M154" i="129"/>
  <c r="V128" i="120"/>
  <c r="O122" i="120"/>
  <c r="V122" i="120" s="1"/>
  <c r="L14" i="130"/>
  <c r="E15" i="130"/>
  <c r="E28" i="639"/>
  <c r="E27" i="639" s="1"/>
  <c r="E156" i="639" s="1"/>
  <c r="N26" i="129"/>
  <c r="H28" i="472"/>
  <c r="H37" i="502"/>
  <c r="H12" i="130"/>
  <c r="O10" i="130"/>
  <c r="H26" i="639"/>
  <c r="P9" i="129"/>
  <c r="G25" i="639"/>
  <c r="Q11" i="130"/>
  <c r="G36" i="502"/>
  <c r="G130" i="502"/>
  <c r="J65" i="654"/>
  <c r="X41" i="129"/>
  <c r="G6" i="130"/>
  <c r="D26" i="639"/>
  <c r="D24" i="639" s="1"/>
  <c r="I31" i="502"/>
  <c r="I30" i="502" s="1"/>
  <c r="N154" i="129"/>
  <c r="L26" i="129"/>
  <c r="G135" i="502"/>
  <c r="F49" i="658"/>
  <c r="K152" i="129"/>
  <c r="N152" i="129"/>
  <c r="M26" i="120"/>
  <c r="T26" i="120" s="1"/>
  <c r="M5" i="130"/>
  <c r="O5" i="130"/>
  <c r="T128" i="120"/>
  <c r="H31" i="502"/>
  <c r="H20" i="639"/>
  <c r="H159" i="639" s="1"/>
  <c r="H6" i="130"/>
  <c r="H215" i="130" s="1"/>
  <c r="F31" i="502"/>
  <c r="F20" i="639"/>
  <c r="F159" i="639" s="1"/>
  <c r="D49" i="654"/>
  <c r="I163" i="502"/>
  <c r="N44" i="130"/>
  <c r="G56" i="639"/>
  <c r="G55" i="639" s="1"/>
  <c r="G45" i="130"/>
  <c r="D28" i="472"/>
  <c r="D26" i="472" s="1"/>
  <c r="Q6" i="130"/>
  <c r="N5" i="130"/>
  <c r="G20" i="639"/>
  <c r="G159" i="639" s="1"/>
  <c r="D37" i="502"/>
  <c r="D35" i="502" s="1"/>
  <c r="F125" i="502"/>
  <c r="G26" i="639"/>
  <c r="N10" i="130"/>
  <c r="O152" i="129"/>
  <c r="E38" i="658"/>
  <c r="E34" i="658" s="1"/>
  <c r="E38" i="654"/>
  <c r="E34" i="654" s="1"/>
  <c r="H49" i="657"/>
  <c r="G12" i="130"/>
  <c r="F161" i="654"/>
  <c r="D49" i="658"/>
  <c r="G37" i="502"/>
  <c r="W128" i="120"/>
  <c r="O26" i="120"/>
  <c r="V26" i="120" s="1"/>
  <c r="D38" i="658"/>
  <c r="D34" i="658" s="1"/>
  <c r="K9" i="120"/>
  <c r="R9" i="120" s="1"/>
  <c r="O114" i="120"/>
  <c r="V114" i="120" s="1"/>
  <c r="AH6" i="130"/>
  <c r="I22" i="472"/>
  <c r="I160" i="472" s="1"/>
  <c r="M44" i="130"/>
  <c r="J126" i="502"/>
  <c r="E6" i="130"/>
  <c r="L122" i="120"/>
  <c r="S122" i="120" s="1"/>
  <c r="K154" i="129"/>
  <c r="J199" i="200"/>
  <c r="I195" i="502"/>
  <c r="K9" i="129"/>
  <c r="E20" i="639"/>
  <c r="E19" i="639" s="1"/>
  <c r="I174" i="202"/>
  <c r="I382" i="202" s="1"/>
  <c r="I403" i="202" s="1"/>
  <c r="L154" i="129"/>
  <c r="L44" i="130"/>
  <c r="J142" i="502"/>
  <c r="F38" i="654"/>
  <c r="F34" i="654" s="1"/>
  <c r="J191" i="502"/>
  <c r="J213" i="202"/>
  <c r="M26" i="129"/>
  <c r="E61" i="163"/>
  <c r="E152" i="163" s="1"/>
  <c r="X29" i="129"/>
  <c r="J192" i="502"/>
  <c r="J177" i="202"/>
  <c r="Q27" i="129"/>
  <c r="E45" i="130"/>
  <c r="E56" i="639"/>
  <c r="E55" i="639" s="1"/>
  <c r="O9" i="129"/>
  <c r="I187" i="508"/>
  <c r="I384" i="508" s="1"/>
  <c r="I405" i="508" s="1"/>
  <c r="G195" i="202"/>
  <c r="I38" i="654"/>
  <c r="I34" i="654" s="1"/>
  <c r="M152" i="129"/>
  <c r="J42" i="658"/>
  <c r="J188" i="502"/>
  <c r="D134" i="502"/>
  <c r="J134" i="502" s="1"/>
  <c r="X15" i="129"/>
  <c r="F174" i="657"/>
  <c r="F382" i="657" s="1"/>
  <c r="I187" i="202"/>
  <c r="I384" i="202" s="1"/>
  <c r="I405" i="202" s="1"/>
  <c r="I174" i="508"/>
  <c r="I382" i="508" s="1"/>
  <c r="I403" i="508" s="1"/>
  <c r="J79" i="654"/>
  <c r="J205" i="202"/>
  <c r="J79" i="200"/>
  <c r="J52" i="658"/>
  <c r="Q10" i="129"/>
  <c r="Q152" i="129" s="1"/>
  <c r="J176" i="508"/>
  <c r="J113" i="508"/>
  <c r="J72" i="502"/>
  <c r="J185" i="502"/>
  <c r="J106" i="508"/>
  <c r="J185" i="508"/>
  <c r="H49" i="658"/>
  <c r="I195" i="508"/>
  <c r="J214" i="508"/>
  <c r="F22" i="472"/>
  <c r="F160" i="472" s="1"/>
  <c r="J206" i="200"/>
  <c r="J205" i="200"/>
  <c r="G28" i="639"/>
  <c r="J214" i="202"/>
  <c r="J213" i="502"/>
  <c r="J214" i="200"/>
  <c r="D12" i="130"/>
  <c r="D10" i="130" s="1"/>
  <c r="D213" i="130" s="1"/>
  <c r="R117" i="120"/>
  <c r="H187" i="508"/>
  <c r="H384" i="508" s="1"/>
  <c r="H405" i="508" s="1"/>
  <c r="E180" i="508"/>
  <c r="E383" i="508" s="1"/>
  <c r="E404" i="508" s="1"/>
  <c r="J100" i="502"/>
  <c r="J191" i="508"/>
  <c r="J79" i="508"/>
  <c r="J204" i="657"/>
  <c r="G195" i="502"/>
  <c r="AH12" i="130"/>
  <c r="G195" i="508"/>
  <c r="G180" i="658"/>
  <c r="G383" i="658" s="1"/>
  <c r="G404" i="658" s="1"/>
  <c r="J176" i="502"/>
  <c r="G39" i="502"/>
  <c r="E22" i="472"/>
  <c r="E21" i="472" s="1"/>
  <c r="AH15" i="130"/>
  <c r="E49" i="654"/>
  <c r="J177" i="200"/>
  <c r="K26" i="129"/>
  <c r="J192" i="200"/>
  <c r="D187" i="502"/>
  <c r="D384" i="502" s="1"/>
  <c r="D405" i="502" s="1"/>
  <c r="J176" i="200"/>
  <c r="D38" i="657"/>
  <c r="D34" i="657" s="1"/>
  <c r="E208" i="657"/>
  <c r="D208" i="202"/>
  <c r="U128" i="120"/>
  <c r="G28" i="472"/>
  <c r="N14" i="130"/>
  <c r="K26" i="120"/>
  <c r="R26" i="120" s="1"/>
  <c r="K10" i="130"/>
  <c r="J79" i="202"/>
  <c r="J206" i="508"/>
  <c r="F174" i="658"/>
  <c r="F382" i="658" s="1"/>
  <c r="D187" i="200"/>
  <c r="D384" i="200" s="1"/>
  <c r="D405" i="200" s="1"/>
  <c r="J214" i="502"/>
  <c r="J199" i="502"/>
  <c r="F195" i="654"/>
  <c r="I174" i="200"/>
  <c r="I382" i="200" s="1"/>
  <c r="I403" i="200" s="1"/>
  <c r="D187" i="202"/>
  <c r="D384" i="202" s="1"/>
  <c r="D405" i="202" s="1"/>
  <c r="J199" i="508"/>
  <c r="F49" i="657"/>
  <c r="J170" i="202"/>
  <c r="J207" i="654"/>
  <c r="O44" i="130"/>
  <c r="H201" i="654"/>
  <c r="J213" i="200"/>
  <c r="J199" i="654"/>
  <c r="F195" i="657"/>
  <c r="J178" i="202"/>
  <c r="J176" i="202"/>
  <c r="J40" i="654"/>
  <c r="J209" i="502"/>
  <c r="J206" i="502"/>
  <c r="H201" i="508"/>
  <c r="J179" i="200"/>
  <c r="H208" i="508"/>
  <c r="E201" i="508"/>
  <c r="I208" i="654"/>
  <c r="E174" i="502"/>
  <c r="J203" i="502"/>
  <c r="I201" i="502"/>
  <c r="J85" i="502"/>
  <c r="H38" i="657"/>
  <c r="H34" i="657" s="1"/>
  <c r="G195" i="657"/>
  <c r="J200" i="508"/>
  <c r="J179" i="508"/>
  <c r="J213" i="508"/>
  <c r="E208" i="508"/>
  <c r="J179" i="202"/>
  <c r="I208" i="502"/>
  <c r="J197" i="508"/>
  <c r="J100" i="508"/>
  <c r="Q45" i="130"/>
  <c r="F208" i="502"/>
  <c r="E174" i="508"/>
  <c r="E382" i="508" s="1"/>
  <c r="E403" i="508" s="1"/>
  <c r="Q12" i="130"/>
  <c r="F208" i="508"/>
  <c r="J185" i="200"/>
  <c r="H208" i="657"/>
  <c r="J210" i="657"/>
  <c r="I195" i="200"/>
  <c r="J42" i="654"/>
  <c r="J209" i="202"/>
  <c r="J92" i="654"/>
  <c r="F208" i="200"/>
  <c r="E180" i="200"/>
  <c r="J51" i="202"/>
  <c r="J203" i="202"/>
  <c r="J79" i="502"/>
  <c r="J177" i="502"/>
  <c r="F38" i="657"/>
  <c r="F34" i="657" s="1"/>
  <c r="H45" i="130"/>
  <c r="G174" i="654"/>
  <c r="G382" i="654" s="1"/>
  <c r="G403" i="654" s="1"/>
  <c r="E180" i="202"/>
  <c r="E383" i="202" s="1"/>
  <c r="E404" i="202" s="1"/>
  <c r="J191" i="200"/>
  <c r="J179" i="502"/>
  <c r="H180" i="654"/>
  <c r="H383" i="654" s="1"/>
  <c r="H404" i="654" s="1"/>
  <c r="J113" i="202"/>
  <c r="J113" i="200"/>
  <c r="G187" i="658"/>
  <c r="G384" i="658" s="1"/>
  <c r="G405" i="658" s="1"/>
  <c r="F174" i="508"/>
  <c r="F382" i="508" s="1"/>
  <c r="F403" i="508" s="1"/>
  <c r="F167" i="202"/>
  <c r="F385" i="202" s="1"/>
  <c r="F406" i="202" s="1"/>
  <c r="E167" i="202"/>
  <c r="E385" i="202" s="1"/>
  <c r="E406" i="202" s="1"/>
  <c r="G67" i="502"/>
  <c r="G66" i="502" s="1"/>
  <c r="G22" i="472"/>
  <c r="G21" i="472" s="1"/>
  <c r="M9" i="129"/>
  <c r="G174" i="657"/>
  <c r="G382" i="657" s="1"/>
  <c r="J191" i="202"/>
  <c r="J171" i="508"/>
  <c r="H180" i="657"/>
  <c r="H383" i="657" s="1"/>
  <c r="H404" i="657" s="1"/>
  <c r="J205" i="508"/>
  <c r="G38" i="657"/>
  <c r="G34" i="657" s="1"/>
  <c r="J113" i="502"/>
  <c r="F201" i="657"/>
  <c r="F45" i="130"/>
  <c r="Q14" i="129"/>
  <c r="Q154" i="129" s="1"/>
  <c r="J192" i="508"/>
  <c r="H180" i="658"/>
  <c r="H383" i="658" s="1"/>
  <c r="H404" i="658" s="1"/>
  <c r="J211" i="654"/>
  <c r="G201" i="508"/>
  <c r="J172" i="502"/>
  <c r="J198" i="202"/>
  <c r="F49" i="654"/>
  <c r="J199" i="202"/>
  <c r="J178" i="502"/>
  <c r="J178" i="508"/>
  <c r="AH45" i="130"/>
  <c r="J190" i="508"/>
  <c r="J106" i="502"/>
  <c r="I38" i="657"/>
  <c r="I34" i="657" s="1"/>
  <c r="G201" i="654"/>
  <c r="D208" i="200"/>
  <c r="J178" i="200"/>
  <c r="F163" i="502"/>
  <c r="H146" i="502"/>
  <c r="E135" i="657"/>
  <c r="I136" i="657"/>
  <c r="J202" i="200"/>
  <c r="D201" i="200"/>
  <c r="E31" i="502"/>
  <c r="E30" i="502" s="1"/>
  <c r="F38" i="658"/>
  <c r="F34" i="658" s="1"/>
  <c r="H174" i="508"/>
  <c r="H382" i="508" s="1"/>
  <c r="H403" i="508" s="1"/>
  <c r="F26" i="639"/>
  <c r="F136" i="657"/>
  <c r="E174" i="200"/>
  <c r="E382" i="200" s="1"/>
  <c r="E403" i="200" s="1"/>
  <c r="J175" i="200"/>
  <c r="J171" i="502"/>
  <c r="J51" i="502"/>
  <c r="E49" i="657"/>
  <c r="M10" i="130"/>
  <c r="O26" i="129"/>
  <c r="I149" i="657"/>
  <c r="E174" i="202"/>
  <c r="E382" i="202" s="1"/>
  <c r="E403" i="202" s="1"/>
  <c r="J175" i="202"/>
  <c r="J171" i="200"/>
  <c r="F187" i="658"/>
  <c r="F384" i="658" s="1"/>
  <c r="F405" i="658" s="1"/>
  <c r="H39" i="502"/>
  <c r="F37" i="502"/>
  <c r="G136" i="657"/>
  <c r="J181" i="657"/>
  <c r="D180" i="657"/>
  <c r="D383" i="657" s="1"/>
  <c r="D404" i="657" s="1"/>
  <c r="J206" i="202"/>
  <c r="J177" i="657"/>
  <c r="H180" i="202"/>
  <c r="H383" i="202" s="1"/>
  <c r="H404" i="202" s="1"/>
  <c r="J181" i="508"/>
  <c r="D180" i="508"/>
  <c r="D383" i="508" s="1"/>
  <c r="D404" i="508" s="1"/>
  <c r="J209" i="200"/>
  <c r="I135" i="502"/>
  <c r="H15" i="130"/>
  <c r="L5" i="130"/>
  <c r="H135" i="502"/>
  <c r="H67" i="502"/>
  <c r="H66" i="502" s="1"/>
  <c r="D136" i="657"/>
  <c r="H167" i="200"/>
  <c r="H385" i="200" s="1"/>
  <c r="H406" i="200" s="1"/>
  <c r="G135" i="657"/>
  <c r="J205" i="502"/>
  <c r="J92" i="202"/>
  <c r="G38" i="654"/>
  <c r="G34" i="654" s="1"/>
  <c r="J92" i="200"/>
  <c r="F135" i="657"/>
  <c r="H135" i="657"/>
  <c r="J68" i="200"/>
  <c r="E38" i="657"/>
  <c r="E34" i="657" s="1"/>
  <c r="J40" i="657"/>
  <c r="F180" i="654"/>
  <c r="F383" i="654" s="1"/>
  <c r="F404" i="654" s="1"/>
  <c r="F39" i="502"/>
  <c r="I61" i="163"/>
  <c r="I152" i="163" s="1"/>
  <c r="H163" i="502"/>
  <c r="Q5" i="129"/>
  <c r="H136" i="657"/>
  <c r="E187" i="658"/>
  <c r="E384" i="658" s="1"/>
  <c r="E405" i="658" s="1"/>
  <c r="J202" i="508"/>
  <c r="D201" i="508"/>
  <c r="G187" i="200"/>
  <c r="G384" i="200" s="1"/>
  <c r="G405" i="200" s="1"/>
  <c r="J196" i="200"/>
  <c r="D195" i="200"/>
  <c r="J202" i="654"/>
  <c r="D201" i="654"/>
  <c r="E180" i="654"/>
  <c r="E383" i="654" s="1"/>
  <c r="E404" i="654" s="1"/>
  <c r="J72" i="508"/>
  <c r="J113" i="657"/>
  <c r="J199" i="657"/>
  <c r="J213" i="654"/>
  <c r="J202" i="202"/>
  <c r="D201" i="202"/>
  <c r="H187" i="657"/>
  <c r="H384" i="657" s="1"/>
  <c r="H405" i="657" s="1"/>
  <c r="J92" i="508"/>
  <c r="J51" i="508"/>
  <c r="J203" i="508"/>
  <c r="I201" i="508"/>
  <c r="J200" i="200"/>
  <c r="I180" i="654"/>
  <c r="I383" i="654" s="1"/>
  <c r="I404" i="654" s="1"/>
  <c r="J212" i="654"/>
  <c r="H174" i="200"/>
  <c r="H382" i="200" s="1"/>
  <c r="H403" i="200" s="1"/>
  <c r="J100" i="657"/>
  <c r="J202" i="657"/>
  <c r="D201" i="657"/>
  <c r="F195" i="502"/>
  <c r="H201" i="200"/>
  <c r="H195" i="502"/>
  <c r="H208" i="200"/>
  <c r="E187" i="502"/>
  <c r="E384" i="502" s="1"/>
  <c r="E405" i="502" s="1"/>
  <c r="J68" i="202"/>
  <c r="I208" i="508"/>
  <c r="F180" i="502"/>
  <c r="F383" i="502" s="1"/>
  <c r="F404" i="502" s="1"/>
  <c r="D180" i="200"/>
  <c r="J181" i="200"/>
  <c r="J197" i="200"/>
  <c r="E180" i="657"/>
  <c r="E383" i="657" s="1"/>
  <c r="E404" i="657" s="1"/>
  <c r="J210" i="502"/>
  <c r="J207" i="502"/>
  <c r="D66" i="202"/>
  <c r="J72" i="202"/>
  <c r="J185" i="654"/>
  <c r="F180" i="657"/>
  <c r="F383" i="657" s="1"/>
  <c r="F404" i="657" s="1"/>
  <c r="E167" i="508"/>
  <c r="E385" i="508" s="1"/>
  <c r="E406" i="508" s="1"/>
  <c r="E39" i="502"/>
  <c r="E38" i="502" s="1"/>
  <c r="J183" i="202"/>
  <c r="H167" i="508"/>
  <c r="H385" i="508" s="1"/>
  <c r="H406" i="508" s="1"/>
  <c r="I66" i="502"/>
  <c r="G38" i="658"/>
  <c r="G34" i="658" s="1"/>
  <c r="J213" i="657"/>
  <c r="E180" i="502"/>
  <c r="E383" i="502" s="1"/>
  <c r="E404" i="502" s="1"/>
  <c r="H208" i="654"/>
  <c r="H187" i="658"/>
  <c r="H384" i="658" s="1"/>
  <c r="H405" i="658" s="1"/>
  <c r="J51" i="200"/>
  <c r="J203" i="200"/>
  <c r="I201" i="200"/>
  <c r="J209" i="654"/>
  <c r="D208" i="654"/>
  <c r="J200" i="202"/>
  <c r="I180" i="657"/>
  <c r="I383" i="657" s="1"/>
  <c r="I404" i="657" s="1"/>
  <c r="J212" i="657"/>
  <c r="H201" i="657"/>
  <c r="H174" i="202"/>
  <c r="H382" i="202" s="1"/>
  <c r="H403" i="202" s="1"/>
  <c r="F195" i="508"/>
  <c r="E195" i="502"/>
  <c r="H201" i="202"/>
  <c r="H195" i="508"/>
  <c r="H208" i="202"/>
  <c r="E187" i="508"/>
  <c r="E384" i="508" s="1"/>
  <c r="E405" i="508" s="1"/>
  <c r="F174" i="502"/>
  <c r="F382" i="502" s="1"/>
  <c r="F403" i="502" s="1"/>
  <c r="D163" i="502"/>
  <c r="J198" i="654"/>
  <c r="I208" i="200"/>
  <c r="F180" i="508"/>
  <c r="F383" i="508" s="1"/>
  <c r="F404" i="508" s="1"/>
  <c r="J181" i="202"/>
  <c r="D180" i="202"/>
  <c r="D383" i="202" s="1"/>
  <c r="D404" i="202" s="1"/>
  <c r="J197" i="202"/>
  <c r="J207" i="657"/>
  <c r="E180" i="658"/>
  <c r="E383" i="658" s="1"/>
  <c r="E404" i="658" s="1"/>
  <c r="J210" i="508"/>
  <c r="J207" i="508"/>
  <c r="J185" i="657"/>
  <c r="F180" i="658"/>
  <c r="F383" i="658" s="1"/>
  <c r="F404" i="658" s="1"/>
  <c r="J92" i="502"/>
  <c r="D208" i="502"/>
  <c r="J106" i="202"/>
  <c r="H167" i="202"/>
  <c r="H385" i="202" s="1"/>
  <c r="H406" i="202" s="1"/>
  <c r="I66" i="508"/>
  <c r="H174" i="654"/>
  <c r="H382" i="654" s="1"/>
  <c r="H403" i="654" s="1"/>
  <c r="I201" i="202"/>
  <c r="J209" i="657"/>
  <c r="D208" i="657"/>
  <c r="J198" i="502"/>
  <c r="I180" i="658"/>
  <c r="F195" i="200"/>
  <c r="F67" i="502"/>
  <c r="F66" i="502" s="1"/>
  <c r="J41" i="654"/>
  <c r="E195" i="508"/>
  <c r="H195" i="200"/>
  <c r="J184" i="654"/>
  <c r="E187" i="200"/>
  <c r="E384" i="200" s="1"/>
  <c r="E405" i="200" s="1"/>
  <c r="J198" i="657"/>
  <c r="I208" i="202"/>
  <c r="F180" i="200"/>
  <c r="F383" i="200" s="1"/>
  <c r="F404" i="200" s="1"/>
  <c r="J182" i="502"/>
  <c r="J210" i="200"/>
  <c r="J207" i="200"/>
  <c r="G167" i="502"/>
  <c r="G385" i="502" s="1"/>
  <c r="G406" i="502" s="1"/>
  <c r="G174" i="502"/>
  <c r="G382" i="502" s="1"/>
  <c r="G403" i="502" s="1"/>
  <c r="E174" i="654"/>
  <c r="E382" i="654" s="1"/>
  <c r="E403" i="654" s="1"/>
  <c r="I66" i="200"/>
  <c r="H174" i="657"/>
  <c r="H382" i="657" s="1"/>
  <c r="J203" i="654"/>
  <c r="G187" i="502"/>
  <c r="G384" i="502" s="1"/>
  <c r="G405" i="502" s="1"/>
  <c r="J196" i="502"/>
  <c r="D195" i="502"/>
  <c r="J210" i="654"/>
  <c r="D195" i="654"/>
  <c r="J196" i="654"/>
  <c r="J42" i="657"/>
  <c r="I195" i="654"/>
  <c r="F208" i="654"/>
  <c r="I180" i="502"/>
  <c r="I383" i="502" s="1"/>
  <c r="I404" i="502" s="1"/>
  <c r="H187" i="502"/>
  <c r="H384" i="502" s="1"/>
  <c r="H405" i="502" s="1"/>
  <c r="F195" i="202"/>
  <c r="E67" i="502"/>
  <c r="J41" i="657"/>
  <c r="J192" i="202"/>
  <c r="E195" i="200"/>
  <c r="D187" i="654"/>
  <c r="D384" i="654" s="1"/>
  <c r="D405" i="654" s="1"/>
  <c r="J188" i="654"/>
  <c r="H195" i="202"/>
  <c r="J85" i="654"/>
  <c r="J184" i="657"/>
  <c r="J54" i="502"/>
  <c r="E187" i="202"/>
  <c r="F174" i="200"/>
  <c r="J176" i="654"/>
  <c r="F180" i="202"/>
  <c r="F383" i="202" s="1"/>
  <c r="F404" i="202" s="1"/>
  <c r="J182" i="508"/>
  <c r="J210" i="202"/>
  <c r="J207" i="202"/>
  <c r="G167" i="200"/>
  <c r="G385" i="200" s="1"/>
  <c r="G406" i="200" s="1"/>
  <c r="G174" i="508"/>
  <c r="G382" i="508" s="1"/>
  <c r="G403" i="508" s="1"/>
  <c r="E174" i="657"/>
  <c r="E382" i="657" s="1"/>
  <c r="J192" i="654"/>
  <c r="G180" i="502"/>
  <c r="G383" i="502" s="1"/>
  <c r="G404" i="502" s="1"/>
  <c r="I66" i="202"/>
  <c r="F208" i="202"/>
  <c r="J171" i="202"/>
  <c r="H174" i="658"/>
  <c r="H382" i="658" s="1"/>
  <c r="J203" i="657"/>
  <c r="G149" i="502"/>
  <c r="G201" i="502"/>
  <c r="G187" i="508"/>
  <c r="G384" i="508" s="1"/>
  <c r="G405" i="508" s="1"/>
  <c r="J196" i="508"/>
  <c r="D195" i="508"/>
  <c r="J198" i="200"/>
  <c r="J106" i="654"/>
  <c r="D195" i="657"/>
  <c r="J196" i="657"/>
  <c r="J132" i="502"/>
  <c r="I195" i="657"/>
  <c r="F208" i="657"/>
  <c r="I180" i="508"/>
  <c r="E208" i="502"/>
  <c r="E195" i="654"/>
  <c r="E195" i="202"/>
  <c r="H187" i="654"/>
  <c r="H384" i="654" s="1"/>
  <c r="H405" i="654" s="1"/>
  <c r="J188" i="657"/>
  <c r="D187" i="657"/>
  <c r="J92" i="657"/>
  <c r="J175" i="654"/>
  <c r="D174" i="654"/>
  <c r="D382" i="654" s="1"/>
  <c r="D403" i="654" s="1"/>
  <c r="J54" i="508"/>
  <c r="E201" i="502"/>
  <c r="F174" i="202"/>
  <c r="J173" i="502"/>
  <c r="J183" i="654"/>
  <c r="J176" i="657"/>
  <c r="J189" i="654"/>
  <c r="E146" i="502"/>
  <c r="J182" i="200"/>
  <c r="J175" i="502"/>
  <c r="I187" i="654"/>
  <c r="I384" i="654" s="1"/>
  <c r="I405" i="654" s="1"/>
  <c r="J179" i="654"/>
  <c r="G167" i="508"/>
  <c r="G385" i="508" s="1"/>
  <c r="G406" i="508" s="1"/>
  <c r="E174" i="658"/>
  <c r="J192" i="657"/>
  <c r="G180" i="508"/>
  <c r="G383" i="508" s="1"/>
  <c r="G404" i="508" s="1"/>
  <c r="J182" i="654"/>
  <c r="J178" i="654"/>
  <c r="I195" i="202"/>
  <c r="J190" i="654"/>
  <c r="I180" i="200"/>
  <c r="I383" i="200" s="1"/>
  <c r="I404" i="200" s="1"/>
  <c r="H187" i="200"/>
  <c r="H384" i="200" s="1"/>
  <c r="H405" i="200" s="1"/>
  <c r="J169" i="502"/>
  <c r="E195" i="657"/>
  <c r="J175" i="657"/>
  <c r="D174" i="657"/>
  <c r="D382" i="657" s="1"/>
  <c r="J54" i="200"/>
  <c r="J173" i="200"/>
  <c r="J183" i="657"/>
  <c r="J189" i="657"/>
  <c r="J182" i="202"/>
  <c r="J188" i="202"/>
  <c r="J100" i="202"/>
  <c r="I187" i="657"/>
  <c r="I384" i="657" s="1"/>
  <c r="I405" i="657" s="1"/>
  <c r="J179" i="657"/>
  <c r="G167" i="202"/>
  <c r="G385" i="202" s="1"/>
  <c r="G406" i="202" s="1"/>
  <c r="G174" i="202"/>
  <c r="G382" i="202" s="1"/>
  <c r="G403" i="202" s="1"/>
  <c r="J79" i="657"/>
  <c r="J85" i="508"/>
  <c r="G180" i="200"/>
  <c r="G383" i="200" s="1"/>
  <c r="G404" i="200" s="1"/>
  <c r="X32" i="120"/>
  <c r="E149" i="657"/>
  <c r="H149" i="657"/>
  <c r="G208" i="654"/>
  <c r="G174" i="658"/>
  <c r="G382" i="658" s="1"/>
  <c r="I187" i="502"/>
  <c r="J211" i="657"/>
  <c r="G201" i="200"/>
  <c r="G187" i="202"/>
  <c r="G384" i="202" s="1"/>
  <c r="G405" i="202" s="1"/>
  <c r="D195" i="202"/>
  <c r="J196" i="202"/>
  <c r="J172" i="200"/>
  <c r="J182" i="657"/>
  <c r="J178" i="657"/>
  <c r="J190" i="657"/>
  <c r="I180" i="202"/>
  <c r="I383" i="202" s="1"/>
  <c r="I404" i="202" s="1"/>
  <c r="H187" i="202"/>
  <c r="H384" i="202" s="1"/>
  <c r="H405" i="202" s="1"/>
  <c r="E208" i="200"/>
  <c r="J169" i="200"/>
  <c r="J204" i="502"/>
  <c r="J211" i="502"/>
  <c r="J54" i="202"/>
  <c r="E201" i="200"/>
  <c r="G195" i="200"/>
  <c r="J173" i="202"/>
  <c r="J175" i="508"/>
  <c r="J40" i="502"/>
  <c r="J206" i="654"/>
  <c r="J52" i="654"/>
  <c r="J85" i="200"/>
  <c r="J184" i="502"/>
  <c r="G208" i="502"/>
  <c r="G180" i="202"/>
  <c r="G383" i="202" s="1"/>
  <c r="G404" i="202" s="1"/>
  <c r="F174" i="654"/>
  <c r="F382" i="654" s="1"/>
  <c r="F403" i="654" s="1"/>
  <c r="G208" i="657"/>
  <c r="J200" i="654"/>
  <c r="J190" i="502"/>
  <c r="J113" i="654"/>
  <c r="J193" i="502"/>
  <c r="J183" i="502"/>
  <c r="D30" i="502"/>
  <c r="H195" i="654"/>
  <c r="G201" i="202"/>
  <c r="J212" i="502"/>
  <c r="J172" i="508"/>
  <c r="G174" i="200"/>
  <c r="G382" i="200" s="1"/>
  <c r="G403" i="200" s="1"/>
  <c r="J177" i="508"/>
  <c r="E208" i="202"/>
  <c r="J169" i="508"/>
  <c r="J106" i="200"/>
  <c r="J191" i="654"/>
  <c r="J204" i="508"/>
  <c r="J211" i="508"/>
  <c r="D167" i="502"/>
  <c r="D385" i="502" s="1"/>
  <c r="D406" i="502" s="1"/>
  <c r="J168" i="502"/>
  <c r="E201" i="202"/>
  <c r="J173" i="508"/>
  <c r="J40" i="508"/>
  <c r="J206" i="657"/>
  <c r="I208" i="657"/>
  <c r="F187" i="502"/>
  <c r="F201" i="502"/>
  <c r="J52" i="657"/>
  <c r="E201" i="654"/>
  <c r="J184" i="508"/>
  <c r="G208" i="508"/>
  <c r="J198" i="508"/>
  <c r="I167" i="502"/>
  <c r="I385" i="502" s="1"/>
  <c r="I406" i="502" s="1"/>
  <c r="J188" i="200"/>
  <c r="J197" i="654"/>
  <c r="I201" i="654"/>
  <c r="J189" i="502"/>
  <c r="E187" i="654"/>
  <c r="E384" i="654" s="1"/>
  <c r="E405" i="654" s="1"/>
  <c r="J200" i="657"/>
  <c r="I187" i="200"/>
  <c r="I384" i="200" s="1"/>
  <c r="I405" i="200" s="1"/>
  <c r="I174" i="502"/>
  <c r="I382" i="502" s="1"/>
  <c r="I403" i="502" s="1"/>
  <c r="J193" i="508"/>
  <c r="J183" i="508"/>
  <c r="D30" i="508"/>
  <c r="J204" i="654"/>
  <c r="H195" i="657"/>
  <c r="J212" i="508"/>
  <c r="J172" i="202"/>
  <c r="G201" i="657"/>
  <c r="J170" i="502"/>
  <c r="J169" i="202"/>
  <c r="J85" i="657"/>
  <c r="I187" i="658"/>
  <c r="I384" i="658" s="1"/>
  <c r="I405" i="658" s="1"/>
  <c r="E208" i="654"/>
  <c r="J191" i="657"/>
  <c r="J204" i="200"/>
  <c r="J211" i="200"/>
  <c r="I174" i="654"/>
  <c r="I382" i="654" s="1"/>
  <c r="I403" i="654" s="1"/>
  <c r="D167" i="200"/>
  <c r="D385" i="200" s="1"/>
  <c r="D406" i="200" s="1"/>
  <c r="J168" i="200"/>
  <c r="G180" i="654"/>
  <c r="G383" i="654" s="1"/>
  <c r="G404" i="654" s="1"/>
  <c r="H180" i="502"/>
  <c r="H383" i="502" s="1"/>
  <c r="H404" i="502" s="1"/>
  <c r="J40" i="200"/>
  <c r="J205" i="654"/>
  <c r="F187" i="508"/>
  <c r="F384" i="508" s="1"/>
  <c r="F405" i="508" s="1"/>
  <c r="F201" i="508"/>
  <c r="J188" i="508"/>
  <c r="E201" i="657"/>
  <c r="J184" i="200"/>
  <c r="G208" i="200"/>
  <c r="I167" i="200"/>
  <c r="I385" i="200" s="1"/>
  <c r="I406" i="200" s="1"/>
  <c r="F167" i="502"/>
  <c r="F385" i="502" s="1"/>
  <c r="F406" i="502" s="1"/>
  <c r="J197" i="657"/>
  <c r="I201" i="657"/>
  <c r="J189" i="508"/>
  <c r="E187" i="657"/>
  <c r="E384" i="657" s="1"/>
  <c r="E405" i="657" s="1"/>
  <c r="J202" i="502"/>
  <c r="D201" i="502"/>
  <c r="J190" i="200"/>
  <c r="J193" i="654"/>
  <c r="J193" i="200"/>
  <c r="J183" i="200"/>
  <c r="D30" i="200"/>
  <c r="J54" i="654"/>
  <c r="G195" i="654"/>
  <c r="G146" i="502"/>
  <c r="J212" i="200"/>
  <c r="J214" i="654"/>
  <c r="J170" i="200"/>
  <c r="F187" i="654"/>
  <c r="F384" i="654" s="1"/>
  <c r="F405" i="654" s="1"/>
  <c r="J204" i="202"/>
  <c r="J211" i="202"/>
  <c r="I174" i="657"/>
  <c r="I382" i="657" s="1"/>
  <c r="D167" i="508"/>
  <c r="D385" i="508" s="1"/>
  <c r="D406" i="508" s="1"/>
  <c r="J168" i="508"/>
  <c r="J68" i="502"/>
  <c r="G180" i="657"/>
  <c r="G383" i="657" s="1"/>
  <c r="G404" i="657" s="1"/>
  <c r="H180" i="508"/>
  <c r="H383" i="508" s="1"/>
  <c r="H404" i="508" s="1"/>
  <c r="J40" i="202"/>
  <c r="J205" i="657"/>
  <c r="F187" i="200"/>
  <c r="F384" i="200" s="1"/>
  <c r="F405" i="200" s="1"/>
  <c r="F201" i="200"/>
  <c r="D187" i="508"/>
  <c r="D384" i="508" s="1"/>
  <c r="D405" i="508" s="1"/>
  <c r="D208" i="508"/>
  <c r="G187" i="654"/>
  <c r="G384" i="654" s="1"/>
  <c r="G405" i="654" s="1"/>
  <c r="J184" i="202"/>
  <c r="G208" i="202"/>
  <c r="I167" i="202"/>
  <c r="I385" i="202" s="1"/>
  <c r="I406" i="202" s="1"/>
  <c r="F167" i="200"/>
  <c r="F385" i="200" s="1"/>
  <c r="F406" i="200" s="1"/>
  <c r="E167" i="502"/>
  <c r="E385" i="502" s="1"/>
  <c r="E406" i="502" s="1"/>
  <c r="H38" i="654"/>
  <c r="H34" i="654" s="1"/>
  <c r="J100" i="200"/>
  <c r="J189" i="200"/>
  <c r="J190" i="202"/>
  <c r="J193" i="657"/>
  <c r="J193" i="202"/>
  <c r="D30" i="202"/>
  <c r="J54" i="657"/>
  <c r="J106" i="657"/>
  <c r="D180" i="654"/>
  <c r="D383" i="654" s="1"/>
  <c r="D404" i="654" s="1"/>
  <c r="J181" i="654"/>
  <c r="J200" i="502"/>
  <c r="J212" i="202"/>
  <c r="J214" i="657"/>
  <c r="H174" i="502"/>
  <c r="H382" i="502" s="1"/>
  <c r="H403" i="502" s="1"/>
  <c r="J170" i="508"/>
  <c r="D38" i="654"/>
  <c r="F201" i="654"/>
  <c r="J100" i="654"/>
  <c r="F187" i="657"/>
  <c r="F384" i="657" s="1"/>
  <c r="F405" i="657" s="1"/>
  <c r="H201" i="502"/>
  <c r="H208" i="502"/>
  <c r="D130" i="502"/>
  <c r="I174" i="658"/>
  <c r="I382" i="658" s="1"/>
  <c r="J168" i="202"/>
  <c r="D167" i="202"/>
  <c r="D385" i="202" s="1"/>
  <c r="D406" i="202" s="1"/>
  <c r="J68" i="508"/>
  <c r="J177" i="654"/>
  <c r="H180" i="200"/>
  <c r="H383" i="200" s="1"/>
  <c r="H404" i="200" s="1"/>
  <c r="J181" i="502"/>
  <c r="D180" i="502"/>
  <c r="D383" i="502" s="1"/>
  <c r="D404" i="502" s="1"/>
  <c r="J197" i="502"/>
  <c r="D135" i="502"/>
  <c r="J85" i="202"/>
  <c r="F187" i="202"/>
  <c r="F384" i="202" s="1"/>
  <c r="F405" i="202" s="1"/>
  <c r="F201" i="202"/>
  <c r="J209" i="508"/>
  <c r="G187" i="657"/>
  <c r="G384" i="657" s="1"/>
  <c r="G405" i="657" s="1"/>
  <c r="J185" i="202"/>
  <c r="I167" i="508"/>
  <c r="F167" i="508"/>
  <c r="F385" i="508" s="1"/>
  <c r="F406" i="508" s="1"/>
  <c r="E167" i="200"/>
  <c r="E385" i="200" s="1"/>
  <c r="E406" i="200" s="1"/>
  <c r="H167" i="502"/>
  <c r="H385" i="502" s="1"/>
  <c r="H406" i="502" s="1"/>
  <c r="J189" i="202"/>
  <c r="J72" i="200"/>
  <c r="J213" i="658"/>
  <c r="J92" i="658"/>
  <c r="Q117" i="120"/>
  <c r="J40" i="658"/>
  <c r="H195" i="658"/>
  <c r="J54" i="658"/>
  <c r="J212" i="658"/>
  <c r="E49" i="658"/>
  <c r="H208" i="658"/>
  <c r="P114" i="120"/>
  <c r="J41" i="658"/>
  <c r="J211" i="658"/>
  <c r="J177" i="658"/>
  <c r="J100" i="658"/>
  <c r="J209" i="658"/>
  <c r="D208" i="658"/>
  <c r="I208" i="658"/>
  <c r="J113" i="658"/>
  <c r="O9" i="120"/>
  <c r="V9" i="120" s="1"/>
  <c r="V14" i="120"/>
  <c r="D136" i="658"/>
  <c r="H149" i="658"/>
  <c r="J197" i="658"/>
  <c r="E208" i="658"/>
  <c r="J192" i="658"/>
  <c r="F135" i="658"/>
  <c r="J183" i="658"/>
  <c r="H201" i="658"/>
  <c r="E195" i="658"/>
  <c r="G195" i="658"/>
  <c r="F208" i="658"/>
  <c r="F195" i="658"/>
  <c r="J179" i="658"/>
  <c r="J85" i="658"/>
  <c r="H38" i="658"/>
  <c r="H34" i="658" s="1"/>
  <c r="J193" i="658"/>
  <c r="I195" i="658"/>
  <c r="Q128" i="120"/>
  <c r="J196" i="658"/>
  <c r="D195" i="658"/>
  <c r="G201" i="658"/>
  <c r="J189" i="658"/>
  <c r="J210" i="658"/>
  <c r="I201" i="658"/>
  <c r="F201" i="658"/>
  <c r="Q27" i="120"/>
  <c r="J106" i="658"/>
  <c r="J182" i="658"/>
  <c r="M9" i="120"/>
  <c r="T9" i="120" s="1"/>
  <c r="T14" i="120"/>
  <c r="J178" i="658"/>
  <c r="J79" i="658"/>
  <c r="G136" i="658"/>
  <c r="D180" i="658"/>
  <c r="D383" i="658" s="1"/>
  <c r="D404" i="658" s="1"/>
  <c r="J181" i="658"/>
  <c r="J214" i="658"/>
  <c r="J188" i="658"/>
  <c r="D187" i="658"/>
  <c r="D384" i="658" s="1"/>
  <c r="D405" i="658" s="1"/>
  <c r="L26" i="120"/>
  <c r="S26" i="120" s="1"/>
  <c r="J184" i="658"/>
  <c r="J176" i="658"/>
  <c r="J207" i="658"/>
  <c r="J203" i="658"/>
  <c r="E135" i="658"/>
  <c r="J185" i="658"/>
  <c r="F136" i="658"/>
  <c r="J198" i="658"/>
  <c r="G135" i="658"/>
  <c r="J200" i="658"/>
  <c r="J205" i="658"/>
  <c r="J206" i="658"/>
  <c r="J175" i="658"/>
  <c r="D174" i="658"/>
  <c r="H135" i="658"/>
  <c r="X17" i="120"/>
  <c r="J202" i="658"/>
  <c r="D201" i="658"/>
  <c r="E149" i="658"/>
  <c r="I136" i="658"/>
  <c r="H136" i="658"/>
  <c r="I149" i="658"/>
  <c r="J190" i="658"/>
  <c r="L9" i="120"/>
  <c r="S9" i="120" s="1"/>
  <c r="S14" i="120"/>
  <c r="J204" i="658"/>
  <c r="J191" i="658"/>
  <c r="E201" i="658"/>
  <c r="G208" i="658"/>
  <c r="J199" i="658"/>
  <c r="J67" i="163"/>
  <c r="X16" i="120"/>
  <c r="F28" i="472"/>
  <c r="X16" i="129"/>
  <c r="AI5" i="130"/>
  <c r="F38" i="472"/>
  <c r="J64" i="163"/>
  <c r="N114" i="120"/>
  <c r="U114" i="120" s="1"/>
  <c r="Q44" i="129"/>
  <c r="O154" i="129"/>
  <c r="X65" i="120"/>
  <c r="X71" i="120"/>
  <c r="X44" i="120"/>
  <c r="X99" i="120"/>
  <c r="H22" i="472"/>
  <c r="X92" i="120"/>
  <c r="T21" i="130"/>
  <c r="T20" i="130" s="1"/>
  <c r="F61" i="163"/>
  <c r="F152" i="163" s="1"/>
  <c r="O14" i="130"/>
  <c r="Q15" i="130"/>
  <c r="J66" i="163"/>
  <c r="H28" i="639"/>
  <c r="X6" i="130"/>
  <c r="N5" i="485"/>
  <c r="X46" i="129"/>
  <c r="D61" i="163"/>
  <c r="J65" i="163"/>
  <c r="X78" i="120"/>
  <c r="G61" i="163"/>
  <c r="G152" i="163" s="1"/>
  <c r="J63" i="163"/>
  <c r="D158" i="163"/>
  <c r="D19" i="163"/>
  <c r="X86" i="120"/>
  <c r="I44" i="130"/>
  <c r="Q14" i="120"/>
  <c r="X23" i="130"/>
  <c r="AI23" i="130"/>
  <c r="H61" i="163"/>
  <c r="H152" i="163" s="1"/>
  <c r="J62" i="163"/>
  <c r="X5" i="130"/>
  <c r="X12" i="130"/>
  <c r="AI12" i="130"/>
  <c r="R10" i="130"/>
  <c r="D109" i="129"/>
  <c r="J109" i="129" s="1"/>
  <c r="D223" i="129"/>
  <c r="D225" i="129" s="1"/>
  <c r="D226" i="129" s="1"/>
  <c r="D153" i="129"/>
  <c r="D141" i="486"/>
  <c r="J141" i="486"/>
  <c r="Q58" i="120"/>
  <c r="D165" i="129"/>
  <c r="J107" i="129"/>
  <c r="J68" i="472"/>
  <c r="J110" i="186"/>
  <c r="J144" i="186" s="1"/>
  <c r="F60" i="742"/>
  <c r="F150" i="742" s="1"/>
  <c r="D144" i="203"/>
  <c r="D167" i="203" s="1"/>
  <c r="J167" i="203"/>
  <c r="E63" i="472"/>
  <c r="E154" i="472" s="1"/>
  <c r="J66" i="742"/>
  <c r="X58" i="120"/>
  <c r="H60" i="742"/>
  <c r="H150" i="742" s="1"/>
  <c r="H63" i="473"/>
  <c r="H154" i="473" s="1"/>
  <c r="J66" i="472"/>
  <c r="J67" i="473"/>
  <c r="F63" i="472"/>
  <c r="F154" i="472" s="1"/>
  <c r="G63" i="472"/>
  <c r="G154" i="472" s="1"/>
  <c r="J64" i="742"/>
  <c r="G50" i="485"/>
  <c r="J69" i="472"/>
  <c r="J65" i="742"/>
  <c r="G60" i="742"/>
  <c r="G150" i="742" s="1"/>
  <c r="I63" i="472"/>
  <c r="I154" i="472" s="1"/>
  <c r="J62" i="742"/>
  <c r="J69" i="473"/>
  <c r="I60" i="742"/>
  <c r="I150" i="742" s="1"/>
  <c r="J63" i="742"/>
  <c r="J134" i="206"/>
  <c r="I63" i="473"/>
  <c r="I154" i="473" s="1"/>
  <c r="G10" i="485"/>
  <c r="H63" i="472"/>
  <c r="H154" i="472" s="1"/>
  <c r="J65" i="473"/>
  <c r="J68" i="473"/>
  <c r="F63" i="473"/>
  <c r="F154" i="473" s="1"/>
  <c r="D391" i="502"/>
  <c r="D412" i="502" s="1"/>
  <c r="D441" i="200"/>
  <c r="C50" i="485"/>
  <c r="N29" i="485"/>
  <c r="T114" i="120"/>
  <c r="G48" i="485"/>
  <c r="C10" i="485"/>
  <c r="C30" i="485"/>
  <c r="N27" i="485"/>
  <c r="C48" i="485"/>
  <c r="D134" i="206"/>
  <c r="X5" i="485"/>
  <c r="F51" i="485"/>
  <c r="J67" i="472"/>
  <c r="G63" i="473"/>
  <c r="G154" i="473" s="1"/>
  <c r="J66" i="473"/>
  <c r="L5" i="631"/>
  <c r="N21" i="485"/>
  <c r="AF14" i="485" s="1"/>
  <c r="AI14" i="485" s="1"/>
  <c r="D141" i="498"/>
  <c r="E63" i="473"/>
  <c r="E154" i="473" s="1"/>
  <c r="X14" i="485"/>
  <c r="C6" i="485"/>
  <c r="N3" i="485"/>
  <c r="J441" i="508"/>
  <c r="D441" i="508"/>
  <c r="D19" i="639"/>
  <c r="D159" i="639"/>
  <c r="D145" i="216"/>
  <c r="D169" i="216" s="1"/>
  <c r="J110" i="216"/>
  <c r="J145" i="216" s="1"/>
  <c r="E13" i="40"/>
  <c r="C49" i="485"/>
  <c r="D167" i="186"/>
  <c r="D63" i="472"/>
  <c r="J64" i="472"/>
  <c r="D51" i="485"/>
  <c r="D21" i="473"/>
  <c r="D160" i="473"/>
  <c r="D19" i="211"/>
  <c r="D159" i="211"/>
  <c r="J110" i="158"/>
  <c r="J145" i="158" s="1"/>
  <c r="D145" i="158"/>
  <c r="D169" i="158" s="1"/>
  <c r="X9" i="485"/>
  <c r="W38" i="485"/>
  <c r="I30" i="472"/>
  <c r="D141" i="506"/>
  <c r="J64" i="473"/>
  <c r="D21" i="472"/>
  <c r="D160" i="472"/>
  <c r="J141" i="498"/>
  <c r="J65" i="472"/>
  <c r="J134" i="640"/>
  <c r="D134" i="640"/>
  <c r="J141" i="506"/>
  <c r="D63" i="473"/>
  <c r="E32" i="472"/>
  <c r="X38" i="485"/>
  <c r="X115" i="120"/>
  <c r="I58" i="472"/>
  <c r="I57" i="472" s="1"/>
  <c r="N9" i="485"/>
  <c r="W14" i="485"/>
  <c r="I46" i="472"/>
  <c r="J441" i="502"/>
  <c r="D441" i="502"/>
  <c r="D43" i="472"/>
  <c r="D382" i="502"/>
  <c r="D403" i="502" s="1"/>
  <c r="D60" i="742"/>
  <c r="J61" i="742"/>
  <c r="N11" i="485"/>
  <c r="D5" i="130"/>
  <c r="E60" i="742"/>
  <c r="E150" i="742" s="1"/>
  <c r="E51" i="485"/>
  <c r="J441" i="202"/>
  <c r="D441" i="202"/>
  <c r="U107" i="129" l="1"/>
  <c r="U109" i="129" s="1"/>
  <c r="W107" i="129"/>
  <c r="W109" i="129" s="1"/>
  <c r="V26" i="129"/>
  <c r="V20" i="129" s="1"/>
  <c r="V107" i="129" s="1"/>
  <c r="V109" i="129" s="1"/>
  <c r="X14" i="129"/>
  <c r="R9" i="129"/>
  <c r="T26" i="129"/>
  <c r="T20" i="129" s="1"/>
  <c r="T107" i="129" s="1"/>
  <c r="T109" i="129" s="1"/>
  <c r="Y20" i="129"/>
  <c r="AE21" i="129"/>
  <c r="X44" i="129"/>
  <c r="S26" i="129"/>
  <c r="S20" i="129" s="1"/>
  <c r="S107" i="129" s="1"/>
  <c r="S109" i="129" s="1"/>
  <c r="X27" i="129"/>
  <c r="R26" i="129"/>
  <c r="X34" i="129"/>
  <c r="X39" i="129"/>
  <c r="N4" i="858"/>
  <c r="Q4" i="858" s="1"/>
  <c r="Q6" i="858" s="1"/>
  <c r="L7" i="631"/>
  <c r="J165" i="202"/>
  <c r="G133" i="202"/>
  <c r="G129" i="202" s="1"/>
  <c r="F161" i="202"/>
  <c r="E161" i="202"/>
  <c r="H133" i="202"/>
  <c r="D47" i="472"/>
  <c r="K7" i="48"/>
  <c r="G161" i="202"/>
  <c r="H130" i="202"/>
  <c r="J142" i="202"/>
  <c r="H144" i="202"/>
  <c r="I156" i="202"/>
  <c r="J126" i="202"/>
  <c r="J149" i="202"/>
  <c r="F133" i="202"/>
  <c r="F129" i="202" s="1"/>
  <c r="J152" i="202"/>
  <c r="J162" i="202"/>
  <c r="G151" i="502"/>
  <c r="G151" i="202"/>
  <c r="E144" i="202"/>
  <c r="F144" i="202"/>
  <c r="H391" i="202"/>
  <c r="H412" i="202" s="1"/>
  <c r="J134" i="202"/>
  <c r="J147" i="202"/>
  <c r="F151" i="202"/>
  <c r="J159" i="202"/>
  <c r="E151" i="202"/>
  <c r="H151" i="202"/>
  <c r="H161" i="202"/>
  <c r="J141" i="202"/>
  <c r="H43" i="472"/>
  <c r="F125" i="202"/>
  <c r="H140" i="202"/>
  <c r="J145" i="202"/>
  <c r="G32" i="472"/>
  <c r="E53" i="472"/>
  <c r="E52" i="472" s="1"/>
  <c r="F44" i="472"/>
  <c r="I48" i="472"/>
  <c r="G53" i="472"/>
  <c r="G52" i="472" s="1"/>
  <c r="D18" i="742"/>
  <c r="G133" i="502"/>
  <c r="G129" i="502" s="1"/>
  <c r="G39" i="130"/>
  <c r="F144" i="502"/>
  <c r="H161" i="502"/>
  <c r="L20" i="823"/>
  <c r="L107" i="823" s="1"/>
  <c r="E161" i="502"/>
  <c r="H151" i="502"/>
  <c r="J132" i="202"/>
  <c r="E39" i="130"/>
  <c r="P20" i="823"/>
  <c r="W20" i="823" s="1"/>
  <c r="F151" i="502"/>
  <c r="D23" i="742"/>
  <c r="D154" i="742" s="1"/>
  <c r="D44" i="742"/>
  <c r="H144" i="502"/>
  <c r="J149" i="502"/>
  <c r="E144" i="502"/>
  <c r="F161" i="502"/>
  <c r="I156" i="502"/>
  <c r="F29" i="742"/>
  <c r="F32" i="473"/>
  <c r="F30" i="163"/>
  <c r="E47" i="742"/>
  <c r="E50" i="473"/>
  <c r="E48" i="163"/>
  <c r="H41" i="742"/>
  <c r="H44" i="473"/>
  <c r="H42" i="163"/>
  <c r="I45" i="742"/>
  <c r="I46" i="163"/>
  <c r="I48" i="473"/>
  <c r="H50" i="742"/>
  <c r="H49" i="742" s="1"/>
  <c r="H51" i="163"/>
  <c r="H50" i="163" s="1"/>
  <c r="H53" i="473"/>
  <c r="H52" i="473" s="1"/>
  <c r="G27" i="742"/>
  <c r="G30" i="473"/>
  <c r="G28" i="163"/>
  <c r="H38" i="742"/>
  <c r="H41" i="473"/>
  <c r="H39" i="163"/>
  <c r="X58" i="823"/>
  <c r="I41" i="742"/>
  <c r="I44" i="473"/>
  <c r="I42" i="163"/>
  <c r="D41" i="742"/>
  <c r="D44" i="473"/>
  <c r="D42" i="163"/>
  <c r="I29" i="742"/>
  <c r="I26" i="742" s="1"/>
  <c r="I153" i="742" s="1"/>
  <c r="I32" i="473"/>
  <c r="I29" i="473" s="1"/>
  <c r="I30" i="163"/>
  <c r="I27" i="163" s="1"/>
  <c r="I155" i="163" s="1"/>
  <c r="X27" i="823"/>
  <c r="F27" i="742"/>
  <c r="F28" i="163"/>
  <c r="F30" i="473"/>
  <c r="H27" i="742"/>
  <c r="H28" i="163"/>
  <c r="H30" i="473"/>
  <c r="G47" i="742"/>
  <c r="G50" i="473"/>
  <c r="G48" i="163"/>
  <c r="E40" i="742"/>
  <c r="E41" i="163"/>
  <c r="E43" i="473"/>
  <c r="H40" i="742"/>
  <c r="H41" i="163"/>
  <c r="H43" i="473"/>
  <c r="H43" i="742"/>
  <c r="H46" i="473"/>
  <c r="H44" i="163"/>
  <c r="G43" i="742"/>
  <c r="G44" i="163"/>
  <c r="G46" i="473"/>
  <c r="F40" i="742"/>
  <c r="F41" i="163"/>
  <c r="F43" i="473"/>
  <c r="G45" i="742"/>
  <c r="G46" i="163"/>
  <c r="G48" i="473"/>
  <c r="H45" i="742"/>
  <c r="H46" i="163"/>
  <c r="H48" i="473"/>
  <c r="E50" i="742"/>
  <c r="E49" i="742" s="1"/>
  <c r="E53" i="473"/>
  <c r="E52" i="473" s="1"/>
  <c r="E51" i="163"/>
  <c r="E50" i="163" s="1"/>
  <c r="F27" i="473"/>
  <c r="F26" i="473" s="1"/>
  <c r="F158" i="473" s="1"/>
  <c r="D43" i="742"/>
  <c r="D44" i="163"/>
  <c r="D46" i="473"/>
  <c r="H47" i="742"/>
  <c r="H50" i="473"/>
  <c r="H48" i="163"/>
  <c r="I40" i="742"/>
  <c r="I41" i="163"/>
  <c r="I43" i="473"/>
  <c r="F43" i="742"/>
  <c r="F44" i="163"/>
  <c r="F46" i="473"/>
  <c r="E55" i="742"/>
  <c r="E54" i="742" s="1"/>
  <c r="E58" i="473"/>
  <c r="E57" i="473" s="1"/>
  <c r="E56" i="163"/>
  <c r="E55" i="163" s="1"/>
  <c r="G29" i="742"/>
  <c r="G32" i="473"/>
  <c r="G30" i="163"/>
  <c r="E27" i="473"/>
  <c r="E26" i="473" s="1"/>
  <c r="E158" i="473" s="1"/>
  <c r="D29" i="742"/>
  <c r="D32" i="473"/>
  <c r="D29" i="473" s="1"/>
  <c r="D25" i="473" s="1"/>
  <c r="D30" i="163"/>
  <c r="D27" i="163" s="1"/>
  <c r="D155" i="163" s="1"/>
  <c r="I47" i="742"/>
  <c r="I48" i="163"/>
  <c r="I50" i="473"/>
  <c r="H55" i="742"/>
  <c r="H54" i="742" s="1"/>
  <c r="H58" i="473"/>
  <c r="H57" i="473" s="1"/>
  <c r="H56" i="163"/>
  <c r="H55" i="163" s="1"/>
  <c r="D38" i="742"/>
  <c r="D41" i="473"/>
  <c r="D39" i="163"/>
  <c r="I50" i="742"/>
  <c r="I49" i="742" s="1"/>
  <c r="I53" i="473"/>
  <c r="I52" i="473" s="1"/>
  <c r="I51" i="163"/>
  <c r="I50" i="163" s="1"/>
  <c r="F45" i="742"/>
  <c r="F48" i="473"/>
  <c r="F46" i="163"/>
  <c r="F41" i="742"/>
  <c r="F44" i="473"/>
  <c r="F42" i="163"/>
  <c r="F30" i="472"/>
  <c r="E43" i="742"/>
  <c r="E44" i="163"/>
  <c r="E46" i="473"/>
  <c r="E38" i="742"/>
  <c r="E41" i="473"/>
  <c r="E39" i="163"/>
  <c r="G55" i="742"/>
  <c r="G58" i="473"/>
  <c r="G57" i="473" s="1"/>
  <c r="G56" i="163"/>
  <c r="G55" i="163" s="1"/>
  <c r="E27" i="742"/>
  <c r="E26" i="742" s="1"/>
  <c r="E153" i="742" s="1"/>
  <c r="E30" i="473"/>
  <c r="E28" i="163"/>
  <c r="E45" i="742"/>
  <c r="E46" i="163"/>
  <c r="E48" i="473"/>
  <c r="H29" i="742"/>
  <c r="H32" i="473"/>
  <c r="H30" i="163"/>
  <c r="E41" i="742"/>
  <c r="E42" i="163"/>
  <c r="E44" i="473"/>
  <c r="F55" i="742"/>
  <c r="F54" i="742" s="1"/>
  <c r="F56" i="163"/>
  <c r="F55" i="163" s="1"/>
  <c r="F58" i="473"/>
  <c r="F57" i="473" s="1"/>
  <c r="G50" i="742"/>
  <c r="G49" i="742" s="1"/>
  <c r="G51" i="163"/>
  <c r="G50" i="163" s="1"/>
  <c r="G53" i="473"/>
  <c r="G52" i="473" s="1"/>
  <c r="I38" i="742"/>
  <c r="I39" i="163"/>
  <c r="I41" i="473"/>
  <c r="F47" i="742"/>
  <c r="F50" i="473"/>
  <c r="F48" i="163"/>
  <c r="H50" i="472"/>
  <c r="F50" i="742"/>
  <c r="F49" i="742" s="1"/>
  <c r="F51" i="163"/>
  <c r="F50" i="163" s="1"/>
  <c r="F53" i="473"/>
  <c r="F52" i="473" s="1"/>
  <c r="F38" i="742"/>
  <c r="F39" i="163"/>
  <c r="F41" i="473"/>
  <c r="G41" i="742"/>
  <c r="G42" i="163"/>
  <c r="G44" i="473"/>
  <c r="G40" i="742"/>
  <c r="G43" i="473"/>
  <c r="G41" i="163"/>
  <c r="D50" i="742"/>
  <c r="D49" i="742" s="1"/>
  <c r="D51" i="163"/>
  <c r="D50" i="163" s="1"/>
  <c r="D53" i="473"/>
  <c r="D52" i="473" s="1"/>
  <c r="G38" i="742"/>
  <c r="G39" i="163"/>
  <c r="G41" i="473"/>
  <c r="M20" i="823"/>
  <c r="M107" i="823" s="1"/>
  <c r="D47" i="473"/>
  <c r="H140" i="200"/>
  <c r="H24" i="211"/>
  <c r="H157" i="211" s="1"/>
  <c r="E390" i="658"/>
  <c r="E454" i="658" s="1"/>
  <c r="D390" i="658"/>
  <c r="D411" i="658" s="1"/>
  <c r="H130" i="508"/>
  <c r="I144" i="508"/>
  <c r="F125" i="200"/>
  <c r="E144" i="508"/>
  <c r="H151" i="200"/>
  <c r="G133" i="200"/>
  <c r="G129" i="200" s="1"/>
  <c r="F125" i="508"/>
  <c r="J142" i="200"/>
  <c r="J154" i="658"/>
  <c r="E161" i="200"/>
  <c r="E24" i="639"/>
  <c r="E23" i="639" s="1"/>
  <c r="H151" i="508"/>
  <c r="G161" i="508"/>
  <c r="F144" i="508"/>
  <c r="I151" i="200"/>
  <c r="G125" i="508"/>
  <c r="F133" i="200"/>
  <c r="F129" i="200" s="1"/>
  <c r="I156" i="508"/>
  <c r="F144" i="200"/>
  <c r="J142" i="508"/>
  <c r="E144" i="200"/>
  <c r="J149" i="508"/>
  <c r="F161" i="200"/>
  <c r="H161" i="200"/>
  <c r="J147" i="657"/>
  <c r="D45" i="163"/>
  <c r="J126" i="200"/>
  <c r="F27" i="639"/>
  <c r="F156" i="639" s="1"/>
  <c r="F151" i="200"/>
  <c r="F161" i="508"/>
  <c r="J162" i="508"/>
  <c r="G151" i="508"/>
  <c r="G45" i="508"/>
  <c r="G387" i="508" s="1"/>
  <c r="G408" i="508" s="1"/>
  <c r="G133" i="508"/>
  <c r="G129" i="508" s="1"/>
  <c r="D161" i="657"/>
  <c r="I45" i="211"/>
  <c r="J149" i="200"/>
  <c r="H144" i="508"/>
  <c r="H144" i="200"/>
  <c r="H125" i="200"/>
  <c r="I49" i="200"/>
  <c r="J165" i="200"/>
  <c r="J126" i="508"/>
  <c r="J165" i="508"/>
  <c r="I151" i="658"/>
  <c r="I56" i="200"/>
  <c r="F133" i="508"/>
  <c r="F129" i="508" s="1"/>
  <c r="F56" i="200"/>
  <c r="J162" i="200"/>
  <c r="G161" i="200"/>
  <c r="D34" i="211"/>
  <c r="D155" i="211" s="1"/>
  <c r="J147" i="658"/>
  <c r="H38" i="508"/>
  <c r="J152" i="200"/>
  <c r="I133" i="502"/>
  <c r="I388" i="502" s="1"/>
  <c r="I409" i="502" s="1"/>
  <c r="J165" i="502"/>
  <c r="G161" i="502"/>
  <c r="E151" i="658"/>
  <c r="F151" i="508"/>
  <c r="J141" i="200"/>
  <c r="J141" i="508"/>
  <c r="G151" i="200"/>
  <c r="X21" i="823"/>
  <c r="E161" i="508"/>
  <c r="H161" i="508"/>
  <c r="J134" i="200"/>
  <c r="I156" i="200"/>
  <c r="G5" i="130"/>
  <c r="G215" i="130"/>
  <c r="J159" i="200"/>
  <c r="H41" i="472"/>
  <c r="F48" i="472"/>
  <c r="X10" i="823"/>
  <c r="D39" i="130"/>
  <c r="J153" i="202"/>
  <c r="X5" i="823"/>
  <c r="J132" i="508"/>
  <c r="H390" i="658"/>
  <c r="H454" i="658" s="1"/>
  <c r="D33" i="742"/>
  <c r="D152" i="742" s="1"/>
  <c r="I5" i="130"/>
  <c r="I215" i="130"/>
  <c r="I34" i="130"/>
  <c r="H130" i="200"/>
  <c r="F56" i="202"/>
  <c r="G56" i="502"/>
  <c r="E5" i="130"/>
  <c r="E215" i="130"/>
  <c r="G46" i="472"/>
  <c r="G44" i="472"/>
  <c r="J134" i="508"/>
  <c r="J164" i="508"/>
  <c r="H34" i="130"/>
  <c r="H156" i="658"/>
  <c r="O20" i="823"/>
  <c r="V26" i="823"/>
  <c r="E58" i="472"/>
  <c r="E57" i="472" s="1"/>
  <c r="F5" i="130"/>
  <c r="F215" i="130"/>
  <c r="F50" i="472"/>
  <c r="F41" i="472"/>
  <c r="AI22" i="130"/>
  <c r="D36" i="473"/>
  <c r="D156" i="473" s="1"/>
  <c r="X14" i="823"/>
  <c r="N20" i="823"/>
  <c r="E45" i="639"/>
  <c r="F46" i="472"/>
  <c r="I41" i="472"/>
  <c r="K20" i="823"/>
  <c r="Q26" i="823"/>
  <c r="R26" i="823"/>
  <c r="R9" i="823"/>
  <c r="X9" i="823" s="1"/>
  <c r="Q9" i="823"/>
  <c r="G161" i="658"/>
  <c r="I390" i="658"/>
  <c r="I411" i="658" s="1"/>
  <c r="J137" i="657"/>
  <c r="I161" i="658"/>
  <c r="I45" i="639"/>
  <c r="J159" i="658"/>
  <c r="F390" i="658"/>
  <c r="F454" i="658" s="1"/>
  <c r="F156" i="658"/>
  <c r="J148" i="658"/>
  <c r="F151" i="658"/>
  <c r="E161" i="658"/>
  <c r="J155" i="658"/>
  <c r="J164" i="658"/>
  <c r="F144" i="658"/>
  <c r="I56" i="202"/>
  <c r="I56" i="502"/>
  <c r="I56" i="508"/>
  <c r="G221" i="608"/>
  <c r="M219" i="608"/>
  <c r="E44" i="472"/>
  <c r="I133" i="202"/>
  <c r="I388" i="202" s="1"/>
  <c r="I409" i="202" s="1"/>
  <c r="G151" i="658"/>
  <c r="D44" i="472"/>
  <c r="J143" i="200"/>
  <c r="J158" i="658"/>
  <c r="E151" i="200"/>
  <c r="H44" i="472"/>
  <c r="J31" i="130"/>
  <c r="I133" i="200"/>
  <c r="I129" i="200" s="1"/>
  <c r="I44" i="472"/>
  <c r="AG31" i="130"/>
  <c r="D140" i="508"/>
  <c r="I151" i="502"/>
  <c r="G45" i="502"/>
  <c r="G387" i="502" s="1"/>
  <c r="G408" i="502" s="1"/>
  <c r="D45" i="502"/>
  <c r="I161" i="657"/>
  <c r="I21" i="130"/>
  <c r="I211" i="130" s="1"/>
  <c r="H125" i="508"/>
  <c r="D27" i="130"/>
  <c r="G125" i="202"/>
  <c r="D46" i="472"/>
  <c r="G21" i="130"/>
  <c r="G211" i="130" s="1"/>
  <c r="D21" i="130"/>
  <c r="D211" i="130" s="1"/>
  <c r="I151" i="202"/>
  <c r="I161" i="654"/>
  <c r="I133" i="508"/>
  <c r="J53" i="200"/>
  <c r="I49" i="502"/>
  <c r="J153" i="508"/>
  <c r="E161" i="657"/>
  <c r="J153" i="502"/>
  <c r="J163" i="657"/>
  <c r="J160" i="202"/>
  <c r="J160" i="502"/>
  <c r="J153" i="200"/>
  <c r="D151" i="200"/>
  <c r="I45" i="508"/>
  <c r="I387" i="508" s="1"/>
  <c r="I408" i="508" s="1"/>
  <c r="D151" i="508"/>
  <c r="E38" i="211"/>
  <c r="G45" i="202"/>
  <c r="G387" i="202" s="1"/>
  <c r="G408" i="202" s="1"/>
  <c r="G125" i="200"/>
  <c r="E49" i="508"/>
  <c r="I45" i="502"/>
  <c r="I387" i="502" s="1"/>
  <c r="I408" i="502" s="1"/>
  <c r="I36" i="472"/>
  <c r="I156" i="472" s="1"/>
  <c r="J53" i="508"/>
  <c r="R21" i="130"/>
  <c r="R20" i="130" s="1"/>
  <c r="D140" i="202"/>
  <c r="D37" i="472"/>
  <c r="J37" i="472" s="1"/>
  <c r="D45" i="200"/>
  <c r="X22" i="130"/>
  <c r="D34" i="163"/>
  <c r="D154" i="163" s="1"/>
  <c r="J157" i="658"/>
  <c r="J53" i="202"/>
  <c r="J152" i="508"/>
  <c r="G45" i="200"/>
  <c r="G387" i="200" s="1"/>
  <c r="G408" i="200" s="1"/>
  <c r="J42" i="211"/>
  <c r="G34" i="163"/>
  <c r="G154" i="163" s="1"/>
  <c r="J42" i="639"/>
  <c r="U107" i="130"/>
  <c r="H21" i="130"/>
  <c r="H211" i="130" s="1"/>
  <c r="J164" i="200"/>
  <c r="J53" i="502"/>
  <c r="H56" i="508"/>
  <c r="H161" i="658"/>
  <c r="D49" i="202"/>
  <c r="J164" i="202"/>
  <c r="I45" i="202"/>
  <c r="I387" i="202" s="1"/>
  <c r="I408" i="202" s="1"/>
  <c r="I144" i="202"/>
  <c r="I34" i="211"/>
  <c r="I155" i="211" s="1"/>
  <c r="G34" i="639"/>
  <c r="G155" i="639" s="1"/>
  <c r="I125" i="200"/>
  <c r="D140" i="502"/>
  <c r="G38" i="202"/>
  <c r="F151" i="657"/>
  <c r="D140" i="200"/>
  <c r="J155" i="508"/>
  <c r="G34" i="211"/>
  <c r="G155" i="211" s="1"/>
  <c r="G125" i="502"/>
  <c r="H140" i="502"/>
  <c r="J163" i="654"/>
  <c r="H27" i="211"/>
  <c r="H156" i="211" s="1"/>
  <c r="D156" i="200"/>
  <c r="D34" i="639"/>
  <c r="D155" i="639" s="1"/>
  <c r="G156" i="658"/>
  <c r="P9" i="130"/>
  <c r="G33" i="742"/>
  <c r="G152" i="742" s="1"/>
  <c r="D49" i="502"/>
  <c r="G36" i="473"/>
  <c r="G156" i="473" s="1"/>
  <c r="J164" i="502"/>
  <c r="H45" i="639"/>
  <c r="I33" i="742"/>
  <c r="I152" i="742" s="1"/>
  <c r="H32" i="472"/>
  <c r="D125" i="657"/>
  <c r="I34" i="639"/>
  <c r="I155" i="639" s="1"/>
  <c r="E151" i="508"/>
  <c r="I161" i="200"/>
  <c r="F49" i="502"/>
  <c r="F38" i="639"/>
  <c r="E43" i="472"/>
  <c r="J160" i="200"/>
  <c r="I151" i="508"/>
  <c r="D49" i="200"/>
  <c r="AG22" i="130"/>
  <c r="J155" i="200"/>
  <c r="X5" i="129"/>
  <c r="I36" i="473"/>
  <c r="I156" i="473" s="1"/>
  <c r="G36" i="472"/>
  <c r="G156" i="472" s="1"/>
  <c r="I125" i="508"/>
  <c r="I32" i="472"/>
  <c r="I29" i="472" s="1"/>
  <c r="I14" i="130"/>
  <c r="I212" i="130" s="1"/>
  <c r="H140" i="508"/>
  <c r="I144" i="200"/>
  <c r="F56" i="508"/>
  <c r="E45" i="211"/>
  <c r="H125" i="202"/>
  <c r="G161" i="654"/>
  <c r="F161" i="657"/>
  <c r="J150" i="658"/>
  <c r="J46" i="200"/>
  <c r="D161" i="658"/>
  <c r="E151" i="502"/>
  <c r="H390" i="200"/>
  <c r="H411" i="200" s="1"/>
  <c r="J154" i="654"/>
  <c r="J155" i="202"/>
  <c r="J46" i="508"/>
  <c r="H56" i="502"/>
  <c r="J153" i="657"/>
  <c r="I125" i="202"/>
  <c r="I125" i="502"/>
  <c r="G161" i="657"/>
  <c r="J148" i="654"/>
  <c r="I161" i="202"/>
  <c r="I161" i="502"/>
  <c r="N20" i="129"/>
  <c r="N107" i="129" s="1"/>
  <c r="N109" i="129" s="1"/>
  <c r="D156" i="508"/>
  <c r="F24" i="477"/>
  <c r="F161" i="658"/>
  <c r="H56" i="202"/>
  <c r="J148" i="657"/>
  <c r="H133" i="200"/>
  <c r="H56" i="200"/>
  <c r="F38" i="202"/>
  <c r="H27" i="639"/>
  <c r="H156" i="639" s="1"/>
  <c r="AI24" i="130"/>
  <c r="I144" i="502"/>
  <c r="D151" i="654"/>
  <c r="J35" i="639"/>
  <c r="H39" i="472"/>
  <c r="J39" i="472" s="1"/>
  <c r="H38" i="211"/>
  <c r="I39" i="130"/>
  <c r="E49" i="202"/>
  <c r="G38" i="211"/>
  <c r="P26" i="130"/>
  <c r="P20" i="130" s="1"/>
  <c r="E36" i="473"/>
  <c r="E156" i="473" s="1"/>
  <c r="H45" i="211"/>
  <c r="D49" i="508"/>
  <c r="I50" i="472"/>
  <c r="F38" i="508"/>
  <c r="F27" i="130"/>
  <c r="F43" i="472"/>
  <c r="G41" i="472"/>
  <c r="H34" i="211"/>
  <c r="H155" i="211" s="1"/>
  <c r="H38" i="200"/>
  <c r="H49" i="200"/>
  <c r="D38" i="639"/>
  <c r="F38" i="200"/>
  <c r="G27" i="211"/>
  <c r="G156" i="211" s="1"/>
  <c r="E50" i="472"/>
  <c r="E56" i="502"/>
  <c r="F34" i="163"/>
  <c r="F154" i="163" s="1"/>
  <c r="D14" i="130"/>
  <c r="D212" i="130" s="1"/>
  <c r="D32" i="472"/>
  <c r="D29" i="472" s="1"/>
  <c r="D38" i="211"/>
  <c r="J41" i="639"/>
  <c r="H38" i="202"/>
  <c r="J47" i="508"/>
  <c r="J46" i="202"/>
  <c r="E49" i="200"/>
  <c r="F27" i="211"/>
  <c r="F156" i="211" s="1"/>
  <c r="G45" i="639"/>
  <c r="H49" i="502"/>
  <c r="H38" i="502"/>
  <c r="G38" i="502"/>
  <c r="J59" i="508"/>
  <c r="J57" i="202"/>
  <c r="H38" i="639"/>
  <c r="H48" i="472"/>
  <c r="F45" i="202"/>
  <c r="F387" i="202" s="1"/>
  <c r="F408" i="202" s="1"/>
  <c r="J46" i="639"/>
  <c r="J47" i="202"/>
  <c r="E41" i="472"/>
  <c r="E45" i="200"/>
  <c r="E387" i="200" s="1"/>
  <c r="E408" i="200" s="1"/>
  <c r="E36" i="472"/>
  <c r="E156" i="472" s="1"/>
  <c r="E27" i="130"/>
  <c r="F33" i="742"/>
  <c r="F152" i="742" s="1"/>
  <c r="F45" i="639"/>
  <c r="F45" i="508"/>
  <c r="F387" i="508" s="1"/>
  <c r="F408" i="508" s="1"/>
  <c r="E46" i="472"/>
  <c r="F14" i="130"/>
  <c r="F212" i="130" s="1"/>
  <c r="F32" i="472"/>
  <c r="I53" i="472"/>
  <c r="I52" i="472" s="1"/>
  <c r="J30" i="639"/>
  <c r="E38" i="639"/>
  <c r="V21" i="130"/>
  <c r="V20" i="130" s="1"/>
  <c r="X24" i="130"/>
  <c r="J38" i="472"/>
  <c r="J46" i="502"/>
  <c r="J41" i="508"/>
  <c r="J41" i="202"/>
  <c r="J47" i="200"/>
  <c r="G38" i="508"/>
  <c r="F34" i="639"/>
  <c r="H39" i="130"/>
  <c r="H53" i="472"/>
  <c r="H52" i="472" s="1"/>
  <c r="E56" i="202"/>
  <c r="J48" i="508"/>
  <c r="J59" i="200"/>
  <c r="E34" i="211"/>
  <c r="E155" i="211" s="1"/>
  <c r="J46" i="211"/>
  <c r="J57" i="508"/>
  <c r="J59" i="502"/>
  <c r="J30" i="211"/>
  <c r="J48" i="639"/>
  <c r="J59" i="202"/>
  <c r="M26" i="130"/>
  <c r="M20" i="130" s="1"/>
  <c r="J55" i="202"/>
  <c r="J38" i="473"/>
  <c r="J35" i="211"/>
  <c r="G48" i="472"/>
  <c r="G27" i="130"/>
  <c r="J23" i="130"/>
  <c r="J44" i="639"/>
  <c r="D53" i="472"/>
  <c r="D52" i="472" s="1"/>
  <c r="J22" i="130"/>
  <c r="G56" i="200"/>
  <c r="F45" i="200"/>
  <c r="F387" i="200" s="1"/>
  <c r="F408" i="200" s="1"/>
  <c r="I49" i="508"/>
  <c r="Q34" i="130"/>
  <c r="E56" i="200"/>
  <c r="J30" i="130"/>
  <c r="J36" i="211"/>
  <c r="J39" i="211"/>
  <c r="E45" i="508"/>
  <c r="E387" i="508" s="1"/>
  <c r="E408" i="508" s="1"/>
  <c r="D44" i="654"/>
  <c r="E56" i="508"/>
  <c r="AG30" i="130"/>
  <c r="G49" i="200"/>
  <c r="J36" i="639"/>
  <c r="J55" i="502"/>
  <c r="H33" i="742"/>
  <c r="H152" i="742" s="1"/>
  <c r="H45" i="502"/>
  <c r="F45" i="211"/>
  <c r="J35" i="163"/>
  <c r="J57" i="502"/>
  <c r="G56" i="508"/>
  <c r="J35" i="742"/>
  <c r="J17" i="130"/>
  <c r="G49" i="502"/>
  <c r="F36" i="473"/>
  <c r="F156" i="473" s="1"/>
  <c r="J41" i="211"/>
  <c r="F56" i="502"/>
  <c r="F45" i="502"/>
  <c r="F387" i="502" s="1"/>
  <c r="F408" i="502" s="1"/>
  <c r="J48" i="211"/>
  <c r="E33" i="742"/>
  <c r="E152" i="742" s="1"/>
  <c r="I43" i="472"/>
  <c r="G43" i="472"/>
  <c r="AH34" i="130"/>
  <c r="J57" i="200"/>
  <c r="D151" i="202"/>
  <c r="H133" i="508"/>
  <c r="J159" i="508"/>
  <c r="J162" i="658"/>
  <c r="D45" i="508"/>
  <c r="D390" i="654"/>
  <c r="D411" i="654" s="1"/>
  <c r="H45" i="200"/>
  <c r="J34" i="742"/>
  <c r="AG17" i="130"/>
  <c r="J39" i="639"/>
  <c r="F151" i="654"/>
  <c r="E34" i="130"/>
  <c r="E48" i="472"/>
  <c r="AG37" i="130"/>
  <c r="E34" i="639"/>
  <c r="E155" i="639" s="1"/>
  <c r="AG35" i="130"/>
  <c r="H151" i="654"/>
  <c r="D151" i="658"/>
  <c r="J160" i="508"/>
  <c r="J155" i="657"/>
  <c r="H390" i="502"/>
  <c r="H411" i="502" s="1"/>
  <c r="J52" i="502"/>
  <c r="E34" i="163"/>
  <c r="E154" i="163" s="1"/>
  <c r="F34" i="130"/>
  <c r="J35" i="130"/>
  <c r="J163" i="658"/>
  <c r="G38" i="200"/>
  <c r="E23" i="742"/>
  <c r="E154" i="742" s="1"/>
  <c r="E151" i="654"/>
  <c r="F34" i="211"/>
  <c r="F155" i="211" s="1"/>
  <c r="E151" i="657"/>
  <c r="J41" i="200"/>
  <c r="I38" i="211"/>
  <c r="G49" i="508"/>
  <c r="J50" i="200"/>
  <c r="J154" i="657"/>
  <c r="G49" i="202"/>
  <c r="J33" i="130"/>
  <c r="J153" i="658"/>
  <c r="J155" i="654"/>
  <c r="H34" i="163"/>
  <c r="H154" i="163" s="1"/>
  <c r="I151" i="654"/>
  <c r="J55" i="508"/>
  <c r="E49" i="502"/>
  <c r="E45" i="502"/>
  <c r="J146" i="658"/>
  <c r="J153" i="654"/>
  <c r="J146" i="654"/>
  <c r="F390" i="657"/>
  <c r="F411" i="657" s="1"/>
  <c r="I144" i="658"/>
  <c r="J165" i="654"/>
  <c r="F390" i="654"/>
  <c r="F411" i="654" s="1"/>
  <c r="J146" i="657"/>
  <c r="E156" i="658"/>
  <c r="J157" i="654"/>
  <c r="J157" i="657"/>
  <c r="J159" i="657"/>
  <c r="J165" i="658"/>
  <c r="J36" i="163"/>
  <c r="D38" i="200"/>
  <c r="D34" i="200" s="1"/>
  <c r="J165" i="657"/>
  <c r="H49" i="202"/>
  <c r="AG23" i="130"/>
  <c r="H46" i="472"/>
  <c r="J44" i="211"/>
  <c r="J159" i="502"/>
  <c r="H36" i="473"/>
  <c r="H156" i="473" s="1"/>
  <c r="H151" i="657"/>
  <c r="I151" i="657"/>
  <c r="G56" i="202"/>
  <c r="J52" i="202"/>
  <c r="J39" i="473"/>
  <c r="I156" i="657"/>
  <c r="H45" i="202"/>
  <c r="J36" i="742"/>
  <c r="G156" i="657"/>
  <c r="E156" i="654"/>
  <c r="J52" i="200"/>
  <c r="J52" i="508"/>
  <c r="J41" i="502"/>
  <c r="E21" i="130"/>
  <c r="E211" i="130" s="1"/>
  <c r="G156" i="654"/>
  <c r="J155" i="502"/>
  <c r="J37" i="639"/>
  <c r="J50" i="202"/>
  <c r="H45" i="508"/>
  <c r="I38" i="639"/>
  <c r="H34" i="639"/>
  <c r="H155" i="639" s="1"/>
  <c r="L20" i="129"/>
  <c r="G390" i="657"/>
  <c r="G411" i="657" s="1"/>
  <c r="D151" i="657"/>
  <c r="J47" i="502"/>
  <c r="F49" i="202"/>
  <c r="X117" i="120"/>
  <c r="H156" i="200"/>
  <c r="H49" i="508"/>
  <c r="Q21" i="130"/>
  <c r="P146" i="120"/>
  <c r="W146" i="120" s="1"/>
  <c r="J55" i="200"/>
  <c r="E24" i="211"/>
  <c r="E157" i="211" s="1"/>
  <c r="J48" i="202"/>
  <c r="D151" i="502"/>
  <c r="J50" i="639"/>
  <c r="G45" i="211"/>
  <c r="J37" i="211"/>
  <c r="E45" i="202"/>
  <c r="E387" i="202" s="1"/>
  <c r="E408" i="202" s="1"/>
  <c r="G38" i="639"/>
  <c r="J37" i="163"/>
  <c r="F38" i="211"/>
  <c r="F49" i="200"/>
  <c r="J24" i="130"/>
  <c r="J48" i="200"/>
  <c r="F38" i="502"/>
  <c r="F388" i="502" s="1"/>
  <c r="F409" i="502" s="1"/>
  <c r="F49" i="508"/>
  <c r="I49" i="202"/>
  <c r="K9" i="130"/>
  <c r="H27" i="130"/>
  <c r="F53" i="472"/>
  <c r="F52" i="472" s="1"/>
  <c r="J50" i="502"/>
  <c r="I156" i="658"/>
  <c r="D45" i="202"/>
  <c r="Q27" i="130"/>
  <c r="H133" i="502"/>
  <c r="H129" i="502" s="1"/>
  <c r="I34" i="163"/>
  <c r="I154" i="163" s="1"/>
  <c r="I161" i="508"/>
  <c r="G34" i="130"/>
  <c r="P20" i="129"/>
  <c r="P107" i="129" s="1"/>
  <c r="I156" i="654"/>
  <c r="D27" i="639"/>
  <c r="D156" i="639" s="1"/>
  <c r="AG33" i="130"/>
  <c r="J28" i="130"/>
  <c r="I45" i="200"/>
  <c r="J50" i="508"/>
  <c r="AG28" i="130"/>
  <c r="F21" i="130"/>
  <c r="F211" i="130" s="1"/>
  <c r="J37" i="130"/>
  <c r="I27" i="130"/>
  <c r="J48" i="502"/>
  <c r="AG24" i="130"/>
  <c r="AG40" i="130"/>
  <c r="G50" i="472"/>
  <c r="AH21" i="130"/>
  <c r="O26" i="130"/>
  <c r="O20" i="130" s="1"/>
  <c r="AG12" i="130"/>
  <c r="J40" i="130"/>
  <c r="F39" i="130"/>
  <c r="D38" i="508"/>
  <c r="D34" i="508" s="1"/>
  <c r="J51" i="639"/>
  <c r="F156" i="502"/>
  <c r="AH39" i="130"/>
  <c r="E10" i="130"/>
  <c r="E213" i="130" s="1"/>
  <c r="J51" i="211"/>
  <c r="J50" i="211"/>
  <c r="AH27" i="130"/>
  <c r="K26" i="130"/>
  <c r="K20" i="130" s="1"/>
  <c r="S10" i="130"/>
  <c r="S9" i="130" s="1"/>
  <c r="S107" i="130" s="1"/>
  <c r="F27" i="472"/>
  <c r="F26" i="472" s="1"/>
  <c r="F158" i="472" s="1"/>
  <c r="I44" i="654"/>
  <c r="I121" i="654" s="1"/>
  <c r="Q39" i="130"/>
  <c r="I44" i="657"/>
  <c r="I121" i="657" s="1"/>
  <c r="N26" i="130"/>
  <c r="N20" i="130" s="1"/>
  <c r="G44" i="654"/>
  <c r="G121" i="654" s="1"/>
  <c r="O9" i="130"/>
  <c r="V10" i="130"/>
  <c r="V9" i="130" s="1"/>
  <c r="H27" i="472"/>
  <c r="H26" i="472" s="1"/>
  <c r="H158" i="472" s="1"/>
  <c r="M9" i="130"/>
  <c r="G18" i="742"/>
  <c r="J66" i="657"/>
  <c r="H44" i="654"/>
  <c r="H121" i="654" s="1"/>
  <c r="H144" i="658"/>
  <c r="G35" i="508"/>
  <c r="G389" i="508" s="1"/>
  <c r="G410" i="508" s="1"/>
  <c r="I18" i="742"/>
  <c r="H30" i="202"/>
  <c r="G391" i="502"/>
  <c r="G412" i="502" s="1"/>
  <c r="D144" i="202"/>
  <c r="F156" i="508"/>
  <c r="H161" i="654"/>
  <c r="J61" i="654"/>
  <c r="J61" i="658"/>
  <c r="H19" i="211"/>
  <c r="I19" i="211"/>
  <c r="D125" i="508"/>
  <c r="J61" i="657"/>
  <c r="J56" i="657"/>
  <c r="H161" i="657"/>
  <c r="J158" i="657"/>
  <c r="H390" i="657"/>
  <c r="H454" i="657" s="1"/>
  <c r="H390" i="654"/>
  <c r="H411" i="654" s="1"/>
  <c r="H35" i="202"/>
  <c r="J66" i="658"/>
  <c r="E18" i="742"/>
  <c r="H156" i="202"/>
  <c r="J66" i="654"/>
  <c r="J56" i="654"/>
  <c r="J162" i="657"/>
  <c r="D133" i="202"/>
  <c r="D129" i="202" s="1"/>
  <c r="G26" i="473"/>
  <c r="G158" i="473" s="1"/>
  <c r="G160" i="473"/>
  <c r="D41" i="472"/>
  <c r="G44" i="658"/>
  <c r="G121" i="658" s="1"/>
  <c r="G44" i="657"/>
  <c r="G121" i="657" s="1"/>
  <c r="E14" i="130"/>
  <c r="E212" i="130" s="1"/>
  <c r="J169" i="158"/>
  <c r="H156" i="502"/>
  <c r="J167" i="186"/>
  <c r="H156" i="508"/>
  <c r="F156" i="202"/>
  <c r="F156" i="200"/>
  <c r="J159" i="654"/>
  <c r="F156" i="654"/>
  <c r="J150" i="657"/>
  <c r="J164" i="657"/>
  <c r="E156" i="657"/>
  <c r="E26" i="472"/>
  <c r="E158" i="472" s="1"/>
  <c r="F144" i="657"/>
  <c r="H156" i="657"/>
  <c r="E133" i="657"/>
  <c r="E129" i="657" s="1"/>
  <c r="D44" i="657"/>
  <c r="D121" i="657" s="1"/>
  <c r="H44" i="657"/>
  <c r="H121" i="657" s="1"/>
  <c r="F44" i="657"/>
  <c r="F121" i="657" s="1"/>
  <c r="E133" i="654"/>
  <c r="E129" i="654" s="1"/>
  <c r="E44" i="657"/>
  <c r="E121" i="657" s="1"/>
  <c r="I144" i="657"/>
  <c r="D133" i="657"/>
  <c r="D388" i="657" s="1"/>
  <c r="J145" i="508"/>
  <c r="D144" i="508"/>
  <c r="I125" i="657"/>
  <c r="I390" i="657"/>
  <c r="I125" i="654"/>
  <c r="I390" i="654"/>
  <c r="I411" i="654" s="1"/>
  <c r="G125" i="654"/>
  <c r="G390" i="654"/>
  <c r="G411" i="654" s="1"/>
  <c r="D125" i="502"/>
  <c r="D390" i="502"/>
  <c r="D411" i="502" s="1"/>
  <c r="J158" i="654"/>
  <c r="J150" i="654"/>
  <c r="D133" i="654"/>
  <c r="D129" i="654" s="1"/>
  <c r="F30" i="502"/>
  <c r="F391" i="502"/>
  <c r="F412" i="502" s="1"/>
  <c r="I44" i="658"/>
  <c r="I121" i="658" s="1"/>
  <c r="J137" i="502"/>
  <c r="J137" i="508"/>
  <c r="J56" i="658"/>
  <c r="F144" i="654"/>
  <c r="H156" i="654"/>
  <c r="J137" i="654"/>
  <c r="J134" i="654"/>
  <c r="J127" i="508"/>
  <c r="J390" i="508" s="1"/>
  <c r="L13" i="485" s="1"/>
  <c r="H44" i="658"/>
  <c r="H121" i="658" s="1"/>
  <c r="F129" i="502"/>
  <c r="E133" i="658"/>
  <c r="E129" i="658" s="1"/>
  <c r="E144" i="658"/>
  <c r="J145" i="502"/>
  <c r="D144" i="502"/>
  <c r="E161" i="654"/>
  <c r="J162" i="654"/>
  <c r="J164" i="654"/>
  <c r="D161" i="654"/>
  <c r="G125" i="658"/>
  <c r="J125" i="658" s="1"/>
  <c r="G390" i="658"/>
  <c r="J127" i="658"/>
  <c r="J390" i="658" s="1"/>
  <c r="J411" i="658" s="1"/>
  <c r="G30" i="508"/>
  <c r="J30" i="508" s="1"/>
  <c r="G391" i="508"/>
  <c r="G412" i="508" s="1"/>
  <c r="F156" i="657"/>
  <c r="J145" i="200"/>
  <c r="D144" i="200"/>
  <c r="J137" i="200"/>
  <c r="J134" i="657"/>
  <c r="E130" i="200"/>
  <c r="J131" i="200"/>
  <c r="D125" i="200"/>
  <c r="D390" i="200"/>
  <c r="D411" i="200" s="1"/>
  <c r="I30" i="200"/>
  <c r="I391" i="200"/>
  <c r="I412" i="200" s="1"/>
  <c r="D125" i="202"/>
  <c r="D390" i="202"/>
  <c r="D411" i="202" s="1"/>
  <c r="J137" i="202"/>
  <c r="E30" i="202"/>
  <c r="E391" i="202"/>
  <c r="E412" i="202" s="1"/>
  <c r="G156" i="508"/>
  <c r="G156" i="200"/>
  <c r="G156" i="502"/>
  <c r="L26" i="130"/>
  <c r="L20" i="130" s="1"/>
  <c r="H30" i="502"/>
  <c r="H391" i="502"/>
  <c r="H412" i="502" s="1"/>
  <c r="G30" i="202"/>
  <c r="G391" i="202"/>
  <c r="G412" i="202" s="1"/>
  <c r="G144" i="654"/>
  <c r="G144" i="657"/>
  <c r="X139" i="120"/>
  <c r="J137" i="658"/>
  <c r="X39" i="120"/>
  <c r="E144" i="654"/>
  <c r="H144" i="657"/>
  <c r="H144" i="654"/>
  <c r="T135" i="120"/>
  <c r="M146" i="120"/>
  <c r="T146" i="120" s="1"/>
  <c r="U26" i="120"/>
  <c r="N20" i="120"/>
  <c r="U20" i="120" s="1"/>
  <c r="I34" i="502"/>
  <c r="E35" i="502"/>
  <c r="F44" i="658"/>
  <c r="F121" i="658" s="1"/>
  <c r="I34" i="200"/>
  <c r="H35" i="508"/>
  <c r="G144" i="658"/>
  <c r="G35" i="202"/>
  <c r="L9" i="130"/>
  <c r="J157" i="508"/>
  <c r="J157" i="200"/>
  <c r="H10" i="130"/>
  <c r="H213" i="130" s="1"/>
  <c r="H24" i="163"/>
  <c r="H156" i="163" s="1"/>
  <c r="H35" i="200"/>
  <c r="J134" i="658"/>
  <c r="G156" i="202"/>
  <c r="E133" i="502"/>
  <c r="E129" i="502" s="1"/>
  <c r="E133" i="508"/>
  <c r="E133" i="200"/>
  <c r="E133" i="202"/>
  <c r="AI11" i="130"/>
  <c r="X11" i="130"/>
  <c r="H23" i="742"/>
  <c r="H154" i="742" s="1"/>
  <c r="H35" i="502"/>
  <c r="H24" i="639"/>
  <c r="J25" i="211"/>
  <c r="J158" i="200"/>
  <c r="J36" i="502"/>
  <c r="G35" i="200"/>
  <c r="D44" i="658"/>
  <c r="D121" i="658" s="1"/>
  <c r="E44" i="654"/>
  <c r="E121" i="654" s="1"/>
  <c r="H26" i="473"/>
  <c r="H158" i="473" s="1"/>
  <c r="F24" i="163"/>
  <c r="D161" i="202"/>
  <c r="D161" i="200"/>
  <c r="D161" i="508"/>
  <c r="D161" i="502"/>
  <c r="I133" i="658"/>
  <c r="D133" i="658"/>
  <c r="D129" i="658" s="1"/>
  <c r="T107" i="130"/>
  <c r="D61" i="202"/>
  <c r="J62" i="202"/>
  <c r="D61" i="200"/>
  <c r="J62" i="200"/>
  <c r="D61" i="508"/>
  <c r="J62" i="508"/>
  <c r="D61" i="502"/>
  <c r="J62" i="502"/>
  <c r="E125" i="657"/>
  <c r="E390" i="657"/>
  <c r="J127" i="657"/>
  <c r="J390" i="657" s="1"/>
  <c r="J411" i="657" s="1"/>
  <c r="E125" i="654"/>
  <c r="E390" i="654"/>
  <c r="E411" i="654" s="1"/>
  <c r="J127" i="654"/>
  <c r="H151" i="658"/>
  <c r="J152" i="658"/>
  <c r="D144" i="657"/>
  <c r="J145" i="657"/>
  <c r="D144" i="654"/>
  <c r="J145" i="654"/>
  <c r="J158" i="502"/>
  <c r="D156" i="502"/>
  <c r="D156" i="202"/>
  <c r="J158" i="202"/>
  <c r="J157" i="502"/>
  <c r="E156" i="502"/>
  <c r="E156" i="202"/>
  <c r="J157" i="202"/>
  <c r="I130" i="202"/>
  <c r="I389" i="202" s="1"/>
  <c r="I410" i="202" s="1"/>
  <c r="J131" i="202"/>
  <c r="I27" i="472"/>
  <c r="W10" i="130"/>
  <c r="D156" i="163"/>
  <c r="R114" i="120"/>
  <c r="K146" i="120"/>
  <c r="R146" i="120" s="1"/>
  <c r="D148" i="120" s="1"/>
  <c r="U135" i="120"/>
  <c r="Q135" i="120"/>
  <c r="D156" i="658"/>
  <c r="J160" i="658"/>
  <c r="J160" i="657"/>
  <c r="D156" i="657"/>
  <c r="D156" i="654"/>
  <c r="J160" i="654"/>
  <c r="G151" i="657"/>
  <c r="J152" i="657"/>
  <c r="J152" i="654"/>
  <c r="G151" i="654"/>
  <c r="AG11" i="130"/>
  <c r="J11" i="130"/>
  <c r="F10" i="130"/>
  <c r="F213" i="130" s="1"/>
  <c r="J25" i="639"/>
  <c r="F24" i="639"/>
  <c r="F157" i="639" s="1"/>
  <c r="J36" i="508"/>
  <c r="E35" i="508"/>
  <c r="E35" i="200"/>
  <c r="J36" i="200"/>
  <c r="E35" i="202"/>
  <c r="E34" i="202" s="1"/>
  <c r="J36" i="202"/>
  <c r="J25" i="163"/>
  <c r="E24" i="163"/>
  <c r="E156" i="163" s="1"/>
  <c r="W26" i="120"/>
  <c r="P20" i="120"/>
  <c r="W20" i="120" s="1"/>
  <c r="J145" i="658"/>
  <c r="D144" i="658"/>
  <c r="E390" i="502"/>
  <c r="E411" i="502" s="1"/>
  <c r="J127" i="502"/>
  <c r="J390" i="502" s="1"/>
  <c r="E125" i="502"/>
  <c r="E390" i="200"/>
  <c r="E411" i="200" s="1"/>
  <c r="E125" i="200"/>
  <c r="J127" i="200"/>
  <c r="J390" i="200" s="1"/>
  <c r="J411" i="200" s="1"/>
  <c r="L12" i="485" s="1"/>
  <c r="J127" i="202"/>
  <c r="J390" i="202" s="1"/>
  <c r="J411" i="202" s="1"/>
  <c r="E125" i="202"/>
  <c r="E390" i="202"/>
  <c r="E411" i="202" s="1"/>
  <c r="G30" i="472"/>
  <c r="H156" i="742"/>
  <c r="H18" i="742"/>
  <c r="J131" i="508"/>
  <c r="I130" i="508"/>
  <c r="I389" i="508" s="1"/>
  <c r="I410" i="508" s="1"/>
  <c r="I130" i="502"/>
  <c r="J131" i="502"/>
  <c r="G24" i="211"/>
  <c r="G157" i="211" s="1"/>
  <c r="G10" i="130"/>
  <c r="G213" i="130" s="1"/>
  <c r="G35" i="502"/>
  <c r="AH44" i="130"/>
  <c r="G26" i="472"/>
  <c r="G158" i="472" s="1"/>
  <c r="N9" i="130"/>
  <c r="I133" i="657"/>
  <c r="I133" i="654"/>
  <c r="E390" i="508"/>
  <c r="E411" i="508" s="1"/>
  <c r="E125" i="508"/>
  <c r="G14" i="130"/>
  <c r="G212" i="130" s="1"/>
  <c r="G23" i="742"/>
  <c r="G154" i="742" s="1"/>
  <c r="J24" i="742"/>
  <c r="I30" i="202"/>
  <c r="I391" i="202"/>
  <c r="I412" i="202" s="1"/>
  <c r="I19" i="163"/>
  <c r="I158" i="163"/>
  <c r="I19" i="639"/>
  <c r="I159" i="639"/>
  <c r="J158" i="508"/>
  <c r="E156" i="508"/>
  <c r="D157" i="639"/>
  <c r="E44" i="130"/>
  <c r="H21" i="473"/>
  <c r="H160" i="473"/>
  <c r="J20" i="211"/>
  <c r="J159" i="211" s="1"/>
  <c r="M8" i="485" s="1"/>
  <c r="M10" i="485" s="1"/>
  <c r="J37" i="508"/>
  <c r="E30" i="472"/>
  <c r="E29" i="472" s="1"/>
  <c r="E157" i="472" s="1"/>
  <c r="H30" i="200"/>
  <c r="H391" i="200"/>
  <c r="H412" i="200" s="1"/>
  <c r="H5" i="130"/>
  <c r="G19" i="211"/>
  <c r="G159" i="211"/>
  <c r="W5" i="485"/>
  <c r="Y5" i="485" s="1"/>
  <c r="J21" i="112"/>
  <c r="F403" i="657"/>
  <c r="F448" i="657"/>
  <c r="G403" i="658"/>
  <c r="G448" i="658"/>
  <c r="H403" i="658"/>
  <c r="H448" i="658"/>
  <c r="I403" i="657"/>
  <c r="I448" i="657"/>
  <c r="I403" i="658"/>
  <c r="D403" i="657"/>
  <c r="G403" i="657"/>
  <c r="G448" i="657"/>
  <c r="D411" i="657"/>
  <c r="D454" i="657"/>
  <c r="F403" i="658"/>
  <c r="F448" i="658"/>
  <c r="H403" i="657"/>
  <c r="H448" i="657"/>
  <c r="E403" i="657"/>
  <c r="E448" i="657"/>
  <c r="E391" i="502"/>
  <c r="E412" i="502" s="1"/>
  <c r="E156" i="200"/>
  <c r="J25" i="742"/>
  <c r="J15" i="130"/>
  <c r="G24" i="163"/>
  <c r="G44" i="130"/>
  <c r="I391" i="508"/>
  <c r="I412" i="508" s="1"/>
  <c r="F391" i="202"/>
  <c r="F412" i="202" s="1"/>
  <c r="F19" i="163"/>
  <c r="E159" i="639"/>
  <c r="H158" i="163"/>
  <c r="J55" i="639"/>
  <c r="E21" i="473"/>
  <c r="G58" i="472"/>
  <c r="G57" i="472" s="1"/>
  <c r="I391" i="502"/>
  <c r="I412" i="502" s="1"/>
  <c r="L146" i="120"/>
  <c r="S146" i="120" s="1"/>
  <c r="H19" i="639"/>
  <c r="J28" i="211"/>
  <c r="F23" i="742"/>
  <c r="F21" i="472"/>
  <c r="F19" i="639"/>
  <c r="G391" i="200"/>
  <c r="G412" i="200" s="1"/>
  <c r="K20" i="129"/>
  <c r="K107" i="129" s="1"/>
  <c r="O146" i="120"/>
  <c r="V146" i="120" s="1"/>
  <c r="H30" i="472"/>
  <c r="Q122" i="120"/>
  <c r="H44" i="130"/>
  <c r="J26" i="211"/>
  <c r="F58" i="472"/>
  <c r="F57" i="472" s="1"/>
  <c r="F391" i="508"/>
  <c r="F412" i="508" s="1"/>
  <c r="X122" i="120"/>
  <c r="H58" i="472"/>
  <c r="H57" i="472" s="1"/>
  <c r="AG15" i="130"/>
  <c r="M20" i="120"/>
  <c r="T20" i="120" s="1"/>
  <c r="H14" i="130"/>
  <c r="H212" i="130" s="1"/>
  <c r="H391" i="508"/>
  <c r="H412" i="508" s="1"/>
  <c r="G19" i="163"/>
  <c r="J49" i="658"/>
  <c r="J28" i="639"/>
  <c r="X128" i="120"/>
  <c r="G27" i="639"/>
  <c r="F19" i="211"/>
  <c r="F24" i="211"/>
  <c r="E160" i="472"/>
  <c r="O20" i="120"/>
  <c r="V20" i="120" s="1"/>
  <c r="F156" i="742"/>
  <c r="J20" i="639"/>
  <c r="J159" i="639" s="1"/>
  <c r="J19" i="742"/>
  <c r="J156" i="742" s="1"/>
  <c r="G19" i="639"/>
  <c r="Q44" i="130"/>
  <c r="F36" i="472"/>
  <c r="F156" i="472" s="1"/>
  <c r="I381" i="508"/>
  <c r="I402" i="508" s="1"/>
  <c r="J37" i="202"/>
  <c r="J26" i="639"/>
  <c r="J12" i="130"/>
  <c r="G24" i="639"/>
  <c r="G157" i="639" s="1"/>
  <c r="M20" i="129"/>
  <c r="M107" i="129" s="1"/>
  <c r="M109" i="129" s="1"/>
  <c r="F391" i="200"/>
  <c r="F412" i="200" s="1"/>
  <c r="J56" i="639"/>
  <c r="I34" i="202"/>
  <c r="AH5" i="130"/>
  <c r="Q5" i="130"/>
  <c r="F381" i="502"/>
  <c r="F402" i="502" s="1"/>
  <c r="J37" i="502"/>
  <c r="E19" i="211"/>
  <c r="E159" i="211"/>
  <c r="K20" i="120"/>
  <c r="R20" i="120" s="1"/>
  <c r="H381" i="508"/>
  <c r="H402" i="508" s="1"/>
  <c r="W114" i="120"/>
  <c r="J26" i="163"/>
  <c r="J31" i="202"/>
  <c r="AG6" i="130"/>
  <c r="J37" i="200"/>
  <c r="AH10" i="130"/>
  <c r="Q10" i="130"/>
  <c r="G160" i="472"/>
  <c r="J6" i="130"/>
  <c r="J215" i="130" s="1"/>
  <c r="M23" i="485" s="1"/>
  <c r="M24" i="485" s="1"/>
  <c r="I381" i="202"/>
  <c r="I402" i="202" s="1"/>
  <c r="G381" i="502"/>
  <c r="G402" i="502" s="1"/>
  <c r="J22" i="472"/>
  <c r="J160" i="472" s="1"/>
  <c r="M28" i="485" s="1"/>
  <c r="M30" i="485" s="1"/>
  <c r="I21" i="472"/>
  <c r="F381" i="508"/>
  <c r="F402" i="508" s="1"/>
  <c r="J55" i="211"/>
  <c r="F381" i="657"/>
  <c r="G381" i="508"/>
  <c r="G402" i="508" s="1"/>
  <c r="J135" i="508"/>
  <c r="H381" i="658"/>
  <c r="O20" i="129"/>
  <c r="O107" i="129" s="1"/>
  <c r="I34" i="508"/>
  <c r="J31" i="200"/>
  <c r="E391" i="200"/>
  <c r="E412" i="200" s="1"/>
  <c r="I160" i="473"/>
  <c r="J56" i="211"/>
  <c r="J208" i="508"/>
  <c r="J135" i="657"/>
  <c r="J49" i="657"/>
  <c r="F35" i="202"/>
  <c r="J174" i="508"/>
  <c r="J382" i="508" s="1"/>
  <c r="E381" i="502"/>
  <c r="E402" i="502" s="1"/>
  <c r="J49" i="654"/>
  <c r="H381" i="200"/>
  <c r="H402" i="200" s="1"/>
  <c r="D381" i="202"/>
  <c r="D402" i="202" s="1"/>
  <c r="F381" i="200"/>
  <c r="F402" i="200" s="1"/>
  <c r="D381" i="502"/>
  <c r="D402" i="502" s="1"/>
  <c r="F133" i="657"/>
  <c r="F129" i="657" s="1"/>
  <c r="G381" i="202"/>
  <c r="G402" i="202" s="1"/>
  <c r="J20" i="163"/>
  <c r="J158" i="163" s="1"/>
  <c r="M7" i="485" s="1"/>
  <c r="F35" i="502"/>
  <c r="AG45" i="130"/>
  <c r="H133" i="654"/>
  <c r="H129" i="654" s="1"/>
  <c r="J28" i="473"/>
  <c r="J45" i="130"/>
  <c r="F44" i="130"/>
  <c r="J31" i="502"/>
  <c r="J391" i="502" s="1"/>
  <c r="J39" i="502"/>
  <c r="E19" i="163"/>
  <c r="H381" i="502"/>
  <c r="H402" i="502" s="1"/>
  <c r="Q9" i="129"/>
  <c r="J39" i="200"/>
  <c r="F35" i="200"/>
  <c r="G381" i="200"/>
  <c r="G402" i="200" s="1"/>
  <c r="Q14" i="130"/>
  <c r="G144" i="502"/>
  <c r="E44" i="658"/>
  <c r="E121" i="658" s="1"/>
  <c r="J135" i="502"/>
  <c r="AH14" i="130"/>
  <c r="G144" i="200"/>
  <c r="J39" i="202"/>
  <c r="Q26" i="129"/>
  <c r="G144" i="202"/>
  <c r="F44" i="654"/>
  <c r="F121" i="654" s="1"/>
  <c r="J39" i="508"/>
  <c r="E391" i="508"/>
  <c r="E412" i="508" s="1"/>
  <c r="F35" i="508"/>
  <c r="J174" i="200"/>
  <c r="J382" i="200" s="1"/>
  <c r="J403" i="200" s="1"/>
  <c r="D12" i="485" s="1"/>
  <c r="J31" i="508"/>
  <c r="J149" i="657"/>
  <c r="J180" i="502"/>
  <c r="J383" i="502" s="1"/>
  <c r="J404" i="502" s="1"/>
  <c r="J187" i="200"/>
  <c r="J384" i="200" s="1"/>
  <c r="J405" i="200" s="1"/>
  <c r="F12" i="485" s="1"/>
  <c r="J187" i="502"/>
  <c r="J384" i="502" s="1"/>
  <c r="F37" i="485" s="1"/>
  <c r="J135" i="654"/>
  <c r="J195" i="202"/>
  <c r="G133" i="654"/>
  <c r="G129" i="654" s="1"/>
  <c r="J146" i="202"/>
  <c r="E144" i="657"/>
  <c r="J201" i="657"/>
  <c r="F133" i="654"/>
  <c r="F129" i="654" s="1"/>
  <c r="G133" i="657"/>
  <c r="G129" i="657" s="1"/>
  <c r="J180" i="200"/>
  <c r="J383" i="200" s="1"/>
  <c r="J404" i="200" s="1"/>
  <c r="E12" i="485" s="1"/>
  <c r="J187" i="508"/>
  <c r="J384" i="508" s="1"/>
  <c r="J405" i="508" s="1"/>
  <c r="J208" i="202"/>
  <c r="J167" i="200"/>
  <c r="J385" i="200" s="1"/>
  <c r="J406" i="200" s="1"/>
  <c r="G12" i="485" s="1"/>
  <c r="J195" i="657"/>
  <c r="J187" i="202"/>
  <c r="J384" i="202" s="1"/>
  <c r="J405" i="202" s="1"/>
  <c r="J195" i="502"/>
  <c r="H133" i="657"/>
  <c r="H129" i="657" s="1"/>
  <c r="J22" i="473"/>
  <c r="J160" i="473" s="1"/>
  <c r="M4" i="485" s="1"/>
  <c r="M6" i="485" s="1"/>
  <c r="J135" i="200"/>
  <c r="G144" i="508"/>
  <c r="J208" i="200"/>
  <c r="J174" i="202"/>
  <c r="J382" i="202" s="1"/>
  <c r="J403" i="202" s="1"/>
  <c r="J149" i="654"/>
  <c r="J208" i="657"/>
  <c r="J201" i="654"/>
  <c r="F384" i="502"/>
  <c r="F405" i="502" s="1"/>
  <c r="F382" i="202"/>
  <c r="F403" i="202" s="1"/>
  <c r="J174" i="657"/>
  <c r="J382" i="657" s="1"/>
  <c r="J403" i="657" s="1"/>
  <c r="I144" i="654"/>
  <c r="D133" i="502"/>
  <c r="D129" i="502" s="1"/>
  <c r="J180" i="508"/>
  <c r="J383" i="508" s="1"/>
  <c r="J404" i="508" s="1"/>
  <c r="J195" i="200"/>
  <c r="I385" i="508"/>
  <c r="I406" i="508" s="1"/>
  <c r="J38" i="657"/>
  <c r="J174" i="654"/>
  <c r="J136" i="654"/>
  <c r="J201" i="200"/>
  <c r="I384" i="502"/>
  <c r="I405" i="502" s="1"/>
  <c r="J135" i="202"/>
  <c r="J167" i="202"/>
  <c r="J385" i="202" s="1"/>
  <c r="J406" i="202" s="1"/>
  <c r="J34" i="657"/>
  <c r="E66" i="502"/>
  <c r="J67" i="502"/>
  <c r="J136" i="657"/>
  <c r="E66" i="508"/>
  <c r="J67" i="508"/>
  <c r="J163" i="502"/>
  <c r="D381" i="508"/>
  <c r="D402" i="508" s="1"/>
  <c r="J201" i="502"/>
  <c r="E66" i="200"/>
  <c r="J66" i="200" s="1"/>
  <c r="J67" i="200"/>
  <c r="J195" i="654"/>
  <c r="J163" i="508"/>
  <c r="J201" i="508"/>
  <c r="D34" i="502"/>
  <c r="F21" i="473"/>
  <c r="J167" i="508"/>
  <c r="J385" i="508" s="1"/>
  <c r="J167" i="502"/>
  <c r="J385" i="502" s="1"/>
  <c r="J146" i="508"/>
  <c r="J195" i="508"/>
  <c r="E66" i="202"/>
  <c r="J67" i="202"/>
  <c r="J163" i="200"/>
  <c r="F160" i="473"/>
  <c r="D133" i="200"/>
  <c r="D129" i="200" s="1"/>
  <c r="J174" i="502"/>
  <c r="J382" i="502" s="1"/>
  <c r="J403" i="502" s="1"/>
  <c r="J208" i="502"/>
  <c r="J163" i="202"/>
  <c r="X14" i="120"/>
  <c r="J180" i="654"/>
  <c r="J146" i="200"/>
  <c r="J187" i="654"/>
  <c r="J180" i="202"/>
  <c r="J383" i="202" s="1"/>
  <c r="J404" i="202" s="1"/>
  <c r="J208" i="654"/>
  <c r="J201" i="202"/>
  <c r="D34" i="654"/>
  <c r="J34" i="654" s="1"/>
  <c r="J38" i="654"/>
  <c r="D133" i="508"/>
  <c r="J180" i="657"/>
  <c r="J383" i="657" s="1"/>
  <c r="J404" i="657" s="1"/>
  <c r="D34" i="202"/>
  <c r="D383" i="200"/>
  <c r="D404" i="200" s="1"/>
  <c r="J187" i="657"/>
  <c r="J384" i="657" s="1"/>
  <c r="J405" i="657" s="1"/>
  <c r="J146" i="502"/>
  <c r="J28" i="472"/>
  <c r="G133" i="658"/>
  <c r="G129" i="658" s="1"/>
  <c r="F133" i="658"/>
  <c r="F129" i="658" s="1"/>
  <c r="F381" i="658"/>
  <c r="J34" i="658"/>
  <c r="H133" i="658"/>
  <c r="H129" i="658" s="1"/>
  <c r="J38" i="658"/>
  <c r="I381" i="657"/>
  <c r="H381" i="657"/>
  <c r="G381" i="657"/>
  <c r="L20" i="120"/>
  <c r="L107" i="120" s="1"/>
  <c r="J135" i="658"/>
  <c r="E381" i="657"/>
  <c r="X9" i="120"/>
  <c r="J174" i="658"/>
  <c r="J382" i="658" s="1"/>
  <c r="J195" i="658"/>
  <c r="D382" i="658"/>
  <c r="J187" i="658"/>
  <c r="J384" i="658" s="1"/>
  <c r="J208" i="658"/>
  <c r="J149" i="658"/>
  <c r="J201" i="658"/>
  <c r="N146" i="120"/>
  <c r="Q114" i="120"/>
  <c r="Q9" i="120"/>
  <c r="J136" i="658"/>
  <c r="Q26" i="120"/>
  <c r="D381" i="657"/>
  <c r="D449" i="657" s="1"/>
  <c r="D384" i="657"/>
  <c r="D405" i="657" s="1"/>
  <c r="J180" i="658"/>
  <c r="J383" i="658" s="1"/>
  <c r="H160" i="472"/>
  <c r="H21" i="472"/>
  <c r="X29" i="485"/>
  <c r="Z29" i="485" s="1"/>
  <c r="E381" i="508"/>
  <c r="E402" i="508" s="1"/>
  <c r="D381" i="658"/>
  <c r="G381" i="658"/>
  <c r="D381" i="654"/>
  <c r="D402" i="654" s="1"/>
  <c r="E381" i="658"/>
  <c r="E381" i="202"/>
  <c r="E402" i="202" s="1"/>
  <c r="I381" i="200"/>
  <c r="I402" i="200" s="1"/>
  <c r="F381" i="202"/>
  <c r="F402" i="202" s="1"/>
  <c r="I381" i="502"/>
  <c r="I402" i="502" s="1"/>
  <c r="F382" i="200"/>
  <c r="F403" i="200" s="1"/>
  <c r="H381" i="202"/>
  <c r="H402" i="202" s="1"/>
  <c r="I383" i="508"/>
  <c r="I404" i="508" s="1"/>
  <c r="I381" i="658"/>
  <c r="F381" i="654"/>
  <c r="F402" i="654" s="1"/>
  <c r="E384" i="202"/>
  <c r="E405" i="202" s="1"/>
  <c r="I383" i="658"/>
  <c r="I404" i="658" s="1"/>
  <c r="E381" i="654"/>
  <c r="E402" i="654" s="1"/>
  <c r="I381" i="654"/>
  <c r="I402" i="654" s="1"/>
  <c r="E381" i="200"/>
  <c r="E402" i="200" s="1"/>
  <c r="D381" i="200"/>
  <c r="D402" i="200" s="1"/>
  <c r="G381" i="654"/>
  <c r="G402" i="654" s="1"/>
  <c r="H381" i="654"/>
  <c r="H402" i="654" s="1"/>
  <c r="E383" i="200"/>
  <c r="E404" i="200" s="1"/>
  <c r="E382" i="502"/>
  <c r="E403" i="502" s="1"/>
  <c r="E382" i="658"/>
  <c r="J61" i="163"/>
  <c r="J152" i="163" s="1"/>
  <c r="D152" i="163"/>
  <c r="D30" i="79"/>
  <c r="D8" i="40"/>
  <c r="D36" i="39"/>
  <c r="R9" i="130"/>
  <c r="J223" i="129"/>
  <c r="J225" i="129" s="1"/>
  <c r="F26" i="477"/>
  <c r="J165" i="129"/>
  <c r="J153" i="129"/>
  <c r="D168" i="129"/>
  <c r="D170" i="129"/>
  <c r="AF38" i="485"/>
  <c r="AJ14" i="485" s="1"/>
  <c r="I23" i="639"/>
  <c r="W21" i="485"/>
  <c r="J65" i="112"/>
  <c r="I154" i="742"/>
  <c r="D389" i="508"/>
  <c r="D410" i="508" s="1"/>
  <c r="X27" i="485"/>
  <c r="Y14" i="485"/>
  <c r="I23" i="211"/>
  <c r="X11" i="485"/>
  <c r="J441" i="200"/>
  <c r="J25" i="112"/>
  <c r="AF9" i="485"/>
  <c r="AI9" i="485" s="1"/>
  <c r="W9" i="485"/>
  <c r="Z38" i="485"/>
  <c r="Y38" i="485"/>
  <c r="J63" i="473"/>
  <c r="D154" i="473"/>
  <c r="J169" i="216"/>
  <c r="I389" i="200"/>
  <c r="I410" i="200" s="1"/>
  <c r="D158" i="473"/>
  <c r="AF11" i="485"/>
  <c r="AI11" i="485" s="1"/>
  <c r="W11" i="485"/>
  <c r="J27" i="112"/>
  <c r="D389" i="200"/>
  <c r="D410" i="200" s="1"/>
  <c r="D158" i="472"/>
  <c r="AF5" i="485"/>
  <c r="AI5" i="485" s="1"/>
  <c r="J63" i="472"/>
  <c r="D154" i="472"/>
  <c r="D389" i="502"/>
  <c r="D410" i="502" s="1"/>
  <c r="D389" i="202"/>
  <c r="D410" i="202" s="1"/>
  <c r="X3" i="485"/>
  <c r="J19" i="112"/>
  <c r="AF3" i="485"/>
  <c r="AI3" i="485" s="1"/>
  <c r="W3" i="485"/>
  <c r="J60" i="742"/>
  <c r="J150" i="742" s="1"/>
  <c r="D150" i="742"/>
  <c r="D157" i="211"/>
  <c r="D23" i="211"/>
  <c r="AF27" i="485"/>
  <c r="AJ3" i="485" s="1"/>
  <c r="W27" i="485"/>
  <c r="K19" i="112"/>
  <c r="AB27" i="485"/>
  <c r="N48" i="485"/>
  <c r="K21" i="112"/>
  <c r="W29" i="485"/>
  <c r="N50" i="485"/>
  <c r="AB29" i="485"/>
  <c r="AF29" i="485"/>
  <c r="AJ5" i="485" s="1"/>
  <c r="D14" i="91"/>
  <c r="E24" i="40"/>
  <c r="C51" i="485"/>
  <c r="AE20" i="129" l="1"/>
  <c r="Y107" i="129"/>
  <c r="X9" i="129"/>
  <c r="R107" i="129"/>
  <c r="X26" i="129"/>
  <c r="R20" i="129"/>
  <c r="X20" i="129" s="1"/>
  <c r="N6" i="858"/>
  <c r="N11" i="858" s="1"/>
  <c r="N19" i="858" s="1"/>
  <c r="N24" i="858" s="1"/>
  <c r="O4" i="858"/>
  <c r="O6" i="858" s="1"/>
  <c r="O11" i="858" s="1"/>
  <c r="O19" i="858" s="1"/>
  <c r="O24" i="858" s="1"/>
  <c r="F26" i="742"/>
  <c r="F153" i="742" s="1"/>
  <c r="G388" i="202"/>
  <c r="G409" i="202" s="1"/>
  <c r="F388" i="202"/>
  <c r="F409" i="202" s="1"/>
  <c r="H129" i="202"/>
  <c r="J391" i="202"/>
  <c r="J412" i="202" s="1"/>
  <c r="S20" i="823"/>
  <c r="H389" i="202"/>
  <c r="H410" i="202" s="1"/>
  <c r="J140" i="202"/>
  <c r="E139" i="202"/>
  <c r="H387" i="202"/>
  <c r="H408" i="202" s="1"/>
  <c r="G29" i="472"/>
  <c r="G157" i="472" s="1"/>
  <c r="H139" i="202"/>
  <c r="I47" i="472"/>
  <c r="G388" i="502"/>
  <c r="G409" i="502" s="1"/>
  <c r="R66" i="66"/>
  <c r="P66" i="66" s="1"/>
  <c r="P107" i="823"/>
  <c r="W107" i="823" s="1"/>
  <c r="F388" i="508"/>
  <c r="F409" i="508" s="1"/>
  <c r="F139" i="502"/>
  <c r="F216" i="502" s="1"/>
  <c r="E157" i="639"/>
  <c r="F29" i="472"/>
  <c r="F157" i="472" s="1"/>
  <c r="X26" i="823"/>
  <c r="H44" i="742"/>
  <c r="G26" i="742"/>
  <c r="G153" i="742" s="1"/>
  <c r="D210" i="130"/>
  <c r="D223" i="130" s="1"/>
  <c r="H387" i="200"/>
  <c r="H408" i="200" s="1"/>
  <c r="J140" i="200"/>
  <c r="T20" i="823"/>
  <c r="I44" i="742"/>
  <c r="Q20" i="823"/>
  <c r="H47" i="472"/>
  <c r="G27" i="163"/>
  <c r="G155" i="163" s="1"/>
  <c r="E411" i="658"/>
  <c r="G388" i="508"/>
  <c r="G409" i="508" s="1"/>
  <c r="D454" i="658"/>
  <c r="H129" i="508"/>
  <c r="I47" i="473"/>
  <c r="G29" i="473"/>
  <c r="G157" i="473" s="1"/>
  <c r="J391" i="200"/>
  <c r="J412" i="200" s="1"/>
  <c r="M12" i="485" s="1"/>
  <c r="F388" i="200"/>
  <c r="F409" i="200" s="1"/>
  <c r="G388" i="200"/>
  <c r="G409" i="200" s="1"/>
  <c r="H411" i="658"/>
  <c r="J391" i="508"/>
  <c r="J412" i="508" s="1"/>
  <c r="J130" i="200"/>
  <c r="H139" i="200"/>
  <c r="I44" i="200"/>
  <c r="I121" i="200" s="1"/>
  <c r="F139" i="200"/>
  <c r="F216" i="200" s="1"/>
  <c r="H129" i="200"/>
  <c r="E154" i="639"/>
  <c r="F139" i="508"/>
  <c r="F216" i="508" s="1"/>
  <c r="J41" i="163"/>
  <c r="I45" i="163"/>
  <c r="E38" i="163"/>
  <c r="D33" i="211"/>
  <c r="D110" i="211" s="1"/>
  <c r="H45" i="163"/>
  <c r="H29" i="473"/>
  <c r="H157" i="473" s="1"/>
  <c r="H47" i="473"/>
  <c r="F29" i="473"/>
  <c r="F25" i="473" s="1"/>
  <c r="F47" i="472"/>
  <c r="F40" i="472"/>
  <c r="I454" i="658"/>
  <c r="E45" i="163"/>
  <c r="E47" i="473"/>
  <c r="M109" i="823"/>
  <c r="T107" i="823"/>
  <c r="F411" i="658"/>
  <c r="G210" i="130"/>
  <c r="G223" i="130" s="1"/>
  <c r="I210" i="130"/>
  <c r="I223" i="130" s="1"/>
  <c r="N107" i="823"/>
  <c r="U20" i="823"/>
  <c r="F210" i="130"/>
  <c r="F223" i="130" s="1"/>
  <c r="L109" i="823"/>
  <c r="S107" i="823"/>
  <c r="R20" i="823"/>
  <c r="K107" i="823"/>
  <c r="O107" i="823"/>
  <c r="V20" i="823"/>
  <c r="H210" i="130"/>
  <c r="H223" i="130" s="1"/>
  <c r="E210" i="130"/>
  <c r="E223" i="130" s="1"/>
  <c r="F139" i="658"/>
  <c r="F216" i="658" s="1"/>
  <c r="F375" i="658" s="1"/>
  <c r="I37" i="742"/>
  <c r="J42" i="163"/>
  <c r="R67" i="66"/>
  <c r="J41" i="742"/>
  <c r="G224" i="608"/>
  <c r="M221" i="608"/>
  <c r="I388" i="200"/>
  <c r="I409" i="200" s="1"/>
  <c r="H38" i="163"/>
  <c r="G44" i="502"/>
  <c r="I40" i="472"/>
  <c r="J44" i="472"/>
  <c r="J44" i="473"/>
  <c r="J140" i="508"/>
  <c r="D387" i="502"/>
  <c r="D408" i="502" s="1"/>
  <c r="J151" i="200"/>
  <c r="D387" i="508"/>
  <c r="D408" i="508" s="1"/>
  <c r="D26" i="130"/>
  <c r="D20" i="130" s="1"/>
  <c r="J30" i="163"/>
  <c r="I44" i="502"/>
  <c r="I121" i="502" s="1"/>
  <c r="J44" i="163"/>
  <c r="D40" i="472"/>
  <c r="D155" i="472" s="1"/>
  <c r="I44" i="508"/>
  <c r="I121" i="508" s="1"/>
  <c r="H139" i="508"/>
  <c r="J151" i="202"/>
  <c r="I44" i="202"/>
  <c r="I121" i="202" s="1"/>
  <c r="F38" i="163"/>
  <c r="D36" i="472"/>
  <c r="D156" i="472" s="1"/>
  <c r="J37" i="473"/>
  <c r="E154" i="211"/>
  <c r="E168" i="211" s="1"/>
  <c r="D387" i="202"/>
  <c r="D408" i="202" s="1"/>
  <c r="F386" i="658"/>
  <c r="F407" i="658" s="1"/>
  <c r="I386" i="200"/>
  <c r="I407" i="200" s="1"/>
  <c r="F40" i="473"/>
  <c r="I33" i="639"/>
  <c r="I110" i="639" s="1"/>
  <c r="I145" i="639" s="1"/>
  <c r="P107" i="130"/>
  <c r="J151" i="508"/>
  <c r="I139" i="202"/>
  <c r="J151" i="502"/>
  <c r="F37" i="742"/>
  <c r="D387" i="200"/>
  <c r="D408" i="200" s="1"/>
  <c r="E139" i="502"/>
  <c r="E216" i="502" s="1"/>
  <c r="H29" i="472"/>
  <c r="H157" i="472" s="1"/>
  <c r="H27" i="163"/>
  <c r="H155" i="163" s="1"/>
  <c r="I33" i="211"/>
  <c r="I110" i="211" s="1"/>
  <c r="I145" i="211" s="1"/>
  <c r="F154" i="639"/>
  <c r="I139" i="200"/>
  <c r="I216" i="200" s="1"/>
  <c r="X21" i="130"/>
  <c r="J161" i="502"/>
  <c r="D33" i="639"/>
  <c r="H23" i="211"/>
  <c r="J140" i="502"/>
  <c r="H154" i="639"/>
  <c r="AI21" i="130"/>
  <c r="F44" i="508"/>
  <c r="H36" i="472"/>
  <c r="H156" i="472" s="1"/>
  <c r="F33" i="639"/>
  <c r="I139" i="508"/>
  <c r="J29" i="742"/>
  <c r="E40" i="473"/>
  <c r="H26" i="742"/>
  <c r="H153" i="742" s="1"/>
  <c r="I9" i="130"/>
  <c r="H154" i="211"/>
  <c r="H168" i="211" s="1"/>
  <c r="J38" i="202"/>
  <c r="F34" i="202"/>
  <c r="J161" i="657"/>
  <c r="I139" i="502"/>
  <c r="G154" i="211"/>
  <c r="G168" i="211" s="1"/>
  <c r="I386" i="502"/>
  <c r="I407" i="502" s="1"/>
  <c r="J161" i="658"/>
  <c r="H386" i="200"/>
  <c r="H407" i="200" s="1"/>
  <c r="V107" i="130"/>
  <c r="H388" i="200"/>
  <c r="H409" i="200" s="1"/>
  <c r="L107" i="129"/>
  <c r="L109" i="129" s="1"/>
  <c r="L151" i="129" s="1"/>
  <c r="H388" i="502"/>
  <c r="H409" i="502" s="1"/>
  <c r="H388" i="202"/>
  <c r="H409" i="202" s="1"/>
  <c r="I40" i="473"/>
  <c r="F34" i="508"/>
  <c r="J47" i="742"/>
  <c r="J56" i="502"/>
  <c r="E40" i="472"/>
  <c r="J45" i="639"/>
  <c r="H37" i="742"/>
  <c r="F154" i="211"/>
  <c r="J40" i="742"/>
  <c r="H33" i="211"/>
  <c r="J46" i="472"/>
  <c r="D154" i="639"/>
  <c r="D168" i="639" s="1"/>
  <c r="G40" i="473"/>
  <c r="J43" i="742"/>
  <c r="D154" i="211"/>
  <c r="D168" i="211" s="1"/>
  <c r="G37" i="742"/>
  <c r="E47" i="472"/>
  <c r="E44" i="742"/>
  <c r="F454" i="657"/>
  <c r="H386" i="502"/>
  <c r="H407" i="502" s="1"/>
  <c r="H40" i="472"/>
  <c r="D9" i="130"/>
  <c r="D26" i="742"/>
  <c r="D22" i="742" s="1"/>
  <c r="F27" i="163"/>
  <c r="F155" i="163" s="1"/>
  <c r="J43" i="472"/>
  <c r="J51" i="163"/>
  <c r="J38" i="502"/>
  <c r="G44" i="202"/>
  <c r="J50" i="163"/>
  <c r="H44" i="502"/>
  <c r="G154" i="639"/>
  <c r="J56" i="508"/>
  <c r="J48" i="472"/>
  <c r="J38" i="211"/>
  <c r="J27" i="211"/>
  <c r="J156" i="211" s="1"/>
  <c r="J8" i="485" s="1"/>
  <c r="J10" i="485" s="1"/>
  <c r="G33" i="639"/>
  <c r="J50" i="742"/>
  <c r="J33" i="742"/>
  <c r="J152" i="742" s="1"/>
  <c r="I154" i="211"/>
  <c r="I168" i="211" s="1"/>
  <c r="F155" i="639"/>
  <c r="J46" i="473"/>
  <c r="J49" i="502"/>
  <c r="H387" i="502"/>
  <c r="H408" i="502" s="1"/>
  <c r="J56" i="202"/>
  <c r="F33" i="211"/>
  <c r="J38" i="508"/>
  <c r="F44" i="202"/>
  <c r="F386" i="508"/>
  <c r="F407" i="508" s="1"/>
  <c r="M107" i="130"/>
  <c r="G44" i="200"/>
  <c r="J45" i="742"/>
  <c r="J32" i="472"/>
  <c r="E37" i="742"/>
  <c r="G47" i="472"/>
  <c r="I38" i="163"/>
  <c r="J53" i="472"/>
  <c r="J52" i="472"/>
  <c r="E33" i="211"/>
  <c r="J45" i="502"/>
  <c r="J48" i="473"/>
  <c r="J32" i="473"/>
  <c r="AG21" i="130"/>
  <c r="J34" i="211"/>
  <c r="J155" i="211" s="1"/>
  <c r="I8" i="485" s="1"/>
  <c r="I10" i="485" s="1"/>
  <c r="J49" i="742"/>
  <c r="G23" i="211"/>
  <c r="G44" i="742"/>
  <c r="J45" i="211"/>
  <c r="G40" i="472"/>
  <c r="J45" i="508"/>
  <c r="G33" i="211"/>
  <c r="G44" i="508"/>
  <c r="H33" i="639"/>
  <c r="F45" i="163"/>
  <c r="J39" i="130"/>
  <c r="H44" i="202"/>
  <c r="J56" i="200"/>
  <c r="F47" i="473"/>
  <c r="J43" i="473"/>
  <c r="AG39" i="130"/>
  <c r="J49" i="200"/>
  <c r="H40" i="473"/>
  <c r="E387" i="502"/>
  <c r="E408" i="502" s="1"/>
  <c r="E44" i="202"/>
  <c r="E121" i="202" s="1"/>
  <c r="H44" i="200"/>
  <c r="F44" i="502"/>
  <c r="D44" i="508"/>
  <c r="D121" i="508" s="1"/>
  <c r="J50" i="473"/>
  <c r="J36" i="473"/>
  <c r="J156" i="473" s="1"/>
  <c r="I4" i="485" s="1"/>
  <c r="I6" i="485" s="1"/>
  <c r="J45" i="202"/>
  <c r="H44" i="508"/>
  <c r="J34" i="130"/>
  <c r="F44" i="742"/>
  <c r="H388" i="508"/>
  <c r="H409" i="508" s="1"/>
  <c r="J38" i="639"/>
  <c r="J46" i="163"/>
  <c r="I154" i="639"/>
  <c r="I168" i="639" s="1"/>
  <c r="I139" i="654"/>
  <c r="AG34" i="130"/>
  <c r="H387" i="508"/>
  <c r="H408" i="508" s="1"/>
  <c r="J34" i="163"/>
  <c r="J154" i="163" s="1"/>
  <c r="I7" i="485" s="1"/>
  <c r="J48" i="163"/>
  <c r="J38" i="200"/>
  <c r="G45" i="163"/>
  <c r="J34" i="639"/>
  <c r="J155" i="639" s="1"/>
  <c r="I386" i="508"/>
  <c r="I407" i="508" s="1"/>
  <c r="F386" i="200"/>
  <c r="F407" i="200" s="1"/>
  <c r="I386" i="658"/>
  <c r="I447" i="658" s="1"/>
  <c r="G38" i="163"/>
  <c r="H386" i="202"/>
  <c r="H407" i="202" s="1"/>
  <c r="E33" i="639"/>
  <c r="E386" i="658"/>
  <c r="E407" i="658" s="1"/>
  <c r="N107" i="120"/>
  <c r="N109" i="120" s="1"/>
  <c r="U109" i="120" s="1"/>
  <c r="I139" i="658"/>
  <c r="G454" i="657"/>
  <c r="J156" i="658"/>
  <c r="J49" i="508"/>
  <c r="J49" i="202"/>
  <c r="J50" i="472"/>
  <c r="I139" i="657"/>
  <c r="F386" i="502"/>
  <c r="F407" i="502" s="1"/>
  <c r="F44" i="200"/>
  <c r="I386" i="202"/>
  <c r="I407" i="202" s="1"/>
  <c r="I420" i="202" s="1"/>
  <c r="H386" i="658"/>
  <c r="H447" i="658" s="1"/>
  <c r="E23" i="211"/>
  <c r="J125" i="508"/>
  <c r="J21" i="130"/>
  <c r="J211" i="130" s="1"/>
  <c r="I23" i="485" s="1"/>
  <c r="I24" i="485" s="1"/>
  <c r="J151" i="657"/>
  <c r="F386" i="202"/>
  <c r="F407" i="202" s="1"/>
  <c r="D23" i="639"/>
  <c r="K107" i="130"/>
  <c r="I387" i="200"/>
  <c r="I408" i="200" s="1"/>
  <c r="J45" i="200"/>
  <c r="J41" i="473"/>
  <c r="N107" i="130"/>
  <c r="D386" i="502"/>
  <c r="D407" i="502" s="1"/>
  <c r="H386" i="508"/>
  <c r="H407" i="508" s="1"/>
  <c r="J27" i="130"/>
  <c r="G386" i="654"/>
  <c r="G407" i="654" s="1"/>
  <c r="F34" i="502"/>
  <c r="J125" i="657"/>
  <c r="AG27" i="130"/>
  <c r="I26" i="130"/>
  <c r="I20" i="130" s="1"/>
  <c r="F26" i="130"/>
  <c r="F20" i="130" s="1"/>
  <c r="G47" i="473"/>
  <c r="D139" i="658"/>
  <c r="D216" i="658" s="1"/>
  <c r="H34" i="202"/>
  <c r="J52" i="473"/>
  <c r="D157" i="473"/>
  <c r="P107" i="120"/>
  <c r="W107" i="120" s="1"/>
  <c r="J53" i="473"/>
  <c r="O107" i="130"/>
  <c r="E388" i="657"/>
  <c r="E446" i="657" s="1"/>
  <c r="J38" i="742"/>
  <c r="D388" i="202"/>
  <c r="D409" i="202" s="1"/>
  <c r="Q26" i="130"/>
  <c r="G34" i="508"/>
  <c r="D23" i="163"/>
  <c r="J411" i="508"/>
  <c r="H411" i="657"/>
  <c r="L107" i="130"/>
  <c r="AH9" i="130"/>
  <c r="I23" i="163"/>
  <c r="J18" i="742"/>
  <c r="E9" i="130"/>
  <c r="J30" i="502"/>
  <c r="D37" i="742"/>
  <c r="D151" i="742" s="1"/>
  <c r="J10" i="130"/>
  <c r="J213" i="130" s="1"/>
  <c r="K23" i="485" s="1"/>
  <c r="K24" i="485" s="1"/>
  <c r="Q9" i="130"/>
  <c r="H139" i="502"/>
  <c r="H216" i="502" s="1"/>
  <c r="D129" i="657"/>
  <c r="I386" i="657"/>
  <c r="I447" i="657" s="1"/>
  <c r="J151" i="658"/>
  <c r="H139" i="658"/>
  <c r="H216" i="658" s="1"/>
  <c r="H375" i="658" s="1"/>
  <c r="J161" i="654"/>
  <c r="D386" i="654"/>
  <c r="D407" i="654" s="1"/>
  <c r="F23" i="639"/>
  <c r="J125" i="654"/>
  <c r="J61" i="508"/>
  <c r="D386" i="508"/>
  <c r="D407" i="508" s="1"/>
  <c r="D388" i="658"/>
  <c r="D409" i="658" s="1"/>
  <c r="E388" i="658"/>
  <c r="E386" i="502"/>
  <c r="E407" i="502" s="1"/>
  <c r="J44" i="657"/>
  <c r="E388" i="654"/>
  <c r="E409" i="654" s="1"/>
  <c r="E389" i="202"/>
  <c r="E410" i="202" s="1"/>
  <c r="F139" i="202"/>
  <c r="F216" i="202" s="1"/>
  <c r="E388" i="502"/>
  <c r="E409" i="502" s="1"/>
  <c r="E139" i="658"/>
  <c r="E216" i="658" s="1"/>
  <c r="E375" i="658" s="1"/>
  <c r="J125" i="502"/>
  <c r="D386" i="658"/>
  <c r="D386" i="657"/>
  <c r="D407" i="657" s="1"/>
  <c r="D40" i="473"/>
  <c r="D155" i="473" s="1"/>
  <c r="L12" i="631"/>
  <c r="M11" i="631" s="1"/>
  <c r="J41" i="472"/>
  <c r="X26" i="120"/>
  <c r="X135" i="120"/>
  <c r="J39" i="163"/>
  <c r="D38" i="163"/>
  <c r="D157" i="472"/>
  <c r="D25" i="472"/>
  <c r="D386" i="200"/>
  <c r="D407" i="200" s="1"/>
  <c r="G139" i="508"/>
  <c r="G216" i="508" s="1"/>
  <c r="I411" i="657"/>
  <c r="I454" i="657"/>
  <c r="F139" i="654"/>
  <c r="F216" i="654" s="1"/>
  <c r="F375" i="654" s="1"/>
  <c r="F386" i="654"/>
  <c r="F407" i="654" s="1"/>
  <c r="E139" i="654"/>
  <c r="E216" i="654" s="1"/>
  <c r="E375" i="654" s="1"/>
  <c r="E386" i="654"/>
  <c r="E407" i="654" s="1"/>
  <c r="H139" i="654"/>
  <c r="H216" i="654" s="1"/>
  <c r="H375" i="654" s="1"/>
  <c r="H386" i="654"/>
  <c r="H407" i="654" s="1"/>
  <c r="J61" i="502"/>
  <c r="D44" i="502"/>
  <c r="D121" i="502" s="1"/>
  <c r="G386" i="502"/>
  <c r="G407" i="502" s="1"/>
  <c r="J133" i="508"/>
  <c r="D139" i="508"/>
  <c r="J161" i="508"/>
  <c r="E34" i="508"/>
  <c r="E389" i="508"/>
  <c r="E410" i="508" s="1"/>
  <c r="I129" i="654"/>
  <c r="I388" i="654"/>
  <c r="I409" i="654" s="1"/>
  <c r="J144" i="658"/>
  <c r="G411" i="658"/>
  <c r="G454" i="658"/>
  <c r="E34" i="502"/>
  <c r="E389" i="502"/>
  <c r="H34" i="508"/>
  <c r="H389" i="508"/>
  <c r="G386" i="658"/>
  <c r="G139" i="658"/>
  <c r="E129" i="508"/>
  <c r="E388" i="508"/>
  <c r="E409" i="508" s="1"/>
  <c r="J125" i="200"/>
  <c r="G139" i="200"/>
  <c r="G216" i="200" s="1"/>
  <c r="J30" i="200"/>
  <c r="F386" i="657"/>
  <c r="F139" i="657"/>
  <c r="F216" i="657" s="1"/>
  <c r="F375" i="657" s="1"/>
  <c r="G139" i="657"/>
  <c r="G216" i="657" s="1"/>
  <c r="G375" i="657" s="1"/>
  <c r="G386" i="657"/>
  <c r="H139" i="657"/>
  <c r="H216" i="657" s="1"/>
  <c r="H375" i="657" s="1"/>
  <c r="H386" i="657"/>
  <c r="H34" i="200"/>
  <c r="H389" i="200"/>
  <c r="E129" i="200"/>
  <c r="E388" i="200"/>
  <c r="E409" i="200" s="1"/>
  <c r="G34" i="200"/>
  <c r="G389" i="200"/>
  <c r="G410" i="200" s="1"/>
  <c r="D139" i="200"/>
  <c r="D216" i="200" s="1"/>
  <c r="J161" i="200"/>
  <c r="J125" i="202"/>
  <c r="G139" i="202"/>
  <c r="G216" i="202" s="1"/>
  <c r="G34" i="202"/>
  <c r="G389" i="202"/>
  <c r="G410" i="202" s="1"/>
  <c r="E129" i="202"/>
  <c r="J133" i="202"/>
  <c r="E388" i="202"/>
  <c r="E409" i="202" s="1"/>
  <c r="J161" i="202"/>
  <c r="D139" i="202"/>
  <c r="J156" i="202"/>
  <c r="J61" i="202"/>
  <c r="D44" i="202"/>
  <c r="J30" i="202"/>
  <c r="H157" i="639"/>
  <c r="J24" i="639"/>
  <c r="J157" i="639" s="1"/>
  <c r="H23" i="639"/>
  <c r="D386" i="202"/>
  <c r="H34" i="502"/>
  <c r="H389" i="502"/>
  <c r="F156" i="163"/>
  <c r="J61" i="200"/>
  <c r="D44" i="200"/>
  <c r="D121" i="200" s="1"/>
  <c r="E139" i="508"/>
  <c r="J156" i="508"/>
  <c r="E26" i="130"/>
  <c r="E20" i="130" s="1"/>
  <c r="J5" i="130"/>
  <c r="AG5" i="130"/>
  <c r="J144" i="657"/>
  <c r="I129" i="657"/>
  <c r="I388" i="657"/>
  <c r="G23" i="639"/>
  <c r="J24" i="211"/>
  <c r="J157" i="211" s="1"/>
  <c r="K8" i="485" s="1"/>
  <c r="K10" i="485" s="1"/>
  <c r="G26" i="130"/>
  <c r="G20" i="130" s="1"/>
  <c r="AG44" i="130"/>
  <c r="J6" i="112"/>
  <c r="T6" i="112" s="1"/>
  <c r="L15" i="485"/>
  <c r="L16" i="485" s="1"/>
  <c r="L19" i="485" s="1"/>
  <c r="F9" i="130"/>
  <c r="AG10" i="130"/>
  <c r="L37" i="485"/>
  <c r="L58" i="485" s="1"/>
  <c r="J411" i="502"/>
  <c r="I129" i="508"/>
  <c r="J130" i="508"/>
  <c r="I129" i="502"/>
  <c r="J130" i="502"/>
  <c r="I389" i="502"/>
  <c r="G34" i="502"/>
  <c r="G389" i="502"/>
  <c r="J30" i="473"/>
  <c r="E29" i="473"/>
  <c r="E21" i="112"/>
  <c r="E139" i="200"/>
  <c r="J156" i="200"/>
  <c r="G156" i="163"/>
  <c r="F154" i="742"/>
  <c r="J23" i="742"/>
  <c r="J154" i="742" s="1"/>
  <c r="H26" i="130"/>
  <c r="J24" i="163"/>
  <c r="J156" i="163" s="1"/>
  <c r="K7" i="485" s="1"/>
  <c r="X114" i="120"/>
  <c r="J35" i="200"/>
  <c r="I129" i="658"/>
  <c r="I388" i="658"/>
  <c r="E411" i="657"/>
  <c r="E454" i="657"/>
  <c r="J156" i="502"/>
  <c r="D139" i="502"/>
  <c r="I129" i="202"/>
  <c r="J130" i="202"/>
  <c r="D139" i="654"/>
  <c r="D216" i="654" s="1"/>
  <c r="J156" i="654"/>
  <c r="E34" i="200"/>
  <c r="E389" i="200"/>
  <c r="E410" i="200" s="1"/>
  <c r="J66" i="508"/>
  <c r="E386" i="508"/>
  <c r="J27" i="742"/>
  <c r="J30" i="472"/>
  <c r="J390" i="654"/>
  <c r="J411" i="654" s="1"/>
  <c r="I26" i="472"/>
  <c r="J27" i="472"/>
  <c r="J26" i="472" s="1"/>
  <c r="J158" i="472" s="1"/>
  <c r="K28" i="485" s="1"/>
  <c r="K30" i="485" s="1"/>
  <c r="I26" i="473"/>
  <c r="J27" i="473"/>
  <c r="J26" i="473" s="1"/>
  <c r="J158" i="473" s="1"/>
  <c r="K4" i="485" s="1"/>
  <c r="W9" i="130"/>
  <c r="X10" i="130"/>
  <c r="AI10" i="130"/>
  <c r="D139" i="657"/>
  <c r="J156" i="657"/>
  <c r="J151" i="654"/>
  <c r="G139" i="654"/>
  <c r="G9" i="130"/>
  <c r="G156" i="639"/>
  <c r="J27" i="639"/>
  <c r="J156" i="639" s="1"/>
  <c r="F157" i="211"/>
  <c r="F23" i="211"/>
  <c r="J19" i="639"/>
  <c r="J28" i="163"/>
  <c r="E27" i="163"/>
  <c r="J44" i="130"/>
  <c r="G139" i="502"/>
  <c r="G216" i="502" s="1"/>
  <c r="J144" i="502"/>
  <c r="J57" i="472"/>
  <c r="G54" i="742"/>
  <c r="J55" i="742"/>
  <c r="G402" i="657"/>
  <c r="G449" i="657"/>
  <c r="E402" i="658"/>
  <c r="E449" i="658"/>
  <c r="H402" i="657"/>
  <c r="H449" i="657"/>
  <c r="G402" i="658"/>
  <c r="G449" i="658"/>
  <c r="D409" i="657"/>
  <c r="D446" i="657"/>
  <c r="I402" i="657"/>
  <c r="I449" i="657"/>
  <c r="D402" i="658"/>
  <c r="D449" i="658"/>
  <c r="E402" i="657"/>
  <c r="E449" i="657"/>
  <c r="H402" i="658"/>
  <c r="H449" i="658"/>
  <c r="D448" i="657"/>
  <c r="J448" i="657" s="1"/>
  <c r="F402" i="658"/>
  <c r="F449" i="658"/>
  <c r="E403" i="658"/>
  <c r="E448" i="658"/>
  <c r="I402" i="658"/>
  <c r="I449" i="658"/>
  <c r="D403" i="658"/>
  <c r="D448" i="658"/>
  <c r="I448" i="658"/>
  <c r="F402" i="657"/>
  <c r="F449" i="657"/>
  <c r="J57" i="473"/>
  <c r="J58" i="472"/>
  <c r="J21" i="473"/>
  <c r="H9" i="130"/>
  <c r="J14" i="130"/>
  <c r="J212" i="130" s="1"/>
  <c r="J23" i="485" s="1"/>
  <c r="J24" i="485" s="1"/>
  <c r="AG14" i="130"/>
  <c r="G386" i="200"/>
  <c r="Q146" i="120"/>
  <c r="J19" i="211"/>
  <c r="M107" i="120"/>
  <c r="M109" i="120" s="1"/>
  <c r="T109" i="120" s="1"/>
  <c r="T149" i="120" s="1"/>
  <c r="F34" i="200"/>
  <c r="F389" i="200"/>
  <c r="J21" i="472"/>
  <c r="J19" i="163"/>
  <c r="O107" i="120"/>
  <c r="J35" i="508"/>
  <c r="F389" i="508"/>
  <c r="F410" i="508" s="1"/>
  <c r="G386" i="508"/>
  <c r="G407" i="508" s="1"/>
  <c r="F389" i="502"/>
  <c r="F410" i="502" s="1"/>
  <c r="J35" i="502"/>
  <c r="J58" i="473"/>
  <c r="J44" i="658"/>
  <c r="F388" i="657"/>
  <c r="K107" i="120"/>
  <c r="R107" i="120" s="1"/>
  <c r="J381" i="658"/>
  <c r="J402" i="658" s="1"/>
  <c r="M49" i="485"/>
  <c r="J144" i="200"/>
  <c r="J56" i="163"/>
  <c r="J55" i="163"/>
  <c r="Q20" i="129"/>
  <c r="H388" i="654"/>
  <c r="H409" i="654" s="1"/>
  <c r="F388" i="658"/>
  <c r="F389" i="202"/>
  <c r="F410" i="202" s="1"/>
  <c r="J35" i="202"/>
  <c r="J144" i="508"/>
  <c r="E386" i="202"/>
  <c r="E407" i="202" s="1"/>
  <c r="J381" i="200"/>
  <c r="J402" i="200" s="1"/>
  <c r="C12" i="485" s="1"/>
  <c r="J133" i="657"/>
  <c r="J388" i="657" s="1"/>
  <c r="J409" i="657" s="1"/>
  <c r="J381" i="202"/>
  <c r="J402" i="202" s="1"/>
  <c r="U146" i="120"/>
  <c r="X146" i="120" s="1"/>
  <c r="J381" i="657"/>
  <c r="J402" i="657" s="1"/>
  <c r="E139" i="657"/>
  <c r="E216" i="657" s="1"/>
  <c r="E375" i="657" s="1"/>
  <c r="J144" i="654"/>
  <c r="J381" i="502"/>
  <c r="E386" i="200"/>
  <c r="E407" i="200" s="1"/>
  <c r="G388" i="654"/>
  <c r="G409" i="654" s="1"/>
  <c r="G386" i="202"/>
  <c r="G407" i="202" s="1"/>
  <c r="D388" i="508"/>
  <c r="D409" i="508" s="1"/>
  <c r="J144" i="202"/>
  <c r="H388" i="658"/>
  <c r="J133" i="654"/>
  <c r="E386" i="657"/>
  <c r="F388" i="654"/>
  <c r="F409" i="654" s="1"/>
  <c r="J44" i="654"/>
  <c r="H388" i="657"/>
  <c r="I386" i="654"/>
  <c r="I407" i="654" s="1"/>
  <c r="J133" i="658"/>
  <c r="J388" i="658" s="1"/>
  <c r="J409" i="658" s="1"/>
  <c r="J66" i="202"/>
  <c r="E44" i="508"/>
  <c r="S20" i="120"/>
  <c r="X20" i="120" s="1"/>
  <c r="J133" i="200"/>
  <c r="D388" i="200"/>
  <c r="D409" i="200" s="1"/>
  <c r="J121" i="657"/>
  <c r="D121" i="654"/>
  <c r="E44" i="200"/>
  <c r="Q20" i="120"/>
  <c r="E44" i="502"/>
  <c r="J66" i="502"/>
  <c r="J133" i="502"/>
  <c r="D388" i="502"/>
  <c r="D409" i="502" s="1"/>
  <c r="D129" i="508"/>
  <c r="J121" i="658"/>
  <c r="L109" i="120"/>
  <c r="S107" i="120"/>
  <c r="D388" i="654"/>
  <c r="D409" i="654" s="1"/>
  <c r="D402" i="657"/>
  <c r="G388" i="657"/>
  <c r="J404" i="658"/>
  <c r="J403" i="658"/>
  <c r="J405" i="658"/>
  <c r="I388" i="508"/>
  <c r="I409" i="508" s="1"/>
  <c r="J381" i="508"/>
  <c r="J402" i="508" s="1"/>
  <c r="J381" i="654"/>
  <c r="J402" i="654" s="1"/>
  <c r="J382" i="654"/>
  <c r="J403" i="654" s="1"/>
  <c r="J383" i="654"/>
  <c r="J404" i="654" s="1"/>
  <c r="G388" i="658"/>
  <c r="G446" i="658" s="1"/>
  <c r="J384" i="654"/>
  <c r="J405" i="654" s="1"/>
  <c r="R107" i="130"/>
  <c r="X20" i="130"/>
  <c r="AI20" i="130"/>
  <c r="O109" i="129"/>
  <c r="O151" i="129" s="1"/>
  <c r="K109" i="129"/>
  <c r="P109" i="129"/>
  <c r="E13" i="485"/>
  <c r="E15" i="485" s="1"/>
  <c r="E16" i="485" s="1"/>
  <c r="E19" i="485" s="1"/>
  <c r="M151" i="129"/>
  <c r="F110" i="129"/>
  <c r="N151" i="129"/>
  <c r="G110" i="129"/>
  <c r="D37" i="485"/>
  <c r="E37" i="485"/>
  <c r="F13" i="485"/>
  <c r="F15" i="485" s="1"/>
  <c r="F16" i="485" s="1"/>
  <c r="J405" i="502"/>
  <c r="AH20" i="130"/>
  <c r="Q20" i="130"/>
  <c r="D173" i="129"/>
  <c r="D175" i="129"/>
  <c r="J170" i="129"/>
  <c r="J168" i="129"/>
  <c r="X21" i="485"/>
  <c r="Y21" i="485" s="1"/>
  <c r="J226" i="129"/>
  <c r="E25" i="472"/>
  <c r="AH3" i="485"/>
  <c r="AH11" i="485"/>
  <c r="AH14" i="485"/>
  <c r="AH38" i="485"/>
  <c r="AH5" i="485"/>
  <c r="AH9" i="485"/>
  <c r="F148" i="120"/>
  <c r="Y9" i="485"/>
  <c r="H148" i="120"/>
  <c r="E148" i="120"/>
  <c r="I22" i="742"/>
  <c r="W48" i="485"/>
  <c r="AH27" i="485"/>
  <c r="AD27" i="485"/>
  <c r="G7" i="485"/>
  <c r="M21" i="112"/>
  <c r="L21" i="112"/>
  <c r="F21" i="112"/>
  <c r="Y11" i="485"/>
  <c r="J10" i="112"/>
  <c r="T10" i="112" s="1"/>
  <c r="E25" i="112"/>
  <c r="I157" i="472"/>
  <c r="L19" i="112"/>
  <c r="F19" i="112"/>
  <c r="M19" i="112"/>
  <c r="J406" i="508"/>
  <c r="G13" i="485"/>
  <c r="G15" i="485" s="1"/>
  <c r="J4" i="112"/>
  <c r="E19" i="112"/>
  <c r="Z27" i="485"/>
  <c r="Y27" i="485"/>
  <c r="I157" i="473"/>
  <c r="E22" i="742"/>
  <c r="E27" i="112"/>
  <c r="J12" i="112"/>
  <c r="I148" i="120"/>
  <c r="M37" i="485"/>
  <c r="J412" i="502"/>
  <c r="G28" i="485"/>
  <c r="J154" i="472"/>
  <c r="AH29" i="485"/>
  <c r="AD29" i="485"/>
  <c r="W50" i="485"/>
  <c r="M51" i="485"/>
  <c r="Y3" i="485"/>
  <c r="J403" i="508"/>
  <c r="D13" i="485"/>
  <c r="D15" i="485" s="1"/>
  <c r="D16" i="485" s="1"/>
  <c r="D19" i="485" s="1"/>
  <c r="Y29" i="485"/>
  <c r="K65" i="112"/>
  <c r="K67" i="112" s="1"/>
  <c r="J67" i="112"/>
  <c r="J406" i="502"/>
  <c r="G37" i="485"/>
  <c r="G4" i="485"/>
  <c r="J154" i="473"/>
  <c r="R109" i="129" l="1"/>
  <c r="X109" i="129" s="1"/>
  <c r="X107" i="129"/>
  <c r="AE107" i="129"/>
  <c r="Y109" i="129"/>
  <c r="AE109" i="129" s="1"/>
  <c r="D110" i="129"/>
  <c r="I6" i="858"/>
  <c r="F22" i="742"/>
  <c r="F25" i="472"/>
  <c r="J387" i="202"/>
  <c r="J408" i="202" s="1"/>
  <c r="G25" i="472"/>
  <c r="H216" i="202"/>
  <c r="E216" i="202"/>
  <c r="E375" i="202" s="1"/>
  <c r="M66" i="66"/>
  <c r="G420" i="508"/>
  <c r="I35" i="472"/>
  <c r="P109" i="823"/>
  <c r="W109" i="823" s="1"/>
  <c r="I110" i="823" s="1"/>
  <c r="M12" i="631"/>
  <c r="M8" i="631"/>
  <c r="M6" i="631"/>
  <c r="M9" i="631"/>
  <c r="M5" i="631"/>
  <c r="M10" i="631"/>
  <c r="M7" i="631"/>
  <c r="E168" i="639"/>
  <c r="J387" i="200"/>
  <c r="J408" i="200" s="1"/>
  <c r="I12" i="485" s="1"/>
  <c r="I32" i="742"/>
  <c r="I109" i="742" s="1"/>
  <c r="I143" i="742" s="1"/>
  <c r="G22" i="742"/>
  <c r="H32" i="742"/>
  <c r="H216" i="508"/>
  <c r="F157" i="473"/>
  <c r="X20" i="823"/>
  <c r="R72" i="66"/>
  <c r="P72" i="66" s="1"/>
  <c r="R71" i="66"/>
  <c r="P71" i="66" s="1"/>
  <c r="R70" i="66"/>
  <c r="P70" i="66" s="1"/>
  <c r="G23" i="163"/>
  <c r="G25" i="473"/>
  <c r="I35" i="473"/>
  <c r="H216" i="200"/>
  <c r="M13" i="485"/>
  <c r="M15" i="485" s="1"/>
  <c r="M16" i="485" s="1"/>
  <c r="H155" i="473"/>
  <c r="H169" i="473" s="1"/>
  <c r="H25" i="473"/>
  <c r="J389" i="200"/>
  <c r="J410" i="200" s="1"/>
  <c r="K12" i="485" s="1"/>
  <c r="I151" i="742"/>
  <c r="I165" i="742" s="1"/>
  <c r="J129" i="200"/>
  <c r="J454" i="658"/>
  <c r="E153" i="163"/>
  <c r="I153" i="163"/>
  <c r="I167" i="163" s="1"/>
  <c r="E33" i="163"/>
  <c r="H153" i="163"/>
  <c r="H167" i="163" s="1"/>
  <c r="F35" i="472"/>
  <c r="F155" i="472"/>
  <c r="F169" i="472" s="1"/>
  <c r="E35" i="473"/>
  <c r="R107" i="823"/>
  <c r="K109" i="823"/>
  <c r="Q107" i="823"/>
  <c r="N109" i="823"/>
  <c r="U107" i="823"/>
  <c r="T109" i="823"/>
  <c r="F110" i="823" s="1"/>
  <c r="M151" i="823"/>
  <c r="O109" i="823"/>
  <c r="V107" i="823"/>
  <c r="J210" i="130"/>
  <c r="L151" i="823"/>
  <c r="S109" i="823"/>
  <c r="E110" i="823" s="1"/>
  <c r="N66" i="66"/>
  <c r="G23" i="743"/>
  <c r="H33" i="163"/>
  <c r="R74" i="66"/>
  <c r="P74" i="66" s="1"/>
  <c r="R68" i="66"/>
  <c r="P68" i="66" s="1"/>
  <c r="R73" i="66"/>
  <c r="P73" i="66" s="1"/>
  <c r="P67" i="66"/>
  <c r="R69" i="66"/>
  <c r="P69" i="66" s="1"/>
  <c r="I155" i="472"/>
  <c r="M67" i="66"/>
  <c r="G222" i="608"/>
  <c r="G228" i="608"/>
  <c r="M224" i="608"/>
  <c r="J387" i="508"/>
  <c r="I13" i="485" s="1"/>
  <c r="I420" i="200"/>
  <c r="F447" i="658"/>
  <c r="D35" i="472"/>
  <c r="D112" i="472" s="1"/>
  <c r="D146" i="472" s="1"/>
  <c r="F153" i="163"/>
  <c r="F167" i="163" s="1"/>
  <c r="H23" i="163"/>
  <c r="F168" i="639"/>
  <c r="F35" i="473"/>
  <c r="F112" i="473" s="1"/>
  <c r="F146" i="473" s="1"/>
  <c r="F32" i="742"/>
  <c r="J29" i="472"/>
  <c r="J157" i="472" s="1"/>
  <c r="J28" i="485" s="1"/>
  <c r="H25" i="472"/>
  <c r="D110" i="639"/>
  <c r="D145" i="639" s="1"/>
  <c r="D169" i="639" s="1"/>
  <c r="J47" i="472"/>
  <c r="I216" i="654"/>
  <c r="I375" i="654" s="1"/>
  <c r="E151" i="742"/>
  <c r="E165" i="742" s="1"/>
  <c r="E155" i="472"/>
  <c r="E169" i="472" s="1"/>
  <c r="J387" i="502"/>
  <c r="I37" i="485" s="1"/>
  <c r="I155" i="473"/>
  <c r="H110" i="211"/>
  <c r="H145" i="211" s="1"/>
  <c r="H169" i="211" s="1"/>
  <c r="H35" i="472"/>
  <c r="J388" i="502"/>
  <c r="J37" i="485" s="1"/>
  <c r="J36" i="472"/>
  <c r="J156" i="472" s="1"/>
  <c r="I28" i="485" s="1"/>
  <c r="I30" i="485" s="1"/>
  <c r="I51" i="485" s="1"/>
  <c r="E155" i="473"/>
  <c r="F110" i="639"/>
  <c r="F145" i="639" s="1"/>
  <c r="H151" i="742"/>
  <c r="H165" i="742" s="1"/>
  <c r="I216" i="508"/>
  <c r="I375" i="508" s="1"/>
  <c r="H168" i="639"/>
  <c r="F121" i="508"/>
  <c r="F375" i="508" s="1"/>
  <c r="H22" i="742"/>
  <c r="I107" i="130"/>
  <c r="F168" i="211"/>
  <c r="F23" i="163"/>
  <c r="J388" i="202"/>
  <c r="J409" i="202" s="1"/>
  <c r="F121" i="202"/>
  <c r="F375" i="202" s="1"/>
  <c r="J26" i="742"/>
  <c r="J153" i="742" s="1"/>
  <c r="F420" i="508"/>
  <c r="E110" i="129"/>
  <c r="U107" i="120"/>
  <c r="D107" i="130"/>
  <c r="E35" i="472"/>
  <c r="E112" i="472" s="1"/>
  <c r="E146" i="472" s="1"/>
  <c r="J154" i="639"/>
  <c r="J168" i="639" s="1"/>
  <c r="H420" i="202"/>
  <c r="E399" i="658"/>
  <c r="E400" i="658" s="1"/>
  <c r="E447" i="658"/>
  <c r="Q107" i="129"/>
  <c r="I216" i="658"/>
  <c r="I375" i="658" s="1"/>
  <c r="E32" i="742"/>
  <c r="E109" i="742" s="1"/>
  <c r="E143" i="742" s="1"/>
  <c r="H121" i="502"/>
  <c r="H375" i="502" s="1"/>
  <c r="H155" i="472"/>
  <c r="H169" i="472" s="1"/>
  <c r="D153" i="742"/>
  <c r="D165" i="742" s="1"/>
  <c r="J33" i="639"/>
  <c r="J33" i="211"/>
  <c r="G168" i="639"/>
  <c r="G121" i="200"/>
  <c r="G375" i="200" s="1"/>
  <c r="J154" i="211"/>
  <c r="H8" i="485" s="1"/>
  <c r="N8" i="485" s="1"/>
  <c r="J388" i="508"/>
  <c r="J409" i="508" s="1"/>
  <c r="H110" i="639"/>
  <c r="H145" i="639" s="1"/>
  <c r="G155" i="472"/>
  <c r="G169" i="472" s="1"/>
  <c r="I33" i="163"/>
  <c r="I110" i="163" s="1"/>
  <c r="I145" i="163" s="1"/>
  <c r="E110" i="639"/>
  <c r="E145" i="639" s="1"/>
  <c r="D420" i="502"/>
  <c r="E110" i="211"/>
  <c r="E145" i="211" s="1"/>
  <c r="E169" i="211" s="1"/>
  <c r="G33" i="163"/>
  <c r="J40" i="472"/>
  <c r="G35" i="472"/>
  <c r="G32" i="742"/>
  <c r="H35" i="473"/>
  <c r="G110" i="211"/>
  <c r="G145" i="211" s="1"/>
  <c r="G169" i="211" s="1"/>
  <c r="J45" i="163"/>
  <c r="I420" i="508"/>
  <c r="F151" i="742"/>
  <c r="F165" i="742" s="1"/>
  <c r="F33" i="163"/>
  <c r="F155" i="473"/>
  <c r="H121" i="202"/>
  <c r="J44" i="742"/>
  <c r="J47" i="473"/>
  <c r="H399" i="202"/>
  <c r="F420" i="502"/>
  <c r="D35" i="473"/>
  <c r="D112" i="473" s="1"/>
  <c r="G121" i="508"/>
  <c r="G375" i="508" s="1"/>
  <c r="G153" i="163"/>
  <c r="G167" i="163" s="1"/>
  <c r="F121" i="502"/>
  <c r="F375" i="502" s="1"/>
  <c r="H121" i="200"/>
  <c r="I407" i="658"/>
  <c r="I399" i="202"/>
  <c r="I399" i="200"/>
  <c r="J388" i="200"/>
  <c r="J409" i="200" s="1"/>
  <c r="J12" i="485" s="1"/>
  <c r="G420" i="654"/>
  <c r="D420" i="654"/>
  <c r="H407" i="658"/>
  <c r="P109" i="120"/>
  <c r="W109" i="120" s="1"/>
  <c r="W149" i="120" s="1"/>
  <c r="G35" i="473"/>
  <c r="G155" i="473"/>
  <c r="G169" i="473" s="1"/>
  <c r="F420" i="202"/>
  <c r="D216" i="657"/>
  <c r="D375" i="657" s="1"/>
  <c r="Q107" i="130"/>
  <c r="J37" i="742"/>
  <c r="E409" i="657"/>
  <c r="D169" i="473"/>
  <c r="J129" i="658"/>
  <c r="J389" i="502"/>
  <c r="K37" i="485" s="1"/>
  <c r="D32" i="742"/>
  <c r="D109" i="742" s="1"/>
  <c r="D143" i="742" s="1"/>
  <c r="E107" i="130"/>
  <c r="AH107" i="130"/>
  <c r="I407" i="657"/>
  <c r="J40" i="473"/>
  <c r="J386" i="657"/>
  <c r="J407" i="657" s="1"/>
  <c r="J420" i="657" s="1"/>
  <c r="D446" i="658"/>
  <c r="J386" i="658"/>
  <c r="J407" i="658" s="1"/>
  <c r="J420" i="658" s="1"/>
  <c r="E446" i="658"/>
  <c r="E420" i="654"/>
  <c r="D420" i="508"/>
  <c r="E409" i="658"/>
  <c r="E420" i="658" s="1"/>
  <c r="D399" i="658"/>
  <c r="F420" i="654"/>
  <c r="E399" i="654"/>
  <c r="E400" i="654" s="1"/>
  <c r="D447" i="658"/>
  <c r="D420" i="200"/>
  <c r="D407" i="658"/>
  <c r="D420" i="658" s="1"/>
  <c r="J129" i="654"/>
  <c r="D447" i="657"/>
  <c r="D455" i="657" s="1"/>
  <c r="I375" i="200"/>
  <c r="D399" i="657"/>
  <c r="L20" i="631"/>
  <c r="J38" i="163"/>
  <c r="D153" i="163"/>
  <c r="D167" i="163" s="1"/>
  <c r="D33" i="163"/>
  <c r="D110" i="163" s="1"/>
  <c r="D145" i="163" s="1"/>
  <c r="G121" i="202"/>
  <c r="G375" i="202" s="1"/>
  <c r="J34" i="202"/>
  <c r="J139" i="508"/>
  <c r="J454" i="657"/>
  <c r="H420" i="654"/>
  <c r="D169" i="472"/>
  <c r="I420" i="654"/>
  <c r="G216" i="658"/>
  <c r="J139" i="658"/>
  <c r="E121" i="508"/>
  <c r="H121" i="508"/>
  <c r="J34" i="508"/>
  <c r="D216" i="502"/>
  <c r="D375" i="502" s="1"/>
  <c r="J139" i="502"/>
  <c r="E216" i="508"/>
  <c r="E121" i="502"/>
  <c r="E375" i="502" s="1"/>
  <c r="E410" i="502"/>
  <c r="E420" i="502" s="1"/>
  <c r="E399" i="502"/>
  <c r="H410" i="508"/>
  <c r="H420" i="508" s="1"/>
  <c r="H399" i="508"/>
  <c r="G407" i="658"/>
  <c r="G447" i="658"/>
  <c r="I216" i="502"/>
  <c r="J129" i="502"/>
  <c r="J386" i="200"/>
  <c r="F407" i="657"/>
  <c r="F447" i="657"/>
  <c r="G407" i="657"/>
  <c r="G447" i="657"/>
  <c r="H407" i="657"/>
  <c r="H447" i="657"/>
  <c r="H410" i="200"/>
  <c r="H420" i="200" s="1"/>
  <c r="H399" i="200"/>
  <c r="J129" i="657"/>
  <c r="I216" i="657"/>
  <c r="G420" i="202"/>
  <c r="E420" i="202"/>
  <c r="J139" i="202"/>
  <c r="D216" i="202"/>
  <c r="J44" i="202"/>
  <c r="D121" i="202"/>
  <c r="J389" i="202"/>
  <c r="J410" i="202" s="1"/>
  <c r="I216" i="202"/>
  <c r="I375" i="202" s="1"/>
  <c r="J129" i="202"/>
  <c r="J386" i="508"/>
  <c r="E121" i="200"/>
  <c r="I158" i="473"/>
  <c r="I25" i="473"/>
  <c r="J389" i="508"/>
  <c r="E6" i="112"/>
  <c r="D407" i="202"/>
  <c r="D420" i="202" s="1"/>
  <c r="D399" i="202"/>
  <c r="H410" i="502"/>
  <c r="H420" i="502" s="1"/>
  <c r="H399" i="502"/>
  <c r="E216" i="200"/>
  <c r="J139" i="200"/>
  <c r="I409" i="657"/>
  <c r="I446" i="657"/>
  <c r="I455" i="657" s="1"/>
  <c r="I399" i="657"/>
  <c r="J23" i="639"/>
  <c r="G110" i="639"/>
  <c r="L17" i="485"/>
  <c r="G121" i="502"/>
  <c r="J34" i="502"/>
  <c r="E157" i="473"/>
  <c r="J29" i="473"/>
  <c r="E25" i="473"/>
  <c r="J34" i="200"/>
  <c r="E420" i="200"/>
  <c r="I410" i="502"/>
  <c r="I420" i="502" s="1"/>
  <c r="I399" i="502"/>
  <c r="G410" i="502"/>
  <c r="G420" i="502" s="1"/>
  <c r="G399" i="502"/>
  <c r="H20" i="130"/>
  <c r="J26" i="130"/>
  <c r="I409" i="658"/>
  <c r="I446" i="658"/>
  <c r="I455" i="658" s="1"/>
  <c r="I399" i="658"/>
  <c r="E407" i="508"/>
  <c r="E420" i="508" s="1"/>
  <c r="E399" i="508"/>
  <c r="F110" i="211"/>
  <c r="J23" i="211"/>
  <c r="I158" i="472"/>
  <c r="I25" i="472"/>
  <c r="K6" i="485"/>
  <c r="K51" i="485" s="1"/>
  <c r="K49" i="485"/>
  <c r="W107" i="130"/>
  <c r="X107" i="130" s="1"/>
  <c r="X9" i="130"/>
  <c r="AI9" i="130"/>
  <c r="AI107" i="130" s="1"/>
  <c r="G216" i="654"/>
  <c r="J139" i="654"/>
  <c r="AG9" i="130"/>
  <c r="J9" i="130"/>
  <c r="G107" i="130"/>
  <c r="J54" i="742"/>
  <c r="G151" i="742"/>
  <c r="G165" i="742" s="1"/>
  <c r="E23" i="163"/>
  <c r="J27" i="163"/>
  <c r="J155" i="163" s="1"/>
  <c r="E155" i="163"/>
  <c r="J386" i="502"/>
  <c r="J449" i="657"/>
  <c r="G407" i="200"/>
  <c r="G420" i="200" s="1"/>
  <c r="G399" i="200"/>
  <c r="F410" i="200"/>
  <c r="F420" i="200" s="1"/>
  <c r="F399" i="200"/>
  <c r="O109" i="120"/>
  <c r="V107" i="120"/>
  <c r="J402" i="502"/>
  <c r="C37" i="485"/>
  <c r="K151" i="129"/>
  <c r="F409" i="657"/>
  <c r="F446" i="657"/>
  <c r="E407" i="657"/>
  <c r="E447" i="657"/>
  <c r="D420" i="657"/>
  <c r="H409" i="658"/>
  <c r="H446" i="658"/>
  <c r="H455" i="658" s="1"/>
  <c r="F409" i="658"/>
  <c r="F420" i="658" s="1"/>
  <c r="F446" i="658"/>
  <c r="H409" i="657"/>
  <c r="H446" i="657"/>
  <c r="J449" i="658"/>
  <c r="J448" i="658"/>
  <c r="G409" i="657"/>
  <c r="G446" i="657"/>
  <c r="F399" i="658"/>
  <c r="F400" i="658" s="1"/>
  <c r="E399" i="200"/>
  <c r="F121" i="200"/>
  <c r="F375" i="200" s="1"/>
  <c r="F399" i="502"/>
  <c r="T107" i="120"/>
  <c r="G399" i="508"/>
  <c r="F399" i="508"/>
  <c r="Q107" i="120"/>
  <c r="K109" i="120"/>
  <c r="G148" i="120"/>
  <c r="J44" i="508"/>
  <c r="F399" i="657"/>
  <c r="F400" i="657" s="1"/>
  <c r="F399" i="202"/>
  <c r="D399" i="508"/>
  <c r="E399" i="202"/>
  <c r="H399" i="654"/>
  <c r="H400" i="654" s="1"/>
  <c r="J139" i="657"/>
  <c r="G399" i="654"/>
  <c r="G111" i="120"/>
  <c r="J386" i="654"/>
  <c r="J407" i="654" s="1"/>
  <c r="G399" i="202"/>
  <c r="J386" i="202"/>
  <c r="J407" i="202" s="1"/>
  <c r="E399" i="657"/>
  <c r="E400" i="657" s="1"/>
  <c r="U149" i="120"/>
  <c r="D399" i="502"/>
  <c r="M149" i="120"/>
  <c r="F111" i="120"/>
  <c r="H399" i="658"/>
  <c r="H400" i="658" s="1"/>
  <c r="I399" i="654"/>
  <c r="J44" i="200"/>
  <c r="H399" i="657"/>
  <c r="H400" i="657" s="1"/>
  <c r="F399" i="654"/>
  <c r="F400" i="654" s="1"/>
  <c r="D399" i="200"/>
  <c r="D375" i="200"/>
  <c r="D375" i="654"/>
  <c r="J121" i="654"/>
  <c r="J129" i="508"/>
  <c r="D216" i="508"/>
  <c r="J44" i="502"/>
  <c r="D375" i="658"/>
  <c r="J388" i="654"/>
  <c r="J409" i="654" s="1"/>
  <c r="S109" i="120"/>
  <c r="S149" i="120" s="1"/>
  <c r="L149" i="120"/>
  <c r="G399" i="657"/>
  <c r="G400" i="657" s="1"/>
  <c r="D399" i="654"/>
  <c r="N149" i="120"/>
  <c r="C13" i="485"/>
  <c r="C15" i="485" s="1"/>
  <c r="C16" i="485" s="1"/>
  <c r="C19" i="485" s="1"/>
  <c r="F58" i="485"/>
  <c r="I399" i="508"/>
  <c r="Q109" i="129"/>
  <c r="Q151" i="129" s="1"/>
  <c r="G409" i="658"/>
  <c r="G399" i="658"/>
  <c r="H110" i="129"/>
  <c r="E58" i="485"/>
  <c r="P151" i="129"/>
  <c r="I110" i="129"/>
  <c r="E17" i="485"/>
  <c r="I169" i="211"/>
  <c r="I169" i="639"/>
  <c r="J173" i="129"/>
  <c r="J175" i="129"/>
  <c r="G58" i="485"/>
  <c r="F107" i="130"/>
  <c r="G6" i="485"/>
  <c r="G16" i="485" s="1"/>
  <c r="C18" i="485" s="1"/>
  <c r="F12" i="631" s="1"/>
  <c r="E4" i="112"/>
  <c r="D17" i="485"/>
  <c r="F6" i="631" s="1"/>
  <c r="G19" i="112"/>
  <c r="H19" i="112"/>
  <c r="F4" i="112"/>
  <c r="T12" i="112"/>
  <c r="T4" i="112"/>
  <c r="F6" i="112"/>
  <c r="H21" i="112"/>
  <c r="G21" i="112"/>
  <c r="D145" i="211"/>
  <c r="D169" i="211" s="1"/>
  <c r="E12" i="112"/>
  <c r="D58" i="485"/>
  <c r="K6" i="112"/>
  <c r="F17" i="485"/>
  <c r="E18" i="485"/>
  <c r="G49" i="485"/>
  <c r="G30" i="485"/>
  <c r="K4" i="112"/>
  <c r="E10" i="112"/>
  <c r="F109" i="742" l="1"/>
  <c r="F143" i="742" s="1"/>
  <c r="F112" i="472"/>
  <c r="F146" i="472" s="1"/>
  <c r="F170" i="472" s="1"/>
  <c r="P151" i="823"/>
  <c r="I112" i="472"/>
  <c r="I146" i="472" s="1"/>
  <c r="H375" i="202"/>
  <c r="H400" i="202" s="1"/>
  <c r="D13" i="207"/>
  <c r="E108" i="207" s="1"/>
  <c r="N71" i="66"/>
  <c r="N70" i="66"/>
  <c r="N72" i="66"/>
  <c r="F169" i="473"/>
  <c r="F170" i="473" s="1"/>
  <c r="N73" i="66"/>
  <c r="N69" i="66"/>
  <c r="N68" i="66"/>
  <c r="N74" i="66"/>
  <c r="E169" i="639"/>
  <c r="G109" i="742"/>
  <c r="G143" i="742" s="1"/>
  <c r="G166" i="742" s="1"/>
  <c r="H375" i="508"/>
  <c r="H400" i="508" s="1"/>
  <c r="I15" i="485"/>
  <c r="I16" i="485" s="1"/>
  <c r="I17" i="485" s="1"/>
  <c r="F14" i="631" s="1"/>
  <c r="H109" i="742"/>
  <c r="H143" i="742" s="1"/>
  <c r="H166" i="742" s="1"/>
  <c r="G112" i="473"/>
  <c r="G146" i="473" s="1"/>
  <c r="G170" i="473" s="1"/>
  <c r="G110" i="163"/>
  <c r="G145" i="163" s="1"/>
  <c r="G168" i="163" s="1"/>
  <c r="H375" i="200"/>
  <c r="H400" i="200" s="1"/>
  <c r="M18" i="485"/>
  <c r="M19" i="485"/>
  <c r="M58" i="485"/>
  <c r="F19" i="485"/>
  <c r="M17" i="485"/>
  <c r="F18" i="631" s="1"/>
  <c r="I112" i="473"/>
  <c r="I146" i="473" s="1"/>
  <c r="H112" i="473"/>
  <c r="H146" i="473" s="1"/>
  <c r="H170" i="473" s="1"/>
  <c r="I166" i="742"/>
  <c r="E167" i="163"/>
  <c r="I168" i="163"/>
  <c r="E112" i="473"/>
  <c r="E146" i="473" s="1"/>
  <c r="U109" i="823"/>
  <c r="G110" i="823" s="1"/>
  <c r="N151" i="823"/>
  <c r="L165" i="129"/>
  <c r="L168" i="129" s="1"/>
  <c r="L175" i="129" s="1"/>
  <c r="L165" i="823"/>
  <c r="E224" i="130"/>
  <c r="E226" i="130" s="1"/>
  <c r="E227" i="130" s="1"/>
  <c r="N165" i="823"/>
  <c r="G224" i="130"/>
  <c r="G226" i="130" s="1"/>
  <c r="G227" i="130" s="1"/>
  <c r="K165" i="823"/>
  <c r="D224" i="130"/>
  <c r="D226" i="130" s="1"/>
  <c r="D227" i="130" s="1"/>
  <c r="P165" i="129"/>
  <c r="P168" i="129" s="1"/>
  <c r="P175" i="129" s="1"/>
  <c r="P165" i="823"/>
  <c r="I224" i="130"/>
  <c r="I226" i="130" s="1"/>
  <c r="I227" i="130" s="1"/>
  <c r="R109" i="823"/>
  <c r="K151" i="823"/>
  <c r="Q109" i="823"/>
  <c r="X107" i="823"/>
  <c r="M165" i="129"/>
  <c r="M168" i="129" s="1"/>
  <c r="M165" i="823"/>
  <c r="F224" i="130"/>
  <c r="F226" i="130" s="1"/>
  <c r="F227" i="130" s="1"/>
  <c r="V109" i="823"/>
  <c r="H110" i="823" s="1"/>
  <c r="O151" i="823"/>
  <c r="H23" i="485"/>
  <c r="J223" i="130"/>
  <c r="M70" i="66"/>
  <c r="M74" i="66"/>
  <c r="M71" i="66"/>
  <c r="E23" i="743"/>
  <c r="H110" i="163"/>
  <c r="H145" i="163" s="1"/>
  <c r="H168" i="163" s="1"/>
  <c r="M72" i="66"/>
  <c r="M68" i="66"/>
  <c r="M69" i="66"/>
  <c r="M73" i="66"/>
  <c r="J408" i="508"/>
  <c r="I169" i="472"/>
  <c r="F455" i="658"/>
  <c r="F456" i="658" s="1"/>
  <c r="E166" i="742"/>
  <c r="G231" i="608"/>
  <c r="G372" i="608"/>
  <c r="G350" i="608"/>
  <c r="G346" i="608"/>
  <c r="G434" i="608"/>
  <c r="G356" i="608"/>
  <c r="G331" i="608"/>
  <c r="G339" i="608"/>
  <c r="G366" i="608"/>
  <c r="G408" i="608"/>
  <c r="G343" i="608"/>
  <c r="G402" i="608"/>
  <c r="G388" i="608"/>
  <c r="G442" i="608"/>
  <c r="G391" i="608"/>
  <c r="G395" i="608"/>
  <c r="G329" i="608"/>
  <c r="G317" i="608"/>
  <c r="G353" i="608"/>
  <c r="G373" i="608"/>
  <c r="G431" i="608"/>
  <c r="G396" i="608"/>
  <c r="G424" i="608"/>
  <c r="G423" i="608"/>
  <c r="G393" i="608"/>
  <c r="G422" i="608"/>
  <c r="G389" i="608"/>
  <c r="G432" i="608"/>
  <c r="G330" i="608"/>
  <c r="G322" i="608"/>
  <c r="G341" i="608"/>
  <c r="G440" i="608"/>
  <c r="G345" i="608"/>
  <c r="G394" i="608"/>
  <c r="G367" i="608"/>
  <c r="G371" i="608"/>
  <c r="G418" i="608"/>
  <c r="G413" i="608"/>
  <c r="G368" i="608"/>
  <c r="G437" i="608"/>
  <c r="G359" i="608"/>
  <c r="G342" i="608"/>
  <c r="G347" i="608"/>
  <c r="G421" i="608"/>
  <c r="G417" i="608"/>
  <c r="G369" i="608"/>
  <c r="G355" i="608"/>
  <c r="G428" i="608"/>
  <c r="G436" i="608"/>
  <c r="G333" i="608"/>
  <c r="G340" i="608"/>
  <c r="G358" i="608"/>
  <c r="G323" i="608"/>
  <c r="G397" i="608"/>
  <c r="G363" i="608"/>
  <c r="G332" i="608"/>
  <c r="G411" i="608"/>
  <c r="G320" i="608"/>
  <c r="G409" i="608"/>
  <c r="G439" i="608"/>
  <c r="G415" i="608"/>
  <c r="G406" i="608"/>
  <c r="G318" i="608"/>
  <c r="G335" i="608"/>
  <c r="G416" i="608"/>
  <c r="G370" i="608"/>
  <c r="G348" i="608"/>
  <c r="G354" i="608"/>
  <c r="G387" i="608"/>
  <c r="G319" i="608"/>
  <c r="G410" i="608"/>
  <c r="G400" i="608"/>
  <c r="G435" i="608"/>
  <c r="G414" i="608"/>
  <c r="G404" i="608"/>
  <c r="G399" i="608"/>
  <c r="G351" i="608"/>
  <c r="G390" i="608"/>
  <c r="G443" i="608"/>
  <c r="G433" i="608"/>
  <c r="G420" i="608"/>
  <c r="G361" i="608"/>
  <c r="G337" i="608"/>
  <c r="G357" i="608"/>
  <c r="G362" i="608"/>
  <c r="G425" i="608"/>
  <c r="G427" i="608"/>
  <c r="G321" i="608"/>
  <c r="G430" i="608"/>
  <c r="G405" i="608"/>
  <c r="G412" i="608"/>
  <c r="G398" i="608"/>
  <c r="G364" i="608"/>
  <c r="G360" i="608"/>
  <c r="G438" i="608"/>
  <c r="G392" i="608"/>
  <c r="G365" i="608"/>
  <c r="G349" i="608"/>
  <c r="G344" i="608"/>
  <c r="G326" i="608"/>
  <c r="G401" i="608"/>
  <c r="G336" i="608"/>
  <c r="G325" i="608"/>
  <c r="G334" i="608"/>
  <c r="G429" i="608"/>
  <c r="G419" i="608"/>
  <c r="G403" i="608"/>
  <c r="G338" i="608"/>
  <c r="G352" i="608"/>
  <c r="G441" i="608"/>
  <c r="G324" i="608"/>
  <c r="G426" i="608"/>
  <c r="G407" i="608"/>
  <c r="G327" i="608"/>
  <c r="G328" i="608"/>
  <c r="M228" i="608"/>
  <c r="G223" i="608"/>
  <c r="E10" i="48" s="1"/>
  <c r="E11" i="48" s="1"/>
  <c r="M222" i="608"/>
  <c r="M223" i="608" s="1"/>
  <c r="I58" i="485"/>
  <c r="J25" i="472"/>
  <c r="F169" i="639"/>
  <c r="H112" i="472"/>
  <c r="H146" i="472" s="1"/>
  <c r="H170" i="472" s="1"/>
  <c r="J155" i="472"/>
  <c r="H28" i="485" s="1"/>
  <c r="N28" i="485" s="1"/>
  <c r="W28" i="485" s="1"/>
  <c r="J408" i="502"/>
  <c r="I400" i="654"/>
  <c r="E170" i="472"/>
  <c r="I169" i="473"/>
  <c r="I49" i="485"/>
  <c r="J409" i="502"/>
  <c r="E169" i="473"/>
  <c r="K165" i="129"/>
  <c r="K170" i="129" s="1"/>
  <c r="H169" i="639"/>
  <c r="J22" i="742"/>
  <c r="F110" i="163"/>
  <c r="F145" i="163" s="1"/>
  <c r="F168" i="163" s="1"/>
  <c r="E455" i="658"/>
  <c r="E456" i="658" s="1"/>
  <c r="J35" i="472"/>
  <c r="J168" i="211"/>
  <c r="H10" i="485"/>
  <c r="I400" i="658"/>
  <c r="H420" i="658"/>
  <c r="J13" i="485"/>
  <c r="J15" i="485" s="1"/>
  <c r="G112" i="472"/>
  <c r="G146" i="472" s="1"/>
  <c r="G170" i="472" s="1"/>
  <c r="J153" i="163"/>
  <c r="H7" i="485" s="1"/>
  <c r="I400" i="202"/>
  <c r="J155" i="473"/>
  <c r="H4" i="485" s="1"/>
  <c r="H6" i="485" s="1"/>
  <c r="I420" i="658"/>
  <c r="D166" i="742"/>
  <c r="I111" i="120"/>
  <c r="J35" i="473"/>
  <c r="I400" i="200"/>
  <c r="P149" i="120"/>
  <c r="J410" i="502"/>
  <c r="E420" i="657"/>
  <c r="J151" i="742"/>
  <c r="J165" i="742" s="1"/>
  <c r="J32" i="742"/>
  <c r="I420" i="657"/>
  <c r="F400" i="508"/>
  <c r="J399" i="657"/>
  <c r="D455" i="658"/>
  <c r="D456" i="658" s="1"/>
  <c r="D400" i="658"/>
  <c r="J399" i="658"/>
  <c r="G81" i="743"/>
  <c r="G116" i="743"/>
  <c r="F400" i="502"/>
  <c r="D168" i="163"/>
  <c r="E375" i="508"/>
  <c r="E400" i="508" s="1"/>
  <c r="J33" i="163"/>
  <c r="D456" i="657"/>
  <c r="D400" i="657"/>
  <c r="G400" i="508"/>
  <c r="F8" i="631"/>
  <c r="F10" i="631"/>
  <c r="F17" i="631"/>
  <c r="L29" i="631"/>
  <c r="H400" i="502"/>
  <c r="I456" i="657"/>
  <c r="E400" i="502"/>
  <c r="J121" i="508"/>
  <c r="D170" i="472"/>
  <c r="G400" i="200"/>
  <c r="J216" i="508"/>
  <c r="G420" i="658"/>
  <c r="G375" i="658"/>
  <c r="G400" i="658" s="1"/>
  <c r="J216" i="658"/>
  <c r="J375" i="658" s="1"/>
  <c r="C58" i="485"/>
  <c r="I375" i="502"/>
  <c r="I400" i="502" s="1"/>
  <c r="J216" i="502"/>
  <c r="G455" i="658"/>
  <c r="G456" i="658" s="1"/>
  <c r="J447" i="658"/>
  <c r="F420" i="657"/>
  <c r="F455" i="657"/>
  <c r="F456" i="657" s="1"/>
  <c r="H420" i="657"/>
  <c r="H455" i="657"/>
  <c r="H456" i="657" s="1"/>
  <c r="G420" i="657"/>
  <c r="G455" i="657"/>
  <c r="G456" i="657" s="1"/>
  <c r="J407" i="200"/>
  <c r="J399" i="200"/>
  <c r="I375" i="657"/>
  <c r="I400" i="657" s="1"/>
  <c r="J216" i="657"/>
  <c r="J375" i="657" s="1"/>
  <c r="J420" i="202"/>
  <c r="F400" i="202"/>
  <c r="G400" i="202"/>
  <c r="J216" i="202"/>
  <c r="D375" i="202"/>
  <c r="D400" i="202" s="1"/>
  <c r="J121" i="202"/>
  <c r="E400" i="202"/>
  <c r="J407" i="508"/>
  <c r="H13" i="485"/>
  <c r="J399" i="508"/>
  <c r="K13" i="485"/>
  <c r="J410" i="508"/>
  <c r="G145" i="639"/>
  <c r="G169" i="639" s="1"/>
  <c r="J110" i="639"/>
  <c r="G375" i="502"/>
  <c r="G400" i="502" s="1"/>
  <c r="J121" i="502"/>
  <c r="J216" i="200"/>
  <c r="E375" i="200"/>
  <c r="E400" i="200" s="1"/>
  <c r="I400" i="508"/>
  <c r="J157" i="473"/>
  <c r="J25" i="473"/>
  <c r="H107" i="130"/>
  <c r="AG20" i="130"/>
  <c r="AG107" i="130" s="1"/>
  <c r="J20" i="130"/>
  <c r="I456" i="658"/>
  <c r="X107" i="120"/>
  <c r="F145" i="211"/>
  <c r="F169" i="211" s="1"/>
  <c r="J110" i="211"/>
  <c r="J145" i="211" s="1"/>
  <c r="N165" i="129"/>
  <c r="Q109" i="120"/>
  <c r="Q149" i="120" s="1"/>
  <c r="G375" i="654"/>
  <c r="G400" i="654" s="1"/>
  <c r="J216" i="654"/>
  <c r="J375" i="654" s="1"/>
  <c r="J399" i="502"/>
  <c r="H37" i="485"/>
  <c r="J407" i="502"/>
  <c r="O149" i="120"/>
  <c r="V109" i="120"/>
  <c r="J447" i="657"/>
  <c r="E455" i="657"/>
  <c r="E456" i="657" s="1"/>
  <c r="J7" i="485"/>
  <c r="F400" i="200"/>
  <c r="J23" i="163"/>
  <c r="E110" i="163"/>
  <c r="J446" i="658"/>
  <c r="H456" i="658"/>
  <c r="J446" i="657"/>
  <c r="J121" i="200"/>
  <c r="K149" i="120"/>
  <c r="R109" i="120"/>
  <c r="R149" i="120" s="1"/>
  <c r="J399" i="202"/>
  <c r="J420" i="654"/>
  <c r="D400" i="200"/>
  <c r="D400" i="502"/>
  <c r="E111" i="120"/>
  <c r="D375" i="508"/>
  <c r="D400" i="508" s="1"/>
  <c r="J399" i="654"/>
  <c r="D400" i="654"/>
  <c r="J110" i="129"/>
  <c r="F166" i="742"/>
  <c r="G51" i="485"/>
  <c r="N10" i="485"/>
  <c r="AF8" i="485"/>
  <c r="AI8" i="485" s="1"/>
  <c r="J24" i="112"/>
  <c r="W8" i="485"/>
  <c r="AH8" i="485" s="1"/>
  <c r="F9" i="631"/>
  <c r="D146" i="473"/>
  <c r="D170" i="473" s="1"/>
  <c r="J30" i="485"/>
  <c r="G6" i="112"/>
  <c r="H6" i="112"/>
  <c r="M4" i="112"/>
  <c r="L4" i="112"/>
  <c r="U4" i="112"/>
  <c r="G49" i="743"/>
  <c r="M6" i="112"/>
  <c r="U6" i="112"/>
  <c r="L6" i="112"/>
  <c r="H4" i="112"/>
  <c r="G4" i="112"/>
  <c r="D18" i="485"/>
  <c r="F18" i="485"/>
  <c r="C17" i="485"/>
  <c r="H23" i="743" l="1"/>
  <c r="Q16" i="858"/>
  <c r="I16" i="858" s="1"/>
  <c r="Q17" i="858"/>
  <c r="I17" i="858" s="1"/>
  <c r="Q8" i="858"/>
  <c r="I8" i="858" s="1"/>
  <c r="Q13" i="858"/>
  <c r="I13" i="858" s="1"/>
  <c r="E27" i="631"/>
  <c r="I100" i="207"/>
  <c r="E99" i="207"/>
  <c r="G105" i="207"/>
  <c r="D98" i="207"/>
  <c r="H108" i="207"/>
  <c r="D93" i="207"/>
  <c r="E97" i="207"/>
  <c r="E91" i="207"/>
  <c r="F106" i="207"/>
  <c r="F91" i="207"/>
  <c r="G91" i="207"/>
  <c r="E94" i="207"/>
  <c r="E104" i="207"/>
  <c r="G100" i="207"/>
  <c r="F92" i="207"/>
  <c r="I170" i="472"/>
  <c r="D101" i="207"/>
  <c r="I93" i="207"/>
  <c r="F100" i="207"/>
  <c r="G98" i="207"/>
  <c r="E103" i="207"/>
  <c r="I104" i="207"/>
  <c r="D106" i="207"/>
  <c r="I98" i="207"/>
  <c r="I99" i="207"/>
  <c r="F96" i="207"/>
  <c r="H97" i="207"/>
  <c r="D99" i="207"/>
  <c r="G90" i="207"/>
  <c r="F107" i="207"/>
  <c r="H106" i="207"/>
  <c r="I106" i="207"/>
  <c r="D94" i="207"/>
  <c r="D92" i="207"/>
  <c r="E93" i="207"/>
  <c r="H94" i="207"/>
  <c r="I94" i="207"/>
  <c r="D91" i="207"/>
  <c r="E90" i="207"/>
  <c r="I108" i="207"/>
  <c r="D96" i="207"/>
  <c r="H96" i="207"/>
  <c r="I103" i="207"/>
  <c r="H107" i="207"/>
  <c r="F108" i="207"/>
  <c r="F104" i="207"/>
  <c r="H90" i="207"/>
  <c r="I107" i="207"/>
  <c r="G108" i="207"/>
  <c r="F93" i="207"/>
  <c r="I90" i="207"/>
  <c r="D90" i="207"/>
  <c r="G577" i="608"/>
  <c r="I19" i="485"/>
  <c r="H99" i="207"/>
  <c r="G93" i="207"/>
  <c r="G103" i="207"/>
  <c r="G107" i="207"/>
  <c r="H92" i="207"/>
  <c r="F90" i="207"/>
  <c r="E106" i="207"/>
  <c r="H93" i="207"/>
  <c r="G97" i="207"/>
  <c r="H98" i="207"/>
  <c r="H101" i="207"/>
  <c r="F99" i="207"/>
  <c r="D100" i="207"/>
  <c r="F97" i="207"/>
  <c r="G106" i="207"/>
  <c r="F101" i="207"/>
  <c r="F105" i="207"/>
  <c r="D103" i="207"/>
  <c r="E100" i="207"/>
  <c r="H103" i="207"/>
  <c r="D104" i="207"/>
  <c r="D105" i="207"/>
  <c r="D108" i="207"/>
  <c r="H105" i="207"/>
  <c r="J109" i="742"/>
  <c r="J143" i="742" s="1"/>
  <c r="W95" i="825"/>
  <c r="H91" i="207"/>
  <c r="G104" i="207"/>
  <c r="I97" i="207"/>
  <c r="I91" i="207"/>
  <c r="G92" i="207"/>
  <c r="I92" i="207"/>
  <c r="I96" i="207"/>
  <c r="F94" i="207"/>
  <c r="F98" i="207"/>
  <c r="G94" i="207"/>
  <c r="E98" i="207"/>
  <c r="E96" i="207"/>
  <c r="G96" i="207"/>
  <c r="G99" i="207"/>
  <c r="H100" i="207"/>
  <c r="H104" i="207"/>
  <c r="E101" i="207"/>
  <c r="E107" i="207"/>
  <c r="G101" i="207"/>
  <c r="I101" i="207"/>
  <c r="I105" i="207"/>
  <c r="D107" i="207"/>
  <c r="D97" i="207"/>
  <c r="F103" i="207"/>
  <c r="E92" i="207"/>
  <c r="E105" i="207"/>
  <c r="M170" i="129"/>
  <c r="L173" i="129"/>
  <c r="L170" i="129"/>
  <c r="I170" i="473"/>
  <c r="E170" i="473"/>
  <c r="J112" i="473"/>
  <c r="J146" i="473" s="1"/>
  <c r="P170" i="129"/>
  <c r="X109" i="823"/>
  <c r="J110" i="823" s="1"/>
  <c r="P168" i="823"/>
  <c r="P170" i="823"/>
  <c r="N23" i="485"/>
  <c r="W23" i="485" s="1"/>
  <c r="N24" i="485"/>
  <c r="H24" i="485"/>
  <c r="W24" i="485"/>
  <c r="D110" i="823"/>
  <c r="P173" i="129"/>
  <c r="Q151" i="823"/>
  <c r="M168" i="823"/>
  <c r="M170" i="823"/>
  <c r="L170" i="823"/>
  <c r="L168" i="823"/>
  <c r="X23" i="485"/>
  <c r="N168" i="823"/>
  <c r="N170" i="823"/>
  <c r="K170" i="823"/>
  <c r="K168" i="823"/>
  <c r="J107" i="130"/>
  <c r="J224" i="130" s="1"/>
  <c r="J226" i="130" s="1"/>
  <c r="J227" i="130" s="1"/>
  <c r="O165" i="823"/>
  <c r="H224" i="130"/>
  <c r="H226" i="130" s="1"/>
  <c r="H227" i="130" s="1"/>
  <c r="E11" i="631"/>
  <c r="E26" i="631"/>
  <c r="G154" i="608"/>
  <c r="M154" i="608" s="1"/>
  <c r="M391" i="608"/>
  <c r="G74" i="608"/>
  <c r="G134" i="127"/>
  <c r="M134" i="127" s="1"/>
  <c r="M318" i="608"/>
  <c r="G168" i="127"/>
  <c r="M168" i="127" s="1"/>
  <c r="G108" i="608"/>
  <c r="M352" i="608"/>
  <c r="G180" i="127"/>
  <c r="M180" i="127" s="1"/>
  <c r="G120" i="608"/>
  <c r="M364" i="608"/>
  <c r="G107" i="608"/>
  <c r="G167" i="127"/>
  <c r="M167" i="127" s="1"/>
  <c r="M351" i="608"/>
  <c r="G178" i="608"/>
  <c r="M178" i="608" s="1"/>
  <c r="M415" i="608"/>
  <c r="G180" i="608"/>
  <c r="M180" i="608" s="1"/>
  <c r="M417" i="608"/>
  <c r="G86" i="608"/>
  <c r="G146" i="127"/>
  <c r="M146" i="127" s="1"/>
  <c r="M330" i="608"/>
  <c r="G151" i="608"/>
  <c r="M151" i="608" s="1"/>
  <c r="M388" i="608"/>
  <c r="G184" i="608"/>
  <c r="M184" i="608" s="1"/>
  <c r="M421" i="608"/>
  <c r="G195" i="608"/>
  <c r="M195" i="608" s="1"/>
  <c r="M432" i="608"/>
  <c r="G165" i="608"/>
  <c r="M165" i="608" s="1"/>
  <c r="M402" i="608"/>
  <c r="G169" i="608"/>
  <c r="M169" i="608" s="1"/>
  <c r="M406" i="608"/>
  <c r="G166" i="608"/>
  <c r="M166" i="608" s="1"/>
  <c r="M403" i="608"/>
  <c r="G175" i="608"/>
  <c r="M175" i="608" s="1"/>
  <c r="M412" i="608"/>
  <c r="G167" i="608"/>
  <c r="M167" i="608" s="1"/>
  <c r="M404" i="608"/>
  <c r="G172" i="608"/>
  <c r="M172" i="608" s="1"/>
  <c r="M409" i="608"/>
  <c r="G163" i="127"/>
  <c r="M163" i="127" s="1"/>
  <c r="G103" i="608"/>
  <c r="M347" i="608"/>
  <c r="G152" i="608"/>
  <c r="M152" i="608" s="1"/>
  <c r="M389" i="608"/>
  <c r="G159" i="127"/>
  <c r="M159" i="127" s="1"/>
  <c r="G99" i="608"/>
  <c r="M343" i="608"/>
  <c r="G153" i="608"/>
  <c r="M153" i="608" s="1"/>
  <c r="M390" i="608"/>
  <c r="G202" i="608"/>
  <c r="M202" i="608" s="1"/>
  <c r="M439" i="608"/>
  <c r="G78" i="608"/>
  <c r="M322" i="608"/>
  <c r="G204" i="608"/>
  <c r="M204" i="608" s="1"/>
  <c r="M441" i="608"/>
  <c r="G140" i="127"/>
  <c r="M140" i="127" s="1"/>
  <c r="G80" i="608"/>
  <c r="M324" i="608"/>
  <c r="G185" i="127"/>
  <c r="M185" i="127" s="1"/>
  <c r="G125" i="608"/>
  <c r="M369" i="608"/>
  <c r="G162" i="608"/>
  <c r="M162" i="608" s="1"/>
  <c r="M399" i="608"/>
  <c r="G157" i="127"/>
  <c r="M157" i="127" s="1"/>
  <c r="G97" i="608"/>
  <c r="M341" i="608"/>
  <c r="G176" i="127"/>
  <c r="M176" i="127" s="1"/>
  <c r="G116" i="608"/>
  <c r="M360" i="608"/>
  <c r="G161" i="608"/>
  <c r="M161" i="608" s="1"/>
  <c r="M398" i="608"/>
  <c r="G177" i="608"/>
  <c r="M177" i="608" s="1"/>
  <c r="M414" i="608"/>
  <c r="G182" i="127"/>
  <c r="M182" i="127" s="1"/>
  <c r="G122" i="608"/>
  <c r="M366" i="608"/>
  <c r="G137" i="127"/>
  <c r="M137" i="127" s="1"/>
  <c r="G77" i="608"/>
  <c r="M321" i="608"/>
  <c r="G173" i="608"/>
  <c r="M173" i="608" s="1"/>
  <c r="M410" i="608"/>
  <c r="G124" i="608"/>
  <c r="M124" i="608" s="1"/>
  <c r="M368" i="608"/>
  <c r="G87" i="608"/>
  <c r="M331" i="608"/>
  <c r="G152" i="127"/>
  <c r="M152" i="127" s="1"/>
  <c r="G92" i="608"/>
  <c r="G573" i="608"/>
  <c r="M336" i="608"/>
  <c r="G188" i="608"/>
  <c r="M188" i="608" s="1"/>
  <c r="M425" i="608"/>
  <c r="G135" i="127"/>
  <c r="M135" i="127" s="1"/>
  <c r="G75" i="608"/>
  <c r="M319" i="608"/>
  <c r="G160" i="608"/>
  <c r="M160" i="608" s="1"/>
  <c r="M397" i="608"/>
  <c r="G176" i="608"/>
  <c r="M176" i="608" s="1"/>
  <c r="M413" i="608"/>
  <c r="G159" i="608"/>
  <c r="M159" i="608" s="1"/>
  <c r="M396" i="608"/>
  <c r="G172" i="127"/>
  <c r="M172" i="127" s="1"/>
  <c r="G112" i="608"/>
  <c r="G579" i="608"/>
  <c r="M356" i="608"/>
  <c r="G111" i="608"/>
  <c r="G171" i="127"/>
  <c r="M171" i="127" s="1"/>
  <c r="M355" i="608"/>
  <c r="G205" i="608"/>
  <c r="M205" i="608" s="1"/>
  <c r="M442" i="608"/>
  <c r="G185" i="608"/>
  <c r="M185" i="608" s="1"/>
  <c r="M422" i="608"/>
  <c r="G115" i="608"/>
  <c r="M115" i="608" s="1"/>
  <c r="M359" i="608"/>
  <c r="G200" i="608"/>
  <c r="M200" i="608" s="1"/>
  <c r="M437" i="608"/>
  <c r="G119" i="608"/>
  <c r="G179" i="127"/>
  <c r="M179" i="127" s="1"/>
  <c r="M363" i="608"/>
  <c r="G187" i="608"/>
  <c r="M187" i="608" s="1"/>
  <c r="M424" i="608"/>
  <c r="G445" i="608"/>
  <c r="G147" i="127"/>
  <c r="M147" i="127" s="1"/>
  <c r="G164" i="608"/>
  <c r="M164" i="608" s="1"/>
  <c r="M401" i="608"/>
  <c r="G178" i="127"/>
  <c r="M178" i="127" s="1"/>
  <c r="G118" i="608"/>
  <c r="M362" i="608"/>
  <c r="G150" i="608"/>
  <c r="M387" i="608"/>
  <c r="G139" i="127"/>
  <c r="M139" i="127" s="1"/>
  <c r="G79" i="608"/>
  <c r="M323" i="608"/>
  <c r="G181" i="608"/>
  <c r="M181" i="608" s="1"/>
  <c r="M418" i="608"/>
  <c r="G194" i="608"/>
  <c r="M194" i="608" s="1"/>
  <c r="M431" i="608"/>
  <c r="G197" i="608"/>
  <c r="M197" i="608" s="1"/>
  <c r="M434" i="608"/>
  <c r="G206" i="608"/>
  <c r="M206" i="608" s="1"/>
  <c r="M443" i="608"/>
  <c r="G154" i="127"/>
  <c r="M154" i="127" s="1"/>
  <c r="G94" i="608"/>
  <c r="M338" i="608"/>
  <c r="G136" i="127"/>
  <c r="M136" i="127" s="1"/>
  <c r="G76" i="608"/>
  <c r="M320" i="608"/>
  <c r="G163" i="608"/>
  <c r="M163" i="608" s="1"/>
  <c r="M400" i="608"/>
  <c r="G173" i="127"/>
  <c r="M173" i="127" s="1"/>
  <c r="G113" i="608"/>
  <c r="G574" i="608"/>
  <c r="M357" i="608"/>
  <c r="G174" i="127"/>
  <c r="M174" i="127" s="1"/>
  <c r="G114" i="608"/>
  <c r="M358" i="608"/>
  <c r="G127" i="608"/>
  <c r="G187" i="127"/>
  <c r="M187" i="127" s="1"/>
  <c r="M371" i="608"/>
  <c r="G189" i="127"/>
  <c r="M189" i="127" s="1"/>
  <c r="G129" i="608"/>
  <c r="M373" i="608"/>
  <c r="G162" i="127"/>
  <c r="M162" i="127" s="1"/>
  <c r="G102" i="608"/>
  <c r="M346" i="608"/>
  <c r="G184" i="127"/>
  <c r="M184" i="127" s="1"/>
  <c r="G201" i="608"/>
  <c r="M438" i="608"/>
  <c r="G182" i="608"/>
  <c r="M182" i="608" s="1"/>
  <c r="M419" i="608"/>
  <c r="G175" i="127"/>
  <c r="M175" i="127" s="1"/>
  <c r="G192" i="608"/>
  <c r="M429" i="608"/>
  <c r="G174" i="608"/>
  <c r="M174" i="608" s="1"/>
  <c r="M411" i="608"/>
  <c r="G88" i="608"/>
  <c r="G148" i="127"/>
  <c r="M148" i="127" s="1"/>
  <c r="M332" i="608"/>
  <c r="G141" i="127"/>
  <c r="M141" i="127" s="1"/>
  <c r="G81" i="608"/>
  <c r="M325" i="608"/>
  <c r="G375" i="608"/>
  <c r="G381" i="608" s="1"/>
  <c r="G110" i="608"/>
  <c r="G170" i="127"/>
  <c r="M170" i="127" s="1"/>
  <c r="G578" i="608"/>
  <c r="M354" i="608"/>
  <c r="G144" i="127"/>
  <c r="M144" i="127" s="1"/>
  <c r="G84" i="608"/>
  <c r="G576" i="608"/>
  <c r="M328" i="608"/>
  <c r="G160" i="127"/>
  <c r="M160" i="127" s="1"/>
  <c r="G100" i="608"/>
  <c r="M344" i="608"/>
  <c r="G93" i="608"/>
  <c r="G153" i="127"/>
  <c r="M153" i="127" s="1"/>
  <c r="M337" i="608"/>
  <c r="G104" i="608"/>
  <c r="G164" i="127"/>
  <c r="M164" i="127" s="1"/>
  <c r="M348" i="608"/>
  <c r="G96" i="608"/>
  <c r="G156" i="127"/>
  <c r="M156" i="127" s="1"/>
  <c r="M340" i="608"/>
  <c r="G123" i="608"/>
  <c r="G183" i="127"/>
  <c r="M183" i="127" s="1"/>
  <c r="M367" i="608"/>
  <c r="G169" i="127"/>
  <c r="M169" i="127" s="1"/>
  <c r="G575" i="608"/>
  <c r="G109" i="608"/>
  <c r="M353" i="608"/>
  <c r="G106" i="608"/>
  <c r="G166" i="127"/>
  <c r="M166" i="127" s="1"/>
  <c r="M350" i="608"/>
  <c r="G158" i="127"/>
  <c r="M158" i="127" s="1"/>
  <c r="G98" i="608"/>
  <c r="G580" i="608"/>
  <c r="M342" i="608"/>
  <c r="G156" i="608"/>
  <c r="M156" i="608" s="1"/>
  <c r="M393" i="608"/>
  <c r="G95" i="608"/>
  <c r="G155" i="127"/>
  <c r="M155" i="127" s="1"/>
  <c r="M339" i="608"/>
  <c r="G142" i="127"/>
  <c r="M142" i="127" s="1"/>
  <c r="G82" i="608"/>
  <c r="M326" i="608"/>
  <c r="G143" i="127"/>
  <c r="M143" i="127" s="1"/>
  <c r="G83" i="608"/>
  <c r="M327" i="608"/>
  <c r="G165" i="127"/>
  <c r="M165" i="127" s="1"/>
  <c r="G105" i="608"/>
  <c r="M349" i="608"/>
  <c r="G177" i="127"/>
  <c r="M177" i="127" s="1"/>
  <c r="G117" i="608"/>
  <c r="M361" i="608"/>
  <c r="G126" i="608"/>
  <c r="G186" i="127"/>
  <c r="M186" i="127" s="1"/>
  <c r="M370" i="608"/>
  <c r="G89" i="608"/>
  <c r="G149" i="127"/>
  <c r="M149" i="127" s="1"/>
  <c r="M333" i="608"/>
  <c r="G157" i="608"/>
  <c r="M157" i="608" s="1"/>
  <c r="M394" i="608"/>
  <c r="G73" i="608"/>
  <c r="G133" i="127"/>
  <c r="M133" i="127" s="1"/>
  <c r="G572" i="608"/>
  <c r="M317" i="608"/>
  <c r="G128" i="608"/>
  <c r="G188" i="127"/>
  <c r="M188" i="127" s="1"/>
  <c r="M372" i="608"/>
  <c r="G151" i="127"/>
  <c r="M151" i="127" s="1"/>
  <c r="G168" i="608"/>
  <c r="M168" i="608" s="1"/>
  <c r="M405" i="608"/>
  <c r="G193" i="608"/>
  <c r="M193" i="608" s="1"/>
  <c r="M430" i="608"/>
  <c r="G150" i="127"/>
  <c r="M150" i="127" s="1"/>
  <c r="G90" i="608"/>
  <c r="M334" i="608"/>
  <c r="G190" i="608"/>
  <c r="M190" i="608" s="1"/>
  <c r="M427" i="608"/>
  <c r="G170" i="608"/>
  <c r="M170" i="608" s="1"/>
  <c r="M407" i="608"/>
  <c r="G183" i="608"/>
  <c r="M183" i="608" s="1"/>
  <c r="M420" i="608"/>
  <c r="G179" i="608"/>
  <c r="M179" i="608" s="1"/>
  <c r="M416" i="608"/>
  <c r="G199" i="608"/>
  <c r="M199" i="608" s="1"/>
  <c r="M436" i="608"/>
  <c r="G161" i="127"/>
  <c r="M161" i="127" s="1"/>
  <c r="G101" i="608"/>
  <c r="M345" i="608"/>
  <c r="G145" i="127"/>
  <c r="M145" i="127" s="1"/>
  <c r="G85" i="608"/>
  <c r="M329" i="608"/>
  <c r="G229" i="608"/>
  <c r="M231" i="608"/>
  <c r="G171" i="608"/>
  <c r="M171" i="608" s="1"/>
  <c r="M408" i="608"/>
  <c r="G198" i="608"/>
  <c r="M198" i="608" s="1"/>
  <c r="M435" i="608"/>
  <c r="G186" i="608"/>
  <c r="M186" i="608" s="1"/>
  <c r="M423" i="608"/>
  <c r="K11" i="48"/>
  <c r="E16" i="48"/>
  <c r="E17" i="48" s="1"/>
  <c r="G181" i="127"/>
  <c r="M181" i="127" s="1"/>
  <c r="G121" i="608"/>
  <c r="M365" i="608"/>
  <c r="G189" i="608"/>
  <c r="M189" i="608" s="1"/>
  <c r="M426" i="608"/>
  <c r="G138" i="127"/>
  <c r="M138" i="127" s="1"/>
  <c r="G155" i="608"/>
  <c r="M155" i="608" s="1"/>
  <c r="M392" i="608"/>
  <c r="G196" i="608"/>
  <c r="M196" i="608" s="1"/>
  <c r="M433" i="608"/>
  <c r="G91" i="608"/>
  <c r="M335" i="608"/>
  <c r="G191" i="608"/>
  <c r="M191" i="608" s="1"/>
  <c r="M428" i="608"/>
  <c r="G203" i="608"/>
  <c r="M203" i="608" s="1"/>
  <c r="M440" i="608"/>
  <c r="G158" i="608"/>
  <c r="M158" i="608" s="1"/>
  <c r="M395" i="608"/>
  <c r="H30" i="485"/>
  <c r="H51" i="485" s="1"/>
  <c r="J169" i="472"/>
  <c r="K168" i="129"/>
  <c r="K175" i="129" s="1"/>
  <c r="J167" i="163"/>
  <c r="J112" i="472"/>
  <c r="J146" i="472" s="1"/>
  <c r="J58" i="485"/>
  <c r="H49" i="485"/>
  <c r="J420" i="502"/>
  <c r="G291" i="743"/>
  <c r="G188" i="743"/>
  <c r="G154" i="743"/>
  <c r="G223" i="743"/>
  <c r="G257" i="743"/>
  <c r="J375" i="202"/>
  <c r="J375" i="502"/>
  <c r="J375" i="508"/>
  <c r="F7" i="631"/>
  <c r="J420" i="508"/>
  <c r="J169" i="211"/>
  <c r="J455" i="658"/>
  <c r="J456" i="658" s="1"/>
  <c r="J420" i="200"/>
  <c r="H12" i="485"/>
  <c r="N12" i="485" s="1"/>
  <c r="J375" i="200"/>
  <c r="J376" i="657"/>
  <c r="E38" i="79" s="1"/>
  <c r="J400" i="657"/>
  <c r="N13" i="485"/>
  <c r="K15" i="485"/>
  <c r="K16" i="485" s="1"/>
  <c r="K19" i="485" s="1"/>
  <c r="K58" i="485"/>
  <c r="J145" i="639"/>
  <c r="E41" i="39"/>
  <c r="J4" i="485"/>
  <c r="J169" i="473"/>
  <c r="O165" i="129"/>
  <c r="Q165" i="129" s="1"/>
  <c r="Q170" i="129" s="1"/>
  <c r="N168" i="129"/>
  <c r="N170" i="129"/>
  <c r="J455" i="657"/>
  <c r="J456" i="657" s="1"/>
  <c r="X8" i="485"/>
  <c r="V149" i="120"/>
  <c r="H111" i="120"/>
  <c r="H58" i="485"/>
  <c r="N37" i="485"/>
  <c r="N7" i="485"/>
  <c r="E145" i="163"/>
  <c r="E168" i="163" s="1"/>
  <c r="J110" i="163"/>
  <c r="J145" i="163" s="1"/>
  <c r="E24" i="631"/>
  <c r="E25" i="631"/>
  <c r="E23" i="631"/>
  <c r="E22" i="631"/>
  <c r="E20" i="631"/>
  <c r="E21" i="631"/>
  <c r="D111" i="120"/>
  <c r="X109" i="120"/>
  <c r="X149" i="120" s="1"/>
  <c r="E27" i="79"/>
  <c r="J400" i="658"/>
  <c r="K20" i="112"/>
  <c r="N30" i="485"/>
  <c r="W30" i="485" s="1"/>
  <c r="AF28" i="485"/>
  <c r="AJ4" i="485" s="1"/>
  <c r="M173" i="129"/>
  <c r="M175" i="129"/>
  <c r="E34" i="112" a="1"/>
  <c r="E34" i="112" s="1"/>
  <c r="J26" i="112"/>
  <c r="J79" i="112" s="1"/>
  <c r="J85" i="112" s="1"/>
  <c r="J9" i="112"/>
  <c r="E24" i="112"/>
  <c r="AH28" i="485"/>
  <c r="F5" i="631"/>
  <c r="W10" i="485"/>
  <c r="AH10" i="485" s="1"/>
  <c r="AJ27" i="485" s="1"/>
  <c r="AF10" i="485"/>
  <c r="AI10" i="485" s="1"/>
  <c r="AP8" i="485" s="1"/>
  <c r="E17" i="631"/>
  <c r="E29" i="631"/>
  <c r="E28" i="631"/>
  <c r="E6" i="631"/>
  <c r="E8" i="631"/>
  <c r="E9" i="631"/>
  <c r="E15" i="631"/>
  <c r="E18" i="631"/>
  <c r="E14" i="631"/>
  <c r="E13" i="631"/>
  <c r="E16" i="631"/>
  <c r="E10" i="631"/>
  <c r="E5" i="631"/>
  <c r="E19" i="631"/>
  <c r="E7" i="631"/>
  <c r="E12" i="631"/>
  <c r="J166" i="742" l="1"/>
  <c r="E6" i="858"/>
  <c r="Q7" i="858"/>
  <c r="I7" i="858" s="1"/>
  <c r="M577" i="608"/>
  <c r="G535" i="608"/>
  <c r="M535" i="608" s="1"/>
  <c r="D21" i="606"/>
  <c r="J400" i="202"/>
  <c r="X4" i="485"/>
  <c r="X6" i="485" s="1"/>
  <c r="J170" i="473"/>
  <c r="O168" i="823"/>
  <c r="Q168" i="823" s="1"/>
  <c r="O170" i="823"/>
  <c r="K175" i="823"/>
  <c r="K173" i="823"/>
  <c r="Q165" i="823"/>
  <c r="Q170" i="823" s="1"/>
  <c r="Y23" i="485"/>
  <c r="L173" i="823"/>
  <c r="L175" i="823"/>
  <c r="M173" i="823"/>
  <c r="M175" i="823"/>
  <c r="N175" i="823"/>
  <c r="N173" i="823"/>
  <c r="P173" i="823"/>
  <c r="P175" i="823"/>
  <c r="M191" i="127"/>
  <c r="M197" i="127" s="1"/>
  <c r="K173" i="129"/>
  <c r="G533" i="608"/>
  <c r="G318" i="127"/>
  <c r="M318" i="127" s="1"/>
  <c r="M109" i="608"/>
  <c r="M575" i="608"/>
  <c r="G286" i="127"/>
  <c r="M286" i="127" s="1"/>
  <c r="M77" i="608"/>
  <c r="G308" i="127"/>
  <c r="M308" i="127" s="1"/>
  <c r="M99" i="608"/>
  <c r="G284" i="127"/>
  <c r="M284" i="127" s="1"/>
  <c r="M75" i="608"/>
  <c r="G291" i="127"/>
  <c r="M291" i="127" s="1"/>
  <c r="M82" i="608"/>
  <c r="G298" i="127"/>
  <c r="M298" i="127" s="1"/>
  <c r="M89" i="608"/>
  <c r="M576" i="608"/>
  <c r="G336" i="127"/>
  <c r="M336" i="127" s="1"/>
  <c r="M127" i="608"/>
  <c r="G334" i="127"/>
  <c r="M334" i="127" s="1"/>
  <c r="M125" i="608"/>
  <c r="G316" i="127"/>
  <c r="M316" i="127" s="1"/>
  <c r="M107" i="608"/>
  <c r="G294" i="127"/>
  <c r="M294" i="127" s="1"/>
  <c r="M85" i="608"/>
  <c r="G327" i="127"/>
  <c r="M327" i="127" s="1"/>
  <c r="M118" i="608"/>
  <c r="M150" i="608"/>
  <c r="G297" i="127"/>
  <c r="M297" i="127" s="1"/>
  <c r="M88" i="608"/>
  <c r="G303" i="127"/>
  <c r="M303" i="127" s="1"/>
  <c r="M94" i="608"/>
  <c r="G299" i="127"/>
  <c r="M299" i="127" s="1"/>
  <c r="M90" i="608"/>
  <c r="G293" i="127"/>
  <c r="M293" i="127" s="1"/>
  <c r="G534" i="608"/>
  <c r="M84" i="608"/>
  <c r="G323" i="127"/>
  <c r="M323" i="127" s="1"/>
  <c r="M114" i="608"/>
  <c r="K10" i="48"/>
  <c r="K16" i="48"/>
  <c r="K17" i="48" s="1"/>
  <c r="G289" i="127"/>
  <c r="M289" i="127" s="1"/>
  <c r="M80" i="608"/>
  <c r="M574" i="608"/>
  <c r="M579" i="608"/>
  <c r="G333" i="127"/>
  <c r="M333" i="127" s="1"/>
  <c r="M201" i="608"/>
  <c r="G324" i="127"/>
  <c r="M324" i="127" s="1"/>
  <c r="M192" i="608"/>
  <c r="G335" i="127"/>
  <c r="M335" i="127" s="1"/>
  <c r="M126" i="608"/>
  <c r="M573" i="608"/>
  <c r="G305" i="127"/>
  <c r="M305" i="127" s="1"/>
  <c r="M96" i="608"/>
  <c r="G337" i="127"/>
  <c r="M337" i="127" s="1"/>
  <c r="M128" i="608"/>
  <c r="G322" i="127"/>
  <c r="M322" i="127" s="1"/>
  <c r="G532" i="608"/>
  <c r="M113" i="608"/>
  <c r="G300" i="127"/>
  <c r="M300" i="127" s="1"/>
  <c r="M91" i="608"/>
  <c r="G538" i="608"/>
  <c r="G307" i="127"/>
  <c r="M307" i="127" s="1"/>
  <c r="M98" i="608"/>
  <c r="G585" i="608"/>
  <c r="G586" i="608" s="1"/>
  <c r="G591" i="608" s="1"/>
  <c r="G198" i="127"/>
  <c r="M198" i="127" s="1"/>
  <c r="G130" i="608"/>
  <c r="M375" i="608"/>
  <c r="G338" i="127"/>
  <c r="M338" i="127" s="1"/>
  <c r="M129" i="608"/>
  <c r="G309" i="127"/>
  <c r="M309" i="127" s="1"/>
  <c r="M100" i="608"/>
  <c r="G330" i="127"/>
  <c r="M330" i="127" s="1"/>
  <c r="M121" i="608"/>
  <c r="G332" i="127"/>
  <c r="M332" i="127" s="1"/>
  <c r="M123" i="608"/>
  <c r="G451" i="608"/>
  <c r="G207" i="608"/>
  <c r="M207" i="608" s="1"/>
  <c r="M445" i="608"/>
  <c r="M580" i="608"/>
  <c r="G321" i="127"/>
  <c r="M321" i="127" s="1"/>
  <c r="G537" i="608"/>
  <c r="M112" i="608"/>
  <c r="G383" i="608"/>
  <c r="M381" i="608"/>
  <c r="G314" i="127"/>
  <c r="M314" i="127" s="1"/>
  <c r="M105" i="608"/>
  <c r="G313" i="127"/>
  <c r="M313" i="127" s="1"/>
  <c r="M104" i="608"/>
  <c r="G328" i="127"/>
  <c r="M328" i="127" s="1"/>
  <c r="M119" i="608"/>
  <c r="G296" i="127"/>
  <c r="M296" i="127" s="1"/>
  <c r="M87" i="608"/>
  <c r="G325" i="127"/>
  <c r="M325" i="127" s="1"/>
  <c r="M116" i="608"/>
  <c r="G287" i="127"/>
  <c r="M287" i="127" s="1"/>
  <c r="M78" i="608"/>
  <c r="G326" i="127"/>
  <c r="M326" i="127" s="1"/>
  <c r="M117" i="608"/>
  <c r="G301" i="127"/>
  <c r="M301" i="127" s="1"/>
  <c r="G530" i="608"/>
  <c r="M92" i="608"/>
  <c r="G319" i="127"/>
  <c r="M319" i="127" s="1"/>
  <c r="G536" i="608"/>
  <c r="M536" i="608" s="1"/>
  <c r="M110" i="608"/>
  <c r="M572" i="608"/>
  <c r="G311" i="127"/>
  <c r="M311" i="127" s="1"/>
  <c r="M102" i="608"/>
  <c r="G288" i="127"/>
  <c r="M288" i="127" s="1"/>
  <c r="M79" i="608"/>
  <c r="G295" i="127"/>
  <c r="M295" i="127" s="1"/>
  <c r="M86" i="608"/>
  <c r="G283" i="127"/>
  <c r="M283" i="127" s="1"/>
  <c r="M74" i="608"/>
  <c r="G304" i="127"/>
  <c r="M304" i="127" s="1"/>
  <c r="M95" i="608"/>
  <c r="G191" i="127"/>
  <c r="G197" i="127" s="1"/>
  <c r="G312" i="127"/>
  <c r="M312" i="127" s="1"/>
  <c r="M103" i="608"/>
  <c r="M578" i="608"/>
  <c r="G290" i="127"/>
  <c r="M290" i="127" s="1"/>
  <c r="M81" i="608"/>
  <c r="X28" i="485"/>
  <c r="Y28" i="485" s="1"/>
  <c r="G310" i="127"/>
  <c r="M101" i="608"/>
  <c r="G331" i="127"/>
  <c r="M331" i="127" s="1"/>
  <c r="M122" i="608"/>
  <c r="G329" i="127"/>
  <c r="M329" i="127" s="1"/>
  <c r="M120" i="608"/>
  <c r="G320" i="127"/>
  <c r="M320" i="127" s="1"/>
  <c r="M111" i="608"/>
  <c r="G317" i="127"/>
  <c r="M317" i="127" s="1"/>
  <c r="M108" i="608"/>
  <c r="G230" i="608"/>
  <c r="G456" i="608"/>
  <c r="G457" i="608"/>
  <c r="M457" i="608" s="1"/>
  <c r="M229" i="608"/>
  <c r="M230" i="608" s="1"/>
  <c r="C12" i="19" a="1"/>
  <c r="G282" i="127"/>
  <c r="G214" i="127" s="1"/>
  <c r="G529" i="608"/>
  <c r="M73" i="608"/>
  <c r="G292" i="127"/>
  <c r="M292" i="127" s="1"/>
  <c r="M83" i="608"/>
  <c r="G315" i="127"/>
  <c r="M315" i="127" s="1"/>
  <c r="M106" i="608"/>
  <c r="G302" i="127"/>
  <c r="M302" i="127" s="1"/>
  <c r="M93" i="608"/>
  <c r="G285" i="127"/>
  <c r="M285" i="127" s="1"/>
  <c r="M76" i="608"/>
  <c r="G306" i="127"/>
  <c r="M306" i="127" s="1"/>
  <c r="M97" i="608"/>
  <c r="G275" i="127"/>
  <c r="G276" i="127"/>
  <c r="G274" i="127"/>
  <c r="J170" i="472"/>
  <c r="D27" i="79"/>
  <c r="X37" i="485"/>
  <c r="J400" i="502"/>
  <c r="E36" i="79"/>
  <c r="D12" i="91" s="1"/>
  <c r="X13" i="485"/>
  <c r="X12" i="485"/>
  <c r="J400" i="508"/>
  <c r="J400" i="200"/>
  <c r="F20" i="112"/>
  <c r="F5" i="112" s="1"/>
  <c r="H15" i="485"/>
  <c r="H16" i="485" s="1"/>
  <c r="H19" i="485" s="1"/>
  <c r="D3" i="606"/>
  <c r="E58" i="79"/>
  <c r="D5" i="411"/>
  <c r="F58" i="79" s="1"/>
  <c r="W12" i="485"/>
  <c r="AF12" i="485"/>
  <c r="AI12" i="485" s="1"/>
  <c r="D13" i="91"/>
  <c r="E52" i="39"/>
  <c r="K17" i="485"/>
  <c r="J49" i="485"/>
  <c r="N4" i="485"/>
  <c r="J6" i="485"/>
  <c r="J28" i="112"/>
  <c r="N15" i="485"/>
  <c r="AF13" i="485"/>
  <c r="AI13" i="485" s="1"/>
  <c r="W13" i="485"/>
  <c r="J169" i="639"/>
  <c r="O168" i="129"/>
  <c r="O170" i="129"/>
  <c r="X10" i="485"/>
  <c r="Y10" i="485" s="1"/>
  <c r="Y8" i="485"/>
  <c r="N173" i="129"/>
  <c r="N175" i="129"/>
  <c r="AF7" i="485"/>
  <c r="AI7" i="485" s="1"/>
  <c r="W7" i="485"/>
  <c r="AH7" i="485" s="1"/>
  <c r="J23" i="112"/>
  <c r="N58" i="485"/>
  <c r="AF37" i="485"/>
  <c r="AJ13" i="485" s="1"/>
  <c r="W37" i="485"/>
  <c r="AB37" i="485"/>
  <c r="J168" i="163"/>
  <c r="X7" i="485"/>
  <c r="J376" i="654"/>
  <c r="J400" i="654"/>
  <c r="E29" i="79"/>
  <c r="E31" i="79" s="1"/>
  <c r="E32" i="79"/>
  <c r="K22" i="112"/>
  <c r="K77" i="112" s="1"/>
  <c r="K5" i="112"/>
  <c r="U5" i="112" s="1"/>
  <c r="AF30" i="485"/>
  <c r="AJ6" i="485" s="1"/>
  <c r="AQ9" i="485" s="1"/>
  <c r="E38" i="112"/>
  <c r="E36" i="112"/>
  <c r="E37" i="112"/>
  <c r="E35" i="112"/>
  <c r="AH30" i="485"/>
  <c r="AK28" i="485" s="1"/>
  <c r="E9" i="112"/>
  <c r="E26" i="112"/>
  <c r="E11" i="112" s="1"/>
  <c r="J11" i="112"/>
  <c r="T9" i="112"/>
  <c r="Q9" i="858" l="1"/>
  <c r="I9" i="858" s="1"/>
  <c r="M613" i="608"/>
  <c r="G613" i="608"/>
  <c r="G594" i="608"/>
  <c r="G606" i="608"/>
  <c r="M201" i="127"/>
  <c r="M204" i="127" s="1"/>
  <c r="G268" i="127"/>
  <c r="R53" i="66"/>
  <c r="P53" i="66" s="1"/>
  <c r="R54" i="66"/>
  <c r="P54" i="66" s="1"/>
  <c r="R52" i="66"/>
  <c r="P52" i="66" s="1"/>
  <c r="R55" i="66"/>
  <c r="P55" i="66" s="1"/>
  <c r="R48" i="66"/>
  <c r="P48" i="66" s="1"/>
  <c r="R51" i="66"/>
  <c r="P51" i="66" s="1"/>
  <c r="G225" i="127"/>
  <c r="Q173" i="823"/>
  <c r="Q175" i="823"/>
  <c r="O175" i="823"/>
  <c r="O173" i="823"/>
  <c r="G250" i="127"/>
  <c r="G266" i="127"/>
  <c r="G231" i="127"/>
  <c r="G261" i="127"/>
  <c r="G253" i="127"/>
  <c r="R50" i="66"/>
  <c r="P50" i="66" s="1"/>
  <c r="R56" i="66"/>
  <c r="P56" i="66" s="1"/>
  <c r="R49" i="66"/>
  <c r="G248" i="127"/>
  <c r="M205" i="127"/>
  <c r="K17" i="70" s="1"/>
  <c r="D6" i="40" s="1"/>
  <c r="G236" i="127"/>
  <c r="G245" i="127"/>
  <c r="G267" i="127"/>
  <c r="G201" i="127"/>
  <c r="G204" i="127" s="1"/>
  <c r="G382" i="127" s="1"/>
  <c r="G258" i="127"/>
  <c r="M282" i="127"/>
  <c r="M214" i="127" s="1"/>
  <c r="G251" i="127"/>
  <c r="G595" i="608"/>
  <c r="G218" i="127"/>
  <c r="G219" i="127"/>
  <c r="G256" i="127"/>
  <c r="G227" i="127"/>
  <c r="G596" i="608"/>
  <c r="G220" i="127"/>
  <c r="G589" i="608"/>
  <c r="G254" i="127"/>
  <c r="G239" i="127"/>
  <c r="G260" i="127"/>
  <c r="G249" i="127"/>
  <c r="G614" i="608"/>
  <c r="G257" i="127"/>
  <c r="G270" i="127"/>
  <c r="G223" i="127"/>
  <c r="G222" i="127"/>
  <c r="G264" i="127"/>
  <c r="G230" i="127"/>
  <c r="G229" i="127"/>
  <c r="G205" i="127"/>
  <c r="D17" i="70" s="1"/>
  <c r="D18" i="70" s="1"/>
  <c r="K18" i="70" s="1"/>
  <c r="D34" i="39" s="1"/>
  <c r="G255" i="127"/>
  <c r="G228" i="127"/>
  <c r="G243" i="127"/>
  <c r="M614" i="608"/>
  <c r="G216" i="127"/>
  <c r="M265" i="127"/>
  <c r="D16" i="70"/>
  <c r="K16" i="70" s="1"/>
  <c r="G269" i="127"/>
  <c r="G265" i="127"/>
  <c r="G262" i="127"/>
  <c r="G593" i="608"/>
  <c r="X30" i="485"/>
  <c r="Z30" i="485" s="1"/>
  <c r="Z28" i="485"/>
  <c r="G610" i="608"/>
  <c r="M532" i="608"/>
  <c r="G238" i="127"/>
  <c r="G217" i="127"/>
  <c r="G244" i="127"/>
  <c r="G215" i="127"/>
  <c r="G212" i="608"/>
  <c r="G458" i="608"/>
  <c r="M458" i="608" s="1"/>
  <c r="M456" i="608"/>
  <c r="G235" i="127"/>
  <c r="G209" i="127"/>
  <c r="M383" i="608"/>
  <c r="G232" i="127"/>
  <c r="G615" i="608"/>
  <c r="M537" i="608"/>
  <c r="G340" i="127"/>
  <c r="G346" i="127" s="1"/>
  <c r="G609" i="608"/>
  <c r="M530" i="608"/>
  <c r="M609" i="608" s="1"/>
  <c r="G221" i="127"/>
  <c r="G233" i="127"/>
  <c r="G259" i="127"/>
  <c r="G252" i="127"/>
  <c r="G226" i="127"/>
  <c r="G603" i="608"/>
  <c r="G599" i="608"/>
  <c r="G598" i="608"/>
  <c r="G600" i="608"/>
  <c r="G601" i="608"/>
  <c r="M586" i="608"/>
  <c r="G608" i="608"/>
  <c r="M529" i="608"/>
  <c r="M310" i="127"/>
  <c r="M242" i="127" s="1"/>
  <c r="G242" i="127"/>
  <c r="G602" i="608"/>
  <c r="M585" i="608"/>
  <c r="G612" i="608"/>
  <c r="M534" i="608"/>
  <c r="G246" i="127"/>
  <c r="G247" i="127"/>
  <c r="G597" i="608"/>
  <c r="G592" i="608"/>
  <c r="G144" i="608"/>
  <c r="G547" i="608"/>
  <c r="M547" i="608" s="1"/>
  <c r="G347" i="127"/>
  <c r="M347" i="127" s="1"/>
  <c r="M130" i="608"/>
  <c r="G590" i="608"/>
  <c r="G241" i="127"/>
  <c r="G224" i="127"/>
  <c r="G240" i="127"/>
  <c r="G234" i="127"/>
  <c r="C15" i="19"/>
  <c r="E15" i="19" s="1"/>
  <c r="L15" i="19" s="1"/>
  <c r="C16" i="19"/>
  <c r="J16" i="19" s="1"/>
  <c r="C17" i="19"/>
  <c r="E17" i="19" s="1"/>
  <c r="L17" i="19" s="1"/>
  <c r="C14" i="19"/>
  <c r="J14" i="19" s="1"/>
  <c r="C13" i="19"/>
  <c r="C12" i="19"/>
  <c r="E12" i="19" s="1"/>
  <c r="G263" i="127"/>
  <c r="G237" i="127"/>
  <c r="G616" i="608"/>
  <c r="M538" i="608"/>
  <c r="M616" i="608" s="1"/>
  <c r="G453" i="608"/>
  <c r="M453" i="608" s="1"/>
  <c r="M451" i="608"/>
  <c r="G611" i="608"/>
  <c r="M533" i="608"/>
  <c r="M611" i="608" s="1"/>
  <c r="M256" i="127"/>
  <c r="M252" i="127"/>
  <c r="M233" i="127"/>
  <c r="M250" i="127"/>
  <c r="M225" i="127"/>
  <c r="M243" i="127"/>
  <c r="M247" i="127"/>
  <c r="M215" i="127"/>
  <c r="M258" i="127"/>
  <c r="M241" i="127"/>
  <c r="M230" i="127"/>
  <c r="M231" i="127"/>
  <c r="M219" i="127"/>
  <c r="M240" i="127"/>
  <c r="M266" i="127"/>
  <c r="M217" i="127"/>
  <c r="M229" i="127"/>
  <c r="M245" i="127"/>
  <c r="M254" i="127"/>
  <c r="M244" i="127"/>
  <c r="M239" i="127"/>
  <c r="M228" i="127"/>
  <c r="M248" i="127"/>
  <c r="M236" i="127"/>
  <c r="M226" i="127"/>
  <c r="M220" i="127"/>
  <c r="M269" i="127"/>
  <c r="M218" i="127"/>
  <c r="M249" i="127"/>
  <c r="M259" i="127"/>
  <c r="M221" i="127"/>
  <c r="M222" i="127"/>
  <c r="M253" i="127"/>
  <c r="M232" i="127"/>
  <c r="M235" i="127"/>
  <c r="M257" i="127"/>
  <c r="M264" i="127"/>
  <c r="M267" i="127"/>
  <c r="M275" i="127"/>
  <c r="M276" i="127"/>
  <c r="M274" i="127"/>
  <c r="M224" i="127"/>
  <c r="M261" i="127"/>
  <c r="M251" i="127"/>
  <c r="M268" i="127"/>
  <c r="M223" i="127"/>
  <c r="M262" i="127"/>
  <c r="M227" i="127"/>
  <c r="M260" i="127"/>
  <c r="M216" i="127"/>
  <c r="M238" i="127"/>
  <c r="M263" i="127"/>
  <c r="M234" i="127"/>
  <c r="M237" i="127"/>
  <c r="M246" i="127"/>
  <c r="M270" i="127"/>
  <c r="M255" i="127"/>
  <c r="Z37" i="485"/>
  <c r="D15" i="91"/>
  <c r="X15" i="485"/>
  <c r="X16" i="485" s="1"/>
  <c r="F22" i="112"/>
  <c r="F7" i="112" s="1"/>
  <c r="F16" i="631"/>
  <c r="E37" i="79"/>
  <c r="H17" i="485"/>
  <c r="Y12" i="485"/>
  <c r="AH12" i="485"/>
  <c r="W15" i="485"/>
  <c r="AF15" i="485"/>
  <c r="AI15" i="485" s="1"/>
  <c r="AO8" i="485" s="1"/>
  <c r="Y7" i="485"/>
  <c r="J16" i="485"/>
  <c r="J19" i="485" s="1"/>
  <c r="J51" i="485"/>
  <c r="AB28" i="485"/>
  <c r="AF4" i="485"/>
  <c r="AI4" i="485" s="1"/>
  <c r="N6" i="485"/>
  <c r="W4" i="485"/>
  <c r="J20" i="112"/>
  <c r="N49" i="485"/>
  <c r="J29" i="112"/>
  <c r="J80" i="112" s="1"/>
  <c r="J86" i="112" s="1"/>
  <c r="E28" i="112"/>
  <c r="J13" i="112"/>
  <c r="AH13" i="485"/>
  <c r="Y13" i="485"/>
  <c r="Q168" i="129"/>
  <c r="O175" i="129"/>
  <c r="O173" i="129"/>
  <c r="Y37" i="485"/>
  <c r="W58" i="485"/>
  <c r="AH37" i="485"/>
  <c r="AD37" i="485"/>
  <c r="J8" i="112"/>
  <c r="J78" i="112"/>
  <c r="J84" i="112" s="1"/>
  <c r="E23" i="112"/>
  <c r="E8" i="112" s="1"/>
  <c r="K7" i="112"/>
  <c r="E41" i="79"/>
  <c r="K83" i="112"/>
  <c r="T11" i="112"/>
  <c r="J72" i="112"/>
  <c r="D28" i="79" l="1"/>
  <c r="Q11" i="858"/>
  <c r="I11" i="858" s="1"/>
  <c r="E11" i="858"/>
  <c r="Q15" i="858"/>
  <c r="I15" i="858" s="1"/>
  <c r="M594" i="608"/>
  <c r="E16" i="19"/>
  <c r="L16" i="19" s="1"/>
  <c r="M606" i="608"/>
  <c r="M382" i="127"/>
  <c r="O382" i="127" s="1"/>
  <c r="E12" i="831"/>
  <c r="N55" i="66"/>
  <c r="N52" i="66"/>
  <c r="M610" i="608"/>
  <c r="N54" i="66"/>
  <c r="C3" i="606"/>
  <c r="E3" i="606" s="1"/>
  <c r="M608" i="608"/>
  <c r="M615" i="608"/>
  <c r="N53" i="66"/>
  <c r="N51" i="66"/>
  <c r="M612" i="608"/>
  <c r="M595" i="608"/>
  <c r="R61" i="66"/>
  <c r="P61" i="66" s="1"/>
  <c r="R59" i="66"/>
  <c r="P59" i="66" s="1"/>
  <c r="R60" i="66"/>
  <c r="P60" i="66" s="1"/>
  <c r="R62" i="66"/>
  <c r="P62" i="66" s="1"/>
  <c r="M48" i="66"/>
  <c r="M50" i="66"/>
  <c r="M51" i="66"/>
  <c r="J12" i="19"/>
  <c r="M56" i="66"/>
  <c r="N48" i="66"/>
  <c r="G21" i="743"/>
  <c r="M53" i="66"/>
  <c r="M52" i="66"/>
  <c r="M54" i="66"/>
  <c r="M55" i="66"/>
  <c r="R58" i="66"/>
  <c r="R63" i="66"/>
  <c r="P49" i="66"/>
  <c r="G356" i="127"/>
  <c r="G358" i="127" s="1"/>
  <c r="G374" i="127" s="1"/>
  <c r="G376" i="127" s="1"/>
  <c r="G381" i="127" s="1"/>
  <c r="G383" i="127" s="1"/>
  <c r="M49" i="66"/>
  <c r="Y30" i="485"/>
  <c r="M602" i="608"/>
  <c r="M340" i="127"/>
  <c r="M272" i="127" s="1"/>
  <c r="G273" i="127"/>
  <c r="D14" i="70"/>
  <c r="D13" i="70" s="1"/>
  <c r="D35" i="70" s="1"/>
  <c r="M589" i="608"/>
  <c r="M592" i="608"/>
  <c r="G272" i="127"/>
  <c r="M593" i="608"/>
  <c r="M591" i="608"/>
  <c r="M596" i="608"/>
  <c r="M598" i="608"/>
  <c r="G621" i="608"/>
  <c r="M603" i="608"/>
  <c r="M600" i="608"/>
  <c r="M601" i="608"/>
  <c r="M599" i="608"/>
  <c r="M597" i="608"/>
  <c r="M590" i="608"/>
  <c r="C19" i="19"/>
  <c r="J19" i="19" s="1"/>
  <c r="J15" i="19"/>
  <c r="G454" i="608"/>
  <c r="G214" i="608"/>
  <c r="M214" i="608" s="1"/>
  <c r="M212" i="608"/>
  <c r="E13" i="19"/>
  <c r="L13" i="19" s="1"/>
  <c r="J17" i="19"/>
  <c r="E14" i="19"/>
  <c r="L14" i="19" s="1"/>
  <c r="J13" i="19"/>
  <c r="G548" i="608"/>
  <c r="G604" i="608"/>
  <c r="D604" i="608" s="1"/>
  <c r="M621" i="608"/>
  <c r="G146" i="608"/>
  <c r="M144" i="608"/>
  <c r="E55" i="79"/>
  <c r="E56" i="79" s="1"/>
  <c r="F13" i="631"/>
  <c r="G210" i="127"/>
  <c r="M209" i="127"/>
  <c r="M210" i="127" s="1"/>
  <c r="D4" i="411"/>
  <c r="F55" i="79" s="1"/>
  <c r="F56" i="79" s="1"/>
  <c r="AH15" i="485"/>
  <c r="AI27" i="485" s="1"/>
  <c r="Y15" i="485"/>
  <c r="J18" i="485"/>
  <c r="J17" i="485"/>
  <c r="J50" i="112" a="1"/>
  <c r="W6" i="485"/>
  <c r="N51" i="485"/>
  <c r="N16" i="485"/>
  <c r="N19" i="485" s="1"/>
  <c r="AB30" i="485"/>
  <c r="AF6" i="485"/>
  <c r="AI6" i="485" s="1"/>
  <c r="AQ8" i="485" s="1"/>
  <c r="Y4" i="485"/>
  <c r="W49" i="485"/>
  <c r="AD28" i="485"/>
  <c r="AH4" i="485"/>
  <c r="L20" i="112"/>
  <c r="L22" i="112" s="1"/>
  <c r="E20" i="112"/>
  <c r="J22" i="112"/>
  <c r="M20" i="112"/>
  <c r="J5" i="112"/>
  <c r="E29" i="112"/>
  <c r="E14" i="112" s="1"/>
  <c r="E13" i="112"/>
  <c r="J14" i="112"/>
  <c r="T13" i="112"/>
  <c r="Q175" i="129"/>
  <c r="Q173" i="129"/>
  <c r="U7" i="112"/>
  <c r="K71" i="112"/>
  <c r="T8" i="112"/>
  <c r="L12" i="19"/>
  <c r="D16" i="79"/>
  <c r="M273" i="127"/>
  <c r="E42" i="79"/>
  <c r="D5" i="606"/>
  <c r="X17" i="485"/>
  <c r="D33" i="79" l="1"/>
  <c r="N62" i="66"/>
  <c r="N60" i="66"/>
  <c r="N59" i="66"/>
  <c r="N61" i="66"/>
  <c r="D13" i="212"/>
  <c r="G98" i="212" s="1"/>
  <c r="E21" i="743"/>
  <c r="M60" i="66"/>
  <c r="M63" i="66"/>
  <c r="P63" i="66"/>
  <c r="M59" i="66"/>
  <c r="M61" i="66"/>
  <c r="M62" i="66"/>
  <c r="M58" i="66"/>
  <c r="P58" i="66"/>
  <c r="G278" i="127"/>
  <c r="D12" i="70"/>
  <c r="D10" i="70"/>
  <c r="D32" i="70" s="1"/>
  <c r="D11" i="70"/>
  <c r="M346" i="127"/>
  <c r="M356" i="127" s="1"/>
  <c r="M358" i="127" s="1"/>
  <c r="M604" i="608"/>
  <c r="E19" i="19"/>
  <c r="G622" i="608"/>
  <c r="M548" i="608"/>
  <c r="G215" i="608"/>
  <c r="M146" i="608"/>
  <c r="G587" i="608"/>
  <c r="D587" i="608" s="1"/>
  <c r="M454" i="608"/>
  <c r="M206" i="127" s="1"/>
  <c r="M391" i="127" s="1"/>
  <c r="G206" i="127"/>
  <c r="G391" i="127" s="1"/>
  <c r="G186" i="743"/>
  <c r="G390" i="743" s="1"/>
  <c r="G255" i="743"/>
  <c r="G443" i="743" s="1"/>
  <c r="G221" i="743"/>
  <c r="G416" i="743" s="1"/>
  <c r="G289" i="743"/>
  <c r="G469" i="743" s="1"/>
  <c r="G114" i="743"/>
  <c r="G337" i="743" s="1"/>
  <c r="G152" i="743"/>
  <c r="G363" i="743" s="1"/>
  <c r="G79" i="743"/>
  <c r="F19" i="631"/>
  <c r="AR8" i="485"/>
  <c r="G47" i="743"/>
  <c r="J34" i="112" a="1"/>
  <c r="F15" i="631"/>
  <c r="J57" i="112"/>
  <c r="J58" i="112"/>
  <c r="J50" i="112"/>
  <c r="J56" i="112"/>
  <c r="J53" i="112"/>
  <c r="E53" i="112" s="1"/>
  <c r="J51" i="112"/>
  <c r="E51" i="112" s="1"/>
  <c r="J60" i="112"/>
  <c r="J59" i="112"/>
  <c r="J52" i="112"/>
  <c r="E52" i="112" s="1"/>
  <c r="J54" i="112"/>
  <c r="E54" i="112" s="1"/>
  <c r="J55" i="112"/>
  <c r="AH6" i="485"/>
  <c r="AK27" i="485" s="1"/>
  <c r="W16" i="485"/>
  <c r="AD30" i="485"/>
  <c r="Y6" i="485"/>
  <c r="W51" i="485"/>
  <c r="N17" i="485"/>
  <c r="AF16" i="485"/>
  <c r="AI16" i="485" s="1"/>
  <c r="AQ10" i="485"/>
  <c r="E22" i="112"/>
  <c r="E5" i="112"/>
  <c r="H20" i="112"/>
  <c r="G20" i="112"/>
  <c r="J77" i="112"/>
  <c r="J30" i="112"/>
  <c r="M22" i="112"/>
  <c r="J7" i="112"/>
  <c r="L5" i="112"/>
  <c r="T5" i="112"/>
  <c r="M5" i="112"/>
  <c r="T14" i="112"/>
  <c r="J73" i="112"/>
  <c r="K13" i="70"/>
  <c r="K35" i="70"/>
  <c r="N35" i="70" s="1"/>
  <c r="E5" i="606"/>
  <c r="C6" i="606" s="1"/>
  <c r="D8" i="606"/>
  <c r="E60" i="79"/>
  <c r="E61" i="79" s="1"/>
  <c r="E63" i="79" s="1"/>
  <c r="E65" i="79" s="1"/>
  <c r="E68" i="79" s="1"/>
  <c r="D6" i="411"/>
  <c r="E43" i="79"/>
  <c r="E47" i="79" s="1"/>
  <c r="H21" i="743" l="1"/>
  <c r="Q14" i="858"/>
  <c r="I14" i="858" s="1"/>
  <c r="Q12" i="858"/>
  <c r="I12" i="858" s="1"/>
  <c r="W94" i="825"/>
  <c r="E9" i="831"/>
  <c r="G107" i="212"/>
  <c r="F96" i="212"/>
  <c r="D97" i="212"/>
  <c r="H103" i="212"/>
  <c r="F99" i="212"/>
  <c r="D101" i="212"/>
  <c r="H101" i="212"/>
  <c r="H99" i="212"/>
  <c r="F106" i="212"/>
  <c r="F108" i="212"/>
  <c r="G106" i="212"/>
  <c r="H104" i="212"/>
  <c r="I104" i="212"/>
  <c r="D108" i="212"/>
  <c r="F103" i="212"/>
  <c r="D105" i="212"/>
  <c r="G97" i="212"/>
  <c r="F91" i="212"/>
  <c r="F107" i="212"/>
  <c r="E90" i="212"/>
  <c r="D106" i="212"/>
  <c r="E96" i="212"/>
  <c r="I103" i="212"/>
  <c r="D94" i="212"/>
  <c r="H106" i="212"/>
  <c r="N58" i="66"/>
  <c r="E99" i="212"/>
  <c r="H108" i="212"/>
  <c r="I107" i="212"/>
  <c r="D98" i="212"/>
  <c r="H97" i="212"/>
  <c r="G91" i="212"/>
  <c r="G90" i="212"/>
  <c r="E97" i="212"/>
  <c r="F92" i="212"/>
  <c r="G92" i="212"/>
  <c r="E94" i="212"/>
  <c r="I106" i="212"/>
  <c r="E101" i="212"/>
  <c r="F105" i="212"/>
  <c r="G100" i="212"/>
  <c r="E93" i="212"/>
  <c r="I99" i="212"/>
  <c r="D96" i="212"/>
  <c r="G101" i="212"/>
  <c r="E104" i="212"/>
  <c r="F94" i="212"/>
  <c r="I97" i="212"/>
  <c r="E108" i="212"/>
  <c r="I90" i="212"/>
  <c r="D107" i="212"/>
  <c r="H107" i="212"/>
  <c r="I105" i="212"/>
  <c r="D91" i="212"/>
  <c r="G96" i="212"/>
  <c r="D103" i="212"/>
  <c r="G104" i="212"/>
  <c r="I100" i="212"/>
  <c r="F100" i="212"/>
  <c r="G103" i="212"/>
  <c r="F104" i="212"/>
  <c r="G99" i="212"/>
  <c r="E106" i="212"/>
  <c r="I98" i="212"/>
  <c r="I92" i="212"/>
  <c r="H100" i="212"/>
  <c r="E103" i="212"/>
  <c r="I108" i="212"/>
  <c r="D99" i="212"/>
  <c r="G105" i="212"/>
  <c r="I91" i="212"/>
  <c r="E98" i="212"/>
  <c r="L19" i="19"/>
  <c r="H98" i="212"/>
  <c r="G108" i="212"/>
  <c r="H93" i="212"/>
  <c r="F90" i="212"/>
  <c r="E107" i="212"/>
  <c r="D92" i="212"/>
  <c r="E92" i="212"/>
  <c r="E100" i="212"/>
  <c r="H105" i="212"/>
  <c r="G93" i="212"/>
  <c r="I101" i="212"/>
  <c r="D104" i="212"/>
  <c r="N63" i="66"/>
  <c r="I96" i="212"/>
  <c r="F101" i="212"/>
  <c r="D90" i="212"/>
  <c r="H91" i="212"/>
  <c r="G94" i="212"/>
  <c r="E105" i="212"/>
  <c r="H90" i="212"/>
  <c r="F97" i="212"/>
  <c r="D93" i="212"/>
  <c r="E91" i="212"/>
  <c r="H94" i="212"/>
  <c r="I94" i="212"/>
  <c r="H92" i="212"/>
  <c r="F93" i="212"/>
  <c r="D100" i="212"/>
  <c r="H96" i="212"/>
  <c r="I93" i="212"/>
  <c r="F98" i="212"/>
  <c r="W19" i="485"/>
  <c r="M622" i="608"/>
  <c r="D5" i="40"/>
  <c r="D33" i="70"/>
  <c r="K33" i="70" s="1"/>
  <c r="N33" i="70" s="1"/>
  <c r="D34" i="70"/>
  <c r="K34" i="70" s="1"/>
  <c r="N34" i="70" s="1"/>
  <c r="D19" i="19"/>
  <c r="K19" i="19" s="1"/>
  <c r="K10" i="70"/>
  <c r="K11" i="70"/>
  <c r="K12" i="70"/>
  <c r="D15" i="79"/>
  <c r="D14" i="79" s="1"/>
  <c r="M587" i="608"/>
  <c r="G549" i="608"/>
  <c r="D549" i="608" s="1"/>
  <c r="M215" i="608"/>
  <c r="G377" i="127"/>
  <c r="G392" i="127" s="1"/>
  <c r="G185" i="743"/>
  <c r="G389" i="743" s="1"/>
  <c r="G113" i="743"/>
  <c r="G336" i="743" s="1"/>
  <c r="G288" i="743"/>
  <c r="G468" i="743" s="1"/>
  <c r="G151" i="743"/>
  <c r="G362" i="743" s="1"/>
  <c r="G220" i="743"/>
  <c r="G415" i="743" s="1"/>
  <c r="G254" i="743"/>
  <c r="G442" i="743" s="1"/>
  <c r="F20" i="631"/>
  <c r="E58" i="112"/>
  <c r="E42" i="112" s="1"/>
  <c r="E57" i="112"/>
  <c r="E41" i="112" s="1"/>
  <c r="E56" i="112"/>
  <c r="E40" i="112" s="1"/>
  <c r="E59" i="112"/>
  <c r="E43" i="112" s="1"/>
  <c r="E60" i="112"/>
  <c r="E44" i="112" s="1"/>
  <c r="E55" i="112"/>
  <c r="E39" i="112" s="1"/>
  <c r="G22" i="112"/>
  <c r="J38" i="112"/>
  <c r="J36" i="112"/>
  <c r="J34" i="112"/>
  <c r="J43" i="112"/>
  <c r="J41" i="112"/>
  <c r="J42" i="112"/>
  <c r="J40" i="112"/>
  <c r="J35" i="112"/>
  <c r="J44" i="112"/>
  <c r="J37" i="112"/>
  <c r="J39" i="112"/>
  <c r="J62" i="112"/>
  <c r="E50" i="112"/>
  <c r="AK31" i="485"/>
  <c r="AL27" i="485"/>
  <c r="W17" i="485"/>
  <c r="AH16" i="485"/>
  <c r="Y16" i="485"/>
  <c r="E7" i="112"/>
  <c r="E30" i="112"/>
  <c r="H22" i="112"/>
  <c r="G5" i="112"/>
  <c r="H5" i="112"/>
  <c r="J81" i="112"/>
  <c r="L77" i="112"/>
  <c r="J83" i="112"/>
  <c r="L83" i="112" s="1"/>
  <c r="J71" i="112"/>
  <c r="M7" i="112"/>
  <c r="J15" i="112"/>
  <c r="T7" i="112"/>
  <c r="L7" i="112"/>
  <c r="J75" i="112"/>
  <c r="M374" i="127"/>
  <c r="E6" i="831" s="1"/>
  <c r="E7" i="831" s="1"/>
  <c r="M278" i="127"/>
  <c r="K32" i="70"/>
  <c r="N32" i="70" s="1"/>
  <c r="E66" i="79"/>
  <c r="E67" i="79" s="1"/>
  <c r="E49" i="79"/>
  <c r="F60" i="79"/>
  <c r="F61" i="79" s="1"/>
  <c r="F63" i="79" s="1"/>
  <c r="F65" i="79" s="1"/>
  <c r="F68" i="79" s="1"/>
  <c r="D7" i="411"/>
  <c r="D10" i="411" s="1"/>
  <c r="E6" i="606"/>
  <c r="E8" i="606" s="1"/>
  <c r="C8" i="606"/>
  <c r="E18" i="858" l="1"/>
  <c r="Q18" i="858"/>
  <c r="I18" i="858" s="1"/>
  <c r="E13" i="831"/>
  <c r="D7" i="40"/>
  <c r="D9" i="40" s="1"/>
  <c r="E12" i="40" s="1"/>
  <c r="D6" i="91" s="1"/>
  <c r="R111" i="66"/>
  <c r="R41" i="66"/>
  <c r="P41" i="66" s="1"/>
  <c r="R109" i="66"/>
  <c r="R114" i="66"/>
  <c r="R38" i="66"/>
  <c r="P38" i="66" s="1"/>
  <c r="R39" i="66"/>
  <c r="P39" i="66" s="1"/>
  <c r="R40" i="66"/>
  <c r="P40" i="66" s="1"/>
  <c r="R110" i="66"/>
  <c r="R104" i="66"/>
  <c r="R45" i="66"/>
  <c r="P45" i="66" s="1"/>
  <c r="R106" i="66"/>
  <c r="R105" i="66"/>
  <c r="R42" i="66"/>
  <c r="P42" i="66" s="1"/>
  <c r="R116" i="66"/>
  <c r="R43" i="66"/>
  <c r="P43" i="66" s="1"/>
  <c r="R44" i="66"/>
  <c r="P44" i="66" s="1"/>
  <c r="R115" i="66"/>
  <c r="R127" i="66"/>
  <c r="P127" i="66" s="1"/>
  <c r="R125" i="66"/>
  <c r="P125" i="66" s="1"/>
  <c r="R126" i="66"/>
  <c r="P126" i="66" s="1"/>
  <c r="D31" i="70"/>
  <c r="D64" i="70" s="1"/>
  <c r="M376" i="127"/>
  <c r="R37" i="66"/>
  <c r="P37" i="66" s="1"/>
  <c r="R118" i="66"/>
  <c r="R103" i="66"/>
  <c r="R123" i="66"/>
  <c r="P123" i="66" s="1"/>
  <c r="R120" i="66"/>
  <c r="R108" i="66"/>
  <c r="R124" i="66"/>
  <c r="P124" i="66" s="1"/>
  <c r="R121" i="66"/>
  <c r="R113" i="66"/>
  <c r="R119" i="66"/>
  <c r="R122" i="66"/>
  <c r="P122" i="66" s="1"/>
  <c r="K14" i="70"/>
  <c r="D6" i="79"/>
  <c r="E62" i="112"/>
  <c r="E63" i="112" s="1"/>
  <c r="E15" i="112"/>
  <c r="J64" i="112"/>
  <c r="J63" i="112"/>
  <c r="J46" i="112"/>
  <c r="AK29" i="485"/>
  <c r="Y17" i="485"/>
  <c r="F29" i="631"/>
  <c r="G7" i="112"/>
  <c r="H7" i="112"/>
  <c r="J87" i="112"/>
  <c r="J88" i="112"/>
  <c r="L71" i="112"/>
  <c r="J74" i="112"/>
  <c r="F66" i="79"/>
  <c r="F67" i="79" s="1"/>
  <c r="D8" i="91"/>
  <c r="D11" i="91" s="1"/>
  <c r="E24" i="858" l="1"/>
  <c r="M105" i="66"/>
  <c r="G9" i="814" s="1"/>
  <c r="I36" i="814" s="1"/>
  <c r="M111" i="66"/>
  <c r="H7" i="814" s="1"/>
  <c r="M104" i="66"/>
  <c r="G11" i="814" s="1"/>
  <c r="F46" i="814" s="1"/>
  <c r="M106" i="66"/>
  <c r="G7" i="814" s="1"/>
  <c r="I31" i="814" s="1"/>
  <c r="M109" i="66"/>
  <c r="H11" i="814" s="1"/>
  <c r="M110" i="66"/>
  <c r="H9" i="814" s="1"/>
  <c r="Q19" i="858"/>
  <c r="I19" i="858" s="1"/>
  <c r="M108" i="66"/>
  <c r="H16" i="814" s="1"/>
  <c r="M103" i="66"/>
  <c r="G16" i="814" s="1"/>
  <c r="G78" i="814" s="1"/>
  <c r="N39" i="66"/>
  <c r="N43" i="66"/>
  <c r="N42" i="66"/>
  <c r="N44" i="66"/>
  <c r="N125" i="66"/>
  <c r="N126" i="66"/>
  <c r="M381" i="127"/>
  <c r="O381" i="127" s="1"/>
  <c r="N40" i="66"/>
  <c r="N41" i="66"/>
  <c r="N45" i="66"/>
  <c r="N127" i="66"/>
  <c r="K31" i="70"/>
  <c r="N31" i="70" s="1"/>
  <c r="N38" i="66"/>
  <c r="E23" i="40"/>
  <c r="N115" i="66"/>
  <c r="N116" i="66"/>
  <c r="N114" i="66"/>
  <c r="D29" i="79"/>
  <c r="D31" i="79" s="1"/>
  <c r="M377" i="127"/>
  <c r="M392" i="127" s="1"/>
  <c r="M121" i="66"/>
  <c r="F20" i="814" s="1"/>
  <c r="I96" i="814" s="1"/>
  <c r="M118" i="66"/>
  <c r="F17" i="814" s="1"/>
  <c r="I200" i="814" s="1"/>
  <c r="P118" i="66"/>
  <c r="M119" i="66"/>
  <c r="F18" i="814" s="1"/>
  <c r="H82" i="814" s="1"/>
  <c r="M120" i="66"/>
  <c r="F19" i="814" s="1"/>
  <c r="G183" i="814" s="1"/>
  <c r="D32" i="79"/>
  <c r="D5" i="79"/>
  <c r="J17" i="815"/>
  <c r="D299" i="815" s="1"/>
  <c r="N37" i="66"/>
  <c r="G27" i="743"/>
  <c r="M37" i="66"/>
  <c r="J17" i="814" s="1"/>
  <c r="M40" i="66"/>
  <c r="J12" i="814" s="1"/>
  <c r="M126" i="66"/>
  <c r="F10" i="814" s="1"/>
  <c r="G135" i="814" s="1"/>
  <c r="M45" i="66"/>
  <c r="J7" i="814" s="1"/>
  <c r="G221" i="814" s="1"/>
  <c r="M127" i="66"/>
  <c r="F8" i="814" s="1"/>
  <c r="H127" i="814" s="1"/>
  <c r="M44" i="66"/>
  <c r="J8" i="814" s="1"/>
  <c r="D319" i="814" s="1"/>
  <c r="M125" i="66"/>
  <c r="F15" i="814" s="1"/>
  <c r="F162" i="814" s="1"/>
  <c r="M41" i="66"/>
  <c r="J11" i="814" s="1"/>
  <c r="G235" i="814" s="1"/>
  <c r="M43" i="66"/>
  <c r="J9" i="814" s="1"/>
  <c r="G324" i="814" s="1"/>
  <c r="N113" i="66"/>
  <c r="M38" i="66"/>
  <c r="M124" i="66"/>
  <c r="F14" i="814" s="1"/>
  <c r="D64" i="814" s="1"/>
  <c r="M42" i="66"/>
  <c r="J10" i="814" s="1"/>
  <c r="E230" i="814" s="1"/>
  <c r="M39" i="66"/>
  <c r="J16" i="814" s="1"/>
  <c r="D267" i="814" s="1"/>
  <c r="M123" i="66"/>
  <c r="F13" i="814" s="1"/>
  <c r="I155" i="814" s="1"/>
  <c r="M122" i="66"/>
  <c r="F12" i="814" s="1"/>
  <c r="H54" i="814" s="1"/>
  <c r="G37" i="814"/>
  <c r="F36" i="814"/>
  <c r="E36" i="814"/>
  <c r="M115" i="66"/>
  <c r="I9" i="814" s="1"/>
  <c r="M113" i="66"/>
  <c r="I16" i="814" s="1"/>
  <c r="M114" i="66"/>
  <c r="I11" i="814" s="1"/>
  <c r="M116" i="66"/>
  <c r="I7" i="814" s="1"/>
  <c r="F14" i="815"/>
  <c r="D17" i="91"/>
  <c r="G71" i="112"/>
  <c r="G72" i="112"/>
  <c r="G73" i="112"/>
  <c r="J89" i="112"/>
  <c r="G74" i="112"/>
  <c r="K64" i="70"/>
  <c r="D75" i="70"/>
  <c r="K75" i="70" s="1"/>
  <c r="E8" i="831" l="1"/>
  <c r="H37" i="814"/>
  <c r="I37" i="814"/>
  <c r="F37" i="814"/>
  <c r="D36" i="814"/>
  <c r="I48" i="814"/>
  <c r="E19" i="858"/>
  <c r="I46" i="814"/>
  <c r="G48" i="814"/>
  <c r="E47" i="814"/>
  <c r="H46" i="814"/>
  <c r="G47" i="814"/>
  <c r="D37" i="814"/>
  <c r="D35" i="814" s="1"/>
  <c r="H47" i="814"/>
  <c r="E37" i="814"/>
  <c r="E35" i="814" s="1"/>
  <c r="E46" i="814"/>
  <c r="G46" i="814"/>
  <c r="I47" i="814"/>
  <c r="I45" i="814" s="1"/>
  <c r="D48" i="814"/>
  <c r="G36" i="814"/>
  <c r="G35" i="814" s="1"/>
  <c r="E48" i="814"/>
  <c r="H36" i="814"/>
  <c r="H35" i="814" s="1"/>
  <c r="F48" i="814"/>
  <c r="G126" i="814"/>
  <c r="D47" i="814"/>
  <c r="G74" i="814"/>
  <c r="D77" i="814"/>
  <c r="F75" i="814"/>
  <c r="H78" i="814"/>
  <c r="F142" i="814"/>
  <c r="D76" i="814"/>
  <c r="D168" i="814"/>
  <c r="F77" i="814"/>
  <c r="G75" i="814"/>
  <c r="F73" i="814"/>
  <c r="D73" i="814"/>
  <c r="I73" i="814"/>
  <c r="G73" i="814"/>
  <c r="D74" i="814"/>
  <c r="I78" i="814"/>
  <c r="F74" i="814"/>
  <c r="F78" i="814"/>
  <c r="D75" i="814"/>
  <c r="I75" i="814"/>
  <c r="E76" i="814"/>
  <c r="G77" i="814"/>
  <c r="G76" i="814"/>
  <c r="H74" i="814"/>
  <c r="F76" i="814"/>
  <c r="F47" i="814"/>
  <c r="H31" i="814"/>
  <c r="H77" i="814"/>
  <c r="E77" i="814"/>
  <c r="G31" i="814"/>
  <c r="E75" i="814"/>
  <c r="Q24" i="858"/>
  <c r="I24" i="858" s="1"/>
  <c r="H48" i="814"/>
  <c r="D31" i="814"/>
  <c r="I77" i="814"/>
  <c r="D78" i="814"/>
  <c r="H73" i="814"/>
  <c r="H76" i="814"/>
  <c r="F31" i="814"/>
  <c r="I76" i="814"/>
  <c r="D46" i="814"/>
  <c r="E31" i="814"/>
  <c r="H75" i="814"/>
  <c r="E78" i="814"/>
  <c r="E74" i="814"/>
  <c r="E73" i="814"/>
  <c r="I74" i="814"/>
  <c r="E10" i="831"/>
  <c r="E14" i="831" s="1"/>
  <c r="Q67" i="66"/>
  <c r="M383" i="127"/>
  <c r="O383" i="127" s="1"/>
  <c r="J17" i="813"/>
  <c r="Q66" i="66"/>
  <c r="L66" i="66" s="1"/>
  <c r="K66" i="66" s="1"/>
  <c r="D4" i="91"/>
  <c r="H97" i="814"/>
  <c r="R20" i="66"/>
  <c r="P20" i="66" s="1"/>
  <c r="R34" i="66"/>
  <c r="P34" i="66" s="1"/>
  <c r="R8" i="66"/>
  <c r="P8" i="66" s="1"/>
  <c r="R18" i="66"/>
  <c r="P18" i="66" s="1"/>
  <c r="R30" i="66"/>
  <c r="P30" i="66" s="1"/>
  <c r="R19" i="66"/>
  <c r="P19" i="66" s="1"/>
  <c r="R10" i="66"/>
  <c r="P10" i="66" s="1"/>
  <c r="R32" i="66"/>
  <c r="P32" i="66" s="1"/>
  <c r="R14" i="66"/>
  <c r="P14" i="66" s="1"/>
  <c r="R33" i="66"/>
  <c r="P33" i="66" s="1"/>
  <c r="R9" i="66"/>
  <c r="P9" i="66" s="1"/>
  <c r="R31" i="66"/>
  <c r="P31" i="66" s="1"/>
  <c r="R13" i="66"/>
  <c r="P13" i="66" s="1"/>
  <c r="R15" i="66"/>
  <c r="P15" i="66" s="1"/>
  <c r="D193" i="814"/>
  <c r="G93" i="814"/>
  <c r="N104" i="66"/>
  <c r="N106" i="66"/>
  <c r="N105" i="66"/>
  <c r="D95" i="814"/>
  <c r="E35" i="79"/>
  <c r="E48" i="79" s="1"/>
  <c r="H190" i="814"/>
  <c r="H94" i="814"/>
  <c r="H188" i="814"/>
  <c r="I94" i="814"/>
  <c r="R22" i="66"/>
  <c r="P22" i="66" s="1"/>
  <c r="R25" i="66"/>
  <c r="P25" i="66" s="1"/>
  <c r="R26" i="66"/>
  <c r="P26" i="66" s="1"/>
  <c r="D94" i="814"/>
  <c r="E97" i="814"/>
  <c r="F189" i="814"/>
  <c r="F188" i="814"/>
  <c r="H191" i="814"/>
  <c r="G191" i="814"/>
  <c r="G95" i="814"/>
  <c r="F193" i="814"/>
  <c r="G98" i="814"/>
  <c r="D188" i="814"/>
  <c r="G188" i="814"/>
  <c r="G96" i="814"/>
  <c r="E192" i="814"/>
  <c r="E98" i="814"/>
  <c r="E94" i="814"/>
  <c r="E188" i="814"/>
  <c r="E96" i="814"/>
  <c r="D189" i="814"/>
  <c r="D191" i="814"/>
  <c r="G190" i="814"/>
  <c r="G189" i="814"/>
  <c r="F95" i="814"/>
  <c r="E191" i="814"/>
  <c r="H80" i="814"/>
  <c r="H98" i="814"/>
  <c r="D97" i="814"/>
  <c r="I189" i="814"/>
  <c r="H193" i="814"/>
  <c r="H189" i="814"/>
  <c r="G97" i="814"/>
  <c r="I193" i="814"/>
  <c r="H95" i="814"/>
  <c r="E95" i="814"/>
  <c r="F96" i="814"/>
  <c r="H93" i="814"/>
  <c r="H96" i="814"/>
  <c r="I93" i="814"/>
  <c r="G107" i="814"/>
  <c r="E193" i="814"/>
  <c r="F190" i="814"/>
  <c r="I188" i="814"/>
  <c r="H81" i="814"/>
  <c r="E110" i="814"/>
  <c r="I97" i="814"/>
  <c r="D96" i="814"/>
  <c r="F192" i="814"/>
  <c r="E177" i="814"/>
  <c r="E119" i="814"/>
  <c r="H178" i="814"/>
  <c r="D178" i="814"/>
  <c r="E84" i="814"/>
  <c r="D81" i="814"/>
  <c r="D104" i="814"/>
  <c r="D105" i="814"/>
  <c r="H102" i="814"/>
  <c r="I118" i="814"/>
  <c r="G175" i="814"/>
  <c r="F116" i="814"/>
  <c r="E189" i="814"/>
  <c r="F82" i="814"/>
  <c r="I101" i="814"/>
  <c r="I98" i="814"/>
  <c r="I191" i="814"/>
  <c r="D190" i="814"/>
  <c r="G192" i="814"/>
  <c r="F83" i="814"/>
  <c r="E108" i="814"/>
  <c r="E93" i="814"/>
  <c r="D98" i="814"/>
  <c r="I95" i="814"/>
  <c r="F94" i="814"/>
  <c r="G176" i="814"/>
  <c r="F205" i="814"/>
  <c r="F191" i="814"/>
  <c r="G193" i="814"/>
  <c r="E190" i="814"/>
  <c r="F97" i="814"/>
  <c r="D83" i="814"/>
  <c r="D209" i="814"/>
  <c r="D82" i="814"/>
  <c r="I82" i="814"/>
  <c r="F115" i="814"/>
  <c r="G199" i="814"/>
  <c r="F175" i="814"/>
  <c r="I175" i="814"/>
  <c r="G105" i="814"/>
  <c r="E212" i="814"/>
  <c r="D177" i="814"/>
  <c r="E176" i="814"/>
  <c r="G115" i="814"/>
  <c r="E197" i="814"/>
  <c r="G82" i="814"/>
  <c r="E112" i="814"/>
  <c r="E206" i="814"/>
  <c r="G84" i="814"/>
  <c r="H175" i="814"/>
  <c r="I108" i="814"/>
  <c r="H116" i="814"/>
  <c r="H214" i="814"/>
  <c r="I102" i="814"/>
  <c r="I117" i="814"/>
  <c r="I205" i="814"/>
  <c r="D116" i="814"/>
  <c r="I112" i="814"/>
  <c r="D200" i="814"/>
  <c r="H107" i="814"/>
  <c r="F104" i="814"/>
  <c r="I197" i="814"/>
  <c r="F178" i="814"/>
  <c r="D118" i="814"/>
  <c r="F108" i="814"/>
  <c r="I206" i="814"/>
  <c r="E80" i="814"/>
  <c r="I192" i="814"/>
  <c r="F98" i="814"/>
  <c r="G94" i="814"/>
  <c r="D192" i="814"/>
  <c r="H192" i="814"/>
  <c r="F179" i="814"/>
  <c r="F177" i="814"/>
  <c r="I111" i="814"/>
  <c r="F117" i="814"/>
  <c r="G210" i="814"/>
  <c r="G177" i="814"/>
  <c r="G81" i="814"/>
  <c r="F176" i="814"/>
  <c r="I179" i="814"/>
  <c r="H103" i="814"/>
  <c r="H101" i="814"/>
  <c r="H200" i="814"/>
  <c r="D93" i="814"/>
  <c r="F93" i="814"/>
  <c r="I190" i="814"/>
  <c r="D84" i="814"/>
  <c r="F81" i="814"/>
  <c r="I103" i="814"/>
  <c r="H110" i="814"/>
  <c r="F204" i="814"/>
  <c r="F119" i="814"/>
  <c r="H111" i="814"/>
  <c r="H211" i="814"/>
  <c r="F213" i="814"/>
  <c r="F111" i="814"/>
  <c r="E109" i="814"/>
  <c r="F214" i="814"/>
  <c r="G206" i="814"/>
  <c r="F105" i="814"/>
  <c r="E107" i="814"/>
  <c r="D203" i="814"/>
  <c r="I213" i="814"/>
  <c r="D109" i="814"/>
  <c r="I109" i="814"/>
  <c r="D212" i="814"/>
  <c r="F202" i="814"/>
  <c r="E211" i="814"/>
  <c r="D117" i="814"/>
  <c r="I196" i="814"/>
  <c r="H198" i="814"/>
  <c r="D205" i="814"/>
  <c r="E118" i="814"/>
  <c r="I114" i="814"/>
  <c r="I209" i="814"/>
  <c r="I198" i="814"/>
  <c r="H105" i="814"/>
  <c r="D199" i="814"/>
  <c r="G212" i="814"/>
  <c r="E214" i="814"/>
  <c r="F112" i="814"/>
  <c r="H202" i="814"/>
  <c r="F197" i="814"/>
  <c r="I301" i="815"/>
  <c r="G295" i="815"/>
  <c r="E299" i="815"/>
  <c r="H176" i="814"/>
  <c r="I83" i="814"/>
  <c r="I176" i="814"/>
  <c r="I80" i="814"/>
  <c r="D175" i="814"/>
  <c r="D179" i="814"/>
  <c r="G83" i="814"/>
  <c r="H179" i="814"/>
  <c r="E175" i="814"/>
  <c r="E179" i="814"/>
  <c r="I177" i="814"/>
  <c r="E83" i="814"/>
  <c r="H177" i="814"/>
  <c r="F84" i="814"/>
  <c r="I81" i="814"/>
  <c r="F80" i="814"/>
  <c r="E82" i="814"/>
  <c r="I178" i="814"/>
  <c r="D176" i="814"/>
  <c r="G179" i="814"/>
  <c r="E81" i="814"/>
  <c r="E178" i="814"/>
  <c r="G178" i="814"/>
  <c r="H84" i="814"/>
  <c r="D80" i="814"/>
  <c r="I84" i="814"/>
  <c r="H83" i="814"/>
  <c r="G80" i="814"/>
  <c r="H203" i="814"/>
  <c r="G213" i="814"/>
  <c r="H207" i="814"/>
  <c r="E116" i="814"/>
  <c r="D103" i="814"/>
  <c r="G101" i="814"/>
  <c r="D112" i="814"/>
  <c r="D108" i="814"/>
  <c r="I110" i="814"/>
  <c r="G196" i="814"/>
  <c r="E203" i="814"/>
  <c r="H197" i="814"/>
  <c r="I210" i="814"/>
  <c r="F211" i="814"/>
  <c r="D101" i="814"/>
  <c r="F109" i="814"/>
  <c r="E104" i="814"/>
  <c r="F118" i="814"/>
  <c r="F114" i="814"/>
  <c r="G114" i="814"/>
  <c r="E199" i="814"/>
  <c r="G209" i="814"/>
  <c r="F200" i="814"/>
  <c r="F198" i="814"/>
  <c r="D214" i="814"/>
  <c r="F107" i="814"/>
  <c r="H115" i="814"/>
  <c r="I107" i="814"/>
  <c r="E103" i="814"/>
  <c r="H119" i="814"/>
  <c r="I119" i="814"/>
  <c r="I202" i="814"/>
  <c r="H199" i="814"/>
  <c r="D204" i="814"/>
  <c r="D202" i="814"/>
  <c r="G197" i="814"/>
  <c r="E114" i="814"/>
  <c r="D110" i="814"/>
  <c r="I105" i="814"/>
  <c r="G110" i="814"/>
  <c r="I115" i="814"/>
  <c r="G104" i="814"/>
  <c r="E102" i="814"/>
  <c r="G205" i="814"/>
  <c r="F203" i="814"/>
  <c r="H206" i="814"/>
  <c r="H204" i="814"/>
  <c r="E210" i="814"/>
  <c r="H108" i="814"/>
  <c r="D119" i="814"/>
  <c r="G109" i="814"/>
  <c r="I116" i="814"/>
  <c r="F103" i="814"/>
  <c r="E117" i="814"/>
  <c r="I104" i="814"/>
  <c r="G214" i="814"/>
  <c r="D206" i="814"/>
  <c r="F210" i="814"/>
  <c r="F207" i="814"/>
  <c r="G204" i="814"/>
  <c r="H117" i="814"/>
  <c r="G116" i="814"/>
  <c r="G118" i="814"/>
  <c r="G119" i="814"/>
  <c r="D107" i="814"/>
  <c r="D102" i="814"/>
  <c r="G108" i="814"/>
  <c r="H196" i="814"/>
  <c r="H209" i="814"/>
  <c r="D213" i="814"/>
  <c r="D211" i="814"/>
  <c r="E207" i="814"/>
  <c r="G102" i="814"/>
  <c r="F101" i="814"/>
  <c r="G112" i="814"/>
  <c r="F102" i="814"/>
  <c r="H109" i="814"/>
  <c r="H104" i="814"/>
  <c r="E111" i="814"/>
  <c r="F199" i="814"/>
  <c r="F212" i="814"/>
  <c r="I212" i="814"/>
  <c r="H213" i="814"/>
  <c r="E196" i="814"/>
  <c r="G111" i="814"/>
  <c r="F110" i="814"/>
  <c r="H112" i="814"/>
  <c r="D115" i="814"/>
  <c r="H118" i="814"/>
  <c r="D111" i="814"/>
  <c r="G117" i="814"/>
  <c r="H205" i="814"/>
  <c r="I199" i="814"/>
  <c r="G200" i="814"/>
  <c r="I204" i="814"/>
  <c r="G202" i="814"/>
  <c r="E115" i="814"/>
  <c r="D114" i="814"/>
  <c r="E101" i="814"/>
  <c r="E105" i="814"/>
  <c r="G103" i="814"/>
  <c r="H114" i="814"/>
  <c r="F196" i="814"/>
  <c r="F209" i="814"/>
  <c r="G203" i="814"/>
  <c r="E204" i="814"/>
  <c r="G207" i="814"/>
  <c r="E205" i="814"/>
  <c r="E209" i="814"/>
  <c r="I214" i="814"/>
  <c r="H212" i="814"/>
  <c r="D207" i="814"/>
  <c r="I203" i="814"/>
  <c r="I207" i="814"/>
  <c r="I211" i="814"/>
  <c r="D197" i="814"/>
  <c r="E200" i="814"/>
  <c r="H210" i="814"/>
  <c r="D196" i="814"/>
  <c r="G211" i="814"/>
  <c r="H90" i="814"/>
  <c r="E185" i="814"/>
  <c r="E186" i="814"/>
  <c r="F183" i="814"/>
  <c r="I184" i="814"/>
  <c r="D89" i="814"/>
  <c r="H91" i="814"/>
  <c r="I186" i="814"/>
  <c r="F90" i="814"/>
  <c r="H87" i="814"/>
  <c r="E183" i="814"/>
  <c r="E90" i="814"/>
  <c r="D86" i="814"/>
  <c r="I182" i="814"/>
  <c r="H185" i="814"/>
  <c r="I185" i="814"/>
  <c r="D184" i="814"/>
  <c r="E86" i="814"/>
  <c r="H183" i="814"/>
  <c r="I90" i="814"/>
  <c r="D87" i="814"/>
  <c r="F186" i="814"/>
  <c r="F86" i="814"/>
  <c r="G89" i="814"/>
  <c r="G86" i="814"/>
  <c r="F91" i="814"/>
  <c r="F89" i="814"/>
  <c r="D185" i="814"/>
  <c r="H89" i="814"/>
  <c r="F184" i="814"/>
  <c r="G88" i="814"/>
  <c r="H186" i="814"/>
  <c r="H86" i="814"/>
  <c r="E182" i="814"/>
  <c r="E91" i="814"/>
  <c r="G186" i="814"/>
  <c r="D182" i="814"/>
  <c r="G182" i="814"/>
  <c r="I86" i="814"/>
  <c r="I181" i="814"/>
  <c r="D90" i="814"/>
  <c r="G184" i="814"/>
  <c r="I293" i="815"/>
  <c r="I88" i="814"/>
  <c r="G90" i="814"/>
  <c r="H88" i="814"/>
  <c r="G185" i="814"/>
  <c r="G87" i="814"/>
  <c r="G292" i="815"/>
  <c r="E87" i="814"/>
  <c r="H181" i="814"/>
  <c r="F182" i="814"/>
  <c r="G91" i="814"/>
  <c r="H182" i="814"/>
  <c r="D181" i="814"/>
  <c r="D308" i="815"/>
  <c r="E88" i="814"/>
  <c r="D91" i="814"/>
  <c r="F88" i="814"/>
  <c r="G181" i="814"/>
  <c r="D183" i="814"/>
  <c r="I87" i="814"/>
  <c r="F292" i="815"/>
  <c r="H184" i="814"/>
  <c r="I91" i="814"/>
  <c r="E184" i="814"/>
  <c r="F185" i="814"/>
  <c r="E181" i="814"/>
  <c r="H298" i="815"/>
  <c r="E89" i="814"/>
  <c r="F181" i="814"/>
  <c r="D186" i="814"/>
  <c r="I89" i="814"/>
  <c r="F206" i="814"/>
  <c r="E213" i="814"/>
  <c r="G198" i="814"/>
  <c r="E198" i="814"/>
  <c r="H307" i="815"/>
  <c r="D88" i="814"/>
  <c r="F87" i="814"/>
  <c r="I183" i="814"/>
  <c r="D210" i="814"/>
  <c r="D198" i="814"/>
  <c r="E202" i="814"/>
  <c r="I292" i="815"/>
  <c r="F304" i="815"/>
  <c r="H304" i="815"/>
  <c r="G308" i="815"/>
  <c r="H308" i="815"/>
  <c r="G302" i="815"/>
  <c r="H293" i="815"/>
  <c r="F298" i="815"/>
  <c r="H302" i="815"/>
  <c r="E297" i="815"/>
  <c r="E293" i="815"/>
  <c r="G305" i="815"/>
  <c r="E307" i="815"/>
  <c r="G298" i="815"/>
  <c r="I302" i="815"/>
  <c r="G307" i="815"/>
  <c r="H294" i="815"/>
  <c r="E291" i="815"/>
  <c r="D291" i="815"/>
  <c r="I294" i="815"/>
  <c r="G294" i="815"/>
  <c r="H309" i="815"/>
  <c r="G291" i="815"/>
  <c r="E302" i="815"/>
  <c r="F302" i="815"/>
  <c r="F299" i="815"/>
  <c r="H299" i="815"/>
  <c r="F307" i="815"/>
  <c r="D304" i="815"/>
  <c r="D309" i="815"/>
  <c r="E300" i="815"/>
  <c r="F308" i="815"/>
  <c r="F294" i="815"/>
  <c r="F291" i="815"/>
  <c r="F293" i="815"/>
  <c r="D300" i="815"/>
  <c r="I295" i="815"/>
  <c r="G293" i="815"/>
  <c r="I297" i="815"/>
  <c r="E301" i="815"/>
  <c r="E306" i="815"/>
  <c r="G309" i="815"/>
  <c r="E294" i="815"/>
  <c r="E309" i="815"/>
  <c r="I305" i="815"/>
  <c r="I309" i="815"/>
  <c r="D295" i="815"/>
  <c r="E308" i="815"/>
  <c r="G299" i="815"/>
  <c r="H305" i="815"/>
  <c r="H291" i="815"/>
  <c r="D302" i="815"/>
  <c r="F301" i="815"/>
  <c r="I299" i="815"/>
  <c r="G300" i="815"/>
  <c r="G306" i="815"/>
  <c r="D293" i="815"/>
  <c r="E295" i="815"/>
  <c r="E304" i="815"/>
  <c r="H300" i="815"/>
  <c r="F297" i="815"/>
  <c r="D307" i="815"/>
  <c r="I298" i="815"/>
  <c r="G304" i="815"/>
  <c r="E292" i="815"/>
  <c r="G297" i="815"/>
  <c r="E298" i="815"/>
  <c r="G301" i="815"/>
  <c r="I308" i="815"/>
  <c r="I306" i="815"/>
  <c r="D298" i="815"/>
  <c r="D294" i="815"/>
  <c r="E305" i="815"/>
  <c r="H297" i="815"/>
  <c r="I307" i="815"/>
  <c r="I300" i="815"/>
  <c r="D297" i="815"/>
  <c r="I304" i="815"/>
  <c r="D301" i="815"/>
  <c r="H292" i="815"/>
  <c r="D292" i="815"/>
  <c r="F306" i="815"/>
  <c r="H295" i="815"/>
  <c r="D306" i="815"/>
  <c r="H301" i="815"/>
  <c r="H306" i="815"/>
  <c r="I291" i="815"/>
  <c r="F300" i="815"/>
  <c r="F309" i="815"/>
  <c r="F305" i="815"/>
  <c r="D305" i="815"/>
  <c r="F295" i="815"/>
  <c r="G39" i="814"/>
  <c r="D320" i="814"/>
  <c r="D439" i="814" s="1"/>
  <c r="G25" i="743"/>
  <c r="F17" i="815"/>
  <c r="N118" i="66"/>
  <c r="H42" i="814"/>
  <c r="G320" i="814"/>
  <c r="G439" i="814" s="1"/>
  <c r="F137" i="814"/>
  <c r="H41" i="814"/>
  <c r="F40" i="814"/>
  <c r="I41" i="814"/>
  <c r="I135" i="814"/>
  <c r="E136" i="814"/>
  <c r="I40" i="814"/>
  <c r="I42" i="814"/>
  <c r="H40" i="814"/>
  <c r="J18" i="814"/>
  <c r="G285" i="814" s="1"/>
  <c r="D42" i="814"/>
  <c r="D40" i="814"/>
  <c r="D134" i="814"/>
  <c r="F39" i="814"/>
  <c r="D41" i="814"/>
  <c r="G127" i="814"/>
  <c r="F41" i="814"/>
  <c r="E134" i="814"/>
  <c r="E42" i="814"/>
  <c r="G134" i="814"/>
  <c r="I221" i="814"/>
  <c r="I432" i="814" s="1"/>
  <c r="H137" i="814"/>
  <c r="D316" i="814"/>
  <c r="D397" i="814" s="1"/>
  <c r="G137" i="814"/>
  <c r="H39" i="814"/>
  <c r="G40" i="814"/>
  <c r="H316" i="814"/>
  <c r="H438" i="814" s="1"/>
  <c r="G318" i="814"/>
  <c r="E222" i="814"/>
  <c r="E431" i="814" s="1"/>
  <c r="E40" i="814"/>
  <c r="E41" i="814"/>
  <c r="F134" i="814"/>
  <c r="E319" i="814"/>
  <c r="F136" i="814"/>
  <c r="I137" i="814"/>
  <c r="E137" i="814"/>
  <c r="I134" i="814"/>
  <c r="H134" i="814"/>
  <c r="D221" i="814"/>
  <c r="D432" i="814" s="1"/>
  <c r="G222" i="814"/>
  <c r="G431" i="814" s="1"/>
  <c r="H222" i="814"/>
  <c r="H431" i="814" s="1"/>
  <c r="F135" i="814"/>
  <c r="D135" i="814"/>
  <c r="F319" i="814"/>
  <c r="H319" i="814"/>
  <c r="H32" i="814"/>
  <c r="D39" i="814"/>
  <c r="G42" i="814"/>
  <c r="G316" i="814"/>
  <c r="G397" i="814" s="1"/>
  <c r="E39" i="814"/>
  <c r="E135" i="814"/>
  <c r="D137" i="814"/>
  <c r="F42" i="814"/>
  <c r="I316" i="814"/>
  <c r="I397" i="814" s="1"/>
  <c r="D222" i="814"/>
  <c r="D431" i="814" s="1"/>
  <c r="H57" i="814"/>
  <c r="E320" i="814"/>
  <c r="E439" i="814" s="1"/>
  <c r="H135" i="814"/>
  <c r="E32" i="814"/>
  <c r="G136" i="814"/>
  <c r="H136" i="814"/>
  <c r="I136" i="814"/>
  <c r="D165" i="814"/>
  <c r="G41" i="814"/>
  <c r="I39" i="814"/>
  <c r="D136" i="814"/>
  <c r="E221" i="814"/>
  <c r="E432" i="814" s="1"/>
  <c r="F222" i="814"/>
  <c r="F431" i="814" s="1"/>
  <c r="E316" i="814"/>
  <c r="E397" i="814" s="1"/>
  <c r="F316" i="814"/>
  <c r="F397" i="814" s="1"/>
  <c r="H221" i="814"/>
  <c r="H432" i="814" s="1"/>
  <c r="F221" i="814"/>
  <c r="F432" i="814" s="1"/>
  <c r="E164" i="814"/>
  <c r="H164" i="814"/>
  <c r="I164" i="814"/>
  <c r="E27" i="743"/>
  <c r="F127" i="814"/>
  <c r="E127" i="814"/>
  <c r="D334" i="814"/>
  <c r="D434" i="814" s="1"/>
  <c r="I32" i="814"/>
  <c r="I30" i="814" s="1"/>
  <c r="F32" i="814"/>
  <c r="D235" i="814"/>
  <c r="D428" i="814" s="1"/>
  <c r="G32" i="814"/>
  <c r="F69" i="814"/>
  <c r="F318" i="814"/>
  <c r="H318" i="814"/>
  <c r="H320" i="814"/>
  <c r="H439" i="814" s="1"/>
  <c r="G319" i="814"/>
  <c r="E318" i="814"/>
  <c r="D127" i="814"/>
  <c r="D32" i="814"/>
  <c r="G67" i="814"/>
  <c r="H235" i="814"/>
  <c r="H428" i="814" s="1"/>
  <c r="F334" i="814"/>
  <c r="F434" i="814" s="1"/>
  <c r="D69" i="814"/>
  <c r="I127" i="814"/>
  <c r="D318" i="814"/>
  <c r="D317" i="814" s="1"/>
  <c r="F320" i="814"/>
  <c r="I320" i="814"/>
  <c r="I439" i="814" s="1"/>
  <c r="I319" i="814"/>
  <c r="I222" i="814"/>
  <c r="I431" i="814" s="1"/>
  <c r="H55" i="814"/>
  <c r="F147" i="814"/>
  <c r="H334" i="814"/>
  <c r="H393" i="814" s="1"/>
  <c r="F235" i="814"/>
  <c r="F428" i="814" s="1"/>
  <c r="G52" i="814"/>
  <c r="D54" i="814"/>
  <c r="E51" i="814"/>
  <c r="H146" i="814"/>
  <c r="H165" i="814"/>
  <c r="H163" i="814"/>
  <c r="E69" i="814"/>
  <c r="F67" i="814"/>
  <c r="E70" i="814"/>
  <c r="F54" i="814"/>
  <c r="E150" i="814"/>
  <c r="D146" i="814"/>
  <c r="G148" i="814"/>
  <c r="D145" i="814"/>
  <c r="D150" i="814"/>
  <c r="D67" i="814"/>
  <c r="F53" i="814"/>
  <c r="G162" i="814"/>
  <c r="D55" i="814"/>
  <c r="D163" i="814"/>
  <c r="I146" i="814"/>
  <c r="D147" i="814"/>
  <c r="D148" i="814"/>
  <c r="G163" i="814"/>
  <c r="D51" i="814"/>
  <c r="H162" i="814"/>
  <c r="D149" i="814"/>
  <c r="F51" i="814"/>
  <c r="E334" i="814"/>
  <c r="E434" i="814" s="1"/>
  <c r="G146" i="814"/>
  <c r="F55" i="814"/>
  <c r="E148" i="814"/>
  <c r="G334" i="814"/>
  <c r="G434" i="814" s="1"/>
  <c r="E54" i="814"/>
  <c r="G149" i="814"/>
  <c r="I334" i="814"/>
  <c r="I393" i="814" s="1"/>
  <c r="I149" i="814"/>
  <c r="F50" i="814"/>
  <c r="I150" i="814"/>
  <c r="H53" i="814"/>
  <c r="D53" i="814"/>
  <c r="E235" i="814"/>
  <c r="E428" i="814" s="1"/>
  <c r="F146" i="814"/>
  <c r="E146" i="814"/>
  <c r="I235" i="814"/>
  <c r="I428" i="814" s="1"/>
  <c r="H149" i="814"/>
  <c r="I55" i="814"/>
  <c r="I51" i="814"/>
  <c r="D50" i="814"/>
  <c r="E50" i="814"/>
  <c r="H148" i="814"/>
  <c r="D52" i="814"/>
  <c r="E149" i="814"/>
  <c r="I52" i="814"/>
  <c r="H147" i="814"/>
  <c r="I148" i="814"/>
  <c r="G50" i="814"/>
  <c r="H150" i="814"/>
  <c r="E145" i="814"/>
  <c r="E147" i="814"/>
  <c r="I147" i="814"/>
  <c r="E165" i="814"/>
  <c r="I145" i="814"/>
  <c r="F149" i="814"/>
  <c r="E55" i="814"/>
  <c r="I54" i="814"/>
  <c r="G69" i="814"/>
  <c r="H52" i="814"/>
  <c r="H50" i="814"/>
  <c r="F150" i="814"/>
  <c r="H145" i="814"/>
  <c r="G53" i="814"/>
  <c r="H51" i="814"/>
  <c r="G145" i="814"/>
  <c r="G51" i="814"/>
  <c r="G55" i="814"/>
  <c r="I53" i="814"/>
  <c r="G150" i="814"/>
  <c r="E53" i="814"/>
  <c r="F52" i="814"/>
  <c r="I50" i="814"/>
  <c r="E52" i="814"/>
  <c r="F145" i="814"/>
  <c r="G147" i="814"/>
  <c r="G54" i="814"/>
  <c r="F148" i="814"/>
  <c r="I323" i="814"/>
  <c r="G323" i="814"/>
  <c r="D325" i="814"/>
  <c r="F326" i="814"/>
  <c r="E226" i="814"/>
  <c r="I227" i="814"/>
  <c r="G164" i="814"/>
  <c r="E162" i="814"/>
  <c r="H68" i="814"/>
  <c r="I165" i="814"/>
  <c r="G60" i="814"/>
  <c r="H326" i="814"/>
  <c r="D68" i="814"/>
  <c r="F59" i="814"/>
  <c r="D324" i="814"/>
  <c r="I67" i="814"/>
  <c r="H67" i="814"/>
  <c r="F155" i="814"/>
  <c r="I226" i="814"/>
  <c r="D162" i="814"/>
  <c r="G68" i="814"/>
  <c r="D164" i="814"/>
  <c r="F163" i="814"/>
  <c r="E59" i="814"/>
  <c r="F323" i="814"/>
  <c r="H154" i="814"/>
  <c r="D226" i="814"/>
  <c r="I318" i="814"/>
  <c r="D70" i="814"/>
  <c r="F165" i="814"/>
  <c r="G70" i="814"/>
  <c r="I69" i="814"/>
  <c r="F325" i="814"/>
  <c r="E227" i="814"/>
  <c r="G325" i="814"/>
  <c r="H323" i="814"/>
  <c r="H325" i="814"/>
  <c r="F226" i="814"/>
  <c r="F227" i="814"/>
  <c r="F324" i="814"/>
  <c r="D227" i="814"/>
  <c r="E324" i="814"/>
  <c r="I325" i="814"/>
  <c r="H226" i="814"/>
  <c r="H157" i="814"/>
  <c r="E67" i="814"/>
  <c r="E163" i="814"/>
  <c r="F70" i="814"/>
  <c r="I163" i="814"/>
  <c r="G165" i="814"/>
  <c r="I160" i="814"/>
  <c r="I70" i="814"/>
  <c r="F68" i="814"/>
  <c r="H69" i="814"/>
  <c r="E68" i="814"/>
  <c r="I68" i="814"/>
  <c r="H70" i="814"/>
  <c r="I162" i="814"/>
  <c r="F164" i="814"/>
  <c r="F267" i="814"/>
  <c r="D229" i="814"/>
  <c r="G64" i="814"/>
  <c r="H230" i="814"/>
  <c r="G332" i="814"/>
  <c r="H232" i="814"/>
  <c r="D158" i="814"/>
  <c r="G268" i="814"/>
  <c r="I158" i="814"/>
  <c r="D230" i="814"/>
  <c r="I263" i="814"/>
  <c r="I328" i="814"/>
  <c r="G158" i="814"/>
  <c r="F230" i="814"/>
  <c r="H266" i="814"/>
  <c r="H64" i="814"/>
  <c r="H63" i="814"/>
  <c r="G157" i="814"/>
  <c r="I231" i="814"/>
  <c r="I268" i="814"/>
  <c r="E65" i="814"/>
  <c r="E158" i="814"/>
  <c r="G232" i="814"/>
  <c r="F266" i="814"/>
  <c r="D63" i="814"/>
  <c r="H229" i="814"/>
  <c r="D332" i="814"/>
  <c r="G63" i="814"/>
  <c r="F158" i="814"/>
  <c r="F328" i="814"/>
  <c r="I265" i="814"/>
  <c r="I329" i="814"/>
  <c r="E159" i="814"/>
  <c r="F159" i="814"/>
  <c r="H65" i="814"/>
  <c r="E157" i="814"/>
  <c r="H267" i="814"/>
  <c r="D231" i="814"/>
  <c r="I159" i="814"/>
  <c r="I62" i="814"/>
  <c r="F160" i="814"/>
  <c r="G267" i="814"/>
  <c r="F154" i="814"/>
  <c r="F153" i="814"/>
  <c r="F60" i="814"/>
  <c r="E329" i="814"/>
  <c r="D329" i="814"/>
  <c r="E330" i="814"/>
  <c r="G229" i="814"/>
  <c r="D263" i="814"/>
  <c r="F264" i="814"/>
  <c r="E152" i="814"/>
  <c r="I60" i="814"/>
  <c r="G152" i="814"/>
  <c r="H158" i="814"/>
  <c r="I65" i="814"/>
  <c r="F63" i="814"/>
  <c r="E332" i="814"/>
  <c r="F330" i="814"/>
  <c r="D328" i="814"/>
  <c r="G330" i="814"/>
  <c r="E263" i="814"/>
  <c r="I267" i="814"/>
  <c r="G154" i="814"/>
  <c r="G57" i="814"/>
  <c r="H152" i="814"/>
  <c r="E63" i="814"/>
  <c r="F65" i="814"/>
  <c r="D160" i="814"/>
  <c r="F229" i="814"/>
  <c r="F232" i="814"/>
  <c r="E231" i="814"/>
  <c r="I229" i="814"/>
  <c r="G326" i="814"/>
  <c r="H324" i="814"/>
  <c r="H263" i="814"/>
  <c r="H268" i="814"/>
  <c r="E60" i="814"/>
  <c r="I230" i="814"/>
  <c r="H332" i="814"/>
  <c r="H330" i="814"/>
  <c r="E267" i="814"/>
  <c r="D154" i="814"/>
  <c r="H329" i="814"/>
  <c r="D60" i="814"/>
  <c r="I153" i="814"/>
  <c r="D62" i="814"/>
  <c r="I332" i="814"/>
  <c r="D155" i="814"/>
  <c r="D159" i="814"/>
  <c r="F64" i="814"/>
  <c r="G329" i="814"/>
  <c r="H264" i="814"/>
  <c r="E154" i="814"/>
  <c r="H60" i="814"/>
  <c r="I152" i="814"/>
  <c r="D65" i="814"/>
  <c r="F157" i="814"/>
  <c r="G62" i="814"/>
  <c r="H328" i="814"/>
  <c r="G231" i="814"/>
  <c r="D331" i="814"/>
  <c r="D323" i="814"/>
  <c r="I326" i="814"/>
  <c r="E326" i="814"/>
  <c r="F263" i="814"/>
  <c r="D266" i="814"/>
  <c r="N67" i="66"/>
  <c r="F58" i="814"/>
  <c r="G153" i="814"/>
  <c r="F329" i="814"/>
  <c r="G265" i="814"/>
  <c r="I266" i="814"/>
  <c r="N119" i="66"/>
  <c r="F57" i="814"/>
  <c r="H159" i="814"/>
  <c r="I64" i="814"/>
  <c r="E331" i="814"/>
  <c r="E264" i="814"/>
  <c r="H155" i="814"/>
  <c r="D153" i="814"/>
  <c r="F62" i="814"/>
  <c r="D268" i="814"/>
  <c r="D57" i="814"/>
  <c r="H59" i="814"/>
  <c r="F152" i="814"/>
  <c r="H160" i="814"/>
  <c r="G65" i="814"/>
  <c r="I63" i="814"/>
  <c r="H231" i="814"/>
  <c r="E232" i="814"/>
  <c r="G331" i="814"/>
  <c r="G226" i="814"/>
  <c r="H227" i="814"/>
  <c r="G227" i="814"/>
  <c r="H265" i="814"/>
  <c r="F268" i="814"/>
  <c r="E58" i="814"/>
  <c r="G58" i="814"/>
  <c r="E153" i="814"/>
  <c r="D265" i="814"/>
  <c r="D59" i="814"/>
  <c r="H331" i="814"/>
  <c r="D264" i="814"/>
  <c r="D232" i="814"/>
  <c r="G155" i="814"/>
  <c r="H62" i="814"/>
  <c r="G159" i="814"/>
  <c r="F332" i="814"/>
  <c r="E229" i="814"/>
  <c r="G266" i="814"/>
  <c r="G264" i="814"/>
  <c r="I232" i="814"/>
  <c r="F265" i="814"/>
  <c r="F231" i="814"/>
  <c r="I58" i="814"/>
  <c r="I59" i="814"/>
  <c r="I57" i="814"/>
  <c r="E62" i="814"/>
  <c r="G160" i="814"/>
  <c r="D157" i="814"/>
  <c r="G230" i="814"/>
  <c r="E328" i="814"/>
  <c r="I330" i="814"/>
  <c r="D326" i="814"/>
  <c r="I324" i="814"/>
  <c r="E325" i="814"/>
  <c r="E266" i="814"/>
  <c r="G263" i="814"/>
  <c r="H58" i="814"/>
  <c r="E57" i="814"/>
  <c r="D58" i="814"/>
  <c r="I264" i="814"/>
  <c r="R23" i="66"/>
  <c r="P23" i="66" s="1"/>
  <c r="R24" i="66"/>
  <c r="P24" i="66" s="1"/>
  <c r="R7" i="66"/>
  <c r="P7" i="66" s="1"/>
  <c r="R29" i="66"/>
  <c r="P29" i="66" s="1"/>
  <c r="R12" i="66"/>
  <c r="P12" i="66" s="1"/>
  <c r="R17" i="66"/>
  <c r="P17" i="66" s="1"/>
  <c r="I154" i="814"/>
  <c r="N103" i="66"/>
  <c r="E155" i="814"/>
  <c r="D330" i="814"/>
  <c r="E64" i="814"/>
  <c r="G59" i="814"/>
  <c r="G328" i="814"/>
  <c r="D152" i="814"/>
  <c r="H153" i="814"/>
  <c r="I157" i="814"/>
  <c r="E160" i="814"/>
  <c r="F331" i="814"/>
  <c r="I331" i="814"/>
  <c r="E323" i="814"/>
  <c r="E265" i="814"/>
  <c r="E268" i="814"/>
  <c r="I169" i="814"/>
  <c r="F35" i="814"/>
  <c r="I9" i="815"/>
  <c r="I9" i="813"/>
  <c r="G171" i="814"/>
  <c r="E168" i="814"/>
  <c r="I11" i="815"/>
  <c r="I11" i="813"/>
  <c r="I16" i="815"/>
  <c r="I16" i="813"/>
  <c r="I7" i="815"/>
  <c r="I7" i="813"/>
  <c r="G168" i="814"/>
  <c r="H143" i="814"/>
  <c r="E142" i="814"/>
  <c r="I141" i="814"/>
  <c r="E172" i="814"/>
  <c r="D142" i="814"/>
  <c r="G143" i="814"/>
  <c r="H171" i="814"/>
  <c r="I142" i="814"/>
  <c r="I171" i="814"/>
  <c r="G141" i="814"/>
  <c r="D173" i="814"/>
  <c r="D141" i="814"/>
  <c r="E143" i="814"/>
  <c r="H142" i="814"/>
  <c r="F132" i="814"/>
  <c r="F143" i="814"/>
  <c r="I143" i="814"/>
  <c r="D143" i="814"/>
  <c r="E169" i="814"/>
  <c r="F141" i="814"/>
  <c r="E170" i="814"/>
  <c r="H141" i="814"/>
  <c r="E141" i="814"/>
  <c r="G432" i="814"/>
  <c r="J9" i="815"/>
  <c r="G261" i="743"/>
  <c r="F8" i="815"/>
  <c r="J12" i="815"/>
  <c r="F15" i="815"/>
  <c r="H168" i="814"/>
  <c r="I173" i="814"/>
  <c r="G172" i="814"/>
  <c r="G169" i="814"/>
  <c r="H170" i="814"/>
  <c r="F171" i="814"/>
  <c r="F168" i="814"/>
  <c r="H169" i="814"/>
  <c r="G173" i="814"/>
  <c r="D171" i="814"/>
  <c r="G170" i="814"/>
  <c r="D170" i="814"/>
  <c r="F170" i="814"/>
  <c r="I172" i="814"/>
  <c r="F172" i="814"/>
  <c r="I170" i="814"/>
  <c r="F169" i="814"/>
  <c r="E173" i="814"/>
  <c r="D169" i="814"/>
  <c r="F173" i="814"/>
  <c r="I168" i="814"/>
  <c r="E171" i="814"/>
  <c r="H172" i="814"/>
  <c r="G428" i="814"/>
  <c r="H173" i="814"/>
  <c r="J7" i="815"/>
  <c r="J11" i="815"/>
  <c r="J10" i="815"/>
  <c r="I126" i="814"/>
  <c r="H126" i="814"/>
  <c r="H125" i="814" s="1"/>
  <c r="D126" i="814"/>
  <c r="E126" i="814"/>
  <c r="G131" i="814"/>
  <c r="F131" i="814"/>
  <c r="E132" i="814"/>
  <c r="E131" i="814"/>
  <c r="I132" i="814"/>
  <c r="D131" i="814"/>
  <c r="G132" i="814"/>
  <c r="D132" i="814"/>
  <c r="H132" i="814"/>
  <c r="H131" i="814"/>
  <c r="I131" i="814"/>
  <c r="F126" i="814"/>
  <c r="D172" i="814"/>
  <c r="G241" i="814"/>
  <c r="D244" i="814"/>
  <c r="E254" i="814"/>
  <c r="G252" i="814"/>
  <c r="D252" i="814"/>
  <c r="H241" i="814"/>
  <c r="H338" i="814"/>
  <c r="F240" i="814"/>
  <c r="H242" i="814"/>
  <c r="F250" i="814"/>
  <c r="F259" i="814"/>
  <c r="E260" i="814"/>
  <c r="D339" i="814"/>
  <c r="E242" i="814"/>
  <c r="D337" i="814"/>
  <c r="F336" i="814"/>
  <c r="D338" i="814"/>
  <c r="D240" i="814"/>
  <c r="G247" i="814"/>
  <c r="D255" i="814"/>
  <c r="I249" i="814"/>
  <c r="I258" i="814"/>
  <c r="D259" i="814"/>
  <c r="G258" i="814"/>
  <c r="H340" i="814"/>
  <c r="F242" i="814"/>
  <c r="E247" i="814"/>
  <c r="I244" i="814"/>
  <c r="I253" i="814"/>
  <c r="F257" i="814"/>
  <c r="F245" i="814"/>
  <c r="I340" i="814"/>
  <c r="H337" i="814"/>
  <c r="H339" i="814"/>
  <c r="I254" i="814"/>
  <c r="I257" i="814"/>
  <c r="E249" i="814"/>
  <c r="E253" i="814"/>
  <c r="G255" i="814"/>
  <c r="H249" i="814"/>
  <c r="D243" i="814"/>
  <c r="F258" i="814"/>
  <c r="H260" i="814"/>
  <c r="G338" i="814"/>
  <c r="G249" i="814"/>
  <c r="I252" i="814"/>
  <c r="D336" i="814"/>
  <c r="F339" i="814"/>
  <c r="I240" i="814"/>
  <c r="I255" i="814"/>
  <c r="D258" i="814"/>
  <c r="G257" i="814"/>
  <c r="H244" i="814"/>
  <c r="F247" i="814"/>
  <c r="G340" i="814"/>
  <c r="G339" i="814"/>
  <c r="F243" i="814"/>
  <c r="E243" i="814"/>
  <c r="H250" i="814"/>
  <c r="F244" i="814"/>
  <c r="G240" i="814"/>
  <c r="F337" i="814"/>
  <c r="G254" i="814"/>
  <c r="D248" i="814"/>
  <c r="D241" i="814"/>
  <c r="E340" i="814"/>
  <c r="H257" i="814"/>
  <c r="D257" i="814"/>
  <c r="I337" i="814"/>
  <c r="D260" i="814"/>
  <c r="I260" i="814"/>
  <c r="F254" i="814"/>
  <c r="H258" i="814"/>
  <c r="E244" i="814"/>
  <c r="G244" i="814"/>
  <c r="D253" i="814"/>
  <c r="E339" i="814"/>
  <c r="E252" i="814"/>
  <c r="E245" i="814"/>
  <c r="E336" i="814"/>
  <c r="I339" i="814"/>
  <c r="H252" i="814"/>
  <c r="H247" i="814"/>
  <c r="H259" i="814"/>
  <c r="D247" i="814"/>
  <c r="E338" i="814"/>
  <c r="F255" i="814"/>
  <c r="F338" i="814"/>
  <c r="E258" i="814"/>
  <c r="G248" i="814"/>
  <c r="F249" i="814"/>
  <c r="H255" i="814"/>
  <c r="G253" i="814"/>
  <c r="H240" i="814"/>
  <c r="G259" i="814"/>
  <c r="I247" i="814"/>
  <c r="I259" i="814"/>
  <c r="G243" i="814"/>
  <c r="I336" i="814"/>
  <c r="G260" i="814"/>
  <c r="F260" i="814"/>
  <c r="E240" i="814"/>
  <c r="I338" i="814"/>
  <c r="D254" i="814"/>
  <c r="G242" i="814"/>
  <c r="I243" i="814"/>
  <c r="H254" i="814"/>
  <c r="H243" i="814"/>
  <c r="G245" i="814"/>
  <c r="H248" i="814"/>
  <c r="G337" i="814"/>
  <c r="E255" i="814"/>
  <c r="G250" i="814"/>
  <c r="F248" i="814"/>
  <c r="D242" i="814"/>
  <c r="I245" i="814"/>
  <c r="E337" i="814"/>
  <c r="F253" i="814"/>
  <c r="F241" i="814"/>
  <c r="I250" i="814"/>
  <c r="E248" i="814"/>
  <c r="E241" i="814"/>
  <c r="E257" i="814"/>
  <c r="H245" i="814"/>
  <c r="I242" i="814"/>
  <c r="E250" i="814"/>
  <c r="G336" i="814"/>
  <c r="D245" i="814"/>
  <c r="D249" i="814"/>
  <c r="E259" i="814"/>
  <c r="F340" i="814"/>
  <c r="I241" i="814"/>
  <c r="F252" i="814"/>
  <c r="D340" i="814"/>
  <c r="H253" i="814"/>
  <c r="H336" i="814"/>
  <c r="D250" i="814"/>
  <c r="I248" i="814"/>
  <c r="J18" i="815"/>
  <c r="G120" i="743"/>
  <c r="F12" i="815"/>
  <c r="G142" i="814"/>
  <c r="F13" i="815"/>
  <c r="J16" i="815"/>
  <c r="J8" i="815"/>
  <c r="I35" i="814"/>
  <c r="H159" i="815"/>
  <c r="F63" i="815"/>
  <c r="D62" i="815"/>
  <c r="E64" i="815"/>
  <c r="E159" i="815"/>
  <c r="F160" i="815"/>
  <c r="I65" i="815"/>
  <c r="D160" i="815"/>
  <c r="G160" i="815"/>
  <c r="G65" i="815"/>
  <c r="F157" i="815"/>
  <c r="I158" i="815"/>
  <c r="H64" i="815"/>
  <c r="E158" i="815"/>
  <c r="G158" i="815"/>
  <c r="E157" i="815"/>
  <c r="I63" i="815"/>
  <c r="G62" i="815"/>
  <c r="D159" i="815"/>
  <c r="F65" i="815"/>
  <c r="D157" i="815"/>
  <c r="D64" i="815"/>
  <c r="D63" i="815"/>
  <c r="E62" i="815"/>
  <c r="H158" i="815"/>
  <c r="E65" i="815"/>
  <c r="F62" i="815"/>
  <c r="D158" i="815"/>
  <c r="D65" i="815"/>
  <c r="F158" i="815"/>
  <c r="F64" i="815"/>
  <c r="H160" i="815"/>
  <c r="I159" i="815"/>
  <c r="E63" i="815"/>
  <c r="H65" i="815"/>
  <c r="I157" i="815"/>
  <c r="H62" i="815"/>
  <c r="G157" i="815"/>
  <c r="I62" i="815"/>
  <c r="I160" i="815"/>
  <c r="G64" i="815"/>
  <c r="E160" i="815"/>
  <c r="F159" i="815"/>
  <c r="I64" i="815"/>
  <c r="G159" i="815"/>
  <c r="H63" i="815"/>
  <c r="H157" i="815"/>
  <c r="G63" i="815"/>
  <c r="G192" i="743"/>
  <c r="F10" i="815"/>
  <c r="G87" i="743"/>
  <c r="G262" i="743"/>
  <c r="G446" i="743" s="1"/>
  <c r="G57" i="743"/>
  <c r="G121" i="743"/>
  <c r="G124" i="743"/>
  <c r="G340" i="743" s="1"/>
  <c r="G161" i="743"/>
  <c r="G366" i="743" s="1"/>
  <c r="G298" i="743"/>
  <c r="G472" i="743" s="1"/>
  <c r="G193" i="743"/>
  <c r="G393" i="743" s="1"/>
  <c r="G122" i="743"/>
  <c r="G230" i="743"/>
  <c r="G419" i="743" s="1"/>
  <c r="G123" i="743"/>
  <c r="C21" i="606"/>
  <c r="E21" i="606" s="1"/>
  <c r="N64" i="70"/>
  <c r="K81" i="70"/>
  <c r="K84" i="70" s="1"/>
  <c r="D30" i="39" s="1"/>
  <c r="N75" i="70"/>
  <c r="H27" i="743" l="1"/>
  <c r="E45" i="814"/>
  <c r="J46" i="814"/>
  <c r="J73" i="814"/>
  <c r="J47" i="814"/>
  <c r="F30" i="814"/>
  <c r="H30" i="814"/>
  <c r="G45" i="814"/>
  <c r="J76" i="814"/>
  <c r="J37" i="814"/>
  <c r="J36" i="814"/>
  <c r="F45" i="814"/>
  <c r="J31" i="814"/>
  <c r="H72" i="814"/>
  <c r="H45" i="814"/>
  <c r="J78" i="814"/>
  <c r="J75" i="814"/>
  <c r="G391" i="814"/>
  <c r="G412" i="814" s="1"/>
  <c r="G125" i="814"/>
  <c r="J77" i="814"/>
  <c r="G72" i="814"/>
  <c r="D45" i="814"/>
  <c r="F72" i="814"/>
  <c r="J48" i="814"/>
  <c r="D72" i="814"/>
  <c r="I72" i="814"/>
  <c r="J74" i="814"/>
  <c r="E72" i="814"/>
  <c r="G30" i="814"/>
  <c r="D30" i="814"/>
  <c r="Q72" i="66"/>
  <c r="L72" i="66" s="1"/>
  <c r="K72" i="66" s="1"/>
  <c r="L67" i="66"/>
  <c r="K67" i="66" s="1"/>
  <c r="Q70" i="66"/>
  <c r="L70" i="66" s="1"/>
  <c r="K70" i="66" s="1"/>
  <c r="Q69" i="66"/>
  <c r="L69" i="66" s="1"/>
  <c r="K69" i="66" s="1"/>
  <c r="Q73" i="66"/>
  <c r="L73" i="66" s="1"/>
  <c r="K73" i="66" s="1"/>
  <c r="Q74" i="66"/>
  <c r="L74" i="66" s="1"/>
  <c r="K74" i="66" s="1"/>
  <c r="Q71" i="66"/>
  <c r="L71" i="66" s="1"/>
  <c r="K71" i="66" s="1"/>
  <c r="Q68" i="66"/>
  <c r="L68" i="66" s="1"/>
  <c r="K68" i="66" s="1"/>
  <c r="Q119" i="66"/>
  <c r="L119" i="66" s="1"/>
  <c r="Q124" i="66"/>
  <c r="N124" i="66" s="1"/>
  <c r="Q103" i="66"/>
  <c r="L103" i="66" s="1"/>
  <c r="W92" i="825"/>
  <c r="N34" i="66"/>
  <c r="N25" i="66"/>
  <c r="N31" i="66"/>
  <c r="N20" i="66"/>
  <c r="N9" i="66"/>
  <c r="N33" i="66"/>
  <c r="N14" i="66"/>
  <c r="N18" i="66"/>
  <c r="N32" i="66"/>
  <c r="N8" i="66"/>
  <c r="N10" i="66"/>
  <c r="N111" i="66"/>
  <c r="N19" i="66"/>
  <c r="N26" i="66"/>
  <c r="N13" i="66"/>
  <c r="Q126" i="66"/>
  <c r="L126" i="66" s="1"/>
  <c r="N30" i="66"/>
  <c r="N109" i="66"/>
  <c r="N15" i="66"/>
  <c r="N110" i="66"/>
  <c r="M22" i="66"/>
  <c r="Q123" i="66"/>
  <c r="N123" i="66" s="1"/>
  <c r="Q113" i="66"/>
  <c r="L113" i="66" s="1"/>
  <c r="Q122" i="66"/>
  <c r="N122" i="66" s="1"/>
  <c r="Q121" i="66"/>
  <c r="L121" i="66" s="1"/>
  <c r="Q108" i="66"/>
  <c r="L108" i="66" s="1"/>
  <c r="Q120" i="66"/>
  <c r="L120" i="66" s="1"/>
  <c r="M121" i="743"/>
  <c r="M123" i="743"/>
  <c r="M122" i="743"/>
  <c r="Q118" i="66"/>
  <c r="L118" i="66" s="1"/>
  <c r="Q37" i="66"/>
  <c r="L37" i="66" s="1"/>
  <c r="Q114" i="66"/>
  <c r="L114" i="66" s="1"/>
  <c r="Q111" i="66"/>
  <c r="L111" i="66" s="1"/>
  <c r="Q116" i="66"/>
  <c r="L116" i="66" s="1"/>
  <c r="Q110" i="66"/>
  <c r="L110" i="66" s="1"/>
  <c r="Q105" i="66"/>
  <c r="L105" i="66" s="1"/>
  <c r="Q115" i="66"/>
  <c r="L115" i="66" s="1"/>
  <c r="Q104" i="66"/>
  <c r="L104" i="66" s="1"/>
  <c r="Q109" i="66"/>
  <c r="L109" i="66" s="1"/>
  <c r="Q106" i="66"/>
  <c r="L106" i="66" s="1"/>
  <c r="Q44" i="66"/>
  <c r="L44" i="66" s="1"/>
  <c r="Q40" i="66"/>
  <c r="L40" i="66" s="1"/>
  <c r="Q39" i="66"/>
  <c r="L39" i="66" s="1"/>
  <c r="Q43" i="66"/>
  <c r="L43" i="66" s="1"/>
  <c r="Q38" i="66"/>
  <c r="L38" i="66" s="1"/>
  <c r="Q41" i="66"/>
  <c r="L41" i="66" s="1"/>
  <c r="Q42" i="66"/>
  <c r="L42" i="66" s="1"/>
  <c r="Q45" i="66"/>
  <c r="L45" i="66" s="1"/>
  <c r="Q127" i="66"/>
  <c r="L127" i="66" s="1"/>
  <c r="Q125" i="66"/>
  <c r="L125" i="66" s="1"/>
  <c r="J82" i="814"/>
  <c r="J188" i="814"/>
  <c r="E195" i="814"/>
  <c r="H187" i="814"/>
  <c r="J95" i="814"/>
  <c r="G187" i="814"/>
  <c r="J191" i="814"/>
  <c r="J97" i="814"/>
  <c r="J176" i="814"/>
  <c r="J189" i="814"/>
  <c r="J193" i="814"/>
  <c r="G92" i="814"/>
  <c r="E92" i="814"/>
  <c r="H92" i="814"/>
  <c r="F187" i="814"/>
  <c r="J110" i="814"/>
  <c r="J93" i="814"/>
  <c r="J96" i="814"/>
  <c r="E187" i="814"/>
  <c r="I187" i="814"/>
  <c r="D187" i="814"/>
  <c r="D92" i="814"/>
  <c r="J94" i="814"/>
  <c r="I100" i="814"/>
  <c r="J177" i="814"/>
  <c r="G174" i="814"/>
  <c r="J81" i="814"/>
  <c r="F100" i="814"/>
  <c r="J190" i="814"/>
  <c r="J192" i="814"/>
  <c r="D79" i="814"/>
  <c r="I92" i="814"/>
  <c r="F92" i="814"/>
  <c r="D174" i="814"/>
  <c r="J105" i="814"/>
  <c r="J196" i="814"/>
  <c r="F195" i="814"/>
  <c r="G100" i="814"/>
  <c r="F174" i="814"/>
  <c r="D106" i="814"/>
  <c r="J108" i="814"/>
  <c r="J83" i="814"/>
  <c r="I174" i="814"/>
  <c r="J112" i="814"/>
  <c r="E201" i="814"/>
  <c r="J205" i="814"/>
  <c r="E113" i="814"/>
  <c r="H174" i="814"/>
  <c r="G79" i="814"/>
  <c r="H208" i="814"/>
  <c r="J111" i="814"/>
  <c r="I113" i="814"/>
  <c r="J200" i="814"/>
  <c r="J116" i="814"/>
  <c r="J206" i="814"/>
  <c r="I79" i="814"/>
  <c r="J198" i="814"/>
  <c r="J209" i="814"/>
  <c r="I195" i="814"/>
  <c r="J103" i="814"/>
  <c r="G106" i="814"/>
  <c r="H113" i="814"/>
  <c r="J179" i="814"/>
  <c r="F201" i="814"/>
  <c r="J178" i="814"/>
  <c r="E79" i="814"/>
  <c r="D208" i="814"/>
  <c r="J197" i="814"/>
  <c r="F208" i="814"/>
  <c r="H106" i="814"/>
  <c r="E174" i="814"/>
  <c r="J214" i="814"/>
  <c r="J104" i="814"/>
  <c r="J114" i="814"/>
  <c r="J102" i="814"/>
  <c r="F113" i="814"/>
  <c r="J213" i="814"/>
  <c r="F79" i="814"/>
  <c r="J175" i="814"/>
  <c r="J118" i="814"/>
  <c r="D100" i="814"/>
  <c r="J107" i="814"/>
  <c r="J117" i="814"/>
  <c r="J115" i="814"/>
  <c r="J203" i="814"/>
  <c r="J88" i="814"/>
  <c r="J84" i="814"/>
  <c r="D113" i="814"/>
  <c r="G208" i="814"/>
  <c r="E100" i="814"/>
  <c r="H201" i="814"/>
  <c r="H79" i="814"/>
  <c r="H100" i="814"/>
  <c r="J80" i="814"/>
  <c r="J210" i="814"/>
  <c r="J204" i="814"/>
  <c r="E106" i="814"/>
  <c r="J207" i="814"/>
  <c r="G201" i="814"/>
  <c r="J199" i="814"/>
  <c r="J119" i="814"/>
  <c r="I201" i="814"/>
  <c r="F106" i="814"/>
  <c r="J212" i="814"/>
  <c r="J109" i="814"/>
  <c r="D201" i="814"/>
  <c r="I208" i="814"/>
  <c r="J86" i="814"/>
  <c r="G113" i="814"/>
  <c r="J101" i="814"/>
  <c r="I106" i="814"/>
  <c r="H195" i="814"/>
  <c r="G195" i="814"/>
  <c r="E208" i="814"/>
  <c r="G180" i="814"/>
  <c r="I85" i="814"/>
  <c r="H85" i="814"/>
  <c r="J185" i="814"/>
  <c r="J211" i="814"/>
  <c r="J183" i="814"/>
  <c r="F85" i="814"/>
  <c r="J89" i="814"/>
  <c r="J90" i="814"/>
  <c r="D195" i="814"/>
  <c r="J182" i="814"/>
  <c r="G398" i="814"/>
  <c r="G85" i="814"/>
  <c r="D180" i="814"/>
  <c r="E180" i="814"/>
  <c r="F180" i="814"/>
  <c r="I180" i="814"/>
  <c r="H180" i="814"/>
  <c r="J184" i="814"/>
  <c r="E85" i="814"/>
  <c r="D85" i="814"/>
  <c r="J87" i="814"/>
  <c r="J181" i="814"/>
  <c r="J202" i="814"/>
  <c r="N121" i="66"/>
  <c r="G317" i="814"/>
  <c r="G396" i="814" s="1"/>
  <c r="N108" i="66"/>
  <c r="F38" i="814"/>
  <c r="F34" i="814" s="1"/>
  <c r="E280" i="814"/>
  <c r="D438" i="814"/>
  <c r="D418" i="814" s="1"/>
  <c r="E285" i="814"/>
  <c r="D398" i="814"/>
  <c r="D419" i="814" s="1"/>
  <c r="G287" i="814"/>
  <c r="I284" i="814"/>
  <c r="E277" i="814"/>
  <c r="D276" i="814"/>
  <c r="H272" i="814"/>
  <c r="G286" i="814"/>
  <c r="I276" i="814"/>
  <c r="D285" i="814"/>
  <c r="F277" i="814"/>
  <c r="I283" i="814"/>
  <c r="I281" i="814"/>
  <c r="F276" i="814"/>
  <c r="H38" i="814"/>
  <c r="H34" i="814" s="1"/>
  <c r="I270" i="814"/>
  <c r="D288" i="814"/>
  <c r="F17" i="813"/>
  <c r="E25" i="743"/>
  <c r="F280" i="814"/>
  <c r="H273" i="814"/>
  <c r="G277" i="814"/>
  <c r="I271" i="814"/>
  <c r="G270" i="814"/>
  <c r="I286" i="814"/>
  <c r="E204" i="815"/>
  <c r="F203" i="815"/>
  <c r="E118" i="815"/>
  <c r="H200" i="815"/>
  <c r="E198" i="815"/>
  <c r="F116" i="815"/>
  <c r="D198" i="815"/>
  <c r="I118" i="815"/>
  <c r="E116" i="815"/>
  <c r="E101" i="815"/>
  <c r="D206" i="815"/>
  <c r="F101" i="815"/>
  <c r="D213" i="815"/>
  <c r="E200" i="815"/>
  <c r="D112" i="815"/>
  <c r="E196" i="815"/>
  <c r="D117" i="815"/>
  <c r="I107" i="815"/>
  <c r="H199" i="815"/>
  <c r="I111" i="815"/>
  <c r="E102" i="815"/>
  <c r="D203" i="815"/>
  <c r="H196" i="815"/>
  <c r="F196" i="815"/>
  <c r="G101" i="815"/>
  <c r="G102" i="815"/>
  <c r="F204" i="815"/>
  <c r="D115" i="815"/>
  <c r="F112" i="815"/>
  <c r="I196" i="815"/>
  <c r="F102" i="815"/>
  <c r="G198" i="815"/>
  <c r="H102" i="815"/>
  <c r="D109" i="815"/>
  <c r="I212" i="815"/>
  <c r="I210" i="815"/>
  <c r="F197" i="815"/>
  <c r="F205" i="815"/>
  <c r="G202" i="815"/>
  <c r="F199" i="815"/>
  <c r="E111" i="815"/>
  <c r="I203" i="815"/>
  <c r="H114" i="815"/>
  <c r="F210" i="815"/>
  <c r="G197" i="815"/>
  <c r="F109" i="815"/>
  <c r="I119" i="815"/>
  <c r="F114" i="815"/>
  <c r="E104" i="815"/>
  <c r="I117" i="815"/>
  <c r="H107" i="815"/>
  <c r="H214" i="815"/>
  <c r="D197" i="815"/>
  <c r="E119" i="815"/>
  <c r="H103" i="815"/>
  <c r="H110" i="815"/>
  <c r="H112" i="815"/>
  <c r="F115" i="815"/>
  <c r="F209" i="815"/>
  <c r="H212" i="815"/>
  <c r="G107" i="815"/>
  <c r="H207" i="815"/>
  <c r="G211" i="815"/>
  <c r="E109" i="815"/>
  <c r="G119" i="815"/>
  <c r="D199" i="815"/>
  <c r="D104" i="815"/>
  <c r="E205" i="815"/>
  <c r="D111" i="815"/>
  <c r="E114" i="815"/>
  <c r="G213" i="815"/>
  <c r="H119" i="815"/>
  <c r="H202" i="815"/>
  <c r="H206" i="815"/>
  <c r="G118" i="815"/>
  <c r="H105" i="815"/>
  <c r="E117" i="815"/>
  <c r="D204" i="815"/>
  <c r="I115" i="815"/>
  <c r="D103" i="815"/>
  <c r="G114" i="815"/>
  <c r="D108" i="815"/>
  <c r="I211" i="815"/>
  <c r="G108" i="815"/>
  <c r="H210" i="815"/>
  <c r="F198" i="815"/>
  <c r="E110" i="815"/>
  <c r="I109" i="815"/>
  <c r="I103" i="815"/>
  <c r="G203" i="815"/>
  <c r="G105" i="815"/>
  <c r="G207" i="815"/>
  <c r="E203" i="815"/>
  <c r="E214" i="815"/>
  <c r="G214" i="815"/>
  <c r="D205" i="815"/>
  <c r="F110" i="815"/>
  <c r="F202" i="815"/>
  <c r="E105" i="815"/>
  <c r="E210" i="815"/>
  <c r="E213" i="815"/>
  <c r="D196" i="815"/>
  <c r="H211" i="815"/>
  <c r="I206" i="815"/>
  <c r="I198" i="815"/>
  <c r="F107" i="815"/>
  <c r="F200" i="815"/>
  <c r="E112" i="815"/>
  <c r="G212" i="815"/>
  <c r="I110" i="815"/>
  <c r="F104" i="815"/>
  <c r="I205" i="815"/>
  <c r="I102" i="815"/>
  <c r="H204" i="815"/>
  <c r="G116" i="815"/>
  <c r="D105" i="815"/>
  <c r="H104" i="815"/>
  <c r="G209" i="815"/>
  <c r="F108" i="815"/>
  <c r="H205" i="815"/>
  <c r="H197" i="815"/>
  <c r="G109" i="815"/>
  <c r="I209" i="815"/>
  <c r="E108" i="815"/>
  <c r="H101" i="815"/>
  <c r="G200" i="815"/>
  <c r="D211" i="815"/>
  <c r="E199" i="815"/>
  <c r="E107" i="815"/>
  <c r="F213" i="815"/>
  <c r="F212" i="815"/>
  <c r="F105" i="815"/>
  <c r="E103" i="815"/>
  <c r="I101" i="815"/>
  <c r="I112" i="815"/>
  <c r="H111" i="815"/>
  <c r="I202" i="815"/>
  <c r="D214" i="815"/>
  <c r="H117" i="815"/>
  <c r="G196" i="815"/>
  <c r="F206" i="815"/>
  <c r="G115" i="815"/>
  <c r="F103" i="815"/>
  <c r="G204" i="815"/>
  <c r="D200" i="815"/>
  <c r="I104" i="815"/>
  <c r="H198" i="815"/>
  <c r="D102" i="815"/>
  <c r="D101" i="815"/>
  <c r="G206" i="815"/>
  <c r="E207" i="815"/>
  <c r="H115" i="815"/>
  <c r="D209" i="815"/>
  <c r="H118" i="815"/>
  <c r="I105" i="815"/>
  <c r="E206" i="815"/>
  <c r="G104" i="815"/>
  <c r="I213" i="815"/>
  <c r="D118" i="815"/>
  <c r="G205" i="815"/>
  <c r="F117" i="815"/>
  <c r="H213" i="815"/>
  <c r="F207" i="815"/>
  <c r="D207" i="815"/>
  <c r="D212" i="815"/>
  <c r="D116" i="815"/>
  <c r="E211" i="815"/>
  <c r="G199" i="815"/>
  <c r="E209" i="815"/>
  <c r="D202" i="815"/>
  <c r="I199" i="815"/>
  <c r="H108" i="815"/>
  <c r="F214" i="815"/>
  <c r="E202" i="815"/>
  <c r="I114" i="815"/>
  <c r="H203" i="815"/>
  <c r="D110" i="815"/>
  <c r="I207" i="815"/>
  <c r="D114" i="815"/>
  <c r="I116" i="815"/>
  <c r="E212" i="815"/>
  <c r="F118" i="815"/>
  <c r="G111" i="815"/>
  <c r="G110" i="815"/>
  <c r="I200" i="815"/>
  <c r="H109" i="815"/>
  <c r="D210" i="815"/>
  <c r="E197" i="815"/>
  <c r="F211" i="815"/>
  <c r="I204" i="815"/>
  <c r="G103" i="815"/>
  <c r="G112" i="815"/>
  <c r="I214" i="815"/>
  <c r="I197" i="815"/>
  <c r="F119" i="815"/>
  <c r="D119" i="815"/>
  <c r="I108" i="815"/>
  <c r="D107" i="815"/>
  <c r="G210" i="815"/>
  <c r="E115" i="815"/>
  <c r="H209" i="815"/>
  <c r="F111" i="815"/>
  <c r="H116" i="815"/>
  <c r="G117" i="815"/>
  <c r="F284" i="814"/>
  <c r="H288" i="814"/>
  <c r="H277" i="814"/>
  <c r="H278" i="814"/>
  <c r="E281" i="814"/>
  <c r="H286" i="814"/>
  <c r="F281" i="814"/>
  <c r="H397" i="814"/>
  <c r="H418" i="814" s="1"/>
  <c r="I285" i="814"/>
  <c r="F270" i="814"/>
  <c r="I277" i="814"/>
  <c r="G283" i="814"/>
  <c r="F287" i="814"/>
  <c r="E278" i="814"/>
  <c r="G280" i="814"/>
  <c r="F285" i="814"/>
  <c r="D270" i="814"/>
  <c r="H284" i="814"/>
  <c r="D273" i="814"/>
  <c r="F279" i="814"/>
  <c r="D280" i="814"/>
  <c r="I287" i="814"/>
  <c r="E287" i="814"/>
  <c r="H274" i="814"/>
  <c r="D283" i="814"/>
  <c r="D279" i="814"/>
  <c r="D286" i="814"/>
  <c r="F274" i="814"/>
  <c r="G278" i="814"/>
  <c r="G281" i="814"/>
  <c r="F272" i="814"/>
  <c r="E286" i="814"/>
  <c r="F283" i="814"/>
  <c r="D272" i="814"/>
  <c r="F288" i="814"/>
  <c r="J42" i="814"/>
  <c r="G288" i="814"/>
  <c r="F271" i="814"/>
  <c r="D274" i="814"/>
  <c r="I288" i="814"/>
  <c r="D38" i="814"/>
  <c r="D34" i="814" s="1"/>
  <c r="I278" i="814"/>
  <c r="D284" i="814"/>
  <c r="E274" i="814"/>
  <c r="E288" i="814"/>
  <c r="H271" i="814"/>
  <c r="I38" i="814"/>
  <c r="I34" i="814" s="1"/>
  <c r="J41" i="814"/>
  <c r="H270" i="814"/>
  <c r="I273" i="814"/>
  <c r="D287" i="814"/>
  <c r="H279" i="814"/>
  <c r="E272" i="814"/>
  <c r="I280" i="814"/>
  <c r="F273" i="814"/>
  <c r="E279" i="814"/>
  <c r="D277" i="814"/>
  <c r="F286" i="814"/>
  <c r="G276" i="814"/>
  <c r="I274" i="814"/>
  <c r="H281" i="814"/>
  <c r="D281" i="814"/>
  <c r="E283" i="814"/>
  <c r="H280" i="814"/>
  <c r="H276" i="814"/>
  <c r="G271" i="814"/>
  <c r="H285" i="814"/>
  <c r="G284" i="814"/>
  <c r="F278" i="814"/>
  <c r="I272" i="814"/>
  <c r="E273" i="814"/>
  <c r="E276" i="814"/>
  <c r="E284" i="814"/>
  <c r="G274" i="814"/>
  <c r="D271" i="814"/>
  <c r="I279" i="814"/>
  <c r="G279" i="814"/>
  <c r="E271" i="814"/>
  <c r="H287" i="814"/>
  <c r="E270" i="814"/>
  <c r="G272" i="814"/>
  <c r="D278" i="814"/>
  <c r="H283" i="814"/>
  <c r="G273" i="814"/>
  <c r="E38" i="814"/>
  <c r="E34" i="814" s="1"/>
  <c r="E438" i="814"/>
  <c r="E418" i="814" s="1"/>
  <c r="D393" i="814"/>
  <c r="D414" i="814" s="1"/>
  <c r="F125" i="814"/>
  <c r="F438" i="814"/>
  <c r="F418" i="814" s="1"/>
  <c r="E125" i="814"/>
  <c r="D133" i="814"/>
  <c r="G308" i="813"/>
  <c r="I305" i="813"/>
  <c r="E302" i="813"/>
  <c r="G299" i="813"/>
  <c r="I295" i="813"/>
  <c r="E293" i="813"/>
  <c r="F308" i="813"/>
  <c r="H305" i="813"/>
  <c r="D302" i="813"/>
  <c r="F299" i="813"/>
  <c r="H295" i="813"/>
  <c r="D293" i="813"/>
  <c r="E308" i="813"/>
  <c r="G305" i="813"/>
  <c r="I301" i="813"/>
  <c r="E299" i="813"/>
  <c r="G295" i="813"/>
  <c r="I292" i="813"/>
  <c r="D309" i="813"/>
  <c r="F305" i="813"/>
  <c r="E301" i="813"/>
  <c r="D298" i="813"/>
  <c r="I293" i="813"/>
  <c r="I308" i="813"/>
  <c r="E305" i="813"/>
  <c r="D301" i="813"/>
  <c r="I297" i="813"/>
  <c r="H293" i="813"/>
  <c r="H308" i="813"/>
  <c r="H304" i="813"/>
  <c r="E300" i="813"/>
  <c r="E295" i="813"/>
  <c r="H291" i="813"/>
  <c r="H299" i="813"/>
  <c r="D299" i="813"/>
  <c r="F307" i="813"/>
  <c r="I298" i="813"/>
  <c r="E307" i="813"/>
  <c r="E294" i="813"/>
  <c r="D307" i="813"/>
  <c r="G298" i="813"/>
  <c r="F302" i="813"/>
  <c r="H301" i="813"/>
  <c r="G301" i="813"/>
  <c r="I309" i="813"/>
  <c r="D308" i="813"/>
  <c r="G304" i="813"/>
  <c r="D300" i="813"/>
  <c r="D295" i="813"/>
  <c r="G291" i="813"/>
  <c r="F304" i="813"/>
  <c r="H307" i="813"/>
  <c r="D304" i="813"/>
  <c r="I302" i="813"/>
  <c r="H298" i="813"/>
  <c r="F298" i="813"/>
  <c r="H306" i="813"/>
  <c r="E298" i="813"/>
  <c r="F293" i="813"/>
  <c r="G306" i="813"/>
  <c r="H297" i="813"/>
  <c r="G292" i="813"/>
  <c r="I307" i="813"/>
  <c r="I299" i="813"/>
  <c r="I294" i="813"/>
  <c r="F291" i="813"/>
  <c r="E304" i="813"/>
  <c r="H294" i="813"/>
  <c r="E291" i="813"/>
  <c r="G307" i="813"/>
  <c r="G294" i="813"/>
  <c r="D291" i="813"/>
  <c r="F294" i="813"/>
  <c r="H302" i="813"/>
  <c r="G302" i="813"/>
  <c r="D294" i="813"/>
  <c r="I306" i="813"/>
  <c r="G293" i="813"/>
  <c r="H292" i="813"/>
  <c r="F306" i="813"/>
  <c r="F301" i="813"/>
  <c r="G297" i="813"/>
  <c r="G300" i="813"/>
  <c r="E297" i="813"/>
  <c r="F295" i="813"/>
  <c r="E292" i="813"/>
  <c r="D292" i="813"/>
  <c r="I291" i="813"/>
  <c r="E306" i="813"/>
  <c r="I304" i="813"/>
  <c r="I300" i="813"/>
  <c r="H300" i="813"/>
  <c r="F300" i="813"/>
  <c r="D297" i="813"/>
  <c r="H309" i="813"/>
  <c r="G309" i="813"/>
  <c r="E309" i="813"/>
  <c r="D305" i="813"/>
  <c r="F297" i="813"/>
  <c r="F292" i="813"/>
  <c r="F309" i="813"/>
  <c r="D306" i="813"/>
  <c r="H133" i="814"/>
  <c r="G438" i="814"/>
  <c r="G418" i="814" s="1"/>
  <c r="F133" i="814"/>
  <c r="G38" i="814"/>
  <c r="G34" i="814" s="1"/>
  <c r="I309" i="814"/>
  <c r="E307" i="814"/>
  <c r="G304" i="814"/>
  <c r="I300" i="814"/>
  <c r="E298" i="814"/>
  <c r="G294" i="814"/>
  <c r="I291" i="814"/>
  <c r="F309" i="814"/>
  <c r="D304" i="814"/>
  <c r="H297" i="814"/>
  <c r="H309" i="814"/>
  <c r="D307" i="814"/>
  <c r="F304" i="814"/>
  <c r="H300" i="814"/>
  <c r="D298" i="814"/>
  <c r="F294" i="814"/>
  <c r="H291" i="814"/>
  <c r="H306" i="814"/>
  <c r="F300" i="814"/>
  <c r="F291" i="814"/>
  <c r="G309" i="814"/>
  <c r="I306" i="814"/>
  <c r="E304" i="814"/>
  <c r="G300" i="814"/>
  <c r="I297" i="814"/>
  <c r="E294" i="814"/>
  <c r="G291" i="814"/>
  <c r="D294" i="814"/>
  <c r="G306" i="814"/>
  <c r="E302" i="814"/>
  <c r="I298" i="814"/>
  <c r="I293" i="814"/>
  <c r="F306" i="814"/>
  <c r="D302" i="814"/>
  <c r="H298" i="814"/>
  <c r="H293" i="814"/>
  <c r="H307" i="814"/>
  <c r="F302" i="814"/>
  <c r="F298" i="814"/>
  <c r="D293" i="814"/>
  <c r="G301" i="814"/>
  <c r="D306" i="814"/>
  <c r="F301" i="814"/>
  <c r="D297" i="814"/>
  <c r="F292" i="814"/>
  <c r="E301" i="814"/>
  <c r="E292" i="814"/>
  <c r="G305" i="814"/>
  <c r="I308" i="814"/>
  <c r="E305" i="814"/>
  <c r="I299" i="814"/>
  <c r="E295" i="814"/>
  <c r="H308" i="814"/>
  <c r="D305" i="814"/>
  <c r="D295" i="814"/>
  <c r="G308" i="814"/>
  <c r="G299" i="814"/>
  <c r="I294" i="814"/>
  <c r="G307" i="814"/>
  <c r="I301" i="814"/>
  <c r="G297" i="814"/>
  <c r="I292" i="814"/>
  <c r="E306" i="814"/>
  <c r="G292" i="814"/>
  <c r="I295" i="814"/>
  <c r="H305" i="814"/>
  <c r="E309" i="814"/>
  <c r="E300" i="814"/>
  <c r="G295" i="814"/>
  <c r="E291" i="814"/>
  <c r="D309" i="814"/>
  <c r="F305" i="814"/>
  <c r="D300" i="814"/>
  <c r="F295" i="814"/>
  <c r="D291" i="814"/>
  <c r="I304" i="814"/>
  <c r="F307" i="814"/>
  <c r="H301" i="814"/>
  <c r="F297" i="814"/>
  <c r="H292" i="814"/>
  <c r="E297" i="814"/>
  <c r="I305" i="814"/>
  <c r="D301" i="814"/>
  <c r="H295" i="814"/>
  <c r="D292" i="814"/>
  <c r="H299" i="814"/>
  <c r="G293" i="814"/>
  <c r="F308" i="814"/>
  <c r="I307" i="814"/>
  <c r="H304" i="814"/>
  <c r="G302" i="814"/>
  <c r="E299" i="814"/>
  <c r="D299" i="814"/>
  <c r="G298" i="814"/>
  <c r="H294" i="814"/>
  <c r="F293" i="814"/>
  <c r="E308" i="814"/>
  <c r="D308" i="814"/>
  <c r="I302" i="814"/>
  <c r="H302" i="814"/>
  <c r="F299" i="814"/>
  <c r="E293" i="814"/>
  <c r="I133" i="814"/>
  <c r="E317" i="814"/>
  <c r="E396" i="814" s="1"/>
  <c r="J137" i="814"/>
  <c r="J136" i="814"/>
  <c r="J319" i="814"/>
  <c r="E390" i="814"/>
  <c r="E411" i="814" s="1"/>
  <c r="F220" i="814"/>
  <c r="J134" i="814"/>
  <c r="J39" i="814"/>
  <c r="E133" i="814"/>
  <c r="H390" i="814"/>
  <c r="H411" i="814" s="1"/>
  <c r="J40" i="814"/>
  <c r="J221" i="814"/>
  <c r="J432" i="814" s="1"/>
  <c r="E30" i="814"/>
  <c r="I438" i="814"/>
  <c r="I418" i="814" s="1"/>
  <c r="G220" i="814"/>
  <c r="J135" i="814"/>
  <c r="D220" i="814"/>
  <c r="H220" i="814"/>
  <c r="F317" i="814"/>
  <c r="F437" i="814" s="1"/>
  <c r="G390" i="814"/>
  <c r="G411" i="814" s="1"/>
  <c r="J316" i="814"/>
  <c r="J397" i="814" s="1"/>
  <c r="E398" i="814"/>
  <c r="H317" i="814"/>
  <c r="H396" i="814" s="1"/>
  <c r="G133" i="814"/>
  <c r="E220" i="814"/>
  <c r="J32" i="814"/>
  <c r="D390" i="814"/>
  <c r="D411" i="814" s="1"/>
  <c r="N22" i="66"/>
  <c r="G17" i="743"/>
  <c r="F390" i="814"/>
  <c r="F411" i="814" s="1"/>
  <c r="H398" i="814"/>
  <c r="J127" i="814"/>
  <c r="F393" i="814"/>
  <c r="F414" i="814" s="1"/>
  <c r="J320" i="814"/>
  <c r="J398" i="814" s="1"/>
  <c r="I125" i="814"/>
  <c r="F439" i="814"/>
  <c r="F398" i="814"/>
  <c r="H434" i="814"/>
  <c r="H414" i="814" s="1"/>
  <c r="I317" i="814"/>
  <c r="I437" i="814" s="1"/>
  <c r="I398" i="814"/>
  <c r="J222" i="814"/>
  <c r="J431" i="814" s="1"/>
  <c r="I220" i="814"/>
  <c r="I390" i="814"/>
  <c r="I411" i="814" s="1"/>
  <c r="H161" i="814"/>
  <c r="J54" i="814"/>
  <c r="G393" i="814"/>
  <c r="G414" i="814" s="1"/>
  <c r="J146" i="814"/>
  <c r="D144" i="814"/>
  <c r="H49" i="814"/>
  <c r="J149" i="814"/>
  <c r="D49" i="814"/>
  <c r="G225" i="814"/>
  <c r="G430" i="814" s="1"/>
  <c r="H144" i="814"/>
  <c r="E393" i="814"/>
  <c r="E414" i="814" s="1"/>
  <c r="I434" i="814"/>
  <c r="I414" i="814" s="1"/>
  <c r="F49" i="814"/>
  <c r="J235" i="814"/>
  <c r="J428" i="814" s="1"/>
  <c r="J334" i="814"/>
  <c r="J434" i="814" s="1"/>
  <c r="J150" i="814"/>
  <c r="I144" i="814"/>
  <c r="F151" i="814"/>
  <c r="J55" i="814"/>
  <c r="J147" i="814"/>
  <c r="J148" i="814"/>
  <c r="G66" i="814"/>
  <c r="J51" i="814"/>
  <c r="E144" i="814"/>
  <c r="J53" i="814"/>
  <c r="G144" i="814"/>
  <c r="E225" i="814"/>
  <c r="E430" i="814" s="1"/>
  <c r="D66" i="814"/>
  <c r="J145" i="814"/>
  <c r="E49" i="814"/>
  <c r="J50" i="814"/>
  <c r="J52" i="814"/>
  <c r="G49" i="814"/>
  <c r="F144" i="814"/>
  <c r="H61" i="814"/>
  <c r="H225" i="814"/>
  <c r="H430" i="814" s="1"/>
  <c r="I49" i="814"/>
  <c r="J318" i="814"/>
  <c r="J165" i="814"/>
  <c r="D225" i="814"/>
  <c r="D430" i="814" s="1"/>
  <c r="G161" i="814"/>
  <c r="F322" i="814"/>
  <c r="F436" i="814" s="1"/>
  <c r="D161" i="814"/>
  <c r="F225" i="814"/>
  <c r="F430" i="814" s="1"/>
  <c r="E161" i="814"/>
  <c r="I225" i="814"/>
  <c r="I430" i="814" s="1"/>
  <c r="I151" i="814"/>
  <c r="J67" i="814"/>
  <c r="H322" i="814"/>
  <c r="H436" i="814" s="1"/>
  <c r="M20" i="66"/>
  <c r="F56" i="814"/>
  <c r="H327" i="814"/>
  <c r="H435" i="814" s="1"/>
  <c r="J230" i="814"/>
  <c r="M17" i="66"/>
  <c r="M10" i="66"/>
  <c r="I161" i="814"/>
  <c r="G322" i="814"/>
  <c r="G395" i="814" s="1"/>
  <c r="H56" i="814"/>
  <c r="J155" i="814"/>
  <c r="M30" i="66"/>
  <c r="M32" i="66"/>
  <c r="J162" i="814"/>
  <c r="J68" i="814"/>
  <c r="J325" i="814"/>
  <c r="J69" i="814"/>
  <c r="M26" i="66"/>
  <c r="I228" i="814"/>
  <c r="I429" i="814" s="1"/>
  <c r="J330" i="814"/>
  <c r="F66" i="814"/>
  <c r="J164" i="814"/>
  <c r="J70" i="814"/>
  <c r="E391" i="814"/>
  <c r="E412" i="814" s="1"/>
  <c r="J163" i="814"/>
  <c r="E66" i="814"/>
  <c r="F161" i="814"/>
  <c r="J226" i="814"/>
  <c r="M14" i="66"/>
  <c r="D228" i="814"/>
  <c r="H66" i="814"/>
  <c r="G61" i="814"/>
  <c r="M18" i="66"/>
  <c r="M23" i="66"/>
  <c r="M8" i="66"/>
  <c r="I66" i="814"/>
  <c r="J329" i="814"/>
  <c r="J65" i="814"/>
  <c r="J62" i="814"/>
  <c r="J331" i="814"/>
  <c r="J231" i="814"/>
  <c r="J229" i="814"/>
  <c r="M15" i="66"/>
  <c r="E228" i="814"/>
  <c r="E429" i="814" s="1"/>
  <c r="D156" i="814"/>
  <c r="H151" i="814"/>
  <c r="D262" i="814"/>
  <c r="D426" i="814" s="1"/>
  <c r="J64" i="814"/>
  <c r="E322" i="814"/>
  <c r="E395" i="814" s="1"/>
  <c r="J154" i="814"/>
  <c r="J63" i="814"/>
  <c r="G151" i="814"/>
  <c r="H156" i="814"/>
  <c r="E262" i="814"/>
  <c r="E426" i="814" s="1"/>
  <c r="E327" i="814"/>
  <c r="I61" i="814"/>
  <c r="G156" i="814"/>
  <c r="E56" i="814"/>
  <c r="J268" i="814"/>
  <c r="J153" i="814"/>
  <c r="J152" i="814"/>
  <c r="J159" i="814"/>
  <c r="J266" i="814"/>
  <c r="J227" i="814"/>
  <c r="F262" i="814"/>
  <c r="F426" i="814" s="1"/>
  <c r="J332" i="814"/>
  <c r="J267" i="814"/>
  <c r="E156" i="814"/>
  <c r="G327" i="814"/>
  <c r="J264" i="814"/>
  <c r="E61" i="814"/>
  <c r="I56" i="814"/>
  <c r="J265" i="814"/>
  <c r="F61" i="814"/>
  <c r="G262" i="814"/>
  <c r="G426" i="814" s="1"/>
  <c r="J326" i="814"/>
  <c r="H262" i="814"/>
  <c r="H426" i="814" s="1"/>
  <c r="J60" i="814"/>
  <c r="I327" i="814"/>
  <c r="I394" i="814" s="1"/>
  <c r="H228" i="814"/>
  <c r="H429" i="814" s="1"/>
  <c r="M7" i="66"/>
  <c r="I156" i="814"/>
  <c r="D56" i="814"/>
  <c r="F228" i="814"/>
  <c r="F327" i="814"/>
  <c r="I322" i="814"/>
  <c r="I395" i="814" s="1"/>
  <c r="J232" i="814"/>
  <c r="F156" i="814"/>
  <c r="G228" i="814"/>
  <c r="G429" i="814" s="1"/>
  <c r="M19" i="66"/>
  <c r="D151" i="814"/>
  <c r="M33" i="66"/>
  <c r="M13" i="66"/>
  <c r="J59" i="814"/>
  <c r="J57" i="814"/>
  <c r="G56" i="814"/>
  <c r="D322" i="814"/>
  <c r="D395" i="814" s="1"/>
  <c r="J158" i="814"/>
  <c r="I262" i="814"/>
  <c r="I426" i="814" s="1"/>
  <c r="J263" i="814"/>
  <c r="J160" i="814"/>
  <c r="J328" i="814"/>
  <c r="J157" i="814"/>
  <c r="D327" i="814"/>
  <c r="D394" i="814" s="1"/>
  <c r="J324" i="814"/>
  <c r="D61" i="814"/>
  <c r="M31" i="66"/>
  <c r="J323" i="814"/>
  <c r="M25" i="66"/>
  <c r="J58" i="814"/>
  <c r="M9" i="66"/>
  <c r="M12" i="66"/>
  <c r="M29" i="66"/>
  <c r="M34" i="66"/>
  <c r="E151" i="814"/>
  <c r="M24" i="66"/>
  <c r="F140" i="814"/>
  <c r="H130" i="814"/>
  <c r="I391" i="814"/>
  <c r="I412" i="814" s="1"/>
  <c r="D140" i="814"/>
  <c r="H391" i="814"/>
  <c r="H412" i="814" s="1"/>
  <c r="E140" i="814"/>
  <c r="E387" i="814" s="1"/>
  <c r="E408" i="814" s="1"/>
  <c r="F391" i="814"/>
  <c r="F412" i="814" s="1"/>
  <c r="H140" i="814"/>
  <c r="G140" i="814"/>
  <c r="E130" i="814"/>
  <c r="F130" i="814"/>
  <c r="I61" i="815"/>
  <c r="H246" i="814"/>
  <c r="J258" i="814"/>
  <c r="G246" i="814"/>
  <c r="I256" i="814"/>
  <c r="J242" i="814"/>
  <c r="J255" i="814"/>
  <c r="E256" i="814"/>
  <c r="H251" i="814"/>
  <c r="I140" i="814"/>
  <c r="I387" i="814" s="1"/>
  <c r="I408" i="814" s="1"/>
  <c r="J169" i="814"/>
  <c r="J65" i="815"/>
  <c r="J142" i="814"/>
  <c r="J253" i="814"/>
  <c r="J171" i="814"/>
  <c r="G167" i="814"/>
  <c r="F167" i="814"/>
  <c r="J143" i="814"/>
  <c r="J141" i="814"/>
  <c r="E167" i="814"/>
  <c r="F251" i="814"/>
  <c r="D130" i="814"/>
  <c r="J131" i="814"/>
  <c r="H127" i="815"/>
  <c r="G127" i="815"/>
  <c r="F127" i="815"/>
  <c r="G32" i="815"/>
  <c r="E127" i="815"/>
  <c r="F32" i="815"/>
  <c r="E32" i="815"/>
  <c r="D127" i="815"/>
  <c r="I32" i="815"/>
  <c r="H32" i="815"/>
  <c r="I127" i="815"/>
  <c r="D32" i="815"/>
  <c r="E61" i="815"/>
  <c r="J160" i="815"/>
  <c r="J168" i="814"/>
  <c r="D256" i="814"/>
  <c r="J257" i="814"/>
  <c r="D239" i="814"/>
  <c r="J240" i="814"/>
  <c r="E246" i="814"/>
  <c r="I130" i="814"/>
  <c r="J173" i="814"/>
  <c r="H235" i="815"/>
  <c r="G235" i="815"/>
  <c r="D235" i="815"/>
  <c r="I334" i="815"/>
  <c r="E334" i="815"/>
  <c r="E235" i="815"/>
  <c r="G334" i="815"/>
  <c r="H334" i="815"/>
  <c r="F334" i="815"/>
  <c r="I235" i="815"/>
  <c r="D334" i="815"/>
  <c r="F235" i="815"/>
  <c r="F428" i="815" s="1"/>
  <c r="D167" i="814"/>
  <c r="E316" i="815"/>
  <c r="I221" i="815"/>
  <c r="G221" i="815"/>
  <c r="H316" i="815"/>
  <c r="E221" i="815"/>
  <c r="F221" i="815"/>
  <c r="G316" i="815"/>
  <c r="I316" i="815"/>
  <c r="D221" i="815"/>
  <c r="D316" i="815"/>
  <c r="H221" i="815"/>
  <c r="F316" i="815"/>
  <c r="H147" i="815"/>
  <c r="E54" i="815"/>
  <c r="F50" i="815"/>
  <c r="G54" i="815"/>
  <c r="F54" i="815"/>
  <c r="I54" i="815"/>
  <c r="H149" i="815"/>
  <c r="G149" i="815"/>
  <c r="I148" i="815"/>
  <c r="I147" i="815"/>
  <c r="I149" i="815"/>
  <c r="F55" i="815"/>
  <c r="G150" i="815"/>
  <c r="D147" i="815"/>
  <c r="E148" i="815"/>
  <c r="E53" i="815"/>
  <c r="D54" i="815"/>
  <c r="I55" i="815"/>
  <c r="G145" i="815"/>
  <c r="E147" i="815"/>
  <c r="G53" i="815"/>
  <c r="H52" i="815"/>
  <c r="H51" i="815"/>
  <c r="D146" i="815"/>
  <c r="H53" i="815"/>
  <c r="I150" i="815"/>
  <c r="G51" i="815"/>
  <c r="D53" i="815"/>
  <c r="D150" i="815"/>
  <c r="D148" i="815"/>
  <c r="F51" i="815"/>
  <c r="D50" i="815"/>
  <c r="G50" i="815"/>
  <c r="F147" i="815"/>
  <c r="G146" i="815"/>
  <c r="F145" i="815"/>
  <c r="E50" i="815"/>
  <c r="G52" i="815"/>
  <c r="G55" i="815"/>
  <c r="E51" i="815"/>
  <c r="G148" i="815"/>
  <c r="I52" i="815"/>
  <c r="E149" i="815"/>
  <c r="H148" i="815"/>
  <c r="E150" i="815"/>
  <c r="I50" i="815"/>
  <c r="D51" i="815"/>
  <c r="E145" i="815"/>
  <c r="I51" i="815"/>
  <c r="I53" i="815"/>
  <c r="E146" i="815"/>
  <c r="G147" i="815"/>
  <c r="F53" i="815"/>
  <c r="D55" i="815"/>
  <c r="F52" i="815"/>
  <c r="F148" i="815"/>
  <c r="H146" i="815"/>
  <c r="D145" i="815"/>
  <c r="H50" i="815"/>
  <c r="H145" i="815"/>
  <c r="D149" i="815"/>
  <c r="E55" i="815"/>
  <c r="F150" i="815"/>
  <c r="E52" i="815"/>
  <c r="H150" i="815"/>
  <c r="F146" i="815"/>
  <c r="H55" i="815"/>
  <c r="D52" i="815"/>
  <c r="I146" i="815"/>
  <c r="H54" i="815"/>
  <c r="F149" i="815"/>
  <c r="I145" i="815"/>
  <c r="H284" i="815"/>
  <c r="E277" i="815"/>
  <c r="F284" i="815"/>
  <c r="D277" i="815"/>
  <c r="I283" i="815"/>
  <c r="E276" i="815"/>
  <c r="G283" i="815"/>
  <c r="I274" i="815"/>
  <c r="E283" i="815"/>
  <c r="H274" i="815"/>
  <c r="E285" i="815"/>
  <c r="D272" i="815"/>
  <c r="D285" i="815"/>
  <c r="I271" i="815"/>
  <c r="F281" i="815"/>
  <c r="H271" i="815"/>
  <c r="I280" i="815"/>
  <c r="G271" i="815"/>
  <c r="H280" i="815"/>
  <c r="E279" i="815"/>
  <c r="G280" i="815"/>
  <c r="F280" i="815"/>
  <c r="D280" i="815"/>
  <c r="G274" i="815"/>
  <c r="D270" i="815"/>
  <c r="D288" i="815"/>
  <c r="G287" i="815"/>
  <c r="G286" i="815"/>
  <c r="D279" i="815"/>
  <c r="G272" i="815"/>
  <c r="F272" i="815"/>
  <c r="F271" i="815"/>
  <c r="I287" i="815"/>
  <c r="H287" i="815"/>
  <c r="I278" i="815"/>
  <c r="H278" i="815"/>
  <c r="I277" i="815"/>
  <c r="F273" i="815"/>
  <c r="H283" i="815"/>
  <c r="H276" i="815"/>
  <c r="E287" i="815"/>
  <c r="D271" i="815"/>
  <c r="D281" i="815"/>
  <c r="H273" i="815"/>
  <c r="H286" i="815"/>
  <c r="G278" i="815"/>
  <c r="G288" i="815"/>
  <c r="F270" i="815"/>
  <c r="F286" i="815"/>
  <c r="E274" i="815"/>
  <c r="F279" i="815"/>
  <c r="F278" i="815"/>
  <c r="E280" i="815"/>
  <c r="E270" i="815"/>
  <c r="D278" i="815"/>
  <c r="D287" i="815"/>
  <c r="D284" i="815"/>
  <c r="G276" i="815"/>
  <c r="D283" i="815"/>
  <c r="F276" i="815"/>
  <c r="I284" i="815"/>
  <c r="G281" i="815"/>
  <c r="G273" i="815"/>
  <c r="H288" i="815"/>
  <c r="G277" i="815"/>
  <c r="G284" i="815"/>
  <c r="E273" i="815"/>
  <c r="G285" i="815"/>
  <c r="E278" i="815"/>
  <c r="I281" i="815"/>
  <c r="H277" i="815"/>
  <c r="G270" i="815"/>
  <c r="G279" i="815"/>
  <c r="E272" i="815"/>
  <c r="D273" i="815"/>
  <c r="I285" i="815"/>
  <c r="I270" i="815"/>
  <c r="I279" i="815"/>
  <c r="F274" i="815"/>
  <c r="H272" i="815"/>
  <c r="E271" i="815"/>
  <c r="D274" i="815"/>
  <c r="I273" i="815"/>
  <c r="D286" i="815"/>
  <c r="H285" i="815"/>
  <c r="I272" i="815"/>
  <c r="I286" i="815"/>
  <c r="D276" i="815"/>
  <c r="E284" i="815"/>
  <c r="E286" i="815"/>
  <c r="H279" i="815"/>
  <c r="F277" i="815"/>
  <c r="I276" i="815"/>
  <c r="H270" i="815"/>
  <c r="F288" i="815"/>
  <c r="E288" i="815"/>
  <c r="F285" i="815"/>
  <c r="F283" i="815"/>
  <c r="F287" i="815"/>
  <c r="I288" i="815"/>
  <c r="E281" i="815"/>
  <c r="H281" i="815"/>
  <c r="J244" i="814"/>
  <c r="D125" i="814"/>
  <c r="J126" i="814"/>
  <c r="D391" i="814"/>
  <c r="D412" i="814" s="1"/>
  <c r="H167" i="814"/>
  <c r="D315" i="814"/>
  <c r="D396" i="814"/>
  <c r="D437" i="814"/>
  <c r="J252" i="814"/>
  <c r="G256" i="814"/>
  <c r="I335" i="814"/>
  <c r="J63" i="815"/>
  <c r="E156" i="815"/>
  <c r="J250" i="814"/>
  <c r="J243" i="814"/>
  <c r="H330" i="815"/>
  <c r="E328" i="815"/>
  <c r="D328" i="815"/>
  <c r="I230" i="815"/>
  <c r="I330" i="815"/>
  <c r="F230" i="815"/>
  <c r="F332" i="815"/>
  <c r="F231" i="815"/>
  <c r="E329" i="815"/>
  <c r="D330" i="815"/>
  <c r="G331" i="815"/>
  <c r="E231" i="815"/>
  <c r="I232" i="815"/>
  <c r="H328" i="815"/>
  <c r="E232" i="815"/>
  <c r="G328" i="815"/>
  <c r="D329" i="815"/>
  <c r="F328" i="815"/>
  <c r="D231" i="815"/>
  <c r="E229" i="815"/>
  <c r="I229" i="815"/>
  <c r="G230" i="815"/>
  <c r="E331" i="815"/>
  <c r="D230" i="815"/>
  <c r="D332" i="815"/>
  <c r="G329" i="815"/>
  <c r="H231" i="815"/>
  <c r="D331" i="815"/>
  <c r="F229" i="815"/>
  <c r="G229" i="815"/>
  <c r="H232" i="815"/>
  <c r="I331" i="815"/>
  <c r="H331" i="815"/>
  <c r="I328" i="815"/>
  <c r="F331" i="815"/>
  <c r="D229" i="815"/>
  <c r="F232" i="815"/>
  <c r="H229" i="815"/>
  <c r="F330" i="815"/>
  <c r="E332" i="815"/>
  <c r="H332" i="815"/>
  <c r="I329" i="815"/>
  <c r="E230" i="815"/>
  <c r="E330" i="815"/>
  <c r="G330" i="815"/>
  <c r="G332" i="815"/>
  <c r="I231" i="815"/>
  <c r="H329" i="815"/>
  <c r="F329" i="815"/>
  <c r="G231" i="815"/>
  <c r="D232" i="815"/>
  <c r="G232" i="815"/>
  <c r="I332" i="815"/>
  <c r="H230" i="815"/>
  <c r="D246" i="814"/>
  <c r="J247" i="814"/>
  <c r="D249" i="815"/>
  <c r="F249" i="815"/>
  <c r="E249" i="815"/>
  <c r="E240" i="815"/>
  <c r="F336" i="815"/>
  <c r="G254" i="815"/>
  <c r="I253" i="815"/>
  <c r="I250" i="815"/>
  <c r="I241" i="815"/>
  <c r="D260" i="815"/>
  <c r="E336" i="815"/>
  <c r="H253" i="815"/>
  <c r="F257" i="815"/>
  <c r="G340" i="815"/>
  <c r="I337" i="815"/>
  <c r="I240" i="815"/>
  <c r="H242" i="815"/>
  <c r="I260" i="815"/>
  <c r="G259" i="815"/>
  <c r="G243" i="815"/>
  <c r="G258" i="815"/>
  <c r="D255" i="815"/>
  <c r="H260" i="815"/>
  <c r="D259" i="815"/>
  <c r="E340" i="815"/>
  <c r="I338" i="815"/>
  <c r="I247" i="815"/>
  <c r="G240" i="815"/>
  <c r="I252" i="815"/>
  <c r="D258" i="815"/>
  <c r="F253" i="815"/>
  <c r="E337" i="815"/>
  <c r="E257" i="815"/>
  <c r="D243" i="815"/>
  <c r="G250" i="815"/>
  <c r="F242" i="815"/>
  <c r="E253" i="815"/>
  <c r="G257" i="815"/>
  <c r="E338" i="815"/>
  <c r="G242" i="815"/>
  <c r="F241" i="815"/>
  <c r="F337" i="815"/>
  <c r="G245" i="815"/>
  <c r="E255" i="815"/>
  <c r="E245" i="815"/>
  <c r="H255" i="815"/>
  <c r="E248" i="815"/>
  <c r="D340" i="815"/>
  <c r="D244" i="815"/>
  <c r="F254" i="815"/>
  <c r="D338" i="815"/>
  <c r="E254" i="815"/>
  <c r="D337" i="815"/>
  <c r="H243" i="815"/>
  <c r="G337" i="815"/>
  <c r="F340" i="815"/>
  <c r="H248" i="815"/>
  <c r="I244" i="815"/>
  <c r="E260" i="815"/>
  <c r="I242" i="815"/>
  <c r="I254" i="815"/>
  <c r="E247" i="815"/>
  <c r="G260" i="815"/>
  <c r="G255" i="815"/>
  <c r="H250" i="815"/>
  <c r="F339" i="815"/>
  <c r="H339" i="815"/>
  <c r="G252" i="815"/>
  <c r="E244" i="815"/>
  <c r="G253" i="815"/>
  <c r="E250" i="815"/>
  <c r="I248" i="815"/>
  <c r="H245" i="815"/>
  <c r="H340" i="815"/>
  <c r="E242" i="815"/>
  <c r="H254" i="815"/>
  <c r="H337" i="815"/>
  <c r="D240" i="815"/>
  <c r="F248" i="815"/>
  <c r="H241" i="815"/>
  <c r="I258" i="815"/>
  <c r="H338" i="815"/>
  <c r="I336" i="815"/>
  <c r="F252" i="815"/>
  <c r="D245" i="815"/>
  <c r="I257" i="815"/>
  <c r="F247" i="815"/>
  <c r="I339" i="815"/>
  <c r="G248" i="815"/>
  <c r="I245" i="815"/>
  <c r="E241" i="815"/>
  <c r="H244" i="815"/>
  <c r="E258" i="815"/>
  <c r="F243" i="815"/>
  <c r="D241" i="815"/>
  <c r="D254" i="815"/>
  <c r="D253" i="815"/>
  <c r="I259" i="815"/>
  <c r="D250" i="815"/>
  <c r="I249" i="815"/>
  <c r="E259" i="815"/>
  <c r="D247" i="815"/>
  <c r="E243" i="815"/>
  <c r="D252" i="815"/>
  <c r="I255" i="815"/>
  <c r="F258" i="815"/>
  <c r="H252" i="815"/>
  <c r="H336" i="815"/>
  <c r="D339" i="815"/>
  <c r="D257" i="815"/>
  <c r="G247" i="815"/>
  <c r="E252" i="815"/>
  <c r="F338" i="815"/>
  <c r="G244" i="815"/>
  <c r="D242" i="815"/>
  <c r="F240" i="815"/>
  <c r="G249" i="815"/>
  <c r="I243" i="815"/>
  <c r="D336" i="815"/>
  <c r="F244" i="815"/>
  <c r="G338" i="815"/>
  <c r="F245" i="815"/>
  <c r="I340" i="815"/>
  <c r="G339" i="815"/>
  <c r="F250" i="815"/>
  <c r="G241" i="815"/>
  <c r="H258" i="815"/>
  <c r="H247" i="815"/>
  <c r="G336" i="815"/>
  <c r="E339" i="815"/>
  <c r="H259" i="815"/>
  <c r="H240" i="815"/>
  <c r="F259" i="815"/>
  <c r="H257" i="815"/>
  <c r="F255" i="815"/>
  <c r="F260" i="815"/>
  <c r="H249" i="815"/>
  <c r="D248" i="815"/>
  <c r="H256" i="814"/>
  <c r="G136" i="815"/>
  <c r="E40" i="815"/>
  <c r="F136" i="815"/>
  <c r="D40" i="815"/>
  <c r="E136" i="815"/>
  <c r="I42" i="815"/>
  <c r="I39" i="815"/>
  <c r="I135" i="815"/>
  <c r="H42" i="815"/>
  <c r="H39" i="815"/>
  <c r="H135" i="815"/>
  <c r="G42" i="815"/>
  <c r="G39" i="815"/>
  <c r="E135" i="815"/>
  <c r="I40" i="815"/>
  <c r="E134" i="815"/>
  <c r="I134" i="815"/>
  <c r="H40" i="815"/>
  <c r="H134" i="815"/>
  <c r="G40" i="815"/>
  <c r="F40" i="815"/>
  <c r="I136" i="815"/>
  <c r="F42" i="815"/>
  <c r="G135" i="815"/>
  <c r="F135" i="815"/>
  <c r="D134" i="815"/>
  <c r="I137" i="815"/>
  <c r="F137" i="815"/>
  <c r="I41" i="815"/>
  <c r="E137" i="815"/>
  <c r="H41" i="815"/>
  <c r="G41" i="815"/>
  <c r="F39" i="815"/>
  <c r="F41" i="815"/>
  <c r="G137" i="815"/>
  <c r="E42" i="815"/>
  <c r="D42" i="815"/>
  <c r="E39" i="815"/>
  <c r="D39" i="815"/>
  <c r="G134" i="815"/>
  <c r="H136" i="815"/>
  <c r="E41" i="815"/>
  <c r="H137" i="815"/>
  <c r="D137" i="815"/>
  <c r="F134" i="815"/>
  <c r="D136" i="815"/>
  <c r="D135" i="815"/>
  <c r="D41" i="815"/>
  <c r="H156" i="815"/>
  <c r="H335" i="814"/>
  <c r="D251" i="814"/>
  <c r="J254" i="814"/>
  <c r="F239" i="814"/>
  <c r="J158" i="815"/>
  <c r="J35" i="814"/>
  <c r="J259" i="814"/>
  <c r="I167" i="814"/>
  <c r="F61" i="815"/>
  <c r="F156" i="815"/>
  <c r="I318" i="815"/>
  <c r="G318" i="815"/>
  <c r="E319" i="815"/>
  <c r="I319" i="815"/>
  <c r="G319" i="815"/>
  <c r="F320" i="815"/>
  <c r="E320" i="815"/>
  <c r="D319" i="815"/>
  <c r="D320" i="815"/>
  <c r="D222" i="815"/>
  <c r="E318" i="815"/>
  <c r="H318" i="815"/>
  <c r="H222" i="815"/>
  <c r="H431" i="815" s="1"/>
  <c r="H320" i="815"/>
  <c r="F222" i="815"/>
  <c r="F431" i="815" s="1"/>
  <c r="F318" i="815"/>
  <c r="I222" i="815"/>
  <c r="I431" i="815" s="1"/>
  <c r="D318" i="815"/>
  <c r="I320" i="815"/>
  <c r="G222" i="815"/>
  <c r="G431" i="815" s="1"/>
  <c r="G320" i="815"/>
  <c r="H319" i="815"/>
  <c r="F319" i="815"/>
  <c r="E222" i="815"/>
  <c r="E431" i="815" s="1"/>
  <c r="D154" i="815"/>
  <c r="G155" i="815"/>
  <c r="D155" i="815"/>
  <c r="D60" i="815"/>
  <c r="I59" i="815"/>
  <c r="H59" i="815"/>
  <c r="H154" i="815"/>
  <c r="G59" i="815"/>
  <c r="E59" i="815"/>
  <c r="F59" i="815"/>
  <c r="G154" i="815"/>
  <c r="F154" i="815"/>
  <c r="E60" i="815"/>
  <c r="D153" i="815"/>
  <c r="F57" i="815"/>
  <c r="I60" i="815"/>
  <c r="H153" i="815"/>
  <c r="D57" i="815"/>
  <c r="E153" i="815"/>
  <c r="E57" i="815"/>
  <c r="E154" i="815"/>
  <c r="F155" i="815"/>
  <c r="G58" i="815"/>
  <c r="G60" i="815"/>
  <c r="H155" i="815"/>
  <c r="H152" i="815"/>
  <c r="G153" i="815"/>
  <c r="E152" i="815"/>
  <c r="I155" i="815"/>
  <c r="F152" i="815"/>
  <c r="I58" i="815"/>
  <c r="H57" i="815"/>
  <c r="I153" i="815"/>
  <c r="G57" i="815"/>
  <c r="E58" i="815"/>
  <c r="H58" i="815"/>
  <c r="F58" i="815"/>
  <c r="G152" i="815"/>
  <c r="F60" i="815"/>
  <c r="D152" i="815"/>
  <c r="F153" i="815"/>
  <c r="I152" i="815"/>
  <c r="I57" i="815"/>
  <c r="H60" i="815"/>
  <c r="E155" i="815"/>
  <c r="D59" i="815"/>
  <c r="D58" i="815"/>
  <c r="I154" i="815"/>
  <c r="J340" i="814"/>
  <c r="E239" i="814"/>
  <c r="J260" i="814"/>
  <c r="F246" i="814"/>
  <c r="J132" i="814"/>
  <c r="G156" i="815"/>
  <c r="J249" i="814"/>
  <c r="J241" i="814"/>
  <c r="I239" i="814"/>
  <c r="J338" i="814"/>
  <c r="I164" i="815"/>
  <c r="F164" i="815"/>
  <c r="E164" i="815"/>
  <c r="H162" i="815"/>
  <c r="E67" i="815"/>
  <c r="E68" i="815"/>
  <c r="D164" i="815"/>
  <c r="F69" i="815"/>
  <c r="I165" i="815"/>
  <c r="D68" i="815"/>
  <c r="H164" i="815"/>
  <c r="D163" i="815"/>
  <c r="F163" i="815"/>
  <c r="D69" i="815"/>
  <c r="E69" i="815"/>
  <c r="G164" i="815"/>
  <c r="E70" i="815"/>
  <c r="G162" i="815"/>
  <c r="H70" i="815"/>
  <c r="I68" i="815"/>
  <c r="E163" i="815"/>
  <c r="H165" i="815"/>
  <c r="F67" i="815"/>
  <c r="H67" i="815"/>
  <c r="G67" i="815"/>
  <c r="H68" i="815"/>
  <c r="H163" i="815"/>
  <c r="D67" i="815"/>
  <c r="I163" i="815"/>
  <c r="F162" i="815"/>
  <c r="D70" i="815"/>
  <c r="G70" i="815"/>
  <c r="G163" i="815"/>
  <c r="G165" i="815"/>
  <c r="D162" i="815"/>
  <c r="F68" i="815"/>
  <c r="E165" i="815"/>
  <c r="I70" i="815"/>
  <c r="D165" i="815"/>
  <c r="I162" i="815"/>
  <c r="E162" i="815"/>
  <c r="F70" i="815"/>
  <c r="I67" i="815"/>
  <c r="G68" i="815"/>
  <c r="F165" i="815"/>
  <c r="H69" i="815"/>
  <c r="G69" i="815"/>
  <c r="I69" i="815"/>
  <c r="J245" i="814"/>
  <c r="I246" i="814"/>
  <c r="E335" i="814"/>
  <c r="J248" i="814"/>
  <c r="F335" i="814"/>
  <c r="I156" i="815"/>
  <c r="I265" i="815"/>
  <c r="E263" i="815"/>
  <c r="G263" i="815"/>
  <c r="D268" i="815"/>
  <c r="G265" i="815"/>
  <c r="D263" i="815"/>
  <c r="D266" i="815"/>
  <c r="I263" i="815"/>
  <c r="E265" i="815"/>
  <c r="F265" i="815"/>
  <c r="H263" i="815"/>
  <c r="E267" i="815"/>
  <c r="I267" i="815"/>
  <c r="F263" i="815"/>
  <c r="G266" i="815"/>
  <c r="H266" i="815"/>
  <c r="G264" i="815"/>
  <c r="F266" i="815"/>
  <c r="H267" i="815"/>
  <c r="F268" i="815"/>
  <c r="D265" i="815"/>
  <c r="D264" i="815"/>
  <c r="E266" i="815"/>
  <c r="H265" i="815"/>
  <c r="E264" i="815"/>
  <c r="H264" i="815"/>
  <c r="G267" i="815"/>
  <c r="F267" i="815"/>
  <c r="D267" i="815"/>
  <c r="I268" i="815"/>
  <c r="I266" i="815"/>
  <c r="I264" i="815"/>
  <c r="G268" i="815"/>
  <c r="H268" i="815"/>
  <c r="F264" i="815"/>
  <c r="E268" i="815"/>
  <c r="G335" i="814"/>
  <c r="J336" i="814"/>
  <c r="D335" i="814"/>
  <c r="J172" i="814"/>
  <c r="G130" i="814"/>
  <c r="J64" i="815"/>
  <c r="H61" i="815"/>
  <c r="D156" i="815"/>
  <c r="J157" i="815"/>
  <c r="J159" i="815"/>
  <c r="D61" i="815"/>
  <c r="J62" i="815"/>
  <c r="H239" i="814"/>
  <c r="E251" i="814"/>
  <c r="J337" i="814"/>
  <c r="I251" i="814"/>
  <c r="F256" i="814"/>
  <c r="J170" i="814"/>
  <c r="G61" i="815"/>
  <c r="G251" i="814"/>
  <c r="G239" i="814"/>
  <c r="J339" i="814"/>
  <c r="I326" i="815"/>
  <c r="F323" i="815"/>
  <c r="I226" i="815"/>
  <c r="D325" i="815"/>
  <c r="D323" i="815"/>
  <c r="G226" i="815"/>
  <c r="F226" i="815"/>
  <c r="E226" i="815"/>
  <c r="D226" i="815"/>
  <c r="G323" i="815"/>
  <c r="G324" i="815"/>
  <c r="F326" i="815"/>
  <c r="E324" i="815"/>
  <c r="I323" i="815"/>
  <c r="E227" i="815"/>
  <c r="H323" i="815"/>
  <c r="H326" i="815"/>
  <c r="I227" i="815"/>
  <c r="D326" i="815"/>
  <c r="H324" i="815"/>
  <c r="F324" i="815"/>
  <c r="F227" i="815"/>
  <c r="G326" i="815"/>
  <c r="E326" i="815"/>
  <c r="E325" i="815"/>
  <c r="G325" i="815"/>
  <c r="E323" i="815"/>
  <c r="I324" i="815"/>
  <c r="I325" i="815"/>
  <c r="H325" i="815"/>
  <c r="H227" i="815"/>
  <c r="G227" i="815"/>
  <c r="D227" i="815"/>
  <c r="F325" i="815"/>
  <c r="D324" i="815"/>
  <c r="H226" i="815"/>
  <c r="G250" i="743"/>
  <c r="G75" i="743"/>
  <c r="G43" i="743"/>
  <c r="F85" i="743"/>
  <c r="F53" i="743"/>
  <c r="F297" i="743"/>
  <c r="E22" i="606"/>
  <c r="F49" i="743"/>
  <c r="D27" i="39"/>
  <c r="D32" i="39" s="1"/>
  <c r="K86" i="70"/>
  <c r="K87" i="70" s="1"/>
  <c r="H25" i="743" l="1"/>
  <c r="G35" i="743"/>
  <c r="G387" i="814"/>
  <c r="G408" i="814" s="1"/>
  <c r="F387" i="814"/>
  <c r="F408" i="814" s="1"/>
  <c r="J45" i="814"/>
  <c r="H387" i="814"/>
  <c r="H408" i="814" s="1"/>
  <c r="J30" i="814"/>
  <c r="D387" i="814"/>
  <c r="D408" i="814" s="1"/>
  <c r="J72" i="814"/>
  <c r="K119" i="66"/>
  <c r="L124" i="66"/>
  <c r="K120" i="66"/>
  <c r="K113" i="66"/>
  <c r="W97" i="825"/>
  <c r="K40" i="66"/>
  <c r="K126" i="66"/>
  <c r="K111" i="66"/>
  <c r="K121" i="66"/>
  <c r="K44" i="66"/>
  <c r="K114" i="66"/>
  <c r="K37" i="66"/>
  <c r="K125" i="66"/>
  <c r="K118" i="66"/>
  <c r="K127" i="66"/>
  <c r="K106" i="66"/>
  <c r="L123" i="66"/>
  <c r="K42" i="66"/>
  <c r="K104" i="66"/>
  <c r="K103" i="66"/>
  <c r="K108" i="66"/>
  <c r="K39" i="66"/>
  <c r="K105" i="66"/>
  <c r="L122" i="66"/>
  <c r="K115" i="66"/>
  <c r="K116" i="66"/>
  <c r="J187" i="814"/>
  <c r="J92" i="814"/>
  <c r="J208" i="814"/>
  <c r="J174" i="814"/>
  <c r="J201" i="814"/>
  <c r="J79" i="814"/>
  <c r="J113" i="814"/>
  <c r="J195" i="814"/>
  <c r="J180" i="814"/>
  <c r="J100" i="814"/>
  <c r="J106" i="814"/>
  <c r="J85" i="814"/>
  <c r="G437" i="814"/>
  <c r="G417" i="814" s="1"/>
  <c r="G315" i="814"/>
  <c r="N120" i="66"/>
  <c r="G282" i="814"/>
  <c r="G425" i="814" s="1"/>
  <c r="J300" i="814"/>
  <c r="J273" i="814"/>
  <c r="J285" i="814"/>
  <c r="J272" i="814"/>
  <c r="I282" i="814"/>
  <c r="I425" i="814" s="1"/>
  <c r="J277" i="814"/>
  <c r="J439" i="814"/>
  <c r="H275" i="814"/>
  <c r="H424" i="814" s="1"/>
  <c r="J288" i="814"/>
  <c r="I269" i="814"/>
  <c r="I423" i="814" s="1"/>
  <c r="E275" i="814"/>
  <c r="E424" i="814" s="1"/>
  <c r="D282" i="814"/>
  <c r="D384" i="814" s="1"/>
  <c r="J38" i="814"/>
  <c r="J278" i="814"/>
  <c r="G303" i="814"/>
  <c r="J293" i="814"/>
  <c r="J279" i="814"/>
  <c r="F269" i="814"/>
  <c r="F423" i="814" s="1"/>
  <c r="E303" i="814"/>
  <c r="I275" i="814"/>
  <c r="I424" i="814" s="1"/>
  <c r="J281" i="814"/>
  <c r="J307" i="814"/>
  <c r="F275" i="814"/>
  <c r="F424" i="814" s="1"/>
  <c r="J284" i="814"/>
  <c r="J274" i="814"/>
  <c r="J287" i="814"/>
  <c r="H269" i="814"/>
  <c r="H423" i="814" s="1"/>
  <c r="E269" i="814"/>
  <c r="E423" i="814" s="1"/>
  <c r="F213" i="813"/>
  <c r="E204" i="813"/>
  <c r="D119" i="813"/>
  <c r="E199" i="813"/>
  <c r="D115" i="813"/>
  <c r="I104" i="813"/>
  <c r="H212" i="813"/>
  <c r="F212" i="813"/>
  <c r="D212" i="813"/>
  <c r="H204" i="813"/>
  <c r="H203" i="813"/>
  <c r="F203" i="813"/>
  <c r="I102" i="813"/>
  <c r="I103" i="813"/>
  <c r="G206" i="813"/>
  <c r="E206" i="813"/>
  <c r="E112" i="813"/>
  <c r="I203" i="813"/>
  <c r="G199" i="813"/>
  <c r="F112" i="813"/>
  <c r="F210" i="813"/>
  <c r="I118" i="813"/>
  <c r="G117" i="813"/>
  <c r="E213" i="813"/>
  <c r="E103" i="813"/>
  <c r="E111" i="813"/>
  <c r="I213" i="813"/>
  <c r="I202" i="813"/>
  <c r="G197" i="813"/>
  <c r="H210" i="813"/>
  <c r="G200" i="813"/>
  <c r="F116" i="813"/>
  <c r="G196" i="813"/>
  <c r="F111" i="813"/>
  <c r="E102" i="813"/>
  <c r="F207" i="813"/>
  <c r="F206" i="813"/>
  <c r="E200" i="813"/>
  <c r="F199" i="813"/>
  <c r="G198" i="813"/>
  <c r="E198" i="813"/>
  <c r="H119" i="813"/>
  <c r="F214" i="813"/>
  <c r="D211" i="813"/>
  <c r="G202" i="813"/>
  <c r="I204" i="813"/>
  <c r="H207" i="813"/>
  <c r="D213" i="813"/>
  <c r="E118" i="813"/>
  <c r="F205" i="813"/>
  <c r="F114" i="813"/>
  <c r="F101" i="813"/>
  <c r="H114" i="813"/>
  <c r="D204" i="813"/>
  <c r="G109" i="813"/>
  <c r="G205" i="813"/>
  <c r="H214" i="813"/>
  <c r="G108" i="813"/>
  <c r="H209" i="813"/>
  <c r="D207" i="813"/>
  <c r="I197" i="813"/>
  <c r="H112" i="813"/>
  <c r="I117" i="813"/>
  <c r="H108" i="813"/>
  <c r="G213" i="813"/>
  <c r="F202" i="813"/>
  <c r="D202" i="813"/>
  <c r="D196" i="813"/>
  <c r="H118" i="813"/>
  <c r="F118" i="813"/>
  <c r="H205" i="813"/>
  <c r="G119" i="813"/>
  <c r="E210" i="813"/>
  <c r="E101" i="813"/>
  <c r="H198" i="813"/>
  <c r="I198" i="813"/>
  <c r="H109" i="813"/>
  <c r="G214" i="813"/>
  <c r="G112" i="813"/>
  <c r="H202" i="813"/>
  <c r="D116" i="813"/>
  <c r="F108" i="813"/>
  <c r="D199" i="813"/>
  <c r="H199" i="813"/>
  <c r="G210" i="813"/>
  <c r="D103" i="813"/>
  <c r="H197" i="813"/>
  <c r="D210" i="813"/>
  <c r="F204" i="813"/>
  <c r="E119" i="813"/>
  <c r="D110" i="813"/>
  <c r="E115" i="813"/>
  <c r="D105" i="813"/>
  <c r="G207" i="813"/>
  <c r="E197" i="813"/>
  <c r="I196" i="813"/>
  <c r="I115" i="813"/>
  <c r="G114" i="813"/>
  <c r="E114" i="813"/>
  <c r="E108" i="813"/>
  <c r="D118" i="813"/>
  <c r="E205" i="813"/>
  <c r="H213" i="813"/>
  <c r="H211" i="813"/>
  <c r="F198" i="813"/>
  <c r="D209" i="813"/>
  <c r="G118" i="813"/>
  <c r="D104" i="813"/>
  <c r="D205" i="813"/>
  <c r="I211" i="813"/>
  <c r="E109" i="813"/>
  <c r="I114" i="813"/>
  <c r="G103" i="813"/>
  <c r="F200" i="813"/>
  <c r="F104" i="813"/>
  <c r="H117" i="813"/>
  <c r="F209" i="813"/>
  <c r="H200" i="813"/>
  <c r="G116" i="813"/>
  <c r="F107" i="813"/>
  <c r="G111" i="813"/>
  <c r="F102" i="813"/>
  <c r="D203" i="813"/>
  <c r="D117" i="813"/>
  <c r="E116" i="813"/>
  <c r="H110" i="813"/>
  <c r="F109" i="813"/>
  <c r="D109" i="813"/>
  <c r="E203" i="813"/>
  <c r="F117" i="813"/>
  <c r="G212" i="813"/>
  <c r="E207" i="813"/>
  <c r="D206" i="813"/>
  <c r="I205" i="813"/>
  <c r="I116" i="813"/>
  <c r="H111" i="813"/>
  <c r="D107" i="813"/>
  <c r="I101" i="813"/>
  <c r="D198" i="813"/>
  <c r="I112" i="813"/>
  <c r="H103" i="813"/>
  <c r="I108" i="813"/>
  <c r="E214" i="813"/>
  <c r="F197" i="813"/>
  <c r="I111" i="813"/>
  <c r="D111" i="813"/>
  <c r="G105" i="813"/>
  <c r="E104" i="813"/>
  <c r="F103" i="813"/>
  <c r="H104" i="813"/>
  <c r="G115" i="813"/>
  <c r="I107" i="813"/>
  <c r="H102" i="813"/>
  <c r="E202" i="813"/>
  <c r="D197" i="813"/>
  <c r="D200" i="813"/>
  <c r="I119" i="813"/>
  <c r="H115" i="813"/>
  <c r="F105" i="813"/>
  <c r="F119" i="813"/>
  <c r="E110" i="813"/>
  <c r="D101" i="813"/>
  <c r="E105" i="813"/>
  <c r="G211" i="813"/>
  <c r="E117" i="813"/>
  <c r="E107" i="813"/>
  <c r="I105" i="813"/>
  <c r="F211" i="813"/>
  <c r="I214" i="813"/>
  <c r="D214" i="813"/>
  <c r="I199" i="813"/>
  <c r="F115" i="813"/>
  <c r="H116" i="813"/>
  <c r="G107" i="813"/>
  <c r="I212" i="813"/>
  <c r="G102" i="813"/>
  <c r="I207" i="813"/>
  <c r="D112" i="813"/>
  <c r="D102" i="813"/>
  <c r="H101" i="813"/>
  <c r="G110" i="813"/>
  <c r="I209" i="813"/>
  <c r="G209" i="813"/>
  <c r="G104" i="813"/>
  <c r="E211" i="813"/>
  <c r="D114" i="813"/>
  <c r="E212" i="813"/>
  <c r="I210" i="813"/>
  <c r="G204" i="813"/>
  <c r="G203" i="813"/>
  <c r="F110" i="813"/>
  <c r="H107" i="813"/>
  <c r="I200" i="813"/>
  <c r="E196" i="813"/>
  <c r="H196" i="813"/>
  <c r="I109" i="813"/>
  <c r="H206" i="813"/>
  <c r="D108" i="813"/>
  <c r="E209" i="813"/>
  <c r="I110" i="813"/>
  <c r="F196" i="813"/>
  <c r="H105" i="813"/>
  <c r="I206" i="813"/>
  <c r="G101" i="813"/>
  <c r="F303" i="814"/>
  <c r="J283" i="814"/>
  <c r="J295" i="814"/>
  <c r="I290" i="814"/>
  <c r="J291" i="814"/>
  <c r="D303" i="814"/>
  <c r="I303" i="814"/>
  <c r="J271" i="814"/>
  <c r="G275" i="814"/>
  <c r="G424" i="814" s="1"/>
  <c r="J276" i="814"/>
  <c r="F282" i="814"/>
  <c r="F425" i="814" s="1"/>
  <c r="J308" i="814"/>
  <c r="J270" i="814"/>
  <c r="G290" i="814"/>
  <c r="G269" i="814"/>
  <c r="G423" i="814" s="1"/>
  <c r="J280" i="814"/>
  <c r="H282" i="814"/>
  <c r="H425" i="814" s="1"/>
  <c r="J309" i="814"/>
  <c r="D275" i="814"/>
  <c r="D424" i="814" s="1"/>
  <c r="E282" i="814"/>
  <c r="E425" i="814" s="1"/>
  <c r="E290" i="814"/>
  <c r="H290" i="814"/>
  <c r="F296" i="814"/>
  <c r="J306" i="814"/>
  <c r="J292" i="814"/>
  <c r="J298" i="814"/>
  <c r="J133" i="814"/>
  <c r="J301" i="814"/>
  <c r="J302" i="814"/>
  <c r="J299" i="814"/>
  <c r="G296" i="814"/>
  <c r="F290" i="814"/>
  <c r="D269" i="814"/>
  <c r="D382" i="814" s="1"/>
  <c r="E296" i="814"/>
  <c r="D296" i="814"/>
  <c r="J294" i="814"/>
  <c r="J305" i="814"/>
  <c r="J286" i="814"/>
  <c r="D290" i="814"/>
  <c r="H303" i="814"/>
  <c r="J297" i="814"/>
  <c r="I296" i="814"/>
  <c r="J304" i="814"/>
  <c r="H296" i="814"/>
  <c r="K38" i="66"/>
  <c r="F129" i="814"/>
  <c r="F388" i="814"/>
  <c r="E315" i="814"/>
  <c r="E437" i="814"/>
  <c r="E417" i="814" s="1"/>
  <c r="I129" i="814"/>
  <c r="J391" i="814"/>
  <c r="J412" i="814" s="1"/>
  <c r="F315" i="814"/>
  <c r="H315" i="814"/>
  <c r="F396" i="814"/>
  <c r="F417" i="814" s="1"/>
  <c r="J438" i="814"/>
  <c r="J418" i="814" s="1"/>
  <c r="J317" i="814"/>
  <c r="J396" i="814" s="1"/>
  <c r="J220" i="814"/>
  <c r="H437" i="814"/>
  <c r="H417" i="814" s="1"/>
  <c r="I396" i="814"/>
  <c r="I417" i="814" s="1"/>
  <c r="E17" i="743"/>
  <c r="E13" i="214"/>
  <c r="I315" i="814"/>
  <c r="J390" i="814"/>
  <c r="J411" i="814" s="1"/>
  <c r="J393" i="814"/>
  <c r="J414" i="814" s="1"/>
  <c r="J144" i="814"/>
  <c r="J49" i="814"/>
  <c r="E389" i="814"/>
  <c r="E410" i="814" s="1"/>
  <c r="G436" i="814"/>
  <c r="G416" i="814" s="1"/>
  <c r="J161" i="814"/>
  <c r="F321" i="814"/>
  <c r="F395" i="814"/>
  <c r="F416" i="814" s="1"/>
  <c r="D224" i="814"/>
  <c r="D389" i="814"/>
  <c r="D410" i="814" s="1"/>
  <c r="D429" i="814"/>
  <c r="H389" i="814"/>
  <c r="H410" i="814" s="1"/>
  <c r="J66" i="814"/>
  <c r="F394" i="814"/>
  <c r="H321" i="814"/>
  <c r="F435" i="814"/>
  <c r="F44" i="814"/>
  <c r="F121" i="814" s="1"/>
  <c r="J225" i="814"/>
  <c r="J430" i="814" s="1"/>
  <c r="D388" i="814"/>
  <c r="I388" i="814"/>
  <c r="I409" i="814" s="1"/>
  <c r="H395" i="814"/>
  <c r="H416" i="814" s="1"/>
  <c r="H394" i="814"/>
  <c r="H415" i="814" s="1"/>
  <c r="I436" i="814"/>
  <c r="I416" i="814" s="1"/>
  <c r="I224" i="814"/>
  <c r="H44" i="814"/>
  <c r="H121" i="814" s="1"/>
  <c r="G321" i="814"/>
  <c r="H224" i="814"/>
  <c r="E321" i="814"/>
  <c r="I44" i="814"/>
  <c r="I121" i="814" s="1"/>
  <c r="J322" i="814"/>
  <c r="J436" i="814" s="1"/>
  <c r="E436" i="814"/>
  <c r="E416" i="814" s="1"/>
  <c r="I435" i="814"/>
  <c r="I415" i="814" s="1"/>
  <c r="G435" i="814"/>
  <c r="G44" i="814"/>
  <c r="G121" i="814" s="1"/>
  <c r="H388" i="814"/>
  <c r="H409" i="814" s="1"/>
  <c r="G394" i="814"/>
  <c r="J61" i="814"/>
  <c r="E394" i="814"/>
  <c r="E435" i="814"/>
  <c r="J56" i="814"/>
  <c r="D436" i="814"/>
  <c r="D416" i="814" s="1"/>
  <c r="I321" i="814"/>
  <c r="E388" i="814"/>
  <c r="E409" i="814" s="1"/>
  <c r="F224" i="814"/>
  <c r="J151" i="814"/>
  <c r="F429" i="814"/>
  <c r="J228" i="814"/>
  <c r="J429" i="814" s="1"/>
  <c r="J156" i="814"/>
  <c r="E44" i="814"/>
  <c r="E121" i="814" s="1"/>
  <c r="E224" i="814"/>
  <c r="G388" i="814"/>
  <c r="G409" i="814" s="1"/>
  <c r="K43" i="66"/>
  <c r="D44" i="814"/>
  <c r="D121" i="814" s="1"/>
  <c r="G224" i="814"/>
  <c r="J327" i="814"/>
  <c r="J394" i="814" s="1"/>
  <c r="J262" i="814"/>
  <c r="J426" i="814" s="1"/>
  <c r="K41" i="66"/>
  <c r="F385" i="814"/>
  <c r="F406" i="814" s="1"/>
  <c r="K45" i="66"/>
  <c r="D321" i="814"/>
  <c r="D435" i="814"/>
  <c r="D415" i="814" s="1"/>
  <c r="K109" i="66"/>
  <c r="E139" i="814"/>
  <c r="D139" i="814"/>
  <c r="K110" i="66"/>
  <c r="H139" i="814"/>
  <c r="H129" i="814"/>
  <c r="E129" i="814"/>
  <c r="G139" i="814"/>
  <c r="G225" i="815"/>
  <c r="G430" i="815" s="1"/>
  <c r="D129" i="814"/>
  <c r="J140" i="814"/>
  <c r="F389" i="814"/>
  <c r="F410" i="814" s="1"/>
  <c r="F14" i="813"/>
  <c r="I389" i="814"/>
  <c r="I410" i="814" s="1"/>
  <c r="E386" i="814"/>
  <c r="D386" i="814"/>
  <c r="G385" i="814"/>
  <c r="G406" i="814" s="1"/>
  <c r="F13" i="813"/>
  <c r="F10" i="813"/>
  <c r="F15" i="813"/>
  <c r="F116" i="743"/>
  <c r="F12" i="813"/>
  <c r="F139" i="814"/>
  <c r="I139" i="814"/>
  <c r="I385" i="814"/>
  <c r="I406" i="814" s="1"/>
  <c r="E385" i="814"/>
  <c r="E406" i="814" s="1"/>
  <c r="J309" i="815"/>
  <c r="H317" i="815"/>
  <c r="J308" i="815"/>
  <c r="J277" i="815"/>
  <c r="H49" i="815"/>
  <c r="G151" i="815"/>
  <c r="H386" i="814"/>
  <c r="H303" i="815"/>
  <c r="I256" i="815"/>
  <c r="I133" i="815"/>
  <c r="E228" i="815"/>
  <c r="E429" i="815" s="1"/>
  <c r="F317" i="815"/>
  <c r="F315" i="815" s="1"/>
  <c r="E133" i="815"/>
  <c r="G56" i="815"/>
  <c r="E262" i="815"/>
  <c r="E426" i="815" s="1"/>
  <c r="J41" i="815"/>
  <c r="J135" i="815"/>
  <c r="G327" i="815"/>
  <c r="G394" i="815" s="1"/>
  <c r="F262" i="815"/>
  <c r="F426" i="815" s="1"/>
  <c r="J267" i="815"/>
  <c r="E317" i="815"/>
  <c r="E396" i="815" s="1"/>
  <c r="F290" i="815"/>
  <c r="J287" i="815"/>
  <c r="J288" i="815"/>
  <c r="E269" i="815"/>
  <c r="E423" i="815" s="1"/>
  <c r="J55" i="815"/>
  <c r="G49" i="815"/>
  <c r="J248" i="815"/>
  <c r="I335" i="815"/>
  <c r="I392" i="815" s="1"/>
  <c r="E327" i="815"/>
  <c r="E49" i="815"/>
  <c r="D322" i="815"/>
  <c r="D395" i="815" s="1"/>
  <c r="J259" i="815"/>
  <c r="H133" i="815"/>
  <c r="G256" i="815"/>
  <c r="I228" i="815"/>
  <c r="I429" i="815" s="1"/>
  <c r="I397" i="815"/>
  <c r="I438" i="815"/>
  <c r="J32" i="815"/>
  <c r="D390" i="815"/>
  <c r="J297" i="815"/>
  <c r="D296" i="815"/>
  <c r="G428" i="815"/>
  <c r="J332" i="815"/>
  <c r="E220" i="815"/>
  <c r="E432" i="815"/>
  <c r="H428" i="815"/>
  <c r="H269" i="815"/>
  <c r="H423" i="815" s="1"/>
  <c r="J336" i="815"/>
  <c r="D335" i="815"/>
  <c r="D333" i="815" s="1"/>
  <c r="J260" i="815"/>
  <c r="H228" i="815"/>
  <c r="H429" i="815" s="1"/>
  <c r="E393" i="815"/>
  <c r="E434" i="815"/>
  <c r="H256" i="815"/>
  <c r="D246" i="815"/>
  <c r="J247" i="815"/>
  <c r="J273" i="815"/>
  <c r="D317" i="815"/>
  <c r="J318" i="815"/>
  <c r="F427" i="814"/>
  <c r="F386" i="814"/>
  <c r="D392" i="814"/>
  <c r="D433" i="814"/>
  <c r="J335" i="814"/>
  <c r="D333" i="814"/>
  <c r="D290" i="815"/>
  <c r="J291" i="815"/>
  <c r="E427" i="814"/>
  <c r="G427" i="814"/>
  <c r="G386" i="814"/>
  <c r="H439" i="815"/>
  <c r="H398" i="815"/>
  <c r="J34" i="814"/>
  <c r="E392" i="814"/>
  <c r="E433" i="814"/>
  <c r="E333" i="814"/>
  <c r="J162" i="815"/>
  <c r="D161" i="815"/>
  <c r="J152" i="815"/>
  <c r="D151" i="815"/>
  <c r="J246" i="814"/>
  <c r="J230" i="815"/>
  <c r="I269" i="815"/>
  <c r="I423" i="815" s="1"/>
  <c r="J278" i="815"/>
  <c r="F269" i="815"/>
  <c r="F423" i="815" s="1"/>
  <c r="H282" i="815"/>
  <c r="H425" i="815" s="1"/>
  <c r="H290" i="815"/>
  <c r="J280" i="815"/>
  <c r="J146" i="815"/>
  <c r="G397" i="815"/>
  <c r="G438" i="815"/>
  <c r="I434" i="815"/>
  <c r="I393" i="815"/>
  <c r="I322" i="815"/>
  <c r="G129" i="814"/>
  <c r="G389" i="814"/>
  <c r="G410" i="814" s="1"/>
  <c r="G161" i="815"/>
  <c r="F38" i="815"/>
  <c r="D251" i="815"/>
  <c r="J252" i="815"/>
  <c r="J125" i="814"/>
  <c r="J274" i="815"/>
  <c r="G290" i="815"/>
  <c r="F220" i="815"/>
  <c r="F432" i="815"/>
  <c r="D428" i="815"/>
  <c r="J235" i="815"/>
  <c r="J428" i="815" s="1"/>
  <c r="J292" i="815"/>
  <c r="I144" i="815"/>
  <c r="J61" i="815"/>
  <c r="J70" i="815"/>
  <c r="I427" i="814"/>
  <c r="J57" i="815"/>
  <c r="E56" i="815"/>
  <c r="J60" i="815"/>
  <c r="J136" i="815"/>
  <c r="J337" i="815"/>
  <c r="F335" i="815"/>
  <c r="J229" i="815"/>
  <c r="D228" i="815"/>
  <c r="H296" i="815"/>
  <c r="I275" i="815"/>
  <c r="I424" i="815" s="1"/>
  <c r="E275" i="815"/>
  <c r="E424" i="815" s="1"/>
  <c r="J285" i="815"/>
  <c r="I282" i="815"/>
  <c r="I425" i="815" s="1"/>
  <c r="J52" i="815"/>
  <c r="F144" i="815"/>
  <c r="G432" i="815"/>
  <c r="G220" i="815"/>
  <c r="J256" i="814"/>
  <c r="H390" i="815"/>
  <c r="H411" i="815" s="1"/>
  <c r="G269" i="815"/>
  <c r="G423" i="815" s="1"/>
  <c r="F49" i="815"/>
  <c r="I432" i="815"/>
  <c r="I220" i="815"/>
  <c r="I390" i="815"/>
  <c r="I411" i="815" s="1"/>
  <c r="G322" i="815"/>
  <c r="G392" i="814"/>
  <c r="G433" i="814"/>
  <c r="G333" i="814"/>
  <c r="F161" i="815"/>
  <c r="J69" i="815"/>
  <c r="J155" i="815"/>
  <c r="H433" i="814"/>
  <c r="H392" i="814"/>
  <c r="H333" i="814"/>
  <c r="F133" i="815"/>
  <c r="G38" i="815"/>
  <c r="H239" i="815"/>
  <c r="F239" i="815"/>
  <c r="F251" i="815"/>
  <c r="G251" i="815"/>
  <c r="E239" i="815"/>
  <c r="J232" i="815"/>
  <c r="J231" i="815"/>
  <c r="D327" i="815"/>
  <c r="J328" i="815"/>
  <c r="G144" i="815"/>
  <c r="J226" i="815"/>
  <c r="D225" i="815"/>
  <c r="J156" i="815"/>
  <c r="H262" i="815"/>
  <c r="H426" i="815" s="1"/>
  <c r="D56" i="815"/>
  <c r="J137" i="815"/>
  <c r="J242" i="815"/>
  <c r="J250" i="815"/>
  <c r="J338" i="815"/>
  <c r="I327" i="815"/>
  <c r="F327" i="815"/>
  <c r="D275" i="815"/>
  <c r="J276" i="815"/>
  <c r="J300" i="815"/>
  <c r="E397" i="815"/>
  <c r="E438" i="815"/>
  <c r="J127" i="815"/>
  <c r="D66" i="815"/>
  <c r="J67" i="815"/>
  <c r="J163" i="815"/>
  <c r="J154" i="815"/>
  <c r="J222" i="815"/>
  <c r="J431" i="815" s="1"/>
  <c r="D431" i="815"/>
  <c r="J243" i="815"/>
  <c r="J329" i="815"/>
  <c r="D417" i="814"/>
  <c r="I290" i="815"/>
  <c r="J279" i="815"/>
  <c r="J305" i="815"/>
  <c r="J295" i="815"/>
  <c r="J272" i="815"/>
  <c r="J54" i="815"/>
  <c r="E390" i="815"/>
  <c r="E411" i="815" s="1"/>
  <c r="H397" i="815"/>
  <c r="H438" i="815"/>
  <c r="F225" i="815"/>
  <c r="I66" i="815"/>
  <c r="H161" i="815"/>
  <c r="J320" i="815"/>
  <c r="D398" i="815"/>
  <c r="D439" i="815"/>
  <c r="J134" i="815"/>
  <c r="D133" i="815"/>
  <c r="H38" i="815"/>
  <c r="G335" i="815"/>
  <c r="J253" i="815"/>
  <c r="J244" i="815"/>
  <c r="E256" i="815"/>
  <c r="J249" i="815"/>
  <c r="E290" i="815"/>
  <c r="D303" i="815"/>
  <c r="J304" i="815"/>
  <c r="G303" i="815"/>
  <c r="F296" i="815"/>
  <c r="E144" i="815"/>
  <c r="D49" i="815"/>
  <c r="J50" i="815"/>
  <c r="F390" i="815"/>
  <c r="F411" i="815" s="1"/>
  <c r="J68" i="815"/>
  <c r="J58" i="815"/>
  <c r="F56" i="815"/>
  <c r="J319" i="815"/>
  <c r="H246" i="815"/>
  <c r="E251" i="815"/>
  <c r="J254" i="815"/>
  <c r="J340" i="815"/>
  <c r="I239" i="815"/>
  <c r="I296" i="815"/>
  <c r="F275" i="815"/>
  <c r="F424" i="815" s="1"/>
  <c r="J281" i="815"/>
  <c r="J299" i="815"/>
  <c r="J51" i="815"/>
  <c r="D393" i="815"/>
  <c r="D434" i="815"/>
  <c r="J334" i="815"/>
  <c r="J130" i="814"/>
  <c r="J323" i="815"/>
  <c r="E322" i="815"/>
  <c r="E225" i="815"/>
  <c r="G133" i="815"/>
  <c r="G246" i="815"/>
  <c r="J241" i="815"/>
  <c r="F246" i="815"/>
  <c r="G228" i="815"/>
  <c r="G429" i="815" s="1"/>
  <c r="H327" i="815"/>
  <c r="D282" i="815"/>
  <c r="J283" i="815"/>
  <c r="J298" i="815"/>
  <c r="J293" i="815"/>
  <c r="J301" i="815"/>
  <c r="I49" i="815"/>
  <c r="J148" i="815"/>
  <c r="J147" i="815"/>
  <c r="I428" i="815"/>
  <c r="J239" i="814"/>
  <c r="D427" i="814"/>
  <c r="G390" i="815"/>
  <c r="G411" i="815" s="1"/>
  <c r="J255" i="815"/>
  <c r="E303" i="815"/>
  <c r="J266" i="815"/>
  <c r="E161" i="815"/>
  <c r="G66" i="815"/>
  <c r="J59" i="815"/>
  <c r="F151" i="815"/>
  <c r="J153" i="815"/>
  <c r="E439" i="815"/>
  <c r="E398" i="815"/>
  <c r="H225" i="815"/>
  <c r="H322" i="815"/>
  <c r="J251" i="814"/>
  <c r="J264" i="815"/>
  <c r="J263" i="815"/>
  <c r="D262" i="815"/>
  <c r="I161" i="815"/>
  <c r="H66" i="815"/>
  <c r="F439" i="815"/>
  <c r="F398" i="815"/>
  <c r="J39" i="815"/>
  <c r="D38" i="815"/>
  <c r="I38" i="815"/>
  <c r="J257" i="815"/>
  <c r="D256" i="815"/>
  <c r="J240" i="815"/>
  <c r="D239" i="815"/>
  <c r="E246" i="815"/>
  <c r="J258" i="815"/>
  <c r="F228" i="815"/>
  <c r="F429" i="815" s="1"/>
  <c r="J294" i="815"/>
  <c r="G275" i="815"/>
  <c r="G424" i="815" s="1"/>
  <c r="J271" i="815"/>
  <c r="E282" i="815"/>
  <c r="E425" i="815" s="1"/>
  <c r="J149" i="815"/>
  <c r="J150" i="815"/>
  <c r="F438" i="815"/>
  <c r="F397" i="815"/>
  <c r="F434" i="815"/>
  <c r="F393" i="815"/>
  <c r="I262" i="815"/>
  <c r="I426" i="815" s="1"/>
  <c r="E38" i="815"/>
  <c r="J339" i="815"/>
  <c r="J245" i="815"/>
  <c r="I251" i="815"/>
  <c r="F256" i="815"/>
  <c r="J331" i="815"/>
  <c r="E296" i="815"/>
  <c r="H144" i="815"/>
  <c r="J53" i="815"/>
  <c r="H432" i="815"/>
  <c r="H220" i="815"/>
  <c r="H393" i="815"/>
  <c r="H434" i="815"/>
  <c r="J167" i="814"/>
  <c r="J165" i="815"/>
  <c r="J164" i="815"/>
  <c r="H56" i="815"/>
  <c r="G317" i="815"/>
  <c r="F81" i="743"/>
  <c r="J325" i="815"/>
  <c r="I225" i="815"/>
  <c r="F322" i="815"/>
  <c r="J268" i="815"/>
  <c r="I56" i="815"/>
  <c r="I317" i="815"/>
  <c r="I315" i="815" s="1"/>
  <c r="J42" i="815"/>
  <c r="D385" i="814"/>
  <c r="D406" i="814" s="1"/>
  <c r="H335" i="815"/>
  <c r="G239" i="815"/>
  <c r="F282" i="815"/>
  <c r="F425" i="815" s="1"/>
  <c r="J286" i="815"/>
  <c r="I303" i="815"/>
  <c r="J307" i="815"/>
  <c r="J270" i="815"/>
  <c r="D269" i="815"/>
  <c r="G296" i="815"/>
  <c r="J302" i="815"/>
  <c r="D438" i="815"/>
  <c r="J316" i="815"/>
  <c r="D397" i="815"/>
  <c r="G434" i="815"/>
  <c r="G393" i="815"/>
  <c r="J324" i="815"/>
  <c r="J326" i="815"/>
  <c r="H427" i="814"/>
  <c r="J265" i="815"/>
  <c r="F66" i="815"/>
  <c r="E151" i="815"/>
  <c r="G439" i="815"/>
  <c r="G398" i="815"/>
  <c r="J227" i="815"/>
  <c r="G262" i="815"/>
  <c r="G426" i="815" s="1"/>
  <c r="F392" i="814"/>
  <c r="F433" i="814"/>
  <c r="F333" i="814"/>
  <c r="E66" i="815"/>
  <c r="I151" i="815"/>
  <c r="H151" i="815"/>
  <c r="I439" i="815"/>
  <c r="I398" i="815"/>
  <c r="J40" i="815"/>
  <c r="H251" i="815"/>
  <c r="I246" i="815"/>
  <c r="E335" i="815"/>
  <c r="E333" i="815" s="1"/>
  <c r="J330" i="815"/>
  <c r="I433" i="814"/>
  <c r="I392" i="814"/>
  <c r="I333" i="814"/>
  <c r="H385" i="814"/>
  <c r="H406" i="814" s="1"/>
  <c r="J306" i="815"/>
  <c r="F303" i="815"/>
  <c r="G282" i="815"/>
  <c r="G425" i="815" s="1"/>
  <c r="J284" i="815"/>
  <c r="H275" i="815"/>
  <c r="H424" i="815" s="1"/>
  <c r="D144" i="815"/>
  <c r="J145" i="815"/>
  <c r="J221" i="815"/>
  <c r="J432" i="815" s="1"/>
  <c r="D432" i="815"/>
  <c r="D220" i="815"/>
  <c r="E428" i="815"/>
  <c r="I386" i="814"/>
  <c r="F8" i="813"/>
  <c r="E193" i="743"/>
  <c r="F120" i="743"/>
  <c r="E257" i="743"/>
  <c r="E154" i="743"/>
  <c r="J11" i="813"/>
  <c r="D15" i="207"/>
  <c r="F121" i="743"/>
  <c r="J8" i="813"/>
  <c r="E116" i="743"/>
  <c r="F257" i="743"/>
  <c r="F291" i="743"/>
  <c r="F188" i="743"/>
  <c r="F228" i="743"/>
  <c r="F223" i="743"/>
  <c r="F154" i="743"/>
  <c r="F159" i="743"/>
  <c r="F84" i="743"/>
  <c r="F192" i="743"/>
  <c r="F296" i="743"/>
  <c r="L297" i="743" s="1"/>
  <c r="F295" i="743"/>
  <c r="F57" i="743"/>
  <c r="F193" i="743"/>
  <c r="F393" i="743" s="1"/>
  <c r="G108" i="743"/>
  <c r="G331" i="743" s="1"/>
  <c r="G321" i="743" s="1"/>
  <c r="G216" i="743"/>
  <c r="G180" i="743"/>
  <c r="G170" i="743" s="1"/>
  <c r="G181" i="743"/>
  <c r="G385" i="743" s="1"/>
  <c r="G376" i="743" s="1"/>
  <c r="G146" i="743"/>
  <c r="G357" i="743" s="1"/>
  <c r="G345" i="743" s="1"/>
  <c r="G215" i="743"/>
  <c r="G201" i="743" s="1"/>
  <c r="G147" i="743"/>
  <c r="G284" i="743"/>
  <c r="G109" i="743"/>
  <c r="G249" i="743"/>
  <c r="G239" i="743" s="1"/>
  <c r="G283" i="743"/>
  <c r="G463" i="743" s="1"/>
  <c r="G451" i="743" s="1"/>
  <c r="F51" i="743"/>
  <c r="L58" i="743" s="1"/>
  <c r="F83" i="743"/>
  <c r="F227" i="743"/>
  <c r="F262" i="743"/>
  <c r="F446" i="743" s="1"/>
  <c r="F230" i="743"/>
  <c r="F419" i="743" s="1"/>
  <c r="F160" i="743"/>
  <c r="F52" i="743"/>
  <c r="L53" i="743" s="1"/>
  <c r="F298" i="743"/>
  <c r="F472" i="743" s="1"/>
  <c r="F261" i="743"/>
  <c r="F158" i="743"/>
  <c r="F161" i="743"/>
  <c r="F366" i="743" s="1"/>
  <c r="J12" i="813"/>
  <c r="F124" i="743"/>
  <c r="F340" i="743" s="1"/>
  <c r="F122" i="743"/>
  <c r="F229" i="743"/>
  <c r="J16" i="813"/>
  <c r="F87" i="743"/>
  <c r="F123" i="743"/>
  <c r="J9" i="813"/>
  <c r="G240" i="743"/>
  <c r="G438" i="743"/>
  <c r="G429" i="743" s="1"/>
  <c r="E49" i="743"/>
  <c r="D14" i="207"/>
  <c r="D35" i="39"/>
  <c r="D37" i="39" s="1"/>
  <c r="D33" i="39"/>
  <c r="H49" i="743" l="1"/>
  <c r="H17" i="743"/>
  <c r="L57" i="743"/>
  <c r="H116" i="743"/>
  <c r="H154" i="743"/>
  <c r="H193" i="743"/>
  <c r="H257" i="743"/>
  <c r="J387" i="814"/>
  <c r="J408" i="814" s="1"/>
  <c r="K124" i="66"/>
  <c r="W165" i="825"/>
  <c r="W264" i="825"/>
  <c r="W192" i="825"/>
  <c r="W89" i="825"/>
  <c r="W81" i="825" s="1"/>
  <c r="W124" i="825"/>
  <c r="W25" i="825"/>
  <c r="K123" i="66"/>
  <c r="K122" i="66"/>
  <c r="L229" i="743"/>
  <c r="G383" i="814"/>
  <c r="G404" i="814" s="1"/>
  <c r="L121" i="743"/>
  <c r="L296" i="743"/>
  <c r="L122" i="743"/>
  <c r="L159" i="743"/>
  <c r="L52" i="743"/>
  <c r="L160" i="743"/>
  <c r="L228" i="743"/>
  <c r="L123" i="743"/>
  <c r="G332" i="743"/>
  <c r="G323" i="743" s="1"/>
  <c r="G384" i="814"/>
  <c r="G405" i="814" s="1"/>
  <c r="F382" i="814"/>
  <c r="F403" i="814" s="1"/>
  <c r="I384" i="814"/>
  <c r="I405" i="814" s="1"/>
  <c r="D425" i="814"/>
  <c r="D405" i="814" s="1"/>
  <c r="I382" i="814"/>
  <c r="I403" i="814" s="1"/>
  <c r="G382" i="814"/>
  <c r="G403" i="814" s="1"/>
  <c r="H383" i="814"/>
  <c r="H404" i="814" s="1"/>
  <c r="E383" i="814"/>
  <c r="E404" i="814" s="1"/>
  <c r="G422" i="814"/>
  <c r="G440" i="814" s="1"/>
  <c r="E381" i="814"/>
  <c r="I383" i="814"/>
  <c r="I404" i="814" s="1"/>
  <c r="F383" i="814"/>
  <c r="F404" i="814" s="1"/>
  <c r="H384" i="814"/>
  <c r="H405" i="814" s="1"/>
  <c r="J303" i="814"/>
  <c r="E422" i="814"/>
  <c r="E440" i="814" s="1"/>
  <c r="D383" i="814"/>
  <c r="D404" i="814" s="1"/>
  <c r="H382" i="814"/>
  <c r="H403" i="814" s="1"/>
  <c r="E234" i="814"/>
  <c r="E311" i="814" s="1"/>
  <c r="E382" i="814"/>
  <c r="E403" i="814" s="1"/>
  <c r="H234" i="814"/>
  <c r="H311" i="814" s="1"/>
  <c r="F381" i="814"/>
  <c r="J275" i="814"/>
  <c r="J424" i="814" s="1"/>
  <c r="I234" i="814"/>
  <c r="I311" i="814" s="1"/>
  <c r="E384" i="814"/>
  <c r="E405" i="814" s="1"/>
  <c r="I216" i="814"/>
  <c r="J282" i="814"/>
  <c r="J425" i="814" s="1"/>
  <c r="J290" i="814"/>
  <c r="I381" i="814"/>
  <c r="H381" i="814"/>
  <c r="F234" i="814"/>
  <c r="F311" i="814" s="1"/>
  <c r="F384" i="814"/>
  <c r="F405" i="814" s="1"/>
  <c r="J269" i="814"/>
  <c r="J423" i="814" s="1"/>
  <c r="I422" i="814"/>
  <c r="I440" i="814" s="1"/>
  <c r="F422" i="814"/>
  <c r="F440" i="814" s="1"/>
  <c r="D234" i="814"/>
  <c r="D311" i="814" s="1"/>
  <c r="D422" i="814"/>
  <c r="G234" i="814"/>
  <c r="G311" i="814" s="1"/>
  <c r="D381" i="814"/>
  <c r="H422" i="814"/>
  <c r="H440" i="814" s="1"/>
  <c r="G381" i="814"/>
  <c r="J296" i="814"/>
  <c r="F409" i="814"/>
  <c r="J437" i="814"/>
  <c r="J417" i="814" s="1"/>
  <c r="D423" i="814"/>
  <c r="D403" i="814" s="1"/>
  <c r="J315" i="814"/>
  <c r="H108" i="214"/>
  <c r="D106" i="214"/>
  <c r="F103" i="214"/>
  <c r="H99" i="214"/>
  <c r="D97" i="214"/>
  <c r="F93" i="214"/>
  <c r="H90" i="214"/>
  <c r="F101" i="214"/>
  <c r="F98" i="214"/>
  <c r="E98" i="214"/>
  <c r="F104" i="214"/>
  <c r="I97" i="214"/>
  <c r="D104" i="214"/>
  <c r="E100" i="214"/>
  <c r="H103" i="214"/>
  <c r="D91" i="214"/>
  <c r="I108" i="214"/>
  <c r="E97" i="214"/>
  <c r="G108" i="214"/>
  <c r="I105" i="214"/>
  <c r="E103" i="214"/>
  <c r="G99" i="214"/>
  <c r="I96" i="214"/>
  <c r="E93" i="214"/>
  <c r="G90" i="214"/>
  <c r="F108" i="214"/>
  <c r="H105" i="214"/>
  <c r="D103" i="214"/>
  <c r="F99" i="214"/>
  <c r="H96" i="214"/>
  <c r="D93" i="214"/>
  <c r="F90" i="214"/>
  <c r="I107" i="214"/>
  <c r="G101" i="214"/>
  <c r="I98" i="214"/>
  <c r="G92" i="214"/>
  <c r="D105" i="214"/>
  <c r="H98" i="214"/>
  <c r="F92" i="214"/>
  <c r="I104" i="214"/>
  <c r="E101" i="214"/>
  <c r="I94" i="214"/>
  <c r="H104" i="214"/>
  <c r="G104" i="214"/>
  <c r="D98" i="214"/>
  <c r="F94" i="214"/>
  <c r="H91" i="214"/>
  <c r="I106" i="214"/>
  <c r="G100" i="214"/>
  <c r="G91" i="214"/>
  <c r="F100" i="214"/>
  <c r="F91" i="214"/>
  <c r="I103" i="214"/>
  <c r="F106" i="214"/>
  <c r="H93" i="214"/>
  <c r="G103" i="214"/>
  <c r="G93" i="214"/>
  <c r="D101" i="214"/>
  <c r="E107" i="214"/>
  <c r="I91" i="214"/>
  <c r="H100" i="214"/>
  <c r="E94" i="214"/>
  <c r="H106" i="214"/>
  <c r="E91" i="214"/>
  <c r="F97" i="214"/>
  <c r="E108" i="214"/>
  <c r="G105" i="214"/>
  <c r="I101" i="214"/>
  <c r="E99" i="214"/>
  <c r="G96" i="214"/>
  <c r="I92" i="214"/>
  <c r="E90" i="214"/>
  <c r="D108" i="214"/>
  <c r="F105" i="214"/>
  <c r="H101" i="214"/>
  <c r="D99" i="214"/>
  <c r="F96" i="214"/>
  <c r="H92" i="214"/>
  <c r="D90" i="214"/>
  <c r="E105" i="214"/>
  <c r="E96" i="214"/>
  <c r="H107" i="214"/>
  <c r="D96" i="214"/>
  <c r="G107" i="214"/>
  <c r="G98" i="214"/>
  <c r="E92" i="214"/>
  <c r="F107" i="214"/>
  <c r="H94" i="214"/>
  <c r="D92" i="214"/>
  <c r="I100" i="214"/>
  <c r="G94" i="214"/>
  <c r="D107" i="214"/>
  <c r="E104" i="214"/>
  <c r="H97" i="214"/>
  <c r="G106" i="214"/>
  <c r="I93" i="214"/>
  <c r="D94" i="214"/>
  <c r="G97" i="214"/>
  <c r="D100" i="214"/>
  <c r="E106" i="214"/>
  <c r="I99" i="214"/>
  <c r="I90" i="214"/>
  <c r="F342" i="814"/>
  <c r="F415" i="814"/>
  <c r="D409" i="814"/>
  <c r="H342" i="814"/>
  <c r="J389" i="814"/>
  <c r="J410" i="814" s="1"/>
  <c r="G415" i="814"/>
  <c r="E342" i="814"/>
  <c r="J321" i="814"/>
  <c r="G342" i="814"/>
  <c r="J395" i="814"/>
  <c r="J416" i="814" s="1"/>
  <c r="E415" i="814"/>
  <c r="I342" i="814"/>
  <c r="J388" i="814"/>
  <c r="J409" i="814" s="1"/>
  <c r="D342" i="814"/>
  <c r="J224" i="814"/>
  <c r="J385" i="814"/>
  <c r="J406" i="814" s="1"/>
  <c r="J44" i="814"/>
  <c r="J435" i="814"/>
  <c r="J415" i="814" s="1"/>
  <c r="E216" i="814"/>
  <c r="D216" i="814"/>
  <c r="H216" i="814"/>
  <c r="E262" i="743"/>
  <c r="G216" i="814"/>
  <c r="E161" i="743"/>
  <c r="D407" i="814"/>
  <c r="E315" i="815"/>
  <c r="E437" i="815"/>
  <c r="E417" i="815" s="1"/>
  <c r="G435" i="815"/>
  <c r="G415" i="815" s="1"/>
  <c r="I407" i="814"/>
  <c r="J7" i="813"/>
  <c r="H221" i="813" s="1"/>
  <c r="J18" i="813"/>
  <c r="D274" i="813" s="1"/>
  <c r="D436" i="815"/>
  <c r="D416" i="815" s="1"/>
  <c r="D321" i="815"/>
  <c r="G414" i="815"/>
  <c r="J10" i="813"/>
  <c r="G232" i="813" s="1"/>
  <c r="F396" i="815"/>
  <c r="F437" i="815"/>
  <c r="E81" i="743"/>
  <c r="G321" i="815"/>
  <c r="E298" i="743"/>
  <c r="F216" i="814"/>
  <c r="J139" i="814"/>
  <c r="G227" i="813"/>
  <c r="H325" i="813"/>
  <c r="D324" i="813"/>
  <c r="I325" i="813"/>
  <c r="D323" i="813"/>
  <c r="E227" i="813"/>
  <c r="F323" i="813"/>
  <c r="D227" i="813"/>
  <c r="D325" i="813"/>
  <c r="H324" i="813"/>
  <c r="H226" i="813"/>
  <c r="H323" i="813"/>
  <c r="E325" i="813"/>
  <c r="F226" i="813"/>
  <c r="I323" i="813"/>
  <c r="I227" i="813"/>
  <c r="E324" i="813"/>
  <c r="I326" i="813"/>
  <c r="F326" i="813"/>
  <c r="G226" i="813"/>
  <c r="E326" i="813"/>
  <c r="I226" i="813"/>
  <c r="F324" i="813"/>
  <c r="G323" i="813"/>
  <c r="F325" i="813"/>
  <c r="F227" i="813"/>
  <c r="H326" i="813"/>
  <c r="E226" i="813"/>
  <c r="G326" i="813"/>
  <c r="G324" i="813"/>
  <c r="D326" i="813"/>
  <c r="E323" i="813"/>
  <c r="D226" i="813"/>
  <c r="I324" i="813"/>
  <c r="H227" i="813"/>
  <c r="G325" i="813"/>
  <c r="E188" i="743"/>
  <c r="D10" i="207"/>
  <c r="D31" i="207" s="1"/>
  <c r="E394" i="815"/>
  <c r="E435" i="815"/>
  <c r="H315" i="815"/>
  <c r="H437" i="815"/>
  <c r="H396" i="815"/>
  <c r="I234" i="815"/>
  <c r="H32" i="813"/>
  <c r="D32" i="813"/>
  <c r="H127" i="813"/>
  <c r="I32" i="813"/>
  <c r="G32" i="813"/>
  <c r="F127" i="813"/>
  <c r="E127" i="813"/>
  <c r="E32" i="813"/>
  <c r="G127" i="813"/>
  <c r="D127" i="813"/>
  <c r="F32" i="813"/>
  <c r="I127" i="813"/>
  <c r="H59" i="813"/>
  <c r="H60" i="813"/>
  <c r="F57" i="813"/>
  <c r="E59" i="813"/>
  <c r="I154" i="813"/>
  <c r="H58" i="813"/>
  <c r="E153" i="813"/>
  <c r="F155" i="813"/>
  <c r="E152" i="813"/>
  <c r="D153" i="813"/>
  <c r="G58" i="813"/>
  <c r="G60" i="813"/>
  <c r="H154" i="813"/>
  <c r="E57" i="813"/>
  <c r="D60" i="813"/>
  <c r="F60" i="813"/>
  <c r="G155" i="813"/>
  <c r="E155" i="813"/>
  <c r="I57" i="813"/>
  <c r="I59" i="813"/>
  <c r="D152" i="813"/>
  <c r="G59" i="813"/>
  <c r="I58" i="813"/>
  <c r="G154" i="813"/>
  <c r="E58" i="813"/>
  <c r="E60" i="813"/>
  <c r="G153" i="813"/>
  <c r="F153" i="813"/>
  <c r="D154" i="813"/>
  <c r="I60" i="813"/>
  <c r="F154" i="813"/>
  <c r="I155" i="813"/>
  <c r="G152" i="813"/>
  <c r="G57" i="813"/>
  <c r="H153" i="813"/>
  <c r="D58" i="813"/>
  <c r="H155" i="813"/>
  <c r="D59" i="813"/>
  <c r="D57" i="813"/>
  <c r="F58" i="813"/>
  <c r="H57" i="813"/>
  <c r="I152" i="813"/>
  <c r="F152" i="813"/>
  <c r="F59" i="813"/>
  <c r="D155" i="813"/>
  <c r="E154" i="813"/>
  <c r="H152" i="813"/>
  <c r="I153" i="813"/>
  <c r="D222" i="813"/>
  <c r="D319" i="813"/>
  <c r="F320" i="813"/>
  <c r="F318" i="813"/>
  <c r="D320" i="813"/>
  <c r="F222" i="813"/>
  <c r="F431" i="813" s="1"/>
  <c r="G318" i="813"/>
  <c r="E222" i="813"/>
  <c r="E431" i="813" s="1"/>
  <c r="G222" i="813"/>
  <c r="G431" i="813" s="1"/>
  <c r="E318" i="813"/>
  <c r="I318" i="813"/>
  <c r="E319" i="813"/>
  <c r="H320" i="813"/>
  <c r="I320" i="813"/>
  <c r="D318" i="813"/>
  <c r="H319" i="813"/>
  <c r="I319" i="813"/>
  <c r="F319" i="813"/>
  <c r="G319" i="813"/>
  <c r="H222" i="813"/>
  <c r="H431" i="813" s="1"/>
  <c r="E320" i="813"/>
  <c r="I222" i="813"/>
  <c r="I431" i="813" s="1"/>
  <c r="H318" i="813"/>
  <c r="G320" i="813"/>
  <c r="E413" i="814"/>
  <c r="D159" i="813"/>
  <c r="I157" i="813"/>
  <c r="I62" i="813"/>
  <c r="I63" i="813"/>
  <c r="F65" i="813"/>
  <c r="F160" i="813"/>
  <c r="I158" i="813"/>
  <c r="H64" i="813"/>
  <c r="G157" i="813"/>
  <c r="F63" i="813"/>
  <c r="I64" i="813"/>
  <c r="H63" i="813"/>
  <c r="F62" i="813"/>
  <c r="E64" i="813"/>
  <c r="H65" i="813"/>
  <c r="H62" i="813"/>
  <c r="G159" i="813"/>
  <c r="D64" i="813"/>
  <c r="E158" i="813"/>
  <c r="G64" i="813"/>
  <c r="I159" i="813"/>
  <c r="D158" i="813"/>
  <c r="D157" i="813"/>
  <c r="G62" i="813"/>
  <c r="H159" i="813"/>
  <c r="H157" i="813"/>
  <c r="F158" i="813"/>
  <c r="F64" i="813"/>
  <c r="G65" i="813"/>
  <c r="E65" i="813"/>
  <c r="D62" i="813"/>
  <c r="F159" i="813"/>
  <c r="H158" i="813"/>
  <c r="F157" i="813"/>
  <c r="E160" i="813"/>
  <c r="D160" i="813"/>
  <c r="I160" i="813"/>
  <c r="H160" i="813"/>
  <c r="G158" i="813"/>
  <c r="E62" i="813"/>
  <c r="D65" i="813"/>
  <c r="G160" i="813"/>
  <c r="G63" i="813"/>
  <c r="D63" i="813"/>
  <c r="I65" i="813"/>
  <c r="E157" i="813"/>
  <c r="E63" i="813"/>
  <c r="E159" i="813"/>
  <c r="I260" i="813"/>
  <c r="E240" i="813"/>
  <c r="G253" i="813"/>
  <c r="F253" i="813"/>
  <c r="F244" i="813"/>
  <c r="G255" i="813"/>
  <c r="F254" i="813"/>
  <c r="D245" i="813"/>
  <c r="H340" i="813"/>
  <c r="G260" i="813"/>
  <c r="F245" i="813"/>
  <c r="E340" i="813"/>
  <c r="E339" i="813"/>
  <c r="G247" i="813"/>
  <c r="F241" i="813"/>
  <c r="H338" i="813"/>
  <c r="I259" i="813"/>
  <c r="H260" i="813"/>
  <c r="F260" i="813"/>
  <c r="I245" i="813"/>
  <c r="G245" i="813"/>
  <c r="F258" i="813"/>
  <c r="H339" i="813"/>
  <c r="H249" i="813"/>
  <c r="F243" i="813"/>
  <c r="E249" i="813"/>
  <c r="D243" i="813"/>
  <c r="F250" i="813"/>
  <c r="G250" i="813"/>
  <c r="F339" i="813"/>
  <c r="I337" i="813"/>
  <c r="G259" i="813"/>
  <c r="E244" i="813"/>
  <c r="E245" i="813"/>
  <c r="E250" i="813"/>
  <c r="I244" i="813"/>
  <c r="F336" i="813"/>
  <c r="E248" i="813"/>
  <c r="F338" i="813"/>
  <c r="E254" i="813"/>
  <c r="D255" i="813"/>
  <c r="H242" i="813"/>
  <c r="D254" i="813"/>
  <c r="I242" i="813"/>
  <c r="I250" i="813"/>
  <c r="G336" i="813"/>
  <c r="H259" i="813"/>
  <c r="E257" i="813"/>
  <c r="G257" i="813"/>
  <c r="G242" i="813"/>
  <c r="E242" i="813"/>
  <c r="H243" i="813"/>
  <c r="H255" i="813"/>
  <c r="I252" i="813"/>
  <c r="D248" i="813"/>
  <c r="I340" i="813"/>
  <c r="D336" i="813"/>
  <c r="D247" i="813"/>
  <c r="G338" i="813"/>
  <c r="D244" i="813"/>
  <c r="I253" i="813"/>
  <c r="D338" i="813"/>
  <c r="E252" i="813"/>
  <c r="I240" i="813"/>
  <c r="I248" i="813"/>
  <c r="I255" i="813"/>
  <c r="E255" i="813"/>
  <c r="H250" i="813"/>
  <c r="D242" i="813"/>
  <c r="G254" i="813"/>
  <c r="I336" i="813"/>
  <c r="I247" i="813"/>
  <c r="G252" i="813"/>
  <c r="F340" i="813"/>
  <c r="D339" i="813"/>
  <c r="F255" i="813"/>
  <c r="H258" i="813"/>
  <c r="D257" i="813"/>
  <c r="F247" i="813"/>
  <c r="E336" i="813"/>
  <c r="D250" i="813"/>
  <c r="I258" i="813"/>
  <c r="I257" i="813"/>
  <c r="E241" i="813"/>
  <c r="I254" i="813"/>
  <c r="D260" i="813"/>
  <c r="F242" i="813"/>
  <c r="E243" i="813"/>
  <c r="E247" i="813"/>
  <c r="D258" i="813"/>
  <c r="F257" i="813"/>
  <c r="F259" i="813"/>
  <c r="G258" i="813"/>
  <c r="H257" i="813"/>
  <c r="H245" i="813"/>
  <c r="I241" i="813"/>
  <c r="D259" i="813"/>
  <c r="E253" i="813"/>
  <c r="H337" i="813"/>
  <c r="D253" i="813"/>
  <c r="D340" i="813"/>
  <c r="F240" i="813"/>
  <c r="G248" i="813"/>
  <c r="H252" i="813"/>
  <c r="H248" i="813"/>
  <c r="I339" i="813"/>
  <c r="H254" i="813"/>
  <c r="G243" i="813"/>
  <c r="I243" i="813"/>
  <c r="H253" i="813"/>
  <c r="F249" i="813"/>
  <c r="D252" i="813"/>
  <c r="I338" i="813"/>
  <c r="G339" i="813"/>
  <c r="H247" i="813"/>
  <c r="E338" i="813"/>
  <c r="I249" i="813"/>
  <c r="G244" i="813"/>
  <c r="D337" i="813"/>
  <c r="E258" i="813"/>
  <c r="E337" i="813"/>
  <c r="E259" i="813"/>
  <c r="G240" i="813"/>
  <c r="D240" i="813"/>
  <c r="G241" i="813"/>
  <c r="E260" i="813"/>
  <c r="G340" i="813"/>
  <c r="H244" i="813"/>
  <c r="H241" i="813"/>
  <c r="D249" i="813"/>
  <c r="F337" i="813"/>
  <c r="F248" i="813"/>
  <c r="G249" i="813"/>
  <c r="H240" i="813"/>
  <c r="G337" i="813"/>
  <c r="F252" i="813"/>
  <c r="D241" i="813"/>
  <c r="H336" i="813"/>
  <c r="I42" i="813"/>
  <c r="G41" i="813"/>
  <c r="D40" i="813"/>
  <c r="D39" i="813"/>
  <c r="I137" i="813"/>
  <c r="G134" i="813"/>
  <c r="E42" i="813"/>
  <c r="H137" i="813"/>
  <c r="E41" i="813"/>
  <c r="D137" i="813"/>
  <c r="I41" i="813"/>
  <c r="E134" i="813"/>
  <c r="G135" i="813"/>
  <c r="I40" i="813"/>
  <c r="D136" i="813"/>
  <c r="I39" i="813"/>
  <c r="G40" i="813"/>
  <c r="H135" i="813"/>
  <c r="E39" i="813"/>
  <c r="G42" i="813"/>
  <c r="F136" i="813"/>
  <c r="H39" i="813"/>
  <c r="I136" i="813"/>
  <c r="F42" i="813"/>
  <c r="G137" i="813"/>
  <c r="D41" i="813"/>
  <c r="F39" i="813"/>
  <c r="H40" i="813"/>
  <c r="D134" i="813"/>
  <c r="F135" i="813"/>
  <c r="D135" i="813"/>
  <c r="H41" i="813"/>
  <c r="F41" i="813"/>
  <c r="E137" i="813"/>
  <c r="F137" i="813"/>
  <c r="H136" i="813"/>
  <c r="I134" i="813"/>
  <c r="D42" i="813"/>
  <c r="F134" i="813"/>
  <c r="H134" i="813"/>
  <c r="E136" i="813"/>
  <c r="I135" i="813"/>
  <c r="E135" i="813"/>
  <c r="H42" i="813"/>
  <c r="E40" i="813"/>
  <c r="G39" i="813"/>
  <c r="G136" i="813"/>
  <c r="F40" i="813"/>
  <c r="I388" i="815"/>
  <c r="I409" i="815" s="1"/>
  <c r="I414" i="815"/>
  <c r="I433" i="815"/>
  <c r="I413" i="815" s="1"/>
  <c r="E67" i="813"/>
  <c r="H70" i="813"/>
  <c r="I70" i="813"/>
  <c r="G162" i="813"/>
  <c r="I69" i="813"/>
  <c r="H162" i="813"/>
  <c r="D69" i="813"/>
  <c r="G67" i="813"/>
  <c r="E164" i="813"/>
  <c r="D70" i="813"/>
  <c r="E165" i="813"/>
  <c r="F162" i="813"/>
  <c r="F68" i="813"/>
  <c r="G165" i="813"/>
  <c r="D165" i="813"/>
  <c r="I164" i="813"/>
  <c r="H164" i="813"/>
  <c r="D162" i="813"/>
  <c r="F69" i="813"/>
  <c r="G164" i="813"/>
  <c r="G70" i="813"/>
  <c r="H69" i="813"/>
  <c r="E68" i="813"/>
  <c r="I163" i="813"/>
  <c r="F163" i="813"/>
  <c r="F165" i="813"/>
  <c r="D163" i="813"/>
  <c r="F67" i="813"/>
  <c r="H68" i="813"/>
  <c r="G69" i="813"/>
  <c r="F164" i="813"/>
  <c r="E70" i="813"/>
  <c r="H163" i="813"/>
  <c r="G163" i="813"/>
  <c r="I67" i="813"/>
  <c r="I165" i="813"/>
  <c r="H165" i="813"/>
  <c r="I68" i="813"/>
  <c r="E69" i="813"/>
  <c r="H67" i="813"/>
  <c r="D164" i="813"/>
  <c r="G68" i="813"/>
  <c r="E163" i="813"/>
  <c r="I162" i="813"/>
  <c r="D68" i="813"/>
  <c r="F70" i="813"/>
  <c r="E162" i="813"/>
  <c r="D67" i="813"/>
  <c r="D334" i="813"/>
  <c r="G235" i="813"/>
  <c r="G428" i="813" s="1"/>
  <c r="I235" i="813"/>
  <c r="I428" i="813" s="1"/>
  <c r="H334" i="813"/>
  <c r="F334" i="813"/>
  <c r="G334" i="813"/>
  <c r="E334" i="813"/>
  <c r="I334" i="813"/>
  <c r="H235" i="813"/>
  <c r="H428" i="813" s="1"/>
  <c r="F235" i="813"/>
  <c r="F428" i="813" s="1"/>
  <c r="E235" i="813"/>
  <c r="E428" i="813" s="1"/>
  <c r="D235" i="813"/>
  <c r="J322" i="815"/>
  <c r="J436" i="815" s="1"/>
  <c r="I333" i="815"/>
  <c r="E388" i="815"/>
  <c r="E409" i="815" s="1"/>
  <c r="F267" i="813"/>
  <c r="G268" i="813"/>
  <c r="E263" i="813"/>
  <c r="D267" i="813"/>
  <c r="E267" i="813"/>
  <c r="G266" i="813"/>
  <c r="I265" i="813"/>
  <c r="H266" i="813"/>
  <c r="G264" i="813"/>
  <c r="E265" i="813"/>
  <c r="D263" i="813"/>
  <c r="H267" i="813"/>
  <c r="I267" i="813"/>
  <c r="G265" i="813"/>
  <c r="I264" i="813"/>
  <c r="E268" i="813"/>
  <c r="F264" i="813"/>
  <c r="F265" i="813"/>
  <c r="E264" i="813"/>
  <c r="D268" i="813"/>
  <c r="F266" i="813"/>
  <c r="G263" i="813"/>
  <c r="H263" i="813"/>
  <c r="I263" i="813"/>
  <c r="D264" i="813"/>
  <c r="H268" i="813"/>
  <c r="H264" i="813"/>
  <c r="H265" i="813"/>
  <c r="F268" i="813"/>
  <c r="I268" i="813"/>
  <c r="I266" i="813"/>
  <c r="F263" i="813"/>
  <c r="D266" i="813"/>
  <c r="E266" i="813"/>
  <c r="D265" i="813"/>
  <c r="G267" i="813"/>
  <c r="G147" i="813"/>
  <c r="I145" i="813"/>
  <c r="G51" i="813"/>
  <c r="D148" i="813"/>
  <c r="F52" i="813"/>
  <c r="F147" i="813"/>
  <c r="I147" i="813"/>
  <c r="E54" i="813"/>
  <c r="E150" i="813"/>
  <c r="H54" i="813"/>
  <c r="E145" i="813"/>
  <c r="D55" i="813"/>
  <c r="D146" i="813"/>
  <c r="G150" i="813"/>
  <c r="H50" i="813"/>
  <c r="D53" i="813"/>
  <c r="I55" i="813"/>
  <c r="F53" i="813"/>
  <c r="I50" i="813"/>
  <c r="D149" i="813"/>
  <c r="F54" i="813"/>
  <c r="H148" i="813"/>
  <c r="H146" i="813"/>
  <c r="E51" i="813"/>
  <c r="G148" i="813"/>
  <c r="E147" i="813"/>
  <c r="I53" i="813"/>
  <c r="D54" i="813"/>
  <c r="G149" i="813"/>
  <c r="D51" i="813"/>
  <c r="I148" i="813"/>
  <c r="E149" i="813"/>
  <c r="D50" i="813"/>
  <c r="G53" i="813"/>
  <c r="G54" i="813"/>
  <c r="F145" i="813"/>
  <c r="H147" i="813"/>
  <c r="H51" i="813"/>
  <c r="F146" i="813"/>
  <c r="H52" i="813"/>
  <c r="I146" i="813"/>
  <c r="E50" i="813"/>
  <c r="G52" i="813"/>
  <c r="G145" i="813"/>
  <c r="E146" i="813"/>
  <c r="F55" i="813"/>
  <c r="H145" i="813"/>
  <c r="I54" i="813"/>
  <c r="I51" i="813"/>
  <c r="F51" i="813"/>
  <c r="H149" i="813"/>
  <c r="E148" i="813"/>
  <c r="G146" i="813"/>
  <c r="I150" i="813"/>
  <c r="D52" i="813"/>
  <c r="E55" i="813"/>
  <c r="G50" i="813"/>
  <c r="D145" i="813"/>
  <c r="F148" i="813"/>
  <c r="H53" i="813"/>
  <c r="D150" i="813"/>
  <c r="F150" i="813"/>
  <c r="H150" i="813"/>
  <c r="I52" i="813"/>
  <c r="G55" i="813"/>
  <c r="H55" i="813"/>
  <c r="E53" i="813"/>
  <c r="E52" i="813"/>
  <c r="F149" i="813"/>
  <c r="I149" i="813"/>
  <c r="D147" i="813"/>
  <c r="F50" i="813"/>
  <c r="G418" i="815"/>
  <c r="G224" i="815"/>
  <c r="J390" i="815"/>
  <c r="J411" i="815" s="1"/>
  <c r="G388" i="815"/>
  <c r="G409" i="815" s="1"/>
  <c r="E386" i="815"/>
  <c r="I427" i="815"/>
  <c r="F422" i="815"/>
  <c r="H422" i="815"/>
  <c r="F413" i="814"/>
  <c r="J427" i="814"/>
  <c r="I413" i="814"/>
  <c r="E234" i="815"/>
  <c r="F418" i="815"/>
  <c r="J251" i="815"/>
  <c r="G386" i="815"/>
  <c r="H427" i="815"/>
  <c r="J56" i="815"/>
  <c r="H386" i="815"/>
  <c r="J66" i="815"/>
  <c r="D411" i="815"/>
  <c r="J397" i="815"/>
  <c r="J438" i="815"/>
  <c r="J434" i="815"/>
  <c r="J393" i="815"/>
  <c r="F388" i="815"/>
  <c r="F409" i="815" s="1"/>
  <c r="D386" i="815"/>
  <c r="J49" i="815"/>
  <c r="D11" i="207"/>
  <c r="G35" i="207" s="1"/>
  <c r="H234" i="815"/>
  <c r="G422" i="815"/>
  <c r="G437" i="815"/>
  <c r="G396" i="815"/>
  <c r="G234" i="815"/>
  <c r="D427" i="815"/>
  <c r="J239" i="815"/>
  <c r="I321" i="815"/>
  <c r="I436" i="815"/>
  <c r="I395" i="815"/>
  <c r="J220" i="815"/>
  <c r="I437" i="815"/>
  <c r="I396" i="815"/>
  <c r="I418" i="815"/>
  <c r="E223" i="743"/>
  <c r="E261" i="743"/>
  <c r="E433" i="815"/>
  <c r="E392" i="815"/>
  <c r="I386" i="815"/>
  <c r="E395" i="815"/>
  <c r="E321" i="815"/>
  <c r="E436" i="815"/>
  <c r="H388" i="815"/>
  <c r="H409" i="815" s="1"/>
  <c r="D419" i="815"/>
  <c r="J225" i="815"/>
  <c r="J430" i="815" s="1"/>
  <c r="D430" i="815"/>
  <c r="D224" i="815"/>
  <c r="H414" i="815"/>
  <c r="F433" i="815"/>
  <c r="F392" i="815"/>
  <c r="J121" i="814"/>
  <c r="H435" i="815"/>
  <c r="H394" i="815"/>
  <c r="G392" i="815"/>
  <c r="G433" i="815"/>
  <c r="F321" i="815"/>
  <c r="F394" i="815"/>
  <c r="F435" i="815"/>
  <c r="J269" i="815"/>
  <c r="J423" i="815" s="1"/>
  <c r="D423" i="815"/>
  <c r="J256" i="815"/>
  <c r="E430" i="815"/>
  <c r="E224" i="815"/>
  <c r="J151" i="815"/>
  <c r="D12" i="207"/>
  <c r="H41" i="207" s="1"/>
  <c r="D9" i="207"/>
  <c r="F26" i="207" s="1"/>
  <c r="F414" i="815"/>
  <c r="H395" i="815"/>
  <c r="H436" i="815"/>
  <c r="H321" i="815"/>
  <c r="J133" i="815"/>
  <c r="J398" i="815"/>
  <c r="J439" i="815"/>
  <c r="E427" i="815"/>
  <c r="J161" i="815"/>
  <c r="J333" i="814"/>
  <c r="J246" i="815"/>
  <c r="D433" i="815"/>
  <c r="D392" i="815"/>
  <c r="J335" i="815"/>
  <c r="D425" i="815"/>
  <c r="J282" i="815"/>
  <c r="J425" i="815" s="1"/>
  <c r="D437" i="815"/>
  <c r="D396" i="815"/>
  <c r="J317" i="815"/>
  <c r="J228" i="815"/>
  <c r="J429" i="815" s="1"/>
  <c r="D429" i="815"/>
  <c r="F386" i="815"/>
  <c r="E418" i="815"/>
  <c r="E414" i="815"/>
  <c r="I435" i="815"/>
  <c r="I394" i="815"/>
  <c r="D8" i="207"/>
  <c r="G21" i="207" s="1"/>
  <c r="G123" i="207" s="1"/>
  <c r="F430" i="815"/>
  <c r="F224" i="815"/>
  <c r="D234" i="815"/>
  <c r="G315" i="815"/>
  <c r="G427" i="815"/>
  <c r="F333" i="815"/>
  <c r="H224" i="815"/>
  <c r="H430" i="815"/>
  <c r="G413" i="814"/>
  <c r="G407" i="814"/>
  <c r="J433" i="814"/>
  <c r="J392" i="814"/>
  <c r="J303" i="815"/>
  <c r="J296" i="815"/>
  <c r="D422" i="815"/>
  <c r="J290" i="815"/>
  <c r="G333" i="815"/>
  <c r="D435" i="815"/>
  <c r="D394" i="815"/>
  <c r="J327" i="815"/>
  <c r="D315" i="815"/>
  <c r="H433" i="815"/>
  <c r="H392" i="815"/>
  <c r="F436" i="815"/>
  <c r="F395" i="815"/>
  <c r="D388" i="815"/>
  <c r="J38" i="815"/>
  <c r="J262" i="815"/>
  <c r="J426" i="815" s="1"/>
  <c r="D426" i="815"/>
  <c r="F234" i="815"/>
  <c r="H407" i="814"/>
  <c r="D414" i="815"/>
  <c r="G395" i="815"/>
  <c r="G436" i="815"/>
  <c r="E422" i="815"/>
  <c r="J129" i="814"/>
  <c r="J386" i="814"/>
  <c r="J144" i="815"/>
  <c r="D418" i="815"/>
  <c r="I224" i="815"/>
  <c r="I430" i="815"/>
  <c r="H333" i="815"/>
  <c r="H418" i="815"/>
  <c r="I422" i="815"/>
  <c r="J275" i="815"/>
  <c r="J424" i="815" s="1"/>
  <c r="D424" i="815"/>
  <c r="F427" i="815"/>
  <c r="H413" i="814"/>
  <c r="D413" i="814"/>
  <c r="F407" i="814"/>
  <c r="E407" i="814"/>
  <c r="E57" i="743"/>
  <c r="E192" i="743"/>
  <c r="E291" i="743"/>
  <c r="D7" i="207"/>
  <c r="I20" i="207" s="1"/>
  <c r="G95" i="743"/>
  <c r="G171" i="743"/>
  <c r="G411" i="743"/>
  <c r="G401" i="743" s="1"/>
  <c r="E122" i="743"/>
  <c r="G384" i="743"/>
  <c r="G374" i="743" s="1"/>
  <c r="G132" i="743"/>
  <c r="G464" i="743"/>
  <c r="G454" i="743" s="1"/>
  <c r="G410" i="743"/>
  <c r="G398" i="743" s="1"/>
  <c r="G358" i="743"/>
  <c r="G348" i="743" s="1"/>
  <c r="E87" i="743"/>
  <c r="G99" i="743"/>
  <c r="G98" i="743"/>
  <c r="G97" i="743"/>
  <c r="G96" i="743"/>
  <c r="G437" i="743"/>
  <c r="G427" i="743" s="1"/>
  <c r="G269" i="743"/>
  <c r="E121" i="743"/>
  <c r="E120" i="743"/>
  <c r="E124" i="743"/>
  <c r="E123" i="743"/>
  <c r="E230" i="743"/>
  <c r="E393" i="743"/>
  <c r="G69" i="207"/>
  <c r="G71" i="207"/>
  <c r="G73" i="207"/>
  <c r="E76" i="207"/>
  <c r="E78" i="207"/>
  <c r="E80" i="207"/>
  <c r="F82" i="207"/>
  <c r="F84" i="207"/>
  <c r="H69" i="207"/>
  <c r="H71" i="207"/>
  <c r="H73" i="207"/>
  <c r="F76" i="207"/>
  <c r="F78" i="207"/>
  <c r="F80" i="207"/>
  <c r="G82" i="207"/>
  <c r="G84" i="207"/>
  <c r="G86" i="207"/>
  <c r="I69" i="207"/>
  <c r="I71" i="207"/>
  <c r="I73" i="207"/>
  <c r="G76" i="207"/>
  <c r="G78" i="207"/>
  <c r="G80" i="207"/>
  <c r="H82" i="207"/>
  <c r="H84" i="207"/>
  <c r="H86" i="207"/>
  <c r="D70" i="207"/>
  <c r="D72" i="207"/>
  <c r="H76" i="207"/>
  <c r="H78" i="207"/>
  <c r="H80" i="207"/>
  <c r="I82" i="207"/>
  <c r="I84" i="207"/>
  <c r="I86" i="207"/>
  <c r="E70" i="207"/>
  <c r="E72" i="207"/>
  <c r="I76" i="207"/>
  <c r="I78" i="207"/>
  <c r="I80" i="207"/>
  <c r="D83" i="207"/>
  <c r="D85" i="207"/>
  <c r="D87" i="207"/>
  <c r="F70" i="207"/>
  <c r="F72" i="207"/>
  <c r="D75" i="207"/>
  <c r="D77" i="207"/>
  <c r="D79" i="207"/>
  <c r="E83" i="207"/>
  <c r="E85" i="207"/>
  <c r="E87" i="207"/>
  <c r="G70" i="207"/>
  <c r="G72" i="207"/>
  <c r="E75" i="207"/>
  <c r="E77" i="207"/>
  <c r="E79" i="207"/>
  <c r="F83" i="207"/>
  <c r="F85" i="207"/>
  <c r="F87" i="207"/>
  <c r="H70" i="207"/>
  <c r="H72" i="207"/>
  <c r="F75" i="207"/>
  <c r="F77" i="207"/>
  <c r="F79" i="207"/>
  <c r="G83" i="207"/>
  <c r="G85" i="207"/>
  <c r="G87" i="207"/>
  <c r="F86" i="207"/>
  <c r="I70" i="207"/>
  <c r="I72" i="207"/>
  <c r="G75" i="207"/>
  <c r="G77" i="207"/>
  <c r="G79" i="207"/>
  <c r="H83" i="207"/>
  <c r="H85" i="207"/>
  <c r="H87" i="207"/>
  <c r="D69" i="207"/>
  <c r="D71" i="207"/>
  <c r="D73" i="207"/>
  <c r="H75" i="207"/>
  <c r="H77" i="207"/>
  <c r="H79" i="207"/>
  <c r="I83" i="207"/>
  <c r="I85" i="207"/>
  <c r="I87" i="207"/>
  <c r="E69" i="207"/>
  <c r="E71" i="207"/>
  <c r="E73" i="207"/>
  <c r="I75" i="207"/>
  <c r="I77" i="207"/>
  <c r="I79" i="207"/>
  <c r="D82" i="207"/>
  <c r="D84" i="207"/>
  <c r="D86" i="207"/>
  <c r="F69" i="207"/>
  <c r="F71" i="207"/>
  <c r="F73" i="207"/>
  <c r="D76" i="207"/>
  <c r="D78" i="207"/>
  <c r="D80" i="207"/>
  <c r="E82" i="207"/>
  <c r="E84" i="207"/>
  <c r="E86" i="207"/>
  <c r="I66" i="207"/>
  <c r="F67" i="207"/>
  <c r="H65" i="207"/>
  <c r="E66" i="207"/>
  <c r="I64" i="207"/>
  <c r="E65" i="207"/>
  <c r="I63" i="207"/>
  <c r="D63" i="207"/>
  <c r="D65" i="207"/>
  <c r="E62" i="207"/>
  <c r="I62" i="207"/>
  <c r="H66" i="207"/>
  <c r="F66" i="207"/>
  <c r="E67" i="207"/>
  <c r="G62" i="207"/>
  <c r="F62" i="207"/>
  <c r="H62" i="207"/>
  <c r="H63" i="207"/>
  <c r="I67" i="207"/>
  <c r="G63" i="207"/>
  <c r="E63" i="207"/>
  <c r="G66" i="207"/>
  <c r="I65" i="207"/>
  <c r="D62" i="207"/>
  <c r="D66" i="207"/>
  <c r="E64" i="207"/>
  <c r="F63" i="207"/>
  <c r="G65" i="207"/>
  <c r="F65" i="207"/>
  <c r="D67" i="207"/>
  <c r="H64" i="207"/>
  <c r="G64" i="207"/>
  <c r="G67" i="207"/>
  <c r="F64" i="207"/>
  <c r="H67" i="207"/>
  <c r="D64" i="207"/>
  <c r="E40" i="39"/>
  <c r="E51" i="39" s="1"/>
  <c r="D5" i="91"/>
  <c r="D7" i="91" s="1"/>
  <c r="D16" i="91" s="1"/>
  <c r="H57" i="743" l="1"/>
  <c r="H87" i="743"/>
  <c r="H298" i="743"/>
  <c r="H161" i="743"/>
  <c r="H81" i="743"/>
  <c r="H262" i="743"/>
  <c r="H192" i="743"/>
  <c r="H120" i="743"/>
  <c r="H124" i="743"/>
  <c r="H121" i="743"/>
  <c r="H230" i="743"/>
  <c r="H122" i="743"/>
  <c r="H261" i="743"/>
  <c r="H188" i="743"/>
  <c r="H123" i="743"/>
  <c r="H291" i="743"/>
  <c r="H223" i="743"/>
  <c r="W434" i="825"/>
  <c r="H393" i="743"/>
  <c r="W296" i="825"/>
  <c r="W160" i="825"/>
  <c r="W68" i="825"/>
  <c r="W69" i="825"/>
  <c r="W70" i="825"/>
  <c r="W260" i="825"/>
  <c r="W129" i="825"/>
  <c r="W120" i="825"/>
  <c r="W127" i="825"/>
  <c r="W226" i="825"/>
  <c r="W61" i="825"/>
  <c r="W62" i="825"/>
  <c r="W63" i="825"/>
  <c r="W196" i="825"/>
  <c r="W130" i="825"/>
  <c r="W267" i="825"/>
  <c r="W301" i="825"/>
  <c r="W231" i="825"/>
  <c r="W21" i="825"/>
  <c r="W128" i="825"/>
  <c r="W199" i="825"/>
  <c r="M98" i="743"/>
  <c r="M99" i="743"/>
  <c r="M97" i="743"/>
  <c r="K121" i="743"/>
  <c r="K123" i="743"/>
  <c r="K122" i="743"/>
  <c r="Q55" i="66"/>
  <c r="Q52" i="66"/>
  <c r="Q53" i="66"/>
  <c r="Q54" i="66"/>
  <c r="Q32" i="66"/>
  <c r="Q30" i="66"/>
  <c r="Q33" i="66"/>
  <c r="Q31" i="66"/>
  <c r="Q34" i="66"/>
  <c r="Q15" i="66"/>
  <c r="Q14" i="66"/>
  <c r="Q20" i="66"/>
  <c r="Q10" i="66"/>
  <c r="Q18" i="66"/>
  <c r="Q8" i="66"/>
  <c r="Q13" i="66"/>
  <c r="Q9" i="66"/>
  <c r="Q19" i="66"/>
  <c r="Q48" i="66"/>
  <c r="L48" i="66" s="1"/>
  <c r="K48" i="66" s="1"/>
  <c r="Q51" i="66"/>
  <c r="Q22" i="66"/>
  <c r="L22" i="66" s="1"/>
  <c r="K22" i="66" s="1"/>
  <c r="Q26" i="66"/>
  <c r="Q25" i="66"/>
  <c r="G399" i="814"/>
  <c r="G402" i="814"/>
  <c r="G420" i="814" s="1"/>
  <c r="E402" i="814"/>
  <c r="E420" i="814" s="1"/>
  <c r="D402" i="814"/>
  <c r="D420" i="814" s="1"/>
  <c r="F399" i="814"/>
  <c r="J382" i="814"/>
  <c r="J403" i="814" s="1"/>
  <c r="E399" i="814"/>
  <c r="H399" i="814"/>
  <c r="D399" i="814"/>
  <c r="I402" i="814"/>
  <c r="I420" i="814" s="1"/>
  <c r="J383" i="814"/>
  <c r="J404" i="814" s="1"/>
  <c r="J422" i="814"/>
  <c r="J440" i="814" s="1"/>
  <c r="J234" i="814"/>
  <c r="J384" i="814"/>
  <c r="J405" i="814" s="1"/>
  <c r="J381" i="814"/>
  <c r="H402" i="814"/>
  <c r="H420" i="814" s="1"/>
  <c r="F402" i="814"/>
  <c r="F420" i="814" s="1"/>
  <c r="I399" i="814"/>
  <c r="D440" i="814"/>
  <c r="D441" i="814" s="1"/>
  <c r="F441" i="814"/>
  <c r="H441" i="814"/>
  <c r="H375" i="814"/>
  <c r="I375" i="814"/>
  <c r="J342" i="814"/>
  <c r="I441" i="814"/>
  <c r="G441" i="814"/>
  <c r="G375" i="814"/>
  <c r="E441" i="814"/>
  <c r="E375" i="814"/>
  <c r="Q56" i="66"/>
  <c r="N56" i="66" s="1"/>
  <c r="Q49" i="66"/>
  <c r="Q50" i="66"/>
  <c r="N50" i="66" s="1"/>
  <c r="Q23" i="66"/>
  <c r="N23" i="66" s="1"/>
  <c r="Q24" i="66"/>
  <c r="N24" i="66" s="1"/>
  <c r="Q7" i="66"/>
  <c r="N7" i="66" s="1"/>
  <c r="Q29" i="66"/>
  <c r="N29" i="66" s="1"/>
  <c r="Q17" i="66"/>
  <c r="N17" i="66" s="1"/>
  <c r="Q12" i="66"/>
  <c r="N12" i="66" s="1"/>
  <c r="E446" i="743"/>
  <c r="E366" i="743"/>
  <c r="E342" i="815"/>
  <c r="I278" i="813"/>
  <c r="D288" i="813"/>
  <c r="H280" i="813"/>
  <c r="D30" i="207"/>
  <c r="H30" i="207"/>
  <c r="E472" i="743"/>
  <c r="H29" i="207"/>
  <c r="G30" i="207"/>
  <c r="F29" i="207"/>
  <c r="D29" i="207"/>
  <c r="E30" i="207"/>
  <c r="I31" i="207"/>
  <c r="I30" i="207"/>
  <c r="I28" i="207"/>
  <c r="E31" i="207"/>
  <c r="F30" i="207"/>
  <c r="G29" i="207"/>
  <c r="H31" i="207"/>
  <c r="E29" i="207"/>
  <c r="F28" i="207"/>
  <c r="H28" i="207"/>
  <c r="I29" i="207"/>
  <c r="E329" i="813"/>
  <c r="D278" i="813"/>
  <c r="D287" i="813"/>
  <c r="D270" i="813"/>
  <c r="I280" i="813"/>
  <c r="E52" i="207"/>
  <c r="H58" i="207"/>
  <c r="H21" i="207"/>
  <c r="H123" i="207" s="1"/>
  <c r="J216" i="814"/>
  <c r="E21" i="207"/>
  <c r="E123" i="207" s="1"/>
  <c r="I21" i="207"/>
  <c r="I123" i="207" s="1"/>
  <c r="F21" i="207"/>
  <c r="F123" i="207" s="1"/>
  <c r="D21" i="207"/>
  <c r="D123" i="207" s="1"/>
  <c r="G28" i="207"/>
  <c r="F31" i="207"/>
  <c r="D28" i="207"/>
  <c r="G31" i="207"/>
  <c r="D221" i="813"/>
  <c r="D432" i="813" s="1"/>
  <c r="I311" i="815"/>
  <c r="H316" i="813"/>
  <c r="H397" i="813" s="1"/>
  <c r="D316" i="813"/>
  <c r="D397" i="813" s="1"/>
  <c r="E221" i="813"/>
  <c r="E432" i="813" s="1"/>
  <c r="F316" i="813"/>
  <c r="F397" i="813" s="1"/>
  <c r="E28" i="207"/>
  <c r="G316" i="813"/>
  <c r="G438" i="813" s="1"/>
  <c r="E272" i="813"/>
  <c r="I284" i="813"/>
  <c r="G273" i="813"/>
  <c r="F286" i="813"/>
  <c r="I331" i="813"/>
  <c r="H229" i="813"/>
  <c r="D230" i="813"/>
  <c r="I328" i="813"/>
  <c r="F230" i="813"/>
  <c r="D328" i="813"/>
  <c r="D229" i="813"/>
  <c r="G331" i="813"/>
  <c r="H332" i="813"/>
  <c r="I232" i="813"/>
  <c r="E332" i="813"/>
  <c r="E232" i="813"/>
  <c r="F332" i="813"/>
  <c r="F231" i="813"/>
  <c r="E330" i="813"/>
  <c r="F232" i="813"/>
  <c r="H328" i="813"/>
  <c r="F229" i="813"/>
  <c r="F331" i="813"/>
  <c r="G328" i="813"/>
  <c r="H232" i="813"/>
  <c r="D231" i="813"/>
  <c r="H330" i="813"/>
  <c r="H230" i="813"/>
  <c r="D232" i="813"/>
  <c r="D329" i="813"/>
  <c r="E328" i="813"/>
  <c r="G332" i="813"/>
  <c r="G330" i="813"/>
  <c r="G231" i="813"/>
  <c r="I231" i="813"/>
  <c r="E331" i="813"/>
  <c r="H329" i="813"/>
  <c r="G230" i="813"/>
  <c r="I229" i="813"/>
  <c r="I330" i="813"/>
  <c r="F328" i="813"/>
  <c r="D330" i="813"/>
  <c r="F330" i="813"/>
  <c r="E230" i="813"/>
  <c r="F329" i="813"/>
  <c r="H331" i="813"/>
  <c r="I329" i="813"/>
  <c r="E231" i="813"/>
  <c r="D332" i="813"/>
  <c r="I332" i="813"/>
  <c r="I230" i="813"/>
  <c r="G329" i="813"/>
  <c r="E229" i="813"/>
  <c r="J395" i="815"/>
  <c r="J416" i="815" s="1"/>
  <c r="G229" i="813"/>
  <c r="D331" i="813"/>
  <c r="H231" i="813"/>
  <c r="I417" i="815"/>
  <c r="D417" i="815"/>
  <c r="I316" i="813"/>
  <c r="I438" i="813" s="1"/>
  <c r="F35" i="207"/>
  <c r="G225" i="813"/>
  <c r="G430" i="813" s="1"/>
  <c r="I36" i="207"/>
  <c r="G36" i="207"/>
  <c r="H417" i="815"/>
  <c r="G221" i="813"/>
  <c r="G432" i="813" s="1"/>
  <c r="F221" i="813"/>
  <c r="F432" i="813" s="1"/>
  <c r="I221" i="813"/>
  <c r="I220" i="813" s="1"/>
  <c r="F416" i="815"/>
  <c r="F279" i="813"/>
  <c r="F272" i="813"/>
  <c r="G270" i="813"/>
  <c r="D283" i="813"/>
  <c r="F271" i="813"/>
  <c r="G279" i="813"/>
  <c r="G287" i="813"/>
  <c r="I272" i="813"/>
  <c r="F288" i="813"/>
  <c r="E47" i="207"/>
  <c r="F51" i="207"/>
  <c r="E271" i="813"/>
  <c r="D276" i="813"/>
  <c r="E270" i="813"/>
  <c r="H271" i="813"/>
  <c r="H287" i="813"/>
  <c r="E273" i="813"/>
  <c r="E286" i="813"/>
  <c r="H273" i="813"/>
  <c r="I271" i="813"/>
  <c r="I53" i="207"/>
  <c r="D51" i="207"/>
  <c r="I415" i="815"/>
  <c r="G274" i="813"/>
  <c r="H272" i="813"/>
  <c r="E279" i="813"/>
  <c r="H286" i="813"/>
  <c r="I270" i="813"/>
  <c r="I287" i="813"/>
  <c r="D57" i="207"/>
  <c r="D54" i="207"/>
  <c r="H39" i="207"/>
  <c r="D272" i="813"/>
  <c r="I286" i="813"/>
  <c r="F287" i="813"/>
  <c r="F285" i="813"/>
  <c r="D279" i="813"/>
  <c r="F273" i="813"/>
  <c r="E285" i="813"/>
  <c r="D39" i="207"/>
  <c r="G280" i="813"/>
  <c r="F270" i="813"/>
  <c r="G283" i="813"/>
  <c r="H285" i="813"/>
  <c r="D281" i="813"/>
  <c r="H49" i="207"/>
  <c r="E51" i="207"/>
  <c r="E287" i="813"/>
  <c r="F277" i="813"/>
  <c r="F283" i="813"/>
  <c r="G284" i="813"/>
  <c r="E288" i="813"/>
  <c r="F274" i="813"/>
  <c r="H42" i="207"/>
  <c r="F57" i="207"/>
  <c r="D271" i="813"/>
  <c r="E280" i="813"/>
  <c r="I279" i="813"/>
  <c r="E276" i="813"/>
  <c r="I285" i="813"/>
  <c r="F59" i="207"/>
  <c r="D43" i="207"/>
  <c r="E283" i="813"/>
  <c r="H279" i="813"/>
  <c r="G276" i="813"/>
  <c r="G286" i="813"/>
  <c r="F280" i="813"/>
  <c r="D284" i="813"/>
  <c r="E281" i="813"/>
  <c r="F278" i="813"/>
  <c r="F276" i="813"/>
  <c r="I281" i="813"/>
  <c r="G281" i="813"/>
  <c r="H278" i="813"/>
  <c r="H53" i="207"/>
  <c r="H44" i="207"/>
  <c r="F41" i="207"/>
  <c r="F47" i="207"/>
  <c r="G59" i="207"/>
  <c r="D280" i="813"/>
  <c r="D273" i="813"/>
  <c r="I288" i="813"/>
  <c r="E53" i="207"/>
  <c r="G58" i="207"/>
  <c r="I283" i="813"/>
  <c r="I273" i="813"/>
  <c r="G285" i="813"/>
  <c r="H274" i="813"/>
  <c r="E274" i="813"/>
  <c r="H277" i="813"/>
  <c r="G272" i="813"/>
  <c r="H283" i="813"/>
  <c r="D277" i="813"/>
  <c r="H48" i="207"/>
  <c r="H51" i="207"/>
  <c r="D286" i="813"/>
  <c r="E278" i="813"/>
  <c r="I274" i="813"/>
  <c r="F284" i="813"/>
  <c r="F281" i="813"/>
  <c r="E43" i="207"/>
  <c r="E46" i="207"/>
  <c r="D285" i="813"/>
  <c r="E284" i="813"/>
  <c r="I276" i="813"/>
  <c r="E277" i="813"/>
  <c r="H288" i="813"/>
  <c r="G288" i="813"/>
  <c r="G271" i="813"/>
  <c r="H281" i="813"/>
  <c r="I225" i="813"/>
  <c r="I430" i="813" s="1"/>
  <c r="E41" i="207"/>
  <c r="I44" i="207"/>
  <c r="H57" i="207"/>
  <c r="I52" i="207"/>
  <c r="I43" i="207"/>
  <c r="H413" i="815"/>
  <c r="H276" i="813"/>
  <c r="I277" i="813"/>
  <c r="H270" i="813"/>
  <c r="G278" i="813"/>
  <c r="G277" i="813"/>
  <c r="H284" i="813"/>
  <c r="E415" i="815"/>
  <c r="E316" i="813"/>
  <c r="E407" i="815"/>
  <c r="I390" i="813"/>
  <c r="I411" i="813" s="1"/>
  <c r="F375" i="814"/>
  <c r="G311" i="815"/>
  <c r="G407" i="815"/>
  <c r="I317" i="813"/>
  <c r="F417" i="815"/>
  <c r="J407" i="814"/>
  <c r="H415" i="815"/>
  <c r="J413" i="814"/>
  <c r="D413" i="815"/>
  <c r="J65" i="813"/>
  <c r="F239" i="813"/>
  <c r="J135" i="813"/>
  <c r="J259" i="813"/>
  <c r="J250" i="813"/>
  <c r="G256" i="813"/>
  <c r="J59" i="813"/>
  <c r="I251" i="813"/>
  <c r="J242" i="813"/>
  <c r="G390" i="813"/>
  <c r="G411" i="813" s="1"/>
  <c r="E61" i="813"/>
  <c r="F56" i="813"/>
  <c r="F49" i="813"/>
  <c r="G49" i="813"/>
  <c r="J63" i="813"/>
  <c r="J266" i="813"/>
  <c r="G156" i="813"/>
  <c r="G61" i="813"/>
  <c r="H161" i="813"/>
  <c r="G38" i="813"/>
  <c r="E335" i="813"/>
  <c r="E433" i="813" s="1"/>
  <c r="E256" i="813"/>
  <c r="E251" i="813"/>
  <c r="G161" i="813"/>
  <c r="E133" i="813"/>
  <c r="G246" i="813"/>
  <c r="F38" i="813"/>
  <c r="J326" i="813"/>
  <c r="I322" i="813"/>
  <c r="I262" i="813"/>
  <c r="I426" i="813" s="1"/>
  <c r="E66" i="813"/>
  <c r="F225" i="813"/>
  <c r="F430" i="813" s="1"/>
  <c r="F317" i="813"/>
  <c r="F437" i="813" s="1"/>
  <c r="F151" i="813"/>
  <c r="J127" i="813"/>
  <c r="E156" i="813"/>
  <c r="E225" i="813"/>
  <c r="E430" i="813" s="1"/>
  <c r="H322" i="813"/>
  <c r="H395" i="813" s="1"/>
  <c r="E49" i="813"/>
  <c r="F61" i="813"/>
  <c r="E390" i="813"/>
  <c r="E411" i="813" s="1"/>
  <c r="J163" i="813"/>
  <c r="D38" i="813"/>
  <c r="J39" i="813"/>
  <c r="H239" i="813"/>
  <c r="J260" i="813"/>
  <c r="J70" i="813"/>
  <c r="E38" i="813"/>
  <c r="J40" i="813"/>
  <c r="J340" i="813"/>
  <c r="F335" i="813"/>
  <c r="F333" i="813" s="1"/>
  <c r="J324" i="813"/>
  <c r="E37" i="207"/>
  <c r="D407" i="815"/>
  <c r="J150" i="813"/>
  <c r="J235" i="813"/>
  <c r="J428" i="813" s="1"/>
  <c r="I35" i="485" s="1"/>
  <c r="D428" i="813"/>
  <c r="J164" i="813"/>
  <c r="J253" i="813"/>
  <c r="J319" i="813"/>
  <c r="H56" i="813"/>
  <c r="E151" i="813"/>
  <c r="E48" i="207"/>
  <c r="H47" i="207"/>
  <c r="H43" i="207"/>
  <c r="F40" i="207"/>
  <c r="D37" i="207"/>
  <c r="G144" i="813"/>
  <c r="J54" i="813"/>
  <c r="J55" i="813"/>
  <c r="H66" i="813"/>
  <c r="G66" i="813"/>
  <c r="H246" i="813"/>
  <c r="I256" i="813"/>
  <c r="D431" i="813"/>
  <c r="J222" i="813"/>
  <c r="J431" i="813" s="1"/>
  <c r="L35" i="485" s="1"/>
  <c r="J226" i="813"/>
  <c r="D225" i="813"/>
  <c r="H144" i="813"/>
  <c r="H49" i="813"/>
  <c r="H37" i="207"/>
  <c r="J51" i="813"/>
  <c r="F262" i="813"/>
  <c r="F426" i="813" s="1"/>
  <c r="F439" i="813"/>
  <c r="F398" i="813"/>
  <c r="I151" i="813"/>
  <c r="J153" i="813"/>
  <c r="J146" i="813"/>
  <c r="G41" i="207"/>
  <c r="I59" i="207"/>
  <c r="I46" i="207"/>
  <c r="G53" i="207"/>
  <c r="E35" i="207"/>
  <c r="H440" i="815"/>
  <c r="E144" i="813"/>
  <c r="J69" i="813"/>
  <c r="I38" i="813"/>
  <c r="J249" i="813"/>
  <c r="E239" i="813"/>
  <c r="H156" i="813"/>
  <c r="D56" i="813"/>
  <c r="J57" i="813"/>
  <c r="E322" i="813"/>
  <c r="J318" i="813"/>
  <c r="D317" i="813"/>
  <c r="D36" i="207"/>
  <c r="J52" i="813"/>
  <c r="G393" i="813"/>
  <c r="G434" i="813"/>
  <c r="J257" i="813"/>
  <c r="D256" i="813"/>
  <c r="D390" i="813"/>
  <c r="J32" i="813"/>
  <c r="F434" i="813"/>
  <c r="F393" i="813"/>
  <c r="H434" i="813"/>
  <c r="H393" i="813"/>
  <c r="E317" i="813"/>
  <c r="G151" i="813"/>
  <c r="G262" i="813"/>
  <c r="G426" i="813" s="1"/>
  <c r="D66" i="813"/>
  <c r="J67" i="813"/>
  <c r="F256" i="813"/>
  <c r="D59" i="207"/>
  <c r="D41" i="207"/>
  <c r="E40" i="207"/>
  <c r="D40" i="207"/>
  <c r="F37" i="207"/>
  <c r="I37" i="207"/>
  <c r="E26" i="207"/>
  <c r="F413" i="815"/>
  <c r="I49" i="813"/>
  <c r="E161" i="813"/>
  <c r="J165" i="813"/>
  <c r="H133" i="813"/>
  <c r="H335" i="813"/>
  <c r="H333" i="813" s="1"/>
  <c r="J258" i="813"/>
  <c r="J247" i="813"/>
  <c r="D246" i="813"/>
  <c r="F156" i="813"/>
  <c r="J64" i="813"/>
  <c r="I156" i="813"/>
  <c r="G439" i="813"/>
  <c r="G398" i="813"/>
  <c r="H151" i="813"/>
  <c r="J60" i="813"/>
  <c r="G322" i="813"/>
  <c r="J227" i="813"/>
  <c r="I439" i="813"/>
  <c r="I398" i="813"/>
  <c r="J152" i="813"/>
  <c r="D151" i="813"/>
  <c r="F246" i="813"/>
  <c r="D156" i="813"/>
  <c r="J157" i="813"/>
  <c r="H439" i="813"/>
  <c r="H398" i="813"/>
  <c r="J58" i="813"/>
  <c r="D35" i="207"/>
  <c r="J41" i="813"/>
  <c r="J160" i="813"/>
  <c r="D56" i="207"/>
  <c r="E44" i="207"/>
  <c r="E36" i="207"/>
  <c r="G37" i="207"/>
  <c r="G26" i="207"/>
  <c r="I61" i="813"/>
  <c r="J325" i="813"/>
  <c r="D49" i="207"/>
  <c r="G46" i="207"/>
  <c r="F58" i="207"/>
  <c r="E49" i="207"/>
  <c r="H36" i="207"/>
  <c r="D25" i="207"/>
  <c r="F440" i="815"/>
  <c r="I416" i="815"/>
  <c r="I144" i="813"/>
  <c r="J268" i="813"/>
  <c r="J267" i="813"/>
  <c r="D393" i="813"/>
  <c r="D434" i="813"/>
  <c r="J334" i="813"/>
  <c r="F133" i="813"/>
  <c r="J241" i="813"/>
  <c r="E246" i="813"/>
  <c r="G251" i="813"/>
  <c r="J336" i="813"/>
  <c r="D335" i="813"/>
  <c r="D333" i="813" s="1"/>
  <c r="J255" i="813"/>
  <c r="J159" i="813"/>
  <c r="H317" i="813"/>
  <c r="G317" i="813"/>
  <c r="E56" i="813"/>
  <c r="F322" i="813"/>
  <c r="D144" i="813"/>
  <c r="J145" i="813"/>
  <c r="J252" i="813"/>
  <c r="D251" i="813"/>
  <c r="I239" i="813"/>
  <c r="H432" i="813"/>
  <c r="H220" i="813"/>
  <c r="H35" i="207"/>
  <c r="J158" i="813"/>
  <c r="I56" i="813"/>
  <c r="H390" i="813"/>
  <c r="H411" i="813" s="1"/>
  <c r="H225" i="813"/>
  <c r="F25" i="207"/>
  <c r="F24" i="207" s="1"/>
  <c r="F122" i="207" s="1"/>
  <c r="F144" i="813"/>
  <c r="J148" i="813"/>
  <c r="E42" i="207"/>
  <c r="J50" i="813"/>
  <c r="D49" i="813"/>
  <c r="J265" i="813"/>
  <c r="E262" i="813"/>
  <c r="E426" i="813" s="1"/>
  <c r="J68" i="813"/>
  <c r="J42" i="813"/>
  <c r="H38" i="813"/>
  <c r="G133" i="813"/>
  <c r="F251" i="813"/>
  <c r="H251" i="813"/>
  <c r="I246" i="813"/>
  <c r="J245" i="813"/>
  <c r="H61" i="813"/>
  <c r="J155" i="813"/>
  <c r="J154" i="813"/>
  <c r="J136" i="813"/>
  <c r="J263" i="813"/>
  <c r="D262" i="813"/>
  <c r="I434" i="813"/>
  <c r="I393" i="813"/>
  <c r="E434" i="813"/>
  <c r="E393" i="813"/>
  <c r="D133" i="813"/>
  <c r="J134" i="813"/>
  <c r="J147" i="813"/>
  <c r="J264" i="813"/>
  <c r="I66" i="813"/>
  <c r="H256" i="813"/>
  <c r="J338" i="813"/>
  <c r="G335" i="813"/>
  <c r="F311" i="815"/>
  <c r="D161" i="813"/>
  <c r="J162" i="813"/>
  <c r="G56" i="813"/>
  <c r="F36" i="207"/>
  <c r="H262" i="813"/>
  <c r="H426" i="813" s="1"/>
  <c r="J137" i="813"/>
  <c r="J240" i="813"/>
  <c r="D239" i="813"/>
  <c r="J244" i="813"/>
  <c r="F56" i="207"/>
  <c r="J149" i="813"/>
  <c r="G239" i="813"/>
  <c r="J339" i="813"/>
  <c r="J254" i="813"/>
  <c r="J243" i="813"/>
  <c r="H56" i="207"/>
  <c r="I47" i="207"/>
  <c r="F53" i="207"/>
  <c r="I35" i="207"/>
  <c r="D44" i="207"/>
  <c r="I58" i="207"/>
  <c r="G44" i="207"/>
  <c r="F52" i="207"/>
  <c r="E311" i="815"/>
  <c r="I342" i="815"/>
  <c r="J53" i="813"/>
  <c r="I161" i="813"/>
  <c r="F66" i="813"/>
  <c r="F161" i="813"/>
  <c r="I133" i="813"/>
  <c r="J337" i="813"/>
  <c r="I335" i="813"/>
  <c r="J248" i="813"/>
  <c r="D61" i="813"/>
  <c r="J62" i="813"/>
  <c r="E439" i="813"/>
  <c r="E398" i="813"/>
  <c r="D439" i="813"/>
  <c r="D398" i="813"/>
  <c r="J320" i="813"/>
  <c r="F390" i="813"/>
  <c r="F411" i="813" s="1"/>
  <c r="J323" i="813"/>
  <c r="D322" i="813"/>
  <c r="J414" i="815"/>
  <c r="F415" i="815"/>
  <c r="J321" i="815"/>
  <c r="H342" i="815"/>
  <c r="H407" i="815"/>
  <c r="J427" i="815"/>
  <c r="J333" i="815"/>
  <c r="G342" i="815"/>
  <c r="I407" i="815"/>
  <c r="G417" i="815"/>
  <c r="H416" i="815"/>
  <c r="I440" i="815"/>
  <c r="D47" i="207"/>
  <c r="J388" i="815"/>
  <c r="J409" i="815" s="1"/>
  <c r="E56" i="207"/>
  <c r="F46" i="207"/>
  <c r="I42" i="207"/>
  <c r="I48" i="207"/>
  <c r="E59" i="207"/>
  <c r="D46" i="207"/>
  <c r="I40" i="207"/>
  <c r="D26" i="207"/>
  <c r="J311" i="814"/>
  <c r="D409" i="815"/>
  <c r="J392" i="815"/>
  <c r="J433" i="815"/>
  <c r="D375" i="814"/>
  <c r="E416" i="815"/>
  <c r="G416" i="815"/>
  <c r="H26" i="207"/>
  <c r="G51" i="207"/>
  <c r="D53" i="207"/>
  <c r="G48" i="207"/>
  <c r="E58" i="207"/>
  <c r="G49" i="207"/>
  <c r="J435" i="815"/>
  <c r="J394" i="815"/>
  <c r="I39" i="207"/>
  <c r="I51" i="207"/>
  <c r="I54" i="207"/>
  <c r="F48" i="207"/>
  <c r="F43" i="207"/>
  <c r="I41" i="207"/>
  <c r="I57" i="207"/>
  <c r="H25" i="207"/>
  <c r="D415" i="815"/>
  <c r="F407" i="815"/>
  <c r="H311" i="815"/>
  <c r="J418" i="815"/>
  <c r="D440" i="815"/>
  <c r="J396" i="815"/>
  <c r="J437" i="815"/>
  <c r="I56" i="207"/>
  <c r="D58" i="207"/>
  <c r="G42" i="207"/>
  <c r="H52" i="207"/>
  <c r="F42" i="207"/>
  <c r="G43" i="207"/>
  <c r="I49" i="207"/>
  <c r="E25" i="207"/>
  <c r="F342" i="815"/>
  <c r="G413" i="815"/>
  <c r="G440" i="815"/>
  <c r="E54" i="207"/>
  <c r="H40" i="207"/>
  <c r="I25" i="207"/>
  <c r="E39" i="207"/>
  <c r="D42" i="207"/>
  <c r="G54" i="207"/>
  <c r="F44" i="207"/>
  <c r="H46" i="207"/>
  <c r="F54" i="207"/>
  <c r="G57" i="207"/>
  <c r="I26" i="207"/>
  <c r="E440" i="815"/>
  <c r="J422" i="815"/>
  <c r="J224" i="815"/>
  <c r="D52" i="207"/>
  <c r="G40" i="207"/>
  <c r="G47" i="207"/>
  <c r="G39" i="207"/>
  <c r="H59" i="207"/>
  <c r="G25" i="207"/>
  <c r="H54" i="207"/>
  <c r="D311" i="815"/>
  <c r="J234" i="815"/>
  <c r="D48" i="207"/>
  <c r="F39" i="207"/>
  <c r="F49" i="207"/>
  <c r="E57" i="207"/>
  <c r="G56" i="207"/>
  <c r="G52" i="207"/>
  <c r="J315" i="815"/>
  <c r="D342" i="815"/>
  <c r="E413" i="815"/>
  <c r="J386" i="815"/>
  <c r="H20" i="207"/>
  <c r="G20" i="207"/>
  <c r="D20" i="207"/>
  <c r="E20" i="207"/>
  <c r="E124" i="207" s="1"/>
  <c r="F20" i="207"/>
  <c r="F124" i="207" s="1"/>
  <c r="E340" i="743"/>
  <c r="E419" i="743"/>
  <c r="I95" i="207"/>
  <c r="J91" i="207"/>
  <c r="H95" i="207"/>
  <c r="J98" i="207"/>
  <c r="J100" i="207"/>
  <c r="H102" i="207"/>
  <c r="J65" i="207"/>
  <c r="F61" i="207"/>
  <c r="F118" i="207" s="1"/>
  <c r="D95" i="207"/>
  <c r="J96" i="207"/>
  <c r="D102" i="207"/>
  <c r="J103" i="207"/>
  <c r="J90" i="207"/>
  <c r="D89" i="207"/>
  <c r="J75" i="207"/>
  <c r="D74" i="207"/>
  <c r="D68" i="207"/>
  <c r="J69" i="207"/>
  <c r="J82" i="207"/>
  <c r="D81" i="207"/>
  <c r="I124" i="207"/>
  <c r="D61" i="207"/>
  <c r="J62" i="207"/>
  <c r="J105" i="207"/>
  <c r="J97" i="207"/>
  <c r="E95" i="207"/>
  <c r="J101" i="207"/>
  <c r="I102" i="207"/>
  <c r="E89" i="207"/>
  <c r="F95" i="207"/>
  <c r="I89" i="207"/>
  <c r="F89" i="207"/>
  <c r="G95" i="207"/>
  <c r="F102" i="207"/>
  <c r="J92" i="207"/>
  <c r="J94" i="207"/>
  <c r="H89" i="207"/>
  <c r="E102" i="207"/>
  <c r="J108" i="207"/>
  <c r="J107" i="207"/>
  <c r="G89" i="207"/>
  <c r="J106" i="207"/>
  <c r="J99" i="207"/>
  <c r="J93" i="207"/>
  <c r="J104" i="207"/>
  <c r="G102" i="207"/>
  <c r="G68" i="207"/>
  <c r="G115" i="207" s="1"/>
  <c r="F81" i="207"/>
  <c r="F117" i="207" s="1"/>
  <c r="H68" i="207"/>
  <c r="H115" i="207" s="1"/>
  <c r="G81" i="207"/>
  <c r="G117" i="207" s="1"/>
  <c r="I68" i="207"/>
  <c r="H81" i="207"/>
  <c r="H117" i="207" s="1"/>
  <c r="J70" i="207"/>
  <c r="J72" i="207"/>
  <c r="I81" i="207"/>
  <c r="I117" i="207" s="1"/>
  <c r="J83" i="207"/>
  <c r="J85" i="207"/>
  <c r="J87" i="207"/>
  <c r="J77" i="207"/>
  <c r="J79" i="207"/>
  <c r="E74" i="207"/>
  <c r="E116" i="207" s="1"/>
  <c r="F74" i="207"/>
  <c r="F116" i="207" s="1"/>
  <c r="J63" i="207"/>
  <c r="E61" i="207"/>
  <c r="E118" i="207" s="1"/>
  <c r="G61" i="207"/>
  <c r="G118" i="207" s="1"/>
  <c r="H61" i="207"/>
  <c r="H118" i="207" s="1"/>
  <c r="G74" i="207"/>
  <c r="G116" i="207" s="1"/>
  <c r="J71" i="207"/>
  <c r="J73" i="207"/>
  <c r="H74" i="207"/>
  <c r="H116" i="207" s="1"/>
  <c r="E68" i="207"/>
  <c r="E115" i="207" s="1"/>
  <c r="I74" i="207"/>
  <c r="I116" i="207" s="1"/>
  <c r="J84" i="207"/>
  <c r="J86" i="207"/>
  <c r="F68" i="207"/>
  <c r="F115" i="207" s="1"/>
  <c r="J76" i="207"/>
  <c r="J78" i="207"/>
  <c r="J80" i="207"/>
  <c r="E81" i="207"/>
  <c r="E117" i="207" s="1"/>
  <c r="I61" i="207"/>
  <c r="I118" i="207" s="1"/>
  <c r="J66" i="207"/>
  <c r="J67" i="207"/>
  <c r="J64" i="207"/>
  <c r="W404" i="825" l="1"/>
  <c r="H419" i="743"/>
  <c r="W468" i="825"/>
  <c r="H366" i="743"/>
  <c r="W340" i="825"/>
  <c r="H472" i="743"/>
  <c r="W498" i="825"/>
  <c r="H340" i="743"/>
  <c r="W369" i="825"/>
  <c r="H446" i="743"/>
  <c r="Q60" i="66"/>
  <c r="L60" i="66" s="1"/>
  <c r="K60" i="66" s="1"/>
  <c r="Q62" i="66"/>
  <c r="L62" i="66" s="1"/>
  <c r="K62" i="66" s="1"/>
  <c r="Q59" i="66"/>
  <c r="L59" i="66" s="1"/>
  <c r="K59" i="66" s="1"/>
  <c r="Q61" i="66"/>
  <c r="L61" i="66" s="1"/>
  <c r="K61" i="66" s="1"/>
  <c r="G400" i="814"/>
  <c r="H400" i="814"/>
  <c r="F400" i="814"/>
  <c r="D400" i="814"/>
  <c r="J402" i="814"/>
  <c r="J420" i="814" s="1"/>
  <c r="E400" i="814"/>
  <c r="J399" i="814"/>
  <c r="I400" i="814"/>
  <c r="L18" i="66"/>
  <c r="K18" i="66" s="1"/>
  <c r="L19" i="66"/>
  <c r="K19" i="66" s="1"/>
  <c r="L54" i="66"/>
  <c r="K54" i="66" s="1"/>
  <c r="L51" i="66"/>
  <c r="K51" i="66" s="1"/>
  <c r="L26" i="66"/>
  <c r="K26" i="66" s="1"/>
  <c r="L17" i="66"/>
  <c r="K17" i="66" s="1"/>
  <c r="L56" i="66"/>
  <c r="K56" i="66" s="1"/>
  <c r="L14" i="66"/>
  <c r="K14" i="66" s="1"/>
  <c r="L29" i="66"/>
  <c r="K29" i="66" s="1"/>
  <c r="L30" i="66"/>
  <c r="K30" i="66" s="1"/>
  <c r="L31" i="66"/>
  <c r="K31" i="66" s="1"/>
  <c r="L8" i="66"/>
  <c r="K8" i="66" s="1"/>
  <c r="L25" i="66"/>
  <c r="K25" i="66" s="1"/>
  <c r="L23" i="66"/>
  <c r="K23" i="66" s="1"/>
  <c r="L20" i="66"/>
  <c r="K20" i="66" s="1"/>
  <c r="L55" i="66"/>
  <c r="K55" i="66" s="1"/>
  <c r="L53" i="66"/>
  <c r="K53" i="66" s="1"/>
  <c r="L24" i="66"/>
  <c r="K24" i="66" s="1"/>
  <c r="L13" i="66"/>
  <c r="K13" i="66" s="1"/>
  <c r="L32" i="66"/>
  <c r="K32" i="66" s="1"/>
  <c r="L33" i="66"/>
  <c r="K33" i="66" s="1"/>
  <c r="L9" i="66"/>
  <c r="K9" i="66" s="1"/>
  <c r="L15" i="66"/>
  <c r="K15" i="66" s="1"/>
  <c r="L50" i="66"/>
  <c r="K50" i="66" s="1"/>
  <c r="L12" i="66"/>
  <c r="K12" i="66" s="1"/>
  <c r="Q58" i="66"/>
  <c r="L58" i="66" s="1"/>
  <c r="K58" i="66" s="1"/>
  <c r="N49" i="66"/>
  <c r="Q63" i="66"/>
  <c r="L63" i="66" s="1"/>
  <c r="K63" i="66" s="1"/>
  <c r="L10" i="66"/>
  <c r="K10" i="66" s="1"/>
  <c r="L34" i="66"/>
  <c r="K34" i="66" s="1"/>
  <c r="L52" i="66"/>
  <c r="K52" i="66" s="1"/>
  <c r="E27" i="207"/>
  <c r="E121" i="207" s="1"/>
  <c r="I56" i="485"/>
  <c r="D220" i="813"/>
  <c r="J30" i="207"/>
  <c r="I432" i="813"/>
  <c r="G397" i="813"/>
  <c r="G418" i="813" s="1"/>
  <c r="D27" i="207"/>
  <c r="D121" i="207" s="1"/>
  <c r="I27" i="207"/>
  <c r="I121" i="207" s="1"/>
  <c r="H27" i="207"/>
  <c r="H121" i="207" s="1"/>
  <c r="J29" i="207"/>
  <c r="J31" i="207"/>
  <c r="G27" i="207"/>
  <c r="G121" i="207" s="1"/>
  <c r="J28" i="207"/>
  <c r="D315" i="813"/>
  <c r="G315" i="813"/>
  <c r="E220" i="813"/>
  <c r="I19" i="207"/>
  <c r="G34" i="207"/>
  <c r="G120" i="207" s="1"/>
  <c r="D438" i="813"/>
  <c r="D418" i="813" s="1"/>
  <c r="H438" i="813"/>
  <c r="H418" i="813" s="1"/>
  <c r="F27" i="207"/>
  <c r="E50" i="207"/>
  <c r="H19" i="207"/>
  <c r="J21" i="207"/>
  <c r="J123" i="207" s="1"/>
  <c r="L33" i="485" s="1"/>
  <c r="L54" i="485" s="1"/>
  <c r="F438" i="813"/>
  <c r="F418" i="813" s="1"/>
  <c r="D19" i="207"/>
  <c r="D45" i="207"/>
  <c r="H124" i="207"/>
  <c r="H34" i="207"/>
  <c r="H120" i="207" s="1"/>
  <c r="F228" i="813"/>
  <c r="F429" i="813" s="1"/>
  <c r="J230" i="813"/>
  <c r="D228" i="813"/>
  <c r="D224" i="813" s="1"/>
  <c r="I269" i="813"/>
  <c r="I423" i="813" s="1"/>
  <c r="J316" i="813"/>
  <c r="J397" i="813" s="1"/>
  <c r="E392" i="813"/>
  <c r="E413" i="813" s="1"/>
  <c r="G269" i="813"/>
  <c r="G423" i="813" s="1"/>
  <c r="F275" i="813"/>
  <c r="F424" i="813" s="1"/>
  <c r="J295" i="813"/>
  <c r="G327" i="813"/>
  <c r="G394" i="813" s="1"/>
  <c r="J330" i="813"/>
  <c r="J328" i="813"/>
  <c r="H327" i="813"/>
  <c r="H394" i="813" s="1"/>
  <c r="H303" i="813"/>
  <c r="H228" i="813"/>
  <c r="H429" i="813" s="1"/>
  <c r="J232" i="813"/>
  <c r="J229" i="813"/>
  <c r="I228" i="813"/>
  <c r="I388" i="813" s="1"/>
  <c r="G228" i="813"/>
  <c r="G429" i="813" s="1"/>
  <c r="E333" i="813"/>
  <c r="J332" i="813"/>
  <c r="J329" i="813"/>
  <c r="L56" i="485"/>
  <c r="G220" i="813"/>
  <c r="J231" i="813"/>
  <c r="J331" i="813"/>
  <c r="F327" i="813"/>
  <c r="F394" i="813" s="1"/>
  <c r="E282" i="813"/>
  <c r="E425" i="813" s="1"/>
  <c r="E296" i="813"/>
  <c r="J270" i="813"/>
  <c r="I327" i="813"/>
  <c r="I435" i="813" s="1"/>
  <c r="D327" i="813"/>
  <c r="D321" i="813" s="1"/>
  <c r="E327" i="813"/>
  <c r="E435" i="813" s="1"/>
  <c r="I397" i="813"/>
  <c r="I418" i="813" s="1"/>
  <c r="J278" i="813"/>
  <c r="J286" i="813"/>
  <c r="F269" i="813"/>
  <c r="F423" i="813" s="1"/>
  <c r="D38" i="207"/>
  <c r="E228" i="813"/>
  <c r="E388" i="813" s="1"/>
  <c r="E315" i="813"/>
  <c r="J308" i="813"/>
  <c r="F296" i="813"/>
  <c r="D303" i="813"/>
  <c r="D290" i="813"/>
  <c r="E290" i="813"/>
  <c r="J302" i="813"/>
  <c r="H269" i="813"/>
  <c r="H423" i="813" s="1"/>
  <c r="J283" i="813"/>
  <c r="E397" i="813"/>
  <c r="J277" i="813"/>
  <c r="G296" i="813"/>
  <c r="E269" i="813"/>
  <c r="E423" i="813" s="1"/>
  <c r="J294" i="813"/>
  <c r="D50" i="207"/>
  <c r="E24" i="207"/>
  <c r="E122" i="207" s="1"/>
  <c r="E438" i="813"/>
  <c r="I315" i="813"/>
  <c r="E34" i="207"/>
  <c r="D124" i="207"/>
  <c r="F55" i="207"/>
  <c r="J293" i="813"/>
  <c r="J284" i="813"/>
  <c r="J273" i="813"/>
  <c r="J279" i="813"/>
  <c r="J305" i="813"/>
  <c r="J272" i="813"/>
  <c r="J309" i="813"/>
  <c r="F303" i="813"/>
  <c r="H55" i="207"/>
  <c r="F220" i="813"/>
  <c r="E275" i="813"/>
  <c r="E424" i="813" s="1"/>
  <c r="G282" i="813"/>
  <c r="G425" i="813" s="1"/>
  <c r="D275" i="813"/>
  <c r="J306" i="813"/>
  <c r="H282" i="813"/>
  <c r="H425" i="813" s="1"/>
  <c r="D269" i="813"/>
  <c r="F441" i="815"/>
  <c r="J221" i="813"/>
  <c r="J432" i="813" s="1"/>
  <c r="M35" i="485" s="1"/>
  <c r="H296" i="813"/>
  <c r="I38" i="207"/>
  <c r="J285" i="813"/>
  <c r="F290" i="813"/>
  <c r="G275" i="813"/>
  <c r="G424" i="813" s="1"/>
  <c r="J298" i="813"/>
  <c r="J307" i="813"/>
  <c r="I290" i="813"/>
  <c r="F282" i="813"/>
  <c r="F425" i="813" s="1"/>
  <c r="I303" i="813"/>
  <c r="H290" i="813"/>
  <c r="J441" i="814"/>
  <c r="J271" i="813"/>
  <c r="J299" i="813"/>
  <c r="J287" i="813"/>
  <c r="I296" i="813"/>
  <c r="J274" i="813"/>
  <c r="J280" i="813"/>
  <c r="G290" i="813"/>
  <c r="G303" i="813"/>
  <c r="J304" i="813"/>
  <c r="J291" i="813"/>
  <c r="H275" i="813"/>
  <c r="H424" i="813" s="1"/>
  <c r="J292" i="813"/>
  <c r="J281" i="813"/>
  <c r="E303" i="813"/>
  <c r="D282" i="813"/>
  <c r="D425" i="813" s="1"/>
  <c r="D296" i="813"/>
  <c r="J297" i="813"/>
  <c r="J276" i="813"/>
  <c r="I282" i="813"/>
  <c r="I425" i="813" s="1"/>
  <c r="J300" i="813"/>
  <c r="J301" i="813"/>
  <c r="J288" i="813"/>
  <c r="I275" i="813"/>
  <c r="I424" i="813" s="1"/>
  <c r="D411" i="813"/>
  <c r="H24" i="207"/>
  <c r="H122" i="207" s="1"/>
  <c r="H436" i="813"/>
  <c r="H416" i="813" s="1"/>
  <c r="G24" i="207"/>
  <c r="G122" i="207" s="1"/>
  <c r="G441" i="815"/>
  <c r="J36" i="207"/>
  <c r="D34" i="207"/>
  <c r="D120" i="207" s="1"/>
  <c r="F19" i="207"/>
  <c r="J43" i="207"/>
  <c r="J52" i="207"/>
  <c r="J37" i="207"/>
  <c r="J407" i="815"/>
  <c r="E45" i="207"/>
  <c r="E55" i="207"/>
  <c r="I437" i="813"/>
  <c r="I45" i="207"/>
  <c r="F34" i="207"/>
  <c r="F120" i="207" s="1"/>
  <c r="G38" i="207"/>
  <c r="E441" i="815"/>
  <c r="J46" i="207"/>
  <c r="I396" i="813"/>
  <c r="G45" i="207"/>
  <c r="F50" i="207"/>
  <c r="F315" i="813"/>
  <c r="F396" i="813"/>
  <c r="F417" i="813" s="1"/>
  <c r="J44" i="207"/>
  <c r="I24" i="207"/>
  <c r="I122" i="207" s="1"/>
  <c r="I34" i="207"/>
  <c r="I120" i="207" s="1"/>
  <c r="G55" i="207"/>
  <c r="D55" i="207"/>
  <c r="J56" i="207"/>
  <c r="J40" i="207"/>
  <c r="J440" i="815"/>
  <c r="H38" i="207"/>
  <c r="J415" i="815"/>
  <c r="H45" i="207"/>
  <c r="D419" i="813"/>
  <c r="J156" i="813"/>
  <c r="J390" i="813"/>
  <c r="J411" i="813" s="1"/>
  <c r="L36" i="485" s="1"/>
  <c r="I395" i="813"/>
  <c r="I436" i="813"/>
  <c r="J133" i="813"/>
  <c r="E386" i="813"/>
  <c r="F427" i="813"/>
  <c r="E414" i="813"/>
  <c r="J256" i="813"/>
  <c r="J251" i="813"/>
  <c r="G386" i="813"/>
  <c r="D414" i="813"/>
  <c r="J246" i="813"/>
  <c r="J66" i="813"/>
  <c r="F414" i="813"/>
  <c r="H414" i="813"/>
  <c r="I386" i="813"/>
  <c r="E427" i="813"/>
  <c r="J38" i="813"/>
  <c r="J262" i="813"/>
  <c r="J426" i="813" s="1"/>
  <c r="G35" i="485" s="1"/>
  <c r="D426" i="813"/>
  <c r="J49" i="813"/>
  <c r="D386" i="813"/>
  <c r="H430" i="813"/>
  <c r="J49" i="207"/>
  <c r="I333" i="813"/>
  <c r="I392" i="813"/>
  <c r="I433" i="813"/>
  <c r="H441" i="815"/>
  <c r="G333" i="813"/>
  <c r="G392" i="813"/>
  <c r="G433" i="813"/>
  <c r="G396" i="813"/>
  <c r="G437" i="813"/>
  <c r="J151" i="813"/>
  <c r="F392" i="813"/>
  <c r="F433" i="813"/>
  <c r="E395" i="813"/>
  <c r="E436" i="813"/>
  <c r="E437" i="813"/>
  <c r="E396" i="813"/>
  <c r="G414" i="813"/>
  <c r="H386" i="813"/>
  <c r="D436" i="813"/>
  <c r="J322" i="813"/>
  <c r="D395" i="813"/>
  <c r="G427" i="813"/>
  <c r="J56" i="813"/>
  <c r="J161" i="813"/>
  <c r="J58" i="207"/>
  <c r="F386" i="813"/>
  <c r="H392" i="813"/>
  <c r="H433" i="813"/>
  <c r="D437" i="813"/>
  <c r="J317" i="813"/>
  <c r="D396" i="813"/>
  <c r="D433" i="813"/>
  <c r="D392" i="813"/>
  <c r="J335" i="813"/>
  <c r="I441" i="815"/>
  <c r="I427" i="813"/>
  <c r="J144" i="813"/>
  <c r="J225" i="813"/>
  <c r="J430" i="813" s="1"/>
  <c r="K35" i="485" s="1"/>
  <c r="D430" i="813"/>
  <c r="H437" i="813"/>
  <c r="H396" i="813"/>
  <c r="J239" i="813"/>
  <c r="D427" i="813"/>
  <c r="J53" i="207"/>
  <c r="J35" i="207"/>
  <c r="I55" i="207"/>
  <c r="G50" i="207"/>
  <c r="J61" i="813"/>
  <c r="H315" i="813"/>
  <c r="J434" i="813"/>
  <c r="P35" i="485" s="1"/>
  <c r="J393" i="813"/>
  <c r="G395" i="813"/>
  <c r="G436" i="813"/>
  <c r="J439" i="813"/>
  <c r="U35" i="485" s="1"/>
  <c r="J398" i="813"/>
  <c r="J41" i="207"/>
  <c r="I414" i="813"/>
  <c r="F436" i="813"/>
  <c r="F395" i="813"/>
  <c r="H427" i="813"/>
  <c r="J39" i="207"/>
  <c r="F38" i="207"/>
  <c r="J20" i="207"/>
  <c r="J124" i="207" s="1"/>
  <c r="M33" i="485" s="1"/>
  <c r="M54" i="485" s="1"/>
  <c r="J48" i="207"/>
  <c r="J25" i="207"/>
  <c r="J26" i="207"/>
  <c r="H50" i="207"/>
  <c r="I50" i="207"/>
  <c r="J342" i="815"/>
  <c r="J42" i="207"/>
  <c r="J59" i="207"/>
  <c r="J47" i="207"/>
  <c r="F45" i="207"/>
  <c r="D441" i="815"/>
  <c r="J311" i="815"/>
  <c r="J57" i="207"/>
  <c r="J54" i="207"/>
  <c r="D24" i="207"/>
  <c r="J413" i="815"/>
  <c r="L7" i="66"/>
  <c r="J51" i="207"/>
  <c r="E38" i="207"/>
  <c r="J417" i="815"/>
  <c r="L49" i="66"/>
  <c r="K49" i="66" s="1"/>
  <c r="E19" i="207"/>
  <c r="J375" i="814"/>
  <c r="G19" i="207"/>
  <c r="G124" i="207"/>
  <c r="I114" i="207"/>
  <c r="H114" i="207"/>
  <c r="D114" i="207"/>
  <c r="J89" i="207"/>
  <c r="D116" i="207"/>
  <c r="J74" i="207"/>
  <c r="J116" i="207" s="1"/>
  <c r="E33" i="485" s="1"/>
  <c r="E54" i="485" s="1"/>
  <c r="D115" i="207"/>
  <c r="J68" i="207"/>
  <c r="J115" i="207" s="1"/>
  <c r="D33" i="485" s="1"/>
  <c r="D54" i="485" s="1"/>
  <c r="D117" i="207"/>
  <c r="J81" i="207"/>
  <c r="J117" i="207" s="1"/>
  <c r="F33" i="485" s="1"/>
  <c r="F54" i="485" s="1"/>
  <c r="D118" i="207"/>
  <c r="J61" i="207"/>
  <c r="J95" i="207"/>
  <c r="J102" i="207"/>
  <c r="E114" i="207"/>
  <c r="F114" i="207"/>
  <c r="G114" i="207"/>
  <c r="I115" i="207"/>
  <c r="X123" i="66" l="1"/>
  <c r="D342" i="813"/>
  <c r="D23" i="207"/>
  <c r="G321" i="813"/>
  <c r="G342" i="813" s="1"/>
  <c r="J27" i="207"/>
  <c r="J121" i="207" s="1"/>
  <c r="J33" i="485" s="1"/>
  <c r="J54" i="485" s="1"/>
  <c r="I224" i="813"/>
  <c r="I429" i="813"/>
  <c r="I409" i="813" s="1"/>
  <c r="F121" i="207"/>
  <c r="F23" i="207"/>
  <c r="G23" i="207"/>
  <c r="G435" i="813"/>
  <c r="G415" i="813" s="1"/>
  <c r="F224" i="813"/>
  <c r="F388" i="813"/>
  <c r="F409" i="813" s="1"/>
  <c r="H422" i="813"/>
  <c r="H321" i="813"/>
  <c r="H342" i="813" s="1"/>
  <c r="E23" i="207"/>
  <c r="E33" i="207"/>
  <c r="E321" i="813"/>
  <c r="E342" i="813" s="1"/>
  <c r="D388" i="813"/>
  <c r="J438" i="813"/>
  <c r="T35" i="485" s="1"/>
  <c r="H23" i="207"/>
  <c r="D429" i="813"/>
  <c r="E429" i="813"/>
  <c r="E409" i="813" s="1"/>
  <c r="H435" i="813"/>
  <c r="H415" i="813" s="1"/>
  <c r="E224" i="813"/>
  <c r="H417" i="813"/>
  <c r="I321" i="813"/>
  <c r="I342" i="813" s="1"/>
  <c r="I394" i="813"/>
  <c r="I415" i="813" s="1"/>
  <c r="J228" i="813"/>
  <c r="J429" i="813" s="1"/>
  <c r="J35" i="485" s="1"/>
  <c r="G224" i="813"/>
  <c r="J220" i="813"/>
  <c r="E422" i="813"/>
  <c r="J269" i="813"/>
  <c r="J423" i="813" s="1"/>
  <c r="D35" i="485" s="1"/>
  <c r="D234" i="813"/>
  <c r="D311" i="813" s="1"/>
  <c r="H388" i="813"/>
  <c r="H409" i="813" s="1"/>
  <c r="J303" i="813"/>
  <c r="F435" i="813"/>
  <c r="F415" i="813" s="1"/>
  <c r="G388" i="813"/>
  <c r="G409" i="813" s="1"/>
  <c r="F422" i="813"/>
  <c r="F321" i="813"/>
  <c r="F342" i="813" s="1"/>
  <c r="E418" i="813"/>
  <c r="M56" i="485"/>
  <c r="H224" i="813"/>
  <c r="E394" i="813"/>
  <c r="E415" i="813" s="1"/>
  <c r="J327" i="813"/>
  <c r="J435" i="813" s="1"/>
  <c r="Q35" i="485" s="1"/>
  <c r="D394" i="813"/>
  <c r="E234" i="813"/>
  <c r="I23" i="207"/>
  <c r="D422" i="813"/>
  <c r="G234" i="813"/>
  <c r="D423" i="813"/>
  <c r="D435" i="813"/>
  <c r="E120" i="207"/>
  <c r="D33" i="207"/>
  <c r="I422" i="813"/>
  <c r="J275" i="813"/>
  <c r="J424" i="813" s="1"/>
  <c r="E35" i="485" s="1"/>
  <c r="D424" i="813"/>
  <c r="G422" i="813"/>
  <c r="J296" i="813"/>
  <c r="D119" i="207"/>
  <c r="J55" i="207"/>
  <c r="J282" i="813"/>
  <c r="J425" i="813" s="1"/>
  <c r="F35" i="485" s="1"/>
  <c r="K7" i="66"/>
  <c r="J290" i="813"/>
  <c r="F234" i="813"/>
  <c r="G33" i="207"/>
  <c r="H234" i="813"/>
  <c r="P56" i="485"/>
  <c r="I234" i="813"/>
  <c r="D417" i="813"/>
  <c r="I417" i="813"/>
  <c r="G119" i="207"/>
  <c r="G133" i="207" s="1"/>
  <c r="J34" i="207"/>
  <c r="J120" i="207" s="1"/>
  <c r="I33" i="485" s="1"/>
  <c r="I54" i="485" s="1"/>
  <c r="E119" i="207"/>
  <c r="J45" i="207"/>
  <c r="F407" i="813"/>
  <c r="G407" i="813"/>
  <c r="E407" i="813"/>
  <c r="J333" i="813"/>
  <c r="J315" i="813"/>
  <c r="I33" i="207"/>
  <c r="F75" i="743"/>
  <c r="J19" i="207"/>
  <c r="H33" i="207"/>
  <c r="I416" i="813"/>
  <c r="I413" i="813"/>
  <c r="H407" i="813"/>
  <c r="D416" i="813"/>
  <c r="F416" i="813"/>
  <c r="J414" i="813"/>
  <c r="P36" i="485" s="1"/>
  <c r="D413" i="813"/>
  <c r="J427" i="813"/>
  <c r="H35" i="485" s="1"/>
  <c r="D407" i="813"/>
  <c r="E417" i="813"/>
  <c r="I119" i="207"/>
  <c r="I133" i="207" s="1"/>
  <c r="F413" i="813"/>
  <c r="J396" i="813"/>
  <c r="J437" i="813"/>
  <c r="S35" i="485" s="1"/>
  <c r="H119" i="207"/>
  <c r="H133" i="207" s="1"/>
  <c r="J50" i="207"/>
  <c r="J441" i="815"/>
  <c r="E416" i="813"/>
  <c r="I407" i="813"/>
  <c r="J392" i="813"/>
  <c r="J433" i="813"/>
  <c r="O35" i="485" s="1"/>
  <c r="G417" i="813"/>
  <c r="H413" i="813"/>
  <c r="J395" i="813"/>
  <c r="J436" i="813"/>
  <c r="R35" i="485" s="1"/>
  <c r="G413" i="813"/>
  <c r="G416" i="813"/>
  <c r="J386" i="813"/>
  <c r="F119" i="207"/>
  <c r="J24" i="207"/>
  <c r="J122" i="207" s="1"/>
  <c r="K33" i="485" s="1"/>
  <c r="K54" i="485" s="1"/>
  <c r="D122" i="207"/>
  <c r="F33" i="207"/>
  <c r="J400" i="814"/>
  <c r="J38" i="207"/>
  <c r="E108" i="743"/>
  <c r="E152" i="743"/>
  <c r="E114" i="743"/>
  <c r="E284" i="743"/>
  <c r="E283" i="743"/>
  <c r="F15" i="214"/>
  <c r="F221" i="743"/>
  <c r="F416" i="743" s="1"/>
  <c r="F255" i="743"/>
  <c r="F443" i="743" s="1"/>
  <c r="F289" i="743"/>
  <c r="F469" i="743" s="1"/>
  <c r="F79" i="743"/>
  <c r="F215" i="743"/>
  <c r="F410" i="743" s="1"/>
  <c r="F216" i="743"/>
  <c r="F411" i="743" s="1"/>
  <c r="F152" i="743"/>
  <c r="F363" i="743" s="1"/>
  <c r="F114" i="743"/>
  <c r="F337" i="743" s="1"/>
  <c r="F186" i="743"/>
  <c r="F390" i="743" s="1"/>
  <c r="F146" i="743"/>
  <c r="F357" i="743" s="1"/>
  <c r="K56" i="485"/>
  <c r="F180" i="743"/>
  <c r="F384" i="743" s="1"/>
  <c r="F181" i="743"/>
  <c r="F385" i="743" s="1"/>
  <c r="G56" i="485"/>
  <c r="F284" i="743"/>
  <c r="F283" i="743"/>
  <c r="F463" i="743" s="1"/>
  <c r="F43" i="743"/>
  <c r="F109" i="743"/>
  <c r="F249" i="743"/>
  <c r="F437" i="743" s="1"/>
  <c r="F147" i="743"/>
  <c r="F358" i="743" s="1"/>
  <c r="F250" i="743"/>
  <c r="F438" i="743" s="1"/>
  <c r="F108" i="743"/>
  <c r="F331" i="743" s="1"/>
  <c r="U39" i="485"/>
  <c r="U56" i="485"/>
  <c r="L57" i="485"/>
  <c r="L39" i="485"/>
  <c r="L60" i="485" s="1"/>
  <c r="J118" i="207"/>
  <c r="G33" i="485"/>
  <c r="G54" i="485" s="1"/>
  <c r="F47" i="743"/>
  <c r="E75" i="743"/>
  <c r="J114" i="207"/>
  <c r="H114" i="743" l="1"/>
  <c r="H75" i="743"/>
  <c r="F35" i="743"/>
  <c r="F34" i="743"/>
  <c r="F33" i="743"/>
  <c r="H152" i="743"/>
  <c r="H108" i="743"/>
  <c r="H283" i="743"/>
  <c r="H284" i="743"/>
  <c r="W164" i="825"/>
  <c r="W293" i="825"/>
  <c r="W54" i="825"/>
  <c r="W56" i="825"/>
  <c r="W55" i="825"/>
  <c r="W290" i="825"/>
  <c r="W291" i="825"/>
  <c r="W292" i="825"/>
  <c r="W123" i="825"/>
  <c r="W117" i="825"/>
  <c r="F332" i="743"/>
  <c r="F323" i="743" s="1"/>
  <c r="D110" i="207"/>
  <c r="G110" i="207"/>
  <c r="G134" i="207" s="1"/>
  <c r="I311" i="813"/>
  <c r="F110" i="207"/>
  <c r="G440" i="813"/>
  <c r="F133" i="207"/>
  <c r="I440" i="813"/>
  <c r="F311" i="813"/>
  <c r="J418" i="813"/>
  <c r="T36" i="485" s="1"/>
  <c r="T39" i="485" s="1"/>
  <c r="T60" i="485" s="1"/>
  <c r="J23" i="207"/>
  <c r="E311" i="813"/>
  <c r="T56" i="485"/>
  <c r="H110" i="207"/>
  <c r="H134" i="207" s="1"/>
  <c r="J224" i="813"/>
  <c r="D133" i="207"/>
  <c r="H440" i="813"/>
  <c r="E110" i="207"/>
  <c r="E440" i="813"/>
  <c r="G311" i="813"/>
  <c r="D409" i="813"/>
  <c r="E133" i="207"/>
  <c r="S56" i="485"/>
  <c r="J388" i="813"/>
  <c r="J409" i="813" s="1"/>
  <c r="J36" i="485" s="1"/>
  <c r="J56" i="485"/>
  <c r="F440" i="813"/>
  <c r="F56" i="485"/>
  <c r="D440" i="813"/>
  <c r="D441" i="813" s="1"/>
  <c r="J321" i="813"/>
  <c r="J394" i="813"/>
  <c r="J415" i="813" s="1"/>
  <c r="Q36" i="485" s="1"/>
  <c r="D415" i="813"/>
  <c r="J422" i="813"/>
  <c r="C35" i="485" s="1"/>
  <c r="Q56" i="485"/>
  <c r="E56" i="485"/>
  <c r="J234" i="813"/>
  <c r="H311" i="813"/>
  <c r="J407" i="813"/>
  <c r="H36" i="485" s="1"/>
  <c r="E186" i="743"/>
  <c r="J33" i="207"/>
  <c r="D8" i="212"/>
  <c r="D10" i="212"/>
  <c r="J342" i="813"/>
  <c r="P39" i="485"/>
  <c r="P60" i="485" s="1"/>
  <c r="E8" i="214"/>
  <c r="D12" i="214"/>
  <c r="D7" i="212"/>
  <c r="E289" i="743"/>
  <c r="J119" i="207"/>
  <c r="H33" i="485" s="1"/>
  <c r="H54" i="485" s="1"/>
  <c r="E221" i="743"/>
  <c r="F63" i="743"/>
  <c r="I110" i="207"/>
  <c r="I134" i="207" s="1"/>
  <c r="J413" i="813"/>
  <c r="O36" i="485" s="1"/>
  <c r="E255" i="743"/>
  <c r="J416" i="813"/>
  <c r="R36" i="485" s="1"/>
  <c r="J417" i="813"/>
  <c r="S36" i="485" s="1"/>
  <c r="E147" i="743"/>
  <c r="E249" i="743"/>
  <c r="D8" i="214"/>
  <c r="D11" i="212"/>
  <c r="E216" i="743"/>
  <c r="F11" i="214"/>
  <c r="E10" i="214"/>
  <c r="E250" i="743"/>
  <c r="F9" i="214"/>
  <c r="E181" i="743"/>
  <c r="E43" i="743"/>
  <c r="E12" i="212"/>
  <c r="D11" i="214"/>
  <c r="G7" i="214"/>
  <c r="D12" i="212"/>
  <c r="D10" i="214"/>
  <c r="E146" i="743"/>
  <c r="E14" i="214"/>
  <c r="H71" i="214" s="1"/>
  <c r="E8" i="212"/>
  <c r="G11" i="214"/>
  <c r="E180" i="743"/>
  <c r="E79" i="743"/>
  <c r="E185" i="743"/>
  <c r="F7" i="214"/>
  <c r="E12" i="214"/>
  <c r="G15" i="214"/>
  <c r="D9" i="214"/>
  <c r="H15" i="214"/>
  <c r="E109" i="743"/>
  <c r="D15" i="212"/>
  <c r="H67" i="212" s="1"/>
  <c r="E215" i="743"/>
  <c r="D7" i="214"/>
  <c r="H9" i="214"/>
  <c r="H11" i="214"/>
  <c r="G9" i="214"/>
  <c r="H7" i="214"/>
  <c r="D9" i="212"/>
  <c r="F401" i="743"/>
  <c r="F429" i="743"/>
  <c r="F185" i="743"/>
  <c r="F170" i="743" s="1"/>
  <c r="F271" i="743"/>
  <c r="F65" i="743"/>
  <c r="F64" i="743"/>
  <c r="F203" i="743"/>
  <c r="F205" i="743"/>
  <c r="F204" i="743"/>
  <c r="F220" i="743"/>
  <c r="F415" i="743" s="1"/>
  <c r="F398" i="743" s="1"/>
  <c r="F136" i="743"/>
  <c r="F134" i="743"/>
  <c r="F376" i="743"/>
  <c r="F135" i="743"/>
  <c r="F151" i="743"/>
  <c r="F132" i="743" s="1"/>
  <c r="F254" i="743"/>
  <c r="F442" i="743" s="1"/>
  <c r="F427" i="743" s="1"/>
  <c r="F348" i="743"/>
  <c r="F288" i="743"/>
  <c r="F269" i="743" s="1"/>
  <c r="F113" i="743"/>
  <c r="F336" i="743" s="1"/>
  <c r="F321" i="743" s="1"/>
  <c r="H56" i="485"/>
  <c r="F171" i="743"/>
  <c r="O56" i="485"/>
  <c r="F273" i="743"/>
  <c r="F464" i="743"/>
  <c r="F454" i="743" s="1"/>
  <c r="F272" i="743"/>
  <c r="F240" i="743"/>
  <c r="F10" i="743"/>
  <c r="F96" i="743"/>
  <c r="F98" i="743"/>
  <c r="F97" i="743"/>
  <c r="F99" i="743"/>
  <c r="U60" i="485"/>
  <c r="U40" i="485"/>
  <c r="U61" i="485" s="1"/>
  <c r="E337" i="743"/>
  <c r="D14" i="212"/>
  <c r="E47" i="743"/>
  <c r="E363" i="743"/>
  <c r="E331" i="743"/>
  <c r="E463" i="743"/>
  <c r="E464" i="743"/>
  <c r="H464" i="743" s="1"/>
  <c r="C33" i="485"/>
  <c r="H47" i="743" l="1"/>
  <c r="H79" i="743"/>
  <c r="H180" i="743"/>
  <c r="H216" i="743"/>
  <c r="H250" i="743"/>
  <c r="H181" i="743"/>
  <c r="H289" i="743"/>
  <c r="H215" i="743"/>
  <c r="H186" i="743"/>
  <c r="H255" i="743"/>
  <c r="H109" i="743"/>
  <c r="H221" i="743"/>
  <c r="H249" i="743"/>
  <c r="H146" i="743"/>
  <c r="H147" i="743"/>
  <c r="H43" i="743"/>
  <c r="L32" i="743"/>
  <c r="L33" i="743"/>
  <c r="L134" i="743"/>
  <c r="L133" i="743"/>
  <c r="L203" i="743"/>
  <c r="L202" i="743"/>
  <c r="L271" i="743"/>
  <c r="L270" i="743"/>
  <c r="H185" i="743"/>
  <c r="W337" i="825"/>
  <c r="H463" i="743"/>
  <c r="W472" i="825"/>
  <c r="H363" i="743"/>
  <c r="W495" i="825"/>
  <c r="H331" i="743"/>
  <c r="W501" i="825"/>
  <c r="H337" i="743"/>
  <c r="W256" i="825"/>
  <c r="W300" i="825"/>
  <c r="W65" i="825"/>
  <c r="W66" i="825"/>
  <c r="W67" i="825"/>
  <c r="W189" i="825"/>
  <c r="W222" i="825"/>
  <c r="W220" i="825"/>
  <c r="W221" i="825"/>
  <c r="W230" i="825"/>
  <c r="W194" i="825"/>
  <c r="W257" i="825"/>
  <c r="W154" i="825"/>
  <c r="W156" i="825"/>
  <c r="W155" i="825"/>
  <c r="W335" i="825"/>
  <c r="W336" i="825"/>
  <c r="W334" i="825"/>
  <c r="W188" i="825"/>
  <c r="W223" i="825"/>
  <c r="W195" i="825"/>
  <c r="W263" i="825"/>
  <c r="W116" i="825"/>
  <c r="W157" i="825"/>
  <c r="W24" i="825"/>
  <c r="W17" i="825"/>
  <c r="L35" i="743"/>
  <c r="L97" i="743"/>
  <c r="L34" i="743"/>
  <c r="L273" i="743"/>
  <c r="L99" i="743"/>
  <c r="L64" i="743"/>
  <c r="L136" i="743"/>
  <c r="L65" i="743"/>
  <c r="L204" i="743"/>
  <c r="L135" i="743"/>
  <c r="L272" i="743"/>
  <c r="L205" i="743"/>
  <c r="L98" i="743"/>
  <c r="E416" i="743"/>
  <c r="E411" i="743"/>
  <c r="H411" i="743" s="1"/>
  <c r="E99" i="743"/>
  <c r="H99" i="743" s="1"/>
  <c r="E358" i="743"/>
  <c r="H358" i="743" s="1"/>
  <c r="F134" i="207"/>
  <c r="D134" i="207"/>
  <c r="I441" i="813"/>
  <c r="J133" i="207"/>
  <c r="F441" i="813"/>
  <c r="G441" i="813"/>
  <c r="E134" i="207"/>
  <c r="E441" i="813"/>
  <c r="H441" i="813"/>
  <c r="J440" i="813"/>
  <c r="F42" i="214"/>
  <c r="J39" i="485"/>
  <c r="J60" i="485" s="1"/>
  <c r="C56" i="485"/>
  <c r="J311" i="813"/>
  <c r="X35" i="485" s="1"/>
  <c r="H49" i="214"/>
  <c r="E390" i="743"/>
  <c r="E469" i="743"/>
  <c r="E443" i="743"/>
  <c r="J110" i="207"/>
  <c r="F77" i="214"/>
  <c r="I82" i="214"/>
  <c r="D78" i="214"/>
  <c r="I64" i="214"/>
  <c r="I21" i="214"/>
  <c r="I157" i="214" s="1"/>
  <c r="F21" i="214"/>
  <c r="F157" i="214" s="1"/>
  <c r="E118" i="214"/>
  <c r="E11" i="212"/>
  <c r="E135" i="212" s="1"/>
  <c r="E161" i="212" s="1"/>
  <c r="D118" i="214"/>
  <c r="E21" i="214"/>
  <c r="E157" i="214" s="1"/>
  <c r="E437" i="743"/>
  <c r="G117" i="214"/>
  <c r="I35" i="214"/>
  <c r="H117" i="214"/>
  <c r="E117" i="214"/>
  <c r="E40" i="214"/>
  <c r="F117" i="214"/>
  <c r="F54" i="214"/>
  <c r="F52" i="214"/>
  <c r="E54" i="214"/>
  <c r="E44" i="214"/>
  <c r="D44" i="214"/>
  <c r="Q39" i="485"/>
  <c r="Q60" i="485" s="1"/>
  <c r="H41" i="214"/>
  <c r="H47" i="214"/>
  <c r="E42" i="214"/>
  <c r="G49" i="214"/>
  <c r="G43" i="214"/>
  <c r="E240" i="743"/>
  <c r="H240" i="743" s="1"/>
  <c r="F140" i="214"/>
  <c r="E57" i="214"/>
  <c r="I54" i="214"/>
  <c r="E52" i="214"/>
  <c r="F59" i="214"/>
  <c r="I51" i="214"/>
  <c r="H118" i="214"/>
  <c r="D58" i="214"/>
  <c r="E141" i="214"/>
  <c r="E56" i="214"/>
  <c r="I53" i="214"/>
  <c r="E7" i="212"/>
  <c r="G115" i="212" s="1"/>
  <c r="H141" i="214"/>
  <c r="H139" i="214"/>
  <c r="F57" i="214"/>
  <c r="G41" i="214"/>
  <c r="H53" i="214"/>
  <c r="I58" i="214"/>
  <c r="H51" i="214"/>
  <c r="G54" i="214"/>
  <c r="D49" i="214"/>
  <c r="S39" i="485"/>
  <c r="S60" i="485" s="1"/>
  <c r="E63" i="214"/>
  <c r="F115" i="214"/>
  <c r="F164" i="214" s="1"/>
  <c r="I72" i="214"/>
  <c r="I79" i="214"/>
  <c r="H87" i="214"/>
  <c r="F86" i="214"/>
  <c r="E69" i="214"/>
  <c r="I84" i="214"/>
  <c r="G115" i="214"/>
  <c r="G164" i="214" s="1"/>
  <c r="I69" i="214"/>
  <c r="I86" i="214"/>
  <c r="D64" i="214"/>
  <c r="G118" i="214"/>
  <c r="D83" i="214"/>
  <c r="E125" i="214"/>
  <c r="I62" i="214"/>
  <c r="D137" i="214"/>
  <c r="F40" i="214"/>
  <c r="D53" i="214"/>
  <c r="H21" i="214"/>
  <c r="H157" i="214" s="1"/>
  <c r="H66" i="214"/>
  <c r="E384" i="743"/>
  <c r="G138" i="214"/>
  <c r="H58" i="214"/>
  <c r="E58" i="214"/>
  <c r="F139" i="214"/>
  <c r="F118" i="214"/>
  <c r="E438" i="743"/>
  <c r="I56" i="214"/>
  <c r="F56" i="214"/>
  <c r="H39" i="214"/>
  <c r="G21" i="214"/>
  <c r="G157" i="214" s="1"/>
  <c r="E151" i="743"/>
  <c r="D62" i="214"/>
  <c r="D117" i="214"/>
  <c r="D67" i="214"/>
  <c r="G39" i="214"/>
  <c r="G47" i="214"/>
  <c r="D47" i="214"/>
  <c r="D40" i="214"/>
  <c r="I118" i="214"/>
  <c r="E113" i="743"/>
  <c r="D125" i="214"/>
  <c r="E67" i="214"/>
  <c r="D141" i="214"/>
  <c r="I44" i="214"/>
  <c r="F44" i="214"/>
  <c r="G141" i="214"/>
  <c r="I117" i="214"/>
  <c r="E254" i="743"/>
  <c r="I126" i="214"/>
  <c r="E65" i="214"/>
  <c r="D139" i="214"/>
  <c r="D41" i="214"/>
  <c r="I48" i="214"/>
  <c r="G139" i="214"/>
  <c r="D21" i="214"/>
  <c r="D157" i="214" s="1"/>
  <c r="E137" i="214"/>
  <c r="D39" i="214"/>
  <c r="I46" i="214"/>
  <c r="H137" i="214"/>
  <c r="G131" i="214"/>
  <c r="H36" i="214"/>
  <c r="F124" i="214"/>
  <c r="D82" i="214"/>
  <c r="E86" i="214"/>
  <c r="H26" i="214"/>
  <c r="E357" i="743"/>
  <c r="G77" i="214"/>
  <c r="H75" i="214"/>
  <c r="E73" i="214"/>
  <c r="I77" i="214"/>
  <c r="E77" i="214"/>
  <c r="D79" i="214"/>
  <c r="G85" i="214"/>
  <c r="H83" i="214"/>
  <c r="E49" i="214"/>
  <c r="F125" i="214"/>
  <c r="I49" i="214"/>
  <c r="G40" i="214"/>
  <c r="F70" i="214"/>
  <c r="E72" i="214"/>
  <c r="I78" i="214"/>
  <c r="E87" i="214"/>
  <c r="I115" i="214"/>
  <c r="I164" i="214" s="1"/>
  <c r="D132" i="214"/>
  <c r="E43" i="214"/>
  <c r="H42" i="214"/>
  <c r="H43" i="214"/>
  <c r="F76" i="214"/>
  <c r="F83" i="214"/>
  <c r="I37" i="214"/>
  <c r="F41" i="214"/>
  <c r="H138" i="214"/>
  <c r="H40" i="214"/>
  <c r="E51" i="214"/>
  <c r="D72" i="214"/>
  <c r="E96" i="743"/>
  <c r="H96" i="743" s="1"/>
  <c r="D31" i="214"/>
  <c r="H52" i="214"/>
  <c r="F39" i="214"/>
  <c r="H140" i="214"/>
  <c r="G56" i="214"/>
  <c r="F141" i="214"/>
  <c r="I57" i="214"/>
  <c r="F53" i="214"/>
  <c r="G48" i="214"/>
  <c r="I39" i="214"/>
  <c r="H84" i="214"/>
  <c r="F84" i="214"/>
  <c r="D70" i="214"/>
  <c r="H78" i="214"/>
  <c r="G78" i="214"/>
  <c r="E36" i="214"/>
  <c r="I87" i="214"/>
  <c r="E171" i="743"/>
  <c r="H171" i="743" s="1"/>
  <c r="D85" i="214"/>
  <c r="D71" i="214"/>
  <c r="E76" i="214"/>
  <c r="G87" i="214"/>
  <c r="G135" i="214"/>
  <c r="G160" i="214" s="1"/>
  <c r="D30" i="214"/>
  <c r="G52" i="214"/>
  <c r="D54" i="214"/>
  <c r="I141" i="214"/>
  <c r="D51" i="214"/>
  <c r="H79" i="214"/>
  <c r="F72" i="214"/>
  <c r="H80" i="214"/>
  <c r="G59" i="214"/>
  <c r="D59" i="214"/>
  <c r="H57" i="214"/>
  <c r="E97" i="743"/>
  <c r="H97" i="743" s="1"/>
  <c r="E29" i="214"/>
  <c r="D48" i="214"/>
  <c r="F58" i="214"/>
  <c r="I138" i="214"/>
  <c r="D52" i="214"/>
  <c r="E46" i="214"/>
  <c r="D56" i="214"/>
  <c r="F51" i="214"/>
  <c r="G46" i="214"/>
  <c r="G137" i="214"/>
  <c r="I75" i="214"/>
  <c r="D73" i="214"/>
  <c r="F75" i="214"/>
  <c r="H72" i="214"/>
  <c r="H76" i="214"/>
  <c r="G76" i="214"/>
  <c r="E84" i="214"/>
  <c r="D80" i="214"/>
  <c r="E71" i="214"/>
  <c r="H85" i="214"/>
  <c r="H82" i="214"/>
  <c r="G70" i="214"/>
  <c r="E78" i="214"/>
  <c r="D84" i="214"/>
  <c r="I83" i="214"/>
  <c r="E124" i="214"/>
  <c r="G82" i="214"/>
  <c r="E79" i="214"/>
  <c r="I80" i="214"/>
  <c r="G130" i="214"/>
  <c r="H128" i="214"/>
  <c r="F71" i="214"/>
  <c r="H37" i="214"/>
  <c r="D131" i="214"/>
  <c r="F137" i="214"/>
  <c r="E41" i="214"/>
  <c r="E47" i="214"/>
  <c r="I139" i="214"/>
  <c r="F48" i="214"/>
  <c r="E82" i="214"/>
  <c r="E83" i="214"/>
  <c r="H69" i="214"/>
  <c r="F73" i="214"/>
  <c r="F87" i="214"/>
  <c r="H35" i="214"/>
  <c r="I47" i="214"/>
  <c r="I52" i="214"/>
  <c r="G44" i="214"/>
  <c r="D140" i="214"/>
  <c r="G57" i="214"/>
  <c r="F46" i="214"/>
  <c r="G72" i="214"/>
  <c r="F82" i="214"/>
  <c r="G84" i="214"/>
  <c r="E70" i="214"/>
  <c r="I76" i="214"/>
  <c r="E85" i="214"/>
  <c r="D57" i="214"/>
  <c r="H54" i="214"/>
  <c r="G75" i="214"/>
  <c r="E98" i="743"/>
  <c r="H98" i="743" s="1"/>
  <c r="D46" i="214"/>
  <c r="H44" i="214"/>
  <c r="G58" i="214"/>
  <c r="F49" i="214"/>
  <c r="E140" i="214"/>
  <c r="G53" i="214"/>
  <c r="H48" i="214"/>
  <c r="I43" i="214"/>
  <c r="E59" i="214"/>
  <c r="E80" i="214"/>
  <c r="D86" i="214"/>
  <c r="G79" i="214"/>
  <c r="D87" i="214"/>
  <c r="H73" i="214"/>
  <c r="G73" i="214"/>
  <c r="E385" i="743"/>
  <c r="D26" i="214"/>
  <c r="I70" i="214"/>
  <c r="I85" i="214"/>
  <c r="E75" i="214"/>
  <c r="D77" i="214"/>
  <c r="D124" i="214"/>
  <c r="E139" i="214"/>
  <c r="D43" i="214"/>
  <c r="G42" i="214"/>
  <c r="I137" i="214"/>
  <c r="G86" i="214"/>
  <c r="G69" i="214"/>
  <c r="D75" i="214"/>
  <c r="G123" i="214"/>
  <c r="I40" i="214"/>
  <c r="F123" i="214"/>
  <c r="E39" i="214"/>
  <c r="D138" i="214"/>
  <c r="D76" i="214"/>
  <c r="F85" i="214"/>
  <c r="I25" i="214"/>
  <c r="D130" i="214"/>
  <c r="I42" i="214"/>
  <c r="G140" i="214"/>
  <c r="E138" i="214"/>
  <c r="H59" i="214"/>
  <c r="E53" i="214"/>
  <c r="F69" i="214"/>
  <c r="D69" i="214"/>
  <c r="I73" i="214"/>
  <c r="G83" i="214"/>
  <c r="H129" i="214"/>
  <c r="E48" i="214"/>
  <c r="I59" i="214"/>
  <c r="I41" i="214"/>
  <c r="H77" i="214"/>
  <c r="F78" i="214"/>
  <c r="G80" i="214"/>
  <c r="F80" i="214"/>
  <c r="E410" i="743"/>
  <c r="H115" i="214"/>
  <c r="H164" i="214" s="1"/>
  <c r="F43" i="214"/>
  <c r="I140" i="214"/>
  <c r="H56" i="214"/>
  <c r="F47" i="214"/>
  <c r="F138" i="214"/>
  <c r="G51" i="214"/>
  <c r="H46" i="214"/>
  <c r="D42" i="214"/>
  <c r="F79" i="214"/>
  <c r="H70" i="214"/>
  <c r="H86" i="214"/>
  <c r="G71" i="214"/>
  <c r="I71" i="214"/>
  <c r="F63" i="214"/>
  <c r="I30" i="214"/>
  <c r="I65" i="212"/>
  <c r="G66" i="214"/>
  <c r="E63" i="212"/>
  <c r="I125" i="214"/>
  <c r="G35" i="214"/>
  <c r="D129" i="214"/>
  <c r="H64" i="212"/>
  <c r="D126" i="214"/>
  <c r="G36" i="214"/>
  <c r="F64" i="212"/>
  <c r="D67" i="212"/>
  <c r="I66" i="212"/>
  <c r="I67" i="214"/>
  <c r="F131" i="214"/>
  <c r="D123" i="214"/>
  <c r="D63" i="212"/>
  <c r="E126" i="214"/>
  <c r="G62" i="214"/>
  <c r="I123" i="214"/>
  <c r="I20" i="214"/>
  <c r="I158" i="214" s="1"/>
  <c r="E35" i="214"/>
  <c r="H63" i="214"/>
  <c r="F30" i="214"/>
  <c r="G128" i="214"/>
  <c r="D128" i="214"/>
  <c r="I124" i="214"/>
  <c r="E135" i="214"/>
  <c r="E160" i="214" s="1"/>
  <c r="I31" i="214"/>
  <c r="F62" i="212"/>
  <c r="H126" i="214"/>
  <c r="F36" i="214"/>
  <c r="I28" i="214"/>
  <c r="D64" i="212"/>
  <c r="I67" i="212"/>
  <c r="I132" i="214"/>
  <c r="D65" i="212"/>
  <c r="F132" i="214"/>
  <c r="D115" i="214"/>
  <c r="F130" i="214"/>
  <c r="D62" i="212"/>
  <c r="E62" i="214"/>
  <c r="D65" i="214"/>
  <c r="E123" i="214"/>
  <c r="G65" i="214"/>
  <c r="E115" i="214"/>
  <c r="E164" i="214" s="1"/>
  <c r="F37" i="214"/>
  <c r="D28" i="214"/>
  <c r="G20" i="214"/>
  <c r="G158" i="214" s="1"/>
  <c r="H130" i="214"/>
  <c r="H131" i="214"/>
  <c r="H66" i="212"/>
  <c r="E25" i="214"/>
  <c r="H123" i="214"/>
  <c r="F20" i="214"/>
  <c r="I135" i="214"/>
  <c r="I160" i="214" s="1"/>
  <c r="D135" i="214"/>
  <c r="D160" i="214" s="1"/>
  <c r="F62" i="214"/>
  <c r="G63" i="214"/>
  <c r="I128" i="214"/>
  <c r="E132" i="214"/>
  <c r="I129" i="214"/>
  <c r="G67" i="212"/>
  <c r="I64" i="212"/>
  <c r="E64" i="212"/>
  <c r="E28" i="214"/>
  <c r="I63" i="212"/>
  <c r="E67" i="212"/>
  <c r="E37" i="214"/>
  <c r="H62" i="214"/>
  <c r="I65" i="214"/>
  <c r="H31" i="214"/>
  <c r="H28" i="214"/>
  <c r="D66" i="212"/>
  <c r="F135" i="214"/>
  <c r="F160" i="214" s="1"/>
  <c r="E129" i="214"/>
  <c r="E65" i="212"/>
  <c r="G26" i="214"/>
  <c r="G37" i="214"/>
  <c r="G64" i="214"/>
  <c r="H67" i="214"/>
  <c r="I130" i="214"/>
  <c r="D29" i="214"/>
  <c r="G129" i="214"/>
  <c r="E131" i="214"/>
  <c r="F129" i="214"/>
  <c r="E62" i="212"/>
  <c r="F26" i="214"/>
  <c r="D36" i="214"/>
  <c r="D63" i="214"/>
  <c r="G28" i="214"/>
  <c r="F31" i="214"/>
  <c r="H30" i="214"/>
  <c r="G64" i="212"/>
  <c r="F25" i="214"/>
  <c r="F66" i="214"/>
  <c r="H132" i="214"/>
  <c r="F65" i="212"/>
  <c r="G126" i="214"/>
  <c r="H124" i="214"/>
  <c r="F35" i="214"/>
  <c r="I26" i="214"/>
  <c r="E26" i="214"/>
  <c r="E20" i="214"/>
  <c r="I36" i="214"/>
  <c r="D37" i="214"/>
  <c r="E66" i="214"/>
  <c r="F67" i="214"/>
  <c r="E30" i="214"/>
  <c r="E130" i="214"/>
  <c r="E31" i="214"/>
  <c r="F66" i="212"/>
  <c r="G66" i="212"/>
  <c r="E10" i="212"/>
  <c r="H130" i="212" s="1"/>
  <c r="F63" i="212"/>
  <c r="G65" i="212"/>
  <c r="H62" i="212"/>
  <c r="E66" i="212"/>
  <c r="G63" i="212"/>
  <c r="H64" i="214"/>
  <c r="E128" i="214"/>
  <c r="I62" i="212"/>
  <c r="G31" i="214"/>
  <c r="I63" i="214"/>
  <c r="H29" i="214"/>
  <c r="E288" i="743"/>
  <c r="G25" i="214"/>
  <c r="H65" i="214"/>
  <c r="I131" i="214"/>
  <c r="H25" i="214"/>
  <c r="F126" i="214"/>
  <c r="H20" i="214"/>
  <c r="G67" i="214"/>
  <c r="G29" i="214"/>
  <c r="H125" i="214"/>
  <c r="F64" i="214"/>
  <c r="G30" i="214"/>
  <c r="G62" i="212"/>
  <c r="E332" i="743"/>
  <c r="G124" i="214"/>
  <c r="G125" i="214"/>
  <c r="D20" i="214"/>
  <c r="H135" i="214"/>
  <c r="H160" i="214" s="1"/>
  <c r="D35" i="214"/>
  <c r="E64" i="214"/>
  <c r="F65" i="214"/>
  <c r="F28" i="214"/>
  <c r="F128" i="214"/>
  <c r="F29" i="214"/>
  <c r="H65" i="212"/>
  <c r="H63" i="212"/>
  <c r="E9" i="212"/>
  <c r="G125" i="212" s="1"/>
  <c r="D25" i="214"/>
  <c r="I66" i="214"/>
  <c r="D66" i="214"/>
  <c r="G132" i="214"/>
  <c r="I29" i="214"/>
  <c r="F67" i="212"/>
  <c r="E220" i="743"/>
  <c r="F389" i="743"/>
  <c r="F374" i="743" s="1"/>
  <c r="F201" i="743"/>
  <c r="F95" i="743"/>
  <c r="F468" i="743"/>
  <c r="F451" i="743" s="1"/>
  <c r="F239" i="743"/>
  <c r="F362" i="743"/>
  <c r="F345" i="743" s="1"/>
  <c r="O39" i="485"/>
  <c r="O60" i="485" s="1"/>
  <c r="H57" i="485"/>
  <c r="J57" i="485"/>
  <c r="P45" i="112"/>
  <c r="U41" i="485"/>
  <c r="P61" i="112"/>
  <c r="R39" i="485"/>
  <c r="R60" i="485" s="1"/>
  <c r="V35" i="485"/>
  <c r="R56" i="485"/>
  <c r="N35" i="485"/>
  <c r="D56" i="485"/>
  <c r="D137" i="212"/>
  <c r="F41" i="212"/>
  <c r="H140" i="212"/>
  <c r="H49" i="212"/>
  <c r="I43" i="212"/>
  <c r="G59" i="212"/>
  <c r="I139" i="212"/>
  <c r="G138" i="212"/>
  <c r="H43" i="212"/>
  <c r="I46" i="212"/>
  <c r="H58" i="212"/>
  <c r="H138" i="212"/>
  <c r="D43" i="212"/>
  <c r="F138" i="212"/>
  <c r="H54" i="212"/>
  <c r="E57" i="212"/>
  <c r="E138" i="212"/>
  <c r="F48" i="212"/>
  <c r="G44" i="212"/>
  <c r="E59" i="212"/>
  <c r="I47" i="212"/>
  <c r="F57" i="212"/>
  <c r="F140" i="212"/>
  <c r="I40" i="212"/>
  <c r="H53" i="212"/>
  <c r="E42" i="212"/>
  <c r="F141" i="212"/>
  <c r="G140" i="212"/>
  <c r="F47" i="212"/>
  <c r="G141" i="212"/>
  <c r="I44" i="212"/>
  <c r="E47" i="212"/>
  <c r="F54" i="212"/>
  <c r="I41" i="212"/>
  <c r="G137" i="212"/>
  <c r="D51" i="212"/>
  <c r="H40" i="212"/>
  <c r="F42" i="212"/>
  <c r="H41" i="212"/>
  <c r="E53" i="212"/>
  <c r="H141" i="212"/>
  <c r="I59" i="212"/>
  <c r="H59" i="212"/>
  <c r="G43" i="212"/>
  <c r="H46" i="212"/>
  <c r="D138" i="212"/>
  <c r="F53" i="212"/>
  <c r="I57" i="212"/>
  <c r="G52" i="212"/>
  <c r="H52" i="212"/>
  <c r="I52" i="212"/>
  <c r="E40" i="212"/>
  <c r="E49" i="212"/>
  <c r="D40" i="212"/>
  <c r="D58" i="212"/>
  <c r="F49" i="212"/>
  <c r="I54" i="212"/>
  <c r="E43" i="212"/>
  <c r="I140" i="212"/>
  <c r="G139" i="212"/>
  <c r="F43" i="212"/>
  <c r="H47" i="212"/>
  <c r="H51" i="212"/>
  <c r="H44" i="212"/>
  <c r="I141" i="212"/>
  <c r="H57" i="212"/>
  <c r="I42" i="212"/>
  <c r="I53" i="212"/>
  <c r="I138" i="212"/>
  <c r="H42" i="212"/>
  <c r="E56" i="212"/>
  <c r="G53" i="212"/>
  <c r="E141" i="212"/>
  <c r="G48" i="212"/>
  <c r="E41" i="212"/>
  <c r="E58" i="212"/>
  <c r="F44" i="212"/>
  <c r="I48" i="212"/>
  <c r="F40" i="212"/>
  <c r="E44" i="212"/>
  <c r="F139" i="212"/>
  <c r="F59" i="212"/>
  <c r="I58" i="212"/>
  <c r="G57" i="212"/>
  <c r="I49" i="212"/>
  <c r="F52" i="212"/>
  <c r="D56" i="212"/>
  <c r="H137" i="212"/>
  <c r="G46" i="212"/>
  <c r="E140" i="212"/>
  <c r="E139" i="212"/>
  <c r="G54" i="212"/>
  <c r="G47" i="212"/>
  <c r="E52" i="212"/>
  <c r="G40" i="212"/>
  <c r="G41" i="212"/>
  <c r="D49" i="212"/>
  <c r="D48" i="212"/>
  <c r="H48" i="212"/>
  <c r="G58" i="212"/>
  <c r="G42" i="212"/>
  <c r="H139" i="212"/>
  <c r="E48" i="212"/>
  <c r="G49" i="212"/>
  <c r="E54" i="212"/>
  <c r="F58" i="212"/>
  <c r="D52" i="212"/>
  <c r="D46" i="212"/>
  <c r="D57" i="212"/>
  <c r="G39" i="212"/>
  <c r="D39" i="212"/>
  <c r="D44" i="212"/>
  <c r="F137" i="212"/>
  <c r="E137" i="212"/>
  <c r="D42" i="212"/>
  <c r="D41" i="212"/>
  <c r="F39" i="212"/>
  <c r="D59" i="212"/>
  <c r="D140" i="212"/>
  <c r="D139" i="212"/>
  <c r="I56" i="212"/>
  <c r="E46" i="212"/>
  <c r="F56" i="212"/>
  <c r="F51" i="212"/>
  <c r="D53" i="212"/>
  <c r="G51" i="212"/>
  <c r="I51" i="212"/>
  <c r="H39" i="212"/>
  <c r="G56" i="212"/>
  <c r="H56" i="212"/>
  <c r="I39" i="212"/>
  <c r="F46" i="212"/>
  <c r="D54" i="212"/>
  <c r="D47" i="212"/>
  <c r="E51" i="212"/>
  <c r="D141" i="212"/>
  <c r="I137" i="212"/>
  <c r="E39" i="212"/>
  <c r="H86" i="212"/>
  <c r="H69" i="212"/>
  <c r="H71" i="212"/>
  <c r="H73" i="212"/>
  <c r="G76" i="212"/>
  <c r="G78" i="212"/>
  <c r="G80" i="212"/>
  <c r="I82" i="212"/>
  <c r="I84" i="212"/>
  <c r="I86" i="212"/>
  <c r="F80" i="212"/>
  <c r="I69" i="212"/>
  <c r="I71" i="212"/>
  <c r="I73" i="212"/>
  <c r="H76" i="212"/>
  <c r="H78" i="212"/>
  <c r="H80" i="212"/>
  <c r="D83" i="212"/>
  <c r="D85" i="212"/>
  <c r="D87" i="212"/>
  <c r="D70" i="212"/>
  <c r="D72" i="212"/>
  <c r="I76" i="212"/>
  <c r="I78" i="212"/>
  <c r="I80" i="212"/>
  <c r="E83" i="212"/>
  <c r="E85" i="212"/>
  <c r="E87" i="212"/>
  <c r="G71" i="212"/>
  <c r="E70" i="212"/>
  <c r="E72" i="212"/>
  <c r="D75" i="212"/>
  <c r="D77" i="212"/>
  <c r="D79" i="212"/>
  <c r="F83" i="212"/>
  <c r="F85" i="212"/>
  <c r="F87" i="212"/>
  <c r="F76" i="212"/>
  <c r="F70" i="212"/>
  <c r="F72" i="212"/>
  <c r="E75" i="212"/>
  <c r="E77" i="212"/>
  <c r="E79" i="212"/>
  <c r="G83" i="212"/>
  <c r="G85" i="212"/>
  <c r="G87" i="212"/>
  <c r="G70" i="212"/>
  <c r="G72" i="212"/>
  <c r="F75" i="212"/>
  <c r="F77" i="212"/>
  <c r="F79" i="212"/>
  <c r="H83" i="212"/>
  <c r="H85" i="212"/>
  <c r="H87" i="212"/>
  <c r="H82" i="212"/>
  <c r="H70" i="212"/>
  <c r="H72" i="212"/>
  <c r="G75" i="212"/>
  <c r="G77" i="212"/>
  <c r="G79" i="212"/>
  <c r="I83" i="212"/>
  <c r="I85" i="212"/>
  <c r="I87" i="212"/>
  <c r="G73" i="212"/>
  <c r="I70" i="212"/>
  <c r="I72" i="212"/>
  <c r="H75" i="212"/>
  <c r="H77" i="212"/>
  <c r="H79" i="212"/>
  <c r="D82" i="212"/>
  <c r="D84" i="212"/>
  <c r="D86" i="212"/>
  <c r="G69" i="212"/>
  <c r="D69" i="212"/>
  <c r="D71" i="212"/>
  <c r="D73" i="212"/>
  <c r="I75" i="212"/>
  <c r="I77" i="212"/>
  <c r="I79" i="212"/>
  <c r="E82" i="212"/>
  <c r="E84" i="212"/>
  <c r="E86" i="212"/>
  <c r="H84" i="212"/>
  <c r="E69" i="212"/>
  <c r="E71" i="212"/>
  <c r="E73" i="212"/>
  <c r="D76" i="212"/>
  <c r="D78" i="212"/>
  <c r="D80" i="212"/>
  <c r="F82" i="212"/>
  <c r="F84" i="212"/>
  <c r="F86" i="212"/>
  <c r="F78" i="212"/>
  <c r="F69" i="212"/>
  <c r="F71" i="212"/>
  <c r="F73" i="212"/>
  <c r="E76" i="212"/>
  <c r="E78" i="212"/>
  <c r="E80" i="212"/>
  <c r="G82" i="212"/>
  <c r="G84" i="212"/>
  <c r="G86" i="212"/>
  <c r="H118" i="212"/>
  <c r="F21" i="212"/>
  <c r="F158" i="212" s="1"/>
  <c r="D117" i="212"/>
  <c r="E118" i="212"/>
  <c r="F117" i="212"/>
  <c r="I118" i="212"/>
  <c r="G21" i="212"/>
  <c r="G158" i="212" s="1"/>
  <c r="G118" i="212"/>
  <c r="F118" i="212"/>
  <c r="I117" i="212"/>
  <c r="H21" i="212"/>
  <c r="H158" i="212" s="1"/>
  <c r="I21" i="212"/>
  <c r="I158" i="212" s="1"/>
  <c r="H117" i="212"/>
  <c r="E21" i="212"/>
  <c r="E158" i="212" s="1"/>
  <c r="D118" i="212"/>
  <c r="D21" i="212"/>
  <c r="G117" i="212"/>
  <c r="E117" i="212"/>
  <c r="E170" i="743"/>
  <c r="H170" i="743" s="1"/>
  <c r="E389" i="743"/>
  <c r="C54" i="485"/>
  <c r="N33" i="485"/>
  <c r="H113" i="743" l="1"/>
  <c r="H288" i="743"/>
  <c r="H220" i="743"/>
  <c r="H254" i="743"/>
  <c r="H151" i="743"/>
  <c r="W431" i="825"/>
  <c r="H384" i="743"/>
  <c r="W494" i="825"/>
  <c r="W485" i="825" s="1"/>
  <c r="H332" i="743"/>
  <c r="W465" i="825"/>
  <c r="H357" i="743"/>
  <c r="W365" i="825"/>
  <c r="W356" i="825" s="1"/>
  <c r="H438" i="743"/>
  <c r="W437" i="825"/>
  <c r="H390" i="743"/>
  <c r="W430" i="825"/>
  <c r="H385" i="743"/>
  <c r="W401" i="825"/>
  <c r="H410" i="743"/>
  <c r="W408" i="825"/>
  <c r="H416" i="743"/>
  <c r="W372" i="825"/>
  <c r="H443" i="743"/>
  <c r="W366" i="825"/>
  <c r="H437" i="743"/>
  <c r="W436" i="825"/>
  <c r="W419" i="825" s="1"/>
  <c r="H389" i="743"/>
  <c r="W344" i="825"/>
  <c r="W319" i="825" s="1"/>
  <c r="W320" i="825" s="1"/>
  <c r="W321" i="825" s="1"/>
  <c r="H469" i="743"/>
  <c r="W178" i="825"/>
  <c r="W122" i="825"/>
  <c r="W105" i="825" s="1"/>
  <c r="W462" i="825"/>
  <c r="W447" i="825" s="1"/>
  <c r="W448" i="825" s="1"/>
  <c r="W449" i="825" s="1"/>
  <c r="W463" i="825"/>
  <c r="W464" i="825"/>
  <c r="W179" i="825"/>
  <c r="W228" i="825"/>
  <c r="W209" i="825" s="1"/>
  <c r="W398" i="825"/>
  <c r="W399" i="825"/>
  <c r="W400" i="825"/>
  <c r="W107" i="825"/>
  <c r="W106" i="825"/>
  <c r="W109" i="825"/>
  <c r="W108" i="825"/>
  <c r="W298" i="825"/>
  <c r="W280" i="825" s="1"/>
  <c r="W247" i="825"/>
  <c r="W262" i="825"/>
  <c r="W246" i="825" s="1"/>
  <c r="W162" i="825"/>
  <c r="W143" i="825" s="1"/>
  <c r="D78" i="644"/>
  <c r="D49" i="644"/>
  <c r="D64" i="644"/>
  <c r="D50" i="644"/>
  <c r="D51" i="644"/>
  <c r="D63" i="644"/>
  <c r="D48" i="644"/>
  <c r="K99" i="743"/>
  <c r="K98" i="743"/>
  <c r="K97" i="743"/>
  <c r="E348" i="743"/>
  <c r="H348" i="743" s="1"/>
  <c r="E401" i="743"/>
  <c r="H401" i="743" s="1"/>
  <c r="E201" i="743"/>
  <c r="H201" i="743" s="1"/>
  <c r="E36" i="212"/>
  <c r="X33" i="485"/>
  <c r="Z33" i="485" s="1"/>
  <c r="D19" i="214"/>
  <c r="F36" i="212"/>
  <c r="F35" i="212"/>
  <c r="I135" i="212"/>
  <c r="I161" i="212" s="1"/>
  <c r="F19" i="214"/>
  <c r="J134" i="207"/>
  <c r="G35" i="212"/>
  <c r="D35" i="212"/>
  <c r="G135" i="212"/>
  <c r="G161" i="212" s="1"/>
  <c r="H37" i="212"/>
  <c r="U44" i="485"/>
  <c r="G27" i="631"/>
  <c r="H27" i="631" s="1"/>
  <c r="I132" i="212"/>
  <c r="E115" i="212"/>
  <c r="E165" i="212" s="1"/>
  <c r="H20" i="212"/>
  <c r="H19" i="212" s="1"/>
  <c r="D115" i="212"/>
  <c r="D165" i="212" s="1"/>
  <c r="I20" i="212"/>
  <c r="I19" i="212" s="1"/>
  <c r="G20" i="212"/>
  <c r="G159" i="212" s="1"/>
  <c r="E20" i="212"/>
  <c r="E19" i="212" s="1"/>
  <c r="F20" i="212"/>
  <c r="F19" i="212" s="1"/>
  <c r="I115" i="212"/>
  <c r="I165" i="212" s="1"/>
  <c r="D20" i="212"/>
  <c r="D19" i="212" s="1"/>
  <c r="H115" i="212"/>
  <c r="H165" i="212" s="1"/>
  <c r="F115" i="212"/>
  <c r="H116" i="214"/>
  <c r="H163" i="214" s="1"/>
  <c r="E116" i="214"/>
  <c r="E163" i="214" s="1"/>
  <c r="E454" i="743"/>
  <c r="H454" i="743" s="1"/>
  <c r="E362" i="743"/>
  <c r="E132" i="743"/>
  <c r="H132" i="743" s="1"/>
  <c r="J441" i="813"/>
  <c r="D135" i="212"/>
  <c r="D161" i="212" s="1"/>
  <c r="E429" i="743"/>
  <c r="H429" i="743" s="1"/>
  <c r="H135" i="212"/>
  <c r="H161" i="212" s="1"/>
  <c r="E37" i="212"/>
  <c r="H35" i="212"/>
  <c r="H36" i="212"/>
  <c r="E35" i="212"/>
  <c r="F135" i="212"/>
  <c r="F161" i="212" s="1"/>
  <c r="F37" i="212"/>
  <c r="I35" i="212"/>
  <c r="I37" i="212"/>
  <c r="I36" i="212"/>
  <c r="D36" i="212"/>
  <c r="G37" i="212"/>
  <c r="G36" i="212"/>
  <c r="D37" i="212"/>
  <c r="G130" i="212"/>
  <c r="J117" i="214"/>
  <c r="G116" i="214"/>
  <c r="G114" i="214" s="1"/>
  <c r="H68" i="214"/>
  <c r="H149" i="214" s="1"/>
  <c r="J118" i="214"/>
  <c r="D116" i="214"/>
  <c r="D114" i="214" s="1"/>
  <c r="F116" i="214"/>
  <c r="F114" i="214" s="1"/>
  <c r="D26" i="212"/>
  <c r="E25" i="212"/>
  <c r="I125" i="212"/>
  <c r="E26" i="212"/>
  <c r="J56" i="214"/>
  <c r="J71" i="214"/>
  <c r="J43" i="214"/>
  <c r="D24" i="214"/>
  <c r="D156" i="214" s="1"/>
  <c r="E269" i="743"/>
  <c r="H269" i="743" s="1"/>
  <c r="E336" i="743"/>
  <c r="E95" i="743"/>
  <c r="H95" i="743" s="1"/>
  <c r="F34" i="214"/>
  <c r="F154" i="214" s="1"/>
  <c r="I50" i="214"/>
  <c r="E122" i="214"/>
  <c r="E162" i="214" s="1"/>
  <c r="J42" i="214"/>
  <c r="I136" i="214"/>
  <c r="I134" i="214" s="1"/>
  <c r="G24" i="214"/>
  <c r="G156" i="214" s="1"/>
  <c r="E55" i="214"/>
  <c r="F68" i="214"/>
  <c r="F149" i="214" s="1"/>
  <c r="I102" i="214"/>
  <c r="G55" i="214"/>
  <c r="E136" i="214"/>
  <c r="E159" i="214" s="1"/>
  <c r="F55" i="214"/>
  <c r="I55" i="214"/>
  <c r="H50" i="214"/>
  <c r="I116" i="214"/>
  <c r="I163" i="214" s="1"/>
  <c r="J100" i="214"/>
  <c r="J137" i="214"/>
  <c r="J49" i="214"/>
  <c r="E34" i="214"/>
  <c r="E154" i="214" s="1"/>
  <c r="H89" i="214"/>
  <c r="J58" i="214"/>
  <c r="J104" i="214"/>
  <c r="E50" i="214"/>
  <c r="E45" i="214"/>
  <c r="H24" i="214"/>
  <c r="H156" i="214" s="1"/>
  <c r="G50" i="214"/>
  <c r="D95" i="214"/>
  <c r="J86" i="214"/>
  <c r="J99" i="214"/>
  <c r="E89" i="214"/>
  <c r="G45" i="214"/>
  <c r="I34" i="214"/>
  <c r="I154" i="214" s="1"/>
  <c r="J92" i="214"/>
  <c r="H136" i="214"/>
  <c r="H159" i="214" s="1"/>
  <c r="D122" i="214"/>
  <c r="D162" i="214" s="1"/>
  <c r="G102" i="214"/>
  <c r="E102" i="214"/>
  <c r="I95" i="214"/>
  <c r="D55" i="214"/>
  <c r="G38" i="214"/>
  <c r="J141" i="214"/>
  <c r="D130" i="212"/>
  <c r="H19" i="214"/>
  <c r="G129" i="212"/>
  <c r="F130" i="212"/>
  <c r="J65" i="214"/>
  <c r="D38" i="214"/>
  <c r="J53" i="214"/>
  <c r="D74" i="214"/>
  <c r="D150" i="214" s="1"/>
  <c r="D136" i="214"/>
  <c r="D159" i="214" s="1"/>
  <c r="J84" i="214"/>
  <c r="I68" i="214"/>
  <c r="I149" i="214" s="1"/>
  <c r="I28" i="212"/>
  <c r="E323" i="743"/>
  <c r="H323" i="743" s="1"/>
  <c r="G31" i="212"/>
  <c r="J126" i="214"/>
  <c r="H27" i="214"/>
  <c r="H155" i="214" s="1"/>
  <c r="H45" i="214"/>
  <c r="F102" i="214"/>
  <c r="G68" i="214"/>
  <c r="G149" i="214" s="1"/>
  <c r="F95" i="214"/>
  <c r="J44" i="214"/>
  <c r="J108" i="214"/>
  <c r="F38" i="214"/>
  <c r="J106" i="214"/>
  <c r="F158" i="214"/>
  <c r="F128" i="212"/>
  <c r="H81" i="214"/>
  <c r="H151" i="214" s="1"/>
  <c r="F129" i="212"/>
  <c r="E132" i="212"/>
  <c r="H31" i="212"/>
  <c r="G28" i="212"/>
  <c r="G131" i="212"/>
  <c r="E442" i="743"/>
  <c r="I45" i="214"/>
  <c r="J21" i="214"/>
  <c r="J157" i="214" s="1"/>
  <c r="L31" i="485" s="1"/>
  <c r="L52" i="485" s="1"/>
  <c r="D158" i="214"/>
  <c r="D128" i="212"/>
  <c r="F29" i="212"/>
  <c r="E239" i="743"/>
  <c r="H239" i="743" s="1"/>
  <c r="J97" i="214"/>
  <c r="F31" i="212"/>
  <c r="D129" i="212"/>
  <c r="D31" i="212"/>
  <c r="E468" i="743"/>
  <c r="F136" i="214"/>
  <c r="F159" i="214" s="1"/>
  <c r="J124" i="214"/>
  <c r="I38" i="214"/>
  <c r="I127" i="214"/>
  <c r="I161" i="214" s="1"/>
  <c r="J94" i="214"/>
  <c r="G136" i="214"/>
  <c r="G134" i="214" s="1"/>
  <c r="J138" i="214"/>
  <c r="H74" i="214"/>
  <c r="H150" i="214" s="1"/>
  <c r="J91" i="214"/>
  <c r="F50" i="214"/>
  <c r="J83" i="214"/>
  <c r="H34" i="214"/>
  <c r="H154" i="214" s="1"/>
  <c r="J93" i="214"/>
  <c r="J51" i="214"/>
  <c r="J105" i="214"/>
  <c r="G127" i="214"/>
  <c r="G161" i="214" s="1"/>
  <c r="H55" i="214"/>
  <c r="J48" i="214"/>
  <c r="J70" i="214"/>
  <c r="J52" i="214"/>
  <c r="J54" i="214"/>
  <c r="H127" i="214"/>
  <c r="H161" i="214" s="1"/>
  <c r="J129" i="214"/>
  <c r="J78" i="214"/>
  <c r="J101" i="214"/>
  <c r="F122" i="214"/>
  <c r="J96" i="214"/>
  <c r="F81" i="214"/>
  <c r="F151" i="214" s="1"/>
  <c r="I74" i="214"/>
  <c r="I150" i="214" s="1"/>
  <c r="H102" i="214"/>
  <c r="J76" i="214"/>
  <c r="G95" i="214"/>
  <c r="J85" i="214"/>
  <c r="G61" i="212"/>
  <c r="G153" i="212" s="1"/>
  <c r="J20" i="214"/>
  <c r="J158" i="214" s="1"/>
  <c r="M31" i="485" s="1"/>
  <c r="M52" i="485" s="1"/>
  <c r="D102" i="214"/>
  <c r="D89" i="214"/>
  <c r="J40" i="214"/>
  <c r="I81" i="214"/>
  <c r="I151" i="214" s="1"/>
  <c r="J46" i="214"/>
  <c r="J139" i="214"/>
  <c r="J59" i="214"/>
  <c r="D68" i="214"/>
  <c r="D149" i="214" s="1"/>
  <c r="I89" i="214"/>
  <c r="J87" i="214"/>
  <c r="J79" i="214"/>
  <c r="F127" i="214"/>
  <c r="F161" i="214" s="1"/>
  <c r="J66" i="212"/>
  <c r="J26" i="214"/>
  <c r="J36" i="214"/>
  <c r="J67" i="212"/>
  <c r="D27" i="214"/>
  <c r="F89" i="214"/>
  <c r="J107" i="214"/>
  <c r="G122" i="214"/>
  <c r="G89" i="214"/>
  <c r="F45" i="214"/>
  <c r="J47" i="214"/>
  <c r="E68" i="214"/>
  <c r="E149" i="214" s="1"/>
  <c r="F74" i="214"/>
  <c r="F150" i="214" s="1"/>
  <c r="D81" i="214"/>
  <c r="D151" i="214" s="1"/>
  <c r="J77" i="214"/>
  <c r="F27" i="214"/>
  <c r="F155" i="214" s="1"/>
  <c r="H61" i="212"/>
  <c r="H153" i="212" s="1"/>
  <c r="I24" i="214"/>
  <c r="I156" i="214" s="1"/>
  <c r="F24" i="214"/>
  <c r="H95" i="214"/>
  <c r="J69" i="214"/>
  <c r="G74" i="214"/>
  <c r="G150" i="214" s="1"/>
  <c r="J41" i="214"/>
  <c r="G81" i="214"/>
  <c r="G151" i="214" s="1"/>
  <c r="J80" i="214"/>
  <c r="J73" i="214"/>
  <c r="H38" i="214"/>
  <c r="J72" i="214"/>
  <c r="H61" i="214"/>
  <c r="H152" i="214" s="1"/>
  <c r="J98" i="214"/>
  <c r="D45" i="214"/>
  <c r="J90" i="214"/>
  <c r="J82" i="214"/>
  <c r="E158" i="214"/>
  <c r="J39" i="214"/>
  <c r="D131" i="212"/>
  <c r="I29" i="212"/>
  <c r="E128" i="212"/>
  <c r="E61" i="214"/>
  <c r="E152" i="214" s="1"/>
  <c r="D61" i="212"/>
  <c r="D127" i="214"/>
  <c r="J75" i="214"/>
  <c r="D29" i="212"/>
  <c r="H131" i="212"/>
  <c r="J57" i="214"/>
  <c r="E27" i="214"/>
  <c r="E155" i="214" s="1"/>
  <c r="J25" i="214"/>
  <c r="J130" i="214"/>
  <c r="I122" i="214"/>
  <c r="I162" i="214" s="1"/>
  <c r="G27" i="214"/>
  <c r="G155" i="214" s="1"/>
  <c r="E95" i="214"/>
  <c r="J64" i="214"/>
  <c r="E61" i="212"/>
  <c r="E153" i="212" s="1"/>
  <c r="E81" i="214"/>
  <c r="E151" i="214" s="1"/>
  <c r="J140" i="214"/>
  <c r="E74" i="214"/>
  <c r="E150" i="214" s="1"/>
  <c r="J103" i="214"/>
  <c r="F61" i="212"/>
  <c r="F153" i="212" s="1"/>
  <c r="D50" i="214"/>
  <c r="H30" i="212"/>
  <c r="E376" i="743"/>
  <c r="H376" i="743" s="1"/>
  <c r="H132" i="212"/>
  <c r="E29" i="212"/>
  <c r="J30" i="214"/>
  <c r="J67" i="214"/>
  <c r="G61" i="214"/>
  <c r="G152" i="214" s="1"/>
  <c r="J115" i="214"/>
  <c r="J164" i="214" s="1"/>
  <c r="T31" i="485" s="1"/>
  <c r="T52" i="485" s="1"/>
  <c r="J29" i="214"/>
  <c r="G19" i="214"/>
  <c r="J64" i="212"/>
  <c r="J35" i="214"/>
  <c r="E19" i="214"/>
  <c r="H128" i="212"/>
  <c r="J128" i="214"/>
  <c r="E129" i="212"/>
  <c r="H122" i="214"/>
  <c r="H162" i="214" s="1"/>
  <c r="F132" i="212"/>
  <c r="E31" i="212"/>
  <c r="F61" i="214"/>
  <c r="F152" i="214" s="1"/>
  <c r="I61" i="212"/>
  <c r="I153" i="212" s="1"/>
  <c r="J66" i="214"/>
  <c r="G34" i="214"/>
  <c r="J132" i="214"/>
  <c r="J63" i="214"/>
  <c r="J63" i="212"/>
  <c r="I27" i="214"/>
  <c r="I155" i="214" s="1"/>
  <c r="E38" i="214"/>
  <c r="I31" i="212"/>
  <c r="I61" i="214"/>
  <c r="I152" i="214" s="1"/>
  <c r="F28" i="212"/>
  <c r="J135" i="214"/>
  <c r="J160" i="214" s="1"/>
  <c r="P31" i="485" s="1"/>
  <c r="P52" i="485" s="1"/>
  <c r="I130" i="212"/>
  <c r="H29" i="212"/>
  <c r="J125" i="214"/>
  <c r="E127" i="214"/>
  <c r="E161" i="214" s="1"/>
  <c r="J37" i="214"/>
  <c r="J31" i="214"/>
  <c r="J131" i="214"/>
  <c r="J65" i="212"/>
  <c r="E123" i="212"/>
  <c r="H126" i="212"/>
  <c r="F124" i="212"/>
  <c r="E125" i="212"/>
  <c r="D123" i="212"/>
  <c r="F126" i="212"/>
  <c r="I19" i="214"/>
  <c r="D34" i="214"/>
  <c r="H28" i="212"/>
  <c r="I30" i="212"/>
  <c r="E131" i="212"/>
  <c r="I128" i="212"/>
  <c r="F123" i="212"/>
  <c r="G124" i="212"/>
  <c r="G126" i="212"/>
  <c r="E124" i="212"/>
  <c r="J62" i="212"/>
  <c r="D125" i="212"/>
  <c r="I123" i="212"/>
  <c r="H124" i="212"/>
  <c r="D126" i="212"/>
  <c r="D164" i="214"/>
  <c r="G26" i="212"/>
  <c r="D61" i="214"/>
  <c r="D132" i="212"/>
  <c r="F131" i="212"/>
  <c r="H129" i="212"/>
  <c r="I129" i="212"/>
  <c r="H125" i="212"/>
  <c r="E415" i="743"/>
  <c r="H26" i="212"/>
  <c r="D124" i="212"/>
  <c r="I126" i="212"/>
  <c r="H158" i="214"/>
  <c r="J62" i="214"/>
  <c r="G128" i="212"/>
  <c r="I131" i="212"/>
  <c r="E30" i="212"/>
  <c r="F30" i="212"/>
  <c r="I26" i="212"/>
  <c r="E24" i="214"/>
  <c r="E156" i="214" s="1"/>
  <c r="J123" i="214"/>
  <c r="F25" i="212"/>
  <c r="I124" i="212"/>
  <c r="E126" i="212"/>
  <c r="I25" i="212"/>
  <c r="J28" i="214"/>
  <c r="E28" i="212"/>
  <c r="G30" i="212"/>
  <c r="D28" i="212"/>
  <c r="E130" i="212"/>
  <c r="H25" i="212"/>
  <c r="F125" i="212"/>
  <c r="G123" i="212"/>
  <c r="G25" i="212"/>
  <c r="F26" i="212"/>
  <c r="H123" i="212"/>
  <c r="D30" i="212"/>
  <c r="G132" i="212"/>
  <c r="G29" i="212"/>
  <c r="D25" i="212"/>
  <c r="Z35" i="485"/>
  <c r="V36" i="485"/>
  <c r="V39" i="485" s="1"/>
  <c r="H39" i="485"/>
  <c r="H60" i="485" s="1"/>
  <c r="I116" i="212"/>
  <c r="I164" i="212" s="1"/>
  <c r="Q45" i="112"/>
  <c r="R45" i="112"/>
  <c r="F61" i="112"/>
  <c r="R61" i="112"/>
  <c r="Q61" i="112"/>
  <c r="V56" i="485"/>
  <c r="P27" i="112"/>
  <c r="AC35" i="485"/>
  <c r="AG35" i="485"/>
  <c r="AL11" i="485" s="1"/>
  <c r="K27" i="112"/>
  <c r="W35" i="485"/>
  <c r="AB35" i="485"/>
  <c r="N56" i="485"/>
  <c r="AF35" i="485"/>
  <c r="AJ11" i="485" s="1"/>
  <c r="H89" i="212"/>
  <c r="H50" i="212"/>
  <c r="J52" i="212"/>
  <c r="J57" i="212"/>
  <c r="G38" i="212"/>
  <c r="J137" i="212"/>
  <c r="D136" i="212"/>
  <c r="J51" i="212"/>
  <c r="D50" i="212"/>
  <c r="J56" i="212"/>
  <c r="D55" i="212"/>
  <c r="D45" i="212"/>
  <c r="J46" i="212"/>
  <c r="J39" i="212"/>
  <c r="D38" i="212"/>
  <c r="J96" i="212"/>
  <c r="D95" i="212"/>
  <c r="D89" i="212"/>
  <c r="J90" i="212"/>
  <c r="D102" i="212"/>
  <c r="J103" i="212"/>
  <c r="J75" i="212"/>
  <c r="D74" i="212"/>
  <c r="J82" i="212"/>
  <c r="D81" i="212"/>
  <c r="J69" i="212"/>
  <c r="D68" i="212"/>
  <c r="J117" i="212"/>
  <c r="D116" i="212"/>
  <c r="D158" i="212"/>
  <c r="J21" i="212"/>
  <c r="J158" i="212" s="1"/>
  <c r="L32" i="485" s="1"/>
  <c r="E374" i="743"/>
  <c r="H374" i="743" s="1"/>
  <c r="N54" i="485"/>
  <c r="W33" i="485"/>
  <c r="K25" i="112"/>
  <c r="AF33" i="485"/>
  <c r="AJ9" i="485" s="1"/>
  <c r="AB33" i="485"/>
  <c r="I45" i="212"/>
  <c r="J43" i="212"/>
  <c r="G136" i="212"/>
  <c r="H45" i="212"/>
  <c r="J138" i="212"/>
  <c r="J40" i="212"/>
  <c r="J58" i="212"/>
  <c r="E55" i="212"/>
  <c r="H136" i="212"/>
  <c r="G45" i="212"/>
  <c r="J49" i="212"/>
  <c r="J48" i="212"/>
  <c r="J44" i="212"/>
  <c r="F136" i="212"/>
  <c r="E136" i="212"/>
  <c r="J42" i="212"/>
  <c r="J41" i="212"/>
  <c r="F38" i="212"/>
  <c r="J59" i="212"/>
  <c r="J140" i="212"/>
  <c r="J139" i="212"/>
  <c r="I55" i="212"/>
  <c r="E45" i="212"/>
  <c r="F55" i="212"/>
  <c r="F50" i="212"/>
  <c r="J53" i="212"/>
  <c r="G50" i="212"/>
  <c r="I50" i="212"/>
  <c r="H38" i="212"/>
  <c r="G55" i="212"/>
  <c r="H55" i="212"/>
  <c r="I38" i="212"/>
  <c r="F45" i="212"/>
  <c r="J54" i="212"/>
  <c r="J47" i="212"/>
  <c r="E50" i="212"/>
  <c r="J141" i="212"/>
  <c r="I136" i="212"/>
  <c r="E38" i="212"/>
  <c r="I102" i="212"/>
  <c r="F116" i="212"/>
  <c r="G102" i="212"/>
  <c r="J101" i="212"/>
  <c r="J105" i="212"/>
  <c r="J97" i="212"/>
  <c r="J94" i="212"/>
  <c r="G89" i="212"/>
  <c r="J104" i="212"/>
  <c r="E89" i="212"/>
  <c r="I95" i="212"/>
  <c r="J91" i="212"/>
  <c r="J107" i="212"/>
  <c r="F102" i="212"/>
  <c r="J93" i="212"/>
  <c r="H102" i="212"/>
  <c r="G95" i="212"/>
  <c r="J108" i="212"/>
  <c r="F95" i="212"/>
  <c r="J99" i="212"/>
  <c r="I89" i="212"/>
  <c r="H95" i="212"/>
  <c r="J106" i="212"/>
  <c r="E102" i="212"/>
  <c r="E95" i="212"/>
  <c r="J92" i="212"/>
  <c r="F89" i="212"/>
  <c r="J100" i="212"/>
  <c r="J98" i="212"/>
  <c r="H68" i="212"/>
  <c r="H150" i="212" s="1"/>
  <c r="I81" i="212"/>
  <c r="I152" i="212" s="1"/>
  <c r="I68" i="212"/>
  <c r="I150" i="212" s="1"/>
  <c r="J83" i="212"/>
  <c r="J85" i="212"/>
  <c r="J87" i="212"/>
  <c r="J70" i="212"/>
  <c r="J72" i="212"/>
  <c r="J77" i="212"/>
  <c r="J79" i="212"/>
  <c r="E74" i="212"/>
  <c r="E151" i="212" s="1"/>
  <c r="F74" i="212"/>
  <c r="F151" i="212" s="1"/>
  <c r="H81" i="212"/>
  <c r="H152" i="212" s="1"/>
  <c r="G74" i="212"/>
  <c r="G151" i="212" s="1"/>
  <c r="H74" i="212"/>
  <c r="H151" i="212" s="1"/>
  <c r="J84" i="212"/>
  <c r="J86" i="212"/>
  <c r="G68" i="212"/>
  <c r="G150" i="212" s="1"/>
  <c r="J71" i="212"/>
  <c r="J73" i="212"/>
  <c r="I74" i="212"/>
  <c r="I151" i="212" s="1"/>
  <c r="E81" i="212"/>
  <c r="E152" i="212" s="1"/>
  <c r="E68" i="212"/>
  <c r="E150" i="212" s="1"/>
  <c r="J76" i="212"/>
  <c r="J78" i="212"/>
  <c r="J80" i="212"/>
  <c r="F81" i="212"/>
  <c r="F152" i="212" s="1"/>
  <c r="F68" i="212"/>
  <c r="F150" i="212" s="1"/>
  <c r="G81" i="212"/>
  <c r="G152" i="212" s="1"/>
  <c r="H116" i="212"/>
  <c r="J118" i="212"/>
  <c r="G116" i="212"/>
  <c r="E116" i="212"/>
  <c r="G165" i="212"/>
  <c r="W421" i="825" l="1"/>
  <c r="W383" i="825"/>
  <c r="W384" i="825" s="1"/>
  <c r="W385" i="825" s="1"/>
  <c r="W500" i="825"/>
  <c r="W483" i="825" s="1"/>
  <c r="H336" i="743"/>
  <c r="W371" i="825"/>
  <c r="W354" i="825" s="1"/>
  <c r="H442" i="743"/>
  <c r="W406" i="825"/>
  <c r="W386" i="825" s="1"/>
  <c r="H415" i="743"/>
  <c r="W342" i="825"/>
  <c r="W322" i="825" s="1"/>
  <c r="H468" i="743"/>
  <c r="W470" i="825"/>
  <c r="W450" i="825" s="1"/>
  <c r="H362" i="743"/>
  <c r="D47" i="644"/>
  <c r="V50" i="644" s="1"/>
  <c r="AG50" i="644" s="1"/>
  <c r="D69" i="644"/>
  <c r="D77" i="644"/>
  <c r="V76" i="644" s="1"/>
  <c r="AG76" i="644" s="1"/>
  <c r="D122" i="644"/>
  <c r="D109" i="644"/>
  <c r="D116" i="644"/>
  <c r="D102" i="644"/>
  <c r="D129" i="644"/>
  <c r="D55" i="644"/>
  <c r="D83" i="644"/>
  <c r="D95" i="644"/>
  <c r="D107" i="644"/>
  <c r="E345" i="743"/>
  <c r="H345" i="743" s="1"/>
  <c r="E451" i="743"/>
  <c r="H451" i="743" s="1"/>
  <c r="F34" i="212"/>
  <c r="F155" i="212" s="1"/>
  <c r="H159" i="212"/>
  <c r="H114" i="214"/>
  <c r="G19" i="212"/>
  <c r="J19" i="212" s="1"/>
  <c r="I159" i="212"/>
  <c r="F159" i="212"/>
  <c r="D159" i="212"/>
  <c r="I114" i="214"/>
  <c r="E24" i="212"/>
  <c r="E157" i="212" s="1"/>
  <c r="G34" i="212"/>
  <c r="G155" i="212" s="1"/>
  <c r="D34" i="212"/>
  <c r="D155" i="212" s="1"/>
  <c r="J115" i="212"/>
  <c r="J165" i="212" s="1"/>
  <c r="T32" i="485" s="1"/>
  <c r="T34" i="485" s="1"/>
  <c r="J20" i="212"/>
  <c r="J159" i="212" s="1"/>
  <c r="M32" i="485" s="1"/>
  <c r="M34" i="485" s="1"/>
  <c r="D24" i="212"/>
  <c r="D157" i="212" s="1"/>
  <c r="E159" i="212"/>
  <c r="F163" i="214"/>
  <c r="E114" i="214"/>
  <c r="F165" i="212"/>
  <c r="I159" i="214"/>
  <c r="I34" i="212"/>
  <c r="I155" i="212" s="1"/>
  <c r="J35" i="212"/>
  <c r="J36" i="212"/>
  <c r="J116" i="214"/>
  <c r="J163" i="214" s="1"/>
  <c r="S31" i="485" s="1"/>
  <c r="S52" i="485" s="1"/>
  <c r="G163" i="214"/>
  <c r="J135" i="212"/>
  <c r="J161" i="212" s="1"/>
  <c r="P32" i="485" s="1"/>
  <c r="P53" i="485" s="1"/>
  <c r="D134" i="214"/>
  <c r="J37" i="212"/>
  <c r="E321" i="743"/>
  <c r="H321" i="743" s="1"/>
  <c r="E427" i="743"/>
  <c r="H427" i="743" s="1"/>
  <c r="D163" i="214"/>
  <c r="H34" i="212"/>
  <c r="H155" i="212" s="1"/>
  <c r="E34" i="212"/>
  <c r="E155" i="212" s="1"/>
  <c r="F134" i="214"/>
  <c r="E148" i="214"/>
  <c r="D23" i="214"/>
  <c r="F23" i="214"/>
  <c r="D121" i="214"/>
  <c r="G148" i="214"/>
  <c r="G121" i="214"/>
  <c r="G143" i="214" s="1"/>
  <c r="J55" i="214"/>
  <c r="H134" i="214"/>
  <c r="E153" i="214"/>
  <c r="J29" i="212"/>
  <c r="I148" i="214"/>
  <c r="E398" i="743"/>
  <c r="H398" i="743" s="1"/>
  <c r="E134" i="214"/>
  <c r="G33" i="214"/>
  <c r="G153" i="214"/>
  <c r="I23" i="214"/>
  <c r="H148" i="214"/>
  <c r="J129" i="212"/>
  <c r="J102" i="214"/>
  <c r="H127" i="212"/>
  <c r="H162" i="212" s="1"/>
  <c r="I153" i="214"/>
  <c r="J122" i="214"/>
  <c r="J162" i="214" s="1"/>
  <c r="R31" i="485" s="1"/>
  <c r="R52" i="485" s="1"/>
  <c r="G162" i="214"/>
  <c r="D148" i="214"/>
  <c r="J24" i="214"/>
  <c r="J156" i="214" s="1"/>
  <c r="K31" i="485" s="1"/>
  <c r="K52" i="485" s="1"/>
  <c r="F153" i="214"/>
  <c r="J68" i="214"/>
  <c r="J149" i="214" s="1"/>
  <c r="D31" i="485" s="1"/>
  <c r="D52" i="485" s="1"/>
  <c r="J45" i="214"/>
  <c r="J38" i="214"/>
  <c r="J19" i="214"/>
  <c r="J50" i="214"/>
  <c r="F148" i="214"/>
  <c r="H23" i="214"/>
  <c r="I33" i="214"/>
  <c r="G154" i="214"/>
  <c r="J74" i="214"/>
  <c r="J150" i="214" s="1"/>
  <c r="E31" i="485" s="1"/>
  <c r="E52" i="485" s="1"/>
  <c r="J89" i="214"/>
  <c r="J128" i="212"/>
  <c r="J95" i="214"/>
  <c r="J81" i="214"/>
  <c r="J151" i="214" s="1"/>
  <c r="F31" i="485" s="1"/>
  <c r="F52" i="485" s="1"/>
  <c r="F162" i="214"/>
  <c r="J27" i="214"/>
  <c r="J155" i="214" s="1"/>
  <c r="J31" i="485" s="1"/>
  <c r="J52" i="485" s="1"/>
  <c r="F121" i="214"/>
  <c r="D155" i="214"/>
  <c r="F156" i="214"/>
  <c r="J31" i="212"/>
  <c r="I27" i="212"/>
  <c r="I156" i="212" s="1"/>
  <c r="D153" i="214"/>
  <c r="J136" i="214"/>
  <c r="J159" i="214" s="1"/>
  <c r="O31" i="485" s="1"/>
  <c r="O52" i="485" s="1"/>
  <c r="E33" i="214"/>
  <c r="I121" i="214"/>
  <c r="G159" i="214"/>
  <c r="H33" i="214"/>
  <c r="J125" i="212"/>
  <c r="F27" i="212"/>
  <c r="F156" i="212" s="1"/>
  <c r="D33" i="214"/>
  <c r="H153" i="214"/>
  <c r="I24" i="212"/>
  <c r="I157" i="212" s="1"/>
  <c r="J132" i="212"/>
  <c r="E122" i="212"/>
  <c r="E163" i="212" s="1"/>
  <c r="J25" i="212"/>
  <c r="J61" i="212"/>
  <c r="J153" i="212" s="1"/>
  <c r="E127" i="212"/>
  <c r="E162" i="212" s="1"/>
  <c r="J28" i="212"/>
  <c r="I122" i="212"/>
  <c r="I163" i="212" s="1"/>
  <c r="F127" i="212"/>
  <c r="F162" i="212" s="1"/>
  <c r="D127" i="212"/>
  <c r="D162" i="212" s="1"/>
  <c r="H122" i="212"/>
  <c r="H163" i="212" s="1"/>
  <c r="H27" i="212"/>
  <c r="H156" i="212" s="1"/>
  <c r="J34" i="214"/>
  <c r="J154" i="214" s="1"/>
  <c r="I31" i="485" s="1"/>
  <c r="I52" i="485" s="1"/>
  <c r="D161" i="214"/>
  <c r="J26" i="212"/>
  <c r="J127" i="214"/>
  <c r="J161" i="214" s="1"/>
  <c r="Q31" i="485" s="1"/>
  <c r="Q52" i="485" s="1"/>
  <c r="I127" i="212"/>
  <c r="J131" i="212"/>
  <c r="J124" i="212"/>
  <c r="G127" i="212"/>
  <c r="G162" i="212" s="1"/>
  <c r="F24" i="212"/>
  <c r="F157" i="212" s="1"/>
  <c r="J126" i="212"/>
  <c r="G27" i="212"/>
  <c r="G156" i="212" s="1"/>
  <c r="D122" i="212"/>
  <c r="H121" i="214"/>
  <c r="G23" i="214"/>
  <c r="E121" i="214"/>
  <c r="J30" i="212"/>
  <c r="G122" i="212"/>
  <c r="G163" i="212" s="1"/>
  <c r="F122" i="212"/>
  <c r="F163" i="212" s="1"/>
  <c r="D154" i="214"/>
  <c r="E23" i="214"/>
  <c r="F33" i="214"/>
  <c r="D153" i="212"/>
  <c r="H24" i="212"/>
  <c r="E27" i="212"/>
  <c r="G24" i="212"/>
  <c r="G157" i="212" s="1"/>
  <c r="J123" i="212"/>
  <c r="D152" i="214"/>
  <c r="J61" i="214"/>
  <c r="G31" i="485" s="1"/>
  <c r="G52" i="485" s="1"/>
  <c r="D27" i="212"/>
  <c r="J130" i="212"/>
  <c r="P28" i="112"/>
  <c r="AG36" i="485"/>
  <c r="AL12" i="485" s="1"/>
  <c r="I114" i="212"/>
  <c r="F45" i="112"/>
  <c r="H45" i="112" s="1"/>
  <c r="G61" i="112"/>
  <c r="F149" i="212"/>
  <c r="F164" i="212"/>
  <c r="F114" i="212"/>
  <c r="J50" i="212"/>
  <c r="H149" i="212"/>
  <c r="H160" i="212"/>
  <c r="H134" i="212"/>
  <c r="F160" i="212"/>
  <c r="F134" i="212"/>
  <c r="H164" i="212"/>
  <c r="H114" i="212"/>
  <c r="G164" i="212"/>
  <c r="G114" i="212"/>
  <c r="R27" i="112"/>
  <c r="P12" i="112"/>
  <c r="Q27" i="112"/>
  <c r="AG39" i="485"/>
  <c r="AL15" i="485" s="1"/>
  <c r="AC39" i="485"/>
  <c r="V60" i="485"/>
  <c r="M27" i="112"/>
  <c r="K12" i="112"/>
  <c r="F27" i="112"/>
  <c r="L27" i="112"/>
  <c r="Y35" i="485"/>
  <c r="W56" i="485"/>
  <c r="AD35" i="485"/>
  <c r="AH35" i="485"/>
  <c r="I149" i="212"/>
  <c r="J136" i="212"/>
  <c r="J160" i="212" s="1"/>
  <c r="O32" i="485" s="1"/>
  <c r="D160" i="212"/>
  <c r="D134" i="212"/>
  <c r="D154" i="212"/>
  <c r="J38" i="212"/>
  <c r="D149" i="212"/>
  <c r="J89" i="212"/>
  <c r="D151" i="212"/>
  <c r="J74" i="212"/>
  <c r="J151" i="212" s="1"/>
  <c r="E32" i="485" s="1"/>
  <c r="D152" i="212"/>
  <c r="J81" i="212"/>
  <c r="J152" i="212" s="1"/>
  <c r="F32" i="485" s="1"/>
  <c r="D150" i="212"/>
  <c r="J68" i="212"/>
  <c r="J150" i="212" s="1"/>
  <c r="D32" i="485" s="1"/>
  <c r="J116" i="212"/>
  <c r="J164" i="212" s="1"/>
  <c r="S32" i="485" s="1"/>
  <c r="D164" i="212"/>
  <c r="D114" i="212"/>
  <c r="L53" i="485"/>
  <c r="L34" i="485"/>
  <c r="V63" i="644"/>
  <c r="AG63" i="644" s="1"/>
  <c r="V62" i="644"/>
  <c r="AG62" i="644" s="1"/>
  <c r="V64" i="644"/>
  <c r="AG64" i="644" s="1"/>
  <c r="V61" i="644"/>
  <c r="AG61" i="644" s="1"/>
  <c r="AH33" i="485"/>
  <c r="AD33" i="485"/>
  <c r="W54" i="485"/>
  <c r="Y33" i="485"/>
  <c r="M25" i="112"/>
  <c r="F25" i="112"/>
  <c r="L25" i="112"/>
  <c r="K10" i="112"/>
  <c r="G134" i="212"/>
  <c r="G160" i="212"/>
  <c r="E134" i="212"/>
  <c r="E160" i="212"/>
  <c r="F154" i="212"/>
  <c r="I134" i="212"/>
  <c r="I160" i="212"/>
  <c r="E114" i="212"/>
  <c r="E164" i="212"/>
  <c r="J55" i="212"/>
  <c r="J45" i="212"/>
  <c r="H154" i="212"/>
  <c r="I154" i="212"/>
  <c r="E154" i="212"/>
  <c r="G149" i="212"/>
  <c r="E149" i="212"/>
  <c r="J102" i="212"/>
  <c r="J95" i="212"/>
  <c r="G154" i="212"/>
  <c r="AB50" i="644" l="1"/>
  <c r="AB64" i="644"/>
  <c r="AB62" i="644"/>
  <c r="AB76" i="644"/>
  <c r="AB61" i="644"/>
  <c r="AB63" i="644"/>
  <c r="V49" i="644"/>
  <c r="AG49" i="644" s="1"/>
  <c r="V48" i="644"/>
  <c r="AG48" i="644" s="1"/>
  <c r="V47" i="644"/>
  <c r="AG47" i="644" s="1"/>
  <c r="V78" i="644"/>
  <c r="AG78" i="644" s="1"/>
  <c r="V77" i="644"/>
  <c r="AG77" i="644" s="1"/>
  <c r="V75" i="644"/>
  <c r="AG75" i="644" s="1"/>
  <c r="D93" i="644"/>
  <c r="V92" i="644" s="1"/>
  <c r="AG92" i="644" s="1"/>
  <c r="D120" i="644"/>
  <c r="V121" i="644" s="1"/>
  <c r="AG121" i="644" s="1"/>
  <c r="D126" i="644"/>
  <c r="V128" i="644" s="1"/>
  <c r="AG128" i="644" s="1"/>
  <c r="D99" i="644"/>
  <c r="V99" i="644" s="1"/>
  <c r="AG99" i="644" s="1"/>
  <c r="D113" i="644"/>
  <c r="V115" i="644" s="1"/>
  <c r="AG115" i="644" s="1"/>
  <c r="X76" i="644"/>
  <c r="AJ76" i="644" s="1"/>
  <c r="X50" i="644"/>
  <c r="AJ50" i="644" s="1"/>
  <c r="X61" i="644"/>
  <c r="AJ61" i="644" s="1"/>
  <c r="X63" i="644"/>
  <c r="AJ63" i="644" s="1"/>
  <c r="X64" i="644"/>
  <c r="AJ64" i="644" s="1"/>
  <c r="X62" i="644"/>
  <c r="AJ62" i="644" s="1"/>
  <c r="F33" i="212"/>
  <c r="G33" i="212"/>
  <c r="D33" i="212"/>
  <c r="M53" i="485"/>
  <c r="I143" i="214"/>
  <c r="T53" i="485"/>
  <c r="E23" i="212"/>
  <c r="J114" i="214"/>
  <c r="I110" i="214"/>
  <c r="F143" i="214"/>
  <c r="D23" i="212"/>
  <c r="E33" i="212"/>
  <c r="E167" i="214"/>
  <c r="I33" i="212"/>
  <c r="H33" i="212"/>
  <c r="J34" i="212"/>
  <c r="J155" i="212" s="1"/>
  <c r="I32" i="485" s="1"/>
  <c r="I34" i="485" s="1"/>
  <c r="P34" i="485"/>
  <c r="P40" i="485" s="1"/>
  <c r="P61" i="485" s="1"/>
  <c r="D143" i="214"/>
  <c r="D110" i="214"/>
  <c r="H143" i="214"/>
  <c r="F110" i="214"/>
  <c r="J134" i="214"/>
  <c r="G110" i="214"/>
  <c r="G145" i="214" s="1"/>
  <c r="H110" i="214"/>
  <c r="G167" i="214"/>
  <c r="I167" i="214"/>
  <c r="J33" i="214"/>
  <c r="J153" i="214"/>
  <c r="H31" i="485" s="1"/>
  <c r="H52" i="485" s="1"/>
  <c r="J24" i="212"/>
  <c r="J157" i="212" s="1"/>
  <c r="K32" i="485" s="1"/>
  <c r="K34" i="485" s="1"/>
  <c r="H121" i="212"/>
  <c r="H143" i="212" s="1"/>
  <c r="E121" i="212"/>
  <c r="E143" i="212" s="1"/>
  <c r="I121" i="212"/>
  <c r="I143" i="212" s="1"/>
  <c r="H167" i="214"/>
  <c r="J148" i="214"/>
  <c r="C31" i="485" s="1"/>
  <c r="F167" i="214"/>
  <c r="E110" i="214"/>
  <c r="G32" i="485"/>
  <c r="G34" i="485" s="1"/>
  <c r="E156" i="212"/>
  <c r="E168" i="212" s="1"/>
  <c r="V31" i="485"/>
  <c r="AG31" i="485" s="1"/>
  <c r="AL7" i="485" s="1"/>
  <c r="AO13" i="485" s="1"/>
  <c r="I23" i="212"/>
  <c r="F121" i="212"/>
  <c r="F143" i="212" s="1"/>
  <c r="J127" i="212"/>
  <c r="J162" i="212" s="1"/>
  <c r="Q32" i="485" s="1"/>
  <c r="Q53" i="485" s="1"/>
  <c r="G121" i="212"/>
  <c r="G143" i="212" s="1"/>
  <c r="I162" i="212"/>
  <c r="I168" i="212" s="1"/>
  <c r="J121" i="214"/>
  <c r="J122" i="212"/>
  <c r="J163" i="212" s="1"/>
  <c r="R32" i="485" s="1"/>
  <c r="R53" i="485" s="1"/>
  <c r="D167" i="214"/>
  <c r="G23" i="212"/>
  <c r="H23" i="212"/>
  <c r="D163" i="212"/>
  <c r="E143" i="214"/>
  <c r="J23" i="214"/>
  <c r="H157" i="212"/>
  <c r="H168" i="212" s="1"/>
  <c r="F23" i="212"/>
  <c r="D121" i="212"/>
  <c r="D143" i="212" s="1"/>
  <c r="J27" i="212"/>
  <c r="J156" i="212" s="1"/>
  <c r="J32" i="485" s="1"/>
  <c r="J34" i="485" s="1"/>
  <c r="J152" i="214"/>
  <c r="D156" i="212"/>
  <c r="Q28" i="112"/>
  <c r="P29" i="112"/>
  <c r="Q29" i="112" s="1"/>
  <c r="P13" i="112"/>
  <c r="Q13" i="112" s="1"/>
  <c r="R28" i="112"/>
  <c r="G45" i="112"/>
  <c r="R12" i="112"/>
  <c r="W12" i="112"/>
  <c r="Q12" i="112"/>
  <c r="M12" i="112"/>
  <c r="L12" i="112"/>
  <c r="U12" i="112"/>
  <c r="H27" i="112"/>
  <c r="G27" i="112"/>
  <c r="F12" i="112"/>
  <c r="J154" i="212"/>
  <c r="H32" i="485" s="1"/>
  <c r="F168" i="212"/>
  <c r="O34" i="485"/>
  <c r="O53" i="485"/>
  <c r="E53" i="485"/>
  <c r="E34" i="485"/>
  <c r="F34" i="485"/>
  <c r="F53" i="485"/>
  <c r="D34" i="485"/>
  <c r="D53" i="485"/>
  <c r="M55" i="485"/>
  <c r="T55" i="485"/>
  <c r="T40" i="485"/>
  <c r="T61" i="485" s="1"/>
  <c r="S53" i="485"/>
  <c r="S34" i="485"/>
  <c r="L55" i="485"/>
  <c r="L40" i="485"/>
  <c r="L61" i="485" s="1"/>
  <c r="V65" i="644"/>
  <c r="AG65" i="644" s="1"/>
  <c r="F14" i="858" s="1"/>
  <c r="V107" i="644"/>
  <c r="AG107" i="644" s="1"/>
  <c r="V108" i="644"/>
  <c r="AG108" i="644" s="1"/>
  <c r="V106" i="644"/>
  <c r="AG106" i="644" s="1"/>
  <c r="V105" i="644"/>
  <c r="AG105" i="644" s="1"/>
  <c r="H25" i="112"/>
  <c r="G25" i="112"/>
  <c r="F10" i="112"/>
  <c r="L10" i="112"/>
  <c r="U10" i="112"/>
  <c r="M10" i="112"/>
  <c r="J149" i="212"/>
  <c r="J114" i="212"/>
  <c r="G168" i="212"/>
  <c r="J134" i="212"/>
  <c r="AB105" i="644" l="1"/>
  <c r="AB106" i="644"/>
  <c r="AB65" i="644"/>
  <c r="AB108" i="644"/>
  <c r="AB107" i="644"/>
  <c r="AB128" i="644"/>
  <c r="AB92" i="644"/>
  <c r="AB49" i="644"/>
  <c r="AB99" i="644"/>
  <c r="AB115" i="644"/>
  <c r="AB121" i="644"/>
  <c r="AB75" i="644"/>
  <c r="AB47" i="644"/>
  <c r="AC62" i="644"/>
  <c r="Z62" i="644"/>
  <c r="AC64" i="644"/>
  <c r="Z64" i="644"/>
  <c r="AC63" i="644"/>
  <c r="Z63" i="644"/>
  <c r="AC76" i="644"/>
  <c r="Z76" i="644"/>
  <c r="AC61" i="644"/>
  <c r="Z61" i="644"/>
  <c r="AC50" i="644"/>
  <c r="Z50" i="644"/>
  <c r="X48" i="644"/>
  <c r="AJ48" i="644" s="1"/>
  <c r="AB48" i="644"/>
  <c r="AB77" i="644"/>
  <c r="X78" i="644"/>
  <c r="AJ78" i="644" s="1"/>
  <c r="AB78" i="644"/>
  <c r="X49" i="644"/>
  <c r="AJ49" i="644" s="1"/>
  <c r="V51" i="644"/>
  <c r="AG51" i="644" s="1"/>
  <c r="F12" i="858" s="1"/>
  <c r="X77" i="644"/>
  <c r="AJ77" i="644" s="1"/>
  <c r="X47" i="644"/>
  <c r="AJ47" i="644" s="1"/>
  <c r="V79" i="644"/>
  <c r="AG79" i="644" s="1"/>
  <c r="F16" i="858" s="1"/>
  <c r="X75" i="644"/>
  <c r="AJ75" i="644" s="1"/>
  <c r="X106" i="644"/>
  <c r="AJ106" i="644" s="1"/>
  <c r="X92" i="644"/>
  <c r="AJ92" i="644" s="1"/>
  <c r="X105" i="644"/>
  <c r="AJ105" i="644" s="1"/>
  <c r="X107" i="644"/>
  <c r="AJ107" i="644" s="1"/>
  <c r="X65" i="644"/>
  <c r="AJ65" i="644" s="1"/>
  <c r="X115" i="644"/>
  <c r="AJ115" i="644" s="1"/>
  <c r="X121" i="644"/>
  <c r="AJ121" i="644" s="1"/>
  <c r="X99" i="644"/>
  <c r="AJ99" i="644" s="1"/>
  <c r="X108" i="644"/>
  <c r="AJ108" i="644" s="1"/>
  <c r="X128" i="644"/>
  <c r="AJ128" i="644" s="1"/>
  <c r="V126" i="644"/>
  <c r="AG126" i="644" s="1"/>
  <c r="V127" i="644"/>
  <c r="AG127" i="644" s="1"/>
  <c r="V100" i="644"/>
  <c r="AG100" i="644" s="1"/>
  <c r="V101" i="644"/>
  <c r="AG101" i="644" s="1"/>
  <c r="V98" i="644"/>
  <c r="AG98" i="644" s="1"/>
  <c r="G110" i="212"/>
  <c r="G145" i="212" s="1"/>
  <c r="G169" i="212" s="1"/>
  <c r="V125" i="644"/>
  <c r="AG125" i="644" s="1"/>
  <c r="F110" i="212"/>
  <c r="F145" i="212" s="1"/>
  <c r="F169" i="212" s="1"/>
  <c r="E110" i="212"/>
  <c r="E145" i="212" s="1"/>
  <c r="E169" i="212" s="1"/>
  <c r="D110" i="212"/>
  <c r="D145" i="212" s="1"/>
  <c r="F145" i="214"/>
  <c r="F168" i="214" s="1"/>
  <c r="I145" i="214"/>
  <c r="I168" i="214" s="1"/>
  <c r="J33" i="212"/>
  <c r="V119" i="644"/>
  <c r="AG119" i="644" s="1"/>
  <c r="V120" i="644"/>
  <c r="AG120" i="644" s="1"/>
  <c r="V118" i="644"/>
  <c r="AG118" i="644" s="1"/>
  <c r="I110" i="212"/>
  <c r="I145" i="212" s="1"/>
  <c r="I169" i="212" s="1"/>
  <c r="I53" i="485"/>
  <c r="H110" i="212"/>
  <c r="P55" i="485"/>
  <c r="J143" i="214"/>
  <c r="D145" i="214"/>
  <c r="D168" i="214" s="1"/>
  <c r="V93" i="644"/>
  <c r="AG93" i="644" s="1"/>
  <c r="V94" i="644"/>
  <c r="AG94" i="644" s="1"/>
  <c r="V91" i="644"/>
  <c r="AG91" i="644" s="1"/>
  <c r="H145" i="214"/>
  <c r="H168" i="214" s="1"/>
  <c r="G168" i="214"/>
  <c r="V113" i="644"/>
  <c r="AG113" i="644" s="1"/>
  <c r="V114" i="644"/>
  <c r="AG114" i="644" s="1"/>
  <c r="V112" i="644"/>
  <c r="AG112" i="644" s="1"/>
  <c r="J110" i="214"/>
  <c r="K53" i="485"/>
  <c r="P23" i="112"/>
  <c r="R23" i="112" s="1"/>
  <c r="G53" i="485"/>
  <c r="D168" i="212"/>
  <c r="J167" i="214"/>
  <c r="Q34" i="485"/>
  <c r="Q40" i="485" s="1"/>
  <c r="Q61" i="485" s="1"/>
  <c r="J53" i="485"/>
  <c r="V52" i="485"/>
  <c r="AC31" i="485"/>
  <c r="J23" i="212"/>
  <c r="E145" i="214"/>
  <c r="E168" i="214" s="1"/>
  <c r="J121" i="212"/>
  <c r="V32" i="485"/>
  <c r="AC32" i="485" s="1"/>
  <c r="R34" i="485"/>
  <c r="R55" i="485" s="1"/>
  <c r="R29" i="112"/>
  <c r="P80" i="112"/>
  <c r="P14" i="112"/>
  <c r="Q14" i="112" s="1"/>
  <c r="R13" i="112"/>
  <c r="W13" i="112"/>
  <c r="H12" i="112"/>
  <c r="G12" i="112"/>
  <c r="H34" i="485"/>
  <c r="H53" i="485"/>
  <c r="J143" i="212"/>
  <c r="O40" i="485"/>
  <c r="O61" i="485" s="1"/>
  <c r="O55" i="485"/>
  <c r="K55" i="485"/>
  <c r="E55" i="485"/>
  <c r="F55" i="485"/>
  <c r="D55" i="485"/>
  <c r="T41" i="485"/>
  <c r="P44" i="112"/>
  <c r="P60" i="112"/>
  <c r="S55" i="485"/>
  <c r="S40" i="485"/>
  <c r="S61" i="485" s="1"/>
  <c r="L41" i="485"/>
  <c r="P56" i="112"/>
  <c r="P40" i="112"/>
  <c r="P41" i="485"/>
  <c r="I55" i="485"/>
  <c r="J40" i="485"/>
  <c r="J61" i="485" s="1"/>
  <c r="J55" i="485"/>
  <c r="V109" i="644"/>
  <c r="AG109" i="644" s="1"/>
  <c r="G55" i="485"/>
  <c r="AO14" i="485"/>
  <c r="H10" i="112"/>
  <c r="G10" i="112"/>
  <c r="N31" i="485"/>
  <c r="C52" i="485"/>
  <c r="C32" i="485"/>
  <c r="J168" i="212"/>
  <c r="AM76" i="644" l="1"/>
  <c r="AD76" i="644"/>
  <c r="AM63" i="644"/>
  <c r="AD63" i="644"/>
  <c r="AM62" i="644"/>
  <c r="AD62" i="644"/>
  <c r="AM50" i="644"/>
  <c r="AD50" i="644"/>
  <c r="AM61" i="644"/>
  <c r="AD61" i="644"/>
  <c r="AM64" i="644"/>
  <c r="AD64" i="644"/>
  <c r="AB101" i="644"/>
  <c r="AB126" i="644"/>
  <c r="AB118" i="644"/>
  <c r="AB119" i="644"/>
  <c r="AB114" i="644"/>
  <c r="AB91" i="644"/>
  <c r="AB98" i="644"/>
  <c r="AB100" i="644"/>
  <c r="AB127" i="644"/>
  <c r="AB109" i="644"/>
  <c r="AB94" i="644"/>
  <c r="AB112" i="644"/>
  <c r="AB93" i="644"/>
  <c r="AB125" i="644"/>
  <c r="AB120" i="644"/>
  <c r="AB113" i="644"/>
  <c r="AC48" i="644"/>
  <c r="Z48" i="644"/>
  <c r="AC106" i="644"/>
  <c r="Z106" i="644"/>
  <c r="AD106" i="644" s="1"/>
  <c r="AC75" i="644"/>
  <c r="Z75" i="644"/>
  <c r="AC121" i="644"/>
  <c r="Z121" i="644"/>
  <c r="AD121" i="644" s="1"/>
  <c r="AC115" i="644"/>
  <c r="Z115" i="644"/>
  <c r="AD115" i="644" s="1"/>
  <c r="AC47" i="644"/>
  <c r="Z47" i="644"/>
  <c r="AC65" i="644"/>
  <c r="Z65" i="644"/>
  <c r="AC77" i="644"/>
  <c r="Z77" i="644"/>
  <c r="AC107" i="644"/>
  <c r="Z107" i="644"/>
  <c r="AD107" i="644" s="1"/>
  <c r="AC108" i="644"/>
  <c r="Z108" i="644"/>
  <c r="AD108" i="644" s="1"/>
  <c r="AC99" i="644"/>
  <c r="Z99" i="644"/>
  <c r="AD99" i="644" s="1"/>
  <c r="AC49" i="644"/>
  <c r="Z49" i="644"/>
  <c r="AC105" i="644"/>
  <c r="Z105" i="644"/>
  <c r="AD105" i="644" s="1"/>
  <c r="AC128" i="644"/>
  <c r="Z128" i="644"/>
  <c r="AD128" i="644" s="1"/>
  <c r="AC92" i="644"/>
  <c r="Z92" i="644"/>
  <c r="AD92" i="644" s="1"/>
  <c r="AC78" i="644"/>
  <c r="Z78" i="644"/>
  <c r="X51" i="644"/>
  <c r="AJ51" i="644" s="1"/>
  <c r="AB51" i="644"/>
  <c r="AB79" i="644"/>
  <c r="X79" i="644"/>
  <c r="AJ79" i="644" s="1"/>
  <c r="X91" i="644"/>
  <c r="AJ91" i="644" s="1"/>
  <c r="X126" i="644"/>
  <c r="AJ126" i="644" s="1"/>
  <c r="X94" i="644"/>
  <c r="AJ94" i="644" s="1"/>
  <c r="X93" i="644"/>
  <c r="AJ93" i="644" s="1"/>
  <c r="X125" i="644"/>
  <c r="AJ125" i="644" s="1"/>
  <c r="X119" i="644"/>
  <c r="AJ119" i="644" s="1"/>
  <c r="X127" i="644"/>
  <c r="AJ127" i="644" s="1"/>
  <c r="X114" i="644"/>
  <c r="AJ114" i="644" s="1"/>
  <c r="X118" i="644"/>
  <c r="AJ118" i="644" s="1"/>
  <c r="X98" i="644"/>
  <c r="AJ98" i="644" s="1"/>
  <c r="X100" i="644"/>
  <c r="AJ100" i="644" s="1"/>
  <c r="X113" i="644"/>
  <c r="AJ113" i="644" s="1"/>
  <c r="X109" i="644"/>
  <c r="AJ109" i="644" s="1"/>
  <c r="X112" i="644"/>
  <c r="AJ112" i="644" s="1"/>
  <c r="X120" i="644"/>
  <c r="AJ120" i="644" s="1"/>
  <c r="X101" i="644"/>
  <c r="AJ101" i="644" s="1"/>
  <c r="V129" i="644"/>
  <c r="AG129" i="644" s="1"/>
  <c r="V102" i="644"/>
  <c r="AG102" i="644" s="1"/>
  <c r="J110" i="212"/>
  <c r="J145" i="212" s="1"/>
  <c r="P78" i="112"/>
  <c r="H145" i="212"/>
  <c r="H169" i="212" s="1"/>
  <c r="V122" i="644"/>
  <c r="AG122" i="644" s="1"/>
  <c r="J145" i="214"/>
  <c r="V95" i="644"/>
  <c r="AG95" i="644" s="1"/>
  <c r="Q23" i="112"/>
  <c r="T44" i="485"/>
  <c r="G26" i="631"/>
  <c r="H26" i="631" s="1"/>
  <c r="V116" i="644"/>
  <c r="AG116" i="644" s="1"/>
  <c r="P8" i="112"/>
  <c r="Q8" i="112" s="1"/>
  <c r="D169" i="212"/>
  <c r="Q55" i="485"/>
  <c r="V53" i="485"/>
  <c r="V34" i="485"/>
  <c r="AC34" i="485" s="1"/>
  <c r="P24" i="112"/>
  <c r="P26" i="112" s="1"/>
  <c r="AG32" i="485"/>
  <c r="AL8" i="485" s="1"/>
  <c r="R40" i="485"/>
  <c r="Q80" i="112"/>
  <c r="R14" i="112"/>
  <c r="W14" i="112"/>
  <c r="H55" i="485"/>
  <c r="H40" i="485"/>
  <c r="H61" i="485" s="1"/>
  <c r="P42" i="485"/>
  <c r="P45" i="485" s="1"/>
  <c r="O41" i="485"/>
  <c r="P55" i="112"/>
  <c r="P39" i="112"/>
  <c r="Q44" i="112"/>
  <c r="R44" i="112"/>
  <c r="R60" i="112"/>
  <c r="Q60" i="112"/>
  <c r="T42" i="485"/>
  <c r="P59" i="112"/>
  <c r="P43" i="112"/>
  <c r="S41" i="485"/>
  <c r="G17" i="631"/>
  <c r="L44" i="485"/>
  <c r="R56" i="112"/>
  <c r="Q56" i="112"/>
  <c r="Q40" i="112"/>
  <c r="R40" i="112"/>
  <c r="G22" i="631"/>
  <c r="P44" i="485"/>
  <c r="J41" i="485"/>
  <c r="P41" i="112"/>
  <c r="Q41" i="485"/>
  <c r="P57" i="112"/>
  <c r="AB31" i="485"/>
  <c r="N52" i="485"/>
  <c r="W31" i="485"/>
  <c r="K23" i="112"/>
  <c r="AF31" i="485"/>
  <c r="AJ7" i="485" s="1"/>
  <c r="C53" i="485"/>
  <c r="N32" i="485"/>
  <c r="C34" i="485"/>
  <c r="AM48" i="644" l="1"/>
  <c r="AD48" i="644"/>
  <c r="AM78" i="644"/>
  <c r="AD78" i="644"/>
  <c r="AM65" i="644"/>
  <c r="AD65" i="644"/>
  <c r="AM49" i="644"/>
  <c r="AD49" i="644"/>
  <c r="AM77" i="644"/>
  <c r="AD77" i="644"/>
  <c r="AM75" i="644"/>
  <c r="AD75" i="644"/>
  <c r="AM47" i="644"/>
  <c r="AD47" i="644"/>
  <c r="AB116" i="644"/>
  <c r="AB102" i="644"/>
  <c r="AB95" i="644"/>
  <c r="AB129" i="644"/>
  <c r="AB122" i="644"/>
  <c r="AC100" i="644"/>
  <c r="Z100" i="644"/>
  <c r="AD100" i="644" s="1"/>
  <c r="AC118" i="644"/>
  <c r="Z118" i="644"/>
  <c r="AD118" i="644" s="1"/>
  <c r="AC91" i="644"/>
  <c r="Z91" i="644"/>
  <c r="AD91" i="644" s="1"/>
  <c r="AC127" i="644"/>
  <c r="Z127" i="644"/>
  <c r="AD127" i="644" s="1"/>
  <c r="AC119" i="644"/>
  <c r="Z119" i="644"/>
  <c r="AD119" i="644" s="1"/>
  <c r="AC112" i="644"/>
  <c r="Z112" i="644"/>
  <c r="AD112" i="644" s="1"/>
  <c r="AC113" i="644"/>
  <c r="Z113" i="644"/>
  <c r="AD113" i="644" s="1"/>
  <c r="AC93" i="644"/>
  <c r="Z93" i="644"/>
  <c r="AD93" i="644" s="1"/>
  <c r="AC126" i="644"/>
  <c r="Z126" i="644"/>
  <c r="AD126" i="644" s="1"/>
  <c r="AC101" i="644"/>
  <c r="Z101" i="644"/>
  <c r="AD101" i="644" s="1"/>
  <c r="AC109" i="644"/>
  <c r="Z109" i="644"/>
  <c r="AD109" i="644" s="1"/>
  <c r="AC125" i="644"/>
  <c r="Z125" i="644"/>
  <c r="AD125" i="644" s="1"/>
  <c r="AC94" i="644"/>
  <c r="Z94" i="644"/>
  <c r="AD94" i="644" s="1"/>
  <c r="AC98" i="644"/>
  <c r="Z98" i="644"/>
  <c r="AD98" i="644" s="1"/>
  <c r="AC114" i="644"/>
  <c r="Z114" i="644"/>
  <c r="AD114" i="644" s="1"/>
  <c r="AC120" i="644"/>
  <c r="Z120" i="644"/>
  <c r="AD120" i="644" s="1"/>
  <c r="AC79" i="644"/>
  <c r="Z79" i="644"/>
  <c r="AC51" i="644"/>
  <c r="Z51" i="644"/>
  <c r="G25" i="631"/>
  <c r="X129" i="644"/>
  <c r="AJ129" i="644" s="1"/>
  <c r="X116" i="644"/>
  <c r="AJ116" i="644" s="1"/>
  <c r="X102" i="644"/>
  <c r="AJ102" i="644" s="1"/>
  <c r="X95" i="644"/>
  <c r="AJ95" i="644" s="1"/>
  <c r="X122" i="644"/>
  <c r="AJ122" i="644" s="1"/>
  <c r="P58" i="112"/>
  <c r="P62" i="112" s="1"/>
  <c r="Q62" i="112" s="1"/>
  <c r="R61" i="485"/>
  <c r="Q78" i="112"/>
  <c r="V40" i="485"/>
  <c r="V61" i="485" s="1"/>
  <c r="X31" i="485"/>
  <c r="Z31" i="485" s="1"/>
  <c r="J168" i="214"/>
  <c r="V55" i="485"/>
  <c r="P73" i="112"/>
  <c r="Q73" i="112" s="1"/>
  <c r="R8" i="112"/>
  <c r="W8" i="112"/>
  <c r="AG34" i="485"/>
  <c r="AL10" i="485" s="1"/>
  <c r="AP13" i="485" s="1"/>
  <c r="Q24" i="112"/>
  <c r="P9" i="112"/>
  <c r="P11" i="112" s="1"/>
  <c r="R24" i="112"/>
  <c r="R42" i="485"/>
  <c r="R45" i="485" s="1"/>
  <c r="J23" i="631" s="1"/>
  <c r="R41" i="485"/>
  <c r="P42" i="112"/>
  <c r="Q42" i="112" s="1"/>
  <c r="J17" i="631"/>
  <c r="J22" i="631"/>
  <c r="S44" i="485"/>
  <c r="H22" i="631"/>
  <c r="X32" i="485"/>
  <c r="J169" i="212"/>
  <c r="H41" i="485"/>
  <c r="G21" i="631"/>
  <c r="O44" i="485"/>
  <c r="Q55" i="112"/>
  <c r="R55" i="112"/>
  <c r="R39" i="112"/>
  <c r="Q39" i="112"/>
  <c r="P30" i="112"/>
  <c r="R26" i="112"/>
  <c r="P79" i="112"/>
  <c r="Q26" i="112"/>
  <c r="T45" i="485"/>
  <c r="R59" i="112"/>
  <c r="Q59" i="112"/>
  <c r="Q43" i="112"/>
  <c r="R43" i="112"/>
  <c r="H17" i="631"/>
  <c r="G15" i="631"/>
  <c r="J44" i="485"/>
  <c r="R41" i="112"/>
  <c r="Q41" i="112"/>
  <c r="G23" i="631"/>
  <c r="Q44" i="485"/>
  <c r="R57" i="112"/>
  <c r="Q57" i="112"/>
  <c r="AD31" i="485"/>
  <c r="W52" i="485"/>
  <c r="AH31" i="485"/>
  <c r="L23" i="112"/>
  <c r="M23" i="112"/>
  <c r="K8" i="112"/>
  <c r="F23" i="112"/>
  <c r="K78" i="112"/>
  <c r="AB32" i="485"/>
  <c r="K24" i="112"/>
  <c r="W32" i="485"/>
  <c r="N53" i="485"/>
  <c r="AF32" i="485"/>
  <c r="AJ8" i="485" s="1"/>
  <c r="N34" i="485"/>
  <c r="C55" i="485"/>
  <c r="F22" i="858" l="1"/>
  <c r="G22" i="858" s="1"/>
  <c r="F20" i="858"/>
  <c r="AM79" i="644"/>
  <c r="AD79" i="644"/>
  <c r="AM51" i="644"/>
  <c r="AD51" i="644"/>
  <c r="AC102" i="644"/>
  <c r="Z102" i="644"/>
  <c r="AD102" i="644" s="1"/>
  <c r="AC129" i="644"/>
  <c r="Z129" i="644"/>
  <c r="AD129" i="644" s="1"/>
  <c r="AC116" i="644"/>
  <c r="Z116" i="644"/>
  <c r="AD116" i="644" s="1"/>
  <c r="AC95" i="644"/>
  <c r="Z95" i="644"/>
  <c r="AD95" i="644" s="1"/>
  <c r="AC122" i="644"/>
  <c r="Z122" i="644"/>
  <c r="AD122" i="644" s="1"/>
  <c r="R44" i="485"/>
  <c r="J24" i="631" s="1"/>
  <c r="G16" i="858"/>
  <c r="P16" i="858"/>
  <c r="R16" i="858" s="1"/>
  <c r="J16" i="858" s="1"/>
  <c r="K16" i="858" s="1"/>
  <c r="R58" i="112"/>
  <c r="Q58" i="112"/>
  <c r="W9" i="112"/>
  <c r="Q9" i="112"/>
  <c r="R9" i="112"/>
  <c r="Y31" i="485"/>
  <c r="AC40" i="485"/>
  <c r="V41" i="485"/>
  <c r="G28" i="631" s="1"/>
  <c r="AG40" i="485"/>
  <c r="AL16" i="485" s="1"/>
  <c r="AP14" i="485"/>
  <c r="AR13" i="485"/>
  <c r="G24" i="631"/>
  <c r="H24" i="631" s="1"/>
  <c r="R42" i="112"/>
  <c r="J21" i="631"/>
  <c r="J15" i="631"/>
  <c r="X34" i="485"/>
  <c r="Z32" i="485"/>
  <c r="G13" i="631"/>
  <c r="H44" i="485"/>
  <c r="H21" i="631"/>
  <c r="R62" i="112"/>
  <c r="R74" i="112" s="1"/>
  <c r="P64" i="112"/>
  <c r="R30" i="112"/>
  <c r="P63" i="112"/>
  <c r="Q30" i="112"/>
  <c r="Q79" i="112"/>
  <c r="P81" i="112"/>
  <c r="Q81" i="112" s="1"/>
  <c r="R11" i="112"/>
  <c r="W11" i="112"/>
  <c r="P72" i="112"/>
  <c r="Q11" i="112"/>
  <c r="P15" i="112"/>
  <c r="H25" i="631"/>
  <c r="H15" i="631"/>
  <c r="H23" i="631"/>
  <c r="L8" i="112"/>
  <c r="M8" i="112"/>
  <c r="U8" i="112"/>
  <c r="F8" i="112"/>
  <c r="G23" i="112"/>
  <c r="H23" i="112"/>
  <c r="L78" i="112"/>
  <c r="K84" i="112"/>
  <c r="L84" i="112" s="1"/>
  <c r="F24" i="112"/>
  <c r="L24" i="112"/>
  <c r="L26" i="112" s="1"/>
  <c r="K9" i="112"/>
  <c r="M24" i="112"/>
  <c r="K26" i="112"/>
  <c r="AD32" i="485"/>
  <c r="W53" i="485"/>
  <c r="AH32" i="485"/>
  <c r="Y32" i="485"/>
  <c r="AB34" i="485"/>
  <c r="AF34" i="485"/>
  <c r="AJ10" i="485" s="1"/>
  <c r="AP9" i="485" s="1"/>
  <c r="N55" i="485"/>
  <c r="W34" i="485"/>
  <c r="P22" i="858" l="1"/>
  <c r="R22" i="858" s="1"/>
  <c r="J22" i="858" s="1"/>
  <c r="K22" i="858" s="1"/>
  <c r="F23" i="858"/>
  <c r="F21" i="858"/>
  <c r="P20" i="858"/>
  <c r="R20" i="858" s="1"/>
  <c r="J20" i="858" s="1"/>
  <c r="K20" i="858" s="1"/>
  <c r="G20" i="858"/>
  <c r="G14" i="858"/>
  <c r="P14" i="858"/>
  <c r="R14" i="858" s="1"/>
  <c r="J14" i="858" s="1"/>
  <c r="K14" i="858" s="1"/>
  <c r="V44" i="485"/>
  <c r="AG44" i="485"/>
  <c r="AR14" i="485"/>
  <c r="K28" i="631"/>
  <c r="J13" i="631"/>
  <c r="Q63" i="112"/>
  <c r="Z34" i="485"/>
  <c r="H13" i="631"/>
  <c r="P75" i="112"/>
  <c r="Q75" i="112" s="1"/>
  <c r="Q72" i="112"/>
  <c r="P74" i="112"/>
  <c r="P46" i="112"/>
  <c r="Q15" i="112"/>
  <c r="R15" i="112"/>
  <c r="H28" i="631"/>
  <c r="H8" i="112"/>
  <c r="G8" i="112"/>
  <c r="H24" i="112"/>
  <c r="F9" i="112"/>
  <c r="F26" i="112"/>
  <c r="G24" i="112"/>
  <c r="G26" i="112" s="1"/>
  <c r="M9" i="112"/>
  <c r="L9" i="112"/>
  <c r="U9" i="112"/>
  <c r="K11" i="112"/>
  <c r="K79" i="112"/>
  <c r="M26" i="112"/>
  <c r="AP10" i="485"/>
  <c r="Y34" i="485"/>
  <c r="AH34" i="485"/>
  <c r="AJ28" i="485" s="1"/>
  <c r="W55" i="485"/>
  <c r="AD34" i="485"/>
  <c r="G21" i="858" l="1"/>
  <c r="P21" i="858"/>
  <c r="R21" i="858" s="1"/>
  <c r="J21" i="858" s="1"/>
  <c r="K21" i="858" s="1"/>
  <c r="P12" i="858"/>
  <c r="G12" i="858"/>
  <c r="J28" i="631"/>
  <c r="K90" i="112"/>
  <c r="L90" i="112" s="1"/>
  <c r="Q74" i="112"/>
  <c r="R46" i="112"/>
  <c r="Q46" i="112"/>
  <c r="G9" i="112"/>
  <c r="H9" i="112"/>
  <c r="F11" i="112"/>
  <c r="H26" i="112"/>
  <c r="M11" i="112"/>
  <c r="K72" i="112"/>
  <c r="L11" i="112"/>
  <c r="U11" i="112"/>
  <c r="K85" i="112"/>
  <c r="L85" i="112" s="1"/>
  <c r="L79" i="112"/>
  <c r="AJ31" i="485"/>
  <c r="P23" i="858" l="1"/>
  <c r="G23" i="858" s="1"/>
  <c r="R12" i="858"/>
  <c r="J12" i="858" s="1"/>
  <c r="K12" i="858" s="1"/>
  <c r="R23" i="858"/>
  <c r="J23" i="858" s="1"/>
  <c r="K23" i="858" s="1"/>
  <c r="H11" i="112"/>
  <c r="G11" i="112"/>
  <c r="L72" i="112"/>
  <c r="AJ29" i="485"/>
  <c r="M549" i="608" l="1"/>
  <c r="G85" i="743" l="1"/>
  <c r="G65" i="743" s="1"/>
  <c r="F18" i="813" l="1"/>
  <c r="D178" i="813" s="1"/>
  <c r="G16" i="813"/>
  <c r="E74" i="813" s="1"/>
  <c r="G51" i="743"/>
  <c r="G33" i="743" s="1"/>
  <c r="F18" i="815"/>
  <c r="G83" i="743"/>
  <c r="G63" i="743" s="1"/>
  <c r="G16" i="815"/>
  <c r="E83" i="743"/>
  <c r="E85" i="743"/>
  <c r="E51" i="743"/>
  <c r="G10" i="743"/>
  <c r="E33" i="743" l="1"/>
  <c r="H85" i="743"/>
  <c r="H83" i="743"/>
  <c r="H51" i="743"/>
  <c r="M58" i="743"/>
  <c r="W28" i="825"/>
  <c r="W5" i="825" s="1"/>
  <c r="W74" i="825"/>
  <c r="W41" i="825" s="1"/>
  <c r="W72" i="825"/>
  <c r="W39" i="825" s="1"/>
  <c r="E10" i="743"/>
  <c r="G179" i="813"/>
  <c r="E176" i="813"/>
  <c r="D82" i="813"/>
  <c r="I175" i="813"/>
  <c r="F81" i="813"/>
  <c r="H176" i="813"/>
  <c r="I177" i="813"/>
  <c r="D175" i="813"/>
  <c r="H84" i="813"/>
  <c r="E179" i="813"/>
  <c r="D81" i="813"/>
  <c r="I176" i="813"/>
  <c r="F179" i="813"/>
  <c r="E81" i="813"/>
  <c r="H179" i="813"/>
  <c r="H81" i="813"/>
  <c r="H80" i="813"/>
  <c r="G83" i="813"/>
  <c r="H83" i="813"/>
  <c r="G176" i="813"/>
  <c r="H82" i="813"/>
  <c r="D83" i="813"/>
  <c r="E177" i="813"/>
  <c r="H177" i="813"/>
  <c r="F178" i="813"/>
  <c r="F175" i="813"/>
  <c r="E84" i="813"/>
  <c r="F83" i="813"/>
  <c r="E178" i="813"/>
  <c r="I82" i="813"/>
  <c r="D179" i="813"/>
  <c r="E83" i="813"/>
  <c r="I179" i="813"/>
  <c r="I83" i="813"/>
  <c r="G84" i="813"/>
  <c r="H175" i="813"/>
  <c r="E175" i="813"/>
  <c r="I84" i="813"/>
  <c r="H178" i="813"/>
  <c r="F82" i="813"/>
  <c r="I73" i="813"/>
  <c r="D80" i="813"/>
  <c r="G81" i="813"/>
  <c r="I178" i="813"/>
  <c r="F177" i="813"/>
  <c r="I80" i="813"/>
  <c r="I81" i="813"/>
  <c r="G175" i="813"/>
  <c r="E80" i="813"/>
  <c r="E82" i="813"/>
  <c r="G178" i="813"/>
  <c r="I75" i="813"/>
  <c r="D84" i="813"/>
  <c r="D177" i="813"/>
  <c r="G177" i="813"/>
  <c r="G82" i="813"/>
  <c r="G80" i="813"/>
  <c r="I77" i="813"/>
  <c r="H78" i="813"/>
  <c r="H75" i="813"/>
  <c r="F80" i="813"/>
  <c r="F176" i="813"/>
  <c r="F84" i="813"/>
  <c r="D176" i="813"/>
  <c r="F76" i="813"/>
  <c r="G76" i="813"/>
  <c r="H74" i="813"/>
  <c r="E75" i="813"/>
  <c r="E73" i="813"/>
  <c r="D78" i="813"/>
  <c r="H16" i="813"/>
  <c r="H170" i="813" s="1"/>
  <c r="F74" i="813"/>
  <c r="D76" i="813"/>
  <c r="F77" i="813"/>
  <c r="I78" i="813"/>
  <c r="G74" i="813"/>
  <c r="H76" i="813"/>
  <c r="E78" i="813"/>
  <c r="F75" i="813"/>
  <c r="G75" i="813"/>
  <c r="G77" i="813"/>
  <c r="D75" i="813"/>
  <c r="E76" i="813"/>
  <c r="D74" i="813"/>
  <c r="D77" i="813"/>
  <c r="G73" i="813"/>
  <c r="F78" i="813"/>
  <c r="I74" i="813"/>
  <c r="E77" i="813"/>
  <c r="F73" i="813"/>
  <c r="H77" i="813"/>
  <c r="G78" i="813"/>
  <c r="H73" i="813"/>
  <c r="D73" i="813"/>
  <c r="I76" i="813"/>
  <c r="I78" i="815"/>
  <c r="G78" i="815"/>
  <c r="F74" i="815"/>
  <c r="E74" i="815"/>
  <c r="H74" i="815"/>
  <c r="I74" i="815"/>
  <c r="H77" i="815"/>
  <c r="F73" i="815"/>
  <c r="E77" i="815"/>
  <c r="G77" i="815"/>
  <c r="F76" i="815"/>
  <c r="G76" i="815"/>
  <c r="G73" i="815"/>
  <c r="D75" i="815"/>
  <c r="G74" i="815"/>
  <c r="F75" i="815"/>
  <c r="I77" i="815"/>
  <c r="E76" i="815"/>
  <c r="G75" i="815"/>
  <c r="H73" i="815"/>
  <c r="E73" i="815"/>
  <c r="I73" i="815"/>
  <c r="F77" i="815"/>
  <c r="D73" i="815"/>
  <c r="D77" i="815"/>
  <c r="I76" i="815"/>
  <c r="F78" i="815"/>
  <c r="D76" i="815"/>
  <c r="I75" i="815"/>
  <c r="D74" i="815"/>
  <c r="E78" i="815"/>
  <c r="E75" i="815"/>
  <c r="H75" i="815"/>
  <c r="H78" i="815"/>
  <c r="D78" i="815"/>
  <c r="H76" i="815"/>
  <c r="F20" i="815"/>
  <c r="G84" i="743"/>
  <c r="G64" i="743" s="1"/>
  <c r="M65" i="743" s="1"/>
  <c r="H16" i="815"/>
  <c r="G177" i="815"/>
  <c r="H83" i="815"/>
  <c r="G80" i="815"/>
  <c r="F177" i="815"/>
  <c r="G83" i="815"/>
  <c r="F80" i="815"/>
  <c r="F176" i="815"/>
  <c r="E177" i="815"/>
  <c r="F83" i="815"/>
  <c r="E82" i="815"/>
  <c r="D177" i="815"/>
  <c r="D83" i="815"/>
  <c r="H176" i="815"/>
  <c r="F82" i="815"/>
  <c r="I176" i="815"/>
  <c r="G82" i="815"/>
  <c r="D176" i="815"/>
  <c r="D82" i="815"/>
  <c r="D81" i="815"/>
  <c r="H175" i="815"/>
  <c r="I81" i="815"/>
  <c r="D179" i="815"/>
  <c r="H178" i="815"/>
  <c r="G175" i="815"/>
  <c r="H81" i="815"/>
  <c r="I179" i="815"/>
  <c r="F175" i="815"/>
  <c r="I84" i="815"/>
  <c r="G81" i="815"/>
  <c r="E81" i="815"/>
  <c r="F179" i="815"/>
  <c r="E84" i="815"/>
  <c r="H80" i="815"/>
  <c r="H179" i="815"/>
  <c r="H84" i="815"/>
  <c r="F81" i="815"/>
  <c r="G179" i="815"/>
  <c r="G84" i="815"/>
  <c r="D84" i="815"/>
  <c r="I80" i="815"/>
  <c r="I83" i="815"/>
  <c r="F84" i="815"/>
  <c r="H82" i="815"/>
  <c r="E176" i="815"/>
  <c r="H177" i="815"/>
  <c r="G178" i="815"/>
  <c r="D175" i="815"/>
  <c r="E179" i="815"/>
  <c r="E83" i="815"/>
  <c r="E178" i="815"/>
  <c r="E175" i="815"/>
  <c r="D178" i="815"/>
  <c r="I178" i="815"/>
  <c r="G176" i="815"/>
  <c r="E80" i="815"/>
  <c r="F178" i="815"/>
  <c r="I82" i="815"/>
  <c r="I175" i="815"/>
  <c r="I177" i="815"/>
  <c r="D80" i="815"/>
  <c r="G52" i="743"/>
  <c r="E63" i="743"/>
  <c r="E65" i="743"/>
  <c r="M57" i="743" l="1"/>
  <c r="G34" i="743"/>
  <c r="M34" i="743" s="1"/>
  <c r="H33" i="743"/>
  <c r="H63" i="743"/>
  <c r="H65" i="743"/>
  <c r="D5" i="644"/>
  <c r="V6" i="631"/>
  <c r="D42" i="644"/>
  <c r="D40" i="644"/>
  <c r="M53" i="743"/>
  <c r="M52" i="743"/>
  <c r="M64" i="743"/>
  <c r="H10" i="743"/>
  <c r="H100" i="813"/>
  <c r="J178" i="813"/>
  <c r="J107" i="813"/>
  <c r="F174" i="813"/>
  <c r="I208" i="813"/>
  <c r="J203" i="813"/>
  <c r="J205" i="813"/>
  <c r="J179" i="813"/>
  <c r="J177" i="813"/>
  <c r="I195" i="813"/>
  <c r="E100" i="813"/>
  <c r="J200" i="813"/>
  <c r="I174" i="813"/>
  <c r="J207" i="813"/>
  <c r="H79" i="813"/>
  <c r="G100" i="813"/>
  <c r="J214" i="813"/>
  <c r="E113" i="813"/>
  <c r="J104" i="813"/>
  <c r="J112" i="813"/>
  <c r="E195" i="813"/>
  <c r="J84" i="813"/>
  <c r="F113" i="813"/>
  <c r="D79" i="813"/>
  <c r="J118" i="813"/>
  <c r="H208" i="813"/>
  <c r="J210" i="813"/>
  <c r="J212" i="813"/>
  <c r="H113" i="813"/>
  <c r="J206" i="813"/>
  <c r="D106" i="813"/>
  <c r="G208" i="813"/>
  <c r="J108" i="813"/>
  <c r="J116" i="813"/>
  <c r="D201" i="813"/>
  <c r="H174" i="813"/>
  <c r="F208" i="813"/>
  <c r="G174" i="813"/>
  <c r="J117" i="813"/>
  <c r="J83" i="813"/>
  <c r="H201" i="813"/>
  <c r="I79" i="813"/>
  <c r="E201" i="813"/>
  <c r="J103" i="813"/>
  <c r="I113" i="813"/>
  <c r="J105" i="813"/>
  <c r="J82" i="813"/>
  <c r="E79" i="813"/>
  <c r="J115" i="813"/>
  <c r="F201" i="813"/>
  <c r="H106" i="813"/>
  <c r="I106" i="813"/>
  <c r="G79" i="813"/>
  <c r="I100" i="813"/>
  <c r="E174" i="813"/>
  <c r="I201" i="813"/>
  <c r="J80" i="813"/>
  <c r="J81" i="813"/>
  <c r="D208" i="813"/>
  <c r="F195" i="813"/>
  <c r="J110" i="813"/>
  <c r="J114" i="813"/>
  <c r="F106" i="813"/>
  <c r="J175" i="813"/>
  <c r="J196" i="813"/>
  <c r="E106" i="813"/>
  <c r="J213" i="813"/>
  <c r="J109" i="813"/>
  <c r="J202" i="813"/>
  <c r="J197" i="813"/>
  <c r="E208" i="813"/>
  <c r="J102" i="813"/>
  <c r="G113" i="813"/>
  <c r="H195" i="813"/>
  <c r="D174" i="813"/>
  <c r="J209" i="813"/>
  <c r="J204" i="813"/>
  <c r="F100" i="813"/>
  <c r="G201" i="813"/>
  <c r="D100" i="813"/>
  <c r="F79" i="813"/>
  <c r="J176" i="813"/>
  <c r="J119" i="813"/>
  <c r="J211" i="813"/>
  <c r="G195" i="813"/>
  <c r="G106" i="813"/>
  <c r="D195" i="813"/>
  <c r="D113" i="813"/>
  <c r="J101" i="813"/>
  <c r="J199" i="813"/>
  <c r="J111" i="813"/>
  <c r="J198" i="813"/>
  <c r="E171" i="813"/>
  <c r="F171" i="813"/>
  <c r="G170" i="813"/>
  <c r="E173" i="813"/>
  <c r="I173" i="813"/>
  <c r="E172" i="813"/>
  <c r="I168" i="813"/>
  <c r="I170" i="813"/>
  <c r="G168" i="813"/>
  <c r="G171" i="813"/>
  <c r="E169" i="813"/>
  <c r="G172" i="813"/>
  <c r="D168" i="813"/>
  <c r="H169" i="813"/>
  <c r="F173" i="813"/>
  <c r="H171" i="813"/>
  <c r="I169" i="813"/>
  <c r="J77" i="813"/>
  <c r="J74" i="813"/>
  <c r="H72" i="813"/>
  <c r="I72" i="813"/>
  <c r="J75" i="813"/>
  <c r="F169" i="813"/>
  <c r="E170" i="813"/>
  <c r="G169" i="813"/>
  <c r="F170" i="813"/>
  <c r="F168" i="813"/>
  <c r="D170" i="813"/>
  <c r="E168" i="813"/>
  <c r="H168" i="813"/>
  <c r="H172" i="813"/>
  <c r="D171" i="813"/>
  <c r="D169" i="813"/>
  <c r="I172" i="813"/>
  <c r="H173" i="813"/>
  <c r="D172" i="813"/>
  <c r="D173" i="813"/>
  <c r="G173" i="813"/>
  <c r="I171" i="813"/>
  <c r="F172" i="813"/>
  <c r="J76" i="813"/>
  <c r="D72" i="813"/>
  <c r="E72" i="813"/>
  <c r="F20" i="813"/>
  <c r="D94" i="813" s="1"/>
  <c r="F72" i="813"/>
  <c r="G72" i="813"/>
  <c r="J78" i="813"/>
  <c r="J73" i="813"/>
  <c r="E53" i="743"/>
  <c r="F19" i="815"/>
  <c r="D182" i="815" s="1"/>
  <c r="E195" i="815"/>
  <c r="J78" i="815"/>
  <c r="E174" i="815"/>
  <c r="J104" i="815"/>
  <c r="E79" i="815"/>
  <c r="J82" i="815"/>
  <c r="I72" i="815"/>
  <c r="J199" i="815"/>
  <c r="J206" i="815"/>
  <c r="I100" i="815"/>
  <c r="J112" i="815"/>
  <c r="J203" i="815"/>
  <c r="E208" i="815"/>
  <c r="J198" i="815"/>
  <c r="J204" i="815"/>
  <c r="I195" i="815"/>
  <c r="D113" i="815"/>
  <c r="J211" i="815"/>
  <c r="J117" i="815"/>
  <c r="F72" i="815"/>
  <c r="H79" i="815"/>
  <c r="G100" i="815"/>
  <c r="F170" i="815"/>
  <c r="H171" i="815"/>
  <c r="D170" i="815"/>
  <c r="G172" i="815"/>
  <c r="F171" i="815"/>
  <c r="D168" i="815"/>
  <c r="E169" i="815"/>
  <c r="E171" i="815"/>
  <c r="D173" i="815"/>
  <c r="H170" i="815"/>
  <c r="H173" i="815"/>
  <c r="I172" i="815"/>
  <c r="G173" i="815"/>
  <c r="E173" i="815"/>
  <c r="G168" i="815"/>
  <c r="G171" i="815"/>
  <c r="I168" i="815"/>
  <c r="F168" i="815"/>
  <c r="F169" i="815"/>
  <c r="G170" i="815"/>
  <c r="E168" i="815"/>
  <c r="F173" i="815"/>
  <c r="I173" i="815"/>
  <c r="D169" i="815"/>
  <c r="G169" i="815"/>
  <c r="I170" i="815"/>
  <c r="D171" i="815"/>
  <c r="F172" i="815"/>
  <c r="I169" i="815"/>
  <c r="H168" i="815"/>
  <c r="E172" i="815"/>
  <c r="E170" i="815"/>
  <c r="H169" i="815"/>
  <c r="I171" i="815"/>
  <c r="H172" i="815"/>
  <c r="D172" i="815"/>
  <c r="D72" i="815"/>
  <c r="J73" i="815"/>
  <c r="G201" i="815"/>
  <c r="J196" i="815"/>
  <c r="D195" i="815"/>
  <c r="J119" i="815"/>
  <c r="D96" i="815"/>
  <c r="H188" i="815"/>
  <c r="G94" i="815"/>
  <c r="I192" i="815"/>
  <c r="F94" i="815"/>
  <c r="F192" i="815"/>
  <c r="E96" i="815"/>
  <c r="H97" i="815"/>
  <c r="G97" i="815"/>
  <c r="H98" i="815"/>
  <c r="I97" i="815"/>
  <c r="E98" i="815"/>
  <c r="D188" i="815"/>
  <c r="F98" i="815"/>
  <c r="H93" i="815"/>
  <c r="D95" i="815"/>
  <c r="E193" i="815"/>
  <c r="F96" i="815"/>
  <c r="G191" i="815"/>
  <c r="D97" i="815"/>
  <c r="I95" i="815"/>
  <c r="F193" i="815"/>
  <c r="E190" i="815"/>
  <c r="E94" i="815"/>
  <c r="D93" i="815"/>
  <c r="I188" i="815"/>
  <c r="I94" i="815"/>
  <c r="E93" i="815"/>
  <c r="F189" i="815"/>
  <c r="H94" i="815"/>
  <c r="H96" i="815"/>
  <c r="D190" i="815"/>
  <c r="F97" i="815"/>
  <c r="D192" i="815"/>
  <c r="I193" i="815"/>
  <c r="G96" i="815"/>
  <c r="F188" i="815"/>
  <c r="G189" i="815"/>
  <c r="H190" i="815"/>
  <c r="G93" i="815"/>
  <c r="G192" i="815"/>
  <c r="F95" i="815"/>
  <c r="I191" i="815"/>
  <c r="E189" i="815"/>
  <c r="H191" i="815"/>
  <c r="E97" i="815"/>
  <c r="D98" i="815"/>
  <c r="D189" i="815"/>
  <c r="H193" i="815"/>
  <c r="E192" i="815"/>
  <c r="D193" i="815"/>
  <c r="F191" i="815"/>
  <c r="I189" i="815"/>
  <c r="H95" i="815"/>
  <c r="I190" i="815"/>
  <c r="E188" i="815"/>
  <c r="I93" i="815"/>
  <c r="G95" i="815"/>
  <c r="G188" i="815"/>
  <c r="G98" i="815"/>
  <c r="G193" i="815"/>
  <c r="D191" i="815"/>
  <c r="H192" i="815"/>
  <c r="F93" i="815"/>
  <c r="H189" i="815"/>
  <c r="E95" i="815"/>
  <c r="I98" i="815"/>
  <c r="F190" i="815"/>
  <c r="E191" i="815"/>
  <c r="I96" i="815"/>
  <c r="G190" i="815"/>
  <c r="D94" i="815"/>
  <c r="J197" i="815"/>
  <c r="E106" i="815"/>
  <c r="J175" i="815"/>
  <c r="D174" i="815"/>
  <c r="J84" i="815"/>
  <c r="J109" i="815"/>
  <c r="F174" i="815"/>
  <c r="G208" i="815"/>
  <c r="J176" i="815"/>
  <c r="E72" i="815"/>
  <c r="J178" i="815"/>
  <c r="J212" i="815"/>
  <c r="J105" i="815"/>
  <c r="H72" i="815"/>
  <c r="E100" i="815"/>
  <c r="J118" i="815"/>
  <c r="H195" i="815"/>
  <c r="J207" i="815"/>
  <c r="G79" i="815"/>
  <c r="I174" i="815"/>
  <c r="I201" i="815"/>
  <c r="J115" i="815"/>
  <c r="D201" i="815"/>
  <c r="J202" i="815"/>
  <c r="H106" i="815"/>
  <c r="F208" i="815"/>
  <c r="I106" i="815"/>
  <c r="H208" i="815"/>
  <c r="J114" i="815"/>
  <c r="E113" i="815"/>
  <c r="D208" i="815"/>
  <c r="J209" i="815"/>
  <c r="J102" i="815"/>
  <c r="H174" i="815"/>
  <c r="G106" i="815"/>
  <c r="J200" i="815"/>
  <c r="J214" i="815"/>
  <c r="D106" i="815"/>
  <c r="J107" i="815"/>
  <c r="J108" i="815"/>
  <c r="H100" i="815"/>
  <c r="J80" i="815"/>
  <c r="D79" i="815"/>
  <c r="H113" i="815"/>
  <c r="I79" i="815"/>
  <c r="J111" i="815"/>
  <c r="F79" i="815"/>
  <c r="J74" i="815"/>
  <c r="J75" i="815"/>
  <c r="G174" i="815"/>
  <c r="F113" i="815"/>
  <c r="F195" i="815"/>
  <c r="J101" i="815"/>
  <c r="D100" i="815"/>
  <c r="J116" i="815"/>
  <c r="G72" i="815"/>
  <c r="F106" i="815"/>
  <c r="J210" i="815"/>
  <c r="J205" i="815"/>
  <c r="J177" i="815"/>
  <c r="J81" i="815"/>
  <c r="J103" i="815"/>
  <c r="J76" i="815"/>
  <c r="J110" i="815"/>
  <c r="I208" i="815"/>
  <c r="G195" i="815"/>
  <c r="G113" i="815"/>
  <c r="J83" i="815"/>
  <c r="E201" i="815"/>
  <c r="I113" i="815"/>
  <c r="F201" i="815"/>
  <c r="F100" i="815"/>
  <c r="J213" i="815"/>
  <c r="J179" i="815"/>
  <c r="H201" i="815"/>
  <c r="J77" i="815"/>
  <c r="E84" i="743"/>
  <c r="D9" i="644"/>
  <c r="H84" i="743" l="1"/>
  <c r="E35" i="743"/>
  <c r="V13" i="644"/>
  <c r="AG13" i="644" s="1"/>
  <c r="F4" i="858" s="1"/>
  <c r="H53" i="743"/>
  <c r="K58" i="743"/>
  <c r="M32" i="743"/>
  <c r="M33" i="743"/>
  <c r="AB6" i="631"/>
  <c r="AF6" i="631" s="1"/>
  <c r="W6" i="631"/>
  <c r="V5" i="631"/>
  <c r="V10" i="631"/>
  <c r="V7" i="631"/>
  <c r="V8" i="631"/>
  <c r="V17" i="631"/>
  <c r="V9" i="631"/>
  <c r="V11" i="631"/>
  <c r="V13" i="631"/>
  <c r="V12" i="631"/>
  <c r="V15" i="631"/>
  <c r="V16" i="631"/>
  <c r="V14" i="631"/>
  <c r="W73" i="825"/>
  <c r="W40" i="825" s="1"/>
  <c r="W30" i="825"/>
  <c r="W7" i="825" s="1"/>
  <c r="M35" i="743"/>
  <c r="E382" i="813"/>
  <c r="E403" i="813" s="1"/>
  <c r="F382" i="813"/>
  <c r="F403" i="813" s="1"/>
  <c r="H382" i="813"/>
  <c r="H403" i="813" s="1"/>
  <c r="G382" i="813"/>
  <c r="G403" i="813" s="1"/>
  <c r="I382" i="813"/>
  <c r="I403" i="813" s="1"/>
  <c r="J174" i="813"/>
  <c r="H381" i="813"/>
  <c r="H402" i="813" s="1"/>
  <c r="J106" i="813"/>
  <c r="I381" i="813"/>
  <c r="I402" i="813" s="1"/>
  <c r="J79" i="813"/>
  <c r="E381" i="813"/>
  <c r="E402" i="813" s="1"/>
  <c r="J201" i="813"/>
  <c r="F381" i="813"/>
  <c r="F402" i="813" s="1"/>
  <c r="D382" i="813"/>
  <c r="D403" i="813" s="1"/>
  <c r="J208" i="813"/>
  <c r="J113" i="813"/>
  <c r="J100" i="813"/>
  <c r="D381" i="813"/>
  <c r="D402" i="813" s="1"/>
  <c r="G381" i="813"/>
  <c r="G402" i="813" s="1"/>
  <c r="J195" i="813"/>
  <c r="E52" i="743"/>
  <c r="G193" i="813"/>
  <c r="G191" i="813"/>
  <c r="F189" i="813"/>
  <c r="E167" i="813"/>
  <c r="E385" i="813" s="1"/>
  <c r="E406" i="813" s="1"/>
  <c r="D167" i="813"/>
  <c r="D385" i="813" s="1"/>
  <c r="D406" i="813" s="1"/>
  <c r="I167" i="813"/>
  <c r="I385" i="813" s="1"/>
  <c r="I406" i="813" s="1"/>
  <c r="J171" i="813"/>
  <c r="H167" i="813"/>
  <c r="H385" i="813" s="1"/>
  <c r="H406" i="813" s="1"/>
  <c r="E191" i="813"/>
  <c r="J170" i="813"/>
  <c r="G167" i="813"/>
  <c r="G385" i="813" s="1"/>
  <c r="G406" i="813" s="1"/>
  <c r="I191" i="813"/>
  <c r="G97" i="813"/>
  <c r="J168" i="813"/>
  <c r="G94" i="813"/>
  <c r="D192" i="813"/>
  <c r="G95" i="813"/>
  <c r="G188" i="813"/>
  <c r="H191" i="813"/>
  <c r="F167" i="813"/>
  <c r="F385" i="813" s="1"/>
  <c r="F406" i="813" s="1"/>
  <c r="F95" i="813"/>
  <c r="E91" i="815"/>
  <c r="F97" i="813"/>
  <c r="J72" i="813"/>
  <c r="J173" i="813"/>
  <c r="F192" i="813"/>
  <c r="E94" i="813"/>
  <c r="J172" i="813"/>
  <c r="F193" i="813"/>
  <c r="I95" i="813"/>
  <c r="D96" i="813"/>
  <c r="H192" i="813"/>
  <c r="H95" i="813"/>
  <c r="G89" i="815"/>
  <c r="J169" i="813"/>
  <c r="E190" i="813"/>
  <c r="H189" i="813"/>
  <c r="I190" i="813"/>
  <c r="H96" i="813"/>
  <c r="E192" i="813"/>
  <c r="E93" i="813"/>
  <c r="I98" i="813"/>
  <c r="H91" i="815"/>
  <c r="E89" i="815"/>
  <c r="I188" i="813"/>
  <c r="F96" i="813"/>
  <c r="G190" i="813"/>
  <c r="D193" i="813"/>
  <c r="G189" i="813"/>
  <c r="I183" i="815"/>
  <c r="D191" i="813"/>
  <c r="G96" i="813"/>
  <c r="F191" i="813"/>
  <c r="D190" i="813"/>
  <c r="G98" i="813"/>
  <c r="E193" i="813"/>
  <c r="H93" i="813"/>
  <c r="G192" i="813"/>
  <c r="D98" i="813"/>
  <c r="D97" i="813"/>
  <c r="H97" i="813"/>
  <c r="E189" i="813"/>
  <c r="E97" i="813"/>
  <c r="E96" i="813"/>
  <c r="F94" i="813"/>
  <c r="D87" i="815"/>
  <c r="H188" i="813"/>
  <c r="H94" i="813"/>
  <c r="D95" i="813"/>
  <c r="I93" i="813"/>
  <c r="F98" i="813"/>
  <c r="F93" i="813"/>
  <c r="F188" i="813"/>
  <c r="E98" i="813"/>
  <c r="I96" i="813"/>
  <c r="F190" i="813"/>
  <c r="I192" i="813"/>
  <c r="D188" i="813"/>
  <c r="I97" i="813"/>
  <c r="I193" i="813"/>
  <c r="I94" i="813"/>
  <c r="D189" i="813"/>
  <c r="E95" i="813"/>
  <c r="F19" i="813"/>
  <c r="D88" i="813" s="1"/>
  <c r="H181" i="815"/>
  <c r="H193" i="813"/>
  <c r="H98" i="813"/>
  <c r="I189" i="813"/>
  <c r="E188" i="813"/>
  <c r="H190" i="813"/>
  <c r="G93" i="813"/>
  <c r="D93" i="813"/>
  <c r="D88" i="815"/>
  <c r="D91" i="815"/>
  <c r="F183" i="815"/>
  <c r="I89" i="815"/>
  <c r="E181" i="815"/>
  <c r="I185" i="815"/>
  <c r="E186" i="815"/>
  <c r="I184" i="815"/>
  <c r="E88" i="815"/>
  <c r="I90" i="815"/>
  <c r="G86" i="815"/>
  <c r="G184" i="815"/>
  <c r="G88" i="815"/>
  <c r="F88" i="815"/>
  <c r="E185" i="815"/>
  <c r="I186" i="815"/>
  <c r="E183" i="815"/>
  <c r="F87" i="815"/>
  <c r="I88" i="815"/>
  <c r="G186" i="815"/>
  <c r="D184" i="815"/>
  <c r="H186" i="815"/>
  <c r="I182" i="815"/>
  <c r="F184" i="815"/>
  <c r="D186" i="815"/>
  <c r="H88" i="815"/>
  <c r="F91" i="815"/>
  <c r="H86" i="815"/>
  <c r="F186" i="815"/>
  <c r="G183" i="815"/>
  <c r="D181" i="815"/>
  <c r="E184" i="815"/>
  <c r="E87" i="815"/>
  <c r="F181" i="815"/>
  <c r="F86" i="815"/>
  <c r="I181" i="815"/>
  <c r="H89" i="815"/>
  <c r="H183" i="815"/>
  <c r="I86" i="815"/>
  <c r="F182" i="815"/>
  <c r="E90" i="815"/>
  <c r="I91" i="815"/>
  <c r="F185" i="815"/>
  <c r="H87" i="815"/>
  <c r="E86" i="815"/>
  <c r="G182" i="815"/>
  <c r="G87" i="815"/>
  <c r="D183" i="815"/>
  <c r="D86" i="815"/>
  <c r="E182" i="815"/>
  <c r="H184" i="815"/>
  <c r="H182" i="815"/>
  <c r="G181" i="815"/>
  <c r="D90" i="815"/>
  <c r="H90" i="815"/>
  <c r="I87" i="815"/>
  <c r="H185" i="815"/>
  <c r="G90" i="815"/>
  <c r="G185" i="815"/>
  <c r="F90" i="815"/>
  <c r="D89" i="815"/>
  <c r="D185" i="815"/>
  <c r="G91" i="815"/>
  <c r="F89" i="815"/>
  <c r="F382" i="815"/>
  <c r="F403" i="815" s="1"/>
  <c r="E382" i="815"/>
  <c r="E403" i="815" s="1"/>
  <c r="H381" i="815"/>
  <c r="H402" i="815" s="1"/>
  <c r="I381" i="815"/>
  <c r="I402" i="815" s="1"/>
  <c r="H382" i="815"/>
  <c r="H403" i="815" s="1"/>
  <c r="J113" i="815"/>
  <c r="J171" i="815"/>
  <c r="E381" i="815"/>
  <c r="E402" i="815" s="1"/>
  <c r="J94" i="815"/>
  <c r="E187" i="815"/>
  <c r="G92" i="815"/>
  <c r="D382" i="815"/>
  <c r="D403" i="815" s="1"/>
  <c r="J79" i="815"/>
  <c r="H92" i="815"/>
  <c r="H167" i="815"/>
  <c r="H385" i="815" s="1"/>
  <c r="H406" i="815" s="1"/>
  <c r="J191" i="815"/>
  <c r="J174" i="815"/>
  <c r="D187" i="815"/>
  <c r="J188" i="815"/>
  <c r="J106" i="815"/>
  <c r="E92" i="815"/>
  <c r="J195" i="815"/>
  <c r="D381" i="815"/>
  <c r="J100" i="815"/>
  <c r="G187" i="815"/>
  <c r="J201" i="815"/>
  <c r="I187" i="815"/>
  <c r="G381" i="815"/>
  <c r="J173" i="815"/>
  <c r="I92" i="815"/>
  <c r="J93" i="815"/>
  <c r="D92" i="815"/>
  <c r="J169" i="815"/>
  <c r="J72" i="815"/>
  <c r="D167" i="815"/>
  <c r="D385" i="815" s="1"/>
  <c r="D406" i="815" s="1"/>
  <c r="J168" i="815"/>
  <c r="E167" i="815"/>
  <c r="E385" i="815" s="1"/>
  <c r="F187" i="815"/>
  <c r="J172" i="815"/>
  <c r="J97" i="815"/>
  <c r="J170" i="815"/>
  <c r="J193" i="815"/>
  <c r="F167" i="815"/>
  <c r="F385" i="815" s="1"/>
  <c r="F406" i="815" s="1"/>
  <c r="F381" i="815"/>
  <c r="I382" i="815"/>
  <c r="I403" i="815" s="1"/>
  <c r="J208" i="815"/>
  <c r="G382" i="815"/>
  <c r="G403" i="815" s="1"/>
  <c r="J192" i="815"/>
  <c r="H187" i="815"/>
  <c r="I167" i="815"/>
  <c r="I385" i="815" s="1"/>
  <c r="I406" i="815" s="1"/>
  <c r="J96" i="815"/>
  <c r="F92" i="815"/>
  <c r="J189" i="815"/>
  <c r="J190" i="815"/>
  <c r="J95" i="815"/>
  <c r="G167" i="815"/>
  <c r="G385" i="815" s="1"/>
  <c r="G406" i="815" s="1"/>
  <c r="E64" i="743"/>
  <c r="AB13" i="644" l="1"/>
  <c r="H52" i="743"/>
  <c r="E34" i="743"/>
  <c r="D13" i="644"/>
  <c r="H35" i="743"/>
  <c r="K32" i="743"/>
  <c r="K57" i="743"/>
  <c r="H64" i="743"/>
  <c r="AB16" i="631"/>
  <c r="AF16" i="631" s="1"/>
  <c r="W16" i="631"/>
  <c r="AB14" i="631"/>
  <c r="AF14" i="631" s="1"/>
  <c r="W14" i="631"/>
  <c r="AB15" i="631"/>
  <c r="AF15" i="631" s="1"/>
  <c r="W15" i="631"/>
  <c r="AB11" i="631"/>
  <c r="AF11" i="631" s="1"/>
  <c r="W11" i="631"/>
  <c r="AB17" i="631"/>
  <c r="AF17" i="631" s="1"/>
  <c r="W17" i="631"/>
  <c r="AB5" i="631"/>
  <c r="W5" i="631"/>
  <c r="AB8" i="631"/>
  <c r="AF8" i="631" s="1"/>
  <c r="W8" i="631"/>
  <c r="AB13" i="631"/>
  <c r="AF13" i="631" s="1"/>
  <c r="W13" i="631"/>
  <c r="AB9" i="631"/>
  <c r="AF9" i="631" s="1"/>
  <c r="W9" i="631"/>
  <c r="AB7" i="631"/>
  <c r="AF7" i="631" s="1"/>
  <c r="W7" i="631"/>
  <c r="AB12" i="631"/>
  <c r="AF12" i="631" s="1"/>
  <c r="W12" i="631"/>
  <c r="AB10" i="631"/>
  <c r="AF10" i="631" s="1"/>
  <c r="W10" i="631"/>
  <c r="W29" i="825"/>
  <c r="W6" i="825" s="1"/>
  <c r="D11" i="644"/>
  <c r="D41" i="644"/>
  <c r="V41" i="644" s="1"/>
  <c r="AG41" i="644" s="1"/>
  <c r="K52" i="743"/>
  <c r="K53" i="743"/>
  <c r="J382" i="813"/>
  <c r="J403" i="813" s="1"/>
  <c r="D36" i="485" s="1"/>
  <c r="J381" i="813"/>
  <c r="J402" i="813" s="1"/>
  <c r="C36" i="485" s="1"/>
  <c r="K65" i="743"/>
  <c r="K64" i="743"/>
  <c r="D184" i="813"/>
  <c r="I88" i="813"/>
  <c r="E86" i="813"/>
  <c r="D87" i="813"/>
  <c r="D90" i="813"/>
  <c r="J167" i="813"/>
  <c r="J385" i="813" s="1"/>
  <c r="J406" i="813" s="1"/>
  <c r="G36" i="485" s="1"/>
  <c r="G91" i="813"/>
  <c r="H186" i="813"/>
  <c r="I91" i="813"/>
  <c r="J191" i="813"/>
  <c r="J190" i="813"/>
  <c r="H181" i="813"/>
  <c r="F87" i="813"/>
  <c r="J94" i="813"/>
  <c r="E182" i="813"/>
  <c r="F182" i="813"/>
  <c r="E185" i="813"/>
  <c r="F181" i="813"/>
  <c r="G184" i="813"/>
  <c r="J97" i="813"/>
  <c r="E181" i="813"/>
  <c r="I90" i="813"/>
  <c r="I187" i="813"/>
  <c r="F91" i="813"/>
  <c r="D181" i="813"/>
  <c r="F186" i="813"/>
  <c r="H184" i="813"/>
  <c r="F86" i="813"/>
  <c r="E92" i="813"/>
  <c r="J95" i="813"/>
  <c r="H90" i="813"/>
  <c r="D187" i="813"/>
  <c r="J96" i="813"/>
  <c r="H182" i="813"/>
  <c r="D89" i="813"/>
  <c r="H187" i="813"/>
  <c r="G90" i="813"/>
  <c r="E91" i="813"/>
  <c r="H185" i="813"/>
  <c r="F185" i="813"/>
  <c r="J188" i="813"/>
  <c r="F187" i="813"/>
  <c r="G187" i="813"/>
  <c r="D92" i="813"/>
  <c r="F92" i="813"/>
  <c r="H92" i="813"/>
  <c r="J189" i="813"/>
  <c r="E187" i="813"/>
  <c r="G92" i="813"/>
  <c r="I92" i="813"/>
  <c r="J193" i="813"/>
  <c r="J93" i="813"/>
  <c r="D186" i="813"/>
  <c r="H86" i="813"/>
  <c r="G186" i="813"/>
  <c r="D185" i="813"/>
  <c r="J192" i="813"/>
  <c r="E186" i="813"/>
  <c r="I186" i="813"/>
  <c r="E183" i="813"/>
  <c r="H87" i="813"/>
  <c r="I184" i="813"/>
  <c r="H89" i="813"/>
  <c r="E89" i="813"/>
  <c r="D183" i="813"/>
  <c r="G89" i="813"/>
  <c r="I182" i="813"/>
  <c r="F88" i="813"/>
  <c r="I181" i="813"/>
  <c r="D86" i="813"/>
  <c r="H183" i="813"/>
  <c r="G185" i="813"/>
  <c r="D182" i="813"/>
  <c r="D91" i="813"/>
  <c r="F183" i="813"/>
  <c r="G86" i="813"/>
  <c r="E90" i="813"/>
  <c r="E87" i="813"/>
  <c r="I185" i="813"/>
  <c r="F89" i="813"/>
  <c r="G183" i="813"/>
  <c r="I87" i="813"/>
  <c r="E88" i="813"/>
  <c r="I86" i="813"/>
  <c r="G181" i="813"/>
  <c r="F90" i="813"/>
  <c r="E184" i="813"/>
  <c r="G182" i="813"/>
  <c r="G88" i="813"/>
  <c r="I183" i="813"/>
  <c r="G87" i="813"/>
  <c r="H91" i="813"/>
  <c r="H88" i="813"/>
  <c r="I89" i="813"/>
  <c r="F184" i="813"/>
  <c r="E85" i="815"/>
  <c r="D85" i="815"/>
  <c r="I85" i="815"/>
  <c r="H180" i="815"/>
  <c r="J182" i="815"/>
  <c r="F180" i="815"/>
  <c r="J89" i="815"/>
  <c r="G85" i="815"/>
  <c r="D180" i="815"/>
  <c r="G180" i="815"/>
  <c r="J184" i="815"/>
  <c r="E180" i="815"/>
  <c r="J90" i="815"/>
  <c r="I180" i="815"/>
  <c r="F85" i="815"/>
  <c r="J86" i="815"/>
  <c r="J87" i="815"/>
  <c r="J88" i="815"/>
  <c r="J181" i="815"/>
  <c r="J185" i="815"/>
  <c r="H85" i="815"/>
  <c r="J183" i="815"/>
  <c r="E384" i="815"/>
  <c r="E405" i="815" s="1"/>
  <c r="I384" i="815"/>
  <c r="I405" i="815" s="1"/>
  <c r="G384" i="815"/>
  <c r="G405" i="815" s="1"/>
  <c r="J381" i="815"/>
  <c r="J402" i="815" s="1"/>
  <c r="E406" i="815"/>
  <c r="F384" i="815"/>
  <c r="F405" i="815" s="1"/>
  <c r="D402" i="815"/>
  <c r="J92" i="815"/>
  <c r="D384" i="815"/>
  <c r="D405" i="815" s="1"/>
  <c r="H384" i="815"/>
  <c r="F402" i="815"/>
  <c r="J187" i="815"/>
  <c r="J382" i="815"/>
  <c r="J403" i="815" s="1"/>
  <c r="G402" i="815"/>
  <c r="J167" i="815"/>
  <c r="J385" i="815" s="1"/>
  <c r="J406" i="815" s="1"/>
  <c r="C6" i="771" l="1"/>
  <c r="Q6" i="631"/>
  <c r="Y6" i="631" s="1"/>
  <c r="W13" i="644"/>
  <c r="H34" i="743"/>
  <c r="AB41" i="644"/>
  <c r="K33" i="743"/>
  <c r="X13" i="644"/>
  <c r="AF5" i="631"/>
  <c r="AF18" i="631" s="1"/>
  <c r="AB18" i="631"/>
  <c r="Z6" i="631"/>
  <c r="AD6" i="631"/>
  <c r="V40" i="644"/>
  <c r="AG40" i="644" s="1"/>
  <c r="V39" i="644"/>
  <c r="AG39" i="644" s="1"/>
  <c r="D10" i="644"/>
  <c r="X41" i="644"/>
  <c r="AJ41" i="644" s="1"/>
  <c r="D57" i="485"/>
  <c r="K34" i="743"/>
  <c r="K35" i="743"/>
  <c r="G384" i="813"/>
  <c r="G405" i="813" s="1"/>
  <c r="E384" i="813"/>
  <c r="E405" i="813" s="1"/>
  <c r="D384" i="813"/>
  <c r="D405" i="813" s="1"/>
  <c r="J181" i="813"/>
  <c r="F85" i="813"/>
  <c r="D85" i="813"/>
  <c r="I384" i="813"/>
  <c r="I405" i="813" s="1"/>
  <c r="J187" i="813"/>
  <c r="H384" i="813"/>
  <c r="H405" i="813" s="1"/>
  <c r="D180" i="813"/>
  <c r="F384" i="813"/>
  <c r="F405" i="813" s="1"/>
  <c r="H383" i="815"/>
  <c r="H404" i="815" s="1"/>
  <c r="H180" i="813"/>
  <c r="F383" i="815"/>
  <c r="F404" i="815" s="1"/>
  <c r="I85" i="813"/>
  <c r="J182" i="813"/>
  <c r="E383" i="815"/>
  <c r="E404" i="815" s="1"/>
  <c r="J92" i="813"/>
  <c r="F180" i="813"/>
  <c r="J89" i="813"/>
  <c r="J183" i="813"/>
  <c r="E85" i="813"/>
  <c r="J87" i="813"/>
  <c r="G85" i="813"/>
  <c r="I180" i="813"/>
  <c r="E180" i="813"/>
  <c r="J88" i="813"/>
  <c r="J184" i="813"/>
  <c r="J185" i="813"/>
  <c r="G180" i="813"/>
  <c r="I383" i="815"/>
  <c r="I404" i="815" s="1"/>
  <c r="H85" i="813"/>
  <c r="J90" i="813"/>
  <c r="J86" i="813"/>
  <c r="D383" i="815"/>
  <c r="D404" i="815" s="1"/>
  <c r="J180" i="815"/>
  <c r="G383" i="815"/>
  <c r="G404" i="815" s="1"/>
  <c r="J85" i="815"/>
  <c r="J384" i="815"/>
  <c r="J405" i="815" s="1"/>
  <c r="H405" i="815"/>
  <c r="G39" i="485"/>
  <c r="D39" i="485"/>
  <c r="D60" i="485" s="1"/>
  <c r="AJ13" i="644" l="1"/>
  <c r="V34" i="644"/>
  <c r="AG34" i="644" s="1"/>
  <c r="V35" i="644"/>
  <c r="AG35" i="644" s="1"/>
  <c r="V32" i="644"/>
  <c r="AG32" i="644" s="1"/>
  <c r="AB40" i="644"/>
  <c r="AC13" i="644"/>
  <c r="Z13" i="644"/>
  <c r="AD13" i="644" s="1"/>
  <c r="AC41" i="644"/>
  <c r="Z41" i="644"/>
  <c r="AB39" i="644"/>
  <c r="AH6" i="631"/>
  <c r="V25" i="644"/>
  <c r="AG25" i="644" s="1"/>
  <c r="V28" i="644"/>
  <c r="AG28" i="644" s="1"/>
  <c r="V24" i="644"/>
  <c r="AG24" i="644" s="1"/>
  <c r="X40" i="644"/>
  <c r="AJ40" i="644" s="1"/>
  <c r="V42" i="644"/>
  <c r="AG42" i="644" s="1"/>
  <c r="V19" i="644"/>
  <c r="AG19" i="644" s="1"/>
  <c r="X39" i="644"/>
  <c r="AJ39" i="644" s="1"/>
  <c r="V17" i="644"/>
  <c r="AG17" i="644" s="1"/>
  <c r="V27" i="644"/>
  <c r="AG27" i="644" s="1"/>
  <c r="V29" i="644"/>
  <c r="AG29" i="644" s="1"/>
  <c r="V16" i="644"/>
  <c r="AG16" i="644" s="1"/>
  <c r="V33" i="644"/>
  <c r="AG33" i="644" s="1"/>
  <c r="V18" i="644"/>
  <c r="AG18" i="644" s="1"/>
  <c r="V20" i="644"/>
  <c r="AG20" i="644" s="1"/>
  <c r="V15" i="644"/>
  <c r="AG15" i="644" s="1"/>
  <c r="V26" i="644"/>
  <c r="AG26" i="644" s="1"/>
  <c r="V23" i="644"/>
  <c r="AG23" i="644" s="1"/>
  <c r="G383" i="813"/>
  <c r="G404" i="813" s="1"/>
  <c r="D383" i="813"/>
  <c r="D404" i="813" s="1"/>
  <c r="F383" i="813"/>
  <c r="F404" i="813" s="1"/>
  <c r="J384" i="813"/>
  <c r="J405" i="813" s="1"/>
  <c r="F36" i="485" s="1"/>
  <c r="F57" i="485" s="1"/>
  <c r="J85" i="813"/>
  <c r="J383" i="815"/>
  <c r="J404" i="815" s="1"/>
  <c r="J180" i="813"/>
  <c r="I383" i="813"/>
  <c r="I404" i="813" s="1"/>
  <c r="E383" i="813"/>
  <c r="E404" i="813" s="1"/>
  <c r="H383" i="813"/>
  <c r="H404" i="813" s="1"/>
  <c r="G57" i="485"/>
  <c r="D40" i="485"/>
  <c r="D61" i="485" s="1"/>
  <c r="G40" i="485"/>
  <c r="G61" i="485" s="1"/>
  <c r="G60" i="485"/>
  <c r="X34" i="644" l="1"/>
  <c r="AJ34" i="644" s="1"/>
  <c r="AB34" i="644"/>
  <c r="AM41" i="644"/>
  <c r="AD41" i="644"/>
  <c r="V30" i="644"/>
  <c r="AG30" i="644" s="1"/>
  <c r="F7" i="858" s="1"/>
  <c r="V36" i="644"/>
  <c r="AG36" i="644" s="1"/>
  <c r="V21" i="644"/>
  <c r="AM13" i="644"/>
  <c r="J4" i="858" s="1"/>
  <c r="AB32" i="644"/>
  <c r="X32" i="644"/>
  <c r="AB35" i="644"/>
  <c r="X35" i="644"/>
  <c r="X23" i="644"/>
  <c r="AC23" i="644" s="1"/>
  <c r="X33" i="644"/>
  <c r="AJ33" i="644" s="1"/>
  <c r="AB25" i="644"/>
  <c r="AB20" i="644"/>
  <c r="D16" i="644"/>
  <c r="AB17" i="644"/>
  <c r="AB28" i="644"/>
  <c r="AB15" i="644"/>
  <c r="D19" i="644"/>
  <c r="AB42" i="644"/>
  <c r="AB24" i="644"/>
  <c r="AB26" i="644"/>
  <c r="AB18" i="644"/>
  <c r="AB29" i="644"/>
  <c r="AC40" i="644"/>
  <c r="Z40" i="644"/>
  <c r="AC34" i="644"/>
  <c r="Z34" i="644"/>
  <c r="AC39" i="644"/>
  <c r="Z39" i="644"/>
  <c r="X28" i="644"/>
  <c r="AJ28" i="644" s="1"/>
  <c r="X25" i="644"/>
  <c r="AJ25" i="644" s="1"/>
  <c r="AB27" i="644"/>
  <c r="X24" i="644"/>
  <c r="AJ24" i="644" s="1"/>
  <c r="X29" i="644"/>
  <c r="AJ29" i="644" s="1"/>
  <c r="X42" i="644"/>
  <c r="AJ42" i="644" s="1"/>
  <c r="AB19" i="644"/>
  <c r="D18" i="644"/>
  <c r="X26" i="644"/>
  <c r="AJ26" i="644" s="1"/>
  <c r="D17" i="644"/>
  <c r="D15" i="644"/>
  <c r="D20" i="644"/>
  <c r="AB23" i="644"/>
  <c r="X27" i="644"/>
  <c r="AJ27" i="644" s="1"/>
  <c r="AB33" i="644"/>
  <c r="AB16" i="644"/>
  <c r="D41" i="485"/>
  <c r="D44" i="485" s="1"/>
  <c r="J6" i="631" s="1"/>
  <c r="J383" i="813"/>
  <c r="J404" i="813" s="1"/>
  <c r="F39" i="485"/>
  <c r="F40" i="485" s="1"/>
  <c r="F61" i="485" s="1"/>
  <c r="G41" i="485"/>
  <c r="C57" i="485"/>
  <c r="C39" i="485"/>
  <c r="AB30" i="644" l="1"/>
  <c r="AG21" i="644"/>
  <c r="F5" i="858" s="1"/>
  <c r="AB21" i="644"/>
  <c r="Q11" i="631"/>
  <c r="Y14" i="631" s="1"/>
  <c r="Z14" i="631" s="1"/>
  <c r="Q8" i="631"/>
  <c r="Y9" i="631" s="1"/>
  <c r="AD9" i="631" s="1"/>
  <c r="AH9" i="631" s="1"/>
  <c r="AM40" i="644"/>
  <c r="AD40" i="644"/>
  <c r="AM39" i="644"/>
  <c r="AD39" i="644"/>
  <c r="AM34" i="644"/>
  <c r="AD34" i="644"/>
  <c r="K4" i="858"/>
  <c r="R4" i="858"/>
  <c r="AB36" i="644"/>
  <c r="X36" i="644"/>
  <c r="AJ23" i="644"/>
  <c r="X30" i="644"/>
  <c r="AC35" i="644"/>
  <c r="Z35" i="644"/>
  <c r="AJ35" i="644"/>
  <c r="Z33" i="644"/>
  <c r="AC33" i="644"/>
  <c r="AJ32" i="644"/>
  <c r="AC32" i="644"/>
  <c r="Z32" i="644"/>
  <c r="AD32" i="644" s="1"/>
  <c r="Z23" i="644"/>
  <c r="AD23" i="644" s="1"/>
  <c r="W19" i="644"/>
  <c r="X19" i="644" s="1"/>
  <c r="AJ19" i="644" s="1"/>
  <c r="C12" i="771"/>
  <c r="C9" i="771"/>
  <c r="W16" i="644"/>
  <c r="X16" i="644" s="1"/>
  <c r="AJ16" i="644" s="1"/>
  <c r="AC42" i="644"/>
  <c r="Z42" i="644"/>
  <c r="AC24" i="644"/>
  <c r="Z24" i="644"/>
  <c r="AC26" i="644"/>
  <c r="Z26" i="644"/>
  <c r="AC29" i="644"/>
  <c r="Z29" i="644"/>
  <c r="AC25" i="644"/>
  <c r="Z25" i="644"/>
  <c r="AC28" i="644"/>
  <c r="Z28" i="644"/>
  <c r="AC27" i="644"/>
  <c r="Z27" i="644"/>
  <c r="W20" i="644"/>
  <c r="X20" i="644" s="1"/>
  <c r="AJ20" i="644" s="1"/>
  <c r="Q12" i="631"/>
  <c r="G11" i="631"/>
  <c r="F10" i="858"/>
  <c r="P10" i="858" s="1"/>
  <c r="R10" i="858" s="1"/>
  <c r="J10" i="858" s="1"/>
  <c r="C8" i="771"/>
  <c r="Q7" i="631"/>
  <c r="W17" i="644"/>
  <c r="X17" i="644" s="1"/>
  <c r="AJ17" i="644" s="1"/>
  <c r="Q9" i="631"/>
  <c r="W18" i="644"/>
  <c r="X18" i="644" s="1"/>
  <c r="AJ18" i="644" s="1"/>
  <c r="Q10" i="631"/>
  <c r="C10" i="771"/>
  <c r="C11" i="771"/>
  <c r="W15" i="644"/>
  <c r="C13" i="771"/>
  <c r="G6" i="631"/>
  <c r="F60" i="485"/>
  <c r="F41" i="485"/>
  <c r="G9" i="631" s="1"/>
  <c r="E36" i="485"/>
  <c r="C60" i="485"/>
  <c r="C40" i="485"/>
  <c r="C61" i="485" s="1"/>
  <c r="G44" i="485"/>
  <c r="AD14" i="631" l="1"/>
  <c r="AH14" i="631" s="1"/>
  <c r="Y15" i="631"/>
  <c r="Z15" i="631" s="1"/>
  <c r="Y8" i="631"/>
  <c r="Z8" i="631" s="1"/>
  <c r="Z9" i="631"/>
  <c r="AM42" i="644"/>
  <c r="AD42" i="644"/>
  <c r="AM27" i="644"/>
  <c r="AD27" i="644"/>
  <c r="AM33" i="644"/>
  <c r="AD33" i="644"/>
  <c r="AM35" i="644"/>
  <c r="AD35" i="644"/>
  <c r="AM28" i="644"/>
  <c r="AD28" i="644"/>
  <c r="AM25" i="644"/>
  <c r="AD25" i="644"/>
  <c r="AM24" i="644"/>
  <c r="AD24" i="644"/>
  <c r="AM29" i="644"/>
  <c r="AD29" i="644"/>
  <c r="AM26" i="644"/>
  <c r="AD26" i="644"/>
  <c r="AC36" i="644"/>
  <c r="AJ36" i="644"/>
  <c r="F8" i="858" s="1"/>
  <c r="AM32" i="644"/>
  <c r="Z36" i="644"/>
  <c r="W21" i="644"/>
  <c r="AM23" i="644"/>
  <c r="Z30" i="644"/>
  <c r="AJ30" i="644"/>
  <c r="AC30" i="644"/>
  <c r="AC16" i="644"/>
  <c r="Z16" i="644"/>
  <c r="AC18" i="644"/>
  <c r="Z18" i="644"/>
  <c r="AC17" i="644"/>
  <c r="Z17" i="644"/>
  <c r="AC19" i="644"/>
  <c r="Z19" i="644"/>
  <c r="AC20" i="644"/>
  <c r="Z20" i="644"/>
  <c r="Y12" i="631"/>
  <c r="Y13" i="631"/>
  <c r="Y10" i="631"/>
  <c r="Y11" i="631"/>
  <c r="Y5" i="631"/>
  <c r="Y7" i="631"/>
  <c r="Y16" i="631"/>
  <c r="Y17" i="631"/>
  <c r="H6" i="631"/>
  <c r="X15" i="644"/>
  <c r="X21" i="644" s="1"/>
  <c r="H9" i="631"/>
  <c r="F44" i="485"/>
  <c r="J9" i="631" s="1"/>
  <c r="E57" i="485"/>
  <c r="E39" i="485"/>
  <c r="D42" i="485"/>
  <c r="G7" i="631" s="1"/>
  <c r="C41" i="485"/>
  <c r="AD15" i="631" l="1"/>
  <c r="AH15" i="631" s="1"/>
  <c r="AD8" i="631"/>
  <c r="AH8" i="631" s="1"/>
  <c r="AM16" i="644"/>
  <c r="AD16" i="644"/>
  <c r="AM30" i="644"/>
  <c r="AD30" i="644"/>
  <c r="AM20" i="644"/>
  <c r="AD20" i="644"/>
  <c r="AM17" i="644"/>
  <c r="AD17" i="644"/>
  <c r="AM36" i="644"/>
  <c r="AD36" i="644"/>
  <c r="AM19" i="644"/>
  <c r="AD19" i="644"/>
  <c r="AM18" i="644"/>
  <c r="AD18" i="644"/>
  <c r="AJ15" i="644"/>
  <c r="AC15" i="644"/>
  <c r="Z15" i="644"/>
  <c r="AD10" i="631"/>
  <c r="AH10" i="631" s="1"/>
  <c r="Z10" i="631"/>
  <c r="Z16" i="631"/>
  <c r="AD16" i="631"/>
  <c r="AH16" i="631" s="1"/>
  <c r="Z12" i="631"/>
  <c r="AD12" i="631"/>
  <c r="AH12" i="631" s="1"/>
  <c r="Z17" i="631"/>
  <c r="AD17" i="631"/>
  <c r="AH17" i="631" s="1"/>
  <c r="AD7" i="631"/>
  <c r="AH7" i="631" s="1"/>
  <c r="Z7" i="631"/>
  <c r="Z11" i="631"/>
  <c r="AD11" i="631"/>
  <c r="AH11" i="631" s="1"/>
  <c r="P8" i="858"/>
  <c r="R8" i="858" s="1"/>
  <c r="J8" i="858" s="1"/>
  <c r="K8" i="858" s="1"/>
  <c r="G8" i="858"/>
  <c r="G5" i="858"/>
  <c r="P5" i="858"/>
  <c r="Z5" i="631"/>
  <c r="AD5" i="631"/>
  <c r="AD13" i="631"/>
  <c r="AH13" i="631" s="1"/>
  <c r="Z13" i="631"/>
  <c r="E60" i="485"/>
  <c r="E40" i="485"/>
  <c r="C44" i="485"/>
  <c r="J5" i="631" s="1"/>
  <c r="G5" i="631"/>
  <c r="H7" i="631"/>
  <c r="Z21" i="644" l="1"/>
  <c r="AD21" i="644" s="1"/>
  <c r="AD15" i="644"/>
  <c r="AM15" i="644"/>
  <c r="AJ21" i="644"/>
  <c r="AC21" i="644"/>
  <c r="AH5" i="631"/>
  <c r="AD18" i="631"/>
  <c r="AD19" i="631"/>
  <c r="C42" i="485"/>
  <c r="G12" i="631" s="1"/>
  <c r="E61" i="485"/>
  <c r="E42" i="485"/>
  <c r="F42" i="485"/>
  <c r="E41" i="485"/>
  <c r="H5" i="631"/>
  <c r="AM21" i="644" l="1"/>
  <c r="J5" i="858" s="1"/>
  <c r="K5" i="858" s="1"/>
  <c r="G4" i="858"/>
  <c r="P4" i="858"/>
  <c r="P6" i="858" s="1"/>
  <c r="F6" i="858" s="1"/>
  <c r="G6" i="858" s="1"/>
  <c r="AH18" i="631"/>
  <c r="AH19" i="631"/>
  <c r="H12" i="631"/>
  <c r="G10" i="631"/>
  <c r="H10" i="631" s="1"/>
  <c r="C45" i="485"/>
  <c r="J12" i="631" s="1"/>
  <c r="E44" i="485"/>
  <c r="J8" i="631" s="1"/>
  <c r="G8" i="631"/>
  <c r="F34" i="112" a="1"/>
  <c r="G297" i="743"/>
  <c r="G273" i="743" s="1"/>
  <c r="G160" i="743"/>
  <c r="G136" i="743" s="1"/>
  <c r="G229" i="743"/>
  <c r="G205" i="743" s="1"/>
  <c r="R5" i="858" l="1"/>
  <c r="R6" i="858" s="1"/>
  <c r="J6" i="858" s="1"/>
  <c r="K6" i="858" s="1"/>
  <c r="G9" i="813"/>
  <c r="I37" i="813" s="1"/>
  <c r="G7" i="813"/>
  <c r="I31" i="813" s="1"/>
  <c r="G11" i="815"/>
  <c r="E46" i="815" s="1"/>
  <c r="F35" i="112"/>
  <c r="F34" i="112"/>
  <c r="F36" i="112"/>
  <c r="F38" i="112"/>
  <c r="F37" i="112"/>
  <c r="H8" i="631"/>
  <c r="G7" i="815"/>
  <c r="G9" i="815"/>
  <c r="E229" i="743"/>
  <c r="G158" i="743"/>
  <c r="E297" i="743"/>
  <c r="G295" i="743"/>
  <c r="G227" i="743"/>
  <c r="E160" i="743"/>
  <c r="H297" i="743" l="1"/>
  <c r="H160" i="743"/>
  <c r="H229" i="743"/>
  <c r="P7" i="858"/>
  <c r="G7" i="858"/>
  <c r="W170" i="825"/>
  <c r="W142" i="825" s="1"/>
  <c r="W306" i="825"/>
  <c r="W279" i="825" s="1"/>
  <c r="W236" i="825"/>
  <c r="W208" i="825" s="1"/>
  <c r="G134" i="743"/>
  <c r="M133" i="743" s="1"/>
  <c r="G203" i="743"/>
  <c r="M202" i="743" s="1"/>
  <c r="G271" i="743"/>
  <c r="M270" i="743" s="1"/>
  <c r="D31" i="813"/>
  <c r="D30" i="813" s="1"/>
  <c r="G31" i="813"/>
  <c r="G30" i="813" s="1"/>
  <c r="E47" i="815"/>
  <c r="H36" i="813"/>
  <c r="E37" i="813"/>
  <c r="F36" i="813"/>
  <c r="H37" i="813"/>
  <c r="E36" i="813"/>
  <c r="G37" i="813"/>
  <c r="I36" i="813"/>
  <c r="I35" i="813" s="1"/>
  <c r="I34" i="813" s="1"/>
  <c r="G36" i="813"/>
  <c r="F37" i="813"/>
  <c r="D36" i="813"/>
  <c r="I47" i="815"/>
  <c r="D47" i="815"/>
  <c r="H31" i="813"/>
  <c r="H30" i="813" s="1"/>
  <c r="E48" i="815"/>
  <c r="F46" i="815"/>
  <c r="E31" i="813"/>
  <c r="E30" i="813" s="1"/>
  <c r="F31" i="813"/>
  <c r="F30" i="813" s="1"/>
  <c r="D37" i="813"/>
  <c r="G47" i="815"/>
  <c r="F47" i="815"/>
  <c r="H47" i="815"/>
  <c r="G46" i="815"/>
  <c r="D48" i="815"/>
  <c r="G48" i="815"/>
  <c r="F48" i="815"/>
  <c r="G11" i="813"/>
  <c r="F47" i="813" s="1"/>
  <c r="H48" i="815"/>
  <c r="I48" i="815"/>
  <c r="D46" i="815"/>
  <c r="H46" i="815"/>
  <c r="I46" i="815"/>
  <c r="H35" i="112"/>
  <c r="G35" i="112"/>
  <c r="G34" i="112"/>
  <c r="H34" i="112"/>
  <c r="G296" i="743"/>
  <c r="I30" i="813"/>
  <c r="H37" i="112"/>
  <c r="G37" i="112"/>
  <c r="H11" i="815"/>
  <c r="F143" i="815" s="1"/>
  <c r="H36" i="112"/>
  <c r="G36" i="112"/>
  <c r="E36" i="815"/>
  <c r="E37" i="815"/>
  <c r="I37" i="815"/>
  <c r="H37" i="815"/>
  <c r="F37" i="815"/>
  <c r="G37" i="815"/>
  <c r="D37" i="815"/>
  <c r="I36" i="815"/>
  <c r="F36" i="815"/>
  <c r="D36" i="815"/>
  <c r="H36" i="815"/>
  <c r="G36" i="815"/>
  <c r="H31" i="815"/>
  <c r="I31" i="815"/>
  <c r="E31" i="815"/>
  <c r="G31" i="815"/>
  <c r="D31" i="815"/>
  <c r="F31" i="815"/>
  <c r="G228" i="743"/>
  <c r="H9" i="815"/>
  <c r="H7" i="815"/>
  <c r="E205" i="743"/>
  <c r="E136" i="743"/>
  <c r="E227" i="743"/>
  <c r="G159" i="743"/>
  <c r="E295" i="743"/>
  <c r="E273" i="743"/>
  <c r="E158" i="743"/>
  <c r="H158" i="743" l="1"/>
  <c r="H295" i="743"/>
  <c r="H227" i="743"/>
  <c r="H273" i="743"/>
  <c r="H136" i="743"/>
  <c r="H205" i="743"/>
  <c r="R7" i="858"/>
  <c r="J7" i="858" s="1"/>
  <c r="K7" i="858" s="1"/>
  <c r="P9" i="858"/>
  <c r="F9" i="858" s="1"/>
  <c r="W168" i="825"/>
  <c r="W140" i="825" s="1"/>
  <c r="W304" i="825"/>
  <c r="W277" i="825" s="1"/>
  <c r="W234" i="825"/>
  <c r="W206" i="825" s="1"/>
  <c r="D87" i="644"/>
  <c r="D73" i="644"/>
  <c r="D59" i="644"/>
  <c r="G135" i="743"/>
  <c r="M160" i="743"/>
  <c r="G204" i="743"/>
  <c r="M229" i="743"/>
  <c r="M228" i="743"/>
  <c r="G272" i="743"/>
  <c r="M297" i="743"/>
  <c r="M296" i="743"/>
  <c r="M159" i="743"/>
  <c r="F35" i="813"/>
  <c r="F34" i="813" s="1"/>
  <c r="H35" i="813"/>
  <c r="H34" i="813" s="1"/>
  <c r="E45" i="815"/>
  <c r="E44" i="815" s="1"/>
  <c r="J36" i="813"/>
  <c r="G35" i="813"/>
  <c r="G34" i="813" s="1"/>
  <c r="E35" i="813"/>
  <c r="E34" i="813" s="1"/>
  <c r="D35" i="813"/>
  <c r="D34" i="813" s="1"/>
  <c r="J31" i="813"/>
  <c r="F45" i="815"/>
  <c r="F44" i="815" s="1"/>
  <c r="G47" i="813"/>
  <c r="D45" i="815"/>
  <c r="D44" i="815" s="1"/>
  <c r="G45" i="815"/>
  <c r="G44" i="815" s="1"/>
  <c r="J47" i="815"/>
  <c r="H47" i="813"/>
  <c r="E47" i="813"/>
  <c r="H46" i="813"/>
  <c r="D48" i="813"/>
  <c r="G46" i="813"/>
  <c r="G48" i="813"/>
  <c r="J37" i="813"/>
  <c r="E46" i="813"/>
  <c r="I45" i="815"/>
  <c r="I44" i="815" s="1"/>
  <c r="H48" i="813"/>
  <c r="E48" i="813"/>
  <c r="H45" i="815"/>
  <c r="H44" i="815" s="1"/>
  <c r="F48" i="813"/>
  <c r="J48" i="815"/>
  <c r="D46" i="813"/>
  <c r="D47" i="813"/>
  <c r="I48" i="813"/>
  <c r="H9" i="813"/>
  <c r="F132" i="813" s="1"/>
  <c r="F46" i="813"/>
  <c r="H11" i="813"/>
  <c r="I143" i="813" s="1"/>
  <c r="I46" i="813"/>
  <c r="I47" i="813"/>
  <c r="H7" i="813"/>
  <c r="E126" i="813" s="1"/>
  <c r="J46" i="815"/>
  <c r="E141" i="815"/>
  <c r="J30" i="813"/>
  <c r="E142" i="815"/>
  <c r="E143" i="815"/>
  <c r="I143" i="815"/>
  <c r="H141" i="815"/>
  <c r="G142" i="815"/>
  <c r="F141" i="815"/>
  <c r="H142" i="815"/>
  <c r="D142" i="815"/>
  <c r="I141" i="815"/>
  <c r="H143" i="815"/>
  <c r="D141" i="815"/>
  <c r="D143" i="815"/>
  <c r="F142" i="815"/>
  <c r="G141" i="815"/>
  <c r="I142" i="815"/>
  <c r="G143" i="815"/>
  <c r="E228" i="743"/>
  <c r="G35" i="815"/>
  <c r="G34" i="815" s="1"/>
  <c r="G30" i="815"/>
  <c r="H30" i="815"/>
  <c r="E30" i="815"/>
  <c r="E35" i="815"/>
  <c r="H126" i="815"/>
  <c r="H125" i="815" s="1"/>
  <c r="I126" i="815"/>
  <c r="I125" i="815" s="1"/>
  <c r="D126" i="815"/>
  <c r="D391" i="815" s="1"/>
  <c r="D412" i="815" s="1"/>
  <c r="G126" i="815"/>
  <c r="G125" i="815" s="1"/>
  <c r="E126" i="815"/>
  <c r="E125" i="815" s="1"/>
  <c r="F126" i="815"/>
  <c r="F125" i="815" s="1"/>
  <c r="H35" i="815"/>
  <c r="F30" i="815"/>
  <c r="E296" i="743"/>
  <c r="F35" i="815"/>
  <c r="J31" i="815"/>
  <c r="D30" i="815"/>
  <c r="I35" i="815"/>
  <c r="D35" i="815"/>
  <c r="J36" i="815"/>
  <c r="G132" i="815"/>
  <c r="D132" i="815"/>
  <c r="E131" i="815"/>
  <c r="F132" i="815"/>
  <c r="I131" i="815"/>
  <c r="D131" i="815"/>
  <c r="H132" i="815"/>
  <c r="E132" i="815"/>
  <c r="I132" i="815"/>
  <c r="F131" i="815"/>
  <c r="G131" i="815"/>
  <c r="H131" i="815"/>
  <c r="J37" i="815"/>
  <c r="I30" i="815"/>
  <c r="E159" i="743"/>
  <c r="E134" i="743"/>
  <c r="H134" i="743" s="1"/>
  <c r="E203" i="743"/>
  <c r="H203" i="743" s="1"/>
  <c r="E271" i="743"/>
  <c r="H271" i="743" s="1"/>
  <c r="H228" i="743" l="1"/>
  <c r="H296" i="743"/>
  <c r="H159" i="743"/>
  <c r="K202" i="743"/>
  <c r="M205" i="743"/>
  <c r="M203" i="743"/>
  <c r="M136" i="743"/>
  <c r="M134" i="743"/>
  <c r="K133" i="743"/>
  <c r="K270" i="743"/>
  <c r="M273" i="743"/>
  <c r="M271" i="743"/>
  <c r="G9" i="858"/>
  <c r="P11" i="858"/>
  <c r="R9" i="858"/>
  <c r="J9" i="858" s="1"/>
  <c r="K9" i="858" s="1"/>
  <c r="W169" i="825"/>
  <c r="W141" i="825" s="1"/>
  <c r="W235" i="825"/>
  <c r="W207" i="825" s="1"/>
  <c r="W305" i="825"/>
  <c r="W278" i="825" s="1"/>
  <c r="D71" i="644"/>
  <c r="D85" i="644"/>
  <c r="K228" i="743"/>
  <c r="D57" i="644"/>
  <c r="K296" i="743"/>
  <c r="M204" i="743"/>
  <c r="K160" i="743"/>
  <c r="K297" i="743"/>
  <c r="M272" i="743"/>
  <c r="K229" i="743"/>
  <c r="M135" i="743"/>
  <c r="K159" i="743"/>
  <c r="E204" i="743"/>
  <c r="J35" i="813"/>
  <c r="G45" i="813"/>
  <c r="G44" i="813" s="1"/>
  <c r="G121" i="813" s="1"/>
  <c r="E45" i="813"/>
  <c r="E44" i="813" s="1"/>
  <c r="E121" i="813" s="1"/>
  <c r="J48" i="813"/>
  <c r="H45" i="813"/>
  <c r="H44" i="813" s="1"/>
  <c r="H121" i="813" s="1"/>
  <c r="G141" i="813"/>
  <c r="D45" i="813"/>
  <c r="D44" i="813" s="1"/>
  <c r="F45" i="813"/>
  <c r="F44" i="813" s="1"/>
  <c r="F121" i="813" s="1"/>
  <c r="J45" i="815"/>
  <c r="H126" i="813"/>
  <c r="H125" i="813" s="1"/>
  <c r="G126" i="813"/>
  <c r="G125" i="813" s="1"/>
  <c r="F126" i="813"/>
  <c r="F125" i="813" s="1"/>
  <c r="E143" i="813"/>
  <c r="D132" i="813"/>
  <c r="H143" i="813"/>
  <c r="E142" i="813"/>
  <c r="E131" i="813"/>
  <c r="H132" i="813"/>
  <c r="F143" i="813"/>
  <c r="J47" i="813"/>
  <c r="F131" i="813"/>
  <c r="F130" i="813" s="1"/>
  <c r="F389" i="813" s="1"/>
  <c r="F410" i="813" s="1"/>
  <c r="G142" i="813"/>
  <c r="F141" i="813"/>
  <c r="I126" i="813"/>
  <c r="I125" i="813" s="1"/>
  <c r="E132" i="813"/>
  <c r="I132" i="813"/>
  <c r="J46" i="813"/>
  <c r="G132" i="813"/>
  <c r="I131" i="813"/>
  <c r="G131" i="813"/>
  <c r="D131" i="813"/>
  <c r="D141" i="813"/>
  <c r="F140" i="815"/>
  <c r="F387" i="815" s="1"/>
  <c r="F408" i="815" s="1"/>
  <c r="H131" i="813"/>
  <c r="I141" i="813"/>
  <c r="E141" i="813"/>
  <c r="H142" i="813"/>
  <c r="D143" i="813"/>
  <c r="I45" i="813"/>
  <c r="I44" i="813" s="1"/>
  <c r="I121" i="813" s="1"/>
  <c r="I142" i="813"/>
  <c r="D126" i="813"/>
  <c r="E140" i="815"/>
  <c r="E139" i="815" s="1"/>
  <c r="F142" i="813"/>
  <c r="H141" i="813"/>
  <c r="G143" i="813"/>
  <c r="D142" i="813"/>
  <c r="J34" i="813"/>
  <c r="G140" i="815"/>
  <c r="G139" i="815" s="1"/>
  <c r="H140" i="815"/>
  <c r="H139" i="815" s="1"/>
  <c r="J143" i="815"/>
  <c r="I140" i="815"/>
  <c r="I139" i="815" s="1"/>
  <c r="D140" i="815"/>
  <c r="D387" i="815" s="1"/>
  <c r="J141" i="815"/>
  <c r="J142" i="815"/>
  <c r="E125" i="813"/>
  <c r="E391" i="813"/>
  <c r="E412" i="813" s="1"/>
  <c r="F130" i="815"/>
  <c r="F129" i="815" s="1"/>
  <c r="H130" i="815"/>
  <c r="H129" i="815" s="1"/>
  <c r="F391" i="815"/>
  <c r="F412" i="815" s="1"/>
  <c r="G121" i="815"/>
  <c r="J132" i="815"/>
  <c r="E391" i="815"/>
  <c r="E412" i="815" s="1"/>
  <c r="J35" i="815"/>
  <c r="D34" i="815"/>
  <c r="D121" i="815" s="1"/>
  <c r="E34" i="815"/>
  <c r="E121" i="815" s="1"/>
  <c r="H34" i="815"/>
  <c r="H121" i="815" s="1"/>
  <c r="D125" i="815"/>
  <c r="J126" i="815"/>
  <c r="J391" i="815" s="1"/>
  <c r="J412" i="815" s="1"/>
  <c r="J131" i="815"/>
  <c r="D130" i="815"/>
  <c r="H391" i="815"/>
  <c r="H412" i="815" s="1"/>
  <c r="F34" i="815"/>
  <c r="F121" i="815" s="1"/>
  <c r="I130" i="815"/>
  <c r="I129" i="815" s="1"/>
  <c r="J44" i="815"/>
  <c r="I391" i="815"/>
  <c r="I412" i="815" s="1"/>
  <c r="E272" i="743"/>
  <c r="I34" i="815"/>
  <c r="I121" i="815" s="1"/>
  <c r="J30" i="815"/>
  <c r="G391" i="815"/>
  <c r="G412" i="815" s="1"/>
  <c r="G130" i="815"/>
  <c r="E130" i="815"/>
  <c r="E129" i="815" s="1"/>
  <c r="E135" i="743"/>
  <c r="H204" i="743" l="1"/>
  <c r="K203" i="743"/>
  <c r="H272" i="743"/>
  <c r="K271" i="743"/>
  <c r="H135" i="743"/>
  <c r="K134" i="743"/>
  <c r="R11" i="858"/>
  <c r="J11" i="858" s="1"/>
  <c r="K11" i="858" s="1"/>
  <c r="F11" i="858"/>
  <c r="G11" i="858" s="1"/>
  <c r="D72" i="644"/>
  <c r="V70" i="644" s="1"/>
  <c r="AG70" i="644" s="1"/>
  <c r="K135" i="743"/>
  <c r="D58" i="644"/>
  <c r="K273" i="743"/>
  <c r="D86" i="644"/>
  <c r="K272" i="743"/>
  <c r="K205" i="743"/>
  <c r="K136" i="743"/>
  <c r="K204" i="743"/>
  <c r="H130" i="813"/>
  <c r="H129" i="813" s="1"/>
  <c r="D130" i="813"/>
  <c r="D129" i="813" s="1"/>
  <c r="F391" i="813"/>
  <c r="F412" i="813" s="1"/>
  <c r="G391" i="813"/>
  <c r="G412" i="813" s="1"/>
  <c r="E216" i="815"/>
  <c r="E375" i="815" s="1"/>
  <c r="I391" i="813"/>
  <c r="I412" i="813" s="1"/>
  <c r="I140" i="813"/>
  <c r="I387" i="813" s="1"/>
  <c r="E387" i="815"/>
  <c r="E408" i="815" s="1"/>
  <c r="G140" i="813"/>
  <c r="G139" i="813" s="1"/>
  <c r="H391" i="813"/>
  <c r="H412" i="813" s="1"/>
  <c r="J131" i="813"/>
  <c r="J126" i="813"/>
  <c r="J391" i="813" s="1"/>
  <c r="J412" i="813" s="1"/>
  <c r="M36" i="485" s="1"/>
  <c r="J132" i="813"/>
  <c r="G387" i="815"/>
  <c r="G408" i="815" s="1"/>
  <c r="D125" i="813"/>
  <c r="J125" i="813" s="1"/>
  <c r="E130" i="813"/>
  <c r="E129" i="813" s="1"/>
  <c r="F389" i="815"/>
  <c r="F410" i="815" s="1"/>
  <c r="F420" i="815" s="1"/>
  <c r="E140" i="813"/>
  <c r="E139" i="813" s="1"/>
  <c r="D140" i="813"/>
  <c r="D139" i="813" s="1"/>
  <c r="J143" i="813"/>
  <c r="F140" i="813"/>
  <c r="F387" i="813" s="1"/>
  <c r="F139" i="815"/>
  <c r="F216" i="815" s="1"/>
  <c r="F375" i="815" s="1"/>
  <c r="G130" i="813"/>
  <c r="G129" i="813" s="1"/>
  <c r="D391" i="813"/>
  <c r="D412" i="813" s="1"/>
  <c r="J45" i="813"/>
  <c r="I130" i="813"/>
  <c r="I129" i="813" s="1"/>
  <c r="H387" i="815"/>
  <c r="H408" i="815" s="1"/>
  <c r="H140" i="813"/>
  <c r="H387" i="813" s="1"/>
  <c r="F129" i="813"/>
  <c r="I387" i="815"/>
  <c r="I408" i="815" s="1"/>
  <c r="J141" i="813"/>
  <c r="J142" i="813"/>
  <c r="I216" i="815"/>
  <c r="I375" i="815" s="1"/>
  <c r="D139" i="815"/>
  <c r="J140" i="815"/>
  <c r="J387" i="815" s="1"/>
  <c r="J408" i="815" s="1"/>
  <c r="H216" i="815"/>
  <c r="H375" i="815" s="1"/>
  <c r="D121" i="813"/>
  <c r="J44" i="813"/>
  <c r="H389" i="815"/>
  <c r="H410" i="815" s="1"/>
  <c r="E389" i="815"/>
  <c r="E410" i="815" s="1"/>
  <c r="J130" i="815"/>
  <c r="J389" i="815" s="1"/>
  <c r="D129" i="815"/>
  <c r="I389" i="815"/>
  <c r="I410" i="815" s="1"/>
  <c r="J125" i="815"/>
  <c r="J34" i="815"/>
  <c r="G129" i="815"/>
  <c r="G216" i="815" s="1"/>
  <c r="G375" i="815" s="1"/>
  <c r="G389" i="815"/>
  <c r="J121" i="815"/>
  <c r="D389" i="815"/>
  <c r="D410" i="815" s="1"/>
  <c r="D408" i="815"/>
  <c r="AB70" i="644" l="1"/>
  <c r="H3" i="743"/>
  <c r="V68" i="644"/>
  <c r="AG68" i="644" s="1"/>
  <c r="V67" i="644"/>
  <c r="AG67" i="644" s="1"/>
  <c r="V69" i="644"/>
  <c r="AG69" i="644" s="1"/>
  <c r="V83" i="644"/>
  <c r="AG83" i="644" s="1"/>
  <c r="V82" i="644"/>
  <c r="AG82" i="644" s="1"/>
  <c r="V81" i="644"/>
  <c r="AG81" i="644" s="1"/>
  <c r="V84" i="644"/>
  <c r="AG84" i="644" s="1"/>
  <c r="V56" i="644"/>
  <c r="AG56" i="644" s="1"/>
  <c r="V53" i="644"/>
  <c r="AG53" i="644" s="1"/>
  <c r="V55" i="644"/>
  <c r="AG55" i="644" s="1"/>
  <c r="V54" i="644"/>
  <c r="AG54" i="644" s="1"/>
  <c r="X70" i="644"/>
  <c r="AJ70" i="644" s="1"/>
  <c r="H389" i="813"/>
  <c r="H410" i="813" s="1"/>
  <c r="D389" i="813"/>
  <c r="D410" i="813" s="1"/>
  <c r="I139" i="813"/>
  <c r="I216" i="813" s="1"/>
  <c r="I375" i="813" s="1"/>
  <c r="G216" i="813"/>
  <c r="G375" i="813" s="1"/>
  <c r="D387" i="813"/>
  <c r="M39" i="485"/>
  <c r="M40" i="485" s="1"/>
  <c r="M61" i="485" s="1"/>
  <c r="G387" i="813"/>
  <c r="G408" i="813" s="1"/>
  <c r="E389" i="813"/>
  <c r="E410" i="813" s="1"/>
  <c r="F139" i="813"/>
  <c r="F216" i="813" s="1"/>
  <c r="F375" i="813" s="1"/>
  <c r="G389" i="813"/>
  <c r="G410" i="813" s="1"/>
  <c r="F399" i="815"/>
  <c r="F400" i="815" s="1"/>
  <c r="E387" i="813"/>
  <c r="J140" i="813"/>
  <c r="J387" i="813" s="1"/>
  <c r="J408" i="813" s="1"/>
  <c r="I389" i="813"/>
  <c r="I410" i="813" s="1"/>
  <c r="J130" i="813"/>
  <c r="J389" i="813" s="1"/>
  <c r="J410" i="813" s="1"/>
  <c r="K36" i="485" s="1"/>
  <c r="J139" i="815"/>
  <c r="E216" i="813"/>
  <c r="E375" i="813" s="1"/>
  <c r="H420" i="815"/>
  <c r="H139" i="813"/>
  <c r="H216" i="813" s="1"/>
  <c r="H375" i="813" s="1"/>
  <c r="D216" i="813"/>
  <c r="D375" i="813" s="1"/>
  <c r="H408" i="813"/>
  <c r="H399" i="815"/>
  <c r="H400" i="815" s="1"/>
  <c r="I408" i="813"/>
  <c r="F408" i="813"/>
  <c r="F420" i="813" s="1"/>
  <c r="F399" i="813"/>
  <c r="J121" i="813"/>
  <c r="J129" i="813"/>
  <c r="E420" i="815"/>
  <c r="E399" i="815"/>
  <c r="E400" i="815" s="1"/>
  <c r="D399" i="815"/>
  <c r="J410" i="815"/>
  <c r="J420" i="815" s="1"/>
  <c r="J399" i="815"/>
  <c r="M57" i="485"/>
  <c r="I399" i="815"/>
  <c r="I400" i="815" s="1"/>
  <c r="J129" i="815"/>
  <c r="I420" i="815"/>
  <c r="D420" i="815"/>
  <c r="G410" i="815"/>
  <c r="G420" i="815" s="1"/>
  <c r="G399" i="815"/>
  <c r="G400" i="815" s="1"/>
  <c r="D216" i="815"/>
  <c r="AB56" i="644" l="1"/>
  <c r="AB82" i="644"/>
  <c r="AB81" i="644"/>
  <c r="AB68" i="644"/>
  <c r="AB54" i="644"/>
  <c r="AB84" i="644"/>
  <c r="AB55" i="644"/>
  <c r="AC70" i="644"/>
  <c r="Z70" i="644"/>
  <c r="X69" i="644"/>
  <c r="AJ69" i="644" s="1"/>
  <c r="AB69" i="644"/>
  <c r="AB53" i="644"/>
  <c r="X83" i="644"/>
  <c r="AJ83" i="644" s="1"/>
  <c r="AB83" i="644"/>
  <c r="X67" i="644"/>
  <c r="AJ67" i="644" s="1"/>
  <c r="AB67" i="644"/>
  <c r="X68" i="644"/>
  <c r="AJ68" i="644" s="1"/>
  <c r="V71" i="644"/>
  <c r="AG71" i="644" s="1"/>
  <c r="F15" i="858" s="1"/>
  <c r="X54" i="644"/>
  <c r="AJ54" i="644" s="1"/>
  <c r="X81" i="644"/>
  <c r="AJ81" i="644" s="1"/>
  <c r="X82" i="644"/>
  <c r="AJ82" i="644" s="1"/>
  <c r="X56" i="644"/>
  <c r="AJ56" i="644" s="1"/>
  <c r="V85" i="644"/>
  <c r="AG85" i="644" s="1"/>
  <c r="F17" i="858" s="1"/>
  <c r="X84" i="644"/>
  <c r="AJ84" i="644" s="1"/>
  <c r="V57" i="644"/>
  <c r="AG57" i="644" s="1"/>
  <c r="F13" i="858" s="1"/>
  <c r="X55" i="644"/>
  <c r="AJ55" i="644" s="1"/>
  <c r="X53" i="644"/>
  <c r="AJ53" i="644" s="1"/>
  <c r="H399" i="813"/>
  <c r="H400" i="813" s="1"/>
  <c r="H420" i="813"/>
  <c r="D399" i="813"/>
  <c r="D400" i="813" s="1"/>
  <c r="D408" i="813"/>
  <c r="D420" i="813" s="1"/>
  <c r="M60" i="485"/>
  <c r="E399" i="813"/>
  <c r="E400" i="813" s="1"/>
  <c r="G420" i="813"/>
  <c r="F400" i="813"/>
  <c r="I420" i="813"/>
  <c r="I399" i="813"/>
  <c r="I400" i="813" s="1"/>
  <c r="E408" i="813"/>
  <c r="E420" i="813" s="1"/>
  <c r="J399" i="813"/>
  <c r="G399" i="813"/>
  <c r="G400" i="813" s="1"/>
  <c r="K57" i="485"/>
  <c r="J139" i="813"/>
  <c r="J216" i="813"/>
  <c r="J375" i="813" s="1"/>
  <c r="I36" i="485"/>
  <c r="J420" i="813"/>
  <c r="J216" i="815"/>
  <c r="J375" i="815" s="1"/>
  <c r="D375" i="815"/>
  <c r="D400" i="815" s="1"/>
  <c r="K39" i="485"/>
  <c r="K60" i="485" s="1"/>
  <c r="M41" i="485"/>
  <c r="M42" i="485"/>
  <c r="M45" i="485" s="1"/>
  <c r="AM70" i="644" l="1"/>
  <c r="AD70" i="644"/>
  <c r="AB57" i="644"/>
  <c r="AB85" i="644"/>
  <c r="AC81" i="644"/>
  <c r="Z81" i="644"/>
  <c r="AC82" i="644"/>
  <c r="Z82" i="644"/>
  <c r="AC56" i="644"/>
  <c r="Z56" i="644"/>
  <c r="AC83" i="644"/>
  <c r="Z83" i="644"/>
  <c r="AC84" i="644"/>
  <c r="Z84" i="644"/>
  <c r="AC68" i="644"/>
  <c r="Z68" i="644"/>
  <c r="AC67" i="644"/>
  <c r="Z67" i="644"/>
  <c r="AC54" i="644"/>
  <c r="Z54" i="644"/>
  <c r="AC69" i="644"/>
  <c r="Z69" i="644"/>
  <c r="AC53" i="644"/>
  <c r="Z53" i="644"/>
  <c r="AC55" i="644"/>
  <c r="Z55" i="644"/>
  <c r="AB71" i="644"/>
  <c r="X124" i="66"/>
  <c r="X125" i="66" s="1"/>
  <c r="X71" i="644"/>
  <c r="AJ71" i="644" s="1"/>
  <c r="X85" i="644"/>
  <c r="AJ85" i="644" s="1"/>
  <c r="X57" i="644"/>
  <c r="AJ57" i="644" s="1"/>
  <c r="X36" i="485"/>
  <c r="J400" i="813"/>
  <c r="J400" i="815"/>
  <c r="K40" i="485"/>
  <c r="K61" i="485" s="1"/>
  <c r="M44" i="485"/>
  <c r="J18" i="631" s="1"/>
  <c r="G18" i="631"/>
  <c r="AM53" i="644" l="1"/>
  <c r="AD53" i="644"/>
  <c r="AM83" i="644"/>
  <c r="AD83" i="644"/>
  <c r="AM56" i="644"/>
  <c r="AD56" i="644"/>
  <c r="AM69" i="644"/>
  <c r="AD69" i="644"/>
  <c r="AM67" i="644"/>
  <c r="AD67" i="644"/>
  <c r="AM68" i="644"/>
  <c r="AD68" i="644"/>
  <c r="AM84" i="644"/>
  <c r="AD84" i="644"/>
  <c r="AM55" i="644"/>
  <c r="AD55" i="644"/>
  <c r="AM82" i="644"/>
  <c r="AD82" i="644"/>
  <c r="AM81" i="644"/>
  <c r="AD81" i="644"/>
  <c r="AM54" i="644"/>
  <c r="AD54" i="644"/>
  <c r="AC57" i="644"/>
  <c r="Z57" i="644"/>
  <c r="AC85" i="644"/>
  <c r="Z85" i="644"/>
  <c r="AC71" i="644"/>
  <c r="Z71" i="644"/>
  <c r="Z36" i="485"/>
  <c r="K41" i="485"/>
  <c r="G16" i="631" s="1"/>
  <c r="H18" i="631"/>
  <c r="I57" i="485"/>
  <c r="I39" i="485"/>
  <c r="N36" i="485"/>
  <c r="AM71" i="644" l="1"/>
  <c r="AD71" i="644"/>
  <c r="AM57" i="644"/>
  <c r="AD57" i="644"/>
  <c r="AM85" i="644"/>
  <c r="AD85" i="644"/>
  <c r="G17" i="858"/>
  <c r="P17" i="858"/>
  <c r="R17" i="858" s="1"/>
  <c r="J17" i="858" s="1"/>
  <c r="K17" i="858" s="1"/>
  <c r="X39" i="485"/>
  <c r="X40" i="485" s="1"/>
  <c r="K44" i="485"/>
  <c r="J16" i="631" s="1"/>
  <c r="H16" i="631"/>
  <c r="N57" i="485"/>
  <c r="AB36" i="485"/>
  <c r="W36" i="485"/>
  <c r="K28" i="112"/>
  <c r="AF36" i="485"/>
  <c r="AJ12" i="485" s="1"/>
  <c r="N39" i="485"/>
  <c r="I60" i="485"/>
  <c r="I40" i="485"/>
  <c r="P15" i="858" l="1"/>
  <c r="R15" i="858" s="1"/>
  <c r="J15" i="858" s="1"/>
  <c r="K15" i="858" s="1"/>
  <c r="G15" i="858"/>
  <c r="K50" i="112" a="1"/>
  <c r="K60" i="112" s="1"/>
  <c r="I61" i="485"/>
  <c r="Z39" i="485"/>
  <c r="M28" i="112"/>
  <c r="K29" i="112"/>
  <c r="K13" i="112"/>
  <c r="L28" i="112"/>
  <c r="L29" i="112" s="1"/>
  <c r="L30" i="112" s="1"/>
  <c r="F28" i="112"/>
  <c r="AH36" i="485"/>
  <c r="AD36" i="485"/>
  <c r="W57" i="485"/>
  <c r="Y36" i="485"/>
  <c r="X41" i="485"/>
  <c r="Z40" i="485"/>
  <c r="AB39" i="485"/>
  <c r="N60" i="485"/>
  <c r="W39" i="485"/>
  <c r="N40" i="485"/>
  <c r="N61" i="485" s="1"/>
  <c r="AF39" i="485"/>
  <c r="AJ15" i="485" s="1"/>
  <c r="AO9" i="485" s="1"/>
  <c r="J42" i="485"/>
  <c r="I41" i="485"/>
  <c r="K34" i="112" s="1" a="1"/>
  <c r="K52" i="112" l="1"/>
  <c r="M52" i="112" s="1"/>
  <c r="K50" i="112"/>
  <c r="L50" i="112" s="1"/>
  <c r="K54" i="112"/>
  <c r="F54" i="112" s="1"/>
  <c r="G54" i="112" s="1"/>
  <c r="K51" i="112"/>
  <c r="M51" i="112" s="1"/>
  <c r="K59" i="112"/>
  <c r="L59" i="112" s="1"/>
  <c r="K57" i="112"/>
  <c r="L57" i="112" s="1"/>
  <c r="K56" i="112"/>
  <c r="F56" i="112" s="1"/>
  <c r="K58" i="112"/>
  <c r="L58" i="112" s="1"/>
  <c r="K55" i="112"/>
  <c r="L55" i="112" s="1"/>
  <c r="K53" i="112"/>
  <c r="F53" i="112" s="1"/>
  <c r="K36" i="112"/>
  <c r="K41" i="112"/>
  <c r="K43" i="112"/>
  <c r="K39" i="112"/>
  <c r="K38" i="112"/>
  <c r="L38" i="112" s="1"/>
  <c r="K35" i="112"/>
  <c r="K34" i="112"/>
  <c r="K37" i="112"/>
  <c r="K44" i="112"/>
  <c r="K42" i="112"/>
  <c r="F60" i="112"/>
  <c r="M60" i="112"/>
  <c r="L60" i="112"/>
  <c r="J45" i="485"/>
  <c r="J19" i="631" s="1"/>
  <c r="G19" i="631"/>
  <c r="W60" i="485"/>
  <c r="W40" i="485"/>
  <c r="AH39" i="485"/>
  <c r="AI28" i="485" s="1"/>
  <c r="AD39" i="485"/>
  <c r="Y39" i="485"/>
  <c r="I44" i="485"/>
  <c r="J14" i="631" s="1"/>
  <c r="G14" i="631"/>
  <c r="K40" i="112"/>
  <c r="H28" i="112"/>
  <c r="F29" i="112"/>
  <c r="F13" i="112"/>
  <c r="G28" i="112"/>
  <c r="G29" i="112" s="1"/>
  <c r="G30" i="112" s="1"/>
  <c r="M13" i="112"/>
  <c r="U13" i="112"/>
  <c r="L13" i="112"/>
  <c r="K14" i="112"/>
  <c r="AO10" i="485"/>
  <c r="AR9" i="485"/>
  <c r="K30" i="112"/>
  <c r="M29" i="112"/>
  <c r="K80" i="112"/>
  <c r="AB40" i="485"/>
  <c r="N41" i="485"/>
  <c r="AF40" i="485"/>
  <c r="F58" i="112" l="1"/>
  <c r="F42" i="112" s="1"/>
  <c r="W61" i="485"/>
  <c r="M58" i="112"/>
  <c r="L54" i="112"/>
  <c r="F51" i="112"/>
  <c r="G51" i="112" s="1"/>
  <c r="M55" i="112"/>
  <c r="F50" i="112"/>
  <c r="H50" i="112" s="1"/>
  <c r="M57" i="112"/>
  <c r="L51" i="112"/>
  <c r="M50" i="112"/>
  <c r="F59" i="112"/>
  <c r="H59" i="112" s="1"/>
  <c r="L52" i="112"/>
  <c r="F52" i="112"/>
  <c r="H52" i="112" s="1"/>
  <c r="M53" i="112"/>
  <c r="K62" i="112"/>
  <c r="L62" i="112" s="1"/>
  <c r="L63" i="112" s="1"/>
  <c r="L53" i="112"/>
  <c r="L56" i="112"/>
  <c r="M56" i="112"/>
  <c r="F57" i="112"/>
  <c r="G57" i="112" s="1"/>
  <c r="F55" i="112"/>
  <c r="M43" i="112"/>
  <c r="K17" i="631" s="1"/>
  <c r="L43" i="112"/>
  <c r="M36" i="112"/>
  <c r="K8" i="631" s="1"/>
  <c r="L36" i="112"/>
  <c r="G60" i="112"/>
  <c r="F44" i="112"/>
  <c r="H60" i="112"/>
  <c r="H53" i="112"/>
  <c r="G53" i="112"/>
  <c r="L44" i="112"/>
  <c r="M44" i="112"/>
  <c r="K18" i="631" s="1"/>
  <c r="L41" i="112"/>
  <c r="M41" i="112"/>
  <c r="K15" i="631" s="1"/>
  <c r="M42" i="112"/>
  <c r="K16" i="631" s="1"/>
  <c r="L42" i="112"/>
  <c r="M37" i="112"/>
  <c r="K9" i="631" s="1"/>
  <c r="L37" i="112"/>
  <c r="M39" i="112"/>
  <c r="K13" i="631" s="1"/>
  <c r="L39" i="112"/>
  <c r="L34" i="112"/>
  <c r="M34" i="112"/>
  <c r="K5" i="631" s="1"/>
  <c r="L35" i="112"/>
  <c r="M35" i="112"/>
  <c r="K6" i="631" s="1"/>
  <c r="AF44" i="485"/>
  <c r="AJ16" i="485"/>
  <c r="G20" i="631"/>
  <c r="N44" i="485"/>
  <c r="L40" i="112"/>
  <c r="M40" i="112"/>
  <c r="K14" i="631" s="1"/>
  <c r="AL28" i="485"/>
  <c r="AI31" i="485"/>
  <c r="AD40" i="485"/>
  <c r="AH40" i="485"/>
  <c r="AH44" i="485" s="1"/>
  <c r="W41" i="485"/>
  <c r="Y40" i="485"/>
  <c r="H13" i="112"/>
  <c r="G13" i="112"/>
  <c r="H29" i="112"/>
  <c r="F14" i="112"/>
  <c r="F30" i="112"/>
  <c r="K81" i="112"/>
  <c r="K86" i="112"/>
  <c r="L86" i="112" s="1"/>
  <c r="L80" i="112"/>
  <c r="H19" i="631"/>
  <c r="AR10" i="485"/>
  <c r="K15" i="112"/>
  <c r="M14" i="112"/>
  <c r="U14" i="112"/>
  <c r="L14" i="112"/>
  <c r="K73" i="112"/>
  <c r="H14" i="631"/>
  <c r="M30" i="112"/>
  <c r="F40" i="112"/>
  <c r="G56" i="112"/>
  <c r="H56" i="112"/>
  <c r="G58" i="112" l="1"/>
  <c r="G13" i="858"/>
  <c r="P13" i="858"/>
  <c r="H58" i="112"/>
  <c r="H51" i="112"/>
  <c r="G59" i="112"/>
  <c r="F43" i="112"/>
  <c r="H43" i="112" s="1"/>
  <c r="K63" i="112"/>
  <c r="G52" i="112"/>
  <c r="G50" i="112"/>
  <c r="F62" i="112"/>
  <c r="G62" i="112" s="1"/>
  <c r="G63" i="112" s="1"/>
  <c r="K64" i="112"/>
  <c r="M62" i="112"/>
  <c r="M74" i="112" s="1"/>
  <c r="F41" i="112"/>
  <c r="H41" i="112" s="1"/>
  <c r="K46" i="112"/>
  <c r="M46" i="112" s="1"/>
  <c r="H57" i="112"/>
  <c r="H55" i="112"/>
  <c r="F39" i="112"/>
  <c r="G39" i="112" s="1"/>
  <c r="G55" i="112"/>
  <c r="G44" i="112"/>
  <c r="H44" i="112"/>
  <c r="G42" i="112"/>
  <c r="H42" i="112"/>
  <c r="G29" i="631"/>
  <c r="W44" i="485"/>
  <c r="Y41" i="485"/>
  <c r="K88" i="112"/>
  <c r="L88" i="112" s="1"/>
  <c r="L81" i="112"/>
  <c r="K87" i="112"/>
  <c r="L87" i="112" s="1"/>
  <c r="AI29" i="485"/>
  <c r="H14" i="112"/>
  <c r="G14" i="112"/>
  <c r="H20" i="631"/>
  <c r="K75" i="112"/>
  <c r="L75" i="112" s="1"/>
  <c r="L73" i="112"/>
  <c r="K74" i="112"/>
  <c r="H73" i="112" s="1"/>
  <c r="H30" i="112"/>
  <c r="K29" i="631" s="1"/>
  <c r="F15" i="112"/>
  <c r="AL31" i="485"/>
  <c r="H40" i="112"/>
  <c r="G40" i="112"/>
  <c r="M15" i="112"/>
  <c r="K20" i="631" s="1"/>
  <c r="L15" i="112"/>
  <c r="J20" i="631"/>
  <c r="R13" i="858" l="1"/>
  <c r="J13" i="858" s="1"/>
  <c r="K13" i="858" s="1"/>
  <c r="P18" i="858"/>
  <c r="G41" i="112"/>
  <c r="G43" i="112"/>
  <c r="H62" i="112"/>
  <c r="F63" i="112"/>
  <c r="L46" i="112"/>
  <c r="H39" i="112"/>
  <c r="AL29" i="485"/>
  <c r="H15" i="112"/>
  <c r="G15" i="112"/>
  <c r="J29" i="631"/>
  <c r="H29" i="631"/>
  <c r="H71" i="112"/>
  <c r="H74" i="112"/>
  <c r="L74" i="112"/>
  <c r="H72" i="112"/>
  <c r="K89" i="112"/>
  <c r="L89" i="112" s="1"/>
  <c r="F18" i="858" l="1"/>
  <c r="G18" i="858" s="1"/>
  <c r="P19" i="858"/>
  <c r="R18" i="858"/>
  <c r="J18" i="858" s="1"/>
  <c r="K18" i="858" s="1"/>
  <c r="R19" i="858" l="1"/>
  <c r="J19" i="858" s="1"/>
  <c r="K19" i="858" s="1"/>
  <c r="F19" i="858"/>
  <c r="G19" i="858" s="1"/>
  <c r="P24" i="858"/>
  <c r="F24" i="858" l="1"/>
  <c r="G24" i="858" s="1"/>
  <c r="R24" i="858"/>
  <c r="J24" i="858" s="1"/>
  <c r="K24" i="85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rarios</author>
  </authors>
  <commentList>
    <comment ref="F74" authorId="0" shapeId="0" xr:uid="{7EAAE85D-CFE4-4AEF-8E74-AEEEF0250089}">
      <text>
        <r>
          <rPr>
            <b/>
            <sz val="8"/>
            <color indexed="81"/>
            <rFont val="Tahoma"/>
            <family val="2"/>
          </rPr>
          <t>rarios:</t>
        </r>
        <r>
          <rPr>
            <sz val="8"/>
            <color indexed="81"/>
            <rFont val="Tahoma"/>
            <family val="2"/>
          </rPr>
          <t xml:space="preserve">
PRECIO SE INDEXA Y VARIA</t>
        </r>
      </text>
    </comment>
    <comment ref="F76" authorId="0" shapeId="0" xr:uid="{AA3E25D5-C643-4F31-A195-FC9395897B5C}">
      <text>
        <r>
          <rPr>
            <b/>
            <sz val="8"/>
            <color indexed="81"/>
            <rFont val="Tahoma"/>
            <family val="2"/>
          </rPr>
          <t>rarios:</t>
        </r>
        <r>
          <rPr>
            <sz val="8"/>
            <color indexed="81"/>
            <rFont val="Tahoma"/>
            <family val="2"/>
          </rPr>
          <t xml:space="preserve">
PRECIO VARIA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<sst xmlns="http://schemas.openxmlformats.org/spreadsheetml/2006/main" count="21185" uniqueCount="2196">
  <si>
    <t xml:space="preserve">Participación del consumo de energía de las categorías sin medición horaria en el bloque horario </t>
  </si>
  <si>
    <t>Nuevos Cargos Tarifarios por Generación en p</t>
  </si>
  <si>
    <t>Cargos Tarifarios por Generación en p-1</t>
  </si>
  <si>
    <t>Cargos BASE por Generación en p-2</t>
  </si>
  <si>
    <t>CALCULO DEL FACTOR DE ACTUALIZACION DEL CARGO POR PERDIDAS EN TRANSMISION</t>
  </si>
  <si>
    <t>AT531</t>
  </si>
  <si>
    <r>
      <t xml:space="preserve">REQUERIMIENTOS DE ENERGIA PARA EL PERIODO </t>
    </r>
    <r>
      <rPr>
        <b/>
        <sz val="11"/>
        <rFont val="Times New Roman"/>
        <family val="1"/>
      </rPr>
      <t>p</t>
    </r>
  </si>
  <si>
    <t>Energía Transmitida</t>
  </si>
  <si>
    <t>Factor de Ajuste</t>
  </si>
  <si>
    <t>Distribución</t>
  </si>
  <si>
    <t>Transmisión</t>
  </si>
  <si>
    <t>Generación</t>
  </si>
  <si>
    <t>Comercialización</t>
  </si>
  <si>
    <t>Demanda Facturada</t>
  </si>
  <si>
    <t>Costo de las Pérdidas en Transmisión</t>
  </si>
  <si>
    <t>Precio Mensual de la Potencia Contratada (B/./KW/Mes)</t>
  </si>
  <si>
    <t xml:space="preserve">Factor de la tasa de interés </t>
  </si>
  <si>
    <t>AT101 / AT801</t>
  </si>
  <si>
    <t>AT103 / AT801</t>
  </si>
  <si>
    <t>AT201 / AT801</t>
  </si>
  <si>
    <t>AT304 / AT801</t>
  </si>
  <si>
    <t>AT504 / AT801</t>
  </si>
  <si>
    <t>AT404 / AT801</t>
  </si>
  <si>
    <t>AT RES</t>
  </si>
  <si>
    <t xml:space="preserve">CARGOS POR PERDIDAS EN DISTRIBUCION </t>
  </si>
  <si>
    <t>CARGO POR PERDIDAS EN DISTRIBUCION</t>
  </si>
  <si>
    <t>CALCULO DEL FACTOR DE ACTUALIZACION DEL CARGO POR PERDIDAS EN DISTRIBUCION</t>
  </si>
  <si>
    <t>Cargo por costo de conexión</t>
  </si>
  <si>
    <t>Cargo por costo de reconexión</t>
  </si>
  <si>
    <t>Factor de Actualización de Cargo de redes de Distribución, cargo de conexión y cargo de reconexión</t>
  </si>
  <si>
    <t xml:space="preserve">PARTICIPACIÓN DEL CONSUMO DE ENERGÍA DE LAS CATEGORÍAS SIN MEDICIÓN HORARIA EN EL BLOQUE HORARIO </t>
  </si>
  <si>
    <t>AT305</t>
  </si>
  <si>
    <t>AT306</t>
  </si>
  <si>
    <t>AT405</t>
  </si>
  <si>
    <t>AT406</t>
  </si>
  <si>
    <t>AT505</t>
  </si>
  <si>
    <t>AT506</t>
  </si>
  <si>
    <t xml:space="preserve">Nuevos Cargos por Comercialización en p </t>
  </si>
  <si>
    <t>NO ABASTECIDOS POR OTRO AGENTE</t>
  </si>
  <si>
    <t xml:space="preserve">PROYECCION DE CANTIDAD DE CLIENTES </t>
  </si>
  <si>
    <t>PROYECCION DE DEMANDA DE CLIENTES NO ABASTECIDOS POR OTRO AGENTE</t>
  </si>
  <si>
    <t xml:space="preserve">CANTIDAD DE CLIENTES </t>
  </si>
  <si>
    <t>VENTAS DE ENERGÍA FACTURADAS A CLIENTES NO ABASTECIDOS POR OTRO AGENTE</t>
  </si>
  <si>
    <t>DEMANDA FACTURADA A LOS CLIENTES NO ABASTECIDOS POR OTRO AGENTE</t>
  </si>
  <si>
    <r>
      <t xml:space="preserve">INGRESOS ESTIMADOS PARA </t>
    </r>
    <r>
      <rPr>
        <b/>
        <sz val="11"/>
        <rFont val="Times New Roman"/>
        <family val="1"/>
      </rPr>
      <t>p</t>
    </r>
    <r>
      <rPr>
        <sz val="11"/>
        <rFont val="Times New Roman"/>
        <family val="1"/>
      </rPr>
      <t xml:space="preserve"> APLICANDO LOS NUEVOS CARGOS TARIFARIOS DE COMERCIALIZACION EN LA TARIFA</t>
    </r>
  </si>
  <si>
    <r>
      <t xml:space="preserve">INGRESOS ESTIMADOS PARA </t>
    </r>
    <r>
      <rPr>
        <b/>
        <sz val="11"/>
        <rFont val="Times New Roman"/>
        <family val="1"/>
      </rPr>
      <t>p</t>
    </r>
    <r>
      <rPr>
        <sz val="11"/>
        <rFont val="Times New Roman"/>
        <family val="1"/>
      </rPr>
      <t xml:space="preserve"> APLICANDO LOS CARGOS  TARIFARIOS DE COMERCIALIZACION EN LA TARIFA DE </t>
    </r>
    <r>
      <rPr>
        <b/>
        <sz val="11"/>
        <rFont val="Times New Roman"/>
        <family val="1"/>
      </rPr>
      <t>p-1</t>
    </r>
  </si>
  <si>
    <r>
      <t xml:space="preserve">INGRESOS ESTIMADOS PARA </t>
    </r>
    <r>
      <rPr>
        <b/>
        <sz val="11"/>
        <rFont val="Times New Roman"/>
        <family val="1"/>
      </rPr>
      <t>p</t>
    </r>
    <r>
      <rPr>
        <sz val="11"/>
        <rFont val="Times New Roman"/>
        <family val="1"/>
      </rPr>
      <t xml:space="preserve"> APLICANDO LOS NUEVOS CARGOS TARIFARIOS DE DISTRIBUCION EN LA TARIFA</t>
    </r>
  </si>
  <si>
    <r>
      <t xml:space="preserve">INGRESOS ESTIMADOS PARA </t>
    </r>
    <r>
      <rPr>
        <b/>
        <sz val="11"/>
        <rFont val="Times New Roman"/>
        <family val="1"/>
      </rPr>
      <t>p</t>
    </r>
    <r>
      <rPr>
        <sz val="11"/>
        <rFont val="Times New Roman"/>
        <family val="1"/>
      </rPr>
      <t xml:space="preserve"> APLICANDO LOS CARGOS  TARIFARIOS DE DISTRIBUCION EN LA TARIFA DE </t>
    </r>
    <r>
      <rPr>
        <b/>
        <sz val="11"/>
        <rFont val="Times New Roman"/>
        <family val="1"/>
      </rPr>
      <t>p-1</t>
    </r>
  </si>
  <si>
    <r>
      <t xml:space="preserve">INGRESOS ESTIMADOS PARA </t>
    </r>
    <r>
      <rPr>
        <b/>
        <sz val="11"/>
        <rFont val="Times New Roman"/>
        <family val="1"/>
      </rPr>
      <t>p</t>
    </r>
    <r>
      <rPr>
        <sz val="11"/>
        <rFont val="Times New Roman"/>
        <family val="1"/>
      </rPr>
      <t xml:space="preserve"> APLICANDO LOS NUEVOS CARGOS TARIFARIOS DE PERDIDAS EN DISTRIBUCION EN LA TARIFA</t>
    </r>
  </si>
  <si>
    <r>
      <t xml:space="preserve">INGRESOS ESTIMADOS PARA </t>
    </r>
    <r>
      <rPr>
        <b/>
        <sz val="11"/>
        <rFont val="Times New Roman"/>
        <family val="1"/>
      </rPr>
      <t>p</t>
    </r>
    <r>
      <rPr>
        <sz val="11"/>
        <rFont val="Times New Roman"/>
        <family val="1"/>
      </rPr>
      <t xml:space="preserve"> APLICANDO LOS CARGOS  TARIFARIOS DE PERDIDAS EN DISTRIBUCION EN LA TARIFA DE </t>
    </r>
    <r>
      <rPr>
        <b/>
        <sz val="11"/>
        <rFont val="Times New Roman"/>
        <family val="1"/>
      </rPr>
      <t>p-1</t>
    </r>
  </si>
  <si>
    <r>
      <t xml:space="preserve">INGRESOS ESTIMADOS PARA </t>
    </r>
    <r>
      <rPr>
        <b/>
        <sz val="11"/>
        <rFont val="Times New Roman"/>
        <family val="1"/>
      </rPr>
      <t>p</t>
    </r>
    <r>
      <rPr>
        <sz val="11"/>
        <rFont val="Times New Roman"/>
        <family val="1"/>
      </rPr>
      <t xml:space="preserve"> APLICANDO LOS NUEVOS CARGOS TARIFARIOS DE TRANSMISION EN LA TARIFA</t>
    </r>
  </si>
  <si>
    <r>
      <t>INGRESOS ESTIMADOS PARA</t>
    </r>
    <r>
      <rPr>
        <b/>
        <sz val="11"/>
        <rFont val="Times New Roman"/>
        <family val="1"/>
      </rPr>
      <t xml:space="preserve"> p </t>
    </r>
    <r>
      <rPr>
        <sz val="11"/>
        <rFont val="Times New Roman"/>
        <family val="1"/>
      </rPr>
      <t xml:space="preserve">APLICANDO LOS CARGOS TARIFARIOS DE TRANSMISIÓN DE </t>
    </r>
    <r>
      <rPr>
        <b/>
        <sz val="11"/>
        <rFont val="Times New Roman"/>
        <family val="1"/>
      </rPr>
      <t>p-1</t>
    </r>
    <r>
      <rPr>
        <sz val="11"/>
        <rFont val="Times New Roman"/>
        <family val="1"/>
      </rPr>
      <t xml:space="preserve"> A LA PROYECCION DE VENTAS DE </t>
    </r>
    <r>
      <rPr>
        <b/>
        <sz val="11"/>
        <rFont val="Times New Roman"/>
        <family val="1"/>
      </rPr>
      <t>p</t>
    </r>
  </si>
  <si>
    <r>
      <t xml:space="preserve">INGRESOS ESTIMADOS PARA </t>
    </r>
    <r>
      <rPr>
        <b/>
        <sz val="11"/>
        <rFont val="Times New Roman"/>
        <family val="1"/>
      </rPr>
      <t>p-2</t>
    </r>
    <r>
      <rPr>
        <sz val="11"/>
        <rFont val="Times New Roman"/>
        <family val="1"/>
      </rPr>
      <t xml:space="preserve"> APLICANDO LOS CARGOS BASE DE TRANSMISIÓN DE </t>
    </r>
    <r>
      <rPr>
        <b/>
        <sz val="11"/>
        <rFont val="Times New Roman"/>
        <family val="1"/>
      </rPr>
      <t>p-2</t>
    </r>
    <r>
      <rPr>
        <sz val="11"/>
        <rFont val="Times New Roman"/>
        <family val="1"/>
      </rPr>
      <t xml:space="preserve"> A LAS VENTAS REALES DE </t>
    </r>
    <r>
      <rPr>
        <b/>
        <sz val="11"/>
        <rFont val="Times New Roman"/>
        <family val="1"/>
      </rPr>
      <t>p-2</t>
    </r>
  </si>
  <si>
    <r>
      <t xml:space="preserve">INFORMACION PARA ACTUALIZAR CARGO POR PERDIDAS EN TRANSMISION - DATOS RELACIONADOS A CLIENTES NO ABASTECIDOS POR OTRO AGENTE PARA </t>
    </r>
    <r>
      <rPr>
        <b/>
        <sz val="11"/>
        <rFont val="Times New Roman"/>
        <family val="1"/>
      </rPr>
      <t>p</t>
    </r>
  </si>
  <si>
    <r>
      <t xml:space="preserve">INGRESOS ESTIMADOS PARA </t>
    </r>
    <r>
      <rPr>
        <b/>
        <sz val="11"/>
        <rFont val="Times New Roman"/>
        <family val="1"/>
      </rPr>
      <t>p</t>
    </r>
    <r>
      <rPr>
        <sz val="11"/>
        <rFont val="Times New Roman"/>
        <family val="1"/>
      </rPr>
      <t xml:space="preserve"> APLICANDO LOS NUEVOS CARGOS TARIFARIOS DE PERDIDAS EN TRANSMISION EN LA TARIFA</t>
    </r>
  </si>
  <si>
    <r>
      <t>INGRESOS ESTIMADOS PARA</t>
    </r>
    <r>
      <rPr>
        <b/>
        <sz val="11"/>
        <rFont val="Times New Roman"/>
        <family val="1"/>
      </rPr>
      <t xml:space="preserve"> p </t>
    </r>
    <r>
      <rPr>
        <sz val="11"/>
        <rFont val="Times New Roman"/>
        <family val="1"/>
      </rPr>
      <t xml:space="preserve">APLICANDO LOS CARGOS TARIFARIOS DE PERDIDAS EN TRANSMISIÓN DE </t>
    </r>
    <r>
      <rPr>
        <b/>
        <sz val="11"/>
        <rFont val="Times New Roman"/>
        <family val="1"/>
      </rPr>
      <t>p-1</t>
    </r>
    <r>
      <rPr>
        <sz val="11"/>
        <rFont val="Times New Roman"/>
        <family val="1"/>
      </rPr>
      <t xml:space="preserve"> A LA PROYECCION DE VENTAS DE </t>
    </r>
    <r>
      <rPr>
        <b/>
        <sz val="11"/>
        <rFont val="Times New Roman"/>
        <family val="1"/>
      </rPr>
      <t>p</t>
    </r>
  </si>
  <si>
    <r>
      <t xml:space="preserve">INGRESOS ESTIMADOS PARA </t>
    </r>
    <r>
      <rPr>
        <b/>
        <sz val="11"/>
        <rFont val="Times New Roman"/>
        <family val="1"/>
      </rPr>
      <t>p-2</t>
    </r>
    <r>
      <rPr>
        <sz val="11"/>
        <rFont val="Times New Roman"/>
        <family val="1"/>
      </rPr>
      <t xml:space="preserve"> APLICANDO LOS CARGOS BASE DE PERDIDAS EN TRANSMISIÓN DE </t>
    </r>
    <r>
      <rPr>
        <b/>
        <sz val="11"/>
        <rFont val="Times New Roman"/>
        <family val="1"/>
      </rPr>
      <t>p-2</t>
    </r>
    <r>
      <rPr>
        <sz val="11"/>
        <rFont val="Times New Roman"/>
        <family val="1"/>
      </rPr>
      <t xml:space="preserve"> A LAS VENTAS REALES DE </t>
    </r>
    <r>
      <rPr>
        <b/>
        <sz val="11"/>
        <rFont val="Times New Roman"/>
        <family val="1"/>
      </rPr>
      <t>p-2</t>
    </r>
  </si>
  <si>
    <r>
      <t xml:space="preserve">INFORMACION PARA ACTUALIZAR CARGO POR PERDIDAS DE ENERGIA EN TRANSMISION - DATOS RELACIONADOS A CLIENTES NO ABASTECIDOS POR OTRO AGENTE PARA </t>
    </r>
    <r>
      <rPr>
        <b/>
        <sz val="11"/>
        <rFont val="Times New Roman"/>
        <family val="1"/>
      </rPr>
      <t>p-2</t>
    </r>
  </si>
  <si>
    <r>
      <t xml:space="preserve">INFORMACION PARA ACTUALIZAR CARGO POR GENERACION - DATOS RELACIONADOS A CLIENTES NO ABASTECIDOS POR OTRO AGENTE PARA </t>
    </r>
    <r>
      <rPr>
        <b/>
        <sz val="11"/>
        <rFont val="Times New Roman"/>
        <family val="1"/>
      </rPr>
      <t>p</t>
    </r>
  </si>
  <si>
    <r>
      <t xml:space="preserve">INGRESOS ESTIMADOS PARA </t>
    </r>
    <r>
      <rPr>
        <b/>
        <sz val="11"/>
        <rFont val="Times New Roman"/>
        <family val="1"/>
      </rPr>
      <t>p</t>
    </r>
    <r>
      <rPr>
        <sz val="11"/>
        <rFont val="Times New Roman"/>
        <family val="1"/>
      </rPr>
      <t xml:space="preserve"> APLICANDO LOS NUEVOS CARGOS TARIFARIOS DE GENERACION EN LA TARIFA</t>
    </r>
  </si>
  <si>
    <r>
      <t>INGRESOS ESTIMADOS PARA</t>
    </r>
    <r>
      <rPr>
        <b/>
        <sz val="11"/>
        <rFont val="Times New Roman"/>
        <family val="1"/>
      </rPr>
      <t xml:space="preserve"> p </t>
    </r>
    <r>
      <rPr>
        <sz val="11"/>
        <rFont val="Times New Roman"/>
        <family val="1"/>
      </rPr>
      <t xml:space="preserve">APLICANDO LOS CARGOS TARIFARIOS DE GENERACION DE </t>
    </r>
    <r>
      <rPr>
        <b/>
        <sz val="11"/>
        <rFont val="Times New Roman"/>
        <family val="1"/>
      </rPr>
      <t>p-1</t>
    </r>
    <r>
      <rPr>
        <sz val="11"/>
        <rFont val="Times New Roman"/>
        <family val="1"/>
      </rPr>
      <t xml:space="preserve"> A LA PROYECCION DE VENTAS DE </t>
    </r>
    <r>
      <rPr>
        <b/>
        <sz val="11"/>
        <rFont val="Times New Roman"/>
        <family val="1"/>
      </rPr>
      <t>p</t>
    </r>
  </si>
  <si>
    <r>
      <t xml:space="preserve">INGRESOS ESTIMADOS PARA </t>
    </r>
    <r>
      <rPr>
        <b/>
        <sz val="11"/>
        <rFont val="Times New Roman"/>
        <family val="1"/>
      </rPr>
      <t>p-2</t>
    </r>
    <r>
      <rPr>
        <sz val="11"/>
        <rFont val="Times New Roman"/>
        <family val="1"/>
      </rPr>
      <t xml:space="preserve"> APLICANDO LOS CARGOS BASE DE GENERACION DE </t>
    </r>
    <r>
      <rPr>
        <b/>
        <sz val="11"/>
        <rFont val="Times New Roman"/>
        <family val="1"/>
      </rPr>
      <t>p-2</t>
    </r>
    <r>
      <rPr>
        <sz val="11"/>
        <rFont val="Times New Roman"/>
        <family val="1"/>
      </rPr>
      <t xml:space="preserve"> A LAS VENTAS REALES DE </t>
    </r>
    <r>
      <rPr>
        <b/>
        <sz val="11"/>
        <rFont val="Times New Roman"/>
        <family val="1"/>
      </rPr>
      <t>p-2</t>
    </r>
  </si>
  <si>
    <r>
      <t xml:space="preserve">INFORMACION PARA ACTUALIZAR CARGO POR GENERACION - DATOS RELACIONADOS A CLIENTES NO ABASTECIDOS POR OTRO AGENTE PARA </t>
    </r>
    <r>
      <rPr>
        <b/>
        <sz val="11"/>
        <rFont val="Times New Roman"/>
        <family val="1"/>
      </rPr>
      <t>p-2</t>
    </r>
  </si>
  <si>
    <r>
      <t xml:space="preserve">CONSUMO DE ENERGIA DE ALUMBRADO PUBLICO PARA  </t>
    </r>
    <r>
      <rPr>
        <b/>
        <sz val="11"/>
        <rFont val="Times New Roman"/>
        <family val="1"/>
      </rPr>
      <t>p</t>
    </r>
  </si>
  <si>
    <r>
      <t xml:space="preserve">INGRESOS ESTIMADOS PARA </t>
    </r>
    <r>
      <rPr>
        <b/>
        <sz val="11"/>
        <rFont val="Times New Roman"/>
        <family val="1"/>
      </rPr>
      <t>p</t>
    </r>
    <r>
      <rPr>
        <sz val="11"/>
        <rFont val="Times New Roman"/>
        <family val="1"/>
      </rPr>
      <t xml:space="preserve"> APLICANDO LOS NUEVOS CARGOS TARIFARIOS DE ALUMBRADO PUBLICO EN LA TARIFA</t>
    </r>
  </si>
  <si>
    <r>
      <t xml:space="preserve">INGRESOS ESTIMADOS APLICANDO LOS CARGOS BASE DE TRANSMISION DE </t>
    </r>
    <r>
      <rPr>
        <b/>
        <sz val="11"/>
        <rFont val="Times New Roman"/>
        <family val="1"/>
      </rPr>
      <t>p-1</t>
    </r>
    <r>
      <rPr>
        <sz val="11"/>
        <rFont val="Times New Roman"/>
        <family val="1"/>
      </rPr>
      <t xml:space="preserve"> A LA PROYECCION DE VENTAS PARA </t>
    </r>
    <r>
      <rPr>
        <b/>
        <sz val="11"/>
        <rFont val="Times New Roman"/>
        <family val="1"/>
      </rPr>
      <t>p</t>
    </r>
    <r>
      <rPr>
        <sz val="11"/>
        <rFont val="Times New Roman"/>
        <family val="1"/>
      </rPr>
      <t xml:space="preserve"> </t>
    </r>
  </si>
  <si>
    <r>
      <t xml:space="preserve">INGRESOS ESTIMADOS APLICANDO LOS CARGOS BASE DE PERDIDAS EN TRANSMISION DE </t>
    </r>
    <r>
      <rPr>
        <b/>
        <sz val="11"/>
        <rFont val="Times New Roman"/>
        <family val="1"/>
      </rPr>
      <t>p-1</t>
    </r>
    <r>
      <rPr>
        <sz val="11"/>
        <rFont val="Times New Roman"/>
        <family val="1"/>
      </rPr>
      <t xml:space="preserve"> A LA PROYECCION DE VENTAS PARA </t>
    </r>
    <r>
      <rPr>
        <b/>
        <sz val="11"/>
        <rFont val="Times New Roman"/>
        <family val="1"/>
      </rPr>
      <t>p</t>
    </r>
    <r>
      <rPr>
        <sz val="11"/>
        <rFont val="Times New Roman"/>
        <family val="1"/>
      </rPr>
      <t xml:space="preserve"> </t>
    </r>
  </si>
  <si>
    <r>
      <t xml:space="preserve">INGRESOS ESTIMADOS APLICANDO LOS CARGOS BASE DE GENERACION DE </t>
    </r>
    <r>
      <rPr>
        <b/>
        <sz val="11"/>
        <rFont val="Times New Roman"/>
        <family val="1"/>
      </rPr>
      <t>p-1</t>
    </r>
    <r>
      <rPr>
        <sz val="11"/>
        <rFont val="Times New Roman"/>
        <family val="1"/>
      </rPr>
      <t xml:space="preserve"> A LA PROYECCION DE VENTAS PARA </t>
    </r>
    <r>
      <rPr>
        <b/>
        <sz val="11"/>
        <rFont val="Times New Roman"/>
        <family val="1"/>
      </rPr>
      <t>p</t>
    </r>
    <r>
      <rPr>
        <sz val="11"/>
        <rFont val="Times New Roman"/>
        <family val="1"/>
      </rPr>
      <t xml:space="preserve"> </t>
    </r>
  </si>
  <si>
    <r>
      <t xml:space="preserve">INGRESOS ESTIMADOS APLICANDO LOS CARGOS TARIFARIOS DE ALUMBRADO PUBLICO DE </t>
    </r>
    <r>
      <rPr>
        <b/>
        <sz val="11"/>
        <rFont val="Times New Roman"/>
        <family val="1"/>
      </rPr>
      <t>p-1</t>
    </r>
    <r>
      <rPr>
        <sz val="11"/>
        <rFont val="Times New Roman"/>
        <family val="1"/>
      </rPr>
      <t xml:space="preserve"> A LA PROYECCION DE VENTAS PARA </t>
    </r>
    <r>
      <rPr>
        <b/>
        <sz val="11"/>
        <rFont val="Times New Roman"/>
        <family val="1"/>
      </rPr>
      <t>p</t>
    </r>
    <r>
      <rPr>
        <sz val="11"/>
        <rFont val="Times New Roman"/>
        <family val="1"/>
      </rPr>
      <t xml:space="preserve"> </t>
    </r>
  </si>
  <si>
    <r>
      <t xml:space="preserve">CONSUMO DE ENERGIA DEL ALUMBRADO PUBLICO PARA </t>
    </r>
    <r>
      <rPr>
        <b/>
        <sz val="11"/>
        <rFont val="Times New Roman"/>
        <family val="1"/>
      </rPr>
      <t>p-2</t>
    </r>
  </si>
  <si>
    <r>
      <t xml:space="preserve">PROYECCION DE CANTIDAD DE CLIENTES PARA EL SEMESTRE </t>
    </r>
    <r>
      <rPr>
        <b/>
        <sz val="11"/>
        <rFont val="Times New Roman"/>
        <family val="1"/>
      </rPr>
      <t>p</t>
    </r>
  </si>
  <si>
    <r>
      <t xml:space="preserve">PROYECCION DE VENTAS DE ENERGIA PARA EL SEMESTRE </t>
    </r>
    <r>
      <rPr>
        <b/>
        <sz val="11"/>
        <rFont val="Times New Roman"/>
        <family val="1"/>
      </rPr>
      <t>p</t>
    </r>
  </si>
  <si>
    <r>
      <t xml:space="preserve">PROYECCION DE DEMANDA PARA EL SEMESTRE </t>
    </r>
    <r>
      <rPr>
        <b/>
        <sz val="11"/>
        <rFont val="Times New Roman"/>
        <family val="1"/>
      </rPr>
      <t>p</t>
    </r>
  </si>
  <si>
    <r>
      <t xml:space="preserve">CANTIDAD DE CLIENTES EN EL SEMESTRE </t>
    </r>
    <r>
      <rPr>
        <b/>
        <sz val="11"/>
        <rFont val="Times New Roman"/>
        <family val="1"/>
      </rPr>
      <t>p-2</t>
    </r>
  </si>
  <si>
    <r>
      <t xml:space="preserve">VENTAS DE ENERGIA FACTURADAS EN EL SEMESTRE </t>
    </r>
    <r>
      <rPr>
        <b/>
        <sz val="11"/>
        <rFont val="Times New Roman"/>
        <family val="1"/>
      </rPr>
      <t>p-2</t>
    </r>
  </si>
  <si>
    <r>
      <t xml:space="preserve">DEMANDA FACTURADA EN EL SEMESTRE </t>
    </r>
    <r>
      <rPr>
        <b/>
        <sz val="11"/>
        <rFont val="Times New Roman"/>
        <family val="1"/>
      </rPr>
      <t>p-2</t>
    </r>
  </si>
  <si>
    <t>SEMESTRE</t>
  </si>
  <si>
    <t>DATOS RELACIONADOS A LOS CLIENTES NO ABASTECIDOS POR OTRO AGENTE</t>
  </si>
  <si>
    <t>Cargos por Comercialización en p-1</t>
  </si>
  <si>
    <t>Sodio 250</t>
  </si>
  <si>
    <t>Sodio 200</t>
  </si>
  <si>
    <t>Sodio 150</t>
  </si>
  <si>
    <t>Sodio 100</t>
  </si>
  <si>
    <t>Sodio 70</t>
  </si>
  <si>
    <t>Cantidad Acumulada de Luminarias Existentes al Inicio</t>
  </si>
  <si>
    <t>Cantidad de Luminarias Instaladas</t>
  </si>
  <si>
    <t xml:space="preserve">Cantidad de Luminarias Retiradas </t>
  </si>
  <si>
    <t>Alumbrado Público (Viene FORM AT602)</t>
  </si>
  <si>
    <t>Alumbrado Público (Viene FORM AT622)</t>
  </si>
  <si>
    <t>AT821- Clientes</t>
  </si>
  <si>
    <t>AT821- Energía</t>
  </si>
  <si>
    <t>AT821- Demanda</t>
  </si>
  <si>
    <t>AT104</t>
  </si>
  <si>
    <t>AT101</t>
  </si>
  <si>
    <t>AT102</t>
  </si>
  <si>
    <t>AT103</t>
  </si>
  <si>
    <t>CALCULO DEL FACTOR DE ACTUALIZACION DE LOS CARGOS POR COMERCIALIZACION, DISTRIBUCION Y SERVICIO DE ALUMBRADO PUBLICO</t>
  </si>
  <si>
    <t>CALCULO DEL FACTOR DE ACTUALIZACION DE LOS CARGOS POR GENERACION EN HORAS DE PUNTA</t>
  </si>
  <si>
    <t>AT500-En Punta</t>
  </si>
  <si>
    <t>AT500-Fuera de Punta</t>
  </si>
  <si>
    <t>CALCULO DEL FACTOR DE ACTUALIZACION DE LOS CARGOS POR GENERACION EN HORAS FUERA DE PUNTA</t>
  </si>
  <si>
    <t>Pérdidas en Transmisión Facturadas  (MWh)</t>
  </si>
  <si>
    <t>Cálculo del Costo de las Pérdidas en Transmisión</t>
  </si>
  <si>
    <t>TOTAL COSTO DE POTENCIA</t>
  </si>
  <si>
    <t>Total Potencia</t>
  </si>
  <si>
    <t>PRECIO FACTURADO</t>
  </si>
  <si>
    <t>Requerimiento de Energía            = (1 + 2) / (1 - 3)</t>
  </si>
  <si>
    <t>Energía de Contratos de Sistemas Aislados</t>
  </si>
  <si>
    <t>Estructura Porcentual</t>
  </si>
  <si>
    <t>Pérdidas en Transmisión Estimadas (MWh)</t>
  </si>
  <si>
    <t>Costo Estimado de Pérdidas en Transmisión (B/.)</t>
  </si>
  <si>
    <t>TOTAL</t>
  </si>
  <si>
    <t>Total</t>
  </si>
  <si>
    <t>CARGO POR TRANSMISION</t>
  </si>
  <si>
    <t>p-2</t>
  </si>
  <si>
    <t>POTENCIA CONTRATADA</t>
  </si>
  <si>
    <t>AT1000</t>
  </si>
  <si>
    <t xml:space="preserve">CARGOS DE COMERCIALIZACION, DISTRIBUCION </t>
  </si>
  <si>
    <t>Y SERVICIO DE ALUMBRADO PUBLICO</t>
  </si>
  <si>
    <t>Cargos de Comercialización:</t>
  </si>
  <si>
    <t>Cargo Variable</t>
  </si>
  <si>
    <t>Cargos de Distribución:</t>
  </si>
  <si>
    <t>Cargo de redes de distribución</t>
  </si>
  <si>
    <t>Cargo por Servicio de Alumbrado Público</t>
  </si>
  <si>
    <t>Factor de Actualización de Cargo por Servicio de Alumbrado Público</t>
  </si>
  <si>
    <t xml:space="preserve">Factor de Actualización de Cargos de Comercialización </t>
  </si>
  <si>
    <t>Porción de cargos de Comercialización que no se ajustan por IPC</t>
  </si>
  <si>
    <t>Porción de cargo de redes de Distribución que no se ajusta por IPC</t>
  </si>
  <si>
    <t>Porción de cargo de Servicio de Alumbrado Público que no se ajusta por IPC</t>
  </si>
  <si>
    <t>XC</t>
  </si>
  <si>
    <t>XUS</t>
  </si>
  <si>
    <t>XAP</t>
  </si>
  <si>
    <t>Cargo de Alumbrado Público:</t>
  </si>
  <si>
    <t>(1 + r)</t>
  </si>
  <si>
    <t xml:space="preserve">INDICE DE PRECIOS AL CONSUMIDOR </t>
  </si>
  <si>
    <t>PUBLICADOS POR CONTRALORIA GENERAL DE LA REPUBLICA</t>
  </si>
  <si>
    <t>Semestre p-2</t>
  </si>
  <si>
    <t xml:space="preserve"> GENERADORES</t>
  </si>
  <si>
    <t>CARGO POR GENERACION</t>
  </si>
  <si>
    <t>AT100</t>
  </si>
  <si>
    <t>AT200</t>
  </si>
  <si>
    <t>AT302</t>
  </si>
  <si>
    <t>AT322</t>
  </si>
  <si>
    <t>AT303</t>
  </si>
  <si>
    <t>AT304</t>
  </si>
  <si>
    <t>AT402</t>
  </si>
  <si>
    <t>AT403</t>
  </si>
  <si>
    <t>AT404</t>
  </si>
  <si>
    <t>AT502</t>
  </si>
  <si>
    <t>AT503</t>
  </si>
  <si>
    <t>AT522</t>
  </si>
  <si>
    <t>INFORMACION PARA ACTUALIZAR:</t>
  </si>
  <si>
    <t>Puntos de Recepción de carga</t>
  </si>
  <si>
    <t>Detalle</t>
  </si>
  <si>
    <t>Promedio</t>
  </si>
  <si>
    <t>FACTURACION DE POTENCIA</t>
  </si>
  <si>
    <t>TASAS DE INTERES</t>
  </si>
  <si>
    <t>Variable</t>
  </si>
  <si>
    <t>Valor</t>
  </si>
  <si>
    <t>Total Ventas de Energía        (KWh)</t>
  </si>
  <si>
    <t>Energía en Horas de Punta            (KWh)</t>
  </si>
  <si>
    <t>Demanda Máxima (kW)</t>
  </si>
  <si>
    <t>Demanda Máxima en Horas de Punta            (KWp)</t>
  </si>
  <si>
    <t>Demanda Máxima en Horas Fuera de Punta (KWfp)</t>
  </si>
  <si>
    <t>CALCULADAS POR LA SUPERINTENDENCIA DE BANCOS DE PANAMA</t>
  </si>
  <si>
    <t xml:space="preserve">CARGO DE PERDIDAS EN TRANSMISION </t>
  </si>
  <si>
    <t>CARGO DE TRANSMISIÓN</t>
  </si>
  <si>
    <t>CARGO DE GENERACION</t>
  </si>
  <si>
    <t>AT305 / AT801</t>
  </si>
  <si>
    <t>AT405 / AT801</t>
  </si>
  <si>
    <t>AT505 / AT801</t>
  </si>
  <si>
    <t>Ingresos que resultan de aplicar los cargos tarifarios por comercialización para cada clase de cliente que contienen las tarifas del semestre p-1 a la proyección de clientes y ventas de energía de clientes que no se encuentran abastecidos por otro agente, por categoría tarifaria, del semestre p</t>
  </si>
  <si>
    <t>Ingresos que resultan de aplicar los cargos tarifarios por distribución para cada clase de cliente que contienen las tarifas del semestre p-1 a la proyección de ventas de potencia y energía de clientes que no se encuentran abastecidos por otro agente, por categoría tarifaria, del semestre p</t>
  </si>
  <si>
    <t>Ingresos que resultan de aplicar los cargos tarifarios por pérdidas en distribución para cada clase de cliente que contienen las tarifas del semestre p-1 a la proyección de ventas de potencia y energía de clientes que no se encuentran abastecidos por otro agente, por categoría tarifaria, del semestre p</t>
  </si>
  <si>
    <r>
      <t xml:space="preserve">INFORMACION PARA ACTUALIZAR CARGO POR TRANSMISION - DATOS RELACIONADOS A CLIENTES CONECTADOS A LA RED DE LA DISTRIBUIDORA PARA </t>
    </r>
    <r>
      <rPr>
        <b/>
        <sz val="11"/>
        <rFont val="Times New Roman"/>
        <family val="1"/>
      </rPr>
      <t>p</t>
    </r>
  </si>
  <si>
    <r>
      <t xml:space="preserve">INFORMACION PARA ACTUALIZAR CARGO POR TRANSMISION - DATOS RELACIONADOS A CLIENTES CONECTADOS A LA RED DE LA DISTRIBUIDORA PARA </t>
    </r>
    <r>
      <rPr>
        <b/>
        <sz val="11"/>
        <rFont val="Times New Roman"/>
        <family val="1"/>
      </rPr>
      <t>p-2</t>
    </r>
  </si>
  <si>
    <t xml:space="preserve">Promedio </t>
  </si>
  <si>
    <t>AT604 / AT801</t>
  </si>
  <si>
    <t>AT603 / AT801</t>
  </si>
  <si>
    <t>AT821- Energía - A</t>
  </si>
  <si>
    <t>AT RES (POR TARIFA)</t>
  </si>
  <si>
    <t>VARIACIÓN DEL PRECIO PROMEDIO ESTIMADO DE LA ENERGIA ELECTRICA DE CLIENTES REGULADOS POR TARIFA</t>
  </si>
  <si>
    <t>Sub-Total Contratos</t>
  </si>
  <si>
    <t>Energía en Horas Fuera de Punta            (KWh)</t>
  </si>
  <si>
    <t>B/.KWh</t>
  </si>
  <si>
    <t>GENERACION</t>
  </si>
  <si>
    <t>Energía transmitida a la red de la distribuidora (MWh)</t>
  </si>
  <si>
    <t>Costos de Transmisión Mensuales (B/.)</t>
  </si>
  <si>
    <t>Participación del consumo de energía en el bloque horario de punta  para la categoría i</t>
  </si>
  <si>
    <t>Clientes (%)</t>
  </si>
  <si>
    <t>Demanda Máxima* (%)</t>
  </si>
  <si>
    <t>Demanda Máxima en Horas Fuera de Punta* (%)</t>
  </si>
  <si>
    <t xml:space="preserve"> Horaria</t>
  </si>
  <si>
    <t xml:space="preserve"> Demanda Máxima</t>
  </si>
  <si>
    <t>Media Tensión</t>
  </si>
  <si>
    <t>TARIFAS DE P-2, P-1, P Y FACTORES DE AJUSTE</t>
  </si>
  <si>
    <t>Cargo tarifario = BASE + Correc</t>
  </si>
  <si>
    <t># 18</t>
  </si>
  <si>
    <t># 17</t>
  </si>
  <si>
    <t># 16</t>
  </si>
  <si>
    <t># 19</t>
  </si>
  <si>
    <t># 22</t>
  </si>
  <si>
    <t># 23</t>
  </si>
  <si>
    <t>MODELO AT200</t>
  </si>
  <si>
    <t>MODELO AT600</t>
  </si>
  <si>
    <t># 4</t>
  </si>
  <si>
    <t># 5</t>
  </si>
  <si>
    <t>MODELO AT300</t>
  </si>
  <si>
    <t># 20</t>
  </si>
  <si>
    <t>MODELO AT400</t>
  </si>
  <si>
    <t># 14</t>
  </si>
  <si>
    <t># 15</t>
  </si>
  <si>
    <t>Simple (Igual o Menor de 15 kW)</t>
  </si>
  <si>
    <t>Fuente: Web de la Superintendencia de Bancos: www.superbancos.gob.pa</t>
  </si>
  <si>
    <t>BASE</t>
  </si>
  <si>
    <t>Correcc</t>
  </si>
  <si>
    <t>Nota:</t>
  </si>
  <si>
    <t>BASE - valor correspondiente al cargo BASE</t>
  </si>
  <si>
    <t>SEMESTRE p</t>
  </si>
  <si>
    <t>SEMESTRE p-2</t>
  </si>
  <si>
    <t>AT422</t>
  </si>
  <si>
    <t>AT504</t>
  </si>
  <si>
    <t>AT600</t>
  </si>
  <si>
    <t>AT800</t>
  </si>
  <si>
    <t>DETALLE DEL FORMULARIO</t>
  </si>
  <si>
    <t>AT700</t>
  </si>
  <si>
    <t>FORM</t>
  </si>
  <si>
    <t xml:space="preserve">Detalle </t>
  </si>
  <si>
    <t>r</t>
  </si>
  <si>
    <t>Cantidad de clientes</t>
  </si>
  <si>
    <t>Alta Tensión</t>
  </si>
  <si>
    <t>AT602</t>
  </si>
  <si>
    <t>AT603</t>
  </si>
  <si>
    <t>AT604</t>
  </si>
  <si>
    <t>AT622</t>
  </si>
  <si>
    <t>VARIACIÓN DEL PRECIO PROMEDIO ESTIMADO DE LA ENERGIA ELECTRICA DE CLIENTES REGULADOS</t>
  </si>
  <si>
    <t>Cargos</t>
  </si>
  <si>
    <t>Peaje de Transmisión</t>
  </si>
  <si>
    <t>Pérdidas de Transmisión</t>
  </si>
  <si>
    <t>Pérdidas en Distribución</t>
  </si>
  <si>
    <t>Precio Promedio de Transmisión</t>
  </si>
  <si>
    <t>Precio Promedio de Generación</t>
  </si>
  <si>
    <t>CARGOS POR ALUMBRADO PUBLICO</t>
  </si>
  <si>
    <t>Nuevos Cargos por Alumbrado Público en p</t>
  </si>
  <si>
    <t>Sub Total Energía</t>
  </si>
  <si>
    <t>Sub Total Mercado Mayorista</t>
  </si>
  <si>
    <t>Sub-Total Mercado Mayorista</t>
  </si>
  <si>
    <t>Precio Mensual de la Energía en Horas Fuera de Punta (B/./KWh)</t>
  </si>
  <si>
    <t>TOTAL COSTO DE ENERGIA EN PUNTA</t>
  </si>
  <si>
    <t>CALCULO DEL FACTOR DE ACTUALIZACION DE LOS CARGOS POR CONSUMO DE ALUMBRADO PUBLICO</t>
  </si>
  <si>
    <t xml:space="preserve">Cargo por Energía </t>
  </si>
  <si>
    <t>CARGOS DE COMERCIALIZACION</t>
  </si>
  <si>
    <t>CARGOS DE DISTRIBUCION</t>
  </si>
  <si>
    <t>AT201</t>
  </si>
  <si>
    <t>AT202</t>
  </si>
  <si>
    <t>ESTRUCTURA DE MERCADO</t>
  </si>
  <si>
    <t>Costos Facturados</t>
  </si>
  <si>
    <t>Costos Estimados</t>
  </si>
  <si>
    <t>p</t>
  </si>
  <si>
    <t>B/./kWh</t>
  </si>
  <si>
    <t>B/./kW/mes</t>
  </si>
  <si>
    <t>Tarifa BTD</t>
  </si>
  <si>
    <t>Tarifa MTD</t>
  </si>
  <si>
    <t>Tarifa BTH</t>
  </si>
  <si>
    <t>Tarifa MTH</t>
  </si>
  <si>
    <t>Tarifa ATD</t>
  </si>
  <si>
    <t>Tarifa ATH</t>
  </si>
  <si>
    <t>Tarifa BTS</t>
  </si>
  <si>
    <t>Ingresos estimados que resultan de aplicar los cargos tarifarios por comercialización para cada clase de cliente que contienen las tarifas actualizadas para el semestre p a la proyección de clientes y ventas de energía de clientes que no se encuentran abastecidos por otro agente, por categoría tarifaria, del semestre p</t>
  </si>
  <si>
    <t>Ingresos estimados que resultan de aplicar los cargos tarifarios por distribución para cada clase de cliente que contienen las tarifas actualizadas para el semestre p a la proyección de ventas de potencia y energía de clientes que no se encuentran abastecidos por otro agente, por categoría tarifaria, del semestre p</t>
  </si>
  <si>
    <t>Ingresos estimados que resultan de aplicar los cargos tarifarios por pérdidas en distribución para cada clase de cliente que contienen las tarifas actualizadas para el semestre p a la proyección de ventas de potencia y energía de clientes que no se encuentran abastecidos por otro agente, por categoría tarifaria, del semestre p</t>
  </si>
  <si>
    <t>AT801- Clientes</t>
  </si>
  <si>
    <t>CCOMF</t>
  </si>
  <si>
    <t>BTS</t>
  </si>
  <si>
    <t>BTD</t>
  </si>
  <si>
    <t>BTH</t>
  </si>
  <si>
    <t>MTD</t>
  </si>
  <si>
    <t>MTH</t>
  </si>
  <si>
    <t>ATD</t>
  </si>
  <si>
    <t>ATH</t>
  </si>
  <si>
    <t>CCOMV</t>
  </si>
  <si>
    <t>Pérdidas de Energía en Distribución</t>
  </si>
  <si>
    <t>CPERDP</t>
  </si>
  <si>
    <t>B/./mes</t>
  </si>
  <si>
    <t>CSERAP</t>
  </si>
  <si>
    <t xml:space="preserve"> B/./kW</t>
  </si>
  <si>
    <t xml:space="preserve">MTH </t>
  </si>
  <si>
    <t xml:space="preserve">ATH </t>
  </si>
  <si>
    <t>Pérdidas de Potencia en Distribución</t>
  </si>
  <si>
    <t>CPT</t>
  </si>
  <si>
    <t>CPET</t>
  </si>
  <si>
    <t>CCONAP</t>
  </si>
  <si>
    <t>CARGOS</t>
  </si>
  <si>
    <t>Consumo de Energía de Clientes Regulados (Viene del FORM AT801)</t>
  </si>
  <si>
    <t>Consumo de Energía en Alumbrado Público (Viene del FORM AT801)</t>
  </si>
  <si>
    <t>Costos de Transmisión Mensual (B/.)</t>
  </si>
  <si>
    <t>Demanda Máxima Mensual de Clientes conectados a la distribuidora  (MW)</t>
  </si>
  <si>
    <t xml:space="preserve">Cantidad de Luminarias </t>
  </si>
  <si>
    <t>CONSUMO DE ENERGIA DEL ALUMBRADO PUBLICO</t>
  </si>
  <si>
    <t>Tipo de Luminaria</t>
  </si>
  <si>
    <t>Horas de uso por mes (coeficiente de utilización)</t>
  </si>
  <si>
    <t>Consumo Promedio por mes por luminaria</t>
  </si>
  <si>
    <t>AT801- Demanda</t>
  </si>
  <si>
    <t>AT801- Energía</t>
  </si>
  <si>
    <t xml:space="preserve">    - Regulares</t>
  </si>
  <si>
    <t xml:space="preserve">    - Agropecuarios</t>
  </si>
  <si>
    <t xml:space="preserve">    - Jubilados, Pen. Tercera Edad</t>
  </si>
  <si>
    <t xml:space="preserve">    - Partidos Políticos</t>
  </si>
  <si>
    <t>Baja Tensión</t>
  </si>
  <si>
    <t>Alumbrado Público</t>
  </si>
  <si>
    <t>Tarifas</t>
  </si>
  <si>
    <t>CALCULO DEL FACTOR DE ACTUALIZACION DE:</t>
  </si>
  <si>
    <t>FORMULAS</t>
  </si>
  <si>
    <t>Cargo Fijo</t>
  </si>
  <si>
    <t>Donde</t>
  </si>
  <si>
    <t>Costo Facturado de Pérdidas en Transmisión (B/.)</t>
  </si>
  <si>
    <t>CARGO POR PERDIDAS EN TRANSMISION</t>
  </si>
  <si>
    <t>Unidad</t>
  </si>
  <si>
    <t>Pérdidas de Distribución</t>
  </si>
  <si>
    <t>%</t>
  </si>
  <si>
    <t>Generación Propia</t>
  </si>
  <si>
    <t>REQUERIMIENTOS DE ENERGIA</t>
  </si>
  <si>
    <t>Sub - Total</t>
  </si>
  <si>
    <t>DETALLE DEL MODELO</t>
  </si>
  <si>
    <t>AT300</t>
  </si>
  <si>
    <t>CALCULO DEL FACTOR DE ACTUALIZACION DE LOS CARGOS POR TRANSMISION</t>
  </si>
  <si>
    <t>CARGOS POR GENERACION</t>
  </si>
  <si>
    <t>CARGOS POR TRANSMISION</t>
  </si>
  <si>
    <t>AT400</t>
  </si>
  <si>
    <t>MODELO</t>
  </si>
  <si>
    <t>AT102 / AT801</t>
  </si>
  <si>
    <t>AT104 / AT801</t>
  </si>
  <si>
    <t>AT202 / AT801</t>
  </si>
  <si>
    <t>B/./KWh</t>
  </si>
  <si>
    <t>Pérdidas en Transmisión</t>
  </si>
  <si>
    <t>Correc - valor correspondiente a la corrección para cubrir apartamientos entre los costos y los ingresos reales de p-2</t>
  </si>
  <si>
    <t>Cargos por Alumbrado Público en p-1</t>
  </si>
  <si>
    <t>CPOTGENGC</t>
  </si>
  <si>
    <t>B/./kW</t>
  </si>
  <si>
    <t># 29</t>
  </si>
  <si>
    <t># 30</t>
  </si>
  <si>
    <t>MODELO AT500 GC</t>
  </si>
  <si>
    <t># 52</t>
  </si>
  <si>
    <t># 53</t>
  </si>
  <si>
    <t># 48</t>
  </si>
  <si>
    <t># 49</t>
  </si>
  <si>
    <t>AT506 CVC</t>
  </si>
  <si>
    <t>AT507</t>
  </si>
  <si>
    <t>AT508</t>
  </si>
  <si>
    <t>AT509</t>
  </si>
  <si>
    <r>
      <t xml:space="preserve">INGRESOS ESTIMADOS PARA </t>
    </r>
    <r>
      <rPr>
        <b/>
        <sz val="11"/>
        <rFont val="Times New Roman"/>
        <family val="1"/>
      </rPr>
      <t>p-2</t>
    </r>
    <r>
      <rPr>
        <sz val="11"/>
        <rFont val="Times New Roman"/>
        <family val="1"/>
      </rPr>
      <t xml:space="preserve"> APLICANDO LOS CARGOS VARIACION POR COMBUSTIBLE DE </t>
    </r>
    <r>
      <rPr>
        <b/>
        <sz val="11"/>
        <rFont val="Times New Roman"/>
        <family val="1"/>
      </rPr>
      <t>p-2</t>
    </r>
    <r>
      <rPr>
        <sz val="11"/>
        <rFont val="Times New Roman"/>
        <family val="1"/>
      </rPr>
      <t xml:space="preserve"> A LAS VENTAS REALES DE </t>
    </r>
    <r>
      <rPr>
        <b/>
        <sz val="11"/>
        <rFont val="Times New Roman"/>
        <family val="1"/>
      </rPr>
      <t>p-2</t>
    </r>
  </si>
  <si>
    <r>
      <t xml:space="preserve">INTERESES GENERADOS DENTRO DEL PERIODO TARIFARIO </t>
    </r>
    <r>
      <rPr>
        <b/>
        <sz val="11"/>
        <rFont val="Times New Roman"/>
        <family val="1"/>
      </rPr>
      <t xml:space="preserve">P-2 </t>
    </r>
    <r>
      <rPr>
        <sz val="11"/>
        <rFont val="Times New Roman"/>
        <family val="1"/>
      </rPr>
      <t>OCASIONADOS POR EL DESFASE DEL CARGO VARIACION POR COMBUSTIBLE</t>
    </r>
  </si>
  <si>
    <t xml:space="preserve">Potencia Contratada (MW) </t>
  </si>
  <si>
    <t>Facturación de Potencia (B/.)</t>
  </si>
  <si>
    <t>AT500-GC</t>
  </si>
  <si>
    <t>CALCULO DEL FACTOR DE ACTUALIZACION DE LOS CARGOS POR POTENCIA DE GENERACION DE GRANDES CLIENTES</t>
  </si>
  <si>
    <t>AT821- Clientes Estimado Original</t>
  </si>
  <si>
    <t>AT821- Energía Estimado Original</t>
  </si>
  <si>
    <t>AT821- Demanda Estimado Original</t>
  </si>
  <si>
    <t>Costo Promedio de Energía</t>
  </si>
  <si>
    <t>Costo Promedio de Potencia</t>
  </si>
  <si>
    <t xml:space="preserve">Información General, Económica y Estadística. Estadísticas. Reportes Estadísticos. </t>
  </si>
  <si>
    <t xml:space="preserve">PROYECCION DE CANTIDAD DE GRANDES CLIENTES </t>
  </si>
  <si>
    <t xml:space="preserve">CANTIDAD DE GRANDES CLIENTES </t>
  </si>
  <si>
    <t xml:space="preserve">PROYECCION DE DEMANDA DE GRANDES CLIENTES </t>
  </si>
  <si>
    <t xml:space="preserve">VENTAS DE ENERGÍA FACTURADAS A GRANDES CLIENTES </t>
  </si>
  <si>
    <t>DEMANDA FACTURADA A LOS GRANDES CLIENTES</t>
  </si>
  <si>
    <t>AT811- Clientes BTS por rango de Consumo</t>
  </si>
  <si>
    <t>AT811- Energía BTS por rango de Consumo</t>
  </si>
  <si>
    <r>
      <t xml:space="preserve">INGRESOS PERMITIDOS PARA </t>
    </r>
    <r>
      <rPr>
        <b/>
        <sz val="11"/>
        <rFont val="Times New Roman"/>
        <family val="1"/>
      </rPr>
      <t>p-2</t>
    </r>
    <r>
      <rPr>
        <sz val="11"/>
        <rFont val="Times New Roman"/>
        <family val="1"/>
      </rPr>
      <t xml:space="preserve"> APLICANDO LOS CARGOS </t>
    </r>
    <r>
      <rPr>
        <i/>
        <sz val="11"/>
        <rFont val="Times New Roman"/>
        <family val="1"/>
      </rPr>
      <t>CORREC</t>
    </r>
    <r>
      <rPr>
        <sz val="11"/>
        <rFont val="Times New Roman"/>
        <family val="1"/>
      </rPr>
      <t xml:space="preserve"> DE GENERACION DE </t>
    </r>
    <r>
      <rPr>
        <b/>
        <sz val="11"/>
        <rFont val="Times New Roman"/>
        <family val="1"/>
      </rPr>
      <t>p-2</t>
    </r>
    <r>
      <rPr>
        <sz val="11"/>
        <rFont val="Times New Roman"/>
        <family val="1"/>
      </rPr>
      <t xml:space="preserve"> A LAS VENTAS ESTIMADAS DE </t>
    </r>
    <r>
      <rPr>
        <b/>
        <sz val="11"/>
        <rFont val="Times New Roman"/>
        <family val="1"/>
      </rPr>
      <t>p-2</t>
    </r>
  </si>
  <si>
    <r>
      <t xml:space="preserve">INGRESOS REALES PARA </t>
    </r>
    <r>
      <rPr>
        <b/>
        <sz val="11"/>
        <rFont val="Times New Roman"/>
        <family val="1"/>
      </rPr>
      <t>p-2</t>
    </r>
    <r>
      <rPr>
        <sz val="11"/>
        <rFont val="Times New Roman"/>
        <family val="1"/>
      </rPr>
      <t xml:space="preserve"> APLICANDO LOS CARGOS </t>
    </r>
    <r>
      <rPr>
        <i/>
        <sz val="11"/>
        <rFont val="Times New Roman"/>
        <family val="1"/>
      </rPr>
      <t>CORREC</t>
    </r>
    <r>
      <rPr>
        <sz val="11"/>
        <rFont val="Times New Roman"/>
        <family val="1"/>
      </rPr>
      <t xml:space="preserve"> DE GENERACION DE </t>
    </r>
    <r>
      <rPr>
        <b/>
        <sz val="11"/>
        <rFont val="Times New Roman"/>
        <family val="1"/>
      </rPr>
      <t>p-2</t>
    </r>
    <r>
      <rPr>
        <sz val="11"/>
        <rFont val="Times New Roman"/>
        <family val="1"/>
      </rPr>
      <t xml:space="preserve"> A LAS VENTAS REALES DE </t>
    </r>
    <r>
      <rPr>
        <b/>
        <sz val="11"/>
        <rFont val="Times New Roman"/>
        <family val="1"/>
      </rPr>
      <t>p-2</t>
    </r>
  </si>
  <si>
    <t>AT307</t>
  </si>
  <si>
    <t>AT308</t>
  </si>
  <si>
    <r>
      <t xml:space="preserve">INGRESOS REALES PARA </t>
    </r>
    <r>
      <rPr>
        <b/>
        <sz val="11"/>
        <rFont val="Times New Roman"/>
        <family val="1"/>
      </rPr>
      <t>p-2</t>
    </r>
    <r>
      <rPr>
        <sz val="11"/>
        <rFont val="Times New Roman"/>
        <family val="1"/>
      </rPr>
      <t xml:space="preserve"> APLICANDO LOS CARGOS </t>
    </r>
    <r>
      <rPr>
        <i/>
        <sz val="11"/>
        <rFont val="Times New Roman"/>
        <family val="1"/>
      </rPr>
      <t>CORREC</t>
    </r>
    <r>
      <rPr>
        <sz val="11"/>
        <rFont val="Times New Roman"/>
        <family val="1"/>
      </rPr>
      <t xml:space="preserve"> DE TRANSMISIÓN DE </t>
    </r>
    <r>
      <rPr>
        <b/>
        <sz val="11"/>
        <rFont val="Times New Roman"/>
        <family val="1"/>
      </rPr>
      <t>p-2</t>
    </r>
    <r>
      <rPr>
        <sz val="11"/>
        <rFont val="Times New Roman"/>
        <family val="1"/>
      </rPr>
      <t xml:space="preserve"> A LAS VENTAS REALES DE </t>
    </r>
    <r>
      <rPr>
        <b/>
        <sz val="11"/>
        <rFont val="Times New Roman"/>
        <family val="1"/>
      </rPr>
      <t>p-2</t>
    </r>
  </si>
  <si>
    <r>
      <t xml:space="preserve">INGRESOS PERMITIDOS PARA </t>
    </r>
    <r>
      <rPr>
        <b/>
        <sz val="11"/>
        <rFont val="Times New Roman"/>
        <family val="1"/>
      </rPr>
      <t>p-2</t>
    </r>
    <r>
      <rPr>
        <sz val="11"/>
        <rFont val="Times New Roman"/>
        <family val="1"/>
      </rPr>
      <t xml:space="preserve"> APLICANDO LOS CARGOS </t>
    </r>
    <r>
      <rPr>
        <i/>
        <sz val="11"/>
        <rFont val="Times New Roman"/>
        <family val="1"/>
      </rPr>
      <t>CORREC</t>
    </r>
    <r>
      <rPr>
        <sz val="11"/>
        <rFont val="Times New Roman"/>
        <family val="1"/>
      </rPr>
      <t xml:space="preserve"> DE TRANSMISIÓN DE </t>
    </r>
    <r>
      <rPr>
        <b/>
        <sz val="11"/>
        <rFont val="Times New Roman"/>
        <family val="1"/>
      </rPr>
      <t>p-2</t>
    </r>
    <r>
      <rPr>
        <sz val="11"/>
        <rFont val="Times New Roman"/>
        <family val="1"/>
      </rPr>
      <t xml:space="preserve"> A LAS VENTAS ESTIMADAS DE </t>
    </r>
    <r>
      <rPr>
        <b/>
        <sz val="11"/>
        <rFont val="Times New Roman"/>
        <family val="1"/>
      </rPr>
      <t>p-2</t>
    </r>
  </si>
  <si>
    <t>AT407</t>
  </si>
  <si>
    <t>AT408</t>
  </si>
  <si>
    <r>
      <t xml:space="preserve">INGRESOS REALES PARA </t>
    </r>
    <r>
      <rPr>
        <b/>
        <sz val="11"/>
        <rFont val="Times New Roman"/>
        <family val="1"/>
      </rPr>
      <t>p-2</t>
    </r>
    <r>
      <rPr>
        <sz val="11"/>
        <rFont val="Times New Roman"/>
        <family val="1"/>
      </rPr>
      <t xml:space="preserve"> APLICANDO LOS CARGOS </t>
    </r>
    <r>
      <rPr>
        <i/>
        <sz val="11"/>
        <rFont val="Times New Roman"/>
        <family val="1"/>
      </rPr>
      <t>CORREC</t>
    </r>
    <r>
      <rPr>
        <sz val="11"/>
        <rFont val="Times New Roman"/>
        <family val="1"/>
      </rPr>
      <t xml:space="preserve"> DE PÉRDIDAS EN TRANSMISIÓN DE </t>
    </r>
    <r>
      <rPr>
        <b/>
        <sz val="11"/>
        <rFont val="Times New Roman"/>
        <family val="1"/>
      </rPr>
      <t>p-2</t>
    </r>
    <r>
      <rPr>
        <sz val="11"/>
        <rFont val="Times New Roman"/>
        <family val="1"/>
      </rPr>
      <t xml:space="preserve"> A LAS VENTAS REALES DE </t>
    </r>
    <r>
      <rPr>
        <b/>
        <sz val="11"/>
        <rFont val="Times New Roman"/>
        <family val="1"/>
      </rPr>
      <t>p-2</t>
    </r>
  </si>
  <si>
    <r>
      <t xml:space="preserve">INGRESOS PERMITIDOS PARA </t>
    </r>
    <r>
      <rPr>
        <b/>
        <sz val="11"/>
        <rFont val="Times New Roman"/>
        <family val="1"/>
      </rPr>
      <t>p-2</t>
    </r>
    <r>
      <rPr>
        <sz val="11"/>
        <rFont val="Times New Roman"/>
        <family val="1"/>
      </rPr>
      <t xml:space="preserve"> APLICANDO LOS CARGOS </t>
    </r>
    <r>
      <rPr>
        <i/>
        <sz val="11"/>
        <rFont val="Times New Roman"/>
        <family val="1"/>
      </rPr>
      <t>CORREC</t>
    </r>
    <r>
      <rPr>
        <sz val="11"/>
        <rFont val="Times New Roman"/>
        <family val="1"/>
      </rPr>
      <t xml:space="preserve"> DE PÉRDIDAS EN TRANSMISIÓN DE </t>
    </r>
    <r>
      <rPr>
        <b/>
        <sz val="11"/>
        <rFont val="Times New Roman"/>
        <family val="1"/>
      </rPr>
      <t>p-2</t>
    </r>
    <r>
      <rPr>
        <sz val="11"/>
        <rFont val="Times New Roman"/>
        <family val="1"/>
      </rPr>
      <t xml:space="preserve"> A LAS VENTAS ESTIMADAS DE </t>
    </r>
    <r>
      <rPr>
        <b/>
        <sz val="11"/>
        <rFont val="Times New Roman"/>
        <family val="1"/>
      </rPr>
      <t>p-2</t>
    </r>
  </si>
  <si>
    <t>AT505 CVC</t>
  </si>
  <si>
    <r>
      <t>INGRESOS ESTIMADOS APLICANDO LOS CARGOS POR VARIACIÓN POR COMBUSTIBLE APLICADOS EN</t>
    </r>
    <r>
      <rPr>
        <b/>
        <sz val="11"/>
        <rFont val="Times New Roman"/>
        <family val="1"/>
      </rPr>
      <t xml:space="preserve"> p-1 </t>
    </r>
    <r>
      <rPr>
        <sz val="11"/>
        <rFont val="Times New Roman"/>
        <family val="1"/>
      </rPr>
      <t xml:space="preserve">A LA PROYECCIÓN DE VENTAS DE </t>
    </r>
    <r>
      <rPr>
        <b/>
        <sz val="11"/>
        <rFont val="Times New Roman"/>
        <family val="1"/>
      </rPr>
      <t>p</t>
    </r>
  </si>
  <si>
    <r>
      <t xml:space="preserve">CANTIDAD DE CLIENTES BTS POR RANGO DE CONSUMO EN EL SEMESTRE </t>
    </r>
    <r>
      <rPr>
        <b/>
        <sz val="11"/>
        <rFont val="Times New Roman"/>
        <family val="1"/>
      </rPr>
      <t>p-1</t>
    </r>
  </si>
  <si>
    <r>
      <t xml:space="preserve">VENTAS DE ENERGIA FACTURADA A CLIENTES BTS POR RANGO DE CONSUMO EN EL SEMESTRE </t>
    </r>
    <r>
      <rPr>
        <b/>
        <sz val="11"/>
        <rFont val="Times New Roman"/>
        <family val="1"/>
      </rPr>
      <t>p-1</t>
    </r>
  </si>
  <si>
    <t>www.ensa.com.pa</t>
  </si>
  <si>
    <t>Demanda Máxima en Horas de Punta* (%)</t>
  </si>
  <si>
    <t>Factor de Carga</t>
  </si>
  <si>
    <t>H</t>
  </si>
  <si>
    <t>T</t>
  </si>
  <si>
    <t>SERV. AUX. DE RESERVA A LARGO PLAZO</t>
  </si>
  <si>
    <t>SPOT</t>
  </si>
  <si>
    <t>EDEMET</t>
  </si>
  <si>
    <t>Intercambio</t>
  </si>
  <si>
    <t>Intercambio servicio B</t>
  </si>
  <si>
    <t>Serv.B</t>
  </si>
  <si>
    <t>Serv. Auxiliares</t>
  </si>
  <si>
    <t>Servicio Auxiliares Seguimiento de la demanda</t>
  </si>
  <si>
    <t>CUSPT Transacciones Esporádicas</t>
  </si>
  <si>
    <t>Compensacion de potencia</t>
  </si>
  <si>
    <t>OMCA</t>
  </si>
  <si>
    <t>Compra Mercado Ocasional</t>
  </si>
  <si>
    <t>Intercambio Servicio B</t>
  </si>
  <si>
    <t>Sub-Total Contratos - SIN</t>
  </si>
  <si>
    <t>PAGO DE FIANZAS DE CONTRATO</t>
  </si>
  <si>
    <t>Sodio 175</t>
  </si>
  <si>
    <t>CONSUMO DE ENERGIA DEL ALUMBRADO PUBLICO - ESTIMACION</t>
  </si>
  <si>
    <t>B/.kWh</t>
  </si>
  <si>
    <t>CD demanda</t>
  </si>
  <si>
    <t>Conexión</t>
  </si>
  <si>
    <t>Zona 7 (Panamá)</t>
  </si>
  <si>
    <t>Zona 8 (S/E Bayano)</t>
  </si>
  <si>
    <t>AJUSTE TARIFARIO SEMESTRAL</t>
  </si>
  <si>
    <t>Zona 9 (S/E Bahía las Minas)</t>
  </si>
  <si>
    <t xml:space="preserve">CD Pot p,i </t>
  </si>
  <si>
    <t>REGULADOS</t>
  </si>
  <si>
    <t>G.CLIENTES</t>
  </si>
  <si>
    <t>Form 801 KWh (Regulados)</t>
  </si>
  <si>
    <t>Tarifa BTS:  Tarifa Simple</t>
  </si>
  <si>
    <t>Esta tarifa se aplica a cualquier  uso de la energía eléctrica de clientes cuya demanda máxima mensual sea de 15 kilovatios (15 kW) o menor.</t>
  </si>
  <si>
    <t>Bl. /cliente/mes</t>
  </si>
  <si>
    <t>Bl. KWh</t>
  </si>
  <si>
    <t>B/. /cliente/mes</t>
  </si>
  <si>
    <t>B/. /kWh</t>
  </si>
  <si>
    <t>Pérdida de Distribución</t>
  </si>
  <si>
    <t xml:space="preserve">Tarifa BTD:  Tarifa con Demanda Máxima </t>
  </si>
  <si>
    <t>Esta tarifa se aplica a cualquier uso de la energía eléctrica de los clientes con una demanda máxima mensual mayor de  15 kilovatios (15 kW), conectados en baja tensión.</t>
  </si>
  <si>
    <t>Cargo por Demanda Máxima</t>
  </si>
  <si>
    <t>B/. /kW/mes</t>
  </si>
  <si>
    <t>Cargo por Energía</t>
  </si>
  <si>
    <t xml:space="preserve">Cargo Fijo </t>
  </si>
  <si>
    <t>Tarifa BTH:  Tarifa por Bloque Horario</t>
  </si>
  <si>
    <t>Esta tarifa considera precios diferenciados para los suministros de electricidad según si los suministros se efectúan en período de punta del sistema eléctrico o en período fuera de punta.</t>
  </si>
  <si>
    <t>B//cliente/mes</t>
  </si>
  <si>
    <t>B/ /kWh</t>
  </si>
  <si>
    <t>B/ /kW/mes</t>
  </si>
  <si>
    <t>TARIFAS PARA CLIENTES CONECTADOS EN MEDIA TENSION</t>
  </si>
  <si>
    <t>Tarifa MTD:  Tarifa Con Demanda Máxima</t>
  </si>
  <si>
    <t>Tarifa MTH:  Tarifa por Bloque Horario</t>
  </si>
  <si>
    <t>TARIFAS PARA CLIENTES CONECTADOS EN ALTA TENSION</t>
  </si>
  <si>
    <t>Tarifa ATD:  Tarifa con Demanda Máxima</t>
  </si>
  <si>
    <t xml:space="preserve">B/. /cliente/mes </t>
  </si>
  <si>
    <t>B/. /Kwh</t>
  </si>
  <si>
    <t xml:space="preserve">Cargo por Demanda Máxima </t>
  </si>
  <si>
    <t>Tarifa ATH:  Tarifa por Bloque Horario</t>
  </si>
  <si>
    <t>BAJA TENSION</t>
  </si>
  <si>
    <t>Aplicación: A todo cliente que use el servicio de transporte de energía y potencia por las instalaciones con voltaje igual o menor de 600 voltios.</t>
  </si>
  <si>
    <t>Se aplica a todo cliente que use el servicio de transporte de energía y potencia por las instalaciones  con voltajes menores de 115 kV y mayores de 600 voltios.</t>
  </si>
  <si>
    <t>ALTA TENSION</t>
  </si>
  <si>
    <t>Aplicación: A todo cliente que use el servicio de transporte de energía y potencia por las instalaciones  con voltajes de 115 Kv.</t>
  </si>
  <si>
    <t>DME-010-08</t>
  </si>
  <si>
    <t>DTER</t>
  </si>
  <si>
    <t xml:space="preserve">Compras en el  Mercado Ocasional </t>
  </si>
  <si>
    <t>Intereses</t>
  </si>
  <si>
    <t>Diferencia</t>
  </si>
  <si>
    <t>Cargo por Uso del Sistema Principal de Transmisión</t>
  </si>
  <si>
    <t>Cargo por Operación Integrada</t>
  </si>
  <si>
    <t>Total (AT801)</t>
  </si>
  <si>
    <t>Serv. Aux.</t>
  </si>
  <si>
    <t>INGRESOS</t>
  </si>
  <si>
    <t>DEMANDA FUERA DE PUNTA</t>
  </si>
  <si>
    <t>DEMANDA PUNTA</t>
  </si>
  <si>
    <t>DEMANDA TOTAL</t>
  </si>
  <si>
    <t>Mes</t>
  </si>
  <si>
    <t>CUSPT</t>
  </si>
  <si>
    <t>Indice de Precios al Consumidor Panama y San Miguelito</t>
  </si>
  <si>
    <t>ESTIMADO ORIGINAL (Viene F801 - Ajuste P-2)</t>
  </si>
  <si>
    <t>Serv. Aux. Dem.</t>
  </si>
  <si>
    <t>Extra Costo</t>
  </si>
  <si>
    <t>Comp. Pot.</t>
  </si>
  <si>
    <t>MWH</t>
  </si>
  <si>
    <t>COSTOS</t>
  </si>
  <si>
    <t>Precio Unitario (Promedio Real)</t>
  </si>
  <si>
    <t>Precio unitario de energía en el Mercado Ocasional (B/. MWh)</t>
  </si>
  <si>
    <t>B/MWh</t>
  </si>
  <si>
    <t>ExC</t>
  </si>
  <si>
    <t>Monto Compra de Energía ($)</t>
  </si>
  <si>
    <t>Monómico ($)</t>
  </si>
  <si>
    <t>Energía Comprada (MWh)</t>
  </si>
  <si>
    <t>Contrato</t>
  </si>
  <si>
    <t>Tarifa
Aprobada
(P)</t>
  </si>
  <si>
    <t>Tarifa
Aprobada
(P-1)</t>
  </si>
  <si>
    <t>CANTIDAD DE ENERGIA (KWh)</t>
  </si>
  <si>
    <t>Transacciones por Autoabastecimiento</t>
  </si>
  <si>
    <t>DME-005-13</t>
  </si>
  <si>
    <t>DME-012-13</t>
  </si>
  <si>
    <t>DME-014-13</t>
  </si>
  <si>
    <t>P-1</t>
  </si>
  <si>
    <t>P-2</t>
  </si>
  <si>
    <t xml:space="preserve"> </t>
  </si>
  <si>
    <t>P</t>
  </si>
  <si>
    <t>Mercado Ocasional</t>
  </si>
  <si>
    <t>DME-013-13</t>
  </si>
  <si>
    <t>Energía Trasegada Mensual de Clientes
Conectados a la Distribuidora (MWh)</t>
  </si>
  <si>
    <t>CUSPT - Estampilla por Demanda</t>
  </si>
  <si>
    <t>SEMESTRE p
AT502</t>
  </si>
  <si>
    <t>SEMESTRE p-2
AT522</t>
  </si>
  <si>
    <t>ESTIMACION DE COMPRA DE ENERGIA EN HORAS DE PUNTA Y EN HORAS FUERA DE PUNTA</t>
  </si>
  <si>
    <t xml:space="preserve">Energía realmente inyectada al sistema de la distribuidora en horas de Punta en el semestre (En kWh) </t>
  </si>
  <si>
    <t>ENERGIA COMPRADA</t>
  </si>
  <si>
    <t>Compra de Energía para atender Clientes No Abastecidos por Otro Agente (MWh)</t>
  </si>
  <si>
    <t>FACTURACION DE ENERGIA</t>
  </si>
  <si>
    <t>Facturación de Energía para atender Clientes No Abastecidos por Otro Agente (B/.)</t>
  </si>
  <si>
    <t>COSTOS DE GENERACION EXTRA</t>
  </si>
  <si>
    <t>Costos de Generación Extra por Restricciones y Otros (B/.)</t>
  </si>
  <si>
    <t>Sub-Total de Contratos que la ASEP determine relacionados con mitigaciòn de riesgo de racionamiento</t>
  </si>
  <si>
    <t>TOTAL DE COSTOS DE GENERACION EXTRA</t>
  </si>
  <si>
    <t>Extra Costo por Generacion - Restricciones
Relacionadas con Mitigaciòn de Riesgo de Racionamiento</t>
  </si>
  <si>
    <t>Porción del Mercado Ocasional causado por contratos cancelado o suspendidos autorizada por la ASEP</t>
  </si>
  <si>
    <t>SUB-TOTAL ENERGIA</t>
  </si>
  <si>
    <t>TOTAL ENERGIA Y POTENCIA (B/.)</t>
  </si>
  <si>
    <t>p-</t>
  </si>
  <si>
    <t>Costos de compra de potencia que la ASEP determine relacionados con mitigación de riesgo de racionamiento (Viene del FORM AT502 y AT522) (B/.)</t>
  </si>
  <si>
    <t>Costos de autoabastecimiento autorizados por la ASEP (Viene del FORM AT502 y AT522) (B/.)</t>
  </si>
  <si>
    <t>Sobrecostos por Generación Obligada específicamente relacionada con mitigación de riesgo de racionamiento (Viene del FORM AT502 y AT522) (B/.)</t>
  </si>
  <si>
    <t>Porción del Mercado Ocasional causada por la compra de energía para suplir los contratos cancelados o suspendidos cuya terminación o suspensión haya sido autorizada por la ASEP (Viene del FORM AT502 y AT522) (B/.)</t>
  </si>
  <si>
    <t>KWh</t>
  </si>
  <si>
    <t>Actualizado</t>
  </si>
  <si>
    <t>Intereses de los Formularios 509</t>
  </si>
  <si>
    <t>Reserva de Generación + Intereses</t>
  </si>
  <si>
    <t>Ingreso por Corrección</t>
  </si>
  <si>
    <t>Costo Permitido</t>
  </si>
  <si>
    <t>Costo Permitido Total</t>
  </si>
  <si>
    <t>Ingreso Permitido Total</t>
  </si>
  <si>
    <t>Generación Obligada</t>
  </si>
  <si>
    <t>Compensación de Potencia</t>
  </si>
  <si>
    <t>Servicios Auxiliares</t>
  </si>
  <si>
    <t>Compensación Und de Falla SAERLP</t>
  </si>
  <si>
    <t>Incumplimiento SAERLP</t>
  </si>
  <si>
    <t>Serv. Aux. Seg de la Demanda</t>
  </si>
  <si>
    <t>Energía Medida</t>
  </si>
  <si>
    <t>Demanda Máxima Medida</t>
  </si>
  <si>
    <t>Energía Trasegada Según Información de ETESA</t>
  </si>
  <si>
    <t>ETESA - Cargos por Uso del Sistem Principal (MWh)</t>
  </si>
  <si>
    <t>ETESA - Cargos por Uso del Sistem Principal (MW)</t>
  </si>
  <si>
    <t>ETESA - Cargos por Operación Integrada</t>
  </si>
  <si>
    <t>ETESA - Otras Facturaciones</t>
  </si>
  <si>
    <t>AES - Aserradero Cañitas</t>
  </si>
  <si>
    <t>BLM - Línea 115-20, 23 Y 26 y Subestaciones</t>
  </si>
  <si>
    <t>PEDREGAL - Acceso y Arrendamiento GEEHAN</t>
  </si>
  <si>
    <t>ACP - Intercambio en Servicio B</t>
  </si>
  <si>
    <t>EDEMET - Uso de la Red de Otro Distribuidor</t>
  </si>
  <si>
    <t>TOTAL DE FACTURACION EN TRANSMISION</t>
  </si>
  <si>
    <t>Demanda Facturada Estimada</t>
  </si>
  <si>
    <t>Energía transmitida a la red de la distribuidora (MWh) - Estimada</t>
  </si>
  <si>
    <t xml:space="preserve">DETALLE DEL COSTO DE COMPRA DE ENERGIA </t>
  </si>
  <si>
    <t>Tipo1</t>
  </si>
  <si>
    <t>DME-011-08</t>
  </si>
  <si>
    <t>PEDREGALITO</t>
  </si>
  <si>
    <t>DME-016-11</t>
  </si>
  <si>
    <t>Gas</t>
  </si>
  <si>
    <t>SUB TOTAL COSTO DE POTENCIA</t>
  </si>
  <si>
    <t xml:space="preserve">FORTUNA </t>
  </si>
  <si>
    <t xml:space="preserve">ESEPSA </t>
  </si>
  <si>
    <t xml:space="preserve">PEDREGALITO </t>
  </si>
  <si>
    <t xml:space="preserve">CALDERA </t>
  </si>
  <si>
    <t xml:space="preserve">RIO CHICO </t>
  </si>
  <si>
    <t xml:space="preserve">ALTO VALLE </t>
  </si>
  <si>
    <t xml:space="preserve">DESARROLLO HIDRO CORP </t>
  </si>
  <si>
    <t xml:space="preserve">SAN LORENZO </t>
  </si>
  <si>
    <t>DME-018-11</t>
  </si>
  <si>
    <t>DME-020-11</t>
  </si>
  <si>
    <t>DME-021-11</t>
  </si>
  <si>
    <t>DME-022-11</t>
  </si>
  <si>
    <t>DME-023-11</t>
  </si>
  <si>
    <t>DME-024-11</t>
  </si>
  <si>
    <t>DME-025-11</t>
  </si>
  <si>
    <t>DME-026-11</t>
  </si>
  <si>
    <t>DME-027-11</t>
  </si>
  <si>
    <t>UEP NUEVO CHAGRES</t>
  </si>
  <si>
    <t>DME-008-12</t>
  </si>
  <si>
    <t>Eo</t>
  </si>
  <si>
    <t>UEP ROSA DE LOS VIENTOS</t>
  </si>
  <si>
    <t>DME-009-12</t>
  </si>
  <si>
    <t>UEP PORTOBELO</t>
  </si>
  <si>
    <t>DME-010-12</t>
  </si>
  <si>
    <t>UEP MARAÑON</t>
  </si>
  <si>
    <t>DME-011-12</t>
  </si>
  <si>
    <t>DME-047-11</t>
  </si>
  <si>
    <t>FOUNTAIN INTERTRADE CORP</t>
  </si>
  <si>
    <t>CALDERA ENERGY CORP</t>
  </si>
  <si>
    <t>DME-002-13</t>
  </si>
  <si>
    <t>ELECTROGENERADORA DEL ISTMO</t>
  </si>
  <si>
    <t>DME-003-13</t>
  </si>
  <si>
    <t>DME-004-13</t>
  </si>
  <si>
    <t>HIDROIBÉRICA</t>
  </si>
  <si>
    <t>DME-007-13</t>
  </si>
  <si>
    <t>GENERADORA ALTO VALLE</t>
  </si>
  <si>
    <t>DME-011-13</t>
  </si>
  <si>
    <t>DME-016-13</t>
  </si>
  <si>
    <t>DME-018-13</t>
  </si>
  <si>
    <t>DME-019-13</t>
  </si>
  <si>
    <t>SC</t>
  </si>
  <si>
    <t>Extra Costo por Generacion</t>
  </si>
  <si>
    <t>Autoabast.</t>
  </si>
  <si>
    <t>TOTAL COSTO ENERGIA EN PUNTA</t>
  </si>
  <si>
    <t>TOTAL COSTO ENERGIA FUERA DE PUNTA</t>
  </si>
  <si>
    <t>Perdidas de Distribución</t>
  </si>
  <si>
    <t>% de Pérdidas de Distribución</t>
  </si>
  <si>
    <t>Energía Recibida Total</t>
  </si>
  <si>
    <t>Sistema Aislados</t>
  </si>
  <si>
    <t>Sistema Integrado - 115 KV</t>
  </si>
  <si>
    <t>Perdidas de Transmisión</t>
  </si>
  <si>
    <t>% de Pérdidas de Transmisión</t>
  </si>
  <si>
    <t>Energía Generada del Sistema</t>
  </si>
  <si>
    <t>Capacidad Contratada (MW)</t>
  </si>
  <si>
    <t>SERV. AUX. DE RES DE LARGO PLAZO</t>
  </si>
  <si>
    <t>RÍO CHICO</t>
  </si>
  <si>
    <t>SUB TOTAL DE ENERGIA EN PUNTA</t>
  </si>
  <si>
    <t>SUB TOTAL DE ENERGIA FUERA DE PUNTA</t>
  </si>
  <si>
    <t>Perdidas de Transmisión en Punta</t>
  </si>
  <si>
    <t>Perdidas de Transmisión Fuera de Punta</t>
  </si>
  <si>
    <t>Perdidas de Transmisión Total</t>
  </si>
  <si>
    <t>Precio de la energía</t>
  </si>
  <si>
    <t>Costo Mercado Ocasional (P y FP)</t>
  </si>
  <si>
    <t>HIDRO</t>
  </si>
  <si>
    <t>HIDRO POT. EQUIV.</t>
  </si>
  <si>
    <t>EOLICA</t>
  </si>
  <si>
    <t>GAS</t>
  </si>
  <si>
    <t>TERMICO</t>
  </si>
  <si>
    <t>TERMICO CARBON</t>
  </si>
  <si>
    <t>TERMICO POT. EQUIV.</t>
  </si>
  <si>
    <t>SOBRE COSTOS</t>
  </si>
  <si>
    <t>GENERACION OBLIGADA</t>
  </si>
  <si>
    <t>MERCADO SPOT</t>
  </si>
  <si>
    <t>Costo Total</t>
  </si>
  <si>
    <t xml:space="preserve">    - Cruz Roja</t>
  </si>
  <si>
    <t>Reserva Calculada</t>
  </si>
  <si>
    <t>MTD (Cons 0 a 10 Mil KWh)</t>
  </si>
  <si>
    <t>BTD (Cons 0 a 10 Mil KWh)</t>
  </si>
  <si>
    <t xml:space="preserve">    - Jubilados (Cons 0 a 600 KWh)</t>
  </si>
  <si>
    <t xml:space="preserve">    - Jubilados (Más a 600 KWh)</t>
  </si>
  <si>
    <t>MEDIA TENSION</t>
  </si>
  <si>
    <t>BTD (Cons 10 Mil a 30 Mil KWh)</t>
  </si>
  <si>
    <t>BTD (Cons 30 Mil a 50 Mil KWh)</t>
  </si>
  <si>
    <t>BTD (Cons Más de 50 Mil KWh)</t>
  </si>
  <si>
    <t>BTS (Cons 0 a 300 KWh)</t>
  </si>
  <si>
    <t>BTS (Cons 300 a 750 KWh)</t>
  </si>
  <si>
    <t>BTS (Cons Más de 750 KWh)</t>
  </si>
  <si>
    <t>0 a 10 Mil</t>
  </si>
  <si>
    <t>10 a 30 Mil</t>
  </si>
  <si>
    <t>30 a 50 Mil</t>
  </si>
  <si>
    <t>50 Mil y más</t>
  </si>
  <si>
    <t>CANTIDAD DE CLIENTES NO ABASTECIDOS POR OTRO AGENTE</t>
  </si>
  <si>
    <t xml:space="preserve">    - Jubilados (0 a 600 KWh)</t>
  </si>
  <si>
    <t xml:space="preserve">    - Jubilados (601 a 750 KWh)</t>
  </si>
  <si>
    <t xml:space="preserve">    - Jubilados (0 a 300 KWh)</t>
  </si>
  <si>
    <t>Tarifa BTS (0-300 KWh)</t>
  </si>
  <si>
    <t>Tarifa BTS (301-750 KWh)</t>
  </si>
  <si>
    <t>Tarifa BTS (751 y más KWh)</t>
  </si>
  <si>
    <t>Tarifa BTD (0 a 10 Mil KWh)</t>
  </si>
  <si>
    <t>Tarifa BTD (10 a 30 Mil KWh)</t>
  </si>
  <si>
    <t>Tarifa BTD (30 a 50 Mil KWh)</t>
  </si>
  <si>
    <t>Tarifa BTD (50 Mil u Más KWh)</t>
  </si>
  <si>
    <t>CPOTGENGCP-BASEp-2,i</t>
  </si>
  <si>
    <t>CPOTGENEP-BASEp-2,i</t>
  </si>
  <si>
    <t>CPOTGENP-BASEp-2,i</t>
  </si>
  <si>
    <t>CENEGENP-BASEp-2,i</t>
  </si>
  <si>
    <t>CENEGENFP-BASEp-2,i</t>
  </si>
  <si>
    <t>CENEGENBASEp-2,i</t>
  </si>
  <si>
    <t>CCONAPBASEp-2,i</t>
  </si>
  <si>
    <t xml:space="preserve">Ingresos para p-2 aplicando los cargos BASE de p-2 de horas de punta a las ventas reales de p-2 (FORM AT821)         [SUMi(CPOTGENEP-BASEp-2,i x VRp-2,i) +SUMi(CPOTGENP-BASEp-2,i x ∑DMAXp-2,k,i)+SUMi"i=MDHORARIA(CENEGENP-BASEp-2,i x VRPp-2,i) +SUMi"i=MDNOHORARIA(CENEGENBASEp-2,i x VRp-2,i x FCPCp-2,i) + SUMi (CPOTGENGCP-BASEp-2,i x ∑DMAXGCp-2,k,i)] </t>
  </si>
  <si>
    <t xml:space="preserve">Ingresos para p-2 aplicando los cargos BASE de p-2 de horas fuera de punta a las ventas reales para p-2 (FORM AT821)                    [SUMi"i=MDHORARIA (CENEGENFP-BASEp-2,i x VRFPp-2,i +CCONAPBASEp-2,i x VRp-2,i) +SUMi"i=MDNOHORARIA (CENEGENBASEp-2,i  x VRp-2,i x (1-FCPCP-2,i) + CCONAPBASEp-2,i x VRp-2,i] </t>
  </si>
  <si>
    <t xml:space="preserve">Ingresos estimados para p aplicando los nuevos cargos tarifarios de generación correspondientes al consumo de energía de alumbrado público a la proyección de ventas para p-2 (FORM AT821) [SUMi (CCONAPp,i x VEp,i)] </t>
  </si>
  <si>
    <t xml:space="preserve">Detalle de Ingresos para p-2 aplicando los cargos BASE de generación correspondientes al consumo de energía de Alumbrado Público de p-2 a las ventas reales de los Grandes Clientes para p-2 (FORM AT801)    SUMi (CCONAPBASEp-2,i x VRGCp-2,i) </t>
  </si>
  <si>
    <t xml:space="preserve">Detalle de Ingresos reales para p-2 aplicando los cargos BASE de los Grandes Clientes de p-2 a las ventas  reales de los Grandes Clientes para p-2 (FORM AT821) GPGCCR-BASEp-2 = SUMi (CPOTGENGCP-BASEp-2,i x ∑DMAXGCp-2,k,i) </t>
  </si>
  <si>
    <t>ACTUALIZACION TARIFARIA ENTRA EN VIGENCIA EL:    1 DE ENERO DE 2015</t>
  </si>
  <si>
    <t>Cargos Correc por Generación en p-2</t>
  </si>
  <si>
    <t xml:space="preserve">Ingresos para p-2 aplicando los cargos Correc de p-2 de horas de punta a las ventas reales de p-2 (FORM AT821)         [SUMi(CPOTGENEP-Correcp-2,i x VRp-2,i) +SUMi(CPOTGENP-Correcp-2,i x ∑DMAXp-2,k,i)+SUMi"i=MDHORARIA(CENEGENP-Correcp-2,i x VRPp-2,i) +SUMi"i=MDNOHORARIA(CENEGENCorrecp-2,i x VRp-2,i x FCPCp-2,i) + SUMi (CPOTGENGCP-Correcp-2,i x ∑DMAXGCp-2,k,i)] </t>
  </si>
  <si>
    <t xml:space="preserve">Ingresos para p-2 aplicando los cargos Correc de p-2 de horas de punta a las ventas estimadas de p-2 (FORM AT821-Estimado Original)         [SUMi(CPOTGENEP-Correcp-2,i x VEp-2,i) +SUMi(CPOTGENP-Correcp-2,i x ∑DMAXEp-2,k,i)+SUMi"i=MDHORARIA(CENEGENP-Correcp-2,i x VEPp-2,i) +SUMi"i=MDNOHORARIA(CENEGENCorrecp-2,i x VEp-2,i x FCPCp-2,i) + SUMi (CPOTGENGCP-Correcp-2,i x ∑DMAXEGCp-2,k,i)] </t>
  </si>
  <si>
    <t>Cargos BASE por Pérdidas en Transmisión en p-2 (CPETBASEp-2,i)</t>
  </si>
  <si>
    <t>INGRESOS PARA p-2 APLICANDO LOS CARGOS BASE POR TARIFA A LAS VENTAS  REALES (FORM AT821) (CPETBASEp-2,i x VRi,p-2)</t>
  </si>
  <si>
    <t>Cargos Correc por Pérdidas en Transmisión en p-2 (CPETCorrecp-2,i)</t>
  </si>
  <si>
    <t>INGRESOS PARA p-2 APLICANDO LOS CARGOS Correc POR TARIFA A LAS VENTAS REALES (FORM AT821) (CPETCorrecp-2,i x VRi,p-2)</t>
  </si>
  <si>
    <t>INGRESOS PARA p-2 APLICANDO LOS CARGOS Correc POR TARIFA A LAS VENTAS  ESTIMADAS (FORM AT821-Estimado Original) (CPETCorrecp-2,i x VEi,p-2)</t>
  </si>
  <si>
    <t>Cargos BASE por Transmisión en p-2 (CPTBASEp-2,i)</t>
  </si>
  <si>
    <t>INGRESOS PARA p-2 APLICANDO LOS CARGOS BASE POR TARIFA DE p-2 A LAS VENTAS REALES (FORM AT821) (CPTBASEp-2,i x VRp-2,i)</t>
  </si>
  <si>
    <t>Cargos Correc por Transmisión en p-2 (CPTCorrecp-2,i)</t>
  </si>
  <si>
    <t>INGRESOS PARA p-2 APLICANDO LOS CARGOS Correc POR TARIFA DE p-2 A LAS VENTAS REALES (FORM AT821) (CPTCorrecp-2,i x VRp-2,i)</t>
  </si>
  <si>
    <t>INGRESOS PARA p-2 APLICANDO LOS CARGOS Correc POR TARIFA DE p-2 A LAS VENTAS ESTIMADAS (FORM AT821-Estimado Original) (CPTCorrecp-2,i x VEp-2,i)</t>
  </si>
  <si>
    <t>Desc</t>
  </si>
  <si>
    <t>PROYECCIÓN DE CANTIDAD DE CLIENTES NO ABASTECIDOS POR OTRO AGENTE</t>
  </si>
  <si>
    <t>Prima</t>
  </si>
  <si>
    <t>Ingresos Permitido (Cargo Base P-2 x Vtas P-2)</t>
  </si>
  <si>
    <t>COMPRA TOTAL</t>
  </si>
  <si>
    <t>Punta</t>
  </si>
  <si>
    <t>FIA</t>
  </si>
  <si>
    <t>Sub-Total</t>
  </si>
  <si>
    <t>SEMESTRE (P-2)</t>
  </si>
  <si>
    <t>DME-063-12</t>
  </si>
  <si>
    <t>DME-064-12</t>
  </si>
  <si>
    <t>HIDRO PIEDRA</t>
  </si>
  <si>
    <t>DME-001-13</t>
  </si>
  <si>
    <t>DME-006-13</t>
  </si>
  <si>
    <t>DME-015-13</t>
  </si>
  <si>
    <t>Fuerza Eléctrica del Istmo (2016-27)</t>
  </si>
  <si>
    <t>Hidro CAISÀN (2016-27)</t>
  </si>
  <si>
    <t>HYDRO CAISAN</t>
  </si>
  <si>
    <t>Costo por Incremento en Precios en Contratos por Arbitrajes</t>
  </si>
  <si>
    <t>Costos por Incrementos en Precios en Contratos por Arbittraje</t>
  </si>
  <si>
    <r>
      <t xml:space="preserve">Consumo de Energía Estimado (Luminarias Apagadas)   </t>
    </r>
    <r>
      <rPr>
        <b/>
        <sz val="9"/>
        <rFont val="Arial"/>
        <family val="2"/>
      </rPr>
      <t/>
    </r>
  </si>
  <si>
    <t>FIANZAS DE CONTRATOS</t>
  </si>
  <si>
    <t>EDEMET - Puntos Fronteras</t>
  </si>
  <si>
    <t>SOLAR</t>
  </si>
  <si>
    <t>Sol</t>
  </si>
  <si>
    <t>FIANZA</t>
  </si>
  <si>
    <t>Contratos de Reserva por Restricciones</t>
  </si>
  <si>
    <t>% de Pérdida de Transmisión</t>
  </si>
  <si>
    <t>CMS ENSA</t>
  </si>
  <si>
    <t>CMS ENSA (Pérd. Trans.)</t>
  </si>
  <si>
    <t>Días</t>
  </si>
  <si>
    <t>CARGOS POR PERDIDAS EN DISTRIBUCION</t>
  </si>
  <si>
    <t>Meses de Laminación</t>
  </si>
  <si>
    <t>KW</t>
  </si>
  <si>
    <t>Reserva Tarifaria</t>
  </si>
  <si>
    <t>Total Generación</t>
  </si>
  <si>
    <t>Reserva</t>
  </si>
  <si>
    <t>Spot</t>
  </si>
  <si>
    <t>Variación</t>
  </si>
  <si>
    <t>01 - Menor o Igual a 50 kwh</t>
  </si>
  <si>
    <t>02 - Entre 51 y 100 kwh</t>
  </si>
  <si>
    <t>03 - Entre 101 y 150 kwh</t>
  </si>
  <si>
    <t>04 - Entre 151 y 200 kwh</t>
  </si>
  <si>
    <t>05 - Entre 201 y 250 kwh</t>
  </si>
  <si>
    <t>06 - Entre 251 y 300 kwh</t>
  </si>
  <si>
    <t>07 - Entre 301 y 350 kwh</t>
  </si>
  <si>
    <t>08 - Entre 351 y 400 kwh</t>
  </si>
  <si>
    <t>09 - Entre 401 y 450 kwh</t>
  </si>
  <si>
    <t>10 - Entre 451 y 500 kwh</t>
  </si>
  <si>
    <t>11 - Entre 501 y 550 kwh</t>
  </si>
  <si>
    <t>12 - Entre 551 y 600 kwh</t>
  </si>
  <si>
    <t>13 - Entre 601 y 650 kwh</t>
  </si>
  <si>
    <t>14 - Entre 651 y 700 kwh</t>
  </si>
  <si>
    <t>15 - Entre 701 y 750 kwh</t>
  </si>
  <si>
    <t>16 - Entre 751 y 1000 kwh</t>
  </si>
  <si>
    <t>17 - Entre 1001 y 1500 kwh</t>
  </si>
  <si>
    <t>18 - Entre 1501 y 2000 kwh</t>
  </si>
  <si>
    <t>19 - Entre 2001 y 2500 kwh</t>
  </si>
  <si>
    <t>20 - Entre 2501 y 3000 kwh</t>
  </si>
  <si>
    <t>21 - Mayor a 3000 kwh</t>
  </si>
  <si>
    <t xml:space="preserve">    - Jubilados</t>
  </si>
  <si>
    <t>BTS 0 a 100 KWh</t>
  </si>
  <si>
    <t>BTS 101 a 150 KWh</t>
  </si>
  <si>
    <t>BTS 151 a 200 KWh</t>
  </si>
  <si>
    <t>BTS 201 a 250 KWh</t>
  </si>
  <si>
    <t>BTS 251 a 300 KWh</t>
  </si>
  <si>
    <t>BTS 301 a 350 KWh</t>
  </si>
  <si>
    <t>BTS 351 a 400 KWh</t>
  </si>
  <si>
    <t>BTS Resto</t>
  </si>
  <si>
    <t>Total BTS</t>
  </si>
  <si>
    <t>Desface
Acumulado</t>
  </si>
  <si>
    <t>BTS 3</t>
  </si>
  <si>
    <t>BTS 2</t>
  </si>
  <si>
    <t>BTS 1</t>
  </si>
  <si>
    <t>Verificación</t>
  </si>
  <si>
    <t>HIDRO PIEDRA, S.A.</t>
  </si>
  <si>
    <t>CORPORACION DE ENERGIA DEL ISTMO</t>
  </si>
  <si>
    <t>BTS TOTAL</t>
  </si>
  <si>
    <t>Mercado Ocasional (MWh)</t>
  </si>
  <si>
    <t>Energía Equivalente</t>
  </si>
  <si>
    <t>Carb</t>
  </si>
  <si>
    <t>DME-002-15</t>
  </si>
  <si>
    <t>DME-003-15</t>
  </si>
  <si>
    <t>FIANZAS</t>
  </si>
  <si>
    <t>NAC</t>
  </si>
  <si>
    <t>Diferencial de Equivalencia de los Grandes Clientes Habilitados</t>
  </si>
  <si>
    <t>Forma de Facturación y Recobro Resoluciones ASEP</t>
  </si>
  <si>
    <t>BTS 0-50 KWh</t>
  </si>
  <si>
    <t>BTS 51-100 KWh</t>
  </si>
  <si>
    <t>BTS 101-150 KWh</t>
  </si>
  <si>
    <t>BTS 151-200 KWh</t>
  </si>
  <si>
    <t>BTS 201-250 KWh</t>
  </si>
  <si>
    <t>BTS 251-300 KWh</t>
  </si>
  <si>
    <t>BTS 301-350 KWh</t>
  </si>
  <si>
    <t>BTS 351-750 KWh</t>
  </si>
  <si>
    <t>BTS 751-Más KWh</t>
  </si>
  <si>
    <t>BTS Total</t>
  </si>
  <si>
    <t>E</t>
  </si>
  <si>
    <t>Exc</t>
  </si>
  <si>
    <t>Total de Energía Comprada (MWh)</t>
  </si>
  <si>
    <t>ESTRUCTURA DE MERCADO 
HISTORICO</t>
  </si>
  <si>
    <t>Dias del Mes</t>
  </si>
  <si>
    <t>G</t>
  </si>
  <si>
    <t>Prom</t>
  </si>
  <si>
    <t>Total de Intereses</t>
  </si>
  <si>
    <t>Tasa Depósitos Plazo Fijo</t>
  </si>
  <si>
    <t>Tasa Préstamos Comerciales</t>
  </si>
  <si>
    <t>En caso contrario aplica la tasa de préstamos comerciales.</t>
  </si>
  <si>
    <t>Precio Promedio de Total Regulados</t>
  </si>
  <si>
    <t>Referencia FORM           (tarifas p-1/ventas p)</t>
  </si>
  <si>
    <t>Referencia FORM    (Tarifas p/Ventas p)</t>
  </si>
  <si>
    <t>Variación  (%)</t>
  </si>
  <si>
    <t>Semestre</t>
  </si>
  <si>
    <t>Total
Aplicado</t>
  </si>
  <si>
    <t>DME-004-15</t>
  </si>
  <si>
    <t>En caso de Excedente a favor de los clientes según Resolución 9800 del 13/Abr/2016 (Tasa Depósitos Plazo Fijo)</t>
  </si>
  <si>
    <t>Créditos a Favor de los Clientes Resolución 10206-Elec, Fuentes Nuevas, Renovables y Limpias</t>
  </si>
  <si>
    <t>Energía CND + SIGSA + Mercado Ocasional</t>
  </si>
  <si>
    <t>Consumo Clientes Regulados</t>
  </si>
  <si>
    <t>Consumo Clientes No Regulados</t>
  </si>
  <si>
    <t>Consumo Total</t>
  </si>
  <si>
    <t>Consumo Alumbrado Público</t>
  </si>
  <si>
    <t>DME-066-12</t>
  </si>
  <si>
    <t>S</t>
  </si>
  <si>
    <t xml:space="preserve"> GENERADORES MWh</t>
  </si>
  <si>
    <t>ENERGIA COMPRADA MWh</t>
  </si>
  <si>
    <t>Real</t>
  </si>
  <si>
    <t>Asignación SAERLP</t>
  </si>
  <si>
    <t>ATD1</t>
  </si>
  <si>
    <t>MTH2 P</t>
  </si>
  <si>
    <t>MTH2 FP</t>
  </si>
  <si>
    <t>ATD2</t>
  </si>
  <si>
    <t>ENERGIA</t>
  </si>
  <si>
    <t>DEMANDA</t>
  </si>
  <si>
    <t>CLIENTES</t>
  </si>
  <si>
    <t>Clientes</t>
  </si>
  <si>
    <t>HIDROECOLOGICA DEL TERIBE</t>
  </si>
  <si>
    <t>EMPRESA NACIONAL DE ENERGÍA, S.A.</t>
  </si>
  <si>
    <t>Zona 5 (Llano Sanchez)</t>
  </si>
  <si>
    <t xml:space="preserve">HYDRO CAISAN </t>
  </si>
  <si>
    <t xml:space="preserve">ELECTRON INVESTMENT </t>
  </si>
  <si>
    <t>CORP ENERGIA ISTMO</t>
  </si>
  <si>
    <t>GAS NATURAL ATLÁNTICO, S. DE R.L.</t>
  </si>
  <si>
    <t>ENEL FORTUNA, S.A.</t>
  </si>
  <si>
    <t>ELECTRON INVESTMENT, S.A.</t>
  </si>
  <si>
    <t>AUTORIDAD DEL CANAL DE PANAMÁ</t>
  </si>
  <si>
    <t>FOUNTAIN INTERTRADE CORP.</t>
  </si>
  <si>
    <t>DME-041-16</t>
  </si>
  <si>
    <t>SALTOS DEL FRANCOLI, S.A.</t>
  </si>
  <si>
    <t>PANAMA SOLAR2</t>
  </si>
  <si>
    <t>Diferencia en Imporaciones del MER</t>
  </si>
  <si>
    <t>Dif Imp Mer</t>
  </si>
  <si>
    <t>Zona 5 (Llano Sánchez)</t>
  </si>
  <si>
    <t>DME-062-12</t>
  </si>
  <si>
    <t>DME-004-14</t>
  </si>
  <si>
    <t>Sistema Aislados - SENECA</t>
  </si>
  <si>
    <t>Precio Mensual de la Energía  (B/./KWh)</t>
  </si>
  <si>
    <t>COSTO PROMEDIO DE LA ENERGIA</t>
  </si>
  <si>
    <t>PASO ANCHO HYDRO POWER CORP.</t>
  </si>
  <si>
    <t>HYDRO  CAISAN, S.A.</t>
  </si>
  <si>
    <t>HIDROECOLÓGICA DEL TERIBE, S.A.</t>
  </si>
  <si>
    <t>ENERGÍA Y SERVICIOS DE  PANAMÁ, S.A.</t>
  </si>
  <si>
    <t>GENERADORA PEDREGALITO, S.A.</t>
  </si>
  <si>
    <t xml:space="preserve">GENERADORA RIO CHICO, S.A. </t>
  </si>
  <si>
    <t>ELECTROGENERADORA DEL ISTMO, S.A.</t>
  </si>
  <si>
    <t>HIDROIBÉRICA, S.A.</t>
  </si>
  <si>
    <t>CAFÉ DE ELETA, S.A.</t>
  </si>
  <si>
    <t>UEP PENONOME II, S.A.</t>
  </si>
  <si>
    <t>Diferencia en Importación del MER</t>
  </si>
  <si>
    <t>Costo de generación extraordinario (B/.)    
= 1.1 + 1.2 + 1.3 + 1.4 + 1.5</t>
  </si>
  <si>
    <t>CENEGENEX</t>
  </si>
  <si>
    <t>Año 2019</t>
  </si>
  <si>
    <t>Año 2020</t>
  </si>
  <si>
    <t>Año 2021</t>
  </si>
  <si>
    <t>Año 2022</t>
  </si>
  <si>
    <t>INGRESOS ESTIMADOS PARA p APLICANDO LOS NUEVOS CARGOS TARIFARIOS POR TARIFA A LA PROYECCION DE VENTAS DE LOS GRANDES CLIENTES (FORM AT821) (CPTp,i x VEGCp,i)</t>
  </si>
  <si>
    <t>Cargos BASE por Generación Extraordinarios       en p-1</t>
  </si>
  <si>
    <t>Cargos BASE por Generación Extraordinario en p-2</t>
  </si>
  <si>
    <t>Estimado Original</t>
  </si>
  <si>
    <t>Form 801 KWh (Grandes Clientes)</t>
  </si>
  <si>
    <t>Ingresos P-1</t>
  </si>
  <si>
    <t>Ingresos P</t>
  </si>
  <si>
    <t>Ingresos Cargo de Base de P-1 X Ventas Estimadas P</t>
  </si>
  <si>
    <t>Pérdida de Transmisión</t>
  </si>
  <si>
    <t>Base</t>
  </si>
  <si>
    <t>Corrección</t>
  </si>
  <si>
    <t>Ingresos de Potencia de Generación</t>
  </si>
  <si>
    <t>Ingresos de Energía de Generación</t>
  </si>
  <si>
    <t>Costo de generación extraordinario  (Viene del MODELO AT500 (Extra), punto 1) (B/.)</t>
  </si>
  <si>
    <t>Ingresos que producen los cargos tarifarios por potencia de generación y las ventas del semeste correspondiente (Viene del FORM AT504-potencia y AT506-potencia) (B/.)</t>
  </si>
  <si>
    <t>Porción de los costos de generación permitidos a trasladar a los cargos por energía de las tarifas en el semestre p (B/.) (10)</t>
  </si>
  <si>
    <t>Ingresos estimados que obtendría la distribuidora de los clientes que no se encuentran abastecidos por otro agente para cubrir los costos de generación asignados a energía. Resultan de aplicar los cargos Base por energía de generación que contienen las tarifas del semestre p-1 a la proyección de ventas del semestre p (Viene del FORM AT503) (B/.)</t>
  </si>
  <si>
    <t>ATH G</t>
  </si>
  <si>
    <t>ATD G</t>
  </si>
  <si>
    <t>MTH G</t>
  </si>
  <si>
    <t>MTD G</t>
  </si>
  <si>
    <t>BTH G</t>
  </si>
  <si>
    <t>BTD G</t>
  </si>
  <si>
    <t>Costo permitido Real de generación (asignados a energía) calculado en base a los costos reales  y a las ventas reales en el semestre p-2.  (B/.) (10)</t>
  </si>
  <si>
    <t>Ingresos permitidos producidos por los cargos Correcc por generación y las ventas estimadas en el semestre  p-2  (Viene del FORM AT507) (B/.)</t>
  </si>
  <si>
    <t>Ingresos reales producidos por los cargos Correcc por generación  y las ventas reales en el semestre p-2 (Viene del FORM AT508) (B/.)</t>
  </si>
  <si>
    <t>Monto necesario para cubrir las diferencias entre los ingresos permitidos (producidos por los cargos Correcc y las ventas estimadas) y los ingresos reales (producidos por los cargos Correcc y las ventas reales) en el semestre p-2 (B/.) = 15 - 16</t>
  </si>
  <si>
    <t>Monto necesario para cubrir los apartamientos que se produjeron entre los costos de generación reales (asignados a la energía) y los ingresos reales (producidos por los cargos Base y las ventas reales, incluyendo los ingresos por los cargos variación por combustible) y por las diferencias entre los ingresos permitidos (producidos por los cargos Correcc y las ventas estimadas) y los ingresos reales (producidos por los cargos Correcc y las ventas reales) del semestre p-2   (B/.) = 13 - 14 + 17</t>
  </si>
  <si>
    <t>Tasa de interés (Viene del FORM AT700)</t>
  </si>
  <si>
    <t>Factor de la tasa de interés = (1 + 19)</t>
  </si>
  <si>
    <t xml:space="preserve">Intereses generados dentro del semestre p-2 ocasionados por el desfase del costo permitido a recuperar en el ajuste mensual del cargo variable por combustible (Viene del FORM AT509) (B/.) </t>
  </si>
  <si>
    <t>Valor de los apartamientos actualizado con la tasa de descuento “r” (B/.) = ( 18 x 20 ) + 21</t>
  </si>
  <si>
    <t>Factor de Actualización o corrección  = (11 / 12)</t>
  </si>
  <si>
    <t>Factor de Actualización o corrección  = (22 / 12)</t>
  </si>
  <si>
    <t>Ingresos Permitido (Cargo Base P-2 x Vtas P-2) Ene</t>
  </si>
  <si>
    <t>Al.Pub.</t>
  </si>
  <si>
    <t>TOTAL SIN AL. PUB.</t>
  </si>
  <si>
    <t>Argos</t>
  </si>
  <si>
    <t>CPOTGEN</t>
  </si>
  <si>
    <t>BTS Prepago</t>
  </si>
  <si>
    <t>ARGOS</t>
  </si>
  <si>
    <t>Cargo Fijo (1eros. 10 KWh)</t>
  </si>
  <si>
    <t>Cargo por Energía (Siguientes KWh)</t>
  </si>
  <si>
    <t>Costas Colón - SENECA</t>
  </si>
  <si>
    <t>DME-001-18</t>
  </si>
  <si>
    <t>BTS PREPAGO (Cons 0 a 300 KWh)</t>
  </si>
  <si>
    <t>BTS PREPAGO (Cons 300 a 750 KWh)</t>
  </si>
  <si>
    <t>BTS PREPAGO (Cons Más de 750 KWh)</t>
  </si>
  <si>
    <t xml:space="preserve">    - ARGOS Solo Al. Público</t>
  </si>
  <si>
    <t>BTS PP</t>
  </si>
  <si>
    <t>EMNADESA</t>
  </si>
  <si>
    <t>ISTMUS HIDRO POWER</t>
  </si>
  <si>
    <t>Generación Extra</t>
  </si>
  <si>
    <t>Tarifa con Demanda Máxima (BTD)</t>
  </si>
  <si>
    <t>Tarifa con Demanda Máxima (MTD)</t>
  </si>
  <si>
    <t>Tarifa con Demanda Máxima (ATD)</t>
  </si>
  <si>
    <t>Cargo por Demanda Máxima Fuera de Punta</t>
  </si>
  <si>
    <t>BTS Prepago (Cons 0 a 300 KWh)</t>
  </si>
  <si>
    <t>BTS Prepago (Cons 300 a 750 KWh)</t>
  </si>
  <si>
    <t>BTS Prepago (Cons Más de 750 KWh)</t>
  </si>
  <si>
    <t>BTS
Prepago</t>
  </si>
  <si>
    <t>BTS
1</t>
  </si>
  <si>
    <t>BTS
2</t>
  </si>
  <si>
    <t>BTS
3</t>
  </si>
  <si>
    <t>Tarifa BTS- Prepago</t>
  </si>
  <si>
    <t>ENSA</t>
  </si>
  <si>
    <t xml:space="preserve">BTS (0-300) </t>
  </si>
  <si>
    <t xml:space="preserve">BTS (301-750) </t>
  </si>
  <si>
    <t>TOTAL BTS</t>
  </si>
  <si>
    <t>TOTAL BT, MT y AT</t>
  </si>
  <si>
    <t>Ingresos reales producidos por los cargos Base por energía y las ventas reales del semestre p-2, incluyendo los ingresos producidos por los cargos por variación por combustible relacionados a los costos del semestre respectivo.
(Viene del FORM AT506) (B/.)</t>
  </si>
  <si>
    <t>AES PANAMÁ</t>
  </si>
  <si>
    <t xml:space="preserve">CAFÉ DE ELETA, S.A. </t>
  </si>
  <si>
    <t>TOTAL COSTO DE ENERGIA</t>
  </si>
  <si>
    <t>DTE Reconstrucción</t>
  </si>
  <si>
    <t>BTH2 P</t>
  </si>
  <si>
    <t>BTH2 FP</t>
  </si>
  <si>
    <t>CLIENTES HISTORICOS</t>
  </si>
  <si>
    <t>CLIENTES PROYECTADOS</t>
  </si>
  <si>
    <t>CAFÉ DE ELETA</t>
  </si>
  <si>
    <t>% Confiabilidad</t>
  </si>
  <si>
    <t>GRAN TOTAL</t>
  </si>
  <si>
    <t>Precio Promedio Total Regulados</t>
  </si>
  <si>
    <t>Total Distribución</t>
  </si>
  <si>
    <t>Total Transmisión</t>
  </si>
  <si>
    <t xml:space="preserve">    - Regulares - Cargo Dem Gen 0.00</t>
  </si>
  <si>
    <t xml:space="preserve">    - Regulares - Cargo Dem Gen 8.96</t>
  </si>
  <si>
    <t xml:space="preserve"> Horaria - Cargo Dem Gen 8.96</t>
  </si>
  <si>
    <t>Precio</t>
  </si>
  <si>
    <t>ARGOS Solo Al. Público</t>
  </si>
  <si>
    <t xml:space="preserve">    MTD cargo 8.96</t>
  </si>
  <si>
    <t xml:space="preserve">    MTD cargo 0.00</t>
  </si>
  <si>
    <t>DME-002-14</t>
  </si>
  <si>
    <t>CONTRATOS ENERGIA EQUIVALENTE</t>
  </si>
  <si>
    <t>Energía Excedente Reconocida Paneles Solares</t>
  </si>
  <si>
    <t>FOUNTAIN HYDRO POWER CORP</t>
  </si>
  <si>
    <t>Tarifa por Bloque Horario (BTH)</t>
  </si>
  <si>
    <t>Tarifa por Bloque Horario (MTH)</t>
  </si>
  <si>
    <t>Tarifa por Bloque Horario (ATH)</t>
  </si>
  <si>
    <t xml:space="preserve">HIDROECOLOGICA DEL TERIBE </t>
  </si>
  <si>
    <t xml:space="preserve">ELECTROGENERADORA DEL ISTMO </t>
  </si>
  <si>
    <t>SALTOS DE  FRANCOLI</t>
  </si>
  <si>
    <t>RIO CHICO</t>
  </si>
  <si>
    <t>ALTO VALLE</t>
  </si>
  <si>
    <t>SAN LORENZO</t>
  </si>
  <si>
    <t>ISTMUS HYDRO POWER</t>
  </si>
  <si>
    <t xml:space="preserve">HIDROIBÉRICA </t>
  </si>
  <si>
    <t xml:space="preserve">ESEPSA  </t>
  </si>
  <si>
    <t>GAS NATURAL DEL ATLÁNTICO, S.A.</t>
  </si>
  <si>
    <t>PROYECCION DE VENTAS</t>
  </si>
  <si>
    <t>ATH1 P</t>
  </si>
  <si>
    <t>ATH1 FP</t>
  </si>
  <si>
    <t>Ingresos Reales Cargos CVC Base P-2 y Ventas P-2 (FORM AT506CVC) De haberse aplicado todos los meses</t>
  </si>
  <si>
    <t>Estructura
Clientes</t>
  </si>
  <si>
    <t>Estructura
Energía</t>
  </si>
  <si>
    <t>Cantidad
Clientes</t>
  </si>
  <si>
    <t xml:space="preserve">    - Regulares - CD $ 0.00</t>
  </si>
  <si>
    <t xml:space="preserve">    - Regulares - CD $ 8.96</t>
  </si>
  <si>
    <t xml:space="preserve">    - Horaria - CD $ 0.00</t>
  </si>
  <si>
    <t xml:space="preserve">    - Horaria - CD $ 8.96</t>
  </si>
  <si>
    <t xml:space="preserve">    - Horaria - CD $ 11.25</t>
  </si>
  <si>
    <t>MTH3 P</t>
  </si>
  <si>
    <t>TOTAL PUNTA</t>
  </si>
  <si>
    <t>TOTAL FUERA DE PUNTA</t>
  </si>
  <si>
    <t>Proy Consumo Regulados</t>
  </si>
  <si>
    <t>Intereses Calculados</t>
  </si>
  <si>
    <t>Pérd. Dist.</t>
  </si>
  <si>
    <t xml:space="preserve">    MTH cargo 8.96</t>
  </si>
  <si>
    <t xml:space="preserve">    MTH cargo 11.25</t>
  </si>
  <si>
    <t>% en Punta</t>
  </si>
  <si>
    <t xml:space="preserve"> Horaria - Cargo Dem Gen 11.25</t>
  </si>
  <si>
    <t>TROPITERMICA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</si>
  <si>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</si>
  <si>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</si>
  <si>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</si>
  <si>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</si>
  <si>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</si>
  <si>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</si>
  <si>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</si>
  <si>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</si>
  <si>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</si>
  <si>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</si>
  <si>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</si>
  <si>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</si>
  <si>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Año. Tasas de Interés sobre Crédito y Depositos Plazo Fijo.</t>
  </si>
  <si>
    <t>Tasas de Interes
Prestamos Comerciales
Al Por Mayor</t>
  </si>
  <si>
    <t>Tasas de Interes
Depositos Plazo Fjo
A Seil Meses</t>
  </si>
  <si>
    <t>Sist. Aisl. - SENECA (Colón)</t>
  </si>
  <si>
    <t>Sist. Aisl. - Pearl Island Potencia (La Miel -Pto Obaldia)</t>
  </si>
  <si>
    <t>Sist. Aisl. - SENECA</t>
  </si>
  <si>
    <t>Sist. Aisl. - Pearl Island (La Miel -Pto Obaldia)</t>
  </si>
  <si>
    <t>Nota DSAN-665-19 del 12/Mar/2019</t>
  </si>
  <si>
    <t>MTH4 P</t>
  </si>
  <si>
    <t>BTD1   $ 0.00</t>
  </si>
  <si>
    <t>BTD2   $ 8.96</t>
  </si>
  <si>
    <t>BTD3   $11.25</t>
  </si>
  <si>
    <t>BTD4   $12.50</t>
  </si>
  <si>
    <t xml:space="preserve">    - Horaria - CD $ 12.50</t>
  </si>
  <si>
    <t xml:space="preserve">    - Regulares - CD $ 11.25</t>
  </si>
  <si>
    <t xml:space="preserve">    - Regulares - CD $ 12.50</t>
  </si>
  <si>
    <t>Generadoras1</t>
  </si>
  <si>
    <t>RESERVA</t>
  </si>
  <si>
    <t>CALDERA ENERGY</t>
  </si>
  <si>
    <t xml:space="preserve">GENERADORA ALTO VALLE, S.A. </t>
  </si>
  <si>
    <t xml:space="preserve">GENERADORA PEDREGALITO, S.A. </t>
  </si>
  <si>
    <t xml:space="preserve">GENERADORA RIO CHICO, S.A.  </t>
  </si>
  <si>
    <t xml:space="preserve">    MTH cargo 12.50</t>
  </si>
  <si>
    <t xml:space="preserve">    MTD cargo 11.25</t>
  </si>
  <si>
    <t xml:space="preserve">    MTD cargo 12.50</t>
  </si>
  <si>
    <t xml:space="preserve">    BTD cargo 0.00</t>
  </si>
  <si>
    <t xml:space="preserve">    BTD cargo 8.96</t>
  </si>
  <si>
    <t xml:space="preserve">    BTD cargo 11.25</t>
  </si>
  <si>
    <t xml:space="preserve">    BTD cargo 12.50</t>
  </si>
  <si>
    <t xml:space="preserve">    ATH cargo 0.00</t>
  </si>
  <si>
    <t xml:space="preserve">    BTH cargo 8.96</t>
  </si>
  <si>
    <t xml:space="preserve">   ATH cargo 0.00</t>
  </si>
  <si>
    <t xml:space="preserve">   ATH Cargo 0.00</t>
  </si>
  <si>
    <t xml:space="preserve">   ATD Cargo 0.00</t>
  </si>
  <si>
    <t xml:space="preserve">   MTD Cargo 0.00</t>
  </si>
  <si>
    <t xml:space="preserve">   BTD Cargo 0.00</t>
  </si>
  <si>
    <t xml:space="preserve"> Horaria - Cargo Dem Gen 12.50</t>
  </si>
  <si>
    <t xml:space="preserve">    - Regulares - Cargo Dem Gen 11.25</t>
  </si>
  <si>
    <t xml:space="preserve">    - Regulares - Cargo Dem Gen 12.50</t>
  </si>
  <si>
    <t>CLIENTES REGULADOS</t>
  </si>
  <si>
    <t>GAS NATURAL ATLANTICO</t>
  </si>
  <si>
    <t>HIDROELÉCTRICA SAN LORENZO, S.A.</t>
  </si>
  <si>
    <t>PANAMA SOLAR 2, S.A.</t>
  </si>
  <si>
    <t>ISLAND POWER</t>
  </si>
  <si>
    <t xml:space="preserve">SENECA ENERGY </t>
  </si>
  <si>
    <t>Balance AjPérdTran 400 Total</t>
  </si>
  <si>
    <t>Balance AjTran 300 Total</t>
  </si>
  <si>
    <t>Balance AjPérdDist 200 Total</t>
  </si>
  <si>
    <t>Costo
Permitido</t>
  </si>
  <si>
    <t>Ingreso
Permitido</t>
  </si>
  <si>
    <t>Ingreso Corrección Volumen</t>
  </si>
  <si>
    <t>Intereses Desfaces FET y CVCs</t>
  </si>
  <si>
    <t>Intereses Reserva</t>
  </si>
  <si>
    <t>NOMBRE DE LA DISTRIBUIDORA: ENSA</t>
  </si>
  <si>
    <t>Balance AjGen500 Total</t>
  </si>
  <si>
    <t>Balance AjGen500 Extra</t>
  </si>
  <si>
    <t xml:space="preserve">Generación </t>
  </si>
  <si>
    <t>IIS21</t>
  </si>
  <si>
    <t>IS22</t>
  </si>
  <si>
    <t>SA</t>
  </si>
  <si>
    <t>MTD1   $ 0.00</t>
  </si>
  <si>
    <t>MTD2   $ 8.96</t>
  </si>
  <si>
    <t>MTD3   $11.25</t>
  </si>
  <si>
    <t>T SP</t>
  </si>
  <si>
    <t>H SP</t>
  </si>
  <si>
    <t>DME-008-13</t>
  </si>
  <si>
    <t>H SE</t>
  </si>
  <si>
    <t>T SE</t>
  </si>
  <si>
    <t>SP</t>
  </si>
  <si>
    <t>Sistemas Aislados - PI Potencia</t>
  </si>
  <si>
    <t>SOLPAC</t>
  </si>
  <si>
    <t>Sistemas Aislados - PI Energía</t>
  </si>
  <si>
    <t>Bidireccionales</t>
  </si>
  <si>
    <t>MTD -  Demanda Máxima</t>
  </si>
  <si>
    <t>MTH -  Demanda Horaria</t>
  </si>
  <si>
    <t>MTH - Demanda Horaria</t>
  </si>
  <si>
    <t xml:space="preserve"> Demanda Horaria</t>
  </si>
  <si>
    <t xml:space="preserve">    ATD cargo 0.00</t>
  </si>
  <si>
    <t xml:space="preserve">    ATD cargo 8.96</t>
  </si>
  <si>
    <t>Reserva Extraordinarios</t>
  </si>
  <si>
    <t>CVC Facturados</t>
  </si>
  <si>
    <t>Reserva Pérd. Trans.</t>
  </si>
  <si>
    <t>Reserva Transmisión</t>
  </si>
  <si>
    <t xml:space="preserve">Ingresos Permitido CVC </t>
  </si>
  <si>
    <t>Costo de Generación Trasladado a Energía</t>
  </si>
  <si>
    <t>Energía Medida CND + Grandes Clientes</t>
  </si>
  <si>
    <t>Energía Medida CND + Mercado Ocasional + SIGSA</t>
  </si>
  <si>
    <t>EDEMET - Uso de la Red de Coclesito</t>
  </si>
  <si>
    <t>Abastecimiento Al. Público</t>
  </si>
  <si>
    <t>GENERADORA DEL ATLÁNTICO, S.A.</t>
  </si>
  <si>
    <t>PANAM</t>
  </si>
  <si>
    <t>FECHA DE PRESENTACION:</t>
  </si>
  <si>
    <t xml:space="preserve">ACTUALIZACION TARIFARIA ENTRA EN VIGENCIA EL:   </t>
  </si>
  <si>
    <t>T SA</t>
  </si>
  <si>
    <t xml:space="preserve">ELECTROGENERADORA ISTMO </t>
  </si>
  <si>
    <t>HIDRO EyP</t>
  </si>
  <si>
    <t>HIDRO Solo Energía</t>
  </si>
  <si>
    <t>HIDRO Solo Potencia</t>
  </si>
  <si>
    <t>EOLICA Solo Energía</t>
  </si>
  <si>
    <t>GAS EyP</t>
  </si>
  <si>
    <t>SOLAR Solo Energía</t>
  </si>
  <si>
    <t>TERMICO Carbón</t>
  </si>
  <si>
    <t>TERMICO EyP</t>
  </si>
  <si>
    <t>TERMICO Solo Energía</t>
  </si>
  <si>
    <t>TERMICO Solo Potencia</t>
  </si>
  <si>
    <t>TERMICO Sistemas Aislados</t>
  </si>
  <si>
    <t>SISTEMA AISLADOS (DIESEL)</t>
  </si>
  <si>
    <t>Pérdidas de Transmisión (DTE +Aj)</t>
  </si>
  <si>
    <t>Costos por Incrementos en Precios en Contratos por Arbitraje</t>
  </si>
  <si>
    <t>DESARROLLOS HIDROELÉCTRICOS CORP.</t>
  </si>
  <si>
    <t>Energía Trasegada Estimada</t>
  </si>
  <si>
    <t xml:space="preserve">    - Regulares - CD $ 13.93</t>
  </si>
  <si>
    <t>Venci-
miento</t>
  </si>
  <si>
    <t>Costo de la Capacidad Contratada $000</t>
  </si>
  <si>
    <t>Costo de la Energía en HP $ miles</t>
  </si>
  <si>
    <t>Costo de la Energía en HFP $ miles</t>
  </si>
  <si>
    <t>FORTUNA</t>
  </si>
  <si>
    <t>2016-2025</t>
  </si>
  <si>
    <t>2016-Jun27</t>
  </si>
  <si>
    <t>2015-2029</t>
  </si>
  <si>
    <t>AES PANAMA (CHAN 2)</t>
  </si>
  <si>
    <t>2019-2030</t>
  </si>
  <si>
    <t>CORPORACION ENERGIA DEL ISTMO</t>
  </si>
  <si>
    <t>SALTOS DE FRANCOLI</t>
  </si>
  <si>
    <t>May18- Abr28</t>
  </si>
  <si>
    <t>A Jun 2030</t>
  </si>
  <si>
    <t>Hasta-2029</t>
  </si>
  <si>
    <t>2016-2027</t>
  </si>
  <si>
    <t>Al 2036</t>
  </si>
  <si>
    <t>2017-2036</t>
  </si>
  <si>
    <t>FOUNTAIN</t>
  </si>
  <si>
    <t>GENISA</t>
  </si>
  <si>
    <t>Energía en Horas de Punta (Mwh)</t>
  </si>
  <si>
    <t>Energía en Horas Fuera de Punta (Mwh)</t>
  </si>
  <si>
    <t>DME-014-23</t>
  </si>
  <si>
    <t>DME-015-23</t>
  </si>
  <si>
    <t>CELSIA CENTROAMÉRICA, S.A.</t>
  </si>
  <si>
    <t>DME-016-23</t>
  </si>
  <si>
    <t>DME-017-23</t>
  </si>
  <si>
    <t>DME-018-23</t>
  </si>
  <si>
    <t>DME-019-23</t>
  </si>
  <si>
    <t>DME-020-23</t>
  </si>
  <si>
    <t>DME-021-23</t>
  </si>
  <si>
    <t>SPARKLE POWER, S.A.</t>
  </si>
  <si>
    <t>DME-022-23</t>
  </si>
  <si>
    <t>TROPITÉRMICA, S.A.</t>
  </si>
  <si>
    <t>Mar23-Feb26</t>
  </si>
  <si>
    <t>DME-001-23</t>
  </si>
  <si>
    <t>DME-002-23</t>
  </si>
  <si>
    <t>DME-003-23</t>
  </si>
  <si>
    <t>FOUNTAIN HYDRO POWER</t>
  </si>
  <si>
    <t>DME-004-23</t>
  </si>
  <si>
    <t>DME-005-23</t>
  </si>
  <si>
    <t>GENA SOLAR, S.A.</t>
  </si>
  <si>
    <t>DME-006-23</t>
  </si>
  <si>
    <t>DME-007-23</t>
  </si>
  <si>
    <t>DME-008-23</t>
  </si>
  <si>
    <t>DME-009-23</t>
  </si>
  <si>
    <t>IDEAL PANANAMÁ</t>
  </si>
  <si>
    <t>DME-010-23</t>
  </si>
  <si>
    <t>DME-011-23</t>
  </si>
  <si>
    <t>DME-012-23</t>
  </si>
  <si>
    <t>DME-013-23</t>
  </si>
  <si>
    <t>SOLAR BOQUERON,S.A.</t>
  </si>
  <si>
    <t xml:space="preserve">    - Regulares - Cargo Dem Gen 13.93</t>
  </si>
  <si>
    <t xml:space="preserve">    BTD cargo 13.93</t>
  </si>
  <si>
    <t xml:space="preserve">    MTD cargo 13.93</t>
  </si>
  <si>
    <t>Cargo Potencia Año 2019</t>
  </si>
  <si>
    <t>Cargo Potencia Año 2022</t>
  </si>
  <si>
    <t>Cargo Potencia Año 2021</t>
  </si>
  <si>
    <t>Cargo Potencia Año 2020</t>
  </si>
  <si>
    <t>Fuente: Página Web de la Contraloría General de la República.</t>
  </si>
  <si>
    <t>Sección: Instituno Nacional de Estadísicas y Censo</t>
  </si>
  <si>
    <t>CARGOS DE COMERCIALIZACION, DISTRIBUCION Y SERVICIO DE ALUMBRADO PUBLICO</t>
  </si>
  <si>
    <t>Los clientes conectados en voltajes de 115 kV Tarifa por Bloque Horario</t>
  </si>
  <si>
    <t>Los clientes conectados en voltajes de 115 kV, Tarifa con Demanda</t>
  </si>
  <si>
    <t>Los clientes conectados en voltajes mayores que 600V y menores que 115 kV  la Tarifa por Bloque Horario.</t>
  </si>
  <si>
    <t>Los clientes conectados en voltajes mayores que 600V y menores que 115 kV Tarifa con Demanda</t>
  </si>
  <si>
    <t>CD Energía</t>
  </si>
  <si>
    <t>BTSH</t>
  </si>
  <si>
    <t xml:space="preserve">    - Jubilados (601 y Más KWh)</t>
  </si>
  <si>
    <t>Tarifa BTSH</t>
  </si>
  <si>
    <t>Tarifa BTS con Medición Prepago.</t>
  </si>
  <si>
    <t>Cargo por Energía (consumo 11 a 300 KWh)</t>
  </si>
  <si>
    <t>Cargo por Energía (de 1 a 10,000 KWh)</t>
  </si>
  <si>
    <t>Cargo por Energía (de 10,0001 a 30,000 KWh)</t>
  </si>
  <si>
    <t>Cargo por Energía (de 30,0001 a 50,000 KWh)</t>
  </si>
  <si>
    <t>Cargo por Energía (de 51,0001 y Más KWh)</t>
  </si>
  <si>
    <t>Cargo por Demanda Máx. (Horas Punta)</t>
  </si>
  <si>
    <t>Cargo por Energía (Horas Punta)</t>
  </si>
  <si>
    <t>Cargo por Energía (Horas Fuera de Punta Medio)</t>
  </si>
  <si>
    <t>Cargo por Energía (Horas Fuera de Punta Bajo)</t>
  </si>
  <si>
    <t>Resumen de Cargo</t>
  </si>
  <si>
    <t>Composición de los Cargo:</t>
  </si>
  <si>
    <t>Resumen de los Cargo:</t>
  </si>
  <si>
    <t>Composición de los Cargo</t>
  </si>
  <si>
    <t>Cargo de Conexión y Reconexión</t>
  </si>
  <si>
    <t xml:space="preserve">Cargo POR USO DEL SISTEMA DE DISTRIBUCION </t>
  </si>
  <si>
    <t xml:space="preserve"> B/./kWh</t>
  </si>
  <si>
    <t>Anteriores</t>
  </si>
  <si>
    <t>Año 2023</t>
  </si>
  <si>
    <t>301 a 750</t>
  </si>
  <si>
    <t>751 y más</t>
  </si>
  <si>
    <t xml:space="preserve">   0 a 300</t>
  </si>
  <si>
    <t>Horas Punta</t>
  </si>
  <si>
    <t>Horas FPM</t>
  </si>
  <si>
    <t>GRANDES CLIENTES</t>
  </si>
  <si>
    <t>Energía Horas
Punta
(KWh)</t>
  </si>
  <si>
    <t>Energía Horas
Fuera de Punta Medio
(KWh)</t>
  </si>
  <si>
    <t>Energía Horas
Fuera de Punta Bajo
(KWh)</t>
  </si>
  <si>
    <t xml:space="preserve">    - Jubilados (301 a 600 KWh)</t>
  </si>
  <si>
    <t>BTS PREPAGO (Cons 301 a 750 KWh)</t>
  </si>
  <si>
    <t>BTS PREPAGO (Cons 751 y Más KWh)</t>
  </si>
  <si>
    <t>BTS (Cons 751 y Más KWh)</t>
  </si>
  <si>
    <t>BTS (Cons 301 a 750 KWh)</t>
  </si>
  <si>
    <t>Cargo por Potencia Energizada</t>
  </si>
  <si>
    <t>Resumen Actualización Pass Throught</t>
  </si>
  <si>
    <t>Resumen Actualización VAD</t>
  </si>
  <si>
    <t>BTSH Punta</t>
  </si>
  <si>
    <t>BTSH FP Medio</t>
  </si>
  <si>
    <t>BTSH FP Bajo</t>
  </si>
  <si>
    <t>FPM</t>
  </si>
  <si>
    <t>FPB</t>
  </si>
  <si>
    <t>Cargo por Demanda Máxima Horas Punta</t>
  </si>
  <si>
    <t>PLIEGO TARIFARIO ESTRUCURA NUEVA</t>
  </si>
  <si>
    <t>BTS Pospago</t>
  </si>
  <si>
    <t>Cargo Potencia</t>
  </si>
  <si>
    <t>Cargo Extraordinario por Energía</t>
  </si>
  <si>
    <t>CARGOS DISTRIBUCION</t>
  </si>
  <si>
    <t>Dem Punta</t>
  </si>
  <si>
    <t>Dem FPM</t>
  </si>
  <si>
    <t>Dem FPB</t>
  </si>
  <si>
    <t>Diferencia BTSH</t>
  </si>
  <si>
    <t>Tarifa BTS (751 y Mas KWh)</t>
  </si>
  <si>
    <t>Cargo de Demanda</t>
  </si>
  <si>
    <t>CENEGEN FP Bajo</t>
  </si>
  <si>
    <t>CENEGEN FP Medio</t>
  </si>
  <si>
    <t xml:space="preserve">CENEGEN P </t>
  </si>
  <si>
    <t>Cargos BASE por Generación p-1</t>
  </si>
  <si>
    <t>Cargos por Generación</t>
  </si>
  <si>
    <t>CE Punta</t>
  </si>
  <si>
    <t>CE FP Medio</t>
  </si>
  <si>
    <t>CE FP Bajo</t>
  </si>
  <si>
    <t>Cargo por Demanda Máxima Horas Fuera de Punta</t>
  </si>
  <si>
    <t>Tarifa BTSH Punta</t>
  </si>
  <si>
    <t>Tarifa BTSH Fuera Punta Medio</t>
  </si>
  <si>
    <t>Tarifa BTSH Fuera Punta Bajo</t>
  </si>
  <si>
    <t xml:space="preserve">BTS (751-Más) </t>
  </si>
  <si>
    <t xml:space="preserve">Variación </t>
  </si>
  <si>
    <t>Precio Promedio de VAD</t>
  </si>
  <si>
    <t>Generación Energía</t>
  </si>
  <si>
    <t>Generación Potencia</t>
  </si>
  <si>
    <t>Generación Al. Público</t>
  </si>
  <si>
    <t>Precio Total</t>
  </si>
  <si>
    <t>VPP1</t>
  </si>
  <si>
    <t>VPP0</t>
  </si>
  <si>
    <t>Generación + Pérd. Distr.</t>
  </si>
  <si>
    <t>1 DE ENERO DE 2024</t>
  </si>
  <si>
    <t xml:space="preserve">    - Horaria - CD $12.50</t>
  </si>
  <si>
    <t xml:space="preserve">    - Horaria - CD $ 13.93</t>
  </si>
  <si>
    <t>REGULADOS
VENTA ENERGÍA KWH</t>
  </si>
  <si>
    <t>NO REGULADOS
VENTA ENERGÍA KWH</t>
  </si>
  <si>
    <t xml:space="preserve">    - Horaria - CD $ 13.50</t>
  </si>
  <si>
    <t>MTH5 P</t>
  </si>
  <si>
    <t>AUTORIDAD DEL CANAL DE PANAMA</t>
  </si>
  <si>
    <t>CELSIA CENTROAMERICA, S.A.</t>
  </si>
  <si>
    <t>PEDREGAL POWER S. DE R.L.</t>
  </si>
  <si>
    <t>TROPITERMICA S.A.</t>
  </si>
  <si>
    <t>SOLAR BOQUERON, S.A.</t>
  </si>
  <si>
    <t>HIDROIBERICA</t>
  </si>
  <si>
    <t>HIDROBOQUERON, S.A.</t>
  </si>
  <si>
    <t>IDEAL PANAMA</t>
  </si>
  <si>
    <t>Energía Imp. en el MER (DTER)</t>
  </si>
  <si>
    <t>ETESA - CUSPT</t>
  </si>
  <si>
    <t>ETESA - CUSPT (Créditos)</t>
  </si>
  <si>
    <t>Instituto Meteorología e Hidrología de Panamá</t>
  </si>
  <si>
    <t>DME-010-13</t>
  </si>
  <si>
    <t>DME-017-13</t>
  </si>
  <si>
    <t>Gas Natural Atlántico</t>
  </si>
  <si>
    <t>PASO ANCHO (2024-27)</t>
  </si>
  <si>
    <t>EQUIVALENTES</t>
  </si>
  <si>
    <t>2024-2027</t>
  </si>
  <si>
    <t>Fact801Cli - KWh</t>
  </si>
  <si>
    <t>Cargo VAD</t>
  </si>
  <si>
    <t>FP</t>
  </si>
  <si>
    <t>Energía KWh</t>
  </si>
  <si>
    <t>Cargo</t>
  </si>
  <si>
    <t>Fact801Ene - KWh</t>
  </si>
  <si>
    <t>GENERADORA ALTO VALLE, S.A.</t>
  </si>
  <si>
    <t>UEP PENONOMÉ II, S.A.</t>
  </si>
  <si>
    <t>Hora</t>
  </si>
  <si>
    <t>Cargo por Demanda Máxima Generación *</t>
  </si>
  <si>
    <t>Cargo por Demanda Máxima Generación</t>
  </si>
  <si>
    <t>DME-030-23</t>
  </si>
  <si>
    <t>DME-034-23</t>
  </si>
  <si>
    <t>DME-037-23</t>
  </si>
  <si>
    <t>Ene24-Dic25</t>
  </si>
  <si>
    <t>DME-038-23</t>
  </si>
  <si>
    <t>DME-039-23</t>
  </si>
  <si>
    <t>Cargo Fijo 1eros 10 KWh</t>
  </si>
  <si>
    <t>Cargo Energía 0-300 KWh</t>
  </si>
  <si>
    <t>BTS 51 a 100 KWh</t>
  </si>
  <si>
    <t>1 DE JULIO DE 2024</t>
  </si>
  <si>
    <t>MWH PUNTA</t>
  </si>
  <si>
    <t>MWH FUERA PUNTA MEDIO</t>
  </si>
  <si>
    <t>DME-036-23</t>
  </si>
  <si>
    <t>DME-035-23</t>
  </si>
  <si>
    <t>DME-033-23</t>
  </si>
  <si>
    <t>DME-032-23</t>
  </si>
  <si>
    <t>DME-031-23</t>
  </si>
  <si>
    <t>DME-029-23</t>
  </si>
  <si>
    <t>DME-028-23</t>
  </si>
  <si>
    <t>DME-027-23</t>
  </si>
  <si>
    <t>DME-026-23</t>
  </si>
  <si>
    <t>DME-025-23</t>
  </si>
  <si>
    <t>DME-024-23</t>
  </si>
  <si>
    <t>DME-023-23</t>
  </si>
  <si>
    <t>PARQUE EOLICO TOABRE (Enmienda 1)</t>
  </si>
  <si>
    <t>Oct24-Sep44</t>
  </si>
  <si>
    <t>Generadora Gatún (NG Power)</t>
  </si>
  <si>
    <t>PARQUE EOLICO TOABRE (FERSA)</t>
  </si>
  <si>
    <t>b</t>
  </si>
  <si>
    <t>GENERADORA DEL ISTMO</t>
  </si>
  <si>
    <t>TECNISOL IV</t>
  </si>
  <si>
    <t>CELSIA CENTROAMERICA</t>
  </si>
  <si>
    <t>Abr24-Mar39</t>
  </si>
  <si>
    <t>DME-005-15A</t>
  </si>
  <si>
    <t>DME-005-15B</t>
  </si>
  <si>
    <t>H2</t>
  </si>
  <si>
    <t>Costos del Mercado (B/.)</t>
  </si>
  <si>
    <t>Costos por Compra de Energía (B/.)</t>
  </si>
  <si>
    <t>Costos de Compra de Potencia (B/.)</t>
  </si>
  <si>
    <t>Total de Costos de Generación Permitidos (B/.)</t>
  </si>
  <si>
    <t>Precio promedio ponderado de generación permitido  (B/./kWh)</t>
  </si>
  <si>
    <t>Total de Costos Permitido en Generación (B/.)</t>
  </si>
  <si>
    <t>TIPO DE COMPENSACIÓN</t>
  </si>
  <si>
    <t>TOTAL ENERGÍA A COMPENSAR (kWh)</t>
  </si>
  <si>
    <t>Contratos</t>
  </si>
  <si>
    <t>FONDO DE ESTABILIZACION TARIFARIA
INTERESES POR LAMINACION</t>
  </si>
  <si>
    <t>Saldos e Intereses</t>
  </si>
  <si>
    <t>LED equivalente 75 W</t>
  </si>
  <si>
    <t>LED equivalente 189 W</t>
  </si>
  <si>
    <t>ISTMUS HYDRO POWER S.DE R.L.</t>
  </si>
  <si>
    <t>LAS PERLAS NORTE S.DE R.L.</t>
  </si>
  <si>
    <t>LAS PERLAS SUR S.DE R.L.</t>
  </si>
  <si>
    <t xml:space="preserve">ALTERNEGY, S.A. </t>
  </si>
  <si>
    <t>DME-005-15</t>
  </si>
  <si>
    <t>MTD2   $12.00</t>
  </si>
  <si>
    <t>MTD3</t>
  </si>
  <si>
    <t>MTD4</t>
  </si>
  <si>
    <t>MTD5</t>
  </si>
  <si>
    <t>BTD2   $12.00</t>
  </si>
  <si>
    <t>BTD3</t>
  </si>
  <si>
    <t>BTD4</t>
  </si>
  <si>
    <t>MTD1</t>
  </si>
  <si>
    <t>MTD2</t>
  </si>
  <si>
    <t>BTD1</t>
  </si>
  <si>
    <t>BTD2</t>
  </si>
  <si>
    <t xml:space="preserve">    - Horaria - CD $ 12.00</t>
  </si>
  <si>
    <t xml:space="preserve">    - Regulares - CD $ 12.00</t>
  </si>
  <si>
    <t>GO</t>
  </si>
  <si>
    <t>PEDREGAL POWER</t>
  </si>
  <si>
    <t>LAS PERLAS SUR</t>
  </si>
  <si>
    <t>LAS PERLAS NORTE</t>
  </si>
  <si>
    <t>UEP II, S.A.</t>
  </si>
  <si>
    <t>DME-005-15b</t>
  </si>
  <si>
    <t>DME-005-15a</t>
  </si>
  <si>
    <t>Dif.Imp.Mer</t>
  </si>
  <si>
    <t>Serv. Aux. Segu. de la demanda</t>
  </si>
  <si>
    <t>Montos CVC</t>
  </si>
  <si>
    <t>Gas2</t>
  </si>
  <si>
    <t>H Fict</t>
  </si>
  <si>
    <t>HIDRO (RELLENO)</t>
  </si>
  <si>
    <t>IPC Eólicos (Nacional Urbano)</t>
  </si>
  <si>
    <t>Diesel Bajo (Sist. Aislados)</t>
  </si>
  <si>
    <t>DTER - OMCA</t>
  </si>
  <si>
    <t>MERCADO OCASIONAL</t>
  </si>
  <si>
    <t>POTENCIA SIN + RESERVA + AISLADOS</t>
  </si>
  <si>
    <t>POTENCIA CONTRATOS SIN + RESERVA</t>
  </si>
  <si>
    <t>ACP- Servicio B</t>
  </si>
  <si>
    <t>Consumo Regulados (MWh)</t>
  </si>
  <si>
    <t>DMG Sin confiabilidad</t>
  </si>
  <si>
    <t>DMG Con confiabilidad</t>
  </si>
  <si>
    <t>$/KW</t>
  </si>
  <si>
    <t>Reserva de Largo Plazo (B/.)</t>
  </si>
  <si>
    <t>Seguimiento de la Demanda (B/.)</t>
  </si>
  <si>
    <r>
      <t xml:space="preserve">CPERDE </t>
    </r>
    <r>
      <rPr>
        <b/>
        <sz val="10"/>
        <color rgb="FF000099"/>
        <rFont val="Aptos"/>
        <family val="2"/>
      </rPr>
      <t>Punta</t>
    </r>
  </si>
  <si>
    <r>
      <t xml:space="preserve">CPERDE </t>
    </r>
    <r>
      <rPr>
        <b/>
        <sz val="10"/>
        <color rgb="FF000099"/>
        <rFont val="Aptos"/>
        <family val="2"/>
      </rPr>
      <t>FP Medio</t>
    </r>
  </si>
  <si>
    <r>
      <t xml:space="preserve">CPERDE </t>
    </r>
    <r>
      <rPr>
        <b/>
        <sz val="10"/>
        <color rgb="FF000099"/>
        <rFont val="Aptos"/>
        <family val="2"/>
      </rPr>
      <t>FP Bajo</t>
    </r>
  </si>
  <si>
    <r>
      <t xml:space="preserve">CPERDE </t>
    </r>
    <r>
      <rPr>
        <b/>
        <sz val="10"/>
        <color rgb="FF000099"/>
        <rFont val="Aptos"/>
        <family val="2"/>
      </rPr>
      <t>Sin Med. H</t>
    </r>
  </si>
  <si>
    <r>
      <t xml:space="preserve">CENEGEN </t>
    </r>
    <r>
      <rPr>
        <b/>
        <sz val="10"/>
        <color rgb="FF000099"/>
        <rFont val="Aptos"/>
        <family val="2"/>
      </rPr>
      <t>Punta</t>
    </r>
  </si>
  <si>
    <r>
      <t xml:space="preserve">CENEGEN </t>
    </r>
    <r>
      <rPr>
        <b/>
        <sz val="10"/>
        <color rgb="FF000099"/>
        <rFont val="Aptos"/>
        <family val="2"/>
      </rPr>
      <t>FP Medio</t>
    </r>
  </si>
  <si>
    <r>
      <t xml:space="preserve">CENEGEN </t>
    </r>
    <r>
      <rPr>
        <b/>
        <sz val="10"/>
        <color rgb="FF000099"/>
        <rFont val="Aptos"/>
        <family val="2"/>
      </rPr>
      <t>FP Bajo</t>
    </r>
  </si>
  <si>
    <r>
      <t xml:space="preserve">CENEGEN </t>
    </r>
    <r>
      <rPr>
        <b/>
        <sz val="10"/>
        <color rgb="FF000099"/>
        <rFont val="Aptos"/>
        <family val="2"/>
      </rPr>
      <t>Sin Med H</t>
    </r>
  </si>
  <si>
    <r>
      <t>CPERDP</t>
    </r>
    <r>
      <rPr>
        <b/>
        <i/>
        <vertAlign val="subscript"/>
        <sz val="10"/>
        <rFont val="Aptos"/>
        <family val="2"/>
      </rPr>
      <t>p,i</t>
    </r>
  </si>
  <si>
    <r>
      <t>CPERDE</t>
    </r>
    <r>
      <rPr>
        <b/>
        <i/>
        <vertAlign val="subscript"/>
        <sz val="10"/>
        <rFont val="Aptos"/>
        <family val="2"/>
      </rPr>
      <t>p,i</t>
    </r>
  </si>
  <si>
    <r>
      <t xml:space="preserve">INGRESOS ESTIMADOS PARA p APLICANDO LOS NUEVOS CARGOS POR TARIFA A LA PROYECCION DE VENTAS  (FORM AT801) </t>
    </r>
    <r>
      <rPr>
        <b/>
        <sz val="10"/>
        <rFont val="Aptos"/>
        <family val="2"/>
      </rPr>
      <t>[SUM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CPERDE</t>
    </r>
    <r>
      <rPr>
        <b/>
        <i/>
        <vertAlign val="superscript"/>
        <sz val="10"/>
        <rFont val="Aptos"/>
        <family val="2"/>
      </rPr>
      <t>P</t>
    </r>
    <r>
      <rPr>
        <b/>
        <i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 x VE</t>
    </r>
    <r>
      <rPr>
        <b/>
        <vertAlign val="superscript"/>
        <sz val="10"/>
        <rFont val="Aptos"/>
        <family val="2"/>
      </rPr>
      <t>P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>) + 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CPERDE</t>
    </r>
    <r>
      <rPr>
        <b/>
        <i/>
        <vertAlign val="superscript"/>
        <sz val="10"/>
        <rFont val="Aptos"/>
        <family val="2"/>
      </rPr>
      <t>FP</t>
    </r>
    <r>
      <rPr>
        <b/>
        <i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 x VE</t>
    </r>
    <r>
      <rPr>
        <b/>
        <vertAlign val="superscript"/>
        <sz val="10"/>
        <rFont val="Aptos"/>
        <family val="2"/>
      </rPr>
      <t>FP</t>
    </r>
    <r>
      <rPr>
        <b/>
        <vertAlign val="subscript"/>
        <sz val="10"/>
        <rFont val="Aptos"/>
        <family val="2"/>
      </rPr>
      <t>p,i)</t>
    </r>
    <r>
      <rPr>
        <b/>
        <sz val="10"/>
        <rFont val="Aptos"/>
        <family val="2"/>
      </rPr>
      <t xml:space="preserve"> + 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CPERDE</t>
    </r>
    <r>
      <rPr>
        <b/>
        <i/>
        <vertAlign val="subscript"/>
        <sz val="10"/>
        <rFont val="Aptos"/>
        <family val="2"/>
      </rPr>
      <t>p,i</t>
    </r>
    <r>
      <rPr>
        <b/>
        <vertAlign val="subscript"/>
        <sz val="10"/>
        <rFont val="Aptos"/>
        <family val="2"/>
      </rPr>
      <t xml:space="preserve"> x</t>
    </r>
    <r>
      <rPr>
        <b/>
        <sz val="10"/>
        <rFont val="Aptos"/>
        <family val="2"/>
      </rPr>
      <t xml:space="preserve"> VE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>)+ 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(CPERDP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 x VE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)] </t>
    </r>
  </si>
  <si>
    <r>
      <t xml:space="preserve">INGRESOS ESTIMADOS PARA p APLICANDO LOS NUEVOS CARGOS POR TARIFA A LA PROYECCION DE VENTAS DE LOS GRANDES CLIENTES (FORM AT801) </t>
    </r>
    <r>
      <rPr>
        <b/>
        <sz val="10"/>
        <rFont val="Aptos"/>
        <family val="2"/>
      </rPr>
      <t>[SUM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CPERDE</t>
    </r>
    <r>
      <rPr>
        <b/>
        <i/>
        <vertAlign val="superscript"/>
        <sz val="10"/>
        <rFont val="Aptos"/>
        <family val="2"/>
      </rPr>
      <t>P</t>
    </r>
    <r>
      <rPr>
        <b/>
        <i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 x VE</t>
    </r>
    <r>
      <rPr>
        <b/>
        <vertAlign val="superscript"/>
        <sz val="10"/>
        <rFont val="Aptos"/>
        <family val="2"/>
      </rPr>
      <t>P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>) + 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CPERDE</t>
    </r>
    <r>
      <rPr>
        <b/>
        <i/>
        <vertAlign val="superscript"/>
        <sz val="10"/>
        <rFont val="Aptos"/>
        <family val="2"/>
      </rPr>
      <t>FP</t>
    </r>
    <r>
      <rPr>
        <b/>
        <i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 x VE</t>
    </r>
    <r>
      <rPr>
        <b/>
        <vertAlign val="superscript"/>
        <sz val="10"/>
        <rFont val="Aptos"/>
        <family val="2"/>
      </rPr>
      <t>FP</t>
    </r>
    <r>
      <rPr>
        <b/>
        <vertAlign val="subscript"/>
        <sz val="10"/>
        <rFont val="Aptos"/>
        <family val="2"/>
      </rPr>
      <t>p,i)</t>
    </r>
    <r>
      <rPr>
        <b/>
        <sz val="10"/>
        <rFont val="Aptos"/>
        <family val="2"/>
      </rPr>
      <t xml:space="preserve"> + 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CPERDE</t>
    </r>
    <r>
      <rPr>
        <b/>
        <i/>
        <vertAlign val="subscript"/>
        <sz val="10"/>
        <rFont val="Aptos"/>
        <family val="2"/>
      </rPr>
      <t>p,i</t>
    </r>
    <r>
      <rPr>
        <b/>
        <vertAlign val="subscript"/>
        <sz val="10"/>
        <rFont val="Aptos"/>
        <family val="2"/>
      </rPr>
      <t xml:space="preserve"> </t>
    </r>
    <r>
      <rPr>
        <b/>
        <sz val="10"/>
        <rFont val="Aptos"/>
        <family val="2"/>
      </rPr>
      <t>x VE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>)+ 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(CPERDP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 x VE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)] </t>
    </r>
  </si>
  <si>
    <r>
      <t>CCOMF</t>
    </r>
    <r>
      <rPr>
        <b/>
        <i/>
        <vertAlign val="subscript"/>
        <sz val="11"/>
        <rFont val="Aptos"/>
        <family val="2"/>
      </rPr>
      <t xml:space="preserve">p, i  </t>
    </r>
    <r>
      <rPr>
        <b/>
        <sz val="11"/>
        <rFont val="Times New Roman"/>
        <family val="1"/>
      </rPr>
      <t/>
    </r>
  </si>
  <si>
    <r>
      <t>CCOMV</t>
    </r>
    <r>
      <rPr>
        <b/>
        <i/>
        <vertAlign val="subscript"/>
        <sz val="11"/>
        <rFont val="Aptos"/>
        <family val="2"/>
      </rPr>
      <t>p, i</t>
    </r>
  </si>
  <si>
    <r>
      <t>INGRESOS ESTIMADOS PARA p APLICANDO LOS NUEVOS CARGOS POR TARIFA A LA PROYECCION DE VENTAS  (FORM AT801) [SUM</t>
    </r>
    <r>
      <rPr>
        <b/>
        <vertAlign val="subscript"/>
        <sz val="11"/>
        <rFont val="Aptos"/>
        <family val="2"/>
      </rPr>
      <t>i</t>
    </r>
    <r>
      <rPr>
        <b/>
        <sz val="11"/>
        <rFont val="Aptos"/>
        <family val="2"/>
      </rPr>
      <t xml:space="preserve"> (</t>
    </r>
    <r>
      <rPr>
        <b/>
        <i/>
        <sz val="11"/>
        <rFont val="Aptos"/>
        <family val="2"/>
      </rPr>
      <t>CCOMF</t>
    </r>
    <r>
      <rPr>
        <b/>
        <i/>
        <vertAlign val="subscript"/>
        <sz val="11"/>
        <rFont val="Aptos"/>
        <family val="2"/>
      </rPr>
      <t>p, i</t>
    </r>
    <r>
      <rPr>
        <b/>
        <sz val="11"/>
        <rFont val="Aptos"/>
        <family val="2"/>
      </rPr>
      <t xml:space="preserve"> x CLIENTES</t>
    </r>
    <r>
      <rPr>
        <b/>
        <vertAlign val="subscript"/>
        <sz val="11"/>
        <rFont val="Aptos"/>
        <family val="2"/>
      </rPr>
      <t>p, i</t>
    </r>
    <r>
      <rPr>
        <b/>
        <sz val="11"/>
        <rFont val="Aptos"/>
        <family val="2"/>
      </rPr>
      <t>) + SUM</t>
    </r>
    <r>
      <rPr>
        <b/>
        <vertAlign val="subscript"/>
        <sz val="11"/>
        <rFont val="Aptos"/>
        <family val="2"/>
      </rPr>
      <t>i</t>
    </r>
    <r>
      <rPr>
        <b/>
        <sz val="11"/>
        <rFont val="Aptos"/>
        <family val="2"/>
      </rPr>
      <t xml:space="preserve"> (</t>
    </r>
    <r>
      <rPr>
        <b/>
        <i/>
        <sz val="11"/>
        <rFont val="Aptos"/>
        <family val="2"/>
      </rPr>
      <t xml:space="preserve">CCOMVp, </t>
    </r>
    <r>
      <rPr>
        <b/>
        <i/>
        <vertAlign val="subscript"/>
        <sz val="11"/>
        <rFont val="Aptos"/>
        <family val="2"/>
      </rPr>
      <t xml:space="preserve">i </t>
    </r>
    <r>
      <rPr>
        <b/>
        <sz val="11"/>
        <rFont val="Aptos"/>
        <family val="2"/>
      </rPr>
      <t>x VE</t>
    </r>
    <r>
      <rPr>
        <b/>
        <vertAlign val="subscript"/>
        <sz val="11"/>
        <rFont val="Aptos"/>
        <family val="2"/>
      </rPr>
      <t>p, i</t>
    </r>
    <r>
      <rPr>
        <b/>
        <sz val="11"/>
        <rFont val="Aptos"/>
        <family val="2"/>
      </rPr>
      <t>)]</t>
    </r>
  </si>
  <si>
    <r>
      <t>INGRESOS ESTIMADOS PARA p APLICANDO LOS NUEVOS CARGOS POR TARIFA A LA PROYECCION DE VENTAS DE LOS GRANDES CLIENTES  (FORM AT801) [SUM</t>
    </r>
    <r>
      <rPr>
        <b/>
        <vertAlign val="subscript"/>
        <sz val="11"/>
        <rFont val="Aptos"/>
        <family val="2"/>
      </rPr>
      <t>i</t>
    </r>
    <r>
      <rPr>
        <b/>
        <sz val="11"/>
        <rFont val="Aptos"/>
        <family val="2"/>
      </rPr>
      <t xml:space="preserve"> (</t>
    </r>
    <r>
      <rPr>
        <b/>
        <i/>
        <sz val="11"/>
        <rFont val="Aptos"/>
        <family val="2"/>
      </rPr>
      <t>CCOMF</t>
    </r>
    <r>
      <rPr>
        <b/>
        <i/>
        <vertAlign val="subscript"/>
        <sz val="11"/>
        <rFont val="Aptos"/>
        <family val="2"/>
      </rPr>
      <t>p,i</t>
    </r>
    <r>
      <rPr>
        <b/>
        <sz val="11"/>
        <rFont val="Aptos"/>
        <family val="2"/>
      </rPr>
      <t xml:space="preserve"> x CLIENTES</t>
    </r>
    <r>
      <rPr>
        <b/>
        <vertAlign val="subscript"/>
        <sz val="11"/>
        <rFont val="Aptos"/>
        <family val="2"/>
      </rPr>
      <t>p,i</t>
    </r>
    <r>
      <rPr>
        <b/>
        <sz val="11"/>
        <rFont val="Aptos"/>
        <family val="2"/>
      </rPr>
      <t>) + SUM</t>
    </r>
    <r>
      <rPr>
        <b/>
        <vertAlign val="subscript"/>
        <sz val="11"/>
        <rFont val="Aptos"/>
        <family val="2"/>
      </rPr>
      <t>i</t>
    </r>
    <r>
      <rPr>
        <b/>
        <sz val="11"/>
        <rFont val="Aptos"/>
        <family val="2"/>
      </rPr>
      <t xml:space="preserve"> (</t>
    </r>
    <r>
      <rPr>
        <b/>
        <i/>
        <sz val="11"/>
        <rFont val="Aptos"/>
        <family val="2"/>
      </rPr>
      <t>CCOMV</t>
    </r>
    <r>
      <rPr>
        <b/>
        <i/>
        <vertAlign val="subscript"/>
        <sz val="11"/>
        <rFont val="Aptos"/>
        <family val="2"/>
      </rPr>
      <t xml:space="preserve">p,i </t>
    </r>
    <r>
      <rPr>
        <b/>
        <sz val="11"/>
        <rFont val="Aptos"/>
        <family val="2"/>
      </rPr>
      <t>x VE</t>
    </r>
    <r>
      <rPr>
        <b/>
        <vertAlign val="subscript"/>
        <sz val="11"/>
        <rFont val="Aptos"/>
        <family val="2"/>
      </rPr>
      <t>p,i</t>
    </r>
    <r>
      <rPr>
        <b/>
        <sz val="11"/>
        <rFont val="Aptos"/>
        <family val="2"/>
      </rPr>
      <t>)]</t>
    </r>
  </si>
  <si>
    <r>
      <t>CCOMF</t>
    </r>
    <r>
      <rPr>
        <b/>
        <i/>
        <vertAlign val="subscript"/>
        <sz val="11"/>
        <rFont val="Aptos"/>
        <family val="2"/>
      </rPr>
      <t>p-1, i</t>
    </r>
  </si>
  <si>
    <r>
      <t>CCOMV</t>
    </r>
    <r>
      <rPr>
        <b/>
        <i/>
        <vertAlign val="subscript"/>
        <sz val="11"/>
        <rFont val="Aptos"/>
        <family val="2"/>
      </rPr>
      <t>p-1, i</t>
    </r>
  </si>
  <si>
    <r>
      <t>INGRESOS PARA p APLICANDO LOS CARGOS POR TARIFA DE p-1 A LA PROYECCION DE VENTAS  (FORM AT801) [SUM</t>
    </r>
    <r>
      <rPr>
        <b/>
        <vertAlign val="subscript"/>
        <sz val="11"/>
        <rFont val="Aptos"/>
        <family val="2"/>
      </rPr>
      <t>i</t>
    </r>
    <r>
      <rPr>
        <b/>
        <sz val="11"/>
        <rFont val="Aptos"/>
        <family val="2"/>
      </rPr>
      <t xml:space="preserve"> (</t>
    </r>
    <r>
      <rPr>
        <b/>
        <i/>
        <sz val="11"/>
        <rFont val="Aptos"/>
        <family val="2"/>
      </rPr>
      <t>CCOMF</t>
    </r>
    <r>
      <rPr>
        <b/>
        <i/>
        <vertAlign val="subscript"/>
        <sz val="11"/>
        <rFont val="Aptos"/>
        <family val="2"/>
      </rPr>
      <t>p-1, i</t>
    </r>
    <r>
      <rPr>
        <b/>
        <sz val="11"/>
        <rFont val="Aptos"/>
        <family val="2"/>
      </rPr>
      <t xml:space="preserve"> x CLIENTES</t>
    </r>
    <r>
      <rPr>
        <b/>
        <vertAlign val="subscript"/>
        <sz val="11"/>
        <rFont val="Aptos"/>
        <family val="2"/>
      </rPr>
      <t>p, i</t>
    </r>
    <r>
      <rPr>
        <b/>
        <sz val="11"/>
        <rFont val="Aptos"/>
        <family val="2"/>
      </rPr>
      <t>) + SUM</t>
    </r>
    <r>
      <rPr>
        <b/>
        <vertAlign val="subscript"/>
        <sz val="11"/>
        <rFont val="Aptos"/>
        <family val="2"/>
      </rPr>
      <t>i</t>
    </r>
    <r>
      <rPr>
        <b/>
        <sz val="11"/>
        <rFont val="Aptos"/>
        <family val="2"/>
      </rPr>
      <t xml:space="preserve"> (</t>
    </r>
    <r>
      <rPr>
        <b/>
        <i/>
        <sz val="11"/>
        <rFont val="Aptos"/>
        <family val="2"/>
      </rPr>
      <t>CCOMV</t>
    </r>
    <r>
      <rPr>
        <b/>
        <i/>
        <vertAlign val="subscript"/>
        <sz val="11"/>
        <rFont val="Aptos"/>
        <family val="2"/>
      </rPr>
      <t>p-1, i</t>
    </r>
    <r>
      <rPr>
        <b/>
        <sz val="11"/>
        <rFont val="Aptos"/>
        <family val="2"/>
      </rPr>
      <t xml:space="preserve"> x VE</t>
    </r>
    <r>
      <rPr>
        <b/>
        <vertAlign val="subscript"/>
        <sz val="11"/>
        <rFont val="Aptos"/>
        <family val="2"/>
      </rPr>
      <t>p, i</t>
    </r>
    <r>
      <rPr>
        <b/>
        <sz val="11"/>
        <rFont val="Aptos"/>
        <family val="2"/>
      </rPr>
      <t>)]</t>
    </r>
  </si>
  <si>
    <r>
      <t>INGRESOS PARA p APLICANDO LOS CARGOS POR TARIFA DE p-1 A LA PROYECCION DE VENTAS DE LOS GRANDES CLIENTES (FORM AT801) [SUMi (</t>
    </r>
    <r>
      <rPr>
        <b/>
        <i/>
        <sz val="11"/>
        <rFont val="Aptos"/>
        <family val="2"/>
      </rPr>
      <t>CCOMF</t>
    </r>
    <r>
      <rPr>
        <b/>
        <i/>
        <vertAlign val="subscript"/>
        <sz val="11"/>
        <rFont val="Aptos"/>
        <family val="2"/>
      </rPr>
      <t>p-1,i</t>
    </r>
    <r>
      <rPr>
        <b/>
        <vertAlign val="subscript"/>
        <sz val="11"/>
        <rFont val="Aptos"/>
        <family val="2"/>
      </rPr>
      <t xml:space="preserve"> </t>
    </r>
    <r>
      <rPr>
        <b/>
        <sz val="11"/>
        <rFont val="Aptos"/>
        <family val="2"/>
      </rPr>
      <t>x CLIENTES</t>
    </r>
    <r>
      <rPr>
        <b/>
        <vertAlign val="subscript"/>
        <sz val="11"/>
        <rFont val="Aptos"/>
        <family val="2"/>
      </rPr>
      <t>p,i</t>
    </r>
    <r>
      <rPr>
        <b/>
        <sz val="11"/>
        <rFont val="Aptos"/>
        <family val="2"/>
      </rPr>
      <t>) + SUM</t>
    </r>
    <r>
      <rPr>
        <b/>
        <vertAlign val="subscript"/>
        <sz val="11"/>
        <rFont val="Aptos"/>
        <family val="2"/>
      </rPr>
      <t>i</t>
    </r>
    <r>
      <rPr>
        <b/>
        <sz val="11"/>
        <rFont val="Aptos"/>
        <family val="2"/>
      </rPr>
      <t xml:space="preserve"> (</t>
    </r>
    <r>
      <rPr>
        <b/>
        <i/>
        <sz val="11"/>
        <rFont val="Aptos"/>
        <family val="2"/>
      </rPr>
      <t>CCOMV</t>
    </r>
    <r>
      <rPr>
        <b/>
        <i/>
        <vertAlign val="subscript"/>
        <sz val="11"/>
        <rFont val="Aptos"/>
        <family val="2"/>
      </rPr>
      <t>p-1,i</t>
    </r>
    <r>
      <rPr>
        <b/>
        <i/>
        <sz val="11"/>
        <rFont val="Aptos"/>
        <family val="2"/>
      </rPr>
      <t xml:space="preserve"> </t>
    </r>
    <r>
      <rPr>
        <b/>
        <sz val="11"/>
        <rFont val="Aptos"/>
        <family val="2"/>
      </rPr>
      <t>x VE</t>
    </r>
    <r>
      <rPr>
        <b/>
        <vertAlign val="subscript"/>
        <sz val="11"/>
        <rFont val="Aptos"/>
        <family val="2"/>
      </rPr>
      <t>p,i</t>
    </r>
    <r>
      <rPr>
        <b/>
        <sz val="11"/>
        <rFont val="Aptos"/>
        <family val="2"/>
      </rPr>
      <t>)]</t>
    </r>
  </si>
  <si>
    <r>
      <t>CD</t>
    </r>
    <r>
      <rPr>
        <b/>
        <i/>
        <vertAlign val="subscript"/>
        <sz val="9"/>
        <rFont val="Aptos"/>
        <family val="2"/>
      </rPr>
      <t>p,i</t>
    </r>
  </si>
  <si>
    <r>
      <t xml:space="preserve">INGRESOS ESTIMADOS PARA p APLICANDO LOS NUEVOS CARGOS POR TARIFA A LA PROYECCION DE VENTAS  (FORM AT801) </t>
    </r>
    <r>
      <rPr>
        <b/>
        <sz val="10"/>
        <rFont val="Aptos"/>
        <family val="2"/>
      </rPr>
      <t>[SUM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CD</t>
    </r>
    <r>
      <rPr>
        <b/>
        <i/>
        <vertAlign val="superscript"/>
        <sz val="10"/>
        <rFont val="Aptos"/>
        <family val="2"/>
      </rPr>
      <t>P</t>
    </r>
    <r>
      <rPr>
        <b/>
        <i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 x VE</t>
    </r>
    <r>
      <rPr>
        <b/>
        <vertAlign val="superscript"/>
        <sz val="10"/>
        <rFont val="Aptos"/>
        <family val="2"/>
      </rPr>
      <t>P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>) + 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CD</t>
    </r>
    <r>
      <rPr>
        <b/>
        <i/>
        <vertAlign val="superscript"/>
        <sz val="10"/>
        <rFont val="Aptos"/>
        <family val="2"/>
      </rPr>
      <t>FP</t>
    </r>
    <r>
      <rPr>
        <b/>
        <i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 x VE</t>
    </r>
    <r>
      <rPr>
        <b/>
        <vertAlign val="superscript"/>
        <sz val="10"/>
        <rFont val="Aptos"/>
        <family val="2"/>
      </rPr>
      <t>FP</t>
    </r>
    <r>
      <rPr>
        <b/>
        <vertAlign val="subscript"/>
        <sz val="10"/>
        <rFont val="Aptos"/>
        <family val="2"/>
      </rPr>
      <t>,i)</t>
    </r>
    <r>
      <rPr>
        <b/>
        <sz val="10"/>
        <rFont val="Aptos"/>
        <family val="2"/>
      </rPr>
      <t xml:space="preserve"> + 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CD</t>
    </r>
    <r>
      <rPr>
        <b/>
        <i/>
        <vertAlign val="subscript"/>
        <sz val="10"/>
        <rFont val="Aptos"/>
        <family val="2"/>
      </rPr>
      <t>p,i</t>
    </r>
    <r>
      <rPr>
        <b/>
        <vertAlign val="subscript"/>
        <sz val="10"/>
        <rFont val="Aptos"/>
        <family val="2"/>
      </rPr>
      <t xml:space="preserve"> </t>
    </r>
    <r>
      <rPr>
        <b/>
        <sz val="10"/>
        <rFont val="Aptos"/>
        <family val="2"/>
      </rPr>
      <t xml:space="preserve"> x VEp,i)] </t>
    </r>
  </si>
  <si>
    <r>
      <t>INGRESOS ESTIMADOS PARA p APLICANDO LOS NUEVOS CARGOS POR TARIFA A LA PROYECCION DE VENTAS DE LOS GRANDES CLIENTES (FORM AT801) [SUM</t>
    </r>
    <r>
      <rPr>
        <b/>
        <vertAlign val="subscript"/>
        <sz val="11"/>
        <rFont val="Aptos"/>
        <family val="2"/>
      </rPr>
      <t xml:space="preserve">i </t>
    </r>
    <r>
      <rPr>
        <b/>
        <sz val="11"/>
        <rFont val="Aptos"/>
        <family val="2"/>
      </rPr>
      <t>(</t>
    </r>
    <r>
      <rPr>
        <b/>
        <i/>
        <sz val="11"/>
        <rFont val="Aptos"/>
        <family val="2"/>
      </rPr>
      <t>CDP</t>
    </r>
    <r>
      <rPr>
        <b/>
        <i/>
        <vertAlign val="subscript"/>
        <sz val="11"/>
        <rFont val="Aptos"/>
        <family val="2"/>
      </rPr>
      <t>p,i</t>
    </r>
    <r>
      <rPr>
        <b/>
        <i/>
        <sz val="11"/>
        <rFont val="Aptos"/>
        <family val="2"/>
      </rPr>
      <t xml:space="preserve"> </t>
    </r>
    <r>
      <rPr>
        <b/>
        <sz val="11"/>
        <rFont val="Aptos"/>
        <family val="2"/>
      </rPr>
      <t>x VEP</t>
    </r>
    <r>
      <rPr>
        <b/>
        <vertAlign val="subscript"/>
        <sz val="11"/>
        <rFont val="Aptos"/>
        <family val="2"/>
      </rPr>
      <t>p,i</t>
    </r>
    <r>
      <rPr>
        <b/>
        <sz val="11"/>
        <rFont val="Aptos"/>
        <family val="2"/>
      </rPr>
      <t>) + SUM</t>
    </r>
    <r>
      <rPr>
        <b/>
        <vertAlign val="subscript"/>
        <sz val="11"/>
        <rFont val="Aptos"/>
        <family val="2"/>
      </rPr>
      <t xml:space="preserve">i </t>
    </r>
    <r>
      <rPr>
        <b/>
        <sz val="11"/>
        <rFont val="Aptos"/>
        <family val="2"/>
      </rPr>
      <t>(</t>
    </r>
    <r>
      <rPr>
        <b/>
        <i/>
        <sz val="11"/>
        <rFont val="Aptos"/>
        <family val="2"/>
      </rPr>
      <t>CDFP</t>
    </r>
    <r>
      <rPr>
        <b/>
        <i/>
        <vertAlign val="subscript"/>
        <sz val="11"/>
        <rFont val="Aptos"/>
        <family val="2"/>
      </rPr>
      <t>p,i</t>
    </r>
    <r>
      <rPr>
        <b/>
        <vertAlign val="subscript"/>
        <sz val="11"/>
        <rFont val="Aptos"/>
        <family val="2"/>
      </rPr>
      <t xml:space="preserve"> </t>
    </r>
    <r>
      <rPr>
        <b/>
        <sz val="11"/>
        <rFont val="Aptos"/>
        <family val="2"/>
      </rPr>
      <t>x VE</t>
    </r>
    <r>
      <rPr>
        <b/>
        <vertAlign val="subscript"/>
        <sz val="11"/>
        <rFont val="Aptos"/>
        <family val="2"/>
      </rPr>
      <t>FP,i</t>
    </r>
    <r>
      <rPr>
        <b/>
        <sz val="11"/>
        <rFont val="Aptos"/>
        <family val="2"/>
      </rPr>
      <t>) + SUM</t>
    </r>
    <r>
      <rPr>
        <b/>
        <vertAlign val="subscript"/>
        <sz val="11"/>
        <rFont val="Aptos"/>
        <family val="2"/>
      </rPr>
      <t>i</t>
    </r>
    <r>
      <rPr>
        <b/>
        <sz val="11"/>
        <rFont val="Aptos"/>
        <family val="2"/>
      </rPr>
      <t xml:space="preserve"> (</t>
    </r>
    <r>
      <rPr>
        <b/>
        <i/>
        <sz val="11"/>
        <rFont val="Aptos"/>
        <family val="2"/>
      </rPr>
      <t>CD</t>
    </r>
    <r>
      <rPr>
        <b/>
        <i/>
        <vertAlign val="subscript"/>
        <sz val="11"/>
        <rFont val="Aptos"/>
        <family val="2"/>
      </rPr>
      <t>p,i</t>
    </r>
    <r>
      <rPr>
        <b/>
        <vertAlign val="subscript"/>
        <sz val="11"/>
        <rFont val="Aptos"/>
        <family val="2"/>
      </rPr>
      <t xml:space="preserve"> </t>
    </r>
    <r>
      <rPr>
        <b/>
        <sz val="11"/>
        <rFont val="Aptos"/>
        <family val="2"/>
      </rPr>
      <t xml:space="preserve"> x VE</t>
    </r>
    <r>
      <rPr>
        <b/>
        <vertAlign val="subscript"/>
        <sz val="11"/>
        <rFont val="Aptos"/>
        <family val="2"/>
      </rPr>
      <t>p,i</t>
    </r>
    <r>
      <rPr>
        <b/>
        <sz val="11"/>
        <rFont val="Aptos"/>
        <family val="2"/>
      </rPr>
      <t xml:space="preserve">)] </t>
    </r>
  </si>
  <si>
    <r>
      <t xml:space="preserve">INGRESOS PARA p APLICANDO LOS CARGOS POR TARIFA DE p-1 A LA PROYECCION DE VENTAS  (FORM AT801) </t>
    </r>
    <r>
      <rPr>
        <b/>
        <sz val="10"/>
        <rFont val="Aptos"/>
        <family val="2"/>
      </rPr>
      <t>[SUM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CD</t>
    </r>
    <r>
      <rPr>
        <b/>
        <i/>
        <vertAlign val="superscript"/>
        <sz val="10"/>
        <rFont val="Aptos"/>
        <family val="2"/>
      </rPr>
      <t>P</t>
    </r>
    <r>
      <rPr>
        <b/>
        <i/>
        <vertAlign val="subscript"/>
        <sz val="10"/>
        <rFont val="Aptos"/>
        <family val="2"/>
      </rPr>
      <t>p-1,i</t>
    </r>
    <r>
      <rPr>
        <b/>
        <i/>
        <sz val="10"/>
        <rFont val="Aptos"/>
        <family val="2"/>
      </rPr>
      <t xml:space="preserve"> </t>
    </r>
    <r>
      <rPr>
        <b/>
        <sz val="10"/>
        <rFont val="Aptos"/>
        <family val="2"/>
      </rPr>
      <t>x VE</t>
    </r>
    <r>
      <rPr>
        <b/>
        <vertAlign val="superscript"/>
        <sz val="10"/>
        <rFont val="Aptos"/>
        <family val="2"/>
      </rPr>
      <t>P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>) + 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CD</t>
    </r>
    <r>
      <rPr>
        <b/>
        <i/>
        <vertAlign val="superscript"/>
        <sz val="10"/>
        <rFont val="Aptos"/>
        <family val="2"/>
      </rPr>
      <t>FP</t>
    </r>
    <r>
      <rPr>
        <b/>
        <i/>
        <vertAlign val="subscript"/>
        <sz val="10"/>
        <rFont val="Aptos"/>
        <family val="2"/>
      </rPr>
      <t>p-1,i</t>
    </r>
    <r>
      <rPr>
        <b/>
        <sz val="10"/>
        <rFont val="Aptos"/>
        <family val="2"/>
      </rPr>
      <t xml:space="preserve"> x VE</t>
    </r>
    <r>
      <rPr>
        <b/>
        <vertAlign val="superscript"/>
        <sz val="10"/>
        <rFont val="Aptos"/>
        <family val="2"/>
      </rPr>
      <t>FP</t>
    </r>
    <r>
      <rPr>
        <b/>
        <vertAlign val="subscript"/>
        <sz val="10"/>
        <rFont val="Aptos"/>
        <family val="2"/>
      </rPr>
      <t>p-1,i)</t>
    </r>
    <r>
      <rPr>
        <b/>
        <sz val="10"/>
        <rFont val="Aptos"/>
        <family val="2"/>
      </rPr>
      <t xml:space="preserve"> + 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CD</t>
    </r>
    <r>
      <rPr>
        <b/>
        <i/>
        <vertAlign val="subscript"/>
        <sz val="10"/>
        <rFont val="Aptos"/>
        <family val="2"/>
      </rPr>
      <t>p-1,i</t>
    </r>
    <r>
      <rPr>
        <b/>
        <vertAlign val="subscript"/>
        <sz val="10"/>
        <rFont val="Aptos"/>
        <family val="2"/>
      </rPr>
      <t xml:space="preserve"> x</t>
    </r>
    <r>
      <rPr>
        <b/>
        <sz val="10"/>
        <rFont val="Aptos"/>
        <family val="2"/>
      </rPr>
      <t xml:space="preserve"> VE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)] </t>
    </r>
  </si>
  <si>
    <r>
      <t xml:space="preserve">INGRESOS PARA p APLICANDO LOS CARGOS POR TARIFA DE p-1 A LA PROYECCION DE VENTAS DE LOS GRANDES CLIENTES  (FORM AT801) </t>
    </r>
    <r>
      <rPr>
        <b/>
        <sz val="10"/>
        <rFont val="Aptos"/>
        <family val="2"/>
      </rPr>
      <t>[SUM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CD</t>
    </r>
    <r>
      <rPr>
        <b/>
        <i/>
        <vertAlign val="superscript"/>
        <sz val="10"/>
        <rFont val="Aptos"/>
        <family val="2"/>
      </rPr>
      <t>P</t>
    </r>
    <r>
      <rPr>
        <b/>
        <i/>
        <vertAlign val="subscript"/>
        <sz val="10"/>
        <rFont val="Aptos"/>
        <family val="2"/>
      </rPr>
      <t>p-1,i</t>
    </r>
    <r>
      <rPr>
        <b/>
        <i/>
        <sz val="10"/>
        <rFont val="Aptos"/>
        <family val="2"/>
      </rPr>
      <t xml:space="preserve"> </t>
    </r>
    <r>
      <rPr>
        <b/>
        <sz val="10"/>
        <rFont val="Aptos"/>
        <family val="2"/>
      </rPr>
      <t>x VE</t>
    </r>
    <r>
      <rPr>
        <b/>
        <vertAlign val="superscript"/>
        <sz val="10"/>
        <rFont val="Aptos"/>
        <family val="2"/>
      </rPr>
      <t>P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>) + 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CD</t>
    </r>
    <r>
      <rPr>
        <b/>
        <i/>
        <vertAlign val="superscript"/>
        <sz val="10"/>
        <rFont val="Aptos"/>
        <family val="2"/>
      </rPr>
      <t>FP</t>
    </r>
    <r>
      <rPr>
        <b/>
        <i/>
        <vertAlign val="subscript"/>
        <sz val="10"/>
        <rFont val="Aptos"/>
        <family val="2"/>
      </rPr>
      <t>p-1,i</t>
    </r>
    <r>
      <rPr>
        <b/>
        <sz val="10"/>
        <rFont val="Aptos"/>
        <family val="2"/>
      </rPr>
      <t xml:space="preserve"> x VE</t>
    </r>
    <r>
      <rPr>
        <b/>
        <vertAlign val="superscript"/>
        <sz val="10"/>
        <rFont val="Aptos"/>
        <family val="2"/>
      </rPr>
      <t>FP</t>
    </r>
    <r>
      <rPr>
        <b/>
        <vertAlign val="subscript"/>
        <sz val="10"/>
        <rFont val="Aptos"/>
        <family val="2"/>
      </rPr>
      <t>p-1,i)</t>
    </r>
    <r>
      <rPr>
        <b/>
        <sz val="10"/>
        <rFont val="Aptos"/>
        <family val="2"/>
      </rPr>
      <t xml:space="preserve"> + 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CD</t>
    </r>
    <r>
      <rPr>
        <b/>
        <i/>
        <vertAlign val="subscript"/>
        <sz val="10"/>
        <rFont val="Aptos"/>
        <family val="2"/>
      </rPr>
      <t>p-1,i</t>
    </r>
    <r>
      <rPr>
        <b/>
        <vertAlign val="subscript"/>
        <sz val="10"/>
        <rFont val="Aptos"/>
        <family val="2"/>
      </rPr>
      <t xml:space="preserve"> x</t>
    </r>
    <r>
      <rPr>
        <b/>
        <sz val="10"/>
        <rFont val="Aptos"/>
        <family val="2"/>
      </rPr>
      <t xml:space="preserve"> VE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)] </t>
    </r>
  </si>
  <si>
    <r>
      <t>Energía realmente inyectada al sistema de la distribuidora en horas de Punta en el semestre p-2</t>
    </r>
    <r>
      <rPr>
        <sz val="10"/>
        <rFont val="Aptos"/>
        <family val="2"/>
      </rPr>
      <t xml:space="preserve"> (En kWh) (Viene del FORM AT522)</t>
    </r>
  </si>
  <si>
    <r>
      <t>Energía comprada total durante el semestre p-2 (En kWh)</t>
    </r>
    <r>
      <rPr>
        <sz val="10"/>
        <rFont val="Aptos"/>
        <family val="2"/>
      </rPr>
      <t xml:space="preserve"> (Viene del FORM AT522)</t>
    </r>
  </si>
  <si>
    <r>
      <t xml:space="preserve">Relación existente entre la energía comprada en punta respecto de la total comprada en el semestre p-2 </t>
    </r>
    <r>
      <rPr>
        <b/>
        <sz val="11"/>
        <rFont val="Aptos"/>
        <family val="2"/>
      </rPr>
      <t>= 1 / 2</t>
    </r>
  </si>
  <si>
    <r>
      <t xml:space="preserve">Ventas reales, incluido el consumo de Alumbrado Público, para el semestre p-2 </t>
    </r>
    <r>
      <rPr>
        <sz val="10"/>
        <rFont val="Aptos"/>
        <family val="2"/>
      </rPr>
      <t>(En kWh) (Viene del FORM AT822)</t>
    </r>
  </si>
  <si>
    <r>
      <t xml:space="preserve">Ventas reales en horas de punta para el semestre p-2 (En kWh) </t>
    </r>
    <r>
      <rPr>
        <b/>
        <sz val="10"/>
        <rFont val="Aptos"/>
        <family val="2"/>
      </rPr>
      <t>= 3 X 4</t>
    </r>
  </si>
  <si>
    <r>
      <t xml:space="preserve">Ventas Reales de energía en horas de punta para cada categoría tarifaria con medición horaria del semestre p-2 (En kWh) </t>
    </r>
    <r>
      <rPr>
        <sz val="10"/>
        <rFont val="Aptos"/>
        <family val="2"/>
      </rPr>
      <t>(Viene del FORM AT822)</t>
    </r>
  </si>
  <si>
    <r>
      <t xml:space="preserve">Ventas consideradas reales de energía en horas de punta para las categorías tarifarias sin medición horaria del semestre p-2 (En kWh) </t>
    </r>
    <r>
      <rPr>
        <b/>
        <sz val="10"/>
        <rFont val="Aptos"/>
        <family val="2"/>
      </rPr>
      <t>= 5 - 6</t>
    </r>
  </si>
  <si>
    <r>
      <t xml:space="preserve">Ventas Reales de energía calculadas para horas de punta para cada categoría tarifaria i sin medición horaria del semestre p-2 (En kWh) </t>
    </r>
    <r>
      <rPr>
        <sz val="10"/>
        <rFont val="Aptos"/>
        <family val="2"/>
      </rPr>
      <t>(Viene del FORM AT822)</t>
    </r>
  </si>
  <si>
    <r>
      <t xml:space="preserve">Factor de corrección de ventas reales de energía en punta del semestre p-2 de las categorías tarifarias sin medición horaria </t>
    </r>
    <r>
      <rPr>
        <b/>
        <sz val="10"/>
        <rFont val="Aptos"/>
        <family val="2"/>
      </rPr>
      <t>= 7 / 8</t>
    </r>
  </si>
  <si>
    <r>
      <t xml:space="preserve">Valor del Factor de Consumo en Punta “Corregido” correspondiente a la categoría tarifaria i del semestre p-2  </t>
    </r>
    <r>
      <rPr>
        <b/>
        <sz val="10"/>
        <rFont val="Aptos"/>
        <family val="2"/>
      </rPr>
      <t>=</t>
    </r>
    <r>
      <rPr>
        <b/>
        <i/>
        <sz val="10"/>
        <rFont val="Aptos"/>
        <family val="2"/>
      </rPr>
      <t xml:space="preserve"> FCP</t>
    </r>
    <r>
      <rPr>
        <b/>
        <i/>
        <vertAlign val="subscript"/>
        <sz val="10"/>
        <rFont val="Aptos"/>
        <family val="2"/>
      </rPr>
      <t>i</t>
    </r>
    <r>
      <rPr>
        <b/>
        <vertAlign val="subscript"/>
        <sz val="10"/>
        <rFont val="Aptos"/>
        <family val="2"/>
      </rPr>
      <t xml:space="preserve"> </t>
    </r>
    <r>
      <rPr>
        <b/>
        <sz val="10"/>
        <rFont val="Aptos"/>
        <family val="2"/>
      </rPr>
      <t>x 9</t>
    </r>
  </si>
  <si>
    <r>
      <t xml:space="preserve">INGRESOS PARA p APLICANDO LOS CARGOS POR TARIFA LA PROYECCION DE VENTAS  (FORM AT801) </t>
    </r>
    <r>
      <rPr>
        <b/>
        <sz val="10"/>
        <rFont val="Aptos"/>
        <family val="2"/>
      </rPr>
      <t>[SUM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CPERDE</t>
    </r>
    <r>
      <rPr>
        <b/>
        <i/>
        <vertAlign val="superscript"/>
        <sz val="10"/>
        <rFont val="Aptos"/>
        <family val="2"/>
      </rPr>
      <t>P</t>
    </r>
    <r>
      <rPr>
        <b/>
        <i/>
        <vertAlign val="subscript"/>
        <sz val="10"/>
        <rFont val="Aptos"/>
        <family val="2"/>
      </rPr>
      <t>p-1,i</t>
    </r>
    <r>
      <rPr>
        <b/>
        <sz val="10"/>
        <rFont val="Aptos"/>
        <family val="2"/>
      </rPr>
      <t xml:space="preserve"> x VE</t>
    </r>
    <r>
      <rPr>
        <b/>
        <vertAlign val="superscript"/>
        <sz val="10"/>
        <rFont val="Aptos"/>
        <family val="2"/>
      </rPr>
      <t>P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>) + 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CPERDE</t>
    </r>
    <r>
      <rPr>
        <b/>
        <i/>
        <vertAlign val="superscript"/>
        <sz val="10"/>
        <rFont val="Aptos"/>
        <family val="2"/>
      </rPr>
      <t>FP</t>
    </r>
    <r>
      <rPr>
        <b/>
        <i/>
        <vertAlign val="subscript"/>
        <sz val="10"/>
        <rFont val="Aptos"/>
        <family val="2"/>
      </rPr>
      <t>p-1,i</t>
    </r>
    <r>
      <rPr>
        <b/>
        <sz val="10"/>
        <rFont val="Aptos"/>
        <family val="2"/>
      </rPr>
      <t xml:space="preserve"> x VE</t>
    </r>
    <r>
      <rPr>
        <b/>
        <vertAlign val="superscript"/>
        <sz val="10"/>
        <rFont val="Aptos"/>
        <family val="2"/>
      </rPr>
      <t>FP</t>
    </r>
    <r>
      <rPr>
        <b/>
        <vertAlign val="subscript"/>
        <sz val="10"/>
        <rFont val="Aptos"/>
        <family val="2"/>
      </rPr>
      <t>p,i)</t>
    </r>
    <r>
      <rPr>
        <b/>
        <sz val="10"/>
        <rFont val="Aptos"/>
        <family val="2"/>
      </rPr>
      <t xml:space="preserve"> + 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CPERDE</t>
    </r>
    <r>
      <rPr>
        <b/>
        <i/>
        <vertAlign val="subscript"/>
        <sz val="10"/>
        <rFont val="Aptos"/>
        <family val="2"/>
      </rPr>
      <t>p-1,i</t>
    </r>
    <r>
      <rPr>
        <b/>
        <vertAlign val="subscript"/>
        <sz val="10"/>
        <rFont val="Aptos"/>
        <family val="2"/>
      </rPr>
      <t xml:space="preserve"> x</t>
    </r>
    <r>
      <rPr>
        <b/>
        <sz val="10"/>
        <rFont val="Aptos"/>
        <family val="2"/>
      </rPr>
      <t xml:space="preserve"> VE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>) + 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CPERDP</t>
    </r>
    <r>
      <rPr>
        <b/>
        <i/>
        <vertAlign val="subscript"/>
        <sz val="10"/>
        <rFont val="Aptos"/>
        <family val="2"/>
      </rPr>
      <t>p-1,i</t>
    </r>
    <r>
      <rPr>
        <b/>
        <sz val="10"/>
        <rFont val="Aptos"/>
        <family val="2"/>
      </rPr>
      <t xml:space="preserve"> x VE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)] </t>
    </r>
  </si>
  <si>
    <r>
      <t xml:space="preserve">INGRESOS PARA p APLICANDO LOS CARGOS POR TARIFA LA PROYECCION DE VENTAS DE LOS GRANDES CLIENTES (FORM AT801) </t>
    </r>
    <r>
      <rPr>
        <b/>
        <sz val="10"/>
        <rFont val="Aptos"/>
        <family val="2"/>
      </rPr>
      <t>[SUM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CPERDE</t>
    </r>
    <r>
      <rPr>
        <b/>
        <i/>
        <vertAlign val="superscript"/>
        <sz val="10"/>
        <rFont val="Aptos"/>
        <family val="2"/>
      </rPr>
      <t>P</t>
    </r>
    <r>
      <rPr>
        <b/>
        <i/>
        <vertAlign val="subscript"/>
        <sz val="10"/>
        <rFont val="Aptos"/>
        <family val="2"/>
      </rPr>
      <t>p-1,i</t>
    </r>
    <r>
      <rPr>
        <b/>
        <sz val="10"/>
        <rFont val="Aptos"/>
        <family val="2"/>
      </rPr>
      <t xml:space="preserve"> x VE</t>
    </r>
    <r>
      <rPr>
        <b/>
        <vertAlign val="superscript"/>
        <sz val="10"/>
        <rFont val="Aptos"/>
        <family val="2"/>
      </rPr>
      <t>P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>) + 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CPERDE</t>
    </r>
    <r>
      <rPr>
        <b/>
        <i/>
        <vertAlign val="superscript"/>
        <sz val="10"/>
        <rFont val="Aptos"/>
        <family val="2"/>
      </rPr>
      <t>FP</t>
    </r>
    <r>
      <rPr>
        <b/>
        <i/>
        <vertAlign val="subscript"/>
        <sz val="10"/>
        <rFont val="Aptos"/>
        <family val="2"/>
      </rPr>
      <t>p-1,i</t>
    </r>
    <r>
      <rPr>
        <b/>
        <sz val="10"/>
        <rFont val="Aptos"/>
        <family val="2"/>
      </rPr>
      <t xml:space="preserve"> x VE</t>
    </r>
    <r>
      <rPr>
        <b/>
        <vertAlign val="superscript"/>
        <sz val="10"/>
        <rFont val="Aptos"/>
        <family val="2"/>
      </rPr>
      <t>FP</t>
    </r>
    <r>
      <rPr>
        <b/>
        <vertAlign val="subscript"/>
        <sz val="10"/>
        <rFont val="Aptos"/>
        <family val="2"/>
      </rPr>
      <t>p,i)</t>
    </r>
    <r>
      <rPr>
        <b/>
        <sz val="10"/>
        <rFont val="Aptos"/>
        <family val="2"/>
      </rPr>
      <t xml:space="preserve"> + 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CPERDE</t>
    </r>
    <r>
      <rPr>
        <b/>
        <i/>
        <vertAlign val="subscript"/>
        <sz val="10"/>
        <rFont val="Aptos"/>
        <family val="2"/>
      </rPr>
      <t>p-1,i</t>
    </r>
    <r>
      <rPr>
        <b/>
        <vertAlign val="subscript"/>
        <sz val="10"/>
        <rFont val="Aptos"/>
        <family val="2"/>
      </rPr>
      <t xml:space="preserve"> x</t>
    </r>
    <r>
      <rPr>
        <b/>
        <sz val="10"/>
        <rFont val="Aptos"/>
        <family val="2"/>
      </rPr>
      <t xml:space="preserve"> VE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>) + 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CPERDP</t>
    </r>
    <r>
      <rPr>
        <b/>
        <i/>
        <vertAlign val="subscript"/>
        <sz val="10"/>
        <rFont val="Aptos"/>
        <family val="2"/>
      </rPr>
      <t>p-1,i</t>
    </r>
    <r>
      <rPr>
        <b/>
        <sz val="10"/>
        <rFont val="Aptos"/>
        <family val="2"/>
      </rPr>
      <t xml:space="preserve"> x VE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)] </t>
    </r>
  </si>
  <si>
    <t>Costos de Conexión (B/.) (Viene del FORM AT302 Y AT322)</t>
  </si>
  <si>
    <t>Costos por uso de la red de transporte (B/.)                                                       (Viene del FORM AT302 Y AT322)</t>
  </si>
  <si>
    <t>Costos por el servicio de Operación Integrada del Mercado Mayorista (B/.)                                                                     (Viene del FORM AT302 Y AT322)</t>
  </si>
  <si>
    <t>Costos por uso de redes pagado a la Autoridad del Canal de Panamá (B/.)                                                       (Viene del FORM AT302 Y AT322)</t>
  </si>
  <si>
    <t>Costos por uso de redes de distribución de otros distribuidores (B/.)                                                                     (Viene del FORM AT302 Y AT322)</t>
  </si>
  <si>
    <t>Costo por uso de redes, otros costos de transporte y Tasa de Regulación del Mercado Regional (B/.)                                                                     (Viene del FORM AT302 Y AT322)</t>
  </si>
  <si>
    <r>
      <t xml:space="preserve">Total de Costos de Transmisión (B/.)                                                       </t>
    </r>
    <r>
      <rPr>
        <b/>
        <sz val="11"/>
        <rFont val="Aptos"/>
        <family val="2"/>
      </rPr>
      <t>= 1 + 2 + 3 + 4 + 5 + 6</t>
    </r>
  </si>
  <si>
    <r>
      <t>Cargos BASE por Transmisión en p-1 (</t>
    </r>
    <r>
      <rPr>
        <b/>
        <i/>
        <sz val="11"/>
        <rFont val="Aptos"/>
        <family val="2"/>
      </rPr>
      <t>CPT</t>
    </r>
    <r>
      <rPr>
        <b/>
        <i/>
        <vertAlign val="superscript"/>
        <sz val="11"/>
        <rFont val="Aptos"/>
        <family val="2"/>
      </rPr>
      <t>BASE</t>
    </r>
    <r>
      <rPr>
        <b/>
        <i/>
        <vertAlign val="subscript"/>
        <sz val="12"/>
        <rFont val="Aptos"/>
        <family val="2"/>
      </rPr>
      <t>p-1,i</t>
    </r>
    <r>
      <rPr>
        <b/>
        <sz val="12"/>
        <rFont val="Aptos"/>
        <family val="2"/>
      </rPr>
      <t>)</t>
    </r>
  </si>
  <si>
    <r>
      <t>INGRESOS ESTIMADOS PARA p APLICANDO LOS CARGOS BASE DE p- 1 POR TARIFA A LA PROYECCION DE VENTAS  (FORM AT801) (</t>
    </r>
    <r>
      <rPr>
        <b/>
        <i/>
        <sz val="11"/>
        <rFont val="Aptos"/>
        <family val="2"/>
      </rPr>
      <t>CPT</t>
    </r>
    <r>
      <rPr>
        <b/>
        <i/>
        <vertAlign val="superscript"/>
        <sz val="11"/>
        <rFont val="Aptos"/>
        <family val="2"/>
      </rPr>
      <t>BASE</t>
    </r>
    <r>
      <rPr>
        <b/>
        <i/>
        <vertAlign val="subscript"/>
        <sz val="11"/>
        <rFont val="Aptos"/>
        <family val="2"/>
      </rPr>
      <t>p-1,i</t>
    </r>
    <r>
      <rPr>
        <b/>
        <sz val="11"/>
        <rFont val="Aptos"/>
        <family val="2"/>
      </rPr>
      <t xml:space="preserve"> x VE</t>
    </r>
    <r>
      <rPr>
        <b/>
        <vertAlign val="subscript"/>
        <sz val="11"/>
        <rFont val="Aptos"/>
        <family val="2"/>
      </rPr>
      <t>p,i</t>
    </r>
    <r>
      <rPr>
        <b/>
        <sz val="11"/>
        <rFont val="Aptos"/>
        <family val="2"/>
      </rPr>
      <t>)</t>
    </r>
  </si>
  <si>
    <r>
      <t>INGRESOS ESTIMADOS PARA p APLICANDO LOS CARGOS BASE DE p- 1 POR TARIFA A LA PROYECCION DE VENTAS DE LOS GRANDES CLIENTES (FORM AT801) (</t>
    </r>
    <r>
      <rPr>
        <b/>
        <i/>
        <sz val="11"/>
        <rFont val="Aptos"/>
        <family val="2"/>
      </rPr>
      <t>CPT</t>
    </r>
    <r>
      <rPr>
        <b/>
        <i/>
        <vertAlign val="superscript"/>
        <sz val="11"/>
        <rFont val="Aptos"/>
        <family val="2"/>
      </rPr>
      <t>BASE</t>
    </r>
    <r>
      <rPr>
        <b/>
        <i/>
        <vertAlign val="subscript"/>
        <sz val="11"/>
        <rFont val="Aptos"/>
        <family val="2"/>
      </rPr>
      <t>p-1,i</t>
    </r>
    <r>
      <rPr>
        <b/>
        <sz val="11"/>
        <rFont val="Aptos"/>
        <family val="2"/>
      </rPr>
      <t xml:space="preserve"> x VEGC</t>
    </r>
    <r>
      <rPr>
        <b/>
        <vertAlign val="subscript"/>
        <sz val="11"/>
        <rFont val="Aptos"/>
        <family val="2"/>
      </rPr>
      <t>p,i</t>
    </r>
    <r>
      <rPr>
        <b/>
        <sz val="11"/>
        <rFont val="Aptos"/>
        <family val="2"/>
      </rPr>
      <t>)</t>
    </r>
  </si>
  <si>
    <r>
      <t>Nuevos Cargos Tarifarios por Transmisión en p (</t>
    </r>
    <r>
      <rPr>
        <b/>
        <i/>
        <sz val="11"/>
        <rFont val="Aptos"/>
        <family val="2"/>
      </rPr>
      <t>CPT</t>
    </r>
    <r>
      <rPr>
        <b/>
        <i/>
        <vertAlign val="subscript"/>
        <sz val="11"/>
        <rFont val="Aptos"/>
        <family val="2"/>
      </rPr>
      <t>p,i</t>
    </r>
    <r>
      <rPr>
        <b/>
        <sz val="11"/>
        <rFont val="Aptos"/>
        <family val="2"/>
      </rPr>
      <t>)</t>
    </r>
  </si>
  <si>
    <r>
      <t>INGRESOS ESTIMADOS PARA p APLICANDO LOS NUEVOS CARGOS TARIFARIOS POR TARIFA A LA PROYECCION DE VENTAS  (FORM AT801) (</t>
    </r>
    <r>
      <rPr>
        <b/>
        <i/>
        <sz val="11"/>
        <rFont val="Aptos"/>
        <family val="2"/>
      </rPr>
      <t>CPT</t>
    </r>
    <r>
      <rPr>
        <b/>
        <i/>
        <vertAlign val="subscript"/>
        <sz val="11"/>
        <rFont val="Aptos"/>
        <family val="2"/>
      </rPr>
      <t>p,i</t>
    </r>
    <r>
      <rPr>
        <b/>
        <sz val="11"/>
        <rFont val="Aptos"/>
        <family val="2"/>
      </rPr>
      <t xml:space="preserve"> x VE</t>
    </r>
    <r>
      <rPr>
        <b/>
        <vertAlign val="subscript"/>
        <sz val="11"/>
        <rFont val="Aptos"/>
        <family val="2"/>
      </rPr>
      <t>p,i</t>
    </r>
    <r>
      <rPr>
        <b/>
        <sz val="11"/>
        <rFont val="Aptos"/>
        <family val="2"/>
      </rPr>
      <t>)</t>
    </r>
  </si>
  <si>
    <r>
      <t>INGRESOS ESTIMADOS PARA p APLICANDO LOS NUEVOS CARGOS TARIFARIOS POR TARIFA A LA PROYECCION DE VENTAS DE LOS GRANDES CLIENTES (FORM AT801) (</t>
    </r>
    <r>
      <rPr>
        <b/>
        <i/>
        <sz val="11"/>
        <rFont val="Aptos"/>
        <family val="2"/>
      </rPr>
      <t>CPT</t>
    </r>
    <r>
      <rPr>
        <b/>
        <i/>
        <vertAlign val="subscript"/>
        <sz val="11"/>
        <rFont val="Aptos"/>
        <family val="2"/>
      </rPr>
      <t>p,i</t>
    </r>
    <r>
      <rPr>
        <b/>
        <sz val="11"/>
        <rFont val="Aptos"/>
        <family val="2"/>
      </rPr>
      <t xml:space="preserve"> x VEGC</t>
    </r>
    <r>
      <rPr>
        <b/>
        <vertAlign val="subscript"/>
        <sz val="11"/>
        <rFont val="Aptos"/>
        <family val="2"/>
      </rPr>
      <t>p,i</t>
    </r>
    <r>
      <rPr>
        <b/>
        <sz val="11"/>
        <rFont val="Aptos"/>
        <family val="2"/>
      </rPr>
      <t>)</t>
    </r>
  </si>
  <si>
    <r>
      <t>Cargos Tarifarios por Transmisión en p-1      (</t>
    </r>
    <r>
      <rPr>
        <b/>
        <i/>
        <sz val="11"/>
        <rFont val="Aptos"/>
        <family val="2"/>
      </rPr>
      <t>CPT</t>
    </r>
    <r>
      <rPr>
        <b/>
        <i/>
        <vertAlign val="subscript"/>
        <sz val="12"/>
        <rFont val="Aptos"/>
        <family val="2"/>
      </rPr>
      <t>p-1,i</t>
    </r>
    <r>
      <rPr>
        <b/>
        <sz val="12"/>
        <rFont val="Aptos"/>
        <family val="2"/>
      </rPr>
      <t>)</t>
    </r>
  </si>
  <si>
    <r>
      <t>INGRESOS ESTIMADOS PARA p APLICANDO LOS CARGOS TARIFARIOS DE p- 1 POR TARIFA A LA PROYECCION DE VENTAS  (FORM AT801) (</t>
    </r>
    <r>
      <rPr>
        <b/>
        <i/>
        <sz val="11"/>
        <rFont val="Aptos"/>
        <family val="2"/>
      </rPr>
      <t>CPT</t>
    </r>
    <r>
      <rPr>
        <b/>
        <i/>
        <vertAlign val="subscript"/>
        <sz val="11"/>
        <rFont val="Aptos"/>
        <family val="2"/>
      </rPr>
      <t>p-1,i</t>
    </r>
    <r>
      <rPr>
        <b/>
        <sz val="11"/>
        <rFont val="Aptos"/>
        <family val="2"/>
      </rPr>
      <t xml:space="preserve"> x VE</t>
    </r>
    <r>
      <rPr>
        <b/>
        <vertAlign val="subscript"/>
        <sz val="11"/>
        <rFont val="Aptos"/>
        <family val="2"/>
      </rPr>
      <t>p,i</t>
    </r>
    <r>
      <rPr>
        <b/>
        <sz val="11"/>
        <rFont val="Aptos"/>
        <family val="2"/>
      </rPr>
      <t>)</t>
    </r>
  </si>
  <si>
    <r>
      <t xml:space="preserve">Costos de Conexión (B/.) </t>
    </r>
    <r>
      <rPr>
        <sz val="10"/>
        <rFont val="Aptos"/>
        <family val="2"/>
      </rPr>
      <t>(Viene del FORM AT302 Y AT322)</t>
    </r>
  </si>
  <si>
    <r>
      <t xml:space="preserve">Costos por uso de la red de transporte (B/.)                                                       </t>
    </r>
    <r>
      <rPr>
        <sz val="10"/>
        <rFont val="Aptos"/>
        <family val="2"/>
      </rPr>
      <t>(Viene del FORM AT302 Y AT322)</t>
    </r>
  </si>
  <si>
    <r>
      <t xml:space="preserve">Costos por el servicio de Operación Integrada del Mercado Mayorista (B/.)                                                                     </t>
    </r>
    <r>
      <rPr>
        <sz val="10"/>
        <rFont val="Aptos"/>
        <family val="2"/>
      </rPr>
      <t>(Viene del FORM AT302 Y AT322)</t>
    </r>
  </si>
  <si>
    <r>
      <t xml:space="preserve">Costos por uso de redes pagado a la Autoridad del Canal de Panamá (B/.)                                                       </t>
    </r>
    <r>
      <rPr>
        <sz val="10"/>
        <rFont val="Aptos"/>
        <family val="2"/>
      </rPr>
      <t>(Viene del FORM AT302 Y AT322)</t>
    </r>
  </si>
  <si>
    <r>
      <t xml:space="preserve">Costos por uso de redes de distribución de otros distribuidores (B/.)                                                                     </t>
    </r>
    <r>
      <rPr>
        <sz val="10"/>
        <rFont val="Aptos"/>
        <family val="2"/>
      </rPr>
      <t>(Viene del FORM AT302 Y AT322)</t>
    </r>
  </si>
  <si>
    <r>
      <t xml:space="preserve">Costo por uso de redes, otros costos de transporte y Tasa de Regulación del Mercado Regional (B/.)                                                                    </t>
    </r>
    <r>
      <rPr>
        <sz val="10"/>
        <rFont val="Aptos"/>
        <family val="2"/>
      </rPr>
      <t xml:space="preserve"> (Viene del FORM AT302 Y AT322)</t>
    </r>
  </si>
  <si>
    <r>
      <t xml:space="preserve">Total de Costos de Transmisión (B/.)                                                       </t>
    </r>
    <r>
      <rPr>
        <b/>
        <sz val="10"/>
        <rFont val="Aptos"/>
        <family val="2"/>
      </rPr>
      <t>= 1 + 2 + 3 + 4 + 5 + 6</t>
    </r>
  </si>
  <si>
    <r>
      <t xml:space="preserve">Viene de </t>
    </r>
    <r>
      <rPr>
        <b/>
        <sz val="11"/>
        <color indexed="60"/>
        <rFont val="Aptos"/>
        <family val="2"/>
      </rPr>
      <t>PERD TRANS-422</t>
    </r>
  </si>
  <si>
    <r>
      <t>Cargos BASE por Pérdidas en Transmisión en p-1 (</t>
    </r>
    <r>
      <rPr>
        <b/>
        <i/>
        <sz val="11"/>
        <rFont val="Aptos"/>
        <family val="2"/>
      </rPr>
      <t>CPET</t>
    </r>
    <r>
      <rPr>
        <b/>
        <i/>
        <vertAlign val="superscript"/>
        <sz val="11"/>
        <rFont val="Aptos"/>
        <family val="2"/>
      </rPr>
      <t>BASE</t>
    </r>
    <r>
      <rPr>
        <b/>
        <i/>
        <vertAlign val="subscript"/>
        <sz val="11"/>
        <rFont val="Aptos"/>
        <family val="2"/>
      </rPr>
      <t>p-1,i</t>
    </r>
    <r>
      <rPr>
        <b/>
        <sz val="11"/>
        <rFont val="Aptos"/>
        <family val="2"/>
      </rPr>
      <t>)</t>
    </r>
  </si>
  <si>
    <r>
      <t>INGRESOS ESTIMADOS PARA p APLICANDO LOS CARGOS BASE DE p- 1 POR TARIFA A LA PROYECCION DE VENTAS  (FORM AT801) (</t>
    </r>
    <r>
      <rPr>
        <b/>
        <i/>
        <sz val="11"/>
        <rFont val="Aptos"/>
        <family val="2"/>
      </rPr>
      <t>CPET</t>
    </r>
    <r>
      <rPr>
        <b/>
        <i/>
        <vertAlign val="superscript"/>
        <sz val="11"/>
        <rFont val="Aptos"/>
        <family val="2"/>
      </rPr>
      <t>BASE</t>
    </r>
    <r>
      <rPr>
        <b/>
        <i/>
        <vertAlign val="subscript"/>
        <sz val="11"/>
        <rFont val="Aptos"/>
        <family val="2"/>
      </rPr>
      <t>p-1,i</t>
    </r>
    <r>
      <rPr>
        <b/>
        <sz val="11"/>
        <rFont val="Aptos"/>
        <family val="2"/>
      </rPr>
      <t xml:space="preserve"> x VE</t>
    </r>
    <r>
      <rPr>
        <b/>
        <vertAlign val="subscript"/>
        <sz val="11"/>
        <rFont val="Aptos"/>
        <family val="2"/>
      </rPr>
      <t>p,i</t>
    </r>
    <r>
      <rPr>
        <b/>
        <sz val="11"/>
        <rFont val="Aptos"/>
        <family val="2"/>
      </rPr>
      <t>)</t>
    </r>
  </si>
  <si>
    <r>
      <t>Nuevos Cargos Tarifarios por Pérdidas en Transmisión en p (</t>
    </r>
    <r>
      <rPr>
        <b/>
        <i/>
        <sz val="11"/>
        <rFont val="Aptos"/>
        <family val="2"/>
      </rPr>
      <t>CPET</t>
    </r>
    <r>
      <rPr>
        <b/>
        <i/>
        <vertAlign val="subscript"/>
        <sz val="11"/>
        <rFont val="Aptos"/>
        <family val="2"/>
      </rPr>
      <t>p,i</t>
    </r>
    <r>
      <rPr>
        <b/>
        <sz val="11"/>
        <rFont val="Aptos"/>
        <family val="2"/>
      </rPr>
      <t>)</t>
    </r>
  </si>
  <si>
    <r>
      <t>INGRESOS ESTIMADOS APLICANDO LOS NUEVOS CARGOS TARIFARIOS POR TARIFA A LA PROYECCION DE VENTAS  (FORM AT801) (</t>
    </r>
    <r>
      <rPr>
        <b/>
        <i/>
        <sz val="11"/>
        <rFont val="Aptos"/>
        <family val="2"/>
      </rPr>
      <t>CPET</t>
    </r>
    <r>
      <rPr>
        <b/>
        <i/>
        <vertAlign val="subscript"/>
        <sz val="11"/>
        <rFont val="Aptos"/>
        <family val="2"/>
      </rPr>
      <t>p,i</t>
    </r>
    <r>
      <rPr>
        <b/>
        <sz val="11"/>
        <rFont val="Aptos"/>
        <family val="2"/>
      </rPr>
      <t xml:space="preserve"> x VE</t>
    </r>
    <r>
      <rPr>
        <b/>
        <vertAlign val="subscript"/>
        <sz val="11"/>
        <rFont val="Aptos"/>
        <family val="2"/>
      </rPr>
      <t>p,i</t>
    </r>
    <r>
      <rPr>
        <b/>
        <sz val="11"/>
        <rFont val="Aptos"/>
        <family val="2"/>
      </rPr>
      <t>)</t>
    </r>
  </si>
  <si>
    <r>
      <t>Cargos Tarifarios por Pérdidas en Transmisión en p-1 (</t>
    </r>
    <r>
      <rPr>
        <b/>
        <i/>
        <sz val="11"/>
        <rFont val="Aptos"/>
        <family val="2"/>
      </rPr>
      <t>CPET</t>
    </r>
    <r>
      <rPr>
        <b/>
        <i/>
        <vertAlign val="subscript"/>
        <sz val="11"/>
        <rFont val="Aptos"/>
        <family val="2"/>
      </rPr>
      <t>p-1,i</t>
    </r>
    <r>
      <rPr>
        <b/>
        <sz val="11"/>
        <rFont val="Aptos"/>
        <family val="2"/>
      </rPr>
      <t>)</t>
    </r>
  </si>
  <si>
    <r>
      <t>INGRESOS ESTIMADOS PARA p APLICANDO LOS CARGOS TARIFARIOS DE p- 1 POR TARIFA A LA PROYECCION DE VENTAS  (FORM AT801) (</t>
    </r>
    <r>
      <rPr>
        <b/>
        <i/>
        <sz val="11"/>
        <rFont val="Aptos"/>
        <family val="2"/>
      </rPr>
      <t>CPET</t>
    </r>
    <r>
      <rPr>
        <b/>
        <i/>
        <vertAlign val="subscript"/>
        <sz val="11"/>
        <rFont val="Aptos"/>
        <family val="2"/>
      </rPr>
      <t>p-1,i</t>
    </r>
    <r>
      <rPr>
        <b/>
        <sz val="11"/>
        <rFont val="Aptos"/>
        <family val="2"/>
      </rPr>
      <t xml:space="preserve"> x VE</t>
    </r>
    <r>
      <rPr>
        <b/>
        <vertAlign val="subscript"/>
        <sz val="11"/>
        <rFont val="Aptos"/>
        <family val="2"/>
      </rPr>
      <t>p,i</t>
    </r>
    <r>
      <rPr>
        <b/>
        <sz val="11"/>
        <rFont val="Aptos"/>
        <family val="2"/>
      </rPr>
      <t>)</t>
    </r>
  </si>
  <si>
    <r>
      <t>CPOTGENGC</t>
    </r>
    <r>
      <rPr>
        <b/>
        <i/>
        <vertAlign val="superscript"/>
        <sz val="8"/>
        <rFont val="Aptos"/>
        <family val="2"/>
      </rPr>
      <t>P</t>
    </r>
  </si>
  <si>
    <r>
      <t>CPOTGENE</t>
    </r>
    <r>
      <rPr>
        <b/>
        <i/>
        <vertAlign val="superscript"/>
        <sz val="8"/>
        <rFont val="Aptos"/>
        <family val="2"/>
      </rPr>
      <t>P</t>
    </r>
  </si>
  <si>
    <r>
      <t>CPOTGEN</t>
    </r>
    <r>
      <rPr>
        <b/>
        <i/>
        <vertAlign val="superscript"/>
        <sz val="8"/>
        <rFont val="Aptos"/>
        <family val="2"/>
      </rPr>
      <t>P</t>
    </r>
  </si>
  <si>
    <r>
      <t xml:space="preserve">Ingresos estimados para p aplicando los cargos BASE de p-1 de horas de punta a la proyección de ventas para p (FORM AT801) </t>
    </r>
    <r>
      <rPr>
        <b/>
        <i/>
        <sz val="10"/>
        <rFont val="Aptos"/>
        <family val="2"/>
      </rPr>
      <t>GP</t>
    </r>
    <r>
      <rPr>
        <b/>
        <i/>
        <vertAlign val="superscript"/>
        <sz val="10"/>
        <rFont val="Aptos"/>
        <family val="2"/>
      </rPr>
      <t>CR-BASE</t>
    </r>
    <r>
      <rPr>
        <b/>
        <i/>
        <vertAlign val="subscript"/>
        <sz val="10"/>
        <rFont val="Aptos"/>
        <family val="2"/>
      </rPr>
      <t>p-1</t>
    </r>
    <r>
      <rPr>
        <b/>
        <sz val="10"/>
        <rFont val="Aptos"/>
        <family val="2"/>
      </rPr>
      <t xml:space="preserve"> = [SUM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CPOTGENE</t>
    </r>
    <r>
      <rPr>
        <b/>
        <i/>
        <vertAlign val="superscript"/>
        <sz val="10"/>
        <rFont val="Aptos"/>
        <family val="2"/>
      </rPr>
      <t>P-BASE</t>
    </r>
    <r>
      <rPr>
        <b/>
        <i/>
        <vertAlign val="subscript"/>
        <sz val="10"/>
        <rFont val="Aptos"/>
        <family val="2"/>
      </rPr>
      <t>p-1,i</t>
    </r>
    <r>
      <rPr>
        <b/>
        <sz val="10"/>
        <rFont val="Aptos"/>
        <family val="2"/>
      </rPr>
      <t xml:space="preserve"> x VE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>) + 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CPOTGEN</t>
    </r>
    <r>
      <rPr>
        <b/>
        <i/>
        <vertAlign val="superscript"/>
        <sz val="10"/>
        <rFont val="Aptos"/>
        <family val="2"/>
      </rPr>
      <t>P-BASE</t>
    </r>
    <r>
      <rPr>
        <b/>
        <i/>
        <vertAlign val="subscript"/>
        <sz val="10"/>
        <rFont val="Aptos"/>
        <family val="2"/>
      </rPr>
      <t>p-1,i</t>
    </r>
    <r>
      <rPr>
        <b/>
        <sz val="10"/>
        <rFont val="Aptos"/>
        <family val="2"/>
      </rPr>
      <t xml:space="preserve"> x ∑DMAX</t>
    </r>
    <r>
      <rPr>
        <b/>
        <vertAlign val="subscript"/>
        <sz val="10"/>
        <rFont val="Aptos"/>
        <family val="2"/>
      </rPr>
      <t>p,k,i</t>
    </r>
    <r>
      <rPr>
        <b/>
        <sz val="10"/>
        <rFont val="Aptos"/>
        <family val="2"/>
      </rPr>
      <t>) +  SUM</t>
    </r>
    <r>
      <rPr>
        <b/>
        <vertAlign val="subscript"/>
        <sz val="10"/>
        <rFont val="Aptos"/>
        <family val="2"/>
      </rPr>
      <t>i"i=MDHORARIA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CENEGEN</t>
    </r>
    <r>
      <rPr>
        <b/>
        <i/>
        <vertAlign val="superscript"/>
        <sz val="10"/>
        <rFont val="Aptos"/>
        <family val="2"/>
      </rPr>
      <t>P-BASE</t>
    </r>
    <r>
      <rPr>
        <b/>
        <i/>
        <vertAlign val="subscript"/>
        <sz val="10"/>
        <rFont val="Aptos"/>
        <family val="2"/>
      </rPr>
      <t>p-1,i</t>
    </r>
    <r>
      <rPr>
        <b/>
        <sz val="10"/>
        <rFont val="Aptos"/>
        <family val="2"/>
      </rPr>
      <t xml:space="preserve"> x VE</t>
    </r>
    <r>
      <rPr>
        <b/>
        <vertAlign val="superscript"/>
        <sz val="10"/>
        <rFont val="Aptos"/>
        <family val="2"/>
      </rPr>
      <t>P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>) + SUM</t>
    </r>
    <r>
      <rPr>
        <b/>
        <vertAlign val="subscript"/>
        <sz val="10"/>
        <rFont val="Aptos"/>
        <family val="2"/>
      </rPr>
      <t>i"i=MDNOHORARIA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CENEGEN</t>
    </r>
    <r>
      <rPr>
        <b/>
        <i/>
        <vertAlign val="superscript"/>
        <sz val="10"/>
        <rFont val="Aptos"/>
        <family val="2"/>
      </rPr>
      <t>BASE</t>
    </r>
    <r>
      <rPr>
        <b/>
        <i/>
        <vertAlign val="subscript"/>
        <sz val="10"/>
        <rFont val="Aptos"/>
        <family val="2"/>
      </rPr>
      <t>p-1,i</t>
    </r>
    <r>
      <rPr>
        <b/>
        <sz val="10"/>
        <rFont val="Aptos"/>
        <family val="2"/>
      </rPr>
      <t xml:space="preserve"> x VE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 x FCP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>) + 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CPOTGENGC</t>
    </r>
    <r>
      <rPr>
        <b/>
        <i/>
        <vertAlign val="superscript"/>
        <sz val="10"/>
        <rFont val="Aptos"/>
        <family val="2"/>
      </rPr>
      <t>P-BASE</t>
    </r>
    <r>
      <rPr>
        <b/>
        <i/>
        <vertAlign val="subscript"/>
        <sz val="10"/>
        <rFont val="Aptos"/>
        <family val="2"/>
      </rPr>
      <t>p-1,i</t>
    </r>
    <r>
      <rPr>
        <b/>
        <sz val="10"/>
        <rFont val="Aptos"/>
        <family val="2"/>
      </rPr>
      <t xml:space="preserve"> x ∑DMAXE</t>
    </r>
    <r>
      <rPr>
        <b/>
        <vertAlign val="superscript"/>
        <sz val="10"/>
        <rFont val="Aptos"/>
        <family val="2"/>
      </rPr>
      <t>GC</t>
    </r>
    <r>
      <rPr>
        <b/>
        <vertAlign val="subscript"/>
        <sz val="10"/>
        <rFont val="Aptos"/>
        <family val="2"/>
      </rPr>
      <t>p,k,i</t>
    </r>
    <r>
      <rPr>
        <b/>
        <sz val="10"/>
        <rFont val="Aptos"/>
        <family val="2"/>
      </rPr>
      <t xml:space="preserve">) ] </t>
    </r>
  </si>
  <si>
    <r>
      <t xml:space="preserve">Ingresos estimados para p aplicando los cargos BASE de p-1 de horas fuera de punta a la proyección de ventas para p (FORM AT801)    </t>
    </r>
    <r>
      <rPr>
        <b/>
        <i/>
        <sz val="11"/>
        <rFont val="Aptos"/>
        <family val="2"/>
      </rPr>
      <t>GFP</t>
    </r>
    <r>
      <rPr>
        <b/>
        <i/>
        <vertAlign val="superscript"/>
        <sz val="11"/>
        <rFont val="Aptos"/>
        <family val="2"/>
      </rPr>
      <t>CR-BASE</t>
    </r>
    <r>
      <rPr>
        <b/>
        <i/>
        <vertAlign val="subscript"/>
        <sz val="11"/>
        <rFont val="Aptos"/>
        <family val="2"/>
      </rPr>
      <t>p-1</t>
    </r>
    <r>
      <rPr>
        <b/>
        <sz val="11"/>
        <rFont val="Aptos"/>
        <family val="2"/>
      </rPr>
      <t xml:space="preserve"> = </t>
    </r>
    <r>
      <rPr>
        <b/>
        <sz val="10"/>
        <rFont val="Aptos"/>
        <family val="2"/>
      </rPr>
      <t>[SUM</t>
    </r>
    <r>
      <rPr>
        <b/>
        <vertAlign val="subscript"/>
        <sz val="10"/>
        <rFont val="Aptos"/>
        <family val="2"/>
      </rPr>
      <t>i"i=MDHORARIA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CENEGEN</t>
    </r>
    <r>
      <rPr>
        <b/>
        <i/>
        <vertAlign val="superscript"/>
        <sz val="10"/>
        <rFont val="Aptos"/>
        <family val="2"/>
      </rPr>
      <t>FP-BASE</t>
    </r>
    <r>
      <rPr>
        <b/>
        <i/>
        <vertAlign val="subscript"/>
        <sz val="10"/>
        <rFont val="Aptos"/>
        <family val="2"/>
      </rPr>
      <t>p-1,i</t>
    </r>
    <r>
      <rPr>
        <b/>
        <sz val="10"/>
        <rFont val="Aptos"/>
        <family val="2"/>
      </rPr>
      <t xml:space="preserve"> x VE</t>
    </r>
    <r>
      <rPr>
        <b/>
        <vertAlign val="superscript"/>
        <sz val="10"/>
        <rFont val="Aptos"/>
        <family val="2"/>
      </rPr>
      <t>FP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 + </t>
    </r>
    <r>
      <rPr>
        <b/>
        <i/>
        <sz val="10"/>
        <rFont val="Aptos"/>
        <family val="2"/>
      </rPr>
      <t>CCONAP</t>
    </r>
    <r>
      <rPr>
        <b/>
        <i/>
        <vertAlign val="superscript"/>
        <sz val="10"/>
        <rFont val="Aptos"/>
        <family val="2"/>
      </rPr>
      <t>BASE</t>
    </r>
    <r>
      <rPr>
        <b/>
        <i/>
        <vertAlign val="subscript"/>
        <sz val="10"/>
        <rFont val="Aptos"/>
        <family val="2"/>
      </rPr>
      <t>p-1,i</t>
    </r>
    <r>
      <rPr>
        <b/>
        <i/>
        <sz val="10"/>
        <rFont val="Aptos"/>
        <family val="2"/>
      </rPr>
      <t xml:space="preserve"> </t>
    </r>
    <r>
      <rPr>
        <b/>
        <sz val="10"/>
        <rFont val="Aptos"/>
        <family val="2"/>
      </rPr>
      <t>x VE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>) + SUM</t>
    </r>
    <r>
      <rPr>
        <b/>
        <vertAlign val="subscript"/>
        <sz val="10"/>
        <rFont val="Aptos"/>
        <family val="2"/>
      </rPr>
      <t>i"i=MDNOHORARIA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CENEGEN</t>
    </r>
    <r>
      <rPr>
        <b/>
        <i/>
        <vertAlign val="superscript"/>
        <sz val="10"/>
        <rFont val="Aptos"/>
        <family val="2"/>
      </rPr>
      <t>BASE</t>
    </r>
    <r>
      <rPr>
        <b/>
        <i/>
        <vertAlign val="subscript"/>
        <sz val="10"/>
        <rFont val="Aptos"/>
        <family val="2"/>
      </rPr>
      <t>p-1,i</t>
    </r>
    <r>
      <rPr>
        <b/>
        <sz val="10"/>
        <rFont val="Aptos"/>
        <family val="2"/>
      </rPr>
      <t xml:space="preserve">  x VE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 x (1-FCP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) + </t>
    </r>
    <r>
      <rPr>
        <b/>
        <i/>
        <sz val="10"/>
        <rFont val="Aptos"/>
        <family val="2"/>
      </rPr>
      <t>CCONAP</t>
    </r>
    <r>
      <rPr>
        <b/>
        <i/>
        <vertAlign val="superscript"/>
        <sz val="10"/>
        <rFont val="Aptos"/>
        <family val="2"/>
      </rPr>
      <t>BASE</t>
    </r>
    <r>
      <rPr>
        <b/>
        <i/>
        <vertAlign val="subscript"/>
        <sz val="10"/>
        <rFont val="Aptos"/>
        <family val="2"/>
      </rPr>
      <t>p-1,i</t>
    </r>
    <r>
      <rPr>
        <b/>
        <sz val="10"/>
        <rFont val="Aptos"/>
        <family val="2"/>
      </rPr>
      <t xml:space="preserve"> x VE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>]</t>
    </r>
    <r>
      <rPr>
        <b/>
        <sz val="11"/>
        <rFont val="Aptos"/>
        <family val="2"/>
      </rPr>
      <t xml:space="preserve"> </t>
    </r>
  </si>
  <si>
    <r>
      <t xml:space="preserve">Ingresos estimados para p aplicando los nuevos cargos tarifarios de generación correspondientes al consumo de energía de alumbrado público a la proyección de ventas para p (FORM AT801) </t>
    </r>
    <r>
      <rPr>
        <b/>
        <sz val="10"/>
        <rFont val="Aptos"/>
        <family val="2"/>
      </rPr>
      <t>[SUM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CCONAP</t>
    </r>
    <r>
      <rPr>
        <b/>
        <i/>
        <vertAlign val="subscript"/>
        <sz val="10"/>
        <rFont val="Aptos"/>
        <family val="2"/>
      </rPr>
      <t>p,i</t>
    </r>
    <r>
      <rPr>
        <b/>
        <vertAlign val="subscript"/>
        <sz val="10"/>
        <rFont val="Aptos"/>
        <family val="2"/>
      </rPr>
      <t xml:space="preserve"> </t>
    </r>
    <r>
      <rPr>
        <b/>
        <sz val="10"/>
        <rFont val="Aptos"/>
        <family val="2"/>
      </rPr>
      <t>x VE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)] </t>
    </r>
  </si>
  <si>
    <r>
      <t>Detalle de Ingresos estimados para p aplicando los cargos BASE de generación correspondientes al consumo de energía de Alumbrado Público de p-1 a la proyección de ventas de los Grandes Clientes para p (FORM AT801)    SUM</t>
    </r>
    <r>
      <rPr>
        <b/>
        <vertAlign val="subscript"/>
        <sz val="11"/>
        <rFont val="Aptos"/>
        <family val="2"/>
      </rPr>
      <t>i</t>
    </r>
    <r>
      <rPr>
        <b/>
        <sz val="11"/>
        <rFont val="Aptos"/>
        <family val="2"/>
      </rPr>
      <t xml:space="preserve"> (</t>
    </r>
    <r>
      <rPr>
        <b/>
        <i/>
        <sz val="11"/>
        <rFont val="Aptos"/>
        <family val="2"/>
      </rPr>
      <t>CCONAP</t>
    </r>
    <r>
      <rPr>
        <b/>
        <i/>
        <vertAlign val="superscript"/>
        <sz val="11"/>
        <rFont val="Aptos"/>
        <family val="2"/>
      </rPr>
      <t>BASE</t>
    </r>
    <r>
      <rPr>
        <b/>
        <i/>
        <vertAlign val="subscript"/>
        <sz val="11"/>
        <rFont val="Aptos"/>
        <family val="2"/>
      </rPr>
      <t xml:space="preserve">p-1,i </t>
    </r>
    <r>
      <rPr>
        <b/>
        <sz val="11"/>
        <rFont val="Aptos"/>
        <family val="2"/>
      </rPr>
      <t>x VEGC</t>
    </r>
    <r>
      <rPr>
        <b/>
        <vertAlign val="subscript"/>
        <sz val="11"/>
        <rFont val="Aptos"/>
        <family val="2"/>
      </rPr>
      <t>p,i</t>
    </r>
    <r>
      <rPr>
        <b/>
        <sz val="11"/>
        <rFont val="Aptos"/>
        <family val="2"/>
      </rPr>
      <t xml:space="preserve">) </t>
    </r>
    <r>
      <rPr>
        <b/>
        <sz val="10"/>
        <rFont val="Times New Roman"/>
        <family val="1"/>
      </rPr>
      <t/>
    </r>
  </si>
  <si>
    <r>
      <t xml:space="preserve">Detalle de Ingresos estimados para p aplicando los cargos BASE de generación de los Grandes Clientes de p-1 a la proyección de ventas de los Grandes Clientes para p (FORM AT801) </t>
    </r>
    <r>
      <rPr>
        <b/>
        <i/>
        <sz val="11"/>
        <rFont val="Aptos"/>
        <family val="2"/>
      </rPr>
      <t>GPGC</t>
    </r>
    <r>
      <rPr>
        <b/>
        <i/>
        <vertAlign val="superscript"/>
        <sz val="11"/>
        <rFont val="Aptos"/>
        <family val="2"/>
      </rPr>
      <t>CR-BASE</t>
    </r>
    <r>
      <rPr>
        <b/>
        <i/>
        <vertAlign val="subscript"/>
        <sz val="11"/>
        <rFont val="Aptos"/>
        <family val="2"/>
      </rPr>
      <t>p-1</t>
    </r>
    <r>
      <rPr>
        <b/>
        <sz val="11"/>
        <rFont val="Aptos"/>
        <family val="2"/>
      </rPr>
      <t xml:space="preserve"> = SUM</t>
    </r>
    <r>
      <rPr>
        <b/>
        <vertAlign val="subscript"/>
        <sz val="11"/>
        <rFont val="Aptos"/>
        <family val="2"/>
      </rPr>
      <t>i</t>
    </r>
    <r>
      <rPr>
        <b/>
        <sz val="11"/>
        <rFont val="Aptos"/>
        <family val="2"/>
      </rPr>
      <t xml:space="preserve"> (</t>
    </r>
    <r>
      <rPr>
        <b/>
        <i/>
        <sz val="11"/>
        <rFont val="Aptos"/>
        <family val="2"/>
      </rPr>
      <t>CPOTGENGC</t>
    </r>
    <r>
      <rPr>
        <b/>
        <i/>
        <vertAlign val="superscript"/>
        <sz val="11"/>
        <rFont val="Aptos"/>
        <family val="2"/>
      </rPr>
      <t>P-BASE</t>
    </r>
    <r>
      <rPr>
        <b/>
        <i/>
        <vertAlign val="subscript"/>
        <sz val="11"/>
        <rFont val="Aptos"/>
        <family val="2"/>
      </rPr>
      <t>p-1,i</t>
    </r>
    <r>
      <rPr>
        <b/>
        <sz val="11"/>
        <rFont val="Aptos"/>
        <family val="2"/>
      </rPr>
      <t xml:space="preserve"> x ∑DMAXE</t>
    </r>
    <r>
      <rPr>
        <b/>
        <vertAlign val="superscript"/>
        <sz val="11"/>
        <rFont val="Aptos"/>
        <family val="2"/>
      </rPr>
      <t>GC</t>
    </r>
    <r>
      <rPr>
        <b/>
        <vertAlign val="subscript"/>
        <sz val="11"/>
        <rFont val="Aptos"/>
        <family val="2"/>
      </rPr>
      <t>p,k,i</t>
    </r>
    <r>
      <rPr>
        <b/>
        <sz val="11"/>
        <rFont val="Aptos"/>
        <family val="2"/>
      </rPr>
      <t xml:space="preserve">) </t>
    </r>
    <r>
      <rPr>
        <b/>
        <sz val="10"/>
        <rFont val="Times New Roman"/>
        <family val="1"/>
      </rPr>
      <t/>
    </r>
  </si>
  <si>
    <r>
      <t>Ingresos estimados para p aplicando los cargos tarifarios de generación para p de horas de punta a la proyección de ventas para p (FORM AT801)</t>
    </r>
    <r>
      <rPr>
        <b/>
        <sz val="10"/>
        <rFont val="Aptos"/>
        <family val="2"/>
      </rPr>
      <t xml:space="preserve">        [SUM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CPOTGENE</t>
    </r>
    <r>
      <rPr>
        <b/>
        <i/>
        <vertAlign val="superscript"/>
        <sz val="10"/>
        <rFont val="Aptos"/>
        <family val="2"/>
      </rPr>
      <t>P</t>
    </r>
    <r>
      <rPr>
        <b/>
        <i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 x VE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>) + 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CPOTGEN</t>
    </r>
    <r>
      <rPr>
        <b/>
        <i/>
        <vertAlign val="superscript"/>
        <sz val="10"/>
        <rFont val="Aptos"/>
        <family val="2"/>
      </rPr>
      <t>P</t>
    </r>
    <r>
      <rPr>
        <b/>
        <i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 x ∑DMAX</t>
    </r>
    <r>
      <rPr>
        <b/>
        <vertAlign val="subscript"/>
        <sz val="10"/>
        <rFont val="Aptos"/>
        <family val="2"/>
      </rPr>
      <t>p,k,i</t>
    </r>
    <r>
      <rPr>
        <b/>
        <sz val="10"/>
        <rFont val="Aptos"/>
        <family val="2"/>
      </rPr>
      <t>) +  SUM</t>
    </r>
    <r>
      <rPr>
        <b/>
        <vertAlign val="subscript"/>
        <sz val="10"/>
        <rFont val="Aptos"/>
        <family val="2"/>
      </rPr>
      <t>i"i=MDHORARIA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CENEGEN</t>
    </r>
    <r>
      <rPr>
        <b/>
        <i/>
        <vertAlign val="superscript"/>
        <sz val="10"/>
        <rFont val="Aptos"/>
        <family val="2"/>
      </rPr>
      <t>P</t>
    </r>
    <r>
      <rPr>
        <b/>
        <i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 x VE</t>
    </r>
    <r>
      <rPr>
        <b/>
        <vertAlign val="superscript"/>
        <sz val="10"/>
        <rFont val="Aptos"/>
        <family val="2"/>
      </rPr>
      <t>P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>) + SUM</t>
    </r>
    <r>
      <rPr>
        <b/>
        <vertAlign val="subscript"/>
        <sz val="10"/>
        <rFont val="Aptos"/>
        <family val="2"/>
      </rPr>
      <t>i"i=MDNOHORARIA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CENEGEN</t>
    </r>
    <r>
      <rPr>
        <b/>
        <i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 x VE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 x FCP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>) + 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CPOTGENGC</t>
    </r>
    <r>
      <rPr>
        <b/>
        <i/>
        <vertAlign val="superscript"/>
        <sz val="10"/>
        <rFont val="Aptos"/>
        <family val="2"/>
      </rPr>
      <t>P</t>
    </r>
    <r>
      <rPr>
        <b/>
        <i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 x ∑DMAXE</t>
    </r>
    <r>
      <rPr>
        <b/>
        <vertAlign val="superscript"/>
        <sz val="10"/>
        <rFont val="Aptos"/>
        <family val="2"/>
      </rPr>
      <t>GC</t>
    </r>
    <r>
      <rPr>
        <b/>
        <vertAlign val="subscript"/>
        <sz val="10"/>
        <rFont val="Aptos"/>
        <family val="2"/>
      </rPr>
      <t>p,k,i</t>
    </r>
    <r>
      <rPr>
        <b/>
        <sz val="10"/>
        <rFont val="Aptos"/>
        <family val="2"/>
      </rPr>
      <t xml:space="preserve">) ] </t>
    </r>
  </si>
  <si>
    <r>
      <t xml:space="preserve">Ingresos estimados para p aplicando los nuevos cargos tarifarios de generación de horas fuera de punta a la proyección de ventas para p (FORM AT801) </t>
    </r>
    <r>
      <rPr>
        <b/>
        <sz val="10"/>
        <rFont val="Aptos"/>
        <family val="2"/>
      </rPr>
      <t>[SUM</t>
    </r>
    <r>
      <rPr>
        <b/>
        <vertAlign val="subscript"/>
        <sz val="10"/>
        <rFont val="Aptos"/>
        <family val="2"/>
      </rPr>
      <t>i"i=MDHORARIA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CENEGEN</t>
    </r>
    <r>
      <rPr>
        <b/>
        <i/>
        <vertAlign val="superscript"/>
        <sz val="10"/>
        <rFont val="Aptos"/>
        <family val="2"/>
      </rPr>
      <t>FP</t>
    </r>
    <r>
      <rPr>
        <b/>
        <i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 x VE</t>
    </r>
    <r>
      <rPr>
        <b/>
        <vertAlign val="superscript"/>
        <sz val="10"/>
        <rFont val="Aptos"/>
        <family val="2"/>
      </rPr>
      <t>FP</t>
    </r>
    <r>
      <rPr>
        <b/>
        <vertAlign val="subscript"/>
        <sz val="10"/>
        <rFont val="Aptos"/>
        <family val="2"/>
      </rPr>
      <t>p,i)</t>
    </r>
    <r>
      <rPr>
        <b/>
        <sz val="10"/>
        <rFont val="Aptos"/>
        <family val="2"/>
      </rPr>
      <t xml:space="preserve"> + SUM</t>
    </r>
    <r>
      <rPr>
        <b/>
        <vertAlign val="subscript"/>
        <sz val="10"/>
        <rFont val="Aptos"/>
        <family val="2"/>
      </rPr>
      <t>i"i=MDNOHORARIA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CENEGEN</t>
    </r>
    <r>
      <rPr>
        <b/>
        <i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  x VE</t>
    </r>
    <r>
      <rPr>
        <b/>
        <vertAlign val="subscript"/>
        <sz val="10"/>
        <rFont val="Aptos"/>
        <family val="2"/>
      </rPr>
      <t xml:space="preserve">p,i </t>
    </r>
    <r>
      <rPr>
        <b/>
        <sz val="10"/>
        <rFont val="Aptos"/>
        <family val="2"/>
      </rPr>
      <t>x (1-FCP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)] </t>
    </r>
  </si>
  <si>
    <r>
      <t>Ingresos estimados para p aplicando los nuevos cargos tarifarios de potencia de generación de los Grandes Clientes a la proyección de ventas de los Grandes Clientes a los cuales la empresa distribuidora les compra su potencia para p (FORM AT801) SUM</t>
    </r>
    <r>
      <rPr>
        <b/>
        <vertAlign val="subscript"/>
        <sz val="12"/>
        <rFont val="Aptos"/>
        <family val="2"/>
      </rPr>
      <t>i</t>
    </r>
    <r>
      <rPr>
        <b/>
        <sz val="12"/>
        <rFont val="Aptos"/>
        <family val="2"/>
      </rPr>
      <t xml:space="preserve"> (</t>
    </r>
    <r>
      <rPr>
        <b/>
        <i/>
        <sz val="12"/>
        <rFont val="Aptos"/>
        <family val="2"/>
      </rPr>
      <t>CPOTGENGC</t>
    </r>
    <r>
      <rPr>
        <b/>
        <i/>
        <vertAlign val="superscript"/>
        <sz val="12"/>
        <rFont val="Aptos"/>
        <family val="2"/>
      </rPr>
      <t>P</t>
    </r>
    <r>
      <rPr>
        <b/>
        <i/>
        <vertAlign val="subscript"/>
        <sz val="12"/>
        <rFont val="Aptos"/>
        <family val="2"/>
      </rPr>
      <t>p,i</t>
    </r>
    <r>
      <rPr>
        <b/>
        <sz val="12"/>
        <rFont val="Aptos"/>
        <family val="2"/>
      </rPr>
      <t xml:space="preserve"> x ∑DMAXE</t>
    </r>
    <r>
      <rPr>
        <b/>
        <vertAlign val="superscript"/>
        <sz val="12"/>
        <rFont val="Aptos"/>
        <family val="2"/>
      </rPr>
      <t>GC</t>
    </r>
    <r>
      <rPr>
        <b/>
        <vertAlign val="subscript"/>
        <sz val="12"/>
        <rFont val="Aptos"/>
        <family val="2"/>
      </rPr>
      <t>p,k,i</t>
    </r>
    <r>
      <rPr>
        <b/>
        <sz val="12"/>
        <rFont val="Aptos"/>
        <family val="2"/>
      </rPr>
      <t xml:space="preserve">) </t>
    </r>
    <r>
      <rPr>
        <b/>
        <sz val="10"/>
        <rFont val="Times New Roman"/>
        <family val="1"/>
      </rPr>
      <t/>
    </r>
  </si>
  <si>
    <r>
      <t>Detalle de Ingresos estimados para p aplicando los nuevos cargos tarifarios de potencia de generación de los Grandes Clientes a la proyección de ventas de los Grandes Clientes a los cuales la empresa distribuidora les compra su potencia para p (FORM AT801) SUM</t>
    </r>
    <r>
      <rPr>
        <b/>
        <vertAlign val="subscript"/>
        <sz val="12"/>
        <rFont val="Aptos"/>
        <family val="2"/>
      </rPr>
      <t>i</t>
    </r>
    <r>
      <rPr>
        <b/>
        <sz val="12"/>
        <rFont val="Aptos"/>
        <family val="2"/>
      </rPr>
      <t xml:space="preserve"> (</t>
    </r>
    <r>
      <rPr>
        <b/>
        <i/>
        <sz val="12"/>
        <rFont val="Aptos"/>
        <family val="2"/>
      </rPr>
      <t>CPOTGENGC</t>
    </r>
    <r>
      <rPr>
        <b/>
        <i/>
        <vertAlign val="superscript"/>
        <sz val="12"/>
        <rFont val="Aptos"/>
        <family val="2"/>
      </rPr>
      <t>P</t>
    </r>
    <r>
      <rPr>
        <b/>
        <i/>
        <vertAlign val="subscript"/>
        <sz val="12"/>
        <rFont val="Aptos"/>
        <family val="2"/>
      </rPr>
      <t>p,i</t>
    </r>
    <r>
      <rPr>
        <b/>
        <sz val="12"/>
        <rFont val="Aptos"/>
        <family val="2"/>
      </rPr>
      <t xml:space="preserve"> x ∑DMAXE</t>
    </r>
    <r>
      <rPr>
        <b/>
        <vertAlign val="superscript"/>
        <sz val="12"/>
        <rFont val="Aptos"/>
        <family val="2"/>
      </rPr>
      <t>GC</t>
    </r>
    <r>
      <rPr>
        <b/>
        <vertAlign val="subscript"/>
        <sz val="12"/>
        <rFont val="Aptos"/>
        <family val="2"/>
      </rPr>
      <t>p,k,i</t>
    </r>
    <r>
      <rPr>
        <b/>
        <sz val="12"/>
        <rFont val="Aptos"/>
        <family val="2"/>
      </rPr>
      <t xml:space="preserve">) </t>
    </r>
    <r>
      <rPr>
        <b/>
        <sz val="10"/>
        <rFont val="Times New Roman"/>
        <family val="1"/>
      </rPr>
      <t/>
    </r>
  </si>
  <si>
    <r>
      <t>Ingresos estimados para p aplicando los cargos tarifarios de generación para p-1 de horas de punta a la proyección de ventas para p (FORM AT801)</t>
    </r>
    <r>
      <rPr>
        <b/>
        <sz val="10"/>
        <rFont val="Aptos"/>
        <family val="2"/>
      </rPr>
      <t xml:space="preserve">        [SUM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CPOTGENE</t>
    </r>
    <r>
      <rPr>
        <b/>
        <i/>
        <vertAlign val="superscript"/>
        <sz val="10"/>
        <rFont val="Aptos"/>
        <family val="2"/>
      </rPr>
      <t>P</t>
    </r>
    <r>
      <rPr>
        <b/>
        <i/>
        <vertAlign val="subscript"/>
        <sz val="10"/>
        <rFont val="Aptos"/>
        <family val="2"/>
      </rPr>
      <t>p-1,i</t>
    </r>
    <r>
      <rPr>
        <b/>
        <sz val="10"/>
        <rFont val="Aptos"/>
        <family val="2"/>
      </rPr>
      <t xml:space="preserve"> x VE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>) + 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CPOTGEN</t>
    </r>
    <r>
      <rPr>
        <b/>
        <i/>
        <vertAlign val="superscript"/>
        <sz val="10"/>
        <rFont val="Aptos"/>
        <family val="2"/>
      </rPr>
      <t>P</t>
    </r>
    <r>
      <rPr>
        <b/>
        <i/>
        <vertAlign val="subscript"/>
        <sz val="10"/>
        <rFont val="Aptos"/>
        <family val="2"/>
      </rPr>
      <t>p-1,i</t>
    </r>
    <r>
      <rPr>
        <b/>
        <sz val="10"/>
        <rFont val="Aptos"/>
        <family val="2"/>
      </rPr>
      <t xml:space="preserve"> x ∑DMAX</t>
    </r>
    <r>
      <rPr>
        <b/>
        <vertAlign val="subscript"/>
        <sz val="10"/>
        <rFont val="Aptos"/>
        <family val="2"/>
      </rPr>
      <t>p,k,i</t>
    </r>
    <r>
      <rPr>
        <b/>
        <sz val="10"/>
        <rFont val="Aptos"/>
        <family val="2"/>
      </rPr>
      <t>) +  SUM</t>
    </r>
    <r>
      <rPr>
        <b/>
        <vertAlign val="subscript"/>
        <sz val="10"/>
        <rFont val="Aptos"/>
        <family val="2"/>
      </rPr>
      <t>i"i=MDHORARIA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CENEGEN</t>
    </r>
    <r>
      <rPr>
        <b/>
        <i/>
        <vertAlign val="superscript"/>
        <sz val="10"/>
        <rFont val="Aptos"/>
        <family val="2"/>
      </rPr>
      <t>P</t>
    </r>
    <r>
      <rPr>
        <b/>
        <i/>
        <vertAlign val="subscript"/>
        <sz val="10"/>
        <rFont val="Aptos"/>
        <family val="2"/>
      </rPr>
      <t>p-1,i</t>
    </r>
    <r>
      <rPr>
        <b/>
        <sz val="10"/>
        <rFont val="Aptos"/>
        <family val="2"/>
      </rPr>
      <t xml:space="preserve"> x VE</t>
    </r>
    <r>
      <rPr>
        <b/>
        <vertAlign val="superscript"/>
        <sz val="10"/>
        <rFont val="Aptos"/>
        <family val="2"/>
      </rPr>
      <t>P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>) + SUM</t>
    </r>
    <r>
      <rPr>
        <b/>
        <vertAlign val="subscript"/>
        <sz val="10"/>
        <rFont val="Aptos"/>
        <family val="2"/>
      </rPr>
      <t>i"i=MDNOHORARIA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CENEGEN</t>
    </r>
    <r>
      <rPr>
        <b/>
        <i/>
        <vertAlign val="subscript"/>
        <sz val="10"/>
        <rFont val="Aptos"/>
        <family val="2"/>
      </rPr>
      <t>p-1,i</t>
    </r>
    <r>
      <rPr>
        <b/>
        <sz val="10"/>
        <rFont val="Aptos"/>
        <family val="2"/>
      </rPr>
      <t xml:space="preserve"> x VE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 x FCP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>)  + SUM</t>
    </r>
    <r>
      <rPr>
        <b/>
        <vertAlign val="subscript"/>
        <sz val="10"/>
        <rFont val="Aptos"/>
        <family val="2"/>
      </rPr>
      <t xml:space="preserve">i </t>
    </r>
    <r>
      <rPr>
        <b/>
        <sz val="10"/>
        <rFont val="Aptos"/>
        <family val="2"/>
      </rPr>
      <t>(</t>
    </r>
    <r>
      <rPr>
        <b/>
        <i/>
        <sz val="10"/>
        <rFont val="Aptos"/>
        <family val="2"/>
      </rPr>
      <t>CPOTGENGC</t>
    </r>
    <r>
      <rPr>
        <b/>
        <i/>
        <vertAlign val="superscript"/>
        <sz val="10"/>
        <rFont val="Aptos"/>
        <family val="2"/>
      </rPr>
      <t>P</t>
    </r>
    <r>
      <rPr>
        <b/>
        <i/>
        <vertAlign val="subscript"/>
        <sz val="10"/>
        <rFont val="Aptos"/>
        <family val="2"/>
      </rPr>
      <t xml:space="preserve">p-1,i </t>
    </r>
    <r>
      <rPr>
        <b/>
        <sz val="10"/>
        <rFont val="Aptos"/>
        <family val="2"/>
      </rPr>
      <t>x ∑DMAXE</t>
    </r>
    <r>
      <rPr>
        <b/>
        <vertAlign val="superscript"/>
        <sz val="10"/>
        <rFont val="Aptos"/>
        <family val="2"/>
      </rPr>
      <t>GC</t>
    </r>
    <r>
      <rPr>
        <b/>
        <vertAlign val="subscript"/>
        <sz val="10"/>
        <rFont val="Aptos"/>
        <family val="2"/>
      </rPr>
      <t>p,k,i</t>
    </r>
    <r>
      <rPr>
        <b/>
        <sz val="10"/>
        <rFont val="Aptos"/>
        <family val="2"/>
      </rPr>
      <t xml:space="preserve">)] </t>
    </r>
  </si>
  <si>
    <r>
      <t xml:space="preserve">Ingresos estimados para p aplicando los cargos tarifarios de p-1 para generación de horas fuera de punta a la proyección de ventas para p (FORM AT801) </t>
    </r>
    <r>
      <rPr>
        <b/>
        <sz val="10"/>
        <rFont val="Aptos"/>
        <family val="2"/>
      </rPr>
      <t>[SUM</t>
    </r>
    <r>
      <rPr>
        <b/>
        <vertAlign val="subscript"/>
        <sz val="10"/>
        <rFont val="Aptos"/>
        <family val="2"/>
      </rPr>
      <t>i"i=MDHORARIA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CENEGEN</t>
    </r>
    <r>
      <rPr>
        <b/>
        <i/>
        <vertAlign val="superscript"/>
        <sz val="10"/>
        <rFont val="Aptos"/>
        <family val="2"/>
      </rPr>
      <t>FP</t>
    </r>
    <r>
      <rPr>
        <b/>
        <i/>
        <vertAlign val="subscript"/>
        <sz val="10"/>
        <rFont val="Aptos"/>
        <family val="2"/>
      </rPr>
      <t>p-1,i</t>
    </r>
    <r>
      <rPr>
        <b/>
        <sz val="10"/>
        <rFont val="Aptos"/>
        <family val="2"/>
      </rPr>
      <t xml:space="preserve"> x VE</t>
    </r>
    <r>
      <rPr>
        <b/>
        <vertAlign val="superscript"/>
        <sz val="10"/>
        <rFont val="Aptos"/>
        <family val="2"/>
      </rPr>
      <t>FP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>) + SUM</t>
    </r>
    <r>
      <rPr>
        <b/>
        <vertAlign val="subscript"/>
        <sz val="10"/>
        <rFont val="Aptos"/>
        <family val="2"/>
      </rPr>
      <t>i"i=MDNOHORARIA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CENEGEN</t>
    </r>
    <r>
      <rPr>
        <b/>
        <i/>
        <vertAlign val="subscript"/>
        <sz val="10"/>
        <rFont val="Aptos"/>
        <family val="2"/>
      </rPr>
      <t>p-1,i</t>
    </r>
    <r>
      <rPr>
        <b/>
        <sz val="10"/>
        <rFont val="Aptos"/>
        <family val="2"/>
      </rPr>
      <t xml:space="preserve">  x VE</t>
    </r>
    <r>
      <rPr>
        <b/>
        <vertAlign val="subscript"/>
        <sz val="10"/>
        <rFont val="Aptos"/>
        <family val="2"/>
      </rPr>
      <t xml:space="preserve">p,i </t>
    </r>
    <r>
      <rPr>
        <b/>
        <sz val="10"/>
        <rFont val="Aptos"/>
        <family val="2"/>
      </rPr>
      <t>x (1-FCP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)] </t>
    </r>
  </si>
  <si>
    <r>
      <t xml:space="preserve">Ingresos estimados para p aplicando los cargos tarifarios de p-1 para generación correspondientes al consumo de energía de alumbrado público a la proyección de ventas para p (FORM AT801) </t>
    </r>
    <r>
      <rPr>
        <b/>
        <sz val="10"/>
        <rFont val="Aptos"/>
        <family val="2"/>
      </rPr>
      <t>[SUM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CCONAP</t>
    </r>
    <r>
      <rPr>
        <b/>
        <i/>
        <vertAlign val="subscript"/>
        <sz val="10"/>
        <rFont val="Aptos"/>
        <family val="2"/>
      </rPr>
      <t>p-1,i</t>
    </r>
    <r>
      <rPr>
        <b/>
        <vertAlign val="subscript"/>
        <sz val="10"/>
        <rFont val="Aptos"/>
        <family val="2"/>
      </rPr>
      <t xml:space="preserve"> </t>
    </r>
    <r>
      <rPr>
        <b/>
        <sz val="10"/>
        <rFont val="Aptos"/>
        <family val="2"/>
      </rPr>
      <t>x VE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)] </t>
    </r>
  </si>
  <si>
    <r>
      <t>Ingresos estimados para p aplicando los cargos tarifarios  de p-1 de potencia de generación de los Grandes Clientes a la proyección de ventas de los Grandes Clientes a los cuales la empresa distribuidora les compra su potencia para p (FORM AT801) SUM</t>
    </r>
    <r>
      <rPr>
        <b/>
        <vertAlign val="subscript"/>
        <sz val="12"/>
        <rFont val="Aptos"/>
        <family val="2"/>
      </rPr>
      <t>i</t>
    </r>
    <r>
      <rPr>
        <b/>
        <sz val="12"/>
        <rFont val="Aptos"/>
        <family val="2"/>
      </rPr>
      <t xml:space="preserve"> (</t>
    </r>
    <r>
      <rPr>
        <b/>
        <i/>
        <sz val="12"/>
        <rFont val="Aptos"/>
        <family val="2"/>
      </rPr>
      <t>CPOTGENGC</t>
    </r>
    <r>
      <rPr>
        <b/>
        <i/>
        <vertAlign val="superscript"/>
        <sz val="12"/>
        <rFont val="Aptos"/>
        <family val="2"/>
      </rPr>
      <t>P</t>
    </r>
    <r>
      <rPr>
        <b/>
        <i/>
        <vertAlign val="subscript"/>
        <sz val="12"/>
        <rFont val="Aptos"/>
        <family val="2"/>
      </rPr>
      <t>p-1,i</t>
    </r>
    <r>
      <rPr>
        <b/>
        <sz val="12"/>
        <rFont val="Aptos"/>
        <family val="2"/>
      </rPr>
      <t xml:space="preserve"> x ∑DMAXE</t>
    </r>
    <r>
      <rPr>
        <b/>
        <vertAlign val="superscript"/>
        <sz val="12"/>
        <rFont val="Aptos"/>
        <family val="2"/>
      </rPr>
      <t>GC</t>
    </r>
    <r>
      <rPr>
        <b/>
        <vertAlign val="subscript"/>
        <sz val="12"/>
        <rFont val="Aptos"/>
        <family val="2"/>
      </rPr>
      <t>p,k,i</t>
    </r>
    <r>
      <rPr>
        <b/>
        <sz val="12"/>
        <rFont val="Aptos"/>
        <family val="2"/>
      </rPr>
      <t xml:space="preserve">) </t>
    </r>
    <r>
      <rPr>
        <b/>
        <sz val="10"/>
        <rFont val="Times New Roman"/>
        <family val="1"/>
      </rPr>
      <t/>
    </r>
  </si>
  <si>
    <r>
      <t xml:space="preserve">Cargos </t>
    </r>
    <r>
      <rPr>
        <b/>
        <i/>
        <sz val="10"/>
        <rFont val="Aptos"/>
        <family val="2"/>
      </rPr>
      <t>Correc</t>
    </r>
    <r>
      <rPr>
        <b/>
        <sz val="10"/>
        <rFont val="Aptos"/>
        <family val="2"/>
      </rPr>
      <t xml:space="preserve"> por Generación Extraordinarios en p-2</t>
    </r>
  </si>
  <si>
    <t xml:space="preserve">Cantidad Neta de Luminarias  = 1 + 2 - 3 </t>
  </si>
  <si>
    <t xml:space="preserve">Consumo de Energía                   = 4 * 5     </t>
  </si>
  <si>
    <r>
      <t>CSERAP</t>
    </r>
    <r>
      <rPr>
        <b/>
        <i/>
        <vertAlign val="subscript"/>
        <sz val="11"/>
        <rFont val="Aptos"/>
        <family val="2"/>
      </rPr>
      <t>p-1,i</t>
    </r>
  </si>
  <si>
    <r>
      <t xml:space="preserve">INGRESOS ESTIMADOS PARA p APLICANDO LOS CARGOS VIGENTES POR TARIFA A LA PROYECCION DE VENTAS  (FORM AT801) </t>
    </r>
    <r>
      <rPr>
        <b/>
        <sz val="10"/>
        <rFont val="Aptos"/>
        <family val="2"/>
      </rPr>
      <t>[SUM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CSERAP</t>
    </r>
    <r>
      <rPr>
        <b/>
        <i/>
        <vertAlign val="subscript"/>
        <sz val="10"/>
        <rFont val="Aptos"/>
        <family val="2"/>
      </rPr>
      <t>p-1,i</t>
    </r>
    <r>
      <rPr>
        <b/>
        <sz val="10"/>
        <rFont val="Aptos"/>
        <family val="2"/>
      </rPr>
      <t xml:space="preserve"> x VE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)] </t>
    </r>
  </si>
  <si>
    <r>
      <t>Ingresos estimados para p aplicando los cargos  de p-1 a la proyección de ventas de los Grandes Clientes para p (FORM AT801)    SUM</t>
    </r>
    <r>
      <rPr>
        <b/>
        <vertAlign val="subscript"/>
        <sz val="11"/>
        <rFont val="Aptos"/>
        <family val="2"/>
      </rPr>
      <t>i</t>
    </r>
    <r>
      <rPr>
        <b/>
        <sz val="11"/>
        <rFont val="Aptos"/>
        <family val="2"/>
      </rPr>
      <t xml:space="preserve"> (</t>
    </r>
    <r>
      <rPr>
        <b/>
        <i/>
        <sz val="11"/>
        <rFont val="Aptos"/>
        <family val="2"/>
      </rPr>
      <t>CSERAP</t>
    </r>
    <r>
      <rPr>
        <b/>
        <i/>
        <vertAlign val="subscript"/>
        <sz val="11"/>
        <rFont val="Aptos"/>
        <family val="2"/>
      </rPr>
      <t xml:space="preserve">p-1,i </t>
    </r>
    <r>
      <rPr>
        <b/>
        <sz val="11"/>
        <rFont val="Aptos"/>
        <family val="2"/>
      </rPr>
      <t>x VEGC</t>
    </r>
    <r>
      <rPr>
        <b/>
        <vertAlign val="subscript"/>
        <sz val="11"/>
        <rFont val="Aptos"/>
        <family val="2"/>
      </rPr>
      <t>p,i</t>
    </r>
    <r>
      <rPr>
        <b/>
        <sz val="11"/>
        <rFont val="Aptos"/>
        <family val="2"/>
      </rPr>
      <t xml:space="preserve">) </t>
    </r>
    <r>
      <rPr>
        <b/>
        <sz val="10"/>
        <rFont val="Times New Roman"/>
        <family val="1"/>
      </rPr>
      <t/>
    </r>
  </si>
  <si>
    <r>
      <t>CSERAP</t>
    </r>
    <r>
      <rPr>
        <b/>
        <i/>
        <vertAlign val="subscript"/>
        <sz val="11"/>
        <rFont val="Aptos"/>
        <family val="2"/>
      </rPr>
      <t>p,i</t>
    </r>
  </si>
  <si>
    <r>
      <t xml:space="preserve">INGRESOS ESTIMADOS PARA p APLICANDO LOS NUEVOS CARGOS POR TARIFA A LA PROYECCION DE VENTAS  (FORM AT801) </t>
    </r>
    <r>
      <rPr>
        <b/>
        <sz val="10"/>
        <rFont val="Aptos"/>
        <family val="2"/>
      </rPr>
      <t>[SUM</t>
    </r>
    <r>
      <rPr>
        <b/>
        <vertAlign val="subscript"/>
        <sz val="10"/>
        <rFont val="Aptos"/>
        <family val="2"/>
      </rPr>
      <t>i</t>
    </r>
    <r>
      <rPr>
        <b/>
        <sz val="10"/>
        <rFont val="Aptos"/>
        <family val="2"/>
      </rPr>
      <t xml:space="preserve"> (</t>
    </r>
    <r>
      <rPr>
        <b/>
        <i/>
        <sz val="10"/>
        <rFont val="Aptos"/>
        <family val="2"/>
      </rPr>
      <t>CSERAP</t>
    </r>
    <r>
      <rPr>
        <b/>
        <i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 x VE</t>
    </r>
    <r>
      <rPr>
        <b/>
        <vertAlign val="subscript"/>
        <sz val="10"/>
        <rFont val="Aptos"/>
        <family val="2"/>
      </rPr>
      <t>p,i</t>
    </r>
    <r>
      <rPr>
        <b/>
        <sz val="10"/>
        <rFont val="Aptos"/>
        <family val="2"/>
      </rPr>
      <t xml:space="preserve">)] </t>
    </r>
  </si>
  <si>
    <r>
      <t>Ingresos estimados para p aplicando los nuevos cargos de p a la proyección de ventas de los Grandes Clientes para p (FORM AT801)    SUM</t>
    </r>
    <r>
      <rPr>
        <b/>
        <vertAlign val="subscript"/>
        <sz val="11"/>
        <rFont val="Aptos"/>
        <family val="2"/>
      </rPr>
      <t>i</t>
    </r>
    <r>
      <rPr>
        <b/>
        <sz val="11"/>
        <rFont val="Aptos"/>
        <family val="2"/>
      </rPr>
      <t xml:space="preserve"> (</t>
    </r>
    <r>
      <rPr>
        <b/>
        <i/>
        <sz val="11"/>
        <rFont val="Aptos"/>
        <family val="2"/>
      </rPr>
      <t>CSERAP</t>
    </r>
    <r>
      <rPr>
        <b/>
        <i/>
        <vertAlign val="subscript"/>
        <sz val="11"/>
        <rFont val="Aptos"/>
        <family val="2"/>
      </rPr>
      <t xml:space="preserve">p,i </t>
    </r>
    <r>
      <rPr>
        <b/>
        <sz val="11"/>
        <rFont val="Aptos"/>
        <family val="2"/>
      </rPr>
      <t>x VEGC</t>
    </r>
    <r>
      <rPr>
        <b/>
        <vertAlign val="subscript"/>
        <sz val="11"/>
        <rFont val="Aptos"/>
        <family val="2"/>
      </rPr>
      <t>p,i</t>
    </r>
    <r>
      <rPr>
        <b/>
        <sz val="11"/>
        <rFont val="Aptos"/>
        <family val="2"/>
      </rPr>
      <t xml:space="preserve">) </t>
    </r>
    <r>
      <rPr>
        <b/>
        <sz val="10"/>
        <rFont val="Times New Roman"/>
        <family val="1"/>
      </rPr>
      <t/>
    </r>
  </si>
  <si>
    <t>Consumo de Energía                   =( 4 * 5 ) - 6</t>
  </si>
  <si>
    <t xml:space="preserve">Compras al Mercado Mayorista </t>
  </si>
  <si>
    <t xml:space="preserve">   ATD Cargo 12.00</t>
  </si>
  <si>
    <t xml:space="preserve">   MTH Cargo 12.00</t>
  </si>
  <si>
    <t xml:space="preserve">   MTD Cargo 12.00</t>
  </si>
  <si>
    <t xml:space="preserve">   BTH Cargo 12.00</t>
  </si>
  <si>
    <t xml:space="preserve">   BTD Cargo 12.00</t>
  </si>
  <si>
    <t>COMPENSACIÓN PARCIAL</t>
  </si>
  <si>
    <t>Argos  y Minera</t>
  </si>
  <si>
    <t>ARGOS y MINERA</t>
  </si>
  <si>
    <r>
      <t xml:space="preserve">IPC </t>
    </r>
    <r>
      <rPr>
        <vertAlign val="subscript"/>
        <sz val="12"/>
        <rFont val="Aptos"/>
        <family val="2"/>
      </rPr>
      <t xml:space="preserve">p-2 </t>
    </r>
    <r>
      <rPr>
        <sz val="12"/>
        <rFont val="Aptos"/>
        <family val="2"/>
      </rPr>
      <t xml:space="preserve">           </t>
    </r>
    <r>
      <rPr>
        <sz val="10"/>
        <rFont val="Aptos"/>
        <family val="2"/>
      </rPr>
      <t>(Viene del FORM AT 100)</t>
    </r>
  </si>
  <si>
    <r>
      <t>IPC</t>
    </r>
    <r>
      <rPr>
        <vertAlign val="subscript"/>
        <sz val="10"/>
        <rFont val="Aptos"/>
        <family val="2"/>
      </rPr>
      <t>mes 6</t>
    </r>
  </si>
  <si>
    <r>
      <t xml:space="preserve">IPC </t>
    </r>
    <r>
      <rPr>
        <vertAlign val="subscript"/>
        <sz val="12"/>
        <rFont val="Aptos"/>
        <family val="2"/>
      </rPr>
      <t>p-3</t>
    </r>
    <r>
      <rPr>
        <sz val="12"/>
        <rFont val="Aptos"/>
        <family val="2"/>
      </rPr>
      <t xml:space="preserve">            </t>
    </r>
    <r>
      <rPr>
        <sz val="10"/>
        <rFont val="Aptos"/>
        <family val="2"/>
      </rPr>
      <t>(Viene del FORM AT 100)</t>
    </r>
  </si>
  <si>
    <t>Factor de Ajuste  = 1 / 2</t>
  </si>
  <si>
    <r>
      <t>(IPC</t>
    </r>
    <r>
      <rPr>
        <vertAlign val="subscript"/>
        <sz val="10"/>
        <rFont val="Aptos"/>
        <family val="2"/>
      </rPr>
      <t>p-2</t>
    </r>
    <r>
      <rPr>
        <sz val="10"/>
        <rFont val="Aptos"/>
        <family val="2"/>
      </rPr>
      <t>/IPC</t>
    </r>
    <r>
      <rPr>
        <vertAlign val="subscript"/>
        <sz val="10"/>
        <rFont val="Aptos"/>
        <family val="2"/>
      </rPr>
      <t>p-3</t>
    </r>
    <r>
      <rPr>
        <sz val="10"/>
        <rFont val="Aptos"/>
        <family val="2"/>
      </rPr>
      <t>)</t>
    </r>
  </si>
  <si>
    <r>
      <t xml:space="preserve">Costos de Conexión (B/.)                                                       </t>
    </r>
    <r>
      <rPr>
        <sz val="10"/>
        <rFont val="Aptos"/>
        <family val="2"/>
      </rPr>
      <t>(Viene del FORM AT302 Y AT322)</t>
    </r>
  </si>
  <si>
    <r>
      <t xml:space="preserve">Energía transmitida   (kWh)                                                        </t>
    </r>
    <r>
      <rPr>
        <sz val="10"/>
        <rFont val="Aptos"/>
        <family val="2"/>
      </rPr>
      <t>(Viene del FORM AT302 Y AT322)</t>
    </r>
  </si>
  <si>
    <r>
      <t xml:space="preserve">Costo Monómico de Transmisión  (B/./kWh)                                 </t>
    </r>
    <r>
      <rPr>
        <sz val="10"/>
        <rFont val="Aptos"/>
        <family val="2"/>
      </rPr>
      <t xml:space="preserve"> =</t>
    </r>
    <r>
      <rPr>
        <b/>
        <sz val="10"/>
        <rFont val="Aptos"/>
        <family val="2"/>
      </rPr>
      <t xml:space="preserve"> 7 </t>
    </r>
    <r>
      <rPr>
        <sz val="10"/>
        <rFont val="Aptos"/>
        <family val="2"/>
      </rPr>
      <t>/</t>
    </r>
    <r>
      <rPr>
        <b/>
        <sz val="10"/>
        <rFont val="Aptos"/>
        <family val="2"/>
      </rPr>
      <t xml:space="preserve"> 8</t>
    </r>
  </si>
  <si>
    <r>
      <t xml:space="preserve">Venta de energía a clientes y Consumo de Alumbrado Público (kWh)                                                                             </t>
    </r>
    <r>
      <rPr>
        <sz val="10"/>
        <rFont val="Aptos"/>
        <family val="2"/>
      </rPr>
      <t>(Viene del FORM AT801 y AT821)</t>
    </r>
  </si>
  <si>
    <r>
      <t xml:space="preserve">Costos de Transmisión Permitidos  (B/.)    </t>
    </r>
    <r>
      <rPr>
        <sz val="10"/>
        <rFont val="Aptos"/>
        <family val="2"/>
      </rPr>
      <t>=</t>
    </r>
    <r>
      <rPr>
        <b/>
        <sz val="10"/>
        <rFont val="Aptos"/>
        <family val="2"/>
      </rPr>
      <t xml:space="preserve"> 9 x 10</t>
    </r>
  </si>
  <si>
    <r>
      <t xml:space="preserve">Valor permitido a traspasar a la tarifa que la empresa aplicaría a los clientes para cubrir los costos puros de transmisión en el semestre p (B/.) </t>
    </r>
    <r>
      <rPr>
        <b/>
        <sz val="10"/>
        <rFont val="Aptos"/>
        <family val="2"/>
      </rPr>
      <t>(11)</t>
    </r>
  </si>
  <si>
    <t>Ingresos estimados que resultan de aplicar los cargos Base por  transmisión, que contienen las tarifas del semestre p-1 a la proyección de ventas de potencia y energía del semestre p (Viene del FORM AT303) (B/.)</t>
  </si>
  <si>
    <r>
      <t xml:space="preserve">Costo permitido real de transmisión calculado en base a los costos reales de transmisión en el semestre p-2 (B/.) </t>
    </r>
    <r>
      <rPr>
        <b/>
        <sz val="10"/>
        <rFont val="Aptos"/>
        <family val="2"/>
      </rPr>
      <t>(11)</t>
    </r>
  </si>
  <si>
    <r>
      <t xml:space="preserve">Ingresos reales producidos por los cargos Base y las ventas reales del semestre p-2 </t>
    </r>
    <r>
      <rPr>
        <sz val="10"/>
        <rFont val="Aptos"/>
        <family val="2"/>
      </rPr>
      <t>(Viene del FORM AT306)</t>
    </r>
    <r>
      <rPr>
        <sz val="11"/>
        <rFont val="Aptos"/>
        <family val="2"/>
      </rPr>
      <t xml:space="preserve"> (B/.)</t>
    </r>
  </si>
  <si>
    <r>
      <t>Ingresos reales producidos por los cargos</t>
    </r>
    <r>
      <rPr>
        <i/>
        <sz val="12"/>
        <rFont val="Aptos"/>
        <family val="2"/>
      </rPr>
      <t xml:space="preserve"> Correcc </t>
    </r>
    <r>
      <rPr>
        <sz val="12"/>
        <rFont val="Aptos"/>
        <family val="2"/>
      </rPr>
      <t xml:space="preserve">portransmisión y las ventas Estimadas en el semestre p-2 </t>
    </r>
    <r>
      <rPr>
        <sz val="10"/>
        <rFont val="Aptos"/>
        <family val="2"/>
      </rPr>
      <t>(Viene del FORM AT307) (B/.)</t>
    </r>
  </si>
  <si>
    <r>
      <t>Ingresos permitidos producidos por los cargos</t>
    </r>
    <r>
      <rPr>
        <i/>
        <sz val="12"/>
        <rFont val="Aptos"/>
        <family val="2"/>
      </rPr>
      <t xml:space="preserve"> Correcc </t>
    </r>
    <r>
      <rPr>
        <sz val="12"/>
        <rFont val="Aptos"/>
        <family val="2"/>
      </rPr>
      <t>por transmisión</t>
    </r>
    <r>
      <rPr>
        <i/>
        <sz val="12"/>
        <rFont val="Aptos"/>
        <family val="2"/>
      </rPr>
      <t xml:space="preserve"> </t>
    </r>
    <r>
      <rPr>
        <sz val="12"/>
        <rFont val="Aptos"/>
        <family val="2"/>
      </rPr>
      <t>y las ventas Reales en el semestre  p-2  (</t>
    </r>
    <r>
      <rPr>
        <sz val="10"/>
        <rFont val="Aptos"/>
        <family val="2"/>
      </rPr>
      <t>Viene del FORM AT308) (B/.)</t>
    </r>
  </si>
  <si>
    <r>
      <t>Monto necesario para cubrir las diferencias entre los ingresos permitidos (producidos por los cargos</t>
    </r>
    <r>
      <rPr>
        <i/>
        <sz val="12"/>
        <rFont val="Aptos"/>
        <family val="2"/>
      </rPr>
      <t xml:space="preserve"> Correcc </t>
    </r>
    <r>
      <rPr>
        <sz val="12"/>
        <rFont val="Aptos"/>
        <family val="2"/>
      </rPr>
      <t>y las ventas estimadas) y los ingresos reales (producidos por los cargos</t>
    </r>
    <r>
      <rPr>
        <i/>
        <sz val="12"/>
        <rFont val="Aptos"/>
        <family val="2"/>
      </rPr>
      <t xml:space="preserve"> Correcc </t>
    </r>
    <r>
      <rPr>
        <sz val="12"/>
        <rFont val="Aptos"/>
        <family val="2"/>
      </rPr>
      <t>y las ventas reales) en el semestre p-2 (B/.)</t>
    </r>
    <r>
      <rPr>
        <sz val="10"/>
        <rFont val="Aptos"/>
        <family val="2"/>
      </rPr>
      <t xml:space="preserve"> </t>
    </r>
    <r>
      <rPr>
        <b/>
        <sz val="10"/>
        <rFont val="Aptos"/>
        <family val="2"/>
      </rPr>
      <t>= 16 - 17</t>
    </r>
  </si>
  <si>
    <r>
      <t>Monto necesario para cubrir los apartamientos que se produjeron  entre los costos de transmisión reales y los ingresos reales (producidos por los cargos Base y las ventas reales) y por las diferencias entre los ingresos permitidos (producidos por los cargos Correcc y las ventas estimadas) y los ingresos reales (producidos por los cargos Correcc y las ventas reales), ambos referenciados al semestre p-2 (B/.)</t>
    </r>
    <r>
      <rPr>
        <sz val="10"/>
        <rFont val="Aptos"/>
        <family val="2"/>
      </rPr>
      <t xml:space="preserve">     </t>
    </r>
    <r>
      <rPr>
        <b/>
        <sz val="10"/>
        <rFont val="Aptos"/>
        <family val="2"/>
      </rPr>
      <t>= 14 - 15 + 18</t>
    </r>
  </si>
  <si>
    <r>
      <t xml:space="preserve">Tasa de interés </t>
    </r>
    <r>
      <rPr>
        <sz val="10"/>
        <rFont val="Aptos"/>
        <family val="2"/>
      </rPr>
      <t>(Viene del FORM AT700)</t>
    </r>
  </si>
  <si>
    <r>
      <t xml:space="preserve">Valor de los apartamientos actualizado con la tasa de descuento “r” (B/.) </t>
    </r>
    <r>
      <rPr>
        <b/>
        <sz val="10"/>
        <rFont val="Aptos"/>
        <family val="2"/>
      </rPr>
      <t>= 19 x 21</t>
    </r>
  </si>
  <si>
    <r>
      <t xml:space="preserve">Factor de Actualización o corrección  </t>
    </r>
    <r>
      <rPr>
        <b/>
        <sz val="10"/>
        <rFont val="Aptos"/>
        <family val="2"/>
      </rPr>
      <t>= (12 / 13)</t>
    </r>
  </si>
  <si>
    <r>
      <t xml:space="preserve">Factor de Actualización o corrección  </t>
    </r>
    <r>
      <rPr>
        <b/>
        <sz val="10"/>
        <rFont val="Aptos"/>
        <family val="2"/>
      </rPr>
      <t>= (22 / 13)</t>
    </r>
  </si>
  <si>
    <t>H3</t>
  </si>
  <si>
    <t>GENERADORA GATÚN</t>
  </si>
  <si>
    <t>PASO ANCHO</t>
  </si>
  <si>
    <t>HYDRO CAISAN, S.A.</t>
  </si>
  <si>
    <t>SPARKLE POWER</t>
  </si>
  <si>
    <t>Otr</t>
  </si>
  <si>
    <t>ETESA (Pagos y Abonos)</t>
  </si>
  <si>
    <t>FET Aplicados (CxC ENSA)</t>
  </si>
  <si>
    <t>FET
Jul-Dic 24</t>
  </si>
  <si>
    <t>DME-006-14</t>
  </si>
  <si>
    <t>Ene26-Dic40</t>
  </si>
  <si>
    <t>HIDRONORTH- Finalizado</t>
  </si>
  <si>
    <t>Electron Inv./ Coal Power</t>
  </si>
  <si>
    <t>Electron Investement</t>
  </si>
  <si>
    <t>Total Compra de Energía</t>
  </si>
  <si>
    <t>Res. AN No. 19355-Elec</t>
  </si>
  <si>
    <r>
      <t>CD</t>
    </r>
    <r>
      <rPr>
        <b/>
        <vertAlign val="superscript"/>
        <sz val="10"/>
        <rFont val="Aptos"/>
        <family val="2"/>
      </rPr>
      <t>PUNTA</t>
    </r>
  </si>
  <si>
    <r>
      <t>CD</t>
    </r>
    <r>
      <rPr>
        <b/>
        <vertAlign val="superscript"/>
        <sz val="10"/>
        <rFont val="Aptos"/>
        <family val="2"/>
      </rPr>
      <t>FUERA DE PUNTA MEDIO</t>
    </r>
  </si>
  <si>
    <r>
      <t>CD</t>
    </r>
    <r>
      <rPr>
        <b/>
        <vertAlign val="superscript"/>
        <sz val="10"/>
        <rFont val="Aptos"/>
        <family val="2"/>
      </rPr>
      <t>FUERA DE PUNTA BAJO</t>
    </r>
  </si>
  <si>
    <r>
      <t>BTS</t>
    </r>
    <r>
      <rPr>
        <b/>
        <sz val="10"/>
        <rFont val="Aptos"/>
        <family val="2"/>
      </rPr>
      <t xml:space="preserve"> </t>
    </r>
    <r>
      <rPr>
        <b/>
        <sz val="10"/>
        <color rgb="FF000099"/>
        <rFont val="Aptos"/>
        <family val="2"/>
      </rPr>
      <t>Postpago</t>
    </r>
  </si>
  <si>
    <r>
      <t>BTS</t>
    </r>
    <r>
      <rPr>
        <b/>
        <sz val="10"/>
        <rFont val="Aptos"/>
        <family val="2"/>
      </rPr>
      <t xml:space="preserve"> </t>
    </r>
    <r>
      <rPr>
        <b/>
        <sz val="10"/>
        <color rgb="FF000099"/>
        <rFont val="Aptos"/>
        <family val="2"/>
      </rPr>
      <t>Prepago</t>
    </r>
  </si>
  <si>
    <t>Formularios G500P</t>
  </si>
  <si>
    <t>Ingresos Estimados = Cargos Bases P-1 por Ventas Estimadas P</t>
  </si>
  <si>
    <t>Ingresos Estimados = Cargos Totales P por Ventas Estimadas P</t>
  </si>
  <si>
    <t>Ingresos Estimados = Cargos Totales P-1 por Ventas Estimadas P</t>
  </si>
  <si>
    <t>Ingresos Reales = Cargos Base P-2 por Ventas Reales P-2</t>
  </si>
  <si>
    <t>Ingresos Reales = Cargos Corrección P-2 por Ventas Reales P-2</t>
  </si>
  <si>
    <t>Ingresos Estimados = Cargos Corrección P-2 por Ventas Estimadas Originales P-2</t>
  </si>
  <si>
    <r>
      <t>Costo permitido Real de generación calculado en base a los costos reales y a las ventas reales en el semestre p-2</t>
    </r>
    <r>
      <rPr>
        <sz val="10"/>
        <rFont val="Aptos"/>
        <family val="2"/>
      </rPr>
      <t xml:space="preserve"> (Viene del MODELO AT500) </t>
    </r>
    <r>
      <rPr>
        <sz val="11"/>
        <rFont val="Aptos"/>
        <family val="2"/>
      </rPr>
      <t>(B/.)</t>
    </r>
  </si>
  <si>
    <r>
      <t xml:space="preserve">Ingresos reales producidos por los cargos Base y las ventas reales del semestre p-2 </t>
    </r>
    <r>
      <rPr>
        <sz val="10"/>
        <rFont val="Aptos"/>
        <family val="2"/>
      </rPr>
      <t>(Viene del FORM AT506) (B/.)</t>
    </r>
  </si>
  <si>
    <r>
      <t>Monto necesario para cubrir las diferencias entre los ingresos permitidos (producidos por los cargos</t>
    </r>
    <r>
      <rPr>
        <i/>
        <sz val="12"/>
        <rFont val="Aptos"/>
        <family val="2"/>
      </rPr>
      <t xml:space="preserve"> Correcc </t>
    </r>
    <r>
      <rPr>
        <sz val="12"/>
        <rFont val="Aptos"/>
        <family val="2"/>
      </rPr>
      <t>y las ventas estimadas) y los ingresos reales (producidos por los cargos</t>
    </r>
    <r>
      <rPr>
        <i/>
        <sz val="12"/>
        <rFont val="Aptos"/>
        <family val="2"/>
      </rPr>
      <t xml:space="preserve"> Correcc </t>
    </r>
    <r>
      <rPr>
        <sz val="12"/>
        <rFont val="Aptos"/>
        <family val="2"/>
      </rPr>
      <t xml:space="preserve">y las ventas reales) en el semestre p-2 </t>
    </r>
    <r>
      <rPr>
        <sz val="10"/>
        <rFont val="Aptos"/>
        <family val="2"/>
      </rPr>
      <t>(Viene del MODELO AT500-En Punta, punto 23)</t>
    </r>
    <r>
      <rPr>
        <sz val="12"/>
        <rFont val="Aptos"/>
        <family val="2"/>
      </rPr>
      <t>(B/.)</t>
    </r>
    <r>
      <rPr>
        <sz val="10"/>
        <rFont val="Aptos"/>
        <family val="2"/>
      </rPr>
      <t xml:space="preserve"> </t>
    </r>
  </si>
  <si>
    <r>
      <t>GPR</t>
    </r>
    <r>
      <rPr>
        <i/>
        <vertAlign val="subscript"/>
        <sz val="11"/>
        <rFont val="Aptos"/>
        <family val="2"/>
      </rPr>
      <t>p-4</t>
    </r>
  </si>
  <si>
    <r>
      <t xml:space="preserve">Monto necesario para cubrir los apartamientos que se produjeron entre los costos de abastecimiento reales y los ingresos reales (producidos por los cargos Base y las ventas reales) y por las diferencias entre los ingresos permitidos (producidos por los cargos Correcc y las ventas estimadas) y los ingresos reales (producidos por los cargos Correcc y las ventas reales) en horas de Punta del semestre p-2 (B/.) </t>
    </r>
    <r>
      <rPr>
        <b/>
        <sz val="10"/>
        <rFont val="Aptos"/>
        <family val="2"/>
      </rPr>
      <t>= 1 - (2 - 3)</t>
    </r>
  </si>
  <si>
    <r>
      <t>GPR</t>
    </r>
    <r>
      <rPr>
        <i/>
        <vertAlign val="subscript"/>
        <sz val="11"/>
        <rFont val="Aptos"/>
        <family val="2"/>
      </rPr>
      <t>p-2</t>
    </r>
  </si>
  <si>
    <r>
      <t>Factor de la tasa de interés = (</t>
    </r>
    <r>
      <rPr>
        <i/>
        <sz val="11"/>
        <rFont val="Aptos"/>
        <family val="2"/>
      </rPr>
      <t>1</t>
    </r>
    <r>
      <rPr>
        <sz val="11"/>
        <rFont val="Aptos"/>
        <family val="2"/>
      </rPr>
      <t xml:space="preserve"> + 5)</t>
    </r>
  </si>
  <si>
    <r>
      <t xml:space="preserve">Valor de los apartamientos actualizado con la tasa de descuento “r” (B/.) </t>
    </r>
    <r>
      <rPr>
        <b/>
        <sz val="10"/>
        <rFont val="Aptos"/>
        <family val="2"/>
      </rPr>
      <t>= 4 x 6</t>
    </r>
  </si>
  <si>
    <r>
      <t xml:space="preserve">Costos de generación extraordinario en el semestre p </t>
    </r>
    <r>
      <rPr>
        <sz val="10"/>
        <rFont val="Aptos"/>
        <family val="2"/>
      </rPr>
      <t xml:space="preserve">(B/.) </t>
    </r>
    <r>
      <rPr>
        <b/>
        <sz val="10"/>
        <rFont val="Aptos"/>
        <family val="2"/>
      </rPr>
      <t>(1)</t>
    </r>
  </si>
  <si>
    <r>
      <t xml:space="preserve">Ingresos estimados que resultan de aplicar los cargos de generación extraordinarios que contienen las tarifas del semestre p-1 a la proyección de ventas del semestre p de los clientes que no se encuentran abastecidos por otro agente </t>
    </r>
    <r>
      <rPr>
        <sz val="10"/>
        <rFont val="Aptos"/>
        <family val="2"/>
      </rPr>
      <t>(Viene del FORM AT503-extra) (B/.)</t>
    </r>
  </si>
  <si>
    <r>
      <t>Costo de generación extraordinario real calculado en base a los costos reales del semestre p-2 (B/.)</t>
    </r>
    <r>
      <rPr>
        <b/>
        <sz val="10"/>
        <rFont val="Aptos"/>
        <family val="2"/>
      </rPr>
      <t xml:space="preserve"> (1)</t>
    </r>
  </si>
  <si>
    <r>
      <t>Ingresos producidos por los cargos extraordinarios y las ventas reales del semestre p-2.</t>
    </r>
    <r>
      <rPr>
        <sz val="10"/>
        <rFont val="Aptos"/>
        <family val="2"/>
      </rPr>
      <t xml:space="preserve">
(Viene del FORM AT506-extra) (B/.)</t>
    </r>
  </si>
  <si>
    <r>
      <t>Ingresos permitidos producidos por los cargos</t>
    </r>
    <r>
      <rPr>
        <i/>
        <sz val="12"/>
        <rFont val="Aptos"/>
        <family val="2"/>
      </rPr>
      <t xml:space="preserve"> Correcc </t>
    </r>
    <r>
      <rPr>
        <sz val="12"/>
        <rFont val="Aptos"/>
        <family val="2"/>
      </rPr>
      <t>por generación Extraordinarios y las ventas estimadas en el semestre  p-2  (</t>
    </r>
    <r>
      <rPr>
        <sz val="10"/>
        <rFont val="Aptos"/>
        <family val="2"/>
      </rPr>
      <t>Viene del FORM AT507-extra) (B/.)</t>
    </r>
  </si>
  <si>
    <r>
      <t>Ingresos reales producidos por los cargos</t>
    </r>
    <r>
      <rPr>
        <i/>
        <sz val="12"/>
        <rFont val="Aptos"/>
        <family val="2"/>
      </rPr>
      <t xml:space="preserve"> Correcc </t>
    </r>
    <r>
      <rPr>
        <sz val="12"/>
        <rFont val="Aptos"/>
        <family val="2"/>
      </rPr>
      <t xml:space="preserve">por generación Extraordinarios y las ventas reales en el semestre p-2 </t>
    </r>
    <r>
      <rPr>
        <sz val="10"/>
        <rFont val="Aptos"/>
        <family val="2"/>
      </rPr>
      <t>(Viene del FORM AT508- extra) (B/.)</t>
    </r>
  </si>
  <si>
    <r>
      <t xml:space="preserve">Monto necesario para cubrir las diferencias entre los ingresos permitidos (producidos por los cargos Correcc y las ventas estimadas) y los ingresos reales (producidos por los cargos Correcc y las ventas reales) en el semestre p-2 (B/.) </t>
    </r>
    <r>
      <rPr>
        <sz val="10"/>
        <rFont val="Aptos"/>
        <family val="2"/>
      </rPr>
      <t xml:space="preserve"> </t>
    </r>
    <r>
      <rPr>
        <b/>
        <sz val="10"/>
        <rFont val="Aptos"/>
        <family val="2"/>
      </rPr>
      <t>= 6 - 7</t>
    </r>
  </si>
  <si>
    <r>
      <t xml:space="preserve">Monto necesario para cubrir los apartamientos que se produjeron entre los costos de generación extraordinarios reales y los ingresos reales (producidos por los cargos Base y las ventas reales) y por las diferencias entre los ingresos permitidos (producidos por los cargos </t>
    </r>
    <r>
      <rPr>
        <i/>
        <sz val="11"/>
        <rFont val="Aptos"/>
        <family val="2"/>
      </rPr>
      <t>Correcc</t>
    </r>
    <r>
      <rPr>
        <sz val="11"/>
        <rFont val="Aptos"/>
        <family val="2"/>
      </rPr>
      <t xml:space="preserve"> y las ventas estimadas) y los ingresos reales (producidos por los cargos </t>
    </r>
    <r>
      <rPr>
        <i/>
        <sz val="11"/>
        <rFont val="Aptos"/>
        <family val="2"/>
      </rPr>
      <t>Correcc</t>
    </r>
    <r>
      <rPr>
        <sz val="11"/>
        <rFont val="Aptos"/>
        <family val="2"/>
      </rPr>
      <t xml:space="preserve"> y las ventas reales) del semestre p-2   (B/.) </t>
    </r>
    <r>
      <rPr>
        <b/>
        <sz val="10"/>
        <rFont val="Aptos"/>
        <family val="2"/>
      </rPr>
      <t>= 4 - 5 + 8</t>
    </r>
  </si>
  <si>
    <r>
      <t>Factor de la tasa de interés = (</t>
    </r>
    <r>
      <rPr>
        <i/>
        <sz val="11"/>
        <rFont val="Aptos"/>
        <family val="2"/>
      </rPr>
      <t>1</t>
    </r>
    <r>
      <rPr>
        <sz val="11"/>
        <rFont val="Aptos"/>
        <family val="2"/>
      </rPr>
      <t xml:space="preserve"> + 9)</t>
    </r>
  </si>
  <si>
    <r>
      <t xml:space="preserve">Valor de los apartamientos actualizado con la tasa de descuento “r” (B/.) </t>
    </r>
    <r>
      <rPr>
        <b/>
        <sz val="10"/>
        <rFont val="Aptos"/>
        <family val="2"/>
      </rPr>
      <t xml:space="preserve">= ( 9 x 11 ) </t>
    </r>
  </si>
  <si>
    <r>
      <t xml:space="preserve">Factor de Actualización Base = </t>
    </r>
    <r>
      <rPr>
        <b/>
        <sz val="11"/>
        <rFont val="Aptos"/>
        <family val="2"/>
      </rPr>
      <t>( 2 / 3)</t>
    </r>
  </si>
  <si>
    <r>
      <t xml:space="preserve">Factor de Actualización Corrección = </t>
    </r>
    <r>
      <rPr>
        <b/>
        <sz val="11"/>
        <rFont val="Aptos"/>
        <family val="2"/>
      </rPr>
      <t>(12/3)</t>
    </r>
  </si>
  <si>
    <t xml:space="preserve">Valor permitido a recuperar en la tarifa para cubrir los costos de generación en horas de punta en el semestre p (Viene del MODELO AT500, punto 17) (B/.) </t>
  </si>
  <si>
    <t xml:space="preserve">Valor permitido a traspasar a la tarifa para cubrir los costos del sistema de transmisión en el semestre p (Viene del MODELO AT300, punto 11) (B/.) </t>
  </si>
  <si>
    <t xml:space="preserve">Valor permitido en la tarifa para cubrir los costos por pérdidas en transmisión en el semestre p (Viene del MODELO AT400, punto 6) (B/.) </t>
  </si>
  <si>
    <r>
      <t xml:space="preserve">Valor a recuperar para cubrir costos de generación, costos del sistema de transporte y pérdidas en transmisión en horas de punta pronosticados en el período p (B/.)  = </t>
    </r>
    <r>
      <rPr>
        <b/>
        <sz val="10"/>
        <rFont val="Aptos"/>
        <family val="2"/>
      </rPr>
      <t xml:space="preserve">1 </t>
    </r>
    <r>
      <rPr>
        <sz val="10"/>
        <rFont val="Aptos"/>
        <family val="2"/>
      </rPr>
      <t xml:space="preserve">+ </t>
    </r>
    <r>
      <rPr>
        <b/>
        <sz val="10"/>
        <rFont val="Aptos"/>
        <family val="2"/>
      </rPr>
      <t>2</t>
    </r>
    <r>
      <rPr>
        <sz val="10"/>
        <rFont val="Aptos"/>
        <family val="2"/>
      </rPr>
      <t xml:space="preserve"> + </t>
    </r>
    <r>
      <rPr>
        <b/>
        <sz val="10"/>
        <rFont val="Aptos"/>
        <family val="2"/>
      </rPr>
      <t>3</t>
    </r>
  </si>
  <si>
    <r>
      <t xml:space="preserve">Monto necesario para cubrir los apartamientos que se produjeron entre los costos de generación reales y los ingresos reales (producidos por los cargos Base y las ventas reales) y por las diferencias entre los ingresos permitidos (producidos por los cargos </t>
    </r>
    <r>
      <rPr>
        <i/>
        <sz val="10"/>
        <rFont val="Aptos"/>
        <family val="2"/>
      </rPr>
      <t>Correcc</t>
    </r>
    <r>
      <rPr>
        <sz val="10"/>
        <rFont val="Aptos"/>
        <family val="2"/>
      </rPr>
      <t xml:space="preserve"> y las ventas estimadas) y los ingresos reales (producidos por los cargos </t>
    </r>
    <r>
      <rPr>
        <i/>
        <sz val="10"/>
        <rFont val="Aptos"/>
        <family val="2"/>
      </rPr>
      <t>Correcc</t>
    </r>
    <r>
      <rPr>
        <sz val="10"/>
        <rFont val="Aptos"/>
        <family val="2"/>
      </rPr>
      <t xml:space="preserve"> y las ventas reales) en horas de Punta del semestre p-2 actualizado con la tasa de descuento (Viene del MODELO AT500-En P (2), punto 7) (B/.) </t>
    </r>
  </si>
  <si>
    <r>
      <t xml:space="preserve">Monto necesario para cubrir los apartamientos que se produjeron  entre los costos de transmisión reales y los ingresos reales (producidos por los cargos Base y las ventas reales) y por las diferencias entre los ingresos permitidos (producidos por los cargos </t>
    </r>
    <r>
      <rPr>
        <i/>
        <sz val="10"/>
        <rFont val="Aptos"/>
        <family val="2"/>
      </rPr>
      <t>Correcc</t>
    </r>
    <r>
      <rPr>
        <sz val="10"/>
        <rFont val="Aptos"/>
        <family val="2"/>
      </rPr>
      <t xml:space="preserve"> y las ventas estimadas) y los ingresos reales (producidos por los cargos </t>
    </r>
    <r>
      <rPr>
        <i/>
        <sz val="10"/>
        <rFont val="Aptos"/>
        <family val="2"/>
      </rPr>
      <t>Correcc</t>
    </r>
    <r>
      <rPr>
        <sz val="10"/>
        <rFont val="Aptos"/>
        <family val="2"/>
      </rPr>
      <t xml:space="preserve"> y las ventas reales), ambos referenciados al semestre p-2 actualizado con la tasa de descuento (Viene del MODELO AT300, punto 18) (B/.) </t>
    </r>
  </si>
  <si>
    <r>
      <t xml:space="preserve">Monto necesario para cubrir los apartamientos que se produjeron en el semestre p-2 entre los costos de pérdidas de transmisión reales y los ingresos reales (producidos por los cargos Base y las ventas reales) y por las diferencias entre los ingresos permitidos (producidos por los cargos </t>
    </r>
    <r>
      <rPr>
        <i/>
        <sz val="10"/>
        <rFont val="Aptos"/>
        <family val="2"/>
      </rPr>
      <t>Correcc</t>
    </r>
    <r>
      <rPr>
        <sz val="10"/>
        <rFont val="Aptos"/>
        <family val="2"/>
      </rPr>
      <t xml:space="preserve"> y las ventas estimadas) y los ingresos reales (producidos por los cargos </t>
    </r>
    <r>
      <rPr>
        <i/>
        <sz val="10"/>
        <rFont val="Aptos"/>
        <family val="2"/>
      </rPr>
      <t>Correcc</t>
    </r>
    <r>
      <rPr>
        <sz val="10"/>
        <rFont val="Aptos"/>
        <family val="2"/>
      </rPr>
      <t xml:space="preserve"> y las ventas reales) actualizado con la tasa de descuento (Viene del MODELO AT400, punto 13) (B/.) </t>
    </r>
  </si>
  <si>
    <r>
      <t xml:space="preserve">Corrección para cubrir los apartamientos que se produjeron en las horas de punta entre los costos de generación (potencia y energía y demás costos del mercado mayorista) y costos del sistema de transporte (incluyendo pérdidas en transmisión), y los ingresos reales (producidos por los cargos Base y las ventas reales), y por las diferencias entre los ingresos permitidos (producidos por los cargos </t>
    </r>
    <r>
      <rPr>
        <i/>
        <sz val="10"/>
        <rFont val="Aptos"/>
        <family val="2"/>
      </rPr>
      <t>Correcc</t>
    </r>
    <r>
      <rPr>
        <sz val="10"/>
        <rFont val="Aptos"/>
        <family val="2"/>
      </rPr>
      <t xml:space="preserve"> y las ventas estimadas) y los ingresos reales (producidos por los cargos </t>
    </r>
    <r>
      <rPr>
        <i/>
        <sz val="10"/>
        <rFont val="Aptos"/>
        <family val="2"/>
      </rPr>
      <t>Correcc</t>
    </r>
    <r>
      <rPr>
        <sz val="10"/>
        <rFont val="Aptos"/>
        <family val="2"/>
      </rPr>
      <t xml:space="preserve"> y las ventas reales) ambos en el semestre p-2  </t>
    </r>
    <r>
      <rPr>
        <b/>
        <sz val="10"/>
        <rFont val="Aptos"/>
        <family val="2"/>
      </rPr>
      <t>= 5 + 6 + 7</t>
    </r>
  </si>
  <si>
    <t xml:space="preserve">Ingresos estimados a partir de la proyección de ventas del semestre p y los cargos Base asociados a los costos de generación en horas de punta del semestre p-1(Viene del MODELO AT500, punto 18) (B/.) </t>
  </si>
  <si>
    <t xml:space="preserve">Ingresos estimados a partir de la proyección de ventas del semestre p y los cargos Base asociados a los costos de transmisión del semestre p-1 (Viene del MODELO AT300, punto 12) (B/.) </t>
  </si>
  <si>
    <t xml:space="preserve">Ingresos estimados a partir de la proyección de ventas del semestre p y los cargos BASE asociados a los costos de pérdidas de transmisión del semestre p-1 (Viene del MODELO AT400, punto 7) (B/.) </t>
  </si>
  <si>
    <r>
      <t xml:space="preserve">Valor que se recuperaría con los cargos de p-1 correspondientes a los costos Base de generación, costos del sistema de transporte y pérdidas de transmisión en horas de punta, aplicados a las ventas del semestre p (B/.)   = </t>
    </r>
    <r>
      <rPr>
        <b/>
        <sz val="10"/>
        <rFont val="Aptos"/>
        <family val="2"/>
      </rPr>
      <t>9 + 10 + 11</t>
    </r>
  </si>
  <si>
    <r>
      <t xml:space="preserve">Factor de Actualización o corrección  = </t>
    </r>
    <r>
      <rPr>
        <b/>
        <sz val="10"/>
        <rFont val="Aptos"/>
        <family val="2"/>
      </rPr>
      <t>4</t>
    </r>
    <r>
      <rPr>
        <sz val="10"/>
        <rFont val="Aptos"/>
        <family val="2"/>
      </rPr>
      <t xml:space="preserve"> / </t>
    </r>
    <r>
      <rPr>
        <b/>
        <sz val="10"/>
        <rFont val="Aptos"/>
        <family val="2"/>
      </rPr>
      <t>12</t>
    </r>
  </si>
  <si>
    <r>
      <t xml:space="preserve">Factor de Actualización o corrección  = </t>
    </r>
    <r>
      <rPr>
        <b/>
        <sz val="10"/>
        <rFont val="Aptos"/>
        <family val="2"/>
      </rPr>
      <t>8</t>
    </r>
    <r>
      <rPr>
        <sz val="10"/>
        <rFont val="Aptos"/>
        <family val="2"/>
      </rPr>
      <t xml:space="preserve"> / </t>
    </r>
    <r>
      <rPr>
        <b/>
        <sz val="10"/>
        <rFont val="Aptos"/>
        <family val="2"/>
      </rPr>
      <t>12</t>
    </r>
  </si>
  <si>
    <t>DME-016-25</t>
  </si>
  <si>
    <t>Generadora del Istmo</t>
  </si>
  <si>
    <t>DME-017-25</t>
  </si>
  <si>
    <t>Caldera Energy Corp</t>
  </si>
  <si>
    <t>DME-018-25</t>
  </si>
  <si>
    <t>Autoridad del Canal de Panamá</t>
  </si>
  <si>
    <t>DME-019-25</t>
  </si>
  <si>
    <t>Hidroelectrica del Teribe</t>
  </si>
  <si>
    <t>DME-020-25</t>
  </si>
  <si>
    <t>Celsia Centroamérica</t>
  </si>
  <si>
    <t>DME-021-25</t>
  </si>
  <si>
    <t>FOUNTAIN HYDRO POWER, CORP</t>
  </si>
  <si>
    <t>DME-022-25</t>
  </si>
  <si>
    <t>Generadora del Atlántico</t>
  </si>
  <si>
    <t>DME-023-25</t>
  </si>
  <si>
    <t>DME-024-25</t>
  </si>
  <si>
    <t>HIDRO PANAMÁ</t>
  </si>
  <si>
    <t>Mar25-Feb30</t>
  </si>
  <si>
    <t>DME-001-25</t>
  </si>
  <si>
    <t>CALDERA ENERGY CORP.</t>
  </si>
  <si>
    <t>DME-002-25</t>
  </si>
  <si>
    <t>DME-003-25</t>
  </si>
  <si>
    <t>DME-004-25</t>
  </si>
  <si>
    <t>ARRENDADORA ISTMO ENERGY, S.A.</t>
  </si>
  <si>
    <t>DME-005-25</t>
  </si>
  <si>
    <t>DME-006-25</t>
  </si>
  <si>
    <t>DME-007-25</t>
  </si>
  <si>
    <t>SOCIEDAD SUPER SERVICIOS, S.A.</t>
  </si>
  <si>
    <t>DME-008-25</t>
  </si>
  <si>
    <t>CORPORACION DE ENERGIA DEL ISTMO, S.A.</t>
  </si>
  <si>
    <t>DME-009-25</t>
  </si>
  <si>
    <t>DME-010-25</t>
  </si>
  <si>
    <t>PEDREGALITO SOLAR POWER, S.A.</t>
  </si>
  <si>
    <t>DME-011-25</t>
  </si>
  <si>
    <t>DME-012-25</t>
  </si>
  <si>
    <t xml:space="preserve">HIDRO BOQUERÓN, S.A. </t>
  </si>
  <si>
    <t>DME-013-25</t>
  </si>
  <si>
    <t>DME-014-25</t>
  </si>
  <si>
    <t xml:space="preserve">HIDRO PANAMÁ, S.A. </t>
  </si>
  <si>
    <t>DME-015-25</t>
  </si>
  <si>
    <t>AES PANAMÁ, S.R.L.</t>
  </si>
  <si>
    <t>Reserva Confiabilidad</t>
  </si>
  <si>
    <t>Pérd. Trans. 2025</t>
  </si>
  <si>
    <t xml:space="preserve">    - Horaria</t>
  </si>
  <si>
    <t xml:space="preserve">    - Regulares </t>
  </si>
  <si>
    <t xml:space="preserve">    - Horaria </t>
  </si>
  <si>
    <t>COMPENSACIÓN TOTAL</t>
  </si>
  <si>
    <t>Reserva de Generación</t>
  </si>
  <si>
    <r>
      <t xml:space="preserve">Costos de las pérdidas en transmisión (B/.)                                   </t>
    </r>
    <r>
      <rPr>
        <sz val="10"/>
        <rFont val="Aptos"/>
        <family val="2"/>
      </rPr>
      <t>(Viene del FORM AT402 y AT422)</t>
    </r>
  </si>
  <si>
    <r>
      <t xml:space="preserve">Energía transmitida (kWh)                                         </t>
    </r>
    <r>
      <rPr>
        <sz val="10"/>
        <rFont val="Aptos"/>
        <family val="2"/>
      </rPr>
      <t>(Viene del FORM AT302 Y AT322)</t>
    </r>
  </si>
  <si>
    <r>
      <t xml:space="preserve">Costo promedio de pérdidas en transmisión   (B/./kWh)    </t>
    </r>
    <r>
      <rPr>
        <b/>
        <sz val="10"/>
        <rFont val="Aptos"/>
        <family val="2"/>
      </rPr>
      <t>= 1 / 2</t>
    </r>
  </si>
  <si>
    <r>
      <t xml:space="preserve">Costo permitido de pérdidas en transmisión  (B/.)             </t>
    </r>
    <r>
      <rPr>
        <sz val="10"/>
        <rFont val="Aptos"/>
        <family val="2"/>
      </rPr>
      <t>=</t>
    </r>
    <r>
      <rPr>
        <b/>
        <sz val="10"/>
        <rFont val="Aptos"/>
        <family val="2"/>
      </rPr>
      <t xml:space="preserve"> 3 X 4</t>
    </r>
  </si>
  <si>
    <r>
      <t xml:space="preserve">Valor permitido en la tarifa que la empresa aplicaría a los clientes para cubrir los costos puros por pérdidas de energía en transmisión en el semestre p (B/.) </t>
    </r>
    <r>
      <rPr>
        <b/>
        <sz val="10"/>
        <rFont val="Aptos"/>
        <family val="2"/>
      </rPr>
      <t>(5)</t>
    </r>
  </si>
  <si>
    <r>
      <t xml:space="preserve">Ingresos estimados que resultan de aplicar los cargos Base por pérdidas de transmisión que contienen las tarifas del semestre p-1 a la proyección de ventas del semestre p </t>
    </r>
    <r>
      <rPr>
        <sz val="10"/>
        <rFont val="Aptos"/>
        <family val="2"/>
      </rPr>
      <t>(Viene del FORM AT403) (B/.)</t>
    </r>
  </si>
  <si>
    <r>
      <t xml:space="preserve">Costo permitido real de pérdidas de transmisión calculado en base a los costos reales de pérdidas de transmisión en el semestre p-2 (B/.) </t>
    </r>
    <r>
      <rPr>
        <b/>
        <sz val="10"/>
        <rFont val="Aptos"/>
        <family val="2"/>
      </rPr>
      <t>(5)</t>
    </r>
  </si>
  <si>
    <r>
      <t xml:space="preserve">Ingresos reales producidos por los cargos Base y las ventas reales del semestre p-2 </t>
    </r>
    <r>
      <rPr>
        <sz val="10"/>
        <rFont val="Aptos"/>
        <family val="2"/>
      </rPr>
      <t>(Viene del FORM AT406) (B/.)</t>
    </r>
  </si>
  <si>
    <r>
      <t>Ingresos reales producidos por los cargos</t>
    </r>
    <r>
      <rPr>
        <i/>
        <sz val="12"/>
        <rFont val="Aptos"/>
        <family val="2"/>
      </rPr>
      <t xml:space="preserve"> Correcc </t>
    </r>
    <r>
      <rPr>
        <sz val="12"/>
        <rFont val="Aptos"/>
        <family val="2"/>
      </rPr>
      <t xml:space="preserve">por transmisión y las ventas Estimada en el semestre p-2 </t>
    </r>
    <r>
      <rPr>
        <sz val="10"/>
        <rFont val="Aptos"/>
        <family val="2"/>
      </rPr>
      <t>(Viene del FORM AT407) (B/.)</t>
    </r>
  </si>
  <si>
    <r>
      <t>Ingresos permitidos producidos por los cargos</t>
    </r>
    <r>
      <rPr>
        <i/>
        <sz val="12"/>
        <rFont val="Aptos"/>
        <family val="2"/>
      </rPr>
      <t xml:space="preserve"> Correcc </t>
    </r>
    <r>
      <rPr>
        <sz val="12"/>
        <rFont val="Aptos"/>
        <family val="2"/>
      </rPr>
      <t>por transmisión</t>
    </r>
    <r>
      <rPr>
        <i/>
        <sz val="12"/>
        <rFont val="Aptos"/>
        <family val="2"/>
      </rPr>
      <t xml:space="preserve"> </t>
    </r>
    <r>
      <rPr>
        <sz val="12"/>
        <rFont val="Aptos"/>
        <family val="2"/>
      </rPr>
      <t>y las ventas Reales en el semestre  p-2  (</t>
    </r>
    <r>
      <rPr>
        <sz val="10"/>
        <rFont val="Aptos"/>
        <family val="2"/>
      </rPr>
      <t>Viene del FORM AT408) (B/.)</t>
    </r>
  </si>
  <si>
    <r>
      <t>Monto necesario para cubrir las diferencias entre los ingresos permitidos (producidos por los cargos</t>
    </r>
    <r>
      <rPr>
        <i/>
        <sz val="12"/>
        <rFont val="Aptos"/>
        <family val="2"/>
      </rPr>
      <t xml:space="preserve"> Correcc </t>
    </r>
    <r>
      <rPr>
        <sz val="12"/>
        <rFont val="Aptos"/>
        <family val="2"/>
      </rPr>
      <t>y las ventas estimadas) y los ingresos reales (producidos por los cargos</t>
    </r>
    <r>
      <rPr>
        <i/>
        <sz val="12"/>
        <rFont val="Aptos"/>
        <family val="2"/>
      </rPr>
      <t xml:space="preserve"> Correcc </t>
    </r>
    <r>
      <rPr>
        <sz val="12"/>
        <rFont val="Aptos"/>
        <family val="2"/>
      </rPr>
      <t>y las ventas reales) en el semestre p-2 (B/.)</t>
    </r>
    <r>
      <rPr>
        <sz val="10"/>
        <rFont val="Aptos"/>
        <family val="2"/>
      </rPr>
      <t xml:space="preserve"> </t>
    </r>
    <r>
      <rPr>
        <b/>
        <sz val="10"/>
        <rFont val="Aptos"/>
        <family val="2"/>
      </rPr>
      <t>= 11-10</t>
    </r>
  </si>
  <si>
    <r>
      <t xml:space="preserve">Monto necesario para cubrir los apartamientos que se produjeron en el semestre p-2 entre los costos de pérdidas de transmisión reales y los ingresos reales (producidos por los cargos Base y las ventas reales)  y por las diferencias entre los ingresos permitidos (producidos por los cargos </t>
    </r>
    <r>
      <rPr>
        <i/>
        <sz val="11"/>
        <rFont val="Aptos"/>
        <family val="2"/>
      </rPr>
      <t>Correcc</t>
    </r>
    <r>
      <rPr>
        <sz val="11"/>
        <rFont val="Aptos"/>
        <family val="2"/>
      </rPr>
      <t xml:space="preserve"> y las ventas estimadas) y los ingresos reales (producidos por los cargos </t>
    </r>
    <r>
      <rPr>
        <i/>
        <sz val="11"/>
        <rFont val="Aptos"/>
        <family val="2"/>
      </rPr>
      <t>Correcc</t>
    </r>
    <r>
      <rPr>
        <sz val="11"/>
        <rFont val="Aptos"/>
        <family val="2"/>
      </rPr>
      <t xml:space="preserve"> y las ventas reales) (B/.)   </t>
    </r>
    <r>
      <rPr>
        <b/>
        <sz val="10"/>
        <rFont val="Aptos"/>
        <family val="2"/>
      </rPr>
      <t>= 8 - 9 + 12</t>
    </r>
  </si>
  <si>
    <r>
      <t xml:space="preserve">Valor de los apartamientos actualizado con la tasa de descuento “r” (B/.) </t>
    </r>
    <r>
      <rPr>
        <b/>
        <sz val="10"/>
        <rFont val="Aptos"/>
        <family val="2"/>
      </rPr>
      <t>= 13 x 15</t>
    </r>
  </si>
  <si>
    <r>
      <t xml:space="preserve">Factor de Actualización o corrección  </t>
    </r>
    <r>
      <rPr>
        <b/>
        <sz val="10"/>
        <rFont val="Aptos"/>
        <family val="2"/>
      </rPr>
      <t>= (6 / 7)</t>
    </r>
  </si>
  <si>
    <r>
      <t xml:space="preserve">Factor de Actualización o corrección  </t>
    </r>
    <r>
      <rPr>
        <b/>
        <sz val="10"/>
        <rFont val="Aptos"/>
        <family val="2"/>
      </rPr>
      <t>= (16 / 7)</t>
    </r>
  </si>
  <si>
    <t>Costos de compra de potencia em contratos mediante el mecanismo establecido por la ASEP (Viene del FORM AT502 y AT522) (B/.)</t>
  </si>
  <si>
    <t xml:space="preserve">Costos por Compensaciones de Potencia (Viene del FORM AT502 y AT522) (B/.) </t>
  </si>
  <si>
    <t>Costos por compra de energía asociada a contratos  mediante el mecanismo establecido por la ASEP (Viene del FORM AT502 y AT522) (B/.)</t>
  </si>
  <si>
    <t>Costos o ingresos por compras o ventas de energía en el mercado ocasional que hayan sido autorizadas por la ASEP (Viene del FORM AT502 y AT522) (B/.)</t>
  </si>
  <si>
    <t>Costos por servicios auxiliares (Viene del FORM AT502 y AT522) (B/.)</t>
  </si>
  <si>
    <t>Costos de Generación relacionados con el Mercado Regional y los servicios de operación integrada regional (Viene del FORM AT502 y AT522) (B/.)</t>
  </si>
  <si>
    <t>Sobrecostos por Generación Obligada (Viene del FORM AT502 y AT522) (B/.)</t>
  </si>
  <si>
    <t>Costo de Fianzas correspondientes a contratos (Viene del FORM AT502 y AT522) (B/.)</t>
  </si>
  <si>
    <t>Energía comprada por la distribuidora ingresada a la red de la distribuidora en los nodos de compra o entrega y la de generación propia ingresada (Viene del FORM AT502 y AT522) (KWh)</t>
  </si>
  <si>
    <t>Venta de energía a clientes y Consumo de Alumbrado Público (Viene del FORM AT801 y AT821 A) (kWh)</t>
  </si>
  <si>
    <r>
      <t>GPR</t>
    </r>
    <r>
      <rPr>
        <i/>
        <vertAlign val="subscript"/>
        <sz val="9"/>
        <rFont val="Aptos"/>
        <family val="2"/>
      </rPr>
      <t>p-4</t>
    </r>
  </si>
  <si>
    <r>
      <t>GPR</t>
    </r>
    <r>
      <rPr>
        <i/>
        <vertAlign val="subscript"/>
        <sz val="9"/>
        <rFont val="Aptos"/>
        <family val="2"/>
      </rPr>
      <t>p-2</t>
    </r>
  </si>
  <si>
    <t>FC</t>
  </si>
  <si>
    <t>Carta de Crédito- EOR (BANISMO) Enmienda</t>
  </si>
  <si>
    <t>Carta de Crédito - ETESA BLADEX</t>
  </si>
  <si>
    <t>Carta de Crédito - ETESA BANESCO</t>
  </si>
  <si>
    <t>Ente Operador Regional</t>
  </si>
  <si>
    <t>VARIACIÓN NO REGULADOS</t>
  </si>
  <si>
    <t>VARIACIÓN CLIENTE REGULADOS</t>
  </si>
  <si>
    <t>Variación del Precio Promedio Estimado</t>
  </si>
  <si>
    <t>VARIACIÓN TOTAL REGULADOS + NO REGULADOS</t>
  </si>
  <si>
    <t>INGRESOS ($)</t>
  </si>
  <si>
    <t>Variación del Ingreso Estimado</t>
  </si>
  <si>
    <t>Periodo P
$/KWh</t>
  </si>
  <si>
    <t>Periodo P-1
$/KWh</t>
  </si>
  <si>
    <t>Total Clientes Reg.</t>
  </si>
  <si>
    <t>Total Clientes No Reg.</t>
  </si>
  <si>
    <t>Cargo Demanda</t>
  </si>
  <si>
    <t>Cargo Energía 10,001 a 30,000 KWh</t>
  </si>
  <si>
    <t>Cargo Energía 30,001 a 50,000 KWh</t>
  </si>
  <si>
    <t>Cargo Energía 00,001 y Más KWh</t>
  </si>
  <si>
    <t>Cargo Energía 0 a 10,000 KWh</t>
  </si>
  <si>
    <t>Cargo Energía</t>
  </si>
  <si>
    <t>Cargo Demanda Punta</t>
  </si>
  <si>
    <t>Cargo Demanda F de Punta</t>
  </si>
  <si>
    <t>KW
fp</t>
  </si>
  <si>
    <t>KW
P</t>
  </si>
  <si>
    <t>Cargo por Energía (consumo 750 y Más KWh)</t>
  </si>
  <si>
    <t>Cargo por Energía (consumo 301 a 750 KWh)</t>
  </si>
  <si>
    <t>Cargo Energía 301-750 KWh</t>
  </si>
  <si>
    <t>Cargo Energía 751-Más KWh</t>
  </si>
  <si>
    <t>Tarifa BTD No Regulado</t>
  </si>
  <si>
    <t>Cargo Demanda Generación</t>
  </si>
  <si>
    <t>BTD NR</t>
  </si>
  <si>
    <t>Tarifa BTH No Regulado</t>
  </si>
  <si>
    <t>Cargo Demanda HP</t>
  </si>
  <si>
    <t>Cargo Demanda FP</t>
  </si>
  <si>
    <t>BTH NR</t>
  </si>
  <si>
    <t>Tarifa MTD No Regulado</t>
  </si>
  <si>
    <t>MTD NR</t>
  </si>
  <si>
    <t>Tarifa MTH No Regulado</t>
  </si>
  <si>
    <t>MTH NR</t>
  </si>
  <si>
    <t>Tarifa ATH No Regulado</t>
  </si>
  <si>
    <t>ATH NR</t>
  </si>
  <si>
    <t>Tarifa ATD No Regulado</t>
  </si>
  <si>
    <t>ATD NR</t>
  </si>
  <si>
    <t>NO REGULADOS</t>
  </si>
  <si>
    <t>Prepago</t>
  </si>
  <si>
    <t>Balance Total</t>
  </si>
  <si>
    <t>BTS 301 a 350 kWh</t>
  </si>
  <si>
    <t>BTS 351 a 400 kWh</t>
  </si>
  <si>
    <t>BTS 401 a 450 kWh</t>
  </si>
  <si>
    <t>BTS 451 a 500 kWh</t>
  </si>
  <si>
    <t>BTS 501 a 600 kWh</t>
  </si>
  <si>
    <t>BTS 601 a 700 kWh</t>
  </si>
  <si>
    <t>BTS 701 a 750 kWh</t>
  </si>
  <si>
    <t>BTS 751 a 1000 kWh</t>
  </si>
  <si>
    <t>BTS 1001 y más kWh</t>
  </si>
  <si>
    <t>Crédito por Fondo</t>
  </si>
  <si>
    <t>FET</t>
  </si>
  <si>
    <t>Tarifa Simple BTS</t>
  </si>
  <si>
    <t>BTS 0-50 kWh</t>
  </si>
  <si>
    <t>BTS 51-100 kWh</t>
  </si>
  <si>
    <t>BTS 101-150 kWh</t>
  </si>
  <si>
    <t>BTS 151-200 kWh</t>
  </si>
  <si>
    <t>BTS 201-250 kWh</t>
  </si>
  <si>
    <t>BTS 251-300 kWh</t>
  </si>
  <si>
    <t>Pérd. Trans. 2026</t>
  </si>
  <si>
    <t>Base Sin Aju Extr</t>
  </si>
  <si>
    <t>I SEM 2026</t>
  </si>
  <si>
    <t>PROYECCION CONSUMO</t>
  </si>
  <si>
    <t>Grandes Clientes</t>
  </si>
  <si>
    <t>FET
Ene-Jun 25</t>
  </si>
  <si>
    <t>Ingresos CVC</t>
  </si>
  <si>
    <t>GENA SOLAR</t>
  </si>
  <si>
    <t>EMPRESA NACIONAL DE ENERGIA</t>
  </si>
  <si>
    <t>HIDRO PANAMÁ, S.A.</t>
  </si>
  <si>
    <t>ALTERNEGY</t>
  </si>
  <si>
    <t>DME-010-13IP</t>
  </si>
  <si>
    <t>Ind IPC</t>
  </si>
  <si>
    <t>Ind Gas</t>
  </si>
  <si>
    <t>Henry Hub Price (EIA)</t>
  </si>
  <si>
    <t>Henry Hub Price (PLATTS)</t>
  </si>
  <si>
    <t>Ind Diesel</t>
  </si>
  <si>
    <t>Ind HH</t>
  </si>
  <si>
    <t>$/KWh</t>
  </si>
  <si>
    <t>MW</t>
  </si>
  <si>
    <t>IID Base 0</t>
  </si>
  <si>
    <t>$000</t>
  </si>
  <si>
    <t>Precio de la Potencia ($/KW) Variable</t>
  </si>
  <si>
    <t>Ajustes</t>
  </si>
  <si>
    <t>Intereses por Morosidad</t>
  </si>
  <si>
    <t>Histórico</t>
  </si>
  <si>
    <t>Estimados</t>
  </si>
  <si>
    <t>BTS (Energía Relacionada Cargo Fijo)</t>
  </si>
  <si>
    <t>BTD Total</t>
  </si>
  <si>
    <t>Cargo Solo
Inflación</t>
  </si>
  <si>
    <t>Base
Todo</t>
  </si>
  <si>
    <t>BTS (Cargo Fijo)</t>
  </si>
  <si>
    <t>Correc</t>
  </si>
  <si>
    <t xml:space="preserve">   BTD</t>
  </si>
  <si>
    <t xml:space="preserve">   BTH</t>
  </si>
  <si>
    <t>DME-001-24</t>
  </si>
  <si>
    <t>ORO SOLAR, S.A.</t>
  </si>
  <si>
    <t>Arg y Min
ATD</t>
  </si>
  <si>
    <t>Jul25-Jun28</t>
  </si>
  <si>
    <t>KWh
Total</t>
  </si>
  <si>
    <t>KWh
Punta</t>
  </si>
  <si>
    <t>KWh
FPM</t>
  </si>
  <si>
    <t>KWh
FPB</t>
  </si>
  <si>
    <t>KW
Punta</t>
  </si>
  <si>
    <t>KW
Fuera P</t>
  </si>
  <si>
    <t>BTS Prepago Esc</t>
  </si>
  <si>
    <t>GENERADORA GATÚN (NG POWER)</t>
  </si>
  <si>
    <t xml:space="preserve">PANAM </t>
  </si>
  <si>
    <t>GENERADORA DEL ISTMO, S.A.</t>
  </si>
  <si>
    <t>DME-036-24</t>
  </si>
  <si>
    <t xml:space="preserve">HIDROECOLÓGICA DEL TERIBE, S.A. </t>
  </si>
  <si>
    <t>Carta de Crédito- ETESA (BANITSMO)</t>
  </si>
  <si>
    <t>Carta de Crédito - EOR (BANISTMO)</t>
  </si>
  <si>
    <t>Tasa
Interés</t>
  </si>
  <si>
    <t>Energía Medida CND + Mercado Ocasional + SIGSA + Grandes Clientes</t>
  </si>
  <si>
    <t>CARGO DE VARIACIÓN POR COMBUSTIBLE, INTERESES POR LAMINACION</t>
  </si>
  <si>
    <t xml:space="preserve">    MTH cargo 13.60</t>
  </si>
  <si>
    <t xml:space="preserve">    MTH cargo 13.50</t>
  </si>
  <si>
    <t xml:space="preserve">    MTH cargo 13.93</t>
  </si>
  <si>
    <t xml:space="preserve"> Horaria - Cargo Dem Gen 13.93</t>
  </si>
  <si>
    <t>Tarifa BTS Prepago</t>
  </si>
  <si>
    <t>Cargo Energía KWh</t>
  </si>
  <si>
    <t>Observaciones</t>
  </si>
  <si>
    <t>Vigencia 1 de marzo 2025 a 1 de marzo de 2026. $937.98 en documento.  Diferencia B/. 0.90</t>
  </si>
  <si>
    <t>Vigencia 31 de marzo de 2024 a 31 de marzo 2025. $577.83 según documento. Diferencia B/0.10</t>
  </si>
  <si>
    <t>Monto de B/.161.81.  Diferencia B/.0.10.</t>
  </si>
  <si>
    <t>Vigencia agosto 2025 a agosto 2026</t>
  </si>
  <si>
    <t>Vigencia 1 de agosto de 2025 a 1 de agosto de 2026</t>
  </si>
  <si>
    <t>Vigencia octubre 2025 a octubre 2026</t>
  </si>
  <si>
    <t>vigencia 1 de julio 2025 a 30 octubre 2025</t>
  </si>
  <si>
    <t>Vigencia de 1 junio 2025  a 1 junio 2026</t>
  </si>
  <si>
    <t>Vigencia 1 de julio de 2025 a 30 octubre 2026</t>
  </si>
  <si>
    <t>Vigencia 1 de junio 2025 a 1 de junio de 2026</t>
  </si>
  <si>
    <t>Vigencia 1 abril 2025 a 1 abril 2026.</t>
  </si>
  <si>
    <t>Vigencia junio de 2025 a agosto de 2025</t>
  </si>
  <si>
    <t>Vigencia 1 de junio de 2025 a 30 enero 2026</t>
  </si>
  <si>
    <t>Vigencia 1 de mayo de 2025 a 1 de mayo de 2026</t>
  </si>
  <si>
    <t>Vigencia 1 de mayo de 2025 a 1 mayo de 2026</t>
  </si>
  <si>
    <t>Vigencia 1 de marzo de 2025 a 31 de enero de 2026</t>
  </si>
  <si>
    <t>Vigencia 1 de marzo de 2025 a 1 de marzo de 2026</t>
  </si>
  <si>
    <t>Vigencia marzo de 2025 a marzo de 2026</t>
  </si>
  <si>
    <t>Vigencia 1 julio 2025 a 30 enero 2026</t>
  </si>
  <si>
    <t>Vigencia 1 octubre 2025 a 1 oct 2026</t>
  </si>
  <si>
    <t>Vigencia 1 junio 2025 a 1 junio 2026.</t>
  </si>
  <si>
    <t>Vigencia 1 de marzo de 2025 a 30 agosto 2026</t>
  </si>
  <si>
    <t>Vigencia 1 junio de 2025 a 30 octubre de 2025</t>
  </si>
  <si>
    <t>Vigencia 1 de julio de 2025 a 1 de julio de 2026.</t>
  </si>
  <si>
    <t>Vigencia 1 de mayo de 2025 a 31 enero 2026</t>
  </si>
  <si>
    <t>Vigencia 1 de junio de 2025 a 31 mayo de 2026</t>
  </si>
  <si>
    <t>Vigencia abril de 2025 a abril de 2026</t>
  </si>
  <si>
    <t>Vigencia 1 julio 2025 a 1 julio 2026.</t>
  </si>
  <si>
    <t>Vigencia 1 septiembre 2025 a 3 de marzo de 2026</t>
  </si>
  <si>
    <t>Vigencia 1 de abril de 2025 a 1 de abril de 2026</t>
  </si>
  <si>
    <t>Vigencia 1 de abril de 2025 a 1 de marzo de 2026</t>
  </si>
  <si>
    <t>Vigencia 1 agosto 2025 a 3 marzo 2026.</t>
  </si>
  <si>
    <t>Vigencia mayo de 2025 a marzo 2026</t>
  </si>
  <si>
    <t>Vigencia 1 de julio de 2025 a 31 de octubre de 2025</t>
  </si>
  <si>
    <t>Vigencia 1 agosto 2025 a 1 agosto 2026.</t>
  </si>
  <si>
    <t>Vigencia 1 julio 2025 a 1 marzo 2026</t>
  </si>
  <si>
    <t>Vigencia 1 febrero 2025 a 28 junio 2025</t>
  </si>
  <si>
    <t>Vigencia 1 de enero de 2024 a 1 de enero de 2025</t>
  </si>
  <si>
    <t>Vigencia 1 junio de 2025 a 31 mayo 2026.</t>
  </si>
  <si>
    <t>Composición de los Cargos</t>
  </si>
  <si>
    <t>Supuestos de Combustible</t>
  </si>
  <si>
    <t>MWh</t>
  </si>
  <si>
    <t>Sistemas Aislados</t>
  </si>
  <si>
    <t>AN No.20776-Elec</t>
  </si>
  <si>
    <t>AN No.20896-Elec</t>
  </si>
  <si>
    <t>Facturado
Gen506CVC</t>
  </si>
  <si>
    <t>Resoluciones:</t>
  </si>
  <si>
    <t>Cargo Prepago</t>
  </si>
  <si>
    <t>Cargo Fijo (10 KWh)</t>
  </si>
  <si>
    <t>Energía 1</t>
  </si>
  <si>
    <t>Energía 2</t>
  </si>
  <si>
    <t>Energía 3</t>
  </si>
  <si>
    <t>2do. SEMESTRE 2026</t>
  </si>
  <si>
    <t>1 DE JULIO DE 2026</t>
  </si>
  <si>
    <t>Corr.</t>
  </si>
  <si>
    <t>II SEM 2025</t>
  </si>
  <si>
    <t>Cargo
VAD</t>
  </si>
  <si>
    <t>Factor</t>
  </si>
  <si>
    <t>Descontinuado</t>
  </si>
  <si>
    <t>Inflación</t>
  </si>
  <si>
    <t>INDICE DE PRECIOS AL CONSUMIDOR</t>
  </si>
  <si>
    <t xml:space="preserve">    - Horaria - CD $ 12.93</t>
  </si>
  <si>
    <t xml:space="preserve">     Regular</t>
  </si>
  <si>
    <t xml:space="preserve">     Agropecuario</t>
  </si>
  <si>
    <t xml:space="preserve">     Jubilados</t>
  </si>
  <si>
    <t>FET
Jul-Dic 25</t>
  </si>
  <si>
    <t>Aj. Tar. Anterior</t>
  </si>
  <si>
    <t>AN No.20997-Elec</t>
  </si>
  <si>
    <t>DME-006-21</t>
  </si>
  <si>
    <t>INCUMPLIMIENTOS POR DISPONIBILIDAD DE POTENCIA</t>
  </si>
  <si>
    <t>ORO SOLAR</t>
  </si>
  <si>
    <t>2022-2023</t>
  </si>
  <si>
    <t>A Feb 2025</t>
  </si>
  <si>
    <t>Aj1: Feb 2024
Aj1: Mar2024</t>
  </si>
  <si>
    <t>Sin Aj</t>
  </si>
  <si>
    <t>Aj1: Junio 2024</t>
  </si>
  <si>
    <t>Aj1: Oct 2024</t>
  </si>
  <si>
    <t>Demánda Máxixma MW</t>
  </si>
  <si>
    <t xml:space="preserve"> TOTAL COSTO ENERGIA</t>
  </si>
  <si>
    <t>TOTAL CEFP</t>
  </si>
  <si>
    <t>SUB TOTAL CEFP</t>
  </si>
  <si>
    <t>TOTAL CEP</t>
  </si>
  <si>
    <t>SUB TOTAL CEP</t>
  </si>
  <si>
    <t>15 Años</t>
  </si>
  <si>
    <t>Pérd. Transmisión. 2do. Sem 2025</t>
  </si>
  <si>
    <t>Pérd. Distribución. 2do. Sem 2025</t>
  </si>
  <si>
    <r>
      <rPr>
        <b/>
        <sz val="7"/>
        <color theme="1"/>
        <rFont val="Aptos"/>
        <family val="2"/>
      </rPr>
      <t xml:space="preserve">NAURA Energy - </t>
    </r>
    <r>
      <rPr>
        <b/>
        <sz val="7"/>
        <color rgb="FF0000FF"/>
        <rFont val="Aptos"/>
        <family val="2"/>
      </rPr>
      <t>Finalizado</t>
    </r>
  </si>
  <si>
    <r>
      <t>PANAMA SOLAR (</t>
    </r>
    <r>
      <rPr>
        <sz val="7"/>
        <color rgb="FF0000FF"/>
        <rFont val="Aptos"/>
        <family val="2"/>
      </rPr>
      <t>Ene-17  - Dic36</t>
    </r>
    <r>
      <rPr>
        <sz val="7"/>
        <color theme="1"/>
        <rFont val="Aptos"/>
        <family val="2"/>
      </rPr>
      <t>)</t>
    </r>
  </si>
  <si>
    <r>
      <t>SOLPAC (</t>
    </r>
    <r>
      <rPr>
        <sz val="7"/>
        <color rgb="FF0000FF"/>
        <rFont val="Aptos"/>
        <family val="2"/>
      </rPr>
      <t>Ene-17  - Dic36</t>
    </r>
    <r>
      <rPr>
        <sz val="7"/>
        <color theme="1"/>
        <rFont val="Aptos"/>
        <family val="2"/>
      </rPr>
      <t>)</t>
    </r>
  </si>
  <si>
    <t>NAVITAS INT'l Sin Definir ASEP</t>
  </si>
  <si>
    <t>Descuentos FET Ordinario
de Julio a Diciembre 2026</t>
  </si>
  <si>
    <t xml:space="preserve">   MTH</t>
  </si>
  <si>
    <t xml:space="preserve">   MTD</t>
  </si>
  <si>
    <t xml:space="preserve">   ATD</t>
  </si>
  <si>
    <t xml:space="preserve">   ATH</t>
  </si>
  <si>
    <t>G504EC1</t>
  </si>
  <si>
    <t>G504EC2</t>
  </si>
  <si>
    <t>Cargo Promedio Pondereado</t>
  </si>
  <si>
    <t>Factor de Inflación</t>
  </si>
  <si>
    <t>BTD - Gran Cli. NR</t>
  </si>
  <si>
    <t>BTH - Gran Cli. NR</t>
  </si>
  <si>
    <t>MTD - Gran Cli. NR</t>
  </si>
  <si>
    <t>MTH - Gran Cli. NR</t>
  </si>
  <si>
    <t>ATD - Gran Cli. NR</t>
  </si>
  <si>
    <t>ATH - Gran Cli. NR</t>
  </si>
  <si>
    <t>Otros Uso de Red</t>
  </si>
  <si>
    <t>ETESA - Facturación Total</t>
  </si>
  <si>
    <r>
      <t xml:space="preserve">DTER </t>
    </r>
    <r>
      <rPr>
        <sz val="10"/>
        <color rgb="FF000000"/>
        <rFont val="Aptos"/>
        <family val="2"/>
      </rPr>
      <t>- Documento de Transacciones Económicas Regional</t>
    </r>
  </si>
  <si>
    <t>DME-018-23IP</t>
  </si>
  <si>
    <t>Indice de Precios
Panamá y San Miguelito
(Año Base 2013)</t>
  </si>
  <si>
    <t>Indice de Precios
Panamá
(Año Base 2024)</t>
  </si>
  <si>
    <t>Compensación por Resolución</t>
  </si>
  <si>
    <t>Tarifa</t>
  </si>
  <si>
    <t>Cargo Compensado</t>
  </si>
  <si>
    <t>2026-2046</t>
  </si>
  <si>
    <t>Precio Pot.
Y Otros</t>
  </si>
  <si>
    <t>Costos Transmisión</t>
  </si>
  <si>
    <t>Costo Pérd. Transmisión</t>
  </si>
  <si>
    <t>Jul-Dic 2025</t>
  </si>
  <si>
    <t>Jul-Dic 2026</t>
  </si>
  <si>
    <t>Energía Comprada MWh</t>
  </si>
  <si>
    <t>Total ($000)</t>
  </si>
  <si>
    <t>Monómico Marginal del Sistema</t>
  </si>
  <si>
    <t>Costos Generación Potencia</t>
  </si>
  <si>
    <t>Costos Generación Energía</t>
  </si>
  <si>
    <t>Costos Generación Total</t>
  </si>
  <si>
    <t>Tabla 44</t>
  </si>
  <si>
    <t>ASEP</t>
  </si>
  <si>
    <t>Monómico Solo de Generación</t>
  </si>
  <si>
    <t>Zona</t>
  </si>
  <si>
    <t>Jul25-Jun26</t>
  </si>
  <si>
    <t>Jul26-Jun27</t>
  </si>
  <si>
    <t>Jul27-Jun28</t>
  </si>
  <si>
    <t>Jul28-Jun29</t>
  </si>
  <si>
    <t>Año
Tarifario 1</t>
  </si>
  <si>
    <t>Año
Tarifario 2</t>
  </si>
  <si>
    <t>Año
Tarifario 3</t>
  </si>
  <si>
    <t>Año
Tarifario 4</t>
  </si>
  <si>
    <t>SEGUIMIENTO ELÉCTRICO</t>
  </si>
  <si>
    <t>Cargos por Uso del Sistema Principal De Transmisión (CUSPE)
Para la Demanda (B/./MWh)</t>
  </si>
  <si>
    <t>EMPRESA DE TRANSMISIÓN ELECTRICA, S.A.</t>
  </si>
  <si>
    <t xml:space="preserve">PLIEGO TARIFARIO DE TRANSMISIÓN </t>
  </si>
  <si>
    <t>1 DE JULIO DE 2025 AL 30 DE JUNIO DE 2029</t>
  </si>
  <si>
    <t>ESTAMPILLA POSTAL</t>
  </si>
  <si>
    <t>Cargos por Uso del Sistema Principal De Transmisión (CUSPE)
Para la Demanda (B/./KW-Año)</t>
  </si>
  <si>
    <t>Cargos por Servicio de Operación Integrada (SOI)
(Balboas or KW/Mes)</t>
  </si>
  <si>
    <t>Cargo Mensual</t>
  </si>
  <si>
    <t>Agente</t>
  </si>
  <si>
    <t>Consumidor</t>
  </si>
  <si>
    <t>Todas las Zonas</t>
  </si>
  <si>
    <t>CUSPT del Sist. de Trans.</t>
  </si>
  <si>
    <t>CUSPT del Ser. de Oper. Int.</t>
  </si>
  <si>
    <t>CUSPT del Sist. de Trans. por Exportación</t>
  </si>
  <si>
    <t>CUSPT del Ser. de Oper. Int. Por Exportación</t>
  </si>
  <si>
    <t>Vigencia hasta octubre de 2026</t>
  </si>
  <si>
    <t>Resumen de Cargos</t>
  </si>
  <si>
    <t>Cargo Fijo por los primeros 10 kWh</t>
  </si>
  <si>
    <t>B/.cliente/mes</t>
  </si>
  <si>
    <t>Cargo por los siguientes kWh de 11-300</t>
  </si>
  <si>
    <t>Cargo por los siguientes kWh de 301-750</t>
  </si>
  <si>
    <t>Cargo por los siguientes en exceso a 751 kWh</t>
  </si>
  <si>
    <t xml:space="preserve">  - Fijo (Primeros 10 kWh)</t>
  </si>
  <si>
    <t xml:space="preserve">  - Energía (Siguientes kWh)</t>
  </si>
  <si>
    <t xml:space="preserve">  - Energía, excluyendo pérdidas (Siguientes kWh)</t>
  </si>
  <si>
    <t xml:space="preserve">  - Pérdidas Energía en Distribución (Siguientes kWh)</t>
  </si>
  <si>
    <t xml:space="preserve">  - Sistema (Siguientes kWh)</t>
  </si>
  <si>
    <t xml:space="preserve">  - Consumo de energía (Siguientes kWh)</t>
  </si>
  <si>
    <t xml:space="preserve">  - Pérdidas de Energía en Transmisión (Siguientes kWh)</t>
  </si>
  <si>
    <t>Resumen de Cargos de la Tarifa:</t>
  </si>
  <si>
    <t>Cargo por Energía Punta</t>
  </si>
  <si>
    <t>Cargo por Energía Fuera de Punta Medio</t>
  </si>
  <si>
    <t>Cargo por Energía Fuera de Punta Bajo</t>
  </si>
  <si>
    <t xml:space="preserve">  - Fijo</t>
  </si>
  <si>
    <t>B/.cliente</t>
  </si>
  <si>
    <t xml:space="preserve">  - Energía Punta</t>
  </si>
  <si>
    <t xml:space="preserve">  - Energía Fuera de Punta Medio</t>
  </si>
  <si>
    <t xml:space="preserve">  - Energía Fuera de Punta Bajo</t>
  </si>
  <si>
    <t xml:space="preserve">  - Energía Punta, excluyendo pérdidas</t>
  </si>
  <si>
    <t xml:space="preserve">  - Energía Fuera de Punta Medio, excluyendo pérdidas</t>
  </si>
  <si>
    <t xml:space="preserve">  - Energía Fuera de Punta Bajo, excluyendo pérdidas</t>
  </si>
  <si>
    <t xml:space="preserve">  - Pérdidas Energía Distribución Punta</t>
  </si>
  <si>
    <t xml:space="preserve">  - Pérdidas Energía Distribución Fuera de Punta Medio</t>
  </si>
  <si>
    <t xml:space="preserve">  - Pérdidas Energía Distribución Fuera de Punta Bajo</t>
  </si>
  <si>
    <t xml:space="preserve">  - Sistema Punta</t>
  </si>
  <si>
    <t xml:space="preserve">  - Sistema Fuera de Punta Medio</t>
  </si>
  <si>
    <t xml:space="preserve">  - Sistema Fuera de Punta Bajo</t>
  </si>
  <si>
    <t xml:space="preserve">  - Consumo de energía Punta</t>
  </si>
  <si>
    <t xml:space="preserve">  - Consumo de energía Fuera de Punta Medio</t>
  </si>
  <si>
    <t xml:space="preserve">  - Consumo de energía Fuera de Punta Bajo</t>
  </si>
  <si>
    <t xml:space="preserve">  - Pérdidas Energía en Transmisión, Punta</t>
  </si>
  <si>
    <t xml:space="preserve">  - Pérdidas Energía en Transmisión, Fuera Punta Medio</t>
  </si>
  <si>
    <t xml:space="preserve">  - Pérdidas Energía en Transmisión, Fuera Punta Bajo</t>
  </si>
  <si>
    <t xml:space="preserve">  - Generación Punta</t>
  </si>
  <si>
    <t xml:space="preserve">  - Generación Fuera de Punta Medio</t>
  </si>
  <si>
    <t xml:space="preserve">  - Generación Fuera de Punta Bajo</t>
  </si>
  <si>
    <t xml:space="preserve">  - Generación Cargo de Potencia Energizada</t>
  </si>
  <si>
    <t>Cargo por los siguientes kWh</t>
  </si>
  <si>
    <t xml:space="preserve">  - Energía</t>
  </si>
  <si>
    <t xml:space="preserve">  - Energía, excluyendo pérdidas</t>
  </si>
  <si>
    <t xml:space="preserve">  - Pérdidas Energía en Distribución</t>
  </si>
  <si>
    <t xml:space="preserve"> - Sistema</t>
  </si>
  <si>
    <t xml:space="preserve">  - Consumo de energía</t>
  </si>
  <si>
    <t xml:space="preserve">  - Pérdidas de Energía en Transmisión</t>
  </si>
  <si>
    <t>B/./kW-mes</t>
  </si>
  <si>
    <t>Cargo por Energía de los primeros 10,000 kWh</t>
  </si>
  <si>
    <t>Cargo por Energía por los siguientes kWh de 10,001 a 30,000</t>
  </si>
  <si>
    <t>Cargo por Energía por los siguientes kWh de 30,001 a 50,000</t>
  </si>
  <si>
    <t>Cargo por Energía por los siguientes en exceso de 50,001 kWh</t>
  </si>
  <si>
    <t xml:space="preserve">  - Cargo de Consumo por Energía</t>
  </si>
  <si>
    <t>Cargo por Energía en Punta</t>
  </si>
  <si>
    <t>Cargo por Demanda Máxima en Punta</t>
  </si>
  <si>
    <t xml:space="preserve">  - Demanda Máxima en Punta</t>
  </si>
  <si>
    <t xml:space="preserve">  - Demanda Máxima Fuera de Punta</t>
  </si>
  <si>
    <t xml:space="preserve">  - Pérdidas de Energía en Distribución en Punta</t>
  </si>
  <si>
    <t xml:space="preserve">  - Pérdidas de Energía en Distribución Fuera de Punta Medio</t>
  </si>
  <si>
    <t xml:space="preserve">  - Pérdidas de Energía en Distribución Fuera de Punta Bajo</t>
  </si>
  <si>
    <t xml:space="preserve">  - Pérdidas de Potencia en Distribución </t>
  </si>
  <si>
    <t xml:space="preserve">  - Sistema</t>
  </si>
  <si>
    <t xml:space="preserve">  - Demanda Máxima</t>
  </si>
  <si>
    <t xml:space="preserve">  - Energía en Punta</t>
  </si>
  <si>
    <t xml:space="preserve">  - Potencia Energizada</t>
  </si>
  <si>
    <t xml:space="preserve">Cargo por Energía en Punta </t>
  </si>
  <si>
    <t xml:space="preserve">  – Fijo</t>
  </si>
  <si>
    <t xml:space="preserve">  – Energía</t>
  </si>
  <si>
    <t xml:space="preserve">  - Pérdidas de Potencia en Distribución</t>
  </si>
  <si>
    <t xml:space="preserve">  - Demanda Máxima en Fuera de Punta</t>
  </si>
  <si>
    <t>Cargos de la Tarifa ATD</t>
  </si>
  <si>
    <t>La tarifa comprende los siguientes cargos, que se aplicarán en la factura mensual del cliente:</t>
  </si>
  <si>
    <t>Cargos de la Tarifa ATH</t>
  </si>
  <si>
    <t xml:space="preserve">  - Pérdidas de Energía en Distribución en Punta  </t>
  </si>
  <si>
    <t xml:space="preserve">  - Pérdidas de Potencia en Distribución   </t>
  </si>
  <si>
    <t xml:space="preserve">  - Energía de Transmisión</t>
  </si>
  <si>
    <t xml:space="preserve">  - Potencia Energizada Punta</t>
  </si>
  <si>
    <t xml:space="preserve">  - Potencia Energizada Fuera de Punta Medio</t>
  </si>
  <si>
    <t xml:space="preserve">  - Potencia Energizada Fuera de Punta Bajo</t>
  </si>
  <si>
    <t>La tarifa comprende los siguientes cargos, que se aplicarán en la factura mensual del Gran Cliente:</t>
  </si>
  <si>
    <t>Cargo por Demanda Máxima de Generación en Punta, CPG (si aplica)</t>
  </si>
  <si>
    <t>Composición de los Cargos:</t>
  </si>
  <si>
    <t xml:space="preserve">  -  Demanda Máxima de Generación, CPG Aplica a Grandes Clientes que no tienen contratada su demanda máxima de generación en el Mercado Mayorista</t>
  </si>
  <si>
    <t>Cargo por Demanda Máxima de Generación, CPG (si aplica)</t>
  </si>
  <si>
    <t xml:space="preserve">  - Pérdidas de Energía en Distribución</t>
  </si>
  <si>
    <t xml:space="preserve">  - Pérdidas en Potencia Distribución</t>
  </si>
  <si>
    <t xml:space="preserve">  -  Demanda Máxima de Generación, CPG.- Aplica a Grandes Clientes que no tienen contratada su demanda máxima de generación en el Mercado Mayorista</t>
  </si>
  <si>
    <t>Cargos de la Tarifa MTH</t>
  </si>
  <si>
    <t xml:space="preserve">  - Demanda Máxima Fuera de Punta Medio</t>
  </si>
  <si>
    <t>Cargos de la Tarifa MTD</t>
  </si>
  <si>
    <t>Cargos de la Tarifa BTH</t>
  </si>
  <si>
    <t xml:space="preserve">  - Demanda en Punta</t>
  </si>
  <si>
    <t xml:space="preserve">  - Demanda Fuera de Punta</t>
  </si>
  <si>
    <t>Cargos de la Tarifa BTD</t>
  </si>
  <si>
    <t>TARIFA BTS</t>
  </si>
  <si>
    <t>TARIFA BTSH</t>
  </si>
  <si>
    <t>TARIFA PREPAGO</t>
  </si>
  <si>
    <t>TARIFA BTD</t>
  </si>
  <si>
    <t>TARIFA BTH</t>
  </si>
  <si>
    <t>TARIFA MTD</t>
  </si>
  <si>
    <t>TARIFA MTH</t>
  </si>
  <si>
    <t>CARGOS DEL PLIEGO TARIFARIO</t>
  </si>
  <si>
    <t>BTS PREPAGO</t>
  </si>
  <si>
    <t>Cargo por Energía Pérdidas de Transmisión</t>
  </si>
  <si>
    <t>Cargo por Abastecimiento de Alumbrado Público</t>
  </si>
  <si>
    <t>Cargo de Generación Extraordinario</t>
  </si>
  <si>
    <t>Tarifa BTS único</t>
  </si>
  <si>
    <t xml:space="preserve">Cargo Fijo, por los primeros 10 kWh </t>
  </si>
  <si>
    <t>Cargo por Energía por los siguientes kWh de 11 a 300</t>
  </si>
  <si>
    <t>Cargo por Energía por los siguientes kWh de 301 a 750</t>
  </si>
  <si>
    <t>Cargo por Energía por los siguientes kWh en exceso de 751</t>
  </si>
  <si>
    <t>Composición de los cargos:</t>
  </si>
  <si>
    <t>Cargo por Energía (siguientes kWh)</t>
  </si>
  <si>
    <t>Cargo por Energía Pérdidas de Transmisión (siguientes kWh)</t>
  </si>
  <si>
    <t>Cargo por Potencia Energizada (siguientes kWh)</t>
  </si>
  <si>
    <t>Cargo por Abastecimiento de Alumbrado Público (siguientes kWh)</t>
  </si>
  <si>
    <t>Cargo de Generación Extraordinario (siguientes kWh)</t>
  </si>
  <si>
    <t>Cargo por Energía - Punta</t>
  </si>
  <si>
    <t>Cargo por Energía - Medio Fuera Punta</t>
  </si>
  <si>
    <t>Cargo por Energía - Bajo Fuera Punta</t>
  </si>
  <si>
    <t>Resumen de los Cargos:</t>
  </si>
  <si>
    <t>Cargo por Energía de los 1eros. 10,000 KWh</t>
  </si>
  <si>
    <t>Cargo por Energía por los siguientes KWh de 10,0001 a 30,000</t>
  </si>
  <si>
    <t>Cargo por Energía por los siguientes KWh de 30,0001 a 50,000</t>
  </si>
  <si>
    <t>Cargo por Energía por los siguientes KWh en exceso de 50,001</t>
  </si>
  <si>
    <t>Cargo por Energía por los siguientes kWh de 10,0001 a 30,000</t>
  </si>
  <si>
    <t>Cargo por Energía por los siguientes kWh de 30,0001 a 50,000</t>
  </si>
  <si>
    <t>Cargo por Energía por los siguientes kWh en exceso de 50,001</t>
  </si>
  <si>
    <t>Cargo por Demanda Máxima - Punta</t>
  </si>
  <si>
    <t>Cargo por Demanda Máxima - Fuera de Punta Medio</t>
  </si>
  <si>
    <t>Cargo por Demanda Máxima - Fuera de Punta Bajo</t>
  </si>
  <si>
    <t>Los clientes conectados en voltajes mayores que 600V y menores que 115 kV pueden escoger entre la Tarifa con Demanda Máxima MTD o la Tarifa por Bloque Horario MTH.</t>
  </si>
  <si>
    <t>Cargo por Demanda Máximo - Punta</t>
  </si>
  <si>
    <t>Los clientes conectados en voltajes de 115 kV pueden escoger entre la Tarifa con Demanda Máxima ATD o la Tarifa por Bloque Horario ATH.</t>
  </si>
  <si>
    <t xml:space="preserve">CARGOS POR USO DEL SISTEMA DE DISTRIBUCION </t>
  </si>
  <si>
    <t xml:space="preserve">Tarifa con Demanda Máxima </t>
  </si>
  <si>
    <t>Tarifa por Bloque Horario</t>
  </si>
  <si>
    <t>Tarifa con Demanda Máxima</t>
  </si>
  <si>
    <t>Cargos de Conexión y Reconexión</t>
  </si>
  <si>
    <t>BTS postpago</t>
  </si>
  <si>
    <t>BTS prepago</t>
  </si>
  <si>
    <t>Cargo por Demanda Máxima - Fuera de Punta</t>
  </si>
  <si>
    <t/>
  </si>
  <si>
    <t>Modelo
IMP</t>
  </si>
  <si>
    <t>Tarifa BTS Postpago</t>
  </si>
  <si>
    <t>Tarifa BTA:  Tarifa Autoconsumidores (Con Demanda Máxima)</t>
  </si>
  <si>
    <t>Cargo por Demanda Máxima (consumida o inyectada)</t>
  </si>
  <si>
    <t>Cargo por Demanda Máxima consumida</t>
  </si>
  <si>
    <t>Cargo por Energía consumida</t>
  </si>
  <si>
    <t>Cargo por Energía inyectada</t>
  </si>
  <si>
    <t>Cargo por Energía Pérdidas de Transmisión consumida</t>
  </si>
  <si>
    <t>Generación Consumo</t>
  </si>
  <si>
    <t>Cargo por Potencia Energizada consumida</t>
  </si>
  <si>
    <t>Cargo por Abastecimiento de Alumbrado Público (energía consumida)</t>
  </si>
  <si>
    <t>Generación Inyección</t>
  </si>
  <si>
    <t>Tarifa MTA:  Tarifa Autoconsumidores (Con Demanda Máxima)</t>
  </si>
  <si>
    <t>UNIFICADO</t>
  </si>
  <si>
    <t>BLOQUES</t>
  </si>
  <si>
    <t>Clientes a Tarifa Regulada</t>
  </si>
  <si>
    <t xml:space="preserve">Cargo por Reconexión (hasta) </t>
  </si>
  <si>
    <t>Baja Tensión Simple</t>
  </si>
  <si>
    <t>Baja Tensión Simple por Bloque Horario</t>
  </si>
  <si>
    <t>Baja Tensión con Demanda</t>
  </si>
  <si>
    <t>Baja Tensión por Bloque Horario</t>
  </si>
  <si>
    <t>Media Tensión con Demanda</t>
  </si>
  <si>
    <t>Media Tensión por Bloque Horario</t>
  </si>
  <si>
    <t>Alta Tensión con Demanda</t>
  </si>
  <si>
    <t>Alta Tensión por Bloque Horario</t>
  </si>
  <si>
    <t>Estimado</t>
  </si>
  <si>
    <t>$/MWh</t>
  </si>
  <si>
    <t>$/MWH</t>
  </si>
  <si>
    <t>$/MMBTU</t>
  </si>
  <si>
    <t>$/Gln</t>
  </si>
  <si>
    <t xml:space="preserve">   Diesel</t>
  </si>
  <si>
    <t xml:space="preserve">   Henry Hub</t>
  </si>
  <si>
    <t xml:space="preserve">   Precio Spot</t>
  </si>
  <si>
    <r>
      <t xml:space="preserve">CPOTGENE </t>
    </r>
    <r>
      <rPr>
        <b/>
        <sz val="9"/>
        <color rgb="FF0000FF"/>
        <rFont val="Aptos"/>
        <family val="2"/>
      </rPr>
      <t>(Pot Energiz)</t>
    </r>
  </si>
  <si>
    <t>Incr.</t>
  </si>
  <si>
    <t>Incr.
FET</t>
  </si>
  <si>
    <t>Cargo Energía Punta</t>
  </si>
  <si>
    <t>Cargo Energía FP Medio</t>
  </si>
  <si>
    <t>Cargo Energía FP Bajo</t>
  </si>
  <si>
    <t>TOTAL DE INGRESOS</t>
  </si>
  <si>
    <t>Ingresos Estimados Regulados y No Regulados</t>
  </si>
  <si>
    <t>Ingresos Estimados ($)</t>
  </si>
  <si>
    <t>Electron (SECCION)</t>
  </si>
  <si>
    <t>ALTERNEGY ENMIIENDA 7</t>
  </si>
  <si>
    <t>ELECTRO INVEST. - ENMIENDA 5</t>
  </si>
  <si>
    <t>ALTERNEGY ENMIEDA 7</t>
  </si>
  <si>
    <t>Neto</t>
  </si>
  <si>
    <t>Factura</t>
  </si>
  <si>
    <t>KWh
P</t>
  </si>
  <si>
    <t>Tarifa BTS Social (0-50 kWh)</t>
  </si>
  <si>
    <t xml:space="preserve">Cargo Fijo, por los primeros 20 kWh </t>
  </si>
  <si>
    <t>Cargo por Energía por los siguientes kWh de 21 a 50</t>
  </si>
  <si>
    <t>II SEM 2026 Anterior</t>
  </si>
  <si>
    <t>II SEM 2026 Nuevo</t>
  </si>
  <si>
    <t>EFRAGEN</t>
  </si>
  <si>
    <t>HIDROS + Efragen + Electron</t>
  </si>
  <si>
    <t>Sol1</t>
  </si>
  <si>
    <t>IPC</t>
  </si>
  <si>
    <t>Energía Total
Nueva Pliego
(%)</t>
  </si>
  <si>
    <t>Energía Total
Viejo Pliego
(%)</t>
  </si>
  <si>
    <t>Energía Total Desagregada por Bandas Horarias</t>
  </si>
  <si>
    <t>Energía Total
(KWh)
Nuevo Pliego</t>
  </si>
  <si>
    <t>Energía Total
(KWh)
Viejo Pliego</t>
  </si>
  <si>
    <t>SubTot. BTS Cons. Bajo</t>
  </si>
  <si>
    <t>SubTot. BTS Otros</t>
  </si>
  <si>
    <t>Variación Precio Promedio Ponderado por Tipo de Cliente
1er Sem 2026 Versus 2do Sem 2026</t>
  </si>
  <si>
    <t>BTS Post Pago</t>
  </si>
  <si>
    <t>Fact 1</t>
  </si>
  <si>
    <t>Fact 2</t>
  </si>
  <si>
    <t>Var1</t>
  </si>
  <si>
    <t>Var2</t>
  </si>
  <si>
    <t>Neto 1</t>
  </si>
  <si>
    <t>Neto 2</t>
  </si>
  <si>
    <t>BTS (0-300)</t>
  </si>
  <si>
    <t>Precio KWh
I Sem 26</t>
  </si>
  <si>
    <t>Precio KWh
II Sem 26</t>
  </si>
  <si>
    <t>Precio Neto
I Sem 26</t>
  </si>
  <si>
    <t>Precio Neto
II Sem 26</t>
  </si>
  <si>
    <t>Precio Promedio Total
(Pliego Tarifario + CVC)</t>
  </si>
  <si>
    <t>Precio Promedio NETO Subsidiado
(Pliego Tarifario + CVC + FET)</t>
  </si>
  <si>
    <t>Real Historico</t>
  </si>
  <si>
    <t>TOTAL DE IMPORTE A FAVOR ($)</t>
  </si>
  <si>
    <t>Ponderado</t>
  </si>
  <si>
    <t>BTD5   $13.93</t>
  </si>
  <si>
    <t xml:space="preserve">  - Generación (Siguientes kWh de 11-300)</t>
  </si>
  <si>
    <t xml:space="preserve">  - Generación (Siguientes kWh de 301-750)</t>
  </si>
  <si>
    <t xml:space="preserve">  - Generación (Siguientes en exceso a 751 kWh)</t>
  </si>
  <si>
    <t xml:space="preserve">  - Generación Cargo Potencia Energizada</t>
  </si>
  <si>
    <t xml:space="preserve">  - Generación Cargo por Energía</t>
  </si>
  <si>
    <t xml:space="preserve">  - Generación Cargo por Potencia Energizada</t>
  </si>
  <si>
    <t xml:space="preserve">  - Energía de los primeros 10,000 kWh</t>
  </si>
  <si>
    <t xml:space="preserve">  - Energía por los siguientes kWh de 10,001 a 30,000</t>
  </si>
  <si>
    <t xml:space="preserve">  - Energía por los siguientes kWh de 30,001 a 50,000</t>
  </si>
  <si>
    <t xml:space="preserve">  - Energía por los siguientes en exceso de 50,001 kWh</t>
  </si>
  <si>
    <t xml:space="preserve">  - Potencia Energizada de los primeros 10,000 kWh</t>
  </si>
  <si>
    <t xml:space="preserve">  - Potencia Energizada por los siguientes kWh de 10,001 a 30,000</t>
  </si>
  <si>
    <t xml:space="preserve">  - Potencia Energizada por los siguientes kWh de 30,001 a 50,000</t>
  </si>
  <si>
    <t xml:space="preserve">  - Potencia Energizada por los siguientes en exceso de 50,001 kWh</t>
  </si>
  <si>
    <t xml:space="preserve">  - Consumo de Energía</t>
  </si>
  <si>
    <t xml:space="preserve">  -Demanda Máxima</t>
  </si>
  <si>
    <t xml:space="preserve">  - Consumo por Energía</t>
  </si>
  <si>
    <t>CVC Ponderado</t>
  </si>
  <si>
    <t>CVC</t>
  </si>
  <si>
    <t>|</t>
  </si>
  <si>
    <t>SUB-TOTAL</t>
  </si>
  <si>
    <t>Tarifa + CVC</t>
  </si>
  <si>
    <t>Neto FET</t>
  </si>
  <si>
    <t>Tarifa + CVC + FET</t>
  </si>
  <si>
    <t>Subsidiados</t>
  </si>
  <si>
    <t>BT - No Regulados</t>
  </si>
  <si>
    <t>MT - No Regulados</t>
  </si>
  <si>
    <t>AT - No Regulados</t>
  </si>
  <si>
    <t>Total No Regulados</t>
  </si>
  <si>
    <t>Fuente: Pestaña Facturador Cálculo FET</t>
  </si>
  <si>
    <t>Cargo por Abastecimiento Alumbrado Público</t>
  </si>
  <si>
    <t>Cargo por Abastecimiento Alumbrado Público (Siguientes KWh)</t>
  </si>
  <si>
    <t>BTS (Energía Cargo Fijo 10 KWh)</t>
  </si>
  <si>
    <t>Incr.
FET + CVC</t>
  </si>
  <si>
    <t>Cargo por Potencia Energizada kWh de 11 a 300</t>
  </si>
  <si>
    <t>Cargo por Potencia Energizada kWh de 301 a 750</t>
  </si>
  <si>
    <t>Cargo por Potencia Energizada kWh de kWh en exceso de 751</t>
  </si>
  <si>
    <t>Cargo por Potencia Energizada (consumo 11 a 300 KWh)</t>
  </si>
  <si>
    <t>Cargo por Potencia Energizada (consumo 301 a 750 KWh)</t>
  </si>
  <si>
    <t>Cargo por Potencia Energizada (consumo 750 y Más KWh)</t>
  </si>
  <si>
    <t>3 DE JULIO DE 2026</t>
  </si>
  <si>
    <t xml:space="preserve">
'PLIEGO TARIFARIO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</si>
</sst>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9">
    <numFmt numFmtId="41" formatCode="_-* #,##0_-;\-* #,##0_-;_-* &quot;-&quot;_-;_-@_-"/>
    <numFmt numFmtId="43" formatCode="_-* #,##0.00_-;\-* #,##0.00_-;_-* &quot;-&quot;??_-;_-@_-"/>
    <numFmt numFmtId="164" formatCode="#,##0.00\ &quot;€&quot;;[Red]\-#,##0.00\ &quot;€&quot;"/>
    <numFmt numFmtId="165" formatCode="_(&quot;$&quot;* #,##0_);_(&quot;$&quot;* \(#,##0\);_(&quot;$&quot;* &quot;-&quot;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_-* #,##0.00\ _$_-;\-* #,##0.00\ _$_-;_-* &quot;-&quot;??\ _$_-;_-@_-"/>
    <numFmt numFmtId="170" formatCode="&quot;€&quot;\ #,##0.00;[Red]&quot;€&quot;\ \-#,##0.00"/>
    <numFmt numFmtId="171" formatCode="_ * #,##0.00_ ;_ * \-#,##0.00_ ;_ * &quot;-&quot;??_ ;_ @_ "/>
    <numFmt numFmtId="172" formatCode="&quot;€&quot;#,##0.00_);[Red]\(&quot;€&quot;#,##0.00\)"/>
    <numFmt numFmtId="173" formatCode="_ * #,##0.00\ &quot;€&quot;_ ;_ * #,##0.00\ &quot;€&quot;_ ;_ * &quot;-&quot;??\ &quot;€&quot;_ ;_ @_ "/>
    <numFmt numFmtId="174" formatCode="_ * #,##0.00\ _B_/_._ ;_ * #,##0.00\ _B_/_._ ;_ * &quot;-&quot;??\ _B_/_._ ;_ @_ "/>
    <numFmt numFmtId="175" formatCode="0.0"/>
    <numFmt numFmtId="176" formatCode="0.0000"/>
    <numFmt numFmtId="177" formatCode="0.00000"/>
    <numFmt numFmtId="178" formatCode="#,##0.00000"/>
    <numFmt numFmtId="179" formatCode="#,##0.0000"/>
    <numFmt numFmtId="180" formatCode="0.0%"/>
    <numFmt numFmtId="181" formatCode="#,##0.000"/>
    <numFmt numFmtId="182" formatCode="_([$€]* #,##0.00_);_([$€]* \(#,##0.00\);_([$€]* &quot;-&quot;??_);_(@_)"/>
    <numFmt numFmtId="183" formatCode="&quot;S/.&quot;\ #,##0_);[Red]\(&quot;S/.&quot;\ #,##0\)"/>
    <numFmt numFmtId="184" formatCode="#,##0.0"/>
    <numFmt numFmtId="185" formatCode="&quot;S/.&quot;\ #,##0_);\(&quot;S/.&quot;\ #,##0\)"/>
    <numFmt numFmtId="186" formatCode="&quot;S/.&quot;\ #,##0.00_);\(&quot;S/.&quot;\ #,##0.00\)"/>
    <numFmt numFmtId="187" formatCode="#,#00"/>
    <numFmt numFmtId="188" formatCode="#,##0.000000"/>
    <numFmt numFmtId="189" formatCode="%#,#00"/>
    <numFmt numFmtId="190" formatCode="#.##000"/>
    <numFmt numFmtId="191" formatCode="mmm\ dd\,\ yyyy"/>
    <numFmt numFmtId="192" formatCode="#,"/>
    <numFmt numFmtId="193" formatCode="_(* #,##0\ &quot;pta&quot;_);_(* \(#,##0\ &quot;pta&quot;\);_(* &quot;-&quot;??\ &quot;pta&quot;_);_(@_)"/>
    <numFmt numFmtId="194" formatCode="[$$-2C0A]\ #,##0"/>
    <numFmt numFmtId="195" formatCode="[$-C0A]mmm\-yy;@"/>
    <numFmt numFmtId="196" formatCode="_ * #,##0.00000\ _B_/_._ ;_ * #,##0.00000\ _B_/_._ ;_ * &quot;-&quot;??\ _B_/_._ ;_ @_ "/>
    <numFmt numFmtId="197" formatCode="_-* #,##0.00000\ _$_-;\-* #,##0.00000\ _$_-;_-* &quot;-&quot;??\ _$_-;_-@_-"/>
    <numFmt numFmtId="198" formatCode="_ * #,##0\ _B_/_._ ;_ * #,##0\ _B_/_._ ;_ * &quot;-&quot;??\ _B_/_._ ;_ @_ "/>
    <numFmt numFmtId="199" formatCode="_ [$€-2]\ * #,##0.00_ ;_ [$€-2]\ * \-#,##0.00_ ;_ [$€-2]\ * &quot;-&quot;??_ "/>
    <numFmt numFmtId="200" formatCode="&quot;$&quot;#.00"/>
    <numFmt numFmtId="201" formatCode="m\o\n\th\ d\,\ yyyy"/>
    <numFmt numFmtId="202" formatCode="#.00"/>
    <numFmt numFmtId="203" formatCode="#."/>
    <numFmt numFmtId="204" formatCode="%#.00"/>
    <numFmt numFmtId="205" formatCode="[$$-409]#,##0.00"/>
    <numFmt numFmtId="206" formatCode="m/d/yy\ h:mm"/>
    <numFmt numFmtId="207" formatCode="_ &quot;€&quot;\ * #,##0.00_ ;_ &quot;€&quot;\ * \-#,##0.00_ ;_ &quot;€&quot;\ * &quot;-&quot;??_ ;_ @_ "/>
    <numFmt numFmtId="208" formatCode="&quot;€&quot;\ #,##0;&quot;€&quot;\ \-#,##0"/>
    <numFmt numFmtId="209" formatCode="&quot;$&quot;#,##0"/>
    <numFmt numFmtId="210" formatCode="&quot;$&quot;#,##0.00"/>
    <numFmt numFmtId="211" formatCode="[$$-2C0A]#,##0.00"/>
    <numFmt numFmtId="212" formatCode="[$$-409]#,##0"/>
    <numFmt numFmtId="213" formatCode="&quot;€&quot;\ #,##0.00;&quot;€&quot;\ \-#,##0.00"/>
    <numFmt numFmtId="214" formatCode="_-* #,##0.00\ _P_t_a_-;\-* #,##0.00\ _P_t_a_-;_-* &quot;-&quot;??\ _P_t_a_-;_-@_-"/>
    <numFmt numFmtId="215" formatCode="#,##0.000\ _€;[Red]\-#,##0.000\ _€"/>
    <numFmt numFmtId="216" formatCode="_-* #,##0.00\ &quot;Pta&quot;_-;\-* #,##0.00\ &quot;Pta&quot;_-;_-* &quot;-&quot;??\ &quot;Pta&quot;_-;_-@_-"/>
    <numFmt numFmtId="217" formatCode="_-* #,##0.00\ &quot;$&quot;_-;_-* #,##0.00\ &quot;$&quot;\-;_-* &quot;-&quot;??\ &quot;$&quot;_-;_-@_-"/>
    <numFmt numFmtId="218" formatCode="\$#,##0\ ;\(\$#,##0\)"/>
    <numFmt numFmtId="219" formatCode="_-* #,##0.00\ _€_-;\-* #,##0.00\ _€_-;_-* &quot;-&quot;??\ _€_-;_-@_-"/>
    <numFmt numFmtId="220" formatCode="yyyy\-\ \ mmmm"/>
    <numFmt numFmtId="221" formatCode="0.000"/>
    <numFmt numFmtId="222" formatCode="0.000%"/>
    <numFmt numFmtId="223" formatCode="_(&quot;€&quot;\ * #,##0.00_);_(&quot;€&quot;\ * \(#,##0.00\);_(&quot;€&quot;\ * &quot;-&quot;??_);_(@_)"/>
    <numFmt numFmtId="224" formatCode="_-* #,##0.00\ _$_-;_-* #,##0.00\ _$\-;_-* &quot;-&quot;??\ _$_-;_-@_-"/>
    <numFmt numFmtId="225" formatCode="_-* #,##0.00\ _P_t_s_-;\-* #,##0.00\ _P_t_s_-;_-* &quot;-&quot;??\ _P_t_s_-;_-@_-"/>
    <numFmt numFmtId="226" formatCode="[$$-2C0A]\ #,##0.000"/>
    <numFmt numFmtId="227" formatCode="#,##0.00000_ ;\-#,##0.00000\ "/>
    <numFmt numFmtId="228" formatCode="#,##0.0;[Red]\-#,##0.0"/>
    <numFmt numFmtId="229" formatCode="[$$-2C0A]\ #,##0;[Red][$$-2C0A]\ \-#,##0"/>
    <numFmt numFmtId="230" formatCode="&quot;€&quot;#,##0.00000"/>
    <numFmt numFmtId="231" formatCode="mmm/dd/yyyy"/>
    <numFmt numFmtId="232" formatCode="[$$-540A]#,##0"/>
    <numFmt numFmtId="233" formatCode="[$$-540A]#,##0.00"/>
    <numFmt numFmtId="234" formatCode="[$$-540A]#,##0_ ;[Red]\-[$$-540A]#,##0\ "/>
    <numFmt numFmtId="235" formatCode="#,##0_ ;[Red]\-#,##0\ "/>
    <numFmt numFmtId="236" formatCode="0.0000000000"/>
    <numFmt numFmtId="237" formatCode="&quot;B/.&quot;#,##0.00_);[Red]\(&quot;B/.&quot;#,##0.00\)"/>
    <numFmt numFmtId="238" formatCode="&quot;B/.&quot;\ #,##0;&quot;B/.&quot;\ \-#,##0"/>
    <numFmt numFmtId="239" formatCode="&quot;B/.&quot;\ #,##0.00;[Red]&quot;B/.&quot;\ \-#,##0.00"/>
    <numFmt numFmtId="240" formatCode="_ &quot;B/.&quot;\ * #,##0.00_ ;_ &quot;B/.&quot;\ * \-#,##0.00_ ;_ &quot;B/.&quot;\ * &quot;-&quot;??_ ;_ @_ "/>
  </numFmts>
  <fonts count="350">
    <font>
      <sz val="12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12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0"/>
      <name val="Arial"/>
      <family val="2"/>
    </font>
    <font>
      <sz val="8"/>
      <name val="Times New Roman"/>
      <family val="1"/>
    </font>
    <font>
      <b/>
      <sz val="9"/>
      <name val="Arial"/>
      <family val="2"/>
    </font>
    <font>
      <i/>
      <sz val="11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BERNHARD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i/>
      <sz val="1"/>
      <color indexed="8"/>
      <name val="Courier"/>
      <family val="3"/>
    </font>
    <font>
      <sz val="8"/>
      <name val="Helv"/>
    </font>
    <font>
      <sz val="10"/>
      <name val="Arrus BT"/>
      <family val="1"/>
    </font>
    <font>
      <sz val="1"/>
      <color indexed="8"/>
      <name val="Courier"/>
      <family val="3"/>
    </font>
    <font>
      <sz val="10"/>
      <color indexed="8"/>
      <name val="MS Sans Serif"/>
      <family val="2"/>
    </font>
    <font>
      <sz val="12"/>
      <name val="Times New Roman CE"/>
      <charset val="238"/>
    </font>
    <font>
      <b/>
      <sz val="1"/>
      <color indexed="8"/>
      <name val="Courier"/>
      <family val="3"/>
    </font>
    <font>
      <sz val="12"/>
      <name val="Times New Roman"/>
      <family val="1"/>
    </font>
    <font>
      <sz val="10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Courier"/>
      <family val="3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b/>
      <sz val="13"/>
      <color indexed="56"/>
      <name val="Calibri"/>
      <family val="2"/>
    </font>
    <font>
      <sz val="10"/>
      <color indexed="24"/>
      <name val="Arial"/>
      <family val="2"/>
    </font>
    <font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u/>
      <sz val="9"/>
      <color indexed="12"/>
      <name val="Arial"/>
      <family val="2"/>
    </font>
    <font>
      <b/>
      <sz val="11"/>
      <color indexed="10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0"/>
      <color indexed="8"/>
      <name val="MS Sans Serif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u/>
      <sz val="7.5"/>
      <color indexed="12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000000"/>
      <name val="Arial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8"/>
      <color theme="3"/>
      <name val="Cambria"/>
      <family val="2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rgb="FF000099"/>
      <name val="Calibri"/>
      <family val="2"/>
      <scheme val="minor"/>
    </font>
    <font>
      <sz val="18"/>
      <color theme="3"/>
      <name val="Cambria"/>
      <family val="2"/>
      <scheme val="major"/>
    </font>
    <font>
      <sz val="10"/>
      <name val="Arial"/>
      <family val="2"/>
    </font>
    <font>
      <sz val="10"/>
      <name val="Arial"/>
      <family val="2"/>
    </font>
    <font>
      <b/>
      <sz val="10"/>
      <color rgb="FF0000FF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name val="Arial"/>
      <family val="2"/>
    </font>
    <font>
      <sz val="10"/>
      <color rgb="FFC00000"/>
      <name val="Calibri"/>
      <family val="2"/>
      <scheme val="minor"/>
    </font>
    <font>
      <sz val="10"/>
      <color theme="1"/>
      <name val="Arial"/>
      <family val="2"/>
    </font>
    <font>
      <b/>
      <sz val="12"/>
      <name val="Aptos"/>
      <family val="2"/>
    </font>
    <font>
      <sz val="12"/>
      <name val="Aptos"/>
      <family val="2"/>
    </font>
    <font>
      <sz val="8"/>
      <name val="Aptos"/>
      <family val="2"/>
    </font>
    <font>
      <b/>
      <sz val="12"/>
      <color rgb="FF000099"/>
      <name val="Aptos"/>
      <family val="2"/>
    </font>
    <font>
      <b/>
      <sz val="8"/>
      <name val="Aptos"/>
      <family val="2"/>
    </font>
    <font>
      <b/>
      <sz val="8"/>
      <color rgb="FF000099"/>
      <name val="Aptos"/>
      <family val="2"/>
    </font>
    <font>
      <b/>
      <sz val="8"/>
      <color rgb="FFC00000"/>
      <name val="Aptos"/>
      <family val="2"/>
    </font>
    <font>
      <sz val="10"/>
      <name val="Aptos"/>
      <family val="2"/>
    </font>
    <font>
      <b/>
      <sz val="10"/>
      <color indexed="12"/>
      <name val="Aptos"/>
      <family val="2"/>
    </font>
    <font>
      <b/>
      <sz val="10"/>
      <name val="Aptos"/>
      <family val="2"/>
    </font>
    <font>
      <b/>
      <sz val="9"/>
      <name val="Aptos"/>
      <family val="2"/>
    </font>
    <font>
      <sz val="9"/>
      <name val="Aptos"/>
      <family val="2"/>
    </font>
    <font>
      <b/>
      <u/>
      <sz val="10"/>
      <name val="Aptos"/>
      <family val="2"/>
    </font>
    <font>
      <u/>
      <sz val="10"/>
      <name val="Aptos"/>
      <family val="2"/>
    </font>
    <font>
      <sz val="10"/>
      <color indexed="12"/>
      <name val="Aptos"/>
      <family val="2"/>
    </font>
    <font>
      <b/>
      <sz val="10"/>
      <color indexed="60"/>
      <name val="Aptos"/>
      <family val="2"/>
    </font>
    <font>
      <b/>
      <sz val="9"/>
      <color indexed="36"/>
      <name val="Aptos"/>
      <family val="2"/>
    </font>
    <font>
      <b/>
      <sz val="14"/>
      <name val="Aptos"/>
      <family val="2"/>
    </font>
    <font>
      <sz val="11"/>
      <name val="Aptos"/>
      <family val="2"/>
    </font>
    <font>
      <b/>
      <sz val="8"/>
      <color indexed="12"/>
      <name val="Aptos"/>
      <family val="2"/>
    </font>
    <font>
      <b/>
      <sz val="10"/>
      <color rgb="FFFFFF00"/>
      <name val="Aptos"/>
      <family val="2"/>
    </font>
    <font>
      <b/>
      <sz val="11"/>
      <name val="Aptos"/>
      <family val="2"/>
    </font>
    <font>
      <sz val="11"/>
      <color theme="1"/>
      <name val="DIN-Regular"/>
      <family val="2"/>
    </font>
    <font>
      <sz val="6"/>
      <name val="Aptos"/>
      <family val="2"/>
    </font>
    <font>
      <b/>
      <sz val="6"/>
      <color rgb="FFC00000"/>
      <name val="Aptos"/>
      <family val="2"/>
    </font>
    <font>
      <sz val="11"/>
      <color rgb="FF000099"/>
      <name val="Aptos"/>
      <family val="2"/>
    </font>
    <font>
      <b/>
      <sz val="10"/>
      <color rgb="FF000099"/>
      <name val="Aptos"/>
      <family val="2"/>
    </font>
    <font>
      <b/>
      <vertAlign val="superscript"/>
      <sz val="11"/>
      <name val="Aptos"/>
      <family val="2"/>
    </font>
    <font>
      <b/>
      <sz val="7"/>
      <name val="Aptos"/>
      <family val="2"/>
    </font>
    <font>
      <sz val="7"/>
      <name val="Aptos"/>
      <family val="2"/>
    </font>
    <font>
      <sz val="7"/>
      <color rgb="FF0000FF"/>
      <name val="Aptos"/>
      <family val="2"/>
    </font>
    <font>
      <b/>
      <sz val="7"/>
      <color rgb="FF0000FF"/>
      <name val="Aptos"/>
      <family val="2"/>
    </font>
    <font>
      <b/>
      <sz val="7"/>
      <color rgb="FF0000CC"/>
      <name val="Aptos"/>
      <family val="2"/>
    </font>
    <font>
      <sz val="7"/>
      <color rgb="FF000099"/>
      <name val="Aptos"/>
      <family val="2"/>
    </font>
    <font>
      <b/>
      <sz val="7"/>
      <color rgb="FF000099"/>
      <name val="Aptos"/>
      <family val="2"/>
    </font>
    <font>
      <b/>
      <sz val="8"/>
      <color rgb="FF0000FF"/>
      <name val="Aptos"/>
      <family val="2"/>
    </font>
    <font>
      <sz val="7"/>
      <color rgb="FF0000CC"/>
      <name val="Aptos"/>
      <family val="2"/>
    </font>
    <font>
      <b/>
      <sz val="7"/>
      <color theme="0"/>
      <name val="Aptos"/>
      <family val="2"/>
    </font>
    <font>
      <sz val="7"/>
      <color theme="0"/>
      <name val="Aptos"/>
      <family val="2"/>
    </font>
    <font>
      <sz val="8"/>
      <color rgb="FF0000FF"/>
      <name val="Aptos"/>
      <family val="2"/>
    </font>
    <font>
      <sz val="8"/>
      <color rgb="FF000099"/>
      <name val="Aptos"/>
      <family val="2"/>
    </font>
    <font>
      <sz val="7"/>
      <color theme="1"/>
      <name val="Aptos"/>
      <family val="2"/>
    </font>
    <font>
      <sz val="7"/>
      <color theme="5" tint="-0.499984740745262"/>
      <name val="Aptos"/>
      <family val="2"/>
    </font>
    <font>
      <sz val="7"/>
      <color indexed="8"/>
      <name val="Aptos"/>
      <family val="2"/>
    </font>
    <font>
      <b/>
      <sz val="6"/>
      <name val="Aptos"/>
      <family val="2"/>
    </font>
    <font>
      <b/>
      <sz val="7"/>
      <color theme="1" tint="0.14999847407452621"/>
      <name val="Aptos"/>
      <family val="2"/>
    </font>
    <font>
      <sz val="7"/>
      <color theme="1" tint="0.14999847407452621"/>
      <name val="Aptos"/>
      <family val="2"/>
    </font>
    <font>
      <b/>
      <sz val="9"/>
      <color rgb="FF0000FF"/>
      <name val="Aptos"/>
      <family val="2"/>
    </font>
    <font>
      <b/>
      <sz val="11"/>
      <color theme="1"/>
      <name val="Aptos"/>
      <family val="2"/>
    </font>
    <font>
      <b/>
      <sz val="10"/>
      <color theme="1"/>
      <name val="Aptos"/>
      <family val="2"/>
    </font>
    <font>
      <b/>
      <sz val="16"/>
      <name val="Aptos"/>
      <family val="2"/>
    </font>
    <font>
      <sz val="11"/>
      <color theme="1"/>
      <name val="Aptos"/>
      <family val="2"/>
    </font>
    <font>
      <sz val="10"/>
      <color theme="1"/>
      <name val="Aptos"/>
      <family val="2"/>
    </font>
    <font>
      <u/>
      <sz val="12"/>
      <name val="Aptos"/>
      <family val="2"/>
    </font>
    <font>
      <b/>
      <sz val="12"/>
      <color indexed="8"/>
      <name val="Aptos"/>
      <family val="2"/>
    </font>
    <font>
      <b/>
      <i/>
      <sz val="10"/>
      <name val="Aptos"/>
      <family val="2"/>
    </font>
    <font>
      <b/>
      <i/>
      <vertAlign val="subscript"/>
      <sz val="10"/>
      <name val="Aptos"/>
      <family val="2"/>
    </font>
    <font>
      <b/>
      <i/>
      <sz val="9"/>
      <name val="Aptos"/>
      <family val="2"/>
    </font>
    <font>
      <b/>
      <vertAlign val="subscript"/>
      <sz val="10"/>
      <name val="Aptos"/>
      <family val="2"/>
    </font>
    <font>
      <b/>
      <i/>
      <vertAlign val="superscript"/>
      <sz val="10"/>
      <name val="Aptos"/>
      <family val="2"/>
    </font>
    <font>
      <b/>
      <vertAlign val="superscript"/>
      <sz val="10"/>
      <name val="Aptos"/>
      <family val="2"/>
    </font>
    <font>
      <b/>
      <sz val="9"/>
      <color indexed="60"/>
      <name val="Aptos"/>
      <family val="2"/>
    </font>
    <font>
      <u/>
      <sz val="11"/>
      <name val="Aptos"/>
      <family val="2"/>
    </font>
    <font>
      <sz val="8"/>
      <color indexed="12"/>
      <name val="Aptos"/>
      <family val="2"/>
    </font>
    <font>
      <b/>
      <i/>
      <sz val="11"/>
      <name val="Aptos"/>
      <family val="2"/>
    </font>
    <font>
      <b/>
      <i/>
      <vertAlign val="subscript"/>
      <sz val="11"/>
      <name val="Aptos"/>
      <family val="2"/>
    </font>
    <font>
      <b/>
      <vertAlign val="subscript"/>
      <sz val="11"/>
      <name val="Aptos"/>
      <family val="2"/>
    </font>
    <font>
      <b/>
      <sz val="11"/>
      <color rgb="FF000099"/>
      <name val="Aptos"/>
      <family val="2"/>
    </font>
    <font>
      <b/>
      <i/>
      <vertAlign val="subscript"/>
      <sz val="9"/>
      <name val="Aptos"/>
      <family val="2"/>
    </font>
    <font>
      <b/>
      <u/>
      <sz val="12"/>
      <name val="Aptos"/>
      <family val="2"/>
    </font>
    <font>
      <sz val="12"/>
      <color indexed="8"/>
      <name val="Aptos"/>
      <family val="2"/>
    </font>
    <font>
      <u/>
      <sz val="12"/>
      <color indexed="8"/>
      <name val="Aptos"/>
      <family val="2"/>
    </font>
    <font>
      <b/>
      <sz val="11"/>
      <color indexed="60"/>
      <name val="Aptos"/>
      <family val="2"/>
    </font>
    <font>
      <b/>
      <i/>
      <vertAlign val="superscript"/>
      <sz val="11"/>
      <name val="Aptos"/>
      <family val="2"/>
    </font>
    <font>
      <b/>
      <i/>
      <vertAlign val="subscript"/>
      <sz val="12"/>
      <name val="Aptos"/>
      <family val="2"/>
    </font>
    <font>
      <b/>
      <sz val="12"/>
      <color indexed="12"/>
      <name val="Aptos"/>
      <family val="2"/>
    </font>
    <font>
      <b/>
      <sz val="12"/>
      <color indexed="60"/>
      <name val="Aptos"/>
      <family val="2"/>
    </font>
    <font>
      <b/>
      <sz val="11"/>
      <color indexed="12"/>
      <name val="Aptos"/>
      <family val="2"/>
    </font>
    <font>
      <sz val="10"/>
      <color indexed="60"/>
      <name val="Aptos"/>
      <family val="2"/>
    </font>
    <font>
      <b/>
      <sz val="10"/>
      <color indexed="16"/>
      <name val="Aptos"/>
      <family val="2"/>
    </font>
    <font>
      <b/>
      <sz val="10"/>
      <color indexed="10"/>
      <name val="Aptos"/>
      <family val="2"/>
    </font>
    <font>
      <sz val="10"/>
      <color indexed="10"/>
      <name val="Aptos"/>
      <family val="2"/>
    </font>
    <font>
      <b/>
      <sz val="10"/>
      <color rgb="FF0000FF"/>
      <name val="Aptos"/>
      <family val="2"/>
    </font>
    <font>
      <b/>
      <sz val="10.5"/>
      <name val="Aptos"/>
      <family val="2"/>
    </font>
    <font>
      <b/>
      <sz val="11"/>
      <color indexed="8"/>
      <name val="Aptos"/>
      <family val="2"/>
    </font>
    <font>
      <b/>
      <sz val="8"/>
      <color indexed="8"/>
      <name val="Aptos"/>
      <family val="2"/>
    </font>
    <font>
      <b/>
      <i/>
      <sz val="8"/>
      <name val="Aptos"/>
      <family val="2"/>
    </font>
    <font>
      <b/>
      <i/>
      <vertAlign val="superscript"/>
      <sz val="8"/>
      <name val="Aptos"/>
      <family val="2"/>
    </font>
    <font>
      <sz val="10"/>
      <color rgb="FF000099"/>
      <name val="Aptos"/>
      <family val="2"/>
    </font>
    <font>
      <b/>
      <vertAlign val="subscript"/>
      <sz val="12"/>
      <name val="Aptos"/>
      <family val="2"/>
    </font>
    <font>
      <b/>
      <i/>
      <sz val="12"/>
      <name val="Aptos"/>
      <family val="2"/>
    </font>
    <font>
      <b/>
      <i/>
      <vertAlign val="superscript"/>
      <sz val="12"/>
      <name val="Aptos"/>
      <family val="2"/>
    </font>
    <font>
      <b/>
      <vertAlign val="superscript"/>
      <sz val="12"/>
      <name val="Aptos"/>
      <family val="2"/>
    </font>
    <font>
      <b/>
      <sz val="9"/>
      <color indexed="8"/>
      <name val="Aptos"/>
      <family val="2"/>
    </font>
    <font>
      <b/>
      <sz val="8"/>
      <color theme="5" tint="-0.499984740745262"/>
      <name val="Aptos"/>
      <family val="2"/>
    </font>
    <font>
      <b/>
      <sz val="11"/>
      <color theme="5" tint="-0.499984740745262"/>
      <name val="Aptos"/>
      <family val="2"/>
    </font>
    <font>
      <b/>
      <sz val="12"/>
      <color theme="5" tint="-0.499984740745262"/>
      <name val="Aptos"/>
      <family val="2"/>
    </font>
    <font>
      <b/>
      <sz val="10"/>
      <color rgb="FFC00000"/>
      <name val="Aptos"/>
      <family val="2"/>
    </font>
    <font>
      <b/>
      <sz val="8"/>
      <color indexed="60"/>
      <name val="Aptos"/>
      <family val="2"/>
    </font>
    <font>
      <sz val="10"/>
      <color rgb="FF0000FF"/>
      <name val="Aptos"/>
      <family val="2"/>
    </font>
    <font>
      <sz val="5"/>
      <name val="Aptos"/>
      <family val="2"/>
    </font>
    <font>
      <b/>
      <sz val="5"/>
      <name val="Aptos"/>
      <family val="2"/>
    </font>
    <font>
      <b/>
      <sz val="9"/>
      <color rgb="FFC00000"/>
      <name val="Aptos"/>
      <family val="2"/>
    </font>
    <font>
      <sz val="9"/>
      <color rgb="FF0000FF"/>
      <name val="Aptos"/>
      <family val="2"/>
    </font>
    <font>
      <sz val="9"/>
      <color rgb="FF000099"/>
      <name val="Aptos"/>
      <family val="2"/>
    </font>
    <font>
      <b/>
      <sz val="9"/>
      <color rgb="FF000099"/>
      <name val="Aptos"/>
      <family val="2"/>
    </font>
    <font>
      <sz val="14"/>
      <name val="Aptos"/>
      <family val="2"/>
    </font>
    <font>
      <b/>
      <sz val="10"/>
      <color indexed="8"/>
      <name val="Aptos"/>
      <family val="2"/>
    </font>
    <font>
      <sz val="10"/>
      <color indexed="8"/>
      <name val="Aptos"/>
      <family val="2"/>
    </font>
    <font>
      <u/>
      <sz val="5"/>
      <name val="Aptos"/>
      <family val="2"/>
    </font>
    <font>
      <b/>
      <sz val="10"/>
      <color theme="5" tint="-0.499984740745262"/>
      <name val="Aptos"/>
      <family val="2"/>
    </font>
    <font>
      <b/>
      <sz val="10"/>
      <color indexed="18"/>
      <name val="Aptos"/>
      <family val="2"/>
    </font>
    <font>
      <sz val="10"/>
      <color indexed="18"/>
      <name val="Aptos"/>
      <family val="2"/>
    </font>
    <font>
      <sz val="12"/>
      <color rgb="FF000099"/>
      <name val="Aptos"/>
      <family val="2"/>
    </font>
    <font>
      <sz val="4"/>
      <name val="Aptos"/>
      <family val="2"/>
    </font>
    <font>
      <b/>
      <sz val="4"/>
      <name val="Aptos"/>
      <family val="2"/>
    </font>
    <font>
      <b/>
      <sz val="9"/>
      <color indexed="12"/>
      <name val="Aptos"/>
      <family val="2"/>
    </font>
    <font>
      <b/>
      <sz val="4"/>
      <color indexed="12"/>
      <name val="Aptos"/>
      <family val="2"/>
    </font>
    <font>
      <b/>
      <sz val="9"/>
      <color theme="1"/>
      <name val="Aptos"/>
      <family val="2"/>
    </font>
    <font>
      <b/>
      <sz val="12"/>
      <color rgb="FF0000FF"/>
      <name val="Aptos"/>
      <family val="2"/>
    </font>
    <font>
      <b/>
      <i/>
      <u/>
      <sz val="11"/>
      <name val="Aptos"/>
      <family val="2"/>
    </font>
    <font>
      <b/>
      <sz val="14"/>
      <color rgb="FF0000FF"/>
      <name val="Aptos"/>
      <family val="2"/>
    </font>
    <font>
      <vertAlign val="subscript"/>
      <sz val="12"/>
      <name val="Aptos"/>
      <family val="2"/>
    </font>
    <font>
      <vertAlign val="subscript"/>
      <sz val="10"/>
      <name val="Aptos"/>
      <family val="2"/>
    </font>
    <font>
      <i/>
      <sz val="11"/>
      <name val="Aptos"/>
      <family val="2"/>
    </font>
    <font>
      <i/>
      <sz val="12"/>
      <name val="Aptos"/>
      <family val="2"/>
    </font>
    <font>
      <sz val="10"/>
      <color rgb="FFC00000"/>
      <name val="Aptos"/>
      <family val="2"/>
    </font>
    <font>
      <b/>
      <sz val="6"/>
      <color rgb="FF000099"/>
      <name val="Aptos"/>
      <family val="2"/>
    </font>
    <font>
      <b/>
      <sz val="8"/>
      <color rgb="FFFF0000"/>
      <name val="Aptos"/>
      <family val="2"/>
    </font>
    <font>
      <b/>
      <sz val="1"/>
      <name val="Aptos"/>
      <family val="2"/>
    </font>
    <font>
      <sz val="1"/>
      <name val="Aptos"/>
      <family val="2"/>
    </font>
    <font>
      <b/>
      <u/>
      <sz val="1"/>
      <name val="Aptos"/>
      <family val="2"/>
    </font>
    <font>
      <sz val="1"/>
      <color indexed="12"/>
      <name val="Aptos"/>
      <family val="2"/>
    </font>
    <font>
      <b/>
      <sz val="9"/>
      <color theme="0"/>
      <name val="Aptos"/>
      <family val="2"/>
    </font>
    <font>
      <sz val="9"/>
      <color rgb="FFC00000"/>
      <name val="Aptos"/>
      <family val="2"/>
    </font>
    <font>
      <sz val="16"/>
      <name val="Aptos"/>
      <family val="2"/>
    </font>
    <font>
      <i/>
      <vertAlign val="subscript"/>
      <sz val="11"/>
      <name val="Aptos"/>
      <family val="2"/>
    </font>
    <font>
      <i/>
      <sz val="10"/>
      <name val="Aptos"/>
      <family val="2"/>
    </font>
    <font>
      <sz val="9"/>
      <color theme="1"/>
      <name val="Aptos"/>
      <family val="2"/>
    </font>
    <font>
      <sz val="9"/>
      <color theme="0"/>
      <name val="Aptos"/>
      <family val="2"/>
    </font>
    <font>
      <sz val="2"/>
      <name val="Aptos"/>
      <family val="2"/>
    </font>
    <font>
      <b/>
      <sz val="2"/>
      <name val="Aptos"/>
      <family val="2"/>
    </font>
    <font>
      <b/>
      <sz val="2"/>
      <color indexed="8"/>
      <name val="Aptos"/>
      <family val="2"/>
    </font>
    <font>
      <b/>
      <sz val="2"/>
      <color indexed="12"/>
      <name val="Aptos"/>
      <family val="2"/>
    </font>
    <font>
      <sz val="10"/>
      <color rgb="FF333333"/>
      <name val="Aptos"/>
      <family val="2"/>
    </font>
    <font>
      <sz val="12"/>
      <color theme="1"/>
      <name val="Aptos"/>
      <family val="2"/>
    </font>
    <font>
      <u/>
      <sz val="9"/>
      <name val="Aptos"/>
      <family val="2"/>
    </font>
    <font>
      <i/>
      <sz val="9"/>
      <name val="Aptos"/>
      <family val="2"/>
    </font>
    <font>
      <i/>
      <vertAlign val="subscript"/>
      <sz val="9"/>
      <name val="Aptos"/>
      <family val="2"/>
    </font>
    <font>
      <b/>
      <sz val="9"/>
      <color indexed="16"/>
      <name val="Aptos"/>
      <family val="2"/>
    </font>
    <font>
      <sz val="9"/>
      <color indexed="16"/>
      <name val="Aptos"/>
      <family val="2"/>
    </font>
    <font>
      <b/>
      <u/>
      <sz val="9"/>
      <name val="Aptos"/>
      <family val="2"/>
    </font>
    <font>
      <sz val="3"/>
      <name val="Aptos"/>
      <family val="2"/>
    </font>
    <font>
      <b/>
      <sz val="3"/>
      <name val="Aptos"/>
      <family val="2"/>
    </font>
    <font>
      <sz val="3"/>
      <color rgb="FF000099"/>
      <name val="Aptos"/>
      <family val="2"/>
    </font>
    <font>
      <sz val="2"/>
      <color rgb="FF000099"/>
      <name val="Aptos"/>
      <family val="2"/>
    </font>
    <font>
      <b/>
      <sz val="11"/>
      <color theme="0"/>
      <name val="Aptos"/>
      <family val="2"/>
    </font>
    <font>
      <b/>
      <sz val="9"/>
      <color theme="5" tint="-0.499984740745262"/>
      <name val="Aptos"/>
      <family val="2"/>
    </font>
    <font>
      <b/>
      <sz val="16"/>
      <color rgb="FF000099"/>
      <name val="Aptos"/>
      <family val="2"/>
    </font>
    <font>
      <sz val="9"/>
      <color indexed="8"/>
      <name val="Aptos"/>
      <family val="2"/>
    </font>
    <font>
      <sz val="9"/>
      <color rgb="FF0000CC"/>
      <name val="Aptos"/>
      <family val="2"/>
    </font>
    <font>
      <b/>
      <sz val="9"/>
      <color rgb="FF7030A0"/>
      <name val="Aptos"/>
      <family val="2"/>
    </font>
    <font>
      <b/>
      <sz val="9"/>
      <color rgb="FF0000CC"/>
      <name val="Aptos"/>
      <family val="2"/>
    </font>
    <font>
      <b/>
      <sz val="9"/>
      <color theme="5" tint="-0.249977111117893"/>
      <name val="Aptos"/>
      <family val="2"/>
    </font>
    <font>
      <b/>
      <sz val="9"/>
      <color rgb="FFA50021"/>
      <name val="Aptos"/>
      <family val="2"/>
    </font>
    <font>
      <b/>
      <sz val="9"/>
      <color theme="0" tint="-4.9989318521683403E-2"/>
      <name val="Aptos"/>
      <family val="2"/>
    </font>
    <font>
      <sz val="9"/>
      <color indexed="10"/>
      <name val="Aptos"/>
      <family val="2"/>
    </font>
    <font>
      <b/>
      <sz val="9"/>
      <color theme="1" tint="0.14999847407452621"/>
      <name val="Aptos"/>
      <family val="2"/>
    </font>
    <font>
      <b/>
      <sz val="6"/>
      <color theme="0"/>
      <name val="Aptos"/>
      <family val="2"/>
    </font>
    <font>
      <b/>
      <sz val="16"/>
      <color rgb="FF0000FF"/>
      <name val="Aptos"/>
      <family val="2"/>
    </font>
    <font>
      <sz val="9"/>
      <color theme="7" tint="-0.499984740745262"/>
      <name val="Aptos"/>
      <family val="2"/>
    </font>
    <font>
      <sz val="12"/>
      <color theme="7" tint="-0.499984740745262"/>
      <name val="Aptos"/>
      <family val="2"/>
    </font>
    <font>
      <sz val="8"/>
      <color theme="7" tint="-0.499984740745262"/>
      <name val="Aptos"/>
      <family val="2"/>
    </font>
    <font>
      <sz val="10"/>
      <color theme="7" tint="-0.499984740745262"/>
      <name val="Aptos"/>
      <family val="2"/>
    </font>
    <font>
      <sz val="6"/>
      <color rgb="FF000099"/>
      <name val="Aptos"/>
      <family val="2"/>
    </font>
    <font>
      <sz val="4"/>
      <color indexed="12"/>
      <name val="Aptos"/>
      <family val="2"/>
    </font>
    <font>
      <b/>
      <sz val="7"/>
      <name val="Arial"/>
      <family val="2"/>
    </font>
    <font>
      <u/>
      <sz val="7"/>
      <name val="Arial"/>
      <family val="2"/>
    </font>
    <font>
      <sz val="7"/>
      <color rgb="FF000000"/>
      <name val="Arial"/>
      <family val="2"/>
    </font>
    <font>
      <sz val="7"/>
      <name val="Arial"/>
      <family val="2"/>
    </font>
    <font>
      <b/>
      <sz val="7"/>
      <color rgb="FF000099"/>
      <name val="Arial"/>
      <family val="2"/>
    </font>
    <font>
      <b/>
      <sz val="7"/>
      <color rgb="FFC00000"/>
      <name val="Arial"/>
      <family val="2"/>
    </font>
    <font>
      <b/>
      <sz val="12"/>
      <color rgb="FF000000"/>
      <name val="Aptos"/>
      <family val="2"/>
    </font>
    <font>
      <sz val="12"/>
      <color rgb="FF000000"/>
      <name val="Aptos"/>
      <family val="2"/>
    </font>
    <font>
      <b/>
      <sz val="12"/>
      <color theme="1"/>
      <name val="Aptos"/>
      <family val="2"/>
    </font>
    <font>
      <b/>
      <sz val="10"/>
      <name val="Calibri"/>
      <family val="2"/>
      <scheme val="minor"/>
    </font>
    <font>
      <sz val="12"/>
      <color rgb="FF0000FF"/>
      <name val="Aptos"/>
      <family val="2"/>
    </font>
    <font>
      <b/>
      <sz val="9"/>
      <color rgb="FF000000"/>
      <name val="Aptos"/>
      <family val="2"/>
    </font>
    <font>
      <sz val="9"/>
      <color rgb="FF000000"/>
      <name val="Aptos"/>
      <family val="2"/>
    </font>
    <font>
      <b/>
      <sz val="10"/>
      <color theme="0"/>
      <name val="Aptos"/>
      <family val="2"/>
    </font>
    <font>
      <b/>
      <sz val="16"/>
      <color theme="0"/>
      <name val="Aptos"/>
      <family val="2"/>
    </font>
    <font>
      <b/>
      <sz val="12"/>
      <color theme="0"/>
      <name val="Aptos"/>
      <family val="2"/>
    </font>
    <font>
      <sz val="9"/>
      <color indexed="12"/>
      <name val="Aptos"/>
      <family val="2"/>
    </font>
    <font>
      <b/>
      <sz val="6"/>
      <color rgb="FF0000FF"/>
      <name val="Aptos"/>
      <family val="2"/>
    </font>
    <font>
      <sz val="9"/>
      <color rgb="FF7030A0"/>
      <name val="Aptos"/>
      <family val="2"/>
    </font>
    <font>
      <sz val="9"/>
      <color theme="1" tint="0.14999847407452621"/>
      <name val="Aptos"/>
      <family val="2"/>
    </font>
    <font>
      <sz val="11"/>
      <color theme="0"/>
      <name val="Aptos"/>
      <family val="2"/>
    </font>
    <font>
      <sz val="6"/>
      <color theme="1" tint="0.14999847407452621"/>
      <name val="Aptos"/>
      <family val="2"/>
    </font>
    <font>
      <b/>
      <sz val="6"/>
      <color rgb="FF0000CC"/>
      <name val="Aptos"/>
      <family val="2"/>
    </font>
    <font>
      <b/>
      <sz val="6"/>
      <color theme="1" tint="0.14999847407452621"/>
      <name val="Aptos"/>
      <family val="2"/>
    </font>
    <font>
      <sz val="6"/>
      <color rgb="FF0000FF"/>
      <name val="Aptos"/>
      <family val="2"/>
    </font>
    <font>
      <b/>
      <sz val="6"/>
      <color theme="0" tint="-4.9989318521683403E-2"/>
      <name val="Aptos"/>
      <family val="2"/>
    </font>
    <font>
      <b/>
      <sz val="6"/>
      <color indexed="23"/>
      <name val="Aptos"/>
      <family val="2"/>
    </font>
    <font>
      <sz val="6"/>
      <color rgb="FFC00000"/>
      <name val="Aptos"/>
      <family val="2"/>
    </font>
    <font>
      <b/>
      <sz val="7"/>
      <color theme="1"/>
      <name val="Aptos"/>
      <family val="2"/>
    </font>
    <font>
      <b/>
      <sz val="7"/>
      <color rgb="FFC00000"/>
      <name val="Aptos"/>
      <family val="2"/>
    </font>
    <font>
      <b/>
      <sz val="7"/>
      <color theme="0" tint="-4.9989318521683403E-2"/>
      <name val="Aptos"/>
      <family val="2"/>
    </font>
    <font>
      <sz val="7"/>
      <color rgb="FFC00000"/>
      <name val="Aptos"/>
      <family val="2"/>
    </font>
    <font>
      <u/>
      <sz val="10"/>
      <color rgb="FF000099"/>
      <name val="Aptos"/>
      <family val="2"/>
    </font>
    <font>
      <b/>
      <u/>
      <sz val="10"/>
      <color rgb="FF000099"/>
      <name val="Aptos"/>
      <family val="2"/>
    </font>
    <font>
      <b/>
      <sz val="11"/>
      <color rgb="FFC00000"/>
      <name val="Aptos"/>
      <family val="2"/>
    </font>
    <font>
      <sz val="10"/>
      <color rgb="FF000000"/>
      <name val="Aptos"/>
      <family val="2"/>
    </font>
    <font>
      <b/>
      <sz val="14"/>
      <color theme="1"/>
      <name val="Aptos"/>
      <family val="2"/>
    </font>
    <font>
      <b/>
      <u/>
      <sz val="10"/>
      <color theme="1"/>
      <name val="Aptos"/>
      <family val="2"/>
    </font>
    <font>
      <sz val="14"/>
      <color rgb="FF000099"/>
      <name val="Aptos"/>
      <family val="2"/>
    </font>
    <font>
      <sz val="6"/>
      <color theme="1"/>
      <name val="Aptos"/>
      <family val="2"/>
    </font>
    <font>
      <b/>
      <sz val="10"/>
      <color rgb="FF000000"/>
      <name val="Aptos"/>
      <family val="2"/>
    </font>
    <font>
      <b/>
      <sz val="2"/>
      <color rgb="FF000099"/>
      <name val="Aptos"/>
      <family val="2"/>
    </font>
    <font>
      <b/>
      <sz val="3"/>
      <color rgb="FF000099"/>
      <name val="Aptos"/>
      <family val="2"/>
    </font>
    <font>
      <sz val="10"/>
      <color rgb="FF000099"/>
      <name val="Calibri"/>
      <family val="2"/>
      <scheme val="minor"/>
    </font>
    <font>
      <b/>
      <sz val="6"/>
      <color theme="1"/>
      <name val="Aptos"/>
      <family val="2"/>
    </font>
    <font>
      <sz val="6"/>
      <color rgb="FF0000CC"/>
      <name val="Aptos"/>
      <family val="2"/>
    </font>
    <font>
      <sz val="9"/>
      <color theme="5" tint="-0.499984740745262"/>
      <name val="Aptos"/>
      <family val="2"/>
    </font>
    <font>
      <b/>
      <sz val="6"/>
      <color rgb="FF7030A0"/>
      <name val="Aptos"/>
      <family val="2"/>
    </font>
    <font>
      <sz val="8"/>
      <color indexed="8"/>
      <name val="Aptos"/>
      <family val="2"/>
    </font>
    <font>
      <sz val="5"/>
      <color rgb="FF0000FF"/>
      <name val="Aptos"/>
      <family val="2"/>
    </font>
    <font>
      <sz val="6"/>
      <color indexed="8"/>
      <name val="Aptos"/>
      <family val="2"/>
    </font>
    <font>
      <sz val="7"/>
      <color rgb="FF000000"/>
      <name val="Aptos"/>
      <family val="2"/>
    </font>
  </fonts>
  <fills count="10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9"/>
      </patternFill>
    </fill>
    <fill>
      <patternFill patternType="solid">
        <fgColor indexed="42"/>
        <bgColor indexed="64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1" tint="0.249977111117893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3894">
    <xf numFmtId="0" fontId="0" fillId="0" borderId="0"/>
    <xf numFmtId="0" fontId="52" fillId="2" borderId="0" applyNumberFormat="0" applyBorder="0" applyAlignment="0" applyProtection="0"/>
    <xf numFmtId="0" fontId="52" fillId="3" borderId="0" applyNumberFormat="0" applyBorder="0" applyAlignment="0" applyProtection="0"/>
    <xf numFmtId="0" fontId="52" fillId="4" borderId="0" applyNumberFormat="0" applyBorder="0" applyAlignment="0" applyProtection="0"/>
    <xf numFmtId="0" fontId="90" fillId="37" borderId="0" applyNumberFormat="0" applyBorder="0" applyAlignment="0" applyProtection="0"/>
    <xf numFmtId="0" fontId="90" fillId="37" borderId="0" applyNumberFormat="0" applyBorder="0" applyAlignment="0" applyProtection="0"/>
    <xf numFmtId="0" fontId="52" fillId="4" borderId="0" applyNumberFormat="0" applyBorder="0" applyAlignment="0" applyProtection="0"/>
    <xf numFmtId="0" fontId="90" fillId="37" borderId="0" applyNumberFormat="0" applyBorder="0" applyAlignment="0" applyProtection="0"/>
    <xf numFmtId="0" fontId="52" fillId="4" borderId="0" applyNumberFormat="0" applyBorder="0" applyAlignment="0" applyProtection="0"/>
    <xf numFmtId="0" fontId="52" fillId="2" borderId="0" applyNumberFormat="0" applyBorder="0" applyAlignment="0" applyProtection="0"/>
    <xf numFmtId="0" fontId="90" fillId="37" borderId="0" applyNumberFormat="0" applyBorder="0" applyAlignment="0" applyProtection="0"/>
    <xf numFmtId="0" fontId="52" fillId="5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52" fillId="5" borderId="0" applyNumberFormat="0" applyBorder="0" applyAlignment="0" applyProtection="0"/>
    <xf numFmtId="0" fontId="90" fillId="38" borderId="0" applyNumberFormat="0" applyBorder="0" applyAlignment="0" applyProtection="0"/>
    <xf numFmtId="0" fontId="52" fillId="5" borderId="0" applyNumberFormat="0" applyBorder="0" applyAlignment="0" applyProtection="0"/>
    <xf numFmtId="0" fontId="52" fillId="3" borderId="0" applyNumberFormat="0" applyBorder="0" applyAlignment="0" applyProtection="0"/>
    <xf numFmtId="0" fontId="90" fillId="38" borderId="0" applyNumberFormat="0" applyBorder="0" applyAlignment="0" applyProtection="0"/>
    <xf numFmtId="0" fontId="52" fillId="7" borderId="0" applyNumberFormat="0" applyBorder="0" applyAlignment="0" applyProtection="0"/>
    <xf numFmtId="0" fontId="90" fillId="39" borderId="0" applyNumberFormat="0" applyBorder="0" applyAlignment="0" applyProtection="0"/>
    <xf numFmtId="0" fontId="90" fillId="39" borderId="0" applyNumberFormat="0" applyBorder="0" applyAlignment="0" applyProtection="0"/>
    <xf numFmtId="0" fontId="52" fillId="7" borderId="0" applyNumberFormat="0" applyBorder="0" applyAlignment="0" applyProtection="0"/>
    <xf numFmtId="0" fontId="90" fillId="39" borderId="0" applyNumberFormat="0" applyBorder="0" applyAlignment="0" applyProtection="0"/>
    <xf numFmtId="0" fontId="52" fillId="7" borderId="0" applyNumberFormat="0" applyBorder="0" applyAlignment="0" applyProtection="0"/>
    <xf numFmtId="0" fontId="52" fillId="6" borderId="0" applyNumberFormat="0" applyBorder="0" applyAlignment="0" applyProtection="0"/>
    <xf numFmtId="0" fontId="90" fillId="39" borderId="0" applyNumberFormat="0" applyBorder="0" applyAlignment="0" applyProtection="0"/>
    <xf numFmtId="0" fontId="52" fillId="9" borderId="0" applyNumberFormat="0" applyBorder="0" applyAlignment="0" applyProtection="0"/>
    <xf numFmtId="0" fontId="90" fillId="40" borderId="0" applyNumberFormat="0" applyBorder="0" applyAlignment="0" applyProtection="0"/>
    <xf numFmtId="0" fontId="90" fillId="40" borderId="0" applyNumberFormat="0" applyBorder="0" applyAlignment="0" applyProtection="0"/>
    <xf numFmtId="0" fontId="52" fillId="9" borderId="0" applyNumberFormat="0" applyBorder="0" applyAlignment="0" applyProtection="0"/>
    <xf numFmtId="0" fontId="90" fillId="40" borderId="0" applyNumberFormat="0" applyBorder="0" applyAlignment="0" applyProtection="0"/>
    <xf numFmtId="0" fontId="52" fillId="9" borderId="0" applyNumberFormat="0" applyBorder="0" applyAlignment="0" applyProtection="0"/>
    <xf numFmtId="0" fontId="52" fillId="8" borderId="0" applyNumberFormat="0" applyBorder="0" applyAlignment="0" applyProtection="0"/>
    <xf numFmtId="0" fontId="90" fillId="40" borderId="0" applyNumberFormat="0" applyBorder="0" applyAlignment="0" applyProtection="0"/>
    <xf numFmtId="0" fontId="52" fillId="10" borderId="0" applyNumberFormat="0" applyBorder="0" applyAlignment="0" applyProtection="0"/>
    <xf numFmtId="0" fontId="90" fillId="41" borderId="0" applyNumberFormat="0" applyBorder="0" applyAlignment="0" applyProtection="0"/>
    <xf numFmtId="0" fontId="90" fillId="41" borderId="0" applyNumberFormat="0" applyBorder="0" applyAlignment="0" applyProtection="0"/>
    <xf numFmtId="0" fontId="52" fillId="10" borderId="0" applyNumberFormat="0" applyBorder="0" applyAlignment="0" applyProtection="0"/>
    <xf numFmtId="0" fontId="90" fillId="41" borderId="0" applyNumberFormat="0" applyBorder="0" applyAlignment="0" applyProtection="0"/>
    <xf numFmtId="0" fontId="52" fillId="10" borderId="0" applyNumberFormat="0" applyBorder="0" applyAlignment="0" applyProtection="0"/>
    <xf numFmtId="0" fontId="90" fillId="41" borderId="0" applyNumberFormat="0" applyBorder="0" applyAlignment="0" applyProtection="0"/>
    <xf numFmtId="0" fontId="52" fillId="7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52" fillId="7" borderId="0" applyNumberFormat="0" applyBorder="0" applyAlignment="0" applyProtection="0"/>
    <xf numFmtId="0" fontId="90" fillId="42" borderId="0" applyNumberFormat="0" applyBorder="0" applyAlignment="0" applyProtection="0"/>
    <xf numFmtId="0" fontId="52" fillId="7" borderId="0" applyNumberFormat="0" applyBorder="0" applyAlignment="0" applyProtection="0"/>
    <xf numFmtId="0" fontId="52" fillId="11" borderId="0" applyNumberFormat="0" applyBorder="0" applyAlignment="0" applyProtection="0"/>
    <xf numFmtId="0" fontId="90" fillId="42" borderId="0" applyNumberFormat="0" applyBorder="0" applyAlignment="0" applyProtection="0"/>
    <xf numFmtId="0" fontId="52" fillId="5" borderId="0" applyNumberFormat="0" applyBorder="0" applyAlignment="0" applyProtection="0"/>
    <xf numFmtId="0" fontId="52" fillId="10" borderId="0" applyNumberFormat="0" applyBorder="0" applyAlignment="0" applyProtection="0"/>
    <xf numFmtId="0" fontId="90" fillId="43" borderId="0" applyNumberFormat="0" applyBorder="0" applyAlignment="0" applyProtection="0"/>
    <xf numFmtId="0" fontId="90" fillId="43" borderId="0" applyNumberFormat="0" applyBorder="0" applyAlignment="0" applyProtection="0"/>
    <xf numFmtId="0" fontId="52" fillId="10" borderId="0" applyNumberFormat="0" applyBorder="0" applyAlignment="0" applyProtection="0"/>
    <xf numFmtId="0" fontId="90" fillId="43" borderId="0" applyNumberFormat="0" applyBorder="0" applyAlignment="0" applyProtection="0"/>
    <xf numFmtId="0" fontId="52" fillId="10" borderId="0" applyNumberFormat="0" applyBorder="0" applyAlignment="0" applyProtection="0"/>
    <xf numFmtId="0" fontId="52" fillId="4" borderId="0" applyNumberFormat="0" applyBorder="0" applyAlignment="0" applyProtection="0"/>
    <xf numFmtId="0" fontId="90" fillId="43" borderId="0" applyNumberFormat="0" applyBorder="0" applyAlignment="0" applyProtection="0"/>
    <xf numFmtId="0" fontId="52" fillId="5" borderId="0" applyNumberFormat="0" applyBorder="0" applyAlignment="0" applyProtection="0"/>
    <xf numFmtId="0" fontId="90" fillId="44" borderId="0" applyNumberFormat="0" applyBorder="0" applyAlignment="0" applyProtection="0"/>
    <xf numFmtId="0" fontId="90" fillId="44" borderId="0" applyNumberFormat="0" applyBorder="0" applyAlignment="0" applyProtection="0"/>
    <xf numFmtId="0" fontId="52" fillId="5" borderId="0" applyNumberFormat="0" applyBorder="0" applyAlignment="0" applyProtection="0"/>
    <xf numFmtId="0" fontId="90" fillId="44" borderId="0" applyNumberFormat="0" applyBorder="0" applyAlignment="0" applyProtection="0"/>
    <xf numFmtId="0" fontId="52" fillId="5" borderId="0" applyNumberFormat="0" applyBorder="0" applyAlignment="0" applyProtection="0"/>
    <xf numFmtId="0" fontId="90" fillId="44" borderId="0" applyNumberFormat="0" applyBorder="0" applyAlignment="0" applyProtection="0"/>
    <xf numFmtId="0" fontId="52" fillId="13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52" fillId="13" borderId="0" applyNumberFormat="0" applyBorder="0" applyAlignment="0" applyProtection="0"/>
    <xf numFmtId="0" fontId="90" fillId="45" borderId="0" applyNumberFormat="0" applyBorder="0" applyAlignment="0" applyProtection="0"/>
    <xf numFmtId="0" fontId="52" fillId="13" borderId="0" applyNumberFormat="0" applyBorder="0" applyAlignment="0" applyProtection="0"/>
    <xf numFmtId="0" fontId="52" fillId="12" borderId="0" applyNumberFormat="0" applyBorder="0" applyAlignment="0" applyProtection="0"/>
    <xf numFmtId="0" fontId="90" fillId="45" borderId="0" applyNumberFormat="0" applyBorder="0" applyAlignment="0" applyProtection="0"/>
    <xf numFmtId="0" fontId="52" fillId="3" borderId="0" applyNumberFormat="0" applyBorder="0" applyAlignment="0" applyProtection="0"/>
    <xf numFmtId="0" fontId="90" fillId="46" borderId="0" applyNumberFormat="0" applyBorder="0" applyAlignment="0" applyProtection="0"/>
    <xf numFmtId="0" fontId="90" fillId="46" borderId="0" applyNumberFormat="0" applyBorder="0" applyAlignment="0" applyProtection="0"/>
    <xf numFmtId="0" fontId="52" fillId="3" borderId="0" applyNumberFormat="0" applyBorder="0" applyAlignment="0" applyProtection="0"/>
    <xf numFmtId="0" fontId="90" fillId="46" borderId="0" applyNumberFormat="0" applyBorder="0" applyAlignment="0" applyProtection="0"/>
    <xf numFmtId="0" fontId="52" fillId="3" borderId="0" applyNumberFormat="0" applyBorder="0" applyAlignment="0" applyProtection="0"/>
    <xf numFmtId="0" fontId="52" fillId="8" borderId="0" applyNumberFormat="0" applyBorder="0" applyAlignment="0" applyProtection="0"/>
    <xf numFmtId="0" fontId="90" fillId="46" borderId="0" applyNumberFormat="0" applyBorder="0" applyAlignment="0" applyProtection="0"/>
    <xf numFmtId="0" fontId="52" fillId="10" borderId="0" applyNumberFormat="0" applyBorder="0" applyAlignment="0" applyProtection="0"/>
    <xf numFmtId="0" fontId="90" fillId="47" borderId="0" applyNumberFormat="0" applyBorder="0" applyAlignment="0" applyProtection="0"/>
    <xf numFmtId="0" fontId="90" fillId="47" borderId="0" applyNumberFormat="0" applyBorder="0" applyAlignment="0" applyProtection="0"/>
    <xf numFmtId="0" fontId="52" fillId="10" borderId="0" applyNumberFormat="0" applyBorder="0" applyAlignment="0" applyProtection="0"/>
    <xf numFmtId="0" fontId="90" fillId="47" borderId="0" applyNumberFormat="0" applyBorder="0" applyAlignment="0" applyProtection="0"/>
    <xf numFmtId="0" fontId="52" fillId="10" borderId="0" applyNumberFormat="0" applyBorder="0" applyAlignment="0" applyProtection="0"/>
    <xf numFmtId="0" fontId="52" fillId="4" borderId="0" applyNumberFormat="0" applyBorder="0" applyAlignment="0" applyProtection="0"/>
    <xf numFmtId="0" fontId="90" fillId="47" borderId="0" applyNumberFormat="0" applyBorder="0" applyAlignment="0" applyProtection="0"/>
    <xf numFmtId="0" fontId="52" fillId="7" borderId="0" applyNumberFormat="0" applyBorder="0" applyAlignment="0" applyProtection="0"/>
    <xf numFmtId="0" fontId="90" fillId="48" borderId="0" applyNumberFormat="0" applyBorder="0" applyAlignment="0" applyProtection="0"/>
    <xf numFmtId="0" fontId="90" fillId="48" borderId="0" applyNumberFormat="0" applyBorder="0" applyAlignment="0" applyProtection="0"/>
    <xf numFmtId="0" fontId="52" fillId="7" borderId="0" applyNumberFormat="0" applyBorder="0" applyAlignment="0" applyProtection="0"/>
    <xf numFmtId="0" fontId="90" fillId="48" borderId="0" applyNumberFormat="0" applyBorder="0" applyAlignment="0" applyProtection="0"/>
    <xf numFmtId="0" fontId="52" fillId="7" borderId="0" applyNumberFormat="0" applyBorder="0" applyAlignment="0" applyProtection="0"/>
    <xf numFmtId="0" fontId="52" fillId="14" borderId="0" applyNumberFormat="0" applyBorder="0" applyAlignment="0" applyProtection="0"/>
    <xf numFmtId="0" fontId="90" fillId="48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5" borderId="0" applyNumberFormat="0" applyBorder="0" applyAlignment="0" applyProtection="0"/>
    <xf numFmtId="0" fontId="91" fillId="49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5" borderId="0" applyNumberFormat="0" applyBorder="0" applyAlignment="0" applyProtection="0"/>
    <xf numFmtId="0" fontId="91" fillId="50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2" borderId="0" applyNumberFormat="0" applyBorder="0" applyAlignment="0" applyProtection="0"/>
    <xf numFmtId="0" fontId="91" fillId="51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18" borderId="0" applyNumberFormat="0" applyBorder="0" applyAlignment="0" applyProtection="0"/>
    <xf numFmtId="0" fontId="91" fillId="52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6" borderId="0" applyNumberFormat="0" applyBorder="0" applyAlignment="0" applyProtection="0"/>
    <xf numFmtId="0" fontId="91" fillId="53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19" borderId="0" applyNumberFormat="0" applyBorder="0" applyAlignment="0" applyProtection="0"/>
    <xf numFmtId="0" fontId="91" fillId="54" borderId="0" applyNumberFormat="0" applyBorder="0" applyAlignment="0" applyProtection="0"/>
    <xf numFmtId="0" fontId="56" fillId="20" borderId="0" applyNumberFormat="0" applyBorder="0" applyAlignment="0" applyProtection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92" fillId="55" borderId="0" applyNumberFormat="0" applyBorder="0" applyAlignment="0" applyProtection="0"/>
    <xf numFmtId="0" fontId="77" fillId="21" borderId="1" applyNumberFormat="0" applyAlignment="0" applyProtection="0"/>
    <xf numFmtId="0" fontId="77" fillId="21" borderId="1" applyNumberFormat="0" applyAlignment="0" applyProtection="0"/>
    <xf numFmtId="0" fontId="77" fillId="21" borderId="1" applyNumberFormat="0" applyAlignment="0" applyProtection="0"/>
    <xf numFmtId="0" fontId="70" fillId="9" borderId="1" applyNumberFormat="0" applyAlignment="0" applyProtection="0"/>
    <xf numFmtId="0" fontId="93" fillId="56" borderId="48" applyNumberFormat="0" applyAlignment="0" applyProtection="0"/>
    <xf numFmtId="0" fontId="41" fillId="22" borderId="2">
      <alignment horizontal="center" vertical="center" wrapText="1"/>
    </xf>
    <xf numFmtId="0" fontId="58" fillId="23" borderId="3" applyNumberFormat="0" applyAlignment="0" applyProtection="0"/>
    <xf numFmtId="0" fontId="58" fillId="23" borderId="3" applyNumberFormat="0" applyAlignment="0" applyProtection="0"/>
    <xf numFmtId="0" fontId="94" fillId="57" borderId="49" applyNumberFormat="0" applyAlignment="0" applyProtection="0"/>
    <xf numFmtId="0" fontId="59" fillId="0" borderId="4" applyNumberFormat="0" applyFill="0" applyAlignment="0" applyProtection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95" fillId="0" borderId="50" applyNumberFormat="0" applyFill="0" applyAlignment="0" applyProtection="0"/>
    <xf numFmtId="4" fontId="37" fillId="0" borderId="0">
      <protection locked="0"/>
    </xf>
    <xf numFmtId="214" fontId="32" fillId="0" borderId="0" applyFont="0" applyFill="0" applyBorder="0" applyAlignment="0" applyProtection="0"/>
    <xf numFmtId="225" fontId="23" fillId="0" borderId="0" applyFont="0" applyFill="0" applyBorder="0" applyAlignment="0" applyProtection="0"/>
    <xf numFmtId="168" fontId="85" fillId="0" borderId="0" applyFont="0" applyFill="0" applyBorder="0" applyAlignment="0" applyProtection="0"/>
    <xf numFmtId="215" fontId="32" fillId="0" borderId="0" applyFont="0" applyFill="0" applyBorder="0" applyAlignment="0" applyProtection="0"/>
    <xf numFmtId="16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68" fontId="23" fillId="0" borderId="0" applyNumberFormat="0" applyFill="0" applyBorder="0" applyAlignment="0" applyProtection="0"/>
    <xf numFmtId="43" fontId="23" fillId="0" borderId="0" applyNumberFormat="0" applyFill="0" applyBorder="0" applyAlignment="0" applyProtection="0"/>
    <xf numFmtId="43" fontId="23" fillId="0" borderId="0" applyNumberFormat="0" applyFill="0" applyBorder="0" applyAlignment="0" applyProtection="0"/>
    <xf numFmtId="43" fontId="23" fillId="0" borderId="0" applyNumberFormat="0" applyFill="0" applyBorder="0" applyAlignment="0" applyProtection="0"/>
    <xf numFmtId="43" fontId="23" fillId="0" borderId="0" applyNumberFormat="0" applyFill="0" applyBorder="0" applyAlignment="0" applyProtection="0"/>
    <xf numFmtId="43" fontId="23" fillId="0" borderId="0" applyNumberFormat="0" applyFill="0" applyBorder="0" applyAlignment="0" applyProtection="0"/>
    <xf numFmtId="43" fontId="23" fillId="0" borderId="0" applyNumberFormat="0" applyFill="0" applyBorder="0" applyAlignment="0" applyProtection="0"/>
    <xf numFmtId="43" fontId="23" fillId="0" borderId="0" applyNumberFormat="0" applyFill="0" applyBorder="0" applyAlignment="0" applyProtection="0"/>
    <xf numFmtId="168" fontId="23" fillId="0" borderId="0" applyFont="0" applyFill="0" applyBorder="0" applyAlignment="0" applyProtection="0"/>
    <xf numFmtId="3" fontId="64" fillId="0" borderId="0" applyFont="0" applyFill="0" applyBorder="0" applyAlignment="0" applyProtection="0"/>
    <xf numFmtId="0" fontId="35" fillId="0" borderId="0"/>
    <xf numFmtId="0" fontId="36" fillId="0" borderId="0"/>
    <xf numFmtId="0" fontId="35" fillId="0" borderId="0"/>
    <xf numFmtId="0" fontId="36" fillId="0" borderId="0"/>
    <xf numFmtId="200" fontId="37" fillId="0" borderId="0">
      <protection locked="0"/>
    </xf>
    <xf numFmtId="165" fontId="33" fillId="0" borderId="0" applyFont="0" applyFill="0" applyBorder="0" applyAlignment="0" applyProtection="0"/>
    <xf numFmtId="216" fontId="32" fillId="0" borderId="0" applyFont="0" applyFill="0" applyBorder="0" applyAlignment="0" applyProtection="0"/>
    <xf numFmtId="223" fontId="23" fillId="0" borderId="0" applyFont="0" applyFill="0" applyBorder="0" applyAlignment="0" applyProtection="0"/>
    <xf numFmtId="217" fontId="23" fillId="0" borderId="0" applyNumberFormat="0" applyFill="0" applyBorder="0" applyAlignment="0" applyProtection="0"/>
    <xf numFmtId="223" fontId="23" fillId="0" borderId="0" applyNumberFormat="0" applyFill="0" applyBorder="0" applyAlignment="0" applyProtection="0"/>
    <xf numFmtId="217" fontId="23" fillId="0" borderId="0" applyNumberFormat="0" applyFill="0" applyBorder="0" applyAlignment="0" applyProtection="0"/>
    <xf numFmtId="223" fontId="23" fillId="0" borderId="0" applyNumberFormat="0" applyFill="0" applyBorder="0" applyAlignment="0" applyProtection="0"/>
    <xf numFmtId="167" fontId="33" fillId="0" borderId="0" applyFont="0" applyFill="0" applyBorder="0" applyAlignment="0" applyProtection="0"/>
    <xf numFmtId="218" fontId="64" fillId="0" borderId="0" applyFont="0" applyFill="0" applyBorder="0" applyAlignment="0" applyProtection="0"/>
    <xf numFmtId="0" fontId="42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201" fontId="37" fillId="0" borderId="0">
      <protection locked="0"/>
    </xf>
    <xf numFmtId="0" fontId="64" fillId="0" borderId="0" applyFont="0" applyFill="0" applyBorder="0" applyAlignment="0" applyProtection="0"/>
    <xf numFmtId="206" fontId="23" fillId="0" borderId="0" applyFont="0" applyFill="0" applyBorder="0" applyAlignment="0" applyProtection="0">
      <alignment wrapText="1"/>
    </xf>
    <xf numFmtId="206" fontId="23" fillId="0" borderId="0" applyFont="0" applyFill="0" applyBorder="0" applyAlignment="0" applyProtection="0">
      <alignment wrapText="1"/>
    </xf>
    <xf numFmtId="0" fontId="23" fillId="0" borderId="6" applyNumberFormat="0"/>
    <xf numFmtId="0" fontId="37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96" fillId="0" borderId="51" applyNumberFormat="0" applyFill="0" applyAlignment="0" applyProtection="0"/>
    <xf numFmtId="0" fontId="60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1" fillId="58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0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25" borderId="0" applyNumberFormat="0" applyBorder="0" applyAlignment="0" applyProtection="0"/>
    <xf numFmtId="0" fontId="91" fillId="59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26" borderId="0" applyNumberFormat="0" applyBorder="0" applyAlignment="0" applyProtection="0"/>
    <xf numFmtId="0" fontId="91" fillId="60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18" borderId="0" applyNumberFormat="0" applyBorder="0" applyAlignment="0" applyProtection="0"/>
    <xf numFmtId="0" fontId="91" fillId="61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91" fillId="62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17" borderId="0" applyNumberFormat="0" applyBorder="0" applyAlignment="0" applyProtection="0"/>
    <xf numFmtId="0" fontId="91" fillId="63" borderId="0" applyNumberFormat="0" applyBorder="0" applyAlignment="0" applyProtection="0"/>
    <xf numFmtId="0" fontId="61" fillId="11" borderId="1" applyNumberFormat="0" applyAlignment="0" applyProtection="0"/>
    <xf numFmtId="0" fontId="61" fillId="13" borderId="1" applyNumberFormat="0" applyAlignment="0" applyProtection="0"/>
    <xf numFmtId="0" fontId="61" fillId="13" borderId="1" applyNumberFormat="0" applyAlignment="0" applyProtection="0"/>
    <xf numFmtId="0" fontId="61" fillId="13" borderId="1" applyNumberFormat="0" applyAlignment="0" applyProtection="0"/>
    <xf numFmtId="0" fontId="98" fillId="64" borderId="48" applyNumberFormat="0" applyAlignment="0" applyProtection="0"/>
    <xf numFmtId="182" fontId="3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0" fontId="37" fillId="0" borderId="0">
      <protection locked="0"/>
    </xf>
    <xf numFmtId="202" fontId="37" fillId="0" borderId="0">
      <protection locked="0"/>
    </xf>
    <xf numFmtId="0" fontId="37" fillId="0" borderId="0">
      <protection locked="0"/>
    </xf>
    <xf numFmtId="202" fontId="37" fillId="0" borderId="0">
      <protection locked="0"/>
    </xf>
    <xf numFmtId="0" fontId="39" fillId="0" borderId="0">
      <protection locked="0"/>
    </xf>
    <xf numFmtId="202" fontId="39" fillId="0" borderId="0">
      <protection locked="0"/>
    </xf>
    <xf numFmtId="0" fontId="37" fillId="0" borderId="0">
      <protection locked="0"/>
    </xf>
    <xf numFmtId="202" fontId="37" fillId="0" borderId="0">
      <protection locked="0"/>
    </xf>
    <xf numFmtId="0" fontId="37" fillId="0" borderId="0">
      <protection locked="0"/>
    </xf>
    <xf numFmtId="202" fontId="37" fillId="0" borderId="0">
      <protection locked="0"/>
    </xf>
    <xf numFmtId="0" fontId="37" fillId="0" borderId="0">
      <protection locked="0"/>
    </xf>
    <xf numFmtId="202" fontId="37" fillId="0" borderId="0">
      <protection locked="0"/>
    </xf>
    <xf numFmtId="0" fontId="39" fillId="0" borderId="0">
      <protection locked="0"/>
    </xf>
    <xf numFmtId="202" fontId="39" fillId="0" borderId="0">
      <protection locked="0"/>
    </xf>
    <xf numFmtId="220" fontId="23" fillId="0" borderId="6">
      <alignment horizontal="left"/>
    </xf>
    <xf numFmtId="183" fontId="33" fillId="0" borderId="0">
      <protection locked="0"/>
    </xf>
    <xf numFmtId="183" fontId="23" fillId="0" borderId="0">
      <protection locked="0"/>
    </xf>
    <xf numFmtId="183" fontId="23" fillId="0" borderId="0">
      <protection locked="0"/>
    </xf>
    <xf numFmtId="183" fontId="23" fillId="0" borderId="0">
      <protection locked="0"/>
    </xf>
    <xf numFmtId="183" fontId="23" fillId="0" borderId="0">
      <protection locked="0"/>
    </xf>
    <xf numFmtId="183" fontId="23" fillId="0" borderId="0">
      <protection locked="0"/>
    </xf>
    <xf numFmtId="183" fontId="23" fillId="0" borderId="0">
      <protection locked="0"/>
    </xf>
    <xf numFmtId="183" fontId="23" fillId="0" borderId="0">
      <protection locked="0"/>
    </xf>
    <xf numFmtId="183" fontId="23" fillId="0" borderId="0">
      <protection locked="0"/>
    </xf>
    <xf numFmtId="183" fontId="23" fillId="0" borderId="0">
      <protection locked="0"/>
    </xf>
    <xf numFmtId="183" fontId="23" fillId="0" borderId="0">
      <protection locked="0"/>
    </xf>
    <xf numFmtId="183" fontId="23" fillId="0" borderId="0">
      <protection locked="0"/>
    </xf>
    <xf numFmtId="183" fontId="23" fillId="0" borderId="0">
      <protection locked="0"/>
    </xf>
    <xf numFmtId="183" fontId="23" fillId="0" borderId="0">
      <protection locked="0"/>
    </xf>
    <xf numFmtId="183" fontId="23" fillId="0" borderId="0">
      <protection locked="0"/>
    </xf>
    <xf numFmtId="183" fontId="23" fillId="0" borderId="0">
      <protection locked="0"/>
    </xf>
    <xf numFmtId="183" fontId="23" fillId="0" borderId="0">
      <protection locked="0"/>
    </xf>
    <xf numFmtId="183" fontId="23" fillId="0" borderId="0">
      <protection locked="0"/>
    </xf>
    <xf numFmtId="183" fontId="23" fillId="0" borderId="0">
      <protection locked="0"/>
    </xf>
    <xf numFmtId="183" fontId="23" fillId="0" borderId="0">
      <protection locked="0"/>
    </xf>
    <xf numFmtId="183" fontId="23" fillId="0" borderId="0">
      <protection locked="0"/>
    </xf>
    <xf numFmtId="183" fontId="23" fillId="0" borderId="0">
      <protection locked="0"/>
    </xf>
    <xf numFmtId="183" fontId="23" fillId="0" borderId="0">
      <protection locked="0"/>
    </xf>
    <xf numFmtId="183" fontId="23" fillId="0" borderId="0">
      <protection locked="0"/>
    </xf>
    <xf numFmtId="183" fontId="23" fillId="0" borderId="0">
      <protection locked="0"/>
    </xf>
    <xf numFmtId="183" fontId="23" fillId="0" borderId="0">
      <protection locked="0"/>
    </xf>
    <xf numFmtId="183" fontId="23" fillId="0" borderId="0">
      <protection locked="0"/>
    </xf>
    <xf numFmtId="184" fontId="33" fillId="0" borderId="0">
      <protection locked="0"/>
    </xf>
    <xf numFmtId="184" fontId="23" fillId="0" borderId="0">
      <protection locked="0"/>
    </xf>
    <xf numFmtId="184" fontId="23" fillId="0" borderId="0">
      <protection locked="0"/>
    </xf>
    <xf numFmtId="184" fontId="23" fillId="0" borderId="0">
      <protection locked="0"/>
    </xf>
    <xf numFmtId="184" fontId="23" fillId="0" borderId="0">
      <protection locked="0"/>
    </xf>
    <xf numFmtId="184" fontId="23" fillId="0" borderId="0">
      <protection locked="0"/>
    </xf>
    <xf numFmtId="184" fontId="23" fillId="0" borderId="0">
      <protection locked="0"/>
    </xf>
    <xf numFmtId="184" fontId="23" fillId="0" borderId="0">
      <protection locked="0"/>
    </xf>
    <xf numFmtId="184" fontId="23" fillId="0" borderId="0">
      <protection locked="0"/>
    </xf>
    <xf numFmtId="184" fontId="23" fillId="0" borderId="0">
      <protection locked="0"/>
    </xf>
    <xf numFmtId="184" fontId="23" fillId="0" borderId="0">
      <protection locked="0"/>
    </xf>
    <xf numFmtId="184" fontId="23" fillId="0" borderId="0">
      <protection locked="0"/>
    </xf>
    <xf numFmtId="184" fontId="23" fillId="0" borderId="0">
      <protection locked="0"/>
    </xf>
    <xf numFmtId="184" fontId="23" fillId="0" borderId="0">
      <protection locked="0"/>
    </xf>
    <xf numFmtId="184" fontId="23" fillId="0" borderId="0">
      <protection locked="0"/>
    </xf>
    <xf numFmtId="184" fontId="23" fillId="0" borderId="0">
      <protection locked="0"/>
    </xf>
    <xf numFmtId="184" fontId="23" fillId="0" borderId="0">
      <protection locked="0"/>
    </xf>
    <xf numFmtId="184" fontId="23" fillId="0" borderId="0">
      <protection locked="0"/>
    </xf>
    <xf numFmtId="184" fontId="23" fillId="0" borderId="0">
      <protection locked="0"/>
    </xf>
    <xf numFmtId="184" fontId="23" fillId="0" borderId="0">
      <protection locked="0"/>
    </xf>
    <xf numFmtId="184" fontId="23" fillId="0" borderId="0">
      <protection locked="0"/>
    </xf>
    <xf numFmtId="184" fontId="23" fillId="0" borderId="0">
      <protection locked="0"/>
    </xf>
    <xf numFmtId="184" fontId="23" fillId="0" borderId="0">
      <protection locked="0"/>
    </xf>
    <xf numFmtId="184" fontId="23" fillId="0" borderId="0">
      <protection locked="0"/>
    </xf>
    <xf numFmtId="184" fontId="23" fillId="0" borderId="0">
      <protection locked="0"/>
    </xf>
    <xf numFmtId="184" fontId="23" fillId="0" borderId="0">
      <protection locked="0"/>
    </xf>
    <xf numFmtId="184" fontId="23" fillId="0" borderId="0">
      <protection locked="0"/>
    </xf>
    <xf numFmtId="202" fontId="37" fillId="0" borderId="0">
      <protection locked="0"/>
    </xf>
    <xf numFmtId="2" fontId="64" fillId="0" borderId="0" applyFont="0" applyFill="0" applyBorder="0" applyAlignment="0" applyProtection="0"/>
    <xf numFmtId="187" fontId="42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0" fontId="63" fillId="0" borderId="7" applyNumberFormat="0" applyFill="0" applyAlignment="0" applyProtection="0"/>
    <xf numFmtId="203" fontId="38" fillId="0" borderId="0">
      <protection locked="0"/>
    </xf>
    <xf numFmtId="203" fontId="38" fillId="0" borderId="0"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3" borderId="0" applyNumberFormat="0" applyBorder="0" applyAlignment="0" applyProtection="0"/>
    <xf numFmtId="0" fontId="100" fillId="65" borderId="0" applyNumberFormat="0" applyBorder="0" applyAlignment="0" applyProtection="0"/>
    <xf numFmtId="174" fontId="22" fillId="0" borderId="0" applyFont="0" applyFill="0" applyBorder="0" applyAlignment="0" applyProtection="0"/>
    <xf numFmtId="180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172" fontId="46" fillId="0" borderId="0" applyFont="0" applyFill="0" applyBorder="0" applyAlignment="0" applyProtection="0"/>
    <xf numFmtId="172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2" fontId="46" fillId="0" borderId="0" applyFont="0" applyFill="0" applyBorder="0" applyAlignment="0" applyProtection="0"/>
    <xf numFmtId="172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72" fontId="46" fillId="0" borderId="0" applyFont="0" applyFill="0" applyBorder="0" applyAlignment="0" applyProtection="0"/>
    <xf numFmtId="172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72" fontId="46" fillId="0" borderId="0" applyFont="0" applyFill="0" applyBorder="0" applyAlignment="0" applyProtection="0"/>
    <xf numFmtId="172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72" fontId="46" fillId="0" borderId="0" applyFont="0" applyFill="0" applyBorder="0" applyAlignment="0" applyProtection="0"/>
    <xf numFmtId="172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72" fontId="46" fillId="0" borderId="0" applyFont="0" applyFill="0" applyBorder="0" applyAlignment="0" applyProtection="0"/>
    <xf numFmtId="172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72" fontId="46" fillId="0" borderId="0" applyFont="0" applyFill="0" applyBorder="0" applyAlignment="0" applyProtection="0"/>
    <xf numFmtId="172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72" fontId="46" fillId="0" borderId="0" applyFont="0" applyFill="0" applyBorder="0" applyAlignment="0" applyProtection="0"/>
    <xf numFmtId="172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72" fontId="46" fillId="0" borderId="0" applyFont="0" applyFill="0" applyBorder="0" applyAlignment="0" applyProtection="0"/>
    <xf numFmtId="172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68" fontId="23" fillId="0" borderId="0" applyFont="0" applyFill="0" applyBorder="0" applyAlignment="0" applyProtection="0"/>
    <xf numFmtId="208" fontId="23" fillId="0" borderId="0" applyFont="0" applyFill="0" applyBorder="0" applyAlignment="0" applyProtection="0"/>
    <xf numFmtId="0" fontId="23" fillId="0" borderId="0"/>
    <xf numFmtId="178" fontId="25" fillId="0" borderId="0" applyFont="0" applyFill="0" applyBorder="0" applyAlignment="0" applyProtection="0"/>
    <xf numFmtId="0" fontId="23" fillId="0" borderId="0"/>
    <xf numFmtId="168" fontId="8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20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213" fontId="23" fillId="0" borderId="0" applyFont="0" applyFill="0" applyBorder="0" applyAlignment="0" applyProtection="0"/>
    <xf numFmtId="0" fontId="23" fillId="0" borderId="0"/>
    <xf numFmtId="168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224" fontId="23" fillId="0" borderId="0" applyNumberFormat="0" applyFill="0" applyBorder="0" applyAlignment="0" applyProtection="0"/>
    <xf numFmtId="43" fontId="8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9" fontId="25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25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25" fillId="0" borderId="0" applyFont="0" applyFill="0" applyBorder="0" applyAlignment="0" applyProtection="0"/>
    <xf numFmtId="168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65" fillId="0" borderId="0" applyFont="0" applyFill="0" applyBorder="0" applyAlignment="0" applyProtection="0"/>
    <xf numFmtId="174" fontId="25" fillId="0" borderId="0" applyFont="0" applyFill="0" applyBorder="0" applyAlignment="0" applyProtection="0"/>
    <xf numFmtId="171" fontId="23" fillId="0" borderId="0" applyFont="0" applyFill="0" applyBorder="0" applyAlignment="0" applyProtection="0"/>
    <xf numFmtId="174" fontId="89" fillId="0" borderId="0" applyFont="0" applyFill="0" applyBorder="0" applyAlignment="0" applyProtection="0"/>
    <xf numFmtId="174" fontId="25" fillId="0" borderId="0" applyFont="0" applyFill="0" applyBorder="0" applyAlignment="0" applyProtection="0"/>
    <xf numFmtId="16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4" fontId="25" fillId="0" borderId="0" applyFont="0" applyFill="0" applyBorder="0" applyAlignment="0" applyProtection="0"/>
    <xf numFmtId="196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74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4" fontId="25" fillId="0" borderId="0" applyFont="0" applyFill="0" applyBorder="0" applyAlignment="0" applyProtection="0"/>
    <xf numFmtId="16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96" fontId="23" fillId="0" borderId="0" applyFont="0" applyFill="0" applyBorder="0" applyAlignment="0" applyProtection="0"/>
    <xf numFmtId="174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68" fontId="85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52" fillId="0" borderId="0" applyFont="0" applyFill="0" applyBorder="0" applyAlignment="0" applyProtection="0"/>
    <xf numFmtId="179" fontId="25" fillId="0" borderId="0" applyFont="0" applyFill="0" applyBorder="0" applyAlignment="0" applyProtection="0"/>
    <xf numFmtId="174" fontId="51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88" fontId="2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23" fillId="0" borderId="0"/>
    <xf numFmtId="43" fontId="5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23" fillId="0" borderId="0"/>
    <xf numFmtId="16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6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19" fontId="85" fillId="0" borderId="0" applyFont="0" applyFill="0" applyBorder="0" applyAlignment="0" applyProtection="0"/>
    <xf numFmtId="219" fontId="87" fillId="0" borderId="0" applyFont="0" applyFill="0" applyBorder="0" applyAlignment="0" applyProtection="0"/>
    <xf numFmtId="219" fontId="52" fillId="0" borderId="0" applyFont="0" applyFill="0" applyBorder="0" applyAlignment="0" applyProtection="0"/>
    <xf numFmtId="219" fontId="52" fillId="0" borderId="0" applyFont="0" applyFill="0" applyBorder="0" applyAlignment="0" applyProtection="0"/>
    <xf numFmtId="219" fontId="88" fillId="0" borderId="0" applyFont="0" applyFill="0" applyBorder="0" applyAlignment="0" applyProtection="0"/>
    <xf numFmtId="219" fontId="52" fillId="0" borderId="0" applyFont="0" applyFill="0" applyBorder="0" applyAlignment="0" applyProtection="0"/>
    <xf numFmtId="172" fontId="46" fillId="0" borderId="0" applyFont="0" applyFill="0" applyBorder="0" applyAlignment="0" applyProtection="0"/>
    <xf numFmtId="172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219" fontId="85" fillId="0" borderId="0" applyFont="0" applyFill="0" applyBorder="0" applyAlignment="0" applyProtection="0"/>
    <xf numFmtId="219" fontId="87" fillId="0" borderId="0" applyFont="0" applyFill="0" applyBorder="0" applyAlignment="0" applyProtection="0"/>
    <xf numFmtId="219" fontId="52" fillId="0" borderId="0" applyFont="0" applyFill="0" applyBorder="0" applyAlignment="0" applyProtection="0"/>
    <xf numFmtId="219" fontId="52" fillId="0" borderId="0" applyFont="0" applyFill="0" applyBorder="0" applyAlignment="0" applyProtection="0"/>
    <xf numFmtId="219" fontId="88" fillId="0" borderId="0" applyFont="0" applyFill="0" applyBorder="0" applyAlignment="0" applyProtection="0"/>
    <xf numFmtId="219" fontId="52" fillId="0" borderId="0" applyFont="0" applyFill="0" applyBorder="0" applyAlignment="0" applyProtection="0"/>
    <xf numFmtId="219" fontId="85" fillId="0" borderId="0" applyFont="0" applyFill="0" applyBorder="0" applyAlignment="0" applyProtection="0"/>
    <xf numFmtId="219" fontId="87" fillId="0" borderId="0" applyFont="0" applyFill="0" applyBorder="0" applyAlignment="0" applyProtection="0"/>
    <xf numFmtId="219" fontId="52" fillId="0" borderId="0" applyFont="0" applyFill="0" applyBorder="0" applyAlignment="0" applyProtection="0"/>
    <xf numFmtId="219" fontId="52" fillId="0" borderId="0" applyFont="0" applyFill="0" applyBorder="0" applyAlignment="0" applyProtection="0"/>
    <xf numFmtId="219" fontId="88" fillId="0" borderId="0" applyFont="0" applyFill="0" applyBorder="0" applyAlignment="0" applyProtection="0"/>
    <xf numFmtId="219" fontId="52" fillId="0" borderId="0" applyFont="0" applyFill="0" applyBorder="0" applyAlignment="0" applyProtection="0"/>
    <xf numFmtId="174" fontId="66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68" fontId="85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68" fontId="85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2" fontId="46" fillId="0" borderId="0" applyFont="0" applyFill="0" applyBorder="0" applyAlignment="0" applyProtection="0"/>
    <xf numFmtId="172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71" fontId="23" fillId="0" borderId="0" applyFont="0" applyFill="0" applyBorder="0" applyAlignment="0" applyProtection="0"/>
    <xf numFmtId="168" fontId="8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68" fontId="8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224" fontId="23" fillId="0" borderId="0" applyNumberFormat="0" applyFill="0" applyBorder="0" applyAlignment="0" applyProtection="0"/>
    <xf numFmtId="171" fontId="23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1" fontId="23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2" fontId="46" fillId="0" borderId="0" applyFont="0" applyFill="0" applyBorder="0" applyAlignment="0" applyProtection="0"/>
    <xf numFmtId="172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2" fontId="46" fillId="0" borderId="0" applyFont="0" applyFill="0" applyBorder="0" applyAlignment="0" applyProtection="0"/>
    <xf numFmtId="172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1" fontId="23" fillId="0" borderId="0" applyFont="0" applyFill="0" applyBorder="0" applyAlignment="0" applyProtection="0"/>
    <xf numFmtId="172" fontId="46" fillId="0" borderId="0" applyFont="0" applyFill="0" applyBorder="0" applyAlignment="0" applyProtection="0"/>
    <xf numFmtId="172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96" fontId="23" fillId="0" borderId="0" applyFont="0" applyFill="0" applyBorder="0" applyAlignment="0" applyProtection="0"/>
    <xf numFmtId="172" fontId="46" fillId="0" borderId="0" applyFont="0" applyFill="0" applyBorder="0" applyAlignment="0" applyProtection="0"/>
    <xf numFmtId="165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20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223" fontId="23" fillId="0" borderId="0" applyFont="0" applyFill="0" applyBorder="0" applyAlignment="0" applyProtection="0"/>
    <xf numFmtId="207" fontId="23" fillId="0" borderId="0" applyFont="0" applyFill="0" applyBorder="0" applyAlignment="0" applyProtection="0"/>
    <xf numFmtId="223" fontId="85" fillId="0" borderId="0" applyFont="0" applyFill="0" applyBorder="0" applyAlignment="0" applyProtection="0"/>
    <xf numFmtId="223" fontId="52" fillId="0" borderId="0" applyFont="0" applyFill="0" applyBorder="0" applyAlignment="0" applyProtection="0"/>
    <xf numFmtId="223" fontId="88" fillId="0" borderId="0" applyFont="0" applyFill="0" applyBorder="0" applyAlignment="0" applyProtection="0"/>
    <xf numFmtId="223" fontId="52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3" fontId="25" fillId="0" borderId="0" applyFont="0" applyFill="0" applyBorder="0" applyAlignment="0" applyProtection="0"/>
    <xf numFmtId="185" fontId="33" fillId="0" borderId="0">
      <protection locked="0"/>
    </xf>
    <xf numFmtId="185" fontId="23" fillId="0" borderId="0">
      <protection locked="0"/>
    </xf>
    <xf numFmtId="185" fontId="23" fillId="0" borderId="0">
      <protection locked="0"/>
    </xf>
    <xf numFmtId="185" fontId="23" fillId="0" borderId="0">
      <protection locked="0"/>
    </xf>
    <xf numFmtId="185" fontId="23" fillId="0" borderId="0">
      <protection locked="0"/>
    </xf>
    <xf numFmtId="185" fontId="23" fillId="0" borderId="0">
      <protection locked="0"/>
    </xf>
    <xf numFmtId="185" fontId="23" fillId="0" borderId="0">
      <protection locked="0"/>
    </xf>
    <xf numFmtId="185" fontId="23" fillId="0" borderId="0">
      <protection locked="0"/>
    </xf>
    <xf numFmtId="185" fontId="23" fillId="0" borderId="0">
      <protection locked="0"/>
    </xf>
    <xf numFmtId="185" fontId="23" fillId="0" borderId="0">
      <protection locked="0"/>
    </xf>
    <xf numFmtId="185" fontId="23" fillId="0" borderId="0">
      <protection locked="0"/>
    </xf>
    <xf numFmtId="185" fontId="23" fillId="0" borderId="0">
      <protection locked="0"/>
    </xf>
    <xf numFmtId="185" fontId="23" fillId="0" borderId="0">
      <protection locked="0"/>
    </xf>
    <xf numFmtId="185" fontId="23" fillId="0" borderId="0">
      <protection locked="0"/>
    </xf>
    <xf numFmtId="185" fontId="23" fillId="0" borderId="0">
      <protection locked="0"/>
    </xf>
    <xf numFmtId="185" fontId="23" fillId="0" borderId="0">
      <protection locked="0"/>
    </xf>
    <xf numFmtId="185" fontId="23" fillId="0" borderId="0">
      <protection locked="0"/>
    </xf>
    <xf numFmtId="185" fontId="23" fillId="0" borderId="0">
      <protection locked="0"/>
    </xf>
    <xf numFmtId="185" fontId="23" fillId="0" borderId="0">
      <protection locked="0"/>
    </xf>
    <xf numFmtId="185" fontId="23" fillId="0" borderId="0">
      <protection locked="0"/>
    </xf>
    <xf numFmtId="185" fontId="23" fillId="0" borderId="0">
      <protection locked="0"/>
    </xf>
    <xf numFmtId="185" fontId="23" fillId="0" borderId="0">
      <protection locked="0"/>
    </xf>
    <xf numFmtId="185" fontId="23" fillId="0" borderId="0">
      <protection locked="0"/>
    </xf>
    <xf numFmtId="185" fontId="23" fillId="0" borderId="0">
      <protection locked="0"/>
    </xf>
    <xf numFmtId="185" fontId="23" fillId="0" borderId="0">
      <protection locked="0"/>
    </xf>
    <xf numFmtId="185" fontId="23" fillId="0" borderId="0">
      <protection locked="0"/>
    </xf>
    <xf numFmtId="185" fontId="23" fillId="0" borderId="0">
      <protection locked="0"/>
    </xf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2" fillId="13" borderId="0" applyNumberFormat="0" applyBorder="0" applyAlignment="0" applyProtection="0"/>
    <xf numFmtId="0" fontId="101" fillId="6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53" fillId="0" borderId="0"/>
    <xf numFmtId="0" fontId="23" fillId="0" borderId="0"/>
    <xf numFmtId="0" fontId="23" fillId="0" borderId="0"/>
    <xf numFmtId="0" fontId="90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0" fillId="0" borderId="0"/>
    <xf numFmtId="0" fontId="90" fillId="0" borderId="0"/>
    <xf numFmtId="0" fontId="23" fillId="0" borderId="0"/>
    <xf numFmtId="0" fontId="23" fillId="0" borderId="0"/>
    <xf numFmtId="15" fontId="90" fillId="0" borderId="0"/>
    <xf numFmtId="15" fontId="90" fillId="0" borderId="0"/>
    <xf numFmtId="15" fontId="90" fillId="0" borderId="0"/>
    <xf numFmtId="15" fontId="90" fillId="0" borderId="0"/>
    <xf numFmtId="0" fontId="23" fillId="0" borderId="0"/>
    <xf numFmtId="0" fontId="23" fillId="0" borderId="0"/>
    <xf numFmtId="0" fontId="90" fillId="0" borderId="0"/>
    <xf numFmtId="0" fontId="83" fillId="0" borderId="0"/>
    <xf numFmtId="0" fontId="25" fillId="0" borderId="0"/>
    <xf numFmtId="0" fontId="25" fillId="0" borderId="0"/>
    <xf numFmtId="0" fontId="90" fillId="0" borderId="0"/>
    <xf numFmtId="0" fontId="90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90" fillId="0" borderId="0"/>
    <xf numFmtId="0" fontId="23" fillId="0" borderId="0"/>
    <xf numFmtId="0" fontId="23" fillId="0" borderId="0"/>
    <xf numFmtId="0" fontId="90" fillId="0" borderId="0"/>
    <xf numFmtId="0" fontId="23" fillId="0" borderId="0"/>
    <xf numFmtId="0" fontId="90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32" fillId="0" borderId="0"/>
    <xf numFmtId="0" fontId="90" fillId="0" borderId="0"/>
    <xf numFmtId="0" fontId="90" fillId="0" borderId="0"/>
    <xf numFmtId="0" fontId="47" fillId="0" borderId="0"/>
    <xf numFmtId="0" fontId="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0" fillId="0" borderId="0"/>
    <xf numFmtId="0" fontId="23" fillId="0" borderId="0"/>
    <xf numFmtId="0" fontId="51" fillId="0" borderId="0"/>
    <xf numFmtId="0" fontId="23" fillId="0" borderId="0"/>
    <xf numFmtId="0" fontId="23" fillId="0" borderId="0"/>
    <xf numFmtId="0" fontId="23" fillId="0" borderId="0"/>
    <xf numFmtId="0" fontId="6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0" fillId="0" borderId="0"/>
    <xf numFmtId="0" fontId="23" fillId="0" borderId="0"/>
    <xf numFmtId="0" fontId="23" fillId="0" borderId="0"/>
    <xf numFmtId="0" fontId="90" fillId="0" borderId="0"/>
    <xf numFmtId="0" fontId="23" fillId="0" borderId="0"/>
    <xf numFmtId="0" fontId="9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0" borderId="0"/>
    <xf numFmtId="0" fontId="23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23" fillId="0" borderId="0"/>
    <xf numFmtId="0" fontId="9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90" fillId="0" borderId="0"/>
    <xf numFmtId="0" fontId="102" fillId="0" borderId="0"/>
    <xf numFmtId="0" fontId="25" fillId="0" borderId="0"/>
    <xf numFmtId="0" fontId="32" fillId="0" borderId="0"/>
    <xf numFmtId="0" fontId="25" fillId="0" borderId="0"/>
    <xf numFmtId="0" fontId="90" fillId="0" borderId="0"/>
    <xf numFmtId="0" fontId="90" fillId="0" borderId="0"/>
    <xf numFmtId="0" fontId="23" fillId="0" borderId="0"/>
    <xf numFmtId="0" fontId="23" fillId="0" borderId="0"/>
    <xf numFmtId="0" fontId="90" fillId="0" borderId="0"/>
    <xf numFmtId="0" fontId="90" fillId="0" borderId="0"/>
    <xf numFmtId="0" fontId="90" fillId="0" borderId="0"/>
    <xf numFmtId="0" fontId="23" fillId="0" borderId="0"/>
    <xf numFmtId="0" fontId="25" fillId="0" borderId="0"/>
    <xf numFmtId="0" fontId="90" fillId="0" borderId="0"/>
    <xf numFmtId="0" fontId="25" fillId="0" borderId="0"/>
    <xf numFmtId="0" fontId="65" fillId="0" borderId="0"/>
    <xf numFmtId="0" fontId="25" fillId="0" borderId="0"/>
    <xf numFmtId="0" fontId="23" fillId="0" borderId="0"/>
    <xf numFmtId="0" fontId="89" fillId="0" borderId="0"/>
    <xf numFmtId="0" fontId="90" fillId="0" borderId="0"/>
    <xf numFmtId="0" fontId="23" fillId="0" borderId="0"/>
    <xf numFmtId="0" fontId="90" fillId="0" borderId="0"/>
    <xf numFmtId="0" fontId="23" fillId="0" borderId="0"/>
    <xf numFmtId="0" fontId="23" fillId="0" borderId="0"/>
    <xf numFmtId="0" fontId="32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7" borderId="8" applyNumberFormat="0" applyFont="0" applyAlignment="0" applyProtection="0"/>
    <xf numFmtId="0" fontId="23" fillId="7" borderId="8" applyNumberFormat="0" applyFont="0" applyAlignment="0" applyProtection="0"/>
    <xf numFmtId="0" fontId="88" fillId="67" borderId="52" applyNumberFormat="0" applyFont="0" applyAlignment="0" applyProtection="0"/>
    <xf numFmtId="0" fontId="52" fillId="67" borderId="52" applyNumberFormat="0" applyFont="0" applyAlignment="0" applyProtection="0"/>
    <xf numFmtId="0" fontId="88" fillId="67" borderId="52" applyNumberFormat="0" applyFont="0" applyAlignment="0" applyProtection="0"/>
    <xf numFmtId="0" fontId="52" fillId="67" borderId="52" applyNumberFormat="0" applyFont="0" applyAlignment="0" applyProtection="0"/>
    <xf numFmtId="0" fontId="88" fillId="67" borderId="52" applyNumberFormat="0" applyFont="0" applyAlignment="0" applyProtection="0"/>
    <xf numFmtId="0" fontId="52" fillId="67" borderId="52" applyNumberFormat="0" applyFont="0" applyAlignment="0" applyProtection="0"/>
    <xf numFmtId="0" fontId="88" fillId="67" borderId="52" applyNumberFormat="0" applyFont="0" applyAlignment="0" applyProtection="0"/>
    <xf numFmtId="0" fontId="52" fillId="67" borderId="52" applyNumberFormat="0" applyFont="0" applyAlignment="0" applyProtection="0"/>
    <xf numFmtId="0" fontId="23" fillId="7" borderId="8" applyNumberFormat="0" applyFont="0" applyAlignment="0" applyProtection="0"/>
    <xf numFmtId="0" fontId="52" fillId="7" borderId="8" applyNumberFormat="0" applyFont="0" applyAlignment="0" applyProtection="0"/>
    <xf numFmtId="204" fontId="37" fillId="0" borderId="0">
      <protection locked="0"/>
    </xf>
    <xf numFmtId="9" fontId="32" fillId="0" borderId="0" applyFont="0" applyFill="0" applyBorder="0" applyAlignment="0" applyProtection="0"/>
    <xf numFmtId="9" fontId="23" fillId="0" borderId="0" applyNumberFormat="0" applyFill="0" applyBorder="0" applyAlignment="0" applyProtection="0"/>
    <xf numFmtId="9" fontId="23" fillId="0" borderId="0" applyFont="0" applyFill="0" applyBorder="0" applyAlignment="0" applyProtection="0"/>
    <xf numFmtId="189" fontId="42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90" fontId="42" fillId="0" borderId="0">
      <protection locked="0"/>
    </xf>
    <xf numFmtId="190" fontId="37" fillId="0" borderId="0">
      <protection locked="0"/>
    </xf>
    <xf numFmtId="190" fontId="37" fillId="0" borderId="0">
      <protection locked="0"/>
    </xf>
    <xf numFmtId="190" fontId="37" fillId="0" borderId="0">
      <protection locked="0"/>
    </xf>
    <xf numFmtId="190" fontId="37" fillId="0" borderId="0">
      <protection locked="0"/>
    </xf>
    <xf numFmtId="190" fontId="37" fillId="0" borderId="0">
      <protection locked="0"/>
    </xf>
    <xf numFmtId="190" fontId="37" fillId="0" borderId="0">
      <protection locked="0"/>
    </xf>
    <xf numFmtId="190" fontId="37" fillId="0" borderId="0">
      <protection locked="0"/>
    </xf>
    <xf numFmtId="190" fontId="37" fillId="0" borderId="0">
      <protection locked="0"/>
    </xf>
    <xf numFmtId="190" fontId="37" fillId="0" borderId="0">
      <protection locked="0"/>
    </xf>
    <xf numFmtId="190" fontId="37" fillId="0" borderId="0">
      <protection locked="0"/>
    </xf>
    <xf numFmtId="190" fontId="37" fillId="0" borderId="0">
      <protection locked="0"/>
    </xf>
    <xf numFmtId="190" fontId="37" fillId="0" borderId="0">
      <protection locked="0"/>
    </xf>
    <xf numFmtId="190" fontId="37" fillId="0" borderId="0">
      <protection locked="0"/>
    </xf>
    <xf numFmtId="9" fontId="22" fillId="0" borderId="0" applyFont="0" applyFill="0" applyBorder="0" applyAlignment="0" applyProtection="0"/>
    <xf numFmtId="186" fontId="23" fillId="0" borderId="0">
      <protection locked="0"/>
    </xf>
    <xf numFmtId="186" fontId="23" fillId="0" borderId="0">
      <protection locked="0"/>
    </xf>
    <xf numFmtId="186" fontId="23" fillId="0" borderId="0">
      <protection locked="0"/>
    </xf>
    <xf numFmtId="186" fontId="23" fillId="0" borderId="0">
      <protection locked="0"/>
    </xf>
    <xf numFmtId="186" fontId="23" fillId="0" borderId="0">
      <protection locked="0"/>
    </xf>
    <xf numFmtId="186" fontId="23" fillId="0" borderId="0">
      <protection locked="0"/>
    </xf>
    <xf numFmtId="186" fontId="23" fillId="0" borderId="0">
      <protection locked="0"/>
    </xf>
    <xf numFmtId="186" fontId="23" fillId="0" borderId="0">
      <protection locked="0"/>
    </xf>
    <xf numFmtId="186" fontId="23" fillId="0" borderId="0">
      <protection locked="0"/>
    </xf>
    <xf numFmtId="186" fontId="23" fillId="0" borderId="0">
      <protection locked="0"/>
    </xf>
    <xf numFmtId="9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3" fillId="0" borderId="0" applyNumberForma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86" fontId="23" fillId="0" borderId="0">
      <protection locked="0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NumberFormat="0" applyFill="0" applyBorder="0" applyAlignment="0" applyProtection="0"/>
    <xf numFmtId="186" fontId="23" fillId="0" borderId="0">
      <protection locked="0"/>
    </xf>
    <xf numFmtId="9" fontId="6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89" fillId="0" borderId="0" applyFont="0" applyFill="0" applyBorder="0" applyAlignment="0" applyProtection="0"/>
    <xf numFmtId="186" fontId="23" fillId="0" borderId="0">
      <protection locked="0"/>
    </xf>
    <xf numFmtId="9" fontId="85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186" fontId="23" fillId="0" borderId="0">
      <protection locked="0"/>
    </xf>
    <xf numFmtId="186" fontId="23" fillId="0" borderId="0">
      <protection locked="0"/>
    </xf>
    <xf numFmtId="9" fontId="23" fillId="0" borderId="0" applyFont="0" applyFill="0" applyBorder="0" applyAlignment="0" applyProtection="0"/>
    <xf numFmtId="186" fontId="23" fillId="0" borderId="0">
      <protection locked="0"/>
    </xf>
    <xf numFmtId="186" fontId="23" fillId="0" borderId="0">
      <protection locked="0"/>
    </xf>
    <xf numFmtId="186" fontId="23" fillId="0" borderId="0">
      <protection locked="0"/>
    </xf>
    <xf numFmtId="186" fontId="23" fillId="0" borderId="0">
      <protection locked="0"/>
    </xf>
    <xf numFmtId="186" fontId="23" fillId="0" borderId="0">
      <protection locked="0"/>
    </xf>
    <xf numFmtId="186" fontId="23" fillId="0" borderId="0">
      <protection locked="0"/>
    </xf>
    <xf numFmtId="186" fontId="23" fillId="0" borderId="0">
      <protection locked="0"/>
    </xf>
    <xf numFmtId="186" fontId="23" fillId="0" borderId="0">
      <protection locked="0"/>
    </xf>
    <xf numFmtId="186" fontId="23" fillId="0" borderId="0">
      <protection locked="0"/>
    </xf>
    <xf numFmtId="186" fontId="23" fillId="0" borderId="0">
      <protection locked="0"/>
    </xf>
    <xf numFmtId="186" fontId="23" fillId="0" borderId="0">
      <protection locked="0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38" fontId="40" fillId="0" borderId="0"/>
    <xf numFmtId="0" fontId="103" fillId="56" borderId="53" applyNumberFormat="0" applyAlignment="0" applyProtection="0"/>
    <xf numFmtId="0" fontId="73" fillId="21" borderId="9" applyNumberFormat="0" applyAlignment="0" applyProtection="0"/>
    <xf numFmtId="0" fontId="73" fillId="21" borderId="9" applyNumberFormat="0" applyAlignment="0" applyProtection="0"/>
    <xf numFmtId="0" fontId="73" fillId="21" borderId="9" applyNumberFormat="0" applyAlignment="0" applyProtection="0"/>
    <xf numFmtId="0" fontId="73" fillId="9" borderId="9" applyNumberFormat="0" applyAlignment="0" applyProtection="0"/>
    <xf numFmtId="0" fontId="23" fillId="0" borderId="0"/>
    <xf numFmtId="0" fontId="28" fillId="28" borderId="10" applyNumberFormat="0" applyProtection="0">
      <alignment horizontal="center" wrapText="1"/>
    </xf>
    <xf numFmtId="0" fontId="28" fillId="28" borderId="10" applyNumberFormat="0" applyProtection="0">
      <alignment horizontal="center" wrapText="1"/>
    </xf>
    <xf numFmtId="0" fontId="28" fillId="28" borderId="11" applyNumberFormat="0" applyAlignment="0" applyProtection="0">
      <alignment wrapText="1"/>
    </xf>
    <xf numFmtId="0" fontId="28" fillId="28" borderId="11" applyNumberFormat="0" applyAlignment="0" applyProtection="0">
      <alignment wrapText="1"/>
    </xf>
    <xf numFmtId="0" fontId="23" fillId="29" borderId="0" applyNumberFormat="0" applyBorder="0">
      <alignment horizontal="center" wrapText="1"/>
    </xf>
    <xf numFmtId="0" fontId="23" fillId="29" borderId="0" applyNumberFormat="0" applyBorder="0">
      <alignment horizontal="center" wrapText="1"/>
    </xf>
    <xf numFmtId="0" fontId="23" fillId="29" borderId="0" applyNumberFormat="0" applyBorder="0">
      <alignment wrapText="1"/>
    </xf>
    <xf numFmtId="0" fontId="23" fillId="29" borderId="0" applyNumberFormat="0" applyBorder="0">
      <alignment wrapText="1"/>
    </xf>
    <xf numFmtId="0" fontId="23" fillId="0" borderId="0" applyNumberFormat="0" applyFill="0" applyBorder="0" applyProtection="0">
      <alignment horizontal="right" wrapText="1"/>
    </xf>
    <xf numFmtId="0" fontId="23" fillId="0" borderId="0" applyNumberFormat="0" applyFill="0" applyBorder="0" applyProtection="0">
      <alignment horizontal="right" wrapText="1"/>
    </xf>
    <xf numFmtId="191" fontId="23" fillId="0" borderId="0" applyFill="0" applyBorder="0" applyAlignment="0" applyProtection="0">
      <alignment wrapText="1"/>
    </xf>
    <xf numFmtId="191" fontId="23" fillId="0" borderId="0" applyFill="0" applyBorder="0" applyAlignment="0" applyProtection="0">
      <alignment wrapText="1"/>
    </xf>
    <xf numFmtId="0" fontId="23" fillId="0" borderId="0" applyNumberFormat="0" applyFill="0" applyBorder="0" applyProtection="0">
      <alignment horizontal="right" wrapText="1"/>
    </xf>
    <xf numFmtId="0" fontId="23" fillId="0" borderId="0" applyNumberFormat="0" applyFill="0" applyBorder="0" applyProtection="0">
      <alignment horizontal="right" wrapText="1"/>
    </xf>
    <xf numFmtId="0" fontId="23" fillId="0" borderId="0" applyNumberFormat="0" applyFill="0" applyBorder="0">
      <alignment horizontal="right" wrapText="1"/>
    </xf>
    <xf numFmtId="0" fontId="23" fillId="0" borderId="0" applyNumberFormat="0" applyFill="0" applyBorder="0">
      <alignment horizontal="right" wrapText="1"/>
    </xf>
    <xf numFmtId="17" fontId="23" fillId="0" borderId="0" applyFill="0" applyBorder="0">
      <alignment horizontal="right" wrapText="1"/>
    </xf>
    <xf numFmtId="17" fontId="23" fillId="0" borderId="0" applyFill="0" applyBorder="0">
      <alignment horizontal="right" wrapText="1"/>
    </xf>
    <xf numFmtId="170" fontId="23" fillId="0" borderId="0" applyFill="0" applyBorder="0" applyAlignment="0" applyProtection="0">
      <alignment wrapText="1"/>
    </xf>
    <xf numFmtId="170" fontId="23" fillId="0" borderId="0" applyFill="0" applyBorder="0" applyAlignment="0" applyProtection="0">
      <alignment wrapText="1"/>
    </xf>
    <xf numFmtId="0" fontId="34" fillId="0" borderId="0" applyNumberFormat="0" applyFill="0" applyBorder="0">
      <alignment horizontal="left" wrapText="1"/>
    </xf>
    <xf numFmtId="0" fontId="34" fillId="0" borderId="0" applyNumberFormat="0" applyFill="0" applyBorder="0">
      <alignment horizontal="center" wrapText="1"/>
    </xf>
    <xf numFmtId="0" fontId="28" fillId="0" borderId="0" applyNumberFormat="0" applyFill="0" applyBorder="0">
      <alignment horizontal="center" wrapText="1"/>
    </xf>
    <xf numFmtId="0" fontId="28" fillId="0" borderId="0" applyNumberFormat="0" applyFill="0" applyBorder="0">
      <alignment horizontal="center" wrapText="1"/>
    </xf>
    <xf numFmtId="0" fontId="28" fillId="0" borderId="0" applyNumberFormat="0" applyFill="0" applyBorder="0">
      <alignment horizontal="center" wrapText="1"/>
    </xf>
    <xf numFmtId="0" fontId="28" fillId="0" borderId="0" applyNumberFormat="0" applyFill="0" applyBorder="0">
      <alignment horizontal="center" wrapText="1"/>
    </xf>
    <xf numFmtId="0" fontId="28" fillId="0" borderId="0" applyNumberFormat="0" applyFill="0" applyBorder="0">
      <alignment horizontal="center" wrapText="1"/>
    </xf>
    <xf numFmtId="0" fontId="28" fillId="0" borderId="0" applyNumberFormat="0" applyFill="0" applyBorder="0">
      <alignment horizontal="center" wrapText="1"/>
    </xf>
    <xf numFmtId="0" fontId="28" fillId="0" borderId="0" applyNumberFormat="0" applyFill="0" applyBorder="0">
      <alignment horizontal="center" wrapText="1"/>
    </xf>
    <xf numFmtId="0" fontId="28" fillId="0" borderId="0" applyNumberFormat="0" applyFill="0" applyBorder="0">
      <alignment horizontal="center" wrapText="1"/>
    </xf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81" fillId="0" borderId="12" applyNumberFormat="0" applyFill="0" applyAlignment="0" applyProtection="0"/>
    <xf numFmtId="0" fontId="81" fillId="0" borderId="12" applyNumberFormat="0" applyFill="0" applyAlignment="0" applyProtection="0"/>
    <xf numFmtId="0" fontId="81" fillId="0" borderId="12" applyNumberFormat="0" applyFill="0" applyAlignment="0" applyProtection="0"/>
    <xf numFmtId="0" fontId="82" fillId="0" borderId="13" applyNumberFormat="0" applyFill="0" applyAlignment="0" applyProtection="0"/>
    <xf numFmtId="0" fontId="82" fillId="0" borderId="13" applyNumberFormat="0" applyFill="0" applyAlignment="0" applyProtection="0"/>
    <xf numFmtId="0" fontId="82" fillId="0" borderId="13" applyNumberFormat="0" applyFill="0" applyAlignment="0" applyProtection="0"/>
    <xf numFmtId="0" fontId="63" fillId="0" borderId="7" applyNumberFormat="0" applyFill="0" applyAlignment="0" applyProtection="0"/>
    <xf numFmtId="0" fontId="106" fillId="0" borderId="54" applyNumberFormat="0" applyFill="0" applyAlignment="0" applyProtection="0"/>
    <xf numFmtId="0" fontId="78" fillId="0" borderId="15" applyNumberFormat="0" applyFill="0" applyAlignment="0" applyProtection="0"/>
    <xf numFmtId="0" fontId="78" fillId="0" borderId="15" applyNumberFormat="0" applyFill="0" applyAlignment="0" applyProtection="0"/>
    <xf numFmtId="0" fontId="78" fillId="0" borderId="15" applyNumberFormat="0" applyFill="0" applyAlignment="0" applyProtection="0"/>
    <xf numFmtId="0" fontId="60" fillId="0" borderId="14" applyNumberFormat="0" applyFill="0" applyAlignment="0" applyProtection="0"/>
    <xf numFmtId="0" fontId="97" fillId="0" borderId="55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192" fontId="45" fillId="0" borderId="0">
      <protection locked="0"/>
    </xf>
    <xf numFmtId="192" fontId="38" fillId="0" borderId="0">
      <protection locked="0"/>
    </xf>
    <xf numFmtId="192" fontId="38" fillId="0" borderId="0">
      <protection locked="0"/>
    </xf>
    <xf numFmtId="192" fontId="38" fillId="0" borderId="0">
      <protection locked="0"/>
    </xf>
    <xf numFmtId="192" fontId="38" fillId="0" borderId="0">
      <protection locked="0"/>
    </xf>
    <xf numFmtId="192" fontId="38" fillId="0" borderId="0">
      <protection locked="0"/>
    </xf>
    <xf numFmtId="192" fontId="38" fillId="0" borderId="0">
      <protection locked="0"/>
    </xf>
    <xf numFmtId="192" fontId="38" fillId="0" borderId="0">
      <protection locked="0"/>
    </xf>
    <xf numFmtId="192" fontId="38" fillId="0" borderId="0">
      <protection locked="0"/>
    </xf>
    <xf numFmtId="192" fontId="38" fillId="0" borderId="0">
      <protection locked="0"/>
    </xf>
    <xf numFmtId="192" fontId="38" fillId="0" borderId="0">
      <protection locked="0"/>
    </xf>
    <xf numFmtId="192" fontId="38" fillId="0" borderId="0">
      <protection locked="0"/>
    </xf>
    <xf numFmtId="192" fontId="38" fillId="0" borderId="0">
      <protection locked="0"/>
    </xf>
    <xf numFmtId="192" fontId="38" fillId="0" borderId="0">
      <protection locked="0"/>
    </xf>
    <xf numFmtId="192" fontId="45" fillId="0" borderId="0">
      <protection locked="0"/>
    </xf>
    <xf numFmtId="192" fontId="38" fillId="0" borderId="0">
      <protection locked="0"/>
    </xf>
    <xf numFmtId="192" fontId="38" fillId="0" borderId="0">
      <protection locked="0"/>
    </xf>
    <xf numFmtId="192" fontId="38" fillId="0" borderId="0">
      <protection locked="0"/>
    </xf>
    <xf numFmtId="192" fontId="38" fillId="0" borderId="0">
      <protection locked="0"/>
    </xf>
    <xf numFmtId="192" fontId="38" fillId="0" borderId="0">
      <protection locked="0"/>
    </xf>
    <xf numFmtId="192" fontId="38" fillId="0" borderId="0">
      <protection locked="0"/>
    </xf>
    <xf numFmtId="192" fontId="38" fillId="0" borderId="0">
      <protection locked="0"/>
    </xf>
    <xf numFmtId="192" fontId="38" fillId="0" borderId="0">
      <protection locked="0"/>
    </xf>
    <xf numFmtId="192" fontId="38" fillId="0" borderId="0">
      <protection locked="0"/>
    </xf>
    <xf numFmtId="192" fontId="38" fillId="0" borderId="0">
      <protection locked="0"/>
    </xf>
    <xf numFmtId="192" fontId="38" fillId="0" borderId="0">
      <protection locked="0"/>
    </xf>
    <xf numFmtId="192" fontId="38" fillId="0" borderId="0">
      <protection locked="0"/>
    </xf>
    <xf numFmtId="192" fontId="38" fillId="0" borderId="0">
      <protection locked="0"/>
    </xf>
    <xf numFmtId="0" fontId="37" fillId="0" borderId="16">
      <protection locked="0"/>
    </xf>
    <xf numFmtId="0" fontId="37" fillId="0" borderId="16">
      <protection locked="0"/>
    </xf>
    <xf numFmtId="0" fontId="37" fillId="0" borderId="16">
      <protection locked="0"/>
    </xf>
    <xf numFmtId="0" fontId="37" fillId="0" borderId="16">
      <protection locked="0"/>
    </xf>
    <xf numFmtId="0" fontId="37" fillId="0" borderId="16">
      <protection locked="0"/>
    </xf>
    <xf numFmtId="0" fontId="37" fillId="0" borderId="16">
      <protection locked="0"/>
    </xf>
    <xf numFmtId="0" fontId="37" fillId="0" borderId="16">
      <protection locked="0"/>
    </xf>
    <xf numFmtId="0" fontId="37" fillId="0" borderId="16">
      <protection locked="0"/>
    </xf>
    <xf numFmtId="0" fontId="37" fillId="0" borderId="16">
      <protection locked="0"/>
    </xf>
    <xf numFmtId="0" fontId="37" fillId="0" borderId="16">
      <protection locked="0"/>
    </xf>
    <xf numFmtId="0" fontId="37" fillId="0" borderId="16">
      <protection locked="0"/>
    </xf>
    <xf numFmtId="0" fontId="37" fillId="0" borderId="16">
      <protection locked="0"/>
    </xf>
    <xf numFmtId="0" fontId="37" fillId="0" borderId="16">
      <protection locked="0"/>
    </xf>
    <xf numFmtId="0" fontId="37" fillId="0" borderId="16">
      <protection locked="0"/>
    </xf>
    <xf numFmtId="0" fontId="37" fillId="0" borderId="16">
      <protection locked="0"/>
    </xf>
    <xf numFmtId="0" fontId="37" fillId="0" borderId="16">
      <protection locked="0"/>
    </xf>
    <xf numFmtId="0" fontId="37" fillId="0" borderId="16">
      <protection locked="0"/>
    </xf>
    <xf numFmtId="0" fontId="37" fillId="0" borderId="16">
      <protection locked="0"/>
    </xf>
    <xf numFmtId="0" fontId="37" fillId="0" borderId="16">
      <protection locked="0"/>
    </xf>
    <xf numFmtId="0" fontId="37" fillId="0" borderId="16">
      <protection locked="0"/>
    </xf>
    <xf numFmtId="0" fontId="42" fillId="0" borderId="16">
      <protection locked="0"/>
    </xf>
    <xf numFmtId="0" fontId="37" fillId="0" borderId="16">
      <protection locked="0"/>
    </xf>
    <xf numFmtId="0" fontId="37" fillId="0" borderId="16">
      <protection locked="0"/>
    </xf>
    <xf numFmtId="0" fontId="37" fillId="0" borderId="16">
      <protection locked="0"/>
    </xf>
    <xf numFmtId="0" fontId="37" fillId="0" borderId="16">
      <protection locked="0"/>
    </xf>
    <xf numFmtId="0" fontId="108" fillId="0" borderId="56" applyNumberFormat="0" applyFill="0" applyAlignment="0" applyProtection="0"/>
    <xf numFmtId="0" fontId="42" fillId="0" borderId="16">
      <protection locked="0"/>
    </xf>
    <xf numFmtId="0" fontId="37" fillId="0" borderId="16">
      <protection locked="0"/>
    </xf>
    <xf numFmtId="0" fontId="42" fillId="0" borderId="16">
      <protection locked="0"/>
    </xf>
    <xf numFmtId="0" fontId="37" fillId="0" borderId="16">
      <protection locked="0"/>
    </xf>
    <xf numFmtId="0" fontId="42" fillId="0" borderId="16">
      <protection locked="0"/>
    </xf>
    <xf numFmtId="0" fontId="37" fillId="0" borderId="16">
      <protection locked="0"/>
    </xf>
    <xf numFmtId="0" fontId="42" fillId="0" borderId="16">
      <protection locked="0"/>
    </xf>
    <xf numFmtId="0" fontId="37" fillId="0" borderId="16">
      <protection locked="0"/>
    </xf>
    <xf numFmtId="0" fontId="42" fillId="0" borderId="16">
      <protection locked="0"/>
    </xf>
    <xf numFmtId="0" fontId="37" fillId="0" borderId="16">
      <protection locked="0"/>
    </xf>
    <xf numFmtId="0" fontId="37" fillId="0" borderId="16">
      <protection locked="0"/>
    </xf>
    <xf numFmtId="0" fontId="37" fillId="0" borderId="16">
      <protection locked="0"/>
    </xf>
    <xf numFmtId="0" fontId="37" fillId="0" borderId="16">
      <protection locked="0"/>
    </xf>
    <xf numFmtId="0" fontId="37" fillId="0" borderId="16">
      <protection locked="0"/>
    </xf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0" fontId="22" fillId="0" borderId="0"/>
    <xf numFmtId="0" fontId="22" fillId="0" borderId="0"/>
    <xf numFmtId="0" fontId="111" fillId="0" borderId="0"/>
    <xf numFmtId="0" fontId="21" fillId="0" borderId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NumberFormat="0" applyFill="0" applyBorder="0" applyAlignment="0" applyProtection="0"/>
    <xf numFmtId="43" fontId="23" fillId="0" borderId="0" applyNumberFormat="0" applyFill="0" applyBorder="0" applyAlignment="0" applyProtection="0"/>
    <xf numFmtId="43" fontId="23" fillId="0" borderId="0" applyNumberFormat="0" applyFill="0" applyBorder="0" applyAlignment="0" applyProtection="0"/>
    <xf numFmtId="43" fontId="23" fillId="0" borderId="0" applyNumberFormat="0" applyFill="0" applyBorder="0" applyAlignment="0" applyProtection="0"/>
    <xf numFmtId="43" fontId="23" fillId="0" borderId="0" applyNumberFormat="0" applyFill="0" applyBorder="0" applyAlignment="0" applyProtection="0"/>
    <xf numFmtId="43" fontId="23" fillId="0" borderId="0" applyNumberFormat="0" applyFill="0" applyBorder="0" applyAlignment="0" applyProtection="0"/>
    <xf numFmtId="43" fontId="23" fillId="0" borderId="0" applyNumberForma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4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0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88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0" fontId="20" fillId="0" borderId="0"/>
    <xf numFmtId="0" fontId="22" fillId="0" borderId="0"/>
    <xf numFmtId="0" fontId="20" fillId="0" borderId="0"/>
    <xf numFmtId="0" fontId="20" fillId="0" borderId="0"/>
    <xf numFmtId="15" fontId="20" fillId="0" borderId="0"/>
    <xf numFmtId="15" fontId="20" fillId="0" borderId="0"/>
    <xf numFmtId="15" fontId="20" fillId="0" borderId="0"/>
    <xf numFmtId="15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12" fillId="0" borderId="0"/>
    <xf numFmtId="0" fontId="18" fillId="0" borderId="0"/>
    <xf numFmtId="0" fontId="17" fillId="0" borderId="0"/>
    <xf numFmtId="0" fontId="115" fillId="0" borderId="0"/>
    <xf numFmtId="171" fontId="23" fillId="0" borderId="0" applyFont="0" applyFill="0" applyBorder="0" applyAlignment="0" applyProtection="0"/>
    <xf numFmtId="43" fontId="16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223" fontId="16" fillId="0" borderId="0" applyFont="0" applyFill="0" applyBorder="0" applyAlignment="0" applyProtection="0"/>
    <xf numFmtId="0" fontId="16" fillId="0" borderId="0"/>
    <xf numFmtId="0" fontId="23" fillId="0" borderId="0"/>
    <xf numFmtId="0" fontId="23" fillId="0" borderId="0"/>
    <xf numFmtId="0" fontId="23" fillId="0" borderId="0"/>
    <xf numFmtId="15" fontId="16" fillId="0" borderId="0"/>
    <xf numFmtId="15" fontId="16" fillId="0" borderId="0"/>
    <xf numFmtId="0" fontId="16" fillId="0" borderId="0"/>
    <xf numFmtId="0" fontId="8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NumberFormat="0" applyFill="0" applyBorder="0" applyAlignment="0" applyProtection="0"/>
    <xf numFmtId="174" fontId="22" fillId="0" borderId="0" applyFont="0" applyFill="0" applyBorder="0" applyAlignment="0" applyProtection="0"/>
    <xf numFmtId="41" fontId="2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174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219" fontId="1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219" fontId="16" fillId="0" borderId="0" applyFont="0" applyFill="0" applyBorder="0" applyAlignment="0" applyProtection="0"/>
    <xf numFmtId="21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16" fillId="0" borderId="0"/>
    <xf numFmtId="15" fontId="16" fillId="0" borderId="0"/>
    <xf numFmtId="15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71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14" fillId="0" borderId="0" applyNumberFormat="0" applyFill="0" applyBorder="0" applyAlignment="0" applyProtection="0"/>
    <xf numFmtId="0" fontId="16" fillId="37" borderId="0" applyNumberFormat="0" applyBorder="0" applyAlignment="0" applyProtection="0"/>
    <xf numFmtId="0" fontId="16" fillId="43" borderId="0" applyNumberFormat="0" applyBorder="0" applyAlignment="0" applyProtection="0"/>
    <xf numFmtId="0" fontId="16" fillId="38" borderId="0" applyNumberFormat="0" applyBorder="0" applyAlignment="0" applyProtection="0"/>
    <xf numFmtId="0" fontId="16" fillId="44" borderId="0" applyNumberFormat="0" applyBorder="0" applyAlignment="0" applyProtection="0"/>
    <xf numFmtId="0" fontId="16" fillId="39" borderId="0" applyNumberFormat="0" applyBorder="0" applyAlignment="0" applyProtection="0"/>
    <xf numFmtId="0" fontId="16" fillId="45" borderId="0" applyNumberFormat="0" applyBorder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67" borderId="52" applyNumberFormat="0" applyFont="0" applyAlignment="0" applyProtection="0"/>
    <xf numFmtId="0" fontId="16" fillId="0" borderId="0"/>
    <xf numFmtId="0" fontId="16" fillId="37" borderId="0" applyNumberFormat="0" applyBorder="0" applyAlignment="0" applyProtection="0"/>
    <xf numFmtId="0" fontId="16" fillId="43" borderId="0" applyNumberFormat="0" applyBorder="0" applyAlignment="0" applyProtection="0"/>
    <xf numFmtId="0" fontId="16" fillId="38" borderId="0" applyNumberFormat="0" applyBorder="0" applyAlignment="0" applyProtection="0"/>
    <xf numFmtId="0" fontId="16" fillId="44" borderId="0" applyNumberFormat="0" applyBorder="0" applyAlignment="0" applyProtection="0"/>
    <xf numFmtId="0" fontId="16" fillId="39" borderId="0" applyNumberFormat="0" applyBorder="0" applyAlignment="0" applyProtection="0"/>
    <xf numFmtId="0" fontId="16" fillId="45" borderId="0" applyNumberFormat="0" applyBorder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67" borderId="52" applyNumberFormat="0" applyFont="0" applyAlignment="0" applyProtection="0"/>
    <xf numFmtId="0" fontId="16" fillId="0" borderId="0"/>
    <xf numFmtId="0" fontId="16" fillId="37" borderId="0" applyNumberFormat="0" applyBorder="0" applyAlignment="0" applyProtection="0"/>
    <xf numFmtId="0" fontId="16" fillId="43" borderId="0" applyNumberFormat="0" applyBorder="0" applyAlignment="0" applyProtection="0"/>
    <xf numFmtId="0" fontId="16" fillId="38" borderId="0" applyNumberFormat="0" applyBorder="0" applyAlignment="0" applyProtection="0"/>
    <xf numFmtId="0" fontId="16" fillId="44" borderId="0" applyNumberFormat="0" applyBorder="0" applyAlignment="0" applyProtection="0"/>
    <xf numFmtId="0" fontId="16" fillId="39" borderId="0" applyNumberFormat="0" applyBorder="0" applyAlignment="0" applyProtection="0"/>
    <xf numFmtId="0" fontId="16" fillId="45" borderId="0" applyNumberFormat="0" applyBorder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67" borderId="52" applyNumberFormat="0" applyFont="0" applyAlignment="0" applyProtection="0"/>
    <xf numFmtId="0" fontId="16" fillId="0" borderId="0"/>
    <xf numFmtId="0" fontId="16" fillId="37" borderId="0" applyNumberFormat="0" applyBorder="0" applyAlignment="0" applyProtection="0"/>
    <xf numFmtId="0" fontId="16" fillId="43" borderId="0" applyNumberFormat="0" applyBorder="0" applyAlignment="0" applyProtection="0"/>
    <xf numFmtId="0" fontId="16" fillId="38" borderId="0" applyNumberFormat="0" applyBorder="0" applyAlignment="0" applyProtection="0"/>
    <xf numFmtId="0" fontId="16" fillId="44" borderId="0" applyNumberFormat="0" applyBorder="0" applyAlignment="0" applyProtection="0"/>
    <xf numFmtId="0" fontId="16" fillId="39" borderId="0" applyNumberFormat="0" applyBorder="0" applyAlignment="0" applyProtection="0"/>
    <xf numFmtId="0" fontId="16" fillId="45" borderId="0" applyNumberFormat="0" applyBorder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67" borderId="52" applyNumberFormat="0" applyFont="0" applyAlignment="0" applyProtection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22" fillId="0" borderId="0"/>
    <xf numFmtId="171" fontId="23" fillId="0" borderId="0" applyFont="0" applyFill="0" applyBorder="0" applyAlignment="0" applyProtection="0"/>
    <xf numFmtId="207" fontId="23" fillId="0" borderId="0" applyFont="0" applyFill="0" applyBorder="0" applyAlignment="0" applyProtection="0"/>
    <xf numFmtId="0" fontId="43" fillId="0" borderId="0"/>
    <xf numFmtId="0" fontId="16" fillId="0" borderId="0"/>
    <xf numFmtId="0" fontId="16" fillId="0" borderId="0"/>
    <xf numFmtId="0" fontId="83" fillId="0" borderId="0"/>
    <xf numFmtId="9" fontId="23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25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207" fontId="23" fillId="0" borderId="0" applyFont="0" applyFill="0" applyBorder="0" applyAlignment="0" applyProtection="0"/>
    <xf numFmtId="0" fontId="16" fillId="0" borderId="0"/>
    <xf numFmtId="0" fontId="16" fillId="0" borderId="0"/>
    <xf numFmtId="9" fontId="23" fillId="0" borderId="0" applyFont="0" applyFill="0" applyBorder="0" applyAlignment="0" applyProtection="0"/>
    <xf numFmtId="0" fontId="16" fillId="0" borderId="0"/>
    <xf numFmtId="0" fontId="16" fillId="0" borderId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NumberFormat="0" applyFill="0" applyBorder="0" applyAlignment="0" applyProtection="0"/>
    <xf numFmtId="43" fontId="23" fillId="0" borderId="0" applyNumberFormat="0" applyFill="0" applyBorder="0" applyAlignment="0" applyProtection="0"/>
    <xf numFmtId="43" fontId="23" fillId="0" borderId="0" applyNumberFormat="0" applyFill="0" applyBorder="0" applyAlignment="0" applyProtection="0"/>
    <xf numFmtId="43" fontId="23" fillId="0" borderId="0" applyNumberFormat="0" applyFill="0" applyBorder="0" applyAlignment="0" applyProtection="0"/>
    <xf numFmtId="43" fontId="23" fillId="0" borderId="0" applyNumberFormat="0" applyFill="0" applyBorder="0" applyAlignment="0" applyProtection="0"/>
    <xf numFmtId="43" fontId="23" fillId="0" borderId="0" applyNumberFormat="0" applyFill="0" applyBorder="0" applyAlignment="0" applyProtection="0"/>
    <xf numFmtId="43" fontId="23" fillId="0" borderId="0" applyNumberFormat="0" applyFill="0" applyBorder="0" applyAlignment="0" applyProtection="0"/>
    <xf numFmtId="43" fontId="23" fillId="0" borderId="0" applyNumberFormat="0" applyFill="0" applyBorder="0" applyAlignment="0" applyProtection="0"/>
    <xf numFmtId="174" fontId="22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5" fontId="15" fillId="0" borderId="0"/>
    <xf numFmtId="15" fontId="15" fillId="0" borderId="0"/>
    <xf numFmtId="15" fontId="15" fillId="0" borderId="0"/>
    <xf numFmtId="15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NumberFormat="0" applyFill="0" applyBorder="0" applyAlignment="0" applyProtection="0"/>
    <xf numFmtId="43" fontId="23" fillId="0" borderId="0" applyNumberFormat="0" applyFill="0" applyBorder="0" applyAlignment="0" applyProtection="0"/>
    <xf numFmtId="43" fontId="23" fillId="0" borderId="0" applyNumberFormat="0" applyFill="0" applyBorder="0" applyAlignment="0" applyProtection="0"/>
    <xf numFmtId="43" fontId="23" fillId="0" borderId="0" applyNumberFormat="0" applyFill="0" applyBorder="0" applyAlignment="0" applyProtection="0"/>
    <xf numFmtId="43" fontId="23" fillId="0" borderId="0" applyNumberFormat="0" applyFill="0" applyBorder="0" applyAlignment="0" applyProtection="0"/>
    <xf numFmtId="43" fontId="23" fillId="0" borderId="0" applyNumberFormat="0" applyFill="0" applyBorder="0" applyAlignment="0" applyProtection="0"/>
    <xf numFmtId="43" fontId="23" fillId="0" borderId="0" applyNumberForma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5" fontId="15" fillId="0" borderId="0"/>
    <xf numFmtId="15" fontId="15" fillId="0" borderId="0"/>
    <xf numFmtId="15" fontId="15" fillId="0" borderId="0"/>
    <xf numFmtId="15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2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23" fontId="15" fillId="0" borderId="0" applyFont="0" applyFill="0" applyBorder="0" applyAlignment="0" applyProtection="0"/>
    <xf numFmtId="0" fontId="15" fillId="0" borderId="0"/>
    <xf numFmtId="15" fontId="15" fillId="0" borderId="0"/>
    <xf numFmtId="15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3" fillId="0" borderId="0" applyNumberFormat="0" applyFill="0" applyBorder="0" applyAlignment="0" applyProtection="0"/>
    <xf numFmtId="41" fontId="2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3" fillId="0" borderId="0" applyFont="0" applyFill="0" applyBorder="0" applyAlignment="0" applyProtection="0"/>
    <xf numFmtId="219" fontId="1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219" fontId="15" fillId="0" borderId="0" applyFont="0" applyFill="0" applyBorder="0" applyAlignment="0" applyProtection="0"/>
    <xf numFmtId="21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15" fillId="0" borderId="0"/>
    <xf numFmtId="15" fontId="15" fillId="0" borderId="0"/>
    <xf numFmtId="15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37" borderId="0" applyNumberFormat="0" applyBorder="0" applyAlignment="0" applyProtection="0"/>
    <xf numFmtId="0" fontId="15" fillId="43" borderId="0" applyNumberFormat="0" applyBorder="0" applyAlignment="0" applyProtection="0"/>
    <xf numFmtId="0" fontId="15" fillId="38" borderId="0" applyNumberFormat="0" applyBorder="0" applyAlignment="0" applyProtection="0"/>
    <xf numFmtId="0" fontId="15" fillId="44" borderId="0" applyNumberFormat="0" applyBorder="0" applyAlignment="0" applyProtection="0"/>
    <xf numFmtId="0" fontId="15" fillId="39" borderId="0" applyNumberFormat="0" applyBorder="0" applyAlignment="0" applyProtection="0"/>
    <xf numFmtId="0" fontId="15" fillId="45" borderId="0" applyNumberFormat="0" applyBorder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67" borderId="52" applyNumberFormat="0" applyFont="0" applyAlignment="0" applyProtection="0"/>
    <xf numFmtId="0" fontId="15" fillId="0" borderId="0"/>
    <xf numFmtId="0" fontId="15" fillId="37" borderId="0" applyNumberFormat="0" applyBorder="0" applyAlignment="0" applyProtection="0"/>
    <xf numFmtId="0" fontId="15" fillId="43" borderId="0" applyNumberFormat="0" applyBorder="0" applyAlignment="0" applyProtection="0"/>
    <xf numFmtId="0" fontId="15" fillId="38" borderId="0" applyNumberFormat="0" applyBorder="0" applyAlignment="0" applyProtection="0"/>
    <xf numFmtId="0" fontId="15" fillId="44" borderId="0" applyNumberFormat="0" applyBorder="0" applyAlignment="0" applyProtection="0"/>
    <xf numFmtId="0" fontId="15" fillId="39" borderId="0" applyNumberFormat="0" applyBorder="0" applyAlignment="0" applyProtection="0"/>
    <xf numFmtId="0" fontId="15" fillId="45" borderId="0" applyNumberFormat="0" applyBorder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67" borderId="52" applyNumberFormat="0" applyFont="0" applyAlignment="0" applyProtection="0"/>
    <xf numFmtId="0" fontId="15" fillId="0" borderId="0"/>
    <xf numFmtId="0" fontId="15" fillId="37" borderId="0" applyNumberFormat="0" applyBorder="0" applyAlignment="0" applyProtection="0"/>
    <xf numFmtId="0" fontId="15" fillId="43" borderId="0" applyNumberFormat="0" applyBorder="0" applyAlignment="0" applyProtection="0"/>
    <xf numFmtId="0" fontId="15" fillId="38" borderId="0" applyNumberFormat="0" applyBorder="0" applyAlignment="0" applyProtection="0"/>
    <xf numFmtId="0" fontId="15" fillId="44" borderId="0" applyNumberFormat="0" applyBorder="0" applyAlignment="0" applyProtection="0"/>
    <xf numFmtId="0" fontId="15" fillId="39" borderId="0" applyNumberFormat="0" applyBorder="0" applyAlignment="0" applyProtection="0"/>
    <xf numFmtId="0" fontId="15" fillId="45" borderId="0" applyNumberFormat="0" applyBorder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67" borderId="52" applyNumberFormat="0" applyFont="0" applyAlignment="0" applyProtection="0"/>
    <xf numFmtId="0" fontId="15" fillId="0" borderId="0"/>
    <xf numFmtId="0" fontId="15" fillId="37" borderId="0" applyNumberFormat="0" applyBorder="0" applyAlignment="0" applyProtection="0"/>
    <xf numFmtId="0" fontId="15" fillId="43" borderId="0" applyNumberFormat="0" applyBorder="0" applyAlignment="0" applyProtection="0"/>
    <xf numFmtId="0" fontId="15" fillId="38" borderId="0" applyNumberFormat="0" applyBorder="0" applyAlignment="0" applyProtection="0"/>
    <xf numFmtId="0" fontId="15" fillId="44" borderId="0" applyNumberFormat="0" applyBorder="0" applyAlignment="0" applyProtection="0"/>
    <xf numFmtId="0" fontId="15" fillId="39" borderId="0" applyNumberFormat="0" applyBorder="0" applyAlignment="0" applyProtection="0"/>
    <xf numFmtId="0" fontId="15" fillId="45" borderId="0" applyNumberFormat="0" applyBorder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67" borderId="52" applyNumberFormat="0" applyFont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6" fillId="0" borderId="0"/>
    <xf numFmtId="43" fontId="14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223" fontId="14" fillId="0" borderId="0" applyFont="0" applyFill="0" applyBorder="0" applyAlignment="0" applyProtection="0"/>
    <xf numFmtId="0" fontId="14" fillId="0" borderId="0"/>
    <xf numFmtId="15" fontId="14" fillId="0" borderId="0"/>
    <xf numFmtId="15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3" fillId="0" borderId="0" applyNumberFormat="0" applyFill="0" applyBorder="0" applyAlignment="0" applyProtection="0"/>
    <xf numFmtId="41" fontId="2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219" fontId="14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219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14" fillId="0" borderId="0"/>
    <xf numFmtId="15" fontId="14" fillId="0" borderId="0"/>
    <xf numFmtId="15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1" fontId="2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37" borderId="0" applyNumberFormat="0" applyBorder="0" applyAlignment="0" applyProtection="0"/>
    <xf numFmtId="0" fontId="14" fillId="43" borderId="0" applyNumberFormat="0" applyBorder="0" applyAlignment="0" applyProtection="0"/>
    <xf numFmtId="0" fontId="14" fillId="38" borderId="0" applyNumberFormat="0" applyBorder="0" applyAlignment="0" applyProtection="0"/>
    <xf numFmtId="0" fontId="14" fillId="44" borderId="0" applyNumberFormat="0" applyBorder="0" applyAlignment="0" applyProtection="0"/>
    <xf numFmtId="0" fontId="14" fillId="39" borderId="0" applyNumberFormat="0" applyBorder="0" applyAlignment="0" applyProtection="0"/>
    <xf numFmtId="0" fontId="14" fillId="45" borderId="0" applyNumberFormat="0" applyBorder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0" borderId="0"/>
    <xf numFmtId="0" fontId="14" fillId="67" borderId="52" applyNumberFormat="0" applyFont="0" applyAlignment="0" applyProtection="0"/>
    <xf numFmtId="0" fontId="14" fillId="0" borderId="0"/>
    <xf numFmtId="0" fontId="14" fillId="37" borderId="0" applyNumberFormat="0" applyBorder="0" applyAlignment="0" applyProtection="0"/>
    <xf numFmtId="0" fontId="14" fillId="43" borderId="0" applyNumberFormat="0" applyBorder="0" applyAlignment="0" applyProtection="0"/>
    <xf numFmtId="0" fontId="14" fillId="38" borderId="0" applyNumberFormat="0" applyBorder="0" applyAlignment="0" applyProtection="0"/>
    <xf numFmtId="0" fontId="14" fillId="44" borderId="0" applyNumberFormat="0" applyBorder="0" applyAlignment="0" applyProtection="0"/>
    <xf numFmtId="0" fontId="14" fillId="39" borderId="0" applyNumberFormat="0" applyBorder="0" applyAlignment="0" applyProtection="0"/>
    <xf numFmtId="0" fontId="14" fillId="45" borderId="0" applyNumberFormat="0" applyBorder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0" borderId="0"/>
    <xf numFmtId="0" fontId="14" fillId="67" borderId="52" applyNumberFormat="0" applyFont="0" applyAlignment="0" applyProtection="0"/>
    <xf numFmtId="0" fontId="14" fillId="0" borderId="0"/>
    <xf numFmtId="0" fontId="14" fillId="37" borderId="0" applyNumberFormat="0" applyBorder="0" applyAlignment="0" applyProtection="0"/>
    <xf numFmtId="0" fontId="14" fillId="43" borderId="0" applyNumberFormat="0" applyBorder="0" applyAlignment="0" applyProtection="0"/>
    <xf numFmtId="0" fontId="14" fillId="38" borderId="0" applyNumberFormat="0" applyBorder="0" applyAlignment="0" applyProtection="0"/>
    <xf numFmtId="0" fontId="14" fillId="44" borderId="0" applyNumberFormat="0" applyBorder="0" applyAlignment="0" applyProtection="0"/>
    <xf numFmtId="0" fontId="14" fillId="39" borderId="0" applyNumberFormat="0" applyBorder="0" applyAlignment="0" applyProtection="0"/>
    <xf numFmtId="0" fontId="14" fillId="45" borderId="0" applyNumberFormat="0" applyBorder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0" borderId="0"/>
    <xf numFmtId="0" fontId="14" fillId="67" borderId="52" applyNumberFormat="0" applyFont="0" applyAlignment="0" applyProtection="0"/>
    <xf numFmtId="0" fontId="14" fillId="0" borderId="0"/>
    <xf numFmtId="0" fontId="14" fillId="37" borderId="0" applyNumberFormat="0" applyBorder="0" applyAlignment="0" applyProtection="0"/>
    <xf numFmtId="0" fontId="14" fillId="43" borderId="0" applyNumberFormat="0" applyBorder="0" applyAlignment="0" applyProtection="0"/>
    <xf numFmtId="0" fontId="14" fillId="38" borderId="0" applyNumberFormat="0" applyBorder="0" applyAlignment="0" applyProtection="0"/>
    <xf numFmtId="0" fontId="14" fillId="44" borderId="0" applyNumberFormat="0" applyBorder="0" applyAlignment="0" applyProtection="0"/>
    <xf numFmtId="0" fontId="14" fillId="39" borderId="0" applyNumberFormat="0" applyBorder="0" applyAlignment="0" applyProtection="0"/>
    <xf numFmtId="0" fontId="14" fillId="45" borderId="0" applyNumberFormat="0" applyBorder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0" borderId="0"/>
    <xf numFmtId="0" fontId="14" fillId="67" borderId="52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207" fontId="23" fillId="0" borderId="0" applyFont="0" applyFill="0" applyBorder="0" applyAlignment="0" applyProtection="0"/>
    <xf numFmtId="0" fontId="14" fillId="0" borderId="0"/>
    <xf numFmtId="0" fontId="14" fillId="0" borderId="0"/>
    <xf numFmtId="9" fontId="23" fillId="0" borderId="0" applyFont="0" applyFill="0" applyBorder="0" applyAlignment="0" applyProtection="0"/>
    <xf numFmtId="0" fontId="14" fillId="0" borderId="0"/>
    <xf numFmtId="207" fontId="23" fillId="0" borderId="0" applyFont="0" applyFill="0" applyBorder="0" applyAlignment="0" applyProtection="0"/>
    <xf numFmtId="0" fontId="14" fillId="0" borderId="0"/>
    <xf numFmtId="0" fontId="14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3" fillId="0" borderId="0"/>
    <xf numFmtId="0" fontId="119" fillId="0" borderId="0"/>
    <xf numFmtId="169" fontId="23" fillId="0" borderId="0" applyFont="0" applyFill="0" applyBorder="0" applyAlignment="0" applyProtection="0"/>
    <xf numFmtId="0" fontId="41" fillId="22" borderId="2">
      <alignment horizontal="center" vertical="center" wrapText="1"/>
    </xf>
    <xf numFmtId="182" fontId="23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43" fontId="23" fillId="0" borderId="0" applyFont="0" applyFill="0" applyBorder="0" applyAlignment="0" applyProtection="0"/>
    <xf numFmtId="208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2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22" fillId="0" borderId="0"/>
    <xf numFmtId="9" fontId="1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9" fontId="23" fillId="0" borderId="0" applyFont="0" applyFill="0" applyBorder="0" applyAlignment="0" applyProtection="0"/>
    <xf numFmtId="0" fontId="119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9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69" fontId="23" fillId="0" borderId="0" applyFont="0" applyFill="0" applyBorder="0" applyAlignment="0" applyProtection="0"/>
    <xf numFmtId="0" fontId="119" fillId="0" borderId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21" fillId="0" borderId="0"/>
    <xf numFmtId="0" fontId="144" fillId="0" borderId="0"/>
    <xf numFmtId="9" fontId="144" fillId="0" borderId="0" applyFont="0" applyFill="0" applyBorder="0" applyAlignment="0" applyProtection="0"/>
    <xf numFmtId="9" fontId="121" fillId="0" borderId="0" applyFont="0" applyFill="0" applyBorder="0" applyAlignment="0" applyProtection="0"/>
    <xf numFmtId="0" fontId="22" fillId="0" borderId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/>
    <xf numFmtId="169" fontId="2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/>
    <xf numFmtId="169" fontId="23" fillId="0" borderId="0" applyFont="0" applyFill="0" applyBorder="0" applyAlignment="0" applyProtection="0"/>
    <xf numFmtId="237" fontId="22" fillId="0" borderId="0" applyFont="0" applyFill="0" applyBorder="0" applyAlignment="0" applyProtection="0"/>
    <xf numFmtId="237" fontId="22" fillId="0" borderId="0" applyFont="0" applyFill="0" applyBorder="0" applyAlignment="0" applyProtection="0"/>
    <xf numFmtId="237" fontId="22" fillId="0" borderId="0" applyFont="0" applyFill="0" applyBorder="0" applyAlignment="0" applyProtection="0"/>
    <xf numFmtId="237" fontId="22" fillId="0" borderId="0" applyFont="0" applyFill="0" applyBorder="0" applyAlignment="0" applyProtection="0"/>
    <xf numFmtId="237" fontId="22" fillId="0" borderId="0" applyFont="0" applyFill="0" applyBorder="0" applyAlignment="0" applyProtection="0"/>
    <xf numFmtId="237" fontId="22" fillId="0" borderId="0" applyFont="0" applyFill="0" applyBorder="0" applyAlignment="0" applyProtection="0"/>
    <xf numFmtId="237" fontId="22" fillId="0" borderId="0" applyFont="0" applyFill="0" applyBorder="0" applyAlignment="0" applyProtection="0"/>
    <xf numFmtId="237" fontId="22" fillId="0" borderId="0" applyFont="0" applyFill="0" applyBorder="0" applyAlignment="0" applyProtection="0"/>
    <xf numFmtId="237" fontId="22" fillId="0" borderId="0" applyFont="0" applyFill="0" applyBorder="0" applyAlignment="0" applyProtection="0"/>
    <xf numFmtId="237" fontId="22" fillId="0" borderId="0" applyFont="0" applyFill="0" applyBorder="0" applyAlignment="0" applyProtection="0"/>
    <xf numFmtId="237" fontId="22" fillId="0" borderId="0" applyFont="0" applyFill="0" applyBorder="0" applyAlignment="0" applyProtection="0"/>
    <xf numFmtId="237" fontId="22" fillId="0" borderId="0" applyFont="0" applyFill="0" applyBorder="0" applyAlignment="0" applyProtection="0"/>
    <xf numFmtId="237" fontId="22" fillId="0" borderId="0" applyFont="0" applyFill="0" applyBorder="0" applyAlignment="0" applyProtection="0"/>
    <xf numFmtId="237" fontId="22" fillId="0" borderId="0" applyFont="0" applyFill="0" applyBorder="0" applyAlignment="0" applyProtection="0"/>
    <xf numFmtId="237" fontId="22" fillId="0" borderId="0" applyFont="0" applyFill="0" applyBorder="0" applyAlignment="0" applyProtection="0"/>
    <xf numFmtId="237" fontId="22" fillId="0" borderId="0" applyFont="0" applyFill="0" applyBorder="0" applyAlignment="0" applyProtection="0"/>
    <xf numFmtId="237" fontId="22" fillId="0" borderId="0" applyFont="0" applyFill="0" applyBorder="0" applyAlignment="0" applyProtection="0"/>
    <xf numFmtId="237" fontId="22" fillId="0" borderId="0" applyFont="0" applyFill="0" applyBorder="0" applyAlignment="0" applyProtection="0"/>
    <xf numFmtId="238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9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7" fontId="22" fillId="0" borderId="0" applyFont="0" applyFill="0" applyBorder="0" applyAlignment="0" applyProtection="0"/>
    <xf numFmtId="237" fontId="22" fillId="0" borderId="0" applyFont="0" applyFill="0" applyBorder="0" applyAlignment="0" applyProtection="0"/>
    <xf numFmtId="237" fontId="22" fillId="0" borderId="0" applyFont="0" applyFill="0" applyBorder="0" applyAlignment="0" applyProtection="0"/>
    <xf numFmtId="237" fontId="22" fillId="0" borderId="0" applyFont="0" applyFill="0" applyBorder="0" applyAlignment="0" applyProtection="0"/>
    <xf numFmtId="237" fontId="22" fillId="0" borderId="0" applyFont="0" applyFill="0" applyBorder="0" applyAlignment="0" applyProtection="0"/>
    <xf numFmtId="237" fontId="22" fillId="0" borderId="0" applyFont="0" applyFill="0" applyBorder="0" applyAlignment="0" applyProtection="0"/>
    <xf numFmtId="237" fontId="22" fillId="0" borderId="0" applyFont="0" applyFill="0" applyBorder="0" applyAlignment="0" applyProtection="0"/>
    <xf numFmtId="237" fontId="22" fillId="0" borderId="0" applyFont="0" applyFill="0" applyBorder="0" applyAlignment="0" applyProtection="0"/>
    <xf numFmtId="237" fontId="22" fillId="0" borderId="0" applyFont="0" applyFill="0" applyBorder="0" applyAlignment="0" applyProtection="0"/>
    <xf numFmtId="237" fontId="22" fillId="0" borderId="0" applyFont="0" applyFill="0" applyBorder="0" applyAlignment="0" applyProtection="0"/>
    <xf numFmtId="240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39" fontId="23" fillId="0" borderId="0" applyFill="0" applyBorder="0" applyAlignment="0" applyProtection="0">
      <alignment wrapText="1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</cellStyleXfs>
  <cellXfs count="2572">
    <xf numFmtId="0" fontId="0" fillId="0" borderId="0" xfId="0"/>
    <xf numFmtId="0" fontId="2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1" fontId="25" fillId="0" borderId="21" xfId="1088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7" fillId="0" borderId="21" xfId="1086" applyFont="1" applyBorder="1" applyAlignment="1">
      <alignment vertical="center" wrapText="1"/>
    </xf>
    <xf numFmtId="0" fontId="27" fillId="0" borderId="18" xfId="1090" applyFont="1" applyBorder="1" applyAlignment="1">
      <alignment vertical="center" wrapText="1"/>
    </xf>
    <xf numFmtId="0" fontId="27" fillId="0" borderId="18" xfId="1086" applyFont="1" applyBorder="1" applyAlignment="1">
      <alignment vertical="center" wrapText="1"/>
    </xf>
    <xf numFmtId="0" fontId="27" fillId="0" borderId="19" xfId="1086" applyFont="1" applyBorder="1" applyAlignment="1">
      <alignment vertical="center" wrapText="1"/>
    </xf>
    <xf numFmtId="0" fontId="25" fillId="0" borderId="18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27" fillId="0" borderId="22" xfId="1090" applyFont="1" applyBorder="1" applyAlignment="1">
      <alignment vertical="center" wrapText="1"/>
    </xf>
    <xf numFmtId="0" fontId="0" fillId="0" borderId="19" xfId="0" applyBorder="1" applyAlignment="1">
      <alignment horizontal="center" vertical="center" wrapText="1"/>
    </xf>
    <xf numFmtId="0" fontId="27" fillId="0" borderId="19" xfId="1090" applyFont="1" applyBorder="1" applyAlignment="1">
      <alignment vertical="center" wrapText="1"/>
    </xf>
    <xf numFmtId="0" fontId="27" fillId="0" borderId="22" xfId="1086" applyFont="1" applyBorder="1" applyAlignment="1">
      <alignment vertical="center" wrapText="1"/>
    </xf>
    <xf numFmtId="0" fontId="110" fillId="0" borderId="0" xfId="0" applyFont="1"/>
    <xf numFmtId="3" fontId="110" fillId="0" borderId="0" xfId="0" applyNumberFormat="1" applyFont="1"/>
    <xf numFmtId="0" fontId="110" fillId="0" borderId="0" xfId="0" applyFont="1" applyAlignment="1">
      <alignment horizontal="center"/>
    </xf>
    <xf numFmtId="0" fontId="110" fillId="0" borderId="0" xfId="0" applyFont="1" applyAlignment="1">
      <alignment vertical="center" wrapText="1"/>
    </xf>
    <xf numFmtId="0" fontId="110" fillId="0" borderId="0" xfId="0" applyFont="1" applyAlignment="1">
      <alignment vertical="center"/>
    </xf>
    <xf numFmtId="10" fontId="117" fillId="73" borderId="0" xfId="1138" applyNumberFormat="1" applyFont="1" applyFill="1" applyAlignment="1">
      <alignment vertical="center"/>
    </xf>
    <xf numFmtId="3" fontId="110" fillId="0" borderId="0" xfId="0" applyNumberFormat="1" applyFont="1" applyAlignment="1">
      <alignment vertical="center" wrapText="1"/>
    </xf>
    <xf numFmtId="0" fontId="110" fillId="77" borderId="0" xfId="0" applyFont="1" applyFill="1" applyAlignment="1">
      <alignment vertical="center" wrapText="1"/>
    </xf>
    <xf numFmtId="178" fontId="110" fillId="0" borderId="0" xfId="0" applyNumberFormat="1" applyFont="1"/>
    <xf numFmtId="178" fontId="110" fillId="0" borderId="0" xfId="0" applyNumberFormat="1" applyFont="1" applyAlignment="1">
      <alignment horizontal="center" vertical="center"/>
    </xf>
    <xf numFmtId="178" fontId="110" fillId="0" borderId="0" xfId="0" applyNumberFormat="1" applyFont="1" applyAlignment="1">
      <alignment vertical="center" wrapText="1"/>
    </xf>
    <xf numFmtId="10" fontId="110" fillId="0" borderId="0" xfId="1138" applyNumberFormat="1" applyFont="1" applyFill="1"/>
    <xf numFmtId="179" fontId="110" fillId="0" borderId="0" xfId="0" applyNumberFormat="1" applyFont="1" applyAlignment="1">
      <alignment vertical="center" wrapText="1"/>
    </xf>
    <xf numFmtId="10" fontId="110" fillId="0" borderId="0" xfId="1138" applyNumberFormat="1" applyFont="1" applyFill="1" applyAlignment="1">
      <alignment vertical="center" wrapText="1"/>
    </xf>
    <xf numFmtId="10" fontId="117" fillId="73" borderId="0" xfId="1138" applyNumberFormat="1" applyFont="1" applyFill="1"/>
    <xf numFmtId="3" fontId="110" fillId="77" borderId="0" xfId="0" applyNumberFormat="1" applyFont="1" applyFill="1"/>
    <xf numFmtId="0" fontId="120" fillId="0" borderId="0" xfId="0" applyFont="1"/>
    <xf numFmtId="0" fontId="120" fillId="0" borderId="0" xfId="0" applyFont="1" applyAlignment="1">
      <alignment horizontal="center"/>
    </xf>
    <xf numFmtId="0" fontId="129" fillId="0" borderId="0" xfId="1091" applyFont="1"/>
    <xf numFmtId="0" fontId="129" fillId="0" borderId="0" xfId="0" applyFont="1"/>
    <xf numFmtId="0" fontId="130" fillId="30" borderId="0" xfId="1091" applyFont="1" applyFill="1" applyAlignment="1">
      <alignment horizontal="left"/>
    </xf>
    <xf numFmtId="0" fontId="129" fillId="30" borderId="0" xfId="0" applyFont="1" applyFill="1"/>
    <xf numFmtId="0" fontId="131" fillId="0" borderId="0" xfId="0" applyFont="1" applyAlignment="1">
      <alignment horizontal="left" vertical="center" wrapText="1"/>
    </xf>
    <xf numFmtId="0" fontId="129" fillId="0" borderId="31" xfId="0" applyFont="1" applyBorder="1" applyAlignment="1">
      <alignment horizontal="center" vertical="center" wrapText="1"/>
    </xf>
    <xf numFmtId="0" fontId="129" fillId="0" borderId="0" xfId="0" applyFont="1" applyAlignment="1">
      <alignment horizontal="center" vertical="center" wrapText="1"/>
    </xf>
    <xf numFmtId="0" fontId="131" fillId="34" borderId="6" xfId="1091" applyFont="1" applyFill="1" applyBorder="1" applyAlignment="1">
      <alignment vertical="center" wrapText="1"/>
    </xf>
    <xf numFmtId="17" fontId="131" fillId="34" borderId="6" xfId="1091" applyNumberFormat="1" applyFont="1" applyFill="1" applyBorder="1" applyAlignment="1">
      <alignment horizontal="center" vertical="center" wrapText="1"/>
    </xf>
    <xf numFmtId="3" fontId="131" fillId="33" borderId="6" xfId="1091" applyNumberFormat="1" applyFont="1" applyFill="1" applyBorder="1"/>
    <xf numFmtId="3" fontId="131" fillId="34" borderId="6" xfId="1091" applyNumberFormat="1" applyFont="1" applyFill="1" applyBorder="1"/>
    <xf numFmtId="0" fontId="126" fillId="0" borderId="0" xfId="1091" applyFont="1"/>
    <xf numFmtId="3" fontId="129" fillId="33" borderId="6" xfId="1091" applyNumberFormat="1" applyFont="1" applyFill="1" applyBorder="1"/>
    <xf numFmtId="3" fontId="129" fillId="34" borderId="6" xfId="1091" applyNumberFormat="1" applyFont="1" applyFill="1" applyBorder="1"/>
    <xf numFmtId="0" fontId="133" fillId="0" borderId="0" xfId="1091" applyFont="1"/>
    <xf numFmtId="0" fontId="131" fillId="0" borderId="0" xfId="1091" applyFont="1"/>
    <xf numFmtId="3" fontId="135" fillId="34" borderId="6" xfId="1091" applyNumberFormat="1" applyFont="1" applyFill="1" applyBorder="1"/>
    <xf numFmtId="0" fontId="137" fillId="0" borderId="0" xfId="1091" applyFont="1" applyAlignment="1">
      <alignment horizontal="center"/>
    </xf>
    <xf numFmtId="0" fontId="131" fillId="34" borderId="6" xfId="1091" applyFont="1" applyFill="1" applyBorder="1"/>
    <xf numFmtId="0" fontId="129" fillId="32" borderId="0" xfId="1091" applyFont="1" applyFill="1"/>
    <xf numFmtId="0" fontId="138" fillId="0" borderId="0" xfId="1090" applyFont="1" applyAlignment="1">
      <alignment horizontal="center"/>
    </xf>
    <xf numFmtId="0" fontId="133" fillId="0" borderId="0" xfId="1090" applyFont="1"/>
    <xf numFmtId="0" fontId="139" fillId="0" borderId="0" xfId="1091" applyFont="1"/>
    <xf numFmtId="3" fontId="129" fillId="0" borderId="0" xfId="1091" applyNumberFormat="1" applyFont="1"/>
    <xf numFmtId="3" fontId="137" fillId="0" borderId="0" xfId="1091" applyNumberFormat="1" applyFont="1"/>
    <xf numFmtId="3" fontId="127" fillId="0" borderId="0" xfId="0" applyNumberFormat="1" applyFont="1"/>
    <xf numFmtId="0" fontId="140" fillId="0" borderId="0" xfId="1090" applyFont="1"/>
    <xf numFmtId="3" fontId="129" fillId="0" borderId="0" xfId="1090" applyNumberFormat="1" applyFont="1"/>
    <xf numFmtId="3" fontId="131" fillId="0" borderId="0" xfId="1090" applyNumberFormat="1" applyFont="1"/>
    <xf numFmtId="3" fontId="137" fillId="0" borderId="0" xfId="1090" applyNumberFormat="1" applyFont="1"/>
    <xf numFmtId="3" fontId="130" fillId="0" borderId="0" xfId="1090" applyNumberFormat="1" applyFont="1"/>
    <xf numFmtId="3" fontId="142" fillId="0" borderId="0" xfId="1090" applyNumberFormat="1" applyFont="1"/>
    <xf numFmtId="0" fontId="123" fillId="0" borderId="0" xfId="0" applyFont="1"/>
    <xf numFmtId="0" fontId="122" fillId="0" borderId="0" xfId="0" applyFont="1"/>
    <xf numFmtId="3" fontId="122" fillId="0" borderId="0" xfId="0" applyNumberFormat="1" applyFont="1"/>
    <xf numFmtId="3" fontId="123" fillId="0" borderId="0" xfId="0" applyNumberFormat="1" applyFont="1"/>
    <xf numFmtId="0" fontId="140" fillId="0" borderId="0" xfId="0" applyFont="1"/>
    <xf numFmtId="0" fontId="124" fillId="0" borderId="0" xfId="0" applyFont="1"/>
    <xf numFmtId="0" fontId="131" fillId="69" borderId="6" xfId="0" applyFont="1" applyFill="1" applyBorder="1" applyAlignment="1">
      <alignment horizontal="center" vertical="center" wrapText="1"/>
    </xf>
    <xf numFmtId="0" fontId="131" fillId="79" borderId="6" xfId="0" applyFont="1" applyFill="1" applyBorder="1" applyAlignment="1">
      <alignment horizontal="center" vertical="center" wrapText="1"/>
    </xf>
    <xf numFmtId="0" fontId="126" fillId="79" borderId="6" xfId="0" applyFont="1" applyFill="1" applyBorder="1" applyAlignment="1">
      <alignment horizontal="center" vertical="center" wrapText="1"/>
    </xf>
    <xf numFmtId="0" fontId="140" fillId="0" borderId="0" xfId="1091" applyFont="1"/>
    <xf numFmtId="0" fontId="131" fillId="79" borderId="6" xfId="0" applyFont="1" applyFill="1" applyBorder="1" applyAlignment="1">
      <alignment horizontal="centerContinuous" vertical="center" wrapText="1"/>
    </xf>
    <xf numFmtId="0" fontId="126" fillId="79" borderId="6" xfId="0" applyFont="1" applyFill="1" applyBorder="1" applyAlignment="1">
      <alignment horizontal="centerContinuous" vertical="center" wrapText="1"/>
    </xf>
    <xf numFmtId="0" fontId="131" fillId="69" borderId="6" xfId="0" applyFont="1" applyFill="1" applyBorder="1" applyAlignment="1">
      <alignment vertical="center" wrapText="1"/>
    </xf>
    <xf numFmtId="4" fontId="140" fillId="72" borderId="6" xfId="0" applyNumberFormat="1" applyFont="1" applyFill="1" applyBorder="1" applyAlignment="1">
      <alignment horizontal="center"/>
    </xf>
    <xf numFmtId="4" fontId="140" fillId="70" borderId="6" xfId="0" applyNumberFormat="1" applyFont="1" applyFill="1" applyBorder="1" applyAlignment="1">
      <alignment horizontal="center"/>
    </xf>
    <xf numFmtId="0" fontId="124" fillId="0" borderId="0" xfId="1091" applyFont="1"/>
    <xf numFmtId="178" fontId="124" fillId="0" borderId="0" xfId="1091" applyNumberFormat="1" applyFont="1"/>
    <xf numFmtId="0" fontId="131" fillId="71" borderId="0" xfId="0" applyFont="1" applyFill="1" applyAlignment="1">
      <alignment horizontal="center" vertical="center"/>
    </xf>
    <xf numFmtId="3" fontId="129" fillId="0" borderId="0" xfId="0" applyNumberFormat="1" applyFont="1"/>
    <xf numFmtId="0" fontId="126" fillId="34" borderId="6" xfId="1091" applyFont="1" applyFill="1" applyBorder="1" applyAlignment="1">
      <alignment vertical="center" wrapText="1"/>
    </xf>
    <xf numFmtId="17" fontId="126" fillId="34" borderId="6" xfId="1091" applyNumberFormat="1" applyFont="1" applyFill="1" applyBorder="1" applyAlignment="1">
      <alignment horizontal="center" vertical="center" wrapText="1"/>
    </xf>
    <xf numFmtId="0" fontId="131" fillId="34" borderId="6" xfId="1091" applyFont="1" applyFill="1" applyBorder="1" applyAlignment="1">
      <alignment horizontal="centerContinuous" vertical="center" wrapText="1"/>
    </xf>
    <xf numFmtId="3" fontId="124" fillId="0" borderId="0" xfId="0" applyNumberFormat="1" applyFont="1"/>
    <xf numFmtId="3" fontId="126" fillId="0" borderId="0" xfId="0" applyNumberFormat="1" applyFont="1"/>
    <xf numFmtId="0" fontId="132" fillId="69" borderId="6" xfId="0" applyFont="1" applyFill="1" applyBorder="1" applyAlignment="1">
      <alignment vertical="center" wrapText="1"/>
    </xf>
    <xf numFmtId="0" fontId="172" fillId="72" borderId="6" xfId="0" applyFont="1" applyFill="1" applyBorder="1"/>
    <xf numFmtId="0" fontId="133" fillId="72" borderId="6" xfId="0" applyFont="1" applyFill="1" applyBorder="1" applyAlignment="1">
      <alignment horizontal="center"/>
    </xf>
    <xf numFmtId="179" fontId="140" fillId="72" borderId="6" xfId="0" applyNumberFormat="1" applyFont="1" applyFill="1" applyBorder="1" applyAlignment="1">
      <alignment horizontal="center"/>
    </xf>
    <xf numFmtId="179" fontId="140" fillId="70" borderId="6" xfId="0" applyNumberFormat="1" applyFont="1" applyFill="1" applyBorder="1" applyAlignment="1">
      <alignment horizontal="center"/>
    </xf>
    <xf numFmtId="179" fontId="140" fillId="78" borderId="6" xfId="0" applyNumberFormat="1" applyFont="1" applyFill="1" applyBorder="1" applyAlignment="1">
      <alignment horizontal="center"/>
    </xf>
    <xf numFmtId="179" fontId="173" fillId="78" borderId="6" xfId="0" applyNumberFormat="1" applyFont="1" applyFill="1" applyBorder="1" applyAlignment="1">
      <alignment horizontal="center"/>
    </xf>
    <xf numFmtId="0" fontId="131" fillId="72" borderId="6" xfId="0" applyFont="1" applyFill="1" applyBorder="1"/>
    <xf numFmtId="4" fontId="140" fillId="78" borderId="6" xfId="0" applyNumberFormat="1" applyFont="1" applyFill="1" applyBorder="1" applyAlignment="1">
      <alignment horizontal="center"/>
    </xf>
    <xf numFmtId="4" fontId="173" fillId="78" borderId="6" xfId="0" applyNumberFormat="1" applyFont="1" applyFill="1" applyBorder="1" applyAlignment="1">
      <alignment horizontal="center"/>
    </xf>
    <xf numFmtId="0" fontId="148" fillId="72" borderId="6" xfId="0" applyFont="1" applyFill="1" applyBorder="1" applyAlignment="1">
      <alignment horizontal="left" indent="1"/>
    </xf>
    <xf numFmtId="178" fontId="129" fillId="72" borderId="6" xfId="0" applyNumberFormat="1" applyFont="1" applyFill="1" applyBorder="1" applyAlignment="1">
      <alignment horizontal="center"/>
    </xf>
    <xf numFmtId="178" fontId="129" fillId="70" borderId="6" xfId="0" applyNumberFormat="1" applyFont="1" applyFill="1" applyBorder="1" applyAlignment="1">
      <alignment horizontal="center"/>
    </xf>
    <xf numFmtId="178" fontId="129" fillId="78" borderId="6" xfId="0" applyNumberFormat="1" applyFont="1" applyFill="1" applyBorder="1" applyAlignment="1">
      <alignment horizontal="center"/>
    </xf>
    <xf numFmtId="178" fontId="174" fillId="78" borderId="6" xfId="0" applyNumberFormat="1" applyFont="1" applyFill="1" applyBorder="1" applyAlignment="1">
      <alignment horizontal="center"/>
    </xf>
    <xf numFmtId="0" fontId="129" fillId="72" borderId="6" xfId="0" applyFont="1" applyFill="1" applyBorder="1" applyAlignment="1">
      <alignment horizontal="left" indent="1"/>
    </xf>
    <xf numFmtId="0" fontId="129" fillId="72" borderId="6" xfId="0" applyFont="1" applyFill="1" applyBorder="1" applyAlignment="1">
      <alignment horizontal="left" vertical="center" indent="1"/>
    </xf>
    <xf numFmtId="179" fontId="129" fillId="72" borderId="6" xfId="0" applyNumberFormat="1" applyFont="1" applyFill="1" applyBorder="1" applyAlignment="1">
      <alignment horizontal="center"/>
    </xf>
    <xf numFmtId="179" fontId="129" fillId="70" borderId="6" xfId="0" applyNumberFormat="1" applyFont="1" applyFill="1" applyBorder="1" applyAlignment="1">
      <alignment horizontal="center"/>
    </xf>
    <xf numFmtId="179" fontId="129" fillId="78" borderId="6" xfId="0" applyNumberFormat="1" applyFont="1" applyFill="1" applyBorder="1" applyAlignment="1">
      <alignment horizontal="center"/>
    </xf>
    <xf numFmtId="179" fontId="174" fillId="78" borderId="6" xfId="0" applyNumberFormat="1" applyFont="1" applyFill="1" applyBorder="1" applyAlignment="1">
      <alignment horizontal="center"/>
    </xf>
    <xf numFmtId="4" fontId="129" fillId="72" borderId="6" xfId="0" applyNumberFormat="1" applyFont="1" applyFill="1" applyBorder="1" applyAlignment="1">
      <alignment horizontal="center"/>
    </xf>
    <xf numFmtId="4" fontId="129" fillId="70" borderId="6" xfId="0" applyNumberFormat="1" applyFont="1" applyFill="1" applyBorder="1" applyAlignment="1">
      <alignment horizontal="center"/>
    </xf>
    <xf numFmtId="4" fontId="129" fillId="78" borderId="6" xfId="0" applyNumberFormat="1" applyFont="1" applyFill="1" applyBorder="1" applyAlignment="1">
      <alignment horizontal="center"/>
    </xf>
    <xf numFmtId="4" fontId="174" fillId="78" borderId="6" xfId="0" applyNumberFormat="1" applyFont="1" applyFill="1" applyBorder="1" applyAlignment="1">
      <alignment horizontal="center"/>
    </xf>
    <xf numFmtId="178" fontId="140" fillId="72" borderId="6" xfId="0" applyNumberFormat="1" applyFont="1" applyFill="1" applyBorder="1" applyAlignment="1">
      <alignment horizontal="center"/>
    </xf>
    <xf numFmtId="178" fontId="140" fillId="70" borderId="6" xfId="0" applyNumberFormat="1" applyFont="1" applyFill="1" applyBorder="1" applyAlignment="1">
      <alignment horizontal="center"/>
    </xf>
    <xf numFmtId="178" fontId="140" fillId="78" borderId="6" xfId="0" applyNumberFormat="1" applyFont="1" applyFill="1" applyBorder="1" applyAlignment="1">
      <alignment horizontal="center"/>
    </xf>
    <xf numFmtId="178" fontId="173" fillId="78" borderId="6" xfId="0" applyNumberFormat="1" applyFont="1" applyFill="1" applyBorder="1" applyAlignment="1">
      <alignment horizontal="center"/>
    </xf>
    <xf numFmtId="4" fontId="129" fillId="68" borderId="6" xfId="0" applyNumberFormat="1" applyFont="1" applyFill="1" applyBorder="1" applyAlignment="1">
      <alignment horizontal="center"/>
    </xf>
    <xf numFmtId="4" fontId="174" fillId="68" borderId="6" xfId="0" applyNumberFormat="1" applyFont="1" applyFill="1" applyBorder="1" applyAlignment="1">
      <alignment horizontal="center"/>
    </xf>
    <xf numFmtId="4" fontId="131" fillId="72" borderId="6" xfId="0" applyNumberFormat="1" applyFont="1" applyFill="1" applyBorder="1" applyAlignment="1">
      <alignment horizontal="center"/>
    </xf>
    <xf numFmtId="4" fontId="140" fillId="68" borderId="6" xfId="0" applyNumberFormat="1" applyFont="1" applyFill="1" applyBorder="1" applyAlignment="1">
      <alignment horizontal="center"/>
    </xf>
    <xf numFmtId="4" fontId="173" fillId="68" borderId="6" xfId="0" applyNumberFormat="1" applyFont="1" applyFill="1" applyBorder="1" applyAlignment="1">
      <alignment horizontal="center"/>
    </xf>
    <xf numFmtId="178" fontId="129" fillId="68" borderId="6" xfId="0" applyNumberFormat="1" applyFont="1" applyFill="1" applyBorder="1" applyAlignment="1">
      <alignment horizontal="center"/>
    </xf>
    <xf numFmtId="178" fontId="174" fillId="68" borderId="6" xfId="0" applyNumberFormat="1" applyFont="1" applyFill="1" applyBorder="1" applyAlignment="1">
      <alignment horizontal="center"/>
    </xf>
    <xf numFmtId="0" fontId="129" fillId="72" borderId="6" xfId="0" quotePrefix="1" applyFont="1" applyFill="1" applyBorder="1" applyAlignment="1">
      <alignment horizontal="left"/>
    </xf>
    <xf numFmtId="0" fontId="129" fillId="72" borderId="6" xfId="0" applyFont="1" applyFill="1" applyBorder="1" applyAlignment="1">
      <alignment horizontal="left"/>
    </xf>
    <xf numFmtId="0" fontId="129" fillId="0" borderId="0" xfId="0" applyFont="1" applyAlignment="1">
      <alignment horizontal="left" indent="1"/>
    </xf>
    <xf numFmtId="0" fontId="133" fillId="0" borderId="0" xfId="0" applyFont="1" applyAlignment="1">
      <alignment horizontal="center"/>
    </xf>
    <xf numFmtId="4" fontId="140" fillId="0" borderId="0" xfId="0" applyNumberFormat="1" applyFont="1" applyAlignment="1">
      <alignment horizontal="center"/>
    </xf>
    <xf numFmtId="4" fontId="173" fillId="0" borderId="0" xfId="0" applyNumberFormat="1" applyFont="1" applyAlignment="1">
      <alignment horizontal="center"/>
    </xf>
    <xf numFmtId="0" fontId="173" fillId="0" borderId="0" xfId="1091" applyFont="1"/>
    <xf numFmtId="0" fontId="143" fillId="0" borderId="0" xfId="1086" applyFont="1"/>
    <xf numFmtId="0" fontId="175" fillId="0" borderId="0" xfId="0" applyFont="1"/>
    <xf numFmtId="0" fontId="176" fillId="71" borderId="0" xfId="0" applyFont="1" applyFill="1" applyAlignment="1">
      <alignment horizontal="centerContinuous" wrapText="1"/>
    </xf>
    <xf numFmtId="0" fontId="143" fillId="0" borderId="0" xfId="1090" applyFont="1"/>
    <xf numFmtId="0" fontId="143" fillId="71" borderId="6" xfId="1090" applyFont="1" applyFill="1" applyBorder="1" applyAlignment="1">
      <alignment horizontal="center" vertical="center" wrapText="1"/>
    </xf>
    <xf numFmtId="0" fontId="177" fillId="71" borderId="6" xfId="1090" applyFont="1" applyFill="1" applyBorder="1" applyAlignment="1">
      <alignment horizontal="center" vertical="center" wrapText="1"/>
    </xf>
    <xf numFmtId="0" fontId="179" fillId="71" borderId="6" xfId="1090" applyFont="1" applyFill="1" applyBorder="1" applyAlignment="1">
      <alignment horizontal="center" vertical="center" wrapText="1"/>
    </xf>
    <xf numFmtId="0" fontId="129" fillId="0" borderId="0" xfId="1090" applyFont="1"/>
    <xf numFmtId="0" fontId="129" fillId="77" borderId="6" xfId="1090" applyFont="1" applyFill="1" applyBorder="1"/>
    <xf numFmtId="2" fontId="129" fillId="77" borderId="6" xfId="1090" applyNumberFormat="1" applyFont="1" applyFill="1" applyBorder="1" applyAlignment="1">
      <alignment horizontal="center"/>
    </xf>
    <xf numFmtId="177" fontId="129" fillId="77" borderId="6" xfId="1090" applyNumberFormat="1" applyFont="1" applyFill="1" applyBorder="1"/>
    <xf numFmtId="0" fontId="131" fillId="0" borderId="0" xfId="1090" applyFont="1"/>
    <xf numFmtId="177" fontId="131" fillId="0" borderId="0" xfId="1090" applyNumberFormat="1" applyFont="1"/>
    <xf numFmtId="0" fontId="143" fillId="71" borderId="0" xfId="1090" applyFont="1" applyFill="1" applyAlignment="1">
      <alignment horizontal="centerContinuous" vertical="center" wrapText="1"/>
    </xf>
    <xf numFmtId="0" fontId="131" fillId="71" borderId="6" xfId="1091" applyFont="1" applyFill="1" applyBorder="1" applyAlignment="1">
      <alignment vertical="center" wrapText="1"/>
    </xf>
    <xf numFmtId="195" fontId="131" fillId="71" borderId="6" xfId="1091" applyNumberFormat="1" applyFont="1" applyFill="1" applyBorder="1" applyAlignment="1">
      <alignment horizontal="center" vertical="center" wrapText="1"/>
    </xf>
    <xf numFmtId="0" fontId="131" fillId="71" borderId="6" xfId="1091" applyFont="1" applyFill="1" applyBorder="1" applyAlignment="1">
      <alignment horizontal="center" vertical="center" wrapText="1"/>
    </xf>
    <xf numFmtId="0" fontId="131" fillId="77" borderId="6" xfId="1091" applyFont="1" applyFill="1" applyBorder="1"/>
    <xf numFmtId="3" fontId="131" fillId="77" borderId="6" xfId="1091" applyNumberFormat="1" applyFont="1" applyFill="1" applyBorder="1"/>
    <xf numFmtId="0" fontId="131" fillId="77" borderId="6" xfId="1091" applyFont="1" applyFill="1" applyBorder="1" applyAlignment="1">
      <alignment horizontal="left" indent="1"/>
    </xf>
    <xf numFmtId="3" fontId="129" fillId="77" borderId="6" xfId="1091" applyNumberFormat="1" applyFont="1" applyFill="1" applyBorder="1"/>
    <xf numFmtId="0" fontId="129" fillId="77" borderId="6" xfId="1091" applyFont="1" applyFill="1" applyBorder="1"/>
    <xf numFmtId="0" fontId="134" fillId="77" borderId="6" xfId="1091" applyFont="1" applyFill="1" applyBorder="1" applyAlignment="1">
      <alignment horizontal="left" indent="1"/>
    </xf>
    <xf numFmtId="3" fontId="134" fillId="77" borderId="6" xfId="1091" applyNumberFormat="1" applyFont="1" applyFill="1" applyBorder="1"/>
    <xf numFmtId="0" fontId="129" fillId="77" borderId="6" xfId="1091" applyFont="1" applyFill="1" applyBorder="1" applyAlignment="1">
      <alignment horizontal="left" indent="1"/>
    </xf>
    <xf numFmtId="0" fontId="129" fillId="77" borderId="6" xfId="1091" applyFont="1" applyFill="1" applyBorder="1" applyAlignment="1">
      <alignment horizontal="left" wrapText="1" indent="1"/>
    </xf>
    <xf numFmtId="0" fontId="136" fillId="77" borderId="6" xfId="1091" applyFont="1" applyFill="1" applyBorder="1" applyAlignment="1">
      <alignment horizontal="left" wrapText="1" indent="1"/>
    </xf>
    <xf numFmtId="3" fontId="140" fillId="0" borderId="0" xfId="1090" applyNumberFormat="1" applyFont="1"/>
    <xf numFmtId="0" fontId="140" fillId="77" borderId="0" xfId="1090" applyFont="1" applyFill="1"/>
    <xf numFmtId="3" fontId="143" fillId="0" borderId="0" xfId="1090" applyNumberFormat="1" applyFont="1"/>
    <xf numFmtId="3" fontId="183" fillId="0" borderId="0" xfId="1090" applyNumberFormat="1" applyFont="1"/>
    <xf numFmtId="0" fontId="140" fillId="0" borderId="0" xfId="1086" applyFont="1"/>
    <xf numFmtId="0" fontId="184" fillId="0" borderId="0" xfId="0" applyFont="1"/>
    <xf numFmtId="0" fontId="124" fillId="0" borderId="0" xfId="1086" applyFont="1"/>
    <xf numFmtId="0" fontId="143" fillId="0" borderId="35" xfId="1090" applyFont="1" applyBorder="1" applyAlignment="1">
      <alignment horizontal="centerContinuous" vertical="center" wrapText="1"/>
    </xf>
    <xf numFmtId="0" fontId="186" fillId="71" borderId="6" xfId="1090" applyFont="1" applyFill="1" applyBorder="1" applyAlignment="1">
      <alignment horizontal="center" vertical="center" wrapText="1"/>
    </xf>
    <xf numFmtId="196" fontId="129" fillId="77" borderId="6" xfId="898" applyNumberFormat="1" applyFont="1" applyFill="1" applyBorder="1" applyAlignment="1">
      <alignment horizontal="center"/>
    </xf>
    <xf numFmtId="0" fontId="143" fillId="71" borderId="35" xfId="1090" applyFont="1" applyFill="1" applyBorder="1" applyAlignment="1">
      <alignment horizontal="centerContinuous" vertical="center" wrapText="1"/>
    </xf>
    <xf numFmtId="0" fontId="123" fillId="0" borderId="0" xfId="969" applyFont="1"/>
    <xf numFmtId="0" fontId="184" fillId="0" borderId="0" xfId="969" applyFont="1"/>
    <xf numFmtId="0" fontId="175" fillId="0" borderId="0" xfId="969" applyFont="1"/>
    <xf numFmtId="0" fontId="143" fillId="0" borderId="0" xfId="1090" applyFont="1" applyAlignment="1">
      <alignment horizontal="centerContinuous" vertical="center" wrapText="1"/>
    </xf>
    <xf numFmtId="2" fontId="129" fillId="77" borderId="6" xfId="1090" applyNumberFormat="1" applyFont="1" applyFill="1" applyBorder="1"/>
    <xf numFmtId="0" fontId="131" fillId="71" borderId="6" xfId="1091" applyFont="1" applyFill="1" applyBorder="1"/>
    <xf numFmtId="3" fontId="131" fillId="71" borderId="6" xfId="1091" applyNumberFormat="1" applyFont="1" applyFill="1" applyBorder="1"/>
    <xf numFmtId="0" fontId="143" fillId="0" borderId="0" xfId="0" applyFont="1" applyAlignment="1">
      <alignment horizontal="left"/>
    </xf>
    <xf numFmtId="0" fontId="140" fillId="0" borderId="0" xfId="0" applyFont="1" applyAlignment="1">
      <alignment horizontal="left"/>
    </xf>
    <xf numFmtId="0" fontId="129" fillId="0" borderId="6" xfId="1088" applyFont="1" applyBorder="1"/>
    <xf numFmtId="0" fontId="123" fillId="0" borderId="6" xfId="1088" applyFont="1" applyBorder="1"/>
    <xf numFmtId="0" fontId="123" fillId="0" borderId="6" xfId="1088" applyFont="1" applyBorder="1" applyAlignment="1">
      <alignment horizontal="center"/>
    </xf>
    <xf numFmtId="1" fontId="123" fillId="0" borderId="6" xfId="1088" applyNumberFormat="1" applyFont="1" applyBorder="1" applyAlignment="1">
      <alignment horizontal="center" vertical="center"/>
    </xf>
    <xf numFmtId="0" fontId="140" fillId="0" borderId="6" xfId="1088" applyFont="1" applyBorder="1" applyAlignment="1">
      <alignment vertical="center" wrapText="1"/>
    </xf>
    <xf numFmtId="3" fontId="123" fillId="0" borderId="6" xfId="1088" applyNumberFormat="1" applyFont="1" applyBorder="1" applyAlignment="1">
      <alignment horizontal="center"/>
    </xf>
    <xf numFmtId="1" fontId="123" fillId="0" borderId="6" xfId="1088" applyNumberFormat="1" applyFont="1" applyBorder="1" applyAlignment="1">
      <alignment horizontal="center" vertical="center" wrapText="1"/>
    </xf>
    <xf numFmtId="10" fontId="123" fillId="0" borderId="6" xfId="1138" applyNumberFormat="1" applyFont="1" applyBorder="1" applyAlignment="1">
      <alignment horizontal="center"/>
    </xf>
    <xf numFmtId="176" fontId="123" fillId="0" borderId="6" xfId="1088" applyNumberFormat="1" applyFont="1" applyBorder="1" applyAlignment="1">
      <alignment horizontal="center"/>
    </xf>
    <xf numFmtId="0" fontId="124" fillId="0" borderId="6" xfId="1088" applyFont="1" applyBorder="1" applyAlignment="1">
      <alignment horizontal="center" vertical="center"/>
    </xf>
    <xf numFmtId="0" fontId="129" fillId="0" borderId="6" xfId="1090" applyFont="1" applyBorder="1"/>
    <xf numFmtId="10" fontId="129" fillId="0" borderId="6" xfId="1090" applyNumberFormat="1" applyFont="1" applyBorder="1"/>
    <xf numFmtId="10" fontId="129" fillId="0" borderId="6" xfId="1138" applyNumberFormat="1" applyFont="1" applyBorder="1"/>
    <xf numFmtId="0" fontId="123" fillId="0" borderId="6" xfId="0" applyFont="1" applyBorder="1"/>
    <xf numFmtId="0" fontId="123" fillId="0" borderId="6" xfId="1088" applyFont="1" applyBorder="1" applyAlignment="1">
      <alignment horizontal="center" vertical="center"/>
    </xf>
    <xf numFmtId="0" fontId="129" fillId="0" borderId="6" xfId="1088" applyFont="1" applyBorder="1" applyAlignment="1">
      <alignment vertical="center" wrapText="1"/>
    </xf>
    <xf numFmtId="0" fontId="124" fillId="0" borderId="0" xfId="1090" applyFont="1"/>
    <xf numFmtId="0" fontId="191" fillId="0" borderId="0" xfId="0" applyFont="1"/>
    <xf numFmtId="0" fontId="123" fillId="0" borderId="17" xfId="0" applyFont="1" applyBorder="1" applyAlignment="1">
      <alignment horizontal="center" vertical="center" wrapText="1"/>
    </xf>
    <xf numFmtId="0" fontId="122" fillId="79" borderId="6" xfId="0" applyFont="1" applyFill="1" applyBorder="1" applyAlignment="1">
      <alignment horizontal="center" wrapText="1"/>
    </xf>
    <xf numFmtId="0" fontId="123" fillId="79" borderId="6" xfId="0" applyFont="1" applyFill="1" applyBorder="1" applyAlignment="1">
      <alignment horizontal="centerContinuous" vertical="center" wrapText="1"/>
    </xf>
    <xf numFmtId="0" fontId="122" fillId="79" borderId="6" xfId="0" applyFont="1" applyFill="1" applyBorder="1" applyAlignment="1">
      <alignment horizontal="centerContinuous" vertical="center" wrapText="1"/>
    </xf>
    <xf numFmtId="0" fontId="123" fillId="79" borderId="6" xfId="0" applyFont="1" applyFill="1" applyBorder="1" applyAlignment="1">
      <alignment horizontal="center" wrapText="1"/>
    </xf>
    <xf numFmtId="17" fontId="122" fillId="79" borderId="6" xfId="0" applyNumberFormat="1" applyFont="1" applyFill="1" applyBorder="1" applyAlignment="1">
      <alignment horizontal="center"/>
    </xf>
    <xf numFmtId="0" fontId="123" fillId="0" borderId="6" xfId="0" applyFont="1" applyBorder="1" applyAlignment="1">
      <alignment horizontal="left"/>
    </xf>
    <xf numFmtId="3" fontId="123" fillId="0" borderId="6" xfId="0" applyNumberFormat="1" applyFont="1" applyBorder="1"/>
    <xf numFmtId="3" fontId="122" fillId="79" borderId="6" xfId="0" applyNumberFormat="1" applyFont="1" applyFill="1" applyBorder="1"/>
    <xf numFmtId="0" fontId="131" fillId="79" borderId="6" xfId="0" applyFont="1" applyFill="1" applyBorder="1" applyAlignment="1">
      <alignment horizontal="center" wrapText="1"/>
    </xf>
    <xf numFmtId="0" fontId="193" fillId="0" borderId="6" xfId="0" applyFont="1" applyBorder="1" applyAlignment="1">
      <alignment wrapText="1"/>
    </xf>
    <xf numFmtId="3" fontId="175" fillId="0" borderId="6" xfId="0" applyNumberFormat="1" applyFont="1" applyBorder="1"/>
    <xf numFmtId="0" fontId="176" fillId="79" borderId="6" xfId="0" applyFont="1" applyFill="1" applyBorder="1" applyAlignment="1">
      <alignment horizontal="left"/>
    </xf>
    <xf numFmtId="0" fontId="140" fillId="0" borderId="0" xfId="1088" applyFont="1" applyAlignment="1">
      <alignment horizontal="left" vertical="center" wrapText="1"/>
    </xf>
    <xf numFmtId="3" fontId="140" fillId="0" borderId="0" xfId="0" applyNumberFormat="1" applyFont="1"/>
    <xf numFmtId="3" fontId="143" fillId="0" borderId="0" xfId="0" applyNumberFormat="1" applyFont="1"/>
    <xf numFmtId="3" fontId="194" fillId="0" borderId="0" xfId="0" applyNumberFormat="1" applyFont="1"/>
    <xf numFmtId="0" fontId="123" fillId="0" borderId="0" xfId="0" applyFont="1" applyAlignment="1">
      <alignment horizontal="center" wrapText="1"/>
    </xf>
    <xf numFmtId="0" fontId="176" fillId="0" borderId="0" xfId="0" applyFont="1" applyAlignment="1">
      <alignment horizontal="centerContinuous" wrapText="1"/>
    </xf>
    <xf numFmtId="0" fontId="143" fillId="71" borderId="2" xfId="1090" applyFont="1" applyFill="1" applyBorder="1" applyAlignment="1">
      <alignment horizontal="center" vertical="center" wrapText="1"/>
    </xf>
    <xf numFmtId="0" fontId="122" fillId="0" borderId="0" xfId="1090" applyFont="1"/>
    <xf numFmtId="0" fontId="129" fillId="77" borderId="21" xfId="1090" applyFont="1" applyFill="1" applyBorder="1"/>
    <xf numFmtId="177" fontId="129" fillId="77" borderId="18" xfId="1090" applyNumberFormat="1" applyFont="1" applyFill="1" applyBorder="1" applyAlignment="1">
      <alignment horizontal="center"/>
    </xf>
    <xf numFmtId="2" fontId="129" fillId="77" borderId="18" xfId="1090" applyNumberFormat="1" applyFont="1" applyFill="1" applyBorder="1" applyAlignment="1">
      <alignment horizontal="center"/>
    </xf>
    <xf numFmtId="0" fontId="129" fillId="77" borderId="18" xfId="1090" applyFont="1" applyFill="1" applyBorder="1"/>
    <xf numFmtId="177" fontId="129" fillId="0" borderId="0" xfId="1090" applyNumberFormat="1" applyFont="1"/>
    <xf numFmtId="0" fontId="122" fillId="0" borderId="0" xfId="1086" applyFont="1"/>
    <xf numFmtId="0" fontId="122" fillId="0" borderId="0" xfId="0" applyFont="1" applyAlignment="1">
      <alignment horizontal="left" vertical="center" wrapText="1"/>
    </xf>
    <xf numFmtId="0" fontId="122" fillId="76" borderId="6" xfId="0" applyFont="1" applyFill="1" applyBorder="1" applyAlignment="1">
      <alignment horizontal="center" wrapText="1"/>
    </xf>
    <xf numFmtId="0" fontId="123" fillId="76" borderId="6" xfId="0" applyFont="1" applyFill="1" applyBorder="1" applyAlignment="1">
      <alignment horizontal="centerContinuous" vertical="center" wrapText="1"/>
    </xf>
    <xf numFmtId="0" fontId="122" fillId="76" borderId="6" xfId="0" applyFont="1" applyFill="1" applyBorder="1" applyAlignment="1">
      <alignment horizontal="centerContinuous" vertical="center" wrapText="1"/>
    </xf>
    <xf numFmtId="0" fontId="123" fillId="76" borderId="6" xfId="0" applyFont="1" applyFill="1" applyBorder="1" applyAlignment="1">
      <alignment horizontal="center" wrapText="1"/>
    </xf>
    <xf numFmtId="17" fontId="122" fillId="76" borderId="6" xfId="0" applyNumberFormat="1" applyFont="1" applyFill="1" applyBorder="1" applyAlignment="1">
      <alignment horizontal="center"/>
    </xf>
    <xf numFmtId="0" fontId="122" fillId="0" borderId="6" xfId="0" applyFont="1" applyBorder="1" applyAlignment="1">
      <alignment horizontal="center"/>
    </xf>
    <xf numFmtId="4" fontId="122" fillId="0" borderId="6" xfId="0" applyNumberFormat="1" applyFont="1" applyBorder="1"/>
    <xf numFmtId="0" fontId="122" fillId="77" borderId="6" xfId="0" applyFont="1" applyFill="1" applyBorder="1" applyAlignment="1">
      <alignment horizontal="left"/>
    </xf>
    <xf numFmtId="3" fontId="122" fillId="77" borderId="6" xfId="0" applyNumberFormat="1" applyFont="1" applyFill="1" applyBorder="1"/>
    <xf numFmtId="0" fontId="122" fillId="76" borderId="30" xfId="0" applyFont="1" applyFill="1" applyBorder="1" applyAlignment="1">
      <alignment wrapText="1"/>
    </xf>
    <xf numFmtId="3" fontId="122" fillId="76" borderId="6" xfId="0" applyNumberFormat="1" applyFont="1" applyFill="1" applyBorder="1"/>
    <xf numFmtId="181" fontId="123" fillId="0" borderId="6" xfId="0" applyNumberFormat="1" applyFont="1" applyBorder="1"/>
    <xf numFmtId="0" fontId="197" fillId="0" borderId="0" xfId="0" applyFont="1"/>
    <xf numFmtId="0" fontId="176" fillId="77" borderId="6" xfId="0" applyFont="1" applyFill="1" applyBorder="1" applyAlignment="1">
      <alignment horizontal="left"/>
    </xf>
    <xf numFmtId="3" fontId="191" fillId="0" borderId="6" xfId="0" applyNumberFormat="1" applyFont="1" applyBorder="1"/>
    <xf numFmtId="3" fontId="122" fillId="0" borderId="6" xfId="0" applyNumberFormat="1" applyFont="1" applyBorder="1"/>
    <xf numFmtId="0" fontId="122" fillId="0" borderId="0" xfId="1091" applyFont="1"/>
    <xf numFmtId="0" fontId="131" fillId="0" borderId="0" xfId="0" applyFont="1"/>
    <xf numFmtId="0" fontId="122" fillId="0" borderId="2" xfId="0" applyFont="1" applyBorder="1" applyAlignment="1">
      <alignment horizontal="center" vertical="center" wrapText="1"/>
    </xf>
    <xf numFmtId="0" fontId="123" fillId="0" borderId="2" xfId="0" applyFont="1" applyBorder="1" applyAlignment="1">
      <alignment horizontal="center" wrapText="1"/>
    </xf>
    <xf numFmtId="0" fontId="123" fillId="0" borderId="18" xfId="0" applyFont="1" applyBorder="1"/>
    <xf numFmtId="17" fontId="123" fillId="0" borderId="18" xfId="0" applyNumberFormat="1" applyFont="1" applyBorder="1" applyAlignment="1">
      <alignment horizontal="center"/>
    </xf>
    <xf numFmtId="3" fontId="123" fillId="32" borderId="18" xfId="0" applyNumberFormat="1" applyFont="1" applyFill="1" applyBorder="1"/>
    <xf numFmtId="4" fontId="123" fillId="0" borderId="18" xfId="0" applyNumberFormat="1" applyFont="1" applyBorder="1"/>
    <xf numFmtId="3" fontId="123" fillId="0" borderId="18" xfId="0" applyNumberFormat="1" applyFont="1" applyBorder="1"/>
    <xf numFmtId="0" fontId="123" fillId="0" borderId="20" xfId="0" applyFont="1" applyBorder="1"/>
    <xf numFmtId="0" fontId="123" fillId="0" borderId="19" xfId="0" applyFont="1" applyBorder="1"/>
    <xf numFmtId="3" fontId="122" fillId="0" borderId="19" xfId="0" applyNumberFormat="1" applyFont="1" applyBorder="1"/>
    <xf numFmtId="4" fontId="122" fillId="0" borderId="19" xfId="0" applyNumberFormat="1" applyFont="1" applyBorder="1"/>
    <xf numFmtId="180" fontId="131" fillId="0" borderId="0" xfId="1138" applyNumberFormat="1" applyFont="1"/>
    <xf numFmtId="0" fontId="176" fillId="0" borderId="0" xfId="0" applyFont="1" applyAlignment="1">
      <alignment vertical="center" wrapText="1"/>
    </xf>
    <xf numFmtId="0" fontId="131" fillId="71" borderId="2" xfId="1090" applyFont="1" applyFill="1" applyBorder="1" applyAlignment="1">
      <alignment horizontal="center" vertical="center"/>
    </xf>
    <xf numFmtId="0" fontId="129" fillId="77" borderId="2" xfId="1090" applyFont="1" applyFill="1" applyBorder="1" applyAlignment="1">
      <alignment horizontal="left"/>
    </xf>
    <xf numFmtId="177" fontId="129" fillId="77" borderId="2" xfId="1090" applyNumberFormat="1" applyFont="1" applyFill="1" applyBorder="1" applyAlignment="1">
      <alignment horizontal="center"/>
    </xf>
    <xf numFmtId="0" fontId="129" fillId="77" borderId="2" xfId="1090" applyFont="1" applyFill="1" applyBorder="1" applyAlignment="1">
      <alignment horizontal="center"/>
    </xf>
    <xf numFmtId="0" fontId="129" fillId="71" borderId="0" xfId="1090" applyFont="1" applyFill="1" applyAlignment="1">
      <alignment horizontal="centerContinuous"/>
    </xf>
    <xf numFmtId="0" fontId="143" fillId="0" borderId="0" xfId="0" applyFont="1" applyAlignment="1">
      <alignment horizontal="left" vertical="center" wrapText="1"/>
    </xf>
    <xf numFmtId="0" fontId="123" fillId="0" borderId="2" xfId="0" applyFont="1" applyBorder="1" applyAlignment="1">
      <alignment horizontal="center" vertical="center" wrapText="1"/>
    </xf>
    <xf numFmtId="0" fontId="123" fillId="0" borderId="22" xfId="0" applyFont="1" applyBorder="1"/>
    <xf numFmtId="17" fontId="123" fillId="0" borderId="22" xfId="0" applyNumberFormat="1" applyFont="1" applyBorder="1" applyAlignment="1">
      <alignment horizontal="center"/>
    </xf>
    <xf numFmtId="3" fontId="123" fillId="0" borderId="22" xfId="0" applyNumberFormat="1" applyFont="1" applyBorder="1"/>
    <xf numFmtId="4" fontId="123" fillId="0" borderId="22" xfId="0" applyNumberFormat="1" applyFont="1" applyBorder="1"/>
    <xf numFmtId="0" fontId="131" fillId="0" borderId="0" xfId="1086" applyFont="1"/>
    <xf numFmtId="0" fontId="135" fillId="0" borderId="0" xfId="0" applyFont="1"/>
    <xf numFmtId="0" fontId="132" fillId="0" borderId="0" xfId="0" applyFont="1" applyAlignment="1">
      <alignment horizontal="left" vertical="center" wrapText="1"/>
    </xf>
    <xf numFmtId="0" fontId="131" fillId="0" borderId="17" xfId="0" applyFont="1" applyBorder="1" applyAlignment="1">
      <alignment horizontal="center" vertical="center" wrapText="1"/>
    </xf>
    <xf numFmtId="0" fontId="131" fillId="0" borderId="0" xfId="0" applyFont="1" applyAlignment="1">
      <alignment horizontal="left"/>
    </xf>
    <xf numFmtId="0" fontId="143" fillId="71" borderId="6" xfId="0" applyFont="1" applyFill="1" applyBorder="1" applyAlignment="1">
      <alignment horizontal="center" vertical="center" wrapText="1"/>
    </xf>
    <xf numFmtId="0" fontId="131" fillId="71" borderId="6" xfId="1090" applyFont="1" applyFill="1" applyBorder="1" applyAlignment="1">
      <alignment horizontal="centerContinuous" vertical="center"/>
    </xf>
    <xf numFmtId="0" fontId="129" fillId="71" borderId="6" xfId="1090" applyFont="1" applyFill="1" applyBorder="1" applyAlignment="1">
      <alignment horizontal="center"/>
    </xf>
    <xf numFmtId="0" fontId="131" fillId="71" borderId="6" xfId="1090" applyFont="1" applyFill="1" applyBorder="1" applyAlignment="1">
      <alignment horizontal="center"/>
    </xf>
    <xf numFmtId="17" fontId="131" fillId="71" borderId="6" xfId="1090" applyNumberFormat="1" applyFont="1" applyFill="1" applyBorder="1" applyAlignment="1">
      <alignment horizontal="center"/>
    </xf>
    <xf numFmtId="3" fontId="129" fillId="72" borderId="6" xfId="1090" applyNumberFormat="1" applyFont="1" applyFill="1" applyBorder="1" applyAlignment="1">
      <alignment horizontal="left"/>
    </xf>
    <xf numFmtId="4" fontId="129" fillId="72" borderId="6" xfId="1090" applyNumberFormat="1" applyFont="1" applyFill="1" applyBorder="1"/>
    <xf numFmtId="4" fontId="131" fillId="72" borderId="6" xfId="1090" applyNumberFormat="1" applyFont="1" applyFill="1" applyBorder="1"/>
    <xf numFmtId="3" fontId="129" fillId="72" borderId="6" xfId="1090" applyNumberFormat="1" applyFont="1" applyFill="1" applyBorder="1" applyAlignment="1">
      <alignment horizontal="left" indent="1"/>
    </xf>
    <xf numFmtId="3" fontId="129" fillId="71" borderId="6" xfId="1090" applyNumberFormat="1" applyFont="1" applyFill="1" applyBorder="1" applyAlignment="1">
      <alignment horizontal="left"/>
    </xf>
    <xf numFmtId="0" fontId="131" fillId="71" borderId="6" xfId="1090" applyFont="1" applyFill="1" applyBorder="1" applyAlignment="1">
      <alignment horizontal="left"/>
    </xf>
    <xf numFmtId="4" fontId="131" fillId="71" borderId="6" xfId="1090" applyNumberFormat="1" applyFont="1" applyFill="1" applyBorder="1"/>
    <xf numFmtId="0" fontId="131" fillId="71" borderId="6" xfId="0" applyFont="1" applyFill="1" applyBorder="1" applyAlignment="1">
      <alignment horizontal="left"/>
    </xf>
    <xf numFmtId="0" fontId="129" fillId="72" borderId="6" xfId="1090" applyFont="1" applyFill="1" applyBorder="1" applyAlignment="1">
      <alignment horizontal="left"/>
    </xf>
    <xf numFmtId="0" fontId="129" fillId="72" borderId="6" xfId="1090" applyFont="1" applyFill="1" applyBorder="1"/>
    <xf numFmtId="0" fontId="131" fillId="72" borderId="6" xfId="1090" applyFont="1" applyFill="1" applyBorder="1"/>
    <xf numFmtId="0" fontId="131" fillId="0" borderId="6" xfId="1090" applyFont="1" applyBorder="1"/>
    <xf numFmtId="0" fontId="131" fillId="71" borderId="6" xfId="1090" applyFont="1" applyFill="1" applyBorder="1"/>
    <xf numFmtId="0" fontId="131" fillId="71" borderId="6" xfId="1090" applyFont="1" applyFill="1" applyBorder="1" applyAlignment="1">
      <alignment horizontal="center" vertical="center"/>
    </xf>
    <xf numFmtId="0" fontId="129" fillId="71" borderId="6" xfId="0" applyFont="1" applyFill="1" applyBorder="1" applyAlignment="1">
      <alignment horizontal="center"/>
    </xf>
    <xf numFmtId="3" fontId="129" fillId="72" borderId="6" xfId="1090" applyNumberFormat="1" applyFont="1" applyFill="1" applyBorder="1"/>
    <xf numFmtId="3" fontId="131" fillId="72" borderId="6" xfId="1090" applyNumberFormat="1" applyFont="1" applyFill="1" applyBorder="1"/>
    <xf numFmtId="3" fontId="131" fillId="71" borderId="6" xfId="1090" applyNumberFormat="1" applyFont="1" applyFill="1" applyBorder="1"/>
    <xf numFmtId="2" fontId="131" fillId="72" borderId="6" xfId="0" applyNumberFormat="1" applyFont="1" applyFill="1" applyBorder="1"/>
    <xf numFmtId="3" fontId="202" fillId="0" borderId="0" xfId="1090" applyNumberFormat="1" applyFont="1"/>
    <xf numFmtId="3" fontId="203" fillId="0" borderId="0" xfId="1090" applyNumberFormat="1" applyFont="1"/>
    <xf numFmtId="0" fontId="143" fillId="71" borderId="6" xfId="0" applyFont="1" applyFill="1" applyBorder="1" applyAlignment="1">
      <alignment horizontal="centerContinuous" vertical="center" wrapText="1"/>
    </xf>
    <xf numFmtId="0" fontId="143" fillId="72" borderId="6" xfId="1088" applyFont="1" applyFill="1" applyBorder="1" applyAlignment="1">
      <alignment vertical="center" wrapText="1"/>
    </xf>
    <xf numFmtId="180" fontId="131" fillId="72" borderId="6" xfId="1138" applyNumberFormat="1" applyFont="1" applyFill="1" applyBorder="1"/>
    <xf numFmtId="0" fontId="131" fillId="71" borderId="6" xfId="1090" applyFont="1" applyFill="1" applyBorder="1" applyAlignment="1">
      <alignment horizontal="center" vertical="center" wrapText="1"/>
    </xf>
    <xf numFmtId="179" fontId="129" fillId="72" borderId="6" xfId="1090" applyNumberFormat="1" applyFont="1" applyFill="1" applyBorder="1"/>
    <xf numFmtId="179" fontId="131" fillId="72" borderId="6" xfId="1090" applyNumberFormat="1" applyFont="1" applyFill="1" applyBorder="1"/>
    <xf numFmtId="179" fontId="131" fillId="71" borderId="6" xfId="1090" applyNumberFormat="1" applyFont="1" applyFill="1" applyBorder="1"/>
    <xf numFmtId="0" fontId="205" fillId="71" borderId="6" xfId="0" applyFont="1" applyFill="1" applyBorder="1" applyAlignment="1">
      <alignment horizontal="center" vertical="center" wrapText="1"/>
    </xf>
    <xf numFmtId="0" fontId="131" fillId="71" borderId="6" xfId="0" applyFont="1" applyFill="1" applyBorder="1" applyAlignment="1">
      <alignment horizontal="center"/>
    </xf>
    <xf numFmtId="0" fontId="131" fillId="71" borderId="6" xfId="1090" applyFont="1" applyFill="1" applyBorder="1" applyAlignment="1">
      <alignment horizontal="left" wrapText="1"/>
    </xf>
    <xf numFmtId="3" fontId="129" fillId="72" borderId="6" xfId="1090" applyNumberFormat="1" applyFont="1" applyFill="1" applyBorder="1" applyAlignment="1">
      <alignment horizontal="left" wrapText="1" indent="1"/>
    </xf>
    <xf numFmtId="4" fontId="203" fillId="0" borderId="0" xfId="1090" applyNumberFormat="1" applyFont="1"/>
    <xf numFmtId="0" fontId="129" fillId="0" borderId="0" xfId="1090" applyFont="1" applyAlignment="1">
      <alignment horizontal="center"/>
    </xf>
    <xf numFmtId="0" fontId="148" fillId="0" borderId="0" xfId="1090" applyFont="1"/>
    <xf numFmtId="209" fontId="148" fillId="0" borderId="0" xfId="1090" applyNumberFormat="1" applyFont="1"/>
    <xf numFmtId="3" fontId="148" fillId="0" borderId="0" xfId="1090" applyNumberFormat="1" applyFont="1"/>
    <xf numFmtId="210" fontId="148" fillId="0" borderId="0" xfId="1090" applyNumberFormat="1" applyFont="1"/>
    <xf numFmtId="9" fontId="185" fillId="0" borderId="0" xfId="0" applyNumberFormat="1" applyFont="1" applyAlignment="1">
      <alignment horizontal="center"/>
    </xf>
    <xf numFmtId="0" fontId="206" fillId="71" borderId="0" xfId="0" applyFont="1" applyFill="1" applyAlignment="1">
      <alignment horizontal="centerContinuous" wrapText="1"/>
    </xf>
    <xf numFmtId="0" fontId="123" fillId="71" borderId="0" xfId="0" applyFont="1" applyFill="1" applyAlignment="1">
      <alignment horizontal="centerContinuous" wrapText="1"/>
    </xf>
    <xf numFmtId="0" fontId="207" fillId="0" borderId="0" xfId="0" applyFont="1" applyAlignment="1">
      <alignment horizontal="center" vertical="center" wrapText="1"/>
    </xf>
    <xf numFmtId="0" fontId="208" fillId="0" borderId="0" xfId="1090" applyFont="1" applyAlignment="1">
      <alignment horizontal="center" vertical="center"/>
    </xf>
    <xf numFmtId="0" fontId="126" fillId="80" borderId="6" xfId="1090" applyFont="1" applyFill="1" applyBorder="1" applyAlignment="1">
      <alignment horizontal="center" vertical="center" wrapText="1"/>
    </xf>
    <xf numFmtId="0" fontId="208" fillId="80" borderId="6" xfId="1090" applyFont="1" applyFill="1" applyBorder="1" applyAlignment="1">
      <alignment horizontal="center" vertical="center" wrapText="1"/>
    </xf>
    <xf numFmtId="0" fontId="129" fillId="71" borderId="6" xfId="1090" applyFont="1" applyFill="1" applyBorder="1"/>
    <xf numFmtId="2" fontId="129" fillId="71" borderId="6" xfId="1090" applyNumberFormat="1" applyFont="1" applyFill="1" applyBorder="1"/>
    <xf numFmtId="177" fontId="129" fillId="71" borderId="6" xfId="1090" applyNumberFormat="1" applyFont="1" applyFill="1" applyBorder="1"/>
    <xf numFmtId="180" fontId="185" fillId="0" borderId="0" xfId="0" applyNumberFormat="1" applyFont="1" applyAlignment="1">
      <alignment horizontal="center"/>
    </xf>
    <xf numFmtId="3" fontId="210" fillId="77" borderId="6" xfId="1091" applyNumberFormat="1" applyFont="1" applyFill="1" applyBorder="1"/>
    <xf numFmtId="0" fontId="133" fillId="32" borderId="6" xfId="1091" applyFont="1" applyFill="1" applyBorder="1"/>
    <xf numFmtId="0" fontId="129" fillId="32" borderId="6" xfId="1091" applyFont="1" applyFill="1" applyBorder="1"/>
    <xf numFmtId="0" fontId="138" fillId="0" borderId="6" xfId="1090" applyFont="1" applyBorder="1" applyAlignment="1">
      <alignment horizontal="center"/>
    </xf>
    <xf numFmtId="0" fontId="148" fillId="77" borderId="6" xfId="1091" applyFont="1" applyFill="1" applyBorder="1" applyAlignment="1">
      <alignment horizontal="left"/>
    </xf>
    <xf numFmtId="0" fontId="134" fillId="77" borderId="6" xfId="1091" applyFont="1" applyFill="1" applyBorder="1"/>
    <xf numFmtId="10" fontId="133" fillId="0" borderId="0" xfId="0" applyNumberFormat="1" applyFont="1" applyAlignment="1">
      <alignment horizontal="center"/>
    </xf>
    <xf numFmtId="0" fontId="133" fillId="0" borderId="0" xfId="0" applyFont="1"/>
    <xf numFmtId="0" fontId="206" fillId="0" borderId="0" xfId="0" applyFont="1" applyAlignment="1">
      <alignment horizontal="centerContinuous" wrapText="1"/>
    </xf>
    <xf numFmtId="0" fontId="123" fillId="0" borderId="0" xfId="0" applyFont="1" applyAlignment="1">
      <alignment horizontal="centerContinuous" wrapText="1"/>
    </xf>
    <xf numFmtId="3" fontId="126" fillId="0" borderId="0" xfId="1091" applyNumberFormat="1" applyFont="1"/>
    <xf numFmtId="0" fontId="141" fillId="0" borderId="0" xfId="0" applyFont="1" applyAlignment="1">
      <alignment horizontal="center"/>
    </xf>
    <xf numFmtId="0" fontId="176" fillId="0" borderId="0" xfId="0" applyFont="1" applyAlignment="1">
      <alignment horizontal="center" vertical="center" wrapText="1"/>
    </xf>
    <xf numFmtId="0" fontId="132" fillId="76" borderId="6" xfId="1090" applyFont="1" applyFill="1" applyBorder="1" applyAlignment="1">
      <alignment horizontal="center" wrapText="1"/>
    </xf>
    <xf numFmtId="0" fontId="122" fillId="76" borderId="6" xfId="0" applyFont="1" applyFill="1" applyBorder="1" applyAlignment="1">
      <alignment horizontal="center" vertical="center"/>
    </xf>
    <xf numFmtId="0" fontId="141" fillId="0" borderId="0" xfId="1090" applyFont="1" applyAlignment="1">
      <alignment horizontal="center"/>
    </xf>
    <xf numFmtId="0" fontId="131" fillId="76" borderId="6" xfId="1091" applyFont="1" applyFill="1" applyBorder="1" applyAlignment="1">
      <alignment vertical="center" wrapText="1"/>
    </xf>
    <xf numFmtId="195" fontId="131" fillId="76" borderId="6" xfId="1091" applyNumberFormat="1" applyFont="1" applyFill="1" applyBorder="1" applyAlignment="1">
      <alignment horizontal="center" vertical="center" wrapText="1"/>
    </xf>
    <xf numFmtId="0" fontId="131" fillId="76" borderId="6" xfId="1091" applyFont="1" applyFill="1" applyBorder="1" applyAlignment="1">
      <alignment horizontal="center" vertical="center" wrapText="1"/>
    </xf>
    <xf numFmtId="0" fontId="124" fillId="0" borderId="0" xfId="1091" applyFont="1" applyAlignment="1">
      <alignment horizontal="center"/>
    </xf>
    <xf numFmtId="0" fontId="141" fillId="0" borderId="0" xfId="1091" applyFont="1" applyAlignment="1">
      <alignment horizontal="center"/>
    </xf>
    <xf numFmtId="9" fontId="141" fillId="0" borderId="0" xfId="1138" applyFont="1" applyFill="1" applyAlignment="1">
      <alignment horizontal="center"/>
    </xf>
    <xf numFmtId="178" fontId="129" fillId="77" borderId="6" xfId="1090" applyNumberFormat="1" applyFont="1" applyFill="1" applyBorder="1"/>
    <xf numFmtId="178" fontId="131" fillId="77" borderId="6" xfId="1090" applyNumberFormat="1" applyFont="1" applyFill="1" applyBorder="1"/>
    <xf numFmtId="17" fontId="129" fillId="0" borderId="0" xfId="1090" applyNumberFormat="1" applyFont="1"/>
    <xf numFmtId="0" fontId="215" fillId="76" borderId="0" xfId="969" applyFont="1" applyFill="1" applyAlignment="1">
      <alignment horizontal="centerContinuous" wrapText="1"/>
    </xf>
    <xf numFmtId="0" fontId="206" fillId="76" borderId="0" xfId="969" applyFont="1" applyFill="1" applyAlignment="1">
      <alignment horizontal="centerContinuous" wrapText="1"/>
    </xf>
    <xf numFmtId="0" fontId="123" fillId="76" borderId="0" xfId="969" applyFont="1" applyFill="1" applyAlignment="1">
      <alignment horizontal="centerContinuous"/>
    </xf>
    <xf numFmtId="0" fontId="139" fillId="0" borderId="0" xfId="1090" applyFont="1" applyAlignment="1">
      <alignment horizontal="centerContinuous" vertical="center" wrapText="1"/>
    </xf>
    <xf numFmtId="0" fontId="143" fillId="0" borderId="0" xfId="1090" applyFont="1" applyAlignment="1">
      <alignment vertical="center" wrapText="1"/>
    </xf>
    <xf numFmtId="0" fontId="143" fillId="71" borderId="6" xfId="1086" applyFont="1" applyFill="1" applyBorder="1" applyAlignment="1">
      <alignment horizontal="center" vertical="center" wrapText="1"/>
    </xf>
    <xf numFmtId="0" fontId="143" fillId="71" borderId="6" xfId="1086" applyFont="1" applyFill="1" applyBorder="1" applyAlignment="1">
      <alignment horizontal="centerContinuous" vertical="center" wrapText="1"/>
    </xf>
    <xf numFmtId="0" fontId="140" fillId="0" borderId="6" xfId="0" applyFont="1" applyBorder="1"/>
    <xf numFmtId="0" fontId="123" fillId="0" borderId="0" xfId="1081" applyFont="1"/>
    <xf numFmtId="0" fontId="124" fillId="0" borderId="0" xfId="1081" applyFont="1"/>
    <xf numFmtId="0" fontId="132" fillId="71" borderId="6" xfId="1086" applyFont="1" applyFill="1" applyBorder="1" applyAlignment="1">
      <alignment horizontal="center" vertical="center" wrapText="1"/>
    </xf>
    <xf numFmtId="0" fontId="131" fillId="71" borderId="6" xfId="1086" applyFont="1" applyFill="1" applyBorder="1" applyAlignment="1">
      <alignment horizontal="center" vertical="center" wrapText="1"/>
    </xf>
    <xf numFmtId="0" fontId="133" fillId="0" borderId="6" xfId="0" applyFont="1" applyBorder="1"/>
    <xf numFmtId="17" fontId="140" fillId="0" borderId="6" xfId="1086" applyNumberFormat="1" applyFont="1" applyBorder="1" applyAlignment="1">
      <alignment horizontal="center"/>
    </xf>
    <xf numFmtId="3" fontId="140" fillId="0" borderId="6" xfId="1086" applyNumberFormat="1" applyFont="1" applyBorder="1"/>
    <xf numFmtId="3" fontId="124" fillId="0" borderId="6" xfId="1086" applyNumberFormat="1" applyFont="1" applyBorder="1"/>
    <xf numFmtId="3" fontId="124" fillId="0" borderId="6" xfId="1086" applyNumberFormat="1" applyFont="1" applyBorder="1" applyAlignment="1">
      <alignment horizontal="center"/>
    </xf>
    <xf numFmtId="10" fontId="124" fillId="0" borderId="0" xfId="1138" applyNumberFormat="1" applyFont="1"/>
    <xf numFmtId="4" fontId="140" fillId="0" borderId="6" xfId="1086" applyNumberFormat="1" applyFont="1" applyBorder="1"/>
    <xf numFmtId="3" fontId="143" fillId="71" borderId="6" xfId="1086" applyNumberFormat="1" applyFont="1" applyFill="1" applyBorder="1"/>
    <xf numFmtId="10" fontId="132" fillId="0" borderId="0" xfId="1081" applyNumberFormat="1" applyFont="1"/>
    <xf numFmtId="3" fontId="124" fillId="0" borderId="0" xfId="1081" applyNumberFormat="1" applyFont="1"/>
    <xf numFmtId="3" fontId="126" fillId="0" borderId="0" xfId="1081" applyNumberFormat="1" applyFont="1"/>
    <xf numFmtId="0" fontId="143" fillId="70" borderId="6" xfId="1086" applyFont="1" applyFill="1" applyBorder="1" applyAlignment="1">
      <alignment horizontal="centerContinuous" vertical="center" wrapText="1"/>
    </xf>
    <xf numFmtId="0" fontId="143" fillId="22" borderId="6" xfId="1086" applyFont="1" applyFill="1" applyBorder="1" applyAlignment="1">
      <alignment horizontal="centerContinuous" vertical="center" wrapText="1"/>
    </xf>
    <xf numFmtId="0" fontId="143" fillId="22" borderId="6" xfId="1086" applyFont="1" applyFill="1" applyBorder="1" applyAlignment="1">
      <alignment horizontal="center" vertical="center" wrapText="1"/>
    </xf>
    <xf numFmtId="3" fontId="210" fillId="0" borderId="0" xfId="1081" applyNumberFormat="1" applyFont="1" applyAlignment="1">
      <alignment vertical="center"/>
    </xf>
    <xf numFmtId="3" fontId="147" fillId="0" borderId="0" xfId="1081" applyNumberFormat="1" applyFont="1" applyAlignment="1">
      <alignment vertical="center"/>
    </xf>
    <xf numFmtId="3" fontId="143" fillId="0" borderId="6" xfId="1086" applyNumberFormat="1" applyFont="1" applyBorder="1"/>
    <xf numFmtId="0" fontId="218" fillId="0" borderId="0" xfId="1081" applyFont="1" applyAlignment="1">
      <alignment vertical="center"/>
    </xf>
    <xf numFmtId="0" fontId="131" fillId="0" borderId="0" xfId="1086" applyFont="1" applyAlignment="1">
      <alignment horizontal="center"/>
    </xf>
    <xf numFmtId="0" fontId="135" fillId="0" borderId="0" xfId="969" applyFont="1"/>
    <xf numFmtId="0" fontId="129" fillId="0" borderId="0" xfId="969" applyFont="1"/>
    <xf numFmtId="0" fontId="132" fillId="0" borderId="0" xfId="969" applyFont="1" applyAlignment="1">
      <alignment horizontal="left" vertical="center" wrapText="1"/>
    </xf>
    <xf numFmtId="3" fontId="132" fillId="0" borderId="0" xfId="969" applyNumberFormat="1" applyFont="1" applyAlignment="1">
      <alignment horizontal="left" vertical="center" wrapText="1"/>
    </xf>
    <xf numFmtId="0" fontId="131" fillId="0" borderId="0" xfId="969" applyFont="1" applyAlignment="1">
      <alignment horizontal="left"/>
    </xf>
    <xf numFmtId="0" fontId="131" fillId="0" borderId="0" xfId="969" applyFont="1" applyAlignment="1">
      <alignment horizontal="center"/>
    </xf>
    <xf numFmtId="3" fontId="131" fillId="0" borderId="0" xfId="969" applyNumberFormat="1" applyFont="1"/>
    <xf numFmtId="0" fontId="143" fillId="22" borderId="6" xfId="2070" applyFont="1" applyFill="1" applyBorder="1" applyAlignment="1">
      <alignment horizontal="center" vertical="center" wrapText="1"/>
    </xf>
    <xf numFmtId="0" fontId="125" fillId="22" borderId="6" xfId="2070" applyFont="1" applyFill="1" applyBorder="1" applyAlignment="1">
      <alignment horizontal="center" vertical="center" wrapText="1"/>
    </xf>
    <xf numFmtId="0" fontId="131" fillId="22" borderId="6" xfId="1090" applyFont="1" applyFill="1" applyBorder="1" applyAlignment="1">
      <alignment horizontal="centerContinuous" vertical="center"/>
    </xf>
    <xf numFmtId="3" fontId="131" fillId="0" borderId="0" xfId="2070" applyNumberFormat="1" applyFont="1"/>
    <xf numFmtId="0" fontId="131" fillId="22" borderId="6" xfId="1090" applyFont="1" applyFill="1" applyBorder="1" applyAlignment="1">
      <alignment horizontal="center"/>
    </xf>
    <xf numFmtId="17" fontId="125" fillId="22" borderId="6" xfId="1090" applyNumberFormat="1" applyFont="1" applyFill="1" applyBorder="1" applyAlignment="1">
      <alignment horizontal="center"/>
    </xf>
    <xf numFmtId="0" fontId="129" fillId="22" borderId="6" xfId="1090" applyFont="1" applyFill="1" applyBorder="1" applyAlignment="1">
      <alignment horizontal="center"/>
    </xf>
    <xf numFmtId="3" fontId="129" fillId="0" borderId="6" xfId="1090" applyNumberFormat="1" applyFont="1" applyBorder="1" applyAlignment="1">
      <alignment horizontal="left" indent="1"/>
    </xf>
    <xf numFmtId="4" fontId="129" fillId="0" borderId="6" xfId="1090" applyNumberFormat="1" applyFont="1" applyBorder="1"/>
    <xf numFmtId="3" fontId="129" fillId="0" borderId="6" xfId="1090" applyNumberFormat="1" applyFont="1" applyBorder="1" applyAlignment="1">
      <alignment horizontal="left"/>
    </xf>
    <xf numFmtId="3" fontId="129" fillId="0" borderId="6" xfId="1090" applyNumberFormat="1" applyFont="1" applyBorder="1" applyAlignment="1">
      <alignment horizontal="center"/>
    </xf>
    <xf numFmtId="3" fontId="129" fillId="22" borderId="6" xfId="1090" applyNumberFormat="1" applyFont="1" applyFill="1" applyBorder="1" applyAlignment="1">
      <alignment horizontal="left"/>
    </xf>
    <xf numFmtId="0" fontId="131" fillId="22" borderId="6" xfId="1090" applyFont="1" applyFill="1" applyBorder="1" applyAlignment="1">
      <alignment horizontal="left"/>
    </xf>
    <xf numFmtId="3" fontId="129" fillId="22" borderId="6" xfId="1090" applyNumberFormat="1" applyFont="1" applyFill="1" applyBorder="1" applyAlignment="1">
      <alignment horizontal="center"/>
    </xf>
    <xf numFmtId="4" fontId="131" fillId="22" borderId="6" xfId="1090" applyNumberFormat="1" applyFont="1" applyFill="1" applyBorder="1"/>
    <xf numFmtId="0" fontId="131" fillId="22" borderId="6" xfId="2070" applyFont="1" applyFill="1" applyBorder="1" applyAlignment="1">
      <alignment horizontal="left"/>
    </xf>
    <xf numFmtId="0" fontId="131" fillId="22" borderId="6" xfId="2070" applyFont="1" applyFill="1" applyBorder="1" applyAlignment="1">
      <alignment horizontal="center"/>
    </xf>
    <xf numFmtId="0" fontId="129" fillId="0" borderId="6" xfId="1090" applyFont="1" applyBorder="1" applyAlignment="1">
      <alignment horizontal="left"/>
    </xf>
    <xf numFmtId="0" fontId="129" fillId="0" borderId="6" xfId="1090" applyFont="1" applyBorder="1" applyAlignment="1">
      <alignment horizontal="center"/>
    </xf>
    <xf numFmtId="0" fontId="123" fillId="0" borderId="0" xfId="2070" applyFont="1"/>
    <xf numFmtId="0" fontId="131" fillId="22" borderId="6" xfId="1090" applyFont="1" applyFill="1" applyBorder="1"/>
    <xf numFmtId="3" fontId="131" fillId="22" borderId="6" xfId="1090" applyNumberFormat="1" applyFont="1" applyFill="1" applyBorder="1" applyAlignment="1">
      <alignment horizontal="centerContinuous" vertical="center"/>
    </xf>
    <xf numFmtId="0" fontId="129" fillId="22" borderId="6" xfId="2070" applyFont="1" applyFill="1" applyBorder="1" applyAlignment="1">
      <alignment horizontal="center"/>
    </xf>
    <xf numFmtId="3" fontId="131" fillId="22" borderId="6" xfId="1090" applyNumberFormat="1" applyFont="1" applyFill="1" applyBorder="1" applyAlignment="1">
      <alignment horizontal="center"/>
    </xf>
    <xf numFmtId="3" fontId="129" fillId="0" borderId="6" xfId="1090" applyNumberFormat="1" applyFont="1" applyBorder="1"/>
    <xf numFmtId="3" fontId="131" fillId="0" borderId="6" xfId="1090" applyNumberFormat="1" applyFont="1" applyBorder="1"/>
    <xf numFmtId="3" fontId="131" fillId="22" borderId="6" xfId="1090" applyNumberFormat="1" applyFont="1" applyFill="1" applyBorder="1"/>
    <xf numFmtId="2" fontId="131" fillId="0" borderId="6" xfId="2070" applyNumberFormat="1" applyFont="1" applyBorder="1"/>
    <xf numFmtId="3" fontId="131" fillId="0" borderId="6" xfId="2070" applyNumberFormat="1" applyFont="1" applyBorder="1"/>
    <xf numFmtId="3" fontId="220" fillId="32" borderId="0" xfId="1090" applyNumberFormat="1" applyFont="1" applyFill="1"/>
    <xf numFmtId="0" fontId="129" fillId="32" borderId="6" xfId="1090" applyFont="1" applyFill="1" applyBorder="1" applyAlignment="1">
      <alignment horizontal="left"/>
    </xf>
    <xf numFmtId="0" fontId="129" fillId="32" borderId="6" xfId="1090" applyFont="1" applyFill="1" applyBorder="1" applyAlignment="1">
      <alignment horizontal="center"/>
    </xf>
    <xf numFmtId="3" fontId="129" fillId="32" borderId="6" xfId="1090" applyNumberFormat="1" applyFont="1" applyFill="1" applyBorder="1"/>
    <xf numFmtId="3" fontId="131" fillId="32" borderId="6" xfId="1090" applyNumberFormat="1" applyFont="1" applyFill="1" applyBorder="1"/>
    <xf numFmtId="3" fontId="220" fillId="0" borderId="0" xfId="1090" applyNumberFormat="1" applyFont="1"/>
    <xf numFmtId="0" fontId="129" fillId="78" borderId="6" xfId="1090" applyFont="1" applyFill="1" applyBorder="1"/>
    <xf numFmtId="0" fontId="143" fillId="78" borderId="6" xfId="1088" applyFont="1" applyFill="1" applyBorder="1" applyAlignment="1">
      <alignment vertical="center" wrapText="1"/>
    </xf>
    <xf numFmtId="0" fontId="129" fillId="78" borderId="6" xfId="1090" applyFont="1" applyFill="1" applyBorder="1" applyAlignment="1">
      <alignment horizontal="center"/>
    </xf>
    <xf numFmtId="3" fontId="131" fillId="78" borderId="6" xfId="1090" applyNumberFormat="1" applyFont="1" applyFill="1" applyBorder="1"/>
    <xf numFmtId="3" fontId="131" fillId="78" borderId="6" xfId="1090" applyNumberFormat="1" applyFont="1" applyFill="1" applyBorder="1" applyAlignment="1">
      <alignment horizontal="center"/>
    </xf>
    <xf numFmtId="180" fontId="131" fillId="78" borderId="6" xfId="2105" applyNumberFormat="1" applyFont="1" applyFill="1" applyBorder="1"/>
    <xf numFmtId="179" fontId="129" fillId="0" borderId="6" xfId="1090" applyNumberFormat="1" applyFont="1" applyBorder="1"/>
    <xf numFmtId="179" fontId="131" fillId="22" borderId="6" xfId="1090" applyNumberFormat="1" applyFont="1" applyFill="1" applyBorder="1"/>
    <xf numFmtId="0" fontId="205" fillId="22" borderId="6" xfId="2070" applyFont="1" applyFill="1" applyBorder="1" applyAlignment="1">
      <alignment horizontal="center" vertical="center" wrapText="1"/>
    </xf>
    <xf numFmtId="0" fontId="189" fillId="22" borderId="6" xfId="2070" applyFont="1" applyFill="1" applyBorder="1" applyAlignment="1">
      <alignment horizontal="center" vertical="center" wrapText="1"/>
    </xf>
    <xf numFmtId="0" fontId="131" fillId="22" borderId="6" xfId="1090" applyFont="1" applyFill="1" applyBorder="1" applyAlignment="1">
      <alignment horizontal="centerContinuous"/>
    </xf>
    <xf numFmtId="0" fontId="131" fillId="22" borderId="6" xfId="1090" applyFont="1" applyFill="1" applyBorder="1" applyAlignment="1">
      <alignment horizontal="centerContinuous" wrapText="1"/>
    </xf>
    <xf numFmtId="3" fontId="151" fillId="0" borderId="6" xfId="1090" applyNumberFormat="1" applyFont="1" applyBorder="1" applyAlignment="1">
      <alignment horizontal="left" wrapText="1" indent="1"/>
    </xf>
    <xf numFmtId="3" fontId="129" fillId="0" borderId="6" xfId="1090" applyNumberFormat="1" applyFont="1" applyBorder="1" applyAlignment="1">
      <alignment horizontal="left" wrapText="1" indent="1"/>
    </xf>
    <xf numFmtId="0" fontId="131" fillId="0" borderId="0" xfId="1091" applyFont="1" applyAlignment="1">
      <alignment horizontal="center"/>
    </xf>
    <xf numFmtId="0" fontId="130" fillId="0" borderId="0" xfId="1090" applyFont="1"/>
    <xf numFmtId="0" fontId="148" fillId="0" borderId="0" xfId="1090" applyFont="1" applyAlignment="1">
      <alignment horizontal="center"/>
    </xf>
    <xf numFmtId="205" fontId="148" fillId="0" borderId="0" xfId="1090" applyNumberFormat="1" applyFont="1"/>
    <xf numFmtId="0" fontId="132" fillId="0" borderId="0" xfId="0" applyFont="1" applyAlignment="1">
      <alignment horizontal="left" vertical="center"/>
    </xf>
    <xf numFmtId="0" fontId="129" fillId="0" borderId="17" xfId="0" applyFont="1" applyBorder="1" applyAlignment="1">
      <alignment horizontal="center" vertical="center" wrapText="1"/>
    </xf>
    <xf numFmtId="0" fontId="129" fillId="0" borderId="0" xfId="0" applyFont="1" applyAlignment="1">
      <alignment vertical="center" wrapText="1"/>
    </xf>
    <xf numFmtId="0" fontId="129" fillId="0" borderId="0" xfId="0" applyFont="1" applyAlignment="1">
      <alignment horizontal="center" wrapText="1"/>
    </xf>
    <xf numFmtId="0" fontId="129" fillId="0" borderId="0" xfId="1084" applyFont="1"/>
    <xf numFmtId="0" fontId="131" fillId="76" borderId="6" xfId="1084" applyFont="1" applyFill="1" applyBorder="1"/>
    <xf numFmtId="0" fontId="131" fillId="76" borderId="6" xfId="1084" applyFont="1" applyFill="1" applyBorder="1" applyAlignment="1">
      <alignment vertical="center" wrapText="1"/>
    </xf>
    <xf numFmtId="0" fontId="131" fillId="76" borderId="6" xfId="1084" applyFont="1" applyFill="1" applyBorder="1" applyAlignment="1">
      <alignment horizontal="center"/>
    </xf>
    <xf numFmtId="17" fontId="131" fillId="76" borderId="6" xfId="1084" applyNumberFormat="1" applyFont="1" applyFill="1" applyBorder="1" applyAlignment="1">
      <alignment horizontal="center"/>
    </xf>
    <xf numFmtId="0" fontId="131" fillId="0" borderId="0" xfId="1084" applyFont="1"/>
    <xf numFmtId="0" fontId="129" fillId="0" borderId="0" xfId="1084" applyFont="1" applyAlignment="1">
      <alignment vertical="center" wrapText="1"/>
    </xf>
    <xf numFmtId="0" fontId="133" fillId="0" borderId="0" xfId="0" applyFont="1" applyAlignment="1">
      <alignment vertical="center" wrapText="1"/>
    </xf>
    <xf numFmtId="0" fontId="132" fillId="0" borderId="0" xfId="1086" applyFont="1"/>
    <xf numFmtId="0" fontId="132" fillId="0" borderId="0" xfId="1084" applyFont="1" applyAlignment="1">
      <alignment vertical="center" wrapText="1"/>
    </xf>
    <xf numFmtId="1" fontId="123" fillId="77" borderId="2" xfId="1088" applyNumberFormat="1" applyFont="1" applyFill="1" applyBorder="1" applyAlignment="1">
      <alignment horizontal="center" vertical="center"/>
    </xf>
    <xf numFmtId="0" fontId="132" fillId="77" borderId="2" xfId="1084" applyFont="1" applyFill="1" applyBorder="1" applyAlignment="1">
      <alignment vertical="center" wrapText="1"/>
    </xf>
    <xf numFmtId="17" fontId="131" fillId="77" borderId="2" xfId="1084" applyNumberFormat="1" applyFont="1" applyFill="1" applyBorder="1" applyAlignment="1">
      <alignment horizontal="center" vertical="center" wrapText="1"/>
    </xf>
    <xf numFmtId="3" fontId="129" fillId="0" borderId="22" xfId="1084" applyNumberFormat="1" applyFont="1" applyBorder="1"/>
    <xf numFmtId="17" fontId="131" fillId="77" borderId="2" xfId="1084" applyNumberFormat="1" applyFont="1" applyFill="1" applyBorder="1" applyAlignment="1">
      <alignment horizontal="center"/>
    </xf>
    <xf numFmtId="0" fontId="129" fillId="0" borderId="18" xfId="1084" applyFont="1" applyBorder="1"/>
    <xf numFmtId="0" fontId="133" fillId="0" borderId="18" xfId="1084" applyFont="1" applyBorder="1" applyAlignment="1">
      <alignment horizontal="left" vertical="center" wrapText="1"/>
    </xf>
    <xf numFmtId="3" fontId="129" fillId="0" borderId="18" xfId="1084" applyNumberFormat="1" applyFont="1" applyBorder="1"/>
    <xf numFmtId="0" fontId="129" fillId="0" borderId="20" xfId="1084" applyFont="1" applyBorder="1"/>
    <xf numFmtId="0" fontId="133" fillId="0" borderId="20" xfId="1084" applyFont="1" applyBorder="1" applyAlignment="1">
      <alignment horizontal="left" vertical="center" wrapText="1"/>
    </xf>
    <xf numFmtId="0" fontId="129" fillId="0" borderId="19" xfId="1084" applyFont="1" applyBorder="1"/>
    <xf numFmtId="0" fontId="133" fillId="0" borderId="19" xfId="1084" applyFont="1" applyBorder="1" applyAlignment="1">
      <alignment vertical="center" wrapText="1"/>
    </xf>
    <xf numFmtId="3" fontId="131" fillId="0" borderId="19" xfId="1084" applyNumberFormat="1" applyFont="1" applyBorder="1"/>
    <xf numFmtId="0" fontId="131" fillId="77" borderId="2" xfId="1084" applyFont="1" applyFill="1" applyBorder="1" applyAlignment="1">
      <alignment horizontal="center"/>
    </xf>
    <xf numFmtId="3" fontId="131" fillId="0" borderId="18" xfId="1084" applyNumberFormat="1" applyFont="1" applyBorder="1"/>
    <xf numFmtId="0" fontId="133" fillId="0" borderId="18" xfId="1084" applyFont="1" applyBorder="1" applyAlignment="1">
      <alignment vertical="center" wrapText="1"/>
    </xf>
    <xf numFmtId="0" fontId="133" fillId="0" borderId="20" xfId="1084" applyFont="1" applyBorder="1" applyAlignment="1">
      <alignment vertical="center" wrapText="1"/>
    </xf>
    <xf numFmtId="0" fontId="133" fillId="0" borderId="0" xfId="1084" applyFont="1" applyAlignment="1">
      <alignment vertical="center" wrapText="1"/>
    </xf>
    <xf numFmtId="180" fontId="148" fillId="0" borderId="0" xfId="1138" applyNumberFormat="1" applyFont="1"/>
    <xf numFmtId="1" fontId="123" fillId="77" borderId="21" xfId="1088" applyNumberFormat="1" applyFont="1" applyFill="1" applyBorder="1" applyAlignment="1">
      <alignment horizontal="center" vertical="center"/>
    </xf>
    <xf numFmtId="0" fontId="143" fillId="77" borderId="27" xfId="1084" applyFont="1" applyFill="1" applyBorder="1" applyAlignment="1">
      <alignment vertical="center" wrapText="1"/>
    </xf>
    <xf numFmtId="0" fontId="129" fillId="77" borderId="21" xfId="1084" applyFont="1" applyFill="1" applyBorder="1" applyAlignment="1">
      <alignment horizontal="centerContinuous"/>
    </xf>
    <xf numFmtId="0" fontId="132" fillId="77" borderId="21" xfId="1084" applyFont="1" applyFill="1" applyBorder="1" applyAlignment="1">
      <alignment horizontal="centerContinuous" vertical="center" wrapText="1"/>
    </xf>
    <xf numFmtId="3" fontId="129" fillId="77" borderId="21" xfId="1084" applyNumberFormat="1" applyFont="1" applyFill="1" applyBorder="1" applyAlignment="1">
      <alignment horizontal="centerContinuous"/>
    </xf>
    <xf numFmtId="3" fontId="210" fillId="0" borderId="18" xfId="1084" applyNumberFormat="1" applyFont="1" applyBorder="1"/>
    <xf numFmtId="3" fontId="129" fillId="0" borderId="0" xfId="1084" applyNumberFormat="1" applyFont="1"/>
    <xf numFmtId="3" fontId="129" fillId="0" borderId="57" xfId="1084" applyNumberFormat="1" applyFont="1" applyBorder="1"/>
    <xf numFmtId="3" fontId="129" fillId="0" borderId="19" xfId="1084" applyNumberFormat="1" applyFont="1" applyBorder="1"/>
    <xf numFmtId="3" fontId="129" fillId="0" borderId="20" xfId="1084" applyNumberFormat="1" applyFont="1" applyBorder="1"/>
    <xf numFmtId="0" fontId="186" fillId="71" borderId="2" xfId="1090" applyFont="1" applyFill="1" applyBorder="1" applyAlignment="1">
      <alignment horizontal="center" vertical="center" wrapText="1"/>
    </xf>
    <xf numFmtId="0" fontId="131" fillId="71" borderId="2" xfId="1091" applyFont="1" applyFill="1" applyBorder="1" applyAlignment="1">
      <alignment vertical="center" wrapText="1"/>
    </xf>
    <xf numFmtId="195" fontId="131" fillId="71" borderId="2" xfId="1091" applyNumberFormat="1" applyFont="1" applyFill="1" applyBorder="1" applyAlignment="1">
      <alignment horizontal="center" vertical="center" wrapText="1"/>
    </xf>
    <xf numFmtId="9" fontId="185" fillId="35" borderId="0" xfId="0" applyNumberFormat="1" applyFont="1" applyFill="1" applyAlignment="1">
      <alignment horizontal="center"/>
    </xf>
    <xf numFmtId="0" fontId="162" fillId="0" borderId="0" xfId="1084" applyFont="1"/>
    <xf numFmtId="17" fontId="131" fillId="77" borderId="2" xfId="1084" applyNumberFormat="1" applyFont="1" applyFill="1" applyBorder="1" applyAlignment="1">
      <alignment horizontal="center" vertical="center"/>
    </xf>
    <xf numFmtId="0" fontId="127" fillId="0" borderId="0" xfId="1084" applyFont="1" applyAlignment="1">
      <alignment horizontal="center"/>
    </xf>
    <xf numFmtId="3" fontId="127" fillId="0" borderId="0" xfId="1084" applyNumberFormat="1" applyFont="1"/>
    <xf numFmtId="0" fontId="131" fillId="77" borderId="2" xfId="1084" applyFont="1" applyFill="1" applyBorder="1" applyAlignment="1">
      <alignment horizontal="center" vertical="center"/>
    </xf>
    <xf numFmtId="3" fontId="133" fillId="0" borderId="20" xfId="1084" applyNumberFormat="1" applyFont="1" applyBorder="1" applyAlignment="1">
      <alignment horizontal="left" vertical="center" wrapText="1"/>
    </xf>
    <xf numFmtId="0" fontId="127" fillId="0" borderId="0" xfId="1084" applyFont="1"/>
    <xf numFmtId="3" fontId="133" fillId="0" borderId="18" xfId="1084" applyNumberFormat="1" applyFont="1" applyBorder="1" applyAlignment="1">
      <alignment horizontal="left" vertical="center" wrapText="1"/>
    </xf>
    <xf numFmtId="0" fontId="139" fillId="0" borderId="0" xfId="1086" applyFont="1"/>
    <xf numFmtId="3" fontId="129" fillId="77" borderId="22" xfId="1084" applyNumberFormat="1" applyFont="1" applyFill="1" applyBorder="1"/>
    <xf numFmtId="0" fontId="143" fillId="77" borderId="6" xfId="1086" applyFont="1" applyFill="1" applyBorder="1" applyAlignment="1">
      <alignment horizontal="center" vertical="center" wrapText="1"/>
    </xf>
    <xf numFmtId="17" fontId="132" fillId="0" borderId="6" xfId="0" applyNumberFormat="1" applyFont="1" applyBorder="1" applyAlignment="1">
      <alignment horizontal="center"/>
    </xf>
    <xf numFmtId="2" fontId="140" fillId="0" borderId="6" xfId="1086" applyNumberFormat="1" applyFont="1" applyBorder="1" applyAlignment="1">
      <alignment horizontal="center"/>
    </xf>
    <xf numFmtId="0" fontId="140" fillId="0" borderId="6" xfId="1086" applyFont="1" applyBorder="1"/>
    <xf numFmtId="2" fontId="140" fillId="0" borderId="6" xfId="1086" applyNumberFormat="1" applyFont="1" applyBorder="1"/>
    <xf numFmtId="0" fontId="143" fillId="77" borderId="6" xfId="1086" applyFont="1" applyFill="1" applyBorder="1"/>
    <xf numFmtId="2" fontId="143" fillId="77" borderId="6" xfId="1086" applyNumberFormat="1" applyFont="1" applyFill="1" applyBorder="1" applyAlignment="1">
      <alignment horizontal="center"/>
    </xf>
    <xf numFmtId="0" fontId="131" fillId="0" borderId="0" xfId="1091" applyFont="1" applyAlignment="1">
      <alignment horizontal="left"/>
    </xf>
    <xf numFmtId="0" fontId="129" fillId="0" borderId="0" xfId="969" applyFont="1" applyAlignment="1">
      <alignment horizontal="center" wrapText="1"/>
    </xf>
    <xf numFmtId="0" fontId="131" fillId="0" borderId="0" xfId="1091" applyFont="1" applyAlignment="1">
      <alignment horizontal="center" wrapText="1"/>
    </xf>
    <xf numFmtId="0" fontId="131" fillId="22" borderId="2" xfId="1091" applyFont="1" applyFill="1" applyBorder="1" applyAlignment="1">
      <alignment vertical="center" wrapText="1"/>
    </xf>
    <xf numFmtId="17" fontId="131" fillId="22" borderId="2" xfId="1091" applyNumberFormat="1" applyFont="1" applyFill="1" applyBorder="1" applyAlignment="1">
      <alignment horizontal="center" vertical="center" wrapText="1"/>
    </xf>
    <xf numFmtId="0" fontId="131" fillId="22" borderId="2" xfId="1091" applyFont="1" applyFill="1" applyBorder="1" applyAlignment="1">
      <alignment horizontal="center" vertical="center" wrapText="1"/>
    </xf>
    <xf numFmtId="180" fontId="169" fillId="74" borderId="0" xfId="1138" applyNumberFormat="1" applyFont="1" applyFill="1"/>
    <xf numFmtId="180" fontId="169" fillId="75" borderId="0" xfId="1138" applyNumberFormat="1" applyFont="1" applyFill="1"/>
    <xf numFmtId="180" fontId="169" fillId="73" borderId="0" xfId="1138" applyNumberFormat="1" applyFont="1" applyFill="1"/>
    <xf numFmtId="0" fontId="229" fillId="22" borderId="0" xfId="0" applyFont="1" applyFill="1"/>
    <xf numFmtId="3" fontId="131" fillId="0" borderId="0" xfId="1091" applyNumberFormat="1" applyFont="1"/>
    <xf numFmtId="0" fontId="230" fillId="36" borderId="0" xfId="0" applyFont="1" applyFill="1" applyAlignment="1">
      <alignment horizontal="left" indent="1"/>
    </xf>
    <xf numFmtId="0" fontId="229" fillId="36" borderId="0" xfId="0" applyFont="1" applyFill="1" applyAlignment="1">
      <alignment horizontal="left" indent="1"/>
    </xf>
    <xf numFmtId="3" fontId="148" fillId="0" borderId="0" xfId="1091" applyNumberFormat="1" applyFont="1"/>
    <xf numFmtId="3" fontId="219" fillId="0" borderId="0" xfId="1091" applyNumberFormat="1" applyFont="1"/>
    <xf numFmtId="0" fontId="130" fillId="0" borderId="0" xfId="1091" applyFont="1"/>
    <xf numFmtId="0" fontId="210" fillId="0" borderId="0" xfId="1091" applyFont="1"/>
    <xf numFmtId="0" fontId="148" fillId="77" borderId="6" xfId="1091" applyFont="1" applyFill="1" applyBorder="1"/>
    <xf numFmtId="3" fontId="148" fillId="77" borderId="6" xfId="1091" applyNumberFormat="1" applyFont="1" applyFill="1" applyBorder="1"/>
    <xf numFmtId="0" fontId="129" fillId="0" borderId="0" xfId="0" applyFont="1" applyAlignment="1">
      <alignment vertical="center"/>
    </xf>
    <xf numFmtId="17" fontId="131" fillId="71" borderId="6" xfId="1091" applyNumberFormat="1" applyFont="1" applyFill="1" applyBorder="1" applyAlignment="1">
      <alignment horizontal="centerContinuous" vertical="center"/>
    </xf>
    <xf numFmtId="0" fontId="129" fillId="0" borderId="0" xfId="1091" applyFont="1" applyAlignment="1">
      <alignment vertical="center"/>
    </xf>
    <xf numFmtId="0" fontId="133" fillId="32" borderId="0" xfId="1091" applyFont="1" applyFill="1"/>
    <xf numFmtId="181" fontId="148" fillId="0" borderId="0" xfId="1091" applyNumberFormat="1" applyFont="1"/>
    <xf numFmtId="3" fontId="210" fillId="0" borderId="0" xfId="1091" applyNumberFormat="1" applyFont="1"/>
    <xf numFmtId="10" fontId="210" fillId="0" borderId="0" xfId="1138" applyNumberFormat="1" applyFont="1"/>
    <xf numFmtId="10" fontId="148" fillId="0" borderId="0" xfId="1138" applyNumberFormat="1" applyFont="1"/>
    <xf numFmtId="10" fontId="129" fillId="0" borderId="0" xfId="1138" applyNumberFormat="1" applyFont="1"/>
    <xf numFmtId="10" fontId="131" fillId="0" borderId="0" xfId="1138" applyNumberFormat="1" applyFont="1"/>
    <xf numFmtId="0" fontId="222" fillId="0" borderId="0" xfId="1091" applyFont="1"/>
    <xf numFmtId="0" fontId="222" fillId="0" borderId="0" xfId="0" applyFont="1"/>
    <xf numFmtId="0" fontId="223" fillId="0" borderId="0" xfId="0" applyFont="1" applyAlignment="1">
      <alignment horizontal="left" vertical="center" wrapText="1"/>
    </xf>
    <xf numFmtId="0" fontId="222" fillId="0" borderId="31" xfId="0" applyFont="1" applyBorder="1" applyAlignment="1">
      <alignment horizontal="center" vertical="center" wrapText="1"/>
    </xf>
    <xf numFmtId="0" fontId="222" fillId="0" borderId="0" xfId="0" applyFont="1" applyAlignment="1">
      <alignment horizontal="center" vertical="center" wrapText="1"/>
    </xf>
    <xf numFmtId="0" fontId="135" fillId="0" borderId="0" xfId="1091" applyFont="1"/>
    <xf numFmtId="3" fontId="129" fillId="0" borderId="18" xfId="1091" applyNumberFormat="1" applyFont="1" applyBorder="1"/>
    <xf numFmtId="179" fontId="148" fillId="0" borderId="17" xfId="1091" applyNumberFormat="1" applyFont="1" applyBorder="1"/>
    <xf numFmtId="0" fontId="126" fillId="31" borderId="0" xfId="0" applyFont="1" applyFill="1"/>
    <xf numFmtId="0" fontId="161" fillId="0" borderId="0" xfId="0" applyFont="1"/>
    <xf numFmtId="3" fontId="161" fillId="0" borderId="0" xfId="0" applyNumberFormat="1" applyFont="1"/>
    <xf numFmtId="0" fontId="124" fillId="84" borderId="0" xfId="0" applyFont="1" applyFill="1"/>
    <xf numFmtId="3" fontId="185" fillId="0" borderId="0" xfId="0" applyNumberFormat="1" applyFont="1"/>
    <xf numFmtId="0" fontId="124" fillId="82" borderId="0" xfId="0" applyFont="1" applyFill="1"/>
    <xf numFmtId="0" fontId="126" fillId="0" borderId="0" xfId="0" applyFont="1"/>
    <xf numFmtId="0" fontId="157" fillId="0" borderId="0" xfId="0" applyFont="1"/>
    <xf numFmtId="3" fontId="204" fillId="0" borderId="0" xfId="1090" applyNumberFormat="1" applyFont="1"/>
    <xf numFmtId="3" fontId="232" fillId="0" borderId="0" xfId="1091" applyNumberFormat="1" applyFont="1"/>
    <xf numFmtId="0" fontId="136" fillId="0" borderId="0" xfId="1091" applyFont="1"/>
    <xf numFmtId="180" fontId="136" fillId="0" borderId="0" xfId="1138" applyNumberFormat="1" applyFont="1"/>
    <xf numFmtId="180" fontId="130" fillId="0" borderId="0" xfId="1138" applyNumberFormat="1" applyFont="1"/>
    <xf numFmtId="3" fontId="130" fillId="0" borderId="0" xfId="1091" applyNumberFormat="1" applyFont="1"/>
    <xf numFmtId="179" fontId="127" fillId="0" borderId="17" xfId="0" applyNumberFormat="1" applyFont="1" applyBorder="1"/>
    <xf numFmtId="180" fontId="129" fillId="0" borderId="0" xfId="1138" applyNumberFormat="1" applyFont="1"/>
    <xf numFmtId="180" fontId="129" fillId="0" borderId="0" xfId="1091" applyNumberFormat="1" applyFont="1"/>
    <xf numFmtId="180" fontId="131" fillId="0" borderId="0" xfId="1091" applyNumberFormat="1" applyFont="1"/>
    <xf numFmtId="0" fontId="228" fillId="0" borderId="0" xfId="1091" applyFont="1"/>
    <xf numFmtId="10" fontId="148" fillId="0" borderId="0" xfId="1138" applyNumberFormat="1" applyFont="1" applyBorder="1"/>
    <xf numFmtId="10" fontId="210" fillId="0" borderId="0" xfId="1138" applyNumberFormat="1" applyFont="1" applyBorder="1"/>
    <xf numFmtId="17" fontId="148" fillId="34" borderId="0" xfId="1091" applyNumberFormat="1" applyFont="1" applyFill="1" applyAlignment="1">
      <alignment horizontal="center" vertical="center" wrapText="1"/>
    </xf>
    <xf numFmtId="0" fontId="148" fillId="0" borderId="0" xfId="1091" applyFont="1"/>
    <xf numFmtId="0" fontId="128" fillId="0" borderId="0" xfId="0" applyFont="1"/>
    <xf numFmtId="3" fontId="216" fillId="0" borderId="0" xfId="0" applyNumberFormat="1" applyFont="1"/>
    <xf numFmtId="0" fontId="131" fillId="77" borderId="0" xfId="0" applyFont="1" applyFill="1"/>
    <xf numFmtId="0" fontId="131" fillId="0" borderId="0" xfId="0" applyFont="1" applyAlignment="1">
      <alignment horizontal="center"/>
    </xf>
    <xf numFmtId="0" fontId="126" fillId="80" borderId="0" xfId="0" applyFont="1" applyFill="1"/>
    <xf numFmtId="17" fontId="126" fillId="71" borderId="0" xfId="0" applyNumberFormat="1" applyFont="1" applyFill="1" applyAlignment="1">
      <alignment horizontal="center"/>
    </xf>
    <xf numFmtId="0" fontId="124" fillId="88" borderId="0" xfId="0" applyFont="1" applyFill="1"/>
    <xf numFmtId="3" fontId="124" fillId="78" borderId="0" xfId="0" applyNumberFormat="1" applyFont="1" applyFill="1"/>
    <xf numFmtId="3" fontId="128" fillId="0" borderId="0" xfId="0" applyNumberFormat="1" applyFont="1"/>
    <xf numFmtId="0" fontId="126" fillId="0" borderId="0" xfId="1091" applyFont="1" applyAlignment="1">
      <alignment horizontal="center" vertical="center" wrapText="1"/>
    </xf>
    <xf numFmtId="17" fontId="126" fillId="0" borderId="0" xfId="1091" applyNumberFormat="1" applyFont="1" applyAlignment="1">
      <alignment horizontal="center" vertical="center" wrapText="1"/>
    </xf>
    <xf numFmtId="17" fontId="141" fillId="31" borderId="0" xfId="0" applyNumberFormat="1" applyFont="1" applyFill="1" applyAlignment="1">
      <alignment horizontal="center"/>
    </xf>
    <xf numFmtId="3" fontId="157" fillId="0" borderId="0" xfId="0" applyNumberFormat="1" applyFont="1"/>
    <xf numFmtId="3" fontId="200" fillId="0" borderId="0" xfId="1091" applyNumberFormat="1" applyFont="1"/>
    <xf numFmtId="0" fontId="131" fillId="32" borderId="0" xfId="1091" applyFont="1" applyFill="1" applyAlignment="1">
      <alignment horizontal="left"/>
    </xf>
    <xf numFmtId="0" fontId="129" fillId="32" borderId="0" xfId="0" applyFont="1" applyFill="1"/>
    <xf numFmtId="0" fontId="129" fillId="32" borderId="31" xfId="0" applyFont="1" applyFill="1" applyBorder="1" applyAlignment="1">
      <alignment horizontal="center" vertical="center" wrapText="1"/>
    </xf>
    <xf numFmtId="0" fontId="131" fillId="32" borderId="0" xfId="1091" applyFont="1" applyFill="1"/>
    <xf numFmtId="3" fontId="137" fillId="32" borderId="0" xfId="1091" applyNumberFormat="1" applyFont="1" applyFill="1"/>
    <xf numFmtId="3" fontId="129" fillId="32" borderId="0" xfId="1091" applyNumberFormat="1" applyFont="1" applyFill="1"/>
    <xf numFmtId="0" fontId="139" fillId="32" borderId="0" xfId="1091" applyFont="1" applyFill="1"/>
    <xf numFmtId="3" fontId="131" fillId="32" borderId="0" xfId="1091" applyNumberFormat="1" applyFont="1" applyFill="1"/>
    <xf numFmtId="0" fontId="236" fillId="71" borderId="0" xfId="1082" applyFont="1" applyFill="1" applyAlignment="1">
      <alignment wrapText="1"/>
    </xf>
    <xf numFmtId="0" fontId="236" fillId="71" borderId="0" xfId="1082" applyFont="1" applyFill="1" applyAlignment="1">
      <alignment horizontal="left" indent="1"/>
    </xf>
    <xf numFmtId="0" fontId="237" fillId="0" borderId="0" xfId="1082" applyFont="1"/>
    <xf numFmtId="0" fontId="236" fillId="0" borderId="0" xfId="1082" applyFont="1"/>
    <xf numFmtId="0" fontId="238" fillId="0" borderId="0" xfId="1082" applyFont="1" applyAlignment="1">
      <alignment horizontal="center" vertical="center" wrapText="1"/>
    </xf>
    <xf numFmtId="0" fontId="129" fillId="0" borderId="0" xfId="1082" applyFont="1"/>
    <xf numFmtId="0" fontId="239" fillId="0" borderId="0" xfId="1082" applyFont="1" applyAlignment="1">
      <alignment horizontal="center" vertical="center" wrapText="1"/>
    </xf>
    <xf numFmtId="0" fontId="129" fillId="71" borderId="0" xfId="1082" applyFont="1" applyFill="1" applyAlignment="1">
      <alignment horizontal="left" indent="1"/>
    </xf>
    <xf numFmtId="0" fontId="129" fillId="71" borderId="0" xfId="1082" applyFont="1" applyFill="1" applyAlignment="1">
      <alignment horizontal="right"/>
    </xf>
    <xf numFmtId="0" fontId="210" fillId="71" borderId="0" xfId="1082" applyFont="1" applyFill="1" applyAlignment="1">
      <alignment horizontal="right"/>
    </xf>
    <xf numFmtId="0" fontId="132" fillId="0" borderId="0" xfId="1082" applyFont="1"/>
    <xf numFmtId="0" fontId="129" fillId="78" borderId="0" xfId="1082" applyFont="1" applyFill="1" applyAlignment="1">
      <alignment horizontal="centerContinuous" wrapText="1"/>
    </xf>
    <xf numFmtId="0" fontId="129" fillId="78" borderId="0" xfId="1082" applyFont="1" applyFill="1" applyAlignment="1">
      <alignment horizontal="centerContinuous"/>
    </xf>
    <xf numFmtId="0" fontId="210" fillId="78" borderId="0" xfId="1082" applyFont="1" applyFill="1" applyAlignment="1">
      <alignment horizontal="centerContinuous"/>
    </xf>
    <xf numFmtId="4" fontId="132" fillId="0" borderId="0" xfId="389" applyNumberFormat="1" applyFont="1" applyFill="1"/>
    <xf numFmtId="0" fontId="129" fillId="0" borderId="0" xfId="1082" applyFont="1" applyAlignment="1">
      <alignment wrapText="1"/>
    </xf>
    <xf numFmtId="0" fontId="129" fillId="0" borderId="0" xfId="1082" applyFont="1" applyAlignment="1">
      <alignment horizontal="left" indent="1"/>
    </xf>
    <xf numFmtId="0" fontId="129" fillId="0" borderId="0" xfId="1082" applyFont="1" applyAlignment="1">
      <alignment horizontal="right"/>
    </xf>
    <xf numFmtId="0" fontId="210" fillId="0" borderId="0" xfId="1082" applyFont="1" applyAlignment="1">
      <alignment horizontal="right"/>
    </xf>
    <xf numFmtId="0" fontId="131" fillId="71" borderId="0" xfId="1082" applyFont="1" applyFill="1" applyAlignment="1">
      <alignment horizontal="justify" wrapText="1"/>
    </xf>
    <xf numFmtId="0" fontId="134" fillId="78" borderId="0" xfId="1082" applyFont="1" applyFill="1" applyAlignment="1">
      <alignment horizontal="justify" wrapText="1"/>
    </xf>
    <xf numFmtId="0" fontId="129" fillId="78" borderId="0" xfId="1082" applyFont="1" applyFill="1" applyAlignment="1">
      <alignment horizontal="left" indent="1"/>
    </xf>
    <xf numFmtId="0" fontId="129" fillId="78" borderId="0" xfId="1082" applyFont="1" applyFill="1" applyAlignment="1">
      <alignment horizontal="right"/>
    </xf>
    <xf numFmtId="0" fontId="210" fillId="78" borderId="0" xfId="1082" applyFont="1" applyFill="1" applyAlignment="1">
      <alignment horizontal="right"/>
    </xf>
    <xf numFmtId="0" fontId="129" fillId="78" borderId="0" xfId="1082" applyFont="1" applyFill="1" applyAlignment="1">
      <alignment horizontal="justify" vertical="top" wrapText="1"/>
    </xf>
    <xf numFmtId="0" fontId="129" fillId="78" borderId="0" xfId="1082" applyFont="1" applyFill="1" applyAlignment="1">
      <alignment horizontal="left" vertical="top" wrapText="1" indent="1"/>
    </xf>
    <xf numFmtId="177" fontId="129" fillId="78" borderId="0" xfId="1082" applyNumberFormat="1" applyFont="1" applyFill="1" applyAlignment="1">
      <alignment horizontal="right" vertical="top" wrapText="1"/>
    </xf>
    <xf numFmtId="0" fontId="134" fillId="0" borderId="0" xfId="1082" applyFont="1" applyAlignment="1">
      <alignment horizontal="justify" wrapText="1"/>
    </xf>
    <xf numFmtId="0" fontId="131" fillId="0" borderId="0" xfId="1082" applyFont="1" applyAlignment="1">
      <alignment horizontal="justify" vertical="top" wrapText="1"/>
    </xf>
    <xf numFmtId="0" fontId="129" fillId="0" borderId="0" xfId="1082" applyFont="1" applyAlignment="1">
      <alignment horizontal="left" vertical="top" wrapText="1" indent="1"/>
    </xf>
    <xf numFmtId="0" fontId="129" fillId="0" borderId="0" xfId="1082" applyFont="1" applyAlignment="1">
      <alignment horizontal="right" vertical="top" wrapText="1"/>
    </xf>
    <xf numFmtId="0" fontId="210" fillId="0" borderId="0" xfId="1082" applyFont="1" applyAlignment="1">
      <alignment horizontal="right" vertical="top" wrapText="1"/>
    </xf>
    <xf numFmtId="0" fontId="129" fillId="0" borderId="0" xfId="1082" applyFont="1" applyAlignment="1">
      <alignment horizontal="justify" vertical="top" wrapText="1"/>
    </xf>
    <xf numFmtId="178" fontId="129" fillId="0" borderId="0" xfId="1082" applyNumberFormat="1" applyFont="1" applyAlignment="1">
      <alignment horizontal="right" vertical="top" wrapText="1"/>
    </xf>
    <xf numFmtId="178" fontId="210" fillId="0" borderId="0" xfId="1082" applyNumberFormat="1" applyFont="1" applyAlignment="1">
      <alignment horizontal="right" vertical="top" wrapText="1"/>
    </xf>
    <xf numFmtId="4" fontId="129" fillId="78" borderId="0" xfId="1082" applyNumberFormat="1" applyFont="1" applyFill="1" applyAlignment="1">
      <alignment horizontal="right" vertical="top" wrapText="1"/>
    </xf>
    <xf numFmtId="4" fontId="210" fillId="78" borderId="0" xfId="1082" applyNumberFormat="1" applyFont="1" applyFill="1" applyAlignment="1">
      <alignment horizontal="right" vertical="top" wrapText="1"/>
    </xf>
    <xf numFmtId="179" fontId="132" fillId="0" borderId="0" xfId="389" applyNumberFormat="1" applyFont="1" applyFill="1"/>
    <xf numFmtId="4" fontId="133" fillId="0" borderId="0" xfId="1082" applyNumberFormat="1" applyFont="1"/>
    <xf numFmtId="4" fontId="129" fillId="0" borderId="0" xfId="1082" applyNumberFormat="1" applyFont="1" applyAlignment="1">
      <alignment horizontal="right" vertical="top" wrapText="1"/>
    </xf>
    <xf numFmtId="4" fontId="210" fillId="0" borderId="0" xfId="1082" applyNumberFormat="1" applyFont="1" applyAlignment="1">
      <alignment horizontal="right" vertical="top" wrapText="1"/>
    </xf>
    <xf numFmtId="177" fontId="133" fillId="0" borderId="0" xfId="1082" applyNumberFormat="1" applyFont="1"/>
    <xf numFmtId="178" fontId="129" fillId="0" borderId="0" xfId="897" applyNumberFormat="1" applyFont="1" applyFill="1" applyAlignment="1">
      <alignment horizontal="right" vertical="top" wrapText="1"/>
    </xf>
    <xf numFmtId="178" fontId="210" fillId="0" borderId="0" xfId="897" applyNumberFormat="1" applyFont="1" applyFill="1" applyAlignment="1">
      <alignment horizontal="right" vertical="top" wrapText="1"/>
    </xf>
    <xf numFmtId="178" fontId="132" fillId="0" borderId="0" xfId="389" applyNumberFormat="1" applyFont="1" applyFill="1"/>
    <xf numFmtId="221" fontId="129" fillId="0" borderId="0" xfId="1082" applyNumberFormat="1" applyFont="1"/>
    <xf numFmtId="177" fontId="129" fillId="0" borderId="0" xfId="1082" applyNumberFormat="1" applyFont="1" applyAlignment="1">
      <alignment horizontal="right" vertical="top" wrapText="1"/>
    </xf>
    <xf numFmtId="177" fontId="210" fillId="0" borderId="0" xfId="1082" applyNumberFormat="1" applyFont="1" applyAlignment="1">
      <alignment horizontal="right" vertical="top" wrapText="1"/>
    </xf>
    <xf numFmtId="0" fontId="129" fillId="0" borderId="0" xfId="1082" applyFont="1" applyAlignment="1">
      <alignment horizontal="justify" wrapText="1"/>
    </xf>
    <xf numFmtId="0" fontId="129" fillId="71" borderId="0" xfId="1082" applyFont="1" applyFill="1" applyAlignment="1">
      <alignment horizontal="centerContinuous" wrapText="1"/>
    </xf>
    <xf numFmtId="0" fontId="129" fillId="71" borderId="0" xfId="1082" applyFont="1" applyFill="1" applyAlignment="1">
      <alignment horizontal="centerContinuous"/>
    </xf>
    <xf numFmtId="0" fontId="210" fillId="71" borderId="0" xfId="1082" applyFont="1" applyFill="1" applyAlignment="1">
      <alignment horizontal="centerContinuous"/>
    </xf>
    <xf numFmtId="2" fontId="129" fillId="78" borderId="0" xfId="1082" applyNumberFormat="1" applyFont="1" applyFill="1" applyAlignment="1">
      <alignment horizontal="right" vertical="top" wrapText="1"/>
    </xf>
    <xf numFmtId="2" fontId="210" fillId="78" borderId="0" xfId="1082" applyNumberFormat="1" applyFont="1" applyFill="1" applyAlignment="1">
      <alignment horizontal="right" vertical="top" wrapText="1"/>
    </xf>
    <xf numFmtId="178" fontId="129" fillId="78" borderId="0" xfId="1082" applyNumberFormat="1" applyFont="1" applyFill="1" applyAlignment="1">
      <alignment horizontal="right" vertical="top" wrapText="1"/>
    </xf>
    <xf numFmtId="0" fontId="129" fillId="0" borderId="0" xfId="1082" applyFont="1" applyAlignment="1">
      <alignment vertical="top" wrapText="1"/>
    </xf>
    <xf numFmtId="169" fontId="129" fillId="0" borderId="0" xfId="897" applyNumberFormat="1" applyFont="1" applyFill="1" applyAlignment="1">
      <alignment horizontal="right" vertical="top" wrapText="1"/>
    </xf>
    <xf numFmtId="169" fontId="210" fillId="0" borderId="0" xfId="897" applyNumberFormat="1" applyFont="1" applyFill="1" applyAlignment="1">
      <alignment horizontal="right" vertical="top" wrapText="1"/>
    </xf>
    <xf numFmtId="197" fontId="129" fillId="0" borderId="0" xfId="897" applyNumberFormat="1" applyFont="1" applyFill="1" applyAlignment="1">
      <alignment horizontal="right" vertical="top" wrapText="1"/>
    </xf>
    <xf numFmtId="197" fontId="210" fillId="0" borderId="0" xfId="897" applyNumberFormat="1" applyFont="1" applyFill="1" applyAlignment="1">
      <alignment horizontal="right" vertical="top" wrapText="1"/>
    </xf>
    <xf numFmtId="2" fontId="129" fillId="0" borderId="0" xfId="1082" applyNumberFormat="1" applyFont="1" applyAlignment="1">
      <alignment horizontal="right" vertical="top" wrapText="1"/>
    </xf>
    <xf numFmtId="2" fontId="210" fillId="0" borderId="0" xfId="1082" applyNumberFormat="1" applyFont="1" applyAlignment="1">
      <alignment horizontal="right" vertical="top" wrapText="1"/>
    </xf>
    <xf numFmtId="0" fontId="131" fillId="0" borderId="0" xfId="1082" applyFont="1" applyAlignment="1">
      <alignment horizontal="justify" wrapText="1"/>
    </xf>
    <xf numFmtId="0" fontId="131" fillId="78" borderId="0" xfId="1082" applyFont="1" applyFill="1" applyAlignment="1">
      <alignment horizontal="justify" wrapText="1"/>
    </xf>
    <xf numFmtId="4" fontId="129" fillId="78" borderId="0" xfId="897" applyNumberFormat="1" applyFont="1" applyFill="1" applyAlignment="1">
      <alignment horizontal="right" vertical="top" wrapText="1"/>
    </xf>
    <xf numFmtId="4" fontId="210" fillId="78" borderId="0" xfId="897" applyNumberFormat="1" applyFont="1" applyFill="1" applyAlignment="1">
      <alignment horizontal="right" vertical="top" wrapText="1"/>
    </xf>
    <xf numFmtId="0" fontId="131" fillId="0" borderId="0" xfId="1082" applyFont="1" applyAlignment="1">
      <alignment horizontal="center" wrapText="1"/>
    </xf>
    <xf numFmtId="0" fontId="130" fillId="78" borderId="0" xfId="1082" applyFont="1" applyFill="1" applyAlignment="1">
      <alignment horizontal="justify" wrapText="1"/>
    </xf>
    <xf numFmtId="2" fontId="129" fillId="78" borderId="0" xfId="1082" applyNumberFormat="1" applyFont="1" applyFill="1" applyAlignment="1">
      <alignment horizontal="right"/>
    </xf>
    <xf numFmtId="2" fontId="210" fillId="78" borderId="0" xfId="1082" applyNumberFormat="1" applyFont="1" applyFill="1" applyAlignment="1">
      <alignment horizontal="right"/>
    </xf>
    <xf numFmtId="197" fontId="129" fillId="78" borderId="0" xfId="897" applyNumberFormat="1" applyFont="1" applyFill="1" applyAlignment="1">
      <alignment horizontal="right" vertical="top" wrapText="1"/>
    </xf>
    <xf numFmtId="227" fontId="129" fillId="0" borderId="0" xfId="897" applyNumberFormat="1" applyFont="1" applyFill="1" applyAlignment="1">
      <alignment horizontal="right" vertical="top" wrapText="1"/>
    </xf>
    <xf numFmtId="227" fontId="210" fillId="0" borderId="0" xfId="897" applyNumberFormat="1" applyFont="1" applyFill="1" applyAlignment="1">
      <alignment horizontal="right" vertical="top" wrapText="1"/>
    </xf>
    <xf numFmtId="179" fontId="129" fillId="0" borderId="0" xfId="1082" applyNumberFormat="1" applyFont="1" applyAlignment="1">
      <alignment horizontal="right" vertical="top" wrapText="1"/>
    </xf>
    <xf numFmtId="179" fontId="210" fillId="0" borderId="0" xfId="1082" applyNumberFormat="1" applyFont="1" applyAlignment="1">
      <alignment horizontal="right" vertical="top" wrapText="1"/>
    </xf>
    <xf numFmtId="0" fontId="210" fillId="0" borderId="0" xfId="1082" applyFont="1" applyAlignment="1">
      <alignment vertical="top" wrapText="1"/>
    </xf>
    <xf numFmtId="0" fontId="129" fillId="78" borderId="0" xfId="1082" applyFont="1" applyFill="1"/>
    <xf numFmtId="0" fontId="210" fillId="78" borderId="0" xfId="1082" applyFont="1" applyFill="1"/>
    <xf numFmtId="4" fontId="129" fillId="0" borderId="0" xfId="1082" applyNumberFormat="1" applyFont="1" applyAlignment="1">
      <alignment horizontal="right"/>
    </xf>
    <xf numFmtId="4" fontId="210" fillId="0" borderId="0" xfId="1082" applyNumberFormat="1" applyFont="1" applyAlignment="1">
      <alignment horizontal="right"/>
    </xf>
    <xf numFmtId="4" fontId="132" fillId="0" borderId="0" xfId="389" applyNumberFormat="1" applyFont="1" applyFill="1" applyAlignment="1">
      <alignment horizontal="right"/>
    </xf>
    <xf numFmtId="0" fontId="131" fillId="74" borderId="0" xfId="1082" applyFont="1" applyFill="1" applyAlignment="1">
      <alignment horizontal="centerContinuous"/>
    </xf>
    <xf numFmtId="0" fontId="129" fillId="74" borderId="0" xfId="1082" applyFont="1" applyFill="1" applyAlignment="1">
      <alignment horizontal="centerContinuous"/>
    </xf>
    <xf numFmtId="0" fontId="210" fillId="74" borderId="0" xfId="1082" applyFont="1" applyFill="1" applyAlignment="1">
      <alignment horizontal="centerContinuous"/>
    </xf>
    <xf numFmtId="0" fontId="131" fillId="0" borderId="0" xfId="1082" applyFont="1" applyAlignment="1">
      <alignment horizontal="justify"/>
    </xf>
    <xf numFmtId="0" fontId="210" fillId="0" borderId="0" xfId="1082" applyFont="1"/>
    <xf numFmtId="0" fontId="204" fillId="71" borderId="0" xfId="1082" applyFont="1" applyFill="1" applyAlignment="1">
      <alignment horizontal="justify" wrapText="1"/>
    </xf>
    <xf numFmtId="177" fontId="210" fillId="78" borderId="0" xfId="1082" applyNumberFormat="1" applyFont="1" applyFill="1" applyAlignment="1">
      <alignment horizontal="right" vertical="top" wrapText="1"/>
    </xf>
    <xf numFmtId="0" fontId="210" fillId="0" borderId="0" xfId="1082" applyFont="1" applyAlignment="1">
      <alignment horizontal="justify" vertical="top" wrapText="1"/>
    </xf>
    <xf numFmtId="4" fontId="129" fillId="0" borderId="0" xfId="897" applyNumberFormat="1" applyFont="1" applyFill="1" applyAlignment="1">
      <alignment horizontal="right" vertical="top" wrapText="1"/>
    </xf>
    <xf numFmtId="4" fontId="210" fillId="0" borderId="0" xfId="897" applyNumberFormat="1" applyFont="1" applyFill="1" applyAlignment="1">
      <alignment horizontal="right" vertical="top" wrapText="1"/>
    </xf>
    <xf numFmtId="4" fontId="129" fillId="0" borderId="0" xfId="1082" applyNumberFormat="1" applyFont="1" applyAlignment="1">
      <alignment horizontal="justify" vertical="top" wrapText="1"/>
    </xf>
    <xf numFmtId="4" fontId="210" fillId="0" borderId="0" xfId="1082" applyNumberFormat="1" applyFont="1" applyAlignment="1">
      <alignment horizontal="justify" vertical="top" wrapText="1"/>
    </xf>
    <xf numFmtId="178" fontId="129" fillId="0" borderId="0" xfId="1082" applyNumberFormat="1" applyFont="1"/>
    <xf numFmtId="178" fontId="210" fillId="0" borderId="0" xfId="1082" applyNumberFormat="1" applyFont="1"/>
    <xf numFmtId="0" fontId="132" fillId="0" borderId="0" xfId="0" applyFont="1"/>
    <xf numFmtId="10" fontId="132" fillId="0" borderId="0" xfId="1138" applyNumberFormat="1" applyFont="1"/>
    <xf numFmtId="10" fontId="132" fillId="0" borderId="0" xfId="0" applyNumberFormat="1" applyFont="1"/>
    <xf numFmtId="210" fontId="132" fillId="77" borderId="0" xfId="0" applyNumberFormat="1" applyFont="1" applyFill="1"/>
    <xf numFmtId="210" fontId="133" fillId="0" borderId="0" xfId="0" applyNumberFormat="1" applyFont="1"/>
    <xf numFmtId="0" fontId="133" fillId="0" borderId="0" xfId="0" applyFont="1" applyAlignment="1">
      <alignment horizontal="left"/>
    </xf>
    <xf numFmtId="0" fontId="145" fillId="0" borderId="0" xfId="0" applyFont="1"/>
    <xf numFmtId="0" fontId="133" fillId="0" borderId="0" xfId="1086" applyFont="1"/>
    <xf numFmtId="0" fontId="140" fillId="0" borderId="0" xfId="1086" applyFont="1" applyAlignment="1">
      <alignment vertical="center"/>
    </xf>
    <xf numFmtId="0" fontId="131" fillId="71" borderId="2" xfId="1086" applyFont="1" applyFill="1" applyBorder="1" applyAlignment="1">
      <alignment horizontal="center" vertical="center" wrapText="1"/>
    </xf>
    <xf numFmtId="0" fontId="226" fillId="0" borderId="0" xfId="0" applyFont="1"/>
    <xf numFmtId="210" fontId="226" fillId="0" borderId="0" xfId="0" applyNumberFormat="1" applyFont="1"/>
    <xf numFmtId="210" fontId="227" fillId="0" borderId="0" xfId="0" applyNumberFormat="1" applyFont="1"/>
    <xf numFmtId="3" fontId="137" fillId="0" borderId="6" xfId="1090" applyNumberFormat="1" applyFont="1" applyBorder="1"/>
    <xf numFmtId="0" fontId="242" fillId="0" borderId="0" xfId="0" applyFont="1" applyAlignment="1">
      <alignment horizontal="centerContinuous"/>
    </xf>
    <xf numFmtId="0" fontId="228" fillId="0" borderId="0" xfId="0" applyFont="1" applyAlignment="1">
      <alignment horizontal="centerContinuous"/>
    </xf>
    <xf numFmtId="0" fontId="139" fillId="0" borderId="0" xfId="0" applyFont="1" applyAlignment="1">
      <alignment horizontal="centerContinuous"/>
    </xf>
    <xf numFmtId="0" fontId="243" fillId="0" borderId="0" xfId="0" applyFont="1" applyAlignment="1">
      <alignment horizontal="centerContinuous"/>
    </xf>
    <xf numFmtId="0" fontId="139" fillId="0" borderId="0" xfId="0" applyFont="1" applyAlignment="1">
      <alignment horizontal="centerContinuous" wrapText="1"/>
    </xf>
    <xf numFmtId="0" fontId="243" fillId="0" borderId="0" xfId="0" applyFont="1" applyAlignment="1">
      <alignment horizontal="centerContinuous" wrapText="1"/>
    </xf>
    <xf numFmtId="0" fontId="123" fillId="0" borderId="2" xfId="0" applyFont="1" applyBorder="1" applyAlignment="1">
      <alignment horizontal="center" vertical="center"/>
    </xf>
    <xf numFmtId="0" fontId="123" fillId="0" borderId="0" xfId="0" applyFont="1" applyAlignment="1">
      <alignment vertical="center"/>
    </xf>
    <xf numFmtId="0" fontId="123" fillId="0" borderId="21" xfId="0" applyFont="1" applyBorder="1" applyAlignment="1">
      <alignment horizontal="center" vertical="center"/>
    </xf>
    <xf numFmtId="0" fontId="140" fillId="0" borderId="21" xfId="1086" applyFont="1" applyBorder="1" applyAlignment="1">
      <alignment vertical="center" wrapText="1"/>
    </xf>
    <xf numFmtId="0" fontId="123" fillId="0" borderId="18" xfId="0" applyFont="1" applyBorder="1" applyAlignment="1">
      <alignment horizontal="center" vertical="center"/>
    </xf>
    <xf numFmtId="0" fontId="140" fillId="0" borderId="18" xfId="1086" applyFont="1" applyBorder="1" applyAlignment="1">
      <alignment vertical="center" wrapText="1"/>
    </xf>
    <xf numFmtId="0" fontId="123" fillId="0" borderId="18" xfId="0" applyFont="1" applyBorder="1" applyAlignment="1">
      <alignment horizontal="center" vertical="center" wrapText="1"/>
    </xf>
    <xf numFmtId="0" fontId="140" fillId="0" borderId="19" xfId="0" applyFont="1" applyBorder="1" applyAlignment="1">
      <alignment horizontal="center" vertical="center" wrapText="1"/>
    </xf>
    <xf numFmtId="0" fontId="140" fillId="0" borderId="19" xfId="0" applyFont="1" applyBorder="1" applyAlignment="1">
      <alignment vertical="center" wrapText="1"/>
    </xf>
    <xf numFmtId="0" fontId="123" fillId="0" borderId="0" xfId="0" applyFont="1" applyAlignment="1">
      <alignment horizontal="center"/>
    </xf>
    <xf numFmtId="0" fontId="166" fillId="0" borderId="0" xfId="0" applyFont="1"/>
    <xf numFmtId="0" fontId="166" fillId="0" borderId="0" xfId="1086" applyFont="1"/>
    <xf numFmtId="0" fontId="145" fillId="0" borderId="0" xfId="1086" applyFont="1"/>
    <xf numFmtId="0" fontId="131" fillId="76" borderId="6" xfId="1088" applyFont="1" applyFill="1" applyBorder="1"/>
    <xf numFmtId="0" fontId="122" fillId="76" borderId="6" xfId="1088" applyFont="1" applyFill="1" applyBorder="1"/>
    <xf numFmtId="0" fontId="122" fillId="76" borderId="6" xfId="1088" applyFont="1" applyFill="1" applyBorder="1" applyAlignment="1">
      <alignment horizontal="center"/>
    </xf>
    <xf numFmtId="1" fontId="123" fillId="0" borderId="6" xfId="1088" applyNumberFormat="1" applyFont="1" applyBorder="1" applyAlignment="1">
      <alignment horizontal="center"/>
    </xf>
    <xf numFmtId="0" fontId="123" fillId="0" borderId="6" xfId="1088" applyFont="1" applyBorder="1" applyAlignment="1">
      <alignment vertical="center" wrapText="1"/>
    </xf>
    <xf numFmtId="0" fontId="129" fillId="0" borderId="6" xfId="1088" applyFont="1" applyBorder="1" applyAlignment="1">
      <alignment horizontal="center" vertical="center" wrapText="1"/>
    </xf>
    <xf numFmtId="177" fontId="123" fillId="0" borderId="6" xfId="1088" applyNumberFormat="1" applyFont="1" applyBorder="1" applyAlignment="1">
      <alignment horizontal="right"/>
    </xf>
    <xf numFmtId="176" fontId="123" fillId="0" borderId="6" xfId="1088" applyNumberFormat="1" applyFont="1" applyBorder="1" applyAlignment="1">
      <alignment horizontal="right"/>
    </xf>
    <xf numFmtId="0" fontId="129" fillId="0" borderId="6" xfId="1088" applyFont="1" applyBorder="1" applyAlignment="1">
      <alignment horizontal="center" vertical="center"/>
    </xf>
    <xf numFmtId="0" fontId="129" fillId="0" borderId="0" xfId="1088" applyFont="1" applyAlignment="1">
      <alignment horizontal="center"/>
    </xf>
    <xf numFmtId="0" fontId="129" fillId="0" borderId="0" xfId="1088" applyFont="1"/>
    <xf numFmtId="0" fontId="131" fillId="0" borderId="0" xfId="1088" applyFont="1"/>
    <xf numFmtId="0" fontId="131" fillId="0" borderId="0" xfId="1088" applyFont="1" applyAlignment="1">
      <alignment horizontal="center"/>
    </xf>
    <xf numFmtId="0" fontId="145" fillId="0" borderId="0" xfId="1088" applyFont="1"/>
    <xf numFmtId="0" fontId="166" fillId="0" borderId="0" xfId="1088" applyFont="1"/>
    <xf numFmtId="0" fontId="166" fillId="0" borderId="0" xfId="1088" applyFont="1" applyAlignment="1">
      <alignment horizontal="center"/>
    </xf>
    <xf numFmtId="0" fontId="131" fillId="34" borderId="0" xfId="1088" applyFont="1" applyFill="1"/>
    <xf numFmtId="0" fontId="122" fillId="34" borderId="2" xfId="1088" applyFont="1" applyFill="1" applyBorder="1"/>
    <xf numFmtId="0" fontId="122" fillId="34" borderId="2" xfId="1088" applyFont="1" applyFill="1" applyBorder="1" applyAlignment="1">
      <alignment horizontal="center" vertical="center" wrapText="1"/>
    </xf>
    <xf numFmtId="1" fontId="123" fillId="0" borderId="21" xfId="1088" applyNumberFormat="1" applyFont="1" applyBorder="1" applyAlignment="1">
      <alignment horizontal="center" vertical="center"/>
    </xf>
    <xf numFmtId="0" fontId="140" fillId="0" borderId="22" xfId="1088" applyFont="1" applyBorder="1" applyAlignment="1">
      <alignment vertical="center" wrapText="1"/>
    </xf>
    <xf numFmtId="3" fontId="123" fillId="0" borderId="22" xfId="1088" applyNumberFormat="1" applyFont="1" applyBorder="1" applyAlignment="1">
      <alignment horizontal="right" vertical="center"/>
    </xf>
    <xf numFmtId="0" fontId="129" fillId="0" borderId="0" xfId="1088" applyFont="1" applyAlignment="1">
      <alignment vertical="center"/>
    </xf>
    <xf numFmtId="1" fontId="123" fillId="0" borderId="18" xfId="1088" applyNumberFormat="1" applyFont="1" applyBorder="1" applyAlignment="1">
      <alignment horizontal="center" vertical="center"/>
    </xf>
    <xf numFmtId="3" fontId="122" fillId="0" borderId="18" xfId="1088" quotePrefix="1" applyNumberFormat="1" applyFont="1" applyBorder="1" applyAlignment="1">
      <alignment horizontal="right" vertical="center"/>
    </xf>
    <xf numFmtId="3" fontId="219" fillId="0" borderId="0" xfId="1088" quotePrefix="1" applyNumberFormat="1" applyFont="1" applyAlignment="1">
      <alignment horizontal="right" vertical="center"/>
    </xf>
    <xf numFmtId="1" fontId="123" fillId="0" borderId="19" xfId="1088" applyNumberFormat="1" applyFont="1" applyBorder="1" applyAlignment="1">
      <alignment horizontal="center" vertical="center"/>
    </xf>
    <xf numFmtId="0" fontId="140" fillId="0" borderId="19" xfId="1088" applyFont="1" applyBorder="1" applyAlignment="1">
      <alignment vertical="center" wrapText="1"/>
    </xf>
    <xf numFmtId="3" fontId="123" fillId="0" borderId="18" xfId="1088" quotePrefix="1" applyNumberFormat="1" applyFont="1" applyBorder="1" applyAlignment="1">
      <alignment horizontal="right" vertical="center"/>
    </xf>
    <xf numFmtId="177" fontId="123" fillId="0" borderId="18" xfId="1088" quotePrefix="1" applyNumberFormat="1" applyFont="1" applyBorder="1" applyAlignment="1">
      <alignment horizontal="right" vertical="center"/>
    </xf>
    <xf numFmtId="0" fontId="140" fillId="0" borderId="18" xfId="1088" applyFont="1" applyBorder="1" applyAlignment="1">
      <alignment vertical="center" wrapText="1"/>
    </xf>
    <xf numFmtId="3" fontId="123" fillId="0" borderId="18" xfId="1088" applyNumberFormat="1" applyFont="1" applyBorder="1" applyAlignment="1">
      <alignment horizontal="right" vertical="center"/>
    </xf>
    <xf numFmtId="3" fontId="122" fillId="0" borderId="19" xfId="1088" applyNumberFormat="1" applyFont="1" applyBorder="1" applyAlignment="1">
      <alignment horizontal="right" vertical="center"/>
    </xf>
    <xf numFmtId="0" fontId="129" fillId="0" borderId="0" xfId="1088" applyFont="1" applyAlignment="1">
      <alignment vertical="center" wrapText="1"/>
    </xf>
    <xf numFmtId="3" fontId="123" fillId="0" borderId="0" xfId="1088" applyNumberFormat="1" applyFont="1" applyAlignment="1">
      <alignment horizontal="right" vertical="center"/>
    </xf>
    <xf numFmtId="0" fontId="129" fillId="0" borderId="25" xfId="1088" applyFont="1" applyBorder="1" applyAlignment="1">
      <alignment vertical="center"/>
    </xf>
    <xf numFmtId="0" fontId="129" fillId="0" borderId="2" xfId="1088" applyFont="1" applyBorder="1" applyAlignment="1">
      <alignment vertical="center" wrapText="1"/>
    </xf>
    <xf numFmtId="0" fontId="123" fillId="0" borderId="2" xfId="1088" applyFont="1" applyBorder="1" applyAlignment="1">
      <alignment horizontal="center" vertical="center"/>
    </xf>
    <xf numFmtId="0" fontId="129" fillId="0" borderId="22" xfId="1088" applyFont="1" applyBorder="1" applyAlignment="1">
      <alignment vertical="center" wrapText="1"/>
    </xf>
    <xf numFmtId="0" fontId="247" fillId="0" borderId="21" xfId="0" applyFont="1" applyBorder="1" applyAlignment="1">
      <alignment horizontal="center" vertical="center"/>
    </xf>
    <xf numFmtId="3" fontId="123" fillId="0" borderId="21" xfId="1088" applyNumberFormat="1" applyFont="1" applyBorder="1" applyAlignment="1">
      <alignment horizontal="center" vertical="center"/>
    </xf>
    <xf numFmtId="0" fontId="247" fillId="0" borderId="18" xfId="0" applyFont="1" applyBorder="1" applyAlignment="1">
      <alignment horizontal="center" vertical="center"/>
    </xf>
    <xf numFmtId="3" fontId="123" fillId="0" borderId="18" xfId="1088" applyNumberFormat="1" applyFont="1" applyBorder="1" applyAlignment="1">
      <alignment horizontal="center" vertical="center"/>
    </xf>
    <xf numFmtId="0" fontId="123" fillId="0" borderId="18" xfId="1088" applyFont="1" applyBorder="1" applyAlignment="1">
      <alignment horizontal="center" vertical="center"/>
    </xf>
    <xf numFmtId="3" fontId="123" fillId="0" borderId="22" xfId="1088" applyNumberFormat="1" applyFont="1" applyBorder="1" applyAlignment="1">
      <alignment horizontal="center" vertical="center"/>
    </xf>
    <xf numFmtId="0" fontId="247" fillId="0" borderId="28" xfId="0" applyFont="1" applyBorder="1" applyAlignment="1">
      <alignment horizontal="center" vertical="center"/>
    </xf>
    <xf numFmtId="3" fontId="123" fillId="0" borderId="19" xfId="1088" applyNumberFormat="1" applyFont="1" applyBorder="1" applyAlignment="1">
      <alignment horizontal="center" vertical="center"/>
    </xf>
    <xf numFmtId="0" fontId="140" fillId="0" borderId="22" xfId="1088" applyFont="1" applyBorder="1" applyAlignment="1">
      <alignment vertical="center"/>
    </xf>
    <xf numFmtId="0" fontId="123" fillId="0" borderId="22" xfId="1088" applyFont="1" applyBorder="1" applyAlignment="1">
      <alignment horizontal="center" vertical="center"/>
    </xf>
    <xf numFmtId="0" fontId="123" fillId="0" borderId="22" xfId="1088" applyFont="1" applyBorder="1" applyAlignment="1">
      <alignment horizontal="center" vertical="center" wrapText="1"/>
    </xf>
    <xf numFmtId="0" fontId="140" fillId="0" borderId="18" xfId="1088" applyFont="1" applyBorder="1" applyAlignment="1">
      <alignment vertical="center"/>
    </xf>
    <xf numFmtId="176" fontId="123" fillId="0" borderId="22" xfId="1088" applyNumberFormat="1" applyFont="1" applyBorder="1" applyAlignment="1">
      <alignment horizontal="center" vertical="center" wrapText="1"/>
    </xf>
    <xf numFmtId="0" fontId="140" fillId="0" borderId="19" xfId="1088" applyFont="1" applyBorder="1" applyAlignment="1">
      <alignment vertical="center"/>
    </xf>
    <xf numFmtId="0" fontId="123" fillId="0" borderId="19" xfId="1088" applyFont="1" applyBorder="1" applyAlignment="1">
      <alignment horizontal="center" vertical="center"/>
    </xf>
    <xf numFmtId="176" fontId="123" fillId="0" borderId="19" xfId="1088" applyNumberFormat="1" applyFont="1" applyBorder="1" applyAlignment="1">
      <alignment horizontal="center" vertical="center" wrapText="1"/>
    </xf>
    <xf numFmtId="0" fontId="201" fillId="0" borderId="0" xfId="1088" applyFont="1"/>
    <xf numFmtId="3" fontId="201" fillId="0" borderId="0" xfId="1088" applyNumberFormat="1" applyFont="1"/>
    <xf numFmtId="0" fontId="210" fillId="0" borderId="0" xfId="1088" applyFont="1"/>
    <xf numFmtId="3" fontId="210" fillId="0" borderId="0" xfId="1088" applyNumberFormat="1" applyFont="1"/>
    <xf numFmtId="0" fontId="148" fillId="0" borderId="0" xfId="1088" applyFont="1"/>
    <xf numFmtId="3" fontId="148" fillId="0" borderId="0" xfId="1088" applyNumberFormat="1" applyFont="1"/>
    <xf numFmtId="3" fontId="129" fillId="0" borderId="0" xfId="1088" applyNumberFormat="1" applyFont="1"/>
    <xf numFmtId="3" fontId="131" fillId="0" borderId="0" xfId="1088" applyNumberFormat="1" applyFont="1"/>
    <xf numFmtId="3" fontId="199" fillId="0" borderId="0" xfId="0" applyNumberFormat="1" applyFont="1"/>
    <xf numFmtId="0" fontId="143" fillId="0" borderId="0" xfId="0" applyFont="1"/>
    <xf numFmtId="3" fontId="130" fillId="0" borderId="0" xfId="0" applyNumberFormat="1" applyFont="1" applyAlignment="1">
      <alignment horizontal="center"/>
    </xf>
    <xf numFmtId="4" fontId="130" fillId="0" borderId="0" xfId="0" applyNumberFormat="1" applyFont="1" applyAlignment="1">
      <alignment horizontal="center"/>
    </xf>
    <xf numFmtId="3" fontId="130" fillId="0" borderId="0" xfId="0" applyNumberFormat="1" applyFont="1"/>
    <xf numFmtId="4" fontId="130" fillId="0" borderId="0" xfId="0" applyNumberFormat="1" applyFont="1"/>
    <xf numFmtId="3" fontId="137" fillId="0" borderId="0" xfId="0" applyNumberFormat="1" applyFont="1"/>
    <xf numFmtId="180" fontId="131" fillId="0" borderId="0" xfId="1138" applyNumberFormat="1" applyFont="1" applyFill="1"/>
    <xf numFmtId="0" fontId="129" fillId="0" borderId="0" xfId="1081" applyFont="1"/>
    <xf numFmtId="0" fontId="241" fillId="0" borderId="0" xfId="0" applyFont="1" applyAlignment="1">
      <alignment horizontal="centerContinuous"/>
    </xf>
    <xf numFmtId="177" fontId="129" fillId="0" borderId="0" xfId="1082" applyNumberFormat="1" applyFont="1"/>
    <xf numFmtId="3" fontId="217" fillId="0" borderId="6" xfId="1086" applyNumberFormat="1" applyFont="1" applyBorder="1" applyAlignment="1">
      <alignment vertical="center"/>
    </xf>
    <xf numFmtId="17" fontId="143" fillId="0" borderId="6" xfId="1086" applyNumberFormat="1" applyFont="1" applyBorder="1" applyAlignment="1">
      <alignment horizontal="center"/>
    </xf>
    <xf numFmtId="3" fontId="140" fillId="0" borderId="6" xfId="1086" applyNumberFormat="1" applyFont="1" applyBorder="1" applyAlignment="1">
      <alignment vertical="center"/>
    </xf>
    <xf numFmtId="0" fontId="250" fillId="0" borderId="0" xfId="0" applyFont="1"/>
    <xf numFmtId="3" fontId="250" fillId="0" borderId="0" xfId="0" applyNumberFormat="1" applyFont="1"/>
    <xf numFmtId="0" fontId="251" fillId="0" borderId="0" xfId="1091" applyFont="1"/>
    <xf numFmtId="3" fontId="251" fillId="0" borderId="0" xfId="1091" applyNumberFormat="1" applyFont="1"/>
    <xf numFmtId="0" fontId="252" fillId="0" borderId="0" xfId="1091" applyFont="1"/>
    <xf numFmtId="9" fontId="131" fillId="0" borderId="0" xfId="1138" applyFont="1"/>
    <xf numFmtId="0" fontId="131" fillId="31" borderId="0" xfId="0" applyFont="1" applyFill="1"/>
    <xf numFmtId="0" fontId="221" fillId="0" borderId="0" xfId="0" applyFont="1"/>
    <xf numFmtId="0" fontId="221" fillId="0" borderId="60" xfId="0" applyFont="1" applyBorder="1"/>
    <xf numFmtId="3" fontId="129" fillId="0" borderId="60" xfId="0" applyNumberFormat="1" applyFont="1" applyBorder="1"/>
    <xf numFmtId="0" fontId="129" fillId="0" borderId="60" xfId="0" applyFont="1" applyBorder="1"/>
    <xf numFmtId="0" fontId="129" fillId="84" borderId="0" xfId="0" applyFont="1" applyFill="1"/>
    <xf numFmtId="0" fontId="129" fillId="82" borderId="0" xfId="0" applyFont="1" applyFill="1"/>
    <xf numFmtId="0" fontId="204" fillId="0" borderId="0" xfId="0" applyFont="1"/>
    <xf numFmtId="0" fontId="129" fillId="82" borderId="60" xfId="0" applyFont="1" applyFill="1" applyBorder="1"/>
    <xf numFmtId="17" fontId="131" fillId="77" borderId="0" xfId="1090" applyNumberFormat="1" applyFont="1" applyFill="1" applyAlignment="1">
      <alignment vertical="center"/>
    </xf>
    <xf numFmtId="17" fontId="131" fillId="77" borderId="0" xfId="1090" applyNumberFormat="1" applyFont="1" applyFill="1" applyAlignment="1">
      <alignment horizontal="center" vertical="center"/>
    </xf>
    <xf numFmtId="0" fontId="131" fillId="77" borderId="0" xfId="0" applyFont="1" applyFill="1" applyAlignment="1">
      <alignment vertical="center"/>
    </xf>
    <xf numFmtId="17" fontId="150" fillId="77" borderId="0" xfId="1090" applyNumberFormat="1" applyFont="1" applyFill="1" applyAlignment="1">
      <alignment horizontal="center" vertical="center" wrapText="1"/>
    </xf>
    <xf numFmtId="210" fontId="131" fillId="0" borderId="0" xfId="0" applyNumberFormat="1" applyFont="1"/>
    <xf numFmtId="210" fontId="131" fillId="77" borderId="0" xfId="0" applyNumberFormat="1" applyFont="1" applyFill="1"/>
    <xf numFmtId="181" fontId="133" fillId="0" borderId="0" xfId="0" applyNumberFormat="1" applyFont="1"/>
    <xf numFmtId="181" fontId="129" fillId="0" borderId="0" xfId="0" applyNumberFormat="1" applyFont="1"/>
    <xf numFmtId="181" fontId="225" fillId="0" borderId="0" xfId="0" applyNumberFormat="1" applyFont="1"/>
    <xf numFmtId="181" fontId="132" fillId="0" borderId="0" xfId="0" applyNumberFormat="1" applyFont="1"/>
    <xf numFmtId="0" fontId="220" fillId="0" borderId="0" xfId="0" applyFont="1"/>
    <xf numFmtId="180" fontId="183" fillId="0" borderId="0" xfId="2105" applyNumberFormat="1" applyFont="1" applyFill="1"/>
    <xf numFmtId="180" fontId="220" fillId="0" borderId="0" xfId="1138" applyNumberFormat="1" applyFont="1" applyFill="1"/>
    <xf numFmtId="210" fontId="129" fillId="0" borderId="0" xfId="0" applyNumberFormat="1" applyFont="1"/>
    <xf numFmtId="0" fontId="166" fillId="0" borderId="0" xfId="1086" applyFont="1" applyAlignment="1">
      <alignment horizontal="center"/>
    </xf>
    <xf numFmtId="0" fontId="166" fillId="22" borderId="6" xfId="2070" applyFont="1" applyFill="1" applyBorder="1" applyAlignment="1">
      <alignment horizontal="center" vertical="center" wrapText="1"/>
    </xf>
    <xf numFmtId="0" fontId="145" fillId="22" borderId="6" xfId="1090" applyFont="1" applyFill="1" applyBorder="1" applyAlignment="1">
      <alignment horizontal="center"/>
    </xf>
    <xf numFmtId="3" fontId="145" fillId="0" borderId="6" xfId="1090" applyNumberFormat="1" applyFont="1" applyBorder="1" applyAlignment="1">
      <alignment horizontal="left"/>
    </xf>
    <xf numFmtId="3" fontId="145" fillId="22" borderId="6" xfId="1090" applyNumberFormat="1" applyFont="1" applyFill="1" applyBorder="1" applyAlignment="1">
      <alignment horizontal="center"/>
    </xf>
    <xf numFmtId="0" fontId="166" fillId="22" borderId="6" xfId="1090" applyFont="1" applyFill="1" applyBorder="1" applyAlignment="1">
      <alignment horizontal="center"/>
    </xf>
    <xf numFmtId="3" fontId="145" fillId="0" borderId="6" xfId="1090" applyNumberFormat="1" applyFont="1" applyBorder="1" applyAlignment="1">
      <alignment horizontal="left" indent="1"/>
    </xf>
    <xf numFmtId="0" fontId="166" fillId="22" borderId="6" xfId="2070" applyFont="1" applyFill="1" applyBorder="1" applyAlignment="1">
      <alignment horizontal="center"/>
    </xf>
    <xf numFmtId="0" fontId="145" fillId="0" borderId="6" xfId="1090" applyFont="1" applyBorder="1" applyAlignment="1">
      <alignment horizontal="center"/>
    </xf>
    <xf numFmtId="0" fontId="123" fillId="0" borderId="0" xfId="2070" applyFont="1" applyAlignment="1">
      <alignment horizontal="center"/>
    </xf>
    <xf numFmtId="0" fontId="145" fillId="0" borderId="0" xfId="2070" applyFont="1"/>
    <xf numFmtId="3" fontId="145" fillId="0" borderId="6" xfId="1090" applyNumberFormat="1" applyFont="1" applyBorder="1" applyAlignment="1">
      <alignment horizontal="center"/>
    </xf>
    <xf numFmtId="0" fontId="145" fillId="22" borderId="6" xfId="2070" applyFont="1" applyFill="1" applyBorder="1" applyAlignment="1">
      <alignment horizontal="center"/>
    </xf>
    <xf numFmtId="0" fontId="145" fillId="32" borderId="6" xfId="1090" applyFont="1" applyFill="1" applyBorder="1" applyAlignment="1">
      <alignment horizontal="center"/>
    </xf>
    <xf numFmtId="0" fontId="145" fillId="78" borderId="6" xfId="1090" applyFont="1" applyFill="1" applyBorder="1" applyAlignment="1">
      <alignment horizontal="center"/>
    </xf>
    <xf numFmtId="3" fontId="166" fillId="78" borderId="6" xfId="1090" applyNumberFormat="1" applyFont="1" applyFill="1" applyBorder="1" applyAlignment="1">
      <alignment horizontal="center"/>
    </xf>
    <xf numFmtId="3" fontId="145" fillId="0" borderId="6" xfId="1090" applyNumberFormat="1" applyFont="1" applyBorder="1"/>
    <xf numFmtId="0" fontId="166" fillId="71" borderId="6" xfId="1090" applyFont="1" applyFill="1" applyBorder="1" applyAlignment="1">
      <alignment horizontal="center"/>
    </xf>
    <xf numFmtId="0" fontId="145" fillId="0" borderId="0" xfId="1090" applyFont="1" applyAlignment="1">
      <alignment horizontal="center"/>
    </xf>
    <xf numFmtId="0" fontId="166" fillId="0" borderId="0" xfId="1091" applyFont="1" applyAlignment="1">
      <alignment horizontal="center"/>
    </xf>
    <xf numFmtId="0" fontId="249" fillId="0" borderId="0" xfId="1090" applyFont="1" applyAlignment="1">
      <alignment horizontal="center"/>
    </xf>
    <xf numFmtId="0" fontId="166" fillId="0" borderId="0" xfId="969" applyFont="1" applyAlignment="1">
      <alignment horizontal="center"/>
    </xf>
    <xf numFmtId="3" fontId="143" fillId="77" borderId="6" xfId="1086" applyNumberFormat="1" applyFont="1" applyFill="1" applyBorder="1"/>
    <xf numFmtId="17" fontId="143" fillId="77" borderId="6" xfId="1086" applyNumberFormat="1" applyFont="1" applyFill="1" applyBorder="1" applyAlignment="1">
      <alignment horizontal="center"/>
    </xf>
    <xf numFmtId="3" fontId="143" fillId="70" borderId="6" xfId="1086" applyNumberFormat="1" applyFont="1" applyFill="1" applyBorder="1"/>
    <xf numFmtId="3" fontId="168" fillId="0" borderId="0" xfId="1092" applyNumberFormat="1" applyFont="1" applyAlignment="1">
      <alignment horizontal="left" vertical="center"/>
    </xf>
    <xf numFmtId="3" fontId="166" fillId="0" borderId="0" xfId="0" applyNumberFormat="1" applyFont="1" applyAlignment="1">
      <alignment horizontal="center" vertical="center" wrapText="1"/>
    </xf>
    <xf numFmtId="3" fontId="133" fillId="0" borderId="0" xfId="0" applyNumberFormat="1" applyFont="1" applyAlignment="1">
      <alignment horizontal="center" vertical="center"/>
    </xf>
    <xf numFmtId="3" fontId="132" fillId="0" borderId="0" xfId="0" applyNumberFormat="1" applyFont="1" applyAlignment="1">
      <alignment vertical="center"/>
    </xf>
    <xf numFmtId="3" fontId="133" fillId="0" borderId="0" xfId="0" applyNumberFormat="1" applyFont="1" applyAlignment="1">
      <alignment horizontal="left" vertical="center"/>
    </xf>
    <xf numFmtId="3" fontId="256" fillId="0" borderId="0" xfId="0" applyNumberFormat="1" applyFont="1" applyAlignment="1">
      <alignment vertical="center"/>
    </xf>
    <xf numFmtId="3" fontId="123" fillId="0" borderId="6" xfId="2059" applyNumberFormat="1" applyFont="1" applyBorder="1"/>
    <xf numFmtId="3" fontId="122" fillId="77" borderId="6" xfId="2059" applyNumberFormat="1" applyFont="1" applyFill="1" applyBorder="1"/>
    <xf numFmtId="0" fontId="131" fillId="69" borderId="6" xfId="1091" applyFont="1" applyFill="1" applyBorder="1"/>
    <xf numFmtId="0" fontId="131" fillId="69" borderId="6" xfId="0" applyFont="1" applyFill="1" applyBorder="1" applyAlignment="1">
      <alignment horizontal="center" vertical="center"/>
    </xf>
    <xf numFmtId="0" fontId="131" fillId="69" borderId="6" xfId="0" applyFont="1" applyFill="1" applyBorder="1" applyAlignment="1">
      <alignment vertical="center"/>
    </xf>
    <xf numFmtId="0" fontId="148" fillId="72" borderId="6" xfId="0" applyFont="1" applyFill="1" applyBorder="1"/>
    <xf numFmtId="0" fontId="131" fillId="72" borderId="6" xfId="0" applyFont="1" applyFill="1" applyBorder="1" applyAlignment="1">
      <alignment horizontal="center"/>
    </xf>
    <xf numFmtId="4" fontId="129" fillId="78" borderId="6" xfId="0" applyNumberFormat="1" applyFont="1" applyFill="1" applyBorder="1"/>
    <xf numFmtId="4" fontId="129" fillId="70" borderId="6" xfId="0" applyNumberFormat="1" applyFont="1" applyFill="1" applyBorder="1"/>
    <xf numFmtId="178" fontId="129" fillId="69" borderId="6" xfId="0" applyNumberFormat="1" applyFont="1" applyFill="1" applyBorder="1"/>
    <xf numFmtId="4" fontId="129" fillId="69" borderId="6" xfId="0" applyNumberFormat="1" applyFont="1" applyFill="1" applyBorder="1"/>
    <xf numFmtId="0" fontId="210" fillId="72" borderId="6" xfId="0" applyFont="1" applyFill="1" applyBorder="1" applyAlignment="1">
      <alignment horizontal="left" indent="1"/>
    </xf>
    <xf numFmtId="178" fontId="129" fillId="70" borderId="6" xfId="0" applyNumberFormat="1" applyFont="1" applyFill="1" applyBorder="1"/>
    <xf numFmtId="178" fontId="129" fillId="78" borderId="6" xfId="0" applyNumberFormat="1" applyFont="1" applyFill="1" applyBorder="1"/>
    <xf numFmtId="179" fontId="129" fillId="70" borderId="6" xfId="0" applyNumberFormat="1" applyFont="1" applyFill="1" applyBorder="1"/>
    <xf numFmtId="179" fontId="129" fillId="78" borderId="6" xfId="0" applyNumberFormat="1" applyFont="1" applyFill="1" applyBorder="1"/>
    <xf numFmtId="0" fontId="129" fillId="72" borderId="6" xfId="0" applyFont="1" applyFill="1" applyBorder="1"/>
    <xf numFmtId="0" fontId="133" fillId="0" borderId="0" xfId="2059" applyFont="1"/>
    <xf numFmtId="4" fontId="133" fillId="0" borderId="0" xfId="2059" applyNumberFormat="1" applyFont="1"/>
    <xf numFmtId="3" fontId="252" fillId="34" borderId="6" xfId="1091" applyNumberFormat="1" applyFont="1" applyFill="1" applyBorder="1"/>
    <xf numFmtId="0" fontId="257" fillId="0" borderId="0" xfId="1091" applyFont="1"/>
    <xf numFmtId="0" fontId="140" fillId="0" borderId="0" xfId="1090" applyFont="1" applyAlignment="1">
      <alignment horizontal="centerContinuous"/>
    </xf>
    <xf numFmtId="0" fontId="143" fillId="70" borderId="6" xfId="1086" applyFont="1" applyFill="1" applyBorder="1" applyAlignment="1">
      <alignment horizontal="center" vertical="center" wrapText="1"/>
    </xf>
    <xf numFmtId="0" fontId="131" fillId="70" borderId="6" xfId="1091" applyFont="1" applyFill="1" applyBorder="1"/>
    <xf numFmtId="3" fontId="131" fillId="70" borderId="6" xfId="1091" applyNumberFormat="1" applyFont="1" applyFill="1" applyBorder="1"/>
    <xf numFmtId="0" fontId="131" fillId="70" borderId="6" xfId="1091" applyFont="1" applyFill="1" applyBorder="1" applyAlignment="1">
      <alignment horizontal="left" indent="1"/>
    </xf>
    <xf numFmtId="3" fontId="129" fillId="70" borderId="6" xfId="1091" applyNumberFormat="1" applyFont="1" applyFill="1" applyBorder="1"/>
    <xf numFmtId="0" fontId="129" fillId="70" borderId="6" xfId="1091" applyFont="1" applyFill="1" applyBorder="1"/>
    <xf numFmtId="0" fontId="134" fillId="70" borderId="6" xfId="1091" applyFont="1" applyFill="1" applyBorder="1" applyAlignment="1">
      <alignment horizontal="left" indent="1"/>
    </xf>
    <xf numFmtId="3" fontId="134" fillId="70" borderId="6" xfId="1091" applyNumberFormat="1" applyFont="1" applyFill="1" applyBorder="1"/>
    <xf numFmtId="0" fontId="129" fillId="70" borderId="6" xfId="1091" applyFont="1" applyFill="1" applyBorder="1" applyAlignment="1">
      <alignment horizontal="left" indent="1"/>
    </xf>
    <xf numFmtId="0" fontId="129" fillId="70" borderId="6" xfId="1091" applyFont="1" applyFill="1" applyBorder="1" applyAlignment="1">
      <alignment horizontal="left" wrapText="1" indent="1"/>
    </xf>
    <xf numFmtId="0" fontId="136" fillId="70" borderId="6" xfId="1091" applyFont="1" applyFill="1" applyBorder="1" applyAlignment="1">
      <alignment horizontal="left" wrapText="1" indent="1"/>
    </xf>
    <xf numFmtId="0" fontId="129" fillId="0" borderId="0" xfId="1089" applyFont="1"/>
    <xf numFmtId="0" fontId="143" fillId="0" borderId="0" xfId="1087" applyFont="1"/>
    <xf numFmtId="0" fontId="131" fillId="0" borderId="0" xfId="1089" applyFont="1" applyAlignment="1">
      <alignment horizontal="center"/>
    </xf>
    <xf numFmtId="0" fontId="129" fillId="34" borderId="0" xfId="1089" applyFont="1" applyFill="1"/>
    <xf numFmtId="0" fontId="140" fillId="34" borderId="2" xfId="1089" applyFont="1" applyFill="1" applyBorder="1" applyAlignment="1">
      <alignment vertical="center"/>
    </xf>
    <xf numFmtId="0" fontId="123" fillId="34" borderId="27" xfId="1089" applyFont="1" applyFill="1" applyBorder="1" applyAlignment="1">
      <alignment horizontal="center"/>
    </xf>
    <xf numFmtId="1" fontId="123" fillId="0" borderId="21" xfId="1089" applyNumberFormat="1" applyFont="1" applyBorder="1" applyAlignment="1">
      <alignment horizontal="center" vertical="center"/>
    </xf>
    <xf numFmtId="0" fontId="140" fillId="0" borderId="22" xfId="1089" applyFont="1" applyBorder="1" applyAlignment="1">
      <alignment vertical="center" wrapText="1"/>
    </xf>
    <xf numFmtId="0" fontId="247" fillId="0" borderId="24" xfId="969" applyFont="1" applyBorder="1" applyAlignment="1">
      <alignment horizontal="center" vertical="center"/>
    </xf>
    <xf numFmtId="3" fontId="129" fillId="0" borderId="18" xfId="1089" applyNumberFormat="1" applyFont="1" applyBorder="1" applyAlignment="1">
      <alignment vertical="center"/>
    </xf>
    <xf numFmtId="0" fontId="129" fillId="0" borderId="0" xfId="1089" applyFont="1" applyAlignment="1">
      <alignment vertical="center"/>
    </xf>
    <xf numFmtId="1" fontId="123" fillId="0" borderId="18" xfId="1089" applyNumberFormat="1" applyFont="1" applyBorder="1" applyAlignment="1">
      <alignment horizontal="center" vertical="center"/>
    </xf>
    <xf numFmtId="0" fontId="123" fillId="0" borderId="24" xfId="969" applyFont="1" applyBorder="1" applyAlignment="1">
      <alignment horizontal="center"/>
    </xf>
    <xf numFmtId="0" fontId="246" fillId="0" borderId="29" xfId="1088" applyFont="1" applyBorder="1" applyAlignment="1">
      <alignment horizontal="center" vertical="center"/>
    </xf>
    <xf numFmtId="3" fontId="129" fillId="0" borderId="18" xfId="1088" applyNumberFormat="1" applyFont="1" applyBorder="1" applyAlignment="1">
      <alignment vertical="center"/>
    </xf>
    <xf numFmtId="0" fontId="246" fillId="0" borderId="29" xfId="1089" applyFont="1" applyBorder="1" applyAlignment="1">
      <alignment horizontal="center" vertical="center"/>
    </xf>
    <xf numFmtId="0" fontId="140" fillId="0" borderId="18" xfId="1089" applyFont="1" applyBorder="1" applyAlignment="1">
      <alignment vertical="center"/>
    </xf>
    <xf numFmtId="0" fontId="123" fillId="0" borderId="24" xfId="1089" applyFont="1" applyBorder="1" applyAlignment="1">
      <alignment horizontal="center" vertical="center"/>
    </xf>
    <xf numFmtId="2" fontId="129" fillId="0" borderId="18" xfId="1089" applyNumberFormat="1" applyFont="1" applyBorder="1" applyAlignment="1">
      <alignment vertical="center"/>
    </xf>
    <xf numFmtId="0" fontId="129" fillId="0" borderId="18" xfId="1089" applyFont="1" applyBorder="1" applyAlignment="1">
      <alignment vertical="center"/>
    </xf>
    <xf numFmtId="1" fontId="123" fillId="0" borderId="19" xfId="1089" applyNumberFormat="1" applyFont="1" applyBorder="1" applyAlignment="1">
      <alignment horizontal="center" vertical="center"/>
    </xf>
    <xf numFmtId="0" fontId="140" fillId="0" borderId="19" xfId="1089" applyFont="1" applyBorder="1" applyAlignment="1">
      <alignment vertical="center" wrapText="1"/>
    </xf>
    <xf numFmtId="0" fontId="123" fillId="0" borderId="26" xfId="969" applyFont="1" applyBorder="1" applyAlignment="1">
      <alignment horizontal="center"/>
    </xf>
    <xf numFmtId="3" fontId="131" fillId="0" borderId="19" xfId="1089" applyNumberFormat="1" applyFont="1" applyBorder="1" applyAlignment="1">
      <alignment vertical="center"/>
    </xf>
    <xf numFmtId="0" fontId="140" fillId="0" borderId="0" xfId="1089" applyFont="1"/>
    <xf numFmtId="0" fontId="126" fillId="0" borderId="0" xfId="1088" applyFont="1"/>
    <xf numFmtId="0" fontId="131" fillId="34" borderId="6" xfId="1088" applyFont="1" applyFill="1" applyBorder="1" applyAlignment="1">
      <alignment horizontal="center"/>
    </xf>
    <xf numFmtId="0" fontId="143" fillId="34" borderId="6" xfId="1088" applyFont="1" applyFill="1" applyBorder="1"/>
    <xf numFmtId="0" fontId="122" fillId="34" borderId="6" xfId="1088" applyFont="1" applyFill="1" applyBorder="1" applyAlignment="1">
      <alignment horizontal="center" vertical="center" wrapText="1"/>
    </xf>
    <xf numFmtId="0" fontId="143" fillId="0" borderId="6" xfId="1088" applyFont="1" applyBorder="1" applyAlignment="1">
      <alignment vertical="center" wrapText="1"/>
    </xf>
    <xf numFmtId="3" fontId="122" fillId="0" borderId="6" xfId="1088" applyNumberFormat="1" applyFont="1" applyBorder="1" applyAlignment="1">
      <alignment horizontal="right"/>
    </xf>
    <xf numFmtId="175" fontId="129" fillId="0" borderId="6" xfId="1088" applyNumberFormat="1" applyFont="1" applyBorder="1" applyAlignment="1">
      <alignment vertical="center"/>
    </xf>
    <xf numFmtId="3" fontId="123" fillId="0" borderId="6" xfId="1088" applyNumberFormat="1" applyFont="1" applyBorder="1" applyAlignment="1">
      <alignment horizontal="right"/>
    </xf>
    <xf numFmtId="0" fontId="140" fillId="0" borderId="0" xfId="1088" applyFont="1" applyAlignment="1">
      <alignment vertical="center"/>
    </xf>
    <xf numFmtId="0" fontId="131" fillId="31" borderId="0" xfId="1088" applyFont="1" applyFill="1"/>
    <xf numFmtId="0" fontId="143" fillId="31" borderId="2" xfId="1088" applyFont="1" applyFill="1" applyBorder="1" applyAlignment="1">
      <alignment vertical="center"/>
    </xf>
    <xf numFmtId="0" fontId="122" fillId="31" borderId="27" xfId="1088" applyFont="1" applyFill="1" applyBorder="1"/>
    <xf numFmtId="0" fontId="143" fillId="31" borderId="2" xfId="1088" applyFont="1" applyFill="1" applyBorder="1" applyAlignment="1">
      <alignment horizontal="center"/>
    </xf>
    <xf numFmtId="0" fontId="123" fillId="0" borderId="23" xfId="0" applyFont="1" applyBorder="1"/>
    <xf numFmtId="3" fontId="129" fillId="0" borderId="22" xfId="1088" applyNumberFormat="1" applyFont="1" applyBorder="1" applyAlignment="1">
      <alignment vertical="center"/>
    </xf>
    <xf numFmtId="0" fontId="123" fillId="0" borderId="24" xfId="0" applyFont="1" applyBorder="1"/>
    <xf numFmtId="0" fontId="247" fillId="0" borderId="24" xfId="0" applyFont="1" applyBorder="1" applyAlignment="1">
      <alignment vertical="center"/>
    </xf>
    <xf numFmtId="0" fontId="123" fillId="0" borderId="29" xfId="0" applyFont="1" applyBorder="1"/>
    <xf numFmtId="0" fontId="246" fillId="0" borderId="24" xfId="1088" applyFont="1" applyBorder="1" applyAlignment="1">
      <alignment vertical="center"/>
    </xf>
    <xf numFmtId="0" fontId="246" fillId="0" borderId="29" xfId="1088" applyFont="1" applyBorder="1" applyAlignment="1">
      <alignment vertical="center"/>
    </xf>
    <xf numFmtId="0" fontId="123" fillId="0" borderId="24" xfId="1088" applyFont="1" applyBorder="1" applyAlignment="1">
      <alignment vertical="center"/>
    </xf>
    <xf numFmtId="222" fontId="129" fillId="0" borderId="18" xfId="1138" applyNumberFormat="1" applyFont="1" applyBorder="1" applyAlignment="1">
      <alignment vertical="center"/>
    </xf>
    <xf numFmtId="178" fontId="129" fillId="0" borderId="18" xfId="1088" applyNumberFormat="1" applyFont="1" applyBorder="1" applyAlignment="1">
      <alignment vertical="center"/>
    </xf>
    <xf numFmtId="0" fontId="140" fillId="0" borderId="20" xfId="1088" applyFont="1" applyBorder="1" applyAlignment="1">
      <alignment vertical="center" wrapText="1"/>
    </xf>
    <xf numFmtId="176" fontId="129" fillId="0" borderId="18" xfId="1088" applyNumberFormat="1" applyFont="1" applyBorder="1" applyAlignment="1">
      <alignment vertical="center"/>
    </xf>
    <xf numFmtId="0" fontId="123" fillId="0" borderId="26" xfId="1088" applyFont="1" applyBorder="1" applyAlignment="1">
      <alignment horizontal="center" vertical="center"/>
    </xf>
    <xf numFmtId="0" fontId="140" fillId="0" borderId="0" xfId="1088" applyFont="1"/>
    <xf numFmtId="0" fontId="135" fillId="0" borderId="0" xfId="0" applyFont="1" applyAlignment="1">
      <alignment horizontal="center"/>
    </xf>
    <xf numFmtId="1" fontId="131" fillId="0" borderId="6" xfId="1088" applyNumberFormat="1" applyFont="1" applyBorder="1" applyAlignment="1">
      <alignment horizontal="center" vertical="center"/>
    </xf>
    <xf numFmtId="3" fontId="129" fillId="0" borderId="6" xfId="1088" applyNumberFormat="1" applyFont="1" applyBorder="1"/>
    <xf numFmtId="1" fontId="131" fillId="0" borderId="6" xfId="1088" applyNumberFormat="1" applyFont="1" applyBorder="1" applyAlignment="1">
      <alignment horizontal="center" vertical="center" wrapText="1"/>
    </xf>
    <xf numFmtId="1" fontId="131" fillId="0" borderId="32" xfId="1088" applyNumberFormat="1" applyFont="1" applyBorder="1" applyAlignment="1">
      <alignment horizontal="center" vertical="center" wrapText="1"/>
    </xf>
    <xf numFmtId="0" fontId="129" fillId="0" borderId="32" xfId="1088" applyFont="1" applyBorder="1" applyAlignment="1">
      <alignment vertical="center" wrapText="1"/>
    </xf>
    <xf numFmtId="3" fontId="131" fillId="0" borderId="32" xfId="1088" applyNumberFormat="1" applyFont="1" applyBorder="1"/>
    <xf numFmtId="1" fontId="131" fillId="0" borderId="33" xfId="1088" applyNumberFormat="1" applyFont="1" applyBorder="1" applyAlignment="1">
      <alignment horizontal="center" vertical="center" wrapText="1"/>
    </xf>
    <xf numFmtId="0" fontId="129" fillId="0" borderId="33" xfId="1088" applyFont="1" applyBorder="1" applyAlignment="1">
      <alignment vertical="center" wrapText="1"/>
    </xf>
    <xf numFmtId="3" fontId="129" fillId="0" borderId="33" xfId="1088" applyNumberFormat="1" applyFont="1" applyBorder="1"/>
    <xf numFmtId="10" fontId="227" fillId="0" borderId="0" xfId="0" applyNumberFormat="1" applyFont="1"/>
    <xf numFmtId="0" fontId="143" fillId="71" borderId="33" xfId="0" applyFont="1" applyFill="1" applyBorder="1" applyAlignment="1">
      <alignment horizontal="center" vertical="center" wrapText="1"/>
    </xf>
    <xf numFmtId="0" fontId="131" fillId="71" borderId="33" xfId="1090" applyFont="1" applyFill="1" applyBorder="1" applyAlignment="1">
      <alignment horizontal="centerContinuous" vertical="center"/>
    </xf>
    <xf numFmtId="0" fontId="200" fillId="0" borderId="0" xfId="1090" applyFont="1"/>
    <xf numFmtId="4" fontId="201" fillId="0" borderId="0" xfId="1090" applyNumberFormat="1" applyFont="1"/>
    <xf numFmtId="10" fontId="129" fillId="0" borderId="0" xfId="1090" applyNumberFormat="1" applyFont="1"/>
    <xf numFmtId="9" fontId="136" fillId="0" borderId="0" xfId="0" applyNumberFormat="1" applyFont="1" applyAlignment="1">
      <alignment horizontal="center"/>
    </xf>
    <xf numFmtId="0" fontId="124" fillId="70" borderId="6" xfId="1091" applyFont="1" applyFill="1" applyBorder="1" applyAlignment="1">
      <alignment horizontal="left" indent="1"/>
    </xf>
    <xf numFmtId="0" fontId="132" fillId="71" borderId="6" xfId="1091" applyFont="1" applyFill="1" applyBorder="1" applyAlignment="1">
      <alignment horizontal="center" wrapText="1"/>
    </xf>
    <xf numFmtId="0" fontId="132" fillId="71" borderId="6" xfId="1091" applyFont="1" applyFill="1" applyBorder="1" applyAlignment="1">
      <alignment horizontal="centerContinuous" vertical="center" wrapText="1"/>
    </xf>
    <xf numFmtId="0" fontId="123" fillId="71" borderId="6" xfId="0" applyFont="1" applyFill="1" applyBorder="1" applyAlignment="1">
      <alignment horizontal="centerContinuous"/>
    </xf>
    <xf numFmtId="0" fontId="132" fillId="71" borderId="6" xfId="1091" applyFont="1" applyFill="1" applyBorder="1" applyAlignment="1">
      <alignment vertical="center" wrapText="1"/>
    </xf>
    <xf numFmtId="17" fontId="125" fillId="71" borderId="6" xfId="1091" applyNumberFormat="1" applyFont="1" applyFill="1" applyBorder="1" applyAlignment="1">
      <alignment horizontal="center" vertical="center" wrapText="1"/>
    </xf>
    <xf numFmtId="0" fontId="122" fillId="70" borderId="6" xfId="1091" applyFont="1" applyFill="1" applyBorder="1"/>
    <xf numFmtId="17" fontId="132" fillId="71" borderId="6" xfId="1091" applyNumberFormat="1" applyFont="1" applyFill="1" applyBorder="1" applyAlignment="1">
      <alignment horizontal="center" vertical="center" wrapText="1"/>
    </xf>
    <xf numFmtId="0" fontId="129" fillId="71" borderId="6" xfId="1091" applyFont="1" applyFill="1" applyBorder="1"/>
    <xf numFmtId="3" fontId="219" fillId="32" borderId="0" xfId="1091" applyNumberFormat="1" applyFont="1" applyFill="1"/>
    <xf numFmtId="0" fontId="174" fillId="32" borderId="0" xfId="1091" applyFont="1" applyFill="1"/>
    <xf numFmtId="0" fontId="174" fillId="32" borderId="0" xfId="0" applyFont="1" applyFill="1"/>
    <xf numFmtId="0" fontId="260" fillId="32" borderId="0" xfId="1091" applyFont="1" applyFill="1"/>
    <xf numFmtId="10" fontId="174" fillId="32" borderId="0" xfId="1091" applyNumberFormat="1" applyFont="1" applyFill="1"/>
    <xf numFmtId="0" fontId="173" fillId="0" borderId="0" xfId="1090" applyFont="1"/>
    <xf numFmtId="3" fontId="210" fillId="70" borderId="6" xfId="1091" applyNumberFormat="1" applyFont="1" applyFill="1" applyBorder="1"/>
    <xf numFmtId="3" fontId="131" fillId="70" borderId="0" xfId="1091" applyNumberFormat="1" applyFont="1" applyFill="1"/>
    <xf numFmtId="0" fontId="125" fillId="71" borderId="6" xfId="1091" applyFont="1" applyFill="1" applyBorder="1" applyAlignment="1">
      <alignment vertical="center" wrapText="1"/>
    </xf>
    <xf numFmtId="0" fontId="125" fillId="71" borderId="6" xfId="1091" applyFont="1" applyFill="1" applyBorder="1" applyAlignment="1">
      <alignment horizontal="center" vertical="center" wrapText="1"/>
    </xf>
    <xf numFmtId="0" fontId="131" fillId="0" borderId="18" xfId="1091" applyFont="1" applyBorder="1"/>
    <xf numFmtId="3" fontId="131" fillId="0" borderId="18" xfId="1091" applyNumberFormat="1" applyFont="1" applyBorder="1"/>
    <xf numFmtId="0" fontId="129" fillId="0" borderId="18" xfId="1091" applyFont="1" applyBorder="1"/>
    <xf numFmtId="0" fontId="129" fillId="0" borderId="18" xfId="1091" applyFont="1" applyBorder="1" applyAlignment="1">
      <alignment horizontal="left" indent="3"/>
    </xf>
    <xf numFmtId="17" fontId="131" fillId="71" borderId="2" xfId="1091" applyNumberFormat="1" applyFont="1" applyFill="1" applyBorder="1" applyAlignment="1">
      <alignment horizontal="center" vertical="center" wrapText="1"/>
    </xf>
    <xf numFmtId="0" fontId="131" fillId="71" borderId="2" xfId="1091" applyFont="1" applyFill="1" applyBorder="1" applyAlignment="1">
      <alignment horizontal="center" vertical="center" wrapText="1"/>
    </xf>
    <xf numFmtId="0" fontId="131" fillId="71" borderId="18" xfId="1091" applyFont="1" applyFill="1" applyBorder="1"/>
    <xf numFmtId="3" fontId="131" fillId="71" borderId="18" xfId="1091" applyNumberFormat="1" applyFont="1" applyFill="1" applyBorder="1"/>
    <xf numFmtId="0" fontId="210" fillId="0" borderId="0" xfId="969" applyFont="1"/>
    <xf numFmtId="0" fontId="235" fillId="0" borderId="0" xfId="969" applyFont="1"/>
    <xf numFmtId="180" fontId="226" fillId="74" borderId="0" xfId="1138" applyNumberFormat="1" applyFont="1" applyFill="1"/>
    <xf numFmtId="180" fontId="226" fillId="75" borderId="0" xfId="1138" applyNumberFormat="1" applyFont="1" applyFill="1"/>
    <xf numFmtId="180" fontId="226" fillId="73" borderId="0" xfId="1138" applyNumberFormat="1" applyFont="1" applyFill="1"/>
    <xf numFmtId="3" fontId="135" fillId="70" borderId="6" xfId="1091" applyNumberFormat="1" applyFont="1" applyFill="1" applyBorder="1"/>
    <xf numFmtId="0" fontId="253" fillId="70" borderId="6" xfId="1091" applyFont="1" applyFill="1" applyBorder="1" applyAlignment="1">
      <alignment horizontal="left" indent="1"/>
    </xf>
    <xf numFmtId="3" fontId="252" fillId="70" borderId="6" xfId="1091" applyNumberFormat="1" applyFont="1" applyFill="1" applyBorder="1"/>
    <xf numFmtId="0" fontId="252" fillId="70" borderId="6" xfId="1091" applyFont="1" applyFill="1" applyBorder="1" applyAlignment="1">
      <alignment horizontal="left" indent="1"/>
    </xf>
    <xf numFmtId="0" fontId="254" fillId="70" borderId="6" xfId="1091" applyFont="1" applyFill="1" applyBorder="1" applyAlignment="1">
      <alignment horizontal="left" wrapText="1" indent="1"/>
    </xf>
    <xf numFmtId="0" fontId="252" fillId="70" borderId="6" xfId="1091" applyFont="1" applyFill="1" applyBorder="1" applyAlignment="1">
      <alignment horizontal="left" wrapText="1" indent="1"/>
    </xf>
    <xf numFmtId="0" fontId="252" fillId="70" borderId="6" xfId="1091" applyFont="1" applyFill="1" applyBorder="1"/>
    <xf numFmtId="0" fontId="255" fillId="91" borderId="0" xfId="0" applyFont="1" applyFill="1"/>
    <xf numFmtId="0" fontId="255" fillId="91" borderId="0" xfId="0" applyFont="1" applyFill="1" applyAlignment="1">
      <alignment horizontal="center" vertical="center"/>
    </xf>
    <xf numFmtId="0" fontId="227" fillId="0" borderId="0" xfId="0" applyFont="1"/>
    <xf numFmtId="10" fontId="132" fillId="73" borderId="2" xfId="0" applyNumberFormat="1" applyFont="1" applyFill="1" applyBorder="1"/>
    <xf numFmtId="0" fontId="206" fillId="70" borderId="0" xfId="0" applyFont="1" applyFill="1" applyAlignment="1">
      <alignment horizontal="centerContinuous" wrapText="1"/>
    </xf>
    <xf numFmtId="0" fontId="123" fillId="70" borderId="0" xfId="0" applyFont="1" applyFill="1" applyAlignment="1">
      <alignment horizontal="centerContinuous" wrapText="1"/>
    </xf>
    <xf numFmtId="0" fontId="262" fillId="0" borderId="0" xfId="1090" applyFont="1"/>
    <xf numFmtId="0" fontId="263" fillId="0" borderId="0" xfId="1090" applyFont="1"/>
    <xf numFmtId="0" fontId="264" fillId="0" borderId="0" xfId="0" applyFont="1" applyAlignment="1">
      <alignment horizontal="center" vertical="center" wrapText="1"/>
    </xf>
    <xf numFmtId="0" fontId="262" fillId="0" borderId="0" xfId="0" applyFont="1"/>
    <xf numFmtId="0" fontId="265" fillId="0" borderId="0" xfId="1090" applyFont="1" applyAlignment="1">
      <alignment horizontal="center"/>
    </xf>
    <xf numFmtId="177" fontId="263" fillId="0" borderId="0" xfId="1090" applyNumberFormat="1" applyFont="1"/>
    <xf numFmtId="0" fontId="229" fillId="0" borderId="0" xfId="0" applyFont="1" applyAlignment="1">
      <alignment horizontal="center" vertical="center" wrapText="1"/>
    </xf>
    <xf numFmtId="0" fontId="130" fillId="0" borderId="0" xfId="1090" applyFont="1" applyAlignment="1">
      <alignment horizontal="center"/>
    </xf>
    <xf numFmtId="0" fontId="141" fillId="0" borderId="0" xfId="969" applyFont="1" applyAlignment="1">
      <alignment horizontal="center"/>
    </xf>
    <xf numFmtId="9" fontId="141" fillId="0" borderId="0" xfId="1152" applyFont="1" applyFill="1" applyAlignment="1">
      <alignment horizontal="center"/>
    </xf>
    <xf numFmtId="9" fontId="185" fillId="0" borderId="0" xfId="969" applyNumberFormat="1" applyFont="1" applyAlignment="1">
      <alignment horizontal="center"/>
    </xf>
    <xf numFmtId="0" fontId="129" fillId="77" borderId="0" xfId="1090" applyFont="1" applyFill="1"/>
    <xf numFmtId="17" fontId="189" fillId="71" borderId="6" xfId="1091" applyNumberFormat="1" applyFont="1" applyFill="1" applyBorder="1" applyAlignment="1">
      <alignment horizontal="center" vertical="center" wrapText="1"/>
    </xf>
    <xf numFmtId="0" fontId="131" fillId="71" borderId="0" xfId="1091" applyFont="1" applyFill="1" applyAlignment="1">
      <alignment horizontal="centerContinuous"/>
    </xf>
    <xf numFmtId="0" fontId="129" fillId="71" borderId="0" xfId="1091" applyFont="1" applyFill="1" applyAlignment="1">
      <alignment horizontal="centerContinuous"/>
    </xf>
    <xf numFmtId="0" fontId="143" fillId="71" borderId="31" xfId="1091" applyFont="1" applyFill="1" applyBorder="1" applyAlignment="1">
      <alignment horizontal="centerContinuous"/>
    </xf>
    <xf numFmtId="0" fontId="143" fillId="71" borderId="41" xfId="1091" applyFont="1" applyFill="1" applyBorder="1" applyAlignment="1">
      <alignment horizontal="centerContinuous"/>
    </xf>
    <xf numFmtId="0" fontId="131" fillId="71" borderId="33" xfId="1091" applyFont="1" applyFill="1" applyBorder="1" applyAlignment="1">
      <alignment horizontal="center" vertical="center" wrapText="1"/>
    </xf>
    <xf numFmtId="0" fontId="143" fillId="71" borderId="17" xfId="1091" applyFont="1" applyFill="1" applyBorder="1" applyAlignment="1">
      <alignment horizontal="centerContinuous"/>
    </xf>
    <xf numFmtId="17" fontId="131" fillId="71" borderId="6" xfId="1091" applyNumberFormat="1" applyFont="1" applyFill="1" applyBorder="1" applyAlignment="1">
      <alignment horizontal="center" vertical="center" wrapText="1"/>
    </xf>
    <xf numFmtId="17" fontId="131" fillId="71" borderId="33" xfId="1091" applyNumberFormat="1" applyFont="1" applyFill="1" applyBorder="1" applyAlignment="1">
      <alignment horizontal="center" vertical="center" wrapText="1"/>
    </xf>
    <xf numFmtId="0" fontId="223" fillId="71" borderId="6" xfId="1091" applyFont="1" applyFill="1" applyBorder="1" applyAlignment="1">
      <alignment horizontal="centerContinuous" vertical="center" wrapText="1"/>
    </xf>
    <xf numFmtId="17" fontId="223" fillId="71" borderId="6" xfId="1091" applyNumberFormat="1" applyFont="1" applyFill="1" applyBorder="1" applyAlignment="1">
      <alignment horizontal="center" vertical="center" wrapText="1"/>
    </xf>
    <xf numFmtId="3" fontId="223" fillId="70" borderId="6" xfId="1091" applyNumberFormat="1" applyFont="1" applyFill="1" applyBorder="1"/>
    <xf numFmtId="3" fontId="222" fillId="70" borderId="6" xfId="1091" applyNumberFormat="1" applyFont="1" applyFill="1" applyBorder="1"/>
    <xf numFmtId="3" fontId="231" fillId="70" borderId="6" xfId="1091" applyNumberFormat="1" applyFont="1" applyFill="1" applyBorder="1"/>
    <xf numFmtId="0" fontId="131" fillId="71" borderId="0" xfId="1091" applyFont="1" applyFill="1" applyAlignment="1">
      <alignment horizontal="left"/>
    </xf>
    <xf numFmtId="0" fontId="123" fillId="71" borderId="0" xfId="0" applyFont="1" applyFill="1"/>
    <xf numFmtId="0" fontId="129" fillId="71" borderId="0" xfId="1091" applyFont="1" applyFill="1"/>
    <xf numFmtId="3" fontId="251" fillId="71" borderId="6" xfId="1091" applyNumberFormat="1" applyFont="1" applyFill="1" applyBorder="1"/>
    <xf numFmtId="211" fontId="167" fillId="0" borderId="0" xfId="0" applyNumberFormat="1" applyFont="1" applyAlignment="1">
      <alignment vertical="center"/>
    </xf>
    <xf numFmtId="0" fontId="129" fillId="0" borderId="6" xfId="1084" applyFont="1" applyBorder="1" applyAlignment="1">
      <alignment vertical="center" wrapText="1"/>
    </xf>
    <xf numFmtId="0" fontId="129" fillId="0" borderId="6" xfId="1084" applyFont="1" applyBorder="1" applyAlignment="1">
      <alignment horizontal="center"/>
    </xf>
    <xf numFmtId="3" fontId="129" fillId="0" borderId="6" xfId="1084" applyNumberFormat="1" applyFont="1" applyBorder="1"/>
    <xf numFmtId="3" fontId="131" fillId="0" borderId="6" xfId="1084" applyNumberFormat="1" applyFont="1" applyBorder="1"/>
    <xf numFmtId="0" fontId="131" fillId="0" borderId="6" xfId="1084" applyFont="1" applyBorder="1" applyAlignment="1">
      <alignment vertical="center" wrapText="1"/>
    </xf>
    <xf numFmtId="10" fontId="129" fillId="0" borderId="6" xfId="1138" applyNumberFormat="1" applyFont="1" applyFill="1" applyBorder="1"/>
    <xf numFmtId="10" fontId="131" fillId="0" borderId="6" xfId="1138" applyNumberFormat="1" applyFont="1" applyFill="1" applyBorder="1"/>
    <xf numFmtId="0" fontId="174" fillId="0" borderId="6" xfId="0" applyFont="1" applyBorder="1" applyAlignment="1">
      <alignment horizontal="left" vertical="center"/>
    </xf>
    <xf numFmtId="0" fontId="129" fillId="0" borderId="6" xfId="0" applyFont="1" applyBorder="1"/>
    <xf numFmtId="3" fontId="266" fillId="0" borderId="6" xfId="0" applyNumberFormat="1" applyFont="1" applyBorder="1" applyAlignment="1">
      <alignment horizontal="right"/>
    </xf>
    <xf numFmtId="3" fontId="266" fillId="0" borderId="6" xfId="0" applyNumberFormat="1" applyFont="1" applyBorder="1" applyAlignment="1">
      <alignment horizontal="left"/>
    </xf>
    <xf numFmtId="0" fontId="267" fillId="0" borderId="0" xfId="0" applyFont="1" applyAlignment="1">
      <alignment horizontal="left"/>
    </xf>
    <xf numFmtId="0" fontId="267" fillId="0" borderId="0" xfId="0" applyFont="1"/>
    <xf numFmtId="0" fontId="145" fillId="0" borderId="0" xfId="0" applyFont="1" applyAlignment="1">
      <alignment horizontal="center" vertical="center"/>
    </xf>
    <xf numFmtId="0" fontId="124" fillId="0" borderId="0" xfId="0" applyFont="1" applyAlignment="1">
      <alignment vertical="center"/>
    </xf>
    <xf numFmtId="0" fontId="129" fillId="0" borderId="0" xfId="0" applyFont="1" applyAlignment="1">
      <alignment horizontal="left" vertical="center"/>
    </xf>
    <xf numFmtId="3" fontId="129" fillId="0" borderId="0" xfId="0" applyNumberFormat="1" applyFont="1" applyAlignment="1">
      <alignment vertical="center"/>
    </xf>
    <xf numFmtId="0" fontId="131" fillId="0" borderId="25" xfId="1556" applyFont="1" applyBorder="1" applyAlignment="1">
      <alignment horizontal="left" vertical="center"/>
    </xf>
    <xf numFmtId="3" fontId="131" fillId="0" borderId="25" xfId="0" applyNumberFormat="1" applyFont="1" applyBorder="1" applyAlignment="1">
      <alignment vertical="center"/>
    </xf>
    <xf numFmtId="3" fontId="146" fillId="0" borderId="0" xfId="0" applyNumberFormat="1" applyFont="1" applyAlignment="1">
      <alignment horizontal="center" vertical="center"/>
    </xf>
    <xf numFmtId="0" fontId="131" fillId="0" borderId="25" xfId="0" applyFont="1" applyBorder="1" applyAlignment="1">
      <alignment horizontal="left" vertical="center"/>
    </xf>
    <xf numFmtId="3" fontId="151" fillId="0" borderId="0" xfId="1091" applyNumberFormat="1" applyFont="1"/>
    <xf numFmtId="179" fontId="151" fillId="0" borderId="0" xfId="1091" applyNumberFormat="1" applyFont="1"/>
    <xf numFmtId="4" fontId="133" fillId="0" borderId="0" xfId="0" applyNumberFormat="1" applyFont="1" applyAlignment="1">
      <alignment horizontal="left"/>
    </xf>
    <xf numFmtId="178" fontId="133" fillId="0" borderId="0" xfId="0" applyNumberFormat="1" applyFont="1" applyAlignment="1">
      <alignment horizontal="left"/>
    </xf>
    <xf numFmtId="0" fontId="133" fillId="0" borderId="0" xfId="1091" applyFont="1" applyAlignment="1">
      <alignment horizontal="left"/>
    </xf>
    <xf numFmtId="178" fontId="133" fillId="0" borderId="0" xfId="1091" applyNumberFormat="1" applyFont="1" applyAlignment="1">
      <alignment horizontal="left"/>
    </xf>
    <xf numFmtId="0" fontId="267" fillId="0" borderId="0" xfId="0" applyFont="1" applyAlignment="1">
      <alignment horizontal="left" vertical="center"/>
    </xf>
    <xf numFmtId="0" fontId="267" fillId="0" borderId="0" xfId="0" applyFont="1" applyAlignment="1">
      <alignment vertical="center"/>
    </xf>
    <xf numFmtId="179" fontId="151" fillId="0" borderId="0" xfId="1091" applyNumberFormat="1" applyFont="1" applyAlignment="1">
      <alignment horizontal="left" indent="1"/>
    </xf>
    <xf numFmtId="179" fontId="151" fillId="0" borderId="0" xfId="1091" applyNumberFormat="1" applyFont="1" applyAlignment="1">
      <alignment horizontal="center"/>
    </xf>
    <xf numFmtId="3" fontId="151" fillId="0" borderId="0" xfId="1091" applyNumberFormat="1" applyFont="1" applyAlignment="1">
      <alignment horizontal="center"/>
    </xf>
    <xf numFmtId="0" fontId="184" fillId="0" borderId="0" xfId="0" applyFont="1" applyAlignment="1">
      <alignment horizontal="center"/>
    </xf>
    <xf numFmtId="0" fontId="139" fillId="0" borderId="0" xfId="1088" applyFont="1"/>
    <xf numFmtId="3" fontId="122" fillId="0" borderId="22" xfId="1088" applyNumberFormat="1" applyFont="1" applyBorder="1" applyAlignment="1">
      <alignment horizontal="center" vertical="center"/>
    </xf>
    <xf numFmtId="0" fontId="133" fillId="0" borderId="0" xfId="1088" applyFont="1"/>
    <xf numFmtId="1" fontId="169" fillId="0" borderId="0" xfId="1088" applyNumberFormat="1" applyFont="1" applyAlignment="1">
      <alignment horizontal="left" vertical="center"/>
    </xf>
    <xf numFmtId="0" fontId="169" fillId="0" borderId="0" xfId="1088" applyFont="1" applyAlignment="1">
      <alignment horizontal="left"/>
    </xf>
    <xf numFmtId="0" fontId="132" fillId="0" borderId="0" xfId="1088" applyFont="1" applyAlignment="1">
      <alignment horizontal="center"/>
    </xf>
    <xf numFmtId="0" fontId="133" fillId="0" borderId="0" xfId="1088" applyFont="1" applyAlignment="1">
      <alignment horizontal="left"/>
    </xf>
    <xf numFmtId="0" fontId="268" fillId="0" borderId="0" xfId="0" applyFont="1"/>
    <xf numFmtId="0" fontId="132" fillId="71" borderId="6" xfId="1088" applyFont="1" applyFill="1" applyBorder="1" applyAlignment="1">
      <alignment horizontal="left" vertical="center"/>
    </xf>
    <xf numFmtId="0" fontId="132" fillId="71" borderId="6" xfId="1088" applyFont="1" applyFill="1" applyBorder="1" applyAlignment="1">
      <alignment vertical="center"/>
    </xf>
    <xf numFmtId="0" fontId="132" fillId="71" borderId="6" xfId="1088" applyFont="1" applyFill="1" applyBorder="1" applyAlignment="1">
      <alignment horizontal="center" vertical="center" wrapText="1"/>
    </xf>
    <xf numFmtId="1" fontId="132" fillId="0" borderId="6" xfId="1088" applyNumberFormat="1" applyFont="1" applyBorder="1" applyAlignment="1">
      <alignment horizontal="left" vertical="center"/>
    </xf>
    <xf numFmtId="0" fontId="133" fillId="0" borderId="6" xfId="1088" applyFont="1" applyBorder="1" applyAlignment="1">
      <alignment vertical="center" wrapText="1"/>
    </xf>
    <xf numFmtId="3" fontId="224" fillId="0" borderId="0" xfId="1088" applyNumberFormat="1" applyFont="1" applyAlignment="1">
      <alignment horizontal="right"/>
    </xf>
    <xf numFmtId="1" fontId="132" fillId="70" borderId="6" xfId="1088" applyNumberFormat="1" applyFont="1" applyFill="1" applyBorder="1" applyAlignment="1">
      <alignment horizontal="left" vertical="center"/>
    </xf>
    <xf numFmtId="0" fontId="132" fillId="70" borderId="6" xfId="1088" applyFont="1" applyFill="1" applyBorder="1" applyAlignment="1">
      <alignment vertical="center" wrapText="1"/>
    </xf>
    <xf numFmtId="3" fontId="132" fillId="70" borderId="6" xfId="1088" applyNumberFormat="1" applyFont="1" applyFill="1" applyBorder="1" applyAlignment="1">
      <alignment horizontal="right"/>
    </xf>
    <xf numFmtId="175" fontId="133" fillId="0" borderId="6" xfId="1088" applyNumberFormat="1" applyFont="1" applyBorder="1" applyAlignment="1">
      <alignment horizontal="left" vertical="center"/>
    </xf>
    <xf numFmtId="3" fontId="133" fillId="0" borderId="6" xfId="1088" applyNumberFormat="1" applyFont="1" applyBorder="1" applyAlignment="1">
      <alignment horizontal="right"/>
    </xf>
    <xf numFmtId="3" fontId="133" fillId="0" borderId="0" xfId="1088" applyNumberFormat="1" applyFont="1"/>
    <xf numFmtId="1" fontId="132" fillId="70" borderId="6" xfId="1088" applyNumberFormat="1" applyFont="1" applyFill="1" applyBorder="1" applyAlignment="1">
      <alignment vertical="center"/>
    </xf>
    <xf numFmtId="178" fontId="132" fillId="70" borderId="6" xfId="1088" applyNumberFormat="1" applyFont="1" applyFill="1" applyBorder="1" applyAlignment="1">
      <alignment vertical="center"/>
    </xf>
    <xf numFmtId="1" fontId="132" fillId="0" borderId="30" xfId="1088" applyNumberFormat="1" applyFont="1" applyBorder="1" applyAlignment="1">
      <alignment horizontal="left" vertical="center"/>
    </xf>
    <xf numFmtId="0" fontId="133" fillId="0" borderId="30" xfId="1088" applyFont="1" applyBorder="1" applyAlignment="1">
      <alignment vertical="center" wrapText="1"/>
    </xf>
    <xf numFmtId="3" fontId="133" fillId="0" borderId="30" xfId="1088" applyNumberFormat="1" applyFont="1" applyBorder="1" applyAlignment="1">
      <alignment horizontal="right"/>
    </xf>
    <xf numFmtId="1" fontId="132" fillId="70" borderId="2" xfId="1088" applyNumberFormat="1" applyFont="1" applyFill="1" applyBorder="1" applyAlignment="1">
      <alignment horizontal="left" vertical="center"/>
    </xf>
    <xf numFmtId="0" fontId="132" fillId="70" borderId="2" xfId="1088" applyFont="1" applyFill="1" applyBorder="1" applyAlignment="1">
      <alignment vertical="center" wrapText="1"/>
    </xf>
    <xf numFmtId="3" fontId="132" fillId="70" borderId="2" xfId="1088" applyNumberFormat="1" applyFont="1" applyFill="1" applyBorder="1" applyAlignment="1">
      <alignment horizontal="right"/>
    </xf>
    <xf numFmtId="10" fontId="133" fillId="0" borderId="0" xfId="1138" applyNumberFormat="1" applyFont="1" applyBorder="1"/>
    <xf numFmtId="3" fontId="133" fillId="0" borderId="0" xfId="1088" applyNumberFormat="1" applyFont="1" applyAlignment="1">
      <alignment horizontal="right"/>
    </xf>
    <xf numFmtId="0" fontId="132" fillId="70" borderId="2" xfId="1088" applyFont="1" applyFill="1" applyBorder="1" applyAlignment="1">
      <alignment horizontal="left" vertical="center"/>
    </xf>
    <xf numFmtId="0" fontId="132" fillId="70" borderId="2" xfId="1088" applyFont="1" applyFill="1" applyBorder="1" applyAlignment="1">
      <alignment vertical="center"/>
    </xf>
    <xf numFmtId="0" fontId="132" fillId="70" borderId="2" xfId="1088" applyFont="1" applyFill="1" applyBorder="1" applyAlignment="1">
      <alignment horizontal="centerContinuous" vertical="center" wrapText="1"/>
    </xf>
    <xf numFmtId="0" fontId="132" fillId="70" borderId="2" xfId="1088" applyFont="1" applyFill="1" applyBorder="1" applyAlignment="1">
      <alignment horizontal="center" vertical="center"/>
    </xf>
    <xf numFmtId="1" fontId="132" fillId="0" borderId="21" xfId="1088" applyNumberFormat="1" applyFont="1" applyBorder="1" applyAlignment="1">
      <alignment horizontal="left" vertical="center"/>
    </xf>
    <xf numFmtId="0" fontId="133" fillId="0" borderId="22" xfId="1088" applyFont="1" applyBorder="1" applyAlignment="1">
      <alignment vertical="center" wrapText="1"/>
    </xf>
    <xf numFmtId="0" fontId="133" fillId="0" borderId="23" xfId="0" applyFont="1" applyBorder="1"/>
    <xf numFmtId="3" fontId="133" fillId="0" borderId="22" xfId="1088" applyNumberFormat="1" applyFont="1" applyBorder="1" applyAlignment="1">
      <alignment vertical="center"/>
    </xf>
    <xf numFmtId="0" fontId="133" fillId="0" borderId="0" xfId="1088" applyFont="1" applyAlignment="1">
      <alignment vertical="center"/>
    </xf>
    <xf numFmtId="1" fontId="132" fillId="0" borderId="18" xfId="1088" applyNumberFormat="1" applyFont="1" applyBorder="1" applyAlignment="1">
      <alignment horizontal="left" vertical="center"/>
    </xf>
    <xf numFmtId="0" fontId="133" fillId="0" borderId="24" xfId="0" applyFont="1" applyBorder="1"/>
    <xf numFmtId="3" fontId="133" fillId="0" borderId="18" xfId="1088" applyNumberFormat="1" applyFont="1" applyBorder="1" applyAlignment="1">
      <alignment vertical="center"/>
    </xf>
    <xf numFmtId="0" fontId="269" fillId="0" borderId="24" xfId="0" applyFont="1" applyBorder="1" applyAlignment="1">
      <alignment vertical="center"/>
    </xf>
    <xf numFmtId="175" fontId="132" fillId="0" borderId="22" xfId="1088" applyNumberFormat="1" applyFont="1" applyBorder="1" applyAlignment="1">
      <alignment horizontal="left" vertical="center"/>
    </xf>
    <xf numFmtId="0" fontId="133" fillId="0" borderId="29" xfId="0" applyFont="1" applyBorder="1"/>
    <xf numFmtId="3" fontId="133" fillId="0" borderId="0" xfId="1088" applyNumberFormat="1" applyFont="1" applyAlignment="1">
      <alignment vertical="center"/>
    </xf>
    <xf numFmtId="0" fontId="269" fillId="0" borderId="29" xfId="1088" applyFont="1" applyBorder="1" applyAlignment="1">
      <alignment horizontal="center" vertical="center"/>
    </xf>
    <xf numFmtId="3" fontId="132" fillId="0" borderId="18" xfId="1088" applyNumberFormat="1" applyFont="1" applyBorder="1" applyAlignment="1">
      <alignment vertical="center"/>
    </xf>
    <xf numFmtId="0" fontId="133" fillId="0" borderId="18" xfId="1088" applyFont="1" applyBorder="1" applyAlignment="1">
      <alignment vertical="center"/>
    </xf>
    <xf numFmtId="0" fontId="133" fillId="0" borderId="24" xfId="1088" applyFont="1" applyBorder="1" applyAlignment="1">
      <alignment horizontal="center" vertical="center"/>
    </xf>
    <xf numFmtId="0" fontId="133" fillId="0" borderId="18" xfId="1088" applyFont="1" applyBorder="1" applyAlignment="1">
      <alignment vertical="center" wrapText="1"/>
    </xf>
    <xf numFmtId="0" fontId="133" fillId="0" borderId="20" xfId="1088" applyFont="1" applyBorder="1" applyAlignment="1">
      <alignment vertical="center" wrapText="1"/>
    </xf>
    <xf numFmtId="176" fontId="133" fillId="0" borderId="22" xfId="1088" applyNumberFormat="1" applyFont="1" applyBorder="1" applyAlignment="1">
      <alignment horizontal="center" vertical="center" wrapText="1"/>
    </xf>
    <xf numFmtId="0" fontId="133" fillId="0" borderId="19" xfId="1088" applyFont="1" applyBorder="1" applyAlignment="1">
      <alignment vertical="center"/>
    </xf>
    <xf numFmtId="0" fontId="133" fillId="0" borderId="26" xfId="1088" applyFont="1" applyBorder="1" applyAlignment="1">
      <alignment horizontal="center" vertical="center"/>
    </xf>
    <xf numFmtId="176" fontId="133" fillId="0" borderId="19" xfId="1088" applyNumberFormat="1" applyFont="1" applyBorder="1" applyAlignment="1">
      <alignment horizontal="center" vertical="center" wrapText="1"/>
    </xf>
    <xf numFmtId="176" fontId="133" fillId="0" borderId="0" xfId="1088" applyNumberFormat="1" applyFont="1" applyAlignment="1">
      <alignment vertical="center"/>
    </xf>
    <xf numFmtId="0" fontId="132" fillId="0" borderId="0" xfId="1088" applyFont="1" applyAlignment="1">
      <alignment horizontal="left"/>
    </xf>
    <xf numFmtId="0" fontId="271" fillId="0" borderId="0" xfId="1088" applyFont="1"/>
    <xf numFmtId="3" fontId="271" fillId="0" borderId="0" xfId="1088" applyNumberFormat="1" applyFont="1"/>
    <xf numFmtId="0" fontId="272" fillId="0" borderId="0" xfId="1088" applyFont="1"/>
    <xf numFmtId="3" fontId="272" fillId="0" borderId="0" xfId="1088" applyNumberFormat="1" applyFont="1"/>
    <xf numFmtId="0" fontId="132" fillId="0" borderId="0" xfId="1088" applyFont="1"/>
    <xf numFmtId="3" fontId="132" fillId="0" borderId="0" xfId="1088" applyNumberFormat="1" applyFont="1"/>
    <xf numFmtId="0" fontId="226" fillId="0" borderId="0" xfId="1088" applyFont="1"/>
    <xf numFmtId="3" fontId="226" fillId="0" borderId="0" xfId="1088" applyNumberFormat="1" applyFont="1"/>
    <xf numFmtId="3" fontId="227" fillId="0" borderId="0" xfId="1088" applyNumberFormat="1" applyFont="1"/>
    <xf numFmtId="0" fontId="227" fillId="0" borderId="0" xfId="1088" applyFont="1"/>
    <xf numFmtId="0" fontId="240" fillId="0" borderId="0" xfId="1088" applyFont="1"/>
    <xf numFmtId="0" fontId="260" fillId="0" borderId="0" xfId="1088" applyFont="1"/>
    <xf numFmtId="3" fontId="240" fillId="0" borderId="0" xfId="1088" applyNumberFormat="1" applyFont="1"/>
    <xf numFmtId="3" fontId="260" fillId="0" borderId="0" xfId="1088" applyNumberFormat="1" applyFont="1"/>
    <xf numFmtId="0" fontId="143" fillId="69" borderId="6" xfId="1091" applyFont="1" applyFill="1" applyBorder="1" applyAlignment="1">
      <alignment horizontal="left"/>
    </xf>
    <xf numFmtId="0" fontId="140" fillId="69" borderId="6" xfId="1091" applyFont="1" applyFill="1" applyBorder="1" applyAlignment="1">
      <alignment horizontal="centerContinuous"/>
    </xf>
    <xf numFmtId="0" fontId="143" fillId="79" borderId="6" xfId="0" applyFont="1" applyFill="1" applyBorder="1" applyAlignment="1">
      <alignment horizontal="centerContinuous" vertical="center" wrapText="1"/>
    </xf>
    <xf numFmtId="0" fontId="120" fillId="0" borderId="0" xfId="0" applyFont="1" applyAlignment="1">
      <alignment horizontal="center" vertical="center" wrapText="1"/>
    </xf>
    <xf numFmtId="0" fontId="120" fillId="0" borderId="0" xfId="0" applyFont="1" applyAlignment="1">
      <alignment vertical="center" wrapText="1"/>
    </xf>
    <xf numFmtId="3" fontId="120" fillId="0" borderId="0" xfId="0" applyNumberFormat="1" applyFont="1" applyAlignment="1">
      <alignment horizontal="center"/>
    </xf>
    <xf numFmtId="3" fontId="120" fillId="0" borderId="0" xfId="0" applyNumberFormat="1" applyFont="1"/>
    <xf numFmtId="0" fontId="118" fillId="0" borderId="0" xfId="0" applyFont="1"/>
    <xf numFmtId="178" fontId="118" fillId="0" borderId="0" xfId="0" applyNumberFormat="1" applyFont="1"/>
    <xf numFmtId="0" fontId="118" fillId="0" borderId="0" xfId="0" applyFont="1" applyAlignment="1">
      <alignment vertical="center" wrapText="1"/>
    </xf>
    <xf numFmtId="178" fontId="118" fillId="0" borderId="0" xfId="0" applyNumberFormat="1" applyFont="1" applyAlignment="1">
      <alignment vertical="center" wrapText="1"/>
    </xf>
    <xf numFmtId="179" fontId="118" fillId="0" borderId="0" xfId="0" applyNumberFormat="1" applyFont="1"/>
    <xf numFmtId="2" fontId="110" fillId="0" borderId="0" xfId="0" applyNumberFormat="1" applyFont="1"/>
    <xf numFmtId="14" fontId="110" fillId="0" borderId="0" xfId="0" applyNumberFormat="1" applyFont="1" applyAlignment="1">
      <alignment horizontal="left"/>
    </xf>
    <xf numFmtId="10" fontId="113" fillId="0" borderId="0" xfId="1138" applyNumberFormat="1" applyFont="1" applyFill="1"/>
    <xf numFmtId="10" fontId="117" fillId="0" borderId="0" xfId="1138" applyNumberFormat="1" applyFont="1" applyFill="1"/>
    <xf numFmtId="2" fontId="109" fillId="77" borderId="0" xfId="0" applyNumberFormat="1" applyFont="1" applyFill="1" applyAlignment="1">
      <alignment horizontal="center" vertical="center" wrapText="1"/>
    </xf>
    <xf numFmtId="2" fontId="110" fillId="77" borderId="0" xfId="0" applyNumberFormat="1" applyFont="1" applyFill="1" applyAlignment="1">
      <alignment horizontal="center" vertical="center" wrapText="1"/>
    </xf>
    <xf numFmtId="2" fontId="110" fillId="77" borderId="0" xfId="0" applyNumberFormat="1" applyFont="1" applyFill="1" applyAlignment="1">
      <alignment horizontal="center" vertical="center"/>
    </xf>
    <xf numFmtId="0" fontId="110" fillId="70" borderId="0" xfId="0" applyFont="1" applyFill="1" applyAlignment="1">
      <alignment vertical="center" wrapText="1"/>
    </xf>
    <xf numFmtId="3" fontId="110" fillId="70" borderId="0" xfId="0" applyNumberFormat="1" applyFont="1" applyFill="1"/>
    <xf numFmtId="0" fontId="132" fillId="0" borderId="0" xfId="2059" applyFont="1"/>
    <xf numFmtId="178" fontId="133" fillId="0" borderId="0" xfId="2059" applyNumberFormat="1" applyFont="1"/>
    <xf numFmtId="0" fontId="131" fillId="0" borderId="0" xfId="1084" applyFont="1" applyAlignment="1">
      <alignment vertical="center" wrapText="1"/>
    </xf>
    <xf numFmtId="1" fontId="129" fillId="0" borderId="6" xfId="1088" applyNumberFormat="1" applyFont="1" applyBorder="1" applyAlignment="1">
      <alignment horizontal="center" vertical="center"/>
    </xf>
    <xf numFmtId="1" fontId="219" fillId="0" borderId="0" xfId="1084" applyNumberFormat="1" applyFont="1"/>
    <xf numFmtId="0" fontId="132" fillId="0" borderId="0" xfId="1091" applyFont="1"/>
    <xf numFmtId="3" fontId="133" fillId="0" borderId="0" xfId="1090" applyNumberFormat="1" applyFont="1"/>
    <xf numFmtId="0" fontId="132" fillId="0" borderId="0" xfId="1090" applyFont="1"/>
    <xf numFmtId="3" fontId="132" fillId="0" borderId="0" xfId="1090" applyNumberFormat="1" applyFont="1"/>
    <xf numFmtId="3" fontId="133" fillId="0" borderId="6" xfId="1088" applyNumberFormat="1" applyFont="1" applyBorder="1" applyAlignment="1">
      <alignment vertical="center" wrapText="1"/>
    </xf>
    <xf numFmtId="0" fontId="219" fillId="0" borderId="0" xfId="0" applyFont="1"/>
    <xf numFmtId="0" fontId="224" fillId="0" borderId="0" xfId="0" applyFont="1"/>
    <xf numFmtId="4" fontId="122" fillId="77" borderId="6" xfId="0" applyNumberFormat="1" applyFont="1" applyFill="1" applyBorder="1"/>
    <xf numFmtId="4" fontId="175" fillId="0" borderId="6" xfId="0" applyNumberFormat="1" applyFont="1" applyBorder="1"/>
    <xf numFmtId="0" fontId="273" fillId="0" borderId="0" xfId="0" applyFont="1" applyAlignment="1">
      <alignment vertical="center"/>
    </xf>
    <xf numFmtId="0" fontId="133" fillId="0" borderId="0" xfId="0" applyFont="1" applyAlignment="1">
      <alignment vertical="center"/>
    </xf>
    <xf numFmtId="0" fontId="133" fillId="0" borderId="17" xfId="0" applyFont="1" applyBorder="1" applyAlignment="1">
      <alignment horizontal="center" vertical="center" wrapText="1"/>
    </xf>
    <xf numFmtId="0" fontId="132" fillId="77" borderId="6" xfId="0" applyFont="1" applyFill="1" applyBorder="1" applyAlignment="1">
      <alignment horizontal="center" vertical="center"/>
    </xf>
    <xf numFmtId="17" fontId="132" fillId="77" borderId="6" xfId="1090" applyNumberFormat="1" applyFont="1" applyFill="1" applyBorder="1" applyAlignment="1">
      <alignment horizontal="center" vertical="center"/>
    </xf>
    <xf numFmtId="3" fontId="133" fillId="83" borderId="6" xfId="1090" applyNumberFormat="1" applyFont="1" applyFill="1" applyBorder="1" applyAlignment="1">
      <alignment horizontal="left" vertical="center"/>
    </xf>
    <xf numFmtId="4" fontId="169" fillId="0" borderId="6" xfId="1090" applyNumberFormat="1" applyFont="1" applyBorder="1" applyAlignment="1">
      <alignment vertical="center"/>
    </xf>
    <xf numFmtId="4" fontId="133" fillId="0" borderId="6" xfId="1090" applyNumberFormat="1" applyFont="1" applyBorder="1" applyAlignment="1">
      <alignment vertical="center"/>
    </xf>
    <xf numFmtId="4" fontId="132" fillId="0" borderId="6" xfId="1090" applyNumberFormat="1" applyFont="1" applyBorder="1" applyAlignment="1">
      <alignment vertical="center"/>
    </xf>
    <xf numFmtId="0" fontId="133" fillId="0" borderId="0" xfId="1090" applyFont="1" applyAlignment="1">
      <alignment vertical="center"/>
    </xf>
    <xf numFmtId="4" fontId="133" fillId="0" borderId="0" xfId="1090" applyNumberFormat="1" applyFont="1" applyAlignment="1">
      <alignment vertical="center"/>
    </xf>
    <xf numFmtId="3" fontId="133" fillId="0" borderId="6" xfId="1090" applyNumberFormat="1" applyFont="1" applyBorder="1" applyAlignment="1">
      <alignment horizontal="left" vertical="center"/>
    </xf>
    <xf numFmtId="0" fontId="132" fillId="77" borderId="6" xfId="1090" applyFont="1" applyFill="1" applyBorder="1" applyAlignment="1">
      <alignment horizontal="left" vertical="center"/>
    </xf>
    <xf numFmtId="4" fontId="132" fillId="77" borderId="6" xfId="1090" applyNumberFormat="1" applyFont="1" applyFill="1" applyBorder="1" applyAlignment="1">
      <alignment vertical="center"/>
    </xf>
    <xf numFmtId="0" fontId="133" fillId="0" borderId="0" xfId="1090" applyFont="1" applyAlignment="1">
      <alignment horizontal="center" vertical="center"/>
    </xf>
    <xf numFmtId="0" fontId="132" fillId="0" borderId="0" xfId="1091" applyFont="1" applyAlignment="1">
      <alignment vertical="center"/>
    </xf>
    <xf numFmtId="180" fontId="110" fillId="0" borderId="0" xfId="1138" applyNumberFormat="1" applyFont="1"/>
    <xf numFmtId="180" fontId="110" fillId="70" borderId="0" xfId="1138" applyNumberFormat="1" applyFont="1" applyFill="1"/>
    <xf numFmtId="3" fontId="118" fillId="0" borderId="0" xfId="0" applyNumberFormat="1" applyFont="1"/>
    <xf numFmtId="0" fontId="124" fillId="0" borderId="0" xfId="0" applyFont="1" applyAlignment="1">
      <alignment horizontal="center" vertical="center"/>
    </xf>
    <xf numFmtId="181" fontId="129" fillId="0" borderId="0" xfId="1088" applyNumberFormat="1" applyFont="1"/>
    <xf numFmtId="2" fontId="140" fillId="0" borderId="0" xfId="1090" applyNumberFormat="1" applyFont="1"/>
    <xf numFmtId="0" fontId="274" fillId="0" borderId="0" xfId="1082" applyFont="1"/>
    <xf numFmtId="4" fontId="275" fillId="0" borderId="0" xfId="389" applyNumberFormat="1" applyFont="1" applyFill="1"/>
    <xf numFmtId="0" fontId="276" fillId="0" borderId="0" xfId="1082" applyFont="1"/>
    <xf numFmtId="0" fontId="274" fillId="0" borderId="0" xfId="1082" applyFont="1" applyAlignment="1">
      <alignment horizontal="left" indent="1"/>
    </xf>
    <xf numFmtId="0" fontId="274" fillId="0" borderId="0" xfId="1082" applyFont="1" applyAlignment="1">
      <alignment horizontal="justify"/>
    </xf>
    <xf numFmtId="0" fontId="275" fillId="0" borderId="0" xfId="1082" applyFont="1" applyAlignment="1">
      <alignment horizontal="justify"/>
    </xf>
    <xf numFmtId="0" fontId="262" fillId="0" borderId="0" xfId="1082" applyFont="1"/>
    <xf numFmtId="4" fontId="263" fillId="0" borderId="0" xfId="389" applyNumberFormat="1" applyFont="1" applyFill="1"/>
    <xf numFmtId="0" fontId="277" fillId="0" borderId="0" xfId="1082" applyFont="1" applyAlignment="1">
      <alignment horizontal="right"/>
    </xf>
    <xf numFmtId="0" fontId="262" fillId="0" borderId="0" xfId="1082" applyFont="1" applyAlignment="1">
      <alignment horizontal="right"/>
    </xf>
    <xf numFmtId="0" fontId="262" fillId="0" borderId="0" xfId="1082" applyFont="1" applyAlignment="1">
      <alignment horizontal="left" indent="1"/>
    </xf>
    <xf numFmtId="0" fontId="262" fillId="0" borderId="0" xfId="1082" applyFont="1" applyAlignment="1">
      <alignment wrapText="1"/>
    </xf>
    <xf numFmtId="177" fontId="133" fillId="0" borderId="0" xfId="2059" applyNumberFormat="1" applyFont="1"/>
    <xf numFmtId="4" fontId="129" fillId="68" borderId="6" xfId="0" applyNumberFormat="1" applyFont="1" applyFill="1" applyBorder="1"/>
    <xf numFmtId="178" fontId="129" fillId="68" borderId="6" xfId="0" applyNumberFormat="1" applyFont="1" applyFill="1" applyBorder="1"/>
    <xf numFmtId="179" fontId="129" fillId="68" borderId="6" xfId="0" applyNumberFormat="1" applyFont="1" applyFill="1" applyBorder="1"/>
    <xf numFmtId="0" fontId="226" fillId="0" borderId="0" xfId="2059" applyFont="1"/>
    <xf numFmtId="0" fontId="226" fillId="0" borderId="0" xfId="2059" applyFont="1" applyAlignment="1">
      <alignment horizontal="center" vertical="center"/>
    </xf>
    <xf numFmtId="179" fontId="129" fillId="0" borderId="0" xfId="0" applyNumberFormat="1" applyFont="1" applyAlignment="1">
      <alignment vertical="center"/>
    </xf>
    <xf numFmtId="0" fontId="129" fillId="0" borderId="0" xfId="1556" applyFont="1"/>
    <xf numFmtId="0" fontId="129" fillId="34" borderId="6" xfId="1088" applyFont="1" applyFill="1" applyBorder="1" applyAlignment="1">
      <alignment horizontal="center"/>
    </xf>
    <xf numFmtId="0" fontId="123" fillId="34" borderId="6" xfId="1088" applyFont="1" applyFill="1" applyBorder="1"/>
    <xf numFmtId="0" fontId="123" fillId="34" borderId="6" xfId="1088" applyFont="1" applyFill="1" applyBorder="1" applyAlignment="1">
      <alignment horizontal="center" vertical="center" wrapText="1"/>
    </xf>
    <xf numFmtId="3" fontId="123" fillId="0" borderId="6" xfId="1088" quotePrefix="1" applyNumberFormat="1" applyFont="1" applyBorder="1" applyAlignment="1">
      <alignment horizontal="right" vertical="center"/>
    </xf>
    <xf numFmtId="177" fontId="123" fillId="0" borderId="6" xfId="1088" quotePrefix="1" applyNumberFormat="1" applyFont="1" applyBorder="1" applyAlignment="1">
      <alignment horizontal="right" vertical="center"/>
    </xf>
    <xf numFmtId="3" fontId="123" fillId="0" borderId="6" xfId="1088" applyNumberFormat="1" applyFont="1" applyBorder="1" applyAlignment="1">
      <alignment horizontal="right" vertical="center"/>
    </xf>
    <xf numFmtId="3" fontId="122" fillId="0" borderId="6" xfId="1088" applyNumberFormat="1" applyFont="1" applyBorder="1" applyAlignment="1">
      <alignment horizontal="right" vertical="center"/>
    </xf>
    <xf numFmtId="0" fontId="129" fillId="0" borderId="6" xfId="1088" applyFont="1" applyBorder="1" applyAlignment="1">
      <alignment horizontal="center"/>
    </xf>
    <xf numFmtId="0" fontId="228" fillId="0" borderId="6" xfId="1088" applyFont="1" applyBorder="1"/>
    <xf numFmtId="0" fontId="129" fillId="34" borderId="6" xfId="1088" applyFont="1" applyFill="1" applyBorder="1" applyAlignment="1">
      <alignment vertical="center"/>
    </xf>
    <xf numFmtId="0" fontId="140" fillId="34" borderId="6" xfId="1088" applyFont="1" applyFill="1" applyBorder="1" applyAlignment="1">
      <alignment vertical="center" wrapText="1"/>
    </xf>
    <xf numFmtId="0" fontId="140" fillId="34" borderId="6" xfId="1088" applyFont="1" applyFill="1" applyBorder="1" applyAlignment="1">
      <alignment horizontal="center" vertical="center" wrapText="1"/>
    </xf>
    <xf numFmtId="3" fontId="123" fillId="0" borderId="6" xfId="1088" applyNumberFormat="1" applyFont="1" applyBorder="1" applyAlignment="1">
      <alignment horizontal="center" vertical="center"/>
    </xf>
    <xf numFmtId="0" fontId="247" fillId="0" borderId="6" xfId="1088" applyFont="1" applyBorder="1" applyAlignment="1">
      <alignment horizontal="center" vertical="center"/>
    </xf>
    <xf numFmtId="0" fontId="246" fillId="0" borderId="6" xfId="1088" applyFont="1" applyBorder="1" applyAlignment="1">
      <alignment horizontal="center" vertical="center" wrapText="1"/>
    </xf>
    <xf numFmtId="3" fontId="122" fillId="0" borderId="6" xfId="1088" applyNumberFormat="1" applyFont="1" applyBorder="1" applyAlignment="1">
      <alignment horizontal="center" vertical="center"/>
    </xf>
    <xf numFmtId="0" fontId="140" fillId="0" borderId="6" xfId="1088" applyFont="1" applyBorder="1" applyAlignment="1">
      <alignment vertical="center"/>
    </xf>
    <xf numFmtId="0" fontId="123" fillId="0" borderId="6" xfId="1088" applyFont="1" applyBorder="1" applyAlignment="1">
      <alignment horizontal="center" vertical="center" wrapText="1"/>
    </xf>
    <xf numFmtId="176" fontId="123" fillId="0" borderId="6" xfId="1088" applyNumberFormat="1" applyFont="1" applyBorder="1" applyAlignment="1">
      <alignment horizontal="center" vertical="center" wrapText="1"/>
    </xf>
    <xf numFmtId="179" fontId="131" fillId="0" borderId="6" xfId="1088" applyNumberFormat="1" applyFont="1" applyBorder="1"/>
    <xf numFmtId="0" fontId="143" fillId="34" borderId="2" xfId="1089" applyFont="1" applyFill="1" applyBorder="1" applyAlignment="1">
      <alignment horizontal="center"/>
    </xf>
    <xf numFmtId="4" fontId="129" fillId="0" borderId="0" xfId="0" applyNumberFormat="1" applyFont="1" applyAlignment="1">
      <alignment vertical="center"/>
    </xf>
    <xf numFmtId="4" fontId="131" fillId="0" borderId="25" xfId="0" applyNumberFormat="1" applyFont="1" applyBorder="1" applyAlignment="1">
      <alignment vertical="center"/>
    </xf>
    <xf numFmtId="4" fontId="131" fillId="0" borderId="0" xfId="0" applyNumberFormat="1" applyFont="1" applyAlignment="1">
      <alignment vertical="center"/>
    </xf>
    <xf numFmtId="0" fontId="280" fillId="71" borderId="0" xfId="0" applyFont="1" applyFill="1" applyAlignment="1">
      <alignment horizontal="centerContinuous" wrapText="1"/>
    </xf>
    <xf numFmtId="3" fontId="131" fillId="0" borderId="63" xfId="1088" applyNumberFormat="1" applyFont="1" applyBorder="1"/>
    <xf numFmtId="1" fontId="123" fillId="0" borderId="20" xfId="1088" applyNumberFormat="1" applyFont="1" applyBorder="1" applyAlignment="1">
      <alignment horizontal="center" vertical="center"/>
    </xf>
    <xf numFmtId="0" fontId="140" fillId="0" borderId="57" xfId="1088" applyFont="1" applyBorder="1" applyAlignment="1">
      <alignment vertical="center" wrapText="1"/>
    </xf>
    <xf numFmtId="3" fontId="129" fillId="71" borderId="6" xfId="1091" applyNumberFormat="1" applyFont="1" applyFill="1" applyBorder="1"/>
    <xf numFmtId="3" fontId="128" fillId="0" borderId="0" xfId="1091" applyNumberFormat="1" applyFont="1"/>
    <xf numFmtId="0" fontId="124" fillId="71" borderId="6" xfId="1091" applyFont="1" applyFill="1" applyBorder="1" applyAlignment="1">
      <alignment horizontal="left" indent="1"/>
    </xf>
    <xf numFmtId="0" fontId="131" fillId="0" borderId="0" xfId="1091" applyFont="1" applyAlignment="1">
      <alignment horizontal="left" indent="1"/>
    </xf>
    <xf numFmtId="0" fontId="129" fillId="0" borderId="0" xfId="1091" applyFont="1" applyAlignment="1">
      <alignment horizontal="left" indent="1"/>
    </xf>
    <xf numFmtId="0" fontId="134" fillId="0" borderId="0" xfId="1091" applyFont="1" applyAlignment="1">
      <alignment horizontal="left" indent="1"/>
    </xf>
    <xf numFmtId="3" fontId="134" fillId="0" borderId="0" xfId="1091" applyNumberFormat="1" applyFont="1"/>
    <xf numFmtId="0" fontId="129" fillId="0" borderId="0" xfId="1091" applyFont="1" applyAlignment="1">
      <alignment horizontal="left" wrapText="1" indent="1"/>
    </xf>
    <xf numFmtId="0" fontId="136" fillId="0" borderId="0" xfId="1091" applyFont="1" applyAlignment="1">
      <alignment horizontal="left" wrapText="1" indent="1"/>
    </xf>
    <xf numFmtId="3" fontId="129" fillId="70" borderId="64" xfId="1091" applyNumberFormat="1" applyFont="1" applyFill="1" applyBorder="1"/>
    <xf numFmtId="0" fontId="129" fillId="70" borderId="30" xfId="1091" applyFont="1" applyFill="1" applyBorder="1" applyAlignment="1">
      <alignment horizontal="left" indent="1"/>
    </xf>
    <xf numFmtId="0" fontId="129" fillId="70" borderId="33" xfId="1091" applyFont="1" applyFill="1" applyBorder="1"/>
    <xf numFmtId="0" fontId="227" fillId="0" borderId="0" xfId="0" applyFont="1" applyAlignment="1">
      <alignment horizontal="centerContinuous" vertical="center" wrapText="1"/>
    </xf>
    <xf numFmtId="0" fontId="226" fillId="0" borderId="0" xfId="0" applyFont="1" applyAlignment="1">
      <alignment horizontal="centerContinuous" vertical="center"/>
    </xf>
    <xf numFmtId="3" fontId="133" fillId="0" borderId="0" xfId="0" applyNumberFormat="1" applyFont="1" applyAlignment="1">
      <alignment vertical="center"/>
    </xf>
    <xf numFmtId="3" fontId="169" fillId="0" borderId="0" xfId="0" applyNumberFormat="1" applyFont="1" applyAlignment="1">
      <alignment vertical="center"/>
    </xf>
    <xf numFmtId="3" fontId="132" fillId="77" borderId="0" xfId="0" applyNumberFormat="1" applyFont="1" applyFill="1" applyAlignment="1">
      <alignment vertical="center"/>
    </xf>
    <xf numFmtId="3" fontId="133" fillId="77" borderId="0" xfId="0" applyNumberFormat="1" applyFont="1" applyFill="1" applyAlignment="1">
      <alignment horizontal="left" vertical="center"/>
    </xf>
    <xf numFmtId="3" fontId="132" fillId="77" borderId="0" xfId="0" applyNumberFormat="1" applyFont="1" applyFill="1" applyAlignment="1">
      <alignment horizontal="left" vertical="center"/>
    </xf>
    <xf numFmtId="3" fontId="133" fillId="77" borderId="0" xfId="0" applyNumberFormat="1" applyFont="1" applyFill="1" applyAlignment="1">
      <alignment horizontal="center" vertical="center"/>
    </xf>
    <xf numFmtId="3" fontId="132" fillId="0" borderId="0" xfId="0" applyNumberFormat="1" applyFont="1" applyAlignment="1">
      <alignment horizontal="left" vertical="center"/>
    </xf>
    <xf numFmtId="3" fontId="224" fillId="0" borderId="0" xfId="0" applyNumberFormat="1" applyFont="1" applyAlignment="1">
      <alignment horizontal="left" vertical="center"/>
    </xf>
    <xf numFmtId="0" fontId="283" fillId="0" borderId="0" xfId="0" applyFont="1" applyAlignment="1">
      <alignment horizontal="left" vertical="center"/>
    </xf>
    <xf numFmtId="0" fontId="169" fillId="0" borderId="0" xfId="0" applyFont="1" applyAlignment="1">
      <alignment horizontal="left" vertical="center"/>
    </xf>
    <xf numFmtId="210" fontId="132" fillId="77" borderId="0" xfId="0" applyNumberFormat="1" applyFont="1" applyFill="1" applyAlignment="1">
      <alignment vertical="center"/>
    </xf>
    <xf numFmtId="180" fontId="132" fillId="77" borderId="0" xfId="3689" applyNumberFormat="1" applyFont="1" applyFill="1" applyAlignment="1">
      <alignment vertical="center"/>
    </xf>
    <xf numFmtId="17" fontId="255" fillId="0" borderId="0" xfId="0" applyNumberFormat="1" applyFont="1" applyAlignment="1">
      <alignment horizontal="right" vertical="center"/>
    </xf>
    <xf numFmtId="17" fontId="132" fillId="0" borderId="0" xfId="0" applyNumberFormat="1" applyFont="1" applyAlignment="1">
      <alignment horizontal="right" vertical="center"/>
    </xf>
    <xf numFmtId="209" fontId="132" fillId="77" borderId="0" xfId="0" applyNumberFormat="1" applyFont="1" applyFill="1" applyAlignment="1">
      <alignment vertical="center"/>
    </xf>
    <xf numFmtId="17" fontId="255" fillId="77" borderId="0" xfId="0" applyNumberFormat="1" applyFont="1" applyFill="1" applyAlignment="1">
      <alignment horizontal="right" vertical="center"/>
    </xf>
    <xf numFmtId="177" fontId="133" fillId="0" borderId="0" xfId="0" applyNumberFormat="1" applyFont="1" applyAlignment="1">
      <alignment vertical="center"/>
    </xf>
    <xf numFmtId="3" fontId="169" fillId="77" borderId="0" xfId="0" applyNumberFormat="1" applyFont="1" applyFill="1" applyAlignment="1">
      <alignment horizontal="center" vertical="center"/>
    </xf>
    <xf numFmtId="177" fontId="133" fillId="0" borderId="0" xfId="948" applyNumberFormat="1" applyFont="1" applyAlignment="1">
      <alignment vertical="center"/>
    </xf>
    <xf numFmtId="178" fontId="284" fillId="84" borderId="0" xfId="0" applyNumberFormat="1" applyFont="1" applyFill="1" applyAlignment="1">
      <alignment vertical="center"/>
    </xf>
    <xf numFmtId="0" fontId="132" fillId="84" borderId="0" xfId="0" applyFont="1" applyFill="1" applyAlignment="1">
      <alignment horizontal="center" vertical="center"/>
    </xf>
    <xf numFmtId="3" fontId="132" fillId="84" borderId="36" xfId="0" applyNumberFormat="1" applyFont="1" applyFill="1" applyBorder="1" applyAlignment="1">
      <alignment vertical="center"/>
    </xf>
    <xf numFmtId="0" fontId="132" fillId="84" borderId="59" xfId="0" applyFont="1" applyFill="1" applyBorder="1" applyAlignment="1">
      <alignment horizontal="center" vertical="center"/>
    </xf>
    <xf numFmtId="3" fontId="132" fillId="84" borderId="46" xfId="0" applyNumberFormat="1" applyFont="1" applyFill="1" applyBorder="1" applyAlignment="1">
      <alignment vertical="center"/>
    </xf>
    <xf numFmtId="0" fontId="284" fillId="74" borderId="43" xfId="0" applyFont="1" applyFill="1" applyBorder="1" applyAlignment="1">
      <alignment horizontal="center" vertical="center"/>
    </xf>
    <xf numFmtId="3" fontId="284" fillId="74" borderId="42" xfId="0" applyNumberFormat="1" applyFont="1" applyFill="1" applyBorder="1" applyAlignment="1">
      <alignment vertical="center"/>
    </xf>
    <xf numFmtId="3" fontId="169" fillId="77" borderId="0" xfId="0" applyNumberFormat="1" applyFont="1" applyFill="1" applyAlignment="1">
      <alignment vertical="center"/>
    </xf>
    <xf numFmtId="3" fontId="284" fillId="77" borderId="0" xfId="0" applyNumberFormat="1" applyFont="1" applyFill="1" applyAlignment="1">
      <alignment vertical="center"/>
    </xf>
    <xf numFmtId="3" fontId="285" fillId="77" borderId="0" xfId="0" applyNumberFormat="1" applyFont="1" applyFill="1" applyAlignment="1">
      <alignment vertical="center"/>
    </xf>
    <xf numFmtId="3" fontId="261" fillId="93" borderId="0" xfId="0" applyNumberFormat="1" applyFont="1" applyFill="1" applyAlignment="1">
      <alignment horizontal="centerContinuous" vertical="center"/>
    </xf>
    <xf numFmtId="3" fontId="132" fillId="70" borderId="0" xfId="0" applyNumberFormat="1" applyFont="1" applyFill="1" applyAlignment="1">
      <alignment vertical="center"/>
    </xf>
    <xf numFmtId="3" fontId="132" fillId="70" borderId="0" xfId="0" applyNumberFormat="1" applyFont="1" applyFill="1" applyAlignment="1">
      <alignment horizontal="center" vertical="center"/>
    </xf>
    <xf numFmtId="3" fontId="132" fillId="70" borderId="39" xfId="0" applyNumberFormat="1" applyFont="1" applyFill="1" applyBorder="1" applyAlignment="1">
      <alignment vertical="center"/>
    </xf>
    <xf numFmtId="3" fontId="132" fillId="77" borderId="39" xfId="0" applyNumberFormat="1" applyFont="1" applyFill="1" applyBorder="1" applyAlignment="1">
      <alignment horizontal="center" vertical="center"/>
    </xf>
    <xf numFmtId="3" fontId="132" fillId="77" borderId="39" xfId="0" applyNumberFormat="1" applyFont="1" applyFill="1" applyBorder="1" applyAlignment="1">
      <alignment vertical="center"/>
    </xf>
    <xf numFmtId="3" fontId="133" fillId="70" borderId="0" xfId="0" applyNumberFormat="1" applyFont="1" applyFill="1" applyAlignment="1">
      <alignment vertical="center"/>
    </xf>
    <xf numFmtId="3" fontId="132" fillId="70" borderId="59" xfId="0" applyNumberFormat="1" applyFont="1" applyFill="1" applyBorder="1" applyAlignment="1">
      <alignment vertical="center"/>
    </xf>
    <xf numFmtId="3" fontId="132" fillId="77" borderId="59" xfId="0" applyNumberFormat="1" applyFont="1" applyFill="1" applyBorder="1" applyAlignment="1">
      <alignment horizontal="center" vertical="center"/>
    </xf>
    <xf numFmtId="3" fontId="132" fillId="77" borderId="59" xfId="0" applyNumberFormat="1" applyFont="1" applyFill="1" applyBorder="1" applyAlignment="1">
      <alignment vertical="center"/>
    </xf>
    <xf numFmtId="38" fontId="256" fillId="70" borderId="60" xfId="0" applyNumberFormat="1" applyFont="1" applyFill="1" applyBorder="1" applyAlignment="1">
      <alignment vertical="center"/>
    </xf>
    <xf numFmtId="3" fontId="224" fillId="77" borderId="0" xfId="0" applyNumberFormat="1" applyFont="1" applyFill="1" applyAlignment="1">
      <alignment horizontal="center" vertical="center"/>
    </xf>
    <xf numFmtId="3" fontId="224" fillId="77" borderId="0" xfId="0" applyNumberFormat="1" applyFont="1" applyFill="1" applyAlignment="1">
      <alignment vertical="center"/>
    </xf>
    <xf numFmtId="38" fontId="132" fillId="81" borderId="0" xfId="0" applyNumberFormat="1" applyFont="1" applyFill="1" applyAlignment="1">
      <alignment vertical="center"/>
    </xf>
    <xf numFmtId="3" fontId="133" fillId="76" borderId="0" xfId="0" quotePrefix="1" applyNumberFormat="1" applyFont="1" applyFill="1" applyAlignment="1">
      <alignment horizontal="center" vertical="center"/>
    </xf>
    <xf numFmtId="3" fontId="132" fillId="84" borderId="0" xfId="0" applyNumberFormat="1" applyFont="1" applyFill="1" applyAlignment="1">
      <alignment vertical="center"/>
    </xf>
    <xf numFmtId="3" fontId="240" fillId="77" borderId="0" xfId="0" applyNumberFormat="1" applyFont="1" applyFill="1" applyAlignment="1">
      <alignment vertical="center"/>
    </xf>
    <xf numFmtId="228" fontId="227" fillId="70" borderId="60" xfId="0" applyNumberFormat="1" applyFont="1" applyFill="1" applyBorder="1" applyAlignment="1">
      <alignment vertical="center"/>
    </xf>
    <xf numFmtId="3" fontId="224" fillId="77" borderId="60" xfId="0" applyNumberFormat="1" applyFont="1" applyFill="1" applyBorder="1" applyAlignment="1">
      <alignment vertical="center"/>
    </xf>
    <xf numFmtId="3" fontId="169" fillId="81" borderId="39" xfId="0" applyNumberFormat="1" applyFont="1" applyFill="1" applyBorder="1" applyAlignment="1">
      <alignment vertical="center"/>
    </xf>
    <xf numFmtId="0" fontId="169" fillId="81" borderId="39" xfId="0" applyFont="1" applyFill="1" applyBorder="1" applyAlignment="1">
      <alignment horizontal="center" vertical="center"/>
    </xf>
    <xf numFmtId="0" fontId="169" fillId="81" borderId="39" xfId="0" applyFont="1" applyFill="1" applyBorder="1" applyAlignment="1">
      <alignment vertical="center"/>
    </xf>
    <xf numFmtId="38" fontId="169" fillId="81" borderId="59" xfId="0" applyNumberFormat="1" applyFont="1" applyFill="1" applyBorder="1" applyAlignment="1">
      <alignment vertical="center"/>
    </xf>
    <xf numFmtId="0" fontId="169" fillId="81" borderId="59" xfId="0" applyFont="1" applyFill="1" applyBorder="1" applyAlignment="1">
      <alignment horizontal="center" vertical="center"/>
    </xf>
    <xf numFmtId="0" fontId="169" fillId="81" borderId="59" xfId="0" applyFont="1" applyFill="1" applyBorder="1" applyAlignment="1">
      <alignment vertical="center"/>
    </xf>
    <xf numFmtId="3" fontId="286" fillId="77" borderId="0" xfId="0" applyNumberFormat="1" applyFont="1" applyFill="1" applyAlignment="1">
      <alignment vertical="center"/>
    </xf>
    <xf numFmtId="180" fontId="132" fillId="0" borderId="0" xfId="3689" applyNumberFormat="1" applyFont="1" applyFill="1" applyAlignment="1">
      <alignment vertical="center"/>
    </xf>
    <xf numFmtId="3" fontId="132" fillId="0" borderId="0" xfId="0" applyNumberFormat="1" applyFont="1" applyAlignment="1">
      <alignment horizontal="center" vertical="center"/>
    </xf>
    <xf numFmtId="4" fontId="284" fillId="70" borderId="0" xfId="0" applyNumberFormat="1" applyFont="1" applyFill="1" applyAlignment="1">
      <alignment vertical="center"/>
    </xf>
    <xf numFmtId="0" fontId="132" fillId="0" borderId="39" xfId="0" applyFont="1" applyBorder="1" applyAlignment="1">
      <alignment horizontal="center" vertical="center"/>
    </xf>
    <xf numFmtId="179" fontId="133" fillId="84" borderId="0" xfId="0" applyNumberFormat="1" applyFont="1" applyFill="1" applyAlignment="1">
      <alignment vertical="center"/>
    </xf>
    <xf numFmtId="179" fontId="133" fillId="0" borderId="0" xfId="0" applyNumberFormat="1" applyFont="1" applyAlignment="1">
      <alignment vertical="center"/>
    </xf>
    <xf numFmtId="0" fontId="132" fillId="88" borderId="0" xfId="0" applyFont="1" applyFill="1" applyAlignment="1">
      <alignment horizontal="center" vertical="center"/>
    </xf>
    <xf numFmtId="0" fontId="132" fillId="69" borderId="43" xfId="0" applyFont="1" applyFill="1" applyBorder="1" applyAlignment="1">
      <alignment horizontal="center" vertical="center"/>
    </xf>
    <xf numFmtId="3" fontId="284" fillId="69" borderId="42" xfId="0" applyNumberFormat="1" applyFont="1" applyFill="1" applyBorder="1" applyAlignment="1">
      <alignment vertical="center"/>
    </xf>
    <xf numFmtId="0" fontId="132" fillId="77" borderId="0" xfId="0" applyFont="1" applyFill="1" applyAlignment="1">
      <alignment horizontal="center" vertical="center"/>
    </xf>
    <xf numFmtId="181" fontId="132" fillId="77" borderId="0" xfId="0" applyNumberFormat="1" applyFont="1" applyFill="1" applyAlignment="1">
      <alignment horizontal="center" vertical="center"/>
    </xf>
    <xf numFmtId="181" fontId="284" fillId="77" borderId="0" xfId="0" applyNumberFormat="1" applyFont="1" applyFill="1" applyAlignment="1">
      <alignment vertical="center"/>
    </xf>
    <xf numFmtId="3" fontId="279" fillId="77" borderId="0" xfId="0" applyNumberFormat="1" applyFont="1" applyFill="1" applyAlignment="1">
      <alignment vertical="center"/>
    </xf>
    <xf numFmtId="184" fontId="169" fillId="92" borderId="0" xfId="0" applyNumberFormat="1" applyFont="1" applyFill="1" applyAlignment="1">
      <alignment horizontal="right" vertical="center"/>
    </xf>
    <xf numFmtId="0" fontId="287" fillId="86" borderId="0" xfId="0" applyFont="1" applyFill="1" applyAlignment="1">
      <alignment horizontal="center" vertical="center"/>
    </xf>
    <xf numFmtId="3" fontId="287" fillId="86" borderId="0" xfId="0" applyNumberFormat="1" applyFont="1" applyFill="1" applyAlignment="1">
      <alignment vertical="center"/>
    </xf>
    <xf numFmtId="181" fontId="282" fillId="0" borderId="0" xfId="0" applyNumberFormat="1" applyFont="1" applyAlignment="1">
      <alignment vertical="center"/>
    </xf>
    <xf numFmtId="3" fontId="132" fillId="77" borderId="0" xfId="0" applyNumberFormat="1" applyFont="1" applyFill="1" applyAlignment="1">
      <alignment horizontal="center" vertical="center"/>
    </xf>
    <xf numFmtId="3" fontId="215" fillId="77" borderId="0" xfId="1083" applyNumberFormat="1" applyFont="1" applyFill="1" applyAlignment="1">
      <alignment vertical="center"/>
    </xf>
    <xf numFmtId="181" fontId="169" fillId="0" borderId="0" xfId="0" applyNumberFormat="1" applyFont="1" applyAlignment="1">
      <alignment horizontal="right" vertical="center"/>
    </xf>
    <xf numFmtId="0" fontId="132" fillId="75" borderId="43" xfId="0" applyFont="1" applyFill="1" applyBorder="1" applyAlignment="1">
      <alignment horizontal="center" vertical="center"/>
    </xf>
    <xf numFmtId="3" fontId="238" fillId="75" borderId="43" xfId="1093" applyNumberFormat="1" applyFont="1" applyFill="1" applyBorder="1" applyAlignment="1">
      <alignment horizontal="left" vertical="center"/>
    </xf>
    <xf numFmtId="3" fontId="132" fillId="88" borderId="36" xfId="0" applyNumberFormat="1" applyFont="1" applyFill="1" applyBorder="1" applyAlignment="1">
      <alignment vertical="center"/>
    </xf>
    <xf numFmtId="0" fontId="132" fillId="88" borderId="59" xfId="0" applyFont="1" applyFill="1" applyBorder="1" applyAlignment="1">
      <alignment horizontal="center" vertical="center"/>
    </xf>
    <xf numFmtId="3" fontId="132" fillId="88" borderId="46" xfId="0" applyNumberFormat="1" applyFont="1" applyFill="1" applyBorder="1" applyAlignment="1">
      <alignment vertical="center"/>
    </xf>
    <xf numFmtId="0" fontId="132" fillId="74" borderId="43" xfId="0" applyFont="1" applyFill="1" applyBorder="1" applyAlignment="1">
      <alignment horizontal="center" vertical="center"/>
    </xf>
    <xf numFmtId="3" fontId="240" fillId="74" borderId="42" xfId="0" applyNumberFormat="1" applyFont="1" applyFill="1" applyBorder="1" applyAlignment="1">
      <alignment vertical="center"/>
    </xf>
    <xf numFmtId="181" fontId="132" fillId="78" borderId="0" xfId="0" applyNumberFormat="1" applyFont="1" applyFill="1" applyAlignment="1">
      <alignment horizontal="center" vertical="center"/>
    </xf>
    <xf numFmtId="181" fontId="284" fillId="78" borderId="0" xfId="0" applyNumberFormat="1" applyFont="1" applyFill="1" applyAlignment="1">
      <alignment vertical="center"/>
    </xf>
    <xf numFmtId="180" fontId="133" fillId="0" borderId="0" xfId="0" applyNumberFormat="1" applyFont="1" applyAlignment="1">
      <alignment horizontal="center" vertical="center"/>
    </xf>
    <xf numFmtId="180" fontId="132" fillId="0" borderId="0" xfId="0" applyNumberFormat="1" applyFont="1" applyAlignment="1">
      <alignment vertical="center"/>
    </xf>
    <xf numFmtId="194" fontId="132" fillId="0" borderId="0" xfId="0" applyNumberFormat="1" applyFont="1" applyAlignment="1">
      <alignment vertical="center"/>
    </xf>
    <xf numFmtId="194" fontId="132" fillId="70" borderId="43" xfId="0" applyNumberFormat="1" applyFont="1" applyFill="1" applyBorder="1" applyAlignment="1">
      <alignment vertical="center"/>
    </xf>
    <xf numFmtId="194" fontId="132" fillId="70" borderId="0" xfId="0" applyNumberFormat="1" applyFont="1" applyFill="1" applyAlignment="1">
      <alignment vertical="center"/>
    </xf>
    <xf numFmtId="194" fontId="133" fillId="70" borderId="0" xfId="0" applyNumberFormat="1" applyFont="1" applyFill="1" applyAlignment="1">
      <alignment vertical="center"/>
    </xf>
    <xf numFmtId="194" fontId="132" fillId="70" borderId="59" xfId="0" applyNumberFormat="1" applyFont="1" applyFill="1" applyBorder="1" applyAlignment="1">
      <alignment vertical="center"/>
    </xf>
    <xf numFmtId="194" fontId="282" fillId="0" borderId="0" xfId="0" applyNumberFormat="1" applyFont="1" applyAlignment="1">
      <alignment vertical="center"/>
    </xf>
    <xf numFmtId="4" fontId="132" fillId="77" borderId="0" xfId="0" applyNumberFormat="1" applyFont="1" applyFill="1" applyAlignment="1">
      <alignment vertical="center"/>
    </xf>
    <xf numFmtId="229" fontId="284" fillId="74" borderId="0" xfId="0" applyNumberFormat="1" applyFont="1" applyFill="1" applyAlignment="1">
      <alignment vertical="center"/>
    </xf>
    <xf numFmtId="3" fontId="284" fillId="74" borderId="43" xfId="0" applyNumberFormat="1" applyFont="1" applyFill="1" applyBorder="1" applyAlignment="1">
      <alignment horizontal="center" vertical="center"/>
    </xf>
    <xf numFmtId="3" fontId="284" fillId="74" borderId="43" xfId="0" applyNumberFormat="1" applyFont="1" applyFill="1" applyBorder="1" applyAlignment="1">
      <alignment vertical="center"/>
    </xf>
    <xf numFmtId="211" fontId="289" fillId="0" borderId="0" xfId="0" applyNumberFormat="1" applyFont="1" applyAlignment="1">
      <alignment vertical="center"/>
    </xf>
    <xf numFmtId="3" fontId="289" fillId="0" borderId="0" xfId="0" applyNumberFormat="1" applyFont="1" applyAlignment="1">
      <alignment vertical="center"/>
    </xf>
    <xf numFmtId="194" fontId="132" fillId="70" borderId="39" xfId="0" applyNumberFormat="1" applyFont="1" applyFill="1" applyBorder="1" applyAlignment="1">
      <alignment vertical="center"/>
    </xf>
    <xf numFmtId="4" fontId="132" fillId="77" borderId="0" xfId="0" applyNumberFormat="1" applyFont="1" applyFill="1" applyAlignment="1">
      <alignment horizontal="center" vertical="center"/>
    </xf>
    <xf numFmtId="194" fontId="132" fillId="70" borderId="59" xfId="0" applyNumberFormat="1" applyFont="1" applyFill="1" applyBorder="1" applyAlignment="1">
      <alignment horizontal="right" vertical="center"/>
    </xf>
    <xf numFmtId="194" fontId="133" fillId="0" borderId="0" xfId="0" applyNumberFormat="1" applyFont="1" applyAlignment="1">
      <alignment vertical="center"/>
    </xf>
    <xf numFmtId="3" fontId="133" fillId="71" borderId="0" xfId="0" quotePrefix="1" applyNumberFormat="1" applyFont="1" applyFill="1" applyAlignment="1">
      <alignment horizontal="center" vertical="center"/>
    </xf>
    <xf numFmtId="194" fontId="226" fillId="0" borderId="0" xfId="0" applyNumberFormat="1" applyFont="1" applyAlignment="1">
      <alignment vertical="center"/>
    </xf>
    <xf numFmtId="4" fontId="132" fillId="77" borderId="59" xfId="0" applyNumberFormat="1" applyFont="1" applyFill="1" applyBorder="1" applyAlignment="1">
      <alignment vertical="center"/>
    </xf>
    <xf numFmtId="4" fontId="132" fillId="77" borderId="39" xfId="0" applyNumberFormat="1" applyFont="1" applyFill="1" applyBorder="1" applyAlignment="1">
      <alignment vertical="center"/>
    </xf>
    <xf numFmtId="194" fontId="284" fillId="74" borderId="0" xfId="0" applyNumberFormat="1" applyFont="1" applyFill="1" applyAlignment="1">
      <alignment vertical="center"/>
    </xf>
    <xf numFmtId="0" fontId="132" fillId="88" borderId="39" xfId="0" applyFont="1" applyFill="1" applyBorder="1" applyAlignment="1">
      <alignment horizontal="center" vertical="center"/>
    </xf>
    <xf numFmtId="3" fontId="132" fillId="88" borderId="38" xfId="0" applyNumberFormat="1" applyFont="1" applyFill="1" applyBorder="1" applyAlignment="1">
      <alignment vertical="center"/>
    </xf>
    <xf numFmtId="3" fontId="132" fillId="0" borderId="38" xfId="0" applyNumberFormat="1" applyFont="1" applyBorder="1" applyAlignment="1">
      <alignment vertical="center"/>
    </xf>
    <xf numFmtId="0" fontId="132" fillId="0" borderId="0" xfId="0" applyFont="1" applyAlignment="1">
      <alignment horizontal="center" vertical="center"/>
    </xf>
    <xf numFmtId="3" fontId="132" fillId="0" borderId="36" xfId="0" applyNumberFormat="1" applyFont="1" applyBorder="1" applyAlignment="1">
      <alignment vertical="center"/>
    </xf>
    <xf numFmtId="3" fontId="286" fillId="0" borderId="36" xfId="0" applyNumberFormat="1" applyFont="1" applyBorder="1" applyAlignment="1">
      <alignment vertical="center"/>
    </xf>
    <xf numFmtId="3" fontId="169" fillId="0" borderId="36" xfId="0" applyNumberFormat="1" applyFont="1" applyBorder="1" applyAlignment="1">
      <alignment vertical="center"/>
    </xf>
    <xf numFmtId="0" fontId="124" fillId="0" borderId="0" xfId="0" applyFont="1" applyAlignment="1">
      <alignment horizontal="right"/>
    </xf>
    <xf numFmtId="0" fontId="151" fillId="0" borderId="0" xfId="0" applyFont="1"/>
    <xf numFmtId="0" fontId="288" fillId="0" borderId="0" xfId="0" applyFont="1"/>
    <xf numFmtId="180" fontId="133" fillId="0" borderId="0" xfId="0" applyNumberFormat="1" applyFont="1"/>
    <xf numFmtId="180" fontId="132" fillId="0" borderId="0" xfId="0" applyNumberFormat="1" applyFont="1"/>
    <xf numFmtId="0" fontId="282" fillId="0" borderId="0" xfId="0" applyFont="1"/>
    <xf numFmtId="0" fontId="225" fillId="0" borderId="0" xfId="0" applyFont="1"/>
    <xf numFmtId="0" fontId="256" fillId="0" borderId="0" xfId="0" applyFont="1"/>
    <xf numFmtId="3" fontId="224" fillId="0" borderId="0" xfId="0" applyNumberFormat="1" applyFont="1" applyAlignment="1">
      <alignment vertical="center"/>
    </xf>
    <xf numFmtId="3" fontId="159" fillId="93" borderId="0" xfId="0" applyNumberFormat="1" applyFont="1" applyFill="1" applyAlignment="1">
      <alignment horizontal="centerContinuous" vertical="center"/>
    </xf>
    <xf numFmtId="0" fontId="252" fillId="0" borderId="0" xfId="0" applyFont="1"/>
    <xf numFmtId="3" fontId="290" fillId="91" borderId="0" xfId="944" applyNumberFormat="1" applyFont="1" applyFill="1" applyAlignment="1">
      <alignment horizontal="center" vertical="center" wrapText="1"/>
    </xf>
    <xf numFmtId="3" fontId="124" fillId="0" borderId="0" xfId="0" applyNumberFormat="1" applyFont="1" applyAlignment="1">
      <alignment vertical="center"/>
    </xf>
    <xf numFmtId="0" fontId="129" fillId="32" borderId="0" xfId="0" applyFont="1" applyFill="1" applyAlignment="1">
      <alignment horizontal="center" vertical="center" wrapText="1"/>
    </xf>
    <xf numFmtId="0" fontId="123" fillId="71" borderId="0" xfId="0" applyFont="1" applyFill="1" applyAlignment="1">
      <alignment horizontal="centerContinuous"/>
    </xf>
    <xf numFmtId="17" fontId="125" fillId="71" borderId="0" xfId="1091" applyNumberFormat="1" applyFont="1" applyFill="1" applyAlignment="1">
      <alignment horizontal="center" vertical="center" wrapText="1"/>
    </xf>
    <xf numFmtId="3" fontId="131" fillId="71" borderId="0" xfId="1091" applyNumberFormat="1" applyFont="1" applyFill="1"/>
    <xf numFmtId="17" fontId="132" fillId="71" borderId="0" xfId="1091" applyNumberFormat="1" applyFont="1" applyFill="1" applyAlignment="1">
      <alignment horizontal="center" vertical="center" wrapText="1"/>
    </xf>
    <xf numFmtId="3" fontId="131" fillId="34" borderId="0" xfId="1091" applyNumberFormat="1" applyFont="1" applyFill="1"/>
    <xf numFmtId="17" fontId="126" fillId="34" borderId="0" xfId="1091" applyNumberFormat="1" applyFont="1" applyFill="1" applyAlignment="1">
      <alignment horizontal="center" vertical="center" wrapText="1"/>
    </xf>
    <xf numFmtId="17" fontId="131" fillId="34" borderId="0" xfId="1091" applyNumberFormat="1" applyFont="1" applyFill="1" applyAlignment="1">
      <alignment horizontal="center" vertical="center" wrapText="1"/>
    </xf>
    <xf numFmtId="3" fontId="129" fillId="34" borderId="0" xfId="1091" applyNumberFormat="1" applyFont="1" applyFill="1"/>
    <xf numFmtId="3" fontId="135" fillId="34" borderId="0" xfId="1091" applyNumberFormat="1" applyFont="1" applyFill="1"/>
    <xf numFmtId="3" fontId="252" fillId="34" borderId="0" xfId="1091" applyNumberFormat="1" applyFont="1" applyFill="1"/>
    <xf numFmtId="0" fontId="131" fillId="34" borderId="0" xfId="1091" applyFont="1" applyFill="1" applyAlignment="1">
      <alignment horizontal="centerContinuous" vertical="center" wrapText="1"/>
    </xf>
    <xf numFmtId="17" fontId="189" fillId="71" borderId="0" xfId="1091" applyNumberFormat="1" applyFont="1" applyFill="1" applyAlignment="1">
      <alignment horizontal="center" vertical="center" wrapText="1"/>
    </xf>
    <xf numFmtId="3" fontId="251" fillId="71" borderId="0" xfId="1091" applyNumberFormat="1" applyFont="1" applyFill="1"/>
    <xf numFmtId="0" fontId="132" fillId="71" borderId="0" xfId="1091" applyFont="1" applyFill="1" applyAlignment="1">
      <alignment horizontal="centerContinuous" vertical="center" wrapText="1"/>
    </xf>
    <xf numFmtId="0" fontId="223" fillId="71" borderId="0" xfId="1091" applyFont="1" applyFill="1" applyAlignment="1">
      <alignment horizontal="centerContinuous" vertical="center" wrapText="1"/>
    </xf>
    <xf numFmtId="17" fontId="223" fillId="71" borderId="0" xfId="1091" applyNumberFormat="1" applyFont="1" applyFill="1" applyAlignment="1">
      <alignment horizontal="center" vertical="center" wrapText="1"/>
    </xf>
    <xf numFmtId="3" fontId="251" fillId="70" borderId="6" xfId="1091" applyNumberFormat="1" applyFont="1" applyFill="1" applyBorder="1"/>
    <xf numFmtId="0" fontId="127" fillId="0" borderId="0" xfId="1091" applyFont="1"/>
    <xf numFmtId="0" fontId="148" fillId="70" borderId="6" xfId="1091" applyFont="1" applyFill="1" applyBorder="1" applyAlignment="1">
      <alignment horizontal="left" indent="1"/>
    </xf>
    <xf numFmtId="3" fontId="148" fillId="70" borderId="6" xfId="1091" applyNumberFormat="1" applyFont="1" applyFill="1" applyBorder="1"/>
    <xf numFmtId="3" fontId="148" fillId="71" borderId="6" xfId="1091" applyNumberFormat="1" applyFont="1" applyFill="1" applyBorder="1"/>
    <xf numFmtId="3" fontId="148" fillId="71" borderId="0" xfId="1091" applyNumberFormat="1" applyFont="1" applyFill="1"/>
    <xf numFmtId="0" fontId="210" fillId="32" borderId="0" xfId="1091" applyFont="1" applyFill="1"/>
    <xf numFmtId="0" fontId="210" fillId="70" borderId="6" xfId="1091" applyFont="1" applyFill="1" applyBorder="1" applyAlignment="1">
      <alignment horizontal="left" indent="1"/>
    </xf>
    <xf numFmtId="0" fontId="210" fillId="70" borderId="6" xfId="1091" applyFont="1" applyFill="1" applyBorder="1" applyAlignment="1">
      <alignment horizontal="left" wrapText="1" indent="1"/>
    </xf>
    <xf numFmtId="0" fontId="174" fillId="0" borderId="0" xfId="1091" applyFont="1"/>
    <xf numFmtId="0" fontId="174" fillId="0" borderId="0" xfId="0" applyFont="1"/>
    <xf numFmtId="0" fontId="260" fillId="0" borderId="0" xfId="1091" applyFont="1"/>
    <xf numFmtId="10" fontId="174" fillId="0" borderId="0" xfId="1091" applyNumberFormat="1" applyFont="1"/>
    <xf numFmtId="10" fontId="210" fillId="0" borderId="0" xfId="1091" applyNumberFormat="1" applyFont="1"/>
    <xf numFmtId="17" fontId="223" fillId="71" borderId="66" xfId="1091" applyNumberFormat="1" applyFont="1" applyFill="1" applyBorder="1" applyAlignment="1">
      <alignment horizontal="center" vertical="center" wrapText="1"/>
    </xf>
    <xf numFmtId="3" fontId="131" fillId="71" borderId="66" xfId="1091" applyNumberFormat="1" applyFont="1" applyFill="1" applyBorder="1"/>
    <xf numFmtId="3" fontId="131" fillId="70" borderId="66" xfId="1091" applyNumberFormat="1" applyFont="1" applyFill="1" applyBorder="1"/>
    <xf numFmtId="17" fontId="132" fillId="0" borderId="0" xfId="1091" applyNumberFormat="1" applyFont="1" applyAlignment="1">
      <alignment horizontal="center" vertical="center" wrapText="1"/>
    </xf>
    <xf numFmtId="3" fontId="135" fillId="0" borderId="0" xfId="1091" applyNumberFormat="1" applyFont="1"/>
    <xf numFmtId="0" fontId="172" fillId="0" borderId="0" xfId="1091" applyFont="1" applyAlignment="1">
      <alignment horizontal="centerContinuous"/>
    </xf>
    <xf numFmtId="0" fontId="293" fillId="0" borderId="0" xfId="0" applyFont="1"/>
    <xf numFmtId="0" fontId="294" fillId="0" borderId="0" xfId="1090" applyFont="1"/>
    <xf numFmtId="0" fontId="295" fillId="0" borderId="0" xfId="1090" applyFont="1"/>
    <xf numFmtId="0" fontId="294" fillId="0" borderId="0" xfId="0" applyFont="1"/>
    <xf numFmtId="9" fontId="294" fillId="0" borderId="0" xfId="0" applyNumberFormat="1" applyFont="1"/>
    <xf numFmtId="0" fontId="295" fillId="0" borderId="0" xfId="0" applyFont="1"/>
    <xf numFmtId="0" fontId="292" fillId="0" borderId="0" xfId="1090" applyFont="1"/>
    <xf numFmtId="10" fontId="227" fillId="81" borderId="0" xfId="0" applyNumberFormat="1" applyFont="1" applyFill="1"/>
    <xf numFmtId="0" fontId="148" fillId="0" borderId="0" xfId="0" applyFont="1" applyAlignment="1">
      <alignment horizontal="centerContinuous" vertical="center" wrapText="1"/>
    </xf>
    <xf numFmtId="0" fontId="296" fillId="0" borderId="0" xfId="0" applyFont="1" applyAlignment="1">
      <alignment horizontal="centerContinuous" vertical="center"/>
    </xf>
    <xf numFmtId="3" fontId="296" fillId="0" borderId="0" xfId="0" applyNumberFormat="1" applyFont="1"/>
    <xf numFmtId="3" fontId="249" fillId="0" borderId="0" xfId="0" applyNumberFormat="1" applyFont="1"/>
    <xf numFmtId="3" fontId="123" fillId="0" borderId="0" xfId="1081" applyNumberFormat="1" applyFont="1"/>
    <xf numFmtId="0" fontId="139" fillId="0" borderId="6" xfId="1091" applyFont="1" applyBorder="1" applyAlignment="1">
      <alignment horizontal="centerContinuous"/>
    </xf>
    <xf numFmtId="0" fontId="139" fillId="0" borderId="6" xfId="0" applyFont="1" applyBorder="1" applyAlignment="1">
      <alignment horizontal="centerContinuous" vertical="center" wrapText="1"/>
    </xf>
    <xf numFmtId="0" fontId="139" fillId="0" borderId="6" xfId="0" applyFont="1" applyBorder="1" applyAlignment="1">
      <alignment horizontal="centerContinuous" vertical="center"/>
    </xf>
    <xf numFmtId="178" fontId="228" fillId="0" borderId="6" xfId="0" applyNumberFormat="1" applyFont="1" applyBorder="1" applyAlignment="1">
      <alignment horizontal="centerContinuous" vertical="center" wrapText="1"/>
    </xf>
    <xf numFmtId="0" fontId="131" fillId="0" borderId="0" xfId="0" applyFont="1" applyAlignment="1">
      <alignment horizontal="centerContinuous"/>
    </xf>
    <xf numFmtId="0" fontId="131" fillId="71" borderId="0" xfId="0" applyFont="1" applyFill="1" applyAlignment="1">
      <alignment vertical="center" wrapText="1"/>
    </xf>
    <xf numFmtId="0" fontId="129" fillId="71" borderId="0" xfId="0" applyFont="1" applyFill="1" applyAlignment="1">
      <alignment horizontal="center" vertical="center" wrapText="1"/>
    </xf>
    <xf numFmtId="177" fontId="129" fillId="0" borderId="0" xfId="0" applyNumberFormat="1" applyFont="1" applyAlignment="1">
      <alignment vertical="center" wrapText="1"/>
    </xf>
    <xf numFmtId="10" fontId="129" fillId="0" borderId="0" xfId="1138" applyNumberFormat="1" applyFont="1" applyFill="1" applyBorder="1" applyAlignment="1">
      <alignment vertical="center" wrapText="1"/>
    </xf>
    <xf numFmtId="0" fontId="129" fillId="78" borderId="0" xfId="0" applyFont="1" applyFill="1" applyAlignment="1">
      <alignment vertical="center" wrapText="1"/>
    </xf>
    <xf numFmtId="177" fontId="129" fillId="78" borderId="0" xfId="0" applyNumberFormat="1" applyFont="1" applyFill="1" applyAlignment="1">
      <alignment vertical="center" wrapText="1"/>
    </xf>
    <xf numFmtId="10" fontId="129" fillId="78" borderId="0" xfId="1138" applyNumberFormat="1" applyFont="1" applyFill="1" applyBorder="1" applyAlignment="1">
      <alignment vertical="center" wrapText="1"/>
    </xf>
    <xf numFmtId="10" fontId="129" fillId="68" borderId="0" xfId="1138" applyNumberFormat="1" applyFont="1" applyFill="1" applyBorder="1" applyAlignment="1">
      <alignment vertical="center" wrapText="1"/>
    </xf>
    <xf numFmtId="177" fontId="131" fillId="71" borderId="0" xfId="0" applyNumberFormat="1" applyFont="1" applyFill="1" applyAlignment="1">
      <alignment vertical="center" wrapText="1"/>
    </xf>
    <xf numFmtId="10" fontId="131" fillId="71" borderId="0" xfId="1138" applyNumberFormat="1" applyFont="1" applyFill="1" applyBorder="1" applyAlignment="1">
      <alignment vertical="center" wrapText="1"/>
    </xf>
    <xf numFmtId="4" fontId="129" fillId="0" borderId="0" xfId="0" applyNumberFormat="1" applyFont="1" applyAlignment="1">
      <alignment vertical="center" wrapText="1"/>
    </xf>
    <xf numFmtId="4" fontId="129" fillId="0" borderId="0" xfId="1138" applyNumberFormat="1" applyFont="1" applyFill="1" applyBorder="1" applyAlignment="1">
      <alignment vertical="center" wrapText="1"/>
    </xf>
    <xf numFmtId="4" fontId="129" fillId="78" borderId="0" xfId="0" applyNumberFormat="1" applyFont="1" applyFill="1" applyAlignment="1">
      <alignment vertical="center" wrapText="1"/>
    </xf>
    <xf numFmtId="4" fontId="129" fillId="78" borderId="0" xfId="1138" applyNumberFormat="1" applyFont="1" applyFill="1" applyBorder="1" applyAlignment="1">
      <alignment vertical="center" wrapText="1"/>
    </xf>
    <xf numFmtId="4" fontId="131" fillId="71" borderId="0" xfId="0" applyNumberFormat="1" applyFont="1" applyFill="1" applyAlignment="1">
      <alignment vertical="center" wrapText="1"/>
    </xf>
    <xf numFmtId="14" fontId="129" fillId="0" borderId="0" xfId="0" applyNumberFormat="1" applyFont="1" applyAlignment="1">
      <alignment horizontal="left"/>
    </xf>
    <xf numFmtId="10" fontId="129" fillId="0" borderId="0" xfId="0" applyNumberFormat="1" applyFont="1"/>
    <xf numFmtId="0" fontId="131" fillId="0" borderId="0" xfId="0" applyFont="1" applyAlignment="1">
      <alignment vertical="center" wrapText="1"/>
    </xf>
    <xf numFmtId="14" fontId="131" fillId="0" borderId="0" xfId="0" applyNumberFormat="1" applyFont="1" applyAlignment="1">
      <alignment horizontal="left"/>
    </xf>
    <xf numFmtId="10" fontId="131" fillId="0" borderId="0" xfId="0" applyNumberFormat="1" applyFont="1"/>
    <xf numFmtId="0" fontId="129" fillId="0" borderId="0" xfId="0" applyFont="1" applyAlignment="1">
      <alignment wrapText="1"/>
    </xf>
    <xf numFmtId="3" fontId="129" fillId="0" borderId="0" xfId="0" applyNumberFormat="1" applyFont="1" applyAlignment="1">
      <alignment wrapText="1"/>
    </xf>
    <xf numFmtId="9" fontId="129" fillId="0" borderId="0" xfId="1138" applyFont="1" applyFill="1" applyBorder="1"/>
    <xf numFmtId="176" fontId="129" fillId="0" borderId="0" xfId="0" applyNumberFormat="1" applyFont="1"/>
    <xf numFmtId="177" fontId="129" fillId="0" borderId="0" xfId="0" applyNumberFormat="1" applyFont="1"/>
    <xf numFmtId="180" fontId="133" fillId="0" borderId="0" xfId="1138" applyNumberFormat="1" applyFont="1" applyFill="1" applyBorder="1"/>
    <xf numFmtId="10" fontId="129" fillId="0" borderId="0" xfId="1138" applyNumberFormat="1" applyFont="1" applyFill="1" applyBorder="1"/>
    <xf numFmtId="177" fontId="131" fillId="0" borderId="0" xfId="0" applyNumberFormat="1" applyFont="1"/>
    <xf numFmtId="180" fontId="132" fillId="0" borderId="0" xfId="1138" applyNumberFormat="1" applyFont="1" applyFill="1" applyBorder="1"/>
    <xf numFmtId="10" fontId="204" fillId="0" borderId="0" xfId="1138" applyNumberFormat="1" applyFont="1" applyFill="1" applyBorder="1"/>
    <xf numFmtId="3" fontId="136" fillId="0" borderId="0" xfId="0" applyNumberFormat="1" applyFont="1"/>
    <xf numFmtId="0" fontId="136" fillId="0" borderId="0" xfId="0" applyFont="1"/>
    <xf numFmtId="38" fontId="136" fillId="0" borderId="0" xfId="0" applyNumberFormat="1" applyFont="1"/>
    <xf numFmtId="0" fontId="237" fillId="0" borderId="0" xfId="0" applyFont="1" applyAlignment="1">
      <alignment horizontal="centerContinuous"/>
    </xf>
    <xf numFmtId="0" fontId="236" fillId="71" borderId="0" xfId="0" applyFont="1" applyFill="1" applyAlignment="1">
      <alignment horizontal="center" vertical="center" wrapText="1"/>
    </xf>
    <xf numFmtId="2" fontId="236" fillId="0" borderId="0" xfId="0" applyNumberFormat="1" applyFont="1" applyAlignment="1">
      <alignment horizontal="center" vertical="center" wrapText="1"/>
    </xf>
    <xf numFmtId="2" fontId="236" fillId="78" borderId="0" xfId="0" applyNumberFormat="1" applyFont="1" applyFill="1" applyAlignment="1">
      <alignment horizontal="center" vertical="center" wrapText="1"/>
    </xf>
    <xf numFmtId="175" fontId="237" fillId="71" borderId="0" xfId="0" applyNumberFormat="1" applyFont="1" applyFill="1" applyAlignment="1">
      <alignment vertical="center" wrapText="1"/>
    </xf>
    <xf numFmtId="10" fontId="237" fillId="71" borderId="0" xfId="1138" applyNumberFormat="1" applyFont="1" applyFill="1" applyBorder="1" applyAlignment="1">
      <alignment vertical="center" wrapText="1"/>
    </xf>
    <xf numFmtId="0" fontId="236" fillId="0" borderId="0" xfId="0" applyFont="1" applyAlignment="1">
      <alignment vertical="center" wrapText="1"/>
    </xf>
    <xf numFmtId="4" fontId="236" fillId="0" borderId="0" xfId="0" applyNumberFormat="1" applyFont="1" applyAlignment="1">
      <alignment horizontal="center" vertical="center" wrapText="1"/>
    </xf>
    <xf numFmtId="4" fontId="236" fillId="78" borderId="0" xfId="0" applyNumberFormat="1" applyFont="1" applyFill="1" applyAlignment="1">
      <alignment horizontal="center" vertical="center" wrapText="1"/>
    </xf>
    <xf numFmtId="2" fontId="237" fillId="71" borderId="0" xfId="0" applyNumberFormat="1" applyFont="1" applyFill="1" applyAlignment="1">
      <alignment horizontal="center" vertical="center" wrapText="1"/>
    </xf>
    <xf numFmtId="4" fontId="237" fillId="71" borderId="0" xfId="0" applyNumberFormat="1" applyFont="1" applyFill="1" applyAlignment="1">
      <alignment horizontal="center" vertical="center" wrapText="1"/>
    </xf>
    <xf numFmtId="2" fontId="236" fillId="0" borderId="0" xfId="0" applyNumberFormat="1" applyFont="1" applyAlignment="1">
      <alignment horizontal="right" vertical="center" wrapText="1"/>
    </xf>
    <xf numFmtId="0" fontId="236" fillId="0" borderId="0" xfId="0" applyFont="1"/>
    <xf numFmtId="10" fontId="236" fillId="0" borderId="0" xfId="0" applyNumberFormat="1" applyFont="1"/>
    <xf numFmtId="0" fontId="237" fillId="0" borderId="0" xfId="0" applyFont="1"/>
    <xf numFmtId="10" fontId="237" fillId="0" borderId="0" xfId="0" applyNumberFormat="1" applyFont="1"/>
    <xf numFmtId="0" fontId="236" fillId="0" borderId="0" xfId="0" applyFont="1" applyAlignment="1">
      <alignment wrapText="1"/>
    </xf>
    <xf numFmtId="176" fontId="236" fillId="0" borderId="0" xfId="0" applyNumberFormat="1" applyFont="1"/>
    <xf numFmtId="0" fontId="297" fillId="0" borderId="0" xfId="0" applyFont="1"/>
    <xf numFmtId="198" fontId="297" fillId="0" borderId="0" xfId="389" applyNumberFormat="1" applyFont="1" applyFill="1" applyBorder="1"/>
    <xf numFmtId="0" fontId="228" fillId="0" borderId="0" xfId="1091" applyFont="1" applyAlignment="1">
      <alignment vertical="center"/>
    </xf>
    <xf numFmtId="0" fontId="139" fillId="0" borderId="0" xfId="1091" applyFont="1" applyAlignment="1">
      <alignment vertical="center"/>
    </xf>
    <xf numFmtId="3" fontId="139" fillId="0" borderId="0" xfId="1091" applyNumberFormat="1" applyFont="1" applyAlignment="1">
      <alignment horizontal="centerContinuous" vertical="center"/>
    </xf>
    <xf numFmtId="0" fontId="228" fillId="0" borderId="0" xfId="1091" applyFont="1" applyAlignment="1">
      <alignment horizontal="centerContinuous" vertical="center"/>
    </xf>
    <xf numFmtId="3" fontId="230" fillId="0" borderId="0" xfId="1091" applyNumberFormat="1" applyFont="1"/>
    <xf numFmtId="3" fontId="229" fillId="0" borderId="0" xfId="1091" applyNumberFormat="1" applyFont="1"/>
    <xf numFmtId="3" fontId="234" fillId="0" borderId="0" xfId="1091" applyNumberFormat="1" applyFont="1"/>
    <xf numFmtId="3" fontId="233" fillId="0" borderId="0" xfId="1091" applyNumberFormat="1" applyFont="1"/>
    <xf numFmtId="0" fontId="228" fillId="0" borderId="62" xfId="1091" applyFont="1" applyBorder="1" applyAlignment="1">
      <alignment horizontal="centerContinuous" vertical="center"/>
    </xf>
    <xf numFmtId="17" fontId="125" fillId="71" borderId="62" xfId="1091" applyNumberFormat="1" applyFont="1" applyFill="1" applyBorder="1" applyAlignment="1">
      <alignment horizontal="center" vertical="center" wrapText="1"/>
    </xf>
    <xf numFmtId="3" fontId="230" fillId="0" borderId="62" xfId="1091" applyNumberFormat="1" applyFont="1" applyBorder="1"/>
    <xf numFmtId="3" fontId="229" fillId="0" borderId="62" xfId="1091" applyNumberFormat="1" applyFont="1" applyBorder="1"/>
    <xf numFmtId="0" fontId="129" fillId="0" borderId="62" xfId="1091" applyFont="1" applyBorder="1"/>
    <xf numFmtId="3" fontId="234" fillId="0" borderId="62" xfId="1091" applyNumberFormat="1" applyFont="1" applyBorder="1"/>
    <xf numFmtId="3" fontId="233" fillId="0" borderId="62" xfId="1091" applyNumberFormat="1" applyFont="1" applyBorder="1"/>
    <xf numFmtId="10" fontId="204" fillId="0" borderId="62" xfId="1138" applyNumberFormat="1" applyFont="1" applyBorder="1"/>
    <xf numFmtId="0" fontId="148" fillId="0" borderId="62" xfId="1091" applyFont="1" applyBorder="1"/>
    <xf numFmtId="10" fontId="221" fillId="0" borderId="62" xfId="1138" applyNumberFormat="1" applyFont="1" applyBorder="1"/>
    <xf numFmtId="0" fontId="139" fillId="0" borderId="65" xfId="1091" applyFont="1" applyBorder="1" applyAlignment="1">
      <alignment vertical="center"/>
    </xf>
    <xf numFmtId="0" fontId="172" fillId="71" borderId="65" xfId="1091" applyFont="1" applyFill="1" applyBorder="1" applyAlignment="1">
      <alignment vertical="center" wrapText="1"/>
    </xf>
    <xf numFmtId="0" fontId="129" fillId="0" borderId="65" xfId="1091" applyFont="1" applyBorder="1"/>
    <xf numFmtId="0" fontId="131" fillId="0" borderId="65" xfId="1091" applyFont="1" applyBorder="1"/>
    <xf numFmtId="0" fontId="291" fillId="71" borderId="65" xfId="1091" applyFont="1" applyFill="1" applyBorder="1" applyAlignment="1">
      <alignment vertical="center" wrapText="1"/>
    </xf>
    <xf numFmtId="0" fontId="234" fillId="0" borderId="65" xfId="1091" applyFont="1" applyBorder="1"/>
    <xf numFmtId="0" fontId="148" fillId="0" borderId="65" xfId="1091" applyFont="1" applyBorder="1"/>
    <xf numFmtId="3" fontId="131" fillId="73" borderId="62" xfId="1091" applyNumberFormat="1" applyFont="1" applyFill="1" applyBorder="1"/>
    <xf numFmtId="0" fontId="129" fillId="0" borderId="0" xfId="1091" applyFont="1" applyAlignment="1">
      <alignment horizontal="center"/>
    </xf>
    <xf numFmtId="0" fontId="132" fillId="71" borderId="6" xfId="1091" applyFont="1" applyFill="1" applyBorder="1" applyAlignment="1">
      <alignment horizontal="center" vertical="center" wrapText="1"/>
    </xf>
    <xf numFmtId="0" fontId="174" fillId="0" borderId="0" xfId="1091" applyFont="1" applyAlignment="1">
      <alignment horizontal="center"/>
    </xf>
    <xf numFmtId="0" fontId="169" fillId="71" borderId="6" xfId="1091" applyFont="1" applyFill="1" applyBorder="1" applyAlignment="1">
      <alignment horizontal="center" vertical="center" wrapText="1"/>
    </xf>
    <xf numFmtId="0" fontId="240" fillId="71" borderId="6" xfId="1091" applyFont="1" applyFill="1" applyBorder="1" applyAlignment="1">
      <alignment horizontal="center" vertical="center" wrapText="1"/>
    </xf>
    <xf numFmtId="0" fontId="298" fillId="0" borderId="0" xfId="0" applyFont="1" applyAlignment="1">
      <alignment horizontal="left"/>
    </xf>
    <xf numFmtId="0" fontId="299" fillId="0" borderId="0" xfId="0" applyFont="1" applyAlignment="1">
      <alignment vertical="center"/>
    </xf>
    <xf numFmtId="4" fontId="302" fillId="0" borderId="0" xfId="0" applyNumberFormat="1" applyFont="1" applyAlignment="1">
      <alignment horizontal="right" vertical="center"/>
    </xf>
    <xf numFmtId="0" fontId="300" fillId="0" borderId="0" xfId="0" applyFont="1" applyAlignment="1">
      <alignment horizontal="right" vertical="center"/>
    </xf>
    <xf numFmtId="0" fontId="301" fillId="0" borderId="0" xfId="0" applyFont="1" applyAlignment="1">
      <alignment vertical="center"/>
    </xf>
    <xf numFmtId="4" fontId="303" fillId="0" borderId="0" xfId="0" applyNumberFormat="1" applyFont="1" applyAlignment="1">
      <alignment horizontal="right" vertical="center"/>
    </xf>
    <xf numFmtId="0" fontId="176" fillId="72" borderId="6" xfId="0" applyFont="1" applyFill="1" applyBorder="1" applyAlignment="1">
      <alignment horizontal="left"/>
    </xf>
    <xf numFmtId="3" fontId="122" fillId="72" borderId="6" xfId="0" applyNumberFormat="1" applyFont="1" applyFill="1" applyBorder="1"/>
    <xf numFmtId="4" fontId="122" fillId="72" borderId="6" xfId="2059" applyNumberFormat="1" applyFont="1" applyFill="1" applyBorder="1"/>
    <xf numFmtId="4" fontId="122" fillId="72" borderId="6" xfId="0" applyNumberFormat="1" applyFont="1" applyFill="1" applyBorder="1"/>
    <xf numFmtId="3" fontId="219" fillId="0" borderId="0" xfId="1090" applyNumberFormat="1" applyFont="1"/>
    <xf numFmtId="0" fontId="132" fillId="77" borderId="0" xfId="1091" applyFont="1" applyFill="1" applyAlignment="1">
      <alignment horizontal="center" wrapText="1"/>
    </xf>
    <xf numFmtId="0" fontId="122" fillId="77" borderId="0" xfId="0" applyFont="1" applyFill="1" applyAlignment="1">
      <alignment horizontal="centerContinuous"/>
    </xf>
    <xf numFmtId="0" fontId="221" fillId="0" borderId="0" xfId="0" applyFont="1" applyAlignment="1">
      <alignment horizontal="center"/>
    </xf>
    <xf numFmtId="0" fontId="235" fillId="0" borderId="0" xfId="1081" applyFont="1"/>
    <xf numFmtId="0" fontId="162" fillId="0" borderId="0" xfId="1081" applyFont="1"/>
    <xf numFmtId="0" fontId="140" fillId="0" borderId="0" xfId="1081" applyFont="1"/>
    <xf numFmtId="3" fontId="160" fillId="93" borderId="0" xfId="0" applyNumberFormat="1" applyFont="1" applyFill="1" applyAlignment="1">
      <alignment horizontal="centerContinuous" vertical="center"/>
    </xf>
    <xf numFmtId="3" fontId="151" fillId="71" borderId="0" xfId="0" applyNumberFormat="1" applyFont="1" applyFill="1" applyAlignment="1">
      <alignment vertical="center"/>
    </xf>
    <xf numFmtId="3" fontId="168" fillId="0" borderId="0" xfId="0" applyNumberFormat="1" applyFont="1" applyAlignment="1">
      <alignment horizontal="center" vertical="center"/>
    </xf>
    <xf numFmtId="3" fontId="168" fillId="0" borderId="0" xfId="0" applyNumberFormat="1" applyFont="1" applyAlignment="1">
      <alignment horizontal="left" vertical="center"/>
    </xf>
    <xf numFmtId="226" fontId="151" fillId="0" borderId="0" xfId="0" applyNumberFormat="1" applyFont="1" applyAlignment="1">
      <alignment vertical="center"/>
    </xf>
    <xf numFmtId="0" fontId="150" fillId="0" borderId="0" xfId="0" applyFont="1"/>
    <xf numFmtId="3" fontId="168" fillId="0" borderId="61" xfId="0" applyNumberFormat="1" applyFont="1" applyBorder="1" applyAlignment="1">
      <alignment horizontal="center" vertical="center"/>
    </xf>
    <xf numFmtId="3" fontId="168" fillId="0" borderId="61" xfId="0" applyNumberFormat="1" applyFont="1" applyBorder="1" applyAlignment="1">
      <alignment horizontal="left" vertical="center"/>
    </xf>
    <xf numFmtId="226" fontId="151" fillId="0" borderId="61" xfId="0" applyNumberFormat="1" applyFont="1" applyBorder="1" applyAlignment="1">
      <alignment vertical="center"/>
    </xf>
    <xf numFmtId="10" fontId="126" fillId="0" borderId="0" xfId="1138" applyNumberFormat="1" applyFont="1"/>
    <xf numFmtId="179" fontId="131" fillId="0" borderId="33" xfId="1088" applyNumberFormat="1" applyFont="1" applyBorder="1"/>
    <xf numFmtId="0" fontId="148" fillId="77" borderId="45" xfId="1556" applyFont="1" applyFill="1" applyBorder="1" applyAlignment="1">
      <alignment horizontal="center" vertical="center" wrapText="1"/>
    </xf>
    <xf numFmtId="0" fontId="126" fillId="77" borderId="45" xfId="0" applyFont="1" applyFill="1" applyBorder="1" applyAlignment="1">
      <alignment horizontal="center" vertical="center" wrapText="1"/>
    </xf>
    <xf numFmtId="0" fontId="131" fillId="77" borderId="45" xfId="0" applyFont="1" applyFill="1" applyBorder="1" applyAlignment="1">
      <alignment horizontal="left" vertical="center"/>
    </xf>
    <xf numFmtId="0" fontId="129" fillId="77" borderId="45" xfId="0" applyFont="1" applyFill="1" applyBorder="1" applyAlignment="1">
      <alignment vertical="center"/>
    </xf>
    <xf numFmtId="4" fontId="131" fillId="77" borderId="45" xfId="0" applyNumberFormat="1" applyFont="1" applyFill="1" applyBorder="1" applyAlignment="1">
      <alignment vertical="center"/>
    </xf>
    <xf numFmtId="0" fontId="123" fillId="0" borderId="0" xfId="0" applyFont="1" applyAlignment="1">
      <alignment horizontal="centerContinuous"/>
    </xf>
    <xf numFmtId="0" fontId="304" fillId="77" borderId="44" xfId="0" applyFont="1" applyFill="1" applyBorder="1" applyAlignment="1">
      <alignment horizontal="center" vertical="center"/>
    </xf>
    <xf numFmtId="10" fontId="305" fillId="0" borderId="37" xfId="0" quotePrefix="1" applyNumberFormat="1" applyFont="1" applyBorder="1" applyAlignment="1">
      <alignment horizontal="center" vertical="center"/>
    </xf>
    <xf numFmtId="10" fontId="123" fillId="0" borderId="37" xfId="0" quotePrefix="1" applyNumberFormat="1" applyFont="1" applyBorder="1" applyAlignment="1">
      <alignment horizontal="center" vertical="center"/>
    </xf>
    <xf numFmtId="0" fontId="123" fillId="0" borderId="37" xfId="0" applyFont="1" applyBorder="1" applyAlignment="1">
      <alignment horizontal="center" vertical="center"/>
    </xf>
    <xf numFmtId="4" fontId="191" fillId="0" borderId="6" xfId="0" applyNumberFormat="1" applyFont="1" applyBorder="1"/>
    <xf numFmtId="4" fontId="123" fillId="0" borderId="6" xfId="2059" applyNumberFormat="1" applyFont="1" applyBorder="1"/>
    <xf numFmtId="4" fontId="123" fillId="0" borderId="6" xfId="0" applyNumberFormat="1" applyFont="1" applyBorder="1"/>
    <xf numFmtId="4" fontId="161" fillId="0" borderId="6" xfId="1090" applyNumberFormat="1" applyFont="1" applyBorder="1" applyAlignment="1">
      <alignment vertical="center" wrapText="1"/>
    </xf>
    <xf numFmtId="0" fontId="222" fillId="0" borderId="0" xfId="0" applyFont="1" applyAlignment="1">
      <alignment vertical="center"/>
    </xf>
    <xf numFmtId="0" fontId="222" fillId="0" borderId="0" xfId="1090" applyFont="1" applyAlignment="1">
      <alignment vertical="center"/>
    </xf>
    <xf numFmtId="0" fontId="227" fillId="0" borderId="0" xfId="2059" applyFont="1"/>
    <xf numFmtId="3" fontId="204" fillId="0" borderId="0" xfId="1091" applyNumberFormat="1" applyFont="1"/>
    <xf numFmtId="0" fontId="133" fillId="0" borderId="0" xfId="2059" applyFont="1" applyAlignment="1">
      <alignment vertical="center"/>
    </xf>
    <xf numFmtId="0" fontId="132" fillId="73" borderId="0" xfId="2059" applyFont="1" applyFill="1"/>
    <xf numFmtId="3" fontId="133" fillId="0" borderId="0" xfId="2059" applyNumberFormat="1" applyFont="1"/>
    <xf numFmtId="3" fontId="132" fillId="0" borderId="0" xfId="2059" applyNumberFormat="1" applyFont="1"/>
    <xf numFmtId="0" fontId="132" fillId="70" borderId="0" xfId="2059" applyFont="1" applyFill="1" applyAlignment="1">
      <alignment horizontal="center" vertical="center" wrapText="1"/>
    </xf>
    <xf numFmtId="0" fontId="133" fillId="0" borderId="0" xfId="1081" applyFont="1"/>
    <xf numFmtId="0" fontId="132" fillId="0" borderId="0" xfId="1090" applyFont="1" applyAlignment="1">
      <alignment horizontal="centerContinuous" vertical="center" wrapText="1"/>
    </xf>
    <xf numFmtId="0" fontId="132" fillId="71" borderId="6" xfId="1086" applyFont="1" applyFill="1" applyBorder="1" applyAlignment="1">
      <alignment horizontal="centerContinuous" vertical="center" wrapText="1"/>
    </xf>
    <xf numFmtId="3" fontId="133" fillId="0" borderId="6" xfId="1086" applyNumberFormat="1" applyFont="1" applyBorder="1"/>
    <xf numFmtId="3" fontId="133" fillId="0" borderId="0" xfId="1081" applyNumberFormat="1" applyFont="1"/>
    <xf numFmtId="3" fontId="132" fillId="0" borderId="0" xfId="1081" applyNumberFormat="1" applyFont="1"/>
    <xf numFmtId="0" fontId="226" fillId="0" borderId="0" xfId="0" applyFont="1" applyAlignment="1">
      <alignment horizontal="center" vertical="center"/>
    </xf>
    <xf numFmtId="0" fontId="226" fillId="0" borderId="0" xfId="0" applyFont="1" applyAlignment="1">
      <alignment horizontal="left" vertical="center"/>
    </xf>
    <xf numFmtId="0" fontId="226" fillId="0" borderId="0" xfId="1081" applyFont="1"/>
    <xf numFmtId="231" fontId="226" fillId="0" borderId="0" xfId="0" applyNumberFormat="1" applyFont="1" applyAlignment="1">
      <alignment horizontal="center" vertical="center"/>
    </xf>
    <xf numFmtId="4" fontId="226" fillId="0" borderId="0" xfId="0" applyNumberFormat="1" applyFont="1" applyAlignment="1">
      <alignment vertical="center"/>
    </xf>
    <xf numFmtId="0" fontId="132" fillId="0" borderId="0" xfId="0" applyFont="1" applyAlignment="1">
      <alignment horizontal="center"/>
    </xf>
    <xf numFmtId="179" fontId="151" fillId="0" borderId="0" xfId="0" applyNumberFormat="1" applyFont="1"/>
    <xf numFmtId="0" fontId="228" fillId="0" borderId="0" xfId="0" applyFont="1"/>
    <xf numFmtId="0" fontId="123" fillId="0" borderId="38" xfId="0" applyFont="1" applyBorder="1"/>
    <xf numFmtId="0" fontId="123" fillId="0" borderId="40" xfId="0" applyFont="1" applyBorder="1"/>
    <xf numFmtId="0" fontId="304" fillId="77" borderId="42" xfId="0" applyFont="1" applyFill="1" applyBorder="1" applyAlignment="1">
      <alignment vertical="center" wrapText="1"/>
    </xf>
    <xf numFmtId="0" fontId="304" fillId="0" borderId="36" xfId="0" applyFont="1" applyBorder="1" applyAlignment="1">
      <alignment horizontal="left" vertical="center"/>
    </xf>
    <xf numFmtId="0" fontId="305" fillId="0" borderId="36" xfId="0" applyFont="1" applyBorder="1" applyAlignment="1">
      <alignment horizontal="left" vertical="center" indent="2"/>
    </xf>
    <xf numFmtId="0" fontId="255" fillId="94" borderId="30" xfId="0" applyFont="1" applyFill="1" applyBorder="1" applyAlignment="1">
      <alignment horizontal="center" vertical="center" wrapText="1"/>
    </xf>
    <xf numFmtId="10" fontId="311" fillId="94" borderId="33" xfId="0" applyNumberFormat="1" applyFont="1" applyFill="1" applyBorder="1" applyAlignment="1">
      <alignment horizontal="right" wrapText="1"/>
    </xf>
    <xf numFmtId="0" fontId="215" fillId="0" borderId="0" xfId="0" applyFont="1" applyAlignment="1">
      <alignment vertical="center"/>
    </xf>
    <xf numFmtId="3" fontId="225" fillId="0" borderId="0" xfId="0" applyNumberFormat="1" applyFont="1" applyAlignment="1">
      <alignment horizontal="right" wrapText="1"/>
    </xf>
    <xf numFmtId="10" fontId="225" fillId="0" borderId="0" xfId="0" applyNumberFormat="1" applyFont="1" applyAlignment="1">
      <alignment wrapText="1"/>
    </xf>
    <xf numFmtId="10" fontId="133" fillId="0" borderId="0" xfId="0" applyNumberFormat="1" applyFont="1" applyAlignment="1">
      <alignment wrapText="1"/>
    </xf>
    <xf numFmtId="178" fontId="133" fillId="0" borderId="0" xfId="0" applyNumberFormat="1" applyFont="1" applyAlignment="1">
      <alignment horizontal="center" wrapText="1"/>
    </xf>
    <xf numFmtId="10" fontId="133" fillId="0" borderId="0" xfId="0" applyNumberFormat="1" applyFont="1" applyAlignment="1">
      <alignment horizontal="center" wrapText="1"/>
    </xf>
    <xf numFmtId="0" fontId="215" fillId="72" borderId="0" xfId="0" applyFont="1" applyFill="1" applyAlignment="1">
      <alignment vertical="center"/>
    </xf>
    <xf numFmtId="3" fontId="169" fillId="72" borderId="0" xfId="0" applyNumberFormat="1" applyFont="1" applyFill="1" applyAlignment="1">
      <alignment horizontal="right" wrapText="1"/>
    </xf>
    <xf numFmtId="10" fontId="169" fillId="72" borderId="0" xfId="0" applyNumberFormat="1" applyFont="1" applyFill="1" applyAlignment="1">
      <alignment horizontal="right" wrapText="1"/>
    </xf>
    <xf numFmtId="10" fontId="132" fillId="72" borderId="0" xfId="0" applyNumberFormat="1" applyFont="1" applyFill="1" applyAlignment="1">
      <alignment horizontal="right" wrapText="1"/>
    </xf>
    <xf numFmtId="178" fontId="132" fillId="72" borderId="0" xfId="0" applyNumberFormat="1" applyFont="1" applyFill="1" applyAlignment="1">
      <alignment horizontal="center" wrapText="1"/>
    </xf>
    <xf numFmtId="10" fontId="132" fillId="72" borderId="0" xfId="0" applyNumberFormat="1" applyFont="1" applyFill="1" applyAlignment="1">
      <alignment horizontal="center" wrapText="1"/>
    </xf>
    <xf numFmtId="3" fontId="281" fillId="0" borderId="0" xfId="0" applyNumberFormat="1" applyFont="1" applyAlignment="1">
      <alignment horizontal="right" wrapText="1"/>
    </xf>
    <xf numFmtId="10" fontId="281" fillId="0" borderId="0" xfId="0" applyNumberFormat="1" applyFont="1" applyAlignment="1">
      <alignment horizontal="right" wrapText="1"/>
    </xf>
    <xf numFmtId="178" fontId="281" fillId="0" borderId="0" xfId="0" applyNumberFormat="1" applyFont="1" applyAlignment="1">
      <alignment horizontal="center" wrapText="1"/>
    </xf>
    <xf numFmtId="10" fontId="281" fillId="0" borderId="0" xfId="0" applyNumberFormat="1" applyFont="1" applyAlignment="1">
      <alignment horizontal="center" wrapText="1"/>
    </xf>
    <xf numFmtId="3" fontId="215" fillId="72" borderId="0" xfId="0" applyNumberFormat="1" applyFont="1" applyFill="1" applyAlignment="1">
      <alignment horizontal="right" wrapText="1"/>
    </xf>
    <xf numFmtId="0" fontId="215" fillId="0" borderId="0" xfId="0" applyFont="1" applyAlignment="1">
      <alignment horizontal="left" vertical="center"/>
    </xf>
    <xf numFmtId="0" fontId="160" fillId="90" borderId="0" xfId="0" applyFont="1" applyFill="1"/>
    <xf numFmtId="0" fontId="159" fillId="90" borderId="0" xfId="0" applyFont="1" applyFill="1" applyAlignment="1">
      <alignment horizontal="center" vertical="center"/>
    </xf>
    <xf numFmtId="0" fontId="159" fillId="92" borderId="0" xfId="0" applyFont="1" applyFill="1" applyAlignment="1">
      <alignment horizontal="center" vertical="center"/>
    </xf>
    <xf numFmtId="0" fontId="156" fillId="0" borderId="0" xfId="0" applyFont="1"/>
    <xf numFmtId="10" fontId="156" fillId="0" borderId="0" xfId="0" applyNumberFormat="1" applyFont="1"/>
    <xf numFmtId="10" fontId="156" fillId="81" borderId="0" xfId="0" applyNumberFormat="1" applyFont="1" applyFill="1"/>
    <xf numFmtId="178" fontId="124" fillId="78" borderId="6" xfId="0" applyNumberFormat="1" applyFont="1" applyFill="1" applyBorder="1" applyAlignment="1">
      <alignment horizontal="center"/>
    </xf>
    <xf numFmtId="0" fontId="131" fillId="69" borderId="6" xfId="0" applyFont="1" applyFill="1" applyBorder="1" applyAlignment="1">
      <alignment horizontal="centerContinuous" vertical="center" wrapText="1"/>
    </xf>
    <xf numFmtId="0" fontId="126" fillId="69" borderId="6" xfId="0" applyFont="1" applyFill="1" applyBorder="1" applyAlignment="1">
      <alignment horizontal="centerContinuous" vertical="center" wrapText="1"/>
    </xf>
    <xf numFmtId="0" fontId="122" fillId="69" borderId="6" xfId="0" applyFont="1" applyFill="1" applyBorder="1" applyAlignment="1">
      <alignment horizontal="centerContinuous" vertical="center" wrapText="1"/>
    </xf>
    <xf numFmtId="0" fontId="126" fillId="69" borderId="6" xfId="0" applyFont="1" applyFill="1" applyBorder="1" applyAlignment="1">
      <alignment horizontal="center" vertical="center" wrapText="1"/>
    </xf>
    <xf numFmtId="4" fontId="129" fillId="72" borderId="6" xfId="0" applyNumberFormat="1" applyFont="1" applyFill="1" applyBorder="1"/>
    <xf numFmtId="178" fontId="129" fillId="72" borderId="6" xfId="0" applyNumberFormat="1" applyFont="1" applyFill="1" applyBorder="1"/>
    <xf numFmtId="179" fontId="129" fillId="72" borderId="6" xfId="0" applyNumberFormat="1" applyFont="1" applyFill="1" applyBorder="1"/>
    <xf numFmtId="0" fontId="143" fillId="69" borderId="6" xfId="0" applyFont="1" applyFill="1" applyBorder="1" applyAlignment="1">
      <alignment horizontal="centerContinuous" vertical="center" wrapText="1"/>
    </xf>
    <xf numFmtId="0" fontId="122" fillId="69" borderId="6" xfId="0" applyFont="1" applyFill="1" applyBorder="1" applyAlignment="1">
      <alignment horizontal="center" vertical="center" wrapText="1"/>
    </xf>
    <xf numFmtId="178" fontId="132" fillId="78" borderId="6" xfId="0" applyNumberFormat="1" applyFont="1" applyFill="1" applyBorder="1" applyAlignment="1">
      <alignment horizontal="centerContinuous"/>
    </xf>
    <xf numFmtId="178" fontId="132" fillId="78" borderId="6" xfId="0" applyNumberFormat="1" applyFont="1" applyFill="1" applyBorder="1" applyAlignment="1">
      <alignment horizontal="center"/>
    </xf>
    <xf numFmtId="178" fontId="133" fillId="78" borderId="6" xfId="0" applyNumberFormat="1" applyFont="1" applyFill="1" applyBorder="1" applyAlignment="1">
      <alignment horizontal="center"/>
    </xf>
    <xf numFmtId="179" fontId="133" fillId="78" borderId="6" xfId="0" applyNumberFormat="1" applyFont="1" applyFill="1" applyBorder="1" applyAlignment="1">
      <alignment horizontal="left"/>
    </xf>
    <xf numFmtId="178" fontId="133" fillId="78" borderId="6" xfId="0" applyNumberFormat="1" applyFont="1" applyFill="1" applyBorder="1" applyAlignment="1">
      <alignment horizontal="left"/>
    </xf>
    <xf numFmtId="0" fontId="311" fillId="94" borderId="33" xfId="0" applyFont="1" applyFill="1" applyBorder="1" applyAlignment="1">
      <alignment horizontal="left" vertical="center"/>
    </xf>
    <xf numFmtId="3" fontId="311" fillId="94" borderId="33" xfId="0" applyNumberFormat="1" applyFont="1" applyFill="1" applyBorder="1" applyAlignment="1">
      <alignment horizontal="right" wrapText="1"/>
    </xf>
    <xf numFmtId="178" fontId="311" fillId="94" borderId="33" xfId="0" applyNumberFormat="1" applyFont="1" applyFill="1" applyBorder="1" applyAlignment="1">
      <alignment horizontal="center" wrapText="1"/>
    </xf>
    <xf numFmtId="10" fontId="311" fillId="94" borderId="33" xfId="0" applyNumberFormat="1" applyFont="1" applyFill="1" applyBorder="1" applyAlignment="1">
      <alignment horizontal="center" wrapText="1"/>
    </xf>
    <xf numFmtId="0" fontId="148" fillId="71" borderId="2" xfId="1086" applyFont="1" applyFill="1" applyBorder="1" applyAlignment="1">
      <alignment horizontal="center" vertical="center" wrapText="1"/>
    </xf>
    <xf numFmtId="0" fontId="139" fillId="77" borderId="0" xfId="1091" applyFont="1" applyFill="1" applyAlignment="1">
      <alignment vertical="center" wrapText="1"/>
    </xf>
    <xf numFmtId="17" fontId="139" fillId="77" borderId="0" xfId="1091" applyNumberFormat="1" applyFont="1" applyFill="1" applyAlignment="1">
      <alignment horizontal="center" vertical="center" wrapText="1"/>
    </xf>
    <xf numFmtId="0" fontId="171" fillId="0" borderId="0" xfId="1091" applyFont="1"/>
    <xf numFmtId="3" fontId="171" fillId="0" borderId="0" xfId="1091" applyNumberFormat="1" applyFont="1"/>
    <xf numFmtId="3" fontId="174" fillId="0" borderId="0" xfId="1091" applyNumberFormat="1" applyFont="1"/>
    <xf numFmtId="3" fontId="131" fillId="0" borderId="6" xfId="1091" applyNumberFormat="1" applyFont="1" applyBorder="1"/>
    <xf numFmtId="180" fontId="136" fillId="0" borderId="0" xfId="1138" applyNumberFormat="1" applyFont="1" applyFill="1"/>
    <xf numFmtId="180" fontId="130" fillId="0" borderId="0" xfId="1138" applyNumberFormat="1" applyFont="1" applyFill="1"/>
    <xf numFmtId="0" fontId="129" fillId="0" borderId="0" xfId="1086" applyFont="1"/>
    <xf numFmtId="17" fontId="143" fillId="0" borderId="6" xfId="1086" applyNumberFormat="1" applyFont="1" applyBorder="1" applyAlignment="1">
      <alignment horizontal="left" indent="2"/>
    </xf>
    <xf numFmtId="10" fontId="129" fillId="0" borderId="0" xfId="1081" applyNumberFormat="1" applyFont="1" applyAlignment="1">
      <alignment horizontal="center"/>
    </xf>
    <xf numFmtId="4" fontId="183" fillId="0" borderId="0" xfId="1090" applyNumberFormat="1" applyFont="1"/>
    <xf numFmtId="0" fontId="143" fillId="0" borderId="6" xfId="2070" applyFont="1" applyBorder="1" applyAlignment="1">
      <alignment horizontal="center" vertical="center" wrapText="1"/>
    </xf>
    <xf numFmtId="0" fontId="125" fillId="0" borderId="6" xfId="2070" applyFont="1" applyBorder="1" applyAlignment="1">
      <alignment horizontal="center" vertical="center" wrapText="1"/>
    </xf>
    <xf numFmtId="0" fontId="166" fillId="0" borderId="6" xfId="2070" applyFont="1" applyBorder="1" applyAlignment="1">
      <alignment horizontal="center" vertical="center" wrapText="1"/>
    </xf>
    <xf numFmtId="0" fontId="131" fillId="0" borderId="6" xfId="1090" applyFont="1" applyBorder="1" applyAlignment="1">
      <alignment horizontal="centerContinuous" vertical="center"/>
    </xf>
    <xf numFmtId="3" fontId="131" fillId="0" borderId="0" xfId="1090" applyNumberFormat="1" applyFont="1" applyAlignment="1">
      <alignment horizontal="center"/>
    </xf>
    <xf numFmtId="0" fontId="131" fillId="0" borderId="6" xfId="1090" applyFont="1" applyBorder="1" applyAlignment="1">
      <alignment horizontal="center"/>
    </xf>
    <xf numFmtId="17" fontId="125" fillId="0" borderId="6" xfId="1090" applyNumberFormat="1" applyFont="1" applyBorder="1" applyAlignment="1">
      <alignment horizontal="center"/>
    </xf>
    <xf numFmtId="0" fontId="166" fillId="0" borderId="6" xfId="1090" applyFont="1" applyBorder="1" applyAlignment="1">
      <alignment horizontal="center"/>
    </xf>
    <xf numFmtId="4" fontId="131" fillId="0" borderId="6" xfId="1090" applyNumberFormat="1" applyFont="1" applyBorder="1"/>
    <xf numFmtId="4" fontId="220" fillId="0" borderId="0" xfId="1090" applyNumberFormat="1" applyFont="1"/>
    <xf numFmtId="3" fontId="225" fillId="0" borderId="0" xfId="0" applyNumberFormat="1" applyFont="1" applyAlignment="1">
      <alignment horizontal="center" vertical="center"/>
    </xf>
    <xf numFmtId="3" fontId="224" fillId="74" borderId="0" xfId="0" applyNumberFormat="1" applyFont="1" applyFill="1" applyAlignment="1">
      <alignment vertical="center"/>
    </xf>
    <xf numFmtId="3" fontId="256" fillId="78" borderId="0" xfId="0" applyNumberFormat="1" applyFont="1" applyFill="1" applyAlignment="1">
      <alignment horizontal="center" vertical="center"/>
    </xf>
    <xf numFmtId="3" fontId="224" fillId="78" borderId="0" xfId="0" applyNumberFormat="1" applyFont="1" applyFill="1" applyAlignment="1">
      <alignment horizontal="left" vertical="center"/>
    </xf>
    <xf numFmtId="3" fontId="260" fillId="77" borderId="0" xfId="0" applyNumberFormat="1" applyFont="1" applyFill="1" applyAlignment="1">
      <alignment horizontal="center" vertical="center"/>
    </xf>
    <xf numFmtId="3" fontId="256" fillId="0" borderId="0" xfId="0" applyNumberFormat="1" applyFont="1" applyAlignment="1">
      <alignment horizontal="center" vertical="center"/>
    </xf>
    <xf numFmtId="0" fontId="283" fillId="0" borderId="0" xfId="0" applyFont="1" applyAlignment="1">
      <alignment horizontal="center" vertical="center"/>
    </xf>
    <xf numFmtId="0" fontId="225" fillId="0" borderId="0" xfId="0" applyFont="1" applyAlignment="1">
      <alignment horizontal="center" vertical="center"/>
    </xf>
    <xf numFmtId="0" fontId="316" fillId="0" borderId="0" xfId="0" applyFont="1" applyAlignment="1">
      <alignment horizontal="center" vertical="center"/>
    </xf>
    <xf numFmtId="10" fontId="224" fillId="74" borderId="0" xfId="3689" applyNumberFormat="1" applyFont="1" applyFill="1" applyAlignment="1">
      <alignment vertical="center"/>
    </xf>
    <xf numFmtId="17" fontId="261" fillId="0" borderId="0" xfId="0" applyNumberFormat="1" applyFont="1" applyAlignment="1">
      <alignment horizontal="center" vertical="center"/>
    </xf>
    <xf numFmtId="212" fontId="224" fillId="74" borderId="0" xfId="0" applyNumberFormat="1" applyFont="1" applyFill="1" applyAlignment="1">
      <alignment vertical="center"/>
    </xf>
    <xf numFmtId="17" fontId="256" fillId="0" borderId="0" xfId="0" applyNumberFormat="1" applyFont="1" applyAlignment="1">
      <alignment horizontal="center" vertical="center"/>
    </xf>
    <xf numFmtId="17" fontId="224" fillId="0" borderId="0" xfId="0" applyNumberFormat="1" applyFont="1" applyAlignment="1">
      <alignment horizontal="right" vertical="center"/>
    </xf>
    <xf numFmtId="17" fontId="261" fillId="77" borderId="0" xfId="0" applyNumberFormat="1" applyFont="1" applyFill="1" applyAlignment="1">
      <alignment horizontal="center" vertical="center"/>
    </xf>
    <xf numFmtId="168" fontId="133" fillId="0" borderId="0" xfId="547" applyFont="1" applyFill="1" applyBorder="1" applyAlignment="1">
      <alignment horizontal="center" vertical="center"/>
    </xf>
    <xf numFmtId="3" fontId="225" fillId="77" borderId="0" xfId="0" applyNumberFormat="1" applyFont="1" applyFill="1" applyAlignment="1">
      <alignment horizontal="center" vertical="center"/>
    </xf>
    <xf numFmtId="0" fontId="284" fillId="75" borderId="43" xfId="0" applyFont="1" applyFill="1" applyBorder="1" applyAlignment="1">
      <alignment vertical="center"/>
    </xf>
    <xf numFmtId="3" fontId="282" fillId="75" borderId="43" xfId="0" applyNumberFormat="1" applyFont="1" applyFill="1" applyBorder="1" applyAlignment="1">
      <alignment horizontal="center" vertical="center"/>
    </xf>
    <xf numFmtId="3" fontId="282" fillId="76" borderId="0" xfId="0" quotePrefix="1" applyNumberFormat="1" applyFont="1" applyFill="1" applyAlignment="1">
      <alignment horizontal="center" vertical="center"/>
    </xf>
    <xf numFmtId="3" fontId="132" fillId="75" borderId="42" xfId="0" applyNumberFormat="1" applyFont="1" applyFill="1" applyBorder="1" applyAlignment="1">
      <alignment vertical="center"/>
    </xf>
    <xf numFmtId="3" fontId="133" fillId="71" borderId="0" xfId="0" applyNumberFormat="1" applyFont="1" applyFill="1" applyAlignment="1">
      <alignment vertical="center"/>
    </xf>
    <xf numFmtId="3" fontId="313" fillId="93" borderId="0" xfId="0" applyNumberFormat="1" applyFont="1" applyFill="1" applyAlignment="1">
      <alignment horizontal="centerContinuous" vertical="center"/>
    </xf>
    <xf numFmtId="3" fontId="261" fillId="93" borderId="0" xfId="0" applyNumberFormat="1" applyFont="1" applyFill="1" applyAlignment="1">
      <alignment horizontal="center" vertical="center"/>
    </xf>
    <xf numFmtId="4" fontId="224" fillId="0" borderId="0" xfId="0" applyNumberFormat="1" applyFont="1" applyAlignment="1">
      <alignment vertical="center"/>
    </xf>
    <xf numFmtId="3" fontId="133" fillId="0" borderId="60" xfId="0" applyNumberFormat="1" applyFont="1" applyBorder="1" applyAlignment="1">
      <alignment horizontal="center" vertical="center"/>
    </xf>
    <xf numFmtId="3" fontId="132" fillId="0" borderId="60" xfId="0" applyNumberFormat="1" applyFont="1" applyBorder="1" applyAlignment="1">
      <alignment vertical="center"/>
    </xf>
    <xf numFmtId="9" fontId="133" fillId="77" borderId="0" xfId="1199" applyFont="1" applyFill="1" applyBorder="1" applyAlignment="1">
      <alignment horizontal="center" vertical="center"/>
    </xf>
    <xf numFmtId="9" fontId="132" fillId="77" borderId="0" xfId="1199" applyFont="1" applyFill="1" applyBorder="1" applyAlignment="1">
      <alignment horizontal="center" vertical="center"/>
    </xf>
    <xf numFmtId="3" fontId="256" fillId="77" borderId="0" xfId="0" applyNumberFormat="1" applyFont="1" applyFill="1" applyAlignment="1">
      <alignment horizontal="center" vertical="center"/>
    </xf>
    <xf numFmtId="0" fontId="227" fillId="73" borderId="60" xfId="0" applyFont="1" applyFill="1" applyBorder="1" applyAlignment="1">
      <alignment horizontal="center" vertical="center"/>
    </xf>
    <xf numFmtId="0" fontId="227" fillId="73" borderId="60" xfId="0" applyFont="1" applyFill="1" applyBorder="1" applyAlignment="1">
      <alignment vertical="center"/>
    </xf>
    <xf numFmtId="0" fontId="227" fillId="73" borderId="61" xfId="0" applyFont="1" applyFill="1" applyBorder="1" applyAlignment="1">
      <alignment horizontal="center" vertical="center"/>
    </xf>
    <xf numFmtId="0" fontId="227" fillId="73" borderId="61" xfId="0" applyFont="1" applyFill="1" applyBorder="1" applyAlignment="1">
      <alignment vertical="center"/>
    </xf>
    <xf numFmtId="3" fontId="132" fillId="78" borderId="39" xfId="0" applyNumberFormat="1" applyFont="1" applyFill="1" applyBorder="1" applyAlignment="1">
      <alignment horizontal="center" vertical="center"/>
    </xf>
    <xf numFmtId="3" fontId="132" fillId="78" borderId="39" xfId="0" applyNumberFormat="1" applyFont="1" applyFill="1" applyBorder="1" applyAlignment="1">
      <alignment vertical="center"/>
    </xf>
    <xf numFmtId="3" fontId="133" fillId="78" borderId="0" xfId="0" applyNumberFormat="1" applyFont="1" applyFill="1" applyAlignment="1">
      <alignment horizontal="center" vertical="center"/>
    </xf>
    <xf numFmtId="9" fontId="133" fillId="78" borderId="0" xfId="1199" applyFont="1" applyFill="1" applyBorder="1" applyAlignment="1">
      <alignment horizontal="center" vertical="center"/>
    </xf>
    <xf numFmtId="9" fontId="132" fillId="78" borderId="0" xfId="1199" applyFont="1" applyFill="1" applyBorder="1" applyAlignment="1">
      <alignment horizontal="center" vertical="center"/>
    </xf>
    <xf numFmtId="3" fontId="132" fillId="78" borderId="59" xfId="0" applyNumberFormat="1" applyFont="1" applyFill="1" applyBorder="1" applyAlignment="1">
      <alignment horizontal="center" vertical="center"/>
    </xf>
    <xf numFmtId="3" fontId="132" fillId="78" borderId="59" xfId="0" applyNumberFormat="1" applyFont="1" applyFill="1" applyBorder="1" applyAlignment="1">
      <alignment vertical="center"/>
    </xf>
    <xf numFmtId="0" fontId="225" fillId="81" borderId="0" xfId="0" applyFont="1" applyFill="1" applyAlignment="1">
      <alignment horizontal="center" vertical="center"/>
    </xf>
    <xf numFmtId="3" fontId="284" fillId="77" borderId="0" xfId="0" applyNumberFormat="1" applyFont="1" applyFill="1" applyAlignment="1">
      <alignment horizontal="center" vertical="center"/>
    </xf>
    <xf numFmtId="178" fontId="133" fillId="0" borderId="0" xfId="0" applyNumberFormat="1" applyFont="1" applyAlignment="1">
      <alignment vertical="center"/>
    </xf>
    <xf numFmtId="3" fontId="282" fillId="77" borderId="0" xfId="0" quotePrefix="1" applyNumberFormat="1" applyFont="1" applyFill="1" applyAlignment="1">
      <alignment horizontal="center" vertical="center"/>
    </xf>
    <xf numFmtId="3" fontId="133" fillId="77" borderId="0" xfId="0" quotePrefix="1" applyNumberFormat="1" applyFont="1" applyFill="1" applyAlignment="1">
      <alignment horizontal="center" vertical="center"/>
    </xf>
    <xf numFmtId="3" fontId="282" fillId="69" borderId="0" xfId="0" quotePrefix="1" applyNumberFormat="1" applyFont="1" applyFill="1" applyAlignment="1">
      <alignment horizontal="center" vertical="center"/>
    </xf>
    <xf numFmtId="3" fontId="287" fillId="86" borderId="0" xfId="0" applyNumberFormat="1" applyFont="1" applyFill="1" applyAlignment="1">
      <alignment horizontal="center" vertical="center"/>
    </xf>
    <xf numFmtId="3" fontId="314" fillId="75" borderId="42" xfId="1093" applyNumberFormat="1" applyFont="1" applyFill="1" applyBorder="1" applyAlignment="1">
      <alignment horizontal="center" vertical="center"/>
    </xf>
    <xf numFmtId="3" fontId="225" fillId="77" borderId="0" xfId="0" quotePrefix="1" applyNumberFormat="1" applyFont="1" applyFill="1" applyAlignment="1">
      <alignment horizontal="center" vertical="center"/>
    </xf>
    <xf numFmtId="181" fontId="284" fillId="0" borderId="0" xfId="0" applyNumberFormat="1" applyFont="1" applyAlignment="1">
      <alignment vertical="center"/>
    </xf>
    <xf numFmtId="3" fontId="132" fillId="78" borderId="43" xfId="0" applyNumberFormat="1" applyFont="1" applyFill="1" applyBorder="1" applyAlignment="1">
      <alignment horizontal="center" vertical="center"/>
    </xf>
    <xf numFmtId="3" fontId="132" fillId="78" borderId="43" xfId="0" applyNumberFormat="1" applyFont="1" applyFill="1" applyBorder="1" applyAlignment="1">
      <alignment vertical="center"/>
    </xf>
    <xf numFmtId="3" fontId="132" fillId="78" borderId="0" xfId="0" applyNumberFormat="1" applyFont="1" applyFill="1" applyAlignment="1">
      <alignment horizontal="center" vertical="center"/>
    </xf>
    <xf numFmtId="3" fontId="132" fillId="78" borderId="0" xfId="0" applyNumberFormat="1" applyFont="1" applyFill="1" applyAlignment="1">
      <alignment vertical="center"/>
    </xf>
    <xf numFmtId="3" fontId="281" fillId="77" borderId="0" xfId="1083" applyNumberFormat="1" applyFont="1" applyFill="1" applyAlignment="1">
      <alignment horizontal="center" vertical="center"/>
    </xf>
    <xf numFmtId="3" fontId="282" fillId="74" borderId="43" xfId="0" applyNumberFormat="1" applyFont="1" applyFill="1" applyBorder="1" applyAlignment="1">
      <alignment horizontal="center" vertical="center"/>
    </xf>
    <xf numFmtId="194" fontId="132" fillId="71" borderId="0" xfId="0" applyNumberFormat="1" applyFont="1" applyFill="1" applyAlignment="1">
      <alignment vertical="center"/>
    </xf>
    <xf numFmtId="194" fontId="133" fillId="71" borderId="39" xfId="0" applyNumberFormat="1" applyFont="1" applyFill="1" applyBorder="1" applyAlignment="1">
      <alignment vertical="center"/>
    </xf>
    <xf numFmtId="3" fontId="133" fillId="78" borderId="39" xfId="0" applyNumberFormat="1" applyFont="1" applyFill="1" applyBorder="1" applyAlignment="1">
      <alignment horizontal="center" vertical="center"/>
    </xf>
    <xf numFmtId="3" fontId="133" fillId="77" borderId="39" xfId="0" applyNumberFormat="1" applyFont="1" applyFill="1" applyBorder="1" applyAlignment="1">
      <alignment horizontal="center" vertical="center"/>
    </xf>
    <xf numFmtId="194" fontId="132" fillId="71" borderId="59" xfId="0" applyNumberFormat="1" applyFont="1" applyFill="1" applyBorder="1" applyAlignment="1">
      <alignment vertical="center"/>
    </xf>
    <xf numFmtId="3" fontId="133" fillId="77" borderId="59" xfId="0" applyNumberFormat="1" applyFont="1" applyFill="1" applyBorder="1" applyAlignment="1">
      <alignment horizontal="center" vertical="center"/>
    </xf>
    <xf numFmtId="0" fontId="132" fillId="75" borderId="0" xfId="0" applyFont="1" applyFill="1" applyAlignment="1">
      <alignment horizontal="center" vertical="center"/>
    </xf>
    <xf numFmtId="3" fontId="132" fillId="75" borderId="0" xfId="0" applyNumberFormat="1" applyFont="1" applyFill="1" applyAlignment="1">
      <alignment vertical="center"/>
    </xf>
    <xf numFmtId="3" fontId="317" fillId="0" borderId="0" xfId="0" applyNumberFormat="1" applyFont="1" applyAlignment="1">
      <alignment horizontal="center" vertical="center"/>
    </xf>
    <xf numFmtId="4" fontId="133" fillId="77" borderId="0" xfId="0" applyNumberFormat="1" applyFont="1" applyFill="1" applyAlignment="1">
      <alignment horizontal="center" vertical="center"/>
    </xf>
    <xf numFmtId="3" fontId="225" fillId="77" borderId="38" xfId="0" applyNumberFormat="1" applyFont="1" applyFill="1" applyBorder="1" applyAlignment="1">
      <alignment horizontal="center" vertical="center"/>
    </xf>
    <xf numFmtId="3" fontId="225" fillId="77" borderId="46" xfId="0" applyNumberFormat="1" applyFont="1" applyFill="1" applyBorder="1" applyAlignment="1">
      <alignment horizontal="center" vertical="center"/>
    </xf>
    <xf numFmtId="226" fontId="158" fillId="0" borderId="0" xfId="0" applyNumberFormat="1" applyFont="1" applyAlignment="1">
      <alignment vertical="center"/>
    </xf>
    <xf numFmtId="3" fontId="158" fillId="74" borderId="0" xfId="0" applyNumberFormat="1" applyFont="1" applyFill="1" applyAlignment="1">
      <alignment horizontal="center" vertical="center"/>
    </xf>
    <xf numFmtId="3" fontId="154" fillId="74" borderId="0" xfId="0" applyNumberFormat="1" applyFont="1" applyFill="1" applyAlignment="1">
      <alignment horizontal="left" vertical="center"/>
    </xf>
    <xf numFmtId="3" fontId="158" fillId="74" borderId="0" xfId="0" applyNumberFormat="1" applyFont="1" applyFill="1" applyAlignment="1">
      <alignment horizontal="left" vertical="center"/>
    </xf>
    <xf numFmtId="3" fontId="160" fillId="93" borderId="0" xfId="0" applyNumberFormat="1" applyFont="1" applyFill="1" applyAlignment="1">
      <alignment horizontal="center" vertical="center"/>
    </xf>
    <xf numFmtId="17" fontId="255" fillId="95" borderId="0" xfId="0" applyNumberFormat="1" applyFont="1" applyFill="1" applyAlignment="1">
      <alignment horizontal="center" vertical="center"/>
    </xf>
    <xf numFmtId="3" fontId="255" fillId="91" borderId="0" xfId="944" applyNumberFormat="1" applyFont="1" applyFill="1" applyAlignment="1">
      <alignment horizontal="center" vertical="center" wrapText="1"/>
    </xf>
    <xf numFmtId="3" fontId="261" fillId="91" borderId="0" xfId="0" applyNumberFormat="1" applyFont="1" applyFill="1" applyAlignment="1">
      <alignment horizontal="center" vertical="center"/>
    </xf>
    <xf numFmtId="0" fontId="278" fillId="95" borderId="0" xfId="0" applyFont="1" applyFill="1" applyAlignment="1">
      <alignment horizontal="center" vertical="center"/>
    </xf>
    <xf numFmtId="3" fontId="278" fillId="91" borderId="0" xfId="0" applyNumberFormat="1" applyFont="1" applyFill="1" applyAlignment="1">
      <alignment horizontal="center" vertical="center"/>
    </xf>
    <xf numFmtId="3" fontId="278" fillId="91" borderId="0" xfId="0" applyNumberFormat="1" applyFont="1" applyFill="1" applyAlignment="1">
      <alignment vertical="center"/>
    </xf>
    <xf numFmtId="3" fontId="318" fillId="91" borderId="0" xfId="0" applyNumberFormat="1" applyFont="1" applyFill="1" applyAlignment="1">
      <alignment horizontal="center" vertical="center"/>
    </xf>
    <xf numFmtId="17" fontId="255" fillId="95" borderId="0" xfId="0" applyNumberFormat="1" applyFont="1" applyFill="1" applyAlignment="1">
      <alignment horizontal="centerContinuous" vertical="center"/>
    </xf>
    <xf numFmtId="3" fontId="255" fillId="91" borderId="0" xfId="0" applyNumberFormat="1" applyFont="1" applyFill="1" applyAlignment="1">
      <alignment horizontal="center" vertical="center"/>
    </xf>
    <xf numFmtId="3" fontId="255" fillId="91" borderId="0" xfId="0" applyNumberFormat="1" applyFont="1" applyFill="1" applyAlignment="1">
      <alignment vertical="center"/>
    </xf>
    <xf numFmtId="3" fontId="150" fillId="71" borderId="0" xfId="0" applyNumberFormat="1" applyFont="1" applyFill="1" applyAlignment="1">
      <alignment vertical="center"/>
    </xf>
    <xf numFmtId="226" fontId="154" fillId="0" borderId="0" xfId="0" applyNumberFormat="1" applyFont="1" applyAlignment="1">
      <alignment vertical="center"/>
    </xf>
    <xf numFmtId="226" fontId="150" fillId="0" borderId="61" xfId="0" applyNumberFormat="1" applyFont="1" applyBorder="1" applyAlignment="1">
      <alignment vertical="center"/>
    </xf>
    <xf numFmtId="226" fontId="150" fillId="0" borderId="0" xfId="0" applyNumberFormat="1" applyFont="1" applyAlignment="1">
      <alignment vertical="center"/>
    </xf>
    <xf numFmtId="3" fontId="132" fillId="71" borderId="0" xfId="0" applyNumberFormat="1" applyFont="1" applyFill="1" applyAlignment="1">
      <alignment vertical="center"/>
    </xf>
    <xf numFmtId="194" fontId="227" fillId="0" borderId="0" xfId="0" applyNumberFormat="1" applyFont="1" applyAlignment="1">
      <alignment vertical="center"/>
    </xf>
    <xf numFmtId="194" fontId="284" fillId="0" borderId="0" xfId="0" applyNumberFormat="1" applyFont="1" applyAlignment="1">
      <alignment vertical="center"/>
    </xf>
    <xf numFmtId="194" fontId="132" fillId="71" borderId="39" xfId="0" applyNumberFormat="1" applyFont="1" applyFill="1" applyBorder="1" applyAlignment="1">
      <alignment vertical="center"/>
    </xf>
    <xf numFmtId="179" fontId="132" fillId="0" borderId="0" xfId="0" applyNumberFormat="1" applyFont="1" applyAlignment="1">
      <alignment vertical="center"/>
    </xf>
    <xf numFmtId="178" fontId="132" fillId="0" borderId="0" xfId="0" applyNumberFormat="1" applyFont="1" applyAlignment="1">
      <alignment vertical="center"/>
    </xf>
    <xf numFmtId="179" fontId="132" fillId="84" borderId="0" xfId="0" applyNumberFormat="1" applyFont="1" applyFill="1" applyAlignment="1">
      <alignment vertical="center"/>
    </xf>
    <xf numFmtId="38" fontId="224" fillId="70" borderId="60" xfId="0" applyNumberFormat="1" applyFont="1" applyFill="1" applyBorder="1" applyAlignment="1">
      <alignment vertical="center"/>
    </xf>
    <xf numFmtId="177" fontId="132" fillId="0" borderId="0" xfId="0" applyNumberFormat="1" applyFont="1" applyAlignment="1">
      <alignment vertical="center"/>
    </xf>
    <xf numFmtId="177" fontId="132" fillId="0" borderId="0" xfId="948" applyNumberFormat="1" applyFont="1" applyAlignment="1">
      <alignment vertical="center"/>
    </xf>
    <xf numFmtId="3" fontId="227" fillId="69" borderId="42" xfId="0" applyNumberFormat="1" applyFont="1" applyFill="1" applyBorder="1" applyAlignment="1">
      <alignment vertical="center"/>
    </xf>
    <xf numFmtId="0" fontId="227" fillId="69" borderId="43" xfId="0" applyFont="1" applyFill="1" applyBorder="1" applyAlignment="1">
      <alignment horizontal="center" vertical="center"/>
    </xf>
    <xf numFmtId="179" fontId="227" fillId="69" borderId="0" xfId="0" applyNumberFormat="1" applyFont="1" applyFill="1" applyAlignment="1">
      <alignment vertical="center"/>
    </xf>
    <xf numFmtId="3" fontId="290" fillId="91" borderId="0" xfId="0" applyNumberFormat="1" applyFont="1" applyFill="1" applyAlignment="1">
      <alignment horizontal="center" vertical="center" wrapText="1"/>
    </xf>
    <xf numFmtId="3" fontId="319" fillId="0" borderId="0" xfId="0" applyNumberFormat="1" applyFont="1" applyAlignment="1">
      <alignment horizontal="center" vertical="center"/>
    </xf>
    <xf numFmtId="3" fontId="320" fillId="74" borderId="0" xfId="0" applyNumberFormat="1" applyFont="1" applyFill="1" applyAlignment="1">
      <alignment horizontal="center" vertical="center"/>
    </xf>
    <xf numFmtId="3" fontId="319" fillId="0" borderId="61" xfId="0" applyNumberFormat="1" applyFont="1" applyBorder="1" applyAlignment="1">
      <alignment horizontal="center" vertical="center"/>
    </xf>
    <xf numFmtId="4" fontId="321" fillId="0" borderId="0" xfId="0" applyNumberFormat="1" applyFont="1" applyAlignment="1">
      <alignment horizontal="center" vertical="center" wrapText="1"/>
    </xf>
    <xf numFmtId="3" fontId="322" fillId="0" borderId="37" xfId="0" applyNumberFormat="1" applyFont="1" applyBorder="1" applyAlignment="1">
      <alignment horizontal="center" vertical="center"/>
    </xf>
    <xf numFmtId="3" fontId="322" fillId="0" borderId="40" xfId="0" applyNumberFormat="1" applyFont="1" applyBorder="1" applyAlignment="1">
      <alignment horizontal="center" vertical="center"/>
    </xf>
    <xf numFmtId="3" fontId="322" fillId="74" borderId="44" xfId="0" applyNumberFormat="1" applyFont="1" applyFill="1" applyBorder="1" applyAlignment="1">
      <alignment horizontal="center" vertical="center"/>
    </xf>
    <xf numFmtId="3" fontId="322" fillId="88" borderId="47" xfId="0" applyNumberFormat="1" applyFont="1" applyFill="1" applyBorder="1" applyAlignment="1">
      <alignment horizontal="center" vertical="center"/>
    </xf>
    <xf numFmtId="3" fontId="322" fillId="88" borderId="37" xfId="0" applyNumberFormat="1" applyFont="1" applyFill="1" applyBorder="1" applyAlignment="1">
      <alignment horizontal="center" vertical="center"/>
    </xf>
    <xf numFmtId="3" fontId="322" fillId="88" borderId="40" xfId="0" applyNumberFormat="1" applyFont="1" applyFill="1" applyBorder="1" applyAlignment="1">
      <alignment horizontal="center" vertical="center"/>
    </xf>
    <xf numFmtId="211" fontId="320" fillId="74" borderId="43" xfId="0" applyNumberFormat="1" applyFont="1" applyFill="1" applyBorder="1" applyAlignment="1">
      <alignment horizontal="center" vertical="center" wrapText="1"/>
    </xf>
    <xf numFmtId="211" fontId="166" fillId="77" borderId="59" xfId="0" applyNumberFormat="1" applyFont="1" applyFill="1" applyBorder="1" applyAlignment="1">
      <alignment horizontal="center" vertical="center" wrapText="1"/>
    </xf>
    <xf numFmtId="211" fontId="166" fillId="77" borderId="39" xfId="0" applyNumberFormat="1" applyFont="1" applyFill="1" applyBorder="1" applyAlignment="1">
      <alignment horizontal="center" vertical="center" wrapText="1"/>
    </xf>
    <xf numFmtId="3" fontId="145" fillId="71" borderId="0" xfId="0" quotePrefix="1" applyNumberFormat="1" applyFont="1" applyFill="1" applyAlignment="1">
      <alignment horizontal="center" vertical="center"/>
    </xf>
    <xf numFmtId="4" fontId="166" fillId="77" borderId="39" xfId="0" applyNumberFormat="1" applyFont="1" applyFill="1" applyBorder="1" applyAlignment="1">
      <alignment horizontal="center" vertical="center" wrapText="1"/>
    </xf>
    <xf numFmtId="3" fontId="166" fillId="77" borderId="0" xfId="0" applyNumberFormat="1" applyFont="1" applyFill="1" applyAlignment="1">
      <alignment horizontal="center" vertical="center" wrapText="1"/>
    </xf>
    <xf numFmtId="3" fontId="320" fillId="74" borderId="0" xfId="0" applyNumberFormat="1" applyFont="1" applyFill="1" applyAlignment="1">
      <alignment horizontal="center" vertical="center" wrapText="1"/>
    </xf>
    <xf numFmtId="3" fontId="166" fillId="78" borderId="59" xfId="0" applyNumberFormat="1" applyFont="1" applyFill="1" applyBorder="1" applyAlignment="1">
      <alignment horizontal="center" vertical="center" wrapText="1"/>
    </xf>
    <xf numFmtId="3" fontId="166" fillId="78" borderId="39" xfId="0" applyNumberFormat="1" applyFont="1" applyFill="1" applyBorder="1" applyAlignment="1">
      <alignment horizontal="center" vertical="center" wrapText="1"/>
    </xf>
    <xf numFmtId="3" fontId="166" fillId="78" borderId="0" xfId="0" applyNumberFormat="1" applyFont="1" applyFill="1" applyAlignment="1">
      <alignment horizontal="center" vertical="center" wrapText="1"/>
    </xf>
    <xf numFmtId="211" fontId="321" fillId="0" borderId="0" xfId="0" applyNumberFormat="1" applyFont="1" applyAlignment="1">
      <alignment vertical="center"/>
    </xf>
    <xf numFmtId="211" fontId="166" fillId="77" borderId="0" xfId="0" applyNumberFormat="1" applyFont="1" applyFill="1" applyAlignment="1">
      <alignment horizontal="center" vertical="center" wrapText="1"/>
    </xf>
    <xf numFmtId="3" fontId="166" fillId="78" borderId="43" xfId="0" applyNumberFormat="1" applyFont="1" applyFill="1" applyBorder="1" applyAlignment="1">
      <alignment horizontal="center" vertical="center" wrapText="1"/>
    </xf>
    <xf numFmtId="178" fontId="166" fillId="0" borderId="0" xfId="0" applyNumberFormat="1" applyFont="1" applyAlignment="1">
      <alignment horizontal="center" vertical="center" wrapText="1"/>
    </xf>
    <xf numFmtId="180" fontId="166" fillId="0" borderId="0" xfId="0" applyNumberFormat="1" applyFont="1" applyAlignment="1">
      <alignment horizontal="center" vertical="center" wrapText="1"/>
    </xf>
    <xf numFmtId="181" fontId="166" fillId="77" borderId="0" xfId="0" applyNumberFormat="1" applyFont="1" applyFill="1" applyAlignment="1">
      <alignment horizontal="center" vertical="center" wrapText="1"/>
    </xf>
    <xf numFmtId="211" fontId="166" fillId="88" borderId="0" xfId="0" applyNumberFormat="1" applyFont="1" applyFill="1" applyAlignment="1">
      <alignment horizontal="center" vertical="center" wrapText="1"/>
    </xf>
    <xf numFmtId="3" fontId="315" fillId="75" borderId="43" xfId="0" applyNumberFormat="1" applyFont="1" applyFill="1" applyBorder="1" applyAlignment="1">
      <alignment horizontal="center" vertical="center" wrapText="1"/>
    </xf>
    <xf numFmtId="3" fontId="323" fillId="86" borderId="0" xfId="0" applyNumberFormat="1" applyFont="1" applyFill="1" applyAlignment="1">
      <alignment horizontal="center" vertical="center" wrapText="1"/>
    </xf>
    <xf numFmtId="3" fontId="320" fillId="77" borderId="0" xfId="0" applyNumberFormat="1" applyFont="1" applyFill="1" applyAlignment="1">
      <alignment horizontal="center" vertical="center" wrapText="1"/>
    </xf>
    <xf numFmtId="3" fontId="315" fillId="81" borderId="59" xfId="0" applyNumberFormat="1" applyFont="1" applyFill="1" applyBorder="1" applyAlignment="1">
      <alignment horizontal="center" vertical="center" wrapText="1"/>
    </xf>
    <xf numFmtId="180" fontId="315" fillId="81" borderId="39" xfId="3689" applyNumberFormat="1" applyFont="1" applyFill="1" applyBorder="1" applyAlignment="1">
      <alignment horizontal="center" vertical="center" wrapText="1"/>
    </xf>
    <xf numFmtId="180" fontId="166" fillId="77" borderId="0" xfId="3689" applyNumberFormat="1" applyFont="1" applyFill="1" applyAlignment="1">
      <alignment horizontal="center" vertical="center" wrapText="1"/>
    </xf>
    <xf numFmtId="10" fontId="315" fillId="77" borderId="60" xfId="3689" applyNumberFormat="1" applyFont="1" applyFill="1" applyBorder="1" applyAlignment="1">
      <alignment horizontal="center" vertical="center" wrapText="1"/>
    </xf>
    <xf numFmtId="3" fontId="166" fillId="78" borderId="59" xfId="3689" applyNumberFormat="1" applyFont="1" applyFill="1" applyBorder="1" applyAlignment="1">
      <alignment horizontal="center" vertical="center" wrapText="1"/>
    </xf>
    <xf numFmtId="10" fontId="166" fillId="78" borderId="0" xfId="3689" applyNumberFormat="1" applyFont="1" applyFill="1" applyBorder="1" applyAlignment="1">
      <alignment horizontal="center" vertical="center" wrapText="1"/>
    </xf>
    <xf numFmtId="3" fontId="249" fillId="73" borderId="61" xfId="0" applyNumberFormat="1" applyFont="1" applyFill="1" applyBorder="1" applyAlignment="1">
      <alignment horizontal="center" vertical="center" wrapText="1"/>
    </xf>
    <xf numFmtId="180" fontId="249" fillId="73" borderId="60" xfId="3689" applyNumberFormat="1" applyFont="1" applyFill="1" applyBorder="1" applyAlignment="1">
      <alignment horizontal="center" vertical="center" wrapText="1"/>
    </xf>
    <xf numFmtId="10" fontId="146" fillId="77" borderId="0" xfId="3689" applyNumberFormat="1" applyFont="1" applyFill="1" applyBorder="1" applyAlignment="1">
      <alignment horizontal="center" vertical="center" wrapText="1"/>
    </xf>
    <xf numFmtId="3" fontId="166" fillId="77" borderId="59" xfId="3689" applyNumberFormat="1" applyFont="1" applyFill="1" applyBorder="1" applyAlignment="1">
      <alignment horizontal="center" vertical="center" wrapText="1"/>
    </xf>
    <xf numFmtId="10" fontId="166" fillId="77" borderId="0" xfId="3689" applyNumberFormat="1" applyFont="1" applyFill="1" applyBorder="1" applyAlignment="1">
      <alignment horizontal="center" vertical="center" wrapText="1"/>
    </xf>
    <xf numFmtId="3" fontId="166" fillId="77" borderId="39" xfId="0" applyNumberFormat="1" applyFont="1" applyFill="1" applyBorder="1" applyAlignment="1">
      <alignment horizontal="center" vertical="center" wrapText="1"/>
    </xf>
    <xf numFmtId="180" fontId="166" fillId="0" borderId="0" xfId="3689" applyNumberFormat="1" applyFont="1" applyFill="1" applyAlignment="1">
      <alignment horizontal="center" vertical="center" wrapText="1"/>
    </xf>
    <xf numFmtId="180" fontId="166" fillId="0" borderId="60" xfId="3689" applyNumberFormat="1" applyFont="1" applyFill="1" applyBorder="1" applyAlignment="1">
      <alignment horizontal="center" vertical="center" wrapText="1"/>
    </xf>
    <xf numFmtId="3" fontId="166" fillId="70" borderId="0" xfId="0" applyNumberFormat="1" applyFont="1" applyFill="1" applyAlignment="1">
      <alignment horizontal="center" vertical="center" wrapText="1"/>
    </xf>
    <xf numFmtId="3" fontId="146" fillId="0" borderId="0" xfId="0" applyNumberFormat="1" applyFont="1" applyAlignment="1">
      <alignment horizontal="center" vertical="center" wrapText="1"/>
    </xf>
    <xf numFmtId="3" fontId="146" fillId="78" borderId="0" xfId="0" applyNumberFormat="1" applyFont="1" applyFill="1" applyAlignment="1">
      <alignment horizontal="center" vertical="center" wrapText="1"/>
    </xf>
    <xf numFmtId="3" fontId="255" fillId="92" borderId="0" xfId="0" applyNumberFormat="1" applyFont="1" applyFill="1" applyAlignment="1">
      <alignment horizontal="center" vertical="center"/>
    </xf>
    <xf numFmtId="3" fontId="255" fillId="92" borderId="0" xfId="0" applyNumberFormat="1" applyFont="1" applyFill="1" applyAlignment="1">
      <alignment horizontal="left" vertical="center"/>
    </xf>
    <xf numFmtId="4" fontId="290" fillId="92" borderId="0" xfId="0" applyNumberFormat="1" applyFont="1" applyFill="1" applyAlignment="1">
      <alignment horizontal="center" vertical="center" wrapText="1"/>
    </xf>
    <xf numFmtId="4" fontId="255" fillId="92" borderId="0" xfId="0" applyNumberFormat="1" applyFont="1" applyFill="1" applyAlignment="1">
      <alignment vertical="center"/>
    </xf>
    <xf numFmtId="3" fontId="255" fillId="92" borderId="60" xfId="0" applyNumberFormat="1" applyFont="1" applyFill="1" applyBorder="1" applyAlignment="1">
      <alignment horizontal="center" vertical="center"/>
    </xf>
    <xf numFmtId="3" fontId="255" fillId="92" borderId="60" xfId="0" applyNumberFormat="1" applyFont="1" applyFill="1" applyBorder="1" applyAlignment="1">
      <alignment horizontal="left" vertical="center"/>
    </xf>
    <xf numFmtId="3" fontId="290" fillId="92" borderId="60" xfId="0" applyNumberFormat="1" applyFont="1" applyFill="1" applyBorder="1" applyAlignment="1">
      <alignment horizontal="center" vertical="center" wrapText="1"/>
    </xf>
    <xf numFmtId="4" fontId="255" fillId="92" borderId="60" xfId="0" applyNumberFormat="1" applyFont="1" applyFill="1" applyBorder="1" applyAlignment="1">
      <alignment vertical="center"/>
    </xf>
    <xf numFmtId="3" fontId="159" fillId="91" borderId="0" xfId="0" applyNumberFormat="1" applyFont="1" applyFill="1" applyAlignment="1">
      <alignment horizontal="left" vertical="center"/>
    </xf>
    <xf numFmtId="3" fontId="159" fillId="91" borderId="0" xfId="944" applyNumberFormat="1" applyFont="1" applyFill="1" applyAlignment="1">
      <alignment horizontal="center" vertical="center" wrapText="1"/>
    </xf>
    <xf numFmtId="3" fontId="151" fillId="0" borderId="0" xfId="0" applyNumberFormat="1" applyFont="1" applyAlignment="1">
      <alignment horizontal="left" vertical="center"/>
    </xf>
    <xf numFmtId="3" fontId="151" fillId="0" borderId="0" xfId="1092" applyNumberFormat="1" applyFont="1" applyAlignment="1">
      <alignment horizontal="left" vertical="center"/>
    </xf>
    <xf numFmtId="3" fontId="151" fillId="0" borderId="39" xfId="1092" applyNumberFormat="1" applyFont="1" applyBorder="1" applyAlignment="1">
      <alignment horizontal="left" vertical="center"/>
    </xf>
    <xf numFmtId="3" fontId="153" fillId="74" borderId="43" xfId="1092" applyNumberFormat="1" applyFont="1" applyFill="1" applyBorder="1" applyAlignment="1">
      <alignment horizontal="left" vertical="center"/>
    </xf>
    <xf numFmtId="3" fontId="151" fillId="88" borderId="59" xfId="1092" applyNumberFormat="1" applyFont="1" applyFill="1" applyBorder="1" applyAlignment="1">
      <alignment horizontal="left" vertical="center"/>
    </xf>
    <xf numFmtId="3" fontId="151" fillId="88" borderId="0" xfId="1092" applyNumberFormat="1" applyFont="1" applyFill="1" applyAlignment="1">
      <alignment horizontal="left" vertical="center"/>
    </xf>
    <xf numFmtId="3" fontId="151" fillId="88" borderId="39" xfId="1092" applyNumberFormat="1" applyFont="1" applyFill="1" applyBorder="1" applyAlignment="1">
      <alignment horizontal="left" vertical="center"/>
    </xf>
    <xf numFmtId="3" fontId="154" fillId="74" borderId="43" xfId="1092" applyNumberFormat="1" applyFont="1" applyFill="1" applyBorder="1" applyAlignment="1">
      <alignment horizontal="left" vertical="center"/>
    </xf>
    <xf numFmtId="3" fontId="151" fillId="77" borderId="59" xfId="0" applyNumberFormat="1" applyFont="1" applyFill="1" applyBorder="1" applyAlignment="1">
      <alignment horizontal="left" vertical="center"/>
    </xf>
    <xf numFmtId="3" fontId="151" fillId="77" borderId="39" xfId="0" applyNumberFormat="1" applyFont="1" applyFill="1" applyBorder="1" applyAlignment="1">
      <alignment horizontal="left" vertical="center"/>
    </xf>
    <xf numFmtId="3" fontId="151" fillId="71" borderId="0" xfId="0" quotePrefix="1" applyNumberFormat="1" applyFont="1" applyFill="1" applyAlignment="1">
      <alignment horizontal="center" vertical="center"/>
    </xf>
    <xf numFmtId="3" fontId="150" fillId="77" borderId="59" xfId="0" applyNumberFormat="1" applyFont="1" applyFill="1" applyBorder="1" applyAlignment="1">
      <alignment horizontal="left" vertical="center"/>
    </xf>
    <xf numFmtId="3" fontId="150" fillId="77" borderId="0" xfId="0" applyNumberFormat="1" applyFont="1" applyFill="1" applyAlignment="1">
      <alignment horizontal="left" vertical="center"/>
    </xf>
    <xf numFmtId="3" fontId="150" fillId="77" borderId="39" xfId="0" applyNumberFormat="1" applyFont="1" applyFill="1" applyBorder="1" applyAlignment="1">
      <alignment horizontal="left" vertical="center"/>
    </xf>
    <xf numFmtId="3" fontId="151" fillId="77" borderId="0" xfId="1092" applyNumberFormat="1" applyFont="1" applyFill="1" applyAlignment="1">
      <alignment horizontal="left" vertical="center"/>
    </xf>
    <xf numFmtId="3" fontId="151" fillId="75" borderId="0" xfId="1092" applyNumberFormat="1" applyFont="1" applyFill="1" applyAlignment="1">
      <alignment horizontal="left" vertical="center"/>
    </xf>
    <xf numFmtId="3" fontId="151" fillId="84" borderId="0" xfId="1092" applyNumberFormat="1" applyFont="1" applyFill="1" applyAlignment="1">
      <alignment horizontal="left" vertical="center"/>
    </xf>
    <xf numFmtId="3" fontId="151" fillId="77" borderId="0" xfId="0" applyNumberFormat="1" applyFont="1" applyFill="1" applyAlignment="1">
      <alignment horizontal="left" vertical="center"/>
    </xf>
    <xf numFmtId="3" fontId="165" fillId="77" borderId="0" xfId="1083" applyNumberFormat="1" applyFont="1" applyFill="1" applyAlignment="1">
      <alignment horizontal="left" vertical="center"/>
    </xf>
    <xf numFmtId="3" fontId="150" fillId="78" borderId="59" xfId="0" applyNumberFormat="1" applyFont="1" applyFill="1" applyBorder="1" applyAlignment="1">
      <alignment horizontal="left" vertical="center"/>
    </xf>
    <xf numFmtId="3" fontId="150" fillId="78" borderId="39" xfId="1092" applyNumberFormat="1" applyFont="1" applyFill="1" applyBorder="1" applyAlignment="1">
      <alignment horizontal="left" vertical="center"/>
    </xf>
    <xf numFmtId="3" fontId="150" fillId="78" borderId="0" xfId="0" applyNumberFormat="1" applyFont="1" applyFill="1" applyAlignment="1">
      <alignment horizontal="left" vertical="center"/>
    </xf>
    <xf numFmtId="194" fontId="327" fillId="0" borderId="0" xfId="0" applyNumberFormat="1" applyFont="1" applyAlignment="1">
      <alignment vertical="center"/>
    </xf>
    <xf numFmtId="3" fontId="150" fillId="75" borderId="43" xfId="1092" applyNumberFormat="1" applyFont="1" applyFill="1" applyBorder="1" applyAlignment="1">
      <alignment horizontal="left" vertical="center"/>
    </xf>
    <xf numFmtId="3" fontId="158" fillId="74" borderId="43" xfId="1092" applyNumberFormat="1" applyFont="1" applyFill="1" applyBorder="1" applyAlignment="1">
      <alignment horizontal="left" vertical="center"/>
    </xf>
    <xf numFmtId="3" fontId="150" fillId="78" borderId="43" xfId="0" applyNumberFormat="1" applyFont="1" applyFill="1" applyBorder="1" applyAlignment="1">
      <alignment vertical="center"/>
    </xf>
    <xf numFmtId="3" fontId="159" fillId="92" borderId="0" xfId="0" applyNumberFormat="1" applyFont="1" applyFill="1" applyAlignment="1">
      <alignment horizontal="left" vertical="center"/>
    </xf>
    <xf numFmtId="3" fontId="159" fillId="92" borderId="60" xfId="0" applyNumberFormat="1" applyFont="1" applyFill="1" applyBorder="1" applyAlignment="1">
      <alignment horizontal="left" vertical="center"/>
    </xf>
    <xf numFmtId="3" fontId="163" fillId="77" borderId="0" xfId="1092" applyNumberFormat="1" applyFont="1" applyFill="1" applyAlignment="1">
      <alignment horizontal="left" vertical="center"/>
    </xf>
    <xf numFmtId="3" fontId="164" fillId="77" borderId="0" xfId="1092" applyNumberFormat="1" applyFont="1" applyFill="1" applyAlignment="1">
      <alignment horizontal="left" vertical="center"/>
    </xf>
    <xf numFmtId="181" fontId="158" fillId="78" borderId="0" xfId="1092" applyNumberFormat="1" applyFont="1" applyFill="1" applyAlignment="1">
      <alignment horizontal="left" vertical="center"/>
    </xf>
    <xf numFmtId="3" fontId="326" fillId="74" borderId="43" xfId="1092" applyNumberFormat="1" applyFont="1" applyFill="1" applyBorder="1" applyAlignment="1">
      <alignment horizontal="left" vertical="center" wrapText="1"/>
    </xf>
    <xf numFmtId="3" fontId="154" fillId="74" borderId="43" xfId="1092" applyNumberFormat="1" applyFont="1" applyFill="1" applyBorder="1" applyAlignment="1">
      <alignment horizontal="left" vertical="center" wrapText="1"/>
    </xf>
    <xf numFmtId="3" fontId="152" fillId="75" borderId="43" xfId="1092" applyNumberFormat="1" applyFont="1" applyFill="1" applyBorder="1" applyAlignment="1">
      <alignment horizontal="left" vertical="center"/>
    </xf>
    <xf numFmtId="3" fontId="328" fillId="86" borderId="0" xfId="1092" applyNumberFormat="1" applyFont="1" applyFill="1" applyAlignment="1">
      <alignment horizontal="left" vertical="center"/>
    </xf>
    <xf numFmtId="181" fontId="158" fillId="77" borderId="0" xfId="1092" applyNumberFormat="1" applyFont="1" applyFill="1" applyAlignment="1">
      <alignment horizontal="left" vertical="center"/>
    </xf>
    <xf numFmtId="3" fontId="158" fillId="77" borderId="0" xfId="1092" applyNumberFormat="1" applyFont="1" applyFill="1" applyAlignment="1">
      <alignment horizontal="left" vertical="center"/>
    </xf>
    <xf numFmtId="3" fontId="156" fillId="69" borderId="43" xfId="1092" applyNumberFormat="1" applyFont="1" applyFill="1" applyBorder="1" applyAlignment="1">
      <alignment horizontal="left" vertical="center" wrapText="1"/>
    </xf>
    <xf numFmtId="3" fontId="154" fillId="69" borderId="43" xfId="1092" applyNumberFormat="1" applyFont="1" applyFill="1" applyBorder="1" applyAlignment="1">
      <alignment horizontal="left" vertical="center" wrapText="1"/>
    </xf>
    <xf numFmtId="3" fontId="154" fillId="69" borderId="43" xfId="1092" applyNumberFormat="1" applyFont="1" applyFill="1" applyBorder="1" applyAlignment="1">
      <alignment horizontal="left" vertical="center"/>
    </xf>
    <xf numFmtId="3" fontId="154" fillId="77" borderId="0" xfId="0" applyNumberFormat="1" applyFont="1" applyFill="1" applyAlignment="1">
      <alignment horizontal="left" vertical="center"/>
    </xf>
    <xf numFmtId="3" fontId="153" fillId="81" borderId="59" xfId="0" applyNumberFormat="1" applyFont="1" applyFill="1" applyBorder="1" applyAlignment="1">
      <alignment horizontal="left" vertical="center"/>
    </xf>
    <xf numFmtId="3" fontId="153" fillId="81" borderId="39" xfId="0" applyNumberFormat="1" applyFont="1" applyFill="1" applyBorder="1" applyAlignment="1">
      <alignment horizontal="left" vertical="center"/>
    </xf>
    <xf numFmtId="3" fontId="327" fillId="77" borderId="60" xfId="0" applyNumberFormat="1" applyFont="1" applyFill="1" applyBorder="1" applyAlignment="1">
      <alignment horizontal="left" vertical="center"/>
    </xf>
    <xf numFmtId="3" fontId="150" fillId="78" borderId="59" xfId="1092" applyNumberFormat="1" applyFont="1" applyFill="1" applyBorder="1" applyAlignment="1">
      <alignment horizontal="left" vertical="center"/>
    </xf>
    <xf numFmtId="3" fontId="150" fillId="78" borderId="0" xfId="1092" applyNumberFormat="1" applyFont="1" applyFill="1" applyAlignment="1">
      <alignment horizontal="left" vertical="center"/>
    </xf>
    <xf numFmtId="3" fontId="150" fillId="78" borderId="39" xfId="0" applyNumberFormat="1" applyFont="1" applyFill="1" applyBorder="1" applyAlignment="1">
      <alignment horizontal="left" vertical="center"/>
    </xf>
    <xf numFmtId="4" fontId="327" fillId="0" borderId="0" xfId="0" applyNumberFormat="1" applyFont="1" applyAlignment="1">
      <alignment vertical="center"/>
    </xf>
    <xf numFmtId="3" fontId="156" fillId="73" borderId="61" xfId="0" applyNumberFormat="1" applyFont="1" applyFill="1" applyBorder="1" applyAlignment="1">
      <alignment horizontal="left" vertical="center"/>
    </xf>
    <xf numFmtId="3" fontId="156" fillId="73" borderId="60" xfId="0" applyNumberFormat="1" applyFont="1" applyFill="1" applyBorder="1" applyAlignment="1">
      <alignment horizontal="left" vertical="center"/>
    </xf>
    <xf numFmtId="3" fontId="327" fillId="77" borderId="0" xfId="0" applyNumberFormat="1" applyFont="1" applyFill="1" applyAlignment="1">
      <alignment horizontal="left" vertical="center"/>
    </xf>
    <xf numFmtId="3" fontId="150" fillId="77" borderId="59" xfId="1092" applyNumberFormat="1" applyFont="1" applyFill="1" applyBorder="1" applyAlignment="1">
      <alignment horizontal="left" vertical="center"/>
    </xf>
    <xf numFmtId="3" fontId="150" fillId="77" borderId="0" xfId="1092" applyNumberFormat="1" applyFont="1" applyFill="1" applyAlignment="1">
      <alignment horizontal="left" vertical="center"/>
    </xf>
    <xf numFmtId="3" fontId="329" fillId="0" borderId="0" xfId="0" applyNumberFormat="1" applyFont="1" applyAlignment="1">
      <alignment vertical="center"/>
    </xf>
    <xf numFmtId="3" fontId="151" fillId="0" borderId="60" xfId="0" applyNumberFormat="1" applyFont="1" applyBorder="1" applyAlignment="1">
      <alignment horizontal="left" vertical="center"/>
    </xf>
    <xf numFmtId="3" fontId="150" fillId="70" borderId="0" xfId="0" applyNumberFormat="1" applyFont="1" applyFill="1" applyAlignment="1">
      <alignment horizontal="left" vertical="center"/>
    </xf>
    <xf numFmtId="3" fontId="151" fillId="84" borderId="59" xfId="1092" applyNumberFormat="1" applyFont="1" applyFill="1" applyBorder="1" applyAlignment="1">
      <alignment horizontal="left" vertical="center"/>
    </xf>
    <xf numFmtId="3" fontId="158" fillId="75" borderId="43" xfId="1092" applyNumberFormat="1" applyFont="1" applyFill="1" applyBorder="1" applyAlignment="1">
      <alignment horizontal="left" vertical="center"/>
    </xf>
    <xf numFmtId="3" fontId="151" fillId="0" borderId="0" xfId="0" applyNumberFormat="1" applyFont="1" applyAlignment="1">
      <alignment vertical="center"/>
    </xf>
    <xf numFmtId="0" fontId="236" fillId="71" borderId="6" xfId="1090" applyFont="1" applyFill="1" applyBorder="1" applyAlignment="1">
      <alignment horizontal="center"/>
    </xf>
    <xf numFmtId="3" fontId="236" fillId="72" borderId="6" xfId="1090" applyNumberFormat="1" applyFont="1" applyFill="1" applyBorder="1" applyAlignment="1">
      <alignment horizontal="left"/>
    </xf>
    <xf numFmtId="3" fontId="236" fillId="71" borderId="6" xfId="1090" applyNumberFormat="1" applyFont="1" applyFill="1" applyBorder="1" applyAlignment="1">
      <alignment horizontal="left"/>
    </xf>
    <xf numFmtId="0" fontId="236" fillId="72" borderId="6" xfId="1090" applyFont="1" applyFill="1" applyBorder="1" applyAlignment="1">
      <alignment horizontal="left"/>
    </xf>
    <xf numFmtId="0" fontId="236" fillId="0" borderId="0" xfId="1090" applyFont="1"/>
    <xf numFmtId="0" fontId="236" fillId="71" borderId="6" xfId="0" applyFont="1" applyFill="1" applyBorder="1" applyAlignment="1">
      <alignment horizontal="center"/>
    </xf>
    <xf numFmtId="0" fontId="236" fillId="72" borderId="6" xfId="1090" applyFont="1" applyFill="1" applyBorder="1"/>
    <xf numFmtId="0" fontId="236" fillId="0" borderId="0" xfId="1086" applyFont="1"/>
    <xf numFmtId="0" fontId="236" fillId="0" borderId="0" xfId="0" applyFont="1" applyAlignment="1">
      <alignment horizontal="left"/>
    </xf>
    <xf numFmtId="0" fontId="236" fillId="71" borderId="6" xfId="0" applyFont="1" applyFill="1" applyBorder="1" applyAlignment="1">
      <alignment horizontal="center" vertical="center" wrapText="1"/>
    </xf>
    <xf numFmtId="0" fontId="236" fillId="71" borderId="6" xfId="1090" applyFont="1" applyFill="1" applyBorder="1" applyAlignment="1">
      <alignment horizontal="left"/>
    </xf>
    <xf numFmtId="0" fontId="236" fillId="71" borderId="6" xfId="0" applyFont="1" applyFill="1" applyBorder="1" applyAlignment="1">
      <alignment horizontal="left"/>
    </xf>
    <xf numFmtId="0" fontId="236" fillId="71" borderId="33" xfId="0" applyFont="1" applyFill="1" applyBorder="1" applyAlignment="1">
      <alignment horizontal="center" vertical="center" wrapText="1"/>
    </xf>
    <xf numFmtId="0" fontId="236" fillId="71" borderId="6" xfId="1090" applyFont="1" applyFill="1" applyBorder="1"/>
    <xf numFmtId="0" fontId="236" fillId="71" borderId="6" xfId="0" applyFont="1" applyFill="1" applyBorder="1" applyAlignment="1">
      <alignment horizontal="centerContinuous" vertical="center" wrapText="1"/>
    </xf>
    <xf numFmtId="0" fontId="236" fillId="0" borderId="0" xfId="1091" applyFont="1"/>
    <xf numFmtId="4" fontId="219" fillId="0" borderId="0" xfId="1090" applyNumberFormat="1" applyFont="1"/>
    <xf numFmtId="4" fontId="224" fillId="0" borderId="0" xfId="1090" applyNumberFormat="1" applyFont="1"/>
    <xf numFmtId="0" fontId="176" fillId="0" borderId="6" xfId="0" applyFont="1" applyBorder="1" applyAlignment="1">
      <alignment horizontal="left"/>
    </xf>
    <xf numFmtId="0" fontId="123" fillId="0" borderId="0" xfId="0" applyFont="1" applyAlignment="1">
      <alignment horizontal="centerContinuous" vertical="center" wrapText="1"/>
    </xf>
    <xf numFmtId="17" fontId="122" fillId="0" borderId="0" xfId="0" applyNumberFormat="1" applyFont="1" applyAlignment="1">
      <alignment horizontal="center"/>
    </xf>
    <xf numFmtId="3" fontId="191" fillId="0" borderId="0" xfId="0" applyNumberFormat="1" applyFont="1"/>
    <xf numFmtId="3" fontId="175" fillId="0" borderId="0" xfId="0" applyNumberFormat="1" applyFont="1"/>
    <xf numFmtId="210" fontId="256" fillId="0" borderId="0" xfId="0" applyNumberFormat="1" applyFont="1"/>
    <xf numFmtId="3" fontId="189" fillId="0" borderId="0" xfId="1081" applyNumberFormat="1" applyFont="1" applyAlignment="1">
      <alignment vertical="center"/>
    </xf>
    <xf numFmtId="0" fontId="131" fillId="0" borderId="0" xfId="1081" applyFont="1"/>
    <xf numFmtId="3" fontId="132" fillId="0" borderId="6" xfId="1086" applyNumberFormat="1" applyFont="1" applyBorder="1"/>
    <xf numFmtId="10" fontId="132" fillId="0" borderId="6" xfId="1081" applyNumberFormat="1" applyFont="1" applyBorder="1"/>
    <xf numFmtId="168" fontId="133" fillId="0" borderId="0" xfId="547" applyFont="1" applyFill="1" applyBorder="1" applyAlignment="1">
      <alignment vertical="center"/>
    </xf>
    <xf numFmtId="168" fontId="225" fillId="0" borderId="0" xfId="156" applyFont="1" applyFill="1" applyBorder="1" applyAlignment="1">
      <alignment vertical="center"/>
    </xf>
    <xf numFmtId="168" fontId="133" fillId="0" borderId="0" xfId="547" applyFont="1" applyFill="1" applyBorder="1" applyAlignment="1">
      <alignment horizontal="left" vertical="center"/>
    </xf>
    <xf numFmtId="168" fontId="236" fillId="80" borderId="0" xfId="547" applyFont="1" applyFill="1" applyBorder="1" applyAlignment="1">
      <alignment horizontal="center" vertical="center"/>
    </xf>
    <xf numFmtId="168" fontId="237" fillId="80" borderId="0" xfId="547" applyFont="1" applyFill="1" applyBorder="1" applyAlignment="1">
      <alignment vertical="center"/>
    </xf>
    <xf numFmtId="168" fontId="236" fillId="80" borderId="0" xfId="547" applyFont="1" applyFill="1" applyBorder="1" applyAlignment="1">
      <alignment horizontal="left" vertical="center"/>
    </xf>
    <xf numFmtId="168" fontId="237" fillId="80" borderId="0" xfId="547" applyFont="1" applyFill="1" applyBorder="1" applyAlignment="1">
      <alignment horizontal="center" vertical="center"/>
    </xf>
    <xf numFmtId="168" fontId="237" fillId="80" borderId="0" xfId="156" applyFont="1" applyFill="1" applyBorder="1" applyAlignment="1">
      <alignment vertical="center"/>
    </xf>
    <xf numFmtId="0" fontId="330" fillId="0" borderId="0" xfId="0" applyFont="1"/>
    <xf numFmtId="17" fontId="148" fillId="71" borderId="6" xfId="1091" applyNumberFormat="1" applyFont="1" applyFill="1" applyBorder="1" applyAlignment="1">
      <alignment horizontal="centerContinuous" vertical="center"/>
    </xf>
    <xf numFmtId="0" fontId="131" fillId="88" borderId="6" xfId="0" applyFont="1" applyFill="1" applyBorder="1" applyAlignment="1">
      <alignment horizontal="centerContinuous" vertical="center"/>
    </xf>
    <xf numFmtId="0" fontId="126" fillId="88" borderId="6" xfId="0" applyFont="1" applyFill="1" applyBorder="1" applyAlignment="1">
      <alignment horizontal="centerContinuous" vertical="center"/>
    </xf>
    <xf numFmtId="0" fontId="122" fillId="88" borderId="6" xfId="0" applyFont="1" applyFill="1" applyBorder="1" applyAlignment="1">
      <alignment horizontal="centerContinuous" vertical="center" wrapText="1"/>
    </xf>
    <xf numFmtId="0" fontId="131" fillId="88" borderId="6" xfId="0" applyFont="1" applyFill="1" applyBorder="1" applyAlignment="1">
      <alignment horizontal="center" vertical="center" wrapText="1"/>
    </xf>
    <xf numFmtId="0" fontId="126" fillId="88" borderId="6" xfId="0" applyFont="1" applyFill="1" applyBorder="1" applyAlignment="1">
      <alignment horizontal="center" vertical="center" wrapText="1"/>
    </xf>
    <xf numFmtId="0" fontId="143" fillId="88" borderId="6" xfId="0" applyFont="1" applyFill="1" applyBorder="1" applyAlignment="1">
      <alignment horizontal="centerContinuous" vertical="center" wrapText="1"/>
    </xf>
    <xf numFmtId="0" fontId="170" fillId="88" borderId="6" xfId="0" applyFont="1" applyFill="1" applyBorder="1" applyAlignment="1">
      <alignment horizontal="centerContinuous" vertical="center" wrapText="1"/>
    </xf>
    <xf numFmtId="0" fontId="171" fillId="88" borderId="6" xfId="0" applyFont="1" applyFill="1" applyBorder="1" applyAlignment="1">
      <alignment horizontal="center" vertical="center" wrapText="1"/>
    </xf>
    <xf numFmtId="0" fontId="240" fillId="87" borderId="6" xfId="0" applyFont="1" applyFill="1" applyBorder="1" applyAlignment="1">
      <alignment horizontal="centerContinuous" vertical="center" wrapText="1"/>
    </xf>
    <xf numFmtId="0" fontId="132" fillId="87" borderId="6" xfId="0" applyFont="1" applyFill="1" applyBorder="1" applyAlignment="1">
      <alignment horizontal="centerContinuous" vertical="center" wrapText="1"/>
    </xf>
    <xf numFmtId="0" fontId="240" fillId="87" borderId="6" xfId="0" applyFont="1" applyFill="1" applyBorder="1" applyAlignment="1">
      <alignment horizontal="center" vertical="center" wrapText="1"/>
    </xf>
    <xf numFmtId="0" fontId="210" fillId="0" borderId="0" xfId="1090" applyFont="1"/>
    <xf numFmtId="0" fontId="210" fillId="77" borderId="6" xfId="1090" applyFont="1" applyFill="1" applyBorder="1"/>
    <xf numFmtId="178" fontId="210" fillId="77" borderId="6" xfId="1090" applyNumberFormat="1" applyFont="1" applyFill="1" applyBorder="1"/>
    <xf numFmtId="178" fontId="148" fillId="77" borderId="6" xfId="1090" applyNumberFormat="1" applyFont="1" applyFill="1" applyBorder="1"/>
    <xf numFmtId="0" fontId="127" fillId="0" borderId="0" xfId="1090" applyFont="1" applyAlignment="1">
      <alignment horizontal="center"/>
    </xf>
    <xf numFmtId="17" fontId="143" fillId="0" borderId="33" xfId="1086" applyNumberFormat="1" applyFont="1" applyBorder="1" applyAlignment="1">
      <alignment horizontal="left" indent="2"/>
    </xf>
    <xf numFmtId="3" fontId="217" fillId="0" borderId="33" xfId="1086" applyNumberFormat="1" applyFont="1" applyBorder="1" applyAlignment="1">
      <alignment vertical="center"/>
    </xf>
    <xf numFmtId="3" fontId="140" fillId="0" borderId="33" xfId="1086" applyNumberFormat="1" applyFont="1" applyBorder="1"/>
    <xf numFmtId="3" fontId="140" fillId="0" borderId="33" xfId="1086" applyNumberFormat="1" applyFont="1" applyBorder="1" applyAlignment="1">
      <alignment vertical="center"/>
    </xf>
    <xf numFmtId="17" fontId="143" fillId="0" borderId="67" xfId="1086" applyNumberFormat="1" applyFont="1" applyBorder="1" applyAlignment="1">
      <alignment horizontal="left" indent="2"/>
    </xf>
    <xf numFmtId="3" fontId="140" fillId="0" borderId="67" xfId="1086" applyNumberFormat="1" applyFont="1" applyBorder="1"/>
    <xf numFmtId="17" fontId="143" fillId="0" borderId="67" xfId="1086" applyNumberFormat="1" applyFont="1" applyBorder="1" applyAlignment="1">
      <alignment horizontal="left" wrapText="1" indent="2"/>
    </xf>
    <xf numFmtId="3" fontId="217" fillId="0" borderId="67" xfId="1086" applyNumberFormat="1" applyFont="1" applyBorder="1" applyAlignment="1">
      <alignment vertical="center"/>
    </xf>
    <xf numFmtId="3" fontId="140" fillId="0" borderId="67" xfId="1086" applyNumberFormat="1" applyFont="1" applyBorder="1" applyAlignment="1">
      <alignment vertical="center"/>
    </xf>
    <xf numFmtId="3" fontId="332" fillId="0" borderId="67" xfId="1086" applyNumberFormat="1" applyFont="1" applyBorder="1"/>
    <xf numFmtId="10" fontId="140" fillId="0" borderId="6" xfId="1081" applyNumberFormat="1" applyFont="1" applyBorder="1"/>
    <xf numFmtId="10" fontId="140" fillId="0" borderId="67" xfId="1081" applyNumberFormat="1" applyFont="1" applyBorder="1"/>
    <xf numFmtId="10" fontId="140" fillId="0" borderId="33" xfId="1081" applyNumberFormat="1" applyFont="1" applyBorder="1"/>
    <xf numFmtId="0" fontId="145" fillId="72" borderId="6" xfId="0" applyFont="1" applyFill="1" applyBorder="1" applyAlignment="1">
      <alignment horizontal="left" indent="1"/>
    </xf>
    <xf numFmtId="0" fontId="166" fillId="72" borderId="6" xfId="0" applyFont="1" applyFill="1" applyBorder="1" applyAlignment="1">
      <alignment horizontal="center"/>
    </xf>
    <xf numFmtId="178" fontId="145" fillId="72" borderId="6" xfId="0" applyNumberFormat="1" applyFont="1" applyFill="1" applyBorder="1"/>
    <xf numFmtId="178" fontId="145" fillId="68" borderId="6" xfId="0" applyNumberFormat="1" applyFont="1" applyFill="1" applyBorder="1"/>
    <xf numFmtId="178" fontId="145" fillId="70" borderId="6" xfId="0" applyNumberFormat="1" applyFont="1" applyFill="1" applyBorder="1"/>
    <xf numFmtId="178" fontId="145" fillId="78" borderId="6" xfId="0" applyNumberFormat="1" applyFont="1" applyFill="1" applyBorder="1"/>
    <xf numFmtId="178" fontId="145" fillId="78" borderId="6" xfId="0" applyNumberFormat="1" applyFont="1" applyFill="1" applyBorder="1" applyAlignment="1">
      <alignment horizontal="center"/>
    </xf>
    <xf numFmtId="0" fontId="145" fillId="0" borderId="0" xfId="1091" applyFont="1"/>
    <xf numFmtId="3" fontId="204" fillId="70" borderId="6" xfId="1091" applyNumberFormat="1" applyFont="1" applyFill="1" applyBorder="1"/>
    <xf numFmtId="4" fontId="122" fillId="0" borderId="6" xfId="2059" applyNumberFormat="1" applyFont="1" applyBorder="1"/>
    <xf numFmtId="181" fontId="123" fillId="0" borderId="6" xfId="2059" applyNumberFormat="1" applyFont="1" applyBorder="1"/>
    <xf numFmtId="0" fontId="123" fillId="0" borderId="6" xfId="0" applyFont="1" applyBorder="1" applyAlignment="1">
      <alignment horizontal="left" indent="1"/>
    </xf>
    <xf numFmtId="3" fontId="198" fillId="0" borderId="0" xfId="0" applyNumberFormat="1" applyFont="1"/>
    <xf numFmtId="0" fontId="192" fillId="72" borderId="6" xfId="0" applyFont="1" applyFill="1" applyBorder="1" applyAlignment="1">
      <alignment horizontal="left"/>
    </xf>
    <xf numFmtId="3" fontId="123" fillId="72" borderId="6" xfId="0" applyNumberFormat="1" applyFont="1" applyFill="1" applyBorder="1"/>
    <xf numFmtId="4" fontId="123" fillId="72" borderId="6" xfId="2059" applyNumberFormat="1" applyFont="1" applyFill="1" applyBorder="1"/>
    <xf numFmtId="4" fontId="123" fillId="72" borderId="6" xfId="0" applyNumberFormat="1" applyFont="1" applyFill="1" applyBorder="1"/>
    <xf numFmtId="0" fontId="192" fillId="0" borderId="6" xfId="0" applyFont="1" applyBorder="1" applyAlignment="1">
      <alignment horizontal="left"/>
    </xf>
    <xf numFmtId="0" fontId="230" fillId="0" borderId="6" xfId="0" applyFont="1" applyBorder="1" applyAlignment="1">
      <alignment horizontal="left"/>
    </xf>
    <xf numFmtId="0" fontId="204" fillId="0" borderId="0" xfId="0" applyFont="1" applyAlignment="1">
      <alignment horizontal="center"/>
    </xf>
    <xf numFmtId="0" fontId="308" fillId="0" borderId="0" xfId="0" applyFont="1"/>
    <xf numFmtId="3" fontId="221" fillId="70" borderId="6" xfId="1091" applyNumberFormat="1" applyFont="1" applyFill="1" applyBorder="1"/>
    <xf numFmtId="0" fontId="268" fillId="0" borderId="0" xfId="0" applyFont="1" applyAlignment="1">
      <alignment vertical="center"/>
    </xf>
    <xf numFmtId="3" fontId="151" fillId="0" borderId="0" xfId="1081" applyNumberFormat="1" applyFont="1"/>
    <xf numFmtId="0" fontId="133" fillId="0" borderId="0" xfId="2070" applyFont="1"/>
    <xf numFmtId="0" fontId="133" fillId="0" borderId="0" xfId="2070" applyFont="1" applyAlignment="1">
      <alignment horizontal="center"/>
    </xf>
    <xf numFmtId="10" fontId="148" fillId="0" borderId="2" xfId="1138" applyNumberFormat="1" applyFont="1" applyFill="1" applyBorder="1" applyAlignment="1">
      <alignment horizontal="center" vertical="center"/>
    </xf>
    <xf numFmtId="17" fontId="148" fillId="0" borderId="2" xfId="1086" applyNumberFormat="1" applyFont="1" applyBorder="1" applyAlignment="1">
      <alignment horizontal="center" vertical="center"/>
    </xf>
    <xf numFmtId="175" fontId="148" fillId="0" borderId="2" xfId="1086" applyNumberFormat="1" applyFont="1" applyBorder="1" applyAlignment="1">
      <alignment horizontal="center" vertical="center"/>
    </xf>
    <xf numFmtId="10" fontId="148" fillId="0" borderId="2" xfId="1138" applyNumberFormat="1" applyFont="1" applyBorder="1" applyAlignment="1">
      <alignment horizontal="center" vertical="center"/>
    </xf>
    <xf numFmtId="17" fontId="171" fillId="0" borderId="2" xfId="1086" applyNumberFormat="1" applyFont="1" applyBorder="1" applyAlignment="1">
      <alignment horizontal="center" vertical="center"/>
    </xf>
    <xf numFmtId="175" fontId="171" fillId="0" borderId="2" xfId="1086" applyNumberFormat="1" applyFont="1" applyBorder="1" applyAlignment="1">
      <alignment horizontal="center" vertical="center"/>
    </xf>
    <xf numFmtId="10" fontId="171" fillId="0" borderId="2" xfId="1138" applyNumberFormat="1" applyFont="1" applyFill="1" applyBorder="1" applyAlignment="1">
      <alignment horizontal="center" vertical="center"/>
    </xf>
    <xf numFmtId="17" fontId="131" fillId="0" borderId="2" xfId="1086" applyNumberFormat="1" applyFont="1" applyBorder="1" applyAlignment="1">
      <alignment horizontal="center" vertical="center"/>
    </xf>
    <xf numFmtId="175" fontId="131" fillId="0" borderId="2" xfId="1086" applyNumberFormat="1" applyFont="1" applyBorder="1" applyAlignment="1">
      <alignment horizontal="center" vertical="center"/>
    </xf>
    <xf numFmtId="175" fontId="204" fillId="0" borderId="2" xfId="1086" applyNumberFormat="1" applyFont="1" applyBorder="1" applyAlignment="1">
      <alignment horizontal="center" vertical="center"/>
    </xf>
    <xf numFmtId="184" fontId="123" fillId="0" borderId="6" xfId="1088" applyNumberFormat="1" applyFont="1" applyBorder="1" applyAlignment="1">
      <alignment vertical="center" wrapText="1"/>
    </xf>
    <xf numFmtId="175" fontId="131" fillId="69" borderId="2" xfId="1086" applyNumberFormat="1" applyFont="1" applyFill="1" applyBorder="1" applyAlignment="1">
      <alignment horizontal="center" vertical="center"/>
    </xf>
    <xf numFmtId="0" fontId="171" fillId="0" borderId="0" xfId="0" applyFont="1" applyAlignment="1">
      <alignment horizontal="center"/>
    </xf>
    <xf numFmtId="3" fontId="335" fillId="0" borderId="0" xfId="1091" applyNumberFormat="1" applyFont="1"/>
    <xf numFmtId="0" fontId="306" fillId="71" borderId="0" xfId="0" applyFont="1" applyFill="1" applyAlignment="1">
      <alignment horizontal="centerContinuous"/>
    </xf>
    <xf numFmtId="0" fontId="241" fillId="71" borderId="0" xfId="0" applyFont="1" applyFill="1" applyAlignment="1">
      <alignment horizontal="centerContinuous"/>
    </xf>
    <xf numFmtId="17" fontId="334" fillId="71" borderId="0" xfId="1091" applyNumberFormat="1" applyFont="1" applyFill="1" applyAlignment="1">
      <alignment horizontal="center" vertical="center" wrapText="1"/>
    </xf>
    <xf numFmtId="0" fontId="131" fillId="0" borderId="6" xfId="1091" applyFont="1" applyBorder="1"/>
    <xf numFmtId="0" fontId="131" fillId="0" borderId="6" xfId="1091" applyFont="1" applyBorder="1" applyAlignment="1">
      <alignment horizontal="left" indent="1"/>
    </xf>
    <xf numFmtId="3" fontId="129" fillId="0" borderId="6" xfId="1091" applyNumberFormat="1" applyFont="1" applyBorder="1"/>
    <xf numFmtId="0" fontId="129" fillId="0" borderId="6" xfId="1091" applyFont="1" applyBorder="1"/>
    <xf numFmtId="0" fontId="129" fillId="0" borderId="6" xfId="1091" applyFont="1" applyBorder="1" applyAlignment="1">
      <alignment horizontal="left" indent="1"/>
    </xf>
    <xf numFmtId="0" fontId="134" fillId="0" borderId="6" xfId="1091" applyFont="1" applyBorder="1" applyAlignment="1">
      <alignment horizontal="left" indent="1"/>
    </xf>
    <xf numFmtId="0" fontId="129" fillId="0" borderId="6" xfId="1091" applyFont="1" applyBorder="1" applyAlignment="1">
      <alignment horizontal="left" wrapText="1" indent="1"/>
    </xf>
    <xf numFmtId="0" fontId="136" fillId="0" borderId="6" xfId="1091" applyFont="1" applyBorder="1" applyAlignment="1">
      <alignment horizontal="left" wrapText="1" indent="1"/>
    </xf>
    <xf numFmtId="0" fontId="131" fillId="78" borderId="6" xfId="1091" applyFont="1" applyFill="1" applyBorder="1"/>
    <xf numFmtId="3" fontId="131" fillId="78" borderId="6" xfId="1091" applyNumberFormat="1" applyFont="1" applyFill="1" applyBorder="1"/>
    <xf numFmtId="0" fontId="134" fillId="0" borderId="6" xfId="1091" applyFont="1" applyBorder="1"/>
    <xf numFmtId="0" fontId="129" fillId="0" borderId="22" xfId="1090" applyFont="1" applyBorder="1"/>
    <xf numFmtId="177" fontId="129" fillId="0" borderId="21" xfId="1090" applyNumberFormat="1" applyFont="1" applyBorder="1"/>
    <xf numFmtId="0" fontId="129" fillId="0" borderId="18" xfId="1090" applyFont="1" applyBorder="1"/>
    <xf numFmtId="0" fontId="129" fillId="0" borderId="19" xfId="1090" applyFont="1" applyBorder="1"/>
    <xf numFmtId="177" fontId="129" fillId="0" borderId="2" xfId="1090" applyNumberFormat="1" applyFont="1" applyBorder="1"/>
    <xf numFmtId="3" fontId="129" fillId="69" borderId="18" xfId="1084" applyNumberFormat="1" applyFont="1" applyFill="1" applyBorder="1"/>
    <xf numFmtId="3" fontId="210" fillId="69" borderId="18" xfId="1084" applyNumberFormat="1" applyFont="1" applyFill="1" applyBorder="1"/>
    <xf numFmtId="0" fontId="129" fillId="69" borderId="34" xfId="1084" applyFont="1" applyFill="1" applyBorder="1"/>
    <xf numFmtId="0" fontId="133" fillId="69" borderId="34" xfId="1084" applyFont="1" applyFill="1" applyBorder="1" applyAlignment="1">
      <alignment vertical="center" wrapText="1"/>
    </xf>
    <xf numFmtId="3" fontId="131" fillId="69" borderId="34" xfId="1084" applyNumberFormat="1" applyFont="1" applyFill="1" applyBorder="1"/>
    <xf numFmtId="17" fontId="131" fillId="69" borderId="2" xfId="1084" applyNumberFormat="1" applyFont="1" applyFill="1" applyBorder="1" applyAlignment="1">
      <alignment horizontal="center"/>
    </xf>
    <xf numFmtId="3" fontId="132" fillId="71" borderId="6" xfId="1086" applyNumberFormat="1" applyFont="1" applyFill="1" applyBorder="1"/>
    <xf numFmtId="10" fontId="189" fillId="73" borderId="33" xfId="1081" applyNumberFormat="1" applyFont="1" applyFill="1" applyBorder="1"/>
    <xf numFmtId="3" fontId="140" fillId="70" borderId="6" xfId="1086" applyNumberFormat="1" applyFont="1" applyFill="1" applyBorder="1"/>
    <xf numFmtId="3" fontId="140" fillId="70" borderId="67" xfId="1086" applyNumberFormat="1" applyFont="1" applyFill="1" applyBorder="1"/>
    <xf numFmtId="3" fontId="140" fillId="70" borderId="33" xfId="1086" applyNumberFormat="1" applyFont="1" applyFill="1" applyBorder="1" applyAlignment="1">
      <alignment vertical="center"/>
    </xf>
    <xf numFmtId="3" fontId="140" fillId="70" borderId="6" xfId="1086" applyNumberFormat="1" applyFont="1" applyFill="1" applyBorder="1" applyAlignment="1">
      <alignment vertical="center"/>
    </xf>
    <xf numFmtId="3" fontId="140" fillId="70" borderId="67" xfId="1086" applyNumberFormat="1" applyFont="1" applyFill="1" applyBorder="1" applyAlignment="1">
      <alignment vertical="center"/>
    </xf>
    <xf numFmtId="0" fontId="143" fillId="22" borderId="6" xfId="1086" applyFont="1" applyFill="1" applyBorder="1" applyAlignment="1">
      <alignment vertical="center"/>
    </xf>
    <xf numFmtId="3" fontId="143" fillId="22" borderId="6" xfId="1086" applyNumberFormat="1" applyFont="1" applyFill="1" applyBorder="1" applyAlignment="1">
      <alignment vertical="center"/>
    </xf>
    <xf numFmtId="4" fontId="219" fillId="0" borderId="0" xfId="1081" applyNumberFormat="1" applyFont="1" applyAlignment="1">
      <alignment vertical="center"/>
    </xf>
    <xf numFmtId="230" fontId="266" fillId="0" borderId="6" xfId="0" applyNumberFormat="1" applyFont="1" applyBorder="1"/>
    <xf numFmtId="3" fontId="312" fillId="91" borderId="6" xfId="0" applyNumberFormat="1" applyFont="1" applyFill="1" applyBorder="1" applyAlignment="1">
      <alignment horizontal="left" vertical="center"/>
    </xf>
    <xf numFmtId="3" fontId="312" fillId="91" borderId="6" xfId="0" applyNumberFormat="1" applyFont="1" applyFill="1" applyBorder="1" applyAlignment="1">
      <alignment horizontal="right" vertical="center"/>
    </xf>
    <xf numFmtId="3" fontId="312" fillId="91" borderId="6" xfId="0" applyNumberFormat="1" applyFont="1" applyFill="1" applyBorder="1" applyAlignment="1">
      <alignment vertical="center"/>
    </xf>
    <xf numFmtId="0" fontId="313" fillId="91" borderId="6" xfId="0" applyFont="1" applyFill="1" applyBorder="1" applyAlignment="1">
      <alignment horizontal="left" vertical="center"/>
    </xf>
    <xf numFmtId="0" fontId="313" fillId="91" borderId="6" xfId="0" applyFont="1" applyFill="1" applyBorder="1" applyAlignment="1">
      <alignment horizontal="center" vertical="center" wrapText="1"/>
    </xf>
    <xf numFmtId="1" fontId="313" fillId="91" borderId="6" xfId="0" applyNumberFormat="1" applyFont="1" applyFill="1" applyBorder="1" applyAlignment="1">
      <alignment horizontal="center" vertical="center" wrapText="1"/>
    </xf>
    <xf numFmtId="38" fontId="133" fillId="0" borderId="0" xfId="0" applyNumberFormat="1" applyFont="1" applyAlignment="1">
      <alignment vertical="center"/>
    </xf>
    <xf numFmtId="38" fontId="132" fillId="0" borderId="0" xfId="0" applyNumberFormat="1" applyFont="1" applyAlignment="1">
      <alignment vertical="center"/>
    </xf>
    <xf numFmtId="3" fontId="133" fillId="0" borderId="60" xfId="0" applyNumberFormat="1" applyFont="1" applyBorder="1" applyAlignment="1">
      <alignment vertical="center"/>
    </xf>
    <xf numFmtId="3" fontId="249" fillId="77" borderId="0" xfId="0" applyNumberFormat="1" applyFont="1" applyFill="1" applyAlignment="1">
      <alignment horizontal="center" vertical="center"/>
    </xf>
    <xf numFmtId="0" fontId="151" fillId="0" borderId="0" xfId="0" applyFont="1" applyAlignment="1">
      <alignment vertical="center"/>
    </xf>
    <xf numFmtId="10" fontId="156" fillId="77" borderId="0" xfId="0" applyNumberFormat="1" applyFont="1" applyFill="1" applyAlignment="1">
      <alignment horizontal="center" vertical="center"/>
    </xf>
    <xf numFmtId="10" fontId="155" fillId="0" borderId="0" xfId="0" applyNumberFormat="1" applyFont="1"/>
    <xf numFmtId="181" fontId="110" fillId="0" borderId="0" xfId="0" applyNumberFormat="1" applyFont="1"/>
    <xf numFmtId="181" fontId="117" fillId="0" borderId="0" xfId="0" applyNumberFormat="1" applyFont="1"/>
    <xf numFmtId="0" fontId="132" fillId="0" borderId="0" xfId="0" applyFont="1" applyAlignment="1">
      <alignment horizontal="center" vertical="center" wrapText="1"/>
    </xf>
    <xf numFmtId="0" fontId="132" fillId="0" borderId="0" xfId="0" applyFont="1" applyAlignment="1">
      <alignment horizontal="centerContinuous"/>
    </xf>
    <xf numFmtId="0" fontId="133" fillId="0" borderId="0" xfId="0" applyFont="1" applyAlignment="1">
      <alignment horizontal="centerContinuous"/>
    </xf>
    <xf numFmtId="0" fontId="132" fillId="0" borderId="0" xfId="0" applyFont="1" applyAlignment="1">
      <alignment horizontal="centerContinuous" wrapText="1"/>
    </xf>
    <xf numFmtId="15" fontId="133" fillId="0" borderId="0" xfId="0" applyNumberFormat="1" applyFont="1"/>
    <xf numFmtId="0" fontId="132" fillId="0" borderId="0" xfId="0" applyFont="1" applyAlignment="1">
      <alignment horizontal="center" wrapText="1"/>
    </xf>
    <xf numFmtId="179" fontId="133" fillId="0" borderId="0" xfId="0" applyNumberFormat="1" applyFont="1"/>
    <xf numFmtId="0" fontId="133" fillId="0" borderId="6" xfId="0" applyFont="1" applyBorder="1" applyAlignment="1">
      <alignment horizontal="left"/>
    </xf>
    <xf numFmtId="176" fontId="133" fillId="0" borderId="6" xfId="0" applyNumberFormat="1" applyFont="1" applyBorder="1"/>
    <xf numFmtId="176" fontId="123" fillId="0" borderId="6" xfId="0" applyNumberFormat="1" applyFont="1" applyBorder="1"/>
    <xf numFmtId="0" fontId="122" fillId="79" borderId="6" xfId="0" applyFont="1" applyFill="1" applyBorder="1" applyAlignment="1">
      <alignment wrapText="1"/>
    </xf>
    <xf numFmtId="4" fontId="124" fillId="0" borderId="6" xfId="1090" applyNumberFormat="1" applyFont="1" applyBorder="1" applyAlignment="1">
      <alignment vertical="center" wrapText="1"/>
    </xf>
    <xf numFmtId="178" fontId="336" fillId="0" borderId="0" xfId="1091" applyNumberFormat="1" applyFont="1"/>
    <xf numFmtId="178" fontId="210" fillId="79" borderId="0" xfId="1091" applyNumberFormat="1" applyFont="1" applyFill="1"/>
    <xf numFmtId="178" fontId="210" fillId="79" borderId="0" xfId="0" applyNumberFormat="1" applyFont="1" applyFill="1"/>
    <xf numFmtId="178" fontId="210" fillId="0" borderId="0" xfId="0" applyNumberFormat="1" applyFont="1"/>
    <xf numFmtId="178" fontId="210" fillId="0" borderId="0" xfId="1091" applyNumberFormat="1" applyFont="1"/>
    <xf numFmtId="178" fontId="296" fillId="0" borderId="0" xfId="0" applyNumberFormat="1" applyFont="1"/>
    <xf numFmtId="178" fontId="296" fillId="0" borderId="0" xfId="1091" applyNumberFormat="1" applyFont="1"/>
    <xf numFmtId="178" fontId="210" fillId="79" borderId="0" xfId="1091" applyNumberFormat="1" applyFont="1" applyFill="1" applyAlignment="1">
      <alignment horizontal="center" vertical="center" wrapText="1"/>
    </xf>
    <xf numFmtId="178" fontId="248" fillId="0" borderId="0" xfId="0" applyNumberFormat="1" applyFont="1"/>
    <xf numFmtId="4" fontId="248" fillId="0" borderId="0" xfId="0" applyNumberFormat="1" applyFont="1"/>
    <xf numFmtId="0" fontId="129" fillId="81" borderId="6" xfId="0" applyFont="1" applyFill="1" applyBorder="1" applyAlignment="1">
      <alignment horizontal="left" indent="1"/>
    </xf>
    <xf numFmtId="0" fontId="131" fillId="77" borderId="6" xfId="1090" applyFont="1" applyFill="1" applyBorder="1"/>
    <xf numFmtId="0" fontId="133" fillId="32" borderId="0" xfId="1082" applyFont="1" applyFill="1" applyAlignment="1">
      <alignment wrapText="1"/>
    </xf>
    <xf numFmtId="0" fontId="238" fillId="22" borderId="0" xfId="1082" applyFont="1" applyFill="1" applyAlignment="1">
      <alignment horizontal="justify" wrapText="1"/>
    </xf>
    <xf numFmtId="0" fontId="133" fillId="22" borderId="0" xfId="1082" applyFont="1" applyFill="1" applyAlignment="1">
      <alignment horizontal="right"/>
    </xf>
    <xf numFmtId="0" fontId="273" fillId="22" borderId="0" xfId="1082" applyFont="1" applyFill="1" applyAlignment="1">
      <alignment horizontal="justify" wrapText="1"/>
    </xf>
    <xf numFmtId="0" fontId="133" fillId="22" borderId="0" xfId="1082" applyFont="1" applyFill="1" applyAlignment="1">
      <alignment horizontal="justify" vertical="top" wrapText="1"/>
    </xf>
    <xf numFmtId="0" fontId="132" fillId="32" borderId="0" xfId="1082" applyFont="1" applyFill="1" applyAlignment="1">
      <alignment horizontal="justify" vertical="top" wrapText="1"/>
    </xf>
    <xf numFmtId="0" fontId="133" fillId="32" borderId="0" xfId="1082" applyFont="1" applyFill="1" applyAlignment="1">
      <alignment horizontal="justify" vertical="top" wrapText="1"/>
    </xf>
    <xf numFmtId="178" fontId="133" fillId="97" borderId="0" xfId="1082" applyNumberFormat="1" applyFont="1" applyFill="1" applyAlignment="1">
      <alignment horizontal="right" vertical="top" wrapText="1"/>
    </xf>
    <xf numFmtId="0" fontId="133" fillId="97" borderId="0" xfId="1082" applyFont="1" applyFill="1" applyAlignment="1">
      <alignment horizontal="right"/>
    </xf>
    <xf numFmtId="0" fontId="273" fillId="32" borderId="0" xfId="1082" applyFont="1" applyFill="1" applyAlignment="1">
      <alignment horizontal="justify" wrapText="1"/>
    </xf>
    <xf numFmtId="4" fontId="133" fillId="97" borderId="0" xfId="1082" applyNumberFormat="1" applyFont="1" applyFill="1" applyAlignment="1">
      <alignment horizontal="right" vertical="top" wrapText="1"/>
    </xf>
    <xf numFmtId="0" fontId="133" fillId="97" borderId="0" xfId="1082" applyFont="1" applyFill="1" applyAlignment="1">
      <alignment horizontal="right" vertical="top" wrapText="1"/>
    </xf>
    <xf numFmtId="0" fontId="133" fillId="32" borderId="0" xfId="1082" applyFont="1" applyFill="1" applyAlignment="1">
      <alignment horizontal="right"/>
    </xf>
    <xf numFmtId="2" fontId="133" fillId="22" borderId="0" xfId="1082" applyNumberFormat="1" applyFont="1" applyFill="1" applyAlignment="1">
      <alignment horizontal="right" vertical="top" wrapText="1"/>
    </xf>
    <xf numFmtId="2" fontId="133" fillId="22" borderId="0" xfId="1082" applyNumberFormat="1" applyFont="1" applyFill="1" applyAlignment="1">
      <alignment horizontal="right"/>
    </xf>
    <xf numFmtId="197" fontId="133" fillId="22" borderId="0" xfId="3778" applyNumberFormat="1" applyFont="1" applyFill="1" applyAlignment="1">
      <alignment horizontal="right" vertical="top" wrapText="1"/>
    </xf>
    <xf numFmtId="177" fontId="133" fillId="97" borderId="0" xfId="1082" applyNumberFormat="1" applyFont="1" applyFill="1" applyAlignment="1">
      <alignment horizontal="right" vertical="top" wrapText="1"/>
    </xf>
    <xf numFmtId="0" fontId="132" fillId="96" borderId="0" xfId="1082" applyFont="1" applyFill="1" applyAlignment="1">
      <alignment horizontal="center" vertical="center"/>
    </xf>
    <xf numFmtId="0" fontId="238" fillId="74" borderId="0" xfId="1082" applyFont="1" applyFill="1" applyAlignment="1">
      <alignment horizontal="center" vertical="center" wrapText="1"/>
    </xf>
    <xf numFmtId="17" fontId="139" fillId="71" borderId="0" xfId="1091" applyNumberFormat="1" applyFont="1" applyFill="1" applyAlignment="1">
      <alignment horizontal="center" vertical="center" wrapText="1"/>
    </xf>
    <xf numFmtId="178" fontId="148" fillId="79" borderId="0" xfId="1091" applyNumberFormat="1" applyFont="1" applyFill="1" applyAlignment="1">
      <alignment horizontal="center" vertical="center" wrapText="1"/>
    </xf>
    <xf numFmtId="180" fontId="132" fillId="0" borderId="60" xfId="0" applyNumberFormat="1" applyFont="1" applyBorder="1" applyAlignment="1">
      <alignment vertical="center"/>
    </xf>
    <xf numFmtId="3" fontId="150" fillId="0" borderId="60" xfId="0" applyNumberFormat="1" applyFont="1" applyBorder="1" applyAlignment="1">
      <alignment horizontal="left" vertical="center"/>
    </xf>
    <xf numFmtId="180" fontId="133" fillId="0" borderId="60" xfId="0" applyNumberFormat="1" applyFont="1" applyBorder="1" applyAlignment="1">
      <alignment horizontal="center" vertical="center"/>
    </xf>
    <xf numFmtId="180" fontId="166" fillId="0" borderId="60" xfId="0" applyNumberFormat="1" applyFont="1" applyBorder="1" applyAlignment="1">
      <alignment horizontal="center" vertical="center" wrapText="1"/>
    </xf>
    <xf numFmtId="37" fontId="151" fillId="0" borderId="0" xfId="0" applyNumberFormat="1" applyFont="1" applyAlignment="1">
      <alignment horizontal="left" vertical="center"/>
    </xf>
    <xf numFmtId="3" fontId="150" fillId="0" borderId="60" xfId="3689" applyNumberFormat="1" applyFont="1" applyFill="1" applyBorder="1" applyAlignment="1">
      <alignment horizontal="left" vertical="center"/>
    </xf>
    <xf numFmtId="3" fontId="132" fillId="0" borderId="60" xfId="3689" applyNumberFormat="1" applyFont="1" applyFill="1" applyBorder="1" applyAlignment="1">
      <alignment vertical="center"/>
    </xf>
    <xf numFmtId="10" fontId="150" fillId="0" borderId="0" xfId="0" applyNumberFormat="1" applyFont="1" applyAlignment="1">
      <alignment horizontal="left" vertical="center"/>
    </xf>
    <xf numFmtId="10" fontId="133" fillId="0" borderId="0" xfId="0" applyNumberFormat="1" applyFont="1" applyAlignment="1">
      <alignment vertical="center"/>
    </xf>
    <xf numFmtId="10" fontId="132" fillId="0" borderId="0" xfId="0" applyNumberFormat="1" applyFont="1" applyAlignment="1">
      <alignment vertical="center"/>
    </xf>
    <xf numFmtId="37" fontId="133" fillId="0" borderId="0" xfId="0" applyNumberFormat="1" applyFont="1" applyAlignment="1">
      <alignment vertical="center"/>
    </xf>
    <xf numFmtId="37" fontId="132" fillId="0" borderId="0" xfId="0" applyNumberFormat="1" applyFont="1" applyAlignment="1">
      <alignment vertical="center"/>
    </xf>
    <xf numFmtId="3" fontId="145" fillId="0" borderId="0" xfId="0" applyNumberFormat="1" applyFont="1" applyAlignment="1">
      <alignment horizontal="center" vertical="center"/>
    </xf>
    <xf numFmtId="3" fontId="145" fillId="0" borderId="0" xfId="0" applyNumberFormat="1" applyFont="1" applyAlignment="1">
      <alignment vertical="center"/>
    </xf>
    <xf numFmtId="180" fontId="145" fillId="0" borderId="0" xfId="1138" applyNumberFormat="1" applyFont="1" applyFill="1" applyAlignment="1">
      <alignment vertical="center"/>
    </xf>
    <xf numFmtId="3" fontId="145" fillId="0" borderId="0" xfId="0" applyNumberFormat="1" applyFont="1" applyAlignment="1">
      <alignment horizontal="center" vertical="center" wrapText="1"/>
    </xf>
    <xf numFmtId="10" fontId="145" fillId="0" borderId="0" xfId="1138" applyNumberFormat="1" applyFont="1" applyFill="1" applyAlignment="1">
      <alignment vertical="center"/>
    </xf>
    <xf numFmtId="3" fontId="166" fillId="0" borderId="0" xfId="0" applyNumberFormat="1" applyFont="1" applyAlignment="1">
      <alignment vertical="center"/>
    </xf>
    <xf numFmtId="3" fontId="145" fillId="0" borderId="0" xfId="0" applyNumberFormat="1" applyFont="1" applyAlignment="1">
      <alignment horizontal="left" vertical="center"/>
    </xf>
    <xf numFmtId="3" fontId="337" fillId="0" borderId="0" xfId="0" applyNumberFormat="1" applyFont="1" applyAlignment="1">
      <alignment horizontal="center" vertical="center"/>
    </xf>
    <xf numFmtId="3" fontId="145" fillId="0" borderId="0" xfId="3689" applyNumberFormat="1" applyFont="1" applyAlignment="1">
      <alignment vertical="center"/>
    </xf>
    <xf numFmtId="3" fontId="166" fillId="0" borderId="0" xfId="3689" applyNumberFormat="1" applyFont="1" applyAlignment="1">
      <alignment vertical="center"/>
    </xf>
    <xf numFmtId="3" fontId="313" fillId="91" borderId="6" xfId="0" applyNumberFormat="1" applyFont="1" applyFill="1" applyBorder="1" applyAlignment="1">
      <alignment horizontal="center" vertical="center"/>
    </xf>
    <xf numFmtId="10" fontId="150" fillId="0" borderId="0" xfId="0" applyNumberFormat="1" applyFont="1"/>
    <xf numFmtId="178" fontId="210" fillId="72" borderId="0" xfId="0" applyNumberFormat="1" applyFont="1" applyFill="1"/>
    <xf numFmtId="0" fontId="133" fillId="0" borderId="0" xfId="1082" applyFont="1" applyAlignment="1">
      <alignment vertical="center"/>
    </xf>
    <xf numFmtId="0" fontId="133" fillId="0" borderId="0" xfId="1082" applyFont="1" applyAlignment="1">
      <alignment vertical="center" wrapText="1"/>
    </xf>
    <xf numFmtId="0" fontId="133" fillId="32" borderId="0" xfId="1082" applyFont="1" applyFill="1" applyAlignment="1">
      <alignment vertical="center" wrapText="1"/>
    </xf>
    <xf numFmtId="0" fontId="133" fillId="32" borderId="0" xfId="1082" applyFont="1" applyFill="1" applyAlignment="1">
      <alignment vertical="center"/>
    </xf>
    <xf numFmtId="0" fontId="238" fillId="22" borderId="0" xfId="1082" applyFont="1" applyFill="1" applyAlignment="1">
      <alignment horizontal="justify" vertical="center" wrapText="1"/>
    </xf>
    <xf numFmtId="0" fontId="133" fillId="22" borderId="0" xfId="1082" applyFont="1" applyFill="1" applyAlignment="1">
      <alignment horizontal="right" vertical="center"/>
    </xf>
    <xf numFmtId="0" fontId="133" fillId="32" borderId="0" xfId="1082" applyFont="1" applyFill="1" applyAlignment="1">
      <alignment horizontal="left" vertical="center" wrapText="1"/>
    </xf>
    <xf numFmtId="0" fontId="132" fillId="97" borderId="0" xfId="1082" applyFont="1" applyFill="1" applyAlignment="1">
      <alignment horizontal="centerContinuous" vertical="center"/>
    </xf>
    <xf numFmtId="0" fontId="273" fillId="22" borderId="0" xfId="1082" applyFont="1" applyFill="1" applyAlignment="1">
      <alignment horizontal="justify" vertical="center" wrapText="1"/>
    </xf>
    <xf numFmtId="0" fontId="133" fillId="22" borderId="0" xfId="1082" applyFont="1" applyFill="1" applyAlignment="1">
      <alignment horizontal="justify" vertical="center" wrapText="1"/>
    </xf>
    <xf numFmtId="178" fontId="133" fillId="22" borderId="0" xfId="1082" applyNumberFormat="1" applyFont="1" applyFill="1" applyAlignment="1">
      <alignment horizontal="right" vertical="center" wrapText="1"/>
    </xf>
    <xf numFmtId="0" fontId="132" fillId="32" borderId="0" xfId="1082" applyFont="1" applyFill="1" applyAlignment="1">
      <alignment horizontal="justify" vertical="center" wrapText="1"/>
    </xf>
    <xf numFmtId="0" fontId="133" fillId="32" borderId="0" xfId="1082" applyFont="1" applyFill="1" applyAlignment="1">
      <alignment horizontal="justify" vertical="center" wrapText="1"/>
    </xf>
    <xf numFmtId="178" fontId="133" fillId="97" borderId="0" xfId="1082" applyNumberFormat="1" applyFont="1" applyFill="1" applyAlignment="1">
      <alignment horizontal="right" vertical="center" wrapText="1"/>
    </xf>
    <xf numFmtId="0" fontId="133" fillId="97" borderId="0" xfId="1082" applyFont="1" applyFill="1" applyAlignment="1">
      <alignment horizontal="right" vertical="center"/>
    </xf>
    <xf numFmtId="177" fontId="133" fillId="22" borderId="0" xfId="1082" applyNumberFormat="1" applyFont="1" applyFill="1" applyAlignment="1">
      <alignment horizontal="right" vertical="center" wrapText="1"/>
    </xf>
    <xf numFmtId="0" fontId="273" fillId="32" borderId="0" xfId="1082" applyFont="1" applyFill="1" applyAlignment="1">
      <alignment horizontal="justify" vertical="center" wrapText="1"/>
    </xf>
    <xf numFmtId="4" fontId="133" fillId="97" borderId="0" xfId="1082" applyNumberFormat="1" applyFont="1" applyFill="1" applyAlignment="1">
      <alignment horizontal="right" vertical="center" wrapText="1"/>
    </xf>
    <xf numFmtId="0" fontId="133" fillId="97" borderId="0" xfId="1082" applyFont="1" applyFill="1" applyAlignment="1">
      <alignment horizontal="right" vertical="center" wrapText="1"/>
    </xf>
    <xf numFmtId="0" fontId="133" fillId="32" borderId="0" xfId="1082" applyFont="1" applyFill="1" applyAlignment="1">
      <alignment horizontal="right" vertical="center"/>
    </xf>
    <xf numFmtId="4" fontId="133" fillId="22" borderId="0" xfId="1082" applyNumberFormat="1" applyFont="1" applyFill="1" applyAlignment="1">
      <alignment horizontal="right" vertical="center" wrapText="1"/>
    </xf>
    <xf numFmtId="2" fontId="133" fillId="22" borderId="0" xfId="1082" applyNumberFormat="1" applyFont="1" applyFill="1" applyAlignment="1">
      <alignment horizontal="right" vertical="center" wrapText="1"/>
    </xf>
    <xf numFmtId="197" fontId="133" fillId="97" borderId="0" xfId="3778" applyNumberFormat="1" applyFont="1" applyFill="1" applyAlignment="1">
      <alignment horizontal="right" vertical="center" wrapText="1"/>
    </xf>
    <xf numFmtId="169" fontId="133" fillId="22" borderId="0" xfId="3778" applyNumberFormat="1" applyFont="1" applyFill="1" applyAlignment="1">
      <alignment horizontal="right" vertical="center" wrapText="1"/>
    </xf>
    <xf numFmtId="178" fontId="133" fillId="32" borderId="0" xfId="1082" applyNumberFormat="1" applyFont="1" applyFill="1" applyAlignment="1">
      <alignment horizontal="right" vertical="center" wrapText="1"/>
    </xf>
    <xf numFmtId="0" fontId="238" fillId="32" borderId="0" xfId="1082" applyFont="1" applyFill="1" applyAlignment="1">
      <alignment horizontal="center" vertical="center" wrapText="1"/>
    </xf>
    <xf numFmtId="2" fontId="133" fillId="22" borderId="0" xfId="1082" applyNumberFormat="1" applyFont="1" applyFill="1" applyAlignment="1">
      <alignment horizontal="right" vertical="center"/>
    </xf>
    <xf numFmtId="197" fontId="133" fillId="22" borderId="0" xfId="3778" applyNumberFormat="1" applyFont="1" applyFill="1" applyAlignment="1">
      <alignment horizontal="right" vertical="center" wrapText="1"/>
    </xf>
    <xf numFmtId="177" fontId="133" fillId="97" borderId="0" xfId="1082" applyNumberFormat="1" applyFont="1" applyFill="1" applyAlignment="1">
      <alignment horizontal="right" vertical="center" wrapText="1"/>
    </xf>
    <xf numFmtId="179" fontId="133" fillId="97" borderId="0" xfId="1082" applyNumberFormat="1" applyFont="1" applyFill="1" applyAlignment="1">
      <alignment horizontal="right" vertical="center" wrapText="1"/>
    </xf>
    <xf numFmtId="0" fontId="133" fillId="97" borderId="0" xfId="1082" applyFont="1" applyFill="1" applyAlignment="1">
      <alignment vertical="center" wrapText="1"/>
    </xf>
    <xf numFmtId="0" fontId="132" fillId="32" borderId="0" xfId="1082" applyFont="1" applyFill="1" applyAlignment="1">
      <alignment horizontal="center" vertical="center" wrapText="1"/>
    </xf>
    <xf numFmtId="0" fontId="132" fillId="0" borderId="0" xfId="1082" applyFont="1" applyAlignment="1">
      <alignment horizontal="justify" vertical="center" wrapText="1"/>
    </xf>
    <xf numFmtId="0" fontId="132" fillId="22" borderId="0" xfId="1082" applyFont="1" applyFill="1" applyAlignment="1">
      <alignment horizontal="justify" vertical="center" wrapText="1"/>
    </xf>
    <xf numFmtId="0" fontId="133" fillId="96" borderId="0" xfId="1082" applyFont="1" applyFill="1" applyAlignment="1">
      <alignment vertical="center"/>
    </xf>
    <xf numFmtId="0" fontId="133" fillId="97" borderId="0" xfId="1082" applyFont="1" applyFill="1" applyAlignment="1">
      <alignment horizontal="justify" vertical="center" wrapText="1"/>
    </xf>
    <xf numFmtId="169" fontId="133" fillId="97" borderId="0" xfId="3778" applyNumberFormat="1" applyFont="1" applyFill="1" applyAlignment="1">
      <alignment horizontal="right" vertical="center" wrapText="1"/>
    </xf>
    <xf numFmtId="227" fontId="133" fillId="97" borderId="0" xfId="3778" applyNumberFormat="1" applyFont="1" applyFill="1" applyAlignment="1">
      <alignment horizontal="right" vertical="center" wrapText="1"/>
    </xf>
    <xf numFmtId="0" fontId="132" fillId="32" borderId="0" xfId="1082" applyFont="1" applyFill="1" applyAlignment="1">
      <alignment horizontal="justify" vertical="center"/>
    </xf>
    <xf numFmtId="0" fontId="238" fillId="96" borderId="0" xfId="1082" applyFont="1" applyFill="1" applyAlignment="1">
      <alignment horizontal="justify" vertical="center"/>
    </xf>
    <xf numFmtId="0" fontId="133" fillId="32" borderId="0" xfId="1082" applyFont="1" applyFill="1" applyAlignment="1">
      <alignment horizontal="justify" vertical="center"/>
    </xf>
    <xf numFmtId="0" fontId="133" fillId="98" borderId="0" xfId="1082" applyFont="1" applyFill="1" applyAlignment="1">
      <alignment vertical="center"/>
    </xf>
    <xf numFmtId="0" fontId="133" fillId="0" borderId="0" xfId="1082" applyFont="1" applyAlignment="1">
      <alignment horizontal="right" vertical="center"/>
    </xf>
    <xf numFmtId="0" fontId="238" fillId="98" borderId="0" xfId="1082" applyFont="1" applyFill="1" applyAlignment="1">
      <alignment horizontal="justify" vertical="center"/>
    </xf>
    <xf numFmtId="0" fontId="255" fillId="99" borderId="0" xfId="1082" quotePrefix="1" applyFont="1" applyFill="1" applyAlignment="1">
      <alignment horizontal="center" vertical="center"/>
    </xf>
    <xf numFmtId="0" fontId="255" fillId="99" borderId="0" xfId="1082" quotePrefix="1" applyFont="1" applyFill="1" applyAlignment="1">
      <alignment horizontal="center" vertical="center" wrapText="1"/>
    </xf>
    <xf numFmtId="0" fontId="132" fillId="71" borderId="0" xfId="1082" applyFont="1" applyFill="1" applyAlignment="1">
      <alignment horizontal="center" vertical="center"/>
    </xf>
    <xf numFmtId="0" fontId="132" fillId="71" borderId="0" xfId="1082" applyFont="1" applyFill="1" applyAlignment="1">
      <alignment horizontal="left" vertical="center" indent="1"/>
    </xf>
    <xf numFmtId="0" fontId="133" fillId="0" borderId="0" xfId="1082" applyFont="1"/>
    <xf numFmtId="177" fontId="169" fillId="77" borderId="0" xfId="1082" applyNumberFormat="1" applyFont="1" applyFill="1" applyAlignment="1">
      <alignment horizontal="center" vertical="center" wrapText="1"/>
    </xf>
    <xf numFmtId="178" fontId="210" fillId="78" borderId="0" xfId="1082" applyNumberFormat="1" applyFont="1" applyFill="1" applyAlignment="1">
      <alignment horizontal="right" vertical="top" wrapText="1"/>
    </xf>
    <xf numFmtId="197" fontId="210" fillId="78" borderId="0" xfId="897" applyNumberFormat="1" applyFont="1" applyFill="1" applyAlignment="1">
      <alignment horizontal="right" vertical="top" wrapText="1"/>
    </xf>
    <xf numFmtId="0" fontId="227" fillId="0" borderId="0" xfId="1082" applyFont="1"/>
    <xf numFmtId="4" fontId="227" fillId="0" borderId="0" xfId="389" applyNumberFormat="1" applyFont="1" applyFill="1"/>
    <xf numFmtId="4" fontId="339" fillId="0" borderId="0" xfId="389" applyNumberFormat="1" applyFont="1" applyFill="1"/>
    <xf numFmtId="0" fontId="277" fillId="0" borderId="0" xfId="1082" applyFont="1"/>
    <xf numFmtId="179" fontId="227" fillId="0" borderId="0" xfId="389" applyNumberFormat="1" applyFont="1" applyFill="1"/>
    <xf numFmtId="4" fontId="226" fillId="0" borderId="0" xfId="1082" applyNumberFormat="1" applyFont="1"/>
    <xf numFmtId="177" fontId="226" fillId="0" borderId="0" xfId="1082" applyNumberFormat="1" applyFont="1"/>
    <xf numFmtId="178" fontId="227" fillId="0" borderId="0" xfId="389" applyNumberFormat="1" applyFont="1" applyFill="1"/>
    <xf numFmtId="221" fontId="210" fillId="0" borderId="0" xfId="1082" applyNumberFormat="1" applyFont="1"/>
    <xf numFmtId="3" fontId="210" fillId="0" borderId="0" xfId="1082" applyNumberFormat="1" applyFont="1"/>
    <xf numFmtId="4" fontId="227" fillId="0" borderId="0" xfId="389" applyNumberFormat="1" applyFont="1" applyFill="1" applyAlignment="1">
      <alignment horizontal="right"/>
    </xf>
    <xf numFmtId="4" fontId="340" fillId="0" borderId="0" xfId="389" applyNumberFormat="1" applyFont="1" applyFill="1"/>
    <xf numFmtId="9" fontId="123" fillId="0" borderId="0" xfId="1138" applyFont="1"/>
    <xf numFmtId="180" fontId="110" fillId="73" borderId="0" xfId="1138" applyNumberFormat="1" applyFont="1" applyFill="1"/>
    <xf numFmtId="2" fontId="341" fillId="77" borderId="0" xfId="0" applyNumberFormat="1" applyFont="1" applyFill="1" applyAlignment="1">
      <alignment horizontal="center" vertical="center"/>
    </xf>
    <xf numFmtId="180" fontId="341" fillId="0" borderId="0" xfId="1138" applyNumberFormat="1" applyFont="1"/>
    <xf numFmtId="180" fontId="341" fillId="70" borderId="0" xfId="1138" applyNumberFormat="1" applyFont="1" applyFill="1"/>
    <xf numFmtId="180" fontId="341" fillId="73" borderId="0" xfId="1138" applyNumberFormat="1" applyFont="1" applyFill="1"/>
    <xf numFmtId="10" fontId="307" fillId="73" borderId="0" xfId="1138" applyNumberFormat="1" applyFont="1" applyFill="1"/>
    <xf numFmtId="10" fontId="307" fillId="0" borderId="0" xfId="1138" applyNumberFormat="1" applyFont="1" applyFill="1"/>
    <xf numFmtId="10" fontId="307" fillId="0" borderId="0" xfId="0" applyNumberFormat="1" applyFont="1"/>
    <xf numFmtId="0" fontId="129" fillId="70" borderId="0" xfId="1082" applyFont="1" applyFill="1" applyAlignment="1">
      <alignment wrapText="1"/>
    </xf>
    <xf numFmtId="0" fontId="129" fillId="88" borderId="0" xfId="1082" applyFont="1" applyFill="1" applyAlignment="1">
      <alignment wrapText="1"/>
    </xf>
    <xf numFmtId="0" fontId="129" fillId="77" borderId="0" xfId="1082" applyFont="1" applyFill="1" applyAlignment="1">
      <alignment wrapText="1"/>
    </xf>
    <xf numFmtId="0" fontId="129" fillId="85" borderId="0" xfId="1082" applyFont="1" applyFill="1" applyAlignment="1">
      <alignment wrapText="1"/>
    </xf>
    <xf numFmtId="0" fontId="130" fillId="78" borderId="60" xfId="1082" applyFont="1" applyFill="1" applyBorder="1" applyAlignment="1">
      <alignment horizontal="justify"/>
    </xf>
    <xf numFmtId="179" fontId="131" fillId="0" borderId="6" xfId="1090" applyNumberFormat="1" applyFont="1" applyBorder="1"/>
    <xf numFmtId="0" fontId="237" fillId="71" borderId="0" xfId="0" applyFont="1" applyFill="1" applyAlignment="1">
      <alignment horizontal="center" vertical="center" wrapText="1"/>
    </xf>
    <xf numFmtId="0" fontId="131" fillId="71" borderId="0" xfId="0" applyFont="1" applyFill="1" applyAlignment="1">
      <alignment horizontal="center" vertical="center" wrapText="1"/>
    </xf>
    <xf numFmtId="3" fontId="342" fillId="91" borderId="0" xfId="0" applyNumberFormat="1" applyFont="1" applyFill="1" applyAlignment="1">
      <alignment horizontal="center" vertical="center"/>
    </xf>
    <xf numFmtId="3" fontId="337" fillId="93" borderId="0" xfId="0" applyNumberFormat="1" applyFont="1" applyFill="1" applyAlignment="1">
      <alignment horizontal="centerContinuous" vertical="center"/>
    </xf>
    <xf numFmtId="3" fontId="343" fillId="74" borderId="0" xfId="0" applyNumberFormat="1" applyFont="1" applyFill="1" applyAlignment="1">
      <alignment horizontal="center" vertical="center"/>
    </xf>
    <xf numFmtId="3" fontId="337" fillId="0" borderId="61" xfId="0" applyNumberFormat="1" applyFont="1" applyBorder="1" applyAlignment="1">
      <alignment horizontal="center" vertical="center"/>
    </xf>
    <xf numFmtId="3" fontId="337" fillId="0" borderId="39" xfId="0" applyNumberFormat="1" applyFont="1" applyBorder="1" applyAlignment="1">
      <alignment horizontal="center" vertical="center"/>
    </xf>
    <xf numFmtId="3" fontId="337" fillId="74" borderId="43" xfId="0" applyNumberFormat="1" applyFont="1" applyFill="1" applyBorder="1" applyAlignment="1">
      <alignment horizontal="center" vertical="center"/>
    </xf>
    <xf numFmtId="3" fontId="337" fillId="88" borderId="59" xfId="0" applyNumberFormat="1" applyFont="1" applyFill="1" applyBorder="1" applyAlignment="1">
      <alignment horizontal="center" vertical="center"/>
    </xf>
    <xf numFmtId="3" fontId="337" fillId="88" borderId="0" xfId="0" applyNumberFormat="1" applyFont="1" applyFill="1" applyAlignment="1">
      <alignment horizontal="center" vertical="center"/>
    </xf>
    <xf numFmtId="3" fontId="337" fillId="88" borderId="39" xfId="0" applyNumberFormat="1" applyFont="1" applyFill="1" applyBorder="1" applyAlignment="1">
      <alignment horizontal="center" vertical="center"/>
    </xf>
    <xf numFmtId="168" fontId="337" fillId="80" borderId="0" xfId="547" applyFont="1" applyFill="1" applyBorder="1" applyAlignment="1">
      <alignment horizontal="center" vertical="center"/>
    </xf>
    <xf numFmtId="168" fontId="166" fillId="80" borderId="0" xfId="156" applyFont="1" applyFill="1" applyBorder="1" applyAlignment="1">
      <alignment horizontal="center" vertical="center" wrapText="1"/>
    </xf>
    <xf numFmtId="3" fontId="320" fillId="74" borderId="43" xfId="0" applyNumberFormat="1" applyFont="1" applyFill="1" applyBorder="1" applyAlignment="1">
      <alignment horizontal="center" vertical="center"/>
    </xf>
    <xf numFmtId="3" fontId="337" fillId="77" borderId="59" xfId="0" applyNumberFormat="1" applyFont="1" applyFill="1" applyBorder="1" applyAlignment="1">
      <alignment horizontal="center" vertical="center"/>
    </xf>
    <xf numFmtId="3" fontId="337" fillId="77" borderId="39" xfId="0" applyNumberFormat="1" applyFont="1" applyFill="1" applyBorder="1" applyAlignment="1">
      <alignment horizontal="center" vertical="center"/>
    </xf>
    <xf numFmtId="3" fontId="337" fillId="71" borderId="0" xfId="0" quotePrefix="1" applyNumberFormat="1" applyFont="1" applyFill="1" applyAlignment="1">
      <alignment horizontal="center" vertical="center"/>
    </xf>
    <xf numFmtId="4" fontId="337" fillId="77" borderId="0" xfId="0" applyNumberFormat="1" applyFont="1" applyFill="1" applyAlignment="1">
      <alignment horizontal="center" vertical="center"/>
    </xf>
    <xf numFmtId="3" fontId="337" fillId="77" borderId="0" xfId="0" applyNumberFormat="1" applyFont="1" applyFill="1" applyAlignment="1">
      <alignment horizontal="center" vertical="center"/>
    </xf>
    <xf numFmtId="3" fontId="320" fillId="74" borderId="44" xfId="0" applyNumberFormat="1" applyFont="1" applyFill="1" applyBorder="1" applyAlignment="1">
      <alignment horizontal="center" vertical="center"/>
    </xf>
    <xf numFmtId="3" fontId="337" fillId="78" borderId="59" xfId="0" applyNumberFormat="1" applyFont="1" applyFill="1" applyBorder="1" applyAlignment="1">
      <alignment horizontal="center" vertical="center"/>
    </xf>
    <xf numFmtId="3" fontId="337" fillId="78" borderId="39" xfId="0" applyNumberFormat="1" applyFont="1" applyFill="1" applyBorder="1" applyAlignment="1">
      <alignment horizontal="center" vertical="center"/>
    </xf>
    <xf numFmtId="3" fontId="337" fillId="78" borderId="0" xfId="0" applyNumberFormat="1" applyFont="1" applyFill="1" applyAlignment="1">
      <alignment horizontal="center" vertical="center"/>
    </xf>
    <xf numFmtId="3" fontId="342" fillId="77" borderId="0" xfId="0" applyNumberFormat="1" applyFont="1" applyFill="1" applyAlignment="1">
      <alignment horizontal="center" vertical="center"/>
    </xf>
    <xf numFmtId="3" fontId="337" fillId="77" borderId="0" xfId="1083" applyNumberFormat="1" applyFont="1" applyFill="1" applyAlignment="1">
      <alignment horizontal="center" vertical="center"/>
    </xf>
    <xf numFmtId="3" fontId="337" fillId="78" borderId="43" xfId="0" applyNumberFormat="1" applyFont="1" applyFill="1" applyBorder="1" applyAlignment="1">
      <alignment horizontal="center" vertical="center"/>
    </xf>
    <xf numFmtId="3" fontId="337" fillId="92" borderId="0" xfId="0" applyNumberFormat="1" applyFont="1" applyFill="1" applyAlignment="1">
      <alignment horizontal="center" vertical="center"/>
    </xf>
    <xf numFmtId="3" fontId="337" fillId="92" borderId="60" xfId="0" applyNumberFormat="1" applyFont="1" applyFill="1" applyBorder="1" applyAlignment="1">
      <alignment horizontal="center" vertical="center"/>
    </xf>
    <xf numFmtId="180" fontId="145" fillId="0" borderId="0" xfId="0" applyNumberFormat="1" applyFont="1" applyAlignment="1">
      <alignment horizontal="center" vertical="center"/>
    </xf>
    <xf numFmtId="180" fontId="145" fillId="0" borderId="60" xfId="0" applyNumberFormat="1" applyFont="1" applyBorder="1" applyAlignment="1">
      <alignment horizontal="center" vertical="center"/>
    </xf>
    <xf numFmtId="3" fontId="337" fillId="77" borderId="0" xfId="0" quotePrefix="1" applyNumberFormat="1" applyFont="1" applyFill="1" applyAlignment="1">
      <alignment horizontal="center" vertical="center"/>
    </xf>
    <xf numFmtId="3" fontId="337" fillId="77" borderId="58" xfId="0" quotePrefix="1" applyNumberFormat="1" applyFont="1" applyFill="1" applyBorder="1" applyAlignment="1">
      <alignment horizontal="center" vertical="center"/>
    </xf>
    <xf numFmtId="3" fontId="337" fillId="77" borderId="57" xfId="0" quotePrefix="1" applyNumberFormat="1" applyFont="1" applyFill="1" applyBorder="1" applyAlignment="1">
      <alignment horizontal="center" vertical="center"/>
    </xf>
    <xf numFmtId="3" fontId="337" fillId="77" borderId="34" xfId="0" quotePrefix="1" applyNumberFormat="1" applyFont="1" applyFill="1" applyBorder="1" applyAlignment="1">
      <alignment horizontal="center" vertical="center"/>
    </xf>
    <xf numFmtId="3" fontId="337" fillId="74" borderId="43" xfId="0" quotePrefix="1" applyNumberFormat="1" applyFont="1" applyFill="1" applyBorder="1" applyAlignment="1">
      <alignment horizontal="center" vertical="center"/>
    </xf>
    <xf numFmtId="3" fontId="337" fillId="88" borderId="59" xfId="0" quotePrefix="1" applyNumberFormat="1" applyFont="1" applyFill="1" applyBorder="1" applyAlignment="1">
      <alignment horizontal="center" vertical="center"/>
    </xf>
    <xf numFmtId="3" fontId="337" fillId="88" borderId="0" xfId="0" quotePrefix="1" applyNumberFormat="1" applyFont="1" applyFill="1" applyAlignment="1">
      <alignment horizontal="center" vertical="center"/>
    </xf>
    <xf numFmtId="3" fontId="337" fillId="75" borderId="43" xfId="1093" applyNumberFormat="1" applyFont="1" applyFill="1" applyBorder="1" applyAlignment="1">
      <alignment horizontal="center" vertical="center"/>
    </xf>
    <xf numFmtId="3" fontId="337" fillId="86" borderId="0" xfId="0" applyNumberFormat="1" applyFont="1" applyFill="1" applyAlignment="1">
      <alignment horizontal="center" vertical="center"/>
    </xf>
    <xf numFmtId="3" fontId="296" fillId="69" borderId="43" xfId="0" quotePrefix="1" applyNumberFormat="1" applyFont="1" applyFill="1" applyBorder="1" applyAlignment="1">
      <alignment horizontal="center" vertical="center"/>
    </xf>
    <xf numFmtId="3" fontId="337" fillId="69" borderId="43" xfId="0" quotePrefix="1" applyNumberFormat="1" applyFont="1" applyFill="1" applyBorder="1" applyAlignment="1">
      <alignment horizontal="center" vertical="center"/>
    </xf>
    <xf numFmtId="3" fontId="342" fillId="75" borderId="44" xfId="0" quotePrefix="1" applyNumberFormat="1" applyFont="1" applyFill="1" applyBorder="1" applyAlignment="1">
      <alignment horizontal="center" vertical="center"/>
    </xf>
    <xf numFmtId="3" fontId="337" fillId="88" borderId="47" xfId="0" quotePrefix="1" applyNumberFormat="1" applyFont="1" applyFill="1" applyBorder="1" applyAlignment="1">
      <alignment horizontal="center" vertical="center"/>
    </xf>
    <xf numFmtId="3" fontId="337" fillId="88" borderId="37" xfId="0" quotePrefix="1" applyNumberFormat="1" applyFont="1" applyFill="1" applyBorder="1" applyAlignment="1">
      <alignment horizontal="center" vertical="center"/>
    </xf>
    <xf numFmtId="3" fontId="322" fillId="81" borderId="59" xfId="0" applyNumberFormat="1" applyFont="1" applyFill="1" applyBorder="1" applyAlignment="1">
      <alignment horizontal="center" vertical="center"/>
    </xf>
    <xf numFmtId="3" fontId="322" fillId="81" borderId="39" xfId="0" applyNumberFormat="1" applyFont="1" applyFill="1" applyBorder="1" applyAlignment="1">
      <alignment horizontal="center" vertical="center"/>
    </xf>
    <xf numFmtId="9" fontId="337" fillId="78" borderId="0" xfId="1199" applyFont="1" applyFill="1" applyBorder="1" applyAlignment="1">
      <alignment horizontal="center" vertical="center"/>
    </xf>
    <xf numFmtId="4" fontId="337" fillId="0" borderId="0" xfId="0" applyNumberFormat="1" applyFont="1" applyAlignment="1">
      <alignment vertical="center"/>
    </xf>
    <xf numFmtId="3" fontId="337" fillId="73" borderId="61" xfId="0" applyNumberFormat="1" applyFont="1" applyFill="1" applyBorder="1" applyAlignment="1">
      <alignment horizontal="center" vertical="center"/>
    </xf>
    <xf numFmtId="3" fontId="337" fillId="73" borderId="60" xfId="0" applyNumberFormat="1" applyFont="1" applyFill="1" applyBorder="1" applyAlignment="1">
      <alignment horizontal="center" vertical="center"/>
    </xf>
    <xf numFmtId="9" fontId="337" fillId="77" borderId="0" xfId="1199" applyFont="1" applyFill="1" applyBorder="1" applyAlignment="1">
      <alignment horizontal="center" vertical="center"/>
    </xf>
    <xf numFmtId="3" fontId="337" fillId="0" borderId="0" xfId="0" applyNumberFormat="1" applyFont="1" applyAlignment="1">
      <alignment vertical="center"/>
    </xf>
    <xf numFmtId="180" fontId="337" fillId="0" borderId="0" xfId="3689" applyNumberFormat="1" applyFont="1" applyFill="1" applyAlignment="1">
      <alignment horizontal="center" vertical="center"/>
    </xf>
    <xf numFmtId="180" fontId="337" fillId="0" borderId="60" xfId="0" applyNumberFormat="1" applyFont="1" applyBorder="1" applyAlignment="1">
      <alignment horizontal="center" vertical="center"/>
    </xf>
    <xf numFmtId="3" fontId="337" fillId="70" borderId="0" xfId="0" applyNumberFormat="1" applyFont="1" applyFill="1" applyAlignment="1">
      <alignment horizontal="center" vertical="center"/>
    </xf>
    <xf numFmtId="3" fontId="342" fillId="73" borderId="40" xfId="0" applyNumberFormat="1" applyFont="1" applyFill="1" applyBorder="1" applyAlignment="1">
      <alignment horizontal="center" vertical="center"/>
    </xf>
    <xf numFmtId="0" fontId="337" fillId="75" borderId="43" xfId="0" applyFont="1" applyFill="1" applyBorder="1" applyAlignment="1">
      <alignment horizontal="center" vertical="center"/>
    </xf>
    <xf numFmtId="168" fontId="337" fillId="0" borderId="0" xfId="547" applyFont="1" applyFill="1" applyBorder="1" applyAlignment="1">
      <alignment horizontal="center" vertical="center"/>
    </xf>
    <xf numFmtId="0" fontId="337" fillId="0" borderId="0" xfId="0" applyFont="1" applyAlignment="1">
      <alignment horizontal="center" vertical="center"/>
    </xf>
    <xf numFmtId="0" fontId="342" fillId="0" borderId="0" xfId="0" applyFont="1" applyAlignment="1">
      <alignment horizontal="center" vertical="center"/>
    </xf>
    <xf numFmtId="17" fontId="325" fillId="0" borderId="0" xfId="0" applyNumberFormat="1" applyFont="1" applyAlignment="1">
      <alignment horizontal="center" vertical="center"/>
    </xf>
    <xf numFmtId="17" fontId="337" fillId="0" borderId="0" xfId="0" applyNumberFormat="1" applyFont="1" applyAlignment="1">
      <alignment horizontal="center" vertical="center"/>
    </xf>
    <xf numFmtId="17" fontId="337" fillId="77" borderId="0" xfId="0" applyNumberFormat="1" applyFont="1" applyFill="1" applyAlignment="1">
      <alignment horizontal="center" vertical="center"/>
    </xf>
    <xf numFmtId="3" fontId="325" fillId="0" borderId="0" xfId="0" applyNumberFormat="1" applyFont="1" applyAlignment="1">
      <alignment horizontal="center" vertical="center"/>
    </xf>
    <xf numFmtId="3" fontId="325" fillId="78" borderId="0" xfId="0" applyNumberFormat="1" applyFont="1" applyFill="1" applyAlignment="1">
      <alignment horizontal="center" vertical="center"/>
    </xf>
    <xf numFmtId="180" fontId="290" fillId="93" borderId="0" xfId="3689" applyNumberFormat="1" applyFont="1" applyFill="1" applyAlignment="1">
      <alignment horizontal="center" vertical="center" wrapText="1"/>
    </xf>
    <xf numFmtId="4" fontId="166" fillId="77" borderId="0" xfId="0" applyNumberFormat="1" applyFont="1" applyFill="1" applyAlignment="1">
      <alignment horizontal="center" vertical="center" wrapText="1"/>
    </xf>
    <xf numFmtId="211" fontId="321" fillId="0" borderId="0" xfId="0" applyNumberFormat="1" applyFont="1" applyAlignment="1">
      <alignment horizontal="center" vertical="center"/>
    </xf>
    <xf numFmtId="180" fontId="324" fillId="77" borderId="0" xfId="3689" applyNumberFormat="1" applyFont="1" applyFill="1" applyAlignment="1">
      <alignment horizontal="center" vertical="center" wrapText="1"/>
    </xf>
    <xf numFmtId="4" fontId="146" fillId="0" borderId="0" xfId="0" applyNumberFormat="1" applyFont="1" applyAlignment="1">
      <alignment horizontal="center" vertical="center" wrapText="1"/>
    </xf>
    <xf numFmtId="3" fontId="145" fillId="77" borderId="0" xfId="0" applyNumberFormat="1" applyFont="1" applyFill="1" applyAlignment="1">
      <alignment horizontal="center" vertical="center" wrapText="1"/>
    </xf>
    <xf numFmtId="179" fontId="320" fillId="75" borderId="43" xfId="0" applyNumberFormat="1" applyFont="1" applyFill="1" applyBorder="1" applyAlignment="1">
      <alignment horizontal="center" vertical="center" wrapText="1"/>
    </xf>
    <xf numFmtId="180" fontId="315" fillId="0" borderId="0" xfId="3689" applyNumberFormat="1" applyFont="1" applyFill="1" applyAlignment="1">
      <alignment horizontal="center" vertical="center" wrapText="1"/>
    </xf>
    <xf numFmtId="180" fontId="146" fillId="0" borderId="0" xfId="3689" applyNumberFormat="1" applyFont="1" applyFill="1" applyAlignment="1">
      <alignment horizontal="center" vertical="center" wrapText="1"/>
    </xf>
    <xf numFmtId="17" fontId="146" fillId="0" borderId="0" xfId="0" applyNumberFormat="1" applyFont="1" applyAlignment="1">
      <alignment horizontal="center" vertical="center" wrapText="1"/>
    </xf>
    <xf numFmtId="17" fontId="290" fillId="0" borderId="0" xfId="0" applyNumberFormat="1" applyFont="1" applyAlignment="1">
      <alignment horizontal="center" vertical="center" wrapText="1"/>
    </xf>
    <xf numFmtId="17" fontId="290" fillId="77" borderId="0" xfId="0" applyNumberFormat="1" applyFont="1" applyFill="1" applyAlignment="1">
      <alignment horizontal="center" vertical="center" wrapText="1"/>
    </xf>
    <xf numFmtId="0" fontId="225" fillId="0" borderId="0" xfId="2059" applyFont="1"/>
    <xf numFmtId="0" fontId="255" fillId="92" borderId="25" xfId="2059" applyFont="1" applyFill="1" applyBorder="1" applyAlignment="1">
      <alignment horizontal="center" vertical="center" wrapText="1"/>
    </xf>
    <xf numFmtId="0" fontId="255" fillId="89" borderId="25" xfId="2059" applyFont="1" applyFill="1" applyBorder="1" applyAlignment="1">
      <alignment horizontal="center" vertical="center" wrapText="1"/>
    </xf>
    <xf numFmtId="0" fontId="132" fillId="0" borderId="25" xfId="2059" applyFont="1" applyBorder="1" applyAlignment="1">
      <alignment horizontal="center" vertical="center"/>
    </xf>
    <xf numFmtId="0" fontId="132" fillId="0" borderId="0" xfId="2059" applyFont="1" applyAlignment="1">
      <alignment horizontal="center" vertical="center"/>
    </xf>
    <xf numFmtId="3" fontId="225" fillId="0" borderId="0" xfId="2059" applyNumberFormat="1" applyFont="1"/>
    <xf numFmtId="3" fontId="132" fillId="73" borderId="0" xfId="2059" applyNumberFormat="1" applyFont="1" applyFill="1"/>
    <xf numFmtId="188" fontId="133" fillId="0" borderId="0" xfId="2059" applyNumberFormat="1" applyFont="1"/>
    <xf numFmtId="0" fontId="151" fillId="0" borderId="0" xfId="2059" applyFont="1"/>
    <xf numFmtId="4" fontId="155" fillId="0" borderId="0" xfId="2059" applyNumberFormat="1" applyFont="1"/>
    <xf numFmtId="4" fontId="151" fillId="0" borderId="0" xfId="2059" applyNumberFormat="1" applyFont="1"/>
    <xf numFmtId="0" fontId="344" fillId="0" borderId="0" xfId="2059" applyFont="1"/>
    <xf numFmtId="3" fontId="344" fillId="0" borderId="0" xfId="2059" applyNumberFormat="1" applyFont="1"/>
    <xf numFmtId="0" fontId="225" fillId="0" borderId="60" xfId="2059" applyFont="1" applyBorder="1"/>
    <xf numFmtId="0" fontId="133" fillId="0" borderId="60" xfId="2059" applyFont="1" applyBorder="1"/>
    <xf numFmtId="0" fontId="145" fillId="0" borderId="0" xfId="2059" applyFont="1"/>
    <xf numFmtId="0" fontId="290" fillId="92" borderId="25" xfId="2059" applyFont="1" applyFill="1" applyBorder="1" applyAlignment="1">
      <alignment horizontal="center" vertical="center" wrapText="1"/>
    </xf>
    <xf numFmtId="3" fontId="145" fillId="0" borderId="0" xfId="2059" applyNumberFormat="1" applyFont="1"/>
    <xf numFmtId="9" fontId="145" fillId="0" borderId="0" xfId="2059" applyNumberFormat="1" applyFont="1"/>
    <xf numFmtId="3" fontId="166" fillId="73" borderId="0" xfId="2059" applyNumberFormat="1" applyFont="1" applyFill="1"/>
    <xf numFmtId="4" fontId="145" fillId="0" borderId="0" xfId="2059" applyNumberFormat="1" applyFont="1"/>
    <xf numFmtId="0" fontId="166" fillId="0" borderId="0" xfId="2059" applyFont="1" applyAlignment="1">
      <alignment horizontal="center" vertical="center"/>
    </xf>
    <xf numFmtId="0" fontId="166" fillId="0" borderId="0" xfId="2059" applyFont="1"/>
    <xf numFmtId="3" fontId="166" fillId="0" borderId="0" xfId="2059" applyNumberFormat="1" applyFont="1"/>
    <xf numFmtId="3" fontId="146" fillId="0" borderId="0" xfId="2059" applyNumberFormat="1" applyFont="1"/>
    <xf numFmtId="4" fontId="166" fillId="0" borderId="0" xfId="2059" applyNumberFormat="1" applyFont="1"/>
    <xf numFmtId="0" fontId="171" fillId="71" borderId="0" xfId="1082" applyFont="1" applyFill="1" applyAlignment="1">
      <alignment horizontal="justify" wrapText="1"/>
    </xf>
    <xf numFmtId="0" fontId="171" fillId="71" borderId="0" xfId="1082" applyFont="1" applyFill="1" applyAlignment="1">
      <alignment horizontal="center"/>
    </xf>
    <xf numFmtId="0" fontId="204" fillId="71" borderId="0" xfId="1082" applyFont="1" applyFill="1" applyAlignment="1">
      <alignment horizontal="center"/>
    </xf>
    <xf numFmtId="177" fontId="133" fillId="22" borderId="0" xfId="1082" applyNumberFormat="1" applyFont="1" applyFill="1" applyAlignment="1">
      <alignment horizontal="right" vertical="top" wrapText="1"/>
    </xf>
    <xf numFmtId="0" fontId="132" fillId="88" borderId="6" xfId="0" applyFont="1" applyFill="1" applyBorder="1" applyAlignment="1">
      <alignment horizontal="center" wrapText="1"/>
    </xf>
    <xf numFmtId="10" fontId="152" fillId="0" borderId="0" xfId="0" applyNumberFormat="1" applyFont="1"/>
    <xf numFmtId="3" fontId="204" fillId="0" borderId="6" xfId="1090" applyNumberFormat="1" applyFont="1" applyBorder="1"/>
    <xf numFmtId="178" fontId="225" fillId="0" borderId="0" xfId="2059" applyNumberFormat="1" applyFont="1"/>
    <xf numFmtId="0" fontId="310" fillId="0" borderId="0" xfId="2059" applyFont="1" applyAlignment="1">
      <alignment horizontal="left" vertical="center" wrapText="1"/>
    </xf>
    <xf numFmtId="0" fontId="310" fillId="0" borderId="60" xfId="2059" applyFont="1" applyBorder="1" applyAlignment="1">
      <alignment horizontal="left" vertical="center" wrapText="1"/>
    </xf>
    <xf numFmtId="0" fontId="338" fillId="0" borderId="60" xfId="2059" applyFont="1" applyBorder="1" applyAlignment="1">
      <alignment horizontal="center" vertical="center" wrapText="1"/>
    </xf>
    <xf numFmtId="0" fontId="309" fillId="0" borderId="60" xfId="2059" applyFont="1" applyBorder="1" applyAlignment="1">
      <alignment horizontal="left" vertical="center" wrapText="1"/>
    </xf>
    <xf numFmtId="4" fontId="133" fillId="0" borderId="0" xfId="2059" applyNumberFormat="1" applyFont="1" applyAlignment="1">
      <alignment horizontal="right" vertical="center" wrapText="1"/>
    </xf>
    <xf numFmtId="0" fontId="310" fillId="0" borderId="0" xfId="2059" applyFont="1" applyAlignment="1">
      <alignment vertical="center" wrapText="1"/>
    </xf>
    <xf numFmtId="178" fontId="133" fillId="0" borderId="0" xfId="2059" applyNumberFormat="1" applyFont="1" applyAlignment="1">
      <alignment vertical="center" wrapText="1"/>
    </xf>
    <xf numFmtId="0" fontId="133" fillId="0" borderId="0" xfId="2059" applyFont="1" applyAlignment="1">
      <alignment vertical="center" wrapText="1"/>
    </xf>
    <xf numFmtId="178" fontId="133" fillId="0" borderId="0" xfId="2059" applyNumberFormat="1" applyFont="1" applyAlignment="1">
      <alignment horizontal="right" vertical="center" wrapText="1"/>
    </xf>
    <xf numFmtId="0" fontId="310" fillId="0" borderId="0" xfId="2059" applyFont="1" applyAlignment="1">
      <alignment vertical="center"/>
    </xf>
    <xf numFmtId="178" fontId="225" fillId="0" borderId="0" xfId="2059" applyNumberFormat="1" applyFont="1" applyAlignment="1">
      <alignment vertical="center"/>
    </xf>
    <xf numFmtId="0" fontId="133" fillId="0" borderId="0" xfId="2059" applyFont="1" applyAlignment="1">
      <alignment vertical="top" wrapText="1"/>
    </xf>
    <xf numFmtId="0" fontId="309" fillId="0" borderId="0" xfId="2059" applyFont="1" applyAlignment="1">
      <alignment vertical="center" wrapText="1"/>
    </xf>
    <xf numFmtId="178" fontId="132" fillId="0" borderId="0" xfId="2059" applyNumberFormat="1" applyFont="1" applyAlignment="1">
      <alignment horizontal="right" vertical="center" wrapText="1"/>
    </xf>
    <xf numFmtId="0" fontId="309" fillId="0" borderId="0" xfId="2059" applyFont="1" applyAlignment="1">
      <alignment vertical="center"/>
    </xf>
    <xf numFmtId="4" fontId="132" fillId="0" borderId="0" xfId="2059" applyNumberFormat="1" applyFont="1" applyAlignment="1">
      <alignment horizontal="right" vertical="center" wrapText="1"/>
    </xf>
    <xf numFmtId="178" fontId="225" fillId="0" borderId="0" xfId="2059" applyNumberFormat="1" applyFont="1" applyAlignment="1">
      <alignment vertical="top" wrapText="1"/>
    </xf>
    <xf numFmtId="0" fontId="132" fillId="0" borderId="0" xfId="2059" applyFont="1" applyAlignment="1">
      <alignment horizontal="justify" vertical="center"/>
    </xf>
    <xf numFmtId="0" fontId="133" fillId="0" borderId="0" xfId="2059" applyFont="1" applyAlignment="1">
      <alignment horizontal="justify" vertical="center"/>
    </xf>
    <xf numFmtId="0" fontId="169" fillId="0" borderId="0" xfId="2059" applyFont="1" applyAlignment="1">
      <alignment vertical="center"/>
    </xf>
    <xf numFmtId="178" fontId="225" fillId="0" borderId="0" xfId="2059" applyNumberFormat="1" applyFont="1" applyAlignment="1">
      <alignment vertical="center" wrapText="1"/>
    </xf>
    <xf numFmtId="178" fontId="225" fillId="0" borderId="0" xfId="2059" applyNumberFormat="1" applyFont="1" applyAlignment="1">
      <alignment wrapText="1"/>
    </xf>
    <xf numFmtId="0" fontId="132" fillId="0" borderId="0" xfId="2059" applyFont="1" applyAlignment="1">
      <alignment vertical="center"/>
    </xf>
    <xf numFmtId="0" fontId="133" fillId="0" borderId="0" xfId="2059" applyFont="1" applyAlignment="1">
      <alignment horizontal="left" vertical="center" indent="4"/>
    </xf>
    <xf numFmtId="178" fontId="133" fillId="0" borderId="0" xfId="2059" applyNumberFormat="1" applyFont="1" applyAlignment="1">
      <alignment vertical="center"/>
    </xf>
    <xf numFmtId="178" fontId="133" fillId="0" borderId="0" xfId="2059" applyNumberFormat="1" applyFont="1" applyAlignment="1">
      <alignment wrapText="1"/>
    </xf>
    <xf numFmtId="178" fontId="133" fillId="0" borderId="0" xfId="2059" applyNumberFormat="1" applyFont="1" applyAlignment="1">
      <alignment horizontal="right" vertical="center"/>
    </xf>
    <xf numFmtId="0" fontId="309" fillId="0" borderId="0" xfId="2059" applyFont="1" applyAlignment="1">
      <alignment horizontal="justify" vertical="center" wrapText="1"/>
    </xf>
    <xf numFmtId="0" fontId="309" fillId="0" borderId="0" xfId="2059" applyFont="1" applyAlignment="1">
      <alignment horizontal="justify" vertical="center"/>
    </xf>
    <xf numFmtId="0" fontId="133" fillId="0" borderId="0" xfId="2059" applyFont="1" applyAlignment="1">
      <alignment vertical="top"/>
    </xf>
    <xf numFmtId="0" fontId="132" fillId="0" borderId="0" xfId="2059" applyFont="1" applyAlignment="1">
      <alignment vertical="center" wrapText="1"/>
    </xf>
    <xf numFmtId="4" fontId="133" fillId="0" borderId="0" xfId="2059" applyNumberFormat="1" applyFont="1" applyAlignment="1">
      <alignment horizontal="right" vertical="center"/>
    </xf>
    <xf numFmtId="178" fontId="132" fillId="0" borderId="0" xfId="2059" applyNumberFormat="1" applyFont="1" applyAlignment="1">
      <alignment horizontal="right" vertical="center"/>
    </xf>
    <xf numFmtId="4" fontId="132" fillId="0" borderId="0" xfId="2059" applyNumberFormat="1" applyFont="1" applyAlignment="1">
      <alignment horizontal="right" vertical="center"/>
    </xf>
    <xf numFmtId="0" fontId="132" fillId="77" borderId="0" xfId="2059" applyFont="1" applyFill="1" applyAlignment="1">
      <alignment horizontal="center" vertical="center"/>
    </xf>
    <xf numFmtId="3" fontId="342" fillId="0" borderId="0" xfId="0" applyNumberFormat="1" applyFont="1" applyAlignment="1">
      <alignment horizontal="center" vertical="center"/>
    </xf>
    <xf numFmtId="234" fontId="169" fillId="0" borderId="0" xfId="0" applyNumberFormat="1" applyFont="1" applyAlignment="1">
      <alignment vertical="center"/>
    </xf>
    <xf numFmtId="234" fontId="283" fillId="0" borderId="0" xfId="0" applyNumberFormat="1" applyFont="1" applyAlignment="1">
      <alignment vertical="center"/>
    </xf>
    <xf numFmtId="3" fontId="283" fillId="0" borderId="0" xfId="0" applyNumberFormat="1" applyFont="1" applyAlignment="1">
      <alignment horizontal="left" vertical="center"/>
    </xf>
    <xf numFmtId="3" fontId="279" fillId="0" borderId="0" xfId="0" applyNumberFormat="1" applyFont="1" applyAlignment="1">
      <alignment horizontal="left" vertical="center"/>
    </xf>
    <xf numFmtId="234" fontId="279" fillId="0" borderId="0" xfId="0" applyNumberFormat="1" applyFont="1" applyAlignment="1">
      <alignment vertical="center"/>
    </xf>
    <xf numFmtId="234" fontId="132" fillId="0" borderId="0" xfId="0" applyNumberFormat="1" applyFont="1" applyAlignment="1">
      <alignment vertical="center"/>
    </xf>
    <xf numFmtId="17" fontId="256" fillId="0" borderId="0" xfId="0" applyNumberFormat="1" applyFont="1" applyAlignment="1">
      <alignment horizontal="right" vertical="center"/>
    </xf>
    <xf numFmtId="17" fontId="261" fillId="0" borderId="0" xfId="0" applyNumberFormat="1" applyFont="1" applyAlignment="1">
      <alignment horizontal="right" vertical="center"/>
    </xf>
    <xf numFmtId="235" fontId="169" fillId="0" borderId="0" xfId="0" applyNumberFormat="1" applyFont="1" applyAlignment="1">
      <alignment vertical="center"/>
    </xf>
    <xf numFmtId="235" fontId="283" fillId="0" borderId="0" xfId="0" applyNumberFormat="1" applyFont="1" applyAlignment="1">
      <alignment vertical="center"/>
    </xf>
    <xf numFmtId="235" fontId="279" fillId="0" borderId="0" xfId="0" applyNumberFormat="1" applyFont="1" applyAlignment="1">
      <alignment vertical="center"/>
    </xf>
    <xf numFmtId="235" fontId="132" fillId="0" borderId="0" xfId="0" applyNumberFormat="1" applyFont="1" applyAlignment="1">
      <alignment vertical="center"/>
    </xf>
    <xf numFmtId="3" fontId="256" fillId="0" borderId="0" xfId="0" applyNumberFormat="1" applyFont="1" applyAlignment="1">
      <alignment horizontal="left" vertical="center"/>
    </xf>
    <xf numFmtId="180" fontId="169" fillId="0" borderId="0" xfId="1138" applyNumberFormat="1" applyFont="1" applyAlignment="1">
      <alignment vertical="center"/>
    </xf>
    <xf numFmtId="180" fontId="283" fillId="0" borderId="0" xfId="1138" applyNumberFormat="1" applyFont="1" applyAlignment="1">
      <alignment vertical="center"/>
    </xf>
    <xf numFmtId="180" fontId="279" fillId="0" borderId="0" xfId="1138" applyNumberFormat="1" applyFont="1" applyAlignment="1">
      <alignment vertical="center"/>
    </xf>
    <xf numFmtId="180" fontId="133" fillId="0" borderId="0" xfId="1138" applyNumberFormat="1" applyFont="1" applyFill="1" applyAlignment="1">
      <alignment vertical="center"/>
    </xf>
    <xf numFmtId="180" fontId="132" fillId="0" borderId="0" xfId="1138" applyNumberFormat="1" applyFont="1" applyFill="1" applyAlignment="1">
      <alignment vertical="center"/>
    </xf>
    <xf numFmtId="233" fontId="169" fillId="0" borderId="0" xfId="0" applyNumberFormat="1" applyFont="1" applyAlignment="1">
      <alignment vertical="center"/>
    </xf>
    <xf numFmtId="233" fontId="133" fillId="0" borderId="0" xfId="0" applyNumberFormat="1" applyFont="1" applyAlignment="1">
      <alignment vertical="center"/>
    </xf>
    <xf numFmtId="233" fontId="132" fillId="0" borderId="0" xfId="0" applyNumberFormat="1" applyFont="1" applyAlignment="1">
      <alignment vertical="center"/>
    </xf>
    <xf numFmtId="233" fontId="283" fillId="0" borderId="0" xfId="0" applyNumberFormat="1" applyFont="1" applyAlignment="1">
      <alignment vertical="center"/>
    </xf>
    <xf numFmtId="233" fontId="279" fillId="0" borderId="0" xfId="0" applyNumberFormat="1" applyFont="1" applyAlignment="1">
      <alignment vertical="center"/>
    </xf>
    <xf numFmtId="3" fontId="224" fillId="0" borderId="0" xfId="0" applyNumberFormat="1" applyFont="1" applyAlignment="1">
      <alignment horizontal="center" vertical="center"/>
    </xf>
    <xf numFmtId="235" fontId="132" fillId="77" borderId="0" xfId="0" applyNumberFormat="1" applyFont="1" applyFill="1" applyAlignment="1">
      <alignment vertical="center"/>
    </xf>
    <xf numFmtId="3" fontId="256" fillId="78" borderId="0" xfId="0" applyNumberFormat="1" applyFont="1" applyFill="1" applyAlignment="1">
      <alignment horizontal="left" vertical="center"/>
    </xf>
    <xf numFmtId="235" fontId="224" fillId="74" borderId="0" xfId="0" applyNumberFormat="1" applyFont="1" applyFill="1" applyAlignment="1">
      <alignment vertical="center"/>
    </xf>
    <xf numFmtId="3" fontId="345" fillId="77" borderId="0" xfId="0" applyNumberFormat="1" applyFont="1" applyFill="1" applyAlignment="1">
      <alignment horizontal="center" vertical="center" wrapText="1"/>
    </xf>
    <xf numFmtId="180" fontId="161" fillId="0" borderId="0" xfId="1138" applyNumberFormat="1" applyFont="1"/>
    <xf numFmtId="0" fontId="131" fillId="75" borderId="6" xfId="0" applyFont="1" applyFill="1" applyBorder="1" applyAlignment="1">
      <alignment horizontal="centerContinuous" vertical="center"/>
    </xf>
    <xf numFmtId="0" fontId="126" fillId="75" borderId="6" xfId="0" applyFont="1" applyFill="1" applyBorder="1" applyAlignment="1">
      <alignment horizontal="centerContinuous" vertical="center"/>
    </xf>
    <xf numFmtId="0" fontId="125" fillId="75" borderId="6" xfId="0" applyFont="1" applyFill="1" applyBorder="1" applyAlignment="1">
      <alignment horizontal="centerContinuous" vertical="center" wrapText="1"/>
    </xf>
    <xf numFmtId="0" fontId="122" fillId="75" borderId="6" xfId="0" applyFont="1" applyFill="1" applyBorder="1" applyAlignment="1">
      <alignment horizontal="centerContinuous" vertical="center" wrapText="1"/>
    </xf>
    <xf numFmtId="0" fontId="131" fillId="75" borderId="6" xfId="0" applyFont="1" applyFill="1" applyBorder="1" applyAlignment="1">
      <alignment horizontal="center" vertical="center" wrapText="1"/>
    </xf>
    <xf numFmtId="0" fontId="126" fillId="75" borderId="6" xfId="0" applyFont="1" applyFill="1" applyBorder="1" applyAlignment="1">
      <alignment horizontal="center" vertical="center" wrapText="1"/>
    </xf>
    <xf numFmtId="0" fontId="143" fillId="75" borderId="6" xfId="0" applyFont="1" applyFill="1" applyBorder="1" applyAlignment="1">
      <alignment horizontal="centerContinuous" vertical="center" wrapText="1"/>
    </xf>
    <xf numFmtId="0" fontId="170" fillId="75" borderId="6" xfId="0" applyFont="1" applyFill="1" applyBorder="1" applyAlignment="1">
      <alignment horizontal="centerContinuous" vertical="center" wrapText="1"/>
    </xf>
    <xf numFmtId="0" fontId="171" fillId="75" borderId="6" xfId="0" applyFont="1" applyFill="1" applyBorder="1" applyAlignment="1">
      <alignment horizontal="center" vertical="center" wrapText="1"/>
    </xf>
    <xf numFmtId="0" fontId="130" fillId="0" borderId="6" xfId="1091" applyFont="1" applyBorder="1"/>
    <xf numFmtId="3" fontId="130" fillId="0" borderId="6" xfId="1091" applyNumberFormat="1" applyFont="1" applyBorder="1"/>
    <xf numFmtId="3" fontId="148" fillId="0" borderId="6" xfId="1091" applyNumberFormat="1" applyFont="1" applyBorder="1"/>
    <xf numFmtId="180" fontId="130" fillId="0" borderId="6" xfId="1138" applyNumberFormat="1" applyFont="1" applyFill="1" applyBorder="1"/>
    <xf numFmtId="180" fontId="148" fillId="0" borderId="6" xfId="1138" applyNumberFormat="1" applyFont="1" applyFill="1" applyBorder="1"/>
    <xf numFmtId="3" fontId="210" fillId="0" borderId="6" xfId="1091" applyNumberFormat="1" applyFont="1" applyBorder="1"/>
    <xf numFmtId="180" fontId="129" fillId="0" borderId="6" xfId="1138" applyNumberFormat="1" applyFont="1" applyFill="1" applyBorder="1"/>
    <xf numFmtId="180" fontId="210" fillId="0" borderId="6" xfId="1138" applyNumberFormat="1" applyFont="1" applyFill="1" applyBorder="1"/>
    <xf numFmtId="180" fontId="135" fillId="0" borderId="6" xfId="1138" applyNumberFormat="1" applyFont="1" applyFill="1" applyBorder="1"/>
    <xf numFmtId="180" fontId="330" fillId="0" borderId="6" xfId="1138" applyNumberFormat="1" applyFont="1" applyFill="1" applyBorder="1"/>
    <xf numFmtId="180" fontId="131" fillId="0" borderId="6" xfId="1138" applyNumberFormat="1" applyFont="1" applyFill="1" applyBorder="1"/>
    <xf numFmtId="180" fontId="134" fillId="0" borderId="6" xfId="1138" applyNumberFormat="1" applyFont="1" applyFill="1" applyBorder="1"/>
    <xf numFmtId="180" fontId="331" fillId="0" borderId="6" xfId="1138" applyNumberFormat="1" applyFont="1" applyFill="1" applyBorder="1"/>
    <xf numFmtId="0" fontId="150" fillId="71" borderId="6" xfId="1091" applyFont="1" applyFill="1" applyBorder="1" applyAlignment="1">
      <alignment vertical="center" wrapText="1"/>
    </xf>
    <xf numFmtId="0" fontId="150" fillId="71" borderId="6" xfId="1091" applyFont="1" applyFill="1" applyBorder="1" applyAlignment="1">
      <alignment horizontal="center" vertical="center" wrapText="1"/>
    </xf>
    <xf numFmtId="0" fontId="156" fillId="70" borderId="6" xfId="1091" applyFont="1" applyFill="1" applyBorder="1" applyAlignment="1">
      <alignment horizontal="center" vertical="center" wrapText="1"/>
    </xf>
    <xf numFmtId="0" fontId="326" fillId="71" borderId="6" xfId="1091" applyFont="1" applyFill="1" applyBorder="1" applyAlignment="1">
      <alignment horizontal="center" vertical="center" wrapText="1"/>
    </xf>
    <xf numFmtId="0" fontId="215" fillId="78" borderId="0" xfId="0" applyFont="1" applyFill="1" applyAlignment="1">
      <alignment vertical="center"/>
    </xf>
    <xf numFmtId="3" fontId="215" fillId="78" borderId="0" xfId="0" applyNumberFormat="1" applyFont="1" applyFill="1" applyAlignment="1">
      <alignment horizontal="right" wrapText="1"/>
    </xf>
    <xf numFmtId="10" fontId="215" fillId="78" borderId="0" xfId="0" applyNumberFormat="1" applyFont="1" applyFill="1" applyAlignment="1">
      <alignment horizontal="right" wrapText="1"/>
    </xf>
    <xf numFmtId="178" fontId="132" fillId="78" borderId="0" xfId="0" applyNumberFormat="1" applyFont="1" applyFill="1" applyAlignment="1">
      <alignment horizontal="center" wrapText="1"/>
    </xf>
    <xf numFmtId="10" fontId="215" fillId="78" borderId="0" xfId="0" applyNumberFormat="1" applyFont="1" applyFill="1" applyAlignment="1">
      <alignment horizontal="center" wrapText="1"/>
    </xf>
    <xf numFmtId="0" fontId="215" fillId="77" borderId="0" xfId="0" applyFont="1" applyFill="1" applyAlignment="1">
      <alignment horizontal="left" vertical="center"/>
    </xf>
    <xf numFmtId="3" fontId="215" fillId="77" borderId="0" xfId="0" applyNumberFormat="1" applyFont="1" applyFill="1" applyAlignment="1">
      <alignment horizontal="right" wrapText="1"/>
    </xf>
    <xf numFmtId="10" fontId="215" fillId="77" borderId="0" xfId="0" applyNumberFormat="1" applyFont="1" applyFill="1" applyAlignment="1">
      <alignment horizontal="right" wrapText="1"/>
    </xf>
    <xf numFmtId="178" fontId="132" fillId="77" borderId="0" xfId="0" applyNumberFormat="1" applyFont="1" applyFill="1" applyAlignment="1">
      <alignment horizontal="center" wrapText="1"/>
    </xf>
    <xf numFmtId="10" fontId="215" fillId="77" borderId="0" xfId="0" applyNumberFormat="1" applyFont="1" applyFill="1" applyAlignment="1">
      <alignment horizontal="center" wrapText="1"/>
    </xf>
    <xf numFmtId="10" fontId="124" fillId="0" borderId="0" xfId="1138" applyNumberFormat="1" applyFont="1" applyAlignment="1"/>
    <xf numFmtId="178" fontId="346" fillId="0" borderId="0" xfId="0" applyNumberFormat="1" applyFont="1" applyAlignment="1">
      <alignment wrapText="1"/>
    </xf>
    <xf numFmtId="4" fontId="346" fillId="0" borderId="0" xfId="0" applyNumberFormat="1" applyFont="1" applyAlignment="1">
      <alignment wrapText="1"/>
    </xf>
    <xf numFmtId="0" fontId="124" fillId="77" borderId="0" xfId="0" applyFont="1" applyFill="1"/>
    <xf numFmtId="4" fontId="124" fillId="0" borderId="0" xfId="0" applyNumberFormat="1" applyFont="1"/>
    <xf numFmtId="0" fontId="126" fillId="77" borderId="0" xfId="0" applyFont="1" applyFill="1" applyAlignment="1">
      <alignment horizontal="center" vertical="center"/>
    </xf>
    <xf numFmtId="0" fontId="126" fillId="88" borderId="0" xfId="0" applyFont="1" applyFill="1" applyAlignment="1">
      <alignment horizontal="center" vertical="center"/>
    </xf>
    <xf numFmtId="0" fontId="150" fillId="77" borderId="0" xfId="0" applyFont="1" applyFill="1" applyAlignment="1">
      <alignment horizontal="center" vertical="center"/>
    </xf>
    <xf numFmtId="178" fontId="151" fillId="0" borderId="0" xfId="0" applyNumberFormat="1" applyFont="1"/>
    <xf numFmtId="178" fontId="150" fillId="0" borderId="0" xfId="0" applyNumberFormat="1" applyFont="1"/>
    <xf numFmtId="0" fontId="124" fillId="0" borderId="60" xfId="0" applyFont="1" applyBorder="1"/>
    <xf numFmtId="0" fontId="150" fillId="88" borderId="0" xfId="0" applyFont="1" applyFill="1" applyAlignment="1">
      <alignment horizontal="center" vertical="center"/>
    </xf>
    <xf numFmtId="0" fontId="347" fillId="0" borderId="0" xfId="0" applyFont="1"/>
    <xf numFmtId="0" fontId="226" fillId="0" borderId="0" xfId="0" applyFont="1" applyAlignment="1">
      <alignment vertical="center"/>
    </xf>
    <xf numFmtId="3" fontId="133" fillId="0" borderId="0" xfId="0" applyNumberFormat="1" applyFont="1" applyAlignment="1">
      <alignment horizontal="right" wrapText="1"/>
    </xf>
    <xf numFmtId="0" fontId="255" fillId="100" borderId="30" xfId="0" applyFont="1" applyFill="1" applyBorder="1" applyAlignment="1">
      <alignment horizontal="center" vertical="center" wrapText="1"/>
    </xf>
    <xf numFmtId="0" fontId="311" fillId="100" borderId="33" xfId="0" applyFont="1" applyFill="1" applyBorder="1" applyAlignment="1">
      <alignment horizontal="left" vertical="center"/>
    </xf>
    <xf numFmtId="3" fontId="311" fillId="100" borderId="33" xfId="0" applyNumberFormat="1" applyFont="1" applyFill="1" applyBorder="1" applyAlignment="1">
      <alignment horizontal="right" wrapText="1"/>
    </xf>
    <xf numFmtId="10" fontId="311" fillId="100" borderId="33" xfId="0" applyNumberFormat="1" applyFont="1" applyFill="1" applyBorder="1" applyAlignment="1">
      <alignment horizontal="right" wrapText="1"/>
    </xf>
    <xf numFmtId="178" fontId="311" fillId="100" borderId="33" xfId="0" applyNumberFormat="1" applyFont="1" applyFill="1" applyBorder="1" applyAlignment="1">
      <alignment horizontal="center" wrapText="1"/>
    </xf>
    <xf numFmtId="10" fontId="311" fillId="100" borderId="33" xfId="0" applyNumberFormat="1" applyFont="1" applyFill="1" applyBorder="1" applyAlignment="1">
      <alignment horizontal="center" wrapText="1"/>
    </xf>
    <xf numFmtId="3" fontId="145" fillId="72" borderId="0" xfId="0" applyNumberFormat="1" applyFont="1" applyFill="1" applyAlignment="1">
      <alignment horizontal="right" wrapText="1"/>
    </xf>
    <xf numFmtId="3" fontId="348" fillId="72" borderId="0" xfId="0" applyNumberFormat="1" applyFont="1" applyFill="1" applyAlignment="1">
      <alignment horizontal="right" wrapText="1"/>
    </xf>
    <xf numFmtId="3" fontId="348" fillId="78" borderId="0" xfId="0" applyNumberFormat="1" applyFont="1" applyFill="1" applyAlignment="1">
      <alignment horizontal="right" wrapText="1"/>
    </xf>
    <xf numFmtId="3" fontId="348" fillId="77" borderId="0" xfId="0" applyNumberFormat="1" applyFont="1" applyFill="1" applyAlignment="1">
      <alignment horizontal="right" wrapText="1"/>
    </xf>
    <xf numFmtId="0" fontId="281" fillId="0" borderId="0" xfId="0" applyFont="1" applyAlignment="1">
      <alignment horizontal="left" vertical="center"/>
    </xf>
    <xf numFmtId="0" fontId="281" fillId="0" borderId="0" xfId="0" applyFont="1" applyAlignment="1">
      <alignment vertical="center"/>
    </xf>
    <xf numFmtId="10" fontId="227" fillId="73" borderId="0" xfId="1138" applyNumberFormat="1" applyFont="1" applyFill="1"/>
    <xf numFmtId="0" fontId="133" fillId="0" borderId="0" xfId="969" applyFont="1"/>
    <xf numFmtId="3" fontId="133" fillId="0" borderId="0" xfId="1091" applyNumberFormat="1" applyFont="1"/>
    <xf numFmtId="0" fontId="129" fillId="72" borderId="0" xfId="1091" applyFont="1" applyFill="1"/>
    <xf numFmtId="0" fontId="129" fillId="72" borderId="0" xfId="0" applyFont="1" applyFill="1"/>
    <xf numFmtId="4" fontId="312" fillId="91" borderId="6" xfId="0" applyNumberFormat="1" applyFont="1" applyFill="1" applyBorder="1" applyAlignment="1">
      <alignment vertical="center"/>
    </xf>
    <xf numFmtId="4" fontId="266" fillId="0" borderId="6" xfId="0" applyNumberFormat="1" applyFont="1" applyBorder="1" applyAlignment="1">
      <alignment horizontal="right"/>
    </xf>
    <xf numFmtId="0" fontId="255" fillId="91" borderId="30" xfId="0" applyFont="1" applyFill="1" applyBorder="1" applyAlignment="1">
      <alignment horizontal="center" vertical="center" wrapText="1"/>
    </xf>
    <xf numFmtId="178" fontId="226" fillId="0" borderId="0" xfId="0" applyNumberFormat="1" applyFont="1" applyAlignment="1">
      <alignment horizontal="center" wrapText="1"/>
    </xf>
    <xf numFmtId="10" fontId="226" fillId="0" borderId="0" xfId="0" applyNumberFormat="1" applyFont="1" applyAlignment="1">
      <alignment horizontal="center" wrapText="1"/>
    </xf>
    <xf numFmtId="0" fontId="278" fillId="100" borderId="0" xfId="0" applyFont="1" applyFill="1" applyAlignment="1">
      <alignment horizontal="centerContinuous" vertical="center" wrapText="1"/>
    </xf>
    <xf numFmtId="0" fontId="318" fillId="100" borderId="0" xfId="0" applyFont="1" applyFill="1" applyAlignment="1">
      <alignment horizontal="centerContinuous" vertical="center"/>
    </xf>
    <xf numFmtId="0" fontId="147" fillId="0" borderId="0" xfId="0" applyFont="1" applyAlignment="1">
      <alignment vertical="center"/>
    </xf>
    <xf numFmtId="0" fontId="278" fillId="91" borderId="0" xfId="0" applyFont="1" applyFill="1" applyAlignment="1">
      <alignment horizontal="centerContinuous" vertical="center" wrapText="1"/>
    </xf>
    <xf numFmtId="0" fontId="318" fillId="91" borderId="0" xfId="0" applyFont="1" applyFill="1" applyAlignment="1">
      <alignment horizontal="centerContinuous" vertical="center"/>
    </xf>
    <xf numFmtId="0" fontId="226" fillId="0" borderId="0" xfId="2059" quotePrefix="1" applyFont="1"/>
    <xf numFmtId="232" fontId="226" fillId="0" borderId="0" xfId="2059" applyNumberFormat="1" applyFont="1"/>
    <xf numFmtId="0" fontId="227" fillId="0" borderId="0" xfId="2059" quotePrefix="1" applyFont="1"/>
    <xf numFmtId="232" fontId="227" fillId="0" borderId="0" xfId="2059" applyNumberFormat="1" applyFont="1"/>
    <xf numFmtId="0" fontId="132" fillId="0" borderId="0" xfId="2059" quotePrefix="1" applyFont="1"/>
    <xf numFmtId="232" fontId="132" fillId="0" borderId="0" xfId="2059" applyNumberFormat="1" applyFont="1"/>
    <xf numFmtId="233" fontId="132" fillId="0" borderId="0" xfId="2059" applyNumberFormat="1" applyFont="1"/>
    <xf numFmtId="233" fontId="227" fillId="0" borderId="0" xfId="2059" applyNumberFormat="1" applyFont="1"/>
    <xf numFmtId="178" fontId="174" fillId="70" borderId="6" xfId="0" applyNumberFormat="1" applyFont="1" applyFill="1" applyBorder="1" applyAlignment="1">
      <alignment horizontal="center"/>
    </xf>
    <xf numFmtId="0" fontId="132" fillId="69" borderId="6" xfId="1091" applyFont="1" applyFill="1" applyBorder="1" applyAlignment="1">
      <alignment horizontal="centerContinuous" vertical="center" wrapText="1"/>
    </xf>
    <xf numFmtId="0" fontId="123" fillId="69" borderId="6" xfId="0" applyFont="1" applyFill="1" applyBorder="1" applyAlignment="1">
      <alignment horizontal="centerContinuous"/>
    </xf>
    <xf numFmtId="0" fontId="129" fillId="69" borderId="6" xfId="1091" applyFont="1" applyFill="1" applyBorder="1"/>
    <xf numFmtId="17" fontId="132" fillId="69" borderId="6" xfId="1091" applyNumberFormat="1" applyFont="1" applyFill="1" applyBorder="1" applyAlignment="1">
      <alignment horizontal="center" vertical="center" wrapText="1"/>
    </xf>
    <xf numFmtId="3" fontId="131" fillId="69" borderId="6" xfId="1091" applyNumberFormat="1" applyFont="1" applyFill="1" applyBorder="1"/>
    <xf numFmtId="3" fontId="129" fillId="69" borderId="6" xfId="1091" applyNumberFormat="1" applyFont="1" applyFill="1" applyBorder="1"/>
    <xf numFmtId="17" fontId="169" fillId="88" borderId="6" xfId="0" applyNumberFormat="1" applyFont="1" applyFill="1" applyBorder="1" applyAlignment="1">
      <alignment horizontal="center"/>
    </xf>
    <xf numFmtId="4" fontId="333" fillId="0" borderId="0" xfId="2059" applyNumberFormat="1" applyFont="1" applyAlignment="1">
      <alignment horizontal="center" vertical="center" wrapText="1"/>
    </xf>
    <xf numFmtId="4" fontId="333" fillId="0" borderId="60" xfId="2059" applyNumberFormat="1" applyFont="1" applyBorder="1" applyAlignment="1">
      <alignment horizontal="center" vertical="center" wrapText="1"/>
    </xf>
    <xf numFmtId="0" fontId="309" fillId="0" borderId="0" xfId="0" applyFont="1" applyAlignment="1">
      <alignment vertical="center"/>
    </xf>
    <xf numFmtId="0" fontId="309" fillId="0" borderId="0" xfId="0" applyFont="1" applyAlignment="1">
      <alignment vertical="center" wrapText="1"/>
    </xf>
    <xf numFmtId="0" fontId="132" fillId="0" borderId="0" xfId="0" applyFont="1" applyAlignment="1">
      <alignment vertical="center" wrapText="1"/>
    </xf>
    <xf numFmtId="0" fontId="310" fillId="0" borderId="0" xfId="0" applyFont="1" applyAlignment="1">
      <alignment vertical="center" wrapText="1"/>
    </xf>
    <xf numFmtId="0" fontId="310" fillId="0" borderId="0" xfId="0" applyFont="1" applyAlignment="1">
      <alignment horizontal="justify" vertical="center" wrapText="1"/>
    </xf>
    <xf numFmtId="0" fontId="349" fillId="0" borderId="0" xfId="0" applyFont="1" applyAlignment="1">
      <alignment horizontal="justify" vertical="center" wrapText="1"/>
    </xf>
    <xf numFmtId="0" fontId="310" fillId="0" borderId="0" xfId="0" applyFont="1" applyAlignment="1">
      <alignment horizontal="left" vertical="center" wrapText="1" indent="1"/>
    </xf>
    <xf numFmtId="0" fontId="221" fillId="77" borderId="0" xfId="1082" applyFont="1" applyFill="1" applyAlignment="1">
      <alignment horizontal="center"/>
    </xf>
    <xf numFmtId="236" fontId="161" fillId="74" borderId="0" xfId="1082" applyNumberFormat="1" applyFont="1" applyFill="1" applyAlignment="1">
      <alignment horizontal="center" vertical="center" wrapText="1"/>
    </xf>
    <xf numFmtId="236" fontId="161" fillId="0" borderId="0" xfId="1082" applyNumberFormat="1" applyFont="1" applyAlignment="1">
      <alignment horizontal="center"/>
    </xf>
    <xf numFmtId="236" fontId="161" fillId="0" borderId="0" xfId="1082" applyNumberFormat="1" applyFont="1" applyAlignment="1">
      <alignment horizontal="center" vertical="center" wrapText="1"/>
    </xf>
    <xf numFmtId="177" fontId="221" fillId="0" borderId="0" xfId="1082" applyNumberFormat="1" applyFont="1" applyAlignment="1">
      <alignment horizontal="center" vertical="top" wrapText="1"/>
    </xf>
    <xf numFmtId="0" fontId="221" fillId="0" borderId="0" xfId="1082" applyFont="1" applyAlignment="1">
      <alignment horizontal="center"/>
    </xf>
    <xf numFmtId="236" fontId="169" fillId="74" borderId="0" xfId="1082" applyNumberFormat="1" applyFont="1" applyFill="1" applyAlignment="1">
      <alignment horizontal="center" vertical="center" wrapText="1"/>
    </xf>
    <xf numFmtId="178" fontId="312" fillId="91" borderId="6" xfId="0" applyNumberFormat="1" applyFont="1" applyFill="1" applyBorder="1" applyAlignment="1">
      <alignment vertical="center"/>
    </xf>
    <xf numFmtId="0" fontId="132" fillId="75" borderId="0" xfId="2059" applyFont="1" applyFill="1"/>
    <xf numFmtId="0" fontId="132" fillId="75" borderId="0" xfId="2059" quotePrefix="1" applyFont="1" applyFill="1"/>
    <xf numFmtId="233" fontId="132" fillId="75" borderId="0" xfId="2059" applyNumberFormat="1" applyFont="1" applyFill="1"/>
    <xf numFmtId="0" fontId="132" fillId="72" borderId="0" xfId="2059" applyFont="1" applyFill="1"/>
    <xf numFmtId="0" fontId="126" fillId="72" borderId="0" xfId="2059" applyFont="1" applyFill="1" applyAlignment="1">
      <alignment horizontal="center" vertical="center"/>
    </xf>
    <xf numFmtId="0" fontId="132" fillId="72" borderId="0" xfId="2059" applyFont="1" applyFill="1" applyAlignment="1">
      <alignment horizontal="center" vertical="center"/>
    </xf>
    <xf numFmtId="0" fontId="126" fillId="77" borderId="0" xfId="2059" applyFont="1" applyFill="1" applyAlignment="1">
      <alignment horizontal="center" vertical="center" wrapText="1"/>
    </xf>
    <xf numFmtId="0" fontId="126" fillId="70" borderId="0" xfId="2059" applyFont="1" applyFill="1" applyAlignment="1">
      <alignment horizontal="center" vertical="center"/>
    </xf>
    <xf numFmtId="181" fontId="132" fillId="0" borderId="0" xfId="389" applyNumberFormat="1" applyFont="1" applyFill="1"/>
    <xf numFmtId="2" fontId="133" fillId="0" borderId="0" xfId="0" applyNumberFormat="1" applyFont="1"/>
    <xf numFmtId="0" fontId="156" fillId="72" borderId="0" xfId="0" applyFont="1" applyFill="1"/>
    <xf numFmtId="3" fontId="156" fillId="72" borderId="0" xfId="0" applyNumberFormat="1" applyFont="1" applyFill="1"/>
    <xf numFmtId="221" fontId="156" fillId="72" borderId="0" xfId="0" applyNumberFormat="1" applyFont="1" applyFill="1" applyAlignment="1">
      <alignment horizontal="center"/>
    </xf>
    <xf numFmtId="3" fontId="327" fillId="72" borderId="0" xfId="0" applyNumberFormat="1" applyFont="1" applyFill="1"/>
    <xf numFmtId="0" fontId="236" fillId="71" borderId="0" xfId="1082" applyFont="1" applyFill="1" applyAlignment="1">
      <alignment horizontal="right"/>
    </xf>
    <xf numFmtId="0" fontId="132" fillId="71" borderId="0" xfId="1082" applyFont="1" applyFill="1" applyAlignment="1">
      <alignment horizontal="center" vertical="center" wrapText="1"/>
    </xf>
    <xf numFmtId="0" fontId="237" fillId="71" borderId="0" xfId="1082" applyFont="1" applyFill="1" applyAlignment="1">
      <alignment horizontal="center" vertical="center" wrapText="1"/>
    </xf>
    <xf numFmtId="0" fontId="236" fillId="88" borderId="0" xfId="1082" applyFont="1" applyFill="1" applyAlignment="1">
      <alignment horizontal="right"/>
    </xf>
    <xf numFmtId="0" fontId="210" fillId="88" borderId="0" xfId="1082" applyFont="1" applyFill="1" applyAlignment="1">
      <alignment horizontal="right"/>
    </xf>
    <xf numFmtId="0" fontId="132" fillId="88" borderId="0" xfId="1082" applyFont="1" applyFill="1" applyAlignment="1">
      <alignment horizontal="center" vertical="center" wrapText="1"/>
    </xf>
    <xf numFmtId="0" fontId="227" fillId="88" borderId="0" xfId="1082" applyFont="1" applyFill="1" applyAlignment="1">
      <alignment horizontal="center" vertical="center" wrapText="1"/>
    </xf>
    <xf numFmtId="0" fontId="237" fillId="88" borderId="0" xfId="1082" applyFont="1" applyFill="1" applyAlignment="1">
      <alignment horizontal="center" vertical="center" wrapText="1"/>
    </xf>
    <xf numFmtId="0" fontId="148" fillId="88" borderId="0" xfId="1082" applyFont="1" applyFill="1" applyAlignment="1">
      <alignment horizontal="center" vertical="center" wrapText="1"/>
    </xf>
    <xf numFmtId="4" fontId="225" fillId="0" borderId="0" xfId="2059" applyNumberFormat="1" applyFont="1"/>
    <xf numFmtId="177" fontId="226" fillId="0" borderId="0" xfId="2059" applyNumberFormat="1" applyFont="1"/>
    <xf numFmtId="4" fontId="226" fillId="0" borderId="0" xfId="2059" applyNumberFormat="1" applyFont="1"/>
    <xf numFmtId="10" fontId="133" fillId="0" borderId="0" xfId="1138" applyNumberFormat="1" applyFont="1" applyFill="1" applyAlignment="1"/>
    <xf numFmtId="10" fontId="226" fillId="0" borderId="0" xfId="1138" applyNumberFormat="1" applyFont="1" applyFill="1" applyAlignment="1"/>
    <xf numFmtId="188" fontId="226" fillId="0" borderId="0" xfId="2059" applyNumberFormat="1" applyFont="1"/>
    <xf numFmtId="178" fontId="226" fillId="0" borderId="0" xfId="2059" applyNumberFormat="1" applyFont="1"/>
    <xf numFmtId="0" fontId="133" fillId="74" borderId="0" xfId="2059" applyFont="1" applyFill="1" applyAlignment="1">
      <alignment horizontal="centerContinuous"/>
    </xf>
    <xf numFmtId="0" fontId="132" fillId="74" borderId="0" xfId="2059" applyFont="1" applyFill="1" applyAlignment="1">
      <alignment horizontal="centerContinuous"/>
    </xf>
    <xf numFmtId="0" fontId="226" fillId="74" borderId="0" xfId="2059" applyFont="1" applyFill="1" applyAlignment="1">
      <alignment horizontal="centerContinuous"/>
    </xf>
    <xf numFmtId="0" fontId="225" fillId="74" borderId="0" xfId="2059" applyFont="1" applyFill="1" applyAlignment="1">
      <alignment horizontal="centerContinuous"/>
    </xf>
    <xf numFmtId="0" fontId="261" fillId="89" borderId="25" xfId="2059" applyFont="1" applyFill="1" applyBorder="1" applyAlignment="1">
      <alignment horizontal="center" vertical="center" wrapText="1"/>
    </xf>
    <xf numFmtId="0" fontId="261" fillId="92" borderId="60" xfId="2059" applyFont="1" applyFill="1" applyBorder="1" applyAlignment="1">
      <alignment horizontal="center" vertical="center" wrapText="1"/>
    </xf>
    <xf numFmtId="179" fontId="133" fillId="0" borderId="0" xfId="2059" applyNumberFormat="1" applyFont="1"/>
    <xf numFmtId="0" fontId="160" fillId="92" borderId="60" xfId="2059" applyFont="1" applyFill="1" applyBorder="1" applyAlignment="1">
      <alignment horizontal="center" vertical="center" wrapText="1"/>
    </xf>
    <xf numFmtId="0" fontId="151" fillId="74" borderId="0" xfId="2059" applyFont="1" applyFill="1" applyAlignment="1">
      <alignment horizontal="centerContinuous"/>
    </xf>
    <xf numFmtId="0" fontId="160" fillId="89" borderId="25" xfId="2059" applyFont="1" applyFill="1" applyBorder="1" applyAlignment="1">
      <alignment horizontal="center" vertical="center" wrapText="1"/>
    </xf>
    <xf numFmtId="0" fontId="145" fillId="74" borderId="0" xfId="2059" applyFont="1" applyFill="1" applyAlignment="1">
      <alignment horizontal="centerContinuous"/>
    </xf>
    <xf numFmtId="0" fontId="261" fillId="92" borderId="25" xfId="2059" applyFont="1" applyFill="1" applyBorder="1" applyAlignment="1">
      <alignment horizontal="center" vertical="center" wrapText="1"/>
    </xf>
    <xf numFmtId="0" fontId="133" fillId="0" borderId="25" xfId="2059" applyFont="1" applyBorder="1" applyAlignment="1">
      <alignment horizontal="center" vertical="center"/>
    </xf>
    <xf numFmtId="0" fontId="169" fillId="72" borderId="0" xfId="2059" applyFont="1" applyFill="1"/>
    <xf numFmtId="3" fontId="169" fillId="72" borderId="0" xfId="2059" applyNumberFormat="1" applyFont="1" applyFill="1"/>
    <xf numFmtId="4" fontId="132" fillId="72" borderId="0" xfId="2059" applyNumberFormat="1" applyFont="1" applyFill="1"/>
    <xf numFmtId="0" fontId="169" fillId="0" borderId="0" xfId="2059" applyFont="1" applyAlignment="1">
      <alignment horizontal="center" vertical="center"/>
    </xf>
    <xf numFmtId="10" fontId="225" fillId="0" borderId="0" xfId="1138" applyNumberFormat="1" applyFont="1" applyFill="1" applyAlignment="1"/>
    <xf numFmtId="3" fontId="322" fillId="0" borderId="0" xfId="2059" applyNumberFormat="1" applyFont="1"/>
    <xf numFmtId="3" fontId="315" fillId="0" borderId="0" xfId="2059" applyNumberFormat="1" applyFont="1"/>
    <xf numFmtId="4" fontId="169" fillId="72" borderId="0" xfId="2059" applyNumberFormat="1" applyFont="1" applyFill="1"/>
    <xf numFmtId="4" fontId="227" fillId="72" borderId="0" xfId="2059" applyNumberFormat="1" applyFont="1" applyFill="1"/>
    <xf numFmtId="4" fontId="150" fillId="72" borderId="0" xfId="2059" applyNumberFormat="1" applyFont="1" applyFill="1"/>
    <xf numFmtId="0" fontId="150" fillId="72" borderId="0" xfId="2059" applyFont="1" applyFill="1"/>
    <xf numFmtId="4" fontId="156" fillId="72" borderId="0" xfId="2059" applyNumberFormat="1" applyFont="1" applyFill="1"/>
    <xf numFmtId="10" fontId="133" fillId="0" borderId="0" xfId="1138" applyNumberFormat="1" applyFont="1" applyFill="1" applyBorder="1" applyAlignment="1"/>
    <xf numFmtId="10" fontId="226" fillId="0" borderId="0" xfId="1138" applyNumberFormat="1" applyFont="1" applyFill="1" applyBorder="1" applyAlignment="1"/>
    <xf numFmtId="178" fontId="132" fillId="70" borderId="0" xfId="0" applyNumberFormat="1" applyFont="1" applyFill="1" applyAlignment="1">
      <alignment horizontal="center" wrapText="1"/>
    </xf>
    <xf numFmtId="0" fontId="132" fillId="69" borderId="0" xfId="0" applyFont="1" applyFill="1" applyAlignment="1">
      <alignment vertical="center"/>
    </xf>
    <xf numFmtId="3" fontId="132" fillId="69" borderId="0" xfId="0" applyNumberFormat="1" applyFont="1" applyFill="1" applyAlignment="1">
      <alignment horizontal="right" wrapText="1"/>
    </xf>
    <xf numFmtId="10" fontId="132" fillId="69" borderId="0" xfId="0" applyNumberFormat="1" applyFont="1" applyFill="1" applyAlignment="1">
      <alignment horizontal="right" wrapText="1"/>
    </xf>
    <xf numFmtId="178" fontId="132" fillId="69" borderId="0" xfId="0" applyNumberFormat="1" applyFont="1" applyFill="1" applyAlignment="1">
      <alignment horizontal="center" wrapText="1"/>
    </xf>
    <xf numFmtId="10" fontId="132" fillId="69" borderId="0" xfId="0" applyNumberFormat="1" applyFont="1" applyFill="1" applyAlignment="1">
      <alignment horizontal="center" wrapText="1"/>
    </xf>
    <xf numFmtId="0" fontId="215" fillId="88" borderId="0" xfId="0" applyFont="1" applyFill="1" applyAlignment="1">
      <alignment vertical="center"/>
    </xf>
    <xf numFmtId="3" fontId="215" fillId="88" borderId="0" xfId="0" applyNumberFormat="1" applyFont="1" applyFill="1" applyAlignment="1">
      <alignment horizontal="right" wrapText="1"/>
    </xf>
    <xf numFmtId="10" fontId="215" fillId="88" borderId="0" xfId="0" applyNumberFormat="1" applyFont="1" applyFill="1" applyAlignment="1">
      <alignment horizontal="right" wrapText="1"/>
    </xf>
    <xf numFmtId="178" fontId="132" fillId="88" borderId="0" xfId="0" applyNumberFormat="1" applyFont="1" applyFill="1" applyAlignment="1">
      <alignment horizontal="center" wrapText="1"/>
    </xf>
    <xf numFmtId="10" fontId="215" fillId="88" borderId="0" xfId="0" applyNumberFormat="1" applyFont="1" applyFill="1" applyAlignment="1">
      <alignment horizontal="center" wrapText="1"/>
    </xf>
    <xf numFmtId="0" fontId="215" fillId="70" borderId="0" xfId="0" applyFont="1" applyFill="1" applyAlignment="1">
      <alignment horizontal="left" vertical="center"/>
    </xf>
    <xf numFmtId="3" fontId="215" fillId="70" borderId="0" xfId="0" applyNumberFormat="1" applyFont="1" applyFill="1" applyAlignment="1">
      <alignment horizontal="right" wrapText="1"/>
    </xf>
    <xf numFmtId="10" fontId="215" fillId="70" borderId="0" xfId="0" applyNumberFormat="1" applyFont="1" applyFill="1" applyAlignment="1">
      <alignment horizontal="right" wrapText="1"/>
    </xf>
    <xf numFmtId="10" fontId="215" fillId="70" borderId="0" xfId="0" applyNumberFormat="1" applyFont="1" applyFill="1" applyAlignment="1">
      <alignment horizontal="center" wrapText="1"/>
    </xf>
    <xf numFmtId="3" fontId="296" fillId="77" borderId="0" xfId="0" applyNumberFormat="1" applyFont="1" applyFill="1" applyAlignment="1">
      <alignment horizontal="right" wrapText="1"/>
    </xf>
    <xf numFmtId="178" fontId="255" fillId="91" borderId="0" xfId="0" applyNumberFormat="1" applyFont="1" applyFill="1" applyAlignment="1">
      <alignment horizontal="center" wrapText="1"/>
    </xf>
    <xf numFmtId="10" fontId="255" fillId="91" borderId="0" xfId="0" applyNumberFormat="1" applyFont="1" applyFill="1" applyAlignment="1">
      <alignment horizontal="center" wrapText="1"/>
    </xf>
    <xf numFmtId="179" fontId="159" fillId="91" borderId="0" xfId="0" applyNumberFormat="1" applyFont="1" applyFill="1" applyAlignment="1">
      <alignment horizontal="center"/>
    </xf>
    <xf numFmtId="0" fontId="296" fillId="71" borderId="0" xfId="0" applyFont="1" applyFill="1" applyAlignment="1">
      <alignment vertical="center"/>
    </xf>
    <xf numFmtId="0" fontId="169" fillId="73" borderId="0" xfId="0" applyFont="1" applyFill="1"/>
    <xf numFmtId="0" fontId="132" fillId="73" borderId="0" xfId="0" applyFont="1" applyFill="1"/>
    <xf numFmtId="0" fontId="304" fillId="0" borderId="0" xfId="0" applyFont="1" applyAlignment="1">
      <alignment horizontal="centerContinuous" vertical="center"/>
    </xf>
    <xf numFmtId="0" fontId="125" fillId="0" borderId="0" xfId="0" applyFont="1" applyAlignment="1">
      <alignment horizontal="centerContinuous" vertical="center" wrapText="1"/>
    </xf>
    <xf numFmtId="180" fontId="260" fillId="0" borderId="0" xfId="1138" applyNumberFormat="1" applyFont="1" applyBorder="1"/>
    <xf numFmtId="180" fontId="225" fillId="73" borderId="0" xfId="1138" applyNumberFormat="1" applyFont="1" applyFill="1" applyBorder="1"/>
    <xf numFmtId="179" fontId="225" fillId="73" borderId="0" xfId="2059" applyNumberFormat="1" applyFont="1" applyFill="1"/>
    <xf numFmtId="180" fontId="240" fillId="72" borderId="0" xfId="1138" applyNumberFormat="1" applyFont="1" applyFill="1" applyBorder="1"/>
    <xf numFmtId="180" fontId="169" fillId="72" borderId="0" xfId="1138" applyNumberFormat="1" applyFont="1" applyFill="1" applyBorder="1"/>
    <xf numFmtId="179" fontId="132" fillId="72" borderId="0" xfId="2059" applyNumberFormat="1" applyFont="1" applyFill="1"/>
    <xf numFmtId="179" fontId="169" fillId="72" borderId="0" xfId="2059" applyNumberFormat="1" applyFont="1" applyFill="1"/>
    <xf numFmtId="10" fontId="132" fillId="77" borderId="0" xfId="0" applyNumberFormat="1" applyFont="1" applyFill="1" applyAlignment="1">
      <alignment horizontal="center" wrapText="1"/>
    </xf>
    <xf numFmtId="178" fontId="311" fillId="91" borderId="33" xfId="0" applyNumberFormat="1" applyFont="1" applyFill="1" applyBorder="1" applyAlignment="1">
      <alignment horizontal="center" wrapText="1"/>
    </xf>
    <xf numFmtId="10" fontId="311" fillId="91" borderId="33" xfId="0" applyNumberFormat="1" applyFont="1" applyFill="1" applyBorder="1" applyAlignment="1">
      <alignment horizontal="center" wrapText="1"/>
    </xf>
    <xf numFmtId="10" fontId="132" fillId="0" borderId="0" xfId="1138" applyNumberFormat="1" applyFont="1" applyFill="1"/>
    <xf numFmtId="177" fontId="227" fillId="0" borderId="0" xfId="0" applyNumberFormat="1" applyFont="1"/>
    <xf numFmtId="177" fontId="226" fillId="0" borderId="0" xfId="0" applyNumberFormat="1" applyFont="1"/>
    <xf numFmtId="177" fontId="240" fillId="0" borderId="0" xfId="0" applyNumberFormat="1" applyFont="1"/>
    <xf numFmtId="177" fontId="260" fillId="0" borderId="0" xfId="0" applyNumberFormat="1" applyFont="1"/>
    <xf numFmtId="0" fontId="122" fillId="76" borderId="6" xfId="0" applyFont="1" applyFill="1" applyBorder="1" applyAlignment="1">
      <alignment horizontal="center" vertical="center" wrapText="1"/>
    </xf>
  </cellXfs>
  <cellStyles count="3894">
    <cellStyle name="20% - Accent1 2" xfId="1" xr:uid="{00000000-0005-0000-0000-000000000000}"/>
    <cellStyle name="20% - Accent2 2" xfId="2" xr:uid="{00000000-0005-0000-0000-000001000000}"/>
    <cellStyle name="20% - Énfasis1 2" xfId="3" xr:uid="{00000000-0005-0000-0000-000002000000}"/>
    <cellStyle name="20% - Énfasis1 2 2" xfId="4" xr:uid="{00000000-0005-0000-0000-000003000000}"/>
    <cellStyle name="20% - Énfasis1 2 2 2" xfId="1559" xr:uid="{C4BFD165-0E1E-4791-9AE9-BA329DFC1A1C}"/>
    <cellStyle name="20% - Énfasis1 2 2 2 2" xfId="2845" xr:uid="{12D9EF63-6967-4263-9D6A-5720AB4A28F4}"/>
    <cellStyle name="20% - Énfasis1 2 2 3" xfId="2280" xr:uid="{754417AD-016D-430D-A894-AEB728C25E56}"/>
    <cellStyle name="20% - Énfasis1 2 2 3 2" xfId="3474" xr:uid="{C525B388-6917-4F7D-B5FA-BADB55B58ECE}"/>
    <cellStyle name="20% - Énfasis1 2 2 4" xfId="2327" xr:uid="{B7F0D68C-82BD-4672-A97F-8F9878A893F3}"/>
    <cellStyle name="20% - Énfasis1 2 2 5" xfId="3641" xr:uid="{8D74448E-6C8E-4418-9AF0-930DF5B04E0B}"/>
    <cellStyle name="20% - Énfasis1 2 3" xfId="5" xr:uid="{00000000-0005-0000-0000-000004000000}"/>
    <cellStyle name="20% - Énfasis1 2 3 2" xfId="1560" xr:uid="{2AC9088B-5557-44A1-B2E3-2A1CFC0B62A0}"/>
    <cellStyle name="20% - Énfasis1 2 3 2 2" xfId="2846" xr:uid="{E48B72BC-030D-4C23-9FCD-B575C42A4830}"/>
    <cellStyle name="20% - Énfasis1 2 3 3" xfId="2250" xr:uid="{D139F236-3560-40B4-8AC0-7DEA69DC87BC}"/>
    <cellStyle name="20% - Énfasis1 2 3 3 2" xfId="3444" xr:uid="{693031D6-2F75-47B0-9FAB-3850E2168790}"/>
    <cellStyle name="20% - Énfasis1 2 3 4" xfId="2328" xr:uid="{E0DAD368-A331-4785-9C84-D26020F3ACCE}"/>
    <cellStyle name="20% - Énfasis1 2 3 5" xfId="3611" xr:uid="{83326950-231A-4731-9473-3C23E3807CA0}"/>
    <cellStyle name="20% - Énfasis1 3" xfId="6" xr:uid="{00000000-0005-0000-0000-000005000000}"/>
    <cellStyle name="20% - Énfasis1 3 2" xfId="7" xr:uid="{00000000-0005-0000-0000-000006000000}"/>
    <cellStyle name="20% - Énfasis1 3 2 2" xfId="1561" xr:uid="{257C0863-9A8A-4B56-A541-52DDF7ABE08F}"/>
    <cellStyle name="20% - Énfasis1 3 2 2 2" xfId="2847" xr:uid="{720A716D-EB6C-401D-B78D-CEABCFE8D1A5}"/>
    <cellStyle name="20% - Énfasis1 3 2 3" xfId="2265" xr:uid="{95860238-18A2-4C4F-AB74-03AB65ADD6B0}"/>
    <cellStyle name="20% - Énfasis1 3 2 3 2" xfId="3459" xr:uid="{F39B67BA-5908-44E3-B05D-7EF8AAC2B363}"/>
    <cellStyle name="20% - Énfasis1 3 2 4" xfId="2329" xr:uid="{EB48B2E5-0805-4AC4-B901-53321FE2467B}"/>
    <cellStyle name="20% - Énfasis1 3 2 5" xfId="3626" xr:uid="{32D415B6-DBD6-4FB1-BA81-8B05FC2D3E52}"/>
    <cellStyle name="20% - Énfasis1 4" xfId="8" xr:uid="{00000000-0005-0000-0000-000007000000}"/>
    <cellStyle name="20% - Énfasis1 5" xfId="9" xr:uid="{00000000-0005-0000-0000-000008000000}"/>
    <cellStyle name="20% - Énfasis1 5 2" xfId="10" xr:uid="{00000000-0005-0000-0000-000009000000}"/>
    <cellStyle name="20% - Énfasis1 5 2 2" xfId="1562" xr:uid="{020B3116-69A4-4B2E-90E7-E96E97788786}"/>
    <cellStyle name="20% - Énfasis1 5 2 2 2" xfId="2848" xr:uid="{F9A9159B-8085-4765-9685-EF9598BB7FB8}"/>
    <cellStyle name="20% - Énfasis1 5 2 3" xfId="2330" xr:uid="{9E0B8407-CC93-4110-BAC1-638AFD6AEC22}"/>
    <cellStyle name="20% - Énfasis1 5 3" xfId="2235" xr:uid="{C86B3218-62A8-4A94-BBD2-86ABE75EFFAA}"/>
    <cellStyle name="20% - Énfasis1 5 3 2" xfId="3429" xr:uid="{E18C93C2-6AA4-4E36-B9C6-6C63DF7106CD}"/>
    <cellStyle name="20% - Énfasis1 5 4" xfId="3596" xr:uid="{83887760-691A-4648-A290-A0A482F809B3}"/>
    <cellStyle name="20% - Énfasis2 2" xfId="11" xr:uid="{00000000-0005-0000-0000-00000A000000}"/>
    <cellStyle name="20% - Énfasis2 2 2" xfId="12" xr:uid="{00000000-0005-0000-0000-00000B000000}"/>
    <cellStyle name="20% - Énfasis2 2 2 2" xfId="1563" xr:uid="{EBFF5850-BA8B-4B42-B153-22C8278F1A01}"/>
    <cellStyle name="20% - Énfasis2 2 2 2 2" xfId="2849" xr:uid="{49EFDD88-F512-49E4-A07E-B29D24CCAE27}"/>
    <cellStyle name="20% - Énfasis2 2 2 3" xfId="2282" xr:uid="{14F13EDE-7D34-4A51-8E0C-BEDF2A13647C}"/>
    <cellStyle name="20% - Énfasis2 2 2 3 2" xfId="3476" xr:uid="{AF7C6189-5AE8-4437-9838-BEBAF27F93E5}"/>
    <cellStyle name="20% - Énfasis2 2 2 4" xfId="2331" xr:uid="{7E3E2CB3-3DE4-4F61-A86F-D6D84473FBF3}"/>
    <cellStyle name="20% - Énfasis2 2 2 5" xfId="3643" xr:uid="{9BFBE056-BE70-4B71-B815-D33941EB3E75}"/>
    <cellStyle name="20% - Énfasis2 2 3" xfId="13" xr:uid="{00000000-0005-0000-0000-00000C000000}"/>
    <cellStyle name="20% - Énfasis2 2 3 2" xfId="1564" xr:uid="{AE8813AB-3D5E-4143-8991-F778FD179BD1}"/>
    <cellStyle name="20% - Énfasis2 2 3 2 2" xfId="2850" xr:uid="{EE64BBBB-99F7-4A59-B610-4B24A382B312}"/>
    <cellStyle name="20% - Énfasis2 2 3 3" xfId="2252" xr:uid="{E509D43F-BEAC-4DEB-BFD7-E1E2E51545A3}"/>
    <cellStyle name="20% - Énfasis2 2 3 3 2" xfId="3446" xr:uid="{7BF4EEF4-9816-4AB0-80DF-24D77FEC199B}"/>
    <cellStyle name="20% - Énfasis2 2 3 4" xfId="2332" xr:uid="{DBB9C025-F10A-456B-8005-C3B1412B76B4}"/>
    <cellStyle name="20% - Énfasis2 2 3 5" xfId="3613" xr:uid="{4B1FD00A-9A17-4F88-8D97-E4FFDA0626C8}"/>
    <cellStyle name="20% - Énfasis2 3" xfId="14" xr:uid="{00000000-0005-0000-0000-00000D000000}"/>
    <cellStyle name="20% - Énfasis2 3 2" xfId="15" xr:uid="{00000000-0005-0000-0000-00000E000000}"/>
    <cellStyle name="20% - Énfasis2 3 2 2" xfId="1565" xr:uid="{ABCFC7D1-B7A9-4E5C-A6BD-EE5C13D7E4C2}"/>
    <cellStyle name="20% - Énfasis2 3 2 2 2" xfId="2851" xr:uid="{A8E8CCA1-EE30-4C3D-BE55-902BDCF8FAC9}"/>
    <cellStyle name="20% - Énfasis2 3 2 3" xfId="2267" xr:uid="{F2815878-315F-4C72-9C8D-F77EAFDF6752}"/>
    <cellStyle name="20% - Énfasis2 3 2 3 2" xfId="3461" xr:uid="{8B77D816-B618-4BFC-9C35-B9461ADDA467}"/>
    <cellStyle name="20% - Énfasis2 3 2 4" xfId="2333" xr:uid="{BD9BAC1C-371A-41A4-846A-9E7F90B2473C}"/>
    <cellStyle name="20% - Énfasis2 3 2 5" xfId="3628" xr:uid="{644CC008-5CF1-42EA-800F-676FE5B2F4E2}"/>
    <cellStyle name="20% - Énfasis2 4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5 2 2" xfId="1566" xr:uid="{1AA14D65-0979-4390-9947-1B754A0E7A4A}"/>
    <cellStyle name="20% - Énfasis2 5 2 2 2" xfId="2852" xr:uid="{92E41B97-1A1D-49AF-892A-E676599A765D}"/>
    <cellStyle name="20% - Énfasis2 5 2 3" xfId="2334" xr:uid="{B8C775F3-6E77-4665-8A67-60F37F8DA0A8}"/>
    <cellStyle name="20% - Énfasis2 5 3" xfId="2237" xr:uid="{C8504BAA-0789-4EA5-A6A2-65214AAFA1E8}"/>
    <cellStyle name="20% - Énfasis2 5 3 2" xfId="3431" xr:uid="{297AD452-44F1-40AD-AC9B-E3A9B56F2C23}"/>
    <cellStyle name="20% - Énfasis2 5 4" xfId="3598" xr:uid="{546ED2E3-405A-45BC-B6EE-7F3CEDE9CE8E}"/>
    <cellStyle name="20% - Énfasis3 2" xfId="19" xr:uid="{00000000-0005-0000-0000-000012000000}"/>
    <cellStyle name="20% - Énfasis3 2 2" xfId="20" xr:uid="{00000000-0005-0000-0000-000013000000}"/>
    <cellStyle name="20% - Énfasis3 2 2 2" xfId="1567" xr:uid="{91F8A46A-1E5C-405E-9B0D-9CBD89590B22}"/>
    <cellStyle name="20% - Énfasis3 2 2 2 2" xfId="2853" xr:uid="{36628EA7-E0CA-4E18-9D89-107407554C7A}"/>
    <cellStyle name="20% - Énfasis3 2 2 3" xfId="2284" xr:uid="{27128DC1-F879-4CD7-94D4-5A458F6B8E06}"/>
    <cellStyle name="20% - Énfasis3 2 2 3 2" xfId="3478" xr:uid="{623589EC-C896-4537-898A-6EE507CDA751}"/>
    <cellStyle name="20% - Énfasis3 2 2 4" xfId="2335" xr:uid="{845759B2-50F6-4095-9686-86DE69B32C40}"/>
    <cellStyle name="20% - Énfasis3 2 2 5" xfId="3645" xr:uid="{D790DCE0-4CE4-4A66-A098-3D6B24ECDBAD}"/>
    <cellStyle name="20% - Énfasis3 2 3" xfId="21" xr:uid="{00000000-0005-0000-0000-000014000000}"/>
    <cellStyle name="20% - Énfasis3 2 3 2" xfId="1568" xr:uid="{6CEA27F0-4576-4A12-B581-71BF0E687AC6}"/>
    <cellStyle name="20% - Énfasis3 2 3 2 2" xfId="2854" xr:uid="{2DF5853D-896A-4AF8-B608-A13879BA683B}"/>
    <cellStyle name="20% - Énfasis3 2 3 3" xfId="2254" xr:uid="{11E117B7-793A-4819-9CAD-5287473E5BA2}"/>
    <cellStyle name="20% - Énfasis3 2 3 3 2" xfId="3448" xr:uid="{71BC8668-9CE2-437D-873D-D7CC24878F93}"/>
    <cellStyle name="20% - Énfasis3 2 3 4" xfId="2336" xr:uid="{30485173-7A2B-4870-AD5B-CC804CEC93DF}"/>
    <cellStyle name="20% - Énfasis3 2 3 5" xfId="3615" xr:uid="{4769D3AF-36A9-4B33-8877-CD0D8FAEEB8D}"/>
    <cellStyle name="20% - Énfasis3 3" xfId="22" xr:uid="{00000000-0005-0000-0000-000015000000}"/>
    <cellStyle name="20% - Énfasis3 3 2" xfId="23" xr:uid="{00000000-0005-0000-0000-000016000000}"/>
    <cellStyle name="20% - Énfasis3 3 2 2" xfId="1569" xr:uid="{B8E767DC-1FAD-43CA-BB36-279E1BA7CFAC}"/>
    <cellStyle name="20% - Énfasis3 3 2 2 2" xfId="2855" xr:uid="{84239589-6B4D-4758-A85D-1FF89FE12B23}"/>
    <cellStyle name="20% - Énfasis3 3 2 3" xfId="2269" xr:uid="{F09D88B4-DB14-4CA6-953D-BABB943E01EA}"/>
    <cellStyle name="20% - Énfasis3 3 2 3 2" xfId="3463" xr:uid="{7C08061F-C644-44C3-BDED-6A3CAB2117A3}"/>
    <cellStyle name="20% - Énfasis3 3 2 4" xfId="2337" xr:uid="{9555950C-9B83-43D3-AB10-6412A0C1817E}"/>
    <cellStyle name="20% - Énfasis3 3 2 5" xfId="3630" xr:uid="{243196AA-DEFF-437D-979B-0200DD3D37A0}"/>
    <cellStyle name="20% - Énfasis3 4" xfId="24" xr:uid="{00000000-0005-0000-0000-000017000000}"/>
    <cellStyle name="20% - Énfasis3 5" xfId="25" xr:uid="{00000000-0005-0000-0000-000018000000}"/>
    <cellStyle name="20% - Énfasis3 5 2" xfId="26" xr:uid="{00000000-0005-0000-0000-000019000000}"/>
    <cellStyle name="20% - Énfasis3 5 2 2" xfId="1570" xr:uid="{8D746C17-8C3F-4267-8D63-32B39FB7812C}"/>
    <cellStyle name="20% - Énfasis3 5 2 2 2" xfId="2856" xr:uid="{200E36D3-2545-4CAA-B0DF-1D79C40CF263}"/>
    <cellStyle name="20% - Énfasis3 5 2 3" xfId="2338" xr:uid="{D1F8ECAC-AC4F-4A3B-B4B3-12A86451E530}"/>
    <cellStyle name="20% - Énfasis3 5 3" xfId="2239" xr:uid="{2C8C202C-72B3-4ECD-9C8A-DBBEE5918E6F}"/>
    <cellStyle name="20% - Énfasis3 5 3 2" xfId="3433" xr:uid="{0790A428-9C91-4D28-8246-7FC2642D1F7E}"/>
    <cellStyle name="20% - Énfasis3 5 4" xfId="3600" xr:uid="{DDBE9B91-2876-4E32-A01A-F7F6F7F7DFC4}"/>
    <cellStyle name="20% - Énfasis4 2" xfId="27" xr:uid="{00000000-0005-0000-0000-00001A000000}"/>
    <cellStyle name="20% - Énfasis4 2 2" xfId="28" xr:uid="{00000000-0005-0000-0000-00001B000000}"/>
    <cellStyle name="20% - Énfasis4 2 2 2" xfId="1571" xr:uid="{248C2EE5-139F-42BD-8990-294BC9637A10}"/>
    <cellStyle name="20% - Énfasis4 2 2 2 2" xfId="2857" xr:uid="{4D7CB70F-2023-40F1-8455-2F0ADE5ABE8E}"/>
    <cellStyle name="20% - Énfasis4 2 2 3" xfId="2286" xr:uid="{1B0EAC38-CC06-44B6-9E36-1893CD47FDFB}"/>
    <cellStyle name="20% - Énfasis4 2 2 3 2" xfId="3480" xr:uid="{151EDCEC-B5C1-47C2-BB2F-E00622E6C9F9}"/>
    <cellStyle name="20% - Énfasis4 2 2 4" xfId="2339" xr:uid="{B34CE5E1-23DB-452D-A2C3-12E3C9E1C254}"/>
    <cellStyle name="20% - Énfasis4 2 2 5" xfId="3647" xr:uid="{5E48B1B6-3DF6-463C-A7B4-FEC39BE80A15}"/>
    <cellStyle name="20% - Énfasis4 2 3" xfId="29" xr:uid="{00000000-0005-0000-0000-00001C000000}"/>
    <cellStyle name="20% - Énfasis4 2 3 2" xfId="1572" xr:uid="{8F7593EA-E31F-4BB3-9D5F-5DB7CCC8BF93}"/>
    <cellStyle name="20% - Énfasis4 2 3 2 2" xfId="2858" xr:uid="{FDE7051E-694E-4158-9773-0E969CAA2573}"/>
    <cellStyle name="20% - Énfasis4 2 3 3" xfId="2256" xr:uid="{D117A4F2-147E-4B51-B6C1-FE2336D8170F}"/>
    <cellStyle name="20% - Énfasis4 2 3 3 2" xfId="3450" xr:uid="{709AFC53-5A42-443A-8D50-6CCDDF2A1BB0}"/>
    <cellStyle name="20% - Énfasis4 2 3 4" xfId="2340" xr:uid="{167345D7-2DD3-40D1-B9EA-243A400F6CC5}"/>
    <cellStyle name="20% - Énfasis4 2 3 5" xfId="3617" xr:uid="{591498ED-67AE-46D4-8EED-67FCE49C3939}"/>
    <cellStyle name="20% - Énfasis4 3" xfId="30" xr:uid="{00000000-0005-0000-0000-00001D000000}"/>
    <cellStyle name="20% - Énfasis4 3 2" xfId="31" xr:uid="{00000000-0005-0000-0000-00001E000000}"/>
    <cellStyle name="20% - Énfasis4 3 2 2" xfId="1573" xr:uid="{1F4F3876-B8D2-4CEB-BBBD-A3B939DDECB0}"/>
    <cellStyle name="20% - Énfasis4 3 2 2 2" xfId="2859" xr:uid="{D3C865D7-AFB5-49EF-B396-FB0BBC8E974F}"/>
    <cellStyle name="20% - Énfasis4 3 2 3" xfId="2271" xr:uid="{48AC6DB3-425A-4971-9C1F-C8C6660231C9}"/>
    <cellStyle name="20% - Énfasis4 3 2 3 2" xfId="3465" xr:uid="{A0BF3E88-A707-43E9-A871-102AE9D57586}"/>
    <cellStyle name="20% - Énfasis4 3 2 4" xfId="2341" xr:uid="{A041014F-3268-4026-BB76-F6F7D2D8F9AA}"/>
    <cellStyle name="20% - Énfasis4 3 2 5" xfId="3632" xr:uid="{A951FA17-D436-46B9-9A4E-CD8349708B01}"/>
    <cellStyle name="20% - Énfasis4 4" xfId="32" xr:uid="{00000000-0005-0000-0000-00001F000000}"/>
    <cellStyle name="20% - Énfasis4 5" xfId="33" xr:uid="{00000000-0005-0000-0000-000020000000}"/>
    <cellStyle name="20% - Énfasis4 5 2" xfId="34" xr:uid="{00000000-0005-0000-0000-000021000000}"/>
    <cellStyle name="20% - Énfasis4 5 2 2" xfId="1574" xr:uid="{5B1F71E0-491B-4245-AAB4-02E99A377182}"/>
    <cellStyle name="20% - Énfasis4 5 2 2 2" xfId="2860" xr:uid="{552745C3-CDB0-4FF4-A4A8-19B3954C1A71}"/>
    <cellStyle name="20% - Énfasis4 5 2 3" xfId="2342" xr:uid="{C08FFFB1-3382-4CC9-86DD-09A50CB080A0}"/>
    <cellStyle name="20% - Énfasis4 5 3" xfId="2241" xr:uid="{FD03E97E-7F55-45F7-A4BF-FC86BB652C26}"/>
    <cellStyle name="20% - Énfasis4 5 3 2" xfId="3435" xr:uid="{E696C309-B2FA-4C4B-969F-AAE117C490D1}"/>
    <cellStyle name="20% - Énfasis4 5 4" xfId="3602" xr:uid="{7EDDB142-3131-4632-ACE4-F9C3076584D7}"/>
    <cellStyle name="20% - Énfasis5 2" xfId="35" xr:uid="{00000000-0005-0000-0000-000022000000}"/>
    <cellStyle name="20% - Énfasis5 2 2" xfId="36" xr:uid="{00000000-0005-0000-0000-000023000000}"/>
    <cellStyle name="20% - Énfasis5 2 2 2" xfId="1575" xr:uid="{EA6D9525-5E55-4950-B573-7C3373A9A5A8}"/>
    <cellStyle name="20% - Énfasis5 2 2 2 2" xfId="2861" xr:uid="{1497B331-6718-42A6-BB60-62AB6CDB2B60}"/>
    <cellStyle name="20% - Énfasis5 2 2 3" xfId="2288" xr:uid="{926778BA-5C43-4664-8057-74BD6781CAA6}"/>
    <cellStyle name="20% - Énfasis5 2 2 3 2" xfId="3482" xr:uid="{ACA29568-780A-4DDE-9EC7-C2EE9A1EBC80}"/>
    <cellStyle name="20% - Énfasis5 2 2 4" xfId="2343" xr:uid="{8EFCB550-AA4B-42A8-8B2B-DBC16156B18F}"/>
    <cellStyle name="20% - Énfasis5 2 2 5" xfId="3649" xr:uid="{9BD2F315-D00B-4477-ADF1-38932180A214}"/>
    <cellStyle name="20% - Énfasis5 2 3" xfId="37" xr:uid="{00000000-0005-0000-0000-000024000000}"/>
    <cellStyle name="20% - Énfasis5 2 3 2" xfId="1576" xr:uid="{3C89E7FB-4B7A-4EFF-83F2-55C28635CAAA}"/>
    <cellStyle name="20% - Énfasis5 2 3 2 2" xfId="2862" xr:uid="{955B5426-F294-4C35-8D13-26660B93B05F}"/>
    <cellStyle name="20% - Énfasis5 2 3 3" xfId="2258" xr:uid="{6B56A766-3429-4F97-B95E-9DC13DE11921}"/>
    <cellStyle name="20% - Énfasis5 2 3 3 2" xfId="3452" xr:uid="{3EDF9168-CB8A-4FDA-889A-2975AA5F96E6}"/>
    <cellStyle name="20% - Énfasis5 2 3 4" xfId="2344" xr:uid="{1E1970CA-9C44-406B-894E-56C174B0F0C6}"/>
    <cellStyle name="20% - Énfasis5 2 3 5" xfId="3619" xr:uid="{05F9BEDB-2DC8-4AC9-B8C5-10978DB4FFBB}"/>
    <cellStyle name="20% - Énfasis5 3" xfId="38" xr:uid="{00000000-0005-0000-0000-000025000000}"/>
    <cellStyle name="20% - Énfasis5 3 2" xfId="39" xr:uid="{00000000-0005-0000-0000-000026000000}"/>
    <cellStyle name="20% - Énfasis5 3 2 2" xfId="1577" xr:uid="{26828D52-0D18-43E7-936A-04C72A30A899}"/>
    <cellStyle name="20% - Énfasis5 3 2 2 2" xfId="2863" xr:uid="{1D042AD2-54CC-4519-AD82-6EB48201EA98}"/>
    <cellStyle name="20% - Énfasis5 3 2 3" xfId="2273" xr:uid="{BDF73D57-6747-4C44-B1D1-0934601CFDFE}"/>
    <cellStyle name="20% - Énfasis5 3 2 3 2" xfId="3467" xr:uid="{3FB7AC86-2339-44AE-8431-341E0075DF6A}"/>
    <cellStyle name="20% - Énfasis5 3 2 4" xfId="2345" xr:uid="{12D95642-C2B8-41A9-8FE3-3BD272E5AD3A}"/>
    <cellStyle name="20% - Énfasis5 3 2 5" xfId="3634" xr:uid="{380477BD-2322-4C90-BA6E-82B2EDA30147}"/>
    <cellStyle name="20% - Énfasis5 4" xfId="40" xr:uid="{00000000-0005-0000-0000-000027000000}"/>
    <cellStyle name="20% - Énfasis5 4 2" xfId="41" xr:uid="{00000000-0005-0000-0000-000028000000}"/>
    <cellStyle name="20% - Énfasis5 4 2 2" xfId="1578" xr:uid="{819E2338-B9CB-4F63-A65B-A11252437B72}"/>
    <cellStyle name="20% - Énfasis5 4 2 2 2" xfId="2864" xr:uid="{7E8E0B82-EC5B-4937-BFAD-1B1F4AEDF7CA}"/>
    <cellStyle name="20% - Énfasis5 4 2 3" xfId="2346" xr:uid="{4E71054F-6B82-4EE7-A7C8-7C0EF62FEA47}"/>
    <cellStyle name="20% - Énfasis5 4 3" xfId="2243" xr:uid="{B2127144-D8AD-46FD-838F-627FDE4B1718}"/>
    <cellStyle name="20% - Énfasis5 4 3 2" xfId="3437" xr:uid="{B02AF97F-62A1-449E-8840-3275DA021431}"/>
    <cellStyle name="20% - Énfasis5 4 4" xfId="3604" xr:uid="{6F5881F1-C24A-48C3-ACF3-53EA6457D701}"/>
    <cellStyle name="20% - Énfasis6 2" xfId="42" xr:uid="{00000000-0005-0000-0000-000029000000}"/>
    <cellStyle name="20% - Énfasis6 2 2" xfId="43" xr:uid="{00000000-0005-0000-0000-00002A000000}"/>
    <cellStyle name="20% - Énfasis6 2 2 2" xfId="1579" xr:uid="{23563C00-C202-4BD0-9E43-1B1A60FEB3A3}"/>
    <cellStyle name="20% - Énfasis6 2 2 2 2" xfId="2865" xr:uid="{2FE01358-6815-4456-A190-0475A60C21DE}"/>
    <cellStyle name="20% - Énfasis6 2 2 3" xfId="2290" xr:uid="{0063A337-6EE7-49D9-8E6E-14D793048B51}"/>
    <cellStyle name="20% - Énfasis6 2 2 3 2" xfId="3484" xr:uid="{8063553D-10BC-4715-A7B7-3796848DAF59}"/>
    <cellStyle name="20% - Énfasis6 2 2 4" xfId="2347" xr:uid="{7739A419-E2B9-448A-B7ED-8031EBF1F772}"/>
    <cellStyle name="20% - Énfasis6 2 2 5" xfId="3651" xr:uid="{ABF18CEA-29DC-47ED-A456-4358971F65C1}"/>
    <cellStyle name="20% - Énfasis6 2 3" xfId="44" xr:uid="{00000000-0005-0000-0000-00002B000000}"/>
    <cellStyle name="20% - Énfasis6 2 3 2" xfId="1580" xr:uid="{D91E4371-7BB4-4DF7-8D26-DDC49F1050CA}"/>
    <cellStyle name="20% - Énfasis6 2 3 2 2" xfId="2866" xr:uid="{BFA8EF7D-922D-4010-82A2-CB61DC3BF623}"/>
    <cellStyle name="20% - Énfasis6 2 3 3" xfId="2260" xr:uid="{D5941ED4-8401-4F4A-B674-90D595BBE3F0}"/>
    <cellStyle name="20% - Énfasis6 2 3 3 2" xfId="3454" xr:uid="{CA71287D-7FCF-4CD3-9107-4125A61475DD}"/>
    <cellStyle name="20% - Énfasis6 2 3 4" xfId="2348" xr:uid="{34EC1662-D787-44A6-A042-3D14C40A464F}"/>
    <cellStyle name="20% - Énfasis6 2 3 5" xfId="3621" xr:uid="{20AE949B-ADC9-41D6-8459-8EA01D707A42}"/>
    <cellStyle name="20% - Énfasis6 3" xfId="45" xr:uid="{00000000-0005-0000-0000-00002C000000}"/>
    <cellStyle name="20% - Énfasis6 3 2" xfId="46" xr:uid="{00000000-0005-0000-0000-00002D000000}"/>
    <cellStyle name="20% - Énfasis6 3 2 2" xfId="1581" xr:uid="{5D5786D2-B9D2-498F-9137-4E8B4DB6E24E}"/>
    <cellStyle name="20% - Énfasis6 3 2 2 2" xfId="2867" xr:uid="{D346FBAE-31CE-4EC2-9B82-3755A4E8C852}"/>
    <cellStyle name="20% - Énfasis6 3 2 3" xfId="2275" xr:uid="{5E81356F-92AE-4EC0-A614-07CF3BB6852C}"/>
    <cellStyle name="20% - Énfasis6 3 2 3 2" xfId="3469" xr:uid="{F1C25771-8848-414D-8F43-6FDD57B17735}"/>
    <cellStyle name="20% - Énfasis6 3 2 4" xfId="2349" xr:uid="{CD8DCFAB-C925-471D-8EE9-1C7FDC0845FD}"/>
    <cellStyle name="20% - Énfasis6 3 2 5" xfId="3636" xr:uid="{32D4F293-BDB3-45B1-879C-3218DFE9527D}"/>
    <cellStyle name="20% - Énfasis6 4" xfId="47" xr:uid="{00000000-0005-0000-0000-00002E000000}"/>
    <cellStyle name="20% - Énfasis6 5" xfId="48" xr:uid="{00000000-0005-0000-0000-00002F000000}"/>
    <cellStyle name="20% - Énfasis6 5 2" xfId="49" xr:uid="{00000000-0005-0000-0000-000030000000}"/>
    <cellStyle name="20% - Énfasis6 5 2 2" xfId="1582" xr:uid="{6CA51B6C-6686-4CEF-AC0A-1DAACEB193A7}"/>
    <cellStyle name="20% - Énfasis6 5 2 2 2" xfId="2868" xr:uid="{C4B801D5-3A38-44A3-96AE-5EB2184F9AA8}"/>
    <cellStyle name="20% - Énfasis6 5 2 3" xfId="2350" xr:uid="{CE5D1EC9-F862-4E8D-9F51-3EDE89B0B844}"/>
    <cellStyle name="20% - Énfasis6 5 3" xfId="2245" xr:uid="{60029BE9-74C8-45CD-8F57-04C74352B2B2}"/>
    <cellStyle name="20% - Énfasis6 5 3 2" xfId="3439" xr:uid="{9BF0F826-F4A8-44D4-A3EC-05C0624128EB}"/>
    <cellStyle name="20% - Énfasis6 5 4" xfId="3606" xr:uid="{2A2CAB1B-984D-4978-A765-D23D4B53BE0A}"/>
    <cellStyle name="40% - Accent2 2" xfId="50" xr:uid="{00000000-0005-0000-0000-000031000000}"/>
    <cellStyle name="40% - Énfasis1 2" xfId="51" xr:uid="{00000000-0005-0000-0000-000032000000}"/>
    <cellStyle name="40% - Énfasis1 2 2" xfId="52" xr:uid="{00000000-0005-0000-0000-000033000000}"/>
    <cellStyle name="40% - Énfasis1 2 2 2" xfId="1583" xr:uid="{1948958E-76C0-44AE-B1D2-2AB4B4B4607C}"/>
    <cellStyle name="40% - Énfasis1 2 2 2 2" xfId="2869" xr:uid="{4E31889F-C1B1-408F-AD45-13E7D5177B92}"/>
    <cellStyle name="40% - Énfasis1 2 2 3" xfId="2281" xr:uid="{082EE9EC-DBD2-499B-8DCF-5AA32031AD10}"/>
    <cellStyle name="40% - Énfasis1 2 2 3 2" xfId="3475" xr:uid="{747A05A3-F7A1-4827-B1E3-E5FCB0B18941}"/>
    <cellStyle name="40% - Énfasis1 2 2 4" xfId="2351" xr:uid="{852C0B5A-D5F3-4DD1-B9DD-7D00431863BB}"/>
    <cellStyle name="40% - Énfasis1 2 2 5" xfId="3642" xr:uid="{B200B474-5763-41D7-B1A7-3FA92F7543E5}"/>
    <cellStyle name="40% - Énfasis1 2 3" xfId="53" xr:uid="{00000000-0005-0000-0000-000034000000}"/>
    <cellStyle name="40% - Énfasis1 2 3 2" xfId="1584" xr:uid="{5BDE6296-14E1-4754-AB6C-E7D81DB8F8DC}"/>
    <cellStyle name="40% - Énfasis1 2 3 2 2" xfId="2870" xr:uid="{E1A98299-F666-4DC4-9A1B-9C2D3188A88A}"/>
    <cellStyle name="40% - Énfasis1 2 3 3" xfId="2251" xr:uid="{19861A3D-4DD4-4DF8-9997-E6B272449AB3}"/>
    <cellStyle name="40% - Énfasis1 2 3 3 2" xfId="3445" xr:uid="{FFF82F4F-12A7-4B35-A927-D7036903B62E}"/>
    <cellStyle name="40% - Énfasis1 2 3 4" xfId="2352" xr:uid="{08BAFEC8-6A82-41B0-9A6F-E13A345A7AAB}"/>
    <cellStyle name="40% - Énfasis1 2 3 5" xfId="3612" xr:uid="{14D8B923-5F05-4741-AFFE-5AD14348A654}"/>
    <cellStyle name="40% - Énfasis1 3" xfId="54" xr:uid="{00000000-0005-0000-0000-000035000000}"/>
    <cellStyle name="40% - Énfasis1 3 2" xfId="55" xr:uid="{00000000-0005-0000-0000-000036000000}"/>
    <cellStyle name="40% - Énfasis1 3 2 2" xfId="1585" xr:uid="{BF414CC4-804A-4488-BE2D-BD6093CC2863}"/>
    <cellStyle name="40% - Énfasis1 3 2 2 2" xfId="2871" xr:uid="{A49246FF-8D45-4DAB-AEEA-FC1448B4F214}"/>
    <cellStyle name="40% - Énfasis1 3 2 3" xfId="2266" xr:uid="{8F6C5D50-77AB-4FE9-8568-3E6DB2CCB7A6}"/>
    <cellStyle name="40% - Énfasis1 3 2 3 2" xfId="3460" xr:uid="{B9F139FA-56C1-4D83-BC85-3C237837E551}"/>
    <cellStyle name="40% - Énfasis1 3 2 4" xfId="2353" xr:uid="{1885314B-1970-40F4-8305-67A2DB2E43EB}"/>
    <cellStyle name="40% - Énfasis1 3 2 5" xfId="3627" xr:uid="{7E240B4D-8155-44B8-B728-56DA22657ACF}"/>
    <cellStyle name="40% - Énfasis1 4" xfId="56" xr:uid="{00000000-0005-0000-0000-000037000000}"/>
    <cellStyle name="40% - Énfasis1 5" xfId="57" xr:uid="{00000000-0005-0000-0000-000038000000}"/>
    <cellStyle name="40% - Énfasis1 5 2" xfId="58" xr:uid="{00000000-0005-0000-0000-000039000000}"/>
    <cellStyle name="40% - Énfasis1 5 2 2" xfId="1586" xr:uid="{8922A080-FA2F-4386-966C-00D72ED540BF}"/>
    <cellStyle name="40% - Énfasis1 5 2 2 2" xfId="2872" xr:uid="{474FE203-766F-4E82-A14D-300BCE2B6F5E}"/>
    <cellStyle name="40% - Énfasis1 5 2 3" xfId="2354" xr:uid="{89C7A880-6DB3-4451-A13D-A0485BDAE8ED}"/>
    <cellStyle name="40% - Énfasis1 5 3" xfId="2236" xr:uid="{AE92B257-EC31-4B9E-801C-72E918BA4376}"/>
    <cellStyle name="40% - Énfasis1 5 3 2" xfId="3430" xr:uid="{4F667304-2FF8-4CFB-A78D-B07C111B0D00}"/>
    <cellStyle name="40% - Énfasis1 5 4" xfId="3597" xr:uid="{A09956BF-5C86-4A38-B507-62CE80977DAD}"/>
    <cellStyle name="40% - Énfasis2 2" xfId="59" xr:uid="{00000000-0005-0000-0000-00003A000000}"/>
    <cellStyle name="40% - Énfasis2 2 2" xfId="60" xr:uid="{00000000-0005-0000-0000-00003B000000}"/>
    <cellStyle name="40% - Énfasis2 2 2 2" xfId="1587" xr:uid="{0FD357CF-3C56-4766-9565-B29C64253242}"/>
    <cellStyle name="40% - Énfasis2 2 2 2 2" xfId="2873" xr:uid="{9348B787-75B1-47BF-A834-A9D6460D4EA5}"/>
    <cellStyle name="40% - Énfasis2 2 2 3" xfId="2283" xr:uid="{12B288FE-5208-4A96-89D2-AB789F4A6477}"/>
    <cellStyle name="40% - Énfasis2 2 2 3 2" xfId="3477" xr:uid="{A2269C8F-9FAB-4281-A9D8-130D6EF4A20D}"/>
    <cellStyle name="40% - Énfasis2 2 2 4" xfId="2355" xr:uid="{B9CE288D-AD1A-4D47-8C9C-E87CE03EA0EC}"/>
    <cellStyle name="40% - Énfasis2 2 2 5" xfId="3644" xr:uid="{51C666E7-DA45-49FC-8245-3DE2CE8BAD09}"/>
    <cellStyle name="40% - Énfasis2 2 3" xfId="61" xr:uid="{00000000-0005-0000-0000-00003C000000}"/>
    <cellStyle name="40% - Énfasis2 2 3 2" xfId="1588" xr:uid="{AFEA0B99-AB76-4990-8F3E-A17361D76537}"/>
    <cellStyle name="40% - Énfasis2 2 3 2 2" xfId="2874" xr:uid="{125E757D-EB5B-420B-867C-FB63C7B4F888}"/>
    <cellStyle name="40% - Énfasis2 2 3 3" xfId="2253" xr:uid="{B4F6E17B-51E9-4748-AFDC-AF18EFA52C61}"/>
    <cellStyle name="40% - Énfasis2 2 3 3 2" xfId="3447" xr:uid="{6E2F5542-4D02-4B29-B038-50A15AC7F1D3}"/>
    <cellStyle name="40% - Énfasis2 2 3 4" xfId="2356" xr:uid="{9F00F607-A7EA-4731-ADB1-D0DE254E0A8C}"/>
    <cellStyle name="40% - Énfasis2 2 3 5" xfId="3614" xr:uid="{8E2CE577-7E3F-4F46-8925-AF1E52A816B7}"/>
    <cellStyle name="40% - Énfasis2 3" xfId="62" xr:uid="{00000000-0005-0000-0000-00003D000000}"/>
    <cellStyle name="40% - Énfasis2 3 2" xfId="63" xr:uid="{00000000-0005-0000-0000-00003E000000}"/>
    <cellStyle name="40% - Énfasis2 3 2 2" xfId="1589" xr:uid="{8D9F5722-37AD-40CA-9ED2-D5BBB7BADC92}"/>
    <cellStyle name="40% - Énfasis2 3 2 2 2" xfId="2875" xr:uid="{01EFC80E-B63A-41D3-8B80-FD9908B7EBFE}"/>
    <cellStyle name="40% - Énfasis2 3 2 3" xfId="2268" xr:uid="{1F2F490C-863F-466D-8289-CC7B52B399CC}"/>
    <cellStyle name="40% - Énfasis2 3 2 3 2" xfId="3462" xr:uid="{959A1503-541F-422E-A285-54397C226750}"/>
    <cellStyle name="40% - Énfasis2 3 2 4" xfId="2357" xr:uid="{14D10E3B-9292-43BF-8650-8B1FA5F52E52}"/>
    <cellStyle name="40% - Énfasis2 3 2 5" xfId="3629" xr:uid="{4EFCF090-44C9-4FCA-93D3-DC00276ACA95}"/>
    <cellStyle name="40% - Énfasis2 4" xfId="64" xr:uid="{00000000-0005-0000-0000-00003F000000}"/>
    <cellStyle name="40% - Énfasis2 4 2" xfId="65" xr:uid="{00000000-0005-0000-0000-000040000000}"/>
    <cellStyle name="40% - Énfasis2 4 2 2" xfId="1590" xr:uid="{FF372B1D-E5F4-4E46-A2EE-D7C351C2CE9E}"/>
    <cellStyle name="40% - Énfasis2 4 2 2 2" xfId="2876" xr:uid="{9EFDBC80-63D6-4838-BFAA-DF1082E3881F}"/>
    <cellStyle name="40% - Énfasis2 4 2 3" xfId="2358" xr:uid="{3D8F99A7-08FA-4025-AAD0-DAE04C6A2451}"/>
    <cellStyle name="40% - Énfasis2 4 3" xfId="2238" xr:uid="{41117C96-E627-4A0A-91F4-8242E82E87E7}"/>
    <cellStyle name="40% - Énfasis2 4 3 2" xfId="3432" xr:uid="{C6D65E6F-54E9-4389-8D1F-17296C32A467}"/>
    <cellStyle name="40% - Énfasis2 4 4" xfId="3599" xr:uid="{3AB3A593-BCDC-4644-AC04-8556429E8174}"/>
    <cellStyle name="40% - Énfasis3 2" xfId="66" xr:uid="{00000000-0005-0000-0000-000041000000}"/>
    <cellStyle name="40% - Énfasis3 2 2" xfId="67" xr:uid="{00000000-0005-0000-0000-000042000000}"/>
    <cellStyle name="40% - Énfasis3 2 2 2" xfId="1591" xr:uid="{AE0255A6-02FB-4C0D-8B84-EDDA056AF0DE}"/>
    <cellStyle name="40% - Énfasis3 2 2 2 2" xfId="2877" xr:uid="{00D5161D-8E58-4EB5-BB4D-6C374F5B83B6}"/>
    <cellStyle name="40% - Énfasis3 2 2 3" xfId="2285" xr:uid="{105A038E-C4A7-4BFF-AB9B-91EB5F85A953}"/>
    <cellStyle name="40% - Énfasis3 2 2 3 2" xfId="3479" xr:uid="{B872F33D-5C2C-4A8E-982E-9C1CCAA12EDE}"/>
    <cellStyle name="40% - Énfasis3 2 2 4" xfId="2359" xr:uid="{8AA4BB8C-41E1-4ED8-A6D2-11BB2C41FCD8}"/>
    <cellStyle name="40% - Énfasis3 2 2 5" xfId="3646" xr:uid="{43ADEBE6-2A80-4808-BBAC-FEA1EAF4D1CB}"/>
    <cellStyle name="40% - Énfasis3 2 3" xfId="68" xr:uid="{00000000-0005-0000-0000-000043000000}"/>
    <cellStyle name="40% - Énfasis3 2 3 2" xfId="1592" xr:uid="{C302ACEF-761F-4056-951F-80A799F5A8DE}"/>
    <cellStyle name="40% - Énfasis3 2 3 2 2" xfId="2878" xr:uid="{8E475068-24B4-47AA-ABBA-52DC964859CD}"/>
    <cellStyle name="40% - Énfasis3 2 3 3" xfId="2255" xr:uid="{E4F84BA7-1BC5-493A-AECE-37AF22392271}"/>
    <cellStyle name="40% - Énfasis3 2 3 3 2" xfId="3449" xr:uid="{965ECA4E-E97F-4705-84CF-9B09BD76D221}"/>
    <cellStyle name="40% - Énfasis3 2 3 4" xfId="2360" xr:uid="{76B3D90D-489D-4182-97B5-B0122C01A0C6}"/>
    <cellStyle name="40% - Énfasis3 2 3 5" xfId="3616" xr:uid="{30D10324-C304-42CA-8D8B-739BA1EB28FD}"/>
    <cellStyle name="40% - Énfasis3 3" xfId="69" xr:uid="{00000000-0005-0000-0000-000044000000}"/>
    <cellStyle name="40% - Énfasis3 3 2" xfId="70" xr:uid="{00000000-0005-0000-0000-000045000000}"/>
    <cellStyle name="40% - Énfasis3 3 2 2" xfId="1593" xr:uid="{BB832384-CFF5-4341-BA7F-D2176EE1AABF}"/>
    <cellStyle name="40% - Énfasis3 3 2 2 2" xfId="2879" xr:uid="{AE8D4C05-5643-4180-89C4-0D00F51A4AC6}"/>
    <cellStyle name="40% - Énfasis3 3 2 3" xfId="2270" xr:uid="{290DDF97-D62B-448B-AD74-6595B9A882FA}"/>
    <cellStyle name="40% - Énfasis3 3 2 3 2" xfId="3464" xr:uid="{126FEE2C-183E-4943-AEBE-71D43B7A9002}"/>
    <cellStyle name="40% - Énfasis3 3 2 4" xfId="2361" xr:uid="{386C1C40-1FAE-4712-A217-F554D19CA32D}"/>
    <cellStyle name="40% - Énfasis3 3 2 5" xfId="3631" xr:uid="{324160E1-2E2F-4193-9ABD-B6F1D154D91E}"/>
    <cellStyle name="40% - Énfasis3 4" xfId="71" xr:uid="{00000000-0005-0000-0000-000046000000}"/>
    <cellStyle name="40% - Énfasis3 5" xfId="72" xr:uid="{00000000-0005-0000-0000-000047000000}"/>
    <cellStyle name="40% - Énfasis3 5 2" xfId="73" xr:uid="{00000000-0005-0000-0000-000048000000}"/>
    <cellStyle name="40% - Énfasis3 5 2 2" xfId="1594" xr:uid="{095A5AE4-0503-415A-AAC9-220E1BC5B9EC}"/>
    <cellStyle name="40% - Énfasis3 5 2 2 2" xfId="2880" xr:uid="{DCA89EED-5FBB-47D7-9F06-56DDEEEB4549}"/>
    <cellStyle name="40% - Énfasis3 5 2 3" xfId="2362" xr:uid="{6C4FDB8B-3B47-4367-9308-B06026BB1BBD}"/>
    <cellStyle name="40% - Énfasis3 5 3" xfId="2240" xr:uid="{CB8DC661-AE11-41A6-AB70-ED9693579986}"/>
    <cellStyle name="40% - Énfasis3 5 3 2" xfId="3434" xr:uid="{0D5C6EC4-3418-4B29-87C5-046DAC372C15}"/>
    <cellStyle name="40% - Énfasis3 5 4" xfId="3601" xr:uid="{85857B6A-D8F7-4002-96B8-266EB8085299}"/>
    <cellStyle name="40% - Énfasis4 2" xfId="74" xr:uid="{00000000-0005-0000-0000-000049000000}"/>
    <cellStyle name="40% - Énfasis4 2 2" xfId="75" xr:uid="{00000000-0005-0000-0000-00004A000000}"/>
    <cellStyle name="40% - Énfasis4 2 2 2" xfId="1595" xr:uid="{E0B7100C-E3AE-4F90-8C4C-BA68092A9979}"/>
    <cellStyle name="40% - Énfasis4 2 2 2 2" xfId="2881" xr:uid="{E4F6B0C7-4B14-493C-A113-E5A5BB7EB3E1}"/>
    <cellStyle name="40% - Énfasis4 2 2 3" xfId="2287" xr:uid="{6700B86C-BDF1-4A58-93AF-F33190D6AE1C}"/>
    <cellStyle name="40% - Énfasis4 2 2 3 2" xfId="3481" xr:uid="{36F3D6D2-8D44-4F53-9F8D-78BB31F95883}"/>
    <cellStyle name="40% - Énfasis4 2 2 4" xfId="2363" xr:uid="{07F22360-D740-4EF6-9820-AA74A00E8FA0}"/>
    <cellStyle name="40% - Énfasis4 2 2 5" xfId="3648" xr:uid="{BA0B12A0-3792-407F-998F-979A8B33D683}"/>
    <cellStyle name="40% - Énfasis4 2 3" xfId="76" xr:uid="{00000000-0005-0000-0000-00004B000000}"/>
    <cellStyle name="40% - Énfasis4 2 3 2" xfId="1596" xr:uid="{1B996F85-1510-4B8F-8CA0-64E6D0474CAF}"/>
    <cellStyle name="40% - Énfasis4 2 3 2 2" xfId="2882" xr:uid="{10C16F4A-EF3A-4EB9-9EC5-478583C351E9}"/>
    <cellStyle name="40% - Énfasis4 2 3 3" xfId="2257" xr:uid="{6094E75C-4DB5-4037-A4FB-0ACEECE9CC13}"/>
    <cellStyle name="40% - Énfasis4 2 3 3 2" xfId="3451" xr:uid="{4CFD920F-BCEB-4CBD-BBB4-F44AAD574BD1}"/>
    <cellStyle name="40% - Énfasis4 2 3 4" xfId="2364" xr:uid="{922DC251-CEB5-4464-BAC8-B2B00653FC46}"/>
    <cellStyle name="40% - Énfasis4 2 3 5" xfId="3618" xr:uid="{157EEC81-4264-44A4-BAD9-9B70A468AC00}"/>
    <cellStyle name="40% - Énfasis4 3" xfId="77" xr:uid="{00000000-0005-0000-0000-00004C000000}"/>
    <cellStyle name="40% - Énfasis4 3 2" xfId="78" xr:uid="{00000000-0005-0000-0000-00004D000000}"/>
    <cellStyle name="40% - Énfasis4 3 2 2" xfId="1597" xr:uid="{8D949551-5026-4835-A61C-FB3EB9FC6EDB}"/>
    <cellStyle name="40% - Énfasis4 3 2 2 2" xfId="2883" xr:uid="{FD977CC4-D41A-47C9-8BBC-2237EDF505B8}"/>
    <cellStyle name="40% - Énfasis4 3 2 3" xfId="2272" xr:uid="{52A5D8D3-92FF-4CAB-BF1C-E4E1A619E457}"/>
    <cellStyle name="40% - Énfasis4 3 2 3 2" xfId="3466" xr:uid="{5801C094-1C8E-43B7-BF14-393550F899D8}"/>
    <cellStyle name="40% - Énfasis4 3 2 4" xfId="2365" xr:uid="{7484CAC8-2BE0-4EA7-805F-E9890B915518}"/>
    <cellStyle name="40% - Énfasis4 3 2 5" xfId="3633" xr:uid="{73BDC050-FCEE-498F-B38B-65888489B6AB}"/>
    <cellStyle name="40% - Énfasis4 4" xfId="79" xr:uid="{00000000-0005-0000-0000-00004E000000}"/>
    <cellStyle name="40% - Énfasis4 5" xfId="80" xr:uid="{00000000-0005-0000-0000-00004F000000}"/>
    <cellStyle name="40% - Énfasis4 5 2" xfId="81" xr:uid="{00000000-0005-0000-0000-000050000000}"/>
    <cellStyle name="40% - Énfasis4 5 2 2" xfId="1598" xr:uid="{92D54872-DBC4-4A63-AC76-0BEFBFCA5EB0}"/>
    <cellStyle name="40% - Énfasis4 5 2 2 2" xfId="2884" xr:uid="{947A4286-9EC3-4A38-B4C6-846995EF4C29}"/>
    <cellStyle name="40% - Énfasis4 5 2 3" xfId="2366" xr:uid="{9DAE2596-1F63-4D41-92B5-443C2937AAA2}"/>
    <cellStyle name="40% - Énfasis4 5 3" xfId="2242" xr:uid="{E7216184-0FCA-40D2-94ED-62A60E2A5B43}"/>
    <cellStyle name="40% - Énfasis4 5 3 2" xfId="3436" xr:uid="{BA03A6C4-ED1C-43EF-8DC6-B7FE33183237}"/>
    <cellStyle name="40% - Énfasis4 5 4" xfId="3603" xr:uid="{178A5987-783E-4B1B-812E-F0F6C9E76718}"/>
    <cellStyle name="40% - Énfasis5 2" xfId="82" xr:uid="{00000000-0005-0000-0000-000051000000}"/>
    <cellStyle name="40% - Énfasis5 2 2" xfId="83" xr:uid="{00000000-0005-0000-0000-000052000000}"/>
    <cellStyle name="40% - Énfasis5 2 2 2" xfId="1599" xr:uid="{BB7593FE-A504-49EE-9DCC-E6BCEF95337C}"/>
    <cellStyle name="40% - Énfasis5 2 2 2 2" xfId="2885" xr:uid="{A54679E1-08C1-4857-A814-68ED57CC8B21}"/>
    <cellStyle name="40% - Énfasis5 2 2 3" xfId="2289" xr:uid="{1EDE0511-FAFC-4381-A3C6-F27043CE60C2}"/>
    <cellStyle name="40% - Énfasis5 2 2 3 2" xfId="3483" xr:uid="{B0F89410-70DF-4175-BFF7-E62603429041}"/>
    <cellStyle name="40% - Énfasis5 2 2 4" xfId="2367" xr:uid="{0941DB62-A7A8-4B6C-B393-C0F9169FEE29}"/>
    <cellStyle name="40% - Énfasis5 2 2 5" xfId="3650" xr:uid="{3AD53416-FA6D-4275-A6E5-5F1436C2E423}"/>
    <cellStyle name="40% - Énfasis5 2 3" xfId="84" xr:uid="{00000000-0005-0000-0000-000053000000}"/>
    <cellStyle name="40% - Énfasis5 2 3 2" xfId="1600" xr:uid="{C52C9D12-219F-4864-A099-29F53FD5A8E2}"/>
    <cellStyle name="40% - Énfasis5 2 3 2 2" xfId="2886" xr:uid="{28971161-3256-428C-BB3A-0E3410B8046D}"/>
    <cellStyle name="40% - Énfasis5 2 3 3" xfId="2259" xr:uid="{D1C5BE40-0A0C-45FA-A746-B60C55BB0F70}"/>
    <cellStyle name="40% - Énfasis5 2 3 3 2" xfId="3453" xr:uid="{7F665F1D-504F-4B8F-9B45-C5E889AD7802}"/>
    <cellStyle name="40% - Énfasis5 2 3 4" xfId="2368" xr:uid="{D2920186-5022-44EF-8F91-5D22A80AA7DC}"/>
    <cellStyle name="40% - Énfasis5 2 3 5" xfId="3620" xr:uid="{586206E2-909A-44DA-83BE-DBFDCAE09BE2}"/>
    <cellStyle name="40% - Énfasis5 3" xfId="85" xr:uid="{00000000-0005-0000-0000-000054000000}"/>
    <cellStyle name="40% - Énfasis5 3 2" xfId="86" xr:uid="{00000000-0005-0000-0000-000055000000}"/>
    <cellStyle name="40% - Énfasis5 3 2 2" xfId="1601" xr:uid="{9A4E24E7-6570-41E5-9995-1A54949B464B}"/>
    <cellStyle name="40% - Énfasis5 3 2 2 2" xfId="2887" xr:uid="{B4633878-4863-48D3-9C81-0902FA7BAADB}"/>
    <cellStyle name="40% - Énfasis5 3 2 3" xfId="2274" xr:uid="{AB4E6B48-7769-439A-807F-10078E4A058E}"/>
    <cellStyle name="40% - Énfasis5 3 2 3 2" xfId="3468" xr:uid="{616D3902-A742-41A6-BB1A-5E12A7F31322}"/>
    <cellStyle name="40% - Énfasis5 3 2 4" xfId="2369" xr:uid="{D5BE3D75-D324-468A-A07C-F876D2EEB0F8}"/>
    <cellStyle name="40% - Énfasis5 3 2 5" xfId="3635" xr:uid="{50E51B26-3E8E-4FB5-A8B3-9C4E5169BA57}"/>
    <cellStyle name="40% - Énfasis5 4" xfId="87" xr:uid="{00000000-0005-0000-0000-000056000000}"/>
    <cellStyle name="40% - Énfasis5 5" xfId="88" xr:uid="{00000000-0005-0000-0000-000057000000}"/>
    <cellStyle name="40% - Énfasis5 5 2" xfId="89" xr:uid="{00000000-0005-0000-0000-000058000000}"/>
    <cellStyle name="40% - Énfasis5 5 2 2" xfId="1602" xr:uid="{CED7C461-6DF8-47E4-8E8C-2DE715C491A8}"/>
    <cellStyle name="40% - Énfasis5 5 2 2 2" xfId="2888" xr:uid="{C4D62101-F27C-43AA-8503-8CAF23878885}"/>
    <cellStyle name="40% - Énfasis5 5 2 3" xfId="2370" xr:uid="{65547597-FDA2-4F73-B1B4-02F9F1C4D9A2}"/>
    <cellStyle name="40% - Énfasis5 5 3" xfId="2244" xr:uid="{FB40F705-B69B-48FE-852B-7B476CE7AE58}"/>
    <cellStyle name="40% - Énfasis5 5 3 2" xfId="3438" xr:uid="{7D610598-CD15-497D-B2CF-ADEB4D8DE569}"/>
    <cellStyle name="40% - Énfasis5 5 4" xfId="3605" xr:uid="{C3B389DB-D0B2-4F99-A781-5DD1B3CCAC23}"/>
    <cellStyle name="40% - Énfasis6 2" xfId="90" xr:uid="{00000000-0005-0000-0000-000059000000}"/>
    <cellStyle name="40% - Énfasis6 2 2" xfId="91" xr:uid="{00000000-0005-0000-0000-00005A000000}"/>
    <cellStyle name="40% - Énfasis6 2 2 2" xfId="1603" xr:uid="{123C4BB8-9046-48C9-BC49-8E64B4500331}"/>
    <cellStyle name="40% - Énfasis6 2 2 2 2" xfId="2889" xr:uid="{A19C601B-5E44-4D88-8552-5CEDE71B0943}"/>
    <cellStyle name="40% - Énfasis6 2 2 3" xfId="2291" xr:uid="{47B8AC6A-9A87-4E01-91CD-89B3A18536A7}"/>
    <cellStyle name="40% - Énfasis6 2 2 3 2" xfId="3485" xr:uid="{9D087134-767B-4C04-ABBA-1422B9AE1CE6}"/>
    <cellStyle name="40% - Énfasis6 2 2 4" xfId="2371" xr:uid="{19AB33BD-15F3-495F-998E-54C706771C57}"/>
    <cellStyle name="40% - Énfasis6 2 2 5" xfId="3652" xr:uid="{D698E199-12E4-4970-B5E8-6F4DE694FFF8}"/>
    <cellStyle name="40% - Énfasis6 2 3" xfId="92" xr:uid="{00000000-0005-0000-0000-00005B000000}"/>
    <cellStyle name="40% - Énfasis6 2 3 2" xfId="1604" xr:uid="{D02F9708-A09B-44FF-A4E3-DA4F6F18EE8A}"/>
    <cellStyle name="40% - Énfasis6 2 3 2 2" xfId="2890" xr:uid="{928C0B09-48C4-408A-8C3F-61F05788153C}"/>
    <cellStyle name="40% - Énfasis6 2 3 3" xfId="2261" xr:uid="{456582D0-5E44-40B1-BA7C-F4E4369E7AAF}"/>
    <cellStyle name="40% - Énfasis6 2 3 3 2" xfId="3455" xr:uid="{6C9F9B57-5A7D-4FB3-8BC7-8DD080688F66}"/>
    <cellStyle name="40% - Énfasis6 2 3 4" xfId="2372" xr:uid="{A456EF80-01CB-4770-A99A-0203771ACF17}"/>
    <cellStyle name="40% - Énfasis6 2 3 5" xfId="3622" xr:uid="{C713E749-DDB6-4DD5-9F09-92CF3A709FA6}"/>
    <cellStyle name="40% - Énfasis6 3" xfId="93" xr:uid="{00000000-0005-0000-0000-00005C000000}"/>
    <cellStyle name="40% - Énfasis6 3 2" xfId="94" xr:uid="{00000000-0005-0000-0000-00005D000000}"/>
    <cellStyle name="40% - Énfasis6 3 2 2" xfId="1605" xr:uid="{21D6D6A5-3454-4570-8585-38A68E049DDA}"/>
    <cellStyle name="40% - Énfasis6 3 2 2 2" xfId="2891" xr:uid="{91045392-D42A-47CF-92FC-A5F7584F9AF8}"/>
    <cellStyle name="40% - Énfasis6 3 2 3" xfId="2276" xr:uid="{E99B32AE-AC15-4ADF-8193-8953CB9AAE26}"/>
    <cellStyle name="40% - Énfasis6 3 2 3 2" xfId="3470" xr:uid="{572D7A7B-3990-44C0-9205-2742FC183F51}"/>
    <cellStyle name="40% - Énfasis6 3 2 4" xfId="2373" xr:uid="{A6305907-97BB-4E2A-BAB4-17A4BBA682FC}"/>
    <cellStyle name="40% - Énfasis6 3 2 5" xfId="3637" xr:uid="{099FB293-DBF9-4957-8DB1-904C7C6935BB}"/>
    <cellStyle name="40% - Énfasis6 4" xfId="95" xr:uid="{00000000-0005-0000-0000-00005E000000}"/>
    <cellStyle name="40% - Énfasis6 5" xfId="96" xr:uid="{00000000-0005-0000-0000-00005F000000}"/>
    <cellStyle name="40% - Énfasis6 5 2" xfId="97" xr:uid="{00000000-0005-0000-0000-000060000000}"/>
    <cellStyle name="40% - Énfasis6 5 2 2" xfId="1606" xr:uid="{CAC378CE-D315-4A1E-9413-F421F78D7EA4}"/>
    <cellStyle name="40% - Énfasis6 5 2 2 2" xfId="2892" xr:uid="{793686B6-9D45-4236-BC37-0518CE7A7B05}"/>
    <cellStyle name="40% - Énfasis6 5 2 3" xfId="2374" xr:uid="{04134850-6AA9-4C44-9F88-35147C494EC5}"/>
    <cellStyle name="40% - Énfasis6 5 3" xfId="2246" xr:uid="{A879829C-DA5C-462F-B8C1-8AEFBF06D6A2}"/>
    <cellStyle name="40% - Énfasis6 5 3 2" xfId="3440" xr:uid="{54AE846A-C5C5-4EEF-8A3E-D06DE0272E9B}"/>
    <cellStyle name="40% - Énfasis6 5 4" xfId="3607" xr:uid="{90AE285E-10CD-48A7-B978-4AAA6312B89F}"/>
    <cellStyle name="60% - Accent1 2" xfId="98" xr:uid="{00000000-0005-0000-0000-000061000000}"/>
    <cellStyle name="60% - Accent5 2" xfId="99" xr:uid="{00000000-0005-0000-0000-000062000000}"/>
    <cellStyle name="60% - Énfasis1 2" xfId="100" xr:uid="{00000000-0005-0000-0000-000063000000}"/>
    <cellStyle name="60% - Énfasis1 3" xfId="101" xr:uid="{00000000-0005-0000-0000-000064000000}"/>
    <cellStyle name="60% - Énfasis1 4" xfId="102" xr:uid="{00000000-0005-0000-0000-000065000000}"/>
    <cellStyle name="60% - Énfasis1 5" xfId="103" xr:uid="{00000000-0005-0000-0000-000066000000}"/>
    <cellStyle name="60% - Énfasis1 5 2" xfId="104" xr:uid="{00000000-0005-0000-0000-000067000000}"/>
    <cellStyle name="60% - Énfasis2 2" xfId="105" xr:uid="{00000000-0005-0000-0000-000068000000}"/>
    <cellStyle name="60% - Énfasis2 3" xfId="106" xr:uid="{00000000-0005-0000-0000-000069000000}"/>
    <cellStyle name="60% - Énfasis2 4" xfId="107" xr:uid="{00000000-0005-0000-0000-00006A000000}"/>
    <cellStyle name="60% - Énfasis2 5" xfId="108" xr:uid="{00000000-0005-0000-0000-00006B000000}"/>
    <cellStyle name="60% - Énfasis2 5 2" xfId="109" xr:uid="{00000000-0005-0000-0000-00006C000000}"/>
    <cellStyle name="60% - Énfasis3 2" xfId="110" xr:uid="{00000000-0005-0000-0000-00006D000000}"/>
    <cellStyle name="60% - Énfasis3 3" xfId="111" xr:uid="{00000000-0005-0000-0000-00006E000000}"/>
    <cellStyle name="60% - Énfasis3 4" xfId="112" xr:uid="{00000000-0005-0000-0000-00006F000000}"/>
    <cellStyle name="60% - Énfasis3 5" xfId="113" xr:uid="{00000000-0005-0000-0000-000070000000}"/>
    <cellStyle name="60% - Énfasis3 5 2" xfId="114" xr:uid="{00000000-0005-0000-0000-000071000000}"/>
    <cellStyle name="60% - Énfasis4 2" xfId="115" xr:uid="{00000000-0005-0000-0000-000072000000}"/>
    <cellStyle name="60% - Énfasis4 3" xfId="116" xr:uid="{00000000-0005-0000-0000-000073000000}"/>
    <cellStyle name="60% - Énfasis4 4" xfId="117" xr:uid="{00000000-0005-0000-0000-000074000000}"/>
    <cellStyle name="60% - Énfasis4 5" xfId="118" xr:uid="{00000000-0005-0000-0000-000075000000}"/>
    <cellStyle name="60% - Énfasis4 5 2" xfId="119" xr:uid="{00000000-0005-0000-0000-000076000000}"/>
    <cellStyle name="60% - Énfasis5 2" xfId="120" xr:uid="{00000000-0005-0000-0000-000077000000}"/>
    <cellStyle name="60% - Énfasis5 3" xfId="121" xr:uid="{00000000-0005-0000-0000-000078000000}"/>
    <cellStyle name="60% - Énfasis5 4" xfId="122" xr:uid="{00000000-0005-0000-0000-000079000000}"/>
    <cellStyle name="60% - Énfasis5 5" xfId="123" xr:uid="{00000000-0005-0000-0000-00007A000000}"/>
    <cellStyle name="60% - Énfasis5 5 2" xfId="124" xr:uid="{00000000-0005-0000-0000-00007B000000}"/>
    <cellStyle name="60% - Énfasis6 2" xfId="125" xr:uid="{00000000-0005-0000-0000-00007C000000}"/>
    <cellStyle name="60% - Énfasis6 3" xfId="126" xr:uid="{00000000-0005-0000-0000-00007D000000}"/>
    <cellStyle name="60% - Énfasis6 4" xfId="127" xr:uid="{00000000-0005-0000-0000-00007E000000}"/>
    <cellStyle name="60% - Énfasis6 5" xfId="128" xr:uid="{00000000-0005-0000-0000-00007F000000}"/>
    <cellStyle name="60% - Énfasis6 5 2" xfId="129" xr:uid="{00000000-0005-0000-0000-000080000000}"/>
    <cellStyle name="Accent1 2" xfId="130" xr:uid="{00000000-0005-0000-0000-000081000000}"/>
    <cellStyle name="Buena" xfId="131" xr:uid="{00000000-0005-0000-0000-000082000000}"/>
    <cellStyle name="Buena 2" xfId="132" xr:uid="{00000000-0005-0000-0000-000083000000}"/>
    <cellStyle name="Buena 2 2" xfId="133" xr:uid="{00000000-0005-0000-0000-000084000000}"/>
    <cellStyle name="Buena 3" xfId="134" xr:uid="{00000000-0005-0000-0000-000085000000}"/>
    <cellStyle name="Buena 4" xfId="135" xr:uid="{00000000-0005-0000-0000-000086000000}"/>
    <cellStyle name="Bueno" xfId="136" builtinId="26" customBuiltin="1"/>
    <cellStyle name="Cálculo 2" xfId="137" xr:uid="{00000000-0005-0000-0000-000088000000}"/>
    <cellStyle name="Cálculo 3" xfId="138" xr:uid="{00000000-0005-0000-0000-000089000000}"/>
    <cellStyle name="Cálculo 4" xfId="139" xr:uid="{00000000-0005-0000-0000-00008A000000}"/>
    <cellStyle name="Cálculo 5" xfId="140" xr:uid="{00000000-0005-0000-0000-00008B000000}"/>
    <cellStyle name="Cálculo 5 2" xfId="141" xr:uid="{00000000-0005-0000-0000-00008C000000}"/>
    <cellStyle name="Camilo" xfId="142" xr:uid="{00000000-0005-0000-0000-00008D000000}"/>
    <cellStyle name="Camilo 2" xfId="3693" xr:uid="{7DB21A54-515E-4651-A9AD-226A9417D8C5}"/>
    <cellStyle name="Celda de comprobación 2" xfId="143" xr:uid="{00000000-0005-0000-0000-00008E000000}"/>
    <cellStyle name="Celda de comprobación 3" xfId="144" xr:uid="{00000000-0005-0000-0000-00008F000000}"/>
    <cellStyle name="Celda de comprobación 4" xfId="145" xr:uid="{00000000-0005-0000-0000-000090000000}"/>
    <cellStyle name="Celda vinculada 2" xfId="146" xr:uid="{00000000-0005-0000-0000-000091000000}"/>
    <cellStyle name="Celda vinculada 2 2" xfId="147" xr:uid="{00000000-0005-0000-0000-000092000000}"/>
    <cellStyle name="Celda vinculada 3" xfId="148" xr:uid="{00000000-0005-0000-0000-000093000000}"/>
    <cellStyle name="Celda vinculada 4" xfId="149" xr:uid="{00000000-0005-0000-0000-000094000000}"/>
    <cellStyle name="Celda vinculada 5" xfId="150" xr:uid="{00000000-0005-0000-0000-000095000000}"/>
    <cellStyle name="Comma" xfId="151" xr:uid="{00000000-0005-0000-0000-000096000000}"/>
    <cellStyle name="Comma 2" xfId="152" xr:uid="{00000000-0005-0000-0000-000097000000}"/>
    <cellStyle name="Comma 2 2" xfId="153" xr:uid="{00000000-0005-0000-0000-000098000000}"/>
    <cellStyle name="Comma 2 2 2" xfId="2318" xr:uid="{AFF24AB5-8645-47F6-BA7D-6B8D2AECD9DD}"/>
    <cellStyle name="Comma 3" xfId="154" xr:uid="{00000000-0005-0000-0000-000099000000}"/>
    <cellStyle name="Comma 3 10" xfId="3510" xr:uid="{E3BCBE78-EE56-4292-BF17-B0F3CFA0AE2E}"/>
    <cellStyle name="Comma 3 2" xfId="155" xr:uid="{00000000-0005-0000-0000-00009A000000}"/>
    <cellStyle name="Comma 3 3" xfId="156" xr:uid="{00000000-0005-0000-0000-00009B000000}"/>
    <cellStyle name="Comma 3 3 2" xfId="157" xr:uid="{00000000-0005-0000-0000-00009C000000}"/>
    <cellStyle name="Comma 3 3 2 2" xfId="158" xr:uid="{00000000-0005-0000-0000-00009D000000}"/>
    <cellStyle name="Comma 3 3 2 2 2" xfId="1608" xr:uid="{D326A244-3C99-4783-B60E-726718078941}"/>
    <cellStyle name="Comma 3 3 2 2 2 2" xfId="2894" xr:uid="{37D4B8C8-E2A2-4370-8D72-3509DC2406F2}"/>
    <cellStyle name="Comma 3 3 2 2 3" xfId="2378" xr:uid="{56B9D044-422C-44F5-A962-FE5C81686002}"/>
    <cellStyle name="Comma 3 3 2 3" xfId="1607" xr:uid="{45E30594-3DD2-4CB5-AB1B-2660C2E1C3A3}"/>
    <cellStyle name="Comma 3 3 2 3 2" xfId="2893" xr:uid="{190E946F-0B9D-42F7-B99F-9DFCEC47471E}"/>
    <cellStyle name="Comma 3 3 2 4" xfId="2377" xr:uid="{1DBD8890-D9F4-43CE-B913-0CCC5F1040BD}"/>
    <cellStyle name="Comma 3 3 3" xfId="159" xr:uid="{00000000-0005-0000-0000-00009E000000}"/>
    <cellStyle name="Comma 3 3 3 2" xfId="160" xr:uid="{00000000-0005-0000-0000-00009F000000}"/>
    <cellStyle name="Comma 3 3 3 2 2" xfId="1610" xr:uid="{51399DB0-1944-43D0-B807-A38D5318309F}"/>
    <cellStyle name="Comma 3 3 3 2 2 2" xfId="2896" xr:uid="{5FDC5D17-C575-45A2-8842-AAF5C6FAC818}"/>
    <cellStyle name="Comma 3 3 3 2 3" xfId="2380" xr:uid="{999C502F-1936-48FC-A082-35CEF2DE11A8}"/>
    <cellStyle name="Comma 3 3 3 3" xfId="1609" xr:uid="{5AD6F9B0-BF63-4B12-8E0A-66F3125C8F36}"/>
    <cellStyle name="Comma 3 3 3 3 2" xfId="2895" xr:uid="{46C34338-7002-44CD-A2D0-260772B6966C}"/>
    <cellStyle name="Comma 3 3 3 4" xfId="2379" xr:uid="{9D3443A5-AB2A-4F9D-B7C0-BE946046B1F7}"/>
    <cellStyle name="Comma 3 3 4" xfId="161" xr:uid="{00000000-0005-0000-0000-0000A0000000}"/>
    <cellStyle name="Comma 3 3 4 2" xfId="1611" xr:uid="{CBBE6285-67A8-4745-8389-F4C29E3DD140}"/>
    <cellStyle name="Comma 3 3 4 2 2" xfId="2897" xr:uid="{513D913F-C0D1-4108-9A49-D6BBC87C20D1}"/>
    <cellStyle name="Comma 3 3 4 3" xfId="2381" xr:uid="{32A90C28-AFBC-4377-B068-CF2C873DB4DF}"/>
    <cellStyle name="Comma 3 3 5" xfId="2167" xr:uid="{AD6A5B84-C210-482F-A75A-E08FE7D61253}"/>
    <cellStyle name="Comma 3 3 5 2" xfId="3365" xr:uid="{D92B3433-593B-4019-8718-2E6653AD5876}"/>
    <cellStyle name="Comma 3 3 6" xfId="2376" xr:uid="{12F49B48-127B-4322-A8E2-F58A229B8D7C}"/>
    <cellStyle name="Comma 3 3 7" xfId="3531" xr:uid="{A6791358-49E9-41BB-8E25-110AC4E24BBC}"/>
    <cellStyle name="Comma 3 4" xfId="162" xr:uid="{00000000-0005-0000-0000-0000A1000000}"/>
    <cellStyle name="Comma 3 4 2" xfId="163" xr:uid="{00000000-0005-0000-0000-0000A2000000}"/>
    <cellStyle name="Comma 3 4 2 2" xfId="164" xr:uid="{00000000-0005-0000-0000-0000A3000000}"/>
    <cellStyle name="Comma 3 4 2 2 2" xfId="1614" xr:uid="{7E745552-DD14-44E7-95A2-10F17D148732}"/>
    <cellStyle name="Comma 3 4 2 2 2 2" xfId="2900" xr:uid="{8D8D8B16-24FC-4BED-9BEF-96DA31E1D60E}"/>
    <cellStyle name="Comma 3 4 2 2 3" xfId="2384" xr:uid="{EE35AEBD-1A04-45E6-81B2-247156A31CAE}"/>
    <cellStyle name="Comma 3 4 2 3" xfId="1613" xr:uid="{642FD501-1F3E-44F2-8CCC-13840E82094E}"/>
    <cellStyle name="Comma 3 4 2 3 2" xfId="2899" xr:uid="{2C1D317A-39E5-4FB7-B52C-FA0BC498E3F6}"/>
    <cellStyle name="Comma 3 4 2 4" xfId="2383" xr:uid="{0F6D8F2F-D13B-46EC-A774-13041FA0F208}"/>
    <cellStyle name="Comma 3 4 3" xfId="165" xr:uid="{00000000-0005-0000-0000-0000A4000000}"/>
    <cellStyle name="Comma 3 4 3 2" xfId="1615" xr:uid="{293F708A-64F0-40C8-881E-F8A9589A30C7}"/>
    <cellStyle name="Comma 3 4 3 2 2" xfId="2901" xr:uid="{D1093B41-656E-432A-ABD6-4379350601CF}"/>
    <cellStyle name="Comma 3 4 3 3" xfId="2385" xr:uid="{09BBD3DC-F756-424B-A13F-2DBB8DD96F8C}"/>
    <cellStyle name="Comma 3 4 4" xfId="1612" xr:uid="{AABE6241-9F15-40B2-9BFC-15B5F757C728}"/>
    <cellStyle name="Comma 3 4 4 2" xfId="2898" xr:uid="{F86F2F32-FA6E-4E6D-9111-8DFD7883BCB1}"/>
    <cellStyle name="Comma 3 4 5" xfId="2382" xr:uid="{B492B442-3EBC-49C8-9000-6D661AEAF0CA}"/>
    <cellStyle name="Comma 3 5" xfId="166" xr:uid="{00000000-0005-0000-0000-0000A5000000}"/>
    <cellStyle name="Comma 3 5 2" xfId="167" xr:uid="{00000000-0005-0000-0000-0000A6000000}"/>
    <cellStyle name="Comma 3 5 2 2" xfId="1617" xr:uid="{1B8F859E-AFE0-4986-A321-78F83761AE96}"/>
    <cellStyle name="Comma 3 5 2 2 2" xfId="2903" xr:uid="{E34F69FE-54F2-4907-A20E-77AA797CDC31}"/>
    <cellStyle name="Comma 3 5 2 3" xfId="2387" xr:uid="{14DF9FE3-4F52-492E-998A-4065C94876CE}"/>
    <cellStyle name="Comma 3 5 3" xfId="1616" xr:uid="{A9C9D760-D139-485D-BC7D-B4B026911227}"/>
    <cellStyle name="Comma 3 5 3 2" xfId="2902" xr:uid="{5AF63082-B3BC-4028-B32A-8182B49B590A}"/>
    <cellStyle name="Comma 3 5 4" xfId="2386" xr:uid="{2DE030E7-7A61-423F-A905-7F455F95E94E}"/>
    <cellStyle name="Comma 3 6" xfId="168" xr:uid="{00000000-0005-0000-0000-0000A7000000}"/>
    <cellStyle name="Comma 3 6 2" xfId="169" xr:uid="{00000000-0005-0000-0000-0000A8000000}"/>
    <cellStyle name="Comma 3 6 2 2" xfId="1619" xr:uid="{2F6152A8-E7C9-4812-A37C-EF87EE132134}"/>
    <cellStyle name="Comma 3 6 2 2 2" xfId="2905" xr:uid="{0B8B8EF5-A962-4F93-B2EC-A8D08A0438B7}"/>
    <cellStyle name="Comma 3 6 2 3" xfId="2389" xr:uid="{D4719B80-82CB-47EE-AC75-70D38626A3F9}"/>
    <cellStyle name="Comma 3 6 3" xfId="1618" xr:uid="{76794AB4-99CE-4E93-AA71-950E07862A3F}"/>
    <cellStyle name="Comma 3 6 3 2" xfId="2904" xr:uid="{C0217119-D05F-4215-B4D9-4A6399E61F76}"/>
    <cellStyle name="Comma 3 6 4" xfId="2388" xr:uid="{E7A62543-0650-4828-8720-1114247387DA}"/>
    <cellStyle name="Comma 3 7" xfId="170" xr:uid="{00000000-0005-0000-0000-0000A9000000}"/>
    <cellStyle name="Comma 3 7 2" xfId="1620" xr:uid="{3DB60C08-C1BA-4D66-AA50-2A2FD8E89C87}"/>
    <cellStyle name="Comma 3 7 2 2" xfId="2906" xr:uid="{B0DA4AB5-73FB-4F99-B1AA-8AC7C3ACC106}"/>
    <cellStyle name="Comma 3 7 3" xfId="2390" xr:uid="{5D1DBEA4-5691-4CC1-A51A-B30488E3E4C2}"/>
    <cellStyle name="Comma 3 8" xfId="2137" xr:uid="{43933155-993C-43EF-97FC-1FA767749BD7}"/>
    <cellStyle name="Comma 3 8 2" xfId="3342" xr:uid="{43649461-D89F-43BA-BD2B-E57DB3A1718D}"/>
    <cellStyle name="Comma 3 9" xfId="2375" xr:uid="{63554FB0-A6BE-4308-80AD-4BF6AC7171D2}"/>
    <cellStyle name="Comma 4" xfId="171" xr:uid="{00000000-0005-0000-0000-0000AA000000}"/>
    <cellStyle name="Comma 4 2" xfId="172" xr:uid="{00000000-0005-0000-0000-0000AB000000}"/>
    <cellStyle name="Comma 4 2 2" xfId="173" xr:uid="{00000000-0005-0000-0000-0000AC000000}"/>
    <cellStyle name="Comma 4 2 2 2" xfId="174" xr:uid="{00000000-0005-0000-0000-0000AD000000}"/>
    <cellStyle name="Comma 4 2 2 2 2" xfId="1623" xr:uid="{6483D3DF-381D-4CA7-BE11-DB9664058143}"/>
    <cellStyle name="Comma 4 2 2 2 2 2" xfId="2909" xr:uid="{413D291B-EE0E-4B7F-BDE9-59D68F3575D7}"/>
    <cellStyle name="Comma 4 2 2 2 3" xfId="2394" xr:uid="{C0297C71-20D8-400F-91A5-9C9283EC0358}"/>
    <cellStyle name="Comma 4 2 2 3" xfId="1622" xr:uid="{55DEAEDD-AF90-472B-9BAD-32D95FB88D78}"/>
    <cellStyle name="Comma 4 2 2 3 2" xfId="2908" xr:uid="{C3774D80-A324-44DE-A1C2-4D2955EA0DB8}"/>
    <cellStyle name="Comma 4 2 2 4" xfId="2393" xr:uid="{15F2220B-4AB5-42AA-A7B2-CF7D0F957BFB}"/>
    <cellStyle name="Comma 4 2 3" xfId="175" xr:uid="{00000000-0005-0000-0000-0000AE000000}"/>
    <cellStyle name="Comma 4 2 3 2" xfId="176" xr:uid="{00000000-0005-0000-0000-0000AF000000}"/>
    <cellStyle name="Comma 4 2 3 2 2" xfId="1625" xr:uid="{3723486A-9E9B-470A-B6E2-42181746D1B3}"/>
    <cellStyle name="Comma 4 2 3 2 2 2" xfId="2911" xr:uid="{F4B72490-46EA-4BD0-B9E0-1C3A28E808EF}"/>
    <cellStyle name="Comma 4 2 3 2 3" xfId="2396" xr:uid="{C578C47D-9A2B-4BD2-A63F-4EB3F2DDE6BD}"/>
    <cellStyle name="Comma 4 2 3 3" xfId="1624" xr:uid="{6E98C2FC-EAED-4CBE-BF4E-430C688D4697}"/>
    <cellStyle name="Comma 4 2 3 3 2" xfId="2910" xr:uid="{2B16DA10-00FF-4684-9041-1D0B5A5D2D9B}"/>
    <cellStyle name="Comma 4 2 3 4" xfId="2395" xr:uid="{58C840E3-C718-4241-B583-A029BB99F0F2}"/>
    <cellStyle name="Comma 4 2 4" xfId="177" xr:uid="{00000000-0005-0000-0000-0000B0000000}"/>
    <cellStyle name="Comma 4 2 4 2" xfId="1626" xr:uid="{DA884E47-F89B-4FF8-9D2F-F1FAD2DE9ABA}"/>
    <cellStyle name="Comma 4 2 4 2 2" xfId="2912" xr:uid="{8122AF69-477C-434A-974D-34A889691CF8}"/>
    <cellStyle name="Comma 4 2 4 3" xfId="2397" xr:uid="{05B22D20-A422-45C0-A0F3-E5BA34BD8399}"/>
    <cellStyle name="Comma 4 2 5" xfId="1621" xr:uid="{3A2715A9-6D3F-443D-9725-01DC1BF488BD}"/>
    <cellStyle name="Comma 4 2 5 2" xfId="2907" xr:uid="{1AC77F58-70D8-48DC-9BD0-8B3B04A003C8}"/>
    <cellStyle name="Comma 4 2 6" xfId="2168" xr:uid="{9107E10C-B101-46BC-A94B-E9F3B29FB3C3}"/>
    <cellStyle name="Comma 4 2 6 2" xfId="3366" xr:uid="{1CFB05F6-EF44-49C1-83BE-47E0C60F93B5}"/>
    <cellStyle name="Comma 4 2 7" xfId="2392" xr:uid="{37A336F8-12DF-44EE-B93D-25FB47701498}"/>
    <cellStyle name="Comma 4 2 8" xfId="3532" xr:uid="{B8755C18-2480-485B-B281-E82599D07A75}"/>
    <cellStyle name="Comma 4 3" xfId="178" xr:uid="{00000000-0005-0000-0000-0000B1000000}"/>
    <cellStyle name="Comma 4 3 2" xfId="1627" xr:uid="{BFCDAD9B-6E9A-479B-880D-F34B71DD5CD8}"/>
    <cellStyle name="Comma 4 3 2 2" xfId="2913" xr:uid="{9AB18B0C-3E5D-46F8-8ADC-227215782CB8}"/>
    <cellStyle name="Comma 4 3 3" xfId="2398" xr:uid="{696779FD-F005-4D23-B26C-37C28BA3E9CA}"/>
    <cellStyle name="Comma 4 4" xfId="2391" xr:uid="{796566CB-145D-461C-BB52-1147016EE511}"/>
    <cellStyle name="Comma_observaciones" xfId="179" xr:uid="{00000000-0005-0000-0000-0000B2000000}"/>
    <cellStyle name="Comma0" xfId="180" xr:uid="{00000000-0005-0000-0000-0000B3000000}"/>
    <cellStyle name="Comma0 - Modelo1" xfId="181" xr:uid="{00000000-0005-0000-0000-0000B4000000}"/>
    <cellStyle name="Comma0 - Style1" xfId="182" xr:uid="{00000000-0005-0000-0000-0000B5000000}"/>
    <cellStyle name="Comma1 - Modelo2" xfId="183" xr:uid="{00000000-0005-0000-0000-0000B6000000}"/>
    <cellStyle name="Comma1 - Style2" xfId="184" xr:uid="{00000000-0005-0000-0000-0000B7000000}"/>
    <cellStyle name="Currency" xfId="185" xr:uid="{00000000-0005-0000-0000-0000B8000000}"/>
    <cellStyle name="Currency [0]_8-a, perstat-nov" xfId="186" xr:uid="{00000000-0005-0000-0000-0000B9000000}"/>
    <cellStyle name="Currency 2" xfId="187" xr:uid="{00000000-0005-0000-0000-0000BA000000}"/>
    <cellStyle name="Currency 2 2" xfId="188" xr:uid="{00000000-0005-0000-0000-0000BB000000}"/>
    <cellStyle name="Currency 2 2 2" xfId="2319" xr:uid="{9162044F-0BF2-4A3B-9217-04D9E10EF8E2}"/>
    <cellStyle name="Currency 3" xfId="189" xr:uid="{00000000-0005-0000-0000-0000BC000000}"/>
    <cellStyle name="Currency 3 2" xfId="190" xr:uid="{00000000-0005-0000-0000-0000BD000000}"/>
    <cellStyle name="Currency 3 2 2" xfId="191" xr:uid="{00000000-0005-0000-0000-0000BE000000}"/>
    <cellStyle name="Currency 4" xfId="192" xr:uid="{00000000-0005-0000-0000-0000BF000000}"/>
    <cellStyle name="Currency_8-a, perstat-nov" xfId="193" xr:uid="{00000000-0005-0000-0000-0000C0000000}"/>
    <cellStyle name="Currency0" xfId="194" xr:uid="{00000000-0005-0000-0000-0000C1000000}"/>
    <cellStyle name="Data" xfId="195" xr:uid="{00000000-0005-0000-0000-0000C2000000}"/>
    <cellStyle name="Data 10" xfId="196" xr:uid="{00000000-0005-0000-0000-0000C3000000}"/>
    <cellStyle name="Data 11" xfId="197" xr:uid="{00000000-0005-0000-0000-0000C4000000}"/>
    <cellStyle name="Data 12" xfId="198" xr:uid="{00000000-0005-0000-0000-0000C5000000}"/>
    <cellStyle name="Data 13" xfId="199" xr:uid="{00000000-0005-0000-0000-0000C6000000}"/>
    <cellStyle name="Data 14" xfId="200" xr:uid="{00000000-0005-0000-0000-0000C7000000}"/>
    <cellStyle name="Data 2" xfId="201" xr:uid="{00000000-0005-0000-0000-0000C8000000}"/>
    <cellStyle name="Data 3" xfId="202" xr:uid="{00000000-0005-0000-0000-0000C9000000}"/>
    <cellStyle name="Data 4" xfId="203" xr:uid="{00000000-0005-0000-0000-0000CA000000}"/>
    <cellStyle name="Data 5" xfId="204" xr:uid="{00000000-0005-0000-0000-0000CB000000}"/>
    <cellStyle name="Data 6" xfId="205" xr:uid="{00000000-0005-0000-0000-0000CC000000}"/>
    <cellStyle name="Data 7" xfId="206" xr:uid="{00000000-0005-0000-0000-0000CD000000}"/>
    <cellStyle name="Data 8" xfId="207" xr:uid="{00000000-0005-0000-0000-0000CE000000}"/>
    <cellStyle name="Data 9" xfId="208" xr:uid="{00000000-0005-0000-0000-0000CF000000}"/>
    <cellStyle name="Date" xfId="209" xr:uid="{00000000-0005-0000-0000-0000D0000000}"/>
    <cellStyle name="Date 2" xfId="210" xr:uid="{00000000-0005-0000-0000-0000D1000000}"/>
    <cellStyle name="DateTime" xfId="211" xr:uid="{00000000-0005-0000-0000-0000D2000000}"/>
    <cellStyle name="DateTime 2" xfId="212" xr:uid="{00000000-0005-0000-0000-0000D3000000}"/>
    <cellStyle name="Datos" xfId="213" xr:uid="{00000000-0005-0000-0000-0000D4000000}"/>
    <cellStyle name="Dia" xfId="214" xr:uid="{00000000-0005-0000-0000-0000D5000000}"/>
    <cellStyle name="Encabez1" xfId="215" xr:uid="{00000000-0005-0000-0000-0000D6000000}"/>
    <cellStyle name="Encabez2" xfId="216" xr:uid="{00000000-0005-0000-0000-0000D7000000}"/>
    <cellStyle name="Encabezado 1" xfId="217" builtinId="16" customBuiltin="1"/>
    <cellStyle name="Encabezado 4 2" xfId="218" xr:uid="{00000000-0005-0000-0000-0000D9000000}"/>
    <cellStyle name="Encabezado 4 2 2" xfId="219" xr:uid="{00000000-0005-0000-0000-0000DA000000}"/>
    <cellStyle name="Encabezado 4 3" xfId="220" xr:uid="{00000000-0005-0000-0000-0000DB000000}"/>
    <cellStyle name="Encabezado 4 4" xfId="221" xr:uid="{00000000-0005-0000-0000-0000DC000000}"/>
    <cellStyle name="Encabezado 4 5" xfId="222" xr:uid="{00000000-0005-0000-0000-0000DD000000}"/>
    <cellStyle name="Énfasis1 2" xfId="223" xr:uid="{00000000-0005-0000-0000-0000DE000000}"/>
    <cellStyle name="Énfasis1 2 2" xfId="224" xr:uid="{00000000-0005-0000-0000-0000DF000000}"/>
    <cellStyle name="Énfasis1 3" xfId="225" xr:uid="{00000000-0005-0000-0000-0000E0000000}"/>
    <cellStyle name="Énfasis1 4" xfId="226" xr:uid="{00000000-0005-0000-0000-0000E1000000}"/>
    <cellStyle name="Énfasis1 5" xfId="227" xr:uid="{00000000-0005-0000-0000-0000E2000000}"/>
    <cellStyle name="Énfasis2 2" xfId="228" xr:uid="{00000000-0005-0000-0000-0000E3000000}"/>
    <cellStyle name="Énfasis2 3" xfId="229" xr:uid="{00000000-0005-0000-0000-0000E4000000}"/>
    <cellStyle name="Énfasis2 4" xfId="230" xr:uid="{00000000-0005-0000-0000-0000E5000000}"/>
    <cellStyle name="Énfasis2 5" xfId="231" xr:uid="{00000000-0005-0000-0000-0000E6000000}"/>
    <cellStyle name="Énfasis2 5 2" xfId="232" xr:uid="{00000000-0005-0000-0000-0000E7000000}"/>
    <cellStyle name="Énfasis3 2" xfId="233" xr:uid="{00000000-0005-0000-0000-0000E8000000}"/>
    <cellStyle name="Énfasis3 3" xfId="234" xr:uid="{00000000-0005-0000-0000-0000E9000000}"/>
    <cellStyle name="Énfasis3 4" xfId="235" xr:uid="{00000000-0005-0000-0000-0000EA000000}"/>
    <cellStyle name="Énfasis3 5" xfId="236" xr:uid="{00000000-0005-0000-0000-0000EB000000}"/>
    <cellStyle name="Énfasis3 5 2" xfId="237" xr:uid="{00000000-0005-0000-0000-0000EC000000}"/>
    <cellStyle name="Énfasis4 2" xfId="238" xr:uid="{00000000-0005-0000-0000-0000ED000000}"/>
    <cellStyle name="Énfasis4 3" xfId="239" xr:uid="{00000000-0005-0000-0000-0000EE000000}"/>
    <cellStyle name="Énfasis4 4" xfId="240" xr:uid="{00000000-0005-0000-0000-0000EF000000}"/>
    <cellStyle name="Énfasis4 5" xfId="241" xr:uid="{00000000-0005-0000-0000-0000F0000000}"/>
    <cellStyle name="Énfasis4 5 2" xfId="242" xr:uid="{00000000-0005-0000-0000-0000F1000000}"/>
    <cellStyle name="Énfasis5 2" xfId="243" xr:uid="{00000000-0005-0000-0000-0000F2000000}"/>
    <cellStyle name="Énfasis5 3" xfId="244" xr:uid="{00000000-0005-0000-0000-0000F3000000}"/>
    <cellStyle name="Énfasis5 4" xfId="245" xr:uid="{00000000-0005-0000-0000-0000F4000000}"/>
    <cellStyle name="Énfasis5 4 2" xfId="246" xr:uid="{00000000-0005-0000-0000-0000F5000000}"/>
    <cellStyle name="Énfasis6 2" xfId="247" xr:uid="{00000000-0005-0000-0000-0000F6000000}"/>
    <cellStyle name="Énfasis6 3" xfId="248" xr:uid="{00000000-0005-0000-0000-0000F7000000}"/>
    <cellStyle name="Énfasis6 4" xfId="249" xr:uid="{00000000-0005-0000-0000-0000F8000000}"/>
    <cellStyle name="Énfasis6 5" xfId="250" xr:uid="{00000000-0005-0000-0000-0000F9000000}"/>
    <cellStyle name="Énfasis6 5 2" xfId="251" xr:uid="{00000000-0005-0000-0000-0000FA000000}"/>
    <cellStyle name="Entrada 2" xfId="252" xr:uid="{00000000-0005-0000-0000-0000FB000000}"/>
    <cellStyle name="Entrada 2 2" xfId="253" xr:uid="{00000000-0005-0000-0000-0000FC000000}"/>
    <cellStyle name="Entrada 3" xfId="254" xr:uid="{00000000-0005-0000-0000-0000FD000000}"/>
    <cellStyle name="Entrada 4" xfId="255" xr:uid="{00000000-0005-0000-0000-0000FE000000}"/>
    <cellStyle name="Entrada 5" xfId="256" xr:uid="{00000000-0005-0000-0000-0000FF000000}"/>
    <cellStyle name="Euro" xfId="257" xr:uid="{00000000-0005-0000-0000-000000010000}"/>
    <cellStyle name="Euro 10" xfId="258" xr:uid="{00000000-0005-0000-0000-000001010000}"/>
    <cellStyle name="Euro 10 2" xfId="259" xr:uid="{00000000-0005-0000-0000-000002010000}"/>
    <cellStyle name="Euro 11" xfId="260" xr:uid="{00000000-0005-0000-0000-000003010000}"/>
    <cellStyle name="Euro 11 2" xfId="261" xr:uid="{00000000-0005-0000-0000-000004010000}"/>
    <cellStyle name="Euro 12" xfId="262" xr:uid="{00000000-0005-0000-0000-000005010000}"/>
    <cellStyle name="Euro 12 2" xfId="263" xr:uid="{00000000-0005-0000-0000-000006010000}"/>
    <cellStyle name="Euro 13" xfId="264" xr:uid="{00000000-0005-0000-0000-000007010000}"/>
    <cellStyle name="Euro 13 2" xfId="265" xr:uid="{00000000-0005-0000-0000-000008010000}"/>
    <cellStyle name="Euro 14" xfId="266" xr:uid="{00000000-0005-0000-0000-000009010000}"/>
    <cellStyle name="Euro 14 2" xfId="267" xr:uid="{00000000-0005-0000-0000-00000A010000}"/>
    <cellStyle name="Euro 15" xfId="268" xr:uid="{00000000-0005-0000-0000-00000B010000}"/>
    <cellStyle name="Euro 15 2" xfId="269" xr:uid="{00000000-0005-0000-0000-00000C010000}"/>
    <cellStyle name="Euro 16" xfId="270" xr:uid="{00000000-0005-0000-0000-00000D010000}"/>
    <cellStyle name="Euro 16 2" xfId="271" xr:uid="{00000000-0005-0000-0000-00000E010000}"/>
    <cellStyle name="Euro 17" xfId="272" xr:uid="{00000000-0005-0000-0000-00000F010000}"/>
    <cellStyle name="Euro 17 2" xfId="273" xr:uid="{00000000-0005-0000-0000-000010010000}"/>
    <cellStyle name="Euro 2" xfId="274" xr:uid="{00000000-0005-0000-0000-000011010000}"/>
    <cellStyle name="Euro 2 2" xfId="275" xr:uid="{00000000-0005-0000-0000-000012010000}"/>
    <cellStyle name="Euro 3" xfId="276" xr:uid="{00000000-0005-0000-0000-000013010000}"/>
    <cellStyle name="Euro 3 2" xfId="277" xr:uid="{00000000-0005-0000-0000-000014010000}"/>
    <cellStyle name="Euro 4" xfId="278" xr:uid="{00000000-0005-0000-0000-000015010000}"/>
    <cellStyle name="Euro 4 2" xfId="279" xr:uid="{00000000-0005-0000-0000-000016010000}"/>
    <cellStyle name="Euro 4 2 2" xfId="3694" xr:uid="{FCD71AC9-5AB6-47CB-B4C5-803D31A2FCB3}"/>
    <cellStyle name="Euro 5" xfId="280" xr:uid="{00000000-0005-0000-0000-000017010000}"/>
    <cellStyle name="Euro 5 2" xfId="281" xr:uid="{00000000-0005-0000-0000-000018010000}"/>
    <cellStyle name="Euro 6" xfId="282" xr:uid="{00000000-0005-0000-0000-000019010000}"/>
    <cellStyle name="Euro 6 2" xfId="283" xr:uid="{00000000-0005-0000-0000-00001A010000}"/>
    <cellStyle name="Euro 7" xfId="284" xr:uid="{00000000-0005-0000-0000-00001B010000}"/>
    <cellStyle name="Euro 7 2" xfId="285" xr:uid="{00000000-0005-0000-0000-00001C010000}"/>
    <cellStyle name="Euro 8" xfId="286" xr:uid="{00000000-0005-0000-0000-00001D010000}"/>
    <cellStyle name="Euro 8 2" xfId="287" xr:uid="{00000000-0005-0000-0000-00001E010000}"/>
    <cellStyle name="Euro 9" xfId="288" xr:uid="{00000000-0005-0000-0000-00001F010000}"/>
    <cellStyle name="Euro 9 2" xfId="289" xr:uid="{00000000-0005-0000-0000-000020010000}"/>
    <cellStyle name="F2" xfId="290" xr:uid="{00000000-0005-0000-0000-000021010000}"/>
    <cellStyle name="F2 2" xfId="291" xr:uid="{00000000-0005-0000-0000-000022010000}"/>
    <cellStyle name="F3" xfId="292" xr:uid="{00000000-0005-0000-0000-000023010000}"/>
    <cellStyle name="F3 2" xfId="293" xr:uid="{00000000-0005-0000-0000-000024010000}"/>
    <cellStyle name="F4" xfId="294" xr:uid="{00000000-0005-0000-0000-000025010000}"/>
    <cellStyle name="F4 2" xfId="295" xr:uid="{00000000-0005-0000-0000-000026010000}"/>
    <cellStyle name="F5" xfId="296" xr:uid="{00000000-0005-0000-0000-000027010000}"/>
    <cellStyle name="F5 2" xfId="297" xr:uid="{00000000-0005-0000-0000-000028010000}"/>
    <cellStyle name="F6" xfId="298" xr:uid="{00000000-0005-0000-0000-000029010000}"/>
    <cellStyle name="F6 2" xfId="299" xr:uid="{00000000-0005-0000-0000-00002A010000}"/>
    <cellStyle name="F7" xfId="300" xr:uid="{00000000-0005-0000-0000-00002B010000}"/>
    <cellStyle name="F7 2" xfId="301" xr:uid="{00000000-0005-0000-0000-00002C010000}"/>
    <cellStyle name="F8" xfId="302" xr:uid="{00000000-0005-0000-0000-00002D010000}"/>
    <cellStyle name="F8 2" xfId="303" xr:uid="{00000000-0005-0000-0000-00002E010000}"/>
    <cellStyle name="Fechas3" xfId="304" xr:uid="{00000000-0005-0000-0000-00002F010000}"/>
    <cellStyle name="Fijo" xfId="305" xr:uid="{00000000-0005-0000-0000-000030010000}"/>
    <cellStyle name="Fijo 10" xfId="306" xr:uid="{00000000-0005-0000-0000-000031010000}"/>
    <cellStyle name="Fijo 10 2" xfId="307" xr:uid="{00000000-0005-0000-0000-000032010000}"/>
    <cellStyle name="Fijo 11" xfId="308" xr:uid="{00000000-0005-0000-0000-000033010000}"/>
    <cellStyle name="Fijo 11 2" xfId="309" xr:uid="{00000000-0005-0000-0000-000034010000}"/>
    <cellStyle name="Fijo 12" xfId="310" xr:uid="{00000000-0005-0000-0000-000035010000}"/>
    <cellStyle name="Fijo 12 2" xfId="311" xr:uid="{00000000-0005-0000-0000-000036010000}"/>
    <cellStyle name="Fijo 13" xfId="312" xr:uid="{00000000-0005-0000-0000-000037010000}"/>
    <cellStyle name="Fijo 13 2" xfId="313" xr:uid="{00000000-0005-0000-0000-000038010000}"/>
    <cellStyle name="Fijo 14" xfId="314" xr:uid="{00000000-0005-0000-0000-000039010000}"/>
    <cellStyle name="Fijo 14 2" xfId="315" xr:uid="{00000000-0005-0000-0000-00003A010000}"/>
    <cellStyle name="Fijo 2" xfId="316" xr:uid="{00000000-0005-0000-0000-00003B010000}"/>
    <cellStyle name="Fijo 2 2" xfId="317" xr:uid="{00000000-0005-0000-0000-00003C010000}"/>
    <cellStyle name="Fijo 3" xfId="318" xr:uid="{00000000-0005-0000-0000-00003D010000}"/>
    <cellStyle name="Fijo 3 2" xfId="319" xr:uid="{00000000-0005-0000-0000-00003E010000}"/>
    <cellStyle name="Fijo 4" xfId="320" xr:uid="{00000000-0005-0000-0000-00003F010000}"/>
    <cellStyle name="Fijo 4 2" xfId="321" xr:uid="{00000000-0005-0000-0000-000040010000}"/>
    <cellStyle name="Fijo 5" xfId="322" xr:uid="{00000000-0005-0000-0000-000041010000}"/>
    <cellStyle name="Fijo 5 2" xfId="323" xr:uid="{00000000-0005-0000-0000-000042010000}"/>
    <cellStyle name="Fijo 6" xfId="324" xr:uid="{00000000-0005-0000-0000-000043010000}"/>
    <cellStyle name="Fijo 6 2" xfId="325" xr:uid="{00000000-0005-0000-0000-000044010000}"/>
    <cellStyle name="Fijo 7" xfId="326" xr:uid="{00000000-0005-0000-0000-000045010000}"/>
    <cellStyle name="Fijo 7 2" xfId="327" xr:uid="{00000000-0005-0000-0000-000046010000}"/>
    <cellStyle name="Fijo 8" xfId="328" xr:uid="{00000000-0005-0000-0000-000047010000}"/>
    <cellStyle name="Fijo 8 2" xfId="329" xr:uid="{00000000-0005-0000-0000-000048010000}"/>
    <cellStyle name="Fijo 9" xfId="330" xr:uid="{00000000-0005-0000-0000-000049010000}"/>
    <cellStyle name="Fijo 9 2" xfId="331" xr:uid="{00000000-0005-0000-0000-00004A010000}"/>
    <cellStyle name="Financiero" xfId="332" xr:uid="{00000000-0005-0000-0000-00004B010000}"/>
    <cellStyle name="Financiero 10" xfId="333" xr:uid="{00000000-0005-0000-0000-00004C010000}"/>
    <cellStyle name="Financiero 10 2" xfId="334" xr:uid="{00000000-0005-0000-0000-00004D010000}"/>
    <cellStyle name="Financiero 11" xfId="335" xr:uid="{00000000-0005-0000-0000-00004E010000}"/>
    <cellStyle name="Financiero 11 2" xfId="336" xr:uid="{00000000-0005-0000-0000-00004F010000}"/>
    <cellStyle name="Financiero 12" xfId="337" xr:uid="{00000000-0005-0000-0000-000050010000}"/>
    <cellStyle name="Financiero 12 2" xfId="338" xr:uid="{00000000-0005-0000-0000-000051010000}"/>
    <cellStyle name="Financiero 13" xfId="339" xr:uid="{00000000-0005-0000-0000-000052010000}"/>
    <cellStyle name="Financiero 13 2" xfId="340" xr:uid="{00000000-0005-0000-0000-000053010000}"/>
    <cellStyle name="Financiero 14" xfId="341" xr:uid="{00000000-0005-0000-0000-000054010000}"/>
    <cellStyle name="Financiero 14 2" xfId="342" xr:uid="{00000000-0005-0000-0000-000055010000}"/>
    <cellStyle name="Financiero 2" xfId="343" xr:uid="{00000000-0005-0000-0000-000056010000}"/>
    <cellStyle name="Financiero 2 2" xfId="344" xr:uid="{00000000-0005-0000-0000-000057010000}"/>
    <cellStyle name="Financiero 3" xfId="345" xr:uid="{00000000-0005-0000-0000-000058010000}"/>
    <cellStyle name="Financiero 3 2" xfId="346" xr:uid="{00000000-0005-0000-0000-000059010000}"/>
    <cellStyle name="Financiero 4" xfId="347" xr:uid="{00000000-0005-0000-0000-00005A010000}"/>
    <cellStyle name="Financiero 4 2" xfId="348" xr:uid="{00000000-0005-0000-0000-00005B010000}"/>
    <cellStyle name="Financiero 5" xfId="349" xr:uid="{00000000-0005-0000-0000-00005C010000}"/>
    <cellStyle name="Financiero 5 2" xfId="350" xr:uid="{00000000-0005-0000-0000-00005D010000}"/>
    <cellStyle name="Financiero 6" xfId="351" xr:uid="{00000000-0005-0000-0000-00005E010000}"/>
    <cellStyle name="Financiero 6 2" xfId="352" xr:uid="{00000000-0005-0000-0000-00005F010000}"/>
    <cellStyle name="Financiero 7" xfId="353" xr:uid="{00000000-0005-0000-0000-000060010000}"/>
    <cellStyle name="Financiero 7 2" xfId="354" xr:uid="{00000000-0005-0000-0000-000061010000}"/>
    <cellStyle name="Financiero 8" xfId="355" xr:uid="{00000000-0005-0000-0000-000062010000}"/>
    <cellStyle name="Financiero 8 2" xfId="356" xr:uid="{00000000-0005-0000-0000-000063010000}"/>
    <cellStyle name="Financiero 9" xfId="357" xr:uid="{00000000-0005-0000-0000-000064010000}"/>
    <cellStyle name="Financiero 9 2" xfId="358" xr:uid="{00000000-0005-0000-0000-000065010000}"/>
    <cellStyle name="Fixed" xfId="359" xr:uid="{00000000-0005-0000-0000-000066010000}"/>
    <cellStyle name="Fixed 2" xfId="360" xr:uid="{00000000-0005-0000-0000-000067010000}"/>
    <cellStyle name="Fixo" xfId="361" xr:uid="{00000000-0005-0000-0000-000068010000}"/>
    <cellStyle name="Fixo 10" xfId="362" xr:uid="{00000000-0005-0000-0000-000069010000}"/>
    <cellStyle name="Fixo 11" xfId="363" xr:uid="{00000000-0005-0000-0000-00006A010000}"/>
    <cellStyle name="Fixo 12" xfId="364" xr:uid="{00000000-0005-0000-0000-00006B010000}"/>
    <cellStyle name="Fixo 13" xfId="365" xr:uid="{00000000-0005-0000-0000-00006C010000}"/>
    <cellStyle name="Fixo 14" xfId="366" xr:uid="{00000000-0005-0000-0000-00006D010000}"/>
    <cellStyle name="Fixo 2" xfId="367" xr:uid="{00000000-0005-0000-0000-00006E010000}"/>
    <cellStyle name="Fixo 3" xfId="368" xr:uid="{00000000-0005-0000-0000-00006F010000}"/>
    <cellStyle name="Fixo 4" xfId="369" xr:uid="{00000000-0005-0000-0000-000070010000}"/>
    <cellStyle name="Fixo 5" xfId="370" xr:uid="{00000000-0005-0000-0000-000071010000}"/>
    <cellStyle name="Fixo 6" xfId="371" xr:uid="{00000000-0005-0000-0000-000072010000}"/>
    <cellStyle name="Fixo 7" xfId="372" xr:uid="{00000000-0005-0000-0000-000073010000}"/>
    <cellStyle name="Fixo 8" xfId="373" xr:uid="{00000000-0005-0000-0000-000074010000}"/>
    <cellStyle name="Fixo 9" xfId="374" xr:uid="{00000000-0005-0000-0000-000075010000}"/>
    <cellStyle name="Heading 2 2" xfId="375" xr:uid="{00000000-0005-0000-0000-000076010000}"/>
    <cellStyle name="Heading1" xfId="376" xr:uid="{00000000-0005-0000-0000-000077010000}"/>
    <cellStyle name="Heading2" xfId="377" xr:uid="{00000000-0005-0000-0000-000078010000}"/>
    <cellStyle name="Hipervínculo 2" xfId="378" xr:uid="{00000000-0005-0000-0000-000079010000}"/>
    <cellStyle name="Hipervínculo 2 2" xfId="3695" xr:uid="{E55B4F48-0C7E-4F34-9006-0B577D95D7CC}"/>
    <cellStyle name="Hipervínculo 3" xfId="379" xr:uid="{00000000-0005-0000-0000-00007A010000}"/>
    <cellStyle name="Hipervínculo 4" xfId="380" xr:uid="{00000000-0005-0000-0000-00007B010000}"/>
    <cellStyle name="Hipervínculo 5" xfId="381" xr:uid="{00000000-0005-0000-0000-00007C010000}"/>
    <cellStyle name="Hipervínculo 6" xfId="382" xr:uid="{00000000-0005-0000-0000-00007D010000}"/>
    <cellStyle name="Hipervínculo 7" xfId="383" xr:uid="{00000000-0005-0000-0000-00007E010000}"/>
    <cellStyle name="Incorrecto 2" xfId="384" xr:uid="{00000000-0005-0000-0000-00007F010000}"/>
    <cellStyle name="Incorrecto 3" xfId="385" xr:uid="{00000000-0005-0000-0000-000080010000}"/>
    <cellStyle name="Incorrecto 4" xfId="386" xr:uid="{00000000-0005-0000-0000-000081010000}"/>
    <cellStyle name="Incorrecto 5" xfId="387" xr:uid="{00000000-0005-0000-0000-000082010000}"/>
    <cellStyle name="Incorrecto 5 2" xfId="388" xr:uid="{00000000-0005-0000-0000-000083010000}"/>
    <cellStyle name="Millares" xfId="389" builtinId="3"/>
    <cellStyle name="Millares [0] 2" xfId="390" xr:uid="{00000000-0005-0000-0000-000085010000}"/>
    <cellStyle name="Millares [0] 2 2" xfId="391" xr:uid="{00000000-0005-0000-0000-000086010000}"/>
    <cellStyle name="Millares [0] 3" xfId="392" xr:uid="{00000000-0005-0000-0000-000087010000}"/>
    <cellStyle name="Millares [0] 3 2" xfId="393" xr:uid="{00000000-0005-0000-0000-000088010000}"/>
    <cellStyle name="Millares [0] 3 2 2" xfId="394" xr:uid="{00000000-0005-0000-0000-000089010000}"/>
    <cellStyle name="Millares [0] 3 2 2 2" xfId="395" xr:uid="{00000000-0005-0000-0000-00008A010000}"/>
    <cellStyle name="Millares [0] 3 2 2 2 2" xfId="1630" xr:uid="{167F54ED-208F-4397-82C1-0397F6E09F64}"/>
    <cellStyle name="Millares [0] 3 2 2 2 2 2" xfId="2916" xr:uid="{A0B9745F-599E-4E35-95E3-6A9766DD7E20}"/>
    <cellStyle name="Millares [0] 3 2 2 2 3" xfId="2403" xr:uid="{6C83E15F-8996-4B91-BC06-28ACE5F15275}"/>
    <cellStyle name="Millares [0] 3 2 2 3" xfId="1629" xr:uid="{5F4EB39E-023A-42F8-8C0E-C6115FB9D59C}"/>
    <cellStyle name="Millares [0] 3 2 2 3 2" xfId="2915" xr:uid="{08BDD8CC-EA40-4A0C-98E0-345C5F39066A}"/>
    <cellStyle name="Millares [0] 3 2 2 4" xfId="2402" xr:uid="{A7BBC3D6-104F-45DB-B681-36121697F863}"/>
    <cellStyle name="Millares [0] 3 2 3" xfId="396" xr:uid="{00000000-0005-0000-0000-00008B010000}"/>
    <cellStyle name="Millares [0] 3 2 3 2" xfId="397" xr:uid="{00000000-0005-0000-0000-00008C010000}"/>
    <cellStyle name="Millares [0] 3 2 3 2 2" xfId="1632" xr:uid="{FDDADD9E-FAF4-4725-B65A-62FF77EE3095}"/>
    <cellStyle name="Millares [0] 3 2 3 2 2 2" xfId="2918" xr:uid="{73E62124-52F5-450C-9F30-31C97CA8CD4A}"/>
    <cellStyle name="Millares [0] 3 2 3 2 3" xfId="2405" xr:uid="{6B36E74F-898A-41DC-9DA6-799A2A893DE6}"/>
    <cellStyle name="Millares [0] 3 2 3 3" xfId="1631" xr:uid="{D5BE8777-C3C1-44A7-8C0B-095D1A82080F}"/>
    <cellStyle name="Millares [0] 3 2 3 3 2" xfId="2917" xr:uid="{6AAF3B77-EFB7-4B5A-959F-12C2749DD0E1}"/>
    <cellStyle name="Millares [0] 3 2 3 4" xfId="2404" xr:uid="{D892E68F-69A0-4FF5-B528-9C04E8C5C082}"/>
    <cellStyle name="Millares [0] 3 2 4" xfId="398" xr:uid="{00000000-0005-0000-0000-00008D010000}"/>
    <cellStyle name="Millares [0] 3 2 4 2" xfId="1633" xr:uid="{85F2A4EB-578D-49B8-AB08-978F2B7B100C}"/>
    <cellStyle name="Millares [0] 3 2 4 2 2" xfId="2919" xr:uid="{6985ED20-0CFA-41BF-9BDD-E3FC29E0EB16}"/>
    <cellStyle name="Millares [0] 3 2 4 3" xfId="2406" xr:uid="{00C222EB-09E8-45B9-B96D-0BBEA8AA8F4B}"/>
    <cellStyle name="Millares [0] 3 2 5" xfId="1628" xr:uid="{C197A8CE-0414-4975-82C9-D49B2AA91580}"/>
    <cellStyle name="Millares [0] 3 2 5 2" xfId="2914" xr:uid="{B8D3EF1D-7A06-4FEB-B37C-2A78A8031C73}"/>
    <cellStyle name="Millares [0] 3 2 6" xfId="2170" xr:uid="{A0BA4FAF-1550-4C52-9CBC-FA4421B942F5}"/>
    <cellStyle name="Millares [0] 3 2 6 2" xfId="3367" xr:uid="{1E170238-8186-4C26-8970-2EA87445916C}"/>
    <cellStyle name="Millares [0] 3 2 7" xfId="2401" xr:uid="{D76ADF56-C2CD-47C5-83B0-D63375BC6274}"/>
    <cellStyle name="Millares [0] 3 2 8" xfId="3533" xr:uid="{54ACBB4A-057A-4A31-A318-780EA92929AE}"/>
    <cellStyle name="Millares [0] 3 3" xfId="399" xr:uid="{00000000-0005-0000-0000-00008E010000}"/>
    <cellStyle name="Millares [0] 3 3 2" xfId="1634" xr:uid="{D6CAE114-B8DD-4655-8EBA-42EAAF976D89}"/>
    <cellStyle name="Millares [0] 3 3 2 2" xfId="2920" xr:uid="{C3427590-B78E-4F5B-A27D-3DCB4F2FE105}"/>
    <cellStyle name="Millares [0] 3 3 3" xfId="2407" xr:uid="{DFAC2820-A1CC-4ACD-8C6D-5DA24FEDC0C4}"/>
    <cellStyle name="Millares [0] 3 4" xfId="2400" xr:uid="{A2615A74-68C1-477F-A3AA-452EC770170D}"/>
    <cellStyle name="Millares 10" xfId="400" xr:uid="{00000000-0005-0000-0000-00008F010000}"/>
    <cellStyle name="Millares 10 2" xfId="401" xr:uid="{00000000-0005-0000-0000-000090010000}"/>
    <cellStyle name="Millares 10 2 2" xfId="402" xr:uid="{00000000-0005-0000-0000-000091010000}"/>
    <cellStyle name="Millares 10 2 2 2" xfId="403" xr:uid="{00000000-0005-0000-0000-000092010000}"/>
    <cellStyle name="Millares 10 2 2 2 2" xfId="404" xr:uid="{00000000-0005-0000-0000-000093010000}"/>
    <cellStyle name="Millares 10 2 2 2 2 2" xfId="1639" xr:uid="{4E54B669-27B1-40AC-BFFF-E78C48072BE0}"/>
    <cellStyle name="Millares 10 2 2 2 2 2 2" xfId="2925" xr:uid="{CEC0F2E5-FBCC-4731-BABC-20CFC0A5A1C3}"/>
    <cellStyle name="Millares 10 2 2 2 2 3" xfId="2412" xr:uid="{147BA7B5-650D-4721-BA5A-C97EAE3B18A7}"/>
    <cellStyle name="Millares 10 2 2 2 3" xfId="1638" xr:uid="{43C0E22E-3E11-4FE2-8F75-4DDC0C9DF9BB}"/>
    <cellStyle name="Millares 10 2 2 2 3 2" xfId="2924" xr:uid="{1F469FE0-1DED-4DA8-886F-B0052ECA21E9}"/>
    <cellStyle name="Millares 10 2 2 2 4" xfId="2411" xr:uid="{21473136-2C53-473A-97AC-DE32C2D049AA}"/>
    <cellStyle name="Millares 10 2 2 3" xfId="405" xr:uid="{00000000-0005-0000-0000-000094010000}"/>
    <cellStyle name="Millares 10 2 2 3 2" xfId="406" xr:uid="{00000000-0005-0000-0000-000095010000}"/>
    <cellStyle name="Millares 10 2 2 3 2 2" xfId="1641" xr:uid="{05B70BAF-4361-4958-B81E-77613F581242}"/>
    <cellStyle name="Millares 10 2 2 3 2 2 2" xfId="2927" xr:uid="{BE1CE2F3-5E0C-429A-8381-26EAE0B9DBB1}"/>
    <cellStyle name="Millares 10 2 2 3 2 3" xfId="2414" xr:uid="{6704EFBB-430F-4858-A541-501B3EF60634}"/>
    <cellStyle name="Millares 10 2 2 3 3" xfId="1640" xr:uid="{8E5C849F-506D-46A4-87BE-4F7D7B0EC0B7}"/>
    <cellStyle name="Millares 10 2 2 3 3 2" xfId="2926" xr:uid="{B0346F2B-D394-4D07-8D4A-836928C79D6D}"/>
    <cellStyle name="Millares 10 2 2 3 4" xfId="2413" xr:uid="{91AA1A5C-901F-4AF9-A3D2-184D86E84552}"/>
    <cellStyle name="Millares 10 2 2 4" xfId="407" xr:uid="{00000000-0005-0000-0000-000096010000}"/>
    <cellStyle name="Millares 10 2 2 4 2" xfId="1642" xr:uid="{5C3E71AA-2237-4541-85A5-8470248BD1D7}"/>
    <cellStyle name="Millares 10 2 2 4 2 2" xfId="2928" xr:uid="{836C8BBD-ED61-446A-97DA-8888A4BFED2A}"/>
    <cellStyle name="Millares 10 2 2 4 3" xfId="2415" xr:uid="{0C3A6CED-E3C6-4EB7-A636-2210F7409AEF}"/>
    <cellStyle name="Millares 10 2 2 5" xfId="1637" xr:uid="{CBDEBF54-83E2-47D9-9645-D324D766395F}"/>
    <cellStyle name="Millares 10 2 2 5 2" xfId="2923" xr:uid="{3CE4C541-1BB5-42DE-9DD2-5F41C84B4050}"/>
    <cellStyle name="Millares 10 2 2 6" xfId="2172" xr:uid="{C83A80BE-B198-4F9C-81A6-4A964E084E39}"/>
    <cellStyle name="Millares 10 2 2 6 2" xfId="3369" xr:uid="{AFB93EED-A2F2-4DCD-854E-05BF6C95CE94}"/>
    <cellStyle name="Millares 10 2 2 7" xfId="2410" xr:uid="{C72DB463-C108-42CF-876C-DBA5C74E74A6}"/>
    <cellStyle name="Millares 10 2 2 8" xfId="3535" xr:uid="{5356EFC6-265E-461F-9434-6C0BC1FBC830}"/>
    <cellStyle name="Millares 10 2 3" xfId="408" xr:uid="{00000000-0005-0000-0000-000097010000}"/>
    <cellStyle name="Millares 10 2 3 2" xfId="1643" xr:uid="{A6CC1872-3998-4193-8AFE-6E71EDB4B80E}"/>
    <cellStyle name="Millares 10 2 3 2 2" xfId="2929" xr:uid="{20D9F4CC-6772-44C5-8827-302561921CAD}"/>
    <cellStyle name="Millares 10 2 3 3" xfId="2416" xr:uid="{D069BC86-7419-4CE0-A86E-4A97946A6595}"/>
    <cellStyle name="Millares 10 2 4" xfId="1636" xr:uid="{A46075E0-E113-4DB0-8F23-E3D23F96A106}"/>
    <cellStyle name="Millares 10 2 4 2" xfId="2922" xr:uid="{A639CA98-BDC9-43B3-A4D7-F4DC923D9B49}"/>
    <cellStyle name="Millares 10 2 5" xfId="2409" xr:uid="{E904B57C-E641-4E10-9EB3-F02D6B1B3DC2}"/>
    <cellStyle name="Millares 10 2 6" xfId="3826" xr:uid="{ACD40A9B-4AF8-4242-BAA8-7B58A7DAFEDB}"/>
    <cellStyle name="Millares 10 3" xfId="409" xr:uid="{00000000-0005-0000-0000-000098010000}"/>
    <cellStyle name="Millares 10 3 2" xfId="410" xr:uid="{00000000-0005-0000-0000-000099010000}"/>
    <cellStyle name="Millares 10 3 2 2" xfId="411" xr:uid="{00000000-0005-0000-0000-00009A010000}"/>
    <cellStyle name="Millares 10 3 2 2 2" xfId="1646" xr:uid="{512D3617-C603-4815-91D0-840190314C09}"/>
    <cellStyle name="Millares 10 3 2 2 2 2" xfId="2932" xr:uid="{D2BDBF89-CE44-4C52-A8E0-C39F9A809215}"/>
    <cellStyle name="Millares 10 3 2 2 3" xfId="2419" xr:uid="{81A3AC39-2A81-4633-9CAA-BBB7694A465C}"/>
    <cellStyle name="Millares 10 3 2 3" xfId="1645" xr:uid="{A72FBC29-1B44-432F-9B1A-5C82C67C6BEF}"/>
    <cellStyle name="Millares 10 3 2 3 2" xfId="2931" xr:uid="{C19307E3-0459-43ED-8377-75EA76D8EB72}"/>
    <cellStyle name="Millares 10 3 2 4" xfId="2418" xr:uid="{29CA78BB-5391-4A04-8AF8-74927EA531F8}"/>
    <cellStyle name="Millares 10 3 3" xfId="412" xr:uid="{00000000-0005-0000-0000-00009B010000}"/>
    <cellStyle name="Millares 10 3 3 2" xfId="413" xr:uid="{00000000-0005-0000-0000-00009C010000}"/>
    <cellStyle name="Millares 10 3 3 2 2" xfId="1648" xr:uid="{A74BCF83-4D0D-49EF-A9CB-3437CE91E1F7}"/>
    <cellStyle name="Millares 10 3 3 2 2 2" xfId="2934" xr:uid="{D2A6179F-13D6-4E5F-9452-81345363A98E}"/>
    <cellStyle name="Millares 10 3 3 2 3" xfId="2421" xr:uid="{18907C16-87FF-4E7F-B10F-67854F0FC67A}"/>
    <cellStyle name="Millares 10 3 3 3" xfId="1647" xr:uid="{1FEF7641-356F-49C7-87F8-306CFF55FA0B}"/>
    <cellStyle name="Millares 10 3 3 3 2" xfId="2933" xr:uid="{49F164A1-4B2A-44DF-981D-CF509CB823E0}"/>
    <cellStyle name="Millares 10 3 3 4" xfId="2420" xr:uid="{12B78DED-C301-4033-A10B-AC6A9BCA404A}"/>
    <cellStyle name="Millares 10 3 4" xfId="414" xr:uid="{00000000-0005-0000-0000-00009D010000}"/>
    <cellStyle name="Millares 10 3 4 2" xfId="1649" xr:uid="{7C899ECD-BEC7-40C1-894E-D4FECE67E4C9}"/>
    <cellStyle name="Millares 10 3 4 2 2" xfId="2935" xr:uid="{F432EDED-8233-45FD-BF0C-D567D708A4E7}"/>
    <cellStyle name="Millares 10 3 4 3" xfId="2422" xr:uid="{7B69B18E-D388-4BFA-903C-CB5FC59B34DC}"/>
    <cellStyle name="Millares 10 3 5" xfId="1644" xr:uid="{8445F2CA-0197-4037-9DAF-FFD7C8324841}"/>
    <cellStyle name="Millares 10 3 5 2" xfId="2930" xr:uid="{346457E1-B64F-47AB-9E59-3F7A9299BE61}"/>
    <cellStyle name="Millares 10 3 6" xfId="2171" xr:uid="{EC14BBF2-F7CB-4783-8424-031619F5C049}"/>
    <cellStyle name="Millares 10 3 6 2" xfId="3368" xr:uid="{C99AB831-B453-4EC1-AA28-1C4830FB419F}"/>
    <cellStyle name="Millares 10 3 7" xfId="2417" xr:uid="{DFC3357F-C590-4D49-A089-CE22F525EA57}"/>
    <cellStyle name="Millares 10 3 8" xfId="3534" xr:uid="{B398F9FD-93A9-4575-AEE3-1947CCF7D193}"/>
    <cellStyle name="Millares 10 4" xfId="415" xr:uid="{00000000-0005-0000-0000-00009E010000}"/>
    <cellStyle name="Millares 10 4 2" xfId="1650" xr:uid="{54DF65AF-C37A-4008-B56A-27EBEBC0BA01}"/>
    <cellStyle name="Millares 10 4 2 2" xfId="2936" xr:uid="{13C35A87-BC62-47F9-8833-AB127E0C1E99}"/>
    <cellStyle name="Millares 10 4 3" xfId="2423" xr:uid="{ECC69AB0-3FD6-4E7F-A882-B98EA8F20695}"/>
    <cellStyle name="Millares 10 5" xfId="1635" xr:uid="{DC456055-39CE-4F17-9249-22F96DE150DE}"/>
    <cellStyle name="Millares 10 5 2" xfId="2921" xr:uid="{54519E0D-2ADE-4CCA-9796-1E9E98C758EA}"/>
    <cellStyle name="Millares 10 6" xfId="2408" xr:uid="{C7ECBF1D-CFCC-4D3A-8DF2-CC6324FA00DA}"/>
    <cellStyle name="Millares 10 7" xfId="3825" xr:uid="{1C2899D1-0FDB-4C36-A726-A5AED06CACC9}"/>
    <cellStyle name="Millares 10 9" xfId="416" xr:uid="{00000000-0005-0000-0000-00009F010000}"/>
    <cellStyle name="Millares 10 9 2" xfId="417" xr:uid="{00000000-0005-0000-0000-0000A0010000}"/>
    <cellStyle name="Millares 10 9 2 2" xfId="1652" xr:uid="{6987FA0A-9F9B-45B4-BC8D-5450A93557C0}"/>
    <cellStyle name="Millares 10 9 2 2 2" xfId="2938" xr:uid="{1678A5CA-7EA6-468D-A806-F93BD56018AD}"/>
    <cellStyle name="Millares 10 9 2 3" xfId="2425" xr:uid="{F027B554-3DAB-469C-A0BE-818CC2E46291}"/>
    <cellStyle name="Millares 10 9 3" xfId="1651" xr:uid="{836BF952-6269-486A-9133-AE9BCDE23AC4}"/>
    <cellStyle name="Millares 10 9 3 2" xfId="2937" xr:uid="{D20EFB9C-CCEE-4DF5-A2E7-27346E7AC5A6}"/>
    <cellStyle name="Millares 10 9 4" xfId="2299" xr:uid="{9DF8E6B4-909A-416C-AB5B-29EDCE5BB195}"/>
    <cellStyle name="Millares 10 9 4 2" xfId="3493" xr:uid="{ECA9274D-D1B1-46F8-B30A-8B9CDBF1C8B8}"/>
    <cellStyle name="Millares 10 9 5" xfId="2424" xr:uid="{99834F6E-82EF-4FD6-B25C-BA4977DDAD8A}"/>
    <cellStyle name="Millares 10 9 6" xfId="3660" xr:uid="{95C0C2B1-4A12-425B-8C48-A9A73BC81802}"/>
    <cellStyle name="Millares 11" xfId="418" xr:uid="{00000000-0005-0000-0000-0000A1010000}"/>
    <cellStyle name="Millares 11 2" xfId="419" xr:uid="{00000000-0005-0000-0000-0000A2010000}"/>
    <cellStyle name="Millares 11 2 2" xfId="420" xr:uid="{00000000-0005-0000-0000-0000A3010000}"/>
    <cellStyle name="Millares 11 2 2 2" xfId="421" xr:uid="{00000000-0005-0000-0000-0000A4010000}"/>
    <cellStyle name="Millares 11 2 2 2 2" xfId="422" xr:uid="{00000000-0005-0000-0000-0000A5010000}"/>
    <cellStyle name="Millares 11 2 2 2 2 2" xfId="1657" xr:uid="{C4BF5BDD-63F0-48FC-A0A3-E2F7C50B5C07}"/>
    <cellStyle name="Millares 11 2 2 2 2 2 2" xfId="2943" xr:uid="{598F9B5B-D467-4986-865D-C81C0D4CE72F}"/>
    <cellStyle name="Millares 11 2 2 2 2 3" xfId="2430" xr:uid="{9009BF22-D5DA-4DC6-A258-C1759C821541}"/>
    <cellStyle name="Millares 11 2 2 2 3" xfId="1656" xr:uid="{20D46D69-1D75-4972-9AB2-FE3F78223370}"/>
    <cellStyle name="Millares 11 2 2 2 3 2" xfId="2942" xr:uid="{EC8ECA6A-D145-43ED-9E37-B7913D26000D}"/>
    <cellStyle name="Millares 11 2 2 2 4" xfId="2429" xr:uid="{4EE880B8-605B-4D43-97DC-22059F8C1D45}"/>
    <cellStyle name="Millares 11 2 2 3" xfId="423" xr:uid="{00000000-0005-0000-0000-0000A6010000}"/>
    <cellStyle name="Millares 11 2 2 3 2" xfId="424" xr:uid="{00000000-0005-0000-0000-0000A7010000}"/>
    <cellStyle name="Millares 11 2 2 3 2 2" xfId="1659" xr:uid="{85C38858-8E24-4265-B2D8-B50D8994F77D}"/>
    <cellStyle name="Millares 11 2 2 3 2 2 2" xfId="2945" xr:uid="{28AE0F9E-E0C8-474C-8FB3-71FC4A1E3E10}"/>
    <cellStyle name="Millares 11 2 2 3 2 3" xfId="2432" xr:uid="{F420C30F-E75E-4685-BE2E-6C3FFD9892C3}"/>
    <cellStyle name="Millares 11 2 2 3 3" xfId="1658" xr:uid="{405996BF-3CE2-4697-BC6E-E59B11AD0E88}"/>
    <cellStyle name="Millares 11 2 2 3 3 2" xfId="2944" xr:uid="{B3943D5D-2C8D-446C-9643-4CF87B904817}"/>
    <cellStyle name="Millares 11 2 2 3 4" xfId="2431" xr:uid="{CC21D87B-74D8-4A15-B891-1E430694BD98}"/>
    <cellStyle name="Millares 11 2 2 4" xfId="425" xr:uid="{00000000-0005-0000-0000-0000A8010000}"/>
    <cellStyle name="Millares 11 2 2 4 2" xfId="1660" xr:uid="{19A9A952-B2FA-4C61-BB3E-05D29AB60C40}"/>
    <cellStyle name="Millares 11 2 2 4 2 2" xfId="2946" xr:uid="{DC4A26D5-9C7D-4EE6-A944-568EC420D550}"/>
    <cellStyle name="Millares 11 2 2 4 3" xfId="2433" xr:uid="{89C35AC0-B0CA-4FF0-83D8-4A610EDCAE13}"/>
    <cellStyle name="Millares 11 2 2 5" xfId="1655" xr:uid="{96B398A5-A683-429E-BE9E-ECFC96089EB8}"/>
    <cellStyle name="Millares 11 2 2 5 2" xfId="2941" xr:uid="{82D9D896-7F05-4BC5-9B34-3758AAFE266D}"/>
    <cellStyle name="Millares 11 2 2 6" xfId="2174" xr:uid="{84D3AD43-22E4-4456-8B9D-EEE91548AAED}"/>
    <cellStyle name="Millares 11 2 2 6 2" xfId="3371" xr:uid="{07269C33-41EA-4BAC-B576-1CBA733F8478}"/>
    <cellStyle name="Millares 11 2 2 7" xfId="2428" xr:uid="{8B3744B0-DDBB-469C-AF8D-7FE7DAAAD11A}"/>
    <cellStyle name="Millares 11 2 2 8" xfId="3537" xr:uid="{36BD0F23-78B4-41A3-8F2C-8C05CCAD658A}"/>
    <cellStyle name="Millares 11 2 3" xfId="426" xr:uid="{00000000-0005-0000-0000-0000A9010000}"/>
    <cellStyle name="Millares 11 2 3 2" xfId="1661" xr:uid="{CA2A4510-FF78-4D81-98DD-05C2D2840765}"/>
    <cellStyle name="Millares 11 2 3 2 2" xfId="2947" xr:uid="{2CA0D957-E4A1-4800-AD6D-0C59CE5B0E90}"/>
    <cellStyle name="Millares 11 2 3 3" xfId="2434" xr:uid="{9147EB2E-DF75-41CD-A3C1-C0739FB181B1}"/>
    <cellStyle name="Millares 11 2 4" xfId="1654" xr:uid="{98BD15F8-7CDB-4422-8446-3CD2389E733C}"/>
    <cellStyle name="Millares 11 2 4 2" xfId="2940" xr:uid="{3F0B58FC-BCAF-47E7-96CA-B0FCFEA5766E}"/>
    <cellStyle name="Millares 11 2 5" xfId="2427" xr:uid="{8D3BA9BA-EFBE-47E2-A487-D06257E419ED}"/>
    <cellStyle name="Millares 11 2 6" xfId="3828" xr:uid="{9DD003B9-72E4-4E60-A2C3-0D44BA6D4D38}"/>
    <cellStyle name="Millares 11 3" xfId="427" xr:uid="{00000000-0005-0000-0000-0000AA010000}"/>
    <cellStyle name="Millares 11 3 2" xfId="428" xr:uid="{00000000-0005-0000-0000-0000AB010000}"/>
    <cellStyle name="Millares 11 3 2 2" xfId="429" xr:uid="{00000000-0005-0000-0000-0000AC010000}"/>
    <cellStyle name="Millares 11 3 2 2 2" xfId="1664" xr:uid="{9DFA60E9-F3DD-40D7-B7A8-2BC920075366}"/>
    <cellStyle name="Millares 11 3 2 2 2 2" xfId="2950" xr:uid="{EC6CA81F-1726-4C0D-80D4-35E017732BB5}"/>
    <cellStyle name="Millares 11 3 2 2 3" xfId="2437" xr:uid="{48ABFFBF-60CB-4073-B89B-1DECB024610C}"/>
    <cellStyle name="Millares 11 3 2 3" xfId="1663" xr:uid="{705228F4-8ED7-4D4F-8295-512B48B28F11}"/>
    <cellStyle name="Millares 11 3 2 3 2" xfId="2949" xr:uid="{182B4F82-FA49-4219-9CAD-18F081EC2040}"/>
    <cellStyle name="Millares 11 3 2 4" xfId="2436" xr:uid="{20A31034-B767-44AF-BAA8-DF0A4B594F33}"/>
    <cellStyle name="Millares 11 3 3" xfId="430" xr:uid="{00000000-0005-0000-0000-0000AD010000}"/>
    <cellStyle name="Millares 11 3 3 2" xfId="431" xr:uid="{00000000-0005-0000-0000-0000AE010000}"/>
    <cellStyle name="Millares 11 3 3 2 2" xfId="1666" xr:uid="{D18A118C-52C5-4AAD-A90E-E732E876A8C8}"/>
    <cellStyle name="Millares 11 3 3 2 2 2" xfId="2952" xr:uid="{8B5DFA77-F5E0-4BB1-A55B-5F4AE9830229}"/>
    <cellStyle name="Millares 11 3 3 2 3" xfId="2439" xr:uid="{3B7F8463-9CF1-45B0-9733-05C4F1BAA8DA}"/>
    <cellStyle name="Millares 11 3 3 3" xfId="1665" xr:uid="{9061633E-77E3-4CE4-B8FD-3D70868265E0}"/>
    <cellStyle name="Millares 11 3 3 3 2" xfId="2951" xr:uid="{37FFD1DF-FC2F-4C93-B14B-B5283F4D6B5E}"/>
    <cellStyle name="Millares 11 3 3 4" xfId="2438" xr:uid="{B2BC365E-F5CB-4B75-9E96-6C2820177B3C}"/>
    <cellStyle name="Millares 11 3 4" xfId="432" xr:uid="{00000000-0005-0000-0000-0000AF010000}"/>
    <cellStyle name="Millares 11 3 4 2" xfId="1667" xr:uid="{E5F42062-19E1-4634-95D6-2E806E7E7F73}"/>
    <cellStyle name="Millares 11 3 4 2 2" xfId="2953" xr:uid="{69BE53F0-F737-4D83-8804-786FAA5FF8F7}"/>
    <cellStyle name="Millares 11 3 4 3" xfId="2440" xr:uid="{44D51AFD-7D33-4B41-90D6-86CF58E3DDB1}"/>
    <cellStyle name="Millares 11 3 5" xfId="1662" xr:uid="{7320FBD1-DF34-4D38-B7CB-97696003B9BE}"/>
    <cellStyle name="Millares 11 3 5 2" xfId="2948" xr:uid="{B8CB22FA-51F3-4900-A650-1525A715592F}"/>
    <cellStyle name="Millares 11 3 6" xfId="2173" xr:uid="{EAE18E62-6B8B-474E-A2C0-C3D2BF0EDD26}"/>
    <cellStyle name="Millares 11 3 6 2" xfId="3370" xr:uid="{CADE98FB-EE57-4CB1-A619-03EFFD9EEC18}"/>
    <cellStyle name="Millares 11 3 7" xfId="2435" xr:uid="{4AA76267-CC19-4DA9-AC14-F5DF2751AF73}"/>
    <cellStyle name="Millares 11 3 8" xfId="3536" xr:uid="{35D1FD1B-BCD0-47DF-B058-7B3715749244}"/>
    <cellStyle name="Millares 11 4" xfId="433" xr:uid="{00000000-0005-0000-0000-0000B0010000}"/>
    <cellStyle name="Millares 11 4 2" xfId="1668" xr:uid="{B103564B-CBEE-4FF2-A49B-E380FD3A6C8A}"/>
    <cellStyle name="Millares 11 4 2 2" xfId="2954" xr:uid="{A9867C66-B2C8-4775-9B2E-89B1030C5412}"/>
    <cellStyle name="Millares 11 4 3" xfId="2441" xr:uid="{A492A75B-29E0-4B41-A181-7CAA029A6A5F}"/>
    <cellStyle name="Millares 11 5" xfId="1653" xr:uid="{5B1F3230-C3BB-4B25-A882-282FC4CDE6AA}"/>
    <cellStyle name="Millares 11 5 2" xfId="2939" xr:uid="{E7DAAFA6-4D8D-4C5A-8FEF-3A1A61FE2DCE}"/>
    <cellStyle name="Millares 11 6" xfId="2426" xr:uid="{696F3B1C-8043-4A64-A37B-AA16BB1B6BBE}"/>
    <cellStyle name="Millares 11 7" xfId="3827" xr:uid="{2544603B-56BA-45AC-AD06-33D64F3A27BC}"/>
    <cellStyle name="Millares 12" xfId="434" xr:uid="{00000000-0005-0000-0000-0000B1010000}"/>
    <cellStyle name="Millares 12 2" xfId="435" xr:uid="{00000000-0005-0000-0000-0000B2010000}"/>
    <cellStyle name="Millares 12 2 2" xfId="436" xr:uid="{00000000-0005-0000-0000-0000B3010000}"/>
    <cellStyle name="Millares 12 2 2 2" xfId="437" xr:uid="{00000000-0005-0000-0000-0000B4010000}"/>
    <cellStyle name="Millares 12 2 2 2 2" xfId="438" xr:uid="{00000000-0005-0000-0000-0000B5010000}"/>
    <cellStyle name="Millares 12 2 2 2 2 2" xfId="1673" xr:uid="{BF5CBB5F-2C82-4835-A97E-3006C7CB5DBF}"/>
    <cellStyle name="Millares 12 2 2 2 2 2 2" xfId="2959" xr:uid="{45AA22DA-DD29-4BB2-B615-914BF987E084}"/>
    <cellStyle name="Millares 12 2 2 2 2 3" xfId="2446" xr:uid="{B31D18C9-977A-4040-A157-C66E9866EC95}"/>
    <cellStyle name="Millares 12 2 2 2 3" xfId="1672" xr:uid="{EE3D9E32-AE76-480D-9A69-ABD9F83C78ED}"/>
    <cellStyle name="Millares 12 2 2 2 3 2" xfId="2958" xr:uid="{0B861B08-3060-4B4B-924D-00D8D6988120}"/>
    <cellStyle name="Millares 12 2 2 2 4" xfId="2445" xr:uid="{E02C3CDF-BA97-4A0A-B410-3E4E895439E5}"/>
    <cellStyle name="Millares 12 2 2 3" xfId="439" xr:uid="{00000000-0005-0000-0000-0000B6010000}"/>
    <cellStyle name="Millares 12 2 2 3 2" xfId="440" xr:uid="{00000000-0005-0000-0000-0000B7010000}"/>
    <cellStyle name="Millares 12 2 2 3 2 2" xfId="1675" xr:uid="{8E4B49F6-81B0-4ADC-8A7C-09AF4AF7CAA8}"/>
    <cellStyle name="Millares 12 2 2 3 2 2 2" xfId="2961" xr:uid="{29718E31-C048-437C-8715-DFEBE034F906}"/>
    <cellStyle name="Millares 12 2 2 3 2 3" xfId="2448" xr:uid="{2C482AFE-8DC9-455D-B38B-7F3EC5A8786E}"/>
    <cellStyle name="Millares 12 2 2 3 3" xfId="1674" xr:uid="{EF226537-09E6-44F5-B35A-064CBBB7B3F2}"/>
    <cellStyle name="Millares 12 2 2 3 3 2" xfId="2960" xr:uid="{D1F229C8-8C96-4CF1-B62B-2768867702E4}"/>
    <cellStyle name="Millares 12 2 2 3 4" xfId="2447" xr:uid="{A4DFF05F-9270-436B-8CA2-AAEB98861BDB}"/>
    <cellStyle name="Millares 12 2 2 4" xfId="441" xr:uid="{00000000-0005-0000-0000-0000B8010000}"/>
    <cellStyle name="Millares 12 2 2 4 2" xfId="1676" xr:uid="{128AF320-1D03-4C53-9399-892C55A9B7D9}"/>
    <cellStyle name="Millares 12 2 2 4 2 2" xfId="2962" xr:uid="{58E82F4E-53C2-492B-80D0-D49DA6015C06}"/>
    <cellStyle name="Millares 12 2 2 4 3" xfId="2449" xr:uid="{CA0B4381-22AC-4900-B7C8-18A809623C2C}"/>
    <cellStyle name="Millares 12 2 2 5" xfId="1671" xr:uid="{728553E7-4B01-4712-B542-9B7C74ADA1C5}"/>
    <cellStyle name="Millares 12 2 2 5 2" xfId="2957" xr:uid="{E7E9F5FA-2CB1-4B7B-AB5F-053BE52DE96F}"/>
    <cellStyle name="Millares 12 2 2 6" xfId="2176" xr:uid="{F7B01377-B0CB-40DE-972F-5C25E3C46E72}"/>
    <cellStyle name="Millares 12 2 2 6 2" xfId="3373" xr:uid="{40C4E694-109D-409F-9261-53C5BFA82A9C}"/>
    <cellStyle name="Millares 12 2 2 7" xfId="2444" xr:uid="{DADB7CA8-7140-4012-BF64-EF6EF9E777D3}"/>
    <cellStyle name="Millares 12 2 2 8" xfId="3539" xr:uid="{8CC8C9E7-9F2E-441D-9141-2CBF8E22FB5A}"/>
    <cellStyle name="Millares 12 2 3" xfId="442" xr:uid="{00000000-0005-0000-0000-0000B9010000}"/>
    <cellStyle name="Millares 12 2 3 2" xfId="1677" xr:uid="{F6D8C02D-E3ED-4161-A4BD-D516066BC234}"/>
    <cellStyle name="Millares 12 2 3 2 2" xfId="2963" xr:uid="{2771D6DF-F2CC-4B1E-B8C0-A476AB5560AF}"/>
    <cellStyle name="Millares 12 2 3 3" xfId="2450" xr:uid="{2844456B-9094-49DA-9463-A32E7DACDF3E}"/>
    <cellStyle name="Millares 12 2 4" xfId="1670" xr:uid="{A0E96CE5-4669-46D1-99B8-62EC90C4FF49}"/>
    <cellStyle name="Millares 12 2 4 2" xfId="2956" xr:uid="{7CF3729B-E6FF-4975-84D2-1DE8746B9CBC}"/>
    <cellStyle name="Millares 12 2 5" xfId="2443" xr:uid="{BFC7F5FA-8950-4EB2-A02C-7780CE737249}"/>
    <cellStyle name="Millares 12 2 6" xfId="3830" xr:uid="{B309D1F1-1962-4D9C-9069-704F9817D9C8}"/>
    <cellStyle name="Millares 12 3" xfId="443" xr:uid="{00000000-0005-0000-0000-0000BA010000}"/>
    <cellStyle name="Millares 12 3 2" xfId="444" xr:uid="{00000000-0005-0000-0000-0000BB010000}"/>
    <cellStyle name="Millares 12 3 2 2" xfId="445" xr:uid="{00000000-0005-0000-0000-0000BC010000}"/>
    <cellStyle name="Millares 12 3 2 2 2" xfId="1680" xr:uid="{91D0EE61-4B9D-49C2-AE26-DC95295A12A3}"/>
    <cellStyle name="Millares 12 3 2 2 2 2" xfId="2966" xr:uid="{273AD4C8-5A78-4164-B85C-5ABDA585C65F}"/>
    <cellStyle name="Millares 12 3 2 2 3" xfId="2453" xr:uid="{87C3515B-3E52-4E24-A0C4-B8B62E63E2DD}"/>
    <cellStyle name="Millares 12 3 2 3" xfId="1679" xr:uid="{3A76DAB1-94D8-4025-BD05-F4B42AAFB2AA}"/>
    <cellStyle name="Millares 12 3 2 3 2" xfId="2965" xr:uid="{CA6F225C-212B-4270-BEBE-7BFBE865807E}"/>
    <cellStyle name="Millares 12 3 2 4" xfId="2452" xr:uid="{E482D514-F00D-4131-B38A-F93973A0BB30}"/>
    <cellStyle name="Millares 12 3 3" xfId="446" xr:uid="{00000000-0005-0000-0000-0000BD010000}"/>
    <cellStyle name="Millares 12 3 3 2" xfId="447" xr:uid="{00000000-0005-0000-0000-0000BE010000}"/>
    <cellStyle name="Millares 12 3 3 2 2" xfId="1682" xr:uid="{05419357-870D-4CE3-8560-2A178BF734BF}"/>
    <cellStyle name="Millares 12 3 3 2 2 2" xfId="2968" xr:uid="{1EAAFA25-3B06-4E01-8D85-B8B55BF7540D}"/>
    <cellStyle name="Millares 12 3 3 2 3" xfId="2455" xr:uid="{74424B7F-A84B-4637-B5A2-42379F88D87C}"/>
    <cellStyle name="Millares 12 3 3 3" xfId="1681" xr:uid="{D7255F5F-0AAE-464A-B91B-B6853CA620E5}"/>
    <cellStyle name="Millares 12 3 3 3 2" xfId="2967" xr:uid="{C21807D1-3B33-4A04-BCAD-6B323CEB2AD9}"/>
    <cellStyle name="Millares 12 3 3 4" xfId="2454" xr:uid="{E52779BA-EE39-4EF3-B96B-90F32933FFC2}"/>
    <cellStyle name="Millares 12 3 4" xfId="448" xr:uid="{00000000-0005-0000-0000-0000BF010000}"/>
    <cellStyle name="Millares 12 3 4 2" xfId="1683" xr:uid="{E697736E-0106-46ED-AD33-E8D8CD6C7528}"/>
    <cellStyle name="Millares 12 3 4 2 2" xfId="2969" xr:uid="{362D8BC6-4DB8-413D-98A4-5DF21F1E916B}"/>
    <cellStyle name="Millares 12 3 4 3" xfId="2456" xr:uid="{6DB4F5E7-00C2-4E6E-B33B-E113D88B146E}"/>
    <cellStyle name="Millares 12 3 5" xfId="1678" xr:uid="{2B00214D-6DCC-428E-A3D3-CC0F710C2A45}"/>
    <cellStyle name="Millares 12 3 5 2" xfId="2964" xr:uid="{4E1B7511-588D-416E-873D-0FC589DDDA84}"/>
    <cellStyle name="Millares 12 3 6" xfId="2175" xr:uid="{23831776-A7EF-4DB2-BB12-0FE2543BA410}"/>
    <cellStyle name="Millares 12 3 6 2" xfId="3372" xr:uid="{00447429-895F-4861-BE54-19346C76452E}"/>
    <cellStyle name="Millares 12 3 7" xfId="2451" xr:uid="{4E40C581-C0BE-4383-A5F0-21FBDBAEFB36}"/>
    <cellStyle name="Millares 12 3 8" xfId="3538" xr:uid="{EDA31C9B-C114-4FEE-8768-AE67F843C237}"/>
    <cellStyle name="Millares 12 4" xfId="449" xr:uid="{00000000-0005-0000-0000-0000C0010000}"/>
    <cellStyle name="Millares 12 4 2" xfId="1684" xr:uid="{7D6648BB-9201-4821-B9E7-385B6F07A272}"/>
    <cellStyle name="Millares 12 4 2 2" xfId="2970" xr:uid="{BC88D4CA-A8DF-4609-9ACE-2F05D2F9764B}"/>
    <cellStyle name="Millares 12 4 3" xfId="2457" xr:uid="{3420A3C8-FDB0-4235-8BE4-BBB7D967342D}"/>
    <cellStyle name="Millares 12 5" xfId="1669" xr:uid="{3CE6BF61-20F5-4F3B-827A-19FAF34C9633}"/>
    <cellStyle name="Millares 12 5 2" xfId="2955" xr:uid="{6BB3E027-EC19-4F30-96C3-96BAE298659A}"/>
    <cellStyle name="Millares 12 6" xfId="2442" xr:uid="{FBAA88E5-E4DD-49A5-A0C7-986F43647E1E}"/>
    <cellStyle name="Millares 12 7" xfId="3829" xr:uid="{88C5B1EF-0AF5-47DD-B28B-9D5ED3379260}"/>
    <cellStyle name="Millares 127 2" xfId="3676" xr:uid="{047035A5-D171-4E25-9EF0-364A0D090631}"/>
    <cellStyle name="Millares 13" xfId="450" xr:uid="{00000000-0005-0000-0000-0000C1010000}"/>
    <cellStyle name="Millares 13 2" xfId="451" xr:uid="{00000000-0005-0000-0000-0000C2010000}"/>
    <cellStyle name="Millares 13 2 2" xfId="452" xr:uid="{00000000-0005-0000-0000-0000C3010000}"/>
    <cellStyle name="Millares 13 2 2 2" xfId="453" xr:uid="{00000000-0005-0000-0000-0000C4010000}"/>
    <cellStyle name="Millares 13 2 2 2 2" xfId="454" xr:uid="{00000000-0005-0000-0000-0000C5010000}"/>
    <cellStyle name="Millares 13 2 2 2 2 2" xfId="1689" xr:uid="{DE230A25-64F0-4989-8FCE-CE4729C72CE9}"/>
    <cellStyle name="Millares 13 2 2 2 2 2 2" xfId="2975" xr:uid="{409C1CFC-4127-4E3C-AF26-01C636D9B725}"/>
    <cellStyle name="Millares 13 2 2 2 2 3" xfId="2462" xr:uid="{A1CB6CAE-FF64-4DCE-9749-ABCFC30C2A42}"/>
    <cellStyle name="Millares 13 2 2 2 3" xfId="1688" xr:uid="{A58B838E-DE22-4BC6-A087-939B84B20AD9}"/>
    <cellStyle name="Millares 13 2 2 2 3 2" xfId="2974" xr:uid="{3DB9AA2A-003E-4FB5-BE2D-2195D12D2784}"/>
    <cellStyle name="Millares 13 2 2 2 4" xfId="2461" xr:uid="{AF95F632-FA5D-4DCE-AC8B-5E9DC5E6FFD8}"/>
    <cellStyle name="Millares 13 2 2 3" xfId="455" xr:uid="{00000000-0005-0000-0000-0000C6010000}"/>
    <cellStyle name="Millares 13 2 2 3 2" xfId="456" xr:uid="{00000000-0005-0000-0000-0000C7010000}"/>
    <cellStyle name="Millares 13 2 2 3 2 2" xfId="1691" xr:uid="{87076968-65C9-4EA4-8F79-12395E8E7D21}"/>
    <cellStyle name="Millares 13 2 2 3 2 2 2" xfId="2977" xr:uid="{48A6E809-DE3C-435D-BE50-46A3D125F536}"/>
    <cellStyle name="Millares 13 2 2 3 2 3" xfId="2464" xr:uid="{1FBA01AB-E25B-468B-A13B-CAEA11F6D17E}"/>
    <cellStyle name="Millares 13 2 2 3 3" xfId="1690" xr:uid="{17E1069B-5265-4F79-A38C-BB77343266BA}"/>
    <cellStyle name="Millares 13 2 2 3 3 2" xfId="2976" xr:uid="{B71CF1F0-9113-4380-A867-2483008C8609}"/>
    <cellStyle name="Millares 13 2 2 3 4" xfId="2463" xr:uid="{32ACCE91-8E24-4CEF-AE30-B25D2CD2BE8C}"/>
    <cellStyle name="Millares 13 2 2 4" xfId="457" xr:uid="{00000000-0005-0000-0000-0000C8010000}"/>
    <cellStyle name="Millares 13 2 2 4 2" xfId="1692" xr:uid="{62FE4723-FB2B-4A64-9005-47CF735E6469}"/>
    <cellStyle name="Millares 13 2 2 4 2 2" xfId="2978" xr:uid="{D2887F55-10A4-42B1-9B88-11617D4187D1}"/>
    <cellStyle name="Millares 13 2 2 4 3" xfId="2465" xr:uid="{3389C9C9-074F-42AF-BEC8-1038D7BC89E7}"/>
    <cellStyle name="Millares 13 2 2 5" xfId="1687" xr:uid="{85A85093-3362-4A1C-B38D-3244C15C58BA}"/>
    <cellStyle name="Millares 13 2 2 5 2" xfId="2973" xr:uid="{2FFEA4F0-0D33-4A62-9257-6E5C14450268}"/>
    <cellStyle name="Millares 13 2 2 6" xfId="2178" xr:uid="{89FF097E-F4D0-4CEE-B47C-C48B32EF4C31}"/>
    <cellStyle name="Millares 13 2 2 6 2" xfId="3375" xr:uid="{8F0BE7E9-66C7-4E5A-834F-D10A73FBB0F9}"/>
    <cellStyle name="Millares 13 2 2 7" xfId="2460" xr:uid="{4D2AA952-1B33-497F-8149-280F1CC5501A}"/>
    <cellStyle name="Millares 13 2 2 8" xfId="3541" xr:uid="{8B0359D7-B90C-4CB2-8B3D-C49B60E7083D}"/>
    <cellStyle name="Millares 13 2 3" xfId="458" xr:uid="{00000000-0005-0000-0000-0000C9010000}"/>
    <cellStyle name="Millares 13 2 3 2" xfId="1693" xr:uid="{454C7486-3310-4308-934B-432525F7BFD2}"/>
    <cellStyle name="Millares 13 2 3 2 2" xfId="2979" xr:uid="{5B1C5327-ACDC-499F-BC73-14E2BADBFFD1}"/>
    <cellStyle name="Millares 13 2 3 3" xfId="2466" xr:uid="{25DD194B-789D-43C1-8387-B09B0A62C21F}"/>
    <cellStyle name="Millares 13 2 4" xfId="1686" xr:uid="{5019B328-FD1B-42F6-8E20-3EBF74811FC4}"/>
    <cellStyle name="Millares 13 2 4 2" xfId="2972" xr:uid="{334DAD91-F43B-4DB2-B757-1AEF5D8F0572}"/>
    <cellStyle name="Millares 13 2 5" xfId="2459" xr:uid="{173E4856-4C93-41F9-BCB9-72B933D84C75}"/>
    <cellStyle name="Millares 13 2 6" xfId="3832" xr:uid="{B2C174B8-D279-4FCF-A01B-A54E00DB2FFD}"/>
    <cellStyle name="Millares 13 3" xfId="459" xr:uid="{00000000-0005-0000-0000-0000CA010000}"/>
    <cellStyle name="Millares 13 3 2" xfId="460" xr:uid="{00000000-0005-0000-0000-0000CB010000}"/>
    <cellStyle name="Millares 13 3 2 2" xfId="461" xr:uid="{00000000-0005-0000-0000-0000CC010000}"/>
    <cellStyle name="Millares 13 3 2 2 2" xfId="1696" xr:uid="{FBDC260E-052B-47DF-BAEA-D48C817DBE9B}"/>
    <cellStyle name="Millares 13 3 2 2 2 2" xfId="2982" xr:uid="{CE9D20FA-2898-4852-8DEB-23C9BED694D4}"/>
    <cellStyle name="Millares 13 3 2 2 3" xfId="2469" xr:uid="{C49E94E9-917B-4333-B361-93C516636166}"/>
    <cellStyle name="Millares 13 3 2 3" xfId="1695" xr:uid="{44AB9168-A21E-41A3-A105-DBB91F6836EA}"/>
    <cellStyle name="Millares 13 3 2 3 2" xfId="2981" xr:uid="{4513EE6F-3E32-454A-A1F7-F51B4718A2B1}"/>
    <cellStyle name="Millares 13 3 2 4" xfId="2468" xr:uid="{18DEEFDF-F23E-4BDD-B891-4A58C19ED82C}"/>
    <cellStyle name="Millares 13 3 3" xfId="462" xr:uid="{00000000-0005-0000-0000-0000CD010000}"/>
    <cellStyle name="Millares 13 3 3 2" xfId="463" xr:uid="{00000000-0005-0000-0000-0000CE010000}"/>
    <cellStyle name="Millares 13 3 3 2 2" xfId="1698" xr:uid="{226B482D-AC1D-4A82-804C-9BF775D6A4A0}"/>
    <cellStyle name="Millares 13 3 3 2 2 2" xfId="2984" xr:uid="{47B9B5C3-6433-4A2B-A0C5-F73E13D58351}"/>
    <cellStyle name="Millares 13 3 3 2 3" xfId="2471" xr:uid="{AA838A00-86D9-4520-A7BC-61BF41FE97B1}"/>
    <cellStyle name="Millares 13 3 3 3" xfId="1697" xr:uid="{D3E71C69-9824-4E0C-B346-BF123F5F4370}"/>
    <cellStyle name="Millares 13 3 3 3 2" xfId="2983" xr:uid="{DE55DC22-D04D-4653-BCE5-213982D0FD75}"/>
    <cellStyle name="Millares 13 3 3 4" xfId="2470" xr:uid="{31073DC7-1B0A-4BB9-A4D3-5807E54055D4}"/>
    <cellStyle name="Millares 13 3 4" xfId="464" xr:uid="{00000000-0005-0000-0000-0000CF010000}"/>
    <cellStyle name="Millares 13 3 4 2" xfId="1699" xr:uid="{D86F0D0F-2048-4FFF-91CA-86FC00E553CB}"/>
    <cellStyle name="Millares 13 3 4 2 2" xfId="2985" xr:uid="{6BDC8228-72A9-42F6-8D33-69F37FEBCAB8}"/>
    <cellStyle name="Millares 13 3 4 3" xfId="2472" xr:uid="{A0112D01-3FE7-41CE-865E-F13778644E53}"/>
    <cellStyle name="Millares 13 3 5" xfId="1694" xr:uid="{47456FA0-2F10-4A4A-8200-BAB184B32BF0}"/>
    <cellStyle name="Millares 13 3 5 2" xfId="2980" xr:uid="{086036C6-FEDB-40ED-AFF1-03689E800A0B}"/>
    <cellStyle name="Millares 13 3 6" xfId="2177" xr:uid="{9A1FD595-2D0F-4AF9-85A0-0208C0BFDD19}"/>
    <cellStyle name="Millares 13 3 6 2" xfId="3374" xr:uid="{8B1CE376-9805-4510-80C0-AEA89C732690}"/>
    <cellStyle name="Millares 13 3 7" xfId="2467" xr:uid="{133DF41D-0F2E-4FC6-AF8D-FC50A4ACA22B}"/>
    <cellStyle name="Millares 13 3 8" xfId="3540" xr:uid="{B08DF9DE-3500-4646-A5BC-9B3AA3DB75E9}"/>
    <cellStyle name="Millares 13 4" xfId="465" xr:uid="{00000000-0005-0000-0000-0000D0010000}"/>
    <cellStyle name="Millares 13 4 2" xfId="1700" xr:uid="{9F0E3240-7D29-42F2-813B-3D5ACFF9ACA4}"/>
    <cellStyle name="Millares 13 4 2 2" xfId="2986" xr:uid="{903E8C7A-A94D-4FB1-827B-C780212ED6C2}"/>
    <cellStyle name="Millares 13 4 3" xfId="2473" xr:uid="{3D39412F-49BE-4E3E-A3DB-DA745983830E}"/>
    <cellStyle name="Millares 13 5" xfId="1685" xr:uid="{A7765338-545E-4DD4-A49B-59893FF0C9AE}"/>
    <cellStyle name="Millares 13 5 2" xfId="2971" xr:uid="{6157F18C-3161-4706-BA0B-22BA10375390}"/>
    <cellStyle name="Millares 13 6" xfId="2458" xr:uid="{ED224B0C-B1F5-4DC5-9C90-0F2ED669F8C3}"/>
    <cellStyle name="Millares 13 7" xfId="3831" xr:uid="{11650324-6C06-4CD5-9721-21A83BC88324}"/>
    <cellStyle name="Millares 14" xfId="466" xr:uid="{00000000-0005-0000-0000-0000D1010000}"/>
    <cellStyle name="Millares 14 2" xfId="467" xr:uid="{00000000-0005-0000-0000-0000D2010000}"/>
    <cellStyle name="Millares 14 2 2" xfId="468" xr:uid="{00000000-0005-0000-0000-0000D3010000}"/>
    <cellStyle name="Millares 14 2 2 2" xfId="469" xr:uid="{00000000-0005-0000-0000-0000D4010000}"/>
    <cellStyle name="Millares 14 2 2 2 2" xfId="470" xr:uid="{00000000-0005-0000-0000-0000D5010000}"/>
    <cellStyle name="Millares 14 2 2 2 2 2" xfId="1705" xr:uid="{73452102-7A81-4773-B3A4-1CAC18897D63}"/>
    <cellStyle name="Millares 14 2 2 2 2 2 2" xfId="2991" xr:uid="{2829846A-59AE-4451-BDAA-0EEA4C7E05A2}"/>
    <cellStyle name="Millares 14 2 2 2 2 3" xfId="2478" xr:uid="{00592296-A85B-4F84-8DF9-543A11C1356E}"/>
    <cellStyle name="Millares 14 2 2 2 3" xfId="1704" xr:uid="{B46B6690-E33D-41F7-97BC-A4BF337173C3}"/>
    <cellStyle name="Millares 14 2 2 2 3 2" xfId="2990" xr:uid="{0223D600-E39B-41FA-BC80-9F6C5CEA5DE5}"/>
    <cellStyle name="Millares 14 2 2 2 4" xfId="2477" xr:uid="{FB538FA5-3800-486A-BC02-4CF925811E77}"/>
    <cellStyle name="Millares 14 2 2 3" xfId="471" xr:uid="{00000000-0005-0000-0000-0000D6010000}"/>
    <cellStyle name="Millares 14 2 2 3 2" xfId="472" xr:uid="{00000000-0005-0000-0000-0000D7010000}"/>
    <cellStyle name="Millares 14 2 2 3 2 2" xfId="1707" xr:uid="{8ACD1043-4566-40B4-A787-C6031BB43619}"/>
    <cellStyle name="Millares 14 2 2 3 2 2 2" xfId="2993" xr:uid="{391D04F0-8B0C-4005-8AAD-D4D3F4189C90}"/>
    <cellStyle name="Millares 14 2 2 3 2 3" xfId="2480" xr:uid="{AB0C7A71-44D9-4E48-B7DE-E04F07E1AE66}"/>
    <cellStyle name="Millares 14 2 2 3 3" xfId="1706" xr:uid="{BDC766E3-6DB0-41E9-A3CA-70282FFB96B3}"/>
    <cellStyle name="Millares 14 2 2 3 3 2" xfId="2992" xr:uid="{7ECAB167-BE22-4DEB-B5B3-A7B42EFFD14B}"/>
    <cellStyle name="Millares 14 2 2 3 4" xfId="2479" xr:uid="{A24B3D29-8A10-486D-A798-D46B44BA9819}"/>
    <cellStyle name="Millares 14 2 2 4" xfId="473" xr:uid="{00000000-0005-0000-0000-0000D8010000}"/>
    <cellStyle name="Millares 14 2 2 4 2" xfId="1708" xr:uid="{FACC5EB6-95E1-4CFD-907A-263A977908D2}"/>
    <cellStyle name="Millares 14 2 2 4 2 2" xfId="2994" xr:uid="{F2126A0F-B584-4E09-A022-F2C4D40C2B36}"/>
    <cellStyle name="Millares 14 2 2 4 3" xfId="2481" xr:uid="{1B1202BE-656A-48EA-88FB-5B45C068D444}"/>
    <cellStyle name="Millares 14 2 2 5" xfId="1703" xr:uid="{2696825A-702F-4304-8AB9-5B83E0536C40}"/>
    <cellStyle name="Millares 14 2 2 5 2" xfId="2989" xr:uid="{ECD4A092-1F65-47A3-8968-592D6EE734AF}"/>
    <cellStyle name="Millares 14 2 2 6" xfId="2180" xr:uid="{149E734C-4F29-49C8-A2C4-41DDA3B195E7}"/>
    <cellStyle name="Millares 14 2 2 6 2" xfId="3377" xr:uid="{5E6D092E-5574-4AFC-A82E-595E72F43918}"/>
    <cellStyle name="Millares 14 2 2 7" xfId="2476" xr:uid="{3805B129-EE60-4845-8AD0-C9AB90529AF3}"/>
    <cellStyle name="Millares 14 2 2 8" xfId="3543" xr:uid="{79565D48-30B2-4BEF-80CE-EF320D0F1905}"/>
    <cellStyle name="Millares 14 2 3" xfId="474" xr:uid="{00000000-0005-0000-0000-0000D9010000}"/>
    <cellStyle name="Millares 14 2 3 2" xfId="1709" xr:uid="{C0406487-148E-43AE-BB66-E59A10F84E46}"/>
    <cellStyle name="Millares 14 2 3 2 2" xfId="2995" xr:uid="{F055AAEC-6BB6-492F-B47D-7B6EC9D91862}"/>
    <cellStyle name="Millares 14 2 3 3" xfId="2482" xr:uid="{0ABB91B2-D806-4CAB-A42B-935062B8FC83}"/>
    <cellStyle name="Millares 14 2 4" xfId="1702" xr:uid="{16DC147D-6CF1-4895-9676-F54BE788B4ED}"/>
    <cellStyle name="Millares 14 2 4 2" xfId="2988" xr:uid="{CBC3F6BC-F6A7-4DB0-A15E-317985297F5F}"/>
    <cellStyle name="Millares 14 2 5" xfId="2475" xr:uid="{0430D24F-7B92-4059-926D-FC36C31F0CFF}"/>
    <cellStyle name="Millares 14 2 6" xfId="3834" xr:uid="{56A55D74-9AB0-4138-AF8D-11973DA35D8A}"/>
    <cellStyle name="Millares 14 3" xfId="475" xr:uid="{00000000-0005-0000-0000-0000DA010000}"/>
    <cellStyle name="Millares 14 3 2" xfId="476" xr:uid="{00000000-0005-0000-0000-0000DB010000}"/>
    <cellStyle name="Millares 14 3 2 2" xfId="477" xr:uid="{00000000-0005-0000-0000-0000DC010000}"/>
    <cellStyle name="Millares 14 3 2 2 2" xfId="1712" xr:uid="{64012BB7-7614-4812-B5A0-BCEA04DB5BA2}"/>
    <cellStyle name="Millares 14 3 2 2 2 2" xfId="2998" xr:uid="{4B9DED29-2C62-4C29-85CF-176666DA8C96}"/>
    <cellStyle name="Millares 14 3 2 2 3" xfId="2485" xr:uid="{F71BBB58-2298-49AA-85FB-2032B2F1359C}"/>
    <cellStyle name="Millares 14 3 2 3" xfId="1711" xr:uid="{9C3F150A-10D6-4B12-B6FB-FF71E46EFF34}"/>
    <cellStyle name="Millares 14 3 2 3 2" xfId="2997" xr:uid="{995F3833-8EAE-43B3-B423-5A3B82C5C068}"/>
    <cellStyle name="Millares 14 3 2 4" xfId="2484" xr:uid="{4ABE3711-FCA8-4784-B547-9A53012B9ABF}"/>
    <cellStyle name="Millares 14 3 3" xfId="478" xr:uid="{00000000-0005-0000-0000-0000DD010000}"/>
    <cellStyle name="Millares 14 3 3 2" xfId="479" xr:uid="{00000000-0005-0000-0000-0000DE010000}"/>
    <cellStyle name="Millares 14 3 3 2 2" xfId="1714" xr:uid="{601C1673-A8E5-4126-B557-37A53ED707A2}"/>
    <cellStyle name="Millares 14 3 3 2 2 2" xfId="3000" xr:uid="{DBFA24D2-BF0F-4C8C-9A00-7B3DB5CCBBDB}"/>
    <cellStyle name="Millares 14 3 3 2 3" xfId="2487" xr:uid="{943A3CC8-E371-42E1-A2E9-7B3283FCEE46}"/>
    <cellStyle name="Millares 14 3 3 3" xfId="1713" xr:uid="{ED6363B2-6E11-43E0-A3EF-E7862F47F45D}"/>
    <cellStyle name="Millares 14 3 3 3 2" xfId="2999" xr:uid="{441BA409-BFD0-4332-9649-49102B948BF7}"/>
    <cellStyle name="Millares 14 3 3 4" xfId="2486" xr:uid="{8126F1A2-486A-48EA-9943-76AA8D6E07BC}"/>
    <cellStyle name="Millares 14 3 4" xfId="480" xr:uid="{00000000-0005-0000-0000-0000DF010000}"/>
    <cellStyle name="Millares 14 3 4 2" xfId="1715" xr:uid="{A05C5DB5-B96E-4435-8336-D33DA1A2CE09}"/>
    <cellStyle name="Millares 14 3 4 2 2" xfId="3001" xr:uid="{98E52BBD-7EF5-4DE1-BBC5-FABBAE81B3BB}"/>
    <cellStyle name="Millares 14 3 4 3" xfId="2488" xr:uid="{597F915F-B413-408D-BE84-D60D27F77F82}"/>
    <cellStyle name="Millares 14 3 5" xfId="1710" xr:uid="{EF01E4B1-8550-4E18-B9BC-944841503BEB}"/>
    <cellStyle name="Millares 14 3 5 2" xfId="2996" xr:uid="{442D47B2-FFB3-4DDF-AF2A-DFDA0997CC9C}"/>
    <cellStyle name="Millares 14 3 6" xfId="2179" xr:uid="{440CFC6D-6DD1-4ADA-98DE-17953A535188}"/>
    <cellStyle name="Millares 14 3 6 2" xfId="3376" xr:uid="{B8E463E2-8E8E-4FE2-AAA9-4EEAA9607C9F}"/>
    <cellStyle name="Millares 14 3 7" xfId="2483" xr:uid="{9E34968F-0A23-44D7-B06D-09D75944DAC8}"/>
    <cellStyle name="Millares 14 3 8" xfId="3542" xr:uid="{0848F771-55BA-442A-902B-27CA81569F54}"/>
    <cellStyle name="Millares 14 4" xfId="481" xr:uid="{00000000-0005-0000-0000-0000E0010000}"/>
    <cellStyle name="Millares 14 4 2" xfId="1716" xr:uid="{6C249ED6-9312-4A49-9888-011F4DE84A44}"/>
    <cellStyle name="Millares 14 4 2 2" xfId="3002" xr:uid="{22F27096-6D2F-40B9-BA0A-E8F8ACD7333E}"/>
    <cellStyle name="Millares 14 4 3" xfId="2489" xr:uid="{40A6FA6A-AF44-4825-AC8F-72A0D142B6DC}"/>
    <cellStyle name="Millares 14 5" xfId="1701" xr:uid="{F655B505-D891-4B39-805B-F85CA65FD117}"/>
    <cellStyle name="Millares 14 5 2" xfId="2987" xr:uid="{B8636FFF-8916-4710-91C5-F19DD29F65EB}"/>
    <cellStyle name="Millares 14 6" xfId="2474" xr:uid="{00A5CF29-FD32-41D0-9525-C2B2BB89741E}"/>
    <cellStyle name="Millares 14 7" xfId="3833" xr:uid="{D579E68A-E93C-4184-B86E-04D33E66704B}"/>
    <cellStyle name="Millares 15" xfId="482" xr:uid="{00000000-0005-0000-0000-0000E1010000}"/>
    <cellStyle name="Millares 15 2" xfId="483" xr:uid="{00000000-0005-0000-0000-0000E2010000}"/>
    <cellStyle name="Millares 15 2 2" xfId="484" xr:uid="{00000000-0005-0000-0000-0000E3010000}"/>
    <cellStyle name="Millares 15 2 2 2" xfId="485" xr:uid="{00000000-0005-0000-0000-0000E4010000}"/>
    <cellStyle name="Millares 15 2 2 2 2" xfId="486" xr:uid="{00000000-0005-0000-0000-0000E5010000}"/>
    <cellStyle name="Millares 15 2 2 2 2 2" xfId="1721" xr:uid="{264EB5A7-30A1-4B45-A7EC-D9F443698B53}"/>
    <cellStyle name="Millares 15 2 2 2 2 2 2" xfId="3007" xr:uid="{6DC44645-38F9-436E-AA0C-9407174F6FEB}"/>
    <cellStyle name="Millares 15 2 2 2 2 3" xfId="2494" xr:uid="{5B46FC04-059E-4AD8-A4D1-D945A234A16C}"/>
    <cellStyle name="Millares 15 2 2 2 3" xfId="1720" xr:uid="{9A234E13-18E4-42BA-B19E-C9377FB418AA}"/>
    <cellStyle name="Millares 15 2 2 2 3 2" xfId="3006" xr:uid="{0E7B5C00-0217-40CA-AF52-529EABB1C519}"/>
    <cellStyle name="Millares 15 2 2 2 4" xfId="2493" xr:uid="{0825BB51-1058-4000-9933-B64232165C26}"/>
    <cellStyle name="Millares 15 2 2 3" xfId="487" xr:uid="{00000000-0005-0000-0000-0000E6010000}"/>
    <cellStyle name="Millares 15 2 2 3 2" xfId="488" xr:uid="{00000000-0005-0000-0000-0000E7010000}"/>
    <cellStyle name="Millares 15 2 2 3 2 2" xfId="1723" xr:uid="{7172A02F-719F-43FC-AE44-20825965CAE9}"/>
    <cellStyle name="Millares 15 2 2 3 2 2 2" xfId="3009" xr:uid="{6AB028E9-5A8E-4CEE-9FB2-3C84007B1298}"/>
    <cellStyle name="Millares 15 2 2 3 2 3" xfId="2496" xr:uid="{0C4651A7-5F10-4A7C-9A10-95E4694F7682}"/>
    <cellStyle name="Millares 15 2 2 3 3" xfId="1722" xr:uid="{2CC13E22-336F-4A12-BAE3-7A2F7E150823}"/>
    <cellStyle name="Millares 15 2 2 3 3 2" xfId="3008" xr:uid="{404FFFAD-BB23-4EB3-BD79-35B7709887BA}"/>
    <cellStyle name="Millares 15 2 2 3 4" xfId="2495" xr:uid="{AD87B889-A027-48B7-949F-8A0C3E5DDE44}"/>
    <cellStyle name="Millares 15 2 2 4" xfId="489" xr:uid="{00000000-0005-0000-0000-0000E8010000}"/>
    <cellStyle name="Millares 15 2 2 4 2" xfId="1724" xr:uid="{A9B81103-FC3C-4294-AB5A-9A47E67A91D7}"/>
    <cellStyle name="Millares 15 2 2 4 2 2" xfId="3010" xr:uid="{5BC68A81-B0D0-4F5F-AE32-B674B4C8C01A}"/>
    <cellStyle name="Millares 15 2 2 4 3" xfId="2497" xr:uid="{8013E004-DD5B-4965-9943-2E6C6C63258E}"/>
    <cellStyle name="Millares 15 2 2 5" xfId="1719" xr:uid="{7BEDC730-1760-482E-B097-8E7687A4B7F9}"/>
    <cellStyle name="Millares 15 2 2 5 2" xfId="3005" xr:uid="{D28B730E-2F8C-4FA6-ADC3-AEAAF96081C9}"/>
    <cellStyle name="Millares 15 2 2 6" xfId="2182" xr:uid="{6038F578-3F43-4B2F-BCAF-8D92437E7941}"/>
    <cellStyle name="Millares 15 2 2 6 2" xfId="3379" xr:uid="{B4661A23-EF06-44D1-8372-BF1C5ACD7C4A}"/>
    <cellStyle name="Millares 15 2 2 7" xfId="2492" xr:uid="{E10921D0-648B-49CD-B56F-DF1D62A7641E}"/>
    <cellStyle name="Millares 15 2 2 8" xfId="3545" xr:uid="{BAE3EE0D-973C-46D6-B210-CEA823F986B8}"/>
    <cellStyle name="Millares 15 2 3" xfId="490" xr:uid="{00000000-0005-0000-0000-0000E9010000}"/>
    <cellStyle name="Millares 15 2 3 2" xfId="1725" xr:uid="{BEC05F1F-A388-4948-B4BC-43F6AC8127CA}"/>
    <cellStyle name="Millares 15 2 3 2 2" xfId="3011" xr:uid="{9BF27EAE-B90A-4D5D-B56D-397A887096A0}"/>
    <cellStyle name="Millares 15 2 3 3" xfId="2498" xr:uid="{C55AEA20-834F-4D24-8AE2-500E882DB6C7}"/>
    <cellStyle name="Millares 15 2 4" xfId="1718" xr:uid="{15091D4E-C997-4FF3-A3B9-A0ECC28D191B}"/>
    <cellStyle name="Millares 15 2 4 2" xfId="3004" xr:uid="{4D1DA502-1545-4B5A-8194-7B34BB7586D1}"/>
    <cellStyle name="Millares 15 2 5" xfId="2491" xr:uid="{A86FE127-CC02-4FCC-BC84-E7D4852BF262}"/>
    <cellStyle name="Millares 15 2 6" xfId="3836" xr:uid="{4D0E345A-AC52-41B1-ADEE-4040C7719605}"/>
    <cellStyle name="Millares 15 3" xfId="491" xr:uid="{00000000-0005-0000-0000-0000EA010000}"/>
    <cellStyle name="Millares 15 3 2" xfId="492" xr:uid="{00000000-0005-0000-0000-0000EB010000}"/>
    <cellStyle name="Millares 15 3 2 2" xfId="493" xr:uid="{00000000-0005-0000-0000-0000EC010000}"/>
    <cellStyle name="Millares 15 3 2 2 2" xfId="1728" xr:uid="{1F3FCDD4-B37A-4C9B-8C12-2795B29E708B}"/>
    <cellStyle name="Millares 15 3 2 2 2 2" xfId="3014" xr:uid="{6EEAE625-D7DE-4259-A4CD-D0AD93848B65}"/>
    <cellStyle name="Millares 15 3 2 2 3" xfId="2501" xr:uid="{AF611DAB-61D5-4A17-86D3-9F259C4A2727}"/>
    <cellStyle name="Millares 15 3 2 3" xfId="1727" xr:uid="{08B17C24-F15D-441F-99BD-6C1184E745A0}"/>
    <cellStyle name="Millares 15 3 2 3 2" xfId="3013" xr:uid="{27F4BF91-4CB0-404E-B1CB-E792061A6C42}"/>
    <cellStyle name="Millares 15 3 2 4" xfId="2500" xr:uid="{0EFD3265-EC61-49E1-9702-39BD521EB462}"/>
    <cellStyle name="Millares 15 3 3" xfId="494" xr:uid="{00000000-0005-0000-0000-0000ED010000}"/>
    <cellStyle name="Millares 15 3 3 2" xfId="495" xr:uid="{00000000-0005-0000-0000-0000EE010000}"/>
    <cellStyle name="Millares 15 3 3 2 2" xfId="1730" xr:uid="{56282236-EFB1-4454-8BC5-76270AC9EF65}"/>
    <cellStyle name="Millares 15 3 3 2 2 2" xfId="3016" xr:uid="{71FD633E-8A95-4499-ADFC-06F7A7248F66}"/>
    <cellStyle name="Millares 15 3 3 2 3" xfId="2503" xr:uid="{A1A2193B-4827-4272-88CA-C0F40741003F}"/>
    <cellStyle name="Millares 15 3 3 3" xfId="1729" xr:uid="{F31CE587-0888-4FDE-97F9-304A28E29976}"/>
    <cellStyle name="Millares 15 3 3 3 2" xfId="3015" xr:uid="{24293D8B-7577-4B95-8F41-A7073D6CB3BE}"/>
    <cellStyle name="Millares 15 3 3 4" xfId="2502" xr:uid="{10AC5C4F-08B2-42D2-8404-DD5C8BEA001D}"/>
    <cellStyle name="Millares 15 3 4" xfId="496" xr:uid="{00000000-0005-0000-0000-0000EF010000}"/>
    <cellStyle name="Millares 15 3 4 2" xfId="1731" xr:uid="{691C9274-980E-4F33-95F8-FC1A015F7744}"/>
    <cellStyle name="Millares 15 3 4 2 2" xfId="3017" xr:uid="{88FD9BB8-CB9C-4D2B-82B4-808744AE63C0}"/>
    <cellStyle name="Millares 15 3 4 3" xfId="2504" xr:uid="{4B721643-B2EC-4DD8-9DF9-EB6261C4246A}"/>
    <cellStyle name="Millares 15 3 5" xfId="1726" xr:uid="{A98E8A78-84AF-49CE-BFE8-EA7F33E51441}"/>
    <cellStyle name="Millares 15 3 5 2" xfId="3012" xr:uid="{3353130C-22E2-4C29-8762-BDC27864925E}"/>
    <cellStyle name="Millares 15 3 6" xfId="2181" xr:uid="{FB1170B5-8926-418F-B595-1EA01BA6D795}"/>
    <cellStyle name="Millares 15 3 6 2" xfId="3378" xr:uid="{87F17C55-CFA4-47BC-8547-3859E2EAC646}"/>
    <cellStyle name="Millares 15 3 7" xfId="2499" xr:uid="{F85F4F1B-ED83-4433-A00E-800F763F29B8}"/>
    <cellStyle name="Millares 15 3 8" xfId="3544" xr:uid="{294A3A0D-918C-473D-B920-11EFFF774813}"/>
    <cellStyle name="Millares 15 4" xfId="497" xr:uid="{00000000-0005-0000-0000-0000F0010000}"/>
    <cellStyle name="Millares 15 4 2" xfId="1732" xr:uid="{BD7DF402-10CA-4363-BF17-ECA504399A9F}"/>
    <cellStyle name="Millares 15 4 2 2" xfId="3018" xr:uid="{D7348113-03DE-435A-BED7-A48EF453BA4E}"/>
    <cellStyle name="Millares 15 4 3" xfId="2505" xr:uid="{7E251975-678C-4BF2-B390-7517184CCB98}"/>
    <cellStyle name="Millares 15 5" xfId="1717" xr:uid="{23303B2B-56B5-488A-A42A-0EBFE86680D2}"/>
    <cellStyle name="Millares 15 5 2" xfId="3003" xr:uid="{182A3F8D-FE69-45BE-85FE-EFA5819AE1E5}"/>
    <cellStyle name="Millares 15 6" xfId="2490" xr:uid="{DB09DEEF-888A-432E-B377-0536D9D6E4F5}"/>
    <cellStyle name="Millares 15 7" xfId="3835" xr:uid="{62EDDFC8-F6F8-46AE-8A39-24AB77495D8A}"/>
    <cellStyle name="Millares 16" xfId="498" xr:uid="{00000000-0005-0000-0000-0000F1010000}"/>
    <cellStyle name="Millares 16 2" xfId="499" xr:uid="{00000000-0005-0000-0000-0000F2010000}"/>
    <cellStyle name="Millares 16 2 2" xfId="500" xr:uid="{00000000-0005-0000-0000-0000F3010000}"/>
    <cellStyle name="Millares 16 2 2 2" xfId="501" xr:uid="{00000000-0005-0000-0000-0000F4010000}"/>
    <cellStyle name="Millares 16 2 2 2 2" xfId="502" xr:uid="{00000000-0005-0000-0000-0000F5010000}"/>
    <cellStyle name="Millares 16 2 2 2 2 2" xfId="1737" xr:uid="{6F53875E-F4D8-4728-BDC9-01C9579CD0C4}"/>
    <cellStyle name="Millares 16 2 2 2 2 2 2" xfId="3023" xr:uid="{98BF217F-AF95-4DF1-B193-F8B2D1435EFB}"/>
    <cellStyle name="Millares 16 2 2 2 2 3" xfId="2510" xr:uid="{B110B50B-967E-46B2-AF58-758F37B2856B}"/>
    <cellStyle name="Millares 16 2 2 2 3" xfId="1736" xr:uid="{35C2CDB6-A47B-4DA9-B95A-99F6BA3DE868}"/>
    <cellStyle name="Millares 16 2 2 2 3 2" xfId="3022" xr:uid="{B27D4FE1-7C9F-47F8-826A-51855D66E817}"/>
    <cellStyle name="Millares 16 2 2 2 4" xfId="2509" xr:uid="{954AC055-7B2B-4FD1-8C3D-78C583A0D23C}"/>
    <cellStyle name="Millares 16 2 2 3" xfId="503" xr:uid="{00000000-0005-0000-0000-0000F6010000}"/>
    <cellStyle name="Millares 16 2 2 3 2" xfId="504" xr:uid="{00000000-0005-0000-0000-0000F7010000}"/>
    <cellStyle name="Millares 16 2 2 3 2 2" xfId="1739" xr:uid="{8D17C04C-2C45-4039-8A5D-23BD5EFACDF8}"/>
    <cellStyle name="Millares 16 2 2 3 2 2 2" xfId="3025" xr:uid="{16787961-AAB6-486B-B731-21781AD22E80}"/>
    <cellStyle name="Millares 16 2 2 3 2 3" xfId="2512" xr:uid="{D7C46468-2C7A-4388-8E98-F0125AC5D9E7}"/>
    <cellStyle name="Millares 16 2 2 3 3" xfId="1738" xr:uid="{04E96141-A7B1-4056-BFA6-073442D6D22F}"/>
    <cellStyle name="Millares 16 2 2 3 3 2" xfId="3024" xr:uid="{A76C0711-40CE-4D10-9079-45F77229A031}"/>
    <cellStyle name="Millares 16 2 2 3 4" xfId="2511" xr:uid="{61A66846-5E8F-4E74-B15C-BA459301D0C7}"/>
    <cellStyle name="Millares 16 2 2 4" xfId="505" xr:uid="{00000000-0005-0000-0000-0000F8010000}"/>
    <cellStyle name="Millares 16 2 2 4 2" xfId="1740" xr:uid="{0CC139EA-D319-43EB-A60B-0B73D4B51E05}"/>
    <cellStyle name="Millares 16 2 2 4 2 2" xfId="3026" xr:uid="{2F735634-432D-4A55-A469-7E089F947D62}"/>
    <cellStyle name="Millares 16 2 2 4 3" xfId="2513" xr:uid="{AF8CB10D-FFD7-4603-BBFF-2BEC288C59C9}"/>
    <cellStyle name="Millares 16 2 2 5" xfId="1735" xr:uid="{3E500ED3-F25B-4DCD-946C-1EB2E037FDDD}"/>
    <cellStyle name="Millares 16 2 2 5 2" xfId="3021" xr:uid="{36AEF1C1-6652-4CB1-8D64-CB21E36EC25B}"/>
    <cellStyle name="Millares 16 2 2 6" xfId="2184" xr:uid="{0CF390DA-D6EA-4F21-A87D-9113E1E5D5A0}"/>
    <cellStyle name="Millares 16 2 2 6 2" xfId="3381" xr:uid="{9CBE352A-AA44-4E12-A360-48D1A44B7F0D}"/>
    <cellStyle name="Millares 16 2 2 7" xfId="2508" xr:uid="{44A208C9-77A0-4B8F-9123-FE782FF0C953}"/>
    <cellStyle name="Millares 16 2 2 8" xfId="3547" xr:uid="{DBE3FFAF-68AB-4150-B99B-4BBB52869339}"/>
    <cellStyle name="Millares 16 2 3" xfId="506" xr:uid="{00000000-0005-0000-0000-0000F9010000}"/>
    <cellStyle name="Millares 16 2 3 2" xfId="1741" xr:uid="{7DD83033-97EF-4673-AABD-1A63F41E19A6}"/>
    <cellStyle name="Millares 16 2 3 2 2" xfId="3027" xr:uid="{836B68B1-8D79-4600-B58C-86BCE130C4EC}"/>
    <cellStyle name="Millares 16 2 3 3" xfId="2514" xr:uid="{B3BC1B9C-0C43-4F01-8F9B-327D65FD366F}"/>
    <cellStyle name="Millares 16 2 4" xfId="1734" xr:uid="{746B5962-9BF0-4088-94B6-100C95918248}"/>
    <cellStyle name="Millares 16 2 4 2" xfId="3020" xr:uid="{483A0638-67AC-47AC-A428-E74893DD70FD}"/>
    <cellStyle name="Millares 16 2 5" xfId="2507" xr:uid="{09D189D2-9B60-47D0-8104-22412326F222}"/>
    <cellStyle name="Millares 16 2 6" xfId="3838" xr:uid="{375D2253-987E-4278-9009-ACA306DA881E}"/>
    <cellStyle name="Millares 16 3" xfId="507" xr:uid="{00000000-0005-0000-0000-0000FA010000}"/>
    <cellStyle name="Millares 16 3 2" xfId="508" xr:uid="{00000000-0005-0000-0000-0000FB010000}"/>
    <cellStyle name="Millares 16 3 2 2" xfId="509" xr:uid="{00000000-0005-0000-0000-0000FC010000}"/>
    <cellStyle name="Millares 16 3 2 2 2" xfId="1744" xr:uid="{F270007A-7E43-4F9A-A2EB-D16AA544F91F}"/>
    <cellStyle name="Millares 16 3 2 2 2 2" xfId="3030" xr:uid="{44B0D07B-85EC-4927-AC2F-93936ACF87BA}"/>
    <cellStyle name="Millares 16 3 2 2 3" xfId="2517" xr:uid="{C1BD0C09-22A2-468C-A9D9-56D67AA770FF}"/>
    <cellStyle name="Millares 16 3 2 3" xfId="1743" xr:uid="{3D3D651B-4BCA-4CCD-BFEA-F4A3682D835C}"/>
    <cellStyle name="Millares 16 3 2 3 2" xfId="3029" xr:uid="{DEBE7F59-75F4-489A-8508-85A66FB2EA98}"/>
    <cellStyle name="Millares 16 3 2 4" xfId="2516" xr:uid="{48B16C64-BEBE-4245-B467-A547D9D62353}"/>
    <cellStyle name="Millares 16 3 3" xfId="510" xr:uid="{00000000-0005-0000-0000-0000FD010000}"/>
    <cellStyle name="Millares 16 3 3 2" xfId="511" xr:uid="{00000000-0005-0000-0000-0000FE010000}"/>
    <cellStyle name="Millares 16 3 3 2 2" xfId="1746" xr:uid="{94B39F24-1832-4161-85BB-94C91213DA20}"/>
    <cellStyle name="Millares 16 3 3 2 2 2" xfId="3032" xr:uid="{0E719507-C521-4550-8772-566A4E3136EE}"/>
    <cellStyle name="Millares 16 3 3 2 3" xfId="2519" xr:uid="{51DDB904-706C-4033-83ED-8EF19EC2AA14}"/>
    <cellStyle name="Millares 16 3 3 3" xfId="1745" xr:uid="{51AF0CB1-C578-438E-A39B-3A5DD156EA20}"/>
    <cellStyle name="Millares 16 3 3 3 2" xfId="3031" xr:uid="{25EDBCF7-BE67-4F11-A7A1-3BCE10857F3A}"/>
    <cellStyle name="Millares 16 3 3 4" xfId="2518" xr:uid="{D4C5E97D-6F5C-434D-A7D2-F9C83E656584}"/>
    <cellStyle name="Millares 16 3 4" xfId="512" xr:uid="{00000000-0005-0000-0000-0000FF010000}"/>
    <cellStyle name="Millares 16 3 4 2" xfId="1747" xr:uid="{4E477738-EA45-4C5F-823B-EA75DD297949}"/>
    <cellStyle name="Millares 16 3 4 2 2" xfId="3033" xr:uid="{E9341A53-6195-4C85-9E68-1AADB28E11A1}"/>
    <cellStyle name="Millares 16 3 4 3" xfId="2520" xr:uid="{B5FEACD7-2FD7-49A6-AD4F-9E6227DC9D9B}"/>
    <cellStyle name="Millares 16 3 5" xfId="1742" xr:uid="{84A788AE-3CA7-4A63-A4F8-83A89FB8CF15}"/>
    <cellStyle name="Millares 16 3 5 2" xfId="3028" xr:uid="{5AFB5F99-5D9E-4FDA-8A24-0EA7542EBB65}"/>
    <cellStyle name="Millares 16 3 6" xfId="2183" xr:uid="{C9B0480A-4B3A-4995-A1BF-58713A4AC04B}"/>
    <cellStyle name="Millares 16 3 6 2" xfId="3380" xr:uid="{656CB08D-15E4-4AFE-9E72-CC7E3C11F0C7}"/>
    <cellStyle name="Millares 16 3 7" xfId="2515" xr:uid="{2BE0935D-4B01-4AEF-AE60-5CE0E991105F}"/>
    <cellStyle name="Millares 16 3 8" xfId="3546" xr:uid="{9B036DB0-ECC1-46F8-A9CA-1F03DB9853AF}"/>
    <cellStyle name="Millares 16 4" xfId="513" xr:uid="{00000000-0005-0000-0000-000000020000}"/>
    <cellStyle name="Millares 16 4 2" xfId="1748" xr:uid="{324C989A-ABF3-4E21-A62F-6EF8C771728A}"/>
    <cellStyle name="Millares 16 4 2 2" xfId="3034" xr:uid="{330565A5-A6EB-4C3D-8792-BAE6866E3978}"/>
    <cellStyle name="Millares 16 4 3" xfId="2521" xr:uid="{B2EAC068-DA55-4CDF-94FC-6DA7441B611E}"/>
    <cellStyle name="Millares 16 5" xfId="1733" xr:uid="{69C6BC00-0D74-4029-B9C1-14BCE69F8B6A}"/>
    <cellStyle name="Millares 16 5 2" xfId="3019" xr:uid="{42AA4D03-6352-4A39-8181-DB898C6C6356}"/>
    <cellStyle name="Millares 16 6" xfId="2506" xr:uid="{CFDC8EA7-8DD9-4CA3-90BF-69A63EA7DB9F}"/>
    <cellStyle name="Millares 16 7" xfId="3837" xr:uid="{4A6623A4-56E8-47E0-9CBE-D8D8F2695B75}"/>
    <cellStyle name="Millares 17" xfId="514" xr:uid="{00000000-0005-0000-0000-000001020000}"/>
    <cellStyle name="Millares 17 2" xfId="515" xr:uid="{00000000-0005-0000-0000-000002020000}"/>
    <cellStyle name="Millares 17 2 2" xfId="516" xr:uid="{00000000-0005-0000-0000-000003020000}"/>
    <cellStyle name="Millares 17 2 2 2" xfId="517" xr:uid="{00000000-0005-0000-0000-000004020000}"/>
    <cellStyle name="Millares 17 2 2 2 2" xfId="518" xr:uid="{00000000-0005-0000-0000-000005020000}"/>
    <cellStyle name="Millares 17 2 2 2 2 2" xfId="1753" xr:uid="{924A1135-74F2-41D8-8888-99D968B2577D}"/>
    <cellStyle name="Millares 17 2 2 2 2 2 2" xfId="3039" xr:uid="{3ACC4780-9423-4A03-939F-CDB02992AAB1}"/>
    <cellStyle name="Millares 17 2 2 2 2 3" xfId="2526" xr:uid="{DA3AB99C-0FC9-46AC-BD54-E53CAF213659}"/>
    <cellStyle name="Millares 17 2 2 2 3" xfId="1752" xr:uid="{1B44D9E9-5B70-4F80-890B-6AF6D81FB59D}"/>
    <cellStyle name="Millares 17 2 2 2 3 2" xfId="3038" xr:uid="{AA485369-E656-4A25-A0C1-8ECAC0B95ACE}"/>
    <cellStyle name="Millares 17 2 2 2 4" xfId="2525" xr:uid="{5F841AEE-6F01-4FC0-8D07-3D694B7E1929}"/>
    <cellStyle name="Millares 17 2 2 3" xfId="519" xr:uid="{00000000-0005-0000-0000-000006020000}"/>
    <cellStyle name="Millares 17 2 2 3 2" xfId="520" xr:uid="{00000000-0005-0000-0000-000007020000}"/>
    <cellStyle name="Millares 17 2 2 3 2 2" xfId="1755" xr:uid="{5EF34036-8808-4342-9F50-53430205E3E2}"/>
    <cellStyle name="Millares 17 2 2 3 2 2 2" xfId="3041" xr:uid="{74C55EB4-2916-4B5C-9FA2-393F30DFDCCC}"/>
    <cellStyle name="Millares 17 2 2 3 2 3" xfId="2528" xr:uid="{ABE3D7E2-BFB8-45AB-BE63-4974D1ADC7BB}"/>
    <cellStyle name="Millares 17 2 2 3 3" xfId="1754" xr:uid="{DD1F1392-3D6D-4429-AA08-D78EDA2D1B70}"/>
    <cellStyle name="Millares 17 2 2 3 3 2" xfId="3040" xr:uid="{21BE0CA1-80C1-489D-AFFD-B13AB66CF84C}"/>
    <cellStyle name="Millares 17 2 2 3 4" xfId="2527" xr:uid="{67F28A28-1697-419B-8144-E7337AECD03B}"/>
    <cellStyle name="Millares 17 2 2 4" xfId="521" xr:uid="{00000000-0005-0000-0000-000008020000}"/>
    <cellStyle name="Millares 17 2 2 4 2" xfId="1756" xr:uid="{3D7750B0-ADA4-4EE1-BF35-657D7ACFAF66}"/>
    <cellStyle name="Millares 17 2 2 4 2 2" xfId="3042" xr:uid="{AECAB4C1-762B-4A35-8B49-FA5738835935}"/>
    <cellStyle name="Millares 17 2 2 4 3" xfId="2529" xr:uid="{C245901A-9106-404C-B71F-2CDE28A0BC1E}"/>
    <cellStyle name="Millares 17 2 2 5" xfId="1751" xr:uid="{9244955C-2962-4EE1-A566-2D4D559CC5EF}"/>
    <cellStyle name="Millares 17 2 2 5 2" xfId="3037" xr:uid="{CCC15946-9B45-4DAC-B33C-AB95EE4F7CB7}"/>
    <cellStyle name="Millares 17 2 2 6" xfId="2186" xr:uid="{6DA6DB8E-9A78-44D8-B5FE-F595C4A03972}"/>
    <cellStyle name="Millares 17 2 2 6 2" xfId="3383" xr:uid="{326C3449-0A71-4982-85BA-0C7EBEABF781}"/>
    <cellStyle name="Millares 17 2 2 7" xfId="2524" xr:uid="{23B8B548-F73F-4F52-A7EB-6F831CA11DB3}"/>
    <cellStyle name="Millares 17 2 2 8" xfId="3549" xr:uid="{51DDB48A-847D-40AA-B55B-61F65A1E1477}"/>
    <cellStyle name="Millares 17 2 3" xfId="522" xr:uid="{00000000-0005-0000-0000-000009020000}"/>
    <cellStyle name="Millares 17 2 3 2" xfId="1757" xr:uid="{281EBDC1-5976-4823-AA38-37C6124411AD}"/>
    <cellStyle name="Millares 17 2 3 2 2" xfId="3043" xr:uid="{1E874F50-2E9B-41FE-8328-FD98EA58CF25}"/>
    <cellStyle name="Millares 17 2 3 3" xfId="2530" xr:uid="{D2FE281B-4EF7-4E53-B99A-EC3D7A5061C5}"/>
    <cellStyle name="Millares 17 2 4" xfId="1750" xr:uid="{BB68D5A8-C71B-415B-95F3-42613578D1CE}"/>
    <cellStyle name="Millares 17 2 4 2" xfId="3036" xr:uid="{7E482EF1-DF79-45CA-B32B-DCBA5ADA6F61}"/>
    <cellStyle name="Millares 17 2 5" xfId="2523" xr:uid="{0EFAF9CD-74AC-4C0E-A418-0B5E3B73DFE5}"/>
    <cellStyle name="Millares 17 2 6" xfId="3840" xr:uid="{79F86454-C350-445C-919C-FD7729976E34}"/>
    <cellStyle name="Millares 17 3" xfId="523" xr:uid="{00000000-0005-0000-0000-00000A020000}"/>
    <cellStyle name="Millares 17 3 2" xfId="524" xr:uid="{00000000-0005-0000-0000-00000B020000}"/>
    <cellStyle name="Millares 17 3 2 2" xfId="525" xr:uid="{00000000-0005-0000-0000-00000C020000}"/>
    <cellStyle name="Millares 17 3 2 2 2" xfId="1760" xr:uid="{2D7D077B-8A94-46E3-85B6-82A28B566DFE}"/>
    <cellStyle name="Millares 17 3 2 2 2 2" xfId="3046" xr:uid="{D78DDAB6-013F-4639-8DD6-0B4164F94886}"/>
    <cellStyle name="Millares 17 3 2 2 3" xfId="2533" xr:uid="{40BFB8DE-66C0-44E2-9D80-5099A2FB9ABF}"/>
    <cellStyle name="Millares 17 3 2 3" xfId="1759" xr:uid="{3A5F85F7-9D6F-4437-ABF3-E38C7EC97986}"/>
    <cellStyle name="Millares 17 3 2 3 2" xfId="3045" xr:uid="{265D70F1-9EAB-4C1E-B443-CD6571DEB284}"/>
    <cellStyle name="Millares 17 3 2 4" xfId="2532" xr:uid="{648FDF84-FF44-499E-B3C0-835B6B275729}"/>
    <cellStyle name="Millares 17 3 3" xfId="526" xr:uid="{00000000-0005-0000-0000-00000D020000}"/>
    <cellStyle name="Millares 17 3 3 2" xfId="527" xr:uid="{00000000-0005-0000-0000-00000E020000}"/>
    <cellStyle name="Millares 17 3 3 2 2" xfId="1762" xr:uid="{DE6FDE81-CC88-4CEC-85EA-A0CDADDE3E0C}"/>
    <cellStyle name="Millares 17 3 3 2 2 2" xfId="3048" xr:uid="{54AF767D-19D0-415D-A41B-6659B61BDA39}"/>
    <cellStyle name="Millares 17 3 3 2 3" xfId="2535" xr:uid="{C10BE3C9-D4A4-44E3-A5A2-CC87D7024F23}"/>
    <cellStyle name="Millares 17 3 3 3" xfId="1761" xr:uid="{F22ECAB9-9E43-49F7-A8F4-A551F1C6A602}"/>
    <cellStyle name="Millares 17 3 3 3 2" xfId="3047" xr:uid="{F1B005D2-65BE-47E0-88D7-4BCA2E3F453F}"/>
    <cellStyle name="Millares 17 3 3 4" xfId="2534" xr:uid="{B98D090B-843B-49A5-8A57-32E2F28EEDCB}"/>
    <cellStyle name="Millares 17 3 4" xfId="528" xr:uid="{00000000-0005-0000-0000-00000F020000}"/>
    <cellStyle name="Millares 17 3 4 2" xfId="1763" xr:uid="{DBE32BE1-BA52-4608-9E18-75F9DC011D5D}"/>
    <cellStyle name="Millares 17 3 4 2 2" xfId="3049" xr:uid="{1606EFC0-B4E1-4F7F-BCDF-FD7785A1967C}"/>
    <cellStyle name="Millares 17 3 4 3" xfId="2536" xr:uid="{AB563278-1841-4BAC-B60B-D2B68A8A101D}"/>
    <cellStyle name="Millares 17 3 5" xfId="1758" xr:uid="{3FD7619F-4804-4E86-A08A-7A64FC2119EE}"/>
    <cellStyle name="Millares 17 3 5 2" xfId="3044" xr:uid="{DF0B423F-D7A0-45EC-BDC6-7C2AF51A9D36}"/>
    <cellStyle name="Millares 17 3 6" xfId="2185" xr:uid="{AAAE52C1-2BB9-41D6-85ED-DBF28296DCF6}"/>
    <cellStyle name="Millares 17 3 6 2" xfId="3382" xr:uid="{4591C7AE-A1D8-4238-9AEE-34078EE976AC}"/>
    <cellStyle name="Millares 17 3 7" xfId="2531" xr:uid="{909E2C59-B855-491E-9846-28B57A60FB08}"/>
    <cellStyle name="Millares 17 3 8" xfId="3548" xr:uid="{E725436F-AD9C-4F94-9D5D-83DD38602196}"/>
    <cellStyle name="Millares 17 4" xfId="529" xr:uid="{00000000-0005-0000-0000-000010020000}"/>
    <cellStyle name="Millares 17 4 2" xfId="1764" xr:uid="{FF562D40-FED7-479A-B132-C9CC1A8E6C47}"/>
    <cellStyle name="Millares 17 4 2 2" xfId="3050" xr:uid="{1D41F357-5645-44E4-9582-DC8160B0A525}"/>
    <cellStyle name="Millares 17 4 3" xfId="2537" xr:uid="{F9AF9621-686F-4814-B239-725C66624665}"/>
    <cellStyle name="Millares 17 5" xfId="1749" xr:uid="{8CF27462-0881-43E1-B89D-47B22D86B53D}"/>
    <cellStyle name="Millares 17 5 2" xfId="3035" xr:uid="{41DDC6DC-9261-4BCD-BFEE-75D17C7E7ECB}"/>
    <cellStyle name="Millares 17 6" xfId="2522" xr:uid="{2E92D039-AD8C-4DD2-9999-AAAF9877A27E}"/>
    <cellStyle name="Millares 17 7" xfId="3839" xr:uid="{0817F7D8-8583-40BC-8EB3-7C97A7E0BF99}"/>
    <cellStyle name="Millares 18" xfId="530" xr:uid="{00000000-0005-0000-0000-000011020000}"/>
    <cellStyle name="Millares 18 2" xfId="531" xr:uid="{00000000-0005-0000-0000-000012020000}"/>
    <cellStyle name="Millares 18 2 2" xfId="532" xr:uid="{00000000-0005-0000-0000-000013020000}"/>
    <cellStyle name="Millares 18 2 2 2" xfId="533" xr:uid="{00000000-0005-0000-0000-000014020000}"/>
    <cellStyle name="Millares 18 2 2 2 2" xfId="534" xr:uid="{00000000-0005-0000-0000-000015020000}"/>
    <cellStyle name="Millares 18 2 2 2 2 2" xfId="1769" xr:uid="{D796A02C-E309-456F-9547-C2E1DB8130F1}"/>
    <cellStyle name="Millares 18 2 2 2 2 2 2" xfId="3055" xr:uid="{197BAD5B-D358-440F-ABFF-6426BAC1A336}"/>
    <cellStyle name="Millares 18 2 2 2 2 3" xfId="2542" xr:uid="{3431CD5D-A894-44C2-8854-3A9AAE7376F5}"/>
    <cellStyle name="Millares 18 2 2 2 3" xfId="1768" xr:uid="{386F61ED-2D1C-4A23-9817-BC7AE2AB942E}"/>
    <cellStyle name="Millares 18 2 2 2 3 2" xfId="3054" xr:uid="{DF70130C-CE46-4A03-ABC6-26066F978EAF}"/>
    <cellStyle name="Millares 18 2 2 2 4" xfId="2541" xr:uid="{5B65D9C7-9696-420D-BD1B-E923C52A1ABE}"/>
    <cellStyle name="Millares 18 2 2 3" xfId="535" xr:uid="{00000000-0005-0000-0000-000016020000}"/>
    <cellStyle name="Millares 18 2 2 3 2" xfId="536" xr:uid="{00000000-0005-0000-0000-000017020000}"/>
    <cellStyle name="Millares 18 2 2 3 2 2" xfId="1771" xr:uid="{43ECDEFD-E78C-4DCF-909D-D8E136380677}"/>
    <cellStyle name="Millares 18 2 2 3 2 2 2" xfId="3057" xr:uid="{D62C7DEE-DBE4-44C6-907B-BF63BDF60418}"/>
    <cellStyle name="Millares 18 2 2 3 2 3" xfId="2544" xr:uid="{8F9C7F14-00AD-492E-BBC1-5DA92190C5AF}"/>
    <cellStyle name="Millares 18 2 2 3 3" xfId="1770" xr:uid="{046E8BAE-CE24-44C6-B1CA-1124AC1C4F5B}"/>
    <cellStyle name="Millares 18 2 2 3 3 2" xfId="3056" xr:uid="{57E1EA6E-7DFF-4FCE-970B-FE3C793344B9}"/>
    <cellStyle name="Millares 18 2 2 3 4" xfId="2543" xr:uid="{7C7202C9-5662-4718-8D2E-67BB669CA35C}"/>
    <cellStyle name="Millares 18 2 2 4" xfId="537" xr:uid="{00000000-0005-0000-0000-000018020000}"/>
    <cellStyle name="Millares 18 2 2 4 2" xfId="1772" xr:uid="{66C6C12C-31CF-4244-9813-CECDBBA3834A}"/>
    <cellStyle name="Millares 18 2 2 4 2 2" xfId="3058" xr:uid="{05F4FFB3-F3A3-45DD-AFAC-C67734392C39}"/>
    <cellStyle name="Millares 18 2 2 4 3" xfId="2545" xr:uid="{2A95652C-7306-4841-8D1D-D89CE935FE52}"/>
    <cellStyle name="Millares 18 2 2 5" xfId="1767" xr:uid="{5C4FF627-D9C9-49AE-AFC3-1FEDBC3A77B4}"/>
    <cellStyle name="Millares 18 2 2 5 2" xfId="3053" xr:uid="{43FCDD4C-912A-495D-BBEB-FF9AAD2DEA29}"/>
    <cellStyle name="Millares 18 2 2 6" xfId="2188" xr:uid="{6BE8B931-D12F-485D-BC04-8FEC15B81D83}"/>
    <cellStyle name="Millares 18 2 2 6 2" xfId="3385" xr:uid="{122C6FA1-3948-431F-92C0-B002FDF0407D}"/>
    <cellStyle name="Millares 18 2 2 7" xfId="2540" xr:uid="{6AC2472F-8802-46F4-A080-14F9B74DC759}"/>
    <cellStyle name="Millares 18 2 2 8" xfId="3551" xr:uid="{795CBC81-E122-498F-89EA-3482DD532220}"/>
    <cellStyle name="Millares 18 2 3" xfId="538" xr:uid="{00000000-0005-0000-0000-000019020000}"/>
    <cellStyle name="Millares 18 2 3 2" xfId="1773" xr:uid="{341441C4-1217-4513-BACA-D135B2C6AA2A}"/>
    <cellStyle name="Millares 18 2 3 2 2" xfId="3059" xr:uid="{D206DEE2-1BDD-474C-BBE8-887564AB43D1}"/>
    <cellStyle name="Millares 18 2 3 3" xfId="2546" xr:uid="{F9FBA295-BD49-46E2-983F-A5A438025976}"/>
    <cellStyle name="Millares 18 2 4" xfId="1766" xr:uid="{A0A1F88C-D039-4301-BDB4-905FAB9299B4}"/>
    <cellStyle name="Millares 18 2 4 2" xfId="3052" xr:uid="{9110DD76-CC67-4AF2-B50A-3422AF07919F}"/>
    <cellStyle name="Millares 18 2 5" xfId="2539" xr:uid="{B6BEE2C2-EEBD-491D-B08F-75B4EAF5A7B2}"/>
    <cellStyle name="Millares 18 2 6" xfId="3842" xr:uid="{C4C9E9EE-14A5-4BA0-B1E8-2B8EF012F2EB}"/>
    <cellStyle name="Millares 18 3" xfId="539" xr:uid="{00000000-0005-0000-0000-00001A020000}"/>
    <cellStyle name="Millares 18 3 2" xfId="540" xr:uid="{00000000-0005-0000-0000-00001B020000}"/>
    <cellStyle name="Millares 18 3 2 2" xfId="541" xr:uid="{00000000-0005-0000-0000-00001C020000}"/>
    <cellStyle name="Millares 18 3 2 2 2" xfId="1776" xr:uid="{EA97A3DB-87B3-4C00-B697-2D11A6AA3B91}"/>
    <cellStyle name="Millares 18 3 2 2 2 2" xfId="3062" xr:uid="{B3D2209D-6FC7-459A-BC42-9202A30DA0FC}"/>
    <cellStyle name="Millares 18 3 2 2 3" xfId="2549" xr:uid="{5EBB0F53-7231-4981-8CFE-6E78ED5A7C64}"/>
    <cellStyle name="Millares 18 3 2 3" xfId="1775" xr:uid="{A8A17A00-EC5B-42F3-810B-CA1A9BCC3261}"/>
    <cellStyle name="Millares 18 3 2 3 2" xfId="3061" xr:uid="{F91F64FA-A96A-4D70-8076-37FA2D45D993}"/>
    <cellStyle name="Millares 18 3 2 4" xfId="2548" xr:uid="{33CB0CCD-7314-423B-8900-76BE55374F35}"/>
    <cellStyle name="Millares 18 3 3" xfId="542" xr:uid="{00000000-0005-0000-0000-00001D020000}"/>
    <cellStyle name="Millares 18 3 3 2" xfId="543" xr:uid="{00000000-0005-0000-0000-00001E020000}"/>
    <cellStyle name="Millares 18 3 3 2 2" xfId="1778" xr:uid="{70007AA0-6F93-496E-9503-6A7E447CADD2}"/>
    <cellStyle name="Millares 18 3 3 2 2 2" xfId="3064" xr:uid="{50BB8C7B-C005-45CA-BFCA-F3FE011E7A77}"/>
    <cellStyle name="Millares 18 3 3 2 3" xfId="2551" xr:uid="{7FC83321-597E-4677-B602-67080D140E55}"/>
    <cellStyle name="Millares 18 3 3 3" xfId="1777" xr:uid="{A81C11A5-37DB-4947-B6A5-E58DC5322D38}"/>
    <cellStyle name="Millares 18 3 3 3 2" xfId="3063" xr:uid="{83974884-3E26-4B94-87A2-BA1973C9EC9F}"/>
    <cellStyle name="Millares 18 3 3 4" xfId="2550" xr:uid="{86833642-2622-4AB6-BB5E-D5161C67A6DD}"/>
    <cellStyle name="Millares 18 3 4" xfId="544" xr:uid="{00000000-0005-0000-0000-00001F020000}"/>
    <cellStyle name="Millares 18 3 4 2" xfId="1779" xr:uid="{3DB1AF8F-4B61-47F3-B99E-154676A0AA9C}"/>
    <cellStyle name="Millares 18 3 4 2 2" xfId="3065" xr:uid="{D57ED8C2-C28F-4D6B-9EE5-92A84D17B530}"/>
    <cellStyle name="Millares 18 3 4 3" xfId="2552" xr:uid="{1AB88E91-9EA7-4F0F-85D7-8105265A9DC2}"/>
    <cellStyle name="Millares 18 3 5" xfId="1774" xr:uid="{681AC8F6-9EB5-45BC-8C1F-F04EABE2E14C}"/>
    <cellStyle name="Millares 18 3 5 2" xfId="3060" xr:uid="{B4F2E17A-E670-4BF9-86E4-2E022A187429}"/>
    <cellStyle name="Millares 18 3 6" xfId="2187" xr:uid="{3031EB1F-9148-437E-B39D-04D1C621D803}"/>
    <cellStyle name="Millares 18 3 6 2" xfId="3384" xr:uid="{3A95E969-5AC5-4AF1-AD17-A14DE870F0FB}"/>
    <cellStyle name="Millares 18 3 7" xfId="2547" xr:uid="{87B1FA47-37CF-4D4C-A8B2-885ADA1E35FB}"/>
    <cellStyle name="Millares 18 3 8" xfId="3550" xr:uid="{D6C1D89A-6B0D-4C40-97CA-6CFF87F1D354}"/>
    <cellStyle name="Millares 18 4" xfId="545" xr:uid="{00000000-0005-0000-0000-000020020000}"/>
    <cellStyle name="Millares 18 4 2" xfId="1780" xr:uid="{8BFE131C-C5DE-42F0-AE86-5F636CE7903E}"/>
    <cellStyle name="Millares 18 4 2 2" xfId="3066" xr:uid="{AFF49B0E-CEF1-41A8-9D96-CE67EDAEB4B5}"/>
    <cellStyle name="Millares 18 4 3" xfId="2553" xr:uid="{7A5DC3F7-3764-4410-825C-2EF1CC2B4628}"/>
    <cellStyle name="Millares 18 5" xfId="1765" xr:uid="{48A761C2-92FF-4495-BAD3-0B0DBE8BC9B9}"/>
    <cellStyle name="Millares 18 5 2" xfId="3051" xr:uid="{49F5D8A5-94E5-4C6E-9EDC-0D1CE5B30FFF}"/>
    <cellStyle name="Millares 18 6" xfId="2538" xr:uid="{41D6E6FB-7322-4D6A-B26F-DC1788A91DA2}"/>
    <cellStyle name="Millares 18 7" xfId="3841" xr:uid="{8C645B29-989F-445D-A3CC-3E9306AAF741}"/>
    <cellStyle name="Millares 19" xfId="546" xr:uid="{00000000-0005-0000-0000-000021020000}"/>
    <cellStyle name="Millares 19 2" xfId="1781" xr:uid="{7F14B738-4266-4990-93C2-F29FE42945F6}"/>
    <cellStyle name="Millares 2" xfId="547" xr:uid="{00000000-0005-0000-0000-000022020000}"/>
    <cellStyle name="Millares 2 10" xfId="2554" xr:uid="{3633B53E-2285-4CC9-8ACA-662DBC0EE83C}"/>
    <cellStyle name="Millares 2 2" xfId="548" xr:uid="{00000000-0005-0000-0000-000023020000}"/>
    <cellStyle name="Millares 2 2 2" xfId="549" xr:uid="{00000000-0005-0000-0000-000024020000}"/>
    <cellStyle name="Millares 2 2 2 2" xfId="550" xr:uid="{00000000-0005-0000-0000-000025020000}"/>
    <cellStyle name="Millares 2 2 2 2 2" xfId="551" xr:uid="{00000000-0005-0000-0000-000026020000}"/>
    <cellStyle name="Millares 2 2 2 2 3" xfId="1782" xr:uid="{87DA615C-306D-4705-8D52-C45412714FE5}"/>
    <cellStyle name="Millares 2 2 2 3" xfId="3697" xr:uid="{0BF716DA-B928-4DC6-AD28-BCFA67040F95}"/>
    <cellStyle name="Millares 2 2 2 4" xfId="3843" xr:uid="{F735EEB3-73D9-4E29-8CFC-0E4D461ADB31}"/>
    <cellStyle name="Millares 2 2 3" xfId="552" xr:uid="{00000000-0005-0000-0000-000027020000}"/>
    <cellStyle name="Millares 2 2 3 2" xfId="553" xr:uid="{00000000-0005-0000-0000-000028020000}"/>
    <cellStyle name="Millares 2 2 3 2 2" xfId="554" xr:uid="{00000000-0005-0000-0000-000029020000}"/>
    <cellStyle name="Millares 2 2 3 2 2 2" xfId="1784" xr:uid="{8CA47107-7098-413B-A075-AF2CDE52A323}"/>
    <cellStyle name="Millares 2 2 3 2 2 2 2" xfId="3068" xr:uid="{CA0030E4-49F8-40CE-A6BA-C7A581F11A50}"/>
    <cellStyle name="Millares 2 2 3 2 2 3" xfId="2557" xr:uid="{5B15881E-C7C7-42E4-8648-699A55A617D6}"/>
    <cellStyle name="Millares 2 2 3 2 3" xfId="1783" xr:uid="{138E8844-A140-4190-9474-63B656E7EEA8}"/>
    <cellStyle name="Millares 2 2 3 2 3 2" xfId="3067" xr:uid="{F5D24842-D33D-4971-9B5A-FDA40577BFB8}"/>
    <cellStyle name="Millares 2 2 3 2 4" xfId="2556" xr:uid="{3EC9012A-311C-4D93-9261-F626D9473F74}"/>
    <cellStyle name="Millares 2 2 3 3" xfId="555" xr:uid="{00000000-0005-0000-0000-00002A020000}"/>
    <cellStyle name="Millares 2 2 3 3 2" xfId="556" xr:uid="{00000000-0005-0000-0000-00002B020000}"/>
    <cellStyle name="Millares 2 2 3 3 2 2" xfId="1786" xr:uid="{6FCF2335-D6E0-402D-859C-6BE50F1663D9}"/>
    <cellStyle name="Millares 2 2 3 3 2 2 2" xfId="3070" xr:uid="{FE87342D-9291-4826-9C18-DD7C8D5D951D}"/>
    <cellStyle name="Millares 2 2 3 3 2 3" xfId="2559" xr:uid="{FC839AC6-20FE-4667-8E5B-7B595D50F2A8}"/>
    <cellStyle name="Millares 2 2 3 3 3" xfId="1785" xr:uid="{A1DA2863-AB6F-43CD-9355-EC190F88FA74}"/>
    <cellStyle name="Millares 2 2 3 3 3 2" xfId="3069" xr:uid="{7DE28754-1E50-4FC0-B4D2-4D7E3DE5F71E}"/>
    <cellStyle name="Millares 2 2 3 3 4" xfId="2558" xr:uid="{F176E121-B630-4F9F-90DB-10AFE1D74521}"/>
    <cellStyle name="Millares 2 2 3 4" xfId="557" xr:uid="{00000000-0005-0000-0000-00002C020000}"/>
    <cellStyle name="Millares 2 2 3 4 2" xfId="1787" xr:uid="{71C49756-2270-4DF9-BE3C-0B364EE047EC}"/>
    <cellStyle name="Millares 2 2 3 4 2 2" xfId="3071" xr:uid="{4CB7A626-DCC3-4FA0-90F1-D91F746B164A}"/>
    <cellStyle name="Millares 2 2 3 4 3" xfId="2560" xr:uid="{5B3C845C-4039-439B-8C42-1D5F801FCC8A}"/>
    <cellStyle name="Millares 2 2 3 5" xfId="2139" xr:uid="{D27D91FA-66DB-4BA4-AC9F-C0AA95DE82BE}"/>
    <cellStyle name="Millares 2 2 3 5 2" xfId="3343" xr:uid="{D13A342F-D7CA-485B-8E7B-F96961742BEC}"/>
    <cellStyle name="Millares 2 2 3 6" xfId="2555" xr:uid="{F61DFDA6-1359-4D88-A538-684E52C1C771}"/>
    <cellStyle name="Millares 2 2 3 7" xfId="3512" xr:uid="{B16D5A1F-0F3C-4ADA-BA54-0F122B8E39A3}"/>
    <cellStyle name="Millares 2 2 4" xfId="558" xr:uid="{00000000-0005-0000-0000-00002D020000}"/>
    <cellStyle name="Millares 2 2 5" xfId="3696" xr:uid="{F0C4B55C-C08E-46E6-825D-CF5467CDDE6E}"/>
    <cellStyle name="Millares 2 3" xfId="559" xr:uid="{00000000-0005-0000-0000-00002E020000}"/>
    <cellStyle name="Millares 2 3 2" xfId="560" xr:uid="{00000000-0005-0000-0000-00002F020000}"/>
    <cellStyle name="Millares 2 3 3" xfId="3698" xr:uid="{19063C7D-5560-409C-AAB4-B44B7615E51B}"/>
    <cellStyle name="Millares 2 4" xfId="561" xr:uid="{00000000-0005-0000-0000-000030020000}"/>
    <cellStyle name="Millares 2 4 2" xfId="562" xr:uid="{00000000-0005-0000-0000-000031020000}"/>
    <cellStyle name="Millares 2 4 3" xfId="3754" xr:uid="{B205839A-0832-4583-B068-A8EE2A0CEF11}"/>
    <cellStyle name="Millares 2 5" xfId="563" xr:uid="{00000000-0005-0000-0000-000032020000}"/>
    <cellStyle name="Millares 2 5 2" xfId="564" xr:uid="{00000000-0005-0000-0000-000033020000}"/>
    <cellStyle name="Millares 2 6" xfId="565" xr:uid="{00000000-0005-0000-0000-000034020000}"/>
    <cellStyle name="Millares 2 6 2" xfId="566" xr:uid="{00000000-0005-0000-0000-000035020000}"/>
    <cellStyle name="Millares 2 6 2 2" xfId="567" xr:uid="{00000000-0005-0000-0000-000036020000}"/>
    <cellStyle name="Millares 2 6 2 2 2" xfId="1789" xr:uid="{712918D9-3155-4B62-B0C1-4EC48E669E13}"/>
    <cellStyle name="Millares 2 6 2 2 2 2" xfId="3073" xr:uid="{F4F657AF-6723-4ABB-9D4B-00FE7734BADF}"/>
    <cellStyle name="Millares 2 6 2 2 3" xfId="2563" xr:uid="{944B7CE9-D69F-456A-87DF-37B3B26C6BF6}"/>
    <cellStyle name="Millares 2 6 2 3" xfId="1788" xr:uid="{7DB29744-7B05-49D6-BE2D-3C159EDA3A37}"/>
    <cellStyle name="Millares 2 6 2 3 2" xfId="3072" xr:uid="{5CA242B9-530E-4A05-91C6-883590056B75}"/>
    <cellStyle name="Millares 2 6 2 4" xfId="2562" xr:uid="{A325C61F-09DB-49F5-8766-F859EB2E5C77}"/>
    <cellStyle name="Millares 2 6 3" xfId="568" xr:uid="{00000000-0005-0000-0000-000037020000}"/>
    <cellStyle name="Millares 2 6 3 2" xfId="569" xr:uid="{00000000-0005-0000-0000-000038020000}"/>
    <cellStyle name="Millares 2 6 3 2 2" xfId="1791" xr:uid="{CA1DE196-8991-454B-96CE-20491430EFBE}"/>
    <cellStyle name="Millares 2 6 3 2 2 2" xfId="3075" xr:uid="{E1674443-2989-48AA-9ABC-91CF1B85791A}"/>
    <cellStyle name="Millares 2 6 3 2 3" xfId="2565" xr:uid="{A5257DE2-1269-41C5-A1BA-FCCCBC57312E}"/>
    <cellStyle name="Millares 2 6 3 3" xfId="1790" xr:uid="{0A893E18-BB62-4132-8E4F-E4453CD23050}"/>
    <cellStyle name="Millares 2 6 3 3 2" xfId="3074" xr:uid="{A3832007-80B3-4806-9245-8412E8CDF62A}"/>
    <cellStyle name="Millares 2 6 3 4" xfId="2564" xr:uid="{956D62A7-07CC-41BA-B432-DA5488DE3D1C}"/>
    <cellStyle name="Millares 2 6 4" xfId="570" xr:uid="{00000000-0005-0000-0000-000039020000}"/>
    <cellStyle name="Millares 2 6 4 2" xfId="1792" xr:uid="{60E63F82-CA87-4A30-ADC2-A95599B5564D}"/>
    <cellStyle name="Millares 2 6 4 2 2" xfId="3076" xr:uid="{92AEBC87-0658-4439-A836-DF3F6109D05E}"/>
    <cellStyle name="Millares 2 6 4 3" xfId="2566" xr:uid="{FFB0C6C5-59DE-421E-92D1-75E0701F49FA}"/>
    <cellStyle name="Millares 2 6 5" xfId="2189" xr:uid="{86DEDF65-2002-4C81-B6B8-4F8E7A5BE3EF}"/>
    <cellStyle name="Millares 2 6 5 2" xfId="3386" xr:uid="{BE094E64-EAEC-4379-BE5F-2EF839EBE2C9}"/>
    <cellStyle name="Millares 2 6 6" xfId="2561" xr:uid="{ACD917E1-86AC-46EB-9D4F-3583A6692473}"/>
    <cellStyle name="Millares 2 6 7" xfId="3552" xr:uid="{E44567EB-73CC-43FD-9A5D-F11AE0BA4885}"/>
    <cellStyle name="Millares 2 7" xfId="571" xr:uid="{00000000-0005-0000-0000-00003A020000}"/>
    <cellStyle name="Millares 2 7 2" xfId="572" xr:uid="{00000000-0005-0000-0000-00003B020000}"/>
    <cellStyle name="Millares 2 7 2 2" xfId="573" xr:uid="{00000000-0005-0000-0000-00003C020000}"/>
    <cellStyle name="Millares 2 7 2 2 2" xfId="1794" xr:uid="{A7525792-6821-4A96-8687-53A80EE614F3}"/>
    <cellStyle name="Millares 2 7 2 2 2 2" xfId="3078" xr:uid="{4788874C-3A38-4565-8230-73D827F55140}"/>
    <cellStyle name="Millares 2 7 2 2 3" xfId="2568" xr:uid="{004EFDB9-AD05-4862-89E0-F49783CFC6D5}"/>
    <cellStyle name="Millares 2 7 2 3" xfId="1793" xr:uid="{A4DCA3A4-F2BF-48F9-A348-E1702C049442}"/>
    <cellStyle name="Millares 2 7 2 3 2" xfId="3077" xr:uid="{683BACBC-BF9E-4DA9-871E-6767C4D96652}"/>
    <cellStyle name="Millares 2 7 2 4" xfId="2567" xr:uid="{AF403E91-CE62-45CD-98F4-55F54EB9D870}"/>
    <cellStyle name="Millares 2 7 3" xfId="2296" xr:uid="{B1442053-3C19-474F-A0E7-2E79E4067269}"/>
    <cellStyle name="Millares 2 7 3 2" xfId="3490" xr:uid="{84B3F7CB-9C43-40A3-BF42-88808741F6CD}"/>
    <cellStyle name="Millares 2 7 4" xfId="3657" xr:uid="{CE6406F2-790D-42C0-8575-245890C9EC1A}"/>
    <cellStyle name="Millares 2 8" xfId="574" xr:uid="{00000000-0005-0000-0000-00003D020000}"/>
    <cellStyle name="Millares 2 8 2" xfId="575" xr:uid="{00000000-0005-0000-0000-00003E020000}"/>
    <cellStyle name="Millares 2 8 2 2" xfId="576" xr:uid="{00000000-0005-0000-0000-00003F020000}"/>
    <cellStyle name="Millares 2 8 2 2 2" xfId="1797" xr:uid="{3A1A7927-D7DA-4D69-AAAB-DF96C244DD9C}"/>
    <cellStyle name="Millares 2 8 2 2 2 2" xfId="3081" xr:uid="{3F7721C1-E00B-4F99-B1BB-E3F576FE38F6}"/>
    <cellStyle name="Millares 2 8 2 2 3" xfId="2571" xr:uid="{F33F55E4-9F3D-43FB-A6AE-CF4E640A58C6}"/>
    <cellStyle name="Millares 2 8 2 3" xfId="1796" xr:uid="{6EDC3901-E8B7-4F24-A3CC-BF73CA680DE3}"/>
    <cellStyle name="Millares 2 8 2 3 2" xfId="3080" xr:uid="{B6ED8E47-0853-4431-83B5-D6E74CD1322D}"/>
    <cellStyle name="Millares 2 8 2 4" xfId="2570" xr:uid="{4F728269-8CF5-41C6-8416-03F9E2EC3AF6}"/>
    <cellStyle name="Millares 2 8 3" xfId="577" xr:uid="{00000000-0005-0000-0000-000040020000}"/>
    <cellStyle name="Millares 2 8 3 2" xfId="1798" xr:uid="{604D4FCD-5D08-42CF-A91E-69B90D9CB564}"/>
    <cellStyle name="Millares 2 8 3 2 2" xfId="3082" xr:uid="{B7893326-3397-4DEA-A904-64B661FFB5A2}"/>
    <cellStyle name="Millares 2 8 3 3" xfId="2572" xr:uid="{2CC203EF-6DA4-4452-8FDD-37B426A9311E}"/>
    <cellStyle name="Millares 2 8 4" xfId="1795" xr:uid="{6008812F-9C25-4AD2-A729-EE54181B69A5}"/>
    <cellStyle name="Millares 2 8 4 2" xfId="3079" xr:uid="{95E3FCC2-6754-4009-89D7-D8367F76A512}"/>
    <cellStyle name="Millares 2 8 5" xfId="2569" xr:uid="{5462D43B-ACC9-4C78-AB8B-0E05FABAB9F6}"/>
    <cellStyle name="Millares 2 9" xfId="578" xr:uid="{00000000-0005-0000-0000-000041020000}"/>
    <cellStyle name="Millares 2 9 2" xfId="1799" xr:uid="{EC454941-084E-4F70-AF4E-679B37D61E71}"/>
    <cellStyle name="Millares 2 9 2 2" xfId="3083" xr:uid="{09C0650B-15D0-494C-A925-2CA598A9613B}"/>
    <cellStyle name="Millares 2 9 3" xfId="2573" xr:uid="{C4C9A2C0-5AF2-4702-984D-8A78C73E5807}"/>
    <cellStyle name="Millares 20" xfId="579" xr:uid="{00000000-0005-0000-0000-000042020000}"/>
    <cellStyle name="Millares 20 2" xfId="1800" xr:uid="{F20334F0-592A-41DD-8F2A-E86C15EEF0AD}"/>
    <cellStyle name="Millares 21" xfId="580" xr:uid="{00000000-0005-0000-0000-000043020000}"/>
    <cellStyle name="Millares 21 2" xfId="581" xr:uid="{00000000-0005-0000-0000-000044020000}"/>
    <cellStyle name="Millares 21 2 2" xfId="1802" xr:uid="{A7B29FA9-CD6C-4E60-A6BA-C5B1F274507D}"/>
    <cellStyle name="Millares 21 3" xfId="1801" xr:uid="{6F379BF2-864D-4ED7-B188-B78F003C047F}"/>
    <cellStyle name="Millares 22" xfId="582" xr:uid="{00000000-0005-0000-0000-000045020000}"/>
    <cellStyle name="Millares 22 2" xfId="583" xr:uid="{00000000-0005-0000-0000-000046020000}"/>
    <cellStyle name="Millares 22 2 2" xfId="1804" xr:uid="{352C2DF2-1170-41DC-8975-39BDAF829300}"/>
    <cellStyle name="Millares 22 3" xfId="1803" xr:uid="{AF2CCB72-18F6-4482-B64E-2229626B0BE5}"/>
    <cellStyle name="Millares 23" xfId="2129" xr:uid="{AE28E3D4-79EA-4246-8EC6-97F596487A36}"/>
    <cellStyle name="Millares 23 10" xfId="3844" xr:uid="{3FF7DF2C-8320-4E3C-B83F-E834B3F5F4AC}"/>
    <cellStyle name="Millares 23 2" xfId="584" xr:uid="{00000000-0005-0000-0000-000047020000}"/>
    <cellStyle name="Millares 23 2 2" xfId="585" xr:uid="{00000000-0005-0000-0000-000048020000}"/>
    <cellStyle name="Millares 23 2 2 2" xfId="586" xr:uid="{00000000-0005-0000-0000-000049020000}"/>
    <cellStyle name="Millares 23 2 2 2 2" xfId="587" xr:uid="{00000000-0005-0000-0000-00004A020000}"/>
    <cellStyle name="Millares 23 2 2 2 2 2" xfId="1807" xr:uid="{7FC6BBF8-AB2D-46E0-93C2-4C5A6FD68712}"/>
    <cellStyle name="Millares 23 2 2 2 2 2 2" xfId="3086" xr:uid="{95ECCA92-7B80-49BA-8F43-584AB2D580B4}"/>
    <cellStyle name="Millares 23 2 2 2 2 3" xfId="2577" xr:uid="{7E867957-744C-4076-8C16-B9552002059A}"/>
    <cellStyle name="Millares 23 2 2 2 3" xfId="1806" xr:uid="{5F1FD165-023A-4017-995C-2807EB570A40}"/>
    <cellStyle name="Millares 23 2 2 2 3 2" xfId="3085" xr:uid="{37AF5A15-F84B-4C97-95C6-4D4F4C0BD6D8}"/>
    <cellStyle name="Millares 23 2 2 2 4" xfId="2576" xr:uid="{3CB4D1CD-4892-4123-8185-EA2946F3DBCF}"/>
    <cellStyle name="Millares 23 2 2 3" xfId="588" xr:uid="{00000000-0005-0000-0000-00004B020000}"/>
    <cellStyle name="Millares 23 2 2 3 2" xfId="589" xr:uid="{00000000-0005-0000-0000-00004C020000}"/>
    <cellStyle name="Millares 23 2 2 3 2 2" xfId="1809" xr:uid="{9248FD0F-91B1-4C68-949F-717E40DBC8E8}"/>
    <cellStyle name="Millares 23 2 2 3 2 2 2" xfId="3088" xr:uid="{AD1954ED-BFAB-4A73-BC3C-47A668A25254}"/>
    <cellStyle name="Millares 23 2 2 3 2 3" xfId="2579" xr:uid="{D23F0D85-FAA8-461F-9E12-F28CF37EB10B}"/>
    <cellStyle name="Millares 23 2 2 3 3" xfId="1808" xr:uid="{5F1B02AE-D010-477B-9167-C81F4FA2BE4C}"/>
    <cellStyle name="Millares 23 2 2 3 3 2" xfId="3087" xr:uid="{04BB8971-FDC2-41A7-B3E9-6BB6141F02EE}"/>
    <cellStyle name="Millares 23 2 2 3 4" xfId="2578" xr:uid="{92E9D1E7-65AD-4ED0-9EB9-6F22FA8D4127}"/>
    <cellStyle name="Millares 23 2 2 4" xfId="590" xr:uid="{00000000-0005-0000-0000-00004D020000}"/>
    <cellStyle name="Millares 23 2 2 4 2" xfId="1810" xr:uid="{C7B5A84E-B898-4ABE-BEB5-9DC263D89E7B}"/>
    <cellStyle name="Millares 23 2 2 4 2 2" xfId="3089" xr:uid="{F9EF5129-0E47-4C2C-9229-466A26FFA2F9}"/>
    <cellStyle name="Millares 23 2 2 4 3" xfId="2580" xr:uid="{C67FDB99-EFB7-44A8-845C-D71678053A30}"/>
    <cellStyle name="Millares 23 2 2 5" xfId="1805" xr:uid="{FA5AE531-0624-4393-A690-542581A72293}"/>
    <cellStyle name="Millares 23 2 2 5 2" xfId="3084" xr:uid="{8E2D68DE-25FB-458D-9137-5ACD0DF5D21A}"/>
    <cellStyle name="Millares 23 2 2 6" xfId="2190" xr:uid="{E2EF6AA7-324A-4106-9165-5B10DC8965DD}"/>
    <cellStyle name="Millares 23 2 2 6 2" xfId="3387" xr:uid="{5D0ACE66-BD29-4047-8471-C19BD1177FB3}"/>
    <cellStyle name="Millares 23 2 2 7" xfId="2575" xr:uid="{FB8283E3-3AF3-456F-9690-13B08B9FEBC3}"/>
    <cellStyle name="Millares 23 2 2 8" xfId="3553" xr:uid="{5A1D1D6C-D912-4C8C-AF50-99E43573CF27}"/>
    <cellStyle name="Millares 23 2 3" xfId="591" xr:uid="{00000000-0005-0000-0000-00004E020000}"/>
    <cellStyle name="Millares 23 2 3 2" xfId="1811" xr:uid="{51B918E1-45F0-4D89-A089-7D9CB293E68F}"/>
    <cellStyle name="Millares 23 2 3 2 2" xfId="3090" xr:uid="{19B24F36-7DA3-446A-B9CB-7A8F3C2002E1}"/>
    <cellStyle name="Millares 23 2 3 3" xfId="2581" xr:uid="{038C84F2-315A-4E68-834E-8046D2D6BF2E}"/>
    <cellStyle name="Millares 23 2 4" xfId="2574" xr:uid="{1C5DE542-FE45-4849-9A6B-858A99C1F4D2}"/>
    <cellStyle name="Millares 23 3" xfId="592" xr:uid="{00000000-0005-0000-0000-00004F020000}"/>
    <cellStyle name="Millares 23 3 2" xfId="1812" xr:uid="{54026957-A3F4-4C56-A59B-8BB726906345}"/>
    <cellStyle name="Millares 23 4" xfId="593" xr:uid="{00000000-0005-0000-0000-000050020000}"/>
    <cellStyle name="Millares 23 4 2" xfId="594" xr:uid="{00000000-0005-0000-0000-000051020000}"/>
    <cellStyle name="Millares 23 4 2 2" xfId="1814" xr:uid="{465017D8-AED7-41D7-BDA3-2954F4932D6E}"/>
    <cellStyle name="Millares 23 4 3" xfId="1813" xr:uid="{E3581D1D-F8F9-4DC5-8767-2E9368E64B2F}"/>
    <cellStyle name="Millares 23 5" xfId="595" xr:uid="{00000000-0005-0000-0000-000052020000}"/>
    <cellStyle name="Millares 23 6" xfId="596" xr:uid="{00000000-0005-0000-0000-000053020000}"/>
    <cellStyle name="Millares 23 6 2" xfId="1815" xr:uid="{7A37C9C7-3763-4B13-931E-4412E759ACE6}"/>
    <cellStyle name="Millares 23 7" xfId="3336" xr:uid="{4F40B6CF-0FFC-41D2-B59B-DA42DB10E651}"/>
    <cellStyle name="Millares 23 8" xfId="3699" xr:uid="{F75BADDD-115A-490E-992E-D2CA83317311}"/>
    <cellStyle name="Millares 23 9" xfId="3781" xr:uid="{4F059C91-D029-4490-B90C-091C48E3F096}"/>
    <cellStyle name="Millares 24" xfId="2140" xr:uid="{B161DA3B-52A8-406E-88EF-21734E88D5C4}"/>
    <cellStyle name="Millares 24 2" xfId="597" xr:uid="{00000000-0005-0000-0000-000054020000}"/>
    <cellStyle name="Millares 24 2 2" xfId="1816" xr:uid="{5FB96D11-188D-4B70-9F52-ABE6035DF570}"/>
    <cellStyle name="Millares 24 3" xfId="598" xr:uid="{00000000-0005-0000-0000-000055020000}"/>
    <cellStyle name="Millares 24 3 2" xfId="599" xr:uid="{00000000-0005-0000-0000-000056020000}"/>
    <cellStyle name="Millares 24 3 2 2" xfId="600" xr:uid="{00000000-0005-0000-0000-000057020000}"/>
    <cellStyle name="Millares 24 3 2 2 2" xfId="1818" xr:uid="{F17CE2A6-B25C-4E00-B3F9-293C6111580A}"/>
    <cellStyle name="Millares 24 3 2 2 2 2" xfId="3092" xr:uid="{3DDAB8C5-7566-4A95-AABA-80623FF60C6B}"/>
    <cellStyle name="Millares 24 3 2 2 3" xfId="2584" xr:uid="{86F7850F-27AB-4D43-8789-FAAC14990AA6}"/>
    <cellStyle name="Millares 24 3 2 3" xfId="1817" xr:uid="{39C49373-3F00-4FAD-A7F9-1C340A767800}"/>
    <cellStyle name="Millares 24 3 2 3 2" xfId="3091" xr:uid="{647E89EE-12AC-4DE7-8E11-125D3A1C70C6}"/>
    <cellStyle name="Millares 24 3 2 4" xfId="2583" xr:uid="{F1394D8F-ED86-4B32-922E-6E4DEC8C6541}"/>
    <cellStyle name="Millares 24 3 3" xfId="601" xr:uid="{00000000-0005-0000-0000-000058020000}"/>
    <cellStyle name="Millares 24 3 3 2" xfId="1819" xr:uid="{107FB3FE-CA03-4B29-94F4-616904FB283C}"/>
    <cellStyle name="Millares 24 3 3 2 2" xfId="3093" xr:uid="{DA1100F6-6A18-4B76-B0E3-7019C9E864F2}"/>
    <cellStyle name="Millares 24 3 3 3" xfId="2585" xr:uid="{7E3D0C71-36AB-441E-913E-093751A8912F}"/>
    <cellStyle name="Millares 24 3 4" xfId="2582" xr:uid="{F312E0FE-861A-41F1-A2A8-69E161DBE195}"/>
    <cellStyle name="Millares 24 4" xfId="3344" xr:uid="{A360D333-78AB-448B-B2EA-90795921AD3B}"/>
    <cellStyle name="Millares 24 5" xfId="3700" xr:uid="{E54F8A32-48A3-40C7-A73A-859BCCF1A5BA}"/>
    <cellStyle name="Millares 25" xfId="2141" xr:uid="{9305C917-E608-4BEA-9F4F-208C22E9893D}"/>
    <cellStyle name="Millares 25 2" xfId="602" xr:uid="{00000000-0005-0000-0000-000059020000}"/>
    <cellStyle name="Millares 25 2 2" xfId="1820" xr:uid="{EF217DD6-2257-4163-8488-0438C799B41A}"/>
    <cellStyle name="Millares 25 2 3" xfId="3702" xr:uid="{A7895002-2534-4EF2-906D-A872E4C45698}"/>
    <cellStyle name="Millares 25 3" xfId="603" xr:uid="{00000000-0005-0000-0000-00005A020000}"/>
    <cellStyle name="Millares 25 4" xfId="604" xr:uid="{00000000-0005-0000-0000-00005B020000}"/>
    <cellStyle name="Millares 25 5" xfId="3701" xr:uid="{761BFCDD-DAD9-44B6-A69E-738237C2B41C}"/>
    <cellStyle name="Millares 26" xfId="2142" xr:uid="{64A27678-89D2-414B-9FCE-4D97904643B6}"/>
    <cellStyle name="Millares 26 2" xfId="605" xr:uid="{00000000-0005-0000-0000-00005C020000}"/>
    <cellStyle name="Millares 26 2 2" xfId="606" xr:uid="{00000000-0005-0000-0000-00005D020000}"/>
    <cellStyle name="Millares 26 2 2 2" xfId="1821" xr:uid="{6813A550-4A3F-401E-99D9-CFFB470FB152}"/>
    <cellStyle name="Millares 26 2 3" xfId="607" xr:uid="{00000000-0005-0000-0000-00005E020000}"/>
    <cellStyle name="Millares 26 2 3 2" xfId="608" xr:uid="{00000000-0005-0000-0000-00005F020000}"/>
    <cellStyle name="Millares 26 2 3 2 2" xfId="1823" xr:uid="{50D8C2A7-E359-4256-9D89-FD289F690569}"/>
    <cellStyle name="Millares 26 2 3 2 2 2" xfId="3095" xr:uid="{06256F7C-2B2B-467B-9975-E80E8FC4C8B7}"/>
    <cellStyle name="Millares 26 2 3 2 3" xfId="2588" xr:uid="{AD3352F9-FAFA-4087-811F-65815B21AF57}"/>
    <cellStyle name="Millares 26 2 3 3" xfId="1822" xr:uid="{D67BA335-A1F3-4F14-B63A-304086F6B3DA}"/>
    <cellStyle name="Millares 26 2 3 3 2" xfId="3094" xr:uid="{FC61B80D-BFBB-47ED-8D4D-09BF3804315E}"/>
    <cellStyle name="Millares 26 2 3 4" xfId="2587" xr:uid="{24F2E36D-1FB4-4FDF-A171-E639BB0A3906}"/>
    <cellStyle name="Millares 26 2 4" xfId="609" xr:uid="{00000000-0005-0000-0000-000060020000}"/>
    <cellStyle name="Millares 26 2 4 2" xfId="1824" xr:uid="{CA541D20-6E67-4F16-BC12-92B7EE04E9E1}"/>
    <cellStyle name="Millares 26 2 4 2 2" xfId="3096" xr:uid="{42E8E85A-64DA-4D40-9381-44797E9D5009}"/>
    <cellStyle name="Millares 26 2 4 3" xfId="2589" xr:uid="{1003F3EF-CAA2-4944-B943-DA61C3EC22A9}"/>
    <cellStyle name="Millares 26 2 5" xfId="2586" xr:uid="{A03189DD-F247-4C06-9940-AA231FB93C3C}"/>
    <cellStyle name="Millares 26 3" xfId="610" xr:uid="{00000000-0005-0000-0000-000061020000}"/>
    <cellStyle name="Millares 26 3 2" xfId="1825" xr:uid="{E52E2441-447B-4F8F-A825-B08CAC2B624B}"/>
    <cellStyle name="Millares 26 4" xfId="3345" xr:uid="{CED4FD89-58E0-4D44-9AE1-A82237119113}"/>
    <cellStyle name="Millares 27" xfId="2143" xr:uid="{0E802EF2-7912-4E7B-A4E6-538BF063C81C}"/>
    <cellStyle name="Millares 27 2" xfId="611" xr:uid="{00000000-0005-0000-0000-000062020000}"/>
    <cellStyle name="Millares 27 2 2" xfId="612" xr:uid="{00000000-0005-0000-0000-000063020000}"/>
    <cellStyle name="Millares 27 2 2 2" xfId="613" xr:uid="{00000000-0005-0000-0000-000064020000}"/>
    <cellStyle name="Millares 27 2 2 2 2" xfId="1827" xr:uid="{D786C89C-69BE-4278-BD1A-C17A89591F9B}"/>
    <cellStyle name="Millares 27 2 2 2 2 2" xfId="3098" xr:uid="{1A2974CC-3638-4877-818A-595270774E33}"/>
    <cellStyle name="Millares 27 2 2 2 3" xfId="2592" xr:uid="{98A50750-8F2C-4D46-A734-788AA5851FFA}"/>
    <cellStyle name="Millares 27 2 2 3" xfId="1826" xr:uid="{5C4A5808-7BAE-4493-8EA2-E48BD2C9B0C3}"/>
    <cellStyle name="Millares 27 2 2 3 2" xfId="3097" xr:uid="{462293BE-033B-4CE6-AAB3-9D80C91169E1}"/>
    <cellStyle name="Millares 27 2 2 4" xfId="2591" xr:uid="{0C6FAC07-879A-4F70-932E-C295577E214A}"/>
    <cellStyle name="Millares 27 2 3" xfId="614" xr:uid="{00000000-0005-0000-0000-000065020000}"/>
    <cellStyle name="Millares 27 2 3 2" xfId="1828" xr:uid="{D83A14FD-03EF-4EAA-9FED-CA7F7B5164F3}"/>
    <cellStyle name="Millares 27 2 3 2 2" xfId="3099" xr:uid="{45CB4695-2403-4C48-8E84-856EA1053142}"/>
    <cellStyle name="Millares 27 2 3 3" xfId="2593" xr:uid="{3F09E471-8D0B-46BC-80D3-FC520A7E96D0}"/>
    <cellStyle name="Millares 27 2 4" xfId="2590" xr:uid="{3F758764-7298-41DE-AAE8-CAA804C12E9D}"/>
    <cellStyle name="Millares 27 3" xfId="615" xr:uid="{00000000-0005-0000-0000-000066020000}"/>
    <cellStyle name="Millares 27 3 2" xfId="1829" xr:uid="{9DCDB00F-F46A-476C-8128-5724090B700F}"/>
    <cellStyle name="Millares 27 4" xfId="3346" xr:uid="{B8F77B59-9526-4539-88FC-7B2868296251}"/>
    <cellStyle name="Millares 28" xfId="2169" xr:uid="{9E291E06-2CE8-4E59-8543-0346681D37FE}"/>
    <cellStyle name="Millares 28 2" xfId="616" xr:uid="{00000000-0005-0000-0000-000067020000}"/>
    <cellStyle name="Millares 28 2 2" xfId="1830" xr:uid="{1EDF354D-F292-4358-BAAF-84B47D3970E5}"/>
    <cellStyle name="Millares 28 3" xfId="3703" xr:uid="{DAF91565-1A4D-4E65-BA27-F7F8C3A86813}"/>
    <cellStyle name="Millares 29" xfId="2191" xr:uid="{564916A8-E336-4A91-AB17-0F09CCBB83EB}"/>
    <cellStyle name="Millares 29 2" xfId="617" xr:uid="{00000000-0005-0000-0000-000068020000}"/>
    <cellStyle name="Millares 29 3" xfId="618" xr:uid="{00000000-0005-0000-0000-000069020000}"/>
    <cellStyle name="Millares 29 3 2" xfId="1831" xr:uid="{D65753F3-68E0-4B3D-A3D6-68688EFE7792}"/>
    <cellStyle name="Millares 3" xfId="619" xr:uid="{00000000-0005-0000-0000-00006A020000}"/>
    <cellStyle name="Millares 3 2" xfId="620" xr:uid="{00000000-0005-0000-0000-00006B020000}"/>
    <cellStyle name="Millares 3 2 2" xfId="621" xr:uid="{00000000-0005-0000-0000-00006C020000}"/>
    <cellStyle name="Millares 3 2 3" xfId="1833" xr:uid="{C83B9690-C1A0-4657-995D-7E60EDD50F5B}"/>
    <cellStyle name="Millares 3 3" xfId="622" xr:uid="{00000000-0005-0000-0000-00006D020000}"/>
    <cellStyle name="Millares 3 3 2" xfId="623" xr:uid="{00000000-0005-0000-0000-00006E020000}"/>
    <cellStyle name="Millares 3 4" xfId="624" xr:uid="{00000000-0005-0000-0000-00006F020000}"/>
    <cellStyle name="Millares 3 4 10" xfId="3782" xr:uid="{29828CBE-DCD3-453A-9402-3F9E63117E55}"/>
    <cellStyle name="Millares 3 4 11" xfId="3845" xr:uid="{78D5C265-947C-4D03-81D1-F8B4721FE0E8}"/>
    <cellStyle name="Millares 3 4 2" xfId="625" xr:uid="{00000000-0005-0000-0000-000070020000}"/>
    <cellStyle name="Millares 3 4 2 10" xfId="3783" xr:uid="{DE87868B-3539-4C35-8D02-63E8A8696598}"/>
    <cellStyle name="Millares 3 4 2 11" xfId="3846" xr:uid="{E6FA6F14-804A-4FB9-BED2-E76F37DEFE4F}"/>
    <cellStyle name="Millares 3 4 2 2" xfId="626" xr:uid="{00000000-0005-0000-0000-000071020000}"/>
    <cellStyle name="Millares 3 4 2 2 2" xfId="627" xr:uid="{00000000-0005-0000-0000-000072020000}"/>
    <cellStyle name="Millares 3 4 2 2 2 2" xfId="1836" xr:uid="{F8A9EFAB-239B-4986-99F0-AA3612FC0E8E}"/>
    <cellStyle name="Millares 3 4 2 2 2 2 2" xfId="3102" xr:uid="{229B9C9A-6E2B-4D54-9776-57644256A16E}"/>
    <cellStyle name="Millares 3 4 2 2 2 3" xfId="2597" xr:uid="{568F9330-3003-4074-856C-EC6BF30A09CA}"/>
    <cellStyle name="Millares 3 4 2 2 3" xfId="1835" xr:uid="{C6A5BB55-D3FD-4CF7-8B07-47ACE88313E4}"/>
    <cellStyle name="Millares 3 4 2 2 3 2" xfId="3101" xr:uid="{31B41F79-0B66-4344-A995-DA9DEE728267}"/>
    <cellStyle name="Millares 3 4 2 2 4" xfId="2596" xr:uid="{E61FE226-9841-4CB6-9618-21AD82705A77}"/>
    <cellStyle name="Millares 3 4 2 3" xfId="628" xr:uid="{00000000-0005-0000-0000-000073020000}"/>
    <cellStyle name="Millares 3 4 2 3 2" xfId="629" xr:uid="{00000000-0005-0000-0000-000074020000}"/>
    <cellStyle name="Millares 3 4 2 3 2 2" xfId="1838" xr:uid="{C99723D3-F0A3-487F-BD5A-D4D1362169E6}"/>
    <cellStyle name="Millares 3 4 2 3 2 2 2" xfId="3104" xr:uid="{8E6C7EDD-C56A-4DD4-8474-35A553D1F872}"/>
    <cellStyle name="Millares 3 4 2 3 2 3" xfId="2599" xr:uid="{DFCBEB4C-AC00-41EF-9FDA-CEA148274FC2}"/>
    <cellStyle name="Millares 3 4 2 3 3" xfId="1837" xr:uid="{13F9BA4D-F47E-465B-AB77-8182841A5D4A}"/>
    <cellStyle name="Millares 3 4 2 3 3 2" xfId="3103" xr:uid="{8279F29F-2FB5-4056-8532-BD95E5EEAC8A}"/>
    <cellStyle name="Millares 3 4 2 3 4" xfId="2598" xr:uid="{C904F860-4618-4504-9780-D298D4BC3991}"/>
    <cellStyle name="Millares 3 4 2 4" xfId="630" xr:uid="{00000000-0005-0000-0000-000075020000}"/>
    <cellStyle name="Millares 3 4 2 4 2" xfId="1839" xr:uid="{003D191A-7D7D-4835-8DDE-576974B0C2E3}"/>
    <cellStyle name="Millares 3 4 2 4 2 2" xfId="3105" xr:uid="{93D578D4-349D-40A8-AED7-66BB05734D3C}"/>
    <cellStyle name="Millares 3 4 2 4 3" xfId="2600" xr:uid="{412A1B1D-A656-4FC8-8989-922A38B2A04E}"/>
    <cellStyle name="Millares 3 4 2 5" xfId="1834" xr:uid="{34EAE00C-0D69-45E3-8B30-87937837C97E}"/>
    <cellStyle name="Millares 3 4 2 5 2" xfId="3100" xr:uid="{D997FA61-31D5-4E22-BF93-1AC031CF79AC}"/>
    <cellStyle name="Millares 3 4 2 6" xfId="2192" xr:uid="{300881C3-B1E5-4B5B-93EF-C149F345AB00}"/>
    <cellStyle name="Millares 3 4 2 6 2" xfId="3388" xr:uid="{678F1F61-83DD-4823-B32F-41935CC0C1DC}"/>
    <cellStyle name="Millares 3 4 2 7" xfId="2595" xr:uid="{7BDCFEF8-73EB-4970-88B2-0DA4972DC92F}"/>
    <cellStyle name="Millares 3 4 2 8" xfId="3554" xr:uid="{94A07758-5706-4BE1-9073-B5020D5154AC}"/>
    <cellStyle name="Millares 3 4 2 9" xfId="3705" xr:uid="{50C4231C-0F91-4941-A071-0B803DC16972}"/>
    <cellStyle name="Millares 3 4 3" xfId="631" xr:uid="{00000000-0005-0000-0000-000076020000}"/>
    <cellStyle name="Millares 3 4 3 2" xfId="632" xr:uid="{00000000-0005-0000-0000-000077020000}"/>
    <cellStyle name="Millares 3 4 3 2 2" xfId="1841" xr:uid="{6C6B3710-19CA-4189-A0AA-D563984D3900}"/>
    <cellStyle name="Millares 3 4 3 2 2 2" xfId="3107" xr:uid="{B66835C1-1F55-47B4-A327-4FCDD645D8AD}"/>
    <cellStyle name="Millares 3 4 3 2 3" xfId="2602" xr:uid="{027376F8-DB18-48C7-BC9B-6C2585366742}"/>
    <cellStyle name="Millares 3 4 3 3" xfId="1840" xr:uid="{FAFDE5FC-149D-4DA2-9949-9D0A1D66D65D}"/>
    <cellStyle name="Millares 3 4 3 3 2" xfId="3106" xr:uid="{FAE0EB50-F006-48D8-96CD-C957CFA7BEDA}"/>
    <cellStyle name="Millares 3 4 3 4" xfId="2601" xr:uid="{93678200-7B6C-4709-8416-90C475EC7230}"/>
    <cellStyle name="Millares 3 4 4" xfId="633" xr:uid="{00000000-0005-0000-0000-000078020000}"/>
    <cellStyle name="Millares 3 4 4 2" xfId="634" xr:uid="{00000000-0005-0000-0000-000079020000}"/>
    <cellStyle name="Millares 3 4 4 2 2" xfId="1843" xr:uid="{D80CF784-2F87-4CAB-A221-E056E7EEE811}"/>
    <cellStyle name="Millares 3 4 4 2 2 2" xfId="3109" xr:uid="{FAE8E1C0-78A0-4EB1-B8E5-EFE8156428DC}"/>
    <cellStyle name="Millares 3 4 4 2 3" xfId="2604" xr:uid="{DD64C592-6BC7-4A21-9EE9-DC840642A89B}"/>
    <cellStyle name="Millares 3 4 4 3" xfId="1842" xr:uid="{06D75AF8-4C00-4FA5-994A-EAD899F8DC87}"/>
    <cellStyle name="Millares 3 4 4 3 2" xfId="3108" xr:uid="{5EA7BDF3-6B03-4F3B-9043-215F3B7FEA10}"/>
    <cellStyle name="Millares 3 4 4 4" xfId="2603" xr:uid="{1AFF5420-8E36-45DF-A90E-EBECDC9AEBB5}"/>
    <cellStyle name="Millares 3 4 5" xfId="635" xr:uid="{00000000-0005-0000-0000-00007A020000}"/>
    <cellStyle name="Millares 3 4 5 2" xfId="1844" xr:uid="{B5E70E6C-4DEB-41BC-BC60-1E64045D6FED}"/>
    <cellStyle name="Millares 3 4 5 2 2" xfId="3110" xr:uid="{6946F55F-68DA-4A4E-AD48-CAA51C21D8E4}"/>
    <cellStyle name="Millares 3 4 5 3" xfId="2605" xr:uid="{B5E874CE-EFB2-4CD2-A7EA-A9DB1D4277CE}"/>
    <cellStyle name="Millares 3 4 6" xfId="2145" xr:uid="{0EE5CEAD-D340-43F2-9342-E03E8DCADF5C}"/>
    <cellStyle name="Millares 3 4 6 2" xfId="3347" xr:uid="{0E994F52-135E-4265-B8C6-7B3292253EA5}"/>
    <cellStyle name="Millares 3 4 7" xfId="2594" xr:uid="{83A32462-0A29-4A68-8933-3E7737A9AC6F}"/>
    <cellStyle name="Millares 3 4 8" xfId="3513" xr:uid="{589742AD-1E67-41D2-8C29-A4C618B3F355}"/>
    <cellStyle name="Millares 3 4 9" xfId="3704" xr:uid="{559D0AA8-0444-4C4B-9595-FF427DEA56B1}"/>
    <cellStyle name="Millares 3 5" xfId="636" xr:uid="{00000000-0005-0000-0000-00007B020000}"/>
    <cellStyle name="Millares 3 5 2" xfId="1845" xr:uid="{C9D2804B-1EAF-4211-98AF-3410CB8DEA76}"/>
    <cellStyle name="Millares 3 5 3" xfId="3847" xr:uid="{544C906F-056F-4679-8BB9-2F438DB32E6C}"/>
    <cellStyle name="Millares 3 6" xfId="1832" xr:uid="{A15C66C5-B189-455B-A1FB-34F5019C872C}"/>
    <cellStyle name="Millares 30" xfId="2298" xr:uid="{92162B48-D05F-4A75-8E11-1709D1304356}"/>
    <cellStyle name="Millares 30 2" xfId="637" xr:uid="{00000000-0005-0000-0000-00007C020000}"/>
    <cellStyle name="Millares 30 2 2" xfId="638" xr:uid="{00000000-0005-0000-0000-00007D020000}"/>
    <cellStyle name="Millares 30 2 2 2" xfId="1847" xr:uid="{0438289D-D7C4-41CD-BC95-14FF4492C35D}"/>
    <cellStyle name="Millares 30 2 2 2 2" xfId="3112" xr:uid="{ABB7A9A8-99E4-4D99-88D7-5AFA4F45361D}"/>
    <cellStyle name="Millares 30 2 2 3" xfId="2607" xr:uid="{E1BCA3B4-C3BF-487C-B34A-D1443C2BCC5C}"/>
    <cellStyle name="Millares 30 2 3" xfId="1846" xr:uid="{147C07A5-AED9-4722-A083-16061AE4EFD6}"/>
    <cellStyle name="Millares 30 2 3 2" xfId="3111" xr:uid="{440D5A50-1E43-411A-A077-3B43B008F448}"/>
    <cellStyle name="Millares 30 2 4" xfId="2606" xr:uid="{CC8F2115-E827-4DDC-AFD2-BF500C54500E}"/>
    <cellStyle name="Millares 30 3" xfId="3492" xr:uid="{B462CDFF-2648-4E95-8157-661B3F1EDFEF}"/>
    <cellStyle name="Millares 30 4" xfId="3659" xr:uid="{9DE68AE0-3418-4E72-A2A3-FB2E3E12F038}"/>
    <cellStyle name="Millares 30 5" xfId="3745" xr:uid="{BA0DE15A-3E3C-44C1-8BB0-585EDC897744}"/>
    <cellStyle name="Millares 30 6" xfId="3810" xr:uid="{D5C3E81F-0809-4D4C-8708-33E6EF3DB665}"/>
    <cellStyle name="Millares 30 7" xfId="3886" xr:uid="{249A5648-22AE-4305-9E29-340C8AFFC970}"/>
    <cellStyle name="Millares 31" xfId="2304" xr:uid="{02FDAF1F-A5A0-467A-9AF5-1623A79A5C7D}"/>
    <cellStyle name="Millares 31 2" xfId="3749" xr:uid="{D2FC7A72-08EE-45A7-9F85-11E44B4C08AC}"/>
    <cellStyle name="Millares 31 3" xfId="3814" xr:uid="{0D87B339-1B84-4100-8AFB-E1A66E8ACB12}"/>
    <cellStyle name="Millares 31 4" xfId="3890" xr:uid="{B6900166-8BE9-4006-8547-A23972A775FA}"/>
    <cellStyle name="Millares 32" xfId="2317" xr:uid="{BF4E2FF5-A168-4C0A-85B2-6AB51ACCE4F3}"/>
    <cellStyle name="Millares 33" xfId="2138" xr:uid="{79D2D3E1-92ED-40B5-9B84-C2CD7FEA78EC}"/>
    <cellStyle name="Millares 34" xfId="2230" xr:uid="{DBE75ABD-68EE-4296-80A0-68482BC6AE34}"/>
    <cellStyle name="Millares 35" xfId="2136" xr:uid="{2673F909-BCAB-413A-8F72-308456F32BB0}"/>
    <cellStyle name="Millares 36" xfId="2144" xr:uid="{BF01C699-147C-445B-A539-CA5D6C57C668}"/>
    <cellStyle name="Millares 37" xfId="639" xr:uid="{00000000-0005-0000-0000-00007E020000}"/>
    <cellStyle name="Millares 37 2" xfId="1848" xr:uid="{E6FC45D2-42C5-4DE7-8A5C-097EF5EEB21C}"/>
    <cellStyle name="Millares 38" xfId="640" xr:uid="{00000000-0005-0000-0000-00007F020000}"/>
    <cellStyle name="Millares 38 2" xfId="641" xr:uid="{00000000-0005-0000-0000-000080020000}"/>
    <cellStyle name="Millares 38 2 2" xfId="642" xr:uid="{00000000-0005-0000-0000-000081020000}"/>
    <cellStyle name="Millares 38 3" xfId="643" xr:uid="{00000000-0005-0000-0000-000082020000}"/>
    <cellStyle name="Millares 39" xfId="644" xr:uid="{00000000-0005-0000-0000-000083020000}"/>
    <cellStyle name="Millares 39 2" xfId="645" xr:uid="{00000000-0005-0000-0000-000084020000}"/>
    <cellStyle name="Millares 39 2 2" xfId="646" xr:uid="{00000000-0005-0000-0000-000085020000}"/>
    <cellStyle name="Millares 39 2 2 2" xfId="647" xr:uid="{00000000-0005-0000-0000-000086020000}"/>
    <cellStyle name="Millares 39 2 2 2 2" xfId="1851" xr:uid="{AD37665C-2E39-4E01-B917-5A47CBD2D419}"/>
    <cellStyle name="Millares 39 2 2 2 2 2" xfId="3115" xr:uid="{BA5CF897-0801-4A9B-BE2C-0C297018B5D7}"/>
    <cellStyle name="Millares 39 2 2 2 3" xfId="2611" xr:uid="{002CB794-114F-4E90-974C-49FA71B9CB31}"/>
    <cellStyle name="Millares 39 2 2 3" xfId="1850" xr:uid="{6D7D1C4A-10C4-485C-AE45-5EDAD27B9DA6}"/>
    <cellStyle name="Millares 39 2 2 3 2" xfId="3114" xr:uid="{5F00AA17-EA1E-4DA9-B563-F65B6E7140DF}"/>
    <cellStyle name="Millares 39 2 2 4" xfId="2610" xr:uid="{47F909FE-48A2-4BAC-9554-65F27FD8BB92}"/>
    <cellStyle name="Millares 39 2 3" xfId="648" xr:uid="{00000000-0005-0000-0000-000087020000}"/>
    <cellStyle name="Millares 39 2 3 2" xfId="649" xr:uid="{00000000-0005-0000-0000-000088020000}"/>
    <cellStyle name="Millares 39 2 3 2 2" xfId="1853" xr:uid="{6AA33B53-3C34-4225-9D50-82C5668FB9FF}"/>
    <cellStyle name="Millares 39 2 3 2 2 2" xfId="3117" xr:uid="{ECC7F1A1-3F76-486D-8F4A-70CF13CE48E6}"/>
    <cellStyle name="Millares 39 2 3 2 3" xfId="2613" xr:uid="{1830DD07-748B-411E-8F60-580939A8C49A}"/>
    <cellStyle name="Millares 39 2 3 3" xfId="1852" xr:uid="{FB38B94E-ACA1-4ED2-99C0-71415A5A0ED8}"/>
    <cellStyle name="Millares 39 2 3 3 2" xfId="3116" xr:uid="{3D81CE98-9020-4607-8615-CDE033F791E4}"/>
    <cellStyle name="Millares 39 2 3 4" xfId="2612" xr:uid="{B90A61EF-74B4-4F4B-A69B-FC3BB33A144B}"/>
    <cellStyle name="Millares 39 2 4" xfId="650" xr:uid="{00000000-0005-0000-0000-000089020000}"/>
    <cellStyle name="Millares 39 2 4 2" xfId="1854" xr:uid="{C1B50FE1-2D13-4CE6-9E61-4CF1FEB0DD38}"/>
    <cellStyle name="Millares 39 2 4 2 2" xfId="3118" xr:uid="{57448016-CBFE-4592-93CD-B84D348C5A3D}"/>
    <cellStyle name="Millares 39 2 4 3" xfId="2614" xr:uid="{486F085D-0AB4-4F22-AB4F-5EB693479BA0}"/>
    <cellStyle name="Millares 39 2 5" xfId="1849" xr:uid="{4DB49A01-D590-450C-A421-BB2A15842E8C}"/>
    <cellStyle name="Millares 39 2 5 2" xfId="3113" xr:uid="{5696A0F3-87CD-4E9E-8144-ECADAB51B354}"/>
    <cellStyle name="Millares 39 2 6" xfId="2193" xr:uid="{2A95B06F-7CFF-4866-8C45-7BDB9E6F0D5B}"/>
    <cellStyle name="Millares 39 2 6 2" xfId="3389" xr:uid="{F8C544C9-4886-457C-BE39-FBF3470D4152}"/>
    <cellStyle name="Millares 39 2 7" xfId="2609" xr:uid="{2CDBE3D8-A5A6-4B22-8BDE-DF8D0F6A0487}"/>
    <cellStyle name="Millares 39 2 8" xfId="3555" xr:uid="{141B8DAB-185C-46AB-88AC-EDDD88586CF3}"/>
    <cellStyle name="Millares 39 3" xfId="651" xr:uid="{00000000-0005-0000-0000-00008A020000}"/>
    <cellStyle name="Millares 39 3 2" xfId="1855" xr:uid="{9F94C0AF-49C6-4272-98CE-F9362C5B3DE1}"/>
    <cellStyle name="Millares 39 3 2 2" xfId="3119" xr:uid="{643278BA-F9A0-495E-A827-404BE3F43A14}"/>
    <cellStyle name="Millares 39 3 3" xfId="2615" xr:uid="{1054A6C0-68DF-41D5-AAD2-D2C113DF5961}"/>
    <cellStyle name="Millares 39 4" xfId="2608" xr:uid="{D11512CD-2971-44E9-9478-C31ECE7A9708}"/>
    <cellStyle name="Millares 4" xfId="652" xr:uid="{00000000-0005-0000-0000-00008B020000}"/>
    <cellStyle name="Millares 4 2" xfId="653" xr:uid="{00000000-0005-0000-0000-00008C020000}"/>
    <cellStyle name="Millares 4 2 2" xfId="654" xr:uid="{00000000-0005-0000-0000-00008D020000}"/>
    <cellStyle name="Millares 4 2 2 2" xfId="655" xr:uid="{00000000-0005-0000-0000-00008E020000}"/>
    <cellStyle name="Millares 4 2 2 3" xfId="656" xr:uid="{00000000-0005-0000-0000-00008F020000}"/>
    <cellStyle name="Millares 4 2 2 3 2" xfId="1859" xr:uid="{0D1409B4-6B3B-4D7E-8E75-74E3EC5840E2}"/>
    <cellStyle name="Millares 4 2 2 3 2 2" xfId="3122" xr:uid="{F90237AD-85A5-4600-9737-44E041BE5F84}"/>
    <cellStyle name="Millares 4 2 2 3 3" xfId="2618" xr:uid="{CF6A7029-63A8-4603-A3DA-F3364A58ACB2}"/>
    <cellStyle name="Millares 4 2 2 4" xfId="1858" xr:uid="{BE5A519D-FE24-4F68-80F4-D992D26A3157}"/>
    <cellStyle name="Millares 4 2 2 4 2" xfId="3121" xr:uid="{A213A187-00C9-4D11-8523-2BABC8037BFF}"/>
    <cellStyle name="Millares 4 2 2 5" xfId="2617" xr:uid="{03E6EF89-2E72-47F5-841C-7B46F9DE73EA}"/>
    <cellStyle name="Millares 4 2 3" xfId="657" xr:uid="{00000000-0005-0000-0000-000090020000}"/>
    <cellStyle name="Millares 4 2 3 2" xfId="658" xr:uid="{00000000-0005-0000-0000-000091020000}"/>
    <cellStyle name="Millares 4 2 3 2 2" xfId="1861" xr:uid="{23348F8B-77B9-43ED-A089-F7182BB3C3F5}"/>
    <cellStyle name="Millares 4 2 3 2 2 2" xfId="3124" xr:uid="{206401CB-2BE5-452A-958C-8C76276ACC26}"/>
    <cellStyle name="Millares 4 2 3 2 3" xfId="2620" xr:uid="{4212D464-A14D-44CB-A33D-2C2B6EA0BBE4}"/>
    <cellStyle name="Millares 4 2 3 3" xfId="1860" xr:uid="{0CE642E1-9466-4E2F-A6EB-002B0BD47FF7}"/>
    <cellStyle name="Millares 4 2 3 3 2" xfId="3123" xr:uid="{D01FE88F-FE78-4FF8-B80F-E563C92ECFFD}"/>
    <cellStyle name="Millares 4 2 3 4" xfId="2619" xr:uid="{6174CCCE-529E-4DEE-AC78-D3B6E28D1B02}"/>
    <cellStyle name="Millares 4 2 4" xfId="659" xr:uid="{00000000-0005-0000-0000-000092020000}"/>
    <cellStyle name="Millares 4 2 4 2" xfId="1862" xr:uid="{234D3C5B-2613-48CB-A11D-2BB2B4244D7B}"/>
    <cellStyle name="Millares 4 2 4 2 2" xfId="3125" xr:uid="{A0E86A7A-FD3D-4D19-B779-3A748CF24D10}"/>
    <cellStyle name="Millares 4 2 4 3" xfId="2621" xr:uid="{E91B5E2A-7BBE-41C5-A2F0-F593172D095B}"/>
    <cellStyle name="Millares 4 2 5" xfId="1857" xr:uid="{32516338-ED04-490C-91C2-1040530A8D41}"/>
    <cellStyle name="Millares 4 2 5 2" xfId="3120" xr:uid="{74859249-41F2-47E5-A539-912D8D42EC6D}"/>
    <cellStyle name="Millares 4 2 6" xfId="2146" xr:uid="{7D408FB4-0AD9-407D-9C72-EDD6DC993F89}"/>
    <cellStyle name="Millares 4 2 6 2" xfId="3348" xr:uid="{1BBF1554-71DD-418F-9B2D-B4BD2B7906DC}"/>
    <cellStyle name="Millares 4 2 7" xfId="2616" xr:uid="{93261000-8675-46AE-8574-41C8CAC3006A}"/>
    <cellStyle name="Millares 4 2 8" xfId="3514" xr:uid="{811782AD-E611-499E-82A7-31832ED5FC59}"/>
    <cellStyle name="Millares 4 3" xfId="660" xr:uid="{00000000-0005-0000-0000-000093020000}"/>
    <cellStyle name="Millares 4 4" xfId="1856" xr:uid="{5793CA06-C1AA-4C3C-98D0-70494F4B2D62}"/>
    <cellStyle name="Millares 40" xfId="661" xr:uid="{00000000-0005-0000-0000-000094020000}"/>
    <cellStyle name="Millares 40 2" xfId="662" xr:uid="{00000000-0005-0000-0000-000095020000}"/>
    <cellStyle name="Millares 40 2 2" xfId="663" xr:uid="{00000000-0005-0000-0000-000096020000}"/>
    <cellStyle name="Millares 40 2 2 2" xfId="664" xr:uid="{00000000-0005-0000-0000-000097020000}"/>
    <cellStyle name="Millares 40 2 2 2 2" xfId="1865" xr:uid="{D6F9102A-D533-46C1-883B-87AA5162AFEE}"/>
    <cellStyle name="Millares 40 2 2 2 2 2" xfId="3128" xr:uid="{ADCD1A39-601A-4848-AC21-D282A63096D6}"/>
    <cellStyle name="Millares 40 2 2 2 3" xfId="2625" xr:uid="{12ACEA98-D75C-43AC-A43A-A4F12E8B33D0}"/>
    <cellStyle name="Millares 40 2 2 3" xfId="1864" xr:uid="{22220FE3-3C86-4894-8F98-7F23520820D6}"/>
    <cellStyle name="Millares 40 2 2 3 2" xfId="3127" xr:uid="{84697761-AE2A-4573-901C-BCC09ED2456B}"/>
    <cellStyle name="Millares 40 2 2 4" xfId="2624" xr:uid="{4F8BAE0A-336A-4AA8-91F3-9404A8E229DD}"/>
    <cellStyle name="Millares 40 2 3" xfId="665" xr:uid="{00000000-0005-0000-0000-000098020000}"/>
    <cellStyle name="Millares 40 2 3 2" xfId="666" xr:uid="{00000000-0005-0000-0000-000099020000}"/>
    <cellStyle name="Millares 40 2 3 2 2" xfId="1867" xr:uid="{7792E9E3-554B-4C87-BB63-AF5BBAF76CAE}"/>
    <cellStyle name="Millares 40 2 3 2 2 2" xfId="3130" xr:uid="{B3B56DE3-1A70-48A2-A74C-94A8C03BE425}"/>
    <cellStyle name="Millares 40 2 3 2 3" xfId="2627" xr:uid="{02125E09-8CAE-4710-ADFD-8AC07C796FB9}"/>
    <cellStyle name="Millares 40 2 3 3" xfId="1866" xr:uid="{0BDD6FD3-2448-488C-B3BC-4037C65ABCB1}"/>
    <cellStyle name="Millares 40 2 3 3 2" xfId="3129" xr:uid="{EF2B41BC-1125-432A-B1A6-2EA7D33283EE}"/>
    <cellStyle name="Millares 40 2 3 4" xfId="2626" xr:uid="{4127C307-27AE-49CC-BA71-57727EA91A3E}"/>
    <cellStyle name="Millares 40 2 4" xfId="667" xr:uid="{00000000-0005-0000-0000-00009A020000}"/>
    <cellStyle name="Millares 40 2 4 2" xfId="1868" xr:uid="{A9804597-7794-41C7-8E49-40E4582203C7}"/>
    <cellStyle name="Millares 40 2 4 2 2" xfId="3131" xr:uid="{42233749-19B9-43D8-BABE-85190F58B770}"/>
    <cellStyle name="Millares 40 2 4 3" xfId="2628" xr:uid="{2212D01D-6C34-49B9-A30D-24A7430825C5}"/>
    <cellStyle name="Millares 40 2 5" xfId="1863" xr:uid="{C292CFD5-68BD-43ED-A2FB-99ECA40685A2}"/>
    <cellStyle name="Millares 40 2 5 2" xfId="3126" xr:uid="{42AB2A60-BA47-4A9F-92F5-BDEAA869F291}"/>
    <cellStyle name="Millares 40 2 6" xfId="2194" xr:uid="{7F4B9D3E-D4CB-4B57-81F3-19FD099B2C01}"/>
    <cellStyle name="Millares 40 2 6 2" xfId="3390" xr:uid="{45DFAFA1-FCA7-48BA-87CD-5EBCF62B8287}"/>
    <cellStyle name="Millares 40 2 7" xfId="2623" xr:uid="{2B5CA35D-D9CA-4A7A-84F2-E883EEA1517A}"/>
    <cellStyle name="Millares 40 2 8" xfId="3556" xr:uid="{ED087F06-DE86-4D93-A72B-CCA906D5B168}"/>
    <cellStyle name="Millares 40 3" xfId="668" xr:uid="{00000000-0005-0000-0000-00009B020000}"/>
    <cellStyle name="Millares 40 3 2" xfId="1869" xr:uid="{8E6E7AAA-B5E9-40DA-B2C3-11CB95161E33}"/>
    <cellStyle name="Millares 40 3 2 2" xfId="3132" xr:uid="{BCDB75BA-D8CC-4AA7-B92C-6A6CD1586822}"/>
    <cellStyle name="Millares 40 3 3" xfId="2629" xr:uid="{82F7C753-DB34-4810-9AC1-52E4834CA3DB}"/>
    <cellStyle name="Millares 40 4" xfId="2622" xr:uid="{05BF9E7A-DE1D-4D2A-99FB-64A4CD00522B}"/>
    <cellStyle name="Millares 41" xfId="669" xr:uid="{00000000-0005-0000-0000-00009C020000}"/>
    <cellStyle name="Millares 41 2" xfId="670" xr:uid="{00000000-0005-0000-0000-00009D020000}"/>
    <cellStyle name="Millares 41 2 2" xfId="671" xr:uid="{00000000-0005-0000-0000-00009E020000}"/>
    <cellStyle name="Millares 41 2 2 2" xfId="672" xr:uid="{00000000-0005-0000-0000-00009F020000}"/>
    <cellStyle name="Millares 41 2 2 2 2" xfId="1872" xr:uid="{5C07F359-6933-4B98-B6CD-712BBFCB5B7E}"/>
    <cellStyle name="Millares 41 2 2 2 2 2" xfId="3135" xr:uid="{0E3AC587-1C4C-4560-9024-EBDB6DB44F12}"/>
    <cellStyle name="Millares 41 2 2 2 3" xfId="2633" xr:uid="{CDF16DFD-D9F1-4A29-A1B8-FB48409C509F}"/>
    <cellStyle name="Millares 41 2 2 3" xfId="1871" xr:uid="{3E0F98FF-ADD3-4DB4-9633-06271A0596AF}"/>
    <cellStyle name="Millares 41 2 2 3 2" xfId="3134" xr:uid="{F06B6460-B783-4A62-B4D5-37B0D1878FCC}"/>
    <cellStyle name="Millares 41 2 2 4" xfId="2632" xr:uid="{A1C8D9FA-7C09-45E1-8975-B7297A8ADE18}"/>
    <cellStyle name="Millares 41 2 3" xfId="673" xr:uid="{00000000-0005-0000-0000-0000A0020000}"/>
    <cellStyle name="Millares 41 2 3 2" xfId="674" xr:uid="{00000000-0005-0000-0000-0000A1020000}"/>
    <cellStyle name="Millares 41 2 3 2 2" xfId="1874" xr:uid="{212A7699-C2CA-4C7D-BEAF-D7D7C0EDDA4A}"/>
    <cellStyle name="Millares 41 2 3 2 2 2" xfId="3137" xr:uid="{C0DF99EF-B0D3-4044-B53F-E8656A659B9E}"/>
    <cellStyle name="Millares 41 2 3 2 3" xfId="2635" xr:uid="{65F9D0C6-212D-4450-B94A-2D0C55B528D7}"/>
    <cellStyle name="Millares 41 2 3 3" xfId="1873" xr:uid="{9375DC5F-C224-4EB8-A0D5-84B21C7DA8CF}"/>
    <cellStyle name="Millares 41 2 3 3 2" xfId="3136" xr:uid="{77B25103-B62D-4089-BB6B-4B61FB92F973}"/>
    <cellStyle name="Millares 41 2 3 4" xfId="2634" xr:uid="{8B2D4613-EA61-4312-A7E0-0F8BF4355303}"/>
    <cellStyle name="Millares 41 2 4" xfId="675" xr:uid="{00000000-0005-0000-0000-0000A2020000}"/>
    <cellStyle name="Millares 41 2 4 2" xfId="1875" xr:uid="{7BE91F83-FDB9-492D-BF71-C59294C7CDD2}"/>
    <cellStyle name="Millares 41 2 4 2 2" xfId="3138" xr:uid="{6529E71D-55B7-45BC-B7F4-D98DB3353C11}"/>
    <cellStyle name="Millares 41 2 4 3" xfId="2636" xr:uid="{7B78B326-8507-45E2-8E82-C34E14EF095C}"/>
    <cellStyle name="Millares 41 2 5" xfId="1870" xr:uid="{10D3F5EF-5BBE-4ADD-AC49-C8003991144E}"/>
    <cellStyle name="Millares 41 2 5 2" xfId="3133" xr:uid="{FC2C2057-69DC-4071-AAFD-235CDBE6F707}"/>
    <cellStyle name="Millares 41 2 6" xfId="2195" xr:uid="{01CFBEE1-8076-4140-96A9-A49EDD8E5C11}"/>
    <cellStyle name="Millares 41 2 6 2" xfId="3391" xr:uid="{C622DF63-C63E-466D-B7BC-BC9083DA4725}"/>
    <cellStyle name="Millares 41 2 7" xfId="2631" xr:uid="{3D93F94E-4E76-4521-AA55-4D1E500C2EBC}"/>
    <cellStyle name="Millares 41 2 8" xfId="3557" xr:uid="{9B737563-DFC2-4CE9-8A18-E364F68D7607}"/>
    <cellStyle name="Millares 41 3" xfId="676" xr:uid="{00000000-0005-0000-0000-0000A3020000}"/>
    <cellStyle name="Millares 41 3 2" xfId="1876" xr:uid="{361B16F7-9A8D-431A-AA9F-58712714E0D6}"/>
    <cellStyle name="Millares 41 3 2 2" xfId="3139" xr:uid="{5BD9DEAE-7D63-4562-B140-506E2FDF425D}"/>
    <cellStyle name="Millares 41 3 3" xfId="2637" xr:uid="{2D83612E-DF8E-47F9-BA6C-40727AB67D5C}"/>
    <cellStyle name="Millares 41 4" xfId="2630" xr:uid="{EEFBC2BE-BD4F-436C-88ED-2C58EA0168A9}"/>
    <cellStyle name="Millares 42" xfId="677" xr:uid="{00000000-0005-0000-0000-0000A4020000}"/>
    <cellStyle name="Millares 42 2" xfId="678" xr:uid="{00000000-0005-0000-0000-0000A5020000}"/>
    <cellStyle name="Millares 42 2 2" xfId="679" xr:uid="{00000000-0005-0000-0000-0000A6020000}"/>
    <cellStyle name="Millares 42 2 2 2" xfId="680" xr:uid="{00000000-0005-0000-0000-0000A7020000}"/>
    <cellStyle name="Millares 42 2 2 2 2" xfId="1879" xr:uid="{2830F8C8-943B-447B-B586-A4CA660E5DE9}"/>
    <cellStyle name="Millares 42 2 2 2 2 2" xfId="3142" xr:uid="{2FCAF703-EAA2-4CC4-9B52-7938453737F0}"/>
    <cellStyle name="Millares 42 2 2 2 3" xfId="2641" xr:uid="{C2A38D3F-62EC-4AA9-803E-BE90F22DC84E}"/>
    <cellStyle name="Millares 42 2 2 3" xfId="1878" xr:uid="{501045B1-13E4-41D0-94C3-75D81D2576FD}"/>
    <cellStyle name="Millares 42 2 2 3 2" xfId="3141" xr:uid="{1CFC48C5-2BE9-4BCE-90E2-4299DB343B7D}"/>
    <cellStyle name="Millares 42 2 2 4" xfId="2640" xr:uid="{D285672F-0BEB-47A7-8A40-C121EF0DB651}"/>
    <cellStyle name="Millares 42 2 3" xfId="681" xr:uid="{00000000-0005-0000-0000-0000A8020000}"/>
    <cellStyle name="Millares 42 2 3 2" xfId="682" xr:uid="{00000000-0005-0000-0000-0000A9020000}"/>
    <cellStyle name="Millares 42 2 3 2 2" xfId="1881" xr:uid="{3F6039BF-8FAD-4282-91A7-7065144F02B0}"/>
    <cellStyle name="Millares 42 2 3 2 2 2" xfId="3144" xr:uid="{0B34F998-4515-4756-9E8C-623F0A6EAC1F}"/>
    <cellStyle name="Millares 42 2 3 2 3" xfId="2643" xr:uid="{0A1449E2-2D85-4B6B-B7C2-3B25681F07A4}"/>
    <cellStyle name="Millares 42 2 3 3" xfId="1880" xr:uid="{AFE2BC37-9718-47F6-B211-C8BF18EAAB4B}"/>
    <cellStyle name="Millares 42 2 3 3 2" xfId="3143" xr:uid="{F2FD797F-E87C-4422-B447-FEEB38668309}"/>
    <cellStyle name="Millares 42 2 3 4" xfId="2642" xr:uid="{D45569F6-4817-49BA-9BBC-BBB521CD0393}"/>
    <cellStyle name="Millares 42 2 4" xfId="683" xr:uid="{00000000-0005-0000-0000-0000AA020000}"/>
    <cellStyle name="Millares 42 2 4 2" xfId="1882" xr:uid="{0F947DEF-679A-4BB5-BBBD-999A1D56B4BD}"/>
    <cellStyle name="Millares 42 2 4 2 2" xfId="3145" xr:uid="{68B52221-E43C-44A0-8D52-98F0505958AE}"/>
    <cellStyle name="Millares 42 2 4 3" xfId="2644" xr:uid="{036F4D2F-BE32-473F-8469-EA3D3D700B30}"/>
    <cellStyle name="Millares 42 2 5" xfId="1877" xr:uid="{D6FD02CD-227A-44B6-9675-E0DEFD76BFBC}"/>
    <cellStyle name="Millares 42 2 5 2" xfId="3140" xr:uid="{6C0FA06C-59ED-4A90-A2C2-F3B0C2209CE5}"/>
    <cellStyle name="Millares 42 2 6" xfId="2196" xr:uid="{D470A692-92A7-405F-916C-CE307E12B732}"/>
    <cellStyle name="Millares 42 2 6 2" xfId="3392" xr:uid="{9273D7DC-A99F-462A-A74C-CA5F55A38064}"/>
    <cellStyle name="Millares 42 2 7" xfId="2639" xr:uid="{330628BC-8418-42F7-874D-0ADC322D2222}"/>
    <cellStyle name="Millares 42 2 8" xfId="3558" xr:uid="{52E43DA4-5A54-48FB-969F-398492B1E184}"/>
    <cellStyle name="Millares 42 3" xfId="684" xr:uid="{00000000-0005-0000-0000-0000AB020000}"/>
    <cellStyle name="Millares 42 3 2" xfId="1883" xr:uid="{2704996E-2A0F-40DB-A1E2-D97394C02E4F}"/>
    <cellStyle name="Millares 42 3 2 2" xfId="3146" xr:uid="{DA41B917-AEEF-4514-8469-7294B9548FFD}"/>
    <cellStyle name="Millares 42 3 3" xfId="2645" xr:uid="{61E6E128-9478-4598-B4CE-A3C52971B7AB}"/>
    <cellStyle name="Millares 42 4" xfId="2638" xr:uid="{68E830F6-962B-45AE-97DD-7BCEA246A94B}"/>
    <cellStyle name="Millares 43" xfId="685" xr:uid="{00000000-0005-0000-0000-0000AC020000}"/>
    <cellStyle name="Millares 43 2" xfId="686" xr:uid="{00000000-0005-0000-0000-0000AD020000}"/>
    <cellStyle name="Millares 43 2 2" xfId="687" xr:uid="{00000000-0005-0000-0000-0000AE020000}"/>
    <cellStyle name="Millares 43 2 2 2" xfId="688" xr:uid="{00000000-0005-0000-0000-0000AF020000}"/>
    <cellStyle name="Millares 43 2 2 2 2" xfId="1886" xr:uid="{3D0CF3EA-E028-4FB2-9E31-C6C65C56E11B}"/>
    <cellStyle name="Millares 43 2 2 2 2 2" xfId="3149" xr:uid="{3697B66C-7718-4497-8F33-3789D97E5A62}"/>
    <cellStyle name="Millares 43 2 2 2 3" xfId="2649" xr:uid="{0AD02011-F897-4C0A-BAD3-E4C792EAA368}"/>
    <cellStyle name="Millares 43 2 2 3" xfId="1885" xr:uid="{0694EF26-EF67-426B-9A64-6F746F265FA5}"/>
    <cellStyle name="Millares 43 2 2 3 2" xfId="3148" xr:uid="{7845E097-9162-4A12-98F3-C84EA9B90150}"/>
    <cellStyle name="Millares 43 2 2 4" xfId="2648" xr:uid="{BD57C571-88D5-409B-AEC3-6B6EB3C7F587}"/>
    <cellStyle name="Millares 43 2 3" xfId="689" xr:uid="{00000000-0005-0000-0000-0000B0020000}"/>
    <cellStyle name="Millares 43 2 3 2" xfId="690" xr:uid="{00000000-0005-0000-0000-0000B1020000}"/>
    <cellStyle name="Millares 43 2 3 2 2" xfId="1888" xr:uid="{924E6DE6-D8DB-4B8A-8293-1E366C5224EA}"/>
    <cellStyle name="Millares 43 2 3 2 2 2" xfId="3151" xr:uid="{63D4E09B-BCE2-4B2F-BCBC-AB3CCAE14850}"/>
    <cellStyle name="Millares 43 2 3 2 3" xfId="2651" xr:uid="{AA2C0794-95C8-4873-88C7-6C4FAE4E110C}"/>
    <cellStyle name="Millares 43 2 3 3" xfId="1887" xr:uid="{B8AD8FFA-02D7-4FAC-81F9-8EAAD7E586E1}"/>
    <cellStyle name="Millares 43 2 3 3 2" xfId="3150" xr:uid="{F08C731B-C911-41A7-8859-1667D876CDC7}"/>
    <cellStyle name="Millares 43 2 3 4" xfId="2650" xr:uid="{A8EFF38F-9A9C-4107-83E0-6FC13C99A7D9}"/>
    <cellStyle name="Millares 43 2 4" xfId="691" xr:uid="{00000000-0005-0000-0000-0000B2020000}"/>
    <cellStyle name="Millares 43 2 4 2" xfId="1889" xr:uid="{FC81C812-2D5B-4399-9259-28B18672008F}"/>
    <cellStyle name="Millares 43 2 4 2 2" xfId="3152" xr:uid="{84C4EC91-F607-47F5-9B56-7AD6516C141D}"/>
    <cellStyle name="Millares 43 2 4 3" xfId="2652" xr:uid="{35AAE4CF-E1B4-44D3-AE08-42505FD0B71F}"/>
    <cellStyle name="Millares 43 2 5" xfId="1884" xr:uid="{62B9FA85-0CFA-4413-BD0D-1F119DABECA0}"/>
    <cellStyle name="Millares 43 2 5 2" xfId="3147" xr:uid="{AE67E9DF-1279-4943-B347-27C29834A4CB}"/>
    <cellStyle name="Millares 43 2 6" xfId="2197" xr:uid="{A920F667-837E-4AEC-B104-67AA05545834}"/>
    <cellStyle name="Millares 43 2 6 2" xfId="3393" xr:uid="{6FBA0CEA-1A60-433C-A25A-A4726A61FF52}"/>
    <cellStyle name="Millares 43 2 7" xfId="2647" xr:uid="{75BACBB4-EBEE-4F45-A8C1-7F5E364F5C89}"/>
    <cellStyle name="Millares 43 2 8" xfId="3559" xr:uid="{079163A5-7442-45A9-8EC4-6EA729307263}"/>
    <cellStyle name="Millares 43 3" xfId="692" xr:uid="{00000000-0005-0000-0000-0000B3020000}"/>
    <cellStyle name="Millares 43 3 2" xfId="1890" xr:uid="{1A8E0119-82D1-484E-81DD-DAB90F556262}"/>
    <cellStyle name="Millares 43 3 2 2" xfId="3153" xr:uid="{5AB0C116-A12F-4D4A-B370-B7F4CCB7372C}"/>
    <cellStyle name="Millares 43 3 3" xfId="2653" xr:uid="{40E5084A-F02F-4EA4-B783-F2BF16A79E5F}"/>
    <cellStyle name="Millares 43 4" xfId="2646" xr:uid="{25022526-FD8D-46EE-B407-4F40F52AEF7A}"/>
    <cellStyle name="Millares 44" xfId="693" xr:uid="{00000000-0005-0000-0000-0000B4020000}"/>
    <cellStyle name="Millares 44 2" xfId="694" xr:uid="{00000000-0005-0000-0000-0000B5020000}"/>
    <cellStyle name="Millares 44 2 2" xfId="695" xr:uid="{00000000-0005-0000-0000-0000B6020000}"/>
    <cellStyle name="Millares 44 2 2 2" xfId="696" xr:uid="{00000000-0005-0000-0000-0000B7020000}"/>
    <cellStyle name="Millares 44 2 2 2 2" xfId="1893" xr:uid="{8AA5CBA9-5B73-4A0B-8F35-BFC73741ECDE}"/>
    <cellStyle name="Millares 44 2 2 2 2 2" xfId="3156" xr:uid="{970071B1-F372-4A95-8565-76237012B806}"/>
    <cellStyle name="Millares 44 2 2 2 3" xfId="2657" xr:uid="{AE504587-44BA-448D-BF00-8425A837E718}"/>
    <cellStyle name="Millares 44 2 2 3" xfId="1892" xr:uid="{B13B2880-76AD-4B86-9B47-E11A593D0D67}"/>
    <cellStyle name="Millares 44 2 2 3 2" xfId="3155" xr:uid="{02E9A1E1-A482-4237-95AD-D8E6CE442247}"/>
    <cellStyle name="Millares 44 2 2 4" xfId="2656" xr:uid="{F5B75DE4-C050-4CE5-BF09-4057B84AC689}"/>
    <cellStyle name="Millares 44 2 3" xfId="697" xr:uid="{00000000-0005-0000-0000-0000B8020000}"/>
    <cellStyle name="Millares 44 2 3 2" xfId="698" xr:uid="{00000000-0005-0000-0000-0000B9020000}"/>
    <cellStyle name="Millares 44 2 3 2 2" xfId="1895" xr:uid="{D548214E-AA7B-4131-B308-02DDB3F72685}"/>
    <cellStyle name="Millares 44 2 3 2 2 2" xfId="3158" xr:uid="{9D21569C-376F-4CFD-9894-C79ED579C394}"/>
    <cellStyle name="Millares 44 2 3 2 3" xfId="2659" xr:uid="{C0A61552-75C0-4705-B103-2A8EE9D9A68E}"/>
    <cellStyle name="Millares 44 2 3 3" xfId="1894" xr:uid="{FB16F983-C976-4C95-9EE9-273E068F91FE}"/>
    <cellStyle name="Millares 44 2 3 3 2" xfId="3157" xr:uid="{4D9252AC-777B-434C-B75C-43492630040C}"/>
    <cellStyle name="Millares 44 2 3 4" xfId="2658" xr:uid="{7B4A2381-C789-4EFF-B5A5-700D1DF7B747}"/>
    <cellStyle name="Millares 44 2 4" xfId="699" xr:uid="{00000000-0005-0000-0000-0000BA020000}"/>
    <cellStyle name="Millares 44 2 4 2" xfId="1896" xr:uid="{F7425915-EF89-46F2-9CAF-2E7F0FB43D3E}"/>
    <cellStyle name="Millares 44 2 4 2 2" xfId="3159" xr:uid="{C378DD6E-67AF-43A4-8452-45B8C5DB1390}"/>
    <cellStyle name="Millares 44 2 4 3" xfId="2660" xr:uid="{F07EC1F4-5A84-40E6-95B6-07DF642054AE}"/>
    <cellStyle name="Millares 44 2 5" xfId="1891" xr:uid="{EBFB2375-00DD-46DF-A246-C2099F258E0B}"/>
    <cellStyle name="Millares 44 2 5 2" xfId="3154" xr:uid="{7541CB8C-CA8C-473A-A7F3-FB28FDDBF1CE}"/>
    <cellStyle name="Millares 44 2 6" xfId="2198" xr:uid="{FC22390D-9A31-4D8A-B6A1-526A2FFB05B3}"/>
    <cellStyle name="Millares 44 2 6 2" xfId="3394" xr:uid="{8EAA4CA9-D2B6-47B1-9728-1CAD2FEB75BD}"/>
    <cellStyle name="Millares 44 2 7" xfId="2655" xr:uid="{53B882FA-B1E9-4569-8EB7-6DB0F45911E6}"/>
    <cellStyle name="Millares 44 2 8" xfId="3560" xr:uid="{492F27DA-E128-4939-AC96-FECD45F67FD2}"/>
    <cellStyle name="Millares 44 3" xfId="700" xr:uid="{00000000-0005-0000-0000-0000BB020000}"/>
    <cellStyle name="Millares 44 3 2" xfId="1897" xr:uid="{AA596021-07BF-4B8E-88BD-4C382004BFB0}"/>
    <cellStyle name="Millares 44 3 2 2" xfId="3160" xr:uid="{23270633-81D9-45D8-B174-9CFE007F8B1C}"/>
    <cellStyle name="Millares 44 3 3" xfId="2661" xr:uid="{8093B64E-82B7-4487-8CD1-2059425F3F89}"/>
    <cellStyle name="Millares 44 4" xfId="2654" xr:uid="{9F0F89A9-C9E3-48D8-BCD9-51B144A9201A}"/>
    <cellStyle name="Millares 45" xfId="701" xr:uid="{00000000-0005-0000-0000-0000BC020000}"/>
    <cellStyle name="Millares 45 2" xfId="702" xr:uid="{00000000-0005-0000-0000-0000BD020000}"/>
    <cellStyle name="Millares 45 2 2" xfId="703" xr:uid="{00000000-0005-0000-0000-0000BE020000}"/>
    <cellStyle name="Millares 45 2 2 2" xfId="704" xr:uid="{00000000-0005-0000-0000-0000BF020000}"/>
    <cellStyle name="Millares 45 2 2 2 2" xfId="1900" xr:uid="{F150421E-8CF2-4006-840F-C38E03808288}"/>
    <cellStyle name="Millares 45 2 2 2 2 2" xfId="3163" xr:uid="{414F2B8B-49C3-4934-AD35-E23C01CAC83F}"/>
    <cellStyle name="Millares 45 2 2 2 3" xfId="2665" xr:uid="{3BD0BEFE-C57B-443E-B9C7-7E96781C54BC}"/>
    <cellStyle name="Millares 45 2 2 3" xfId="1899" xr:uid="{571695DF-B2F4-4AB6-B6FF-9A23FB369C71}"/>
    <cellStyle name="Millares 45 2 2 3 2" xfId="3162" xr:uid="{63380D86-B2DE-4711-9762-713FB1C6FF83}"/>
    <cellStyle name="Millares 45 2 2 4" xfId="2664" xr:uid="{86CE8F9E-DFA7-4FD0-B37B-AA7BEAB93BCF}"/>
    <cellStyle name="Millares 45 2 3" xfId="705" xr:uid="{00000000-0005-0000-0000-0000C0020000}"/>
    <cellStyle name="Millares 45 2 3 2" xfId="706" xr:uid="{00000000-0005-0000-0000-0000C1020000}"/>
    <cellStyle name="Millares 45 2 3 2 2" xfId="1902" xr:uid="{C02FCB52-9E9C-449F-AAF8-88F4CAE782EA}"/>
    <cellStyle name="Millares 45 2 3 2 2 2" xfId="3165" xr:uid="{61A2A606-C433-4B71-AFAD-B782E6C85F6F}"/>
    <cellStyle name="Millares 45 2 3 2 3" xfId="2667" xr:uid="{1CB6F05D-703E-456A-B048-4A4645A25A12}"/>
    <cellStyle name="Millares 45 2 3 3" xfId="1901" xr:uid="{EFCADE76-E9A0-4CAA-ADB1-E0F57735721D}"/>
    <cellStyle name="Millares 45 2 3 3 2" xfId="3164" xr:uid="{2F3F3CF6-BED8-4510-960C-2B7E13A3EC20}"/>
    <cellStyle name="Millares 45 2 3 4" xfId="2666" xr:uid="{1E3F106E-6B3D-4BE0-B656-ED92A29E0874}"/>
    <cellStyle name="Millares 45 2 4" xfId="707" xr:uid="{00000000-0005-0000-0000-0000C2020000}"/>
    <cellStyle name="Millares 45 2 4 2" xfId="1903" xr:uid="{86927F67-DD5C-4799-AED0-A07B7CC5FD0D}"/>
    <cellStyle name="Millares 45 2 4 2 2" xfId="3166" xr:uid="{282DFAD0-F977-4A4A-B5F1-7621EFEEA50F}"/>
    <cellStyle name="Millares 45 2 4 3" xfId="2668" xr:uid="{9F3D30FB-2AC6-4120-8FC6-E9CCB966326A}"/>
    <cellStyle name="Millares 45 2 5" xfId="1898" xr:uid="{8CDC0721-5BC4-4845-8C78-7492E98D033D}"/>
    <cellStyle name="Millares 45 2 5 2" xfId="3161" xr:uid="{3EB20D80-D864-413B-9E69-A20A0A129DC4}"/>
    <cellStyle name="Millares 45 2 6" xfId="2199" xr:uid="{72DE8536-B3CC-4302-9D43-E3FD13A6B58B}"/>
    <cellStyle name="Millares 45 2 6 2" xfId="3395" xr:uid="{F1E45B50-563E-492F-8EAB-38ADF653472A}"/>
    <cellStyle name="Millares 45 2 7" xfId="2663" xr:uid="{5441C2A6-FB5C-4E31-A2C8-4A36CD4163C9}"/>
    <cellStyle name="Millares 45 2 8" xfId="3561" xr:uid="{8A1D58B4-26F8-475C-B576-360406B5C64B}"/>
    <cellStyle name="Millares 45 3" xfId="708" xr:uid="{00000000-0005-0000-0000-0000C3020000}"/>
    <cellStyle name="Millares 45 3 2" xfId="1904" xr:uid="{8732B237-E78E-4018-90A7-EC5FF0954B3D}"/>
    <cellStyle name="Millares 45 3 2 2" xfId="3167" xr:uid="{1E2ADBCB-A43D-475F-8ED7-88A79B08FF8E}"/>
    <cellStyle name="Millares 45 3 3" xfId="2669" xr:uid="{22401DBF-FB0A-45B6-B04D-1FC457D7AE3E}"/>
    <cellStyle name="Millares 45 4" xfId="2662" xr:uid="{5C3B336F-7CA2-48CF-B84B-F92C8BD6031A}"/>
    <cellStyle name="Millares 46" xfId="709" xr:uid="{00000000-0005-0000-0000-0000C4020000}"/>
    <cellStyle name="Millares 46 2" xfId="710" xr:uid="{00000000-0005-0000-0000-0000C5020000}"/>
    <cellStyle name="Millares 46 2 2" xfId="711" xr:uid="{00000000-0005-0000-0000-0000C6020000}"/>
    <cellStyle name="Millares 46 2 2 2" xfId="712" xr:uid="{00000000-0005-0000-0000-0000C7020000}"/>
    <cellStyle name="Millares 46 2 2 2 2" xfId="1907" xr:uid="{A205AE55-82C7-4F8A-978E-C8456808D565}"/>
    <cellStyle name="Millares 46 2 2 2 2 2" xfId="3170" xr:uid="{D274A15E-A11F-4101-B357-E96BFF93023A}"/>
    <cellStyle name="Millares 46 2 2 2 3" xfId="2673" xr:uid="{8514662F-0603-479F-8598-14CF13CE901D}"/>
    <cellStyle name="Millares 46 2 2 3" xfId="1906" xr:uid="{0EBD4717-D7B7-46A0-BC00-02970A412BE5}"/>
    <cellStyle name="Millares 46 2 2 3 2" xfId="3169" xr:uid="{56F69010-6B04-4409-991D-9F5750D8C76C}"/>
    <cellStyle name="Millares 46 2 2 4" xfId="2672" xr:uid="{1B614136-E9F4-49C8-925F-B5FED399E346}"/>
    <cellStyle name="Millares 46 2 3" xfId="713" xr:uid="{00000000-0005-0000-0000-0000C8020000}"/>
    <cellStyle name="Millares 46 2 3 2" xfId="714" xr:uid="{00000000-0005-0000-0000-0000C9020000}"/>
    <cellStyle name="Millares 46 2 3 2 2" xfId="1909" xr:uid="{73BD4AFA-DDAE-4ED8-891B-50EE60D355D9}"/>
    <cellStyle name="Millares 46 2 3 2 2 2" xfId="3172" xr:uid="{47484D5A-6043-4124-B89C-F84813B45036}"/>
    <cellStyle name="Millares 46 2 3 2 3" xfId="2675" xr:uid="{817B53F4-48C5-4610-BE93-72EB8E5414E0}"/>
    <cellStyle name="Millares 46 2 3 3" xfId="1908" xr:uid="{6089D353-66D9-4FA1-8E48-7D5D12EC84B3}"/>
    <cellStyle name="Millares 46 2 3 3 2" xfId="3171" xr:uid="{3CB7ECD5-8751-4A78-BB49-32BCD651BC62}"/>
    <cellStyle name="Millares 46 2 3 4" xfId="2674" xr:uid="{6B9F6C97-A4F9-41D8-B51B-BD48AAC5CFEB}"/>
    <cellStyle name="Millares 46 2 4" xfId="715" xr:uid="{00000000-0005-0000-0000-0000CA020000}"/>
    <cellStyle name="Millares 46 2 4 2" xfId="1910" xr:uid="{97076BD3-AC7B-47CA-9CD4-388739412F40}"/>
    <cellStyle name="Millares 46 2 4 2 2" xfId="3173" xr:uid="{4D28D725-E840-41A1-885D-678A41D35CD7}"/>
    <cellStyle name="Millares 46 2 4 3" xfId="2676" xr:uid="{F282F918-1283-4F1E-85D0-5EC626451F51}"/>
    <cellStyle name="Millares 46 2 5" xfId="1905" xr:uid="{840D65DF-5812-4009-9C1A-C5442CB3C004}"/>
    <cellStyle name="Millares 46 2 5 2" xfId="3168" xr:uid="{52F8B2FB-4045-4A16-AC3F-5743FD51F6DE}"/>
    <cellStyle name="Millares 46 2 6" xfId="2200" xr:uid="{8430CD1A-CCA3-48E0-B5C4-ABA911D71415}"/>
    <cellStyle name="Millares 46 2 6 2" xfId="3396" xr:uid="{91F4AAB0-DAC5-4CD0-89FA-17FD8FBC5EC6}"/>
    <cellStyle name="Millares 46 2 7" xfId="2671" xr:uid="{0A0CBB62-10D0-49C8-8C1A-E274D62E00D3}"/>
    <cellStyle name="Millares 46 2 8" xfId="3562" xr:uid="{4ACBB8C8-F48A-4EB8-BF10-AB6AD0DC5F6A}"/>
    <cellStyle name="Millares 46 3" xfId="716" xr:uid="{00000000-0005-0000-0000-0000CB020000}"/>
    <cellStyle name="Millares 46 3 2" xfId="1911" xr:uid="{5CEA3856-EF51-4E48-8060-0AD6B9BA64B3}"/>
    <cellStyle name="Millares 46 3 2 2" xfId="3174" xr:uid="{28410A65-DFBA-4E91-8F46-FA82B1C59C16}"/>
    <cellStyle name="Millares 46 3 3" xfId="2677" xr:uid="{DC0F34F7-251A-4023-B95B-FD06BA9CD565}"/>
    <cellStyle name="Millares 46 4" xfId="2670" xr:uid="{E4C38023-2EAF-4717-9994-655DB6670E6B}"/>
    <cellStyle name="Millares 47" xfId="717" xr:uid="{00000000-0005-0000-0000-0000CC020000}"/>
    <cellStyle name="Millares 47 10" xfId="3706" xr:uid="{A08BD7CE-9003-4589-ADE8-416FD97890DC}"/>
    <cellStyle name="Millares 47 11" xfId="3784" xr:uid="{53866B61-06C0-4EDC-9C9D-19BACBBB6D68}"/>
    <cellStyle name="Millares 47 12" xfId="3848" xr:uid="{99CD2614-159B-4455-8EEA-32399D6AA161}"/>
    <cellStyle name="Millares 47 2" xfId="718" xr:uid="{00000000-0005-0000-0000-0000CD020000}"/>
    <cellStyle name="Millares 47 2 10" xfId="3785" xr:uid="{183CF7C7-BBE3-4DB8-92FE-7A4C7CE9DC43}"/>
    <cellStyle name="Millares 47 2 11" xfId="3849" xr:uid="{9A153248-B982-44F6-8E4C-02E9A0C5BAB3}"/>
    <cellStyle name="Millares 47 2 2" xfId="719" xr:uid="{00000000-0005-0000-0000-0000CE020000}"/>
    <cellStyle name="Millares 47 2 2 2" xfId="720" xr:uid="{00000000-0005-0000-0000-0000CF020000}"/>
    <cellStyle name="Millares 47 2 2 2 2" xfId="1915" xr:uid="{1C0A93B2-2CC4-4A85-99A7-CB98E4C93D6F}"/>
    <cellStyle name="Millares 47 2 2 2 2 2" xfId="3178" xr:uid="{DBC88451-4F20-4825-939E-7FBDE857A49D}"/>
    <cellStyle name="Millares 47 2 2 2 3" xfId="2681" xr:uid="{99D91205-6B42-44D2-99D9-E1FF789425F8}"/>
    <cellStyle name="Millares 47 2 2 3" xfId="1914" xr:uid="{E14FE777-C764-4E7E-9617-7CD892E7640C}"/>
    <cellStyle name="Millares 47 2 2 3 2" xfId="3177" xr:uid="{1A24557F-4733-4DFC-897E-4DF6EE30F9E4}"/>
    <cellStyle name="Millares 47 2 2 4" xfId="2680" xr:uid="{815CC123-B8EA-4B78-A093-60A883AE3C46}"/>
    <cellStyle name="Millares 47 2 3" xfId="721" xr:uid="{00000000-0005-0000-0000-0000D0020000}"/>
    <cellStyle name="Millares 47 2 3 2" xfId="722" xr:uid="{00000000-0005-0000-0000-0000D1020000}"/>
    <cellStyle name="Millares 47 2 3 2 2" xfId="1917" xr:uid="{762BE865-147E-436C-BF2E-6FDC3468B4C7}"/>
    <cellStyle name="Millares 47 2 3 2 2 2" xfId="3180" xr:uid="{356C7AE7-D73F-406B-9535-4BE9C69CA8DC}"/>
    <cellStyle name="Millares 47 2 3 2 3" xfId="2683" xr:uid="{B977AAFF-0F68-44EC-87B7-BB5BF9B230D7}"/>
    <cellStyle name="Millares 47 2 3 3" xfId="1916" xr:uid="{48084318-C79C-49ED-92B3-AAF6F7696799}"/>
    <cellStyle name="Millares 47 2 3 3 2" xfId="3179" xr:uid="{872E52F4-8373-45B2-9DF3-F5E329C17D73}"/>
    <cellStyle name="Millares 47 2 3 4" xfId="2682" xr:uid="{180AFF65-52EB-4454-A5F0-23CA9647C079}"/>
    <cellStyle name="Millares 47 2 4" xfId="723" xr:uid="{00000000-0005-0000-0000-0000D2020000}"/>
    <cellStyle name="Millares 47 2 4 2" xfId="1918" xr:uid="{7C8A2F0C-C661-4862-8938-99A5CB085F8A}"/>
    <cellStyle name="Millares 47 2 4 2 2" xfId="3181" xr:uid="{36267828-6AE6-4956-B5CE-B90A04906AC2}"/>
    <cellStyle name="Millares 47 2 4 3" xfId="2684" xr:uid="{013FD636-7F97-463F-812B-A8C19A11B46E}"/>
    <cellStyle name="Millares 47 2 5" xfId="1913" xr:uid="{34FF77EE-666F-4167-8B2C-730AB5ED6ECC}"/>
    <cellStyle name="Millares 47 2 5 2" xfId="3176" xr:uid="{2B6CB419-3247-48B0-9E53-950D153EBBA2}"/>
    <cellStyle name="Millares 47 2 6" xfId="2201" xr:uid="{FDCAF04A-811F-4718-876F-86468B271C35}"/>
    <cellStyle name="Millares 47 2 6 2" xfId="3397" xr:uid="{E033AF5B-F023-410F-98AF-621FA60F589B}"/>
    <cellStyle name="Millares 47 2 7" xfId="2679" xr:uid="{39D3E4DA-0863-4C58-955C-679B2C6A81EF}"/>
    <cellStyle name="Millares 47 2 8" xfId="3563" xr:uid="{5AC75E02-0510-451A-B4C5-08957E8C0737}"/>
    <cellStyle name="Millares 47 2 9" xfId="3707" xr:uid="{87F7A0C1-5144-4483-988A-4CD00DFF444D}"/>
    <cellStyle name="Millares 47 3" xfId="724" xr:uid="{00000000-0005-0000-0000-0000D3020000}"/>
    <cellStyle name="Millares 47 3 2" xfId="725" xr:uid="{00000000-0005-0000-0000-0000D4020000}"/>
    <cellStyle name="Millares 47 3 2 2" xfId="1920" xr:uid="{2C9EA779-405B-49B6-B77A-7CA0BBA2D2EC}"/>
    <cellStyle name="Millares 47 3 2 2 2" xfId="3183" xr:uid="{74332C65-5923-4BDB-894E-FF63E56899DF}"/>
    <cellStyle name="Millares 47 3 2 3" xfId="2686" xr:uid="{593D5C85-134C-47D9-979D-BD77A4C1A434}"/>
    <cellStyle name="Millares 47 3 3" xfId="1919" xr:uid="{5A9D840A-45C7-426E-9954-3E5F11E1218C}"/>
    <cellStyle name="Millares 47 3 3 2" xfId="3182" xr:uid="{E0D65377-7E5D-423C-B28C-1220EC5EA502}"/>
    <cellStyle name="Millares 47 3 4" xfId="2685" xr:uid="{732DA9B9-5CEC-49A3-BED6-260B5F9DC729}"/>
    <cellStyle name="Millares 47 4" xfId="726" xr:uid="{00000000-0005-0000-0000-0000D5020000}"/>
    <cellStyle name="Millares 47 4 2" xfId="727" xr:uid="{00000000-0005-0000-0000-0000D6020000}"/>
    <cellStyle name="Millares 47 4 2 2" xfId="1922" xr:uid="{D29819FE-62AA-4977-9754-8CAB29094C49}"/>
    <cellStyle name="Millares 47 4 2 2 2" xfId="3185" xr:uid="{5938B4A9-C4A3-4B0F-BF83-A6AAECC712EB}"/>
    <cellStyle name="Millares 47 4 2 3" xfId="2688" xr:uid="{BF93F652-D7F6-4370-A70D-3A668908D61A}"/>
    <cellStyle name="Millares 47 4 3" xfId="1921" xr:uid="{FA11F724-67FF-441B-9ED6-3580D5EB2B18}"/>
    <cellStyle name="Millares 47 4 3 2" xfId="3184" xr:uid="{76E33683-C299-439A-8CFD-F71D7C864482}"/>
    <cellStyle name="Millares 47 4 4" xfId="2687" xr:uid="{29BB9CA8-57B2-4311-803A-F171FEF5493F}"/>
    <cellStyle name="Millares 47 5" xfId="728" xr:uid="{00000000-0005-0000-0000-0000D7020000}"/>
    <cellStyle name="Millares 47 5 2" xfId="1923" xr:uid="{ACA7D664-6179-4287-B5E5-DC31A32AC155}"/>
    <cellStyle name="Millares 47 5 2 2" xfId="3186" xr:uid="{5419191F-E5B3-4D42-BFE4-D7B5B7FF6269}"/>
    <cellStyle name="Millares 47 5 3" xfId="2689" xr:uid="{A7002CA3-9603-41B7-8D43-98CCC91A4511}"/>
    <cellStyle name="Millares 47 6" xfId="1912" xr:uid="{8D4E5105-9AC1-4D30-B2CA-9399820EB082}"/>
    <cellStyle name="Millares 47 6 2" xfId="3175" xr:uid="{BCCBBF86-638F-47D2-B91D-0F1AADC217FC}"/>
    <cellStyle name="Millares 47 7" xfId="2147" xr:uid="{02D889A1-E25E-4523-AC22-1EA1765BB794}"/>
    <cellStyle name="Millares 47 7 2" xfId="3349" xr:uid="{4F053138-AD0B-4E54-BD36-E46CB83F6D25}"/>
    <cellStyle name="Millares 47 8" xfId="2678" xr:uid="{C8C78349-E51A-48A9-9D34-668C9EBAC464}"/>
    <cellStyle name="Millares 47 9" xfId="3515" xr:uid="{E4CDF20C-77D3-4250-9C06-13ABC97A5323}"/>
    <cellStyle name="Millares 48" xfId="729" xr:uid="{00000000-0005-0000-0000-0000D8020000}"/>
    <cellStyle name="Millares 48 2" xfId="730" xr:uid="{00000000-0005-0000-0000-0000D9020000}"/>
    <cellStyle name="Millares 48 2 2" xfId="731" xr:uid="{00000000-0005-0000-0000-0000DA020000}"/>
    <cellStyle name="Millares 48 2 2 2" xfId="732" xr:uid="{00000000-0005-0000-0000-0000DB020000}"/>
    <cellStyle name="Millares 48 2 2 2 2" xfId="1926" xr:uid="{3E707F13-732E-4B5B-A391-44952C808E04}"/>
    <cellStyle name="Millares 48 2 2 2 2 2" xfId="3189" xr:uid="{85CD1C75-2DEA-4E69-825F-B1B3FB41070D}"/>
    <cellStyle name="Millares 48 2 2 2 3" xfId="2693" xr:uid="{FF8228FB-6EA4-45A6-B55B-C2EADBF06B84}"/>
    <cellStyle name="Millares 48 2 2 3" xfId="1925" xr:uid="{9CAE2599-9B98-4F36-A5CD-868DA4062794}"/>
    <cellStyle name="Millares 48 2 2 3 2" xfId="3188" xr:uid="{FD6DB85C-B19D-431C-9D67-27B9B40D3494}"/>
    <cellStyle name="Millares 48 2 2 4" xfId="2692" xr:uid="{753EC58A-FC2C-4B6B-B574-B6A002FB44B2}"/>
    <cellStyle name="Millares 48 2 3" xfId="733" xr:uid="{00000000-0005-0000-0000-0000DC020000}"/>
    <cellStyle name="Millares 48 2 3 2" xfId="734" xr:uid="{00000000-0005-0000-0000-0000DD020000}"/>
    <cellStyle name="Millares 48 2 3 2 2" xfId="1928" xr:uid="{768F82F1-EC92-4603-9272-0660F5BF99B8}"/>
    <cellStyle name="Millares 48 2 3 2 2 2" xfId="3191" xr:uid="{FE1B36B6-A7F9-467A-B4C0-7E2B2B540C25}"/>
    <cellStyle name="Millares 48 2 3 2 3" xfId="2695" xr:uid="{ED5C8266-C370-4606-856C-3A6E611D8968}"/>
    <cellStyle name="Millares 48 2 3 3" xfId="1927" xr:uid="{95D6A81E-EE7F-4831-83D1-3A2DB6A5D185}"/>
    <cellStyle name="Millares 48 2 3 3 2" xfId="3190" xr:uid="{2369054E-D4B9-436E-B98E-AEC12B1C9A1F}"/>
    <cellStyle name="Millares 48 2 3 4" xfId="2694" xr:uid="{C66158D8-572F-411E-8C80-21C7ACCB095F}"/>
    <cellStyle name="Millares 48 2 4" xfId="735" xr:uid="{00000000-0005-0000-0000-0000DE020000}"/>
    <cellStyle name="Millares 48 2 4 2" xfId="1929" xr:uid="{5B3288B2-A3D6-4094-A145-F18C0C01DF55}"/>
    <cellStyle name="Millares 48 2 4 2 2" xfId="3192" xr:uid="{38374DE7-A8B9-4382-B603-26A060250D0E}"/>
    <cellStyle name="Millares 48 2 4 3" xfId="2696" xr:uid="{C399B75D-F9B4-42BD-8502-952F7F80545E}"/>
    <cellStyle name="Millares 48 2 5" xfId="1924" xr:uid="{11E161B2-91D5-4F90-9270-4850CF5FFD8C}"/>
    <cellStyle name="Millares 48 2 5 2" xfId="3187" xr:uid="{DC1D7AE7-CF4A-44E9-808C-18B93CB1CA69}"/>
    <cellStyle name="Millares 48 2 6" xfId="2202" xr:uid="{DCEE4E0C-5648-4282-A8B9-78C86A920730}"/>
    <cellStyle name="Millares 48 2 6 2" xfId="3398" xr:uid="{9EBFAC20-0DD8-4E5D-BED7-6058D5180AD8}"/>
    <cellStyle name="Millares 48 2 7" xfId="2691" xr:uid="{7717B14A-4CE7-44E8-AD58-536F5B89E4C5}"/>
    <cellStyle name="Millares 48 2 8" xfId="3564" xr:uid="{80A32640-3A5D-482F-9738-755FFE115074}"/>
    <cellStyle name="Millares 48 3" xfId="736" xr:uid="{00000000-0005-0000-0000-0000DF020000}"/>
    <cellStyle name="Millares 48 3 2" xfId="1930" xr:uid="{7515D561-0442-4706-9EA9-DC04926217F6}"/>
    <cellStyle name="Millares 48 3 2 2" xfId="3193" xr:uid="{BC2A3471-74F6-4480-876F-62E2FFE4A51E}"/>
    <cellStyle name="Millares 48 3 3" xfId="2697" xr:uid="{B29AB0A5-C8E1-4E4A-939E-FAD2964B2506}"/>
    <cellStyle name="Millares 48 4" xfId="2690" xr:uid="{E56BB52D-93EF-47E7-A87F-3568CA1098F8}"/>
    <cellStyle name="Millares 49" xfId="737" xr:uid="{00000000-0005-0000-0000-0000E0020000}"/>
    <cellStyle name="Millares 49 2" xfId="738" xr:uid="{00000000-0005-0000-0000-0000E1020000}"/>
    <cellStyle name="Millares 49 2 2" xfId="739" xr:uid="{00000000-0005-0000-0000-0000E2020000}"/>
    <cellStyle name="Millares 49 3" xfId="740" xr:uid="{00000000-0005-0000-0000-0000E3020000}"/>
    <cellStyle name="Millares 49 4" xfId="741" xr:uid="{00000000-0005-0000-0000-0000E4020000}"/>
    <cellStyle name="Millares 49 4 2" xfId="742" xr:uid="{00000000-0005-0000-0000-0000E5020000}"/>
    <cellStyle name="Millares 49 5" xfId="2203" xr:uid="{A20E2499-6CE4-4C47-9978-F02732A34D34}"/>
    <cellStyle name="Millares 49 5 2" xfId="3399" xr:uid="{FAF40949-8ED9-4286-BAC5-784E60B2D2BF}"/>
    <cellStyle name="Millares 49 6" xfId="3565" xr:uid="{7F475B21-809D-4CE2-B79A-29CFEF5801EF}"/>
    <cellStyle name="Millares 5" xfId="743" xr:uid="{00000000-0005-0000-0000-0000E6020000}"/>
    <cellStyle name="Millares 5 2" xfId="744" xr:uid="{00000000-0005-0000-0000-0000E7020000}"/>
    <cellStyle name="Millares 5 2 2" xfId="745" xr:uid="{00000000-0005-0000-0000-0000E8020000}"/>
    <cellStyle name="Millares 5 2 2 2" xfId="746" xr:uid="{00000000-0005-0000-0000-0000E9020000}"/>
    <cellStyle name="Millares 5 2 2 2 2" xfId="747" xr:uid="{00000000-0005-0000-0000-0000EA020000}"/>
    <cellStyle name="Millares 5 2 2 2 2 2" xfId="1935" xr:uid="{72E8A76E-31AD-4C1C-8B8E-F5123746837B}"/>
    <cellStyle name="Millares 5 2 2 2 2 2 2" xfId="3198" xr:uid="{99DA51FE-1318-4A01-92D3-642D93FD47B6}"/>
    <cellStyle name="Millares 5 2 2 2 2 3" xfId="2702" xr:uid="{130DDEB9-02AB-4526-B681-5FC643E4248A}"/>
    <cellStyle name="Millares 5 2 2 2 3" xfId="1934" xr:uid="{445A4F4E-4414-428A-A3A4-6DAA89F39DF7}"/>
    <cellStyle name="Millares 5 2 2 2 3 2" xfId="3197" xr:uid="{5F317238-6E01-4502-84C1-A857B7639F19}"/>
    <cellStyle name="Millares 5 2 2 2 4" xfId="2701" xr:uid="{D4ACA175-C99D-4C1D-BF74-5FC0586366AD}"/>
    <cellStyle name="Millares 5 2 2 3" xfId="748" xr:uid="{00000000-0005-0000-0000-0000EB020000}"/>
    <cellStyle name="Millares 5 2 2 3 2" xfId="749" xr:uid="{00000000-0005-0000-0000-0000EC020000}"/>
    <cellStyle name="Millares 5 2 2 3 2 2" xfId="1937" xr:uid="{2C29F6B3-6D94-4C4E-B944-66B54CC52DB9}"/>
    <cellStyle name="Millares 5 2 2 3 2 2 2" xfId="3200" xr:uid="{F96739C4-C436-449F-B56D-519F5F46A75B}"/>
    <cellStyle name="Millares 5 2 2 3 2 3" xfId="2704" xr:uid="{6773B0AC-B20D-4964-A6AA-0E0B8A06EE3D}"/>
    <cellStyle name="Millares 5 2 2 3 3" xfId="1936" xr:uid="{5639EBC5-2471-4DDB-A7C0-DCF89D479591}"/>
    <cellStyle name="Millares 5 2 2 3 3 2" xfId="3199" xr:uid="{D13C7E3F-3016-4828-94AE-2881DCD52423}"/>
    <cellStyle name="Millares 5 2 2 3 4" xfId="2703" xr:uid="{C01D3F97-01EB-41AC-8548-37BAB44AA797}"/>
    <cellStyle name="Millares 5 2 2 4" xfId="750" xr:uid="{00000000-0005-0000-0000-0000ED020000}"/>
    <cellStyle name="Millares 5 2 2 4 2" xfId="1938" xr:uid="{73E4753A-93B3-49DB-BAE1-F2FFA7E42387}"/>
    <cellStyle name="Millares 5 2 2 4 2 2" xfId="3201" xr:uid="{391F0673-E8D5-4E10-831B-5DF9CC432202}"/>
    <cellStyle name="Millares 5 2 2 4 3" xfId="2705" xr:uid="{8D2BBFD8-2D66-40A3-ABAB-111BFC23308B}"/>
    <cellStyle name="Millares 5 2 2 5" xfId="1933" xr:uid="{32DD2754-94F6-4689-AC57-2B9DF65FC0EF}"/>
    <cellStyle name="Millares 5 2 2 5 2" xfId="3196" xr:uid="{84C3AB9B-EEC8-498B-9FC0-11CA9299AE92}"/>
    <cellStyle name="Millares 5 2 2 6" xfId="2205" xr:uid="{61D5D630-851F-4549-9DA5-76C932B355BF}"/>
    <cellStyle name="Millares 5 2 2 6 2" xfId="3401" xr:uid="{68E43002-E5F6-4F30-85DD-E0BFD4BA727A}"/>
    <cellStyle name="Millares 5 2 2 7" xfId="2700" xr:uid="{00146647-6CBA-4DC3-8924-1DF78BA460BB}"/>
    <cellStyle name="Millares 5 2 2 8" xfId="3567" xr:uid="{1CBED9A3-2B14-4D9F-9D7D-7B573FA1A531}"/>
    <cellStyle name="Millares 5 2 3" xfId="751" xr:uid="{00000000-0005-0000-0000-0000EE020000}"/>
    <cellStyle name="Millares 5 2 3 2" xfId="1939" xr:uid="{B7893AAE-3CF7-4ED3-8144-9ABD5072EBDD}"/>
    <cellStyle name="Millares 5 2 3 2 2" xfId="3202" xr:uid="{531E846B-31D9-4193-BF8C-4B9465985913}"/>
    <cellStyle name="Millares 5 2 3 3" xfId="2706" xr:uid="{F4C822B4-EE51-4BB7-9E43-9ACF3F1AF212}"/>
    <cellStyle name="Millares 5 2 4" xfId="1932" xr:uid="{81A414D1-2015-419C-B403-0AE1759822C4}"/>
    <cellStyle name="Millares 5 2 4 2" xfId="3195" xr:uid="{8EB322BD-69ED-4929-9688-4D27B9FF11E8}"/>
    <cellStyle name="Millares 5 2 5" xfId="2699" xr:uid="{B3BFF58C-FE37-4540-A0E9-7097095B5DEB}"/>
    <cellStyle name="Millares 5 2 6" xfId="3851" xr:uid="{DF26099B-2B6A-4341-8460-797FABABCCB3}"/>
    <cellStyle name="Millares 5 3" xfId="752" xr:uid="{00000000-0005-0000-0000-0000EF020000}"/>
    <cellStyle name="Millares 5 3 2" xfId="753" xr:uid="{00000000-0005-0000-0000-0000F0020000}"/>
    <cellStyle name="Millares 5 3 2 2" xfId="754" xr:uid="{00000000-0005-0000-0000-0000F1020000}"/>
    <cellStyle name="Millares 5 3 2 2 2" xfId="1941" xr:uid="{F04E6D7A-AB41-4464-BBB2-F7F09D12078A}"/>
    <cellStyle name="Millares 5 3 2 2 2 2" xfId="3204" xr:uid="{BAC33BD2-F66A-42CB-9BFC-DF24A9282E1E}"/>
    <cellStyle name="Millares 5 3 2 2 3" xfId="2709" xr:uid="{E55CEF84-44DA-4307-9624-9BA09B6237CC}"/>
    <cellStyle name="Millares 5 3 2 3" xfId="1940" xr:uid="{A7BB1213-B0D8-4478-BEB5-469D13CC00C8}"/>
    <cellStyle name="Millares 5 3 2 3 2" xfId="3203" xr:uid="{DB7FBC8D-59BB-432A-A6CF-3FD32701A946}"/>
    <cellStyle name="Millares 5 3 2 4" xfId="2708" xr:uid="{6EFB0BBD-E424-4799-BD08-47CEDC5E3B36}"/>
    <cellStyle name="Millares 5 3 3" xfId="755" xr:uid="{00000000-0005-0000-0000-0000F2020000}"/>
    <cellStyle name="Millares 5 3 3 2" xfId="1942" xr:uid="{C4A96672-582C-4FD6-95E8-6C06FA25A6C6}"/>
    <cellStyle name="Millares 5 3 3 2 2" xfId="3205" xr:uid="{E82D91F5-5B21-42C4-8742-E245443FB113}"/>
    <cellStyle name="Millares 5 3 3 3" xfId="2710" xr:uid="{9CF40341-BD67-49EC-B482-23EA8CBFE18E}"/>
    <cellStyle name="Millares 5 3 4" xfId="2707" xr:uid="{3314FE03-23C0-4E8A-8A66-77BAE236C412}"/>
    <cellStyle name="Millares 5 3 5" xfId="3708" xr:uid="{A5DDEF0B-0E42-4A80-8AEB-976771EA78F2}"/>
    <cellStyle name="Millares 5 4" xfId="756" xr:uid="{00000000-0005-0000-0000-0000F3020000}"/>
    <cellStyle name="Millares 5 4 2" xfId="757" xr:uid="{00000000-0005-0000-0000-0000F4020000}"/>
    <cellStyle name="Millares 5 4 2 2" xfId="758" xr:uid="{00000000-0005-0000-0000-0000F5020000}"/>
    <cellStyle name="Millares 5 4 2 2 2" xfId="1945" xr:uid="{152D78A2-1FBA-4C9D-A15E-4DBC5C8F055B}"/>
    <cellStyle name="Millares 5 4 2 2 2 2" xfId="3208" xr:uid="{ADE1E4DD-81CA-496A-8C36-EFB90E28DC7F}"/>
    <cellStyle name="Millares 5 4 2 2 3" xfId="2713" xr:uid="{560A1D91-A81C-4060-A0AF-E2FD0521B3C2}"/>
    <cellStyle name="Millares 5 4 2 3" xfId="1944" xr:uid="{D0BEBAF4-FE4E-41BE-9166-399B1638CEE2}"/>
    <cellStyle name="Millares 5 4 2 3 2" xfId="3207" xr:uid="{FF7E9CA1-7BEA-4711-88BF-5C89489C0E99}"/>
    <cellStyle name="Millares 5 4 2 4" xfId="2712" xr:uid="{845600F9-1689-410B-9D56-02DAC660F1DA}"/>
    <cellStyle name="Millares 5 4 3" xfId="759" xr:uid="{00000000-0005-0000-0000-0000F6020000}"/>
    <cellStyle name="Millares 5 4 3 2" xfId="760" xr:uid="{00000000-0005-0000-0000-0000F7020000}"/>
    <cellStyle name="Millares 5 4 3 2 2" xfId="1947" xr:uid="{0CE88C8C-79FF-48C6-A167-5AE3071354C6}"/>
    <cellStyle name="Millares 5 4 3 2 2 2" xfId="3210" xr:uid="{54A88703-054A-4885-B6DC-2A4EC08319F9}"/>
    <cellStyle name="Millares 5 4 3 2 3" xfId="2715" xr:uid="{B478D9B4-7D05-4DFB-905C-DD61A4FB2F60}"/>
    <cellStyle name="Millares 5 4 3 3" xfId="1946" xr:uid="{F2634185-1BAD-4009-841F-037FFD5ABA57}"/>
    <cellStyle name="Millares 5 4 3 3 2" xfId="3209" xr:uid="{3C53E0AB-7BEA-4213-BF13-4B052F647833}"/>
    <cellStyle name="Millares 5 4 3 4" xfId="2714" xr:uid="{2C43B375-5371-4C81-AAF0-0911F5453A52}"/>
    <cellStyle name="Millares 5 4 4" xfId="761" xr:uid="{00000000-0005-0000-0000-0000F8020000}"/>
    <cellStyle name="Millares 5 4 4 2" xfId="1948" xr:uid="{2B70A4C0-8B16-4FB7-9C06-28DCA06AE3A6}"/>
    <cellStyle name="Millares 5 4 4 2 2" xfId="3211" xr:uid="{7EF3B933-632E-4647-847F-CA3B5675AD6C}"/>
    <cellStyle name="Millares 5 4 4 3" xfId="2716" xr:uid="{B122E635-DA7D-4D8B-ABE1-156FCC8343D6}"/>
    <cellStyle name="Millares 5 4 5" xfId="1943" xr:uid="{1CC381E6-D6C9-44D8-91CA-5C9A7B0FB939}"/>
    <cellStyle name="Millares 5 4 5 2" xfId="3206" xr:uid="{782D452D-9781-464A-91C7-4DCAE3E6D137}"/>
    <cellStyle name="Millares 5 4 6" xfId="2204" xr:uid="{2D4BE098-74E6-4488-9C31-A3CDD935308C}"/>
    <cellStyle name="Millares 5 4 6 2" xfId="3400" xr:uid="{3E5F10DF-A842-4848-B21D-2201F64919CE}"/>
    <cellStyle name="Millares 5 4 7" xfId="2711" xr:uid="{ED208226-5E1D-441A-A253-F179F825D690}"/>
    <cellStyle name="Millares 5 4 8" xfId="3566" xr:uid="{6512153F-545A-4C1A-935C-42FBB2CDF507}"/>
    <cellStyle name="Millares 5 5" xfId="762" xr:uid="{00000000-0005-0000-0000-0000F9020000}"/>
    <cellStyle name="Millares 5 5 2" xfId="1949" xr:uid="{F3D067B9-6D9D-4788-BDC2-27D1C7E506C5}"/>
    <cellStyle name="Millares 5 5 2 2" xfId="3212" xr:uid="{FC597606-E84A-4135-A5C5-BAA7079304B5}"/>
    <cellStyle name="Millares 5 5 3" xfId="2717" xr:uid="{6AA627B1-727C-45BA-9911-9441579E26F1}"/>
    <cellStyle name="Millares 5 6" xfId="1931" xr:uid="{393FAEA3-E6A0-4088-B334-1F2F4F5EFA15}"/>
    <cellStyle name="Millares 5 6 2" xfId="3194" xr:uid="{CDE7B39E-3E9B-49C9-96F7-DD9641F575DC}"/>
    <cellStyle name="Millares 5 7" xfId="2698" xr:uid="{F803A8F5-508D-4205-BC94-7FAB8695676C}"/>
    <cellStyle name="Millares 5 8" xfId="3850" xr:uid="{E2F9D96A-A616-4F0F-92DC-77BDBBB8EA45}"/>
    <cellStyle name="Millares 50" xfId="763" xr:uid="{00000000-0005-0000-0000-0000FA020000}"/>
    <cellStyle name="Millares 50 2" xfId="764" xr:uid="{00000000-0005-0000-0000-0000FB020000}"/>
    <cellStyle name="Millares 50 2 2" xfId="765" xr:uid="{00000000-0005-0000-0000-0000FC020000}"/>
    <cellStyle name="Millares 50 3" xfId="766" xr:uid="{00000000-0005-0000-0000-0000FD020000}"/>
    <cellStyle name="Millares 50 4" xfId="767" xr:uid="{00000000-0005-0000-0000-0000FE020000}"/>
    <cellStyle name="Millares 50 4 2" xfId="768" xr:uid="{00000000-0005-0000-0000-0000FF020000}"/>
    <cellStyle name="Millares 50 5" xfId="2206" xr:uid="{DD96714C-72A6-4983-A8A4-FD0457C5A82D}"/>
    <cellStyle name="Millares 50 5 2" xfId="3402" xr:uid="{102C6761-516D-4D7B-8ED8-D4F60CA768D9}"/>
    <cellStyle name="Millares 50 6" xfId="3568" xr:uid="{D266B68E-BBD9-4D74-A8DC-112E9C642BBA}"/>
    <cellStyle name="Millares 51" xfId="769" xr:uid="{00000000-0005-0000-0000-000000030000}"/>
    <cellStyle name="Millares 51 2" xfId="770" xr:uid="{00000000-0005-0000-0000-000001030000}"/>
    <cellStyle name="Millares 51 2 2" xfId="771" xr:uid="{00000000-0005-0000-0000-000002030000}"/>
    <cellStyle name="Millares 51 3" xfId="772" xr:uid="{00000000-0005-0000-0000-000003030000}"/>
    <cellStyle name="Millares 51 4" xfId="773" xr:uid="{00000000-0005-0000-0000-000004030000}"/>
    <cellStyle name="Millares 51 4 2" xfId="774" xr:uid="{00000000-0005-0000-0000-000005030000}"/>
    <cellStyle name="Millares 51 5" xfId="2207" xr:uid="{F91EBFFD-4121-4923-A776-F94FFE037409}"/>
    <cellStyle name="Millares 51 5 2" xfId="3403" xr:uid="{9575E034-5D8C-427F-B647-1C7A946DF808}"/>
    <cellStyle name="Millares 51 6" xfId="3569" xr:uid="{DF7448CD-8BEE-4CD3-93C9-AFA4528125FF}"/>
    <cellStyle name="Millares 52" xfId="775" xr:uid="{00000000-0005-0000-0000-000006030000}"/>
    <cellStyle name="Millares 52 2" xfId="776" xr:uid="{00000000-0005-0000-0000-000007030000}"/>
    <cellStyle name="Millares 52 2 2" xfId="1951" xr:uid="{873169FB-B9F0-4F9D-B1E3-E0503BD44D47}"/>
    <cellStyle name="Millares 52 3" xfId="1950" xr:uid="{D87353FB-7868-4147-B6EB-23AB80EFD86D}"/>
    <cellStyle name="Millares 53" xfId="777" xr:uid="{00000000-0005-0000-0000-000008030000}"/>
    <cellStyle name="Millares 53 2" xfId="1952" xr:uid="{DFAD6FA2-17C5-4011-9BAC-7F5A1B4E895C}"/>
    <cellStyle name="Millares 54" xfId="778" xr:uid="{00000000-0005-0000-0000-000009030000}"/>
    <cellStyle name="Millares 54 2" xfId="1953" xr:uid="{3876BECA-A5F2-4A47-B311-B7605E09F3CA}"/>
    <cellStyle name="Millares 55" xfId="779" xr:uid="{00000000-0005-0000-0000-00000A030000}"/>
    <cellStyle name="Millares 55 2" xfId="780" xr:uid="{00000000-0005-0000-0000-00000B030000}"/>
    <cellStyle name="Millares 55 2 2" xfId="781" xr:uid="{00000000-0005-0000-0000-00000C030000}"/>
    <cellStyle name="Millares 55 2 2 2" xfId="782" xr:uid="{00000000-0005-0000-0000-00000D030000}"/>
    <cellStyle name="Millares 55 2 2 2 2" xfId="1956" xr:uid="{41DDFBAF-D4E7-4BCE-9529-15288E7C0200}"/>
    <cellStyle name="Millares 55 2 2 2 2 2" xfId="3215" xr:uid="{124FDB5D-4BDD-4403-ADB8-9E7EF1277575}"/>
    <cellStyle name="Millares 55 2 2 2 3" xfId="2721" xr:uid="{425A2B40-8756-46BA-A2E3-129911E13CCD}"/>
    <cellStyle name="Millares 55 2 2 3" xfId="1955" xr:uid="{3DD2F2E5-3EF7-4A7D-8255-53676136BB81}"/>
    <cellStyle name="Millares 55 2 2 3 2" xfId="3214" xr:uid="{5D716E3B-1530-43AF-B1A5-012FA4C07E45}"/>
    <cellStyle name="Millares 55 2 2 4" xfId="2720" xr:uid="{AE46DCE4-A3C0-4F6A-84A2-596F72B219A4}"/>
    <cellStyle name="Millares 55 2 3" xfId="783" xr:uid="{00000000-0005-0000-0000-00000E030000}"/>
    <cellStyle name="Millares 55 2 3 2" xfId="1957" xr:uid="{1E5AA5CE-A93A-4095-B36D-ACB8F4288242}"/>
    <cellStyle name="Millares 55 2 3 2 2" xfId="3216" xr:uid="{72D6E08B-20CB-474D-8FD2-58DE2B60804F}"/>
    <cellStyle name="Millares 55 2 3 3" xfId="2722" xr:uid="{A633A6BE-22DF-4394-8DA6-A6F4D5896A74}"/>
    <cellStyle name="Millares 55 2 4" xfId="1954" xr:uid="{D9CA2FF1-8B63-4D6E-9C6F-CACAABF942E1}"/>
    <cellStyle name="Millares 55 2 4 2" xfId="3213" xr:uid="{171FF643-3CAE-4E13-850D-61BB1BE7FB77}"/>
    <cellStyle name="Millares 55 2 5" xfId="2719" xr:uid="{DD340E39-4938-4636-BF62-48E423CF39C4}"/>
    <cellStyle name="Millares 55 3" xfId="784" xr:uid="{00000000-0005-0000-0000-00000F030000}"/>
    <cellStyle name="Millares 55 3 2" xfId="785" xr:uid="{00000000-0005-0000-0000-000010030000}"/>
    <cellStyle name="Millares 55 3 2 2" xfId="1959" xr:uid="{857EF177-BF66-4961-9F9E-D80495AFFE19}"/>
    <cellStyle name="Millares 55 3 2 2 2" xfId="3218" xr:uid="{1035534B-0B21-41F0-BF33-1C4CF4F789F9}"/>
    <cellStyle name="Millares 55 3 2 3" xfId="2724" xr:uid="{7BB16B64-2039-442B-A70B-96C3196CBA69}"/>
    <cellStyle name="Millares 55 3 3" xfId="1958" xr:uid="{4210F27E-DC85-4314-9227-CB5979A11DD8}"/>
    <cellStyle name="Millares 55 3 3 2" xfId="3217" xr:uid="{9980C28D-D211-4E14-A56E-67B66BE3C437}"/>
    <cellStyle name="Millares 55 3 4" xfId="2723" xr:uid="{E0D8D026-552C-4E71-89FC-AA1965F0B430}"/>
    <cellStyle name="Millares 55 4" xfId="786" xr:uid="{00000000-0005-0000-0000-000011030000}"/>
    <cellStyle name="Millares 55 4 2" xfId="787" xr:uid="{00000000-0005-0000-0000-000012030000}"/>
    <cellStyle name="Millares 55 4 2 2" xfId="1961" xr:uid="{F67063BA-F51B-4F30-879C-5FCA8B114299}"/>
    <cellStyle name="Millares 55 4 2 2 2" xfId="3220" xr:uid="{DDFF9EDC-0DA3-4864-AB06-9854CD90C1C5}"/>
    <cellStyle name="Millares 55 4 2 3" xfId="2726" xr:uid="{2B0C6DE9-155B-4BCE-AE26-C0F49E741629}"/>
    <cellStyle name="Millares 55 4 3" xfId="1960" xr:uid="{628E361C-CAA7-4F15-853B-F8EFB1D90C76}"/>
    <cellStyle name="Millares 55 4 3 2" xfId="3219" xr:uid="{970454FA-2C7D-4117-B862-25791DAEC034}"/>
    <cellStyle name="Millares 55 4 4" xfId="2725" xr:uid="{57234351-543B-4B94-BD9F-4621A6D461BB}"/>
    <cellStyle name="Millares 55 5" xfId="788" xr:uid="{00000000-0005-0000-0000-000013030000}"/>
    <cellStyle name="Millares 55 5 2" xfId="1962" xr:uid="{7BB94729-DAEC-437D-94DC-7A9C179C8878}"/>
    <cellStyle name="Millares 55 5 2 2" xfId="3221" xr:uid="{67B807AB-C13C-451B-8C8D-99EA069AA470}"/>
    <cellStyle name="Millares 55 5 3" xfId="2727" xr:uid="{CF6B344D-D986-4016-8B5F-9A646B11A63D}"/>
    <cellStyle name="Millares 55 6" xfId="2208" xr:uid="{8398F391-CD16-40B8-B3E9-7C742227A8B5}"/>
    <cellStyle name="Millares 55 6 2" xfId="3404" xr:uid="{7B2DDE67-84E1-49EF-BF39-86C87E06C79C}"/>
    <cellStyle name="Millares 55 7" xfId="2718" xr:uid="{99979914-4B8F-4883-AD59-D33B25A5F93B}"/>
    <cellStyle name="Millares 55 8" xfId="3570" xr:uid="{369F4C73-411C-4521-B861-4E2431F74532}"/>
    <cellStyle name="Millares 56" xfId="789" xr:uid="{00000000-0005-0000-0000-000014030000}"/>
    <cellStyle name="Millares 56 2" xfId="790" xr:uid="{00000000-0005-0000-0000-000015030000}"/>
    <cellStyle name="Millares 56 2 2" xfId="791" xr:uid="{00000000-0005-0000-0000-000016030000}"/>
    <cellStyle name="Millares 56 2 2 2" xfId="792" xr:uid="{00000000-0005-0000-0000-000017030000}"/>
    <cellStyle name="Millares 56 2 2 2 2" xfId="1965" xr:uid="{C87C06B1-D560-421E-AA31-8C526504410F}"/>
    <cellStyle name="Millares 56 2 2 2 2 2" xfId="3224" xr:uid="{08149DE7-3A52-4B12-A9CF-C722080CFCCF}"/>
    <cellStyle name="Millares 56 2 2 2 3" xfId="2731" xr:uid="{76509AD4-B0AC-4C85-A8AC-8FF2274987E0}"/>
    <cellStyle name="Millares 56 2 2 3" xfId="1964" xr:uid="{B1B5E30A-8CF0-4CBE-AFEE-58454D1334BC}"/>
    <cellStyle name="Millares 56 2 2 3 2" xfId="3223" xr:uid="{3F156210-0C15-45BF-A810-1F30748EF069}"/>
    <cellStyle name="Millares 56 2 2 4" xfId="2730" xr:uid="{CCB1045A-04A5-48B9-8CBD-86D0119FBCD6}"/>
    <cellStyle name="Millares 56 2 3" xfId="793" xr:uid="{00000000-0005-0000-0000-000018030000}"/>
    <cellStyle name="Millares 56 2 3 2" xfId="1966" xr:uid="{6C1B12DB-82B4-445E-8000-AF715B3FB023}"/>
    <cellStyle name="Millares 56 2 3 2 2" xfId="3225" xr:uid="{7621B0E2-AD38-47FA-82B8-0C7131C9A6A0}"/>
    <cellStyle name="Millares 56 2 3 3" xfId="2732" xr:uid="{E743B80A-8C12-4D49-81BD-CC13B7B6D6C3}"/>
    <cellStyle name="Millares 56 2 4" xfId="1963" xr:uid="{2077E675-E2A5-426A-B7A8-F535FEB32DC1}"/>
    <cellStyle name="Millares 56 2 4 2" xfId="3222" xr:uid="{1D7FFA5F-0FE5-4143-BCF0-DCDFC36C2BA3}"/>
    <cellStyle name="Millares 56 2 5" xfId="2729" xr:uid="{011A6CD8-82A5-4B3E-9ECA-A60428C6A24B}"/>
    <cellStyle name="Millares 56 3" xfId="794" xr:uid="{00000000-0005-0000-0000-000019030000}"/>
    <cellStyle name="Millares 56 3 2" xfId="795" xr:uid="{00000000-0005-0000-0000-00001A030000}"/>
    <cellStyle name="Millares 56 3 2 2" xfId="1968" xr:uid="{3F4BA8D1-D663-434D-9E9A-5408F85D0F37}"/>
    <cellStyle name="Millares 56 3 2 2 2" xfId="3227" xr:uid="{2047FC6B-C242-4288-B9D3-559E4BA3026A}"/>
    <cellStyle name="Millares 56 3 2 3" xfId="2734" xr:uid="{622244E7-F3C7-4763-BE95-A5BE0C33BEDC}"/>
    <cellStyle name="Millares 56 3 3" xfId="1967" xr:uid="{13A5E3F8-B38C-423C-A905-D223094E59DE}"/>
    <cellStyle name="Millares 56 3 3 2" xfId="3226" xr:uid="{58264162-4FA3-494A-B44C-4C9A947AFBDD}"/>
    <cellStyle name="Millares 56 3 4" xfId="2733" xr:uid="{0456BED0-7F99-49BF-9154-96DA3326FB12}"/>
    <cellStyle name="Millares 56 4" xfId="796" xr:uid="{00000000-0005-0000-0000-00001B030000}"/>
    <cellStyle name="Millares 56 4 2" xfId="797" xr:uid="{00000000-0005-0000-0000-00001C030000}"/>
    <cellStyle name="Millares 56 4 2 2" xfId="1970" xr:uid="{58D4D1B2-58E7-4E09-9784-5BE26156BC6C}"/>
    <cellStyle name="Millares 56 4 2 2 2" xfId="3229" xr:uid="{B46A90CE-447B-48AC-AA6B-241800D82037}"/>
    <cellStyle name="Millares 56 4 2 3" xfId="2736" xr:uid="{236B7849-A502-4FAD-80B1-DACDD80246BA}"/>
    <cellStyle name="Millares 56 4 3" xfId="1969" xr:uid="{7CCB4A1D-128F-4EC1-9BFA-CF4FF5F1B4ED}"/>
    <cellStyle name="Millares 56 4 3 2" xfId="3228" xr:uid="{6E90E3E9-1DC0-4588-A2CE-9149992A7F3E}"/>
    <cellStyle name="Millares 56 4 4" xfId="2735" xr:uid="{BE08EDB8-C982-4326-B9C4-EC7B4FDCFCF7}"/>
    <cellStyle name="Millares 56 5" xfId="798" xr:uid="{00000000-0005-0000-0000-00001D030000}"/>
    <cellStyle name="Millares 56 5 2" xfId="1971" xr:uid="{7F9B6677-F3BE-405E-9F80-2D4112448F28}"/>
    <cellStyle name="Millares 56 5 2 2" xfId="3230" xr:uid="{CE542E06-DA72-462E-BE3E-AF4C129C8BCE}"/>
    <cellStyle name="Millares 56 5 3" xfId="2737" xr:uid="{3250F7C4-68F3-4B92-AEA8-13CFAD8CC77F}"/>
    <cellStyle name="Millares 56 6" xfId="2209" xr:uid="{3AE8C5CC-D090-4323-90D6-503A9AE8BF62}"/>
    <cellStyle name="Millares 56 6 2" xfId="3405" xr:uid="{34E5C551-D32A-4C1C-9A70-50FF570B7E16}"/>
    <cellStyle name="Millares 56 7" xfId="2728" xr:uid="{4DE2B4F4-52F0-48B0-A1F9-3BD49377F977}"/>
    <cellStyle name="Millares 56 8" xfId="3571" xr:uid="{DA668314-6D60-434C-A2CC-1B3AE2972AF9}"/>
    <cellStyle name="Millares 57" xfId="799" xr:uid="{00000000-0005-0000-0000-00001E030000}"/>
    <cellStyle name="Millares 58" xfId="800" xr:uid="{00000000-0005-0000-0000-00001F030000}"/>
    <cellStyle name="Millares 59" xfId="801" xr:uid="{00000000-0005-0000-0000-000020030000}"/>
    <cellStyle name="Millares 6" xfId="802" xr:uid="{00000000-0005-0000-0000-000021030000}"/>
    <cellStyle name="Millares 6 2" xfId="803" xr:uid="{00000000-0005-0000-0000-000022030000}"/>
    <cellStyle name="Millares 6 2 2" xfId="804" xr:uid="{00000000-0005-0000-0000-000023030000}"/>
    <cellStyle name="Millares 6 2 2 2" xfId="805" xr:uid="{00000000-0005-0000-0000-000024030000}"/>
    <cellStyle name="Millares 6 2 2 2 2" xfId="806" xr:uid="{00000000-0005-0000-0000-000025030000}"/>
    <cellStyle name="Millares 6 2 2 2 2 2" xfId="1976" xr:uid="{FFF4FB38-46C2-4E0F-8767-9FDB14596DD4}"/>
    <cellStyle name="Millares 6 2 2 2 2 2 2" xfId="3235" xr:uid="{B345FA14-FF17-4764-9D37-B174FE8113B5}"/>
    <cellStyle name="Millares 6 2 2 2 2 3" xfId="2742" xr:uid="{3D412DA9-F87D-4A65-98B9-6F7E8F3E7C8A}"/>
    <cellStyle name="Millares 6 2 2 2 3" xfId="1975" xr:uid="{7C556195-46DF-4A2C-9F07-606FBEF096FF}"/>
    <cellStyle name="Millares 6 2 2 2 3 2" xfId="3234" xr:uid="{D15D233E-3E01-462A-BA8F-875BA40B05EF}"/>
    <cellStyle name="Millares 6 2 2 2 4" xfId="2741" xr:uid="{05DCE565-C09A-4B42-8819-7141467D9D4F}"/>
    <cellStyle name="Millares 6 2 2 3" xfId="807" xr:uid="{00000000-0005-0000-0000-000026030000}"/>
    <cellStyle name="Millares 6 2 2 3 2" xfId="808" xr:uid="{00000000-0005-0000-0000-000027030000}"/>
    <cellStyle name="Millares 6 2 2 3 2 2" xfId="1978" xr:uid="{7B52E479-8EC2-43B1-8168-E94B9A3F1595}"/>
    <cellStyle name="Millares 6 2 2 3 2 2 2" xfId="3237" xr:uid="{A53D511E-220D-4C9E-AA6C-88BC1A74A13D}"/>
    <cellStyle name="Millares 6 2 2 3 2 3" xfId="2744" xr:uid="{72675487-6912-41F8-A387-26939DBE22B8}"/>
    <cellStyle name="Millares 6 2 2 3 3" xfId="1977" xr:uid="{C0CB8280-9C76-453F-A708-4F828556EBE3}"/>
    <cellStyle name="Millares 6 2 2 3 3 2" xfId="3236" xr:uid="{C5EA54B3-A83C-4CAB-8AD9-DAD795DAC1DF}"/>
    <cellStyle name="Millares 6 2 2 3 4" xfId="2743" xr:uid="{D5A7C6AB-D2B1-4C90-9F39-250031B7E5D9}"/>
    <cellStyle name="Millares 6 2 2 4" xfId="809" xr:uid="{00000000-0005-0000-0000-000028030000}"/>
    <cellStyle name="Millares 6 2 2 4 2" xfId="1979" xr:uid="{3AF35ECE-954A-42A8-9DA6-6FF8E1A51A13}"/>
    <cellStyle name="Millares 6 2 2 4 2 2" xfId="3238" xr:uid="{9BE49158-72E7-4527-AD83-570F3BB0EC78}"/>
    <cellStyle name="Millares 6 2 2 4 3" xfId="2745" xr:uid="{ECA6B717-8C0F-4A32-B7DA-B248262475B3}"/>
    <cellStyle name="Millares 6 2 2 5" xfId="1974" xr:uid="{CB9DB984-492C-4EC6-A2D7-14C306478BD4}"/>
    <cellStyle name="Millares 6 2 2 5 2" xfId="3233" xr:uid="{81D2448B-FF3B-4958-AC97-850334A1E3A5}"/>
    <cellStyle name="Millares 6 2 2 6" xfId="2211" xr:uid="{15997AC8-BE7C-40A4-8D56-0BDA0201F231}"/>
    <cellStyle name="Millares 6 2 2 6 2" xfId="3407" xr:uid="{FB8CF2E2-C7CB-4CE3-8638-71C1F78FBAB5}"/>
    <cellStyle name="Millares 6 2 2 7" xfId="2740" xr:uid="{0299C16F-2206-4052-BE26-C28BBA992F05}"/>
    <cellStyle name="Millares 6 2 2 8" xfId="3573" xr:uid="{0E703EBD-BA8D-489E-BB78-A4CFCE700110}"/>
    <cellStyle name="Millares 6 2 3" xfId="810" xr:uid="{00000000-0005-0000-0000-000029030000}"/>
    <cellStyle name="Millares 6 2 3 2" xfId="1980" xr:uid="{07EDD260-A957-48B6-8FF4-95239F4C7D0D}"/>
    <cellStyle name="Millares 6 2 3 2 2" xfId="3239" xr:uid="{FC8BFF06-5030-4ABB-9379-ABAFE2046663}"/>
    <cellStyle name="Millares 6 2 3 3" xfId="2746" xr:uid="{927C9DC8-CEF7-4C91-8058-B27A385474B0}"/>
    <cellStyle name="Millares 6 2 4" xfId="1973" xr:uid="{2C2D40A3-8FE6-44A3-BF6C-167FA765E6F2}"/>
    <cellStyle name="Millares 6 2 4 2" xfId="3232" xr:uid="{651057CA-4874-4067-97C4-985F0EB07BF1}"/>
    <cellStyle name="Millares 6 2 5" xfId="2739" xr:uid="{69CED8FB-4BE6-442F-A219-F4FC97834DA8}"/>
    <cellStyle name="Millares 6 2 6" xfId="3853" xr:uid="{ADF2AF84-7CC1-46EA-80F1-15AB6F1BC3D7}"/>
    <cellStyle name="Millares 6 3" xfId="811" xr:uid="{00000000-0005-0000-0000-00002A030000}"/>
    <cellStyle name="Millares 6 3 2" xfId="812" xr:uid="{00000000-0005-0000-0000-00002B030000}"/>
    <cellStyle name="Millares 6 3 2 2" xfId="813" xr:uid="{00000000-0005-0000-0000-00002C030000}"/>
    <cellStyle name="Millares 6 3 2 2 2" xfId="1983" xr:uid="{0EF77CAA-30BF-45A2-8131-DED5F8CA63FF}"/>
    <cellStyle name="Millares 6 3 2 2 2 2" xfId="3242" xr:uid="{498BE6BC-FE87-4C6B-8378-C925AE8A3894}"/>
    <cellStyle name="Millares 6 3 2 2 3" xfId="2749" xr:uid="{27A3FC3C-90FC-4BF0-ABF6-106F632A02B2}"/>
    <cellStyle name="Millares 6 3 2 3" xfId="1982" xr:uid="{C30F44DB-FCCA-49A6-AA14-C6D73CD31032}"/>
    <cellStyle name="Millares 6 3 2 3 2" xfId="3241" xr:uid="{E92C97A0-0B86-40F5-8392-85656C671878}"/>
    <cellStyle name="Millares 6 3 2 4" xfId="2748" xr:uid="{D41A5ABE-3202-40E8-8FA2-FADA2A30618B}"/>
    <cellStyle name="Millares 6 3 3" xfId="814" xr:uid="{00000000-0005-0000-0000-00002D030000}"/>
    <cellStyle name="Millares 6 3 3 2" xfId="815" xr:uid="{00000000-0005-0000-0000-00002E030000}"/>
    <cellStyle name="Millares 6 3 3 2 2" xfId="1985" xr:uid="{6894B750-E3BE-46BB-B62B-1A3145FD3F46}"/>
    <cellStyle name="Millares 6 3 3 2 2 2" xfId="3244" xr:uid="{41527A47-E8C5-43E2-B9DA-BE91F911225A}"/>
    <cellStyle name="Millares 6 3 3 2 3" xfId="2751" xr:uid="{A4B076E6-15F9-46C9-B36D-BA30DF7D1090}"/>
    <cellStyle name="Millares 6 3 3 3" xfId="1984" xr:uid="{38B7D569-D2FA-4542-89A2-FDE69E9414D2}"/>
    <cellStyle name="Millares 6 3 3 3 2" xfId="3243" xr:uid="{8D5876B5-0976-4FE8-BDF2-96FF846CA309}"/>
    <cellStyle name="Millares 6 3 3 4" xfId="2750" xr:uid="{7F5DB7AB-5D21-4276-BDBF-68CD15D08D8D}"/>
    <cellStyle name="Millares 6 3 4" xfId="816" xr:uid="{00000000-0005-0000-0000-00002F030000}"/>
    <cellStyle name="Millares 6 3 4 2" xfId="1986" xr:uid="{6BB12F1F-3280-448F-B755-96024EED0FAE}"/>
    <cellStyle name="Millares 6 3 4 2 2" xfId="3245" xr:uid="{658FDE0C-7ABC-45A9-845B-63667CE74818}"/>
    <cellStyle name="Millares 6 3 4 3" xfId="2752" xr:uid="{F3CBD61E-A6AD-48D4-A1B3-0FD1BBB7F4FC}"/>
    <cellStyle name="Millares 6 3 5" xfId="1981" xr:uid="{64D679E6-683B-4147-A9CC-1A34EA52E43C}"/>
    <cellStyle name="Millares 6 3 5 2" xfId="3240" xr:uid="{FC5F01B7-E794-4BAE-87F4-339CC093AC43}"/>
    <cellStyle name="Millares 6 3 6" xfId="2210" xr:uid="{1BB11002-3251-4E63-A052-62E2A28C15E7}"/>
    <cellStyle name="Millares 6 3 6 2" xfId="3406" xr:uid="{039A21D7-4BCA-4538-9B67-18FBBC3ECA93}"/>
    <cellStyle name="Millares 6 3 7" xfId="2747" xr:uid="{180A21CE-90A2-4DDF-A4F6-AEA124859DEB}"/>
    <cellStyle name="Millares 6 3 8" xfId="3572" xr:uid="{09D2E2F0-9440-48D6-AC6B-12A202BEA0C1}"/>
    <cellStyle name="Millares 6 4" xfId="817" xr:uid="{00000000-0005-0000-0000-000030030000}"/>
    <cellStyle name="Millares 6 4 2" xfId="1987" xr:uid="{1D20D9AC-4AF5-4856-94F3-A9421597C848}"/>
    <cellStyle name="Millares 6 4 2 2" xfId="3246" xr:uid="{5C2BF6A2-D1EA-4DC3-A062-FCDED248436C}"/>
    <cellStyle name="Millares 6 4 3" xfId="2753" xr:uid="{CED4FA0C-494F-4127-BE59-E65F64DA5F8F}"/>
    <cellStyle name="Millares 6 5" xfId="1972" xr:uid="{1DBA346A-BCCB-439B-9E48-1927AEC4B4BD}"/>
    <cellStyle name="Millares 6 5 2" xfId="3231" xr:uid="{1A633126-9A4F-4772-96C1-B927F12D2242}"/>
    <cellStyle name="Millares 6 6" xfId="2738" xr:uid="{F1488605-E3FC-4F4F-9B4C-41E36D5B9A50}"/>
    <cellStyle name="Millares 6 7" xfId="3852" xr:uid="{751D03D3-D69D-4579-969F-4694D0BB3891}"/>
    <cellStyle name="Millares 60" xfId="818" xr:uid="{00000000-0005-0000-0000-000031030000}"/>
    <cellStyle name="Millares 61" xfId="819" xr:uid="{00000000-0005-0000-0000-000032030000}"/>
    <cellStyle name="Millares 61 2" xfId="820" xr:uid="{00000000-0005-0000-0000-000033030000}"/>
    <cellStyle name="Millares 61 2 2" xfId="821" xr:uid="{00000000-0005-0000-0000-000034030000}"/>
    <cellStyle name="Millares 61 2 2 2" xfId="1989" xr:uid="{B39D2FEB-FB9E-4D2D-9DF3-A24AC445C924}"/>
    <cellStyle name="Millares 61 2 2 2 2" xfId="3248" xr:uid="{C6F434DE-C171-4B92-8BF1-37315DB2D5BE}"/>
    <cellStyle name="Millares 61 2 2 3" xfId="2756" xr:uid="{63DF69D1-0C35-4680-B0CB-FD15C279D9FC}"/>
    <cellStyle name="Millares 61 2 3" xfId="1988" xr:uid="{74157233-B7F9-4169-95E3-9FF568AAF37C}"/>
    <cellStyle name="Millares 61 2 3 2" xfId="3247" xr:uid="{5F105203-4242-447E-87FA-9A61F070DD7F}"/>
    <cellStyle name="Millares 61 2 4" xfId="2755" xr:uid="{707521F5-02FB-4D2E-AA24-8DF7FD0BDF81}"/>
    <cellStyle name="Millares 61 3" xfId="822" xr:uid="{00000000-0005-0000-0000-000035030000}"/>
    <cellStyle name="Millares 61 3 2" xfId="1990" xr:uid="{FD91B6B5-82A4-47AB-8B4D-0B0CDCA0807A}"/>
    <cellStyle name="Millares 61 3 2 2" xfId="3249" xr:uid="{D455CBFA-8B9C-49A2-B4AA-865F655DAD92}"/>
    <cellStyle name="Millares 61 3 3" xfId="2757" xr:uid="{50D8DDB6-6266-4318-BFB7-6B4439A7FD47}"/>
    <cellStyle name="Millares 61 4" xfId="2754" xr:uid="{C5D2B699-5A65-46DE-837D-FE70A4965707}"/>
    <cellStyle name="Millares 62" xfId="823" xr:uid="{00000000-0005-0000-0000-000036030000}"/>
    <cellStyle name="Millares 62 2" xfId="824" xr:uid="{00000000-0005-0000-0000-000037030000}"/>
    <cellStyle name="Millares 62 2 2" xfId="825" xr:uid="{00000000-0005-0000-0000-000038030000}"/>
    <cellStyle name="Millares 62 2 2 2" xfId="1992" xr:uid="{E4333A2D-3B05-46EE-B421-BD9BA9CF3AD8}"/>
    <cellStyle name="Millares 62 2 2 2 2" xfId="3251" xr:uid="{1DA788B8-7A24-4867-BB03-828AD88A62A7}"/>
    <cellStyle name="Millares 62 2 2 3" xfId="2760" xr:uid="{75FF9F7C-3E24-4645-8270-1BDC7174642A}"/>
    <cellStyle name="Millares 62 2 3" xfId="1991" xr:uid="{1F676032-2AF5-43B2-996C-D17DFFF12E39}"/>
    <cellStyle name="Millares 62 2 3 2" xfId="3250" xr:uid="{231BF9F7-C878-4FF0-A8F9-A111D142A3DB}"/>
    <cellStyle name="Millares 62 2 4" xfId="2759" xr:uid="{9E39F780-0576-4FC9-A895-60F49CD672D9}"/>
    <cellStyle name="Millares 62 3" xfId="826" xr:uid="{00000000-0005-0000-0000-000039030000}"/>
    <cellStyle name="Millares 62 3 2" xfId="1993" xr:uid="{0B685596-7A3C-4604-94A8-082C11000B47}"/>
    <cellStyle name="Millares 62 3 2 2" xfId="3252" xr:uid="{EA6FFAAB-CECD-43A4-B859-EA7B5D1CF13A}"/>
    <cellStyle name="Millares 62 3 3" xfId="2761" xr:uid="{5C498317-DC2B-45B1-B436-9895ABF1F419}"/>
    <cellStyle name="Millares 62 4" xfId="2758" xr:uid="{CE41F330-5376-45F8-820B-7797B9D273F7}"/>
    <cellStyle name="Millares 63" xfId="827" xr:uid="{00000000-0005-0000-0000-00003A030000}"/>
    <cellStyle name="Millares 64" xfId="828" xr:uid="{00000000-0005-0000-0000-00003B030000}"/>
    <cellStyle name="Millares 65" xfId="829" xr:uid="{00000000-0005-0000-0000-00003C030000}"/>
    <cellStyle name="Millares 65 2" xfId="1994" xr:uid="{58EAF30D-27D2-4A1E-9A3B-E3F93319980D}"/>
    <cellStyle name="Millares 66" xfId="830" xr:uid="{00000000-0005-0000-0000-00003D030000}"/>
    <cellStyle name="Millares 66 2" xfId="1995" xr:uid="{EFFF3786-77F8-4855-938E-9CDF1D82AE97}"/>
    <cellStyle name="Millares 67" xfId="831" xr:uid="{00000000-0005-0000-0000-00003E030000}"/>
    <cellStyle name="Millares 68" xfId="832" xr:uid="{00000000-0005-0000-0000-00003F030000}"/>
    <cellStyle name="Millares 68 2" xfId="1996" xr:uid="{CDF8E41B-B561-47CC-B125-3DC07AA4C748}"/>
    <cellStyle name="Millares 69" xfId="833" xr:uid="{00000000-0005-0000-0000-000040030000}"/>
    <cellStyle name="Millares 69 2" xfId="1997" xr:uid="{AC4B4C62-D6D5-4827-BA28-96B3BD935EBE}"/>
    <cellStyle name="Millares 7" xfId="834" xr:uid="{00000000-0005-0000-0000-000041030000}"/>
    <cellStyle name="Millares 7 2" xfId="835" xr:uid="{00000000-0005-0000-0000-000042030000}"/>
    <cellStyle name="Millares 7 2 2" xfId="836" xr:uid="{00000000-0005-0000-0000-000043030000}"/>
    <cellStyle name="Millares 7 2 2 2" xfId="837" xr:uid="{00000000-0005-0000-0000-000044030000}"/>
    <cellStyle name="Millares 7 2 2 2 2" xfId="838" xr:uid="{00000000-0005-0000-0000-000045030000}"/>
    <cellStyle name="Millares 7 2 2 2 2 2" xfId="2002" xr:uid="{2EABB1A9-989D-4554-A154-F861F3865775}"/>
    <cellStyle name="Millares 7 2 2 2 2 2 2" xfId="3257" xr:uid="{56234A67-F010-4E20-87C6-B7AB4F11968A}"/>
    <cellStyle name="Millares 7 2 2 2 2 3" xfId="2766" xr:uid="{04BBD05A-AEF3-4038-BC7C-E0EC4AEF5E9E}"/>
    <cellStyle name="Millares 7 2 2 2 3" xfId="2001" xr:uid="{6284935B-1C93-4830-B68B-5EEBC94AA93C}"/>
    <cellStyle name="Millares 7 2 2 2 3 2" xfId="3256" xr:uid="{65719B0E-20AA-4589-8789-9C2C565623A7}"/>
    <cellStyle name="Millares 7 2 2 2 4" xfId="2765" xr:uid="{EF24F8AB-D950-4499-A5C6-75ABF0E613D2}"/>
    <cellStyle name="Millares 7 2 2 3" xfId="839" xr:uid="{00000000-0005-0000-0000-000046030000}"/>
    <cellStyle name="Millares 7 2 2 3 2" xfId="840" xr:uid="{00000000-0005-0000-0000-000047030000}"/>
    <cellStyle name="Millares 7 2 2 3 2 2" xfId="2004" xr:uid="{5FB8FB76-AE91-45E6-85D8-F82CCBD99126}"/>
    <cellStyle name="Millares 7 2 2 3 2 2 2" xfId="3259" xr:uid="{0C1B1AAD-38DE-44FA-9DB4-869696E67D99}"/>
    <cellStyle name="Millares 7 2 2 3 2 3" xfId="2768" xr:uid="{38C9EA21-017F-405D-939D-80A7329BF7A8}"/>
    <cellStyle name="Millares 7 2 2 3 3" xfId="2003" xr:uid="{7A4CCB72-9683-453A-A5E7-94459E6C23BD}"/>
    <cellStyle name="Millares 7 2 2 3 3 2" xfId="3258" xr:uid="{CEB233F2-3338-41F9-A10B-2A81502417E4}"/>
    <cellStyle name="Millares 7 2 2 3 4" xfId="2767" xr:uid="{2B58997F-4C02-43AB-AEBA-360C90D63FBB}"/>
    <cellStyle name="Millares 7 2 2 4" xfId="841" xr:uid="{00000000-0005-0000-0000-000048030000}"/>
    <cellStyle name="Millares 7 2 2 4 2" xfId="2005" xr:uid="{737705D4-4037-4AB2-BA51-B21FEA781420}"/>
    <cellStyle name="Millares 7 2 2 4 2 2" xfId="3260" xr:uid="{BC05EF4F-0514-4BA9-9BC5-70EDFD87F63A}"/>
    <cellStyle name="Millares 7 2 2 4 3" xfId="2769" xr:uid="{3953B22B-F476-4368-8FA9-552C60CA85EA}"/>
    <cellStyle name="Millares 7 2 2 5" xfId="2000" xr:uid="{E2746F02-B9E8-4F92-8D53-8138C3F15B21}"/>
    <cellStyle name="Millares 7 2 2 5 2" xfId="3255" xr:uid="{BEAB9097-A119-4D22-A642-05CA097FE00F}"/>
    <cellStyle name="Millares 7 2 2 6" xfId="2213" xr:uid="{79784BA3-8CC6-45C0-9879-DFB433CFC8A2}"/>
    <cellStyle name="Millares 7 2 2 6 2" xfId="3409" xr:uid="{D67E9740-5477-416C-98A2-54FD8EB754BC}"/>
    <cellStyle name="Millares 7 2 2 7" xfId="2764" xr:uid="{F6A321F1-73AB-4E81-A8B5-CB5A36ACCFC9}"/>
    <cellStyle name="Millares 7 2 2 8" xfId="3575" xr:uid="{97428125-52CB-48A4-8A02-7AC32EEA9F4A}"/>
    <cellStyle name="Millares 7 2 3" xfId="842" xr:uid="{00000000-0005-0000-0000-000049030000}"/>
    <cellStyle name="Millares 7 2 3 2" xfId="2006" xr:uid="{1A024906-6369-46C0-8B90-BD1DDF6624DA}"/>
    <cellStyle name="Millares 7 2 3 2 2" xfId="3261" xr:uid="{574D9886-96D6-4332-ABF8-F0041C68869C}"/>
    <cellStyle name="Millares 7 2 3 3" xfId="2770" xr:uid="{D77BBFB2-27A1-48E3-9F73-2483D1C344F9}"/>
    <cellStyle name="Millares 7 2 4" xfId="1999" xr:uid="{48076286-DE9D-43F1-97D4-26A90186E2EF}"/>
    <cellStyle name="Millares 7 2 4 2" xfId="3254" xr:uid="{6496DE7B-41C3-4AF4-8915-DA442674161A}"/>
    <cellStyle name="Millares 7 2 5" xfId="2763" xr:uid="{5628109D-BC65-495A-B51C-078C77CFAEEA}"/>
    <cellStyle name="Millares 7 2 6" xfId="3855" xr:uid="{96AF5934-3AF5-4AE3-B1AC-A7FAB1547684}"/>
    <cellStyle name="Millares 7 3" xfId="843" xr:uid="{00000000-0005-0000-0000-00004A030000}"/>
    <cellStyle name="Millares 7 3 2" xfId="844" xr:uid="{00000000-0005-0000-0000-00004B030000}"/>
    <cellStyle name="Millares 7 3 2 2" xfId="845" xr:uid="{00000000-0005-0000-0000-00004C030000}"/>
    <cellStyle name="Millares 7 3 2 2 2" xfId="2009" xr:uid="{610814A8-578E-4C7F-84ED-5FF50F711E80}"/>
    <cellStyle name="Millares 7 3 2 2 2 2" xfId="3264" xr:uid="{40776985-3FAC-4066-9B58-82B782D0304D}"/>
    <cellStyle name="Millares 7 3 2 2 3" xfId="2773" xr:uid="{614D0FD7-C0A4-4279-970C-57F3654CCA04}"/>
    <cellStyle name="Millares 7 3 2 3" xfId="2008" xr:uid="{8EA31A66-15B0-42DF-8DE7-5C4CBEEB3BB7}"/>
    <cellStyle name="Millares 7 3 2 3 2" xfId="3263" xr:uid="{03178FEC-BC8B-4DDB-A70F-6EDE3929D1F6}"/>
    <cellStyle name="Millares 7 3 2 4" xfId="2772" xr:uid="{B0CC0808-AD16-4EAD-8B6A-3238AAC685CD}"/>
    <cellStyle name="Millares 7 3 3" xfId="846" xr:uid="{00000000-0005-0000-0000-00004D030000}"/>
    <cellStyle name="Millares 7 3 3 2" xfId="847" xr:uid="{00000000-0005-0000-0000-00004E030000}"/>
    <cellStyle name="Millares 7 3 3 2 2" xfId="2011" xr:uid="{C86DE914-0BE0-451C-9B57-D90E90FBA955}"/>
    <cellStyle name="Millares 7 3 3 2 2 2" xfId="3266" xr:uid="{BFF92622-25AC-47E8-890C-CF7696BBAFEB}"/>
    <cellStyle name="Millares 7 3 3 2 3" xfId="2775" xr:uid="{DE096873-3F23-4A39-9E09-BF7BAB20BAAC}"/>
    <cellStyle name="Millares 7 3 3 3" xfId="2010" xr:uid="{14C11768-9977-4652-BF68-56648DFA979A}"/>
    <cellStyle name="Millares 7 3 3 3 2" xfId="3265" xr:uid="{A6026777-6133-43DC-BB72-8470C18B5592}"/>
    <cellStyle name="Millares 7 3 3 4" xfId="2774" xr:uid="{42C32C92-BEE0-4457-9CB7-0DE62AA277FA}"/>
    <cellStyle name="Millares 7 3 4" xfId="848" xr:uid="{00000000-0005-0000-0000-00004F030000}"/>
    <cellStyle name="Millares 7 3 4 2" xfId="2012" xr:uid="{F4028EE6-A592-41D9-9234-C6097A7E0B89}"/>
    <cellStyle name="Millares 7 3 4 2 2" xfId="3267" xr:uid="{27DB860E-2E69-42A6-9463-8B892661411C}"/>
    <cellStyle name="Millares 7 3 4 3" xfId="2776" xr:uid="{23098E96-F01B-473C-9F02-55203DF29A0C}"/>
    <cellStyle name="Millares 7 3 5" xfId="2007" xr:uid="{D360FC4C-CA99-4415-B329-48B9A5FC2799}"/>
    <cellStyle name="Millares 7 3 5 2" xfId="3262" xr:uid="{BC267B24-69A5-42E0-B013-DBD9305EC38D}"/>
    <cellStyle name="Millares 7 3 6" xfId="2212" xr:uid="{07689C00-1786-4EBB-88FC-B6A37626BAA0}"/>
    <cellStyle name="Millares 7 3 6 2" xfId="3408" xr:uid="{E074E73B-61DD-4A0B-B613-B83DB05F04CB}"/>
    <cellStyle name="Millares 7 3 7" xfId="2771" xr:uid="{0D99C476-8B63-47EE-9E27-A0B8F3852413}"/>
    <cellStyle name="Millares 7 3 8" xfId="3574" xr:uid="{8DD1365F-CE1C-439C-80BB-4B46ADAF7ECC}"/>
    <cellStyle name="Millares 7 4" xfId="849" xr:uid="{00000000-0005-0000-0000-000050030000}"/>
    <cellStyle name="Millares 7 4 2" xfId="2013" xr:uid="{5AEE165D-50D4-406A-AB6F-BCC233A5D0E9}"/>
    <cellStyle name="Millares 7 4 2 2" xfId="3268" xr:uid="{78F32520-2AF9-4769-A177-8389B6464F4F}"/>
    <cellStyle name="Millares 7 4 3" xfId="2777" xr:uid="{F9B8A4F1-3C7D-47FF-A2AE-B62EF37AD8A0}"/>
    <cellStyle name="Millares 7 5" xfId="1998" xr:uid="{85C558FC-58F4-47BE-9F3D-ECCC39DF1BAA}"/>
    <cellStyle name="Millares 7 5 2" xfId="3253" xr:uid="{B51DB31A-F83E-4915-9D09-CC83510DA797}"/>
    <cellStyle name="Millares 7 6" xfId="2762" xr:uid="{D9617369-0CB4-450F-8886-C29D4E4A6EAD}"/>
    <cellStyle name="Millares 7 7" xfId="3854" xr:uid="{92E993BF-E9E7-443F-87EB-0AD1643A5690}"/>
    <cellStyle name="Millares 70" xfId="850" xr:uid="{00000000-0005-0000-0000-000051030000}"/>
    <cellStyle name="Millares 71" xfId="851" xr:uid="{00000000-0005-0000-0000-000052030000}"/>
    <cellStyle name="Millares 72" xfId="852" xr:uid="{00000000-0005-0000-0000-000053030000}"/>
    <cellStyle name="Millares 73" xfId="853" xr:uid="{00000000-0005-0000-0000-000054030000}"/>
    <cellStyle name="Millares 73 2" xfId="2014" xr:uid="{B679C8EE-D1A8-4FB6-9B91-240715B6E529}"/>
    <cellStyle name="Millares 74" xfId="854" xr:uid="{00000000-0005-0000-0000-000055030000}"/>
    <cellStyle name="Millares 74 2" xfId="2015" xr:uid="{6E982162-5DD1-4599-8BB5-A4B23C04BFF1}"/>
    <cellStyle name="Millares 75" xfId="855" xr:uid="{00000000-0005-0000-0000-000056030000}"/>
    <cellStyle name="Millares 75 2" xfId="2016" xr:uid="{F0C93499-E186-43DD-94D8-CDBB70AA86B9}"/>
    <cellStyle name="Millares 76" xfId="856" xr:uid="{00000000-0005-0000-0000-000057030000}"/>
    <cellStyle name="Millares 76 2" xfId="2017" xr:uid="{ED5F2333-AE4B-478C-9DA6-1ACAC618C15B}"/>
    <cellStyle name="Millares 77" xfId="857" xr:uid="{00000000-0005-0000-0000-000058030000}"/>
    <cellStyle name="Millares 77 2" xfId="2018" xr:uid="{54ED46D2-2532-4546-A3F3-5089C445B9BA}"/>
    <cellStyle name="Millares 78" xfId="858" xr:uid="{00000000-0005-0000-0000-000059030000}"/>
    <cellStyle name="Millares 78 2" xfId="2019" xr:uid="{5B6C3A60-CEFD-44B4-8C9C-8F23ABC3C6BC}"/>
    <cellStyle name="Millares 79" xfId="859" xr:uid="{00000000-0005-0000-0000-00005A030000}"/>
    <cellStyle name="Millares 79 2" xfId="2020" xr:uid="{BDFE9D13-7116-429B-BE14-E274143C6619}"/>
    <cellStyle name="Millares 8" xfId="860" xr:uid="{00000000-0005-0000-0000-00005B030000}"/>
    <cellStyle name="Millares 8 2" xfId="861" xr:uid="{00000000-0005-0000-0000-00005C030000}"/>
    <cellStyle name="Millares 8 2 2" xfId="862" xr:uid="{00000000-0005-0000-0000-00005D030000}"/>
    <cellStyle name="Millares 8 2 2 2" xfId="863" xr:uid="{00000000-0005-0000-0000-00005E030000}"/>
    <cellStyle name="Millares 8 2 2 2 2" xfId="864" xr:uid="{00000000-0005-0000-0000-00005F030000}"/>
    <cellStyle name="Millares 8 2 2 2 2 2" xfId="2025" xr:uid="{FE115C87-75FF-403C-AF7C-9EA859905A27}"/>
    <cellStyle name="Millares 8 2 2 2 2 2 2" xfId="3273" xr:uid="{D2C0F585-829B-4331-9ECD-4BE9F7F5FE8C}"/>
    <cellStyle name="Millares 8 2 2 2 2 3" xfId="2782" xr:uid="{2BB25F43-71C8-4F76-B851-B9693903C00F}"/>
    <cellStyle name="Millares 8 2 2 2 3" xfId="2024" xr:uid="{495E18A5-C9BA-4DA7-8F78-1DF574392EE5}"/>
    <cellStyle name="Millares 8 2 2 2 3 2" xfId="3272" xr:uid="{BA9D5C64-159F-4C0D-A2E8-A9F8A54E2D2E}"/>
    <cellStyle name="Millares 8 2 2 2 4" xfId="2781" xr:uid="{A031AA2A-74D1-4242-9355-3164C8A1FB59}"/>
    <cellStyle name="Millares 8 2 2 3" xfId="865" xr:uid="{00000000-0005-0000-0000-000060030000}"/>
    <cellStyle name="Millares 8 2 2 3 2" xfId="866" xr:uid="{00000000-0005-0000-0000-000061030000}"/>
    <cellStyle name="Millares 8 2 2 3 2 2" xfId="2027" xr:uid="{A4E1A21E-8462-4812-AD39-EB20FB365876}"/>
    <cellStyle name="Millares 8 2 2 3 2 2 2" xfId="3275" xr:uid="{1461D437-F26C-4D02-94D8-E55F9308D366}"/>
    <cellStyle name="Millares 8 2 2 3 2 3" xfId="2784" xr:uid="{962AF410-892E-446A-8DDB-ECF9C13FF3E7}"/>
    <cellStyle name="Millares 8 2 2 3 3" xfId="2026" xr:uid="{47318358-670A-49FF-B75D-72E926E6EF7C}"/>
    <cellStyle name="Millares 8 2 2 3 3 2" xfId="3274" xr:uid="{C61F849D-2E68-47A4-B884-A88B6428BCE1}"/>
    <cellStyle name="Millares 8 2 2 3 4" xfId="2783" xr:uid="{34138BF3-A82D-47E3-9F7F-5989E5A72E3B}"/>
    <cellStyle name="Millares 8 2 2 4" xfId="867" xr:uid="{00000000-0005-0000-0000-000062030000}"/>
    <cellStyle name="Millares 8 2 2 4 2" xfId="2028" xr:uid="{A93F8017-C072-4FC0-9DA3-C06E7620D979}"/>
    <cellStyle name="Millares 8 2 2 4 2 2" xfId="3276" xr:uid="{D669B31F-718C-4E2C-8100-57A31B28FCFE}"/>
    <cellStyle name="Millares 8 2 2 4 3" xfId="2785" xr:uid="{D4FC742C-A7FE-4DAA-8C6D-8BA94BD61F3D}"/>
    <cellStyle name="Millares 8 2 2 5" xfId="2023" xr:uid="{248E3C43-D45E-4E8A-B15D-60F01865B032}"/>
    <cellStyle name="Millares 8 2 2 5 2" xfId="3271" xr:uid="{DAF06FE2-DD3B-458D-BAE2-2B59EEECE137}"/>
    <cellStyle name="Millares 8 2 2 6" xfId="2215" xr:uid="{5BFBBBEA-B8B9-493A-85B4-BB5E5F817BB3}"/>
    <cellStyle name="Millares 8 2 2 6 2" xfId="3411" xr:uid="{7A45998D-C7EB-4F09-9DAA-A2F6ACDA0526}"/>
    <cellStyle name="Millares 8 2 2 7" xfId="2780" xr:uid="{9FB9B283-A938-44BC-A97E-FA035CC5F1F5}"/>
    <cellStyle name="Millares 8 2 2 8" xfId="3577" xr:uid="{789AF0A9-0054-4879-BA2E-63422BEB2149}"/>
    <cellStyle name="Millares 8 2 3" xfId="868" xr:uid="{00000000-0005-0000-0000-000063030000}"/>
    <cellStyle name="Millares 8 2 3 2" xfId="2029" xr:uid="{B37B7E78-06AA-4FF4-9F4E-37402EBBB065}"/>
    <cellStyle name="Millares 8 2 3 2 2" xfId="3277" xr:uid="{90F0B56C-738D-4AF6-A217-BAD1EF8BE054}"/>
    <cellStyle name="Millares 8 2 3 3" xfId="2786" xr:uid="{DB5ACB54-FC9F-4CE1-B69B-66EF321547A7}"/>
    <cellStyle name="Millares 8 2 4" xfId="2022" xr:uid="{F88FD8CE-F71A-47B7-A4AC-93B19119D2FB}"/>
    <cellStyle name="Millares 8 2 4 2" xfId="3270" xr:uid="{8CEEE1D7-2030-4584-9335-62B4EDBF54F5}"/>
    <cellStyle name="Millares 8 2 5" xfId="2779" xr:uid="{27C800CF-E00F-4FA3-BDCB-316C51488E6B}"/>
    <cellStyle name="Millares 8 2 6" xfId="3857" xr:uid="{F5AE209E-8BEE-486C-AF1C-F7E855FB5556}"/>
    <cellStyle name="Millares 8 3" xfId="869" xr:uid="{00000000-0005-0000-0000-000064030000}"/>
    <cellStyle name="Millares 8 3 2" xfId="870" xr:uid="{00000000-0005-0000-0000-000065030000}"/>
    <cellStyle name="Millares 8 3 2 2" xfId="871" xr:uid="{00000000-0005-0000-0000-000066030000}"/>
    <cellStyle name="Millares 8 3 2 2 2" xfId="2032" xr:uid="{9D8C9E47-0D27-40BA-B848-44DCEB61B713}"/>
    <cellStyle name="Millares 8 3 2 2 2 2" xfId="3280" xr:uid="{CAF16191-BFB6-4F44-8879-F8C34B304DBA}"/>
    <cellStyle name="Millares 8 3 2 2 3" xfId="2789" xr:uid="{72732D42-5799-4CD4-8F05-818A6422C596}"/>
    <cellStyle name="Millares 8 3 2 3" xfId="2031" xr:uid="{02BB38A1-A4E3-4422-B7CE-4D9896901FA4}"/>
    <cellStyle name="Millares 8 3 2 3 2" xfId="3279" xr:uid="{CD4394C3-B18C-4135-813A-0217FFC0731B}"/>
    <cellStyle name="Millares 8 3 2 4" xfId="2788" xr:uid="{AF9AA04F-A096-4992-8838-15D34BB5E7E7}"/>
    <cellStyle name="Millares 8 3 3" xfId="872" xr:uid="{00000000-0005-0000-0000-000067030000}"/>
    <cellStyle name="Millares 8 3 3 2" xfId="873" xr:uid="{00000000-0005-0000-0000-000068030000}"/>
    <cellStyle name="Millares 8 3 3 2 2" xfId="2034" xr:uid="{5B7CADD2-41F8-4FBB-8A98-0C11E912A700}"/>
    <cellStyle name="Millares 8 3 3 2 2 2" xfId="3282" xr:uid="{41EEDD40-6E89-45C5-87CD-0B647CE736EA}"/>
    <cellStyle name="Millares 8 3 3 2 3" xfId="2791" xr:uid="{84606FE8-1F87-463F-B23E-B91FE2E1B2E6}"/>
    <cellStyle name="Millares 8 3 3 3" xfId="2033" xr:uid="{BC39438E-B5A3-4FDC-BBE5-10B0711A2387}"/>
    <cellStyle name="Millares 8 3 3 3 2" xfId="3281" xr:uid="{EC381088-9A76-42A6-A0CF-34754AF517DA}"/>
    <cellStyle name="Millares 8 3 3 4" xfId="2790" xr:uid="{A02348B3-4832-4419-B0B1-202F19BBC2F4}"/>
    <cellStyle name="Millares 8 3 4" xfId="874" xr:uid="{00000000-0005-0000-0000-000069030000}"/>
    <cellStyle name="Millares 8 3 4 2" xfId="2035" xr:uid="{605E34AC-2C02-404B-851D-74C85D416A28}"/>
    <cellStyle name="Millares 8 3 4 2 2" xfId="3283" xr:uid="{EF9E581C-CAA9-4CB6-ABEE-BDB6EDA6B332}"/>
    <cellStyle name="Millares 8 3 4 3" xfId="2792" xr:uid="{1BAE3912-6EFC-448B-ABC3-20CE4A4E9FCA}"/>
    <cellStyle name="Millares 8 3 5" xfId="2030" xr:uid="{BADED094-6BD2-4F41-B8A6-7677F0BECBB4}"/>
    <cellStyle name="Millares 8 3 5 2" xfId="3278" xr:uid="{F4685B73-265B-4DB5-BACC-04611B991551}"/>
    <cellStyle name="Millares 8 3 6" xfId="2214" xr:uid="{E4EDE4D6-3554-4157-A2B0-1A3DD46BA012}"/>
    <cellStyle name="Millares 8 3 6 2" xfId="3410" xr:uid="{365154BB-7C9F-419D-ADC5-E5BA3A62430D}"/>
    <cellStyle name="Millares 8 3 7" xfId="2787" xr:uid="{AE945703-72C2-4DA3-861B-16EB3693B568}"/>
    <cellStyle name="Millares 8 3 8" xfId="3576" xr:uid="{DE6D709A-8FC1-41E1-B5E2-4BDB493C1244}"/>
    <cellStyle name="Millares 8 4" xfId="875" xr:uid="{00000000-0005-0000-0000-00006A030000}"/>
    <cellStyle name="Millares 8 4 2" xfId="2036" xr:uid="{2EEBA9F4-55B6-443B-B229-B8588F19814D}"/>
    <cellStyle name="Millares 8 4 2 2" xfId="3284" xr:uid="{CB3B25B1-A33E-4181-95E5-B49E8D2E2E49}"/>
    <cellStyle name="Millares 8 4 3" xfId="2793" xr:uid="{CC04FAB7-0B68-46C4-BFBC-D1EEED48C429}"/>
    <cellStyle name="Millares 8 5" xfId="2021" xr:uid="{10396B6C-0BF3-4208-AE71-A2D01D23B937}"/>
    <cellStyle name="Millares 8 5 2" xfId="3269" xr:uid="{01E394F6-7645-46DE-913F-372A84C32BB7}"/>
    <cellStyle name="Millares 8 6" xfId="2778" xr:uid="{4D5C6131-A4FE-48B4-9B75-31062EFA46A3}"/>
    <cellStyle name="Millares 8 7" xfId="3856" xr:uid="{34624A1C-B8F2-41FF-9FD7-8EA685A16348}"/>
    <cellStyle name="Millares 80" xfId="876" xr:uid="{00000000-0005-0000-0000-00006B030000}"/>
    <cellStyle name="Millares 80 2" xfId="2037" xr:uid="{BA902335-930C-408A-8F0D-01891E5052C6}"/>
    <cellStyle name="Millares 81" xfId="877" xr:uid="{00000000-0005-0000-0000-00006C030000}"/>
    <cellStyle name="Millares 81 2" xfId="2038" xr:uid="{AB909E83-9ABE-4C02-9587-045AA071DA28}"/>
    <cellStyle name="Millares 82" xfId="878" xr:uid="{00000000-0005-0000-0000-00006D030000}"/>
    <cellStyle name="Millares 82 2" xfId="2039" xr:uid="{13FEA484-E179-4BE7-A069-0FBAAFCC6537}"/>
    <cellStyle name="Millares 83" xfId="879" xr:uid="{00000000-0005-0000-0000-00006E030000}"/>
    <cellStyle name="Millares 83 2" xfId="2040" xr:uid="{BBE78FCB-91C7-4AFB-A6FB-B34803F6AEF0}"/>
    <cellStyle name="Millares 84" xfId="880" xr:uid="{00000000-0005-0000-0000-00006F030000}"/>
    <cellStyle name="Millares 85" xfId="2326" xr:uid="{89429DC6-0A89-4356-A256-68437A4A8E54}"/>
    <cellStyle name="Millares 86" xfId="2325" xr:uid="{6C73086A-BE1F-43ED-958A-D8F345F278CE}"/>
    <cellStyle name="Millares 87" xfId="2399" xr:uid="{F9A30F07-19B3-4084-9F66-BB32DC1EF2F1}"/>
    <cellStyle name="Millares 88" xfId="3511" xr:uid="{5577FDA6-8FF5-4648-86F7-DB85CAFD4E0F}"/>
    <cellStyle name="Millares 89" xfId="3592" xr:uid="{94C765C9-C440-42A8-A741-7259EF819BA1}"/>
    <cellStyle name="Millares 9" xfId="881" xr:uid="{00000000-0005-0000-0000-000070030000}"/>
    <cellStyle name="Millares 9 2" xfId="882" xr:uid="{00000000-0005-0000-0000-000071030000}"/>
    <cellStyle name="Millares 9 2 2" xfId="883" xr:uid="{00000000-0005-0000-0000-000072030000}"/>
    <cellStyle name="Millares 9 2 2 2" xfId="884" xr:uid="{00000000-0005-0000-0000-000073030000}"/>
    <cellStyle name="Millares 9 2 2 2 2" xfId="885" xr:uid="{00000000-0005-0000-0000-000074030000}"/>
    <cellStyle name="Millares 9 2 2 2 2 2" xfId="2045" xr:uid="{9E5F49BF-20C2-441E-8E44-9F8EFA87D7AC}"/>
    <cellStyle name="Millares 9 2 2 2 2 2 2" xfId="3289" xr:uid="{66BD29BF-A7F7-4984-8651-7FD39A104B3B}"/>
    <cellStyle name="Millares 9 2 2 2 2 3" xfId="2798" xr:uid="{BAAAA40B-29D4-4B84-BF2E-06D2BF70BCB7}"/>
    <cellStyle name="Millares 9 2 2 2 3" xfId="2044" xr:uid="{953D23C7-DB24-4089-AEDE-8E8D98ACE722}"/>
    <cellStyle name="Millares 9 2 2 2 3 2" xfId="3288" xr:uid="{3D236F10-AB04-4B33-A39B-6EEACE1A53C2}"/>
    <cellStyle name="Millares 9 2 2 2 4" xfId="2797" xr:uid="{211B6AD3-9FF8-4392-BB65-9F01D51ACD12}"/>
    <cellStyle name="Millares 9 2 2 3" xfId="886" xr:uid="{00000000-0005-0000-0000-000075030000}"/>
    <cellStyle name="Millares 9 2 2 3 2" xfId="887" xr:uid="{00000000-0005-0000-0000-000076030000}"/>
    <cellStyle name="Millares 9 2 2 3 2 2" xfId="2047" xr:uid="{E292E989-F8EE-48F5-9069-EE705C789229}"/>
    <cellStyle name="Millares 9 2 2 3 2 2 2" xfId="3291" xr:uid="{C226A1DF-510D-4CF7-AA45-B52E359498E2}"/>
    <cellStyle name="Millares 9 2 2 3 2 3" xfId="2800" xr:uid="{8BCA4AEE-3B95-41BF-B538-5F1A7BBCE63B}"/>
    <cellStyle name="Millares 9 2 2 3 3" xfId="2046" xr:uid="{6152FFFA-FC83-4C15-AC6D-575C166B64A7}"/>
    <cellStyle name="Millares 9 2 2 3 3 2" xfId="3290" xr:uid="{46905681-AA9A-4DCB-B377-90623379B2E4}"/>
    <cellStyle name="Millares 9 2 2 3 4" xfId="2799" xr:uid="{A5841BD7-9C1D-49A6-AA45-3391767592D2}"/>
    <cellStyle name="Millares 9 2 2 4" xfId="888" xr:uid="{00000000-0005-0000-0000-000077030000}"/>
    <cellStyle name="Millares 9 2 2 4 2" xfId="2048" xr:uid="{BC39D3BA-A766-476C-AEBD-5A9C0FBD49D9}"/>
    <cellStyle name="Millares 9 2 2 4 2 2" xfId="3292" xr:uid="{E2D231FB-537C-4C42-BB41-0F7AE457F402}"/>
    <cellStyle name="Millares 9 2 2 4 3" xfId="2801" xr:uid="{21B0EDA9-AB8D-4D67-AE9C-94EA14476BDA}"/>
    <cellStyle name="Millares 9 2 2 5" xfId="2043" xr:uid="{8C48EA2B-D714-4A78-86F8-B519082A3084}"/>
    <cellStyle name="Millares 9 2 2 5 2" xfId="3287" xr:uid="{2A1AE07E-221B-4905-8F66-AAF28E5A2434}"/>
    <cellStyle name="Millares 9 2 2 6" xfId="2217" xr:uid="{0AD493AE-6C3F-492B-A33C-DC0905BB33C9}"/>
    <cellStyle name="Millares 9 2 2 6 2" xfId="3413" xr:uid="{64F4255F-37B9-4F71-9E2D-0E1696C0B210}"/>
    <cellStyle name="Millares 9 2 2 7" xfId="2796" xr:uid="{35A54A47-5646-4193-B8CC-2AC99BC43E7F}"/>
    <cellStyle name="Millares 9 2 2 8" xfId="3579" xr:uid="{54004F11-95CC-423A-B53F-076A8DC79ACA}"/>
    <cellStyle name="Millares 9 2 3" xfId="889" xr:uid="{00000000-0005-0000-0000-000078030000}"/>
    <cellStyle name="Millares 9 2 3 2" xfId="2049" xr:uid="{4818DB21-9568-428E-8416-6A20F3316D9D}"/>
    <cellStyle name="Millares 9 2 3 2 2" xfId="3293" xr:uid="{30B24865-1855-4EFB-BBC0-FD4968BA72B3}"/>
    <cellStyle name="Millares 9 2 3 3" xfId="2802" xr:uid="{742D8129-72F6-48C0-9EDA-7A1086884035}"/>
    <cellStyle name="Millares 9 2 4" xfId="2042" xr:uid="{5DB7470D-4078-4CD6-89C5-742202716A9A}"/>
    <cellStyle name="Millares 9 2 4 2" xfId="3286" xr:uid="{91AAE06B-D107-4CA9-AE01-8E623642A5BC}"/>
    <cellStyle name="Millares 9 2 5" xfId="2795" xr:uid="{D19A8527-BBD0-40BA-8323-7ACAB4EC1561}"/>
    <cellStyle name="Millares 9 2 6" xfId="3859" xr:uid="{EBD97BD0-90FC-4EB6-B5F7-7210EAB8C2E5}"/>
    <cellStyle name="Millares 9 3" xfId="890" xr:uid="{00000000-0005-0000-0000-000079030000}"/>
    <cellStyle name="Millares 9 3 2" xfId="891" xr:uid="{00000000-0005-0000-0000-00007A030000}"/>
    <cellStyle name="Millares 9 3 2 2" xfId="892" xr:uid="{00000000-0005-0000-0000-00007B030000}"/>
    <cellStyle name="Millares 9 3 2 2 2" xfId="2052" xr:uid="{9C2BE61B-48BF-4E4E-B8A8-A94BCAB29290}"/>
    <cellStyle name="Millares 9 3 2 2 2 2" xfId="3296" xr:uid="{AC0A8E27-2C40-4176-AC40-C4C7788CB463}"/>
    <cellStyle name="Millares 9 3 2 2 3" xfId="2805" xr:uid="{6D961052-716E-4D4F-A9A2-F39F66515F2C}"/>
    <cellStyle name="Millares 9 3 2 3" xfId="2051" xr:uid="{5E0401E6-BEBF-427F-8164-1BF976A597C5}"/>
    <cellStyle name="Millares 9 3 2 3 2" xfId="3295" xr:uid="{BDACF05A-427D-4CC5-9519-270EB7D8C5F1}"/>
    <cellStyle name="Millares 9 3 2 4" xfId="2804" xr:uid="{6ADF6F32-359B-4017-B79F-658D34C65696}"/>
    <cellStyle name="Millares 9 3 3" xfId="893" xr:uid="{00000000-0005-0000-0000-00007C030000}"/>
    <cellStyle name="Millares 9 3 3 2" xfId="894" xr:uid="{00000000-0005-0000-0000-00007D030000}"/>
    <cellStyle name="Millares 9 3 3 2 2" xfId="2054" xr:uid="{32337E6A-4C00-4E69-82B4-A99F38B14D6B}"/>
    <cellStyle name="Millares 9 3 3 2 2 2" xfId="3298" xr:uid="{C3FF0799-5F9A-4BD7-B9B9-ECE8E00AA986}"/>
    <cellStyle name="Millares 9 3 3 2 3" xfId="2807" xr:uid="{5A01B801-125B-4821-855C-823172F2044D}"/>
    <cellStyle name="Millares 9 3 3 3" xfId="2053" xr:uid="{6F86F45E-DFB1-4A0C-AC6E-1A4D64DE1BDB}"/>
    <cellStyle name="Millares 9 3 3 3 2" xfId="3297" xr:uid="{40D940B4-2904-4F59-891B-4301D0369C8F}"/>
    <cellStyle name="Millares 9 3 3 4" xfId="2806" xr:uid="{17665920-EFDC-4227-A627-42BF88D6DE97}"/>
    <cellStyle name="Millares 9 3 4" xfId="895" xr:uid="{00000000-0005-0000-0000-00007E030000}"/>
    <cellStyle name="Millares 9 3 4 2" xfId="2055" xr:uid="{DFEF0B4E-A957-493E-AE4E-BF34DDBACD7F}"/>
    <cellStyle name="Millares 9 3 4 2 2" xfId="3299" xr:uid="{011BEEDB-A56F-4683-B140-E09CAF56DBB7}"/>
    <cellStyle name="Millares 9 3 4 3" xfId="2808" xr:uid="{1A65F546-88AE-4EF7-BD62-C360D66FBAC3}"/>
    <cellStyle name="Millares 9 3 5" xfId="2050" xr:uid="{3844E211-96CD-475E-A19B-483EF71E04DF}"/>
    <cellStyle name="Millares 9 3 5 2" xfId="3294" xr:uid="{50B91692-FB23-49F1-B980-FF4A1E4310ED}"/>
    <cellStyle name="Millares 9 3 6" xfId="2216" xr:uid="{A463003C-B4BF-4EE9-9BD1-60878A3FF82B}"/>
    <cellStyle name="Millares 9 3 6 2" xfId="3412" xr:uid="{7AD1B6E4-769C-4CE7-8D3A-20FB3A90DB9D}"/>
    <cellStyle name="Millares 9 3 7" xfId="2803" xr:uid="{E5D08797-29E0-49A5-95AE-C699D731CA2A}"/>
    <cellStyle name="Millares 9 3 8" xfId="3578" xr:uid="{07B8FEF2-FA15-4301-8A69-0FC5D70718BA}"/>
    <cellStyle name="Millares 9 4" xfId="896" xr:uid="{00000000-0005-0000-0000-00007F030000}"/>
    <cellStyle name="Millares 9 4 2" xfId="2056" xr:uid="{2EAFD8D0-109C-40A7-82BC-604C99F085E5}"/>
    <cellStyle name="Millares 9 4 2 2" xfId="3300" xr:uid="{5AEEF71A-3D5B-4C86-A970-62DA537056CB}"/>
    <cellStyle name="Millares 9 4 3" xfId="2809" xr:uid="{2664C0EB-C520-4225-B71B-70D6FF9241DB}"/>
    <cellStyle name="Millares 9 5" xfId="2041" xr:uid="{449AF8D1-7DBD-49E6-96E6-BEE85D5EB8AC}"/>
    <cellStyle name="Millares 9 5 2" xfId="3285" xr:uid="{0E9C0AD5-367E-4DE1-810B-76A0CA268C5B}"/>
    <cellStyle name="Millares 9 6" xfId="2794" xr:uid="{7F3C04C7-563D-4D66-9FC7-813227C34DC3}"/>
    <cellStyle name="Millares 9 7" xfId="3858" xr:uid="{00A3931D-5DA7-4C9C-A855-7D49D2771112}"/>
    <cellStyle name="Millares 90" xfId="3692" xr:uid="{C6C59FCE-89F0-4ECF-A678-05A2F2DD1960}"/>
    <cellStyle name="Millares 91" xfId="3742" xr:uid="{AE160CC4-9113-4A55-BD02-6C49D6308180}"/>
    <cellStyle name="Millares 92" xfId="3755" xr:uid="{5BE7FFD8-1AF9-43A6-B303-95898DF31131}"/>
    <cellStyle name="Millares 93" xfId="3780" xr:uid="{AC844D47-1644-42E0-A5B2-21BFE904CD14}"/>
    <cellStyle name="Millares 94" xfId="3821" xr:uid="{CED48102-7FE5-4380-AC9A-25368308F6FB}"/>
    <cellStyle name="Millares 95" xfId="3824" xr:uid="{D203EE6E-09B2-4FA0-9908-64740055016D}"/>
    <cellStyle name="Millares_calculo tarifas IMP Res 435" xfId="897" xr:uid="{00000000-0005-0000-0000-000080030000}"/>
    <cellStyle name="Millares_calculo tarifas IMP Res 435 3" xfId="3778" xr:uid="{085D3A57-7DFD-4DE9-A95C-02725EF6FC29}"/>
    <cellStyle name="Millares_FORMUALRIOS AJUSTE TARIFARIO 2" xfId="898" xr:uid="{00000000-0005-0000-0000-000081030000}"/>
    <cellStyle name="Moeda [0]_Alimentador" xfId="899" xr:uid="{00000000-0005-0000-0000-000082030000}"/>
    <cellStyle name="Moeda_Alimentador" xfId="900" xr:uid="{00000000-0005-0000-0000-000083030000}"/>
    <cellStyle name="Moneda 2" xfId="901" xr:uid="{00000000-0005-0000-0000-000084030000}"/>
    <cellStyle name="Moneda 2 2" xfId="902" xr:uid="{00000000-0005-0000-0000-000085030000}"/>
    <cellStyle name="Moneda 2 3" xfId="903" xr:uid="{00000000-0005-0000-0000-000086030000}"/>
    <cellStyle name="Moneda 2 3 2" xfId="904" xr:uid="{00000000-0005-0000-0000-000087030000}"/>
    <cellStyle name="Moneda 2 4" xfId="3860" xr:uid="{3D0313BD-11AC-40B4-AE8D-EFCBDA3C4A0F}"/>
    <cellStyle name="Moneda 3" xfId="905" xr:uid="{00000000-0005-0000-0000-000088030000}"/>
    <cellStyle name="Moneda 3 2" xfId="906" xr:uid="{00000000-0005-0000-0000-000089030000}"/>
    <cellStyle name="Moneda 3 3" xfId="907" xr:uid="{00000000-0005-0000-0000-00008A030000}"/>
    <cellStyle name="Moneda 3 3 2" xfId="908" xr:uid="{00000000-0005-0000-0000-00008B030000}"/>
    <cellStyle name="Moneda 3 4" xfId="2148" xr:uid="{2CDC4BAE-AC81-4D77-B495-E8FC06B38285}"/>
    <cellStyle name="Moneda 3 4 2" xfId="3350" xr:uid="{AB4C2037-061D-48FB-B4A5-F55AD7387A6C}"/>
    <cellStyle name="Moneda 3 5" xfId="3516" xr:uid="{F3F046BA-21A5-4FBB-A6DF-4F0E754842A0}"/>
    <cellStyle name="Moneda 4" xfId="909" xr:uid="{00000000-0005-0000-0000-00008C030000}"/>
    <cellStyle name="Moneda 5" xfId="910" xr:uid="{00000000-0005-0000-0000-00008D030000}"/>
    <cellStyle name="Moneda 6" xfId="911" xr:uid="{00000000-0005-0000-0000-00008E030000}"/>
    <cellStyle name="Moneda 6 2" xfId="2057" xr:uid="{F5C336EA-9BCC-40D1-ADFE-18AF0E680F5C}"/>
    <cellStyle name="Moneda 7" xfId="2305" xr:uid="{C5003254-C847-449A-AC24-31D6F37EC7C6}"/>
    <cellStyle name="Moneda 8" xfId="3679" xr:uid="{E6612E28-E169-49E9-89F7-709A6BC2B5E6}"/>
    <cellStyle name="Moneda 9" xfId="3684" xr:uid="{3C8FF5B8-8733-4578-830A-FECCB17FD578}"/>
    <cellStyle name="Monetario" xfId="912" xr:uid="{00000000-0005-0000-0000-00008F030000}"/>
    <cellStyle name="Monetario 10" xfId="913" xr:uid="{00000000-0005-0000-0000-000090030000}"/>
    <cellStyle name="Monetario 10 2" xfId="914" xr:uid="{00000000-0005-0000-0000-000091030000}"/>
    <cellStyle name="Monetario 11" xfId="915" xr:uid="{00000000-0005-0000-0000-000092030000}"/>
    <cellStyle name="Monetario 11 2" xfId="916" xr:uid="{00000000-0005-0000-0000-000093030000}"/>
    <cellStyle name="Monetario 12" xfId="917" xr:uid="{00000000-0005-0000-0000-000094030000}"/>
    <cellStyle name="Monetario 12 2" xfId="918" xr:uid="{00000000-0005-0000-0000-000095030000}"/>
    <cellStyle name="Monetario 13" xfId="919" xr:uid="{00000000-0005-0000-0000-000096030000}"/>
    <cellStyle name="Monetario 13 2" xfId="920" xr:uid="{00000000-0005-0000-0000-000097030000}"/>
    <cellStyle name="Monetario 14" xfId="921" xr:uid="{00000000-0005-0000-0000-000098030000}"/>
    <cellStyle name="Monetario 14 2" xfId="922" xr:uid="{00000000-0005-0000-0000-000099030000}"/>
    <cellStyle name="Monetario 2" xfId="923" xr:uid="{00000000-0005-0000-0000-00009A030000}"/>
    <cellStyle name="Monetario 2 2" xfId="924" xr:uid="{00000000-0005-0000-0000-00009B030000}"/>
    <cellStyle name="Monetario 3" xfId="925" xr:uid="{00000000-0005-0000-0000-00009C030000}"/>
    <cellStyle name="Monetario 3 2" xfId="926" xr:uid="{00000000-0005-0000-0000-00009D030000}"/>
    <cellStyle name="Monetario 4" xfId="927" xr:uid="{00000000-0005-0000-0000-00009E030000}"/>
    <cellStyle name="Monetario 4 2" xfId="928" xr:uid="{00000000-0005-0000-0000-00009F030000}"/>
    <cellStyle name="Monetario 5" xfId="929" xr:uid="{00000000-0005-0000-0000-0000A0030000}"/>
    <cellStyle name="Monetario 5 2" xfId="930" xr:uid="{00000000-0005-0000-0000-0000A1030000}"/>
    <cellStyle name="Monetario 6" xfId="931" xr:uid="{00000000-0005-0000-0000-0000A2030000}"/>
    <cellStyle name="Monetario 6 2" xfId="932" xr:uid="{00000000-0005-0000-0000-0000A3030000}"/>
    <cellStyle name="Monetario 7" xfId="933" xr:uid="{00000000-0005-0000-0000-0000A4030000}"/>
    <cellStyle name="Monetario 7 2" xfId="934" xr:uid="{00000000-0005-0000-0000-0000A5030000}"/>
    <cellStyle name="Monetario 8" xfId="935" xr:uid="{00000000-0005-0000-0000-0000A6030000}"/>
    <cellStyle name="Monetario 8 2" xfId="936" xr:uid="{00000000-0005-0000-0000-0000A7030000}"/>
    <cellStyle name="Monetario 9" xfId="937" xr:uid="{00000000-0005-0000-0000-0000A8030000}"/>
    <cellStyle name="Monetario 9 2" xfId="938" xr:uid="{00000000-0005-0000-0000-0000A9030000}"/>
    <cellStyle name="Neutral 2" xfId="939" xr:uid="{00000000-0005-0000-0000-0000AA030000}"/>
    <cellStyle name="Neutral 3" xfId="940" xr:uid="{00000000-0005-0000-0000-0000AB030000}"/>
    <cellStyle name="Neutral 4" xfId="941" xr:uid="{00000000-0005-0000-0000-0000AC030000}"/>
    <cellStyle name="Neutral 5" xfId="942" xr:uid="{00000000-0005-0000-0000-0000AD030000}"/>
    <cellStyle name="Neutral 5 2" xfId="943" xr:uid="{00000000-0005-0000-0000-0000AE030000}"/>
    <cellStyle name="Normal" xfId="0" builtinId="0"/>
    <cellStyle name="Normal (£m)" xfId="3688" xr:uid="{5C76283F-58AD-45A7-A5C3-43DF3F875356}"/>
    <cellStyle name="Normal 10" xfId="944" xr:uid="{00000000-0005-0000-0000-0000B0030000}"/>
    <cellStyle name="Normal 10 2" xfId="945" xr:uid="{00000000-0005-0000-0000-0000B1030000}"/>
    <cellStyle name="Normal 10 2 2" xfId="946" xr:uid="{00000000-0005-0000-0000-0000B2030000}"/>
    <cellStyle name="Normal 10 3" xfId="947" xr:uid="{00000000-0005-0000-0000-0000B3030000}"/>
    <cellStyle name="Normal 10 4" xfId="2301" xr:uid="{EBB9E81C-F37D-4EE2-A66F-249EECA4EC1D}"/>
    <cellStyle name="Normal 10 4 2" xfId="3495" xr:uid="{C0C0936A-903C-40BA-A038-F82CC3E621E6}"/>
    <cellStyle name="Normal 10 4 3" xfId="3662" xr:uid="{15463F3D-290A-4DDB-8239-6529A9FC54CD}"/>
    <cellStyle name="Normal 11" xfId="2132" xr:uid="{32E53695-0A94-4FAA-9A0D-5A0D2AE736C4}"/>
    <cellStyle name="Normal 11 2" xfId="948" xr:uid="{00000000-0005-0000-0000-0000B4030000}"/>
    <cellStyle name="Normal 11 2 2" xfId="949" xr:uid="{00000000-0005-0000-0000-0000B5030000}"/>
    <cellStyle name="Normal 11 3" xfId="950" xr:uid="{00000000-0005-0000-0000-0000B6030000}"/>
    <cellStyle name="Normal 11 3 2" xfId="2058" xr:uid="{2414C81F-1A7D-44F1-B393-D658AE227CA1}"/>
    <cellStyle name="Normal 11 3 2 2" xfId="3301" xr:uid="{82C3D3D1-1743-4146-B666-B566F434381E}"/>
    <cellStyle name="Normal 11 3 3" xfId="2149" xr:uid="{A37F8076-B1D5-4706-AAB4-188B9BB0F9BC}"/>
    <cellStyle name="Normal 11 3 3 2" xfId="3351" xr:uid="{8A7D0892-AB22-4510-930D-92701CAE9B22}"/>
    <cellStyle name="Normal 11 3 4" xfId="2810" xr:uid="{E80971D2-54DB-4BA5-A501-2EA1AE35D74D}"/>
    <cellStyle name="Normal 11 3 5" xfId="3517" xr:uid="{A22EDEBE-8ADC-432B-B14F-36D0B20AD9B0}"/>
    <cellStyle name="Normal 11 4" xfId="951" xr:uid="{00000000-0005-0000-0000-0000B7030000}"/>
    <cellStyle name="Normal 11 4 2" xfId="2059" xr:uid="{86C01A4D-0BBA-4808-99EF-9F374812A573}"/>
    <cellStyle name="Normal 11 5" xfId="3709" xr:uid="{DE685A29-AF19-4D9E-8B03-C64670F6018E}"/>
    <cellStyle name="Normal 11 6" xfId="3786" xr:uid="{C53D1DDC-39D5-4429-9BCF-D6FBC872CE32}"/>
    <cellStyle name="Normal 11 7" xfId="3861" xr:uid="{508FAAB5-3142-4E22-BC2A-46EEFE2A7474}"/>
    <cellStyle name="Normal 12" xfId="952" xr:uid="{00000000-0005-0000-0000-0000B8030000}"/>
    <cellStyle name="Normal 12 2" xfId="953" xr:uid="{00000000-0005-0000-0000-0000B9030000}"/>
    <cellStyle name="Normal 12 2 2" xfId="3751" xr:uid="{FE955789-122D-48D2-8BF5-0D127BECB75C}"/>
    <cellStyle name="Normal 12 2 3" xfId="3816" xr:uid="{C78894BC-BF63-42B9-8EFB-8B0425CC1D91}"/>
    <cellStyle name="Normal 12 2 4" xfId="3892" xr:uid="{D79CD5F2-718B-4D1B-AEFD-0AAAAFF0C66C}"/>
    <cellStyle name="Normal 12 3" xfId="954" xr:uid="{00000000-0005-0000-0000-0000BA030000}"/>
    <cellStyle name="Normal 12 4" xfId="3744" xr:uid="{F60216F1-2CD2-4008-90E7-6A781F4CDE11}"/>
    <cellStyle name="Normal 12 5" xfId="3809" xr:uid="{421FD942-79B7-49BE-AC73-52AD3C7645B6}"/>
    <cellStyle name="Normal 12 6" xfId="3885" xr:uid="{F98709C0-D463-4737-8CD6-0CB80EFC35AD}"/>
    <cellStyle name="Normal 13" xfId="2133" xr:uid="{E0DE27B9-CE5E-4B34-95A2-FFB46E213C6D}"/>
    <cellStyle name="Normal 13 2" xfId="955" xr:uid="{00000000-0005-0000-0000-0000BB030000}"/>
    <cellStyle name="Normal 13 3" xfId="3339" xr:uid="{481CAD3D-A393-44FD-AAFF-0D44426BADBB}"/>
    <cellStyle name="Normal 13 4" xfId="3747" xr:uid="{08D59984-AB65-47D8-A9D8-433879B6FE5B}"/>
    <cellStyle name="Normal 13 5" xfId="3812" xr:uid="{C87D4674-3973-4677-BC7E-906E56962D0F}"/>
    <cellStyle name="Normal 13 6" xfId="3888" xr:uid="{86BF32F7-4D0D-4D2C-BD6D-81AC06D53AE6}"/>
    <cellStyle name="Normal 14" xfId="2134" xr:uid="{E2273CC3-D6DE-46B1-B239-0C8FE8895341}"/>
    <cellStyle name="Normal 14 2" xfId="956" xr:uid="{00000000-0005-0000-0000-0000BC030000}"/>
    <cellStyle name="Normal 14 3" xfId="3340" xr:uid="{C81E2696-ABC0-487A-895D-42476C49A6F1}"/>
    <cellStyle name="Normal 14 4" xfId="3752" xr:uid="{58A8E858-673E-4724-9C0A-224D9D01487D}"/>
    <cellStyle name="Normal 14 5" xfId="3817" xr:uid="{6A257231-6FC6-449D-9EBC-D7F34792E076}"/>
    <cellStyle name="Normal 14 6" xfId="3893" xr:uid="{6D7D8B89-BA8B-4A25-8352-A8C4C47C2856}"/>
    <cellStyle name="Normal 146 2" xfId="957" xr:uid="{00000000-0005-0000-0000-0000BD030000}"/>
    <cellStyle name="Normal 146 2 2" xfId="2060" xr:uid="{DCEE19E8-44E0-4BB8-AB15-2B7704C994F1}"/>
    <cellStyle name="Normal 146 2 2 2" xfId="3302" xr:uid="{6F08141E-7A10-4095-A36F-7BCD91AE43C7}"/>
    <cellStyle name="Normal 146 2 3" xfId="2300" xr:uid="{3F7BA5D4-21E6-4F1F-871B-1435CE9FA511}"/>
    <cellStyle name="Normal 146 2 3 2" xfId="3494" xr:uid="{FE91260F-7730-4CB2-822F-A51EDC435387}"/>
    <cellStyle name="Normal 146 2 4" xfId="2811" xr:uid="{07316576-1253-40A9-8D9B-CFBFADFF97F8}"/>
    <cellStyle name="Normal 146 2 5" xfId="3661" xr:uid="{07C6077A-F7FF-4A91-B7D2-CEAB77861194}"/>
    <cellStyle name="Normal 15" xfId="2150" xr:uid="{135F8490-C85D-4DA4-AAFB-03A766CBA643}"/>
    <cellStyle name="Normal 15 2" xfId="958" xr:uid="{00000000-0005-0000-0000-0000BE030000}"/>
    <cellStyle name="Normal 15 2 2" xfId="2061" xr:uid="{AF45CE36-39FD-44A9-9072-E808D875797C}"/>
    <cellStyle name="Normal 15 2 2 2" xfId="3303" xr:uid="{BBB967EB-8F29-46FA-AA20-2CD4012F04C5}"/>
    <cellStyle name="Normal 15 2 3" xfId="2218" xr:uid="{50C6C476-C384-48AE-A1A5-AE8DE1A4D6DD}"/>
    <cellStyle name="Normal 15 2 3 2" xfId="3414" xr:uid="{DB63C5F3-4D09-497D-9FF2-D7CFB7CF0858}"/>
    <cellStyle name="Normal 15 2 4" xfId="2812" xr:uid="{E60B9947-621C-480A-9AFD-CB5140D94F1D}"/>
    <cellStyle name="Normal 15 2 5" xfId="3580" xr:uid="{0E325444-A75B-426E-ADA8-9485C8C23AD4}"/>
    <cellStyle name="Normal 15 3" xfId="959" xr:uid="{00000000-0005-0000-0000-0000BF030000}"/>
    <cellStyle name="Normal 16" xfId="2151" xr:uid="{C168406B-61EB-424F-962E-0DC573D29776}"/>
    <cellStyle name="Normal 16 2" xfId="960" xr:uid="{00000000-0005-0000-0000-0000C0030000}"/>
    <cellStyle name="Normal 17" xfId="2152" xr:uid="{0AA4EF40-5AE1-4B2C-9D67-B60C3EF12548}"/>
    <cellStyle name="Normal 17 2" xfId="961" xr:uid="{00000000-0005-0000-0000-0000C1030000}"/>
    <cellStyle name="Normal 17 2 2" xfId="962" xr:uid="{00000000-0005-0000-0000-0000C2030000}"/>
    <cellStyle name="Normal 17 2 2 2" xfId="963" xr:uid="{00000000-0005-0000-0000-0000C3030000}"/>
    <cellStyle name="Normal 17 2 2 2 2" xfId="2064" xr:uid="{B53EC36D-5C70-4554-8867-63DB2430CCC6}"/>
    <cellStyle name="Normal 17 2 2 2 2 2" xfId="3306" xr:uid="{295B3C40-1088-4933-9633-C8E9CA473A9F}"/>
    <cellStyle name="Normal 17 2 2 2 3" xfId="2220" xr:uid="{E8A0064E-CC91-4E9A-BAD9-EB6316F3351D}"/>
    <cellStyle name="Normal 17 2 2 2 3 2" xfId="3416" xr:uid="{676611EF-4EB9-4FD9-894A-9779F49D7CFB}"/>
    <cellStyle name="Normal 17 2 2 2 4" xfId="2815" xr:uid="{2086EA41-1029-4D82-A2EB-5BC348BF38AB}"/>
    <cellStyle name="Normal 17 2 2 2 5" xfId="3582" xr:uid="{3A13C392-32C3-45D8-8ABA-D85B9807AFAC}"/>
    <cellStyle name="Normal 17 2 2 3" xfId="2063" xr:uid="{AEDA9F3F-EA20-4AEC-B117-3E6D5E33C94A}"/>
    <cellStyle name="Normal 17 2 2 3 2" xfId="3305" xr:uid="{EDA5448E-C347-425A-B012-442F322FA089}"/>
    <cellStyle name="Normal 17 2 2 4" xfId="2154" xr:uid="{278C0E66-567C-47B5-9A40-6CE115D029C5}"/>
    <cellStyle name="Normal 17 2 2 4 2" xfId="3353" xr:uid="{1C8421AD-B873-40C5-B8F5-6ED5084BB2A8}"/>
    <cellStyle name="Normal 17 2 2 5" xfId="2814" xr:uid="{AC619124-41E0-4B14-A584-219B9642CD1F}"/>
    <cellStyle name="Normal 17 2 2 6" xfId="3519" xr:uid="{B4FC9253-3CAA-4165-A396-B18F530031EB}"/>
    <cellStyle name="Normal 17 2 3" xfId="964" xr:uid="{00000000-0005-0000-0000-0000C4030000}"/>
    <cellStyle name="Normal 17 2 3 2" xfId="2065" xr:uid="{7CFEF395-EE93-4311-8124-3B0F2E25FFEA}"/>
    <cellStyle name="Normal 17 2 3 2 2" xfId="3307" xr:uid="{2C180D1C-203F-4D79-B316-806C6D270DC4}"/>
    <cellStyle name="Normal 17 2 3 3" xfId="2219" xr:uid="{4F41C00E-3574-42E5-ADFE-8085491646A0}"/>
    <cellStyle name="Normal 17 2 3 3 2" xfId="3415" xr:uid="{08080825-0768-475F-B88A-711473973101}"/>
    <cellStyle name="Normal 17 2 3 4" xfId="2816" xr:uid="{DE7C508E-D648-4CCF-9A42-BFEDA409677C}"/>
    <cellStyle name="Normal 17 2 3 5" xfId="3581" xr:uid="{1CA9D9E0-9217-4B88-B196-708172A14E00}"/>
    <cellStyle name="Normal 17 2 4" xfId="2062" xr:uid="{1E090CA7-CB6E-41DD-AE63-A6B27162B330}"/>
    <cellStyle name="Normal 17 2 4 2" xfId="3304" xr:uid="{5A8FDC2C-B5B9-4462-AB76-FDEB11AD98AD}"/>
    <cellStyle name="Normal 17 2 5" xfId="2153" xr:uid="{856D30D5-F6F8-4730-9ABD-33E7E0DA7A4D}"/>
    <cellStyle name="Normal 17 2 5 2" xfId="3352" xr:uid="{0B967908-0080-452E-963F-836B4706DCFE}"/>
    <cellStyle name="Normal 17 2 6" xfId="2813" xr:uid="{CD7FA94A-AD46-4C06-B7F2-46D7F8EAB3C1}"/>
    <cellStyle name="Normal 17 2 7" xfId="3518" xr:uid="{9D83B59D-1E50-4853-B6DA-4A5ADB9602E5}"/>
    <cellStyle name="Normal 17 3" xfId="965" xr:uid="{00000000-0005-0000-0000-0000C5030000}"/>
    <cellStyle name="Normal 17 3 2" xfId="966" xr:uid="{00000000-0005-0000-0000-0000C6030000}"/>
    <cellStyle name="Normal 18" xfId="2155" xr:uid="{9EBCDD71-4269-4785-8F7F-76C9AB04D8D7}"/>
    <cellStyle name="Normal 18 2" xfId="967" xr:uid="{00000000-0005-0000-0000-0000C7030000}"/>
    <cellStyle name="Normal 18 2 2" xfId="2066" xr:uid="{45C2F3C4-B843-4FF9-A8C7-8FBD6C81C3A3}"/>
    <cellStyle name="Normal 18 2 2 2" xfId="3308" xr:uid="{063C103F-D554-41CA-9774-2A80FB88D517}"/>
    <cellStyle name="Normal 18 2 3" xfId="2817" xr:uid="{949AB4D0-92CF-4F84-A6BA-699014428CBD}"/>
    <cellStyle name="Normal 18 3" xfId="3354" xr:uid="{1894BDE6-B244-41DE-8C9C-F3BD70779BE7}"/>
    <cellStyle name="Normal 18 4" xfId="3520" xr:uid="{3BF8F5D6-4F4D-4867-BCF3-A8C9AE92333E}"/>
    <cellStyle name="Normal 19" xfId="2156" xr:uid="{A6D9A31E-C9DA-4ABD-9A35-9263F85946D1}"/>
    <cellStyle name="Normal 19 2" xfId="968" xr:uid="{00000000-0005-0000-0000-0000C8030000}"/>
    <cellStyle name="Normal 2" xfId="969" xr:uid="{00000000-0005-0000-0000-0000C9030000}"/>
    <cellStyle name="Normal 2 2" xfId="970" xr:uid="{00000000-0005-0000-0000-0000CA030000}"/>
    <cellStyle name="Normal 2 2 2" xfId="971" xr:uid="{00000000-0005-0000-0000-0000CB030000}"/>
    <cellStyle name="Normal 2 2 2 10" xfId="3788" xr:uid="{F14F9F7D-04B1-4761-941C-A9F19D3C098C}"/>
    <cellStyle name="Normal 2 2 2 11" xfId="3863" xr:uid="{DC565138-BAB6-4894-88C8-C527AF7BB31D}"/>
    <cellStyle name="Normal 2 2 2 2" xfId="972" xr:uid="{00000000-0005-0000-0000-0000CC030000}"/>
    <cellStyle name="Normal 2 2 2 2 2" xfId="2069" xr:uid="{4A7AC02C-26D2-4BC4-B268-0B9339D7629B}"/>
    <cellStyle name="Normal 2 2 2 2 2 2" xfId="3310" xr:uid="{1FA53AF0-01C8-4473-BBDF-F54ADFF2947D}"/>
    <cellStyle name="Normal 2 2 2 2 3" xfId="2221" xr:uid="{236F5A55-1986-4048-9C9B-27010999D5E3}"/>
    <cellStyle name="Normal 2 2 2 2 3 2" xfId="3417" xr:uid="{5F3E392F-415F-4192-9350-2AEA78D32BBD}"/>
    <cellStyle name="Normal 2 2 2 2 4" xfId="2819" xr:uid="{40A11FCA-B879-4E16-A661-D498AE57704F}"/>
    <cellStyle name="Normal 2 2 2 2 5" xfId="3583" xr:uid="{4263AC96-D6ED-4FFA-ADD8-26753FE1BBD3}"/>
    <cellStyle name="Normal 2 2 2 2 6" xfId="3712" xr:uid="{B77CBD68-680E-4CD2-B2C3-5D9409019DBD}"/>
    <cellStyle name="Normal 2 2 2 2 7" xfId="3789" xr:uid="{D09A15B4-C87D-49E9-9F74-4EEBB1427944}"/>
    <cellStyle name="Normal 2 2 2 2 8" xfId="3864" xr:uid="{B31AA5E3-A12D-494C-8710-789921560A74}"/>
    <cellStyle name="Normal 2 2 2 3" xfId="973" xr:uid="{00000000-0005-0000-0000-0000CD030000}"/>
    <cellStyle name="Normal 2 2 2 3 2" xfId="2070" xr:uid="{85931D50-CAB8-4A07-8B8D-EBAC3D02EE8B}"/>
    <cellStyle name="Normal 2 2 2 4" xfId="974" xr:uid="{00000000-0005-0000-0000-0000CE030000}"/>
    <cellStyle name="Normal 2 2 2 5" xfId="2068" xr:uid="{403A6934-C4E6-43BB-9C29-D2175B957CE1}"/>
    <cellStyle name="Normal 2 2 2 5 2" xfId="3309" xr:uid="{D336C513-EBEE-4E52-9263-FA3EFA79764D}"/>
    <cellStyle name="Normal 2 2 2 6" xfId="2157" xr:uid="{3505FECD-0327-4794-B0AF-95EC52962D6A}"/>
    <cellStyle name="Normal 2 2 2 6 2" xfId="3355" xr:uid="{0357FAD0-BC1B-4E45-8C6D-4E930548B5A7}"/>
    <cellStyle name="Normal 2 2 2 7" xfId="2818" xr:uid="{37215AC6-0C3A-4A2B-ADA2-589D405D0D05}"/>
    <cellStyle name="Normal 2 2 2 8" xfId="3521" xr:uid="{F73B521C-93F8-49C2-B9DD-3877701C4D01}"/>
    <cellStyle name="Normal 2 2 2 9" xfId="3711" xr:uid="{9AD7A174-4C1B-44AE-A692-44D1B42FD532}"/>
    <cellStyle name="Normal 2 2 3" xfId="975" xr:uid="{00000000-0005-0000-0000-0000CF030000}"/>
    <cellStyle name="Normal 2 2 3 2" xfId="976" xr:uid="{00000000-0005-0000-0000-0000D0030000}"/>
    <cellStyle name="Normal 2 2 3 3" xfId="3713" xr:uid="{1DAAACA7-4A71-45D8-AD4D-4D4FF2855841}"/>
    <cellStyle name="Normal 2 2 4" xfId="2067" xr:uid="{672FC197-411D-4A34-972B-02296516AD37}"/>
    <cellStyle name="Normal 2 2 5" xfId="3710" xr:uid="{4A032911-0CFC-424C-B7F5-AC88A37B9523}"/>
    <cellStyle name="Normal 2 2 6" xfId="3787" xr:uid="{BD8D6199-DBC9-4C51-A7C9-E40FDD675A21}"/>
    <cellStyle name="Normal 2 2 7" xfId="3862" xr:uid="{AD6A3A05-90AD-42BF-8C12-FD804AD9B897}"/>
    <cellStyle name="Normal 2 3" xfId="977" xr:uid="{00000000-0005-0000-0000-0000D1030000}"/>
    <cellStyle name="Normal 2 3 10" xfId="3865" xr:uid="{03DA931B-344D-47DF-A956-3F59A5458C73}"/>
    <cellStyle name="Normal 2 3 2" xfId="978" xr:uid="{00000000-0005-0000-0000-0000D2030000}"/>
    <cellStyle name="Normal 2 3 2 2" xfId="979" xr:uid="{00000000-0005-0000-0000-0000D3030000}"/>
    <cellStyle name="Normal 2 3 2 3" xfId="3715" xr:uid="{1CC96825-5AE8-42DA-88B4-02E29B7F8898}"/>
    <cellStyle name="Normal 2 3 2 4" xfId="3791" xr:uid="{DEE1DE5A-E0BA-421B-97FC-CE366D986CE6}"/>
    <cellStyle name="Normal 2 3 2 5" xfId="3866" xr:uid="{8BACA6FC-7B99-4A71-8E03-534F9649FC95}"/>
    <cellStyle name="Normal 2 3 3" xfId="980" xr:uid="{00000000-0005-0000-0000-0000D4030000}"/>
    <cellStyle name="Normal 2 3 3 2" xfId="2072" xr:uid="{038B644E-AC63-4628-B122-9BD1DA695C15}"/>
    <cellStyle name="Normal 2 3 3 2 2" xfId="3312" xr:uid="{D33AD3F4-E182-4003-91BD-9E74D35944D1}"/>
    <cellStyle name="Normal 2 3 3 3" xfId="2222" xr:uid="{0176EF65-8E55-43DF-96FD-E0714F6222BB}"/>
    <cellStyle name="Normal 2 3 3 3 2" xfId="3418" xr:uid="{41D62D6C-4D2B-4B76-96B3-A2B34E03C977}"/>
    <cellStyle name="Normal 2 3 3 4" xfId="2821" xr:uid="{25674DAF-E5F2-4BA3-9989-D598B784876B}"/>
    <cellStyle name="Normal 2 3 3 5" xfId="3584" xr:uid="{DA08B3BE-6267-4AF8-8798-6C8A0E31B169}"/>
    <cellStyle name="Normal 2 3 3 6" xfId="3716" xr:uid="{9353E3D8-0075-4DF2-A961-9B55D6D38C0E}"/>
    <cellStyle name="Normal 2 3 3 7" xfId="3792" xr:uid="{215A6BE1-3883-482B-98A9-42790A18379F}"/>
    <cellStyle name="Normal 2 3 3 8" xfId="3867" xr:uid="{5D8110B5-8489-49E4-A67C-C69456F1F466}"/>
    <cellStyle name="Normal 2 3 4" xfId="2071" xr:uid="{FFED2C5C-53A7-44D8-A6AD-D4936EA6C99A}"/>
    <cellStyle name="Normal 2 3 4 2" xfId="3311" xr:uid="{18840E22-90C5-4087-AD6C-597F55D7FC9F}"/>
    <cellStyle name="Normal 2 3 4 3" xfId="3717" xr:uid="{863B1336-BB66-473A-8854-A1DA6CCC5A96}"/>
    <cellStyle name="Normal 2 3 5" xfId="2158" xr:uid="{0B97DF7F-AF42-4C42-8E32-C4C4ABE050F1}"/>
    <cellStyle name="Normal 2 3 5 2" xfId="3356" xr:uid="{3259803A-68B9-403A-882F-C003F8B3E9F2}"/>
    <cellStyle name="Normal 2 3 6" xfId="2820" xr:uid="{794EDC0D-90E4-4CB9-8312-75F988E32CB6}"/>
    <cellStyle name="Normal 2 3 7" xfId="3522" xr:uid="{BD9D47A8-ECD3-4866-86AE-8391336EB00C}"/>
    <cellStyle name="Normal 2 3 8" xfId="3714" xr:uid="{229B1AB8-B4F3-4CD5-A685-391EDBEA264D}"/>
    <cellStyle name="Normal 2 3 9" xfId="3790" xr:uid="{68FA54F1-125C-43FF-8881-259273E61DEB}"/>
    <cellStyle name="Normal 2 4" xfId="981" xr:uid="{00000000-0005-0000-0000-0000D5030000}"/>
    <cellStyle name="Normal 2 4 10" xfId="3685" xr:uid="{D93E2394-9D21-4627-816C-6ECDDCB9946D}"/>
    <cellStyle name="Normal 2 4 11" xfId="3718" xr:uid="{D0AB3D96-FCCF-447D-A78B-D0477E748309}"/>
    <cellStyle name="Normal 2 4 12" xfId="3793" xr:uid="{627A0306-AA9D-4C50-AB7A-5495521E192E}"/>
    <cellStyle name="Normal 2 4 13" xfId="3868" xr:uid="{749679F0-9B3D-46AA-8BF7-22A93185F755}"/>
    <cellStyle name="Normal 2 4 2" xfId="982" xr:uid="{00000000-0005-0000-0000-0000D6030000}"/>
    <cellStyle name="Normal 2 4 2 2" xfId="983" xr:uid="{00000000-0005-0000-0000-0000D7030000}"/>
    <cellStyle name="Normal 2 4 2 3" xfId="2073" xr:uid="{8307047C-C32F-411C-B99F-07D624D2C3E7}"/>
    <cellStyle name="Normal 2 4 2 3 2" xfId="3313" xr:uid="{2D8F49D1-ABB4-46F9-8DDE-4F9D2AAD9FF1}"/>
    <cellStyle name="Normal 2 4 2 4" xfId="2159" xr:uid="{FB2EB28F-3FB5-4094-89C7-C9DD80D5BC5C}"/>
    <cellStyle name="Normal 2 4 2 4 2" xfId="3357" xr:uid="{B5226B2D-C8E6-4695-9E62-8FD69A5F4599}"/>
    <cellStyle name="Normal 2 4 2 5" xfId="2822" xr:uid="{94AB4143-58F1-4738-AEDA-791785C2B47C}"/>
    <cellStyle name="Normal 2 4 2 6" xfId="3523" xr:uid="{4421C8AA-23AA-4789-8B3D-1020FF13B744}"/>
    <cellStyle name="Normal 2 4 3" xfId="984" xr:uid="{00000000-0005-0000-0000-0000D8030000}"/>
    <cellStyle name="Normal 2 4 4" xfId="2307" xr:uid="{ACAE1236-2F33-4E34-A553-7421851A6B9E}"/>
    <cellStyle name="Normal 2 4 4 2" xfId="3497" xr:uid="{BC03E32E-1622-454A-874A-347BE7E04894}"/>
    <cellStyle name="Normal 2 4 4 3" xfId="3664" xr:uid="{40369DA6-D56D-4D7C-A619-452CE606EC9F}"/>
    <cellStyle name="Normal 2 4 5" xfId="2314" xr:uid="{7489CCDD-4AF1-4E1F-8395-D2B8BF11E759}"/>
    <cellStyle name="Normal 2 4 5 2" xfId="3502" xr:uid="{94FD5AF5-4801-4041-AE4A-8F32AEDEAED2}"/>
    <cellStyle name="Normal 2 4 5 3" xfId="3669" xr:uid="{DA150CC1-1A92-493A-98EE-8C3072587242}"/>
    <cellStyle name="Normal 2 4 6" xfId="2320" xr:uid="{2568A826-CD1F-42B5-9431-0F9B4DF80B88}"/>
    <cellStyle name="Normal 2 4 6 2" xfId="3505" xr:uid="{6AAE63D6-CBE9-41DF-9915-4388491245A5}"/>
    <cellStyle name="Normal 2 4 6 3" xfId="3672" xr:uid="{5E82CA14-4293-44CF-BCBF-3C8235963E6C}"/>
    <cellStyle name="Normal 2 4 7" xfId="2323" xr:uid="{37748D51-EBD3-4528-95E3-7D7659117C59}"/>
    <cellStyle name="Normal 2 4 7 2" xfId="3507" xr:uid="{D17991A2-4536-454B-A183-3201C39C9F3C}"/>
    <cellStyle name="Normal 2 4 7 3" xfId="3674" xr:uid="{D7F50E0A-856C-4CE7-9A17-C14737D531A7}"/>
    <cellStyle name="Normal 2 4 8" xfId="3677" xr:uid="{D4E55003-0FAF-4C2C-804D-DA1AF1A8BDE0}"/>
    <cellStyle name="Normal 2 4 9" xfId="3680" xr:uid="{EEF56DAB-AE80-4B22-94E6-582146AB2D9B}"/>
    <cellStyle name="Normal 2 5" xfId="985" xr:uid="{00000000-0005-0000-0000-0000D9030000}"/>
    <cellStyle name="Normal 2 5 2" xfId="986" xr:uid="{00000000-0005-0000-0000-0000DA030000}"/>
    <cellStyle name="Normal 2 5 2 2" xfId="987" xr:uid="{00000000-0005-0000-0000-0000DB030000}"/>
    <cellStyle name="Normal 2 5 2 3" xfId="2074" xr:uid="{07379DF7-572E-45B2-8D1A-414D6036D250}"/>
    <cellStyle name="Normal 2 6" xfId="988" xr:uid="{00000000-0005-0000-0000-0000DC030000}"/>
    <cellStyle name="Normal 2 6 2" xfId="989" xr:uid="{00000000-0005-0000-0000-0000DD030000}"/>
    <cellStyle name="Normal 2 6 2 2" xfId="2075" xr:uid="{81C6E350-043B-4914-9542-123650C61FAF}"/>
    <cellStyle name="Normal 2 6 2 2 2" xfId="3314" xr:uid="{270A19C3-FE18-42F9-9BE8-25A5E83B38E4}"/>
    <cellStyle name="Normal 2 6 2 3" xfId="2823" xr:uid="{D1804084-EA9A-4F2F-9C74-103B0446B6BA}"/>
    <cellStyle name="Normal 2 6 3" xfId="2232" xr:uid="{4958FD4E-4904-43DF-926D-B463446FF345}"/>
    <cellStyle name="Normal 2 6 3 2" xfId="3427" xr:uid="{9F41B38D-81CF-4C84-93ED-9503F1630338}"/>
    <cellStyle name="Normal 2 6 4" xfId="3594" xr:uid="{208FC4C4-EA4D-4FB7-A3FC-FB6DB6F30B64}"/>
    <cellStyle name="Normal 2 7" xfId="990" xr:uid="{00000000-0005-0000-0000-0000DE030000}"/>
    <cellStyle name="Normal 2 7 2" xfId="2076" xr:uid="{4288F971-7A0B-431F-8EF6-009C48243305}"/>
    <cellStyle name="Normal 2 7 2 2" xfId="3315" xr:uid="{25C31CD9-6D0D-4C78-B5EF-2DA1E45B9F25}"/>
    <cellStyle name="Normal 2 7 3" xfId="2297" xr:uid="{6CCD68AF-3547-4B16-8A5B-E3FBA858A572}"/>
    <cellStyle name="Normal 2 7 3 2" xfId="3491" xr:uid="{5497E783-DE2E-4237-B6BF-CB02567C1D4A}"/>
    <cellStyle name="Normal 2 7 4" xfId="2824" xr:uid="{047EC746-2C50-4C2C-8CF5-F4C93E89B51E}"/>
    <cellStyle name="Normal 2 7 5" xfId="3658" xr:uid="{BBAD9A34-C94B-4D55-9062-38F14779ED8B}"/>
    <cellStyle name="Normal 2 8" xfId="1556" xr:uid="{009632A2-65EC-49EE-B177-FF58ED79571F}"/>
    <cellStyle name="Normal 2 8 2" xfId="2306" xr:uid="{E25648F9-4635-4A6D-ACBA-7B588DAFD805}"/>
    <cellStyle name="Normal 2 9" xfId="3761" xr:uid="{8C712E5E-1908-449F-A0A2-A69E69C89D83}"/>
    <cellStyle name="Normal 20" xfId="991" xr:uid="{00000000-0005-0000-0000-0000DF030000}"/>
    <cellStyle name="Normal 20 2" xfId="992" xr:uid="{00000000-0005-0000-0000-0000E0030000}"/>
    <cellStyle name="Normal 20 2 2" xfId="993" xr:uid="{00000000-0005-0000-0000-0000E1030000}"/>
    <cellStyle name="Normal 20 2 2 2" xfId="994" xr:uid="{00000000-0005-0000-0000-0000E2030000}"/>
    <cellStyle name="Normal 20 2 3" xfId="995" xr:uid="{00000000-0005-0000-0000-0000E3030000}"/>
    <cellStyle name="Normal 20 3" xfId="996" xr:uid="{00000000-0005-0000-0000-0000E4030000}"/>
    <cellStyle name="Normal 20 3 2" xfId="997" xr:uid="{00000000-0005-0000-0000-0000E5030000}"/>
    <cellStyle name="Normal 20 4" xfId="998" xr:uid="{00000000-0005-0000-0000-0000E6030000}"/>
    <cellStyle name="Normal 20 4 2" xfId="999" xr:uid="{00000000-0005-0000-0000-0000E7030000}"/>
    <cellStyle name="Normal 20 4 3" xfId="2077" xr:uid="{F2CE8CC7-DCF4-4860-972E-669293A1FB1E}"/>
    <cellStyle name="Normal 20 4 3 2" xfId="3316" xr:uid="{7AB6CD8A-32C1-4286-9439-CAAA02BC8B66}"/>
    <cellStyle name="Normal 20 4 4" xfId="2825" xr:uid="{15080728-B850-4E2F-82D0-402C66437C73}"/>
    <cellStyle name="Normal 21" xfId="1000" xr:uid="{00000000-0005-0000-0000-0000E8030000}"/>
    <cellStyle name="Normal 21 2" xfId="1001" xr:uid="{00000000-0005-0000-0000-0000E9030000}"/>
    <cellStyle name="Normal 21 2 2" xfId="1002" xr:uid="{00000000-0005-0000-0000-0000EA030000}"/>
    <cellStyle name="Normal 21 3" xfId="1003" xr:uid="{00000000-0005-0000-0000-0000EB030000}"/>
    <cellStyle name="Normal 22" xfId="1004" xr:uid="{00000000-0005-0000-0000-0000EC030000}"/>
    <cellStyle name="Normal 22 2" xfId="1005" xr:uid="{00000000-0005-0000-0000-0000ED030000}"/>
    <cellStyle name="Normal 23" xfId="1006" xr:uid="{00000000-0005-0000-0000-0000EE030000}"/>
    <cellStyle name="Normal 24" xfId="1007" xr:uid="{00000000-0005-0000-0000-0000EF030000}"/>
    <cellStyle name="Normal 25" xfId="1008" xr:uid="{00000000-0005-0000-0000-0000F0030000}"/>
    <cellStyle name="Normal 26" xfId="1009" xr:uid="{00000000-0005-0000-0000-0000F1030000}"/>
    <cellStyle name="Normal 27" xfId="1010" xr:uid="{00000000-0005-0000-0000-0000F2030000}"/>
    <cellStyle name="Normal 28" xfId="1011" xr:uid="{00000000-0005-0000-0000-0000F3030000}"/>
    <cellStyle name="Normal 29" xfId="1012" xr:uid="{00000000-0005-0000-0000-0000F4030000}"/>
    <cellStyle name="Normal 3" xfId="1013" xr:uid="{00000000-0005-0000-0000-0000F5030000}"/>
    <cellStyle name="Normal 3 2" xfId="1014" xr:uid="{00000000-0005-0000-0000-0000F6030000}"/>
    <cellStyle name="Normal 3 2 10" xfId="3869" xr:uid="{E83EE1A7-034A-4151-9BCA-A1E666441A8F}"/>
    <cellStyle name="Normal 3 2 2" xfId="1015" xr:uid="{00000000-0005-0000-0000-0000F7030000}"/>
    <cellStyle name="Normal 3 2 2 2" xfId="1016" xr:uid="{00000000-0005-0000-0000-0000F8030000}"/>
    <cellStyle name="Normal 3 2 2 3" xfId="3720" xr:uid="{9692D8F4-66D0-47F0-9CAF-8EE080197627}"/>
    <cellStyle name="Normal 3 2 2 4" xfId="3795" xr:uid="{9B0CD073-8B92-4FBB-B616-0F0EABF80916}"/>
    <cellStyle name="Normal 3 2 2 5" xfId="3870" xr:uid="{F74D5D29-4B62-45EF-9FA4-BB3E80FB0657}"/>
    <cellStyle name="Normal 3 2 3" xfId="1017" xr:uid="{00000000-0005-0000-0000-0000F9030000}"/>
    <cellStyle name="Normal 3 2 3 2" xfId="2079" xr:uid="{E728E688-AFC8-41A8-90EE-C3495A1F2B9B}"/>
    <cellStyle name="Normal 3 2 3 2 2" xfId="3318" xr:uid="{FE2018FF-3732-4FAE-B314-114F29843A95}"/>
    <cellStyle name="Normal 3 2 3 3" xfId="2223" xr:uid="{3BC52757-18F5-4C19-A344-92234C18BE55}"/>
    <cellStyle name="Normal 3 2 3 3 2" xfId="3419" xr:uid="{68E49209-36F0-452B-A7C9-0B95E8E11B70}"/>
    <cellStyle name="Normal 3 2 3 4" xfId="2827" xr:uid="{C9B6B98A-2415-4F5F-AE2A-09E321B6C756}"/>
    <cellStyle name="Normal 3 2 3 5" xfId="3585" xr:uid="{E00C838A-8356-463E-8F80-BCC3C783A309}"/>
    <cellStyle name="Normal 3 2 3 6" xfId="3721" xr:uid="{93FB188C-C72D-4450-A689-970EF9A0519E}"/>
    <cellStyle name="Normal 3 2 3 7" xfId="3796" xr:uid="{6AFF2C4A-9C76-409F-BC1B-88DD1607FB29}"/>
    <cellStyle name="Normal 3 2 3 8" xfId="3871" xr:uid="{75528D1E-3D71-411B-A4E5-56A05DD6D836}"/>
    <cellStyle name="Normal 3 2 4" xfId="2078" xr:uid="{7EB0C3D0-04EF-4EAE-8E60-FF8C640030C3}"/>
    <cellStyle name="Normal 3 2 4 2" xfId="2302" xr:uid="{2CCC1F3A-5F1E-4B1F-97EB-79B81B52D217}"/>
    <cellStyle name="Normal 3 2 4 2 2" xfId="3496" xr:uid="{39A9A3B6-37D8-416A-9EC2-036EF5C1C731}"/>
    <cellStyle name="Normal 3 2 4 3" xfId="3317" xr:uid="{62518AEB-D8A8-41A1-AF2B-520FC63C1E85}"/>
    <cellStyle name="Normal 3 2 4 4" xfId="3663" xr:uid="{F026E82A-5E7B-4446-9885-B4A724ED1FE1}"/>
    <cellStyle name="Normal 3 2 5" xfId="2161" xr:uid="{2DEA9733-A24E-4B62-8246-03518E97BEDE}"/>
    <cellStyle name="Normal 3 2 5 2" xfId="3359" xr:uid="{D0CD2464-2094-4ED4-AF6C-FF4C44525816}"/>
    <cellStyle name="Normal 3 2 6" xfId="2826" xr:uid="{7ED06552-4B39-46F7-92C1-2542ABAD5044}"/>
    <cellStyle name="Normal 3 2 7" xfId="3525" xr:uid="{71F6C81B-AA6A-47AF-B90F-235A6BF2D2F6}"/>
    <cellStyle name="Normal 3 2 8" xfId="3719" xr:uid="{51303D06-D5A9-4016-998D-653C7FEF47C0}"/>
    <cellStyle name="Normal 3 2 9" xfId="3794" xr:uid="{C793F6A8-CCE6-45AC-95A4-7A36D5809280}"/>
    <cellStyle name="Normal 3 3" xfId="1018" xr:uid="{00000000-0005-0000-0000-0000FA030000}"/>
    <cellStyle name="Normal 3 3 2" xfId="1019" xr:uid="{00000000-0005-0000-0000-0000FB030000}"/>
    <cellStyle name="Normal 3 3 2 2" xfId="2080" xr:uid="{8B1BC4C5-27D2-478A-A458-283DEB8640F1}"/>
    <cellStyle name="Normal 3 3 2 2 2" xfId="3319" xr:uid="{11A03EA6-0CCA-449E-8C1D-7B6C990B4EE3}"/>
    <cellStyle name="Normal 3 3 2 3" xfId="2224" xr:uid="{C25915E7-3CB5-4C13-AE94-C1FABD409658}"/>
    <cellStyle name="Normal 3 3 2 3 2" xfId="3420" xr:uid="{7FD90786-9A33-458E-AFEB-200B6747E4FD}"/>
    <cellStyle name="Normal 3 3 2 4" xfId="2828" xr:uid="{1E214EE2-A1F9-4C84-81AA-08C439A9571A}"/>
    <cellStyle name="Normal 3 3 2 5" xfId="3586" xr:uid="{54BE7F5B-D2FD-4CBA-883E-FD272337B2CF}"/>
    <cellStyle name="Normal 3 3 3" xfId="1020" xr:uid="{00000000-0005-0000-0000-0000FC030000}"/>
    <cellStyle name="Normal 3 4" xfId="1021" xr:uid="{00000000-0005-0000-0000-0000FD030000}"/>
    <cellStyle name="Normal 3 5" xfId="2131" xr:uid="{D25D80FF-285E-434D-8F7F-0D1797CEAE09}"/>
    <cellStyle name="Normal 3 5 2" xfId="3338" xr:uid="{C473AC1F-D48A-4D02-ABA6-D581B60EAC92}"/>
    <cellStyle name="Normal 3 6" xfId="2160" xr:uid="{FB8CF744-E806-4F2A-91E4-86ACDBB6DFE9}"/>
    <cellStyle name="Normal 3 6 2" xfId="3358" xr:uid="{4315F5F9-73B9-4F2E-B40A-928FD11CE465}"/>
    <cellStyle name="Normal 3 7" xfId="3524" xr:uid="{361B1542-7A40-4FFD-BA8A-53548D3FBB8C}"/>
    <cellStyle name="Normal 3 8" xfId="3762" xr:uid="{6D20B50F-BD41-4423-86E4-52732A250A51}"/>
    <cellStyle name="Normal 3 9" xfId="3765" xr:uid="{AC49B1BA-3069-4981-8344-9D2BBBBA0AAA}"/>
    <cellStyle name="Normal 30" xfId="1022" xr:uid="{00000000-0005-0000-0000-0000FE030000}"/>
    <cellStyle name="Normal 31" xfId="1023" xr:uid="{00000000-0005-0000-0000-0000FF030000}"/>
    <cellStyle name="Normal 32" xfId="1024" xr:uid="{00000000-0005-0000-0000-000000040000}"/>
    <cellStyle name="Normal 33" xfId="1025" xr:uid="{00000000-0005-0000-0000-000001040000}"/>
    <cellStyle name="Normal 34" xfId="1026" xr:uid="{00000000-0005-0000-0000-000002040000}"/>
    <cellStyle name="Normal 35" xfId="1027" xr:uid="{00000000-0005-0000-0000-000003040000}"/>
    <cellStyle name="Normal 36" xfId="1028" xr:uid="{00000000-0005-0000-0000-000004040000}"/>
    <cellStyle name="Normal 37" xfId="1029" xr:uid="{00000000-0005-0000-0000-000005040000}"/>
    <cellStyle name="Normal 38" xfId="1030" xr:uid="{00000000-0005-0000-0000-000006040000}"/>
    <cellStyle name="Normal 39" xfId="1031" xr:uid="{00000000-0005-0000-0000-000007040000}"/>
    <cellStyle name="Normal 4" xfId="1032" xr:uid="{00000000-0005-0000-0000-000008040000}"/>
    <cellStyle name="Normal 4 2" xfId="1033" xr:uid="{00000000-0005-0000-0000-000009040000}"/>
    <cellStyle name="Normal 4 2 2" xfId="1034" xr:uid="{00000000-0005-0000-0000-00000A040000}"/>
    <cellStyle name="Normal 4 2 2 2" xfId="1035" xr:uid="{00000000-0005-0000-0000-00000B040000}"/>
    <cellStyle name="Normal 4 2 2 2 2" xfId="2081" xr:uid="{47BEA2C7-4613-4AA2-AF88-2DA4781668CD}"/>
    <cellStyle name="Normal 4 2 2 2 2 2" xfId="3320" xr:uid="{C4213F2E-95ED-4D00-BD0F-812FF82E25F8}"/>
    <cellStyle name="Normal 4 2 2 2 3" xfId="2279" xr:uid="{8848B1E2-1119-4BBA-823B-7920829B7E3D}"/>
    <cellStyle name="Normal 4 2 2 2 3 2" xfId="3473" xr:uid="{817E2C09-923A-4A78-95E6-D947F190E139}"/>
    <cellStyle name="Normal 4 2 2 2 4" xfId="2829" xr:uid="{51C8F6B6-6E23-48DA-97D0-C86421D3ECE3}"/>
    <cellStyle name="Normal 4 2 2 2 5" xfId="3640" xr:uid="{2CCDF87F-DF39-4AA0-B075-3AE5544B9D23}"/>
    <cellStyle name="Normal 4 2 3" xfId="1036" xr:uid="{00000000-0005-0000-0000-00000C040000}"/>
    <cellStyle name="Normal 4 2 3 2" xfId="2082" xr:uid="{4B60FB67-DBD4-4310-84DF-6B3B535722FF}"/>
    <cellStyle name="Normal 4 2 3 2 2" xfId="3321" xr:uid="{983DCF84-BA5F-40CE-AA92-1E73CDB42A31}"/>
    <cellStyle name="Normal 4 2 3 3" xfId="2249" xr:uid="{22E99FEF-58B7-4ECF-BE6C-0DAC4521DCA3}"/>
    <cellStyle name="Normal 4 2 3 3 2" xfId="3443" xr:uid="{B80E265C-4C74-40C8-B93C-3ECBADC0CA00}"/>
    <cellStyle name="Normal 4 2 3 4" xfId="2830" xr:uid="{73AD2724-EEAC-4AFB-A593-3905A61D8C1C}"/>
    <cellStyle name="Normal 4 2 3 5" xfId="3610" xr:uid="{2D4D5446-C162-42E2-AC9E-EA626D844CC9}"/>
    <cellStyle name="Normal 4 3" xfId="1037" xr:uid="{00000000-0005-0000-0000-00000D040000}"/>
    <cellStyle name="Normal 4 3 2" xfId="1038" xr:uid="{00000000-0005-0000-0000-00000E040000}"/>
    <cellStyle name="Normal 4 3 2 2" xfId="2084" xr:uid="{C1881F42-AE1F-44A4-8E14-84A392BBCFA9}"/>
    <cellStyle name="Normal 4 3 2 2 2" xfId="3323" xr:uid="{C789B455-3BD6-4DDE-9DF2-007503D41218}"/>
    <cellStyle name="Normal 4 3 2 3" xfId="2225" xr:uid="{75C3DDB3-338A-4790-9B43-E53A92448B86}"/>
    <cellStyle name="Normal 4 3 2 3 2" xfId="3421" xr:uid="{24B3A041-B95A-4CE1-998E-5FF3F26623F1}"/>
    <cellStyle name="Normal 4 3 2 4" xfId="2832" xr:uid="{91042586-35B9-4183-B297-9D95DBD88A2E}"/>
    <cellStyle name="Normal 4 3 2 5" xfId="3587" xr:uid="{BA4AC72C-03B0-48FD-80D7-64DE0ADC7CF6}"/>
    <cellStyle name="Normal 4 3 3" xfId="1039" xr:uid="{00000000-0005-0000-0000-00000F040000}"/>
    <cellStyle name="Normal 4 3 3 2" xfId="2085" xr:uid="{7060BC1C-AA1F-4DE4-8A68-84F0FE9D15C6}"/>
    <cellStyle name="Normal 4 3 3 2 2" xfId="3324" xr:uid="{3788F642-D2E6-475E-BBA2-D6B467380239}"/>
    <cellStyle name="Normal 4 3 3 3" xfId="2264" xr:uid="{5FA69573-FB5D-43EB-A573-7B56C57BDEBA}"/>
    <cellStyle name="Normal 4 3 3 3 2" xfId="3458" xr:uid="{B928CFEF-D737-4094-8500-5DAB401FF724}"/>
    <cellStyle name="Normal 4 3 3 4" xfId="2833" xr:uid="{F0567478-54AC-46A6-94A3-78986EEC7165}"/>
    <cellStyle name="Normal 4 3 3 5" xfId="3625" xr:uid="{D7B1E44F-A5E6-453E-B8B7-A719515A5C99}"/>
    <cellStyle name="Normal 4 3 4" xfId="2083" xr:uid="{4D701001-CA34-432E-8B3E-6B1DAB4F7A5B}"/>
    <cellStyle name="Normal 4 3 4 2" xfId="3322" xr:uid="{609CB30C-C6FD-4DA0-92BC-02C9C23F911D}"/>
    <cellStyle name="Normal 4 3 5" xfId="2162" xr:uid="{4AB852B6-B02A-490D-8D52-CAADCE9F38DD}"/>
    <cellStyle name="Normal 4 3 5 2" xfId="3360" xr:uid="{736EE475-8577-4B49-80A1-2CD68C42AB14}"/>
    <cellStyle name="Normal 4 3 6" xfId="2831" xr:uid="{2F4C81DF-A53A-49B6-A7F6-A23CDBB1E879}"/>
    <cellStyle name="Normal 4 3 7" xfId="3526" xr:uid="{408BF561-70EA-43EF-ABE6-2433F4EF88B4}"/>
    <cellStyle name="Normal 4 3 8" xfId="3722" xr:uid="{C056132E-1F00-41C9-9740-FE3B39A8A59D}"/>
    <cellStyle name="Normal 4 4" xfId="1040" xr:uid="{00000000-0005-0000-0000-000010040000}"/>
    <cellStyle name="Normal 4 4 2" xfId="3723" xr:uid="{605FA40F-6B47-4906-A2F1-C3EA3C9F26DB}"/>
    <cellStyle name="Normal 4 5" xfId="1041" xr:uid="{00000000-0005-0000-0000-000011040000}"/>
    <cellStyle name="Normal 4 5 2" xfId="2086" xr:uid="{AAD45CF2-829F-4F7A-A021-0BCB865C6DE9}"/>
    <cellStyle name="Normal 4 5 2 2" xfId="3325" xr:uid="{4E8E3524-0BC7-4E5B-AC13-A2F21B61A5F3}"/>
    <cellStyle name="Normal 4 5 3" xfId="2233" xr:uid="{BF8F5B79-D924-468E-B0A1-F57136CA7DF4}"/>
    <cellStyle name="Normal 4 5 3 2" xfId="3428" xr:uid="{9E3F3460-29C6-43E2-8DDB-AE300FCB4AD1}"/>
    <cellStyle name="Normal 4 5 4" xfId="2834" xr:uid="{9B6BF00A-7CEE-4E1D-B8C9-55C6695E3062}"/>
    <cellStyle name="Normal 4 5 5" xfId="3595" xr:uid="{4B349B13-0EFC-433C-8270-F83D1D067FED}"/>
    <cellStyle name="Normal 40" xfId="1042" xr:uid="{00000000-0005-0000-0000-000012040000}"/>
    <cellStyle name="Normal 41" xfId="1043" xr:uid="{00000000-0005-0000-0000-000013040000}"/>
    <cellStyle name="Normal 42" xfId="1044" xr:uid="{00000000-0005-0000-0000-000014040000}"/>
    <cellStyle name="Normal 43" xfId="1045" xr:uid="{00000000-0005-0000-0000-000015040000}"/>
    <cellStyle name="Normal 44" xfId="1046" xr:uid="{00000000-0005-0000-0000-000016040000}"/>
    <cellStyle name="Normal 45" xfId="1047" xr:uid="{00000000-0005-0000-0000-000017040000}"/>
    <cellStyle name="Normal 46" xfId="1048" xr:uid="{00000000-0005-0000-0000-000018040000}"/>
    <cellStyle name="Normal 47" xfId="1049" xr:uid="{00000000-0005-0000-0000-000019040000}"/>
    <cellStyle name="Normal 47 2" xfId="1050" xr:uid="{00000000-0005-0000-0000-00001A040000}"/>
    <cellStyle name="Normal 48" xfId="1051" xr:uid="{00000000-0005-0000-0000-00001B040000}"/>
    <cellStyle name="Normal 48 2" xfId="2087" xr:uid="{C28A03A8-4D65-4A82-AE29-A62020BBE190}"/>
    <cellStyle name="Normal 48 2 2" xfId="3326" xr:uid="{237EF550-CBB7-4866-B072-1DA502CD02B6}"/>
    <cellStyle name="Normal 48 3" xfId="2294" xr:uid="{3983B4A5-C231-4E30-B3BC-14076699F09B}"/>
    <cellStyle name="Normal 48 3 2" xfId="3488" xr:uid="{11FF3436-8617-4AD5-8D0A-05B47F969859}"/>
    <cellStyle name="Normal 48 4" xfId="2835" xr:uid="{157FE403-59EF-4AEE-B372-7C501D68C0F3}"/>
    <cellStyle name="Normal 48 5" xfId="3655" xr:uid="{61D7D1E4-4486-45E2-9974-0C6D261256F4}"/>
    <cellStyle name="Normal 49" xfId="1052" xr:uid="{00000000-0005-0000-0000-00001C040000}"/>
    <cellStyle name="Normal 49 2" xfId="2303" xr:uid="{D50811BB-FD43-43A1-8918-A8906FB6B643}"/>
    <cellStyle name="Normal 5" xfId="1053" xr:uid="{00000000-0005-0000-0000-00001D040000}"/>
    <cellStyle name="Normal 5 2" xfId="1054" xr:uid="{00000000-0005-0000-0000-00001E040000}"/>
    <cellStyle name="Normal 5 2 2" xfId="1055" xr:uid="{00000000-0005-0000-0000-00001F040000}"/>
    <cellStyle name="Normal 5 2 2 2" xfId="1056" xr:uid="{00000000-0005-0000-0000-000020040000}"/>
    <cellStyle name="Normal 5 2 2 2 2" xfId="2090" xr:uid="{917DCDC0-8981-4876-8D73-369E2340C4B3}"/>
    <cellStyle name="Normal 5 2 2 2 2 2" xfId="3327" xr:uid="{A7BB8911-EBDD-4F6F-9699-68892FE0D919}"/>
    <cellStyle name="Normal 5 2 2 2 3" xfId="2836" xr:uid="{EF3E3FD0-80F9-4A50-B957-BD522A812B5D}"/>
    <cellStyle name="Normal 5 2 2 3" xfId="2089" xr:uid="{D952BFCD-E3E8-4863-9294-73B35A316082}"/>
    <cellStyle name="Normal 5 2 2 4" xfId="2292" xr:uid="{784B8E16-2157-4896-AA61-D82C2FBBC48B}"/>
    <cellStyle name="Normal 5 2 2 4 2" xfId="3486" xr:uid="{96257E12-13E7-4406-8A3B-C118AC024908}"/>
    <cellStyle name="Normal 5 2 2 5" xfId="3653" xr:uid="{D424A16A-758A-44F0-BEBC-7963F661B946}"/>
    <cellStyle name="Normal 5 2 3" xfId="1057" xr:uid="{00000000-0005-0000-0000-000021040000}"/>
    <cellStyle name="Normal 5 2 3 2" xfId="2091" xr:uid="{359DF971-7BD6-4ABA-9626-9FEBE2FFDF51}"/>
    <cellStyle name="Normal 5 2 3 2 2" xfId="3328" xr:uid="{E49C1D75-FC7A-4CC9-86BF-1074716C3D3D}"/>
    <cellStyle name="Normal 5 2 3 3" xfId="2262" xr:uid="{8424F1A5-5E42-4A75-987B-16248E6F11E2}"/>
    <cellStyle name="Normal 5 2 3 3 2" xfId="3456" xr:uid="{055A2826-E251-4623-B9E7-0B26C37D7CC1}"/>
    <cellStyle name="Normal 5 2 3 4" xfId="2837" xr:uid="{4F5B6E04-D2F5-4F9B-8A78-4FC0957A987C}"/>
    <cellStyle name="Normal 5 2 3 5" xfId="3623" xr:uid="{019013F9-2D9A-4BA7-AC69-FEB0524DA82E}"/>
    <cellStyle name="Normal 5 3" xfId="1058" xr:uid="{00000000-0005-0000-0000-000022040000}"/>
    <cellStyle name="Normal 5 3 2" xfId="1059" xr:uid="{00000000-0005-0000-0000-000023040000}"/>
    <cellStyle name="Normal 5 3 3" xfId="1060" xr:uid="{00000000-0005-0000-0000-000024040000}"/>
    <cellStyle name="Normal 5 3 3 2" xfId="2092" xr:uid="{437D8EC9-AC05-4317-B037-6303193E9234}"/>
    <cellStyle name="Normal 5 3 3 2 2" xfId="3329" xr:uid="{548F593D-0457-4997-93C7-FCBDD543B3D0}"/>
    <cellStyle name="Normal 5 3 3 3" xfId="2277" xr:uid="{B927200E-F93B-46E9-AD32-E03072A9785B}"/>
    <cellStyle name="Normal 5 3 3 3 2" xfId="3471" xr:uid="{F1E688F4-AD10-4C77-9CFE-31C4FFE8F371}"/>
    <cellStyle name="Normal 5 3 3 4" xfId="2838" xr:uid="{5B9D3D23-E208-4D2A-BFBF-2F17CDDEE894}"/>
    <cellStyle name="Normal 5 3 3 5" xfId="3638" xr:uid="{BFF102B5-4696-412B-A17F-0CC3C2DC8413}"/>
    <cellStyle name="Normal 5 4" xfId="1061" xr:uid="{00000000-0005-0000-0000-000025040000}"/>
    <cellStyle name="Normal 5 4 2" xfId="2093" xr:uid="{35DEA98D-5ABA-4583-B2EB-722318345E2B}"/>
    <cellStyle name="Normal 5 4 2 2" xfId="3330" xr:uid="{486BA378-790E-436A-AFC5-135F158163F3}"/>
    <cellStyle name="Normal 5 4 3" xfId="2247" xr:uid="{B5951128-EA8F-4C52-B69A-E415483EC284}"/>
    <cellStyle name="Normal 5 4 3 2" xfId="3441" xr:uid="{93CC8932-DD61-4753-992E-2735F82CBA69}"/>
    <cellStyle name="Normal 5 4 4" xfId="2839" xr:uid="{D5B86536-615E-435F-9056-9040A3F3FA7F}"/>
    <cellStyle name="Normal 5 4 5" xfId="3608" xr:uid="{88204EE2-4360-47DF-8A17-B3DF1250074B}"/>
    <cellStyle name="Normal 5 5" xfId="2088" xr:uid="{71CD08E8-0BC7-4195-AEA0-E5299C59C7DF}"/>
    <cellStyle name="Normal 50" xfId="2311" xr:uid="{A0514E10-D069-4E00-B321-14980D4E0A2B}"/>
    <cellStyle name="Normal 50 2" xfId="3499" xr:uid="{5E34E381-5297-4E34-B116-4A08CE6EEDA5}"/>
    <cellStyle name="Normal 50 3" xfId="3666" xr:uid="{13AE8C6F-C9D1-4828-8191-76D1F712F4AA}"/>
    <cellStyle name="Normal 51" xfId="2312" xr:uid="{960D060E-3E15-4253-9F16-F0C53CF9F16F}"/>
    <cellStyle name="Normal 51 2" xfId="3500" xr:uid="{B50C16DA-0C58-47A2-B278-F649DC81F7C6}"/>
    <cellStyle name="Normal 51 3" xfId="3667" xr:uid="{0CD31470-E970-4590-ABB7-10564F627CEA}"/>
    <cellStyle name="Normal 52" xfId="2313" xr:uid="{3DDBA1D3-42FB-494F-8BF5-FB0351DB7939}"/>
    <cellStyle name="Normal 52 2" xfId="3501" xr:uid="{BD8C7479-6089-403E-8DAC-8A93D7350056}"/>
    <cellStyle name="Normal 52 3" xfId="3668" xr:uid="{988917F1-D4AF-40ED-ACA4-38673A5CFBC7}"/>
    <cellStyle name="Normal 53" xfId="2316" xr:uid="{A70ABD16-42D7-4F01-B878-7E7529F43F56}"/>
    <cellStyle name="Normal 53 2" xfId="3504" xr:uid="{C8248CA7-70BB-4C52-9E8B-E72CE70B4E50}"/>
    <cellStyle name="Normal 53 3" xfId="3671" xr:uid="{16C856EE-39EA-4A7A-8122-52D58D6A58DB}"/>
    <cellStyle name="Normal 54" xfId="2135" xr:uid="{F70F8061-EDD6-42A0-B514-A18D2CEE0275}"/>
    <cellStyle name="Normal 54 2" xfId="3341" xr:uid="{C27E9CDF-C912-4BC8-AF37-14E462341E48}"/>
    <cellStyle name="Normal 54 3" xfId="3683" xr:uid="{DCAA183B-3E37-4EC9-B0C9-2B24C6BE8A59}"/>
    <cellStyle name="Normal 55" xfId="3509" xr:uid="{AB69A306-CC0F-4521-8947-7A2FC680FAC5}"/>
    <cellStyle name="Normal 56" xfId="3690" xr:uid="{9BA8D2CA-4245-4FBA-AA12-3CEAD9B45A81}"/>
    <cellStyle name="Normal 57" xfId="3691" xr:uid="{71D07A21-C225-450E-AA44-0C99761C17A4}"/>
    <cellStyle name="Normal 58" xfId="3743" xr:uid="{51A5499C-8536-48DA-8396-2C2C10419C27}"/>
    <cellStyle name="Normal 59" xfId="3756" xr:uid="{9CC38851-C0F0-444D-AB0D-8CFB213C21A8}"/>
    <cellStyle name="Normal 6" xfId="1555" xr:uid="{6FC97B69-B034-4379-9B6B-116683D4F1E0}"/>
    <cellStyle name="Normal 6 10" xfId="2163" xr:uid="{4F81C853-4F98-4B15-B6BE-2A264D0E3488}"/>
    <cellStyle name="Normal 6 10 2" xfId="3361" xr:uid="{B5D62074-8014-4317-9117-2A316302AB70}"/>
    <cellStyle name="Normal 6 10 3" xfId="3678" xr:uid="{11358886-C049-4291-88F3-3BDC77280AEC}"/>
    <cellStyle name="Normal 6 11" xfId="3681" xr:uid="{092E93AD-49E9-41F3-A7EB-98845E132CCE}"/>
    <cellStyle name="Normal 6 12" xfId="3686" xr:uid="{D1EC590B-C781-418E-A0D5-E176712523F6}"/>
    <cellStyle name="Normal 6 13" xfId="3527" xr:uid="{CDF5B091-5E19-44DB-9716-E793B9A6AC19}"/>
    <cellStyle name="Normal 6 14" xfId="3724" xr:uid="{6B5C99C5-3B58-493F-B57B-4A4EF8A50038}"/>
    <cellStyle name="Normal 6 15" xfId="3797" xr:uid="{427C596E-7871-4107-BE59-464F0FDAA1D9}"/>
    <cellStyle name="Normal 6 16" xfId="3872" xr:uid="{C69A419F-788C-407F-BA7A-A781AD5F6824}"/>
    <cellStyle name="Normal 6 2" xfId="1062" xr:uid="{00000000-0005-0000-0000-000026040000}"/>
    <cellStyle name="Normal 6 2 2" xfId="1063" xr:uid="{00000000-0005-0000-0000-000027040000}"/>
    <cellStyle name="Normal 6 2 2 2" xfId="1064" xr:uid="{00000000-0005-0000-0000-000028040000}"/>
    <cellStyle name="Normal 6 2 2 2 2" xfId="2095" xr:uid="{9189050A-AD8D-4C98-8647-695ACC6FA577}"/>
    <cellStyle name="Normal 6 2 2 3" xfId="1065" xr:uid="{00000000-0005-0000-0000-000029040000}"/>
    <cellStyle name="Normal 6 2 2 3 2" xfId="2096" xr:uid="{EDFA4F2C-C67B-4F11-ADEB-B9F9212387CC}"/>
    <cellStyle name="Normal 6 2 2 3 2 2" xfId="3332" xr:uid="{3CDA77C3-3866-4884-B389-E5D38ABE2D0F}"/>
    <cellStyle name="Normal 6 2 2 3 3" xfId="2841" xr:uid="{B5DF841E-43D2-4B54-AEE8-698B42229597}"/>
    <cellStyle name="Normal 6 2 2 4" xfId="2226" xr:uid="{379A9214-3232-418C-B8C9-CCFC23EFBB52}"/>
    <cellStyle name="Normal 6 2 2 4 2" xfId="3422" xr:uid="{8E85794D-A9EF-4796-B844-B8EC8BBBB019}"/>
    <cellStyle name="Normal 6 2 2 5" xfId="3588" xr:uid="{9C40E4D9-0A2B-4A03-8740-7AE875004615}"/>
    <cellStyle name="Normal 6 2 2 6" xfId="3726" xr:uid="{8AD27125-89E9-45A6-817C-931F21B910B4}"/>
    <cellStyle name="Normal 6 2 2 7" xfId="3799" xr:uid="{9099F8D4-BFC2-432E-BD59-09DB4566CA2E}"/>
    <cellStyle name="Normal 6 2 2 8" xfId="3874" xr:uid="{35C796D5-C393-4F63-B674-999F936C2B92}"/>
    <cellStyle name="Normal 6 2 3" xfId="2094" xr:uid="{C2764883-DFA7-4B91-8118-D01AF1D2F598}"/>
    <cellStyle name="Normal 6 2 3 2" xfId="3331" xr:uid="{3B84D690-3E4A-41C0-8604-0F16834BEE30}"/>
    <cellStyle name="Normal 6 2 4" xfId="2164" xr:uid="{C2D2271B-74A3-4CD1-9EA0-FE38F0A5E7F6}"/>
    <cellStyle name="Normal 6 2 4 2" xfId="3362" xr:uid="{C179243F-FC11-4170-8B6E-2EDFB70CF0A4}"/>
    <cellStyle name="Normal 6 2 5" xfId="2840" xr:uid="{6F4DF78E-20A9-461D-83E6-650E71CDF640}"/>
    <cellStyle name="Normal 6 2 6" xfId="3528" xr:uid="{1CC9EC0C-C77A-4517-AB1F-F9B4EC0F22A3}"/>
    <cellStyle name="Normal 6 2 7" xfId="3725" xr:uid="{BA01CBC7-5689-4D3B-90AE-2C8804B4690A}"/>
    <cellStyle name="Normal 6 2 8" xfId="3798" xr:uid="{DCF9707E-5BC3-4E6C-B0F7-3DF2FE7401BA}"/>
    <cellStyle name="Normal 6 2 9" xfId="3873" xr:uid="{32DE7A9B-81FF-40D8-B14B-6FE54D74BB9B}"/>
    <cellStyle name="Normal 6 3" xfId="1066" xr:uid="{00000000-0005-0000-0000-00002A040000}"/>
    <cellStyle name="Normal 6 3 2" xfId="2097" xr:uid="{CAB64917-5BFB-4260-A155-506AC1FC5D57}"/>
    <cellStyle name="Normal 6 3 3" xfId="3727" xr:uid="{26CB9942-2872-4DB8-993D-AF91FA3C420F}"/>
    <cellStyle name="Normal 6 4" xfId="1067" xr:uid="{00000000-0005-0000-0000-00002B040000}"/>
    <cellStyle name="Normal 6 4 2" xfId="1068" xr:uid="{00000000-0005-0000-0000-00002C040000}"/>
    <cellStyle name="Normal 6 4 2 2" xfId="2099" xr:uid="{CA08D14F-B8D3-4C74-A8B1-3690370C806C}"/>
    <cellStyle name="Normal 6 4 3" xfId="2098" xr:uid="{ABCA5708-F459-4849-8296-5B6B075DC6EC}"/>
    <cellStyle name="Normal 6 5" xfId="1069" xr:uid="{00000000-0005-0000-0000-00002D040000}"/>
    <cellStyle name="Normal 6 6" xfId="1070" xr:uid="{00000000-0005-0000-0000-00002E040000}"/>
    <cellStyle name="Normal 6 6 2" xfId="2100" xr:uid="{282B88D9-B364-42B1-992A-495051F26A44}"/>
    <cellStyle name="Normal 6 6 3" xfId="2308" xr:uid="{4926D33B-B768-4292-A0B3-6FDA3C084F6E}"/>
    <cellStyle name="Normal 6 6 3 2" xfId="3498" xr:uid="{2E8465C0-1768-4EF4-90CD-FC0D4FD0C185}"/>
    <cellStyle name="Normal 6 6 4" xfId="3665" xr:uid="{7B17FBED-063B-403D-9048-5E8ADA0817C0}"/>
    <cellStyle name="Normal 6 7" xfId="2315" xr:uid="{267D5315-B815-401F-A79F-C12616194354}"/>
    <cellStyle name="Normal 6 7 2" xfId="3503" xr:uid="{A02B2516-252C-4D00-A6FD-7F105D7B7C2E}"/>
    <cellStyle name="Normal 6 7 3" xfId="3670" xr:uid="{6F1C4D3C-4FA8-409D-84F4-ED7F0C93B779}"/>
    <cellStyle name="Normal 6 8" xfId="2321" xr:uid="{1255C4B7-E5A4-4A38-92FA-C31B36D02D3E}"/>
    <cellStyle name="Normal 6 8 2" xfId="3506" xr:uid="{0177F776-0230-4D14-80E7-310C09F951D1}"/>
    <cellStyle name="Normal 6 8 3" xfId="3673" xr:uid="{88A83FAD-61C7-4004-889D-37C7F0B39C95}"/>
    <cellStyle name="Normal 6 9" xfId="2324" xr:uid="{BFCEAC31-29EB-4FAD-AC60-3FEAE8C3D754}"/>
    <cellStyle name="Normal 6 9 2" xfId="3508" xr:uid="{3E74615E-A91B-4FE3-8DFC-0D8B853370E7}"/>
    <cellStyle name="Normal 6 9 3" xfId="3675" xr:uid="{9697FFB5-881F-4DB1-A7F3-2C449891337D}"/>
    <cellStyle name="Normal 60" xfId="3757" xr:uid="{333EC470-08DC-4850-8D6A-34F88F100A54}"/>
    <cellStyle name="Normal 60 2" xfId="3768" xr:uid="{F18D2B4A-E5FA-49A6-B8E0-3150AC0EA817}"/>
    <cellStyle name="Normal 60 2 2" xfId="3770" xr:uid="{5F13FC05-2AD0-472C-8AA7-40470AB1D189}"/>
    <cellStyle name="Normal 60 2 2 2" xfId="3772" xr:uid="{A5BBEADF-D19B-4109-82C4-7AB770162017}"/>
    <cellStyle name="Normal 60 2 2 2 2" xfId="3776" xr:uid="{9CA50746-DC5C-4C87-97AB-CC93B96FACDA}"/>
    <cellStyle name="Normal 60 2 2 2 2 2" xfId="3818" xr:uid="{792CF66C-B858-4E1D-8ED2-F187C32AE030}"/>
    <cellStyle name="Normal 61" xfId="3759" xr:uid="{335EF7F3-9825-46CE-9EC0-C225EE2E9D2F}"/>
    <cellStyle name="Normal 62" xfId="3766" xr:uid="{967226E2-7DC4-41D0-99BE-0F856E65F7E1}"/>
    <cellStyle name="Normal 62 2" xfId="3774" xr:uid="{E02A76F1-A7BC-430D-89E5-475B8621059D}"/>
    <cellStyle name="Normal 63" xfId="3779" xr:uid="{BEF65816-4E15-40C6-9983-96B8249FA918}"/>
    <cellStyle name="Normal 64" xfId="3820" xr:uid="{A42FD458-415E-4319-B1FA-683FD33FEC7D}"/>
    <cellStyle name="Normal 65" xfId="3823" xr:uid="{16B92581-0764-4E45-A6E8-31A4F08F5D9E}"/>
    <cellStyle name="Normal 7" xfId="1557" xr:uid="{F824D978-D1B4-4C95-AD8B-CBDD8C428E8F}"/>
    <cellStyle name="Normal 7 2" xfId="1071" xr:uid="{00000000-0005-0000-0000-00002F040000}"/>
    <cellStyle name="Normal 7 2 2" xfId="1072" xr:uid="{00000000-0005-0000-0000-000030040000}"/>
    <cellStyle name="Normal 7 2 2 2" xfId="1073" xr:uid="{00000000-0005-0000-0000-000031040000}"/>
    <cellStyle name="Normal 7 2 2 2 2" xfId="2102" xr:uid="{033DF399-BF71-4C6B-A5C5-AB8953428551}"/>
    <cellStyle name="Normal 7 2 2 2 2 2" xfId="3334" xr:uid="{C76B0809-6F9D-4F89-9101-755F6BDE0938}"/>
    <cellStyle name="Normal 7 2 2 2 3" xfId="2843" xr:uid="{ED72F0A6-DF13-42D6-8BDC-698C93A441FB}"/>
    <cellStyle name="Normal 7 2 2 3" xfId="2227" xr:uid="{800503DB-5AA7-461D-B24F-A5563FE85B55}"/>
    <cellStyle name="Normal 7 2 2 3 2" xfId="3423" xr:uid="{8221EFBE-39A2-49F7-91A0-155FE49932CD}"/>
    <cellStyle name="Normal 7 2 2 4" xfId="3589" xr:uid="{1D0F8FA7-FD01-45C4-987A-237869C6ADD0}"/>
    <cellStyle name="Normal 7 2 2 5" xfId="3730" xr:uid="{375D5CF7-7B99-485F-BB16-589509E742A1}"/>
    <cellStyle name="Normal 7 2 2 6" xfId="3802" xr:uid="{CE56400C-6A9D-469A-BE12-0CB8FE1C2CAD}"/>
    <cellStyle name="Normal 7 2 2 7" xfId="3877" xr:uid="{AD17DA19-49F5-4B75-9AB9-5EB6A9B02FE6}"/>
    <cellStyle name="Normal 7 2 3" xfId="2101" xr:uid="{04A9A398-B13A-4C40-B0AE-1538912B871D}"/>
    <cellStyle name="Normal 7 2 3 2" xfId="3333" xr:uid="{DBB78AA6-96B2-48A7-B299-5942D15C3267}"/>
    <cellStyle name="Normal 7 2 4" xfId="2165" xr:uid="{E9558B1E-191B-4A1B-ACC4-814FED07D228}"/>
    <cellStyle name="Normal 7 2 4 2" xfId="3363" xr:uid="{7A6E84E3-CDE9-4CEE-B676-FA0CC2B4C7CE}"/>
    <cellStyle name="Normal 7 2 5" xfId="2842" xr:uid="{B0C4C788-0A28-49F7-8CD7-74506D51B914}"/>
    <cellStyle name="Normal 7 2 6" xfId="3529" xr:uid="{236D7D1F-ACAF-48FF-93F7-EB7F2A808705}"/>
    <cellStyle name="Normal 7 2 7" xfId="3729" xr:uid="{6EE7752E-F67B-44DF-B64C-3A044BFE90E6}"/>
    <cellStyle name="Normal 7 2 8" xfId="3801" xr:uid="{F02B5965-7769-4F81-8D36-728622268DE3}"/>
    <cellStyle name="Normal 7 2 9" xfId="3876" xr:uid="{19B84160-2872-481F-BA4C-2F1032A62FB7}"/>
    <cellStyle name="Normal 7 3" xfId="1074" xr:uid="{00000000-0005-0000-0000-000032040000}"/>
    <cellStyle name="Normal 7 3 2" xfId="1075" xr:uid="{00000000-0005-0000-0000-000033040000}"/>
    <cellStyle name="Normal 7 4" xfId="1076" xr:uid="{00000000-0005-0000-0000-000034040000}"/>
    <cellStyle name="Normal 7 5" xfId="1077" xr:uid="{00000000-0005-0000-0000-000035040000}"/>
    <cellStyle name="Normal 7 5 2" xfId="2103" xr:uid="{CC8A9E46-8EB6-42F6-BE1F-DCEF6F2D219C}"/>
    <cellStyle name="Normal 7 6" xfId="3728" xr:uid="{7E19690E-1B96-426D-9763-40D2474A6EB2}"/>
    <cellStyle name="Normal 7 7" xfId="3800" xr:uid="{919D3545-03FB-4EC4-BA31-320CA483526F}"/>
    <cellStyle name="Normal 7 8" xfId="3875" xr:uid="{83D542D9-B232-4F32-BA61-826E1141D768}"/>
    <cellStyle name="Normal 8" xfId="1558" xr:uid="{8322D86B-FFCC-4DB4-B142-F3A579D5694B}"/>
    <cellStyle name="Normal 8 2" xfId="1078" xr:uid="{00000000-0005-0000-0000-000036040000}"/>
    <cellStyle name="Normal 8 3" xfId="1079" xr:uid="{00000000-0005-0000-0000-000037040000}"/>
    <cellStyle name="Normal 8 3 2" xfId="2104" xr:uid="{A995D8FE-AA68-431B-8DCC-B199E77B7919}"/>
    <cellStyle name="Normal 8 3 3" xfId="2309" xr:uid="{BA440197-3652-47F2-A193-3A0EB9F893A9}"/>
    <cellStyle name="Normal 8 4" xfId="2844" xr:uid="{5EA670DC-3037-4EB8-B946-540D296D1CB9}"/>
    <cellStyle name="Normal 9" xfId="2128" xr:uid="{4492E2DA-6DE3-46CA-AF58-2E64B25C539A}"/>
    <cellStyle name="Normal 9 2" xfId="1080" xr:uid="{00000000-0005-0000-0000-000038040000}"/>
    <cellStyle name="Normal 9 3" xfId="3335" xr:uid="{9482CBD1-6F81-4EAE-8973-2E7FEBC191DA}"/>
    <cellStyle name="Normal 9 4" xfId="3731" xr:uid="{339F2770-5E5C-48EA-B100-AD86B634156F}"/>
    <cellStyle name="Normal_Cálculo de Intereses del FET" xfId="1081" xr:uid="{00000000-0005-0000-0000-000039040000}"/>
    <cellStyle name="Normal_calculo tarifas IMP Res 435" xfId="1082" xr:uid="{00000000-0005-0000-0000-00003A040000}"/>
    <cellStyle name="Normal_ComEnegy 2" xfId="1083" xr:uid="{00000000-0005-0000-0000-00003B040000}"/>
    <cellStyle name="Normal_Datos del Mercado Mayorista-Mo" xfId="1084" xr:uid="{00000000-0005-0000-0000-00003C040000}"/>
    <cellStyle name="Normál_havijel" xfId="1085" xr:uid="{00000000-0005-0000-0000-00003D040000}"/>
    <cellStyle name="Normal_IPC" xfId="1086" xr:uid="{00000000-0005-0000-0000-00003E040000}"/>
    <cellStyle name="Normal_IPC 2" xfId="1087" xr:uid="{00000000-0005-0000-0000-00003F040000}"/>
    <cellStyle name="Normal_Modelo de Cálculo del procedimiento de Ajuste" xfId="1088" xr:uid="{00000000-0005-0000-0000-000040040000}"/>
    <cellStyle name="Normal_Modelo de Cálculo del procedimiento de Ajuste 2" xfId="1089" xr:uid="{00000000-0005-0000-0000-000041040000}"/>
    <cellStyle name="Normal_Noreste Caso4" xfId="1090" xr:uid="{00000000-0005-0000-0000-000042040000}"/>
    <cellStyle name="Normal_Recuperación" xfId="1091" xr:uid="{00000000-0005-0000-0000-000043040000}"/>
    <cellStyle name="Normal_silvia" xfId="1092" xr:uid="{00000000-0005-0000-0000-000045040000}"/>
    <cellStyle name="Normal_silvia 2" xfId="1093" xr:uid="{00000000-0005-0000-0000-000046040000}"/>
    <cellStyle name="Notas 2" xfId="1094" xr:uid="{00000000-0005-0000-0000-000047040000}"/>
    <cellStyle name="Notas 2 2" xfId="1095" xr:uid="{00000000-0005-0000-0000-000048040000}"/>
    <cellStyle name="Notas 2 2 2" xfId="1096" xr:uid="{00000000-0005-0000-0000-000049040000}"/>
    <cellStyle name="Notas 2 2 2 2" xfId="1097" xr:uid="{00000000-0005-0000-0000-00004A040000}"/>
    <cellStyle name="Notas 2 2 2 3" xfId="2293" xr:uid="{7AB6D5F9-956E-4992-8B58-1E579D8D7C5F}"/>
    <cellStyle name="Notas 2 2 2 3 2" xfId="3487" xr:uid="{26852A7E-31B1-4C27-9FD5-530EE9634E90}"/>
    <cellStyle name="Notas 2 2 2 4" xfId="3654" xr:uid="{008B0135-40E6-49A0-BC78-9A27746751A0}"/>
    <cellStyle name="Notas 2 2 3" xfId="1098" xr:uid="{00000000-0005-0000-0000-00004B040000}"/>
    <cellStyle name="Notas 2 2 3 2" xfId="1099" xr:uid="{00000000-0005-0000-0000-00004C040000}"/>
    <cellStyle name="Notas 2 2 3 3" xfId="2263" xr:uid="{16AA1FF5-F1F3-484A-B11A-E4BE0EC2F052}"/>
    <cellStyle name="Notas 2 2 3 3 2" xfId="3457" xr:uid="{86575FEB-0BEB-4CA1-9E73-1FA09C4C507B}"/>
    <cellStyle name="Notas 2 2 3 4" xfId="3624" xr:uid="{E423412B-E905-4804-9855-111B1832E1CF}"/>
    <cellStyle name="Notas 2 3" xfId="1100" xr:uid="{00000000-0005-0000-0000-00004D040000}"/>
    <cellStyle name="Notas 2 3 2" xfId="1101" xr:uid="{00000000-0005-0000-0000-00004E040000}"/>
    <cellStyle name="Notas 2 3 3" xfId="2278" xr:uid="{C7206ADD-D542-47DD-8886-C7B301896A51}"/>
    <cellStyle name="Notas 2 3 3 2" xfId="3472" xr:uid="{1AAF3434-DB98-4F0B-A3C6-0143AFFF41CF}"/>
    <cellStyle name="Notas 2 3 4" xfId="3639" xr:uid="{F7B27C2D-C99E-4C70-A7CE-BB63CFAECB64}"/>
    <cellStyle name="Notas 2 4" xfId="1102" xr:uid="{00000000-0005-0000-0000-00004F040000}"/>
    <cellStyle name="Notas 2 4 2" xfId="1103" xr:uid="{00000000-0005-0000-0000-000050040000}"/>
    <cellStyle name="Notas 2 4 3" xfId="2248" xr:uid="{7B37E1F2-639D-4FDD-997A-CAB1E27E5957}"/>
    <cellStyle name="Notas 2 4 3 2" xfId="3442" xr:uid="{75A003E5-F9C8-47F7-8E83-60C2D7CCE2D1}"/>
    <cellStyle name="Notas 2 4 4" xfId="3609" xr:uid="{CB6C82F6-BA16-4E69-B7D2-C67364D7C700}"/>
    <cellStyle name="Notas 3" xfId="1104" xr:uid="{00000000-0005-0000-0000-000051040000}"/>
    <cellStyle name="Notas 4" xfId="1105" xr:uid="{00000000-0005-0000-0000-000052040000}"/>
    <cellStyle name="Percent" xfId="1106" xr:uid="{00000000-0005-0000-0000-000053040000}"/>
    <cellStyle name="Percent 2" xfId="1107" xr:uid="{00000000-0005-0000-0000-000054040000}"/>
    <cellStyle name="Percent 2 2" xfId="1108" xr:uid="{00000000-0005-0000-0000-000055040000}"/>
    <cellStyle name="Percent 2 2 2" xfId="2322" xr:uid="{99073012-8B78-4DE5-9684-DA37866524BC}"/>
    <cellStyle name="Percent 3" xfId="1109" xr:uid="{00000000-0005-0000-0000-000056040000}"/>
    <cellStyle name="Percentual" xfId="1110" xr:uid="{00000000-0005-0000-0000-000057040000}"/>
    <cellStyle name="Percentual 10" xfId="1111" xr:uid="{00000000-0005-0000-0000-000058040000}"/>
    <cellStyle name="Percentual 11" xfId="1112" xr:uid="{00000000-0005-0000-0000-000059040000}"/>
    <cellStyle name="Percentual 12" xfId="1113" xr:uid="{00000000-0005-0000-0000-00005A040000}"/>
    <cellStyle name="Percentual 13" xfId="1114" xr:uid="{00000000-0005-0000-0000-00005B040000}"/>
    <cellStyle name="Percentual 14" xfId="1115" xr:uid="{00000000-0005-0000-0000-00005C040000}"/>
    <cellStyle name="Percentual 2" xfId="1116" xr:uid="{00000000-0005-0000-0000-00005D040000}"/>
    <cellStyle name="Percentual 3" xfId="1117" xr:uid="{00000000-0005-0000-0000-00005E040000}"/>
    <cellStyle name="Percentual 4" xfId="1118" xr:uid="{00000000-0005-0000-0000-00005F040000}"/>
    <cellStyle name="Percentual 5" xfId="1119" xr:uid="{00000000-0005-0000-0000-000060040000}"/>
    <cellStyle name="Percentual 6" xfId="1120" xr:uid="{00000000-0005-0000-0000-000061040000}"/>
    <cellStyle name="Percentual 7" xfId="1121" xr:uid="{00000000-0005-0000-0000-000062040000}"/>
    <cellStyle name="Percentual 8" xfId="1122" xr:uid="{00000000-0005-0000-0000-000063040000}"/>
    <cellStyle name="Percentual 9" xfId="1123" xr:uid="{00000000-0005-0000-0000-000064040000}"/>
    <cellStyle name="Ponto" xfId="1124" xr:uid="{00000000-0005-0000-0000-000065040000}"/>
    <cellStyle name="Ponto 10" xfId="1125" xr:uid="{00000000-0005-0000-0000-000066040000}"/>
    <cellStyle name="Ponto 11" xfId="1126" xr:uid="{00000000-0005-0000-0000-000067040000}"/>
    <cellStyle name="Ponto 12" xfId="1127" xr:uid="{00000000-0005-0000-0000-000068040000}"/>
    <cellStyle name="Ponto 13" xfId="1128" xr:uid="{00000000-0005-0000-0000-000069040000}"/>
    <cellStyle name="Ponto 14" xfId="1129" xr:uid="{00000000-0005-0000-0000-00006A040000}"/>
    <cellStyle name="Ponto 2" xfId="1130" xr:uid="{00000000-0005-0000-0000-00006B040000}"/>
    <cellStyle name="Ponto 3" xfId="1131" xr:uid="{00000000-0005-0000-0000-00006C040000}"/>
    <cellStyle name="Ponto 4" xfId="1132" xr:uid="{00000000-0005-0000-0000-00006D040000}"/>
    <cellStyle name="Ponto 5" xfId="1133" xr:uid="{00000000-0005-0000-0000-00006E040000}"/>
    <cellStyle name="Ponto 6" xfId="1134" xr:uid="{00000000-0005-0000-0000-00006F040000}"/>
    <cellStyle name="Ponto 7" xfId="1135" xr:uid="{00000000-0005-0000-0000-000070040000}"/>
    <cellStyle name="Ponto 8" xfId="1136" xr:uid="{00000000-0005-0000-0000-000071040000}"/>
    <cellStyle name="Ponto 9" xfId="1137" xr:uid="{00000000-0005-0000-0000-000072040000}"/>
    <cellStyle name="Porcentaje" xfId="1138" builtinId="5"/>
    <cellStyle name="Porcentaje 10" xfId="1139" xr:uid="{00000000-0005-0000-0000-000074040000}"/>
    <cellStyle name="Porcentaje 10 2" xfId="1140" xr:uid="{00000000-0005-0000-0000-000075040000}"/>
    <cellStyle name="Porcentaje 11" xfId="1141" xr:uid="{00000000-0005-0000-0000-000076040000}"/>
    <cellStyle name="Porcentaje 11 2" xfId="1142" xr:uid="{00000000-0005-0000-0000-000077040000}"/>
    <cellStyle name="Porcentaje 12" xfId="1143" xr:uid="{00000000-0005-0000-0000-000078040000}"/>
    <cellStyle name="Porcentaje 12 2" xfId="1144" xr:uid="{00000000-0005-0000-0000-000079040000}"/>
    <cellStyle name="Porcentaje 13" xfId="1145" xr:uid="{00000000-0005-0000-0000-00007A040000}"/>
    <cellStyle name="Porcentaje 13 2" xfId="1146" xr:uid="{00000000-0005-0000-0000-00007B040000}"/>
    <cellStyle name="Porcentaje 14" xfId="1147" xr:uid="{00000000-0005-0000-0000-00007C040000}"/>
    <cellStyle name="Porcentaje 14 2" xfId="1148" xr:uid="{00000000-0005-0000-0000-00007D040000}"/>
    <cellStyle name="Porcentaje 15" xfId="1149" xr:uid="{00000000-0005-0000-0000-00007E040000}"/>
    <cellStyle name="Porcentaje 15 2" xfId="3689" xr:uid="{EA49E2D8-8D88-4F8F-9DE6-8959BEFBB04E}"/>
    <cellStyle name="Porcentaje 15 3" xfId="3733" xr:uid="{2A81EE99-1549-41CF-967B-2CCD9F50D6C4}"/>
    <cellStyle name="Porcentaje 15 4" xfId="3732" xr:uid="{85ADC84E-E861-4B41-A36C-BDC99533B163}"/>
    <cellStyle name="Porcentaje 15 5" xfId="3803" xr:uid="{DDCD5E03-E938-41C1-BD03-CBB619C2EFB5}"/>
    <cellStyle name="Porcentaje 15 6" xfId="3878" xr:uid="{AC347452-DE15-4DB0-BA88-A14F4C05E615}"/>
    <cellStyle name="Porcentaje 16" xfId="1150" xr:uid="{00000000-0005-0000-0000-00007F040000}"/>
    <cellStyle name="Porcentaje 16 2" xfId="1151" xr:uid="{00000000-0005-0000-0000-000080040000}"/>
    <cellStyle name="Porcentaje 17" xfId="1152" xr:uid="{00000000-0005-0000-0000-000081040000}"/>
    <cellStyle name="Porcentaje 17 2" xfId="2105" xr:uid="{9F92E81A-5EF2-4E12-8215-35A3D05F0161}"/>
    <cellStyle name="Porcentaje 18" xfId="1153" xr:uid="{00000000-0005-0000-0000-000082040000}"/>
    <cellStyle name="Porcentaje 18 2" xfId="2106" xr:uid="{C2F7D4AF-6171-49A1-8550-AD8F1729B3B4}"/>
    <cellStyle name="Porcentaje 19" xfId="1154" xr:uid="{00000000-0005-0000-0000-000083040000}"/>
    <cellStyle name="Porcentaje 19 2" xfId="1155" xr:uid="{00000000-0005-0000-0000-000084040000}"/>
    <cellStyle name="Porcentaje 19 2 2" xfId="1156" xr:uid="{00000000-0005-0000-0000-000085040000}"/>
    <cellStyle name="Porcentaje 19 2 2 2" xfId="1157" xr:uid="{00000000-0005-0000-0000-000086040000}"/>
    <cellStyle name="Porcentaje 19 2 3" xfId="2228" xr:uid="{FB23D62B-9CBA-4991-ABED-6DCF9FB497AD}"/>
    <cellStyle name="Porcentaje 19 2 3 2" xfId="3424" xr:uid="{84451E67-C9F2-4117-A3B3-DC50571498A8}"/>
    <cellStyle name="Porcentaje 19 2 4" xfId="3590" xr:uid="{771656B9-6334-452E-A5C6-B961BAA96589}"/>
    <cellStyle name="Porcentaje 19 3" xfId="1158" xr:uid="{00000000-0005-0000-0000-000087040000}"/>
    <cellStyle name="Porcentaje 19 3 2" xfId="2107" xr:uid="{01F73193-9692-4B67-8B8E-38245FC04AEB}"/>
    <cellStyle name="Porcentaje 19 4" xfId="1159" xr:uid="{00000000-0005-0000-0000-000088040000}"/>
    <cellStyle name="Porcentaje 19 4 2" xfId="1160" xr:uid="{00000000-0005-0000-0000-000089040000}"/>
    <cellStyle name="Porcentaje 19 5" xfId="1161" xr:uid="{00000000-0005-0000-0000-00008A040000}"/>
    <cellStyle name="Porcentaje 19 6" xfId="3734" xr:uid="{ACC4B318-7E00-44E2-90F3-6AD563A55CEC}"/>
    <cellStyle name="Porcentaje 19 7" xfId="3804" xr:uid="{0680A584-A554-434F-9BB5-4F54400FFE67}"/>
    <cellStyle name="Porcentaje 19 8" xfId="3879" xr:uid="{565DA2FC-C935-4237-A02D-DCC374F336E2}"/>
    <cellStyle name="Porcentaje 2" xfId="1162" xr:uid="{00000000-0005-0000-0000-00008B040000}"/>
    <cellStyle name="Porcentaje 2 2" xfId="1163" xr:uid="{00000000-0005-0000-0000-00008C040000}"/>
    <cellStyle name="Porcentaje 2 2 2" xfId="1164" xr:uid="{00000000-0005-0000-0000-00008D040000}"/>
    <cellStyle name="Porcentaje 2 3" xfId="1165" xr:uid="{00000000-0005-0000-0000-00008E040000}"/>
    <cellStyle name="Porcentaje 2 3 2" xfId="1166" xr:uid="{00000000-0005-0000-0000-00008F040000}"/>
    <cellStyle name="Porcentaje 2 3 3" xfId="3735" xr:uid="{A5977BB2-4FC1-4337-867A-4E8B0C288305}"/>
    <cellStyle name="Porcentaje 2 4" xfId="3753" xr:uid="{6E616E81-CB23-4AC1-8CE0-FB2BF475B4EC}"/>
    <cellStyle name="Porcentaje 2 5" xfId="3763" xr:uid="{B97C51A3-39C3-4C09-96FB-2DA00F18A9AA}"/>
    <cellStyle name="Porcentaje 20" xfId="1167" xr:uid="{00000000-0005-0000-0000-000090040000}"/>
    <cellStyle name="Porcentaje 20 2" xfId="1168" xr:uid="{00000000-0005-0000-0000-000091040000}"/>
    <cellStyle name="Porcentaje 20 2 2" xfId="2109" xr:uid="{97F6FDF3-0434-4FD7-AF87-D3EB607324FD}"/>
    <cellStyle name="Porcentaje 20 3" xfId="2108" xr:uid="{6F50ACDB-7CD8-472D-957E-9E8ECC2EE46A}"/>
    <cellStyle name="Porcentaje 20 4" xfId="3746" xr:uid="{2E42AA99-8E54-423D-A389-FF8CC93CBC4F}"/>
    <cellStyle name="Porcentaje 20 5" xfId="3811" xr:uid="{853E6902-5335-4B6A-9DAC-95BE48ECA48E}"/>
    <cellStyle name="Porcentaje 20 6" xfId="3887" xr:uid="{97398187-A73A-4C30-992A-366B58B7805B}"/>
    <cellStyle name="Porcentaje 21" xfId="1169" xr:uid="{00000000-0005-0000-0000-000092040000}"/>
    <cellStyle name="Porcentaje 21 2" xfId="1170" xr:uid="{00000000-0005-0000-0000-000093040000}"/>
    <cellStyle name="Porcentaje 21 2 2" xfId="2111" xr:uid="{05C6CA32-9409-4337-AD39-C8BE46B10591}"/>
    <cellStyle name="Porcentaje 21 3" xfId="2110" xr:uid="{668C2F54-D41D-4B61-8D09-C33BC7076FEE}"/>
    <cellStyle name="Porcentaje 21 4" xfId="3748" xr:uid="{B3EBD3E9-1A75-4C36-A644-F151816C13CC}"/>
    <cellStyle name="Porcentaje 21 5" xfId="3813" xr:uid="{6C6C0281-515F-4454-922C-F164D65D5FC9}"/>
    <cellStyle name="Porcentaje 21 6" xfId="3889" xr:uid="{440BA7F1-DF79-49A7-8215-EB6E26E0E0C0}"/>
    <cellStyle name="Porcentaje 22" xfId="1171" xr:uid="{00000000-0005-0000-0000-000094040000}"/>
    <cellStyle name="Porcentaje 22 2" xfId="1172" xr:uid="{00000000-0005-0000-0000-000095040000}"/>
    <cellStyle name="Porcentaje 22 2 2" xfId="2113" xr:uid="{67795F2D-7C2C-46E5-AEF4-1860DC0B8D61}"/>
    <cellStyle name="Porcentaje 22 3" xfId="2112" xr:uid="{E42EA279-7FE8-410C-9672-35653305D8F5}"/>
    <cellStyle name="Porcentaje 22 4" xfId="3750" xr:uid="{0BDCAA07-2A5E-431B-AFCA-07BF1FB80643}"/>
    <cellStyle name="Porcentaje 22 5" xfId="3815" xr:uid="{6F018F73-A09E-420C-8650-B1CEA14E37ED}"/>
    <cellStyle name="Porcentaje 22 6" xfId="3891" xr:uid="{B03156D3-897C-44DE-B77D-86D4E908ECB6}"/>
    <cellStyle name="Porcentaje 23" xfId="1173" xr:uid="{00000000-0005-0000-0000-000096040000}"/>
    <cellStyle name="Porcentaje 23 2" xfId="2114" xr:uid="{88185CD1-1ECB-4EB3-8157-1B6350C8F1A0}"/>
    <cellStyle name="Porcentaje 24" xfId="1174" xr:uid="{00000000-0005-0000-0000-000097040000}"/>
    <cellStyle name="Porcentaje 24 2" xfId="1175" xr:uid="{00000000-0005-0000-0000-000098040000}"/>
    <cellStyle name="Porcentaje 24 3" xfId="2295" xr:uid="{EC9E6F3B-F6CF-44D6-8BBA-FA0AC117D73F}"/>
    <cellStyle name="Porcentaje 24 3 2" xfId="3489" xr:uid="{2F2F75B9-C787-41F1-BF90-59AA826E73A4}"/>
    <cellStyle name="Porcentaje 24 4" xfId="3656" xr:uid="{49BF07C0-715B-4228-965A-640FEBE61143}"/>
    <cellStyle name="Porcentaje 25" xfId="1176" xr:uid="{00000000-0005-0000-0000-000099040000}"/>
    <cellStyle name="Porcentaje 25 2" xfId="2115" xr:uid="{9E0EC778-7BBA-4E62-995B-DB5B6105A923}"/>
    <cellStyle name="Porcentaje 25 3" xfId="2310" xr:uid="{A36C1973-5803-44A7-A1EC-388AA76A65BF}"/>
    <cellStyle name="Porcentaje 26" xfId="2130" xr:uid="{4AAF56EF-74AC-4087-9665-FC62BE40EDAA}"/>
    <cellStyle name="Porcentaje 26 2" xfId="3337" xr:uid="{135F426D-00D6-49E5-A6FC-ED556B38922F}"/>
    <cellStyle name="Porcentaje 26 3" xfId="3682" xr:uid="{55F0131A-B77B-4A3D-850D-0DE352969EF3}"/>
    <cellStyle name="Porcentaje 27" xfId="3687" xr:uid="{1A9D583C-18AF-401C-889D-E559F02B12EC}"/>
    <cellStyle name="Porcentaje 28" xfId="3758" xr:uid="{BC15D708-8394-4ACA-A947-ECF3CF2FAF33}"/>
    <cellStyle name="Porcentaje 28 2" xfId="3769" xr:uid="{092053EE-4F87-4971-AC42-663BFD0004D2}"/>
    <cellStyle name="Porcentaje 28 2 2" xfId="3771" xr:uid="{2577704B-A931-4D47-B67F-9D712E44D438}"/>
    <cellStyle name="Porcentaje 28 2 2 2" xfId="3773" xr:uid="{F33170E7-0C35-4183-B73F-6468343DAF5C}"/>
    <cellStyle name="Porcentaje 28 2 2 2 2" xfId="3777" xr:uid="{5F7677C5-B062-4082-BF3F-7AFF833E90CD}"/>
    <cellStyle name="Porcentaje 28 2 2 2 2 2" xfId="3819" xr:uid="{4F28B143-0178-422F-A133-D15091EC5D33}"/>
    <cellStyle name="Porcentaje 29" xfId="3760" xr:uid="{5C932F58-1050-43F9-8027-6A8416012D83}"/>
    <cellStyle name="Porcentaje 3" xfId="1177" xr:uid="{00000000-0005-0000-0000-00009A040000}"/>
    <cellStyle name="Porcentaje 3 2" xfId="1178" xr:uid="{00000000-0005-0000-0000-00009B040000}"/>
    <cellStyle name="Porcentaje 3 2 2" xfId="1179" xr:uid="{00000000-0005-0000-0000-00009C040000}"/>
    <cellStyle name="Porcentaje 3 2 2 2" xfId="1180" xr:uid="{00000000-0005-0000-0000-00009D040000}"/>
    <cellStyle name="Porcentaje 3 2 3" xfId="1181" xr:uid="{00000000-0005-0000-0000-00009E040000}"/>
    <cellStyle name="Porcentaje 3 2 4" xfId="1182" xr:uid="{00000000-0005-0000-0000-00009F040000}"/>
    <cellStyle name="Porcentaje 3 2 4 2" xfId="1183" xr:uid="{00000000-0005-0000-0000-0000A0040000}"/>
    <cellStyle name="Porcentaje 3 2 5" xfId="2229" xr:uid="{477581AA-C069-4208-9100-D50952B4407D}"/>
    <cellStyle name="Porcentaje 3 2 5 2" xfId="3425" xr:uid="{646373D4-3488-44AA-B002-090ADF21DA7C}"/>
    <cellStyle name="Porcentaje 3 2 6" xfId="3591" xr:uid="{8EA17062-DFDE-4FB3-945C-1998DE3844D0}"/>
    <cellStyle name="Porcentaje 3 2 7" xfId="3736" xr:uid="{8BBD56B1-9A41-4E94-91E4-78FFD0F55514}"/>
    <cellStyle name="Porcentaje 3 3" xfId="1184" xr:uid="{00000000-0005-0000-0000-0000A1040000}"/>
    <cellStyle name="Porcentaje 3 3 2" xfId="1185" xr:uid="{00000000-0005-0000-0000-0000A2040000}"/>
    <cellStyle name="Porcentaje 3 4" xfId="3764" xr:uid="{9E047494-EB56-414F-B12E-55903E0A1ECD}"/>
    <cellStyle name="Porcentaje 30" xfId="3767" xr:uid="{8004B7C2-57E6-46EC-A290-CD0685E0D725}"/>
    <cellStyle name="Porcentaje 30 2" xfId="3775" xr:uid="{E8DC701D-39F2-4316-A1B5-C83C9EE91C0B}"/>
    <cellStyle name="Porcentaje 31" xfId="3822" xr:uid="{2FB9FCB8-8E73-415E-B72C-A0F213B66B41}"/>
    <cellStyle name="Porcentaje 4" xfId="1186" xr:uid="{00000000-0005-0000-0000-0000A3040000}"/>
    <cellStyle name="Porcentaje 4 2" xfId="1187" xr:uid="{00000000-0005-0000-0000-0000A4040000}"/>
    <cellStyle name="Porcentaje 4 3" xfId="1188" xr:uid="{00000000-0005-0000-0000-0000A5040000}"/>
    <cellStyle name="Porcentaje 5" xfId="1189" xr:uid="{00000000-0005-0000-0000-0000A6040000}"/>
    <cellStyle name="Porcentaje 5 2" xfId="1190" xr:uid="{00000000-0005-0000-0000-0000A7040000}"/>
    <cellStyle name="Porcentaje 6" xfId="1191" xr:uid="{00000000-0005-0000-0000-0000A8040000}"/>
    <cellStyle name="Porcentaje 6 2" xfId="1192" xr:uid="{00000000-0005-0000-0000-0000A9040000}"/>
    <cellStyle name="Porcentaje 7" xfId="1193" xr:uid="{00000000-0005-0000-0000-0000AA040000}"/>
    <cellStyle name="Porcentaje 7 2" xfId="1194" xr:uid="{00000000-0005-0000-0000-0000AB040000}"/>
    <cellStyle name="Porcentaje 8" xfId="1195" xr:uid="{00000000-0005-0000-0000-0000AC040000}"/>
    <cellStyle name="Porcentaje 8 2" xfId="1196" xr:uid="{00000000-0005-0000-0000-0000AD040000}"/>
    <cellStyle name="Porcentaje 9" xfId="1197" xr:uid="{00000000-0005-0000-0000-0000AE040000}"/>
    <cellStyle name="Porcentaje 9 2" xfId="1198" xr:uid="{00000000-0005-0000-0000-0000AF040000}"/>
    <cellStyle name="Porcentual 10" xfId="1199" xr:uid="{00000000-0005-0000-0000-0000B0040000}"/>
    <cellStyle name="Porcentual 10 2" xfId="1200" xr:uid="{00000000-0005-0000-0000-0000B1040000}"/>
    <cellStyle name="Porcentual 10 2 2" xfId="1201" xr:uid="{00000000-0005-0000-0000-0000B2040000}"/>
    <cellStyle name="Porcentual 10 3" xfId="1202" xr:uid="{00000000-0005-0000-0000-0000B3040000}"/>
    <cellStyle name="Porcentual 19" xfId="1203" xr:uid="{00000000-0005-0000-0000-0000B4040000}"/>
    <cellStyle name="Porcentual 19 2" xfId="1204" xr:uid="{00000000-0005-0000-0000-0000B5040000}"/>
    <cellStyle name="Porcentual 19 2 2" xfId="1205" xr:uid="{00000000-0005-0000-0000-0000B6040000}"/>
    <cellStyle name="Porcentual 19 3" xfId="1206" xr:uid="{00000000-0005-0000-0000-0000B7040000}"/>
    <cellStyle name="Porcentual 2" xfId="1207" xr:uid="{00000000-0005-0000-0000-0000B8040000}"/>
    <cellStyle name="Porcentual 2 10" xfId="1208" xr:uid="{00000000-0005-0000-0000-0000B9040000}"/>
    <cellStyle name="Porcentual 2 11" xfId="1209" xr:uid="{00000000-0005-0000-0000-0000BA040000}"/>
    <cellStyle name="Porcentual 2 12" xfId="1210" xr:uid="{00000000-0005-0000-0000-0000BB040000}"/>
    <cellStyle name="Porcentual 2 13" xfId="1211" xr:uid="{00000000-0005-0000-0000-0000BC040000}"/>
    <cellStyle name="Porcentual 2 14" xfId="1212" xr:uid="{00000000-0005-0000-0000-0000BD040000}"/>
    <cellStyle name="Porcentual 2 15" xfId="1213" xr:uid="{00000000-0005-0000-0000-0000BE040000}"/>
    <cellStyle name="Porcentual 2 16" xfId="1214" xr:uid="{00000000-0005-0000-0000-0000BF040000}"/>
    <cellStyle name="Porcentual 2 17" xfId="1215" xr:uid="{00000000-0005-0000-0000-0000C0040000}"/>
    <cellStyle name="Porcentual 2 18" xfId="1216" xr:uid="{00000000-0005-0000-0000-0000C1040000}"/>
    <cellStyle name="Porcentual 2 19" xfId="1217" xr:uid="{00000000-0005-0000-0000-0000C2040000}"/>
    <cellStyle name="Porcentual 2 2" xfId="1218" xr:uid="{00000000-0005-0000-0000-0000C3040000}"/>
    <cellStyle name="Porcentual 2 2 10" xfId="1219" xr:uid="{00000000-0005-0000-0000-0000C4040000}"/>
    <cellStyle name="Porcentual 2 2 11" xfId="1220" xr:uid="{00000000-0005-0000-0000-0000C5040000}"/>
    <cellStyle name="Porcentual 2 2 12" xfId="1221" xr:uid="{00000000-0005-0000-0000-0000C6040000}"/>
    <cellStyle name="Porcentual 2 2 13" xfId="1222" xr:uid="{00000000-0005-0000-0000-0000C7040000}"/>
    <cellStyle name="Porcentual 2 2 14" xfId="1223" xr:uid="{00000000-0005-0000-0000-0000C8040000}"/>
    <cellStyle name="Porcentual 2 2 15" xfId="1224" xr:uid="{00000000-0005-0000-0000-0000C9040000}"/>
    <cellStyle name="Porcentual 2 2 16" xfId="1225" xr:uid="{00000000-0005-0000-0000-0000CA040000}"/>
    <cellStyle name="Porcentual 2 2 17" xfId="1226" xr:uid="{00000000-0005-0000-0000-0000CB040000}"/>
    <cellStyle name="Porcentual 2 2 18" xfId="1227" xr:uid="{00000000-0005-0000-0000-0000CC040000}"/>
    <cellStyle name="Porcentual 2 2 19" xfId="1228" xr:uid="{00000000-0005-0000-0000-0000CD040000}"/>
    <cellStyle name="Porcentual 2 2 2" xfId="1229" xr:uid="{00000000-0005-0000-0000-0000CE040000}"/>
    <cellStyle name="Porcentual 2 2 20" xfId="1230" xr:uid="{00000000-0005-0000-0000-0000CF040000}"/>
    <cellStyle name="Porcentual 2 2 21" xfId="1231" xr:uid="{00000000-0005-0000-0000-0000D0040000}"/>
    <cellStyle name="Porcentual 2 2 22" xfId="1232" xr:uid="{00000000-0005-0000-0000-0000D1040000}"/>
    <cellStyle name="Porcentual 2 2 23" xfId="1233" xr:uid="{00000000-0005-0000-0000-0000D2040000}"/>
    <cellStyle name="Porcentual 2 2 24" xfId="1234" xr:uid="{00000000-0005-0000-0000-0000D3040000}"/>
    <cellStyle name="Porcentual 2 2 25" xfId="1235" xr:uid="{00000000-0005-0000-0000-0000D4040000}"/>
    <cellStyle name="Porcentual 2 2 26" xfId="1236" xr:uid="{00000000-0005-0000-0000-0000D5040000}"/>
    <cellStyle name="Porcentual 2 2 27" xfId="1237" xr:uid="{00000000-0005-0000-0000-0000D6040000}"/>
    <cellStyle name="Porcentual 2 2 28" xfId="1238" xr:uid="{00000000-0005-0000-0000-0000D7040000}"/>
    <cellStyle name="Porcentual 2 2 29" xfId="1239" xr:uid="{00000000-0005-0000-0000-0000D8040000}"/>
    <cellStyle name="Porcentual 2 2 3" xfId="1240" xr:uid="{00000000-0005-0000-0000-0000D9040000}"/>
    <cellStyle name="Porcentual 2 2 30" xfId="1241" xr:uid="{00000000-0005-0000-0000-0000DA040000}"/>
    <cellStyle name="Porcentual 2 2 31" xfId="1242" xr:uid="{00000000-0005-0000-0000-0000DB040000}"/>
    <cellStyle name="Porcentual 2 2 32" xfId="1243" xr:uid="{00000000-0005-0000-0000-0000DC040000}"/>
    <cellStyle name="Porcentual 2 2 33" xfId="1244" xr:uid="{00000000-0005-0000-0000-0000DD040000}"/>
    <cellStyle name="Porcentual 2 2 34" xfId="1245" xr:uid="{00000000-0005-0000-0000-0000DE040000}"/>
    <cellStyle name="Porcentual 2 2 35" xfId="1246" xr:uid="{00000000-0005-0000-0000-0000DF040000}"/>
    <cellStyle name="Porcentual 2 2 36" xfId="1247" xr:uid="{00000000-0005-0000-0000-0000E0040000}"/>
    <cellStyle name="Porcentual 2 2 37" xfId="1248" xr:uid="{00000000-0005-0000-0000-0000E1040000}"/>
    <cellStyle name="Porcentual 2 2 38" xfId="1249" xr:uid="{00000000-0005-0000-0000-0000E2040000}"/>
    <cellStyle name="Porcentual 2 2 39" xfId="1250" xr:uid="{00000000-0005-0000-0000-0000E3040000}"/>
    <cellStyle name="Porcentual 2 2 4" xfId="1251" xr:uid="{00000000-0005-0000-0000-0000E4040000}"/>
    <cellStyle name="Porcentual 2 2 40" xfId="1252" xr:uid="{00000000-0005-0000-0000-0000E5040000}"/>
    <cellStyle name="Porcentual 2 2 41" xfId="1253" xr:uid="{00000000-0005-0000-0000-0000E6040000}"/>
    <cellStyle name="Porcentual 2 2 42" xfId="1254" xr:uid="{00000000-0005-0000-0000-0000E7040000}"/>
    <cellStyle name="Porcentual 2 2 43" xfId="1255" xr:uid="{00000000-0005-0000-0000-0000E8040000}"/>
    <cellStyle name="Porcentual 2 2 44" xfId="1256" xr:uid="{00000000-0005-0000-0000-0000E9040000}"/>
    <cellStyle name="Porcentual 2 2 45" xfId="1257" xr:uid="{00000000-0005-0000-0000-0000EA040000}"/>
    <cellStyle name="Porcentual 2 2 46" xfId="1258" xr:uid="{00000000-0005-0000-0000-0000EB040000}"/>
    <cellStyle name="Porcentual 2 2 47" xfId="1259" xr:uid="{00000000-0005-0000-0000-0000EC040000}"/>
    <cellStyle name="Porcentual 2 2 5" xfId="1260" xr:uid="{00000000-0005-0000-0000-0000ED040000}"/>
    <cellStyle name="Porcentual 2 2 6" xfId="1261" xr:uid="{00000000-0005-0000-0000-0000EE040000}"/>
    <cellStyle name="Porcentual 2 2 7" xfId="1262" xr:uid="{00000000-0005-0000-0000-0000EF040000}"/>
    <cellStyle name="Porcentual 2 2 8" xfId="1263" xr:uid="{00000000-0005-0000-0000-0000F0040000}"/>
    <cellStyle name="Porcentual 2 2 9" xfId="1264" xr:uid="{00000000-0005-0000-0000-0000F1040000}"/>
    <cellStyle name="Porcentual 2 20" xfId="1265" xr:uid="{00000000-0005-0000-0000-0000F2040000}"/>
    <cellStyle name="Porcentual 2 21" xfId="1266" xr:uid="{00000000-0005-0000-0000-0000F3040000}"/>
    <cellStyle name="Porcentual 2 22" xfId="1267" xr:uid="{00000000-0005-0000-0000-0000F4040000}"/>
    <cellStyle name="Porcentual 2 23" xfId="1268" xr:uid="{00000000-0005-0000-0000-0000F5040000}"/>
    <cellStyle name="Porcentual 2 24" xfId="1269" xr:uid="{00000000-0005-0000-0000-0000F6040000}"/>
    <cellStyle name="Porcentual 2 25" xfId="1270" xr:uid="{00000000-0005-0000-0000-0000F7040000}"/>
    <cellStyle name="Porcentual 2 26" xfId="1271" xr:uid="{00000000-0005-0000-0000-0000F8040000}"/>
    <cellStyle name="Porcentual 2 27" xfId="1272" xr:uid="{00000000-0005-0000-0000-0000F9040000}"/>
    <cellStyle name="Porcentual 2 28" xfId="1273" xr:uid="{00000000-0005-0000-0000-0000FA040000}"/>
    <cellStyle name="Porcentual 2 29" xfId="1274" xr:uid="{00000000-0005-0000-0000-0000FB040000}"/>
    <cellStyle name="Porcentual 2 3" xfId="1275" xr:uid="{00000000-0005-0000-0000-0000FC040000}"/>
    <cellStyle name="Porcentual 2 3 10" xfId="1276" xr:uid="{00000000-0005-0000-0000-0000FD040000}"/>
    <cellStyle name="Porcentual 2 3 11" xfId="1277" xr:uid="{00000000-0005-0000-0000-0000FE040000}"/>
    <cellStyle name="Porcentual 2 3 12" xfId="1278" xr:uid="{00000000-0005-0000-0000-0000FF040000}"/>
    <cellStyle name="Porcentual 2 3 13" xfId="1279" xr:uid="{00000000-0005-0000-0000-000000050000}"/>
    <cellStyle name="Porcentual 2 3 14" xfId="1280" xr:uid="{00000000-0005-0000-0000-000001050000}"/>
    <cellStyle name="Porcentual 2 3 15" xfId="1281" xr:uid="{00000000-0005-0000-0000-000002050000}"/>
    <cellStyle name="Porcentual 2 3 16" xfId="1282" xr:uid="{00000000-0005-0000-0000-000003050000}"/>
    <cellStyle name="Porcentual 2 3 17" xfId="1283" xr:uid="{00000000-0005-0000-0000-000004050000}"/>
    <cellStyle name="Porcentual 2 3 18" xfId="1284" xr:uid="{00000000-0005-0000-0000-000005050000}"/>
    <cellStyle name="Porcentual 2 3 19" xfId="1285" xr:uid="{00000000-0005-0000-0000-000006050000}"/>
    <cellStyle name="Porcentual 2 3 2" xfId="1286" xr:uid="{00000000-0005-0000-0000-000007050000}"/>
    <cellStyle name="Porcentual 2 3 20" xfId="1287" xr:uid="{00000000-0005-0000-0000-000008050000}"/>
    <cellStyle name="Porcentual 2 3 21" xfId="1288" xr:uid="{00000000-0005-0000-0000-000009050000}"/>
    <cellStyle name="Porcentual 2 3 22" xfId="1289" xr:uid="{00000000-0005-0000-0000-00000A050000}"/>
    <cellStyle name="Porcentual 2 3 23" xfId="1290" xr:uid="{00000000-0005-0000-0000-00000B050000}"/>
    <cellStyle name="Porcentual 2 3 24" xfId="1291" xr:uid="{00000000-0005-0000-0000-00000C050000}"/>
    <cellStyle name="Porcentual 2 3 25" xfId="1292" xr:uid="{00000000-0005-0000-0000-00000D050000}"/>
    <cellStyle name="Porcentual 2 3 26" xfId="1293" xr:uid="{00000000-0005-0000-0000-00000E050000}"/>
    <cellStyle name="Porcentual 2 3 27" xfId="1294" xr:uid="{00000000-0005-0000-0000-00000F050000}"/>
    <cellStyle name="Porcentual 2 3 28" xfId="1295" xr:uid="{00000000-0005-0000-0000-000010050000}"/>
    <cellStyle name="Porcentual 2 3 29" xfId="1296" xr:uid="{00000000-0005-0000-0000-000011050000}"/>
    <cellStyle name="Porcentual 2 3 3" xfId="1297" xr:uid="{00000000-0005-0000-0000-000012050000}"/>
    <cellStyle name="Porcentual 2 3 30" xfId="1298" xr:uid="{00000000-0005-0000-0000-000013050000}"/>
    <cellStyle name="Porcentual 2 3 31" xfId="1299" xr:uid="{00000000-0005-0000-0000-000014050000}"/>
    <cellStyle name="Porcentual 2 3 32" xfId="1300" xr:uid="{00000000-0005-0000-0000-000015050000}"/>
    <cellStyle name="Porcentual 2 3 33" xfId="1301" xr:uid="{00000000-0005-0000-0000-000016050000}"/>
    <cellStyle name="Porcentual 2 3 34" xfId="1302" xr:uid="{00000000-0005-0000-0000-000017050000}"/>
    <cellStyle name="Porcentual 2 3 35" xfId="1303" xr:uid="{00000000-0005-0000-0000-000018050000}"/>
    <cellStyle name="Porcentual 2 3 36" xfId="1304" xr:uid="{00000000-0005-0000-0000-000019050000}"/>
    <cellStyle name="Porcentual 2 3 37" xfId="1305" xr:uid="{00000000-0005-0000-0000-00001A050000}"/>
    <cellStyle name="Porcentual 2 3 38" xfId="1306" xr:uid="{00000000-0005-0000-0000-00001B050000}"/>
    <cellStyle name="Porcentual 2 3 39" xfId="1307" xr:uid="{00000000-0005-0000-0000-00001C050000}"/>
    <cellStyle name="Porcentual 2 3 4" xfId="1308" xr:uid="{00000000-0005-0000-0000-00001D050000}"/>
    <cellStyle name="Porcentual 2 3 40" xfId="1309" xr:uid="{00000000-0005-0000-0000-00001E050000}"/>
    <cellStyle name="Porcentual 2 3 41" xfId="1310" xr:uid="{00000000-0005-0000-0000-00001F050000}"/>
    <cellStyle name="Porcentual 2 3 42" xfId="1311" xr:uid="{00000000-0005-0000-0000-000020050000}"/>
    <cellStyle name="Porcentual 2 3 43" xfId="1312" xr:uid="{00000000-0005-0000-0000-000021050000}"/>
    <cellStyle name="Porcentual 2 3 44" xfId="1313" xr:uid="{00000000-0005-0000-0000-000022050000}"/>
    <cellStyle name="Porcentual 2 3 45" xfId="1314" xr:uid="{00000000-0005-0000-0000-000023050000}"/>
    <cellStyle name="Porcentual 2 3 46" xfId="1315" xr:uid="{00000000-0005-0000-0000-000024050000}"/>
    <cellStyle name="Porcentual 2 3 47" xfId="1316" xr:uid="{00000000-0005-0000-0000-000025050000}"/>
    <cellStyle name="Porcentual 2 3 47 2" xfId="2117" xr:uid="{ECA32724-140B-4EBE-A661-0832E25184D0}"/>
    <cellStyle name="Porcentual 2 3 5" xfId="1317" xr:uid="{00000000-0005-0000-0000-000026050000}"/>
    <cellStyle name="Porcentual 2 3 6" xfId="1318" xr:uid="{00000000-0005-0000-0000-000027050000}"/>
    <cellStyle name="Porcentual 2 3 7" xfId="1319" xr:uid="{00000000-0005-0000-0000-000028050000}"/>
    <cellStyle name="Porcentual 2 3 8" xfId="1320" xr:uid="{00000000-0005-0000-0000-000029050000}"/>
    <cellStyle name="Porcentual 2 3 9" xfId="1321" xr:uid="{00000000-0005-0000-0000-00002A050000}"/>
    <cellStyle name="Porcentual 2 30" xfId="1322" xr:uid="{00000000-0005-0000-0000-00002B050000}"/>
    <cellStyle name="Porcentual 2 31" xfId="1323" xr:uid="{00000000-0005-0000-0000-00002C050000}"/>
    <cellStyle name="Porcentual 2 32" xfId="1324" xr:uid="{00000000-0005-0000-0000-00002D050000}"/>
    <cellStyle name="Porcentual 2 33" xfId="1325" xr:uid="{00000000-0005-0000-0000-00002E050000}"/>
    <cellStyle name="Porcentual 2 34" xfId="1326" xr:uid="{00000000-0005-0000-0000-00002F050000}"/>
    <cellStyle name="Porcentual 2 35" xfId="1327" xr:uid="{00000000-0005-0000-0000-000030050000}"/>
    <cellStyle name="Porcentual 2 36" xfId="1328" xr:uid="{00000000-0005-0000-0000-000031050000}"/>
    <cellStyle name="Porcentual 2 37" xfId="1329" xr:uid="{00000000-0005-0000-0000-000032050000}"/>
    <cellStyle name="Porcentual 2 38" xfId="1330" xr:uid="{00000000-0005-0000-0000-000033050000}"/>
    <cellStyle name="Porcentual 2 39" xfId="1331" xr:uid="{00000000-0005-0000-0000-000034050000}"/>
    <cellStyle name="Porcentual 2 4" xfId="1332" xr:uid="{00000000-0005-0000-0000-000035050000}"/>
    <cellStyle name="Porcentual 2 40" xfId="1333" xr:uid="{00000000-0005-0000-0000-000036050000}"/>
    <cellStyle name="Porcentual 2 41" xfId="1334" xr:uid="{00000000-0005-0000-0000-000037050000}"/>
    <cellStyle name="Porcentual 2 42" xfId="1335" xr:uid="{00000000-0005-0000-0000-000038050000}"/>
    <cellStyle name="Porcentual 2 43" xfId="1336" xr:uid="{00000000-0005-0000-0000-000039050000}"/>
    <cellStyle name="Porcentual 2 44" xfId="1337" xr:uid="{00000000-0005-0000-0000-00003A050000}"/>
    <cellStyle name="Porcentual 2 45" xfId="1338" xr:uid="{00000000-0005-0000-0000-00003B050000}"/>
    <cellStyle name="Porcentual 2 46" xfId="1339" xr:uid="{00000000-0005-0000-0000-00003C050000}"/>
    <cellStyle name="Porcentual 2 47" xfId="1340" xr:uid="{00000000-0005-0000-0000-00003D050000}"/>
    <cellStyle name="Porcentual 2 48" xfId="1341" xr:uid="{00000000-0005-0000-0000-00003E050000}"/>
    <cellStyle name="Porcentual 2 49" xfId="1342" xr:uid="{00000000-0005-0000-0000-00003F050000}"/>
    <cellStyle name="Porcentual 2 5" xfId="1343" xr:uid="{00000000-0005-0000-0000-000040050000}"/>
    <cellStyle name="Porcentual 2 50" xfId="1344" xr:uid="{00000000-0005-0000-0000-000041050000}"/>
    <cellStyle name="Porcentual 2 50 2" xfId="2118" xr:uid="{973C7F61-3C05-420B-8CE9-468D329CCCD3}"/>
    <cellStyle name="Porcentual 2 51" xfId="2116" xr:uid="{AB69A0BF-9C47-468A-9F5A-40F83CA8725B}"/>
    <cellStyle name="Porcentual 2 6" xfId="1345" xr:uid="{00000000-0005-0000-0000-000042050000}"/>
    <cellStyle name="Porcentual 2 7" xfId="1346" xr:uid="{00000000-0005-0000-0000-000043050000}"/>
    <cellStyle name="Porcentual 2 8" xfId="1347" xr:uid="{00000000-0005-0000-0000-000044050000}"/>
    <cellStyle name="Porcentual 2 9" xfId="1348" xr:uid="{00000000-0005-0000-0000-000045050000}"/>
    <cellStyle name="Porcentual 20" xfId="1349" xr:uid="{00000000-0005-0000-0000-000046050000}"/>
    <cellStyle name="Porcentual 20 2" xfId="1350" xr:uid="{00000000-0005-0000-0000-000047050000}"/>
    <cellStyle name="Porcentual 20 2 2" xfId="2120" xr:uid="{1C24446B-F6C0-4E6D-BE9C-55241BDECAFB}"/>
    <cellStyle name="Porcentual 20 3" xfId="2119" xr:uid="{13BDEB68-CBF4-4216-A85B-0A84FFAA4287}"/>
    <cellStyle name="Porcentual 21" xfId="1351" xr:uid="{00000000-0005-0000-0000-000048050000}"/>
    <cellStyle name="Porcentual 21 2" xfId="1352" xr:uid="{00000000-0005-0000-0000-000049050000}"/>
    <cellStyle name="Porcentual 21 2 2" xfId="1353" xr:uid="{00000000-0005-0000-0000-00004A050000}"/>
    <cellStyle name="Porcentual 21 3" xfId="1354" xr:uid="{00000000-0005-0000-0000-00004B050000}"/>
    <cellStyle name="Porcentual 3" xfId="1355" xr:uid="{00000000-0005-0000-0000-00004C050000}"/>
    <cellStyle name="Porcentual 3 10" xfId="1356" xr:uid="{00000000-0005-0000-0000-00004D050000}"/>
    <cellStyle name="Porcentual 3 11" xfId="1357" xr:uid="{00000000-0005-0000-0000-00004E050000}"/>
    <cellStyle name="Porcentual 3 12" xfId="1358" xr:uid="{00000000-0005-0000-0000-00004F050000}"/>
    <cellStyle name="Porcentual 3 13" xfId="1359" xr:uid="{00000000-0005-0000-0000-000050050000}"/>
    <cellStyle name="Porcentual 3 14" xfId="1360" xr:uid="{00000000-0005-0000-0000-000051050000}"/>
    <cellStyle name="Porcentual 3 15" xfId="1361" xr:uid="{00000000-0005-0000-0000-000052050000}"/>
    <cellStyle name="Porcentual 3 16" xfId="1362" xr:uid="{00000000-0005-0000-0000-000053050000}"/>
    <cellStyle name="Porcentual 3 17" xfId="1363" xr:uid="{00000000-0005-0000-0000-000054050000}"/>
    <cellStyle name="Porcentual 3 18" xfId="1364" xr:uid="{00000000-0005-0000-0000-000055050000}"/>
    <cellStyle name="Porcentual 3 19" xfId="1365" xr:uid="{00000000-0005-0000-0000-000056050000}"/>
    <cellStyle name="Porcentual 3 2" xfId="1366" xr:uid="{00000000-0005-0000-0000-000057050000}"/>
    <cellStyle name="Porcentual 3 2 2" xfId="1367" xr:uid="{00000000-0005-0000-0000-000058050000}"/>
    <cellStyle name="Porcentual 3 20" xfId="1368" xr:uid="{00000000-0005-0000-0000-000059050000}"/>
    <cellStyle name="Porcentual 3 21" xfId="1369" xr:uid="{00000000-0005-0000-0000-00005A050000}"/>
    <cellStyle name="Porcentual 3 22" xfId="1370" xr:uid="{00000000-0005-0000-0000-00005B050000}"/>
    <cellStyle name="Porcentual 3 23" xfId="1371" xr:uid="{00000000-0005-0000-0000-00005C050000}"/>
    <cellStyle name="Porcentual 3 24" xfId="1372" xr:uid="{00000000-0005-0000-0000-00005D050000}"/>
    <cellStyle name="Porcentual 3 25" xfId="1373" xr:uid="{00000000-0005-0000-0000-00005E050000}"/>
    <cellStyle name="Porcentual 3 26" xfId="1374" xr:uid="{00000000-0005-0000-0000-00005F050000}"/>
    <cellStyle name="Porcentual 3 27" xfId="1375" xr:uid="{00000000-0005-0000-0000-000060050000}"/>
    <cellStyle name="Porcentual 3 28" xfId="1376" xr:uid="{00000000-0005-0000-0000-000061050000}"/>
    <cellStyle name="Porcentual 3 29" xfId="1377" xr:uid="{00000000-0005-0000-0000-000062050000}"/>
    <cellStyle name="Porcentual 3 3" xfId="1378" xr:uid="{00000000-0005-0000-0000-000063050000}"/>
    <cellStyle name="Porcentual 3 3 10" xfId="3880" xr:uid="{466679AF-BF6D-4930-A43D-28F4D2951F4B}"/>
    <cellStyle name="Porcentual 3 3 2" xfId="1379" xr:uid="{00000000-0005-0000-0000-000064050000}"/>
    <cellStyle name="Porcentual 3 3 2 2" xfId="3738" xr:uid="{4D36C620-595D-4931-A7C3-C40959333231}"/>
    <cellStyle name="Porcentual 3 3 2 3" xfId="3806" xr:uid="{6A6AE1F3-4540-49E2-A03F-B0312BAD5448}"/>
    <cellStyle name="Porcentual 3 3 2 4" xfId="3881" xr:uid="{02E89551-9F9F-454A-949A-0607E26DD2DF}"/>
    <cellStyle name="Porcentual 3 3 3" xfId="1380" xr:uid="{00000000-0005-0000-0000-000065050000}"/>
    <cellStyle name="Porcentual 3 3 3 2" xfId="1381" xr:uid="{00000000-0005-0000-0000-000066050000}"/>
    <cellStyle name="Porcentual 3 3 3 2 2" xfId="1382" xr:uid="{00000000-0005-0000-0000-000067050000}"/>
    <cellStyle name="Porcentual 3 3 3 3" xfId="1383" xr:uid="{00000000-0005-0000-0000-000068050000}"/>
    <cellStyle name="Porcentual 3 3 3 4" xfId="2231" xr:uid="{282421FB-48F0-4547-8AFD-61F23F08E64E}"/>
    <cellStyle name="Porcentual 3 3 3 4 2" xfId="3426" xr:uid="{EB754239-A974-47BD-8F60-72942ECBA64B}"/>
    <cellStyle name="Porcentual 3 3 3 5" xfId="3593" xr:uid="{88881DD2-DD3B-433D-8156-6F56B6F55BC1}"/>
    <cellStyle name="Porcentual 3 3 4" xfId="1384" xr:uid="{00000000-0005-0000-0000-000069050000}"/>
    <cellStyle name="Porcentual 3 3 5" xfId="1385" xr:uid="{00000000-0005-0000-0000-00006A050000}"/>
    <cellStyle name="Porcentual 3 3 5 2" xfId="1386" xr:uid="{00000000-0005-0000-0000-00006B050000}"/>
    <cellStyle name="Porcentual 3 3 6" xfId="2166" xr:uid="{3A215EF4-5315-4632-87A5-2F1576A7F505}"/>
    <cellStyle name="Porcentual 3 3 6 2" xfId="3364" xr:uid="{CF6148C5-BF60-489C-8501-472C58EAB3B1}"/>
    <cellStyle name="Porcentual 3 3 7" xfId="3530" xr:uid="{DD33369C-37D0-44CF-AEB1-08688B44D883}"/>
    <cellStyle name="Porcentual 3 3 8" xfId="3737" xr:uid="{D45CB537-91EF-4815-837D-04B068F3DEB0}"/>
    <cellStyle name="Porcentual 3 3 9" xfId="3805" xr:uid="{2FF9C95D-3A36-4677-812E-42B422578FAE}"/>
    <cellStyle name="Porcentual 3 30" xfId="1387" xr:uid="{00000000-0005-0000-0000-00006C050000}"/>
    <cellStyle name="Porcentual 3 31" xfId="1388" xr:uid="{00000000-0005-0000-0000-00006D050000}"/>
    <cellStyle name="Porcentual 3 32" xfId="1389" xr:uid="{00000000-0005-0000-0000-00006E050000}"/>
    <cellStyle name="Porcentual 3 33" xfId="1390" xr:uid="{00000000-0005-0000-0000-00006F050000}"/>
    <cellStyle name="Porcentual 3 34" xfId="1391" xr:uid="{00000000-0005-0000-0000-000070050000}"/>
    <cellStyle name="Porcentual 3 35" xfId="1392" xr:uid="{00000000-0005-0000-0000-000071050000}"/>
    <cellStyle name="Porcentual 3 36" xfId="1393" xr:uid="{00000000-0005-0000-0000-000072050000}"/>
    <cellStyle name="Porcentual 3 37" xfId="1394" xr:uid="{00000000-0005-0000-0000-000073050000}"/>
    <cellStyle name="Porcentual 3 38" xfId="1395" xr:uid="{00000000-0005-0000-0000-000074050000}"/>
    <cellStyle name="Porcentual 3 39" xfId="1396" xr:uid="{00000000-0005-0000-0000-000075050000}"/>
    <cellStyle name="Porcentual 3 4" xfId="1397" xr:uid="{00000000-0005-0000-0000-000076050000}"/>
    <cellStyle name="Porcentual 3 4 2" xfId="3739" xr:uid="{38D4853B-97C7-4A13-9E50-EFC4D550EE24}"/>
    <cellStyle name="Porcentual 3 40" xfId="1398" xr:uid="{00000000-0005-0000-0000-000077050000}"/>
    <cellStyle name="Porcentual 3 41" xfId="1399" xr:uid="{00000000-0005-0000-0000-000078050000}"/>
    <cellStyle name="Porcentual 3 42" xfId="1400" xr:uid="{00000000-0005-0000-0000-000079050000}"/>
    <cellStyle name="Porcentual 3 43" xfId="1401" xr:uid="{00000000-0005-0000-0000-00007A050000}"/>
    <cellStyle name="Porcentual 3 44" xfId="1402" xr:uid="{00000000-0005-0000-0000-00007B050000}"/>
    <cellStyle name="Porcentual 3 45" xfId="1403" xr:uid="{00000000-0005-0000-0000-00007C050000}"/>
    <cellStyle name="Porcentual 3 46" xfId="1404" xr:uid="{00000000-0005-0000-0000-00007D050000}"/>
    <cellStyle name="Porcentual 3 47" xfId="2121" xr:uid="{51D75123-2917-4231-9C36-A5DEC4497EC0}"/>
    <cellStyle name="Porcentual 3 5" xfId="1405" xr:uid="{00000000-0005-0000-0000-00007E050000}"/>
    <cellStyle name="Porcentual 3 6" xfId="1406" xr:uid="{00000000-0005-0000-0000-00007F050000}"/>
    <cellStyle name="Porcentual 3 7" xfId="1407" xr:uid="{00000000-0005-0000-0000-000080050000}"/>
    <cellStyle name="Porcentual 3 8" xfId="1408" xr:uid="{00000000-0005-0000-0000-000081050000}"/>
    <cellStyle name="Porcentual 3 9" xfId="1409" xr:uid="{00000000-0005-0000-0000-000082050000}"/>
    <cellStyle name="Porcentual 4" xfId="1410" xr:uid="{00000000-0005-0000-0000-000083050000}"/>
    <cellStyle name="Porcentual 4 2" xfId="1411" xr:uid="{00000000-0005-0000-0000-000084050000}"/>
    <cellStyle name="Porcentual 5" xfId="1412" xr:uid="{00000000-0005-0000-0000-000085050000}"/>
    <cellStyle name="Porcentual 5 2" xfId="1413" xr:uid="{00000000-0005-0000-0000-000086050000}"/>
    <cellStyle name="Porcentual 5 2 2" xfId="1414" xr:uid="{00000000-0005-0000-0000-000087050000}"/>
    <cellStyle name="Porcentual 5 2 3" xfId="1415" xr:uid="{00000000-0005-0000-0000-000088050000}"/>
    <cellStyle name="Porcentual 5 2 3 2" xfId="2123" xr:uid="{9F0A2B44-7396-4419-B63B-4F781B83ED9A}"/>
    <cellStyle name="Porcentual 5 3" xfId="1416" xr:uid="{00000000-0005-0000-0000-000089050000}"/>
    <cellStyle name="Porcentual 5 3 2" xfId="2124" xr:uid="{CB9E52F9-593F-4D37-A678-47250EE38E04}"/>
    <cellStyle name="Porcentual 5 4" xfId="2122" xr:uid="{D064260E-954A-4FCA-9083-700DF8459BDC}"/>
    <cellStyle name="Porcentual 6" xfId="3740" xr:uid="{AAC254F6-F24C-40ED-998A-412E574EB62B}"/>
    <cellStyle name="Porcentual 6 2" xfId="1417" xr:uid="{00000000-0005-0000-0000-00008A050000}"/>
    <cellStyle name="Porcentual 6 2 2" xfId="1418" xr:uid="{00000000-0005-0000-0000-00008B050000}"/>
    <cellStyle name="Porcentual 6 2 2 2" xfId="2126" xr:uid="{10975DA3-4738-4691-AAA2-B8D06AEA19A5}"/>
    <cellStyle name="Porcentual 6 2 3" xfId="2125" xr:uid="{8E569C64-1666-4B03-99D2-F0C04BE36A43}"/>
    <cellStyle name="Porcentual 6 3" xfId="1419" xr:uid="{00000000-0005-0000-0000-00008C050000}"/>
    <cellStyle name="Porcentual 6 3 2" xfId="1420" xr:uid="{00000000-0005-0000-0000-00008D050000}"/>
    <cellStyle name="Porcentual 6 3 3" xfId="1421" xr:uid="{00000000-0005-0000-0000-00008E050000}"/>
    <cellStyle name="Porcentual 6 3 3 2" xfId="2127" xr:uid="{D80C9799-4140-4B19-9940-78D78652BAB4}"/>
    <cellStyle name="Porcentual 6 3 4" xfId="3741" xr:uid="{1D94F688-7A0A-4690-AA19-08436180EE9A}"/>
    <cellStyle name="Porcentual 6 3 5" xfId="3808" xr:uid="{030E8441-AC31-42F5-9092-AF57826BDE49}"/>
    <cellStyle name="Porcentual 6 3 6" xfId="3883" xr:uid="{47D51B15-C119-4BE3-A2E7-7E6E2F6D0176}"/>
    <cellStyle name="Porcentual 6 4" xfId="1422" xr:uid="{00000000-0005-0000-0000-00008F050000}"/>
    <cellStyle name="Porcentual 6 5" xfId="3807" xr:uid="{D7BB6589-6242-4AAD-9680-D8238C5EA571}"/>
    <cellStyle name="Porcentual 6 6" xfId="3882" xr:uid="{8E4802E4-7BE0-45BC-810B-D197B7143580}"/>
    <cellStyle name="RM" xfId="1423" xr:uid="{00000000-0005-0000-0000-000090050000}"/>
    <cellStyle name="Salida 2" xfId="1424" xr:uid="{00000000-0005-0000-0000-000091050000}"/>
    <cellStyle name="Salida 2 2" xfId="1425" xr:uid="{00000000-0005-0000-0000-000092050000}"/>
    <cellStyle name="Salida 3" xfId="1426" xr:uid="{00000000-0005-0000-0000-000093050000}"/>
    <cellStyle name="Salida 4" xfId="1427" xr:uid="{00000000-0005-0000-0000-000094050000}"/>
    <cellStyle name="Salida 5" xfId="1428" xr:uid="{00000000-0005-0000-0000-000095050000}"/>
    <cellStyle name="Separador de milhares_DEC FEC CONJUNTOS" xfId="1429" xr:uid="{00000000-0005-0000-0000-000096050000}"/>
    <cellStyle name="Style 21" xfId="1430" xr:uid="{00000000-0005-0000-0000-000097050000}"/>
    <cellStyle name="Style 21 2" xfId="1431" xr:uid="{00000000-0005-0000-0000-000098050000}"/>
    <cellStyle name="Style 22" xfId="1432" xr:uid="{00000000-0005-0000-0000-000099050000}"/>
    <cellStyle name="Style 22 2" xfId="1433" xr:uid="{00000000-0005-0000-0000-00009A050000}"/>
    <cellStyle name="Style 23" xfId="1434" xr:uid="{00000000-0005-0000-0000-00009B050000}"/>
    <cellStyle name="Style 23 2" xfId="1435" xr:uid="{00000000-0005-0000-0000-00009C050000}"/>
    <cellStyle name="Style 24" xfId="1436" xr:uid="{00000000-0005-0000-0000-00009D050000}"/>
    <cellStyle name="Style 24 2" xfId="1437" xr:uid="{00000000-0005-0000-0000-00009E050000}"/>
    <cellStyle name="Style 25" xfId="1438" xr:uid="{00000000-0005-0000-0000-00009F050000}"/>
    <cellStyle name="Style 25 2" xfId="1439" xr:uid="{00000000-0005-0000-0000-0000A0050000}"/>
    <cellStyle name="Style 26" xfId="1440" xr:uid="{00000000-0005-0000-0000-0000A1050000}"/>
    <cellStyle name="Style 26 2" xfId="1441" xr:uid="{00000000-0005-0000-0000-0000A2050000}"/>
    <cellStyle name="Style 27" xfId="1442" xr:uid="{00000000-0005-0000-0000-0000A3050000}"/>
    <cellStyle name="Style 27 2" xfId="1443" xr:uid="{00000000-0005-0000-0000-0000A4050000}"/>
    <cellStyle name="Style 28" xfId="1444" xr:uid="{00000000-0005-0000-0000-0000A5050000}"/>
    <cellStyle name="Style 28 2" xfId="1445" xr:uid="{00000000-0005-0000-0000-0000A6050000}"/>
    <cellStyle name="Style 29" xfId="1446" xr:uid="{00000000-0005-0000-0000-0000A7050000}"/>
    <cellStyle name="Style 29 2" xfId="1447" xr:uid="{00000000-0005-0000-0000-0000A8050000}"/>
    <cellStyle name="Style 30" xfId="1448" xr:uid="{00000000-0005-0000-0000-0000A9050000}"/>
    <cellStyle name="Style 30 2" xfId="1449" xr:uid="{00000000-0005-0000-0000-0000AA050000}"/>
    <cellStyle name="Style 30 3" xfId="3884" xr:uid="{52485938-E764-432D-A482-77A4D50494CC}"/>
    <cellStyle name="Style 31" xfId="1450" xr:uid="{00000000-0005-0000-0000-0000AB050000}"/>
    <cellStyle name="Style 32" xfId="1451" xr:uid="{00000000-0005-0000-0000-0000AC050000}"/>
    <cellStyle name="Style 33" xfId="1452" xr:uid="{00000000-0005-0000-0000-0000AD050000}"/>
    <cellStyle name="Style 33 2" xfId="1453" xr:uid="{00000000-0005-0000-0000-0000AE050000}"/>
    <cellStyle name="Style 34" xfId="1454" xr:uid="{00000000-0005-0000-0000-0000AF050000}"/>
    <cellStyle name="Style 34 2" xfId="1455" xr:uid="{00000000-0005-0000-0000-0000B0050000}"/>
    <cellStyle name="Style 35" xfId="1456" xr:uid="{00000000-0005-0000-0000-0000B1050000}"/>
    <cellStyle name="Style 35 2" xfId="1457" xr:uid="{00000000-0005-0000-0000-0000B2050000}"/>
    <cellStyle name="Style 36" xfId="1458" xr:uid="{00000000-0005-0000-0000-0000B3050000}"/>
    <cellStyle name="Style 36 2" xfId="1459" xr:uid="{00000000-0005-0000-0000-0000B4050000}"/>
    <cellStyle name="Texto de advertencia 2" xfId="1460" xr:uid="{00000000-0005-0000-0000-0000B5050000}"/>
    <cellStyle name="Texto de advertencia 3" xfId="1461" xr:uid="{00000000-0005-0000-0000-0000B6050000}"/>
    <cellStyle name="Texto de advertencia 4" xfId="1462" xr:uid="{00000000-0005-0000-0000-0000B7050000}"/>
    <cellStyle name="Texto explicativo 2" xfId="1463" xr:uid="{00000000-0005-0000-0000-0000B8050000}"/>
    <cellStyle name="Texto explicativo 3" xfId="1464" xr:uid="{00000000-0005-0000-0000-0000B9050000}"/>
    <cellStyle name="Texto explicativo 4" xfId="1465" xr:uid="{00000000-0005-0000-0000-0000BA050000}"/>
    <cellStyle name="Texto explicativo 4 2" xfId="1466" xr:uid="{00000000-0005-0000-0000-0000BB050000}"/>
    <cellStyle name="Título 1 2" xfId="1467" xr:uid="{00000000-0005-0000-0000-0000BC050000}"/>
    <cellStyle name="Título 1 3" xfId="1468" xr:uid="{00000000-0005-0000-0000-0000BD050000}"/>
    <cellStyle name="Título 1 4" xfId="1469" xr:uid="{00000000-0005-0000-0000-0000BE050000}"/>
    <cellStyle name="Título 2 2" xfId="1470" xr:uid="{00000000-0005-0000-0000-0000BF050000}"/>
    <cellStyle name="Título 2 3" xfId="1471" xr:uid="{00000000-0005-0000-0000-0000C0050000}"/>
    <cellStyle name="Título 2 4" xfId="1472" xr:uid="{00000000-0005-0000-0000-0000C1050000}"/>
    <cellStyle name="Título 2 5" xfId="1473" xr:uid="{00000000-0005-0000-0000-0000C2050000}"/>
    <cellStyle name="Título 2 5 2" xfId="1474" xr:uid="{00000000-0005-0000-0000-0000C3050000}"/>
    <cellStyle name="Título 3 2" xfId="1475" xr:uid="{00000000-0005-0000-0000-0000C4050000}"/>
    <cellStyle name="Título 3 3" xfId="1476" xr:uid="{00000000-0005-0000-0000-0000C5050000}"/>
    <cellStyle name="Título 3 4" xfId="1477" xr:uid="{00000000-0005-0000-0000-0000C6050000}"/>
    <cellStyle name="Título 3 5" xfId="1478" xr:uid="{00000000-0005-0000-0000-0000C7050000}"/>
    <cellStyle name="Título 3 5 2" xfId="1479" xr:uid="{00000000-0005-0000-0000-0000C8050000}"/>
    <cellStyle name="Título 4" xfId="1480" xr:uid="{00000000-0005-0000-0000-0000C9050000}"/>
    <cellStyle name="Título 5" xfId="1481" xr:uid="{00000000-0005-0000-0000-0000CA050000}"/>
    <cellStyle name="Título 6" xfId="1482" xr:uid="{00000000-0005-0000-0000-0000CB050000}"/>
    <cellStyle name="Título 7" xfId="1483" xr:uid="{00000000-0005-0000-0000-0000CC050000}"/>
    <cellStyle name="Título 7 2" xfId="1484" xr:uid="{00000000-0005-0000-0000-0000CD050000}"/>
    <cellStyle name="Título 7 3" xfId="2234" xr:uid="{5A0B85D1-ED4F-478C-A03C-01D908CA7761}"/>
    <cellStyle name="Titulo1" xfId="1485" xr:uid="{00000000-0005-0000-0000-0000CE050000}"/>
    <cellStyle name="Titulo1 10" xfId="1486" xr:uid="{00000000-0005-0000-0000-0000CF050000}"/>
    <cellStyle name="Titulo1 11" xfId="1487" xr:uid="{00000000-0005-0000-0000-0000D0050000}"/>
    <cellStyle name="Titulo1 12" xfId="1488" xr:uid="{00000000-0005-0000-0000-0000D1050000}"/>
    <cellStyle name="Titulo1 13" xfId="1489" xr:uid="{00000000-0005-0000-0000-0000D2050000}"/>
    <cellStyle name="Titulo1 14" xfId="1490" xr:uid="{00000000-0005-0000-0000-0000D3050000}"/>
    <cellStyle name="Titulo1 2" xfId="1491" xr:uid="{00000000-0005-0000-0000-0000D4050000}"/>
    <cellStyle name="Titulo1 3" xfId="1492" xr:uid="{00000000-0005-0000-0000-0000D5050000}"/>
    <cellStyle name="Titulo1 4" xfId="1493" xr:uid="{00000000-0005-0000-0000-0000D6050000}"/>
    <cellStyle name="Titulo1 5" xfId="1494" xr:uid="{00000000-0005-0000-0000-0000D7050000}"/>
    <cellStyle name="Titulo1 6" xfId="1495" xr:uid="{00000000-0005-0000-0000-0000D8050000}"/>
    <cellStyle name="Titulo1 7" xfId="1496" xr:uid="{00000000-0005-0000-0000-0000D9050000}"/>
    <cellStyle name="Titulo1 8" xfId="1497" xr:uid="{00000000-0005-0000-0000-0000DA050000}"/>
    <cellStyle name="Titulo1 9" xfId="1498" xr:uid="{00000000-0005-0000-0000-0000DB050000}"/>
    <cellStyle name="Titulo2" xfId="1499" xr:uid="{00000000-0005-0000-0000-0000DC050000}"/>
    <cellStyle name="Titulo2 10" xfId="1500" xr:uid="{00000000-0005-0000-0000-0000DD050000}"/>
    <cellStyle name="Titulo2 11" xfId="1501" xr:uid="{00000000-0005-0000-0000-0000DE050000}"/>
    <cellStyle name="Titulo2 12" xfId="1502" xr:uid="{00000000-0005-0000-0000-0000DF050000}"/>
    <cellStyle name="Titulo2 13" xfId="1503" xr:uid="{00000000-0005-0000-0000-0000E0050000}"/>
    <cellStyle name="Titulo2 14" xfId="1504" xr:uid="{00000000-0005-0000-0000-0000E1050000}"/>
    <cellStyle name="Titulo2 2" xfId="1505" xr:uid="{00000000-0005-0000-0000-0000E2050000}"/>
    <cellStyle name="Titulo2 3" xfId="1506" xr:uid="{00000000-0005-0000-0000-0000E3050000}"/>
    <cellStyle name="Titulo2 4" xfId="1507" xr:uid="{00000000-0005-0000-0000-0000E4050000}"/>
    <cellStyle name="Titulo2 5" xfId="1508" xr:uid="{00000000-0005-0000-0000-0000E5050000}"/>
    <cellStyle name="Titulo2 6" xfId="1509" xr:uid="{00000000-0005-0000-0000-0000E6050000}"/>
    <cellStyle name="Titulo2 7" xfId="1510" xr:uid="{00000000-0005-0000-0000-0000E7050000}"/>
    <cellStyle name="Titulo2 8" xfId="1511" xr:uid="{00000000-0005-0000-0000-0000E8050000}"/>
    <cellStyle name="Titulo2 9" xfId="1512" xr:uid="{00000000-0005-0000-0000-0000E9050000}"/>
    <cellStyle name="Total 10" xfId="1513" xr:uid="{00000000-0005-0000-0000-0000EA050000}"/>
    <cellStyle name="Total 10 2" xfId="1514" xr:uid="{00000000-0005-0000-0000-0000EB050000}"/>
    <cellStyle name="Total 11" xfId="1515" xr:uid="{00000000-0005-0000-0000-0000EC050000}"/>
    <cellStyle name="Total 11 2" xfId="1516" xr:uid="{00000000-0005-0000-0000-0000ED050000}"/>
    <cellStyle name="Total 12" xfId="1517" xr:uid="{00000000-0005-0000-0000-0000EE050000}"/>
    <cellStyle name="Total 12 2" xfId="1518" xr:uid="{00000000-0005-0000-0000-0000EF050000}"/>
    <cellStyle name="Total 13" xfId="1519" xr:uid="{00000000-0005-0000-0000-0000F0050000}"/>
    <cellStyle name="Total 13 2" xfId="1520" xr:uid="{00000000-0005-0000-0000-0000F1050000}"/>
    <cellStyle name="Total 14" xfId="1521" xr:uid="{00000000-0005-0000-0000-0000F2050000}"/>
    <cellStyle name="Total 14 2" xfId="1522" xr:uid="{00000000-0005-0000-0000-0000F3050000}"/>
    <cellStyle name="Total 15" xfId="1523" xr:uid="{00000000-0005-0000-0000-0000F4050000}"/>
    <cellStyle name="Total 15 2" xfId="1524" xr:uid="{00000000-0005-0000-0000-0000F5050000}"/>
    <cellStyle name="Total 16" xfId="1525" xr:uid="{00000000-0005-0000-0000-0000F6050000}"/>
    <cellStyle name="Total 16 2" xfId="1526" xr:uid="{00000000-0005-0000-0000-0000F7050000}"/>
    <cellStyle name="Total 17" xfId="1527" xr:uid="{00000000-0005-0000-0000-0000F8050000}"/>
    <cellStyle name="Total 17 2" xfId="1528" xr:uid="{00000000-0005-0000-0000-0000F9050000}"/>
    <cellStyle name="Total 18" xfId="1529" xr:uid="{00000000-0005-0000-0000-0000FA050000}"/>
    <cellStyle name="Total 18 2" xfId="1530" xr:uid="{00000000-0005-0000-0000-0000FB050000}"/>
    <cellStyle name="Total 19" xfId="1531" xr:uid="{00000000-0005-0000-0000-0000FC050000}"/>
    <cellStyle name="Total 19 2" xfId="1532" xr:uid="{00000000-0005-0000-0000-0000FD050000}"/>
    <cellStyle name="Total 2" xfId="1533" xr:uid="{00000000-0005-0000-0000-0000FE050000}"/>
    <cellStyle name="Total 2 2" xfId="1534" xr:uid="{00000000-0005-0000-0000-0000FF050000}"/>
    <cellStyle name="Total 20" xfId="1535" xr:uid="{00000000-0005-0000-0000-000000060000}"/>
    <cellStyle name="Total 20 2" xfId="1536" xr:uid="{00000000-0005-0000-0000-000001060000}"/>
    <cellStyle name="Total 21" xfId="1537" xr:uid="{00000000-0005-0000-0000-000002060000}"/>
    <cellStyle name="Total 22" xfId="1538" xr:uid="{00000000-0005-0000-0000-000003060000}"/>
    <cellStyle name="Total 3" xfId="1539" xr:uid="{00000000-0005-0000-0000-000004060000}"/>
    <cellStyle name="Total 3 2" xfId="1540" xr:uid="{00000000-0005-0000-0000-000005060000}"/>
    <cellStyle name="Total 4" xfId="1541" xr:uid="{00000000-0005-0000-0000-000006060000}"/>
    <cellStyle name="Total 4 2" xfId="1542" xr:uid="{00000000-0005-0000-0000-000007060000}"/>
    <cellStyle name="Total 5" xfId="1543" xr:uid="{00000000-0005-0000-0000-000008060000}"/>
    <cellStyle name="Total 5 2" xfId="1544" xr:uid="{00000000-0005-0000-0000-000009060000}"/>
    <cellStyle name="Total 6" xfId="1545" xr:uid="{00000000-0005-0000-0000-00000A060000}"/>
    <cellStyle name="Total 6 2" xfId="1546" xr:uid="{00000000-0005-0000-0000-00000B060000}"/>
    <cellStyle name="Total 7" xfId="1547" xr:uid="{00000000-0005-0000-0000-00000C060000}"/>
    <cellStyle name="Total 7 2" xfId="1548" xr:uid="{00000000-0005-0000-0000-00000D060000}"/>
    <cellStyle name="Total 8" xfId="1549" xr:uid="{00000000-0005-0000-0000-00000E060000}"/>
    <cellStyle name="Total 8 2" xfId="1550" xr:uid="{00000000-0005-0000-0000-00000F060000}"/>
    <cellStyle name="Total 9" xfId="1551" xr:uid="{00000000-0005-0000-0000-000010060000}"/>
    <cellStyle name="Total 9 2" xfId="1552" xr:uid="{00000000-0005-0000-0000-000011060000}"/>
    <cellStyle name="Währung" xfId="1553" xr:uid="{00000000-0005-0000-0000-000012060000}"/>
    <cellStyle name="Währung 2" xfId="1554" xr:uid="{00000000-0005-0000-0000-000013060000}"/>
  </cellStyles>
  <dxfs count="26">
    <dxf>
      <font>
        <strike val="0"/>
        <color rgb="FF0000FF"/>
      </font>
    </dxf>
    <dxf>
      <font>
        <strike val="0"/>
        <color rgb="FF0000FF"/>
      </font>
    </dxf>
    <dxf>
      <font>
        <strike val="0"/>
        <color rgb="FF0000FF"/>
      </font>
    </dxf>
    <dxf>
      <font>
        <strike val="0"/>
        <color rgb="FF0000FF"/>
      </font>
    </dxf>
    <dxf>
      <font>
        <strike val="0"/>
        <color rgb="FF0000FF"/>
      </font>
    </dxf>
    <dxf>
      <font>
        <strike val="0"/>
        <color rgb="FF0000FF"/>
      </font>
    </dxf>
    <dxf>
      <font>
        <strike val="0"/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strike val="0"/>
        <color rgb="FF0000FF"/>
      </font>
    </dxf>
    <dxf>
      <font>
        <strike val="0"/>
        <color rgb="FF0000FF"/>
      </font>
    </dxf>
    <dxf>
      <font>
        <color rgb="FF0000FF"/>
      </font>
    </dxf>
    <dxf>
      <font>
        <strike val="0"/>
        <color rgb="FF0000FF"/>
      </font>
    </dxf>
    <dxf>
      <font>
        <strike val="0"/>
        <color rgb="FF0000FF"/>
      </font>
    </dxf>
    <dxf>
      <font>
        <strike val="0"/>
        <color rgb="FF0000FF"/>
      </font>
    </dxf>
    <dxf>
      <font>
        <strike val="0"/>
        <color rgb="FF0000FF"/>
      </font>
    </dxf>
    <dxf>
      <font>
        <strike val="0"/>
        <color rgb="FF0000FF"/>
      </font>
    </dxf>
    <dxf>
      <font>
        <strike val="0"/>
        <color rgb="FF0000FF"/>
      </font>
    </dxf>
    <dxf>
      <font>
        <strike val="0"/>
        <color rgb="FF0000FF"/>
      </font>
    </dxf>
    <dxf>
      <font>
        <strike val="0"/>
        <color rgb="FF0000FF"/>
      </font>
    </dxf>
    <dxf>
      <font>
        <strike val="0"/>
        <color rgb="FF0000FF"/>
      </font>
    </dxf>
    <dxf>
      <font>
        <strike val="0"/>
        <color rgb="FF0000FF"/>
      </font>
    </dxf>
    <dxf>
      <font>
        <strike val="0"/>
        <color rgb="FF0000FF"/>
      </font>
    </dxf>
    <dxf>
      <font>
        <color rgb="FF0000FF"/>
      </font>
    </dxf>
    <dxf>
      <font>
        <strike val="0"/>
        <color rgb="FF0000FF"/>
      </font>
    </dxf>
  </dxfs>
  <tableStyles count="0" defaultTableStyle="TableStyleMedium9" defaultPivotStyle="PivotStyleLight16"/>
  <colors>
    <mruColors>
      <color rgb="FF000099"/>
      <color rgb="FF0000FF"/>
      <color rgb="FFFFFF99"/>
      <color rgb="FFFFFFCC"/>
      <color rgb="FFF40CDE"/>
      <color rgb="FF74913B"/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heetMetadata" Target="metadata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105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Relationship Id="rId9" Type="http://schemas.openxmlformats.org/officeDocument/2006/relationships/image" Target="../media/image10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w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.wmf"/><Relationship Id="rId7" Type="http://schemas.openxmlformats.org/officeDocument/2006/relationships/image" Target="../media/image18.wmf"/><Relationship Id="rId2" Type="http://schemas.openxmlformats.org/officeDocument/2006/relationships/image" Target="../media/image13.wmf"/><Relationship Id="rId1" Type="http://schemas.openxmlformats.org/officeDocument/2006/relationships/image" Target="../media/image12.wmf"/><Relationship Id="rId6" Type="http://schemas.openxmlformats.org/officeDocument/2006/relationships/image" Target="../media/image17.wmf"/><Relationship Id="rId5" Type="http://schemas.openxmlformats.org/officeDocument/2006/relationships/image" Target="../media/image16.wmf"/><Relationship Id="rId4" Type="http://schemas.openxmlformats.org/officeDocument/2006/relationships/image" Target="../media/image15.w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1.wmf"/><Relationship Id="rId2" Type="http://schemas.openxmlformats.org/officeDocument/2006/relationships/image" Target="../media/image20.wmf"/><Relationship Id="rId1" Type="http://schemas.openxmlformats.org/officeDocument/2006/relationships/image" Target="../media/image19.wmf"/><Relationship Id="rId5" Type="http://schemas.openxmlformats.org/officeDocument/2006/relationships/image" Target="../media/image23.wmf"/><Relationship Id="rId4" Type="http://schemas.openxmlformats.org/officeDocument/2006/relationships/image" Target="../media/image22.w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1495425</xdr:colOff>
      <xdr:row>2</xdr:row>
      <xdr:rowOff>25213</xdr:rowOff>
    </xdr:from>
    <xdr:to>
      <xdr:col>1</xdr:col>
      <xdr:colOff>3848100</xdr:colOff>
      <xdr:row>3</xdr:row>
      <xdr:rowOff>177613</xdr:rowOff>
    </xdr:to>
    <xdr:pic>
      <xdr:nvPicPr>
        <xdr:cNvPr id="1609077" name="Picture 1">
          <a:extLst>
            <a:ext uri="{FF2B5EF4-FFF2-40B4-BE49-F238E27FC236}">
              <a16:creationId xmlns:a16="http://schemas.microsoft.com/office/drawing/2014/main" id="{00000000-0008-0000-0000-0000758D1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7072" y="428625"/>
          <a:ext cx="2352675" cy="354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36195</xdr:colOff>
      <xdr:row>14</xdr:row>
      <xdr:rowOff>0</xdr:rowOff>
    </xdr:from>
    <xdr:to>
      <xdr:col>2</xdr:col>
      <xdr:colOff>384763</xdr:colOff>
      <xdr:row>14</xdr:row>
      <xdr:rowOff>0</xdr:rowOff>
    </xdr:to>
    <xdr:sp macro="" textlink="">
      <xdr:nvSpPr>
        <xdr:cNvPr id="4097" name="Text Box 1">
          <a:extLst>
            <a:ext uri="{FF2B5EF4-FFF2-40B4-BE49-F238E27FC236}">
              <a16:creationId xmlns:a16="http://schemas.microsoft.com/office/drawing/2014/main" id="{00000000-0008-0000-0300-000001100000}"/>
            </a:ext>
          </a:extLst>
        </xdr:cNvPr>
        <xdr:cNvSpPr txBox="1">
          <a:spLocks noChangeArrowheads="1"/>
        </xdr:cNvSpPr>
      </xdr:nvSpPr>
      <xdr:spPr bwMode="auto">
        <a:xfrm>
          <a:off x="2924175" y="2638425"/>
          <a:ext cx="266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PA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=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</xdr:row>
          <xdr:rowOff>38100</xdr:rowOff>
        </xdr:from>
        <xdr:to>
          <xdr:col>2</xdr:col>
          <xdr:colOff>1771650</xdr:colOff>
          <xdr:row>7</xdr:row>
          <xdr:rowOff>57150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8</xdr:row>
          <xdr:rowOff>19050</xdr:rowOff>
        </xdr:from>
        <xdr:to>
          <xdr:col>2</xdr:col>
          <xdr:colOff>1781175</xdr:colOff>
          <xdr:row>10</xdr:row>
          <xdr:rowOff>57150</xdr:rowOff>
        </xdr:to>
        <xdr:sp macro="" textlink="">
          <xdr:nvSpPr>
            <xdr:cNvPr id="4101" name="Object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3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11</xdr:row>
          <xdr:rowOff>28575</xdr:rowOff>
        </xdr:from>
        <xdr:to>
          <xdr:col>2</xdr:col>
          <xdr:colOff>1800225</xdr:colOff>
          <xdr:row>15</xdr:row>
          <xdr:rowOff>66675</xdr:rowOff>
        </xdr:to>
        <xdr:sp macro="" textlink="">
          <xdr:nvSpPr>
            <xdr:cNvPr id="4102" name="Object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3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20</xdr:row>
          <xdr:rowOff>0</xdr:rowOff>
        </xdr:from>
        <xdr:to>
          <xdr:col>2</xdr:col>
          <xdr:colOff>1771650</xdr:colOff>
          <xdr:row>22</xdr:row>
          <xdr:rowOff>57150</xdr:rowOff>
        </xdr:to>
        <xdr:sp macro="" textlink="">
          <xdr:nvSpPr>
            <xdr:cNvPr id="4103" name="Object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3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32</xdr:row>
          <xdr:rowOff>38100</xdr:rowOff>
        </xdr:from>
        <xdr:to>
          <xdr:col>2</xdr:col>
          <xdr:colOff>2286000</xdr:colOff>
          <xdr:row>32</xdr:row>
          <xdr:rowOff>542925</xdr:rowOff>
        </xdr:to>
        <xdr:sp macro="" textlink="">
          <xdr:nvSpPr>
            <xdr:cNvPr id="4104" name="Object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3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33</xdr:row>
          <xdr:rowOff>38100</xdr:rowOff>
        </xdr:from>
        <xdr:to>
          <xdr:col>2</xdr:col>
          <xdr:colOff>2266950</xdr:colOff>
          <xdr:row>33</xdr:row>
          <xdr:rowOff>485775</xdr:rowOff>
        </xdr:to>
        <xdr:sp macro="" textlink="">
          <xdr:nvSpPr>
            <xdr:cNvPr id="4105" name="Object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3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34</xdr:row>
          <xdr:rowOff>19050</xdr:rowOff>
        </xdr:from>
        <xdr:to>
          <xdr:col>2</xdr:col>
          <xdr:colOff>2266950</xdr:colOff>
          <xdr:row>34</xdr:row>
          <xdr:rowOff>504825</xdr:rowOff>
        </xdr:to>
        <xdr:sp macro="" textlink="">
          <xdr:nvSpPr>
            <xdr:cNvPr id="4106" name="Object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17</xdr:row>
          <xdr:rowOff>28575</xdr:rowOff>
        </xdr:from>
        <xdr:to>
          <xdr:col>2</xdr:col>
          <xdr:colOff>1771650</xdr:colOff>
          <xdr:row>21</xdr:row>
          <xdr:rowOff>85725</xdr:rowOff>
        </xdr:to>
        <xdr:sp macro="" textlink="">
          <xdr:nvSpPr>
            <xdr:cNvPr id="4108" name="Object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3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14</xdr:row>
          <xdr:rowOff>28575</xdr:rowOff>
        </xdr:from>
        <xdr:to>
          <xdr:col>2</xdr:col>
          <xdr:colOff>1847850</xdr:colOff>
          <xdr:row>18</xdr:row>
          <xdr:rowOff>85725</xdr:rowOff>
        </xdr:to>
        <xdr:sp macro="" textlink="">
          <xdr:nvSpPr>
            <xdr:cNvPr id="4109" name="Object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3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4581525</xdr:colOff>
          <xdr:row>134</xdr:row>
          <xdr:rowOff>47625</xdr:rowOff>
        </xdr:from>
        <xdr:to>
          <xdr:col>2</xdr:col>
          <xdr:colOff>5886450</xdr:colOff>
          <xdr:row>134</xdr:row>
          <xdr:rowOff>47625</xdr:rowOff>
        </xdr:to>
        <xdr:sp macro="" textlink="">
          <xdr:nvSpPr>
            <xdr:cNvPr id="9264" name="Object 48" hidden="1">
              <a:extLst>
                <a:ext uri="{63B3BB69-23CF-44E3-9099-C40C66FF867C}">
                  <a14:compatExt spid="_x0000_s9264"/>
                </a:ext>
                <a:ext uri="{FF2B5EF4-FFF2-40B4-BE49-F238E27FC236}">
                  <a16:creationId xmlns:a16="http://schemas.microsoft.com/office/drawing/2014/main" id="{00000000-0008-0000-0400-00003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611500" name="Line 1">
          <a:extLst>
            <a:ext uri="{FF2B5EF4-FFF2-40B4-BE49-F238E27FC236}">
              <a16:creationId xmlns:a16="http://schemas.microsoft.com/office/drawing/2014/main" id="{00000000-0008-0000-0500-0000EC961800}"/>
            </a:ext>
          </a:extLst>
        </xdr:cNvPr>
        <xdr:cNvSpPr>
          <a:spLocks noChangeShapeType="1"/>
        </xdr:cNvSpPr>
      </xdr:nvSpPr>
      <xdr:spPr bwMode="auto">
        <a:xfrm flipV="1">
          <a:off x="447675" y="0"/>
          <a:ext cx="4838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52</xdr:row>
      <xdr:rowOff>0</xdr:rowOff>
    </xdr:from>
    <xdr:to>
      <xdr:col>4</xdr:col>
      <xdr:colOff>0</xdr:colOff>
      <xdr:row>52</xdr:row>
      <xdr:rowOff>0</xdr:rowOff>
    </xdr:to>
    <xdr:sp macro="" textlink="">
      <xdr:nvSpPr>
        <xdr:cNvPr id="1611501" name="Line 2">
          <a:extLst>
            <a:ext uri="{FF2B5EF4-FFF2-40B4-BE49-F238E27FC236}">
              <a16:creationId xmlns:a16="http://schemas.microsoft.com/office/drawing/2014/main" id="{00000000-0008-0000-0500-0000ED961800}"/>
            </a:ext>
          </a:extLst>
        </xdr:cNvPr>
        <xdr:cNvSpPr>
          <a:spLocks noChangeShapeType="1"/>
        </xdr:cNvSpPr>
      </xdr:nvSpPr>
      <xdr:spPr bwMode="auto">
        <a:xfrm>
          <a:off x="447675" y="18811875"/>
          <a:ext cx="4838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6</xdr:row>
          <xdr:rowOff>66675</xdr:rowOff>
        </xdr:from>
        <xdr:to>
          <xdr:col>2</xdr:col>
          <xdr:colOff>2809875</xdr:colOff>
          <xdr:row>8</xdr:row>
          <xdr:rowOff>238125</xdr:rowOff>
        </xdr:to>
        <xdr:sp macro="" textlink="">
          <xdr:nvSpPr>
            <xdr:cNvPr id="2069" name="Object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5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19050</xdr:colOff>
          <xdr:row>9</xdr:row>
          <xdr:rowOff>0</xdr:rowOff>
        </xdr:from>
        <xdr:to>
          <xdr:col>3</xdr:col>
          <xdr:colOff>771525</xdr:colOff>
          <xdr:row>10</xdr:row>
          <xdr:rowOff>190500</xdr:rowOff>
        </xdr:to>
        <xdr:sp macro="" textlink="">
          <xdr:nvSpPr>
            <xdr:cNvPr id="2070" name="Object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5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11</xdr:row>
          <xdr:rowOff>0</xdr:rowOff>
        </xdr:from>
        <xdr:to>
          <xdr:col>2</xdr:col>
          <xdr:colOff>2990850</xdr:colOff>
          <xdr:row>13</xdr:row>
          <xdr:rowOff>161925</xdr:rowOff>
        </xdr:to>
        <xdr:sp macro="" textlink="">
          <xdr:nvSpPr>
            <xdr:cNvPr id="2072" name="Object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5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14</xdr:row>
          <xdr:rowOff>0</xdr:rowOff>
        </xdr:from>
        <xdr:to>
          <xdr:col>2</xdr:col>
          <xdr:colOff>2819400</xdr:colOff>
          <xdr:row>15</xdr:row>
          <xdr:rowOff>104775</xdr:rowOff>
        </xdr:to>
        <xdr:sp macro="" textlink="">
          <xdr:nvSpPr>
            <xdr:cNvPr id="2074" name="Object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5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15</xdr:row>
          <xdr:rowOff>180975</xdr:rowOff>
        </xdr:from>
        <xdr:to>
          <xdr:col>4</xdr:col>
          <xdr:colOff>552450</xdr:colOff>
          <xdr:row>19</xdr:row>
          <xdr:rowOff>85725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5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17</xdr:row>
          <xdr:rowOff>57150</xdr:rowOff>
        </xdr:from>
        <xdr:to>
          <xdr:col>2</xdr:col>
          <xdr:colOff>2828925</xdr:colOff>
          <xdr:row>23</xdr:row>
          <xdr:rowOff>28575</xdr:rowOff>
        </xdr:to>
        <xdr:sp macro="" textlink="">
          <xdr:nvSpPr>
            <xdr:cNvPr id="2151" name="Object 103" hidden="1">
              <a:extLst>
                <a:ext uri="{63B3BB69-23CF-44E3-9099-C40C66FF867C}">
                  <a14:compatExt spid="_x0000_s2151"/>
                </a:ext>
                <a:ext uri="{FF2B5EF4-FFF2-40B4-BE49-F238E27FC236}">
                  <a16:creationId xmlns:a16="http://schemas.microsoft.com/office/drawing/2014/main" id="{00000000-0008-0000-0500-00006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1162050</xdr:colOff>
          <xdr:row>3</xdr:row>
          <xdr:rowOff>95250</xdr:rowOff>
        </xdr:from>
        <xdr:to>
          <xdr:col>3</xdr:col>
          <xdr:colOff>0</xdr:colOff>
          <xdr:row>6</xdr:row>
          <xdr:rowOff>66675</xdr:rowOff>
        </xdr:to>
        <xdr:sp macro="" textlink="">
          <xdr:nvSpPr>
            <xdr:cNvPr id="2275" name="Object 227" hidden="1">
              <a:extLst>
                <a:ext uri="{63B3BB69-23CF-44E3-9099-C40C66FF867C}">
                  <a14:compatExt spid="_x0000_s2275"/>
                </a:ext>
                <a:ext uri="{FF2B5EF4-FFF2-40B4-BE49-F238E27FC236}">
                  <a16:creationId xmlns:a16="http://schemas.microsoft.com/office/drawing/2014/main" id="{00000000-0008-0000-0500-0000E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1590675</xdr:colOff>
          <xdr:row>6</xdr:row>
          <xdr:rowOff>57150</xdr:rowOff>
        </xdr:from>
        <xdr:to>
          <xdr:col>3</xdr:col>
          <xdr:colOff>1104900</xdr:colOff>
          <xdr:row>7</xdr:row>
          <xdr:rowOff>142875</xdr:rowOff>
        </xdr:to>
        <xdr:sp macro="" textlink="">
          <xdr:nvSpPr>
            <xdr:cNvPr id="13335" name="Object 23" hidden="1">
              <a:extLst>
                <a:ext uri="{63B3BB69-23CF-44E3-9099-C40C66FF867C}">
                  <a14:compatExt spid="_x0000_s13335"/>
                </a:ext>
                <a:ext uri="{FF2B5EF4-FFF2-40B4-BE49-F238E27FC236}">
                  <a16:creationId xmlns:a16="http://schemas.microsoft.com/office/drawing/2014/main" id="{00000000-0008-0000-1B00-00001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9</xdr:row>
          <xdr:rowOff>0</xdr:rowOff>
        </xdr:from>
        <xdr:to>
          <xdr:col>4</xdr:col>
          <xdr:colOff>180975</xdr:colOff>
          <xdr:row>11</xdr:row>
          <xdr:rowOff>47625</xdr:rowOff>
        </xdr:to>
        <xdr:sp macro="" textlink="">
          <xdr:nvSpPr>
            <xdr:cNvPr id="13336" name="Object 24" hidden="1">
              <a:extLst>
                <a:ext uri="{63B3BB69-23CF-44E3-9099-C40C66FF867C}">
                  <a14:compatExt spid="_x0000_s13336"/>
                </a:ext>
                <a:ext uri="{FF2B5EF4-FFF2-40B4-BE49-F238E27FC236}">
                  <a16:creationId xmlns:a16="http://schemas.microsoft.com/office/drawing/2014/main" id="{00000000-0008-0000-1B00-00001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11</xdr:row>
          <xdr:rowOff>114300</xdr:rowOff>
        </xdr:from>
        <xdr:to>
          <xdr:col>3</xdr:col>
          <xdr:colOff>819150</xdr:colOff>
          <xdr:row>12</xdr:row>
          <xdr:rowOff>200025</xdr:rowOff>
        </xdr:to>
        <xdr:sp macro="" textlink="">
          <xdr:nvSpPr>
            <xdr:cNvPr id="13337" name="Object 25" hidden="1">
              <a:extLst>
                <a:ext uri="{63B3BB69-23CF-44E3-9099-C40C66FF867C}">
                  <a14:compatExt spid="_x0000_s13337"/>
                </a:ext>
                <a:ext uri="{FF2B5EF4-FFF2-40B4-BE49-F238E27FC236}">
                  <a16:creationId xmlns:a16="http://schemas.microsoft.com/office/drawing/2014/main" id="{00000000-0008-0000-1B00-00001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13</xdr:row>
          <xdr:rowOff>0</xdr:rowOff>
        </xdr:from>
        <xdr:to>
          <xdr:col>2</xdr:col>
          <xdr:colOff>2266950</xdr:colOff>
          <xdr:row>14</xdr:row>
          <xdr:rowOff>85725</xdr:rowOff>
        </xdr:to>
        <xdr:sp macro="" textlink="">
          <xdr:nvSpPr>
            <xdr:cNvPr id="13338" name="Object 26" hidden="1">
              <a:extLst>
                <a:ext uri="{63B3BB69-23CF-44E3-9099-C40C66FF867C}">
                  <a14:compatExt spid="_x0000_s13338"/>
                </a:ext>
                <a:ext uri="{FF2B5EF4-FFF2-40B4-BE49-F238E27FC236}">
                  <a16:creationId xmlns:a16="http://schemas.microsoft.com/office/drawing/2014/main" id="{00000000-0008-0000-1B00-00001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14</xdr:row>
          <xdr:rowOff>104775</xdr:rowOff>
        </xdr:from>
        <xdr:to>
          <xdr:col>2</xdr:col>
          <xdr:colOff>2181225</xdr:colOff>
          <xdr:row>16</xdr:row>
          <xdr:rowOff>180975</xdr:rowOff>
        </xdr:to>
        <xdr:sp macro="" textlink="">
          <xdr:nvSpPr>
            <xdr:cNvPr id="13339" name="Object 27" hidden="1">
              <a:extLst>
                <a:ext uri="{63B3BB69-23CF-44E3-9099-C40C66FF867C}">
                  <a14:compatExt spid="_x0000_s13339"/>
                </a:ext>
                <a:ext uri="{FF2B5EF4-FFF2-40B4-BE49-F238E27FC236}">
                  <a16:creationId xmlns:a16="http://schemas.microsoft.com/office/drawing/2014/main" id="{00000000-0008-0000-1B00-00001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280577" name="Object 1" hidden="1">
              <a:extLst>
                <a:ext uri="{63B3BB69-23CF-44E3-9099-C40C66FF867C}">
                  <a14:compatExt spid="_x0000_s280577"/>
                </a:ext>
                <a:ext uri="{FF2B5EF4-FFF2-40B4-BE49-F238E27FC236}">
                  <a16:creationId xmlns:a16="http://schemas.microsoft.com/office/drawing/2014/main" id="{00000000-0008-0000-4300-0000014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0.bin"/><Relationship Id="rId13" Type="http://schemas.openxmlformats.org/officeDocument/2006/relationships/image" Target="../media/image23.wmf"/><Relationship Id="rId3" Type="http://schemas.openxmlformats.org/officeDocument/2006/relationships/vmlDrawing" Target="../drawings/vmlDrawing4.vml"/><Relationship Id="rId7" Type="http://schemas.openxmlformats.org/officeDocument/2006/relationships/image" Target="../media/image20.wmf"/><Relationship Id="rId12" Type="http://schemas.openxmlformats.org/officeDocument/2006/relationships/oleObject" Target="../embeddings/oleObject22.bin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7.bin"/><Relationship Id="rId6" Type="http://schemas.openxmlformats.org/officeDocument/2006/relationships/oleObject" Target="../embeddings/oleObject19.bin"/><Relationship Id="rId11" Type="http://schemas.openxmlformats.org/officeDocument/2006/relationships/image" Target="../media/image22.wmf"/><Relationship Id="rId5" Type="http://schemas.openxmlformats.org/officeDocument/2006/relationships/image" Target="../media/image19.wmf"/><Relationship Id="rId10" Type="http://schemas.openxmlformats.org/officeDocument/2006/relationships/oleObject" Target="../embeddings/oleObject21.bin"/><Relationship Id="rId4" Type="http://schemas.openxmlformats.org/officeDocument/2006/relationships/oleObject" Target="../embeddings/oleObject18.bin"/><Relationship Id="rId9" Type="http://schemas.openxmlformats.org/officeDocument/2006/relationships/image" Target="../media/image21.wmf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10.emf"/><Relationship Id="rId7" Type="http://schemas.openxmlformats.org/officeDocument/2006/relationships/image" Target="../media/image3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8.emf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9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Relationship Id="rId14" Type="http://schemas.openxmlformats.org/officeDocument/2006/relationships/oleObject" Target="../embeddings/oleObject6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1.wmf"/><Relationship Id="rId4" Type="http://schemas.openxmlformats.org/officeDocument/2006/relationships/oleObject" Target="../embeddings/oleObject10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3.bin"/><Relationship Id="rId13" Type="http://schemas.openxmlformats.org/officeDocument/2006/relationships/image" Target="../media/image16.wmf"/><Relationship Id="rId3" Type="http://schemas.openxmlformats.org/officeDocument/2006/relationships/vmlDrawing" Target="../drawings/vmlDrawing3.vml"/><Relationship Id="rId7" Type="http://schemas.openxmlformats.org/officeDocument/2006/relationships/image" Target="../media/image13.wmf"/><Relationship Id="rId12" Type="http://schemas.openxmlformats.org/officeDocument/2006/relationships/oleObject" Target="../embeddings/oleObject15.bin"/><Relationship Id="rId17" Type="http://schemas.openxmlformats.org/officeDocument/2006/relationships/image" Target="../media/image18.wmf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17.bin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2.bin"/><Relationship Id="rId11" Type="http://schemas.openxmlformats.org/officeDocument/2006/relationships/image" Target="../media/image15.wmf"/><Relationship Id="rId5" Type="http://schemas.openxmlformats.org/officeDocument/2006/relationships/image" Target="../media/image12.wmf"/><Relationship Id="rId15" Type="http://schemas.openxmlformats.org/officeDocument/2006/relationships/image" Target="../media/image17.wmf"/><Relationship Id="rId10" Type="http://schemas.openxmlformats.org/officeDocument/2006/relationships/oleObject" Target="../embeddings/oleObject14.bin"/><Relationship Id="rId4" Type="http://schemas.openxmlformats.org/officeDocument/2006/relationships/oleObject" Target="../embeddings/oleObject11.bin"/><Relationship Id="rId9" Type="http://schemas.openxmlformats.org/officeDocument/2006/relationships/image" Target="../media/image14.wmf"/><Relationship Id="rId14" Type="http://schemas.openxmlformats.org/officeDocument/2006/relationships/oleObject" Target="../embeddings/oleObject1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6.bin"/><Relationship Id="rId5" Type="http://schemas.openxmlformats.org/officeDocument/2006/relationships/image" Target="../media/image24.wmf"/><Relationship Id="rId4" Type="http://schemas.openxmlformats.org/officeDocument/2006/relationships/oleObject" Target="../embeddings/oleObject2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7">
    <tabColor theme="5" tint="0.39997558519241921"/>
    <pageSetUpPr fitToPage="1"/>
  </sheetPr>
  <dimension ref="B5:B31"/>
  <sheetViews>
    <sheetView topLeftCell="A4" zoomScale="70" zoomScaleNormal="70" zoomScaleSheetLayoutView="100" workbookViewId="0">
      <selection activeCell="B29" sqref="B29"/>
    </sheetView>
  </sheetViews>
  <sheetFormatPr baseColWidth="10" defaultColWidth="11.25" defaultRowHeight="15.75"/>
  <cols>
    <col min="1" max="1" width="11.125" style="69" customWidth="1"/>
    <col min="2" max="2" width="71.125" style="69" customWidth="1"/>
    <col min="3" max="3" width="11.625" style="69" customWidth="1"/>
    <col min="4" max="16384" width="11.25" style="69"/>
  </cols>
  <sheetData>
    <row r="5" spans="2:2" ht="20.25" customHeight="1">
      <c r="B5" s="701" t="s">
        <v>383</v>
      </c>
    </row>
    <row r="6" spans="2:2" ht="18.75">
      <c r="B6" s="702"/>
    </row>
    <row r="7" spans="2:2" ht="18.75">
      <c r="B7" s="702"/>
    </row>
    <row r="8" spans="2:2" ht="18.75">
      <c r="B8" s="702"/>
    </row>
    <row r="9" spans="2:2" ht="18.75">
      <c r="B9" s="702"/>
    </row>
    <row r="10" spans="2:2" ht="18.75">
      <c r="B10" s="702"/>
    </row>
    <row r="11" spans="2:2" ht="18.75">
      <c r="B11" s="703" t="s">
        <v>1050</v>
      </c>
    </row>
    <row r="12" spans="2:2" ht="18.75">
      <c r="B12" s="703"/>
    </row>
    <row r="13" spans="2:2" ht="18.75">
      <c r="B13" s="703"/>
    </row>
    <row r="14" spans="2:2" ht="18.75">
      <c r="B14" s="703"/>
    </row>
    <row r="15" spans="2:2" ht="18.75">
      <c r="B15" s="703"/>
    </row>
    <row r="16" spans="2:2" ht="18.75">
      <c r="B16" s="703" t="s">
        <v>410</v>
      </c>
    </row>
    <row r="17" spans="2:2" ht="18.75">
      <c r="B17" s="704" t="s">
        <v>1823</v>
      </c>
    </row>
    <row r="18" spans="2:2" ht="18.75">
      <c r="B18" s="704"/>
    </row>
    <row r="19" spans="2:2" ht="18.75">
      <c r="B19" s="704"/>
    </row>
    <row r="20" spans="2:2" ht="18.75">
      <c r="B20" s="703"/>
    </row>
    <row r="21" spans="2:2" ht="18.75">
      <c r="B21" s="703"/>
    </row>
    <row r="22" spans="2:2" ht="18.75">
      <c r="B22" s="705" t="s">
        <v>1089</v>
      </c>
    </row>
    <row r="23" spans="2:2" ht="18.75">
      <c r="B23" s="706" t="s">
        <v>1824</v>
      </c>
    </row>
    <row r="24" spans="2:2" ht="18.75">
      <c r="B24" s="703"/>
    </row>
    <row r="25" spans="2:2" ht="18.75">
      <c r="B25" s="703"/>
    </row>
    <row r="26" spans="2:2" ht="18.75">
      <c r="B26" s="704"/>
    </row>
    <row r="27" spans="2:2" ht="18.75">
      <c r="B27" s="703"/>
    </row>
    <row r="28" spans="2:2" ht="18.75">
      <c r="B28" s="705" t="s">
        <v>1088</v>
      </c>
    </row>
    <row r="29" spans="2:2" ht="18.75">
      <c r="B29" s="706" t="s">
        <v>2194</v>
      </c>
    </row>
    <row r="30" spans="2:2" ht="18.75">
      <c r="B30" s="706"/>
    </row>
    <row r="31" spans="2:2">
      <c r="B31" s="792"/>
    </row>
  </sheetData>
  <printOptions horizontalCentered="1" verticalCentered="1"/>
  <pageMargins left="0.59055118110236227" right="0.39370078740157483" top="0.39370078740157483" bottom="0.39370078740157483" header="0.59055118110236227" footer="0.47244094488188981"/>
  <pageSetup scale="9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">
    <tabColor theme="4" tint="0.39997558519241921"/>
  </sheetPr>
  <dimension ref="B1:J33"/>
  <sheetViews>
    <sheetView view="pageBreakPreview" zoomScale="85" zoomScaleNormal="100" zoomScaleSheetLayoutView="85" workbookViewId="0">
      <selection activeCell="K13" sqref="K13"/>
    </sheetView>
  </sheetViews>
  <sheetFormatPr baseColWidth="10" defaultColWidth="10" defaultRowHeight="15"/>
  <cols>
    <col min="1" max="1" width="3" style="730" customWidth="1"/>
    <col min="2" max="2" width="2.875" style="730" customWidth="1"/>
    <col min="3" max="3" width="4.5" style="730" customWidth="1"/>
    <col min="4" max="4" width="51.875" style="941" customWidth="1"/>
    <col min="5" max="6" width="15.875" style="730" customWidth="1"/>
    <col min="7" max="7" width="5.5" style="730" customWidth="1"/>
    <col min="8" max="8" width="4.875" style="730" customWidth="1"/>
    <col min="9" max="9" width="6.375" style="915" bestFit="1" customWidth="1"/>
    <col min="10" max="10" width="5" style="915" bestFit="1" customWidth="1"/>
    <col min="11" max="16384" width="10" style="730"/>
  </cols>
  <sheetData>
    <row r="1" spans="2:7">
      <c r="D1" s="136" t="s">
        <v>311</v>
      </c>
      <c r="E1" s="732"/>
    </row>
    <row r="2" spans="2:7">
      <c r="D2" s="168" t="s">
        <v>326</v>
      </c>
    </row>
    <row r="3" spans="2:7" s="73" customFormat="1" ht="19.5" customHeight="1">
      <c r="E3" s="136"/>
    </row>
    <row r="4" spans="2:7" ht="15.75">
      <c r="B4" s="916"/>
      <c r="C4" s="916"/>
      <c r="D4" s="917" t="s">
        <v>227</v>
      </c>
      <c r="E4" s="918" t="s">
        <v>218</v>
      </c>
      <c r="F4" s="918" t="s">
        <v>219</v>
      </c>
    </row>
    <row r="5" spans="2:7" ht="32.25" customHeight="1">
      <c r="B5" s="186">
        <v>1</v>
      </c>
      <c r="C5" s="186"/>
      <c r="D5" s="919" t="s">
        <v>847</v>
      </c>
      <c r="E5" s="920">
        <f>SUM(E6:E10)</f>
        <v>0</v>
      </c>
      <c r="F5" s="920">
        <f>SUM(F6:F10)</f>
        <v>0</v>
      </c>
    </row>
    <row r="6" spans="2:7" ht="45">
      <c r="B6" s="183"/>
      <c r="C6" s="921">
        <v>1.1000000000000001</v>
      </c>
      <c r="D6" s="187" t="s">
        <v>510</v>
      </c>
      <c r="E6" s="922">
        <f>'G502'!$M$365</f>
        <v>0</v>
      </c>
      <c r="F6" s="922">
        <f>'G522'!$N$442</f>
        <v>0</v>
      </c>
    </row>
    <row r="7" spans="2:7" ht="30">
      <c r="B7" s="183"/>
      <c r="C7" s="921">
        <v>1.2</v>
      </c>
      <c r="D7" s="187" t="s">
        <v>511</v>
      </c>
      <c r="E7" s="922">
        <f>'G502'!$M$366</f>
        <v>0</v>
      </c>
      <c r="F7" s="922">
        <f>'G522'!$N$443</f>
        <v>0</v>
      </c>
    </row>
    <row r="8" spans="2:7" ht="45">
      <c r="B8" s="183"/>
      <c r="C8" s="921">
        <v>1.3</v>
      </c>
      <c r="D8" s="187" t="s">
        <v>512</v>
      </c>
      <c r="E8" s="922">
        <f>'G502'!$M$367</f>
        <v>0</v>
      </c>
      <c r="F8" s="922">
        <f>'G522'!$N$444</f>
        <v>0</v>
      </c>
    </row>
    <row r="9" spans="2:7" ht="60">
      <c r="B9" s="183"/>
      <c r="C9" s="921">
        <v>1.4</v>
      </c>
      <c r="D9" s="187" t="s">
        <v>513</v>
      </c>
      <c r="E9" s="922">
        <f>'G502'!$M$368</f>
        <v>0</v>
      </c>
      <c r="F9" s="922">
        <f>'G522'!$N$445</f>
        <v>0</v>
      </c>
    </row>
    <row r="10" spans="2:7" ht="15.75">
      <c r="B10" s="183"/>
      <c r="C10" s="921">
        <v>1.5</v>
      </c>
      <c r="D10" s="187" t="s">
        <v>696</v>
      </c>
      <c r="E10" s="922">
        <f>'G502'!$M$369</f>
        <v>0</v>
      </c>
      <c r="F10" s="922">
        <f>'G522'!$N$446</f>
        <v>0</v>
      </c>
    </row>
    <row r="11" spans="2:7">
      <c r="D11" s="923"/>
      <c r="E11" s="729"/>
    </row>
    <row r="12" spans="2:7" ht="15.75">
      <c r="C12" s="924"/>
      <c r="D12" s="925" t="s">
        <v>153</v>
      </c>
      <c r="E12" s="926"/>
      <c r="F12" s="927" t="s">
        <v>158</v>
      </c>
    </row>
    <row r="13" spans="2:7" s="742" customFormat="1" ht="34.700000000000003" customHeight="1">
      <c r="C13" s="739">
        <v>2</v>
      </c>
      <c r="D13" s="740" t="s">
        <v>1542</v>
      </c>
      <c r="E13" s="928"/>
      <c r="F13" s="929">
        <f>E5</f>
        <v>0</v>
      </c>
    </row>
    <row r="14" spans="2:7" s="742" customFormat="1" ht="73.5">
      <c r="C14" s="743">
        <v>3</v>
      </c>
      <c r="D14" s="740" t="s">
        <v>1543</v>
      </c>
      <c r="E14" s="930"/>
      <c r="F14" s="904">
        <f>G503Ex!J120</f>
        <v>0</v>
      </c>
    </row>
    <row r="15" spans="2:7" s="742" customFormat="1" ht="30">
      <c r="C15" s="743">
        <v>4</v>
      </c>
      <c r="D15" s="740" t="s">
        <v>1544</v>
      </c>
      <c r="E15" s="931"/>
      <c r="F15" s="904">
        <f>F5</f>
        <v>0</v>
      </c>
      <c r="G15" s="69"/>
    </row>
    <row r="16" spans="2:7" s="742" customFormat="1" ht="43.5">
      <c r="C16" s="743">
        <v>5</v>
      </c>
      <c r="D16" s="740" t="s">
        <v>1545</v>
      </c>
      <c r="E16" s="930"/>
      <c r="F16" s="904">
        <f>G506Ex!J120</f>
        <v>0</v>
      </c>
      <c r="G16" s="69"/>
    </row>
    <row r="17" spans="3:7" s="742" customFormat="1" ht="47.25">
      <c r="C17" s="743">
        <v>6</v>
      </c>
      <c r="D17" s="740" t="s">
        <v>1546</v>
      </c>
      <c r="E17" s="932"/>
      <c r="F17" s="904">
        <f>G507Ex!J120</f>
        <v>0</v>
      </c>
    </row>
    <row r="18" spans="3:7" s="742" customFormat="1" ht="47.25">
      <c r="C18" s="743">
        <v>7</v>
      </c>
      <c r="D18" s="740" t="s">
        <v>1547</v>
      </c>
      <c r="E18" s="932"/>
      <c r="F18" s="904">
        <f>G508Ex!J120</f>
        <v>0</v>
      </c>
    </row>
    <row r="19" spans="3:7" s="742" customFormat="1" ht="60">
      <c r="C19" s="743">
        <v>8</v>
      </c>
      <c r="D19" s="740" t="s">
        <v>1548</v>
      </c>
      <c r="E19" s="933"/>
      <c r="F19" s="904">
        <f>IF(F18&gt;0,F17-F18,F17-F18)</f>
        <v>0</v>
      </c>
    </row>
    <row r="20" spans="3:7" s="742" customFormat="1" ht="105">
      <c r="C20" s="743">
        <v>9</v>
      </c>
      <c r="D20" s="740" t="s">
        <v>1549</v>
      </c>
      <c r="E20" s="934"/>
      <c r="F20" s="904">
        <f>F15-F16+F19+F29</f>
        <v>0</v>
      </c>
      <c r="G20" s="69"/>
    </row>
    <row r="21" spans="3:7" s="742" customFormat="1" ht="20.25" customHeight="1">
      <c r="C21" s="743">
        <v>10</v>
      </c>
      <c r="D21" s="770" t="s">
        <v>1502</v>
      </c>
      <c r="E21" s="935" t="s">
        <v>228</v>
      </c>
      <c r="F21" s="936">
        <f>('TI700'!C18/100)</f>
        <v>7.4700000000000003E-2</v>
      </c>
    </row>
    <row r="22" spans="3:7" s="742" customFormat="1" ht="21.75" customHeight="1">
      <c r="C22" s="743">
        <v>11</v>
      </c>
      <c r="D22" s="770" t="s">
        <v>1550</v>
      </c>
      <c r="E22" s="935" t="s">
        <v>133</v>
      </c>
      <c r="F22" s="937">
        <f>1+F21</f>
        <v>1.0747</v>
      </c>
    </row>
    <row r="23" spans="3:7" s="742" customFormat="1" ht="36" customHeight="1">
      <c r="C23" s="743">
        <v>12</v>
      </c>
      <c r="D23" s="750" t="s">
        <v>1551</v>
      </c>
      <c r="E23" s="930"/>
      <c r="F23" s="904">
        <f>(F20*F22)</f>
        <v>0</v>
      </c>
    </row>
    <row r="24" spans="3:7" s="742" customFormat="1" ht="35.25" hidden="1" customHeight="1">
      <c r="C24" s="743">
        <v>13</v>
      </c>
      <c r="D24" s="938" t="s">
        <v>1552</v>
      </c>
      <c r="E24" s="69"/>
      <c r="F24" s="939" t="e">
        <f>F13/F14</f>
        <v>#DIV/0!</v>
      </c>
    </row>
    <row r="25" spans="3:7" s="742" customFormat="1" ht="36" hidden="1" customHeight="1">
      <c r="C25" s="746">
        <v>14</v>
      </c>
      <c r="D25" s="772" t="s">
        <v>1553</v>
      </c>
      <c r="E25" s="940"/>
      <c r="F25" s="939" t="e">
        <f>F23/F14</f>
        <v>#DIV/0!</v>
      </c>
    </row>
    <row r="26" spans="3:7" s="742" customFormat="1" ht="36" customHeight="1">
      <c r="C26" s="743"/>
      <c r="D26" s="750" t="s">
        <v>1282</v>
      </c>
      <c r="E26" s="930"/>
      <c r="F26" s="904">
        <f>F801ENE!J107</f>
        <v>1668781457.8740001</v>
      </c>
    </row>
    <row r="27" spans="3:7" s="742" customFormat="1" ht="36" customHeight="1">
      <c r="C27" s="743"/>
      <c r="D27" s="750" t="s">
        <v>1283</v>
      </c>
      <c r="E27" s="930"/>
      <c r="F27" s="937">
        <f>ROUND(F34,5)</f>
        <v>0</v>
      </c>
    </row>
    <row r="29" spans="3:7">
      <c r="F29" s="781"/>
    </row>
    <row r="30" spans="3:7">
      <c r="F30" s="1195"/>
    </row>
    <row r="31" spans="3:7">
      <c r="F31" s="781"/>
    </row>
    <row r="32" spans="3:7">
      <c r="F32" s="781"/>
    </row>
    <row r="33" spans="6:6">
      <c r="F33" s="781"/>
    </row>
  </sheetData>
  <pageMargins left="0.7" right="0.7" top="0.75" bottom="0.75" header="0.3" footer="0.3"/>
  <pageSetup scale="5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18C5D-DF5B-4068-BBE6-36E443DB3858}">
  <sheetPr>
    <tabColor rgb="FFFFC000"/>
  </sheetPr>
  <dimension ref="A1:C636"/>
  <sheetViews>
    <sheetView zoomScale="85" zoomScaleNormal="85" workbookViewId="0">
      <pane ySplit="3" topLeftCell="A4" activePane="bottomLeft" state="frozen"/>
      <selection activeCell="B531" sqref="B531"/>
      <selection pane="bottomLeft" activeCell="F22" sqref="F22"/>
    </sheetView>
  </sheetViews>
  <sheetFormatPr baseColWidth="10" defaultColWidth="11.25" defaultRowHeight="12"/>
  <cols>
    <col min="1" max="1" width="1.125" style="2109" customWidth="1"/>
    <col min="2" max="2" width="52.75" style="2110" bestFit="1" customWidth="1"/>
    <col min="3" max="3" width="12.75" style="2109" bestFit="1" customWidth="1"/>
    <col min="4" max="16384" width="11.25" style="1176"/>
  </cols>
  <sheetData>
    <row r="1" spans="2:3" ht="5.45" customHeight="1">
      <c r="B1" s="2109"/>
    </row>
    <row r="2" spans="2:3" ht="5.45" customHeight="1"/>
    <row r="3" spans="2:3" ht="36">
      <c r="B3" s="2154" t="s">
        <v>2195</v>
      </c>
      <c r="C3" s="2153"/>
    </row>
    <row r="4" spans="2:3" ht="16.899999999999999" customHeight="1">
      <c r="B4" s="2111"/>
      <c r="C4" s="2112"/>
    </row>
    <row r="5" spans="2:3">
      <c r="B5" s="2113" t="s">
        <v>416</v>
      </c>
      <c r="C5" s="2114"/>
    </row>
    <row r="6" spans="2:3" ht="24">
      <c r="B6" s="2115" t="s">
        <v>417</v>
      </c>
      <c r="C6" s="2116"/>
    </row>
    <row r="7" spans="2:3">
      <c r="B7" s="2115"/>
      <c r="C7" s="2116"/>
    </row>
    <row r="8" spans="2:3">
      <c r="B8" s="2113" t="s">
        <v>2029</v>
      </c>
      <c r="C8" s="2114"/>
    </row>
    <row r="9" spans="2:3">
      <c r="B9" s="2117" t="s">
        <v>1926</v>
      </c>
      <c r="C9" s="2114"/>
    </row>
    <row r="10" spans="2:3">
      <c r="B10" s="2118" t="s">
        <v>427</v>
      </c>
      <c r="C10" s="2119">
        <v>0.18042241208304949</v>
      </c>
    </row>
    <row r="11" spans="2:3">
      <c r="B11" s="2120" t="s">
        <v>12</v>
      </c>
      <c r="C11" s="2116"/>
    </row>
    <row r="12" spans="2:3">
      <c r="B12" s="2121" t="s">
        <v>427</v>
      </c>
      <c r="C12" s="2122">
        <v>3.3371839191314687E-2</v>
      </c>
    </row>
    <row r="13" spans="2:3">
      <c r="B13" s="2120" t="s">
        <v>9</v>
      </c>
      <c r="C13" s="2116"/>
    </row>
    <row r="14" spans="2:3">
      <c r="B14" s="2121" t="s">
        <v>427</v>
      </c>
      <c r="C14" s="2122">
        <v>3.517756835209207E-2</v>
      </c>
    </row>
    <row r="15" spans="2:3">
      <c r="B15" s="2120" t="s">
        <v>422</v>
      </c>
      <c r="C15" s="2116"/>
    </row>
    <row r="16" spans="2:3">
      <c r="B16" s="2121" t="s">
        <v>427</v>
      </c>
      <c r="C16" s="2122">
        <v>1.6891753377048683E-2</v>
      </c>
    </row>
    <row r="17" spans="2:3">
      <c r="B17" s="2120" t="s">
        <v>309</v>
      </c>
      <c r="C17" s="2122">
        <v>2.4679384709881979E-3</v>
      </c>
    </row>
    <row r="18" spans="2:3">
      <c r="B18" s="2120" t="s">
        <v>10</v>
      </c>
      <c r="C18" s="2116"/>
    </row>
    <row r="19" spans="2:3">
      <c r="B19" s="2121" t="s">
        <v>427</v>
      </c>
      <c r="C19" s="2122">
        <v>6.6481116320298312E-3</v>
      </c>
    </row>
    <row r="20" spans="2:3">
      <c r="B20" s="2121" t="s">
        <v>2030</v>
      </c>
      <c r="C20" s="2122">
        <v>4.92136347216108E-3</v>
      </c>
    </row>
    <row r="21" spans="2:3">
      <c r="B21" s="2120" t="s">
        <v>11</v>
      </c>
      <c r="C21" s="2116"/>
    </row>
    <row r="22" spans="2:3">
      <c r="B22" s="2121" t="s">
        <v>427</v>
      </c>
      <c r="C22" s="2122">
        <v>6.4746466550597848E-2</v>
      </c>
    </row>
    <row r="23" spans="2:3">
      <c r="B23" s="2121" t="s">
        <v>1212</v>
      </c>
      <c r="C23" s="2122">
        <v>1.4600565439169825E-2</v>
      </c>
    </row>
    <row r="24" spans="2:3">
      <c r="B24" s="2121" t="s">
        <v>2031</v>
      </c>
      <c r="C24" s="2122">
        <v>1.5968055976472609E-3</v>
      </c>
    </row>
    <row r="25" spans="2:3">
      <c r="B25" s="2121" t="s">
        <v>2032</v>
      </c>
      <c r="C25" s="2122">
        <v>0</v>
      </c>
    </row>
    <row r="26" spans="2:3">
      <c r="B26" s="2115"/>
      <c r="C26" s="2116"/>
    </row>
    <row r="27" spans="2:3">
      <c r="B27" s="2121"/>
      <c r="C27" s="2123"/>
    </row>
    <row r="28" spans="2:3">
      <c r="B28" s="2113" t="s">
        <v>2033</v>
      </c>
      <c r="C28" s="2124"/>
    </row>
    <row r="29" spans="2:3">
      <c r="B29" s="2117" t="s">
        <v>1926</v>
      </c>
      <c r="C29" s="2124"/>
    </row>
    <row r="30" spans="2:3">
      <c r="B30" s="2118" t="s">
        <v>2034</v>
      </c>
      <c r="C30" s="2124">
        <v>2.7631112211111972</v>
      </c>
    </row>
    <row r="31" spans="2:3">
      <c r="B31" s="2118" t="s">
        <v>2035</v>
      </c>
      <c r="C31" s="2124">
        <v>0.16890799180698116</v>
      </c>
    </row>
    <row r="32" spans="2:3">
      <c r="B32" s="2118" t="s">
        <v>2036</v>
      </c>
      <c r="C32" s="2124">
        <v>0.23407147259926456</v>
      </c>
    </row>
    <row r="33" spans="2:3">
      <c r="B33" s="2118" t="s">
        <v>2037</v>
      </c>
      <c r="C33" s="2124">
        <v>0.25606414736666022</v>
      </c>
    </row>
    <row r="34" spans="2:3">
      <c r="B34" s="2125" t="s">
        <v>2038</v>
      </c>
      <c r="C34" s="2123"/>
    </row>
    <row r="35" spans="2:3">
      <c r="B35" s="2120" t="s">
        <v>12</v>
      </c>
      <c r="C35" s="2123"/>
    </row>
    <row r="36" spans="2:3">
      <c r="B36" s="2121" t="s">
        <v>2034</v>
      </c>
      <c r="C36" s="2126">
        <v>2.7631112211111972</v>
      </c>
    </row>
    <row r="37" spans="2:3">
      <c r="B37" s="2121" t="s">
        <v>2039</v>
      </c>
      <c r="C37" s="2122">
        <v>1.7952017519303327E-2</v>
      </c>
    </row>
    <row r="38" spans="2:3">
      <c r="B38" s="2120" t="s">
        <v>9</v>
      </c>
      <c r="C38" s="2127"/>
    </row>
    <row r="39" spans="2:3">
      <c r="B39" s="2121" t="s">
        <v>2039</v>
      </c>
      <c r="C39" s="2122">
        <v>3.6111819598495069E-2</v>
      </c>
    </row>
    <row r="40" spans="2:3">
      <c r="B40" s="2120" t="s">
        <v>422</v>
      </c>
      <c r="C40" s="2127"/>
    </row>
    <row r="41" spans="2:3">
      <c r="B41" s="2121" t="s">
        <v>2039</v>
      </c>
      <c r="C41" s="2122">
        <v>1.7340367149566625E-2</v>
      </c>
    </row>
    <row r="42" spans="2:3">
      <c r="B42" s="2120" t="s">
        <v>309</v>
      </c>
      <c r="C42" s="2122">
        <v>2.5334823587717186E-3</v>
      </c>
    </row>
    <row r="43" spans="2:3">
      <c r="B43" s="2120" t="s">
        <v>10</v>
      </c>
      <c r="C43" s="2127"/>
    </row>
    <row r="44" spans="2:3">
      <c r="B44" s="2121" t="s">
        <v>2039</v>
      </c>
      <c r="C44" s="2122">
        <v>6.8246739004459173E-3</v>
      </c>
    </row>
    <row r="45" spans="2:3">
      <c r="B45" s="2121" t="s">
        <v>2040</v>
      </c>
      <c r="C45" s="2122">
        <v>5.052066316282776E-3</v>
      </c>
    </row>
    <row r="46" spans="2:3">
      <c r="B46" s="2120" t="s">
        <v>11</v>
      </c>
      <c r="C46" s="2127"/>
    </row>
    <row r="47" spans="2:3">
      <c r="B47" s="2121" t="s">
        <v>2035</v>
      </c>
      <c r="C47" s="2122">
        <v>6.6466019957466482E-2</v>
      </c>
    </row>
    <row r="48" spans="2:3">
      <c r="B48" s="2121" t="s">
        <v>2036</v>
      </c>
      <c r="C48" s="2122">
        <v>0.11963883592343967</v>
      </c>
    </row>
    <row r="49" spans="2:3">
      <c r="B49" s="2121" t="s">
        <v>2037</v>
      </c>
      <c r="C49" s="2122">
        <v>0.13758466131195562</v>
      </c>
    </row>
    <row r="50" spans="2:3">
      <c r="B50" s="2121" t="s">
        <v>2188</v>
      </c>
      <c r="C50" s="2122">
        <v>1.4988331032887787E-2</v>
      </c>
    </row>
    <row r="51" spans="2:3">
      <c r="B51" s="2121" t="s">
        <v>2189</v>
      </c>
      <c r="C51" s="2122">
        <v>2.6978995859198017E-2</v>
      </c>
    </row>
    <row r="52" spans="2:3">
      <c r="B52" s="2121" t="s">
        <v>2190</v>
      </c>
      <c r="C52" s="2122">
        <v>3.1025845238077717E-2</v>
      </c>
    </row>
    <row r="53" spans="2:3">
      <c r="B53" s="2121" t="s">
        <v>2042</v>
      </c>
      <c r="C53" s="2122">
        <v>1.6392139737614298E-3</v>
      </c>
    </row>
    <row r="54" spans="2:3">
      <c r="B54" s="2121" t="s">
        <v>2043</v>
      </c>
      <c r="C54" s="2122">
        <v>0</v>
      </c>
    </row>
    <row r="55" spans="2:3">
      <c r="B55" s="2112"/>
      <c r="C55" s="2123"/>
    </row>
    <row r="56" spans="2:3" hidden="1">
      <c r="B56" s="2064" t="s">
        <v>2119</v>
      </c>
      <c r="C56" s="2294"/>
    </row>
    <row r="57" spans="2:3" hidden="1">
      <c r="B57" s="2066" t="s">
        <v>1926</v>
      </c>
      <c r="C57" s="2294"/>
    </row>
    <row r="58" spans="2:3" hidden="1">
      <c r="B58" s="2067" t="s">
        <v>2120</v>
      </c>
      <c r="C58" s="2294">
        <v>2.7631112211111972</v>
      </c>
    </row>
    <row r="59" spans="2:3" hidden="1">
      <c r="B59" s="2067" t="s">
        <v>2121</v>
      </c>
      <c r="C59" s="2294">
        <v>0.16890799180698116</v>
      </c>
    </row>
    <row r="60" spans="2:3" hidden="1">
      <c r="B60" s="2067"/>
      <c r="C60" s="2294"/>
    </row>
    <row r="61" spans="2:3" hidden="1">
      <c r="B61" s="2067"/>
      <c r="C61" s="2294"/>
    </row>
    <row r="62" spans="2:3" hidden="1">
      <c r="B62" s="2072" t="s">
        <v>2038</v>
      </c>
      <c r="C62" s="2071"/>
    </row>
    <row r="63" spans="2:3" hidden="1">
      <c r="B63" s="2068" t="s">
        <v>12</v>
      </c>
      <c r="C63" s="2071"/>
    </row>
    <row r="64" spans="2:3" hidden="1">
      <c r="B64" s="2069" t="s">
        <v>2120</v>
      </c>
      <c r="C64" s="2073">
        <v>2.7631112211111972</v>
      </c>
    </row>
    <row r="65" spans="2:3" hidden="1">
      <c r="B65" s="2069" t="s">
        <v>2039</v>
      </c>
      <c r="C65" s="2070">
        <v>1.7952017519303327E-2</v>
      </c>
    </row>
    <row r="66" spans="2:3" hidden="1">
      <c r="B66" s="2068" t="s">
        <v>9</v>
      </c>
      <c r="C66" s="2074"/>
    </row>
    <row r="67" spans="2:3" hidden="1">
      <c r="B67" s="2069" t="s">
        <v>2039</v>
      </c>
      <c r="C67" s="2070">
        <v>3.6111819598495069E-2</v>
      </c>
    </row>
    <row r="68" spans="2:3" hidden="1">
      <c r="B68" s="2068" t="s">
        <v>422</v>
      </c>
      <c r="C68" s="2074"/>
    </row>
    <row r="69" spans="2:3" hidden="1">
      <c r="B69" s="2069" t="s">
        <v>2039</v>
      </c>
      <c r="C69" s="2070">
        <v>1.7340367149566625E-2</v>
      </c>
    </row>
    <row r="70" spans="2:3" hidden="1">
      <c r="B70" s="2068" t="s">
        <v>309</v>
      </c>
      <c r="C70" s="2070">
        <v>2.5334823587717186E-3</v>
      </c>
    </row>
    <row r="71" spans="2:3" hidden="1">
      <c r="B71" s="2068" t="s">
        <v>10</v>
      </c>
      <c r="C71" s="2074"/>
    </row>
    <row r="72" spans="2:3" hidden="1">
      <c r="B72" s="2069" t="s">
        <v>2039</v>
      </c>
      <c r="C72" s="2070">
        <v>6.8246739004459173E-3</v>
      </c>
    </row>
    <row r="73" spans="2:3" hidden="1">
      <c r="B73" s="2069" t="s">
        <v>2040</v>
      </c>
      <c r="C73" s="2070">
        <v>5.052066316282776E-3</v>
      </c>
    </row>
    <row r="74" spans="2:3" hidden="1">
      <c r="B74" s="2068" t="s">
        <v>11</v>
      </c>
      <c r="C74" s="2074"/>
    </row>
    <row r="75" spans="2:3" hidden="1">
      <c r="B75" s="2069" t="s">
        <v>2121</v>
      </c>
      <c r="C75" s="2070">
        <v>6.6466019957466482E-2</v>
      </c>
    </row>
    <row r="76" spans="2:3" hidden="1">
      <c r="B76" s="2069"/>
      <c r="C76" s="2070"/>
    </row>
    <row r="77" spans="2:3" hidden="1">
      <c r="B77" s="2069"/>
      <c r="C77" s="2070"/>
    </row>
    <row r="78" spans="2:3" hidden="1">
      <c r="B78" s="2069" t="s">
        <v>2041</v>
      </c>
      <c r="C78" s="2070">
        <v>1.4988331032887787E-2</v>
      </c>
    </row>
    <row r="79" spans="2:3" hidden="1">
      <c r="B79" s="2069" t="s">
        <v>2042</v>
      </c>
      <c r="C79" s="2070">
        <v>1.6392139737614298E-3</v>
      </c>
    </row>
    <row r="80" spans="2:3" hidden="1">
      <c r="B80" s="2069" t="s">
        <v>2043</v>
      </c>
      <c r="C80" s="2070">
        <v>0</v>
      </c>
    </row>
    <row r="81" spans="2:3" hidden="1">
      <c r="B81" s="2112"/>
      <c r="C81" s="2123"/>
    </row>
    <row r="82" spans="2:3">
      <c r="B82" s="2113" t="s">
        <v>1176</v>
      </c>
      <c r="C82" s="2124"/>
    </row>
    <row r="83" spans="2:3">
      <c r="B83" s="2117" t="s">
        <v>1926</v>
      </c>
      <c r="C83" s="2124"/>
    </row>
    <row r="84" spans="2:3">
      <c r="B84" s="2118" t="s">
        <v>313</v>
      </c>
      <c r="C84" s="2124">
        <v>2.7631112211111972</v>
      </c>
    </row>
    <row r="85" spans="2:3">
      <c r="B85" s="2118" t="s">
        <v>2044</v>
      </c>
      <c r="C85" s="2124">
        <v>0.28988770903138861</v>
      </c>
    </row>
    <row r="86" spans="2:3">
      <c r="B86" s="2118" t="s">
        <v>2045</v>
      </c>
      <c r="C86" s="2124">
        <v>0.21610849725732897</v>
      </c>
    </row>
    <row r="87" spans="2:3">
      <c r="B87" s="2118" t="s">
        <v>2046</v>
      </c>
      <c r="C87" s="2124">
        <v>0.14232928548326931</v>
      </c>
    </row>
    <row r="88" spans="2:3">
      <c r="B88" s="2125" t="s">
        <v>2038</v>
      </c>
      <c r="C88" s="2123"/>
    </row>
    <row r="89" spans="2:3">
      <c r="B89" s="2120" t="s">
        <v>12</v>
      </c>
      <c r="C89" s="2123"/>
    </row>
    <row r="90" spans="2:3">
      <c r="B90" s="2121" t="s">
        <v>313</v>
      </c>
      <c r="C90" s="2126">
        <v>2.7631112211111972</v>
      </c>
    </row>
    <row r="91" spans="2:3">
      <c r="B91" s="2121" t="s">
        <v>427</v>
      </c>
      <c r="C91" s="2122">
        <v>1.7487579700070408E-2</v>
      </c>
    </row>
    <row r="92" spans="2:3">
      <c r="B92" s="2120" t="s">
        <v>9</v>
      </c>
      <c r="C92" s="2123"/>
    </row>
    <row r="93" spans="2:3">
      <c r="B93" s="2121" t="s">
        <v>2044</v>
      </c>
      <c r="C93" s="2122">
        <v>3.517756835209207E-2</v>
      </c>
    </row>
    <row r="94" spans="2:3">
      <c r="B94" s="2121" t="s">
        <v>2045</v>
      </c>
      <c r="C94" s="2122">
        <v>3.517756835209207E-2</v>
      </c>
    </row>
    <row r="95" spans="2:3">
      <c r="B95" s="2121" t="s">
        <v>2046</v>
      </c>
      <c r="C95" s="2122">
        <v>3.517756835209207E-2</v>
      </c>
    </row>
    <row r="96" spans="2:3">
      <c r="B96" s="2120" t="s">
        <v>422</v>
      </c>
      <c r="C96" s="2123"/>
    </row>
    <row r="97" spans="2:3">
      <c r="B97" s="2121" t="s">
        <v>2044</v>
      </c>
      <c r="C97" s="2122">
        <v>1.6891753377048683E-2</v>
      </c>
    </row>
    <row r="98" spans="2:3">
      <c r="B98" s="2121" t="s">
        <v>2045</v>
      </c>
      <c r="C98" s="2122">
        <v>1.6891753377048683E-2</v>
      </c>
    </row>
    <row r="99" spans="2:3">
      <c r="B99" s="2121" t="s">
        <v>2046</v>
      </c>
      <c r="C99" s="2122">
        <v>1.6891753377048683E-2</v>
      </c>
    </row>
    <row r="100" spans="2:3">
      <c r="B100" s="2120" t="s">
        <v>309</v>
      </c>
      <c r="C100" s="2122">
        <v>2.4679384709881979E-3</v>
      </c>
    </row>
    <row r="101" spans="2:3">
      <c r="B101" s="2120" t="s">
        <v>10</v>
      </c>
      <c r="C101" s="2123"/>
    </row>
    <row r="102" spans="2:3">
      <c r="B102" s="2121" t="s">
        <v>2044</v>
      </c>
      <c r="C102" s="2122">
        <v>6.6481116320298312E-3</v>
      </c>
    </row>
    <row r="103" spans="2:3">
      <c r="B103" s="2121" t="s">
        <v>2045</v>
      </c>
      <c r="C103" s="2122">
        <v>6.6481116320298312E-3</v>
      </c>
    </row>
    <row r="104" spans="2:3">
      <c r="B104" s="2121" t="s">
        <v>2046</v>
      </c>
      <c r="C104" s="2122">
        <v>6.6481116320298312E-3</v>
      </c>
    </row>
    <row r="105" spans="2:3">
      <c r="B105" s="2121" t="s">
        <v>2030</v>
      </c>
      <c r="C105" s="2122">
        <v>4.92136347216108E-3</v>
      </c>
    </row>
    <row r="106" spans="2:3">
      <c r="B106" s="2120" t="s">
        <v>11</v>
      </c>
      <c r="C106" s="2123"/>
    </row>
    <row r="107" spans="2:3">
      <c r="B107" s="2121" t="s">
        <v>2044</v>
      </c>
      <c r="C107" s="2122">
        <v>0.18444802943514918</v>
      </c>
    </row>
    <row r="108" spans="2:3">
      <c r="B108" s="2121" t="s">
        <v>2045</v>
      </c>
      <c r="C108" s="2122">
        <v>0.11066881766108949</v>
      </c>
    </row>
    <row r="109" spans="2:3">
      <c r="B109" s="2121" t="s">
        <v>2046</v>
      </c>
      <c r="C109" s="2122">
        <v>3.6889605887029837E-2</v>
      </c>
    </row>
    <row r="110" spans="2:3">
      <c r="B110" s="2121" t="s">
        <v>1212</v>
      </c>
      <c r="C110" s="2122">
        <v>2.0248558994201929E-2</v>
      </c>
    </row>
    <row r="111" spans="2:3">
      <c r="B111" s="2121" t="s">
        <v>2031</v>
      </c>
      <c r="C111" s="2122">
        <v>1.5968055976472609E-3</v>
      </c>
    </row>
    <row r="112" spans="2:3">
      <c r="B112" s="2121" t="s">
        <v>2032</v>
      </c>
      <c r="C112" s="2122">
        <v>0</v>
      </c>
    </row>
    <row r="113" spans="2:3">
      <c r="B113" s="2121"/>
      <c r="C113" s="2123"/>
    </row>
    <row r="114" spans="2:3">
      <c r="B114" s="2113" t="s">
        <v>423</v>
      </c>
      <c r="C114" s="2114"/>
    </row>
    <row r="115" spans="2:3" ht="36">
      <c r="B115" s="2111" t="s">
        <v>424</v>
      </c>
      <c r="C115" s="2128"/>
    </row>
    <row r="116" spans="2:3">
      <c r="B116" s="2111"/>
      <c r="C116" s="2128"/>
    </row>
    <row r="117" spans="2:3">
      <c r="B117" s="2117" t="s">
        <v>2047</v>
      </c>
      <c r="C117" s="2114"/>
    </row>
    <row r="118" spans="2:3">
      <c r="B118" s="2118" t="s">
        <v>313</v>
      </c>
      <c r="C118" s="2129">
        <v>5.5717836761048458</v>
      </c>
    </row>
    <row r="119" spans="2:3">
      <c r="B119" s="2118" t="s">
        <v>425</v>
      </c>
      <c r="C119" s="2130">
        <v>17.140268340639405</v>
      </c>
    </row>
    <row r="120" spans="2:3">
      <c r="B120" s="2118" t="s">
        <v>2048</v>
      </c>
      <c r="C120" s="2119">
        <v>0.17840065674594421</v>
      </c>
    </row>
    <row r="121" spans="2:3">
      <c r="B121" s="2118" t="s">
        <v>2049</v>
      </c>
      <c r="C121" s="2119">
        <v>0.18253433592802551</v>
      </c>
    </row>
    <row r="122" spans="2:3">
      <c r="B122" s="2118" t="s">
        <v>2050</v>
      </c>
      <c r="C122" s="2119">
        <v>0.18687469906921089</v>
      </c>
    </row>
    <row r="123" spans="2:3">
      <c r="B123" s="2118" t="s">
        <v>2051</v>
      </c>
      <c r="C123" s="2119">
        <v>0.19143208036745554</v>
      </c>
    </row>
    <row r="124" spans="2:3">
      <c r="B124" s="2125" t="s">
        <v>1810</v>
      </c>
      <c r="C124" s="2123"/>
    </row>
    <row r="125" spans="2:3">
      <c r="B125" s="2120" t="s">
        <v>12</v>
      </c>
      <c r="C125" s="2127"/>
    </row>
    <row r="126" spans="2:3">
      <c r="B126" s="2111" t="s">
        <v>428</v>
      </c>
      <c r="C126" s="2126">
        <v>5.5717836761048458</v>
      </c>
    </row>
    <row r="127" spans="2:3">
      <c r="B127" s="2121" t="s">
        <v>250</v>
      </c>
      <c r="C127" s="2122">
        <v>4.7724625838007342E-3</v>
      </c>
    </row>
    <row r="128" spans="2:3">
      <c r="B128" s="2120" t="s">
        <v>9</v>
      </c>
      <c r="C128" s="2127"/>
    </row>
    <row r="129" spans="2:3">
      <c r="B129" s="2121" t="s">
        <v>425</v>
      </c>
      <c r="C129" s="2126">
        <v>12.350481537959073</v>
      </c>
    </row>
    <row r="130" spans="2:3">
      <c r="B130" s="2121" t="s">
        <v>427</v>
      </c>
      <c r="C130" s="2122">
        <v>0</v>
      </c>
    </row>
    <row r="131" spans="2:3">
      <c r="B131" s="2120" t="s">
        <v>422</v>
      </c>
      <c r="C131" s="2131"/>
    </row>
    <row r="132" spans="2:3">
      <c r="B132" s="2121" t="s">
        <v>425</v>
      </c>
      <c r="C132" s="2126">
        <v>0.48748879769182402</v>
      </c>
    </row>
    <row r="133" spans="2:3">
      <c r="B133" s="2121" t="s">
        <v>427</v>
      </c>
      <c r="C133" s="2122">
        <v>1.4869881740786104E-2</v>
      </c>
    </row>
    <row r="134" spans="2:3">
      <c r="B134" s="2120" t="s">
        <v>309</v>
      </c>
      <c r="C134" s="2122">
        <v>2.3289170778172598E-3</v>
      </c>
    </row>
    <row r="135" spans="2:3">
      <c r="B135" s="2120" t="s">
        <v>10</v>
      </c>
      <c r="C135" s="2127"/>
    </row>
    <row r="136" spans="2:3">
      <c r="B136" s="2121" t="s">
        <v>425</v>
      </c>
      <c r="C136" s="2126">
        <v>1.4286605609718894</v>
      </c>
    </row>
    <row r="137" spans="2:3">
      <c r="B137" s="2121" t="s">
        <v>427</v>
      </c>
      <c r="C137" s="2122">
        <v>5.2099598402638968E-3</v>
      </c>
    </row>
    <row r="138" spans="2:3">
      <c r="B138" s="2121" t="s">
        <v>2030</v>
      </c>
      <c r="C138" s="2122">
        <v>4.6442952554459453E-3</v>
      </c>
    </row>
    <row r="139" spans="2:3">
      <c r="B139" s="2120" t="s">
        <v>11</v>
      </c>
      <c r="C139" s="2127"/>
    </row>
    <row r="140" spans="2:3">
      <c r="B140" s="2121" t="s">
        <v>441</v>
      </c>
      <c r="C140" s="2126">
        <v>2.8736374440166181</v>
      </c>
    </row>
    <row r="141" spans="2:3">
      <c r="B141" s="2121" t="s">
        <v>2048</v>
      </c>
      <c r="C141" s="2122">
        <v>8.2673583641626247E-2</v>
      </c>
    </row>
    <row r="142" spans="2:3">
      <c r="B142" s="2121" t="s">
        <v>2052</v>
      </c>
      <c r="C142" s="2122">
        <v>8.6807262823707557E-2</v>
      </c>
    </row>
    <row r="143" spans="2:3">
      <c r="B143" s="2121" t="s">
        <v>2053</v>
      </c>
      <c r="C143" s="2122">
        <v>9.1147625964892925E-2</v>
      </c>
    </row>
    <row r="144" spans="2:3">
      <c r="B144" s="2121" t="s">
        <v>2054</v>
      </c>
      <c r="C144" s="2122">
        <v>9.570500726313759E-2</v>
      </c>
    </row>
    <row r="145" spans="2:3">
      <c r="B145" s="2121" t="s">
        <v>1212</v>
      </c>
      <c r="C145" s="2122">
        <v>6.23947006307074E-2</v>
      </c>
    </row>
    <row r="146" spans="2:3">
      <c r="B146" s="2121" t="s">
        <v>2031</v>
      </c>
      <c r="C146" s="2122">
        <v>1.5068559754966202E-3</v>
      </c>
    </row>
    <row r="147" spans="2:3">
      <c r="B147" s="2121" t="s">
        <v>2032</v>
      </c>
      <c r="C147" s="2122">
        <v>0</v>
      </c>
    </row>
    <row r="148" spans="2:3">
      <c r="B148" s="2120"/>
      <c r="C148" s="2123"/>
    </row>
    <row r="149" spans="2:3">
      <c r="B149" s="2113" t="s">
        <v>429</v>
      </c>
      <c r="C149" s="2114"/>
    </row>
    <row r="150" spans="2:3" ht="36">
      <c r="B150" s="2121" t="s">
        <v>430</v>
      </c>
      <c r="C150" s="2128"/>
    </row>
    <row r="151" spans="2:3">
      <c r="B151" s="2121"/>
      <c r="C151" s="2128"/>
    </row>
    <row r="152" spans="2:3">
      <c r="B152" s="2117" t="s">
        <v>2047</v>
      </c>
      <c r="C152" s="2114"/>
    </row>
    <row r="153" spans="2:3">
      <c r="B153" s="2118" t="s">
        <v>313</v>
      </c>
      <c r="C153" s="2132">
        <v>5.5717836761048458</v>
      </c>
    </row>
    <row r="154" spans="2:3">
      <c r="B154" s="2118" t="s">
        <v>2055</v>
      </c>
      <c r="C154" s="2130">
        <v>12.67849773693063</v>
      </c>
    </row>
    <row r="155" spans="2:3">
      <c r="B155" s="2118" t="s">
        <v>2056</v>
      </c>
      <c r="C155" s="2132">
        <v>5.2634388685242275</v>
      </c>
    </row>
    <row r="156" spans="2:3">
      <c r="B156" s="2118" t="s">
        <v>2057</v>
      </c>
      <c r="C156" s="2132">
        <v>0</v>
      </c>
    </row>
    <row r="157" spans="2:3">
      <c r="B157" s="2118" t="s">
        <v>2044</v>
      </c>
      <c r="C157" s="2119">
        <v>0.20289115603284336</v>
      </c>
    </row>
    <row r="158" spans="2:3">
      <c r="B158" s="2118" t="s">
        <v>2045</v>
      </c>
      <c r="C158" s="2119">
        <v>0.15267015805018316</v>
      </c>
    </row>
    <row r="159" spans="2:3">
      <c r="B159" s="2118" t="s">
        <v>2046</v>
      </c>
      <c r="C159" s="2119">
        <v>0.10197980494618969</v>
      </c>
    </row>
    <row r="160" spans="2:3">
      <c r="B160" s="2125" t="s">
        <v>2008</v>
      </c>
      <c r="C160" s="2123"/>
    </row>
    <row r="161" spans="2:3">
      <c r="B161" s="2120" t="s">
        <v>12</v>
      </c>
      <c r="C161" s="2127"/>
    </row>
    <row r="162" spans="2:3">
      <c r="B162" s="2121" t="s">
        <v>428</v>
      </c>
      <c r="C162" s="2126">
        <v>5.5717836761048458</v>
      </c>
    </row>
    <row r="163" spans="2:3">
      <c r="B163" s="2121" t="s">
        <v>427</v>
      </c>
      <c r="C163" s="2122">
        <v>4.7724625838007342E-3</v>
      </c>
    </row>
    <row r="164" spans="2:3">
      <c r="B164" s="2120" t="s">
        <v>9</v>
      </c>
      <c r="C164" s="2127"/>
    </row>
    <row r="165" spans="2:3">
      <c r="B165" s="2121" t="s">
        <v>2055</v>
      </c>
      <c r="C165" s="2126">
        <v>7.67707054875138</v>
      </c>
    </row>
    <row r="166" spans="2:3">
      <c r="B166" s="2121" t="s">
        <v>2068</v>
      </c>
      <c r="C166" s="2126">
        <v>5.2634388685242275</v>
      </c>
    </row>
    <row r="167" spans="2:3">
      <c r="B167" s="2121" t="s">
        <v>2069</v>
      </c>
      <c r="C167" s="2126">
        <v>0</v>
      </c>
    </row>
    <row r="168" spans="2:3">
      <c r="B168" s="2121" t="s">
        <v>250</v>
      </c>
      <c r="C168" s="2122">
        <v>0</v>
      </c>
    </row>
    <row r="169" spans="2:3">
      <c r="B169" s="2120" t="s">
        <v>422</v>
      </c>
      <c r="C169" s="2122"/>
    </row>
    <row r="170" spans="2:3">
      <c r="B170" s="2121" t="s">
        <v>2055</v>
      </c>
      <c r="C170" s="2126">
        <v>0.50902886227510924</v>
      </c>
    </row>
    <row r="171" spans="2:3">
      <c r="B171" s="2121" t="s">
        <v>2044</v>
      </c>
      <c r="C171" s="2122">
        <v>1.4869881740786104E-2</v>
      </c>
    </row>
    <row r="172" spans="2:3">
      <c r="B172" s="2121" t="s">
        <v>2045</v>
      </c>
      <c r="C172" s="2122">
        <v>1.4869881740786104E-2</v>
      </c>
    </row>
    <row r="173" spans="2:3">
      <c r="B173" s="2121" t="s">
        <v>2046</v>
      </c>
      <c r="C173" s="2122">
        <v>1.4869881740786104E-2</v>
      </c>
    </row>
    <row r="174" spans="2:3">
      <c r="B174" s="2120" t="s">
        <v>309</v>
      </c>
      <c r="C174" s="2122">
        <v>2.3289170778172598E-3</v>
      </c>
    </row>
    <row r="175" spans="2:3">
      <c r="B175" s="2120" t="s">
        <v>10</v>
      </c>
      <c r="C175" s="2127"/>
    </row>
    <row r="176" spans="2:3">
      <c r="B176" s="2121" t="s">
        <v>2055</v>
      </c>
      <c r="C176" s="2126">
        <v>1.4917870182292337</v>
      </c>
    </row>
    <row r="177" spans="2:3">
      <c r="B177" s="2121" t="s">
        <v>2044</v>
      </c>
      <c r="C177" s="2122">
        <v>2.2618423369874714E-3</v>
      </c>
    </row>
    <row r="178" spans="2:3">
      <c r="B178" s="2121" t="s">
        <v>2045</v>
      </c>
      <c r="C178" s="2122">
        <v>2.2618423369874714E-3</v>
      </c>
    </row>
    <row r="179" spans="2:3">
      <c r="B179" s="2121" t="s">
        <v>2046</v>
      </c>
      <c r="C179" s="2122">
        <v>2.2618423369874714E-3</v>
      </c>
    </row>
    <row r="180" spans="2:3">
      <c r="B180" s="2121" t="s">
        <v>2030</v>
      </c>
      <c r="C180" s="2122">
        <v>4.6442952554459453E-3</v>
      </c>
    </row>
    <row r="181" spans="2:3">
      <c r="B181" s="2120" t="s">
        <v>11</v>
      </c>
      <c r="C181" s="2127"/>
    </row>
    <row r="182" spans="2:3">
      <c r="B182" s="2121" t="s">
        <v>2055</v>
      </c>
      <c r="C182" s="2126">
        <v>3.0006113076749066</v>
      </c>
    </row>
    <row r="183" spans="2:3">
      <c r="B183" s="2121" t="s">
        <v>1212</v>
      </c>
      <c r="C183" s="2122">
        <v>2.4660037842528286E-2</v>
      </c>
    </row>
    <row r="184" spans="2:3">
      <c r="B184" s="2121" t="s">
        <v>2044</v>
      </c>
      <c r="C184" s="2122">
        <v>0.14784686321998092</v>
      </c>
    </row>
    <row r="185" spans="2:3">
      <c r="B185" s="2121" t="s">
        <v>2045</v>
      </c>
      <c r="C185" s="2122">
        <v>9.7625865237320739E-2</v>
      </c>
    </row>
    <row r="186" spans="2:3">
      <c r="B186" s="2121" t="s">
        <v>2046</v>
      </c>
      <c r="C186" s="2122">
        <v>4.6935512133327272E-2</v>
      </c>
    </row>
    <row r="187" spans="2:3">
      <c r="B187" s="2121" t="s">
        <v>2031</v>
      </c>
      <c r="C187" s="2122">
        <v>1.5068559754966202E-3</v>
      </c>
    </row>
    <row r="188" spans="2:3">
      <c r="B188" s="2121" t="s">
        <v>2032</v>
      </c>
      <c r="C188" s="2122">
        <v>0</v>
      </c>
    </row>
    <row r="189" spans="2:3">
      <c r="B189" s="2121"/>
      <c r="C189" s="2122"/>
    </row>
    <row r="190" spans="2:3" hidden="1">
      <c r="B190" s="2064" t="s">
        <v>2072</v>
      </c>
      <c r="C190" s="2065"/>
    </row>
    <row r="191" spans="2:3" hidden="1">
      <c r="B191" s="2066" t="s">
        <v>2047</v>
      </c>
      <c r="C191" s="2077"/>
    </row>
    <row r="192" spans="2:3" hidden="1">
      <c r="B192" s="2067" t="s">
        <v>313</v>
      </c>
      <c r="C192" s="2076">
        <v>5.5717836761048458</v>
      </c>
    </row>
    <row r="193" spans="2:3" hidden="1">
      <c r="B193" s="2067" t="s">
        <v>2073</v>
      </c>
      <c r="C193" s="2076">
        <v>12.350481537959073</v>
      </c>
    </row>
    <row r="194" spans="2:3" hidden="1">
      <c r="B194" s="2067" t="s">
        <v>2074</v>
      </c>
      <c r="C194" s="2076">
        <v>0</v>
      </c>
    </row>
    <row r="195" spans="2:3" hidden="1">
      <c r="B195" s="2067" t="s">
        <v>2075</v>
      </c>
      <c r="C195" s="2078">
        <v>0.12566794777070642</v>
      </c>
    </row>
    <row r="196" spans="2:3" hidden="1">
      <c r="B196" s="2067" t="s">
        <v>2076</v>
      </c>
      <c r="C196" s="2078">
        <v>8.5415379197486999E-2</v>
      </c>
    </row>
    <row r="197" spans="2:3" hidden="1">
      <c r="B197" s="2072" t="s">
        <v>1810</v>
      </c>
      <c r="C197" s="2071"/>
    </row>
    <row r="198" spans="2:3" hidden="1">
      <c r="B198" s="2068" t="s">
        <v>12</v>
      </c>
      <c r="C198" s="2074"/>
    </row>
    <row r="199" spans="2:3" hidden="1">
      <c r="B199" s="2069" t="s">
        <v>428</v>
      </c>
      <c r="C199" s="2073">
        <v>5.5717836761048458</v>
      </c>
    </row>
    <row r="200" spans="2:3" hidden="1">
      <c r="B200" s="2069" t="s">
        <v>2075</v>
      </c>
      <c r="C200" s="2070">
        <v>4.7724625838007342E-3</v>
      </c>
    </row>
    <row r="201" spans="2:3" hidden="1">
      <c r="B201" s="2068" t="s">
        <v>9</v>
      </c>
      <c r="C201" s="2074"/>
    </row>
    <row r="202" spans="2:3" hidden="1">
      <c r="B202" s="2069" t="s">
        <v>425</v>
      </c>
      <c r="C202" s="2073">
        <v>12.350481537959073</v>
      </c>
    </row>
    <row r="203" spans="2:3" hidden="1">
      <c r="B203" s="2069" t="s">
        <v>2075</v>
      </c>
      <c r="C203" s="2070">
        <v>0</v>
      </c>
    </row>
    <row r="204" spans="2:3" hidden="1">
      <c r="B204" s="2068" t="s">
        <v>422</v>
      </c>
      <c r="C204" s="2079"/>
    </row>
    <row r="205" spans="2:3" hidden="1">
      <c r="B205" s="2069" t="s">
        <v>425</v>
      </c>
      <c r="C205" s="2073">
        <v>0</v>
      </c>
    </row>
    <row r="206" spans="2:3" hidden="1">
      <c r="B206" s="2069" t="s">
        <v>2075</v>
      </c>
      <c r="C206" s="2070">
        <v>1.6580118000131063E-2</v>
      </c>
    </row>
    <row r="207" spans="2:3" hidden="1">
      <c r="B207" s="2068" t="s">
        <v>309</v>
      </c>
      <c r="C207" s="2070">
        <v>2.3289170778172598E-3</v>
      </c>
    </row>
    <row r="208" spans="2:3" hidden="1">
      <c r="B208" s="2068" t="s">
        <v>10</v>
      </c>
      <c r="C208" s="2074"/>
    </row>
    <row r="209" spans="2:3" hidden="1">
      <c r="B209" s="2069" t="s">
        <v>425</v>
      </c>
      <c r="C209" s="2073">
        <v>0</v>
      </c>
    </row>
    <row r="210" spans="2:3" hidden="1">
      <c r="B210" s="2069" t="s">
        <v>2075</v>
      </c>
      <c r="C210" s="2070">
        <v>1.0419919680527794E-2</v>
      </c>
    </row>
    <row r="211" spans="2:3" hidden="1">
      <c r="B211" s="2069" t="s">
        <v>2077</v>
      </c>
      <c r="C211" s="2070">
        <v>4.6442952554459453E-3</v>
      </c>
    </row>
    <row r="212" spans="2:3" hidden="1">
      <c r="B212" s="2068" t="s">
        <v>2078</v>
      </c>
      <c r="C212" s="2074"/>
    </row>
    <row r="213" spans="2:3" hidden="1">
      <c r="B213" s="2069" t="s">
        <v>2074</v>
      </c>
      <c r="C213" s="2073">
        <v>0</v>
      </c>
    </row>
    <row r="214" spans="2:3" hidden="1">
      <c r="B214" s="2069" t="s">
        <v>2075</v>
      </c>
      <c r="C214" s="2070">
        <v>8.5415379197486999E-2</v>
      </c>
    </row>
    <row r="215" spans="2:3" hidden="1">
      <c r="B215" s="2069" t="s">
        <v>2079</v>
      </c>
      <c r="C215" s="2070">
        <v>0</v>
      </c>
    </row>
    <row r="216" spans="2:3" hidden="1">
      <c r="B216" s="2069" t="s">
        <v>2080</v>
      </c>
      <c r="C216" s="2070">
        <v>1.5068559754966202E-3</v>
      </c>
    </row>
    <row r="217" spans="2:3" hidden="1">
      <c r="B217" s="2069" t="s">
        <v>2032</v>
      </c>
      <c r="C217" s="2070">
        <v>0</v>
      </c>
    </row>
    <row r="218" spans="2:3" hidden="1">
      <c r="B218" s="2068" t="s">
        <v>2081</v>
      </c>
      <c r="C218" s="2070"/>
    </row>
    <row r="219" spans="2:3" hidden="1">
      <c r="B219" s="2069" t="s">
        <v>2076</v>
      </c>
      <c r="C219" s="2070">
        <v>8.5415379197486999E-2</v>
      </c>
    </row>
    <row r="220" spans="2:3" hidden="1"/>
    <row r="221" spans="2:3" hidden="1">
      <c r="B221" s="2121"/>
      <c r="C221" s="2128"/>
    </row>
    <row r="222" spans="2:3">
      <c r="B222" s="2134" t="s">
        <v>434</v>
      </c>
      <c r="C222" s="2128"/>
    </row>
    <row r="223" spans="2:3" ht="36">
      <c r="B223" s="2121" t="s">
        <v>2058</v>
      </c>
      <c r="C223" s="2128"/>
    </row>
    <row r="224" spans="2:3">
      <c r="B224" s="2120"/>
      <c r="C224" s="2128"/>
    </row>
    <row r="225" spans="2:3">
      <c r="B225" s="2113" t="s">
        <v>435</v>
      </c>
      <c r="C225" s="2114"/>
    </row>
    <row r="226" spans="2:3">
      <c r="B226" s="2117" t="s">
        <v>2047</v>
      </c>
      <c r="C226" s="2135"/>
    </row>
    <row r="227" spans="2:3">
      <c r="B227" s="2118" t="s">
        <v>313</v>
      </c>
      <c r="C227" s="2130">
        <v>10.028582517444198</v>
      </c>
    </row>
    <row r="228" spans="2:3">
      <c r="B228" s="2118" t="s">
        <v>425</v>
      </c>
      <c r="C228" s="2130">
        <v>15.322040276819072</v>
      </c>
    </row>
    <row r="229" spans="2:3">
      <c r="B229" s="2118" t="s">
        <v>427</v>
      </c>
      <c r="C229" s="2136">
        <v>0.14615506181537133</v>
      </c>
    </row>
    <row r="230" spans="2:3">
      <c r="B230" s="2125" t="s">
        <v>1810</v>
      </c>
      <c r="C230" s="2123"/>
    </row>
    <row r="231" spans="2:3">
      <c r="B231" s="2120" t="s">
        <v>12</v>
      </c>
      <c r="C231" s="2127"/>
    </row>
    <row r="232" spans="2:3">
      <c r="B232" s="2121" t="s">
        <v>428</v>
      </c>
      <c r="C232" s="2126">
        <v>10.028582517444198</v>
      </c>
    </row>
    <row r="233" spans="2:3">
      <c r="B233" s="2121" t="s">
        <v>250</v>
      </c>
      <c r="C233" s="2122">
        <v>4.5877896686709668E-3</v>
      </c>
    </row>
    <row r="234" spans="2:3">
      <c r="B234" s="2120" t="s">
        <v>9</v>
      </c>
      <c r="C234" s="2127"/>
    </row>
    <row r="235" spans="2:3">
      <c r="B235" s="2121" t="s">
        <v>425</v>
      </c>
      <c r="C235" s="2126">
        <v>11.28539648731137</v>
      </c>
    </row>
    <row r="236" spans="2:3">
      <c r="B236" s="2121" t="s">
        <v>427</v>
      </c>
      <c r="C236" s="2122">
        <v>0</v>
      </c>
    </row>
    <row r="237" spans="2:3">
      <c r="B237" s="2120" t="s">
        <v>422</v>
      </c>
      <c r="C237" s="2137"/>
    </row>
    <row r="238" spans="2:3">
      <c r="B238" s="2121" t="s">
        <v>425</v>
      </c>
      <c r="C238" s="2126">
        <v>0.39236045371705164</v>
      </c>
    </row>
    <row r="239" spans="2:3">
      <c r="B239" s="2121" t="s">
        <v>427</v>
      </c>
      <c r="C239" s="2122">
        <v>1.0906811401910178E-2</v>
      </c>
    </row>
    <row r="240" spans="2:3">
      <c r="B240" s="2120" t="s">
        <v>309</v>
      </c>
      <c r="C240" s="2122">
        <v>2.3290616479463527E-3</v>
      </c>
    </row>
    <row r="241" spans="2:3">
      <c r="B241" s="2120" t="s">
        <v>10</v>
      </c>
      <c r="C241" s="2127"/>
    </row>
    <row r="242" spans="2:3">
      <c r="B242" s="2121" t="s">
        <v>425</v>
      </c>
      <c r="C242" s="2126">
        <v>1.5629907018895342</v>
      </c>
    </row>
    <row r="243" spans="2:3">
      <c r="B243" s="2121" t="s">
        <v>427</v>
      </c>
      <c r="C243" s="2122">
        <v>4.1030800763572238E-3</v>
      </c>
    </row>
    <row r="244" spans="2:3">
      <c r="B244" s="2121" t="s">
        <v>2030</v>
      </c>
      <c r="C244" s="2122">
        <v>4.6463780838403457E-3</v>
      </c>
    </row>
    <row r="245" spans="2:3">
      <c r="B245" s="2120" t="s">
        <v>11</v>
      </c>
      <c r="C245" s="2127"/>
    </row>
    <row r="246" spans="2:3">
      <c r="B246" s="2121" t="s">
        <v>425</v>
      </c>
      <c r="C246" s="2126">
        <v>2.0812926339011164</v>
      </c>
    </row>
    <row r="247" spans="2:3">
      <c r="B247" s="2121" t="s">
        <v>427</v>
      </c>
      <c r="C247" s="2122">
        <v>8.5454324797649472E-2</v>
      </c>
    </row>
    <row r="248" spans="2:3">
      <c r="B248" s="2121" t="s">
        <v>1212</v>
      </c>
      <c r="C248" s="2122">
        <v>3.2620666623732295E-2</v>
      </c>
    </row>
    <row r="249" spans="2:3">
      <c r="B249" s="2121" t="s">
        <v>2031</v>
      </c>
      <c r="C249" s="2122">
        <v>1.5069495152645132E-3</v>
      </c>
    </row>
    <row r="250" spans="2:3">
      <c r="B250" s="2121" t="s">
        <v>2032</v>
      </c>
      <c r="C250" s="2122">
        <v>0</v>
      </c>
    </row>
    <row r="251" spans="2:3">
      <c r="B251" s="2121"/>
      <c r="C251" s="2133"/>
    </row>
    <row r="252" spans="2:3">
      <c r="B252" s="2113" t="s">
        <v>436</v>
      </c>
      <c r="C252" s="2114"/>
    </row>
    <row r="253" spans="2:3" ht="36">
      <c r="B253" s="2121" t="s">
        <v>430</v>
      </c>
      <c r="C253" s="2128"/>
    </row>
    <row r="254" spans="2:3">
      <c r="B254" s="2121"/>
      <c r="C254" s="2128"/>
    </row>
    <row r="255" spans="2:3">
      <c r="B255" s="2117" t="s">
        <v>2047</v>
      </c>
      <c r="C255" s="2114"/>
    </row>
    <row r="256" spans="2:3">
      <c r="B256" s="2118" t="s">
        <v>313</v>
      </c>
      <c r="C256" s="2132">
        <v>10.028582517444198</v>
      </c>
    </row>
    <row r="257" spans="2:3">
      <c r="B257" s="2118" t="s">
        <v>2055</v>
      </c>
      <c r="C257" s="2130">
        <v>10.39598442500489</v>
      </c>
    </row>
    <row r="258" spans="2:3">
      <c r="B258" s="2118" t="s">
        <v>2056</v>
      </c>
      <c r="C258" s="2132">
        <v>5.4612073061446331</v>
      </c>
    </row>
    <row r="259" spans="2:3">
      <c r="B259" s="2118" t="s">
        <v>2057</v>
      </c>
      <c r="C259" s="2132">
        <v>0</v>
      </c>
    </row>
    <row r="260" spans="2:3">
      <c r="B260" s="2118" t="s">
        <v>2044</v>
      </c>
      <c r="C260" s="2119">
        <v>0.21907857906844072</v>
      </c>
    </row>
    <row r="261" spans="2:3">
      <c r="B261" s="2118" t="s">
        <v>2045</v>
      </c>
      <c r="C261" s="2119">
        <v>0.16624436409211646</v>
      </c>
    </row>
    <row r="262" spans="2:3">
      <c r="B262" s="2118" t="s">
        <v>2046</v>
      </c>
      <c r="C262" s="2119">
        <v>0.1112087234917787</v>
      </c>
    </row>
    <row r="263" spans="2:3">
      <c r="B263" s="2125" t="s">
        <v>2008</v>
      </c>
      <c r="C263" s="2123"/>
    </row>
    <row r="264" spans="2:3">
      <c r="B264" s="2120" t="s">
        <v>12</v>
      </c>
      <c r="C264" s="2127"/>
    </row>
    <row r="265" spans="2:3">
      <c r="B265" s="2121" t="s">
        <v>428</v>
      </c>
      <c r="C265" s="2126">
        <v>10.028582517444198</v>
      </c>
    </row>
    <row r="266" spans="2:3">
      <c r="B266" s="2121" t="s">
        <v>427</v>
      </c>
      <c r="C266" s="2122">
        <v>4.5877896686709668E-3</v>
      </c>
    </row>
    <row r="267" spans="2:3">
      <c r="B267" s="2120" t="s">
        <v>9</v>
      </c>
      <c r="C267" s="2127"/>
    </row>
    <row r="268" spans="2:3">
      <c r="B268" s="2121" t="s">
        <v>2055</v>
      </c>
      <c r="C268" s="2126">
        <v>6.2218121554158667</v>
      </c>
    </row>
    <row r="269" spans="2:3">
      <c r="B269" s="2121" t="s">
        <v>2068</v>
      </c>
      <c r="C269" s="2126">
        <v>5.4612073061446331</v>
      </c>
    </row>
    <row r="270" spans="2:3">
      <c r="B270" s="2121" t="s">
        <v>2069</v>
      </c>
      <c r="C270" s="2126">
        <v>0</v>
      </c>
    </row>
    <row r="271" spans="2:3">
      <c r="B271" s="2121" t="s">
        <v>250</v>
      </c>
      <c r="C271" s="2122">
        <v>0</v>
      </c>
    </row>
    <row r="272" spans="2:3">
      <c r="B272" s="2120" t="s">
        <v>422</v>
      </c>
      <c r="C272" s="2138"/>
    </row>
    <row r="273" spans="2:3">
      <c r="B273" s="2121" t="s">
        <v>2059</v>
      </c>
      <c r="C273" s="2126">
        <v>0.40572817691917867</v>
      </c>
    </row>
    <row r="274" spans="2:3">
      <c r="B274" s="2121" t="s">
        <v>2044</v>
      </c>
      <c r="C274" s="2122">
        <v>1.0906811401910178E-2</v>
      </c>
    </row>
    <row r="275" spans="2:3">
      <c r="B275" s="2121" t="s">
        <v>2045</v>
      </c>
      <c r="C275" s="2122">
        <v>1.0906811401910178E-2</v>
      </c>
    </row>
    <row r="276" spans="2:3">
      <c r="B276" s="2121" t="s">
        <v>2046</v>
      </c>
      <c r="C276" s="2122">
        <v>1.0906811401910178E-2</v>
      </c>
    </row>
    <row r="277" spans="2:3">
      <c r="B277" s="2120" t="s">
        <v>309</v>
      </c>
      <c r="C277" s="2122">
        <v>2.3290616479463527E-3</v>
      </c>
    </row>
    <row r="278" spans="2:3">
      <c r="B278" s="2120" t="s">
        <v>10</v>
      </c>
      <c r="C278" s="2127"/>
    </row>
    <row r="279" spans="2:3">
      <c r="B279" s="2121" t="s">
        <v>2055</v>
      </c>
      <c r="C279" s="2126">
        <v>1.6162418052370313</v>
      </c>
    </row>
    <row r="280" spans="2:3">
      <c r="B280" s="2121" t="s">
        <v>2044</v>
      </c>
      <c r="C280" s="2122">
        <v>3.9391533711475996E-3</v>
      </c>
    </row>
    <row r="281" spans="2:3">
      <c r="B281" s="2121" t="s">
        <v>2045</v>
      </c>
      <c r="C281" s="2122">
        <v>3.9391533711475996E-3</v>
      </c>
    </row>
    <row r="282" spans="2:3">
      <c r="B282" s="2121" t="s">
        <v>2046</v>
      </c>
      <c r="C282" s="2122">
        <v>3.9391533711475996E-3</v>
      </c>
    </row>
    <row r="283" spans="2:3">
      <c r="B283" s="2121" t="s">
        <v>2030</v>
      </c>
      <c r="C283" s="2122">
        <v>4.6463780838403457E-3</v>
      </c>
    </row>
    <row r="284" spans="2:3">
      <c r="B284" s="2120" t="s">
        <v>11</v>
      </c>
      <c r="C284" s="2127"/>
    </row>
    <row r="285" spans="2:3">
      <c r="B285" s="2121" t="s">
        <v>2055</v>
      </c>
      <c r="C285" s="2126">
        <v>2.1522022874328148</v>
      </c>
    </row>
    <row r="286" spans="2:3">
      <c r="B286" s="2121" t="s">
        <v>1212</v>
      </c>
      <c r="C286" s="2122">
        <v>3.9264067322728503E-2</v>
      </c>
    </row>
    <row r="287" spans="2:3">
      <c r="B287" s="2121" t="s">
        <v>2044</v>
      </c>
      <c r="C287" s="2122">
        <v>0.15189836805693227</v>
      </c>
    </row>
    <row r="288" spans="2:3">
      <c r="B288" s="2121" t="s">
        <v>2045</v>
      </c>
      <c r="C288" s="2122">
        <v>9.9064153080608008E-2</v>
      </c>
    </row>
    <row r="289" spans="2:3">
      <c r="B289" s="2121" t="s">
        <v>2046</v>
      </c>
      <c r="C289" s="2122">
        <v>4.4028512480270225E-2</v>
      </c>
    </row>
    <row r="290" spans="2:3">
      <c r="B290" s="2121" t="s">
        <v>2031</v>
      </c>
      <c r="C290" s="2122">
        <v>1.5069495152645132E-3</v>
      </c>
    </row>
    <row r="291" spans="2:3">
      <c r="B291" s="2121" t="s">
        <v>2032</v>
      </c>
      <c r="C291" s="2122">
        <v>0</v>
      </c>
    </row>
    <row r="292" spans="2:3">
      <c r="B292" s="2121"/>
      <c r="C292" s="2122"/>
    </row>
    <row r="293" spans="2:3" hidden="1">
      <c r="B293" s="2064" t="s">
        <v>2082</v>
      </c>
      <c r="C293" s="2065"/>
    </row>
    <row r="294" spans="2:3" hidden="1">
      <c r="B294" s="2066" t="s">
        <v>2047</v>
      </c>
      <c r="C294" s="2077"/>
    </row>
    <row r="295" spans="2:3" hidden="1">
      <c r="B295" s="2067" t="s">
        <v>313</v>
      </c>
      <c r="C295" s="2076">
        <v>10.028582517444198</v>
      </c>
    </row>
    <row r="296" spans="2:3" hidden="1">
      <c r="B296" s="2067" t="s">
        <v>2073</v>
      </c>
      <c r="C296" s="2076">
        <v>11.28539648731137</v>
      </c>
    </row>
    <row r="297" spans="2:3" hidden="1">
      <c r="B297" s="2067" t="s">
        <v>2074</v>
      </c>
      <c r="C297" s="2076">
        <v>0</v>
      </c>
    </row>
    <row r="298" spans="2:3" hidden="1">
      <c r="B298" s="2067" t="s">
        <v>2075</v>
      </c>
      <c r="C298" s="2078">
        <v>0.11858971322340746</v>
      </c>
    </row>
    <row r="299" spans="2:3" hidden="1">
      <c r="B299" s="2067" t="s">
        <v>2076</v>
      </c>
      <c r="C299" s="2078">
        <v>8.5454324797649472E-2</v>
      </c>
    </row>
    <row r="300" spans="2:3" hidden="1">
      <c r="B300" s="2072" t="s">
        <v>1810</v>
      </c>
      <c r="C300" s="2071"/>
    </row>
    <row r="301" spans="2:3" hidden="1">
      <c r="B301" s="2068" t="s">
        <v>12</v>
      </c>
      <c r="C301" s="2074"/>
    </row>
    <row r="302" spans="2:3" hidden="1">
      <c r="B302" s="2069" t="s">
        <v>428</v>
      </c>
      <c r="C302" s="2073">
        <v>10.028582517444198</v>
      </c>
    </row>
    <row r="303" spans="2:3" hidden="1">
      <c r="B303" s="2069" t="s">
        <v>2075</v>
      </c>
      <c r="C303" s="2070">
        <v>4.5877896686709668E-3</v>
      </c>
    </row>
    <row r="304" spans="2:3" hidden="1">
      <c r="B304" s="2068" t="s">
        <v>9</v>
      </c>
      <c r="C304" s="2074"/>
    </row>
    <row r="305" spans="2:3" hidden="1">
      <c r="B305" s="2069" t="s">
        <v>425</v>
      </c>
      <c r="C305" s="2073">
        <v>11.28539648731137</v>
      </c>
    </row>
    <row r="306" spans="2:3" hidden="1">
      <c r="B306" s="2069" t="s">
        <v>2075</v>
      </c>
      <c r="C306" s="2070">
        <v>0</v>
      </c>
    </row>
    <row r="307" spans="2:3" hidden="1">
      <c r="B307" s="2068" t="s">
        <v>422</v>
      </c>
      <c r="C307" s="2079"/>
    </row>
    <row r="308" spans="2:3" hidden="1">
      <c r="B308" s="2069" t="s">
        <v>425</v>
      </c>
      <c r="C308" s="2073">
        <v>0</v>
      </c>
    </row>
    <row r="309" spans="2:3" hidden="1">
      <c r="B309" s="2069" t="s">
        <v>2075</v>
      </c>
      <c r="C309" s="2070">
        <v>1.1859049357321362E-2</v>
      </c>
    </row>
    <row r="310" spans="2:3" hidden="1">
      <c r="B310" s="2068" t="s">
        <v>309</v>
      </c>
      <c r="C310" s="2070">
        <v>2.3290616479463527E-3</v>
      </c>
    </row>
    <row r="311" spans="2:3" hidden="1">
      <c r="B311" s="2068" t="s">
        <v>10</v>
      </c>
      <c r="C311" s="2074"/>
    </row>
    <row r="312" spans="2:3" hidden="1">
      <c r="B312" s="2069" t="s">
        <v>425</v>
      </c>
      <c r="C312" s="2073">
        <v>0</v>
      </c>
    </row>
    <row r="313" spans="2:3" hidden="1">
      <c r="B313" s="2069" t="s">
        <v>2075</v>
      </c>
      <c r="C313" s="2070">
        <v>8.2061601527144475E-3</v>
      </c>
    </row>
    <row r="314" spans="2:3" hidden="1">
      <c r="B314" s="2069" t="s">
        <v>2077</v>
      </c>
      <c r="C314" s="2070">
        <v>4.6463780838403457E-3</v>
      </c>
    </row>
    <row r="315" spans="2:3" hidden="1">
      <c r="B315" s="2068" t="s">
        <v>2078</v>
      </c>
      <c r="C315" s="2074"/>
    </row>
    <row r="316" spans="2:3" hidden="1">
      <c r="B316" s="2069" t="s">
        <v>2074</v>
      </c>
      <c r="C316" s="2073">
        <v>0</v>
      </c>
    </row>
    <row r="317" spans="2:3" hidden="1">
      <c r="B317" s="2069" t="s">
        <v>2075</v>
      </c>
      <c r="C317" s="2070">
        <v>8.5454324797649472E-2</v>
      </c>
    </row>
    <row r="318" spans="2:3" hidden="1">
      <c r="B318" s="2069" t="s">
        <v>2079</v>
      </c>
      <c r="C318" s="2070">
        <v>0</v>
      </c>
    </row>
    <row r="319" spans="2:3" hidden="1">
      <c r="B319" s="2069" t="s">
        <v>2080</v>
      </c>
      <c r="C319" s="2070">
        <v>1.5069495152645132E-3</v>
      </c>
    </row>
    <row r="320" spans="2:3" hidden="1">
      <c r="B320" s="2069" t="s">
        <v>2032</v>
      </c>
      <c r="C320" s="2070">
        <v>0</v>
      </c>
    </row>
    <row r="321" spans="2:3" hidden="1">
      <c r="B321" s="2068" t="s">
        <v>2081</v>
      </c>
      <c r="C321" s="2070"/>
    </row>
    <row r="322" spans="2:3" hidden="1">
      <c r="B322" s="2069" t="s">
        <v>2076</v>
      </c>
      <c r="C322" s="2070">
        <v>8.5454324797649472E-2</v>
      </c>
    </row>
    <row r="323" spans="2:3" hidden="1">
      <c r="B323" s="2121"/>
      <c r="C323" s="2122"/>
    </row>
    <row r="324" spans="2:3" hidden="1">
      <c r="B324" s="2140"/>
      <c r="C324" s="2128"/>
    </row>
    <row r="325" spans="2:3">
      <c r="B325" s="2134" t="s">
        <v>437</v>
      </c>
      <c r="C325" s="2128"/>
    </row>
    <row r="326" spans="2:3">
      <c r="B326" s="2121"/>
      <c r="C326" s="2128"/>
    </row>
    <row r="327" spans="2:3" ht="24">
      <c r="B327" s="2121" t="s">
        <v>2060</v>
      </c>
      <c r="C327" s="2128"/>
    </row>
    <row r="328" spans="2:3">
      <c r="B328" s="2120"/>
      <c r="C328" s="2128"/>
    </row>
    <row r="329" spans="2:3">
      <c r="B329" s="2113" t="s">
        <v>438</v>
      </c>
      <c r="C329" s="2114"/>
    </row>
    <row r="330" spans="2:3">
      <c r="B330" s="2117" t="s">
        <v>2047</v>
      </c>
      <c r="C330" s="2114"/>
    </row>
    <row r="331" spans="2:3">
      <c r="B331" s="2118" t="s">
        <v>313</v>
      </c>
      <c r="C331" s="2132">
        <v>10.02</v>
      </c>
    </row>
    <row r="332" spans="2:3">
      <c r="B332" s="2118" t="s">
        <v>425</v>
      </c>
      <c r="C332" s="2132">
        <v>12.910765527765552</v>
      </c>
    </row>
    <row r="333" spans="2:3">
      <c r="B333" s="2118" t="s">
        <v>427</v>
      </c>
      <c r="C333" s="2119">
        <v>0.11443267907433477</v>
      </c>
    </row>
    <row r="334" spans="2:3">
      <c r="B334" s="2125" t="s">
        <v>1810</v>
      </c>
      <c r="C334" s="2123"/>
    </row>
    <row r="335" spans="2:3">
      <c r="B335" s="2120" t="s">
        <v>12</v>
      </c>
      <c r="C335" s="2139"/>
    </row>
    <row r="336" spans="2:3">
      <c r="B336" s="2121" t="s">
        <v>428</v>
      </c>
      <c r="C336" s="2126">
        <v>10.02</v>
      </c>
    </row>
    <row r="337" spans="2:3">
      <c r="B337" s="2121" t="s">
        <v>250</v>
      </c>
      <c r="C337" s="2122">
        <v>4.9285395562670789E-4</v>
      </c>
    </row>
    <row r="338" spans="2:3">
      <c r="B338" s="2120" t="s">
        <v>9</v>
      </c>
      <c r="C338" s="2127"/>
    </row>
    <row r="339" spans="2:3">
      <c r="B339" s="2121" t="s">
        <v>425</v>
      </c>
      <c r="C339" s="2126">
        <v>2.8189350336210572</v>
      </c>
    </row>
    <row r="340" spans="2:3">
      <c r="B340" s="2121" t="s">
        <v>250</v>
      </c>
      <c r="C340" s="2122">
        <v>0</v>
      </c>
    </row>
    <row r="341" spans="2:3">
      <c r="B341" s="2141" t="s">
        <v>422</v>
      </c>
      <c r="C341" s="2127"/>
    </row>
    <row r="342" spans="2:3">
      <c r="B342" s="2121" t="s">
        <v>425</v>
      </c>
      <c r="C342" s="2126">
        <v>6.8868100943057411E-2</v>
      </c>
    </row>
    <row r="343" spans="2:3">
      <c r="B343" s="2121" t="s">
        <v>427</v>
      </c>
      <c r="C343" s="2122">
        <v>1.6221710254750231E-3</v>
      </c>
    </row>
    <row r="344" spans="2:3">
      <c r="B344" s="2120" t="s">
        <v>309</v>
      </c>
      <c r="C344" s="2122">
        <v>2.3284010523007422E-3</v>
      </c>
    </row>
    <row r="345" spans="2:3">
      <c r="B345" s="2120" t="s">
        <v>10</v>
      </c>
      <c r="C345" s="2127"/>
    </row>
    <row r="346" spans="2:3">
      <c r="B346" s="2121" t="s">
        <v>425</v>
      </c>
      <c r="C346" s="2126">
        <v>1.8429087877228809</v>
      </c>
    </row>
    <row r="347" spans="2:3">
      <c r="B347" s="2121" t="s">
        <v>427</v>
      </c>
      <c r="C347" s="2122">
        <v>3.3915342005877212E-3</v>
      </c>
    </row>
    <row r="348" spans="2:3">
      <c r="B348" s="2121" t="s">
        <v>2030</v>
      </c>
      <c r="C348" s="2122">
        <v>4.6431092347196251E-3</v>
      </c>
    </row>
    <row r="349" spans="2:3">
      <c r="B349" s="2120" t="s">
        <v>11</v>
      </c>
      <c r="C349" s="2127"/>
    </row>
    <row r="350" spans="2:3">
      <c r="B350" s="2121" t="s">
        <v>441</v>
      </c>
      <c r="C350" s="2126">
        <v>8.1800536054785571</v>
      </c>
    </row>
    <row r="351" spans="2:3">
      <c r="B351" s="2121" t="s">
        <v>427</v>
      </c>
      <c r="C351" s="2122">
        <v>8.5394205433827558E-2</v>
      </c>
    </row>
    <row r="352" spans="2:3">
      <c r="B352" s="2121" t="s">
        <v>1212</v>
      </c>
      <c r="C352" s="2122">
        <v>1.5053882075141061E-2</v>
      </c>
    </row>
    <row r="353" spans="2:3">
      <c r="B353" s="2121" t="s">
        <v>2031</v>
      </c>
      <c r="C353" s="2122">
        <v>1.50652209665633E-3</v>
      </c>
    </row>
    <row r="354" spans="2:3">
      <c r="B354" s="2121" t="s">
        <v>2032</v>
      </c>
      <c r="C354" s="2122">
        <v>0</v>
      </c>
    </row>
    <row r="355" spans="2:3">
      <c r="B355" s="2121"/>
      <c r="C355" s="2133"/>
    </row>
    <row r="356" spans="2:3">
      <c r="B356" s="2113" t="s">
        <v>442</v>
      </c>
      <c r="C356" s="2114"/>
    </row>
    <row r="357" spans="2:3" ht="36">
      <c r="B357" s="2121" t="s">
        <v>430</v>
      </c>
      <c r="C357" s="2128"/>
    </row>
    <row r="358" spans="2:3">
      <c r="B358" s="2121"/>
      <c r="C358" s="2128"/>
    </row>
    <row r="359" spans="2:3">
      <c r="B359" s="2142" t="s">
        <v>2047</v>
      </c>
      <c r="C359" s="2114"/>
    </row>
    <row r="360" spans="2:3">
      <c r="B360" s="2118" t="s">
        <v>313</v>
      </c>
      <c r="C360" s="2132">
        <v>10.02</v>
      </c>
    </row>
    <row r="361" spans="2:3">
      <c r="B361" s="2118" t="s">
        <v>2055</v>
      </c>
      <c r="C361" s="2130">
        <v>12.177658956178787</v>
      </c>
    </row>
    <row r="362" spans="2:3">
      <c r="B362" s="2118" t="s">
        <v>2056</v>
      </c>
      <c r="C362" s="2132">
        <v>0.82557711453450167</v>
      </c>
    </row>
    <row r="363" spans="2:3">
      <c r="B363" s="2118" t="s">
        <v>2057</v>
      </c>
      <c r="C363" s="2132">
        <v>0</v>
      </c>
    </row>
    <row r="364" spans="2:3">
      <c r="B364" s="2118" t="s">
        <v>2044</v>
      </c>
      <c r="C364" s="2119">
        <v>0.16220387985051063</v>
      </c>
    </row>
    <row r="365" spans="2:3">
      <c r="B365" s="2118" t="s">
        <v>2045</v>
      </c>
      <c r="C365" s="2119">
        <v>0.12199615191718371</v>
      </c>
    </row>
    <row r="366" spans="2:3">
      <c r="B366" s="2118" t="s">
        <v>2046</v>
      </c>
      <c r="C366" s="2119">
        <v>8.1788423983856773E-2</v>
      </c>
    </row>
    <row r="367" spans="2:3">
      <c r="B367" s="2125" t="s">
        <v>2008</v>
      </c>
      <c r="C367" s="2123"/>
    </row>
    <row r="368" spans="2:3">
      <c r="B368" s="2120" t="s">
        <v>12</v>
      </c>
      <c r="C368" s="2127"/>
    </row>
    <row r="369" spans="2:3">
      <c r="B369" s="2121" t="s">
        <v>428</v>
      </c>
      <c r="C369" s="2126">
        <v>10.02</v>
      </c>
    </row>
    <row r="370" spans="2:3">
      <c r="B370" s="2121" t="s">
        <v>427</v>
      </c>
      <c r="C370" s="2122">
        <v>4.9285395562670789E-4</v>
      </c>
    </row>
    <row r="371" spans="2:3">
      <c r="B371" s="2120" t="s">
        <v>9</v>
      </c>
      <c r="C371" s="2127"/>
    </row>
    <row r="372" spans="2:3">
      <c r="B372" s="2121" t="s">
        <v>2055</v>
      </c>
      <c r="C372" s="2126">
        <v>2.0124074152109137</v>
      </c>
    </row>
    <row r="373" spans="2:3">
      <c r="B373" s="2121" t="s">
        <v>2068</v>
      </c>
      <c r="C373" s="2126">
        <v>0.82557711453450167</v>
      </c>
    </row>
    <row r="374" spans="2:3">
      <c r="B374" s="2121" t="s">
        <v>2069</v>
      </c>
      <c r="C374" s="2126">
        <v>0</v>
      </c>
    </row>
    <row r="375" spans="2:3">
      <c r="B375" s="2121" t="s">
        <v>427</v>
      </c>
      <c r="C375" s="2122">
        <v>0</v>
      </c>
    </row>
    <row r="376" spans="2:3">
      <c r="B376" s="2120" t="s">
        <v>422</v>
      </c>
      <c r="C376" s="2138"/>
    </row>
    <row r="377" spans="2:3">
      <c r="B377" s="2121" t="s">
        <v>2055</v>
      </c>
      <c r="C377" s="2126">
        <v>6.9369136713219329E-2</v>
      </c>
    </row>
    <row r="378" spans="2:3">
      <c r="B378" s="2121" t="s">
        <v>2044</v>
      </c>
      <c r="C378" s="2122">
        <v>1.6221710254750231E-3</v>
      </c>
    </row>
    <row r="379" spans="2:3">
      <c r="B379" s="2121" t="s">
        <v>2045</v>
      </c>
      <c r="C379" s="2122">
        <v>1.6221710254750231E-3</v>
      </c>
    </row>
    <row r="380" spans="2:3">
      <c r="B380" s="2121" t="s">
        <v>2046</v>
      </c>
      <c r="C380" s="2122">
        <v>1.6221710254750231E-3</v>
      </c>
    </row>
    <row r="381" spans="2:3">
      <c r="B381" s="2120" t="s">
        <v>309</v>
      </c>
      <c r="C381" s="2122">
        <v>2.3284010523007422E-3</v>
      </c>
    </row>
    <row r="382" spans="2:3">
      <c r="B382" s="2120" t="s">
        <v>10</v>
      </c>
      <c r="C382" s="2127"/>
    </row>
    <row r="383" spans="2:3">
      <c r="B383" s="2121" t="s">
        <v>2055</v>
      </c>
      <c r="C383" s="2126">
        <v>1.8563164933391338</v>
      </c>
    </row>
    <row r="384" spans="2:3">
      <c r="B384" s="2121" t="s">
        <v>2044</v>
      </c>
      <c r="C384" s="2122">
        <v>2.9613601597402394E-3</v>
      </c>
    </row>
    <row r="385" spans="2:3">
      <c r="B385" s="2121" t="s">
        <v>2045</v>
      </c>
      <c r="C385" s="2122">
        <v>2.9613601597402394E-3</v>
      </c>
    </row>
    <row r="386" spans="2:3">
      <c r="B386" s="2121" t="s">
        <v>2046</v>
      </c>
      <c r="C386" s="2122">
        <v>2.9613601597402394E-3</v>
      </c>
    </row>
    <row r="387" spans="2:3">
      <c r="B387" s="2121" t="s">
        <v>2030</v>
      </c>
      <c r="C387" s="2122">
        <v>4.6431092347196251E-3</v>
      </c>
    </row>
    <row r="388" spans="2:3">
      <c r="B388" s="2120" t="s">
        <v>11</v>
      </c>
      <c r="C388" s="2127"/>
    </row>
    <row r="389" spans="2:3">
      <c r="B389" s="2121" t="s">
        <v>2055</v>
      </c>
      <c r="C389" s="2126">
        <v>8.2395659109155197</v>
      </c>
    </row>
    <row r="390" spans="2:3">
      <c r="B390" s="2121" t="s">
        <v>1212</v>
      </c>
      <c r="C390" s="2122">
        <v>1.3154927098616291E-2</v>
      </c>
    </row>
    <row r="391" spans="2:3">
      <c r="B391" s="2121" t="s">
        <v>2044</v>
      </c>
      <c r="C391" s="2122">
        <v>0.13549453522737567</v>
      </c>
    </row>
    <row r="392" spans="2:3">
      <c r="B392" s="2121" t="s">
        <v>2045</v>
      </c>
      <c r="C392" s="2122">
        <v>9.5286807294048759E-2</v>
      </c>
    </row>
    <row r="393" spans="2:3">
      <c r="B393" s="2121" t="s">
        <v>2046</v>
      </c>
      <c r="C393" s="2122">
        <v>5.5079079360721817E-2</v>
      </c>
    </row>
    <row r="394" spans="2:3">
      <c r="B394" s="2121" t="s">
        <v>2031</v>
      </c>
      <c r="C394" s="2122">
        <v>1.50652209665633E-3</v>
      </c>
    </row>
    <row r="395" spans="2:3">
      <c r="B395" s="2121" t="s">
        <v>2032</v>
      </c>
      <c r="C395" s="2122">
        <v>0</v>
      </c>
    </row>
    <row r="396" spans="2:3">
      <c r="B396" s="2140"/>
      <c r="C396" s="2128"/>
    </row>
    <row r="397" spans="2:3">
      <c r="B397" s="2140"/>
      <c r="C397" s="2128"/>
    </row>
    <row r="398" spans="2:3">
      <c r="B398" s="2080" t="s">
        <v>2061</v>
      </c>
      <c r="C398" s="2143"/>
    </row>
    <row r="399" spans="2:3">
      <c r="B399" s="2080" t="s">
        <v>2028</v>
      </c>
      <c r="C399" s="2143"/>
    </row>
    <row r="400" spans="2:3">
      <c r="B400" s="2147"/>
      <c r="C400" s="2112"/>
    </row>
    <row r="401" spans="2:3">
      <c r="B401" s="2148" t="s">
        <v>443</v>
      </c>
      <c r="C401" s="2143"/>
    </row>
    <row r="402" spans="2:3" ht="24">
      <c r="B402" s="2149" t="s">
        <v>444</v>
      </c>
      <c r="C402" s="2112"/>
    </row>
    <row r="403" spans="2:3">
      <c r="B403" s="2149"/>
      <c r="C403" s="2112"/>
    </row>
    <row r="404" spans="2:3">
      <c r="B404" s="2113" t="s">
        <v>2062</v>
      </c>
      <c r="C404" s="2114"/>
    </row>
    <row r="405" spans="2:3">
      <c r="B405" s="2120" t="s">
        <v>12</v>
      </c>
      <c r="C405" s="2144"/>
    </row>
    <row r="406" spans="2:3">
      <c r="B406" s="2111" t="s">
        <v>428</v>
      </c>
      <c r="C406" s="2145">
        <v>2.7858918380524229</v>
      </c>
    </row>
    <row r="407" spans="2:3">
      <c r="B407" s="2121" t="s">
        <v>250</v>
      </c>
      <c r="C407" s="2131">
        <v>4.7724625838007342E-3</v>
      </c>
    </row>
    <row r="408" spans="2:3">
      <c r="B408" s="2120" t="s">
        <v>9</v>
      </c>
      <c r="C408" s="2144"/>
    </row>
    <row r="409" spans="2:3">
      <c r="B409" s="2121" t="s">
        <v>425</v>
      </c>
      <c r="C409" s="2145">
        <v>12.350481537959073</v>
      </c>
    </row>
    <row r="410" spans="2:3">
      <c r="B410" s="2121" t="s">
        <v>427</v>
      </c>
      <c r="C410" s="2146">
        <v>0</v>
      </c>
    </row>
    <row r="411" spans="2:3">
      <c r="B411" s="2141" t="s">
        <v>422</v>
      </c>
      <c r="C411" s="2122"/>
    </row>
    <row r="412" spans="2:3">
      <c r="B412" s="2121" t="s">
        <v>425</v>
      </c>
      <c r="C412" s="2145">
        <v>0.48748879769182402</v>
      </c>
    </row>
    <row r="413" spans="2:3">
      <c r="B413" s="2121" t="s">
        <v>427</v>
      </c>
      <c r="C413" s="2131">
        <v>1.4869881740786104E-2</v>
      </c>
    </row>
    <row r="414" spans="2:3">
      <c r="B414" s="2120" t="s">
        <v>309</v>
      </c>
      <c r="C414" s="2131">
        <v>2.3289170778172598E-3</v>
      </c>
    </row>
    <row r="415" spans="2:3">
      <c r="B415" s="2120" t="s">
        <v>10</v>
      </c>
      <c r="C415" s="2122"/>
    </row>
    <row r="416" spans="2:3">
      <c r="B416" s="2121" t="s">
        <v>425</v>
      </c>
      <c r="C416" s="2145">
        <v>1.4286605609718894</v>
      </c>
    </row>
    <row r="417" spans="2:3">
      <c r="B417" s="2121" t="s">
        <v>427</v>
      </c>
      <c r="C417" s="2131">
        <v>5.2099598402638968E-3</v>
      </c>
    </row>
    <row r="418" spans="2:3">
      <c r="B418" s="2120" t="s">
        <v>11</v>
      </c>
      <c r="C418" s="2122"/>
    </row>
    <row r="419" spans="2:3">
      <c r="B419" s="2121" t="s">
        <v>441</v>
      </c>
      <c r="C419" s="2145">
        <v>16.003857874579907</v>
      </c>
    </row>
    <row r="420" spans="2:3">
      <c r="B420" s="2121" t="s">
        <v>1212</v>
      </c>
      <c r="C420" s="2146">
        <v>0</v>
      </c>
    </row>
    <row r="421" spans="2:3">
      <c r="B421" s="2121" t="s">
        <v>2031</v>
      </c>
      <c r="C421" s="2131">
        <v>1.5068559754966202E-3</v>
      </c>
    </row>
    <row r="422" spans="2:3">
      <c r="B422" s="2147"/>
      <c r="C422" s="2112"/>
    </row>
    <row r="423" spans="2:3">
      <c r="B423" s="2113" t="s">
        <v>2063</v>
      </c>
      <c r="C423" s="2114"/>
    </row>
    <row r="424" spans="2:3">
      <c r="B424" s="2120" t="s">
        <v>12</v>
      </c>
      <c r="C424" s="2127"/>
    </row>
    <row r="425" spans="2:3">
      <c r="B425" s="2121" t="s">
        <v>428</v>
      </c>
      <c r="C425" s="2145">
        <v>2.7858918380524229</v>
      </c>
    </row>
    <row r="426" spans="2:3">
      <c r="B426" s="2121" t="s">
        <v>427</v>
      </c>
      <c r="C426" s="2131">
        <v>4.7724625838007342E-3</v>
      </c>
    </row>
    <row r="427" spans="2:3">
      <c r="B427" s="2120" t="s">
        <v>9</v>
      </c>
      <c r="C427" s="2144"/>
    </row>
    <row r="428" spans="2:3">
      <c r="B428" s="2121" t="s">
        <v>2055</v>
      </c>
      <c r="C428" s="2145">
        <v>7.67707054875138</v>
      </c>
    </row>
    <row r="429" spans="2:3">
      <c r="B429" s="2121" t="s">
        <v>2068</v>
      </c>
      <c r="C429" s="2145">
        <v>5.2634388685242275</v>
      </c>
    </row>
    <row r="430" spans="2:3">
      <c r="B430" s="2121" t="s">
        <v>2069</v>
      </c>
      <c r="C430" s="2146">
        <v>0</v>
      </c>
    </row>
    <row r="431" spans="2:3">
      <c r="B431" s="2121" t="s">
        <v>427</v>
      </c>
      <c r="C431" s="2146">
        <v>0</v>
      </c>
    </row>
    <row r="432" spans="2:3">
      <c r="B432" s="2141" t="s">
        <v>422</v>
      </c>
      <c r="C432" s="2122"/>
    </row>
    <row r="433" spans="2:3">
      <c r="B433" s="2121" t="s">
        <v>2055</v>
      </c>
      <c r="C433" s="2145">
        <v>0.50902886227510924</v>
      </c>
    </row>
    <row r="434" spans="2:3">
      <c r="B434" s="2121" t="s">
        <v>2044</v>
      </c>
      <c r="C434" s="2131">
        <v>1.4869881740786104E-2</v>
      </c>
    </row>
    <row r="435" spans="2:3">
      <c r="B435" s="2121" t="s">
        <v>2045</v>
      </c>
      <c r="C435" s="2146">
        <v>1.4869881740786104E-2</v>
      </c>
    </row>
    <row r="436" spans="2:3">
      <c r="B436" s="2121" t="s">
        <v>2046</v>
      </c>
      <c r="C436" s="2146">
        <v>1.4869881740786104E-2</v>
      </c>
    </row>
    <row r="437" spans="2:3">
      <c r="B437" s="2120" t="s">
        <v>309</v>
      </c>
      <c r="C437" s="2131">
        <v>2.3289170778172598E-3</v>
      </c>
    </row>
    <row r="438" spans="2:3">
      <c r="B438" s="2120" t="s">
        <v>10</v>
      </c>
      <c r="C438" s="2122"/>
    </row>
    <row r="439" spans="2:3">
      <c r="B439" s="2121" t="s">
        <v>2055</v>
      </c>
      <c r="C439" s="2145">
        <v>1.4917870182292337</v>
      </c>
    </row>
    <row r="440" spans="2:3">
      <c r="B440" s="2121" t="s">
        <v>2044</v>
      </c>
      <c r="C440" s="2131">
        <v>2.2618423369874714E-3</v>
      </c>
    </row>
    <row r="441" spans="2:3">
      <c r="B441" s="2121" t="s">
        <v>2045</v>
      </c>
      <c r="C441" s="2131">
        <v>2.2618423369874714E-3</v>
      </c>
    </row>
    <row r="442" spans="2:3">
      <c r="B442" s="2121" t="s">
        <v>2046</v>
      </c>
      <c r="C442" s="2131">
        <v>2.2618423369874714E-3</v>
      </c>
    </row>
    <row r="443" spans="2:3">
      <c r="B443" s="2120" t="s">
        <v>11</v>
      </c>
      <c r="C443" s="2122"/>
    </row>
    <row r="444" spans="2:3">
      <c r="B444" s="2121" t="s">
        <v>2055</v>
      </c>
      <c r="C444" s="2145">
        <v>16.003857874579907</v>
      </c>
    </row>
    <row r="445" spans="2:3">
      <c r="B445" s="2121" t="s">
        <v>1212</v>
      </c>
      <c r="C445" s="2146">
        <v>0</v>
      </c>
    </row>
    <row r="446" spans="2:3">
      <c r="B446" s="2121" t="s">
        <v>2031</v>
      </c>
      <c r="C446" s="2131">
        <v>1.5068559754966202E-3</v>
      </c>
    </row>
    <row r="447" spans="2:3">
      <c r="B447" s="2149"/>
      <c r="C447" s="2112"/>
    </row>
    <row r="448" spans="2:3">
      <c r="B448" s="2148" t="s">
        <v>630</v>
      </c>
      <c r="C448" s="2143"/>
    </row>
    <row r="449" spans="1:3" ht="24">
      <c r="B449" s="2149" t="s">
        <v>445</v>
      </c>
      <c r="C449" s="2112"/>
    </row>
    <row r="450" spans="1:3">
      <c r="B450" s="2149"/>
      <c r="C450" s="2112"/>
    </row>
    <row r="451" spans="1:3">
      <c r="B451" s="2113" t="s">
        <v>2062</v>
      </c>
      <c r="C451" s="2114"/>
    </row>
    <row r="452" spans="1:3">
      <c r="B452" s="2120" t="s">
        <v>12</v>
      </c>
      <c r="C452" s="2144"/>
    </row>
    <row r="453" spans="1:3">
      <c r="B453" s="2121" t="s">
        <v>428</v>
      </c>
      <c r="C453" s="2145">
        <v>5.0142912587220989</v>
      </c>
    </row>
    <row r="454" spans="1:3">
      <c r="B454" s="2121" t="s">
        <v>250</v>
      </c>
      <c r="C454" s="2131">
        <v>4.5877896686709668E-3</v>
      </c>
    </row>
    <row r="455" spans="1:3">
      <c r="B455" s="2120" t="s">
        <v>9</v>
      </c>
      <c r="C455" s="2144"/>
    </row>
    <row r="456" spans="1:3">
      <c r="B456" s="2121" t="s">
        <v>425</v>
      </c>
      <c r="C456" s="2145">
        <v>11.28539648731137</v>
      </c>
    </row>
    <row r="457" spans="1:3">
      <c r="B457" s="2121" t="s">
        <v>427</v>
      </c>
      <c r="C457" s="2131">
        <v>0</v>
      </c>
    </row>
    <row r="458" spans="1:3">
      <c r="B458" s="2141" t="s">
        <v>422</v>
      </c>
      <c r="C458" s="2122"/>
    </row>
    <row r="459" spans="1:3">
      <c r="A459" s="2151"/>
      <c r="B459" s="2121" t="s">
        <v>425</v>
      </c>
      <c r="C459" s="2145">
        <v>0.39236045371705164</v>
      </c>
    </row>
    <row r="460" spans="1:3">
      <c r="A460" s="2151"/>
      <c r="B460" s="2121" t="s">
        <v>427</v>
      </c>
      <c r="C460" s="2131">
        <v>1.0906811401910178E-2</v>
      </c>
    </row>
    <row r="461" spans="1:3">
      <c r="A461" s="2151"/>
      <c r="B461" s="2120" t="s">
        <v>309</v>
      </c>
      <c r="C461" s="2131">
        <v>2.3290616479463527E-3</v>
      </c>
    </row>
    <row r="462" spans="1:3">
      <c r="A462" s="2151"/>
      <c r="B462" s="2120" t="s">
        <v>10</v>
      </c>
      <c r="C462" s="2122"/>
    </row>
    <row r="463" spans="1:3">
      <c r="B463" s="2121" t="s">
        <v>425</v>
      </c>
      <c r="C463" s="2145">
        <v>1.5629907018895342</v>
      </c>
    </row>
    <row r="464" spans="1:3">
      <c r="A464" s="2151"/>
      <c r="B464" s="2121" t="s">
        <v>427</v>
      </c>
      <c r="C464" s="2131">
        <v>4.1030800763572238E-3</v>
      </c>
    </row>
    <row r="465" spans="1:3">
      <c r="A465" s="2151"/>
      <c r="B465" s="2120" t="s">
        <v>11</v>
      </c>
      <c r="C465" s="2122"/>
    </row>
    <row r="466" spans="1:3">
      <c r="B466" s="2121" t="s">
        <v>441</v>
      </c>
      <c r="C466" s="2145">
        <v>16.004310496383393</v>
      </c>
    </row>
    <row r="467" spans="1:3">
      <c r="B467" s="2121" t="s">
        <v>1212</v>
      </c>
      <c r="C467" s="2131">
        <v>0</v>
      </c>
    </row>
    <row r="468" spans="1:3">
      <c r="B468" s="2121" t="s">
        <v>2031</v>
      </c>
      <c r="C468" s="2131">
        <v>1.5069495152645132E-3</v>
      </c>
    </row>
    <row r="469" spans="1:3">
      <c r="B469" s="2149"/>
      <c r="C469" s="2112"/>
    </row>
    <row r="470" spans="1:3">
      <c r="B470" s="2113" t="s">
        <v>2063</v>
      </c>
      <c r="C470" s="2114"/>
    </row>
    <row r="471" spans="1:3">
      <c r="B471" s="2120" t="s">
        <v>12</v>
      </c>
      <c r="C471" s="2127"/>
    </row>
    <row r="472" spans="1:3">
      <c r="B472" s="2121" t="s">
        <v>428</v>
      </c>
      <c r="C472" s="2145">
        <v>5.0142912587220989</v>
      </c>
    </row>
    <row r="473" spans="1:3">
      <c r="B473" s="2121" t="s">
        <v>427</v>
      </c>
      <c r="C473" s="2131">
        <v>4.5877896686709668E-3</v>
      </c>
    </row>
    <row r="474" spans="1:3">
      <c r="B474" s="2120" t="s">
        <v>9</v>
      </c>
      <c r="C474" s="2144"/>
    </row>
    <row r="475" spans="1:3">
      <c r="B475" s="2121" t="s">
        <v>2055</v>
      </c>
      <c r="C475" s="2145">
        <v>6.2218121554158667</v>
      </c>
    </row>
    <row r="476" spans="1:3">
      <c r="B476" s="2121" t="s">
        <v>2068</v>
      </c>
      <c r="C476" s="2145">
        <v>5.4612073061446331</v>
      </c>
    </row>
    <row r="477" spans="1:3">
      <c r="B477" s="2121" t="s">
        <v>2069</v>
      </c>
      <c r="C477" s="2145">
        <v>0</v>
      </c>
    </row>
    <row r="478" spans="1:3">
      <c r="B478" s="2121" t="s">
        <v>427</v>
      </c>
      <c r="C478" s="2131">
        <v>0</v>
      </c>
    </row>
    <row r="479" spans="1:3">
      <c r="B479" s="2141" t="s">
        <v>422</v>
      </c>
      <c r="C479" s="2122"/>
    </row>
    <row r="480" spans="1:3">
      <c r="B480" s="2121" t="s">
        <v>2055</v>
      </c>
      <c r="C480" s="2145">
        <v>0.40572817691917867</v>
      </c>
    </row>
    <row r="481" spans="2:3">
      <c r="B481" s="2121" t="s">
        <v>2044</v>
      </c>
      <c r="C481" s="2131">
        <v>1.0906811401910178E-2</v>
      </c>
    </row>
    <row r="482" spans="2:3">
      <c r="B482" s="2121" t="s">
        <v>2045</v>
      </c>
      <c r="C482" s="2131">
        <v>1.0906811401910178E-2</v>
      </c>
    </row>
    <row r="483" spans="2:3">
      <c r="B483" s="2121" t="s">
        <v>2046</v>
      </c>
      <c r="C483" s="2131">
        <v>1.0906811401910178E-2</v>
      </c>
    </row>
    <row r="484" spans="2:3">
      <c r="B484" s="2120" t="s">
        <v>309</v>
      </c>
      <c r="C484" s="2131">
        <v>2.3290616479463527E-3</v>
      </c>
    </row>
    <row r="485" spans="2:3">
      <c r="B485" s="2120" t="s">
        <v>10</v>
      </c>
      <c r="C485" s="2122"/>
    </row>
    <row r="486" spans="2:3">
      <c r="B486" s="2121" t="s">
        <v>2055</v>
      </c>
      <c r="C486" s="2145">
        <v>1.6162418052370313</v>
      </c>
    </row>
    <row r="487" spans="2:3">
      <c r="B487" s="2121" t="s">
        <v>2044</v>
      </c>
      <c r="C487" s="2131">
        <v>3.9391533711475996E-3</v>
      </c>
    </row>
    <row r="488" spans="2:3">
      <c r="B488" s="2121" t="s">
        <v>2045</v>
      </c>
      <c r="C488" s="2131">
        <v>3.9391533711475996E-3</v>
      </c>
    </row>
    <row r="489" spans="2:3">
      <c r="B489" s="2121" t="s">
        <v>2046</v>
      </c>
      <c r="C489" s="2131">
        <v>3.9391533711475996E-3</v>
      </c>
    </row>
    <row r="490" spans="2:3">
      <c r="B490" s="2120" t="s">
        <v>11</v>
      </c>
      <c r="C490" s="2122"/>
    </row>
    <row r="491" spans="2:3">
      <c r="B491" s="2121" t="s">
        <v>2055</v>
      </c>
      <c r="C491" s="2145">
        <v>16.004310496383393</v>
      </c>
    </row>
    <row r="492" spans="2:3">
      <c r="B492" s="2121" t="s">
        <v>1212</v>
      </c>
      <c r="C492" s="2131">
        <v>0</v>
      </c>
    </row>
    <row r="493" spans="2:3">
      <c r="B493" s="2121" t="s">
        <v>2031</v>
      </c>
      <c r="C493" s="2131">
        <v>1.5069495152645132E-3</v>
      </c>
    </row>
    <row r="494" spans="2:3">
      <c r="B494" s="2147"/>
      <c r="C494" s="2112"/>
    </row>
    <row r="495" spans="2:3">
      <c r="B495" s="2148" t="s">
        <v>446</v>
      </c>
      <c r="C495" s="2143"/>
    </row>
    <row r="496" spans="2:3" ht="24">
      <c r="B496" s="2149" t="s">
        <v>447</v>
      </c>
      <c r="C496" s="2112"/>
    </row>
    <row r="497" spans="2:3">
      <c r="B497" s="2147"/>
      <c r="C497" s="2112"/>
    </row>
    <row r="498" spans="2:3">
      <c r="B498" s="2113" t="s">
        <v>2064</v>
      </c>
      <c r="C498" s="2114"/>
    </row>
    <row r="499" spans="2:3">
      <c r="B499" s="2120" t="s">
        <v>12</v>
      </c>
      <c r="C499" s="2139"/>
    </row>
    <row r="500" spans="2:3">
      <c r="B500" s="2121" t="s">
        <v>428</v>
      </c>
      <c r="C500" s="2145">
        <v>5.01</v>
      </c>
    </row>
    <row r="501" spans="2:3">
      <c r="B501" s="2121" t="s">
        <v>250</v>
      </c>
      <c r="C501" s="2131">
        <v>4.9285395562670789E-4</v>
      </c>
    </row>
    <row r="502" spans="2:3">
      <c r="B502" s="2120" t="s">
        <v>9</v>
      </c>
      <c r="C502" s="2144"/>
    </row>
    <row r="503" spans="2:3">
      <c r="B503" s="2121" t="s">
        <v>425</v>
      </c>
      <c r="C503" s="2145">
        <v>2.8189350336210572</v>
      </c>
    </row>
    <row r="504" spans="2:3">
      <c r="B504" s="2121" t="s">
        <v>427</v>
      </c>
      <c r="C504" s="2131">
        <v>0</v>
      </c>
    </row>
    <row r="505" spans="2:3">
      <c r="B505" s="2120" t="s">
        <v>422</v>
      </c>
      <c r="C505" s="2122"/>
    </row>
    <row r="506" spans="2:3">
      <c r="B506" s="2121" t="s">
        <v>425</v>
      </c>
      <c r="C506" s="2145">
        <v>6.8868100943057411E-2</v>
      </c>
    </row>
    <row r="507" spans="2:3">
      <c r="B507" s="2121" t="s">
        <v>427</v>
      </c>
      <c r="C507" s="2131">
        <v>1.6221710254750231E-3</v>
      </c>
    </row>
    <row r="508" spans="2:3">
      <c r="B508" s="2120" t="s">
        <v>309</v>
      </c>
      <c r="C508" s="2131">
        <v>2.3284010523007422E-3</v>
      </c>
    </row>
    <row r="509" spans="2:3">
      <c r="B509" s="2120" t="s">
        <v>10</v>
      </c>
      <c r="C509" s="2122"/>
    </row>
    <row r="510" spans="2:3">
      <c r="B510" s="2121" t="s">
        <v>425</v>
      </c>
      <c r="C510" s="2145">
        <v>1.8429087877228809</v>
      </c>
    </row>
    <row r="511" spans="2:3">
      <c r="B511" s="2121" t="s">
        <v>427</v>
      </c>
      <c r="C511" s="2131">
        <v>3.3915342005877212E-3</v>
      </c>
    </row>
    <row r="512" spans="2:3">
      <c r="B512" s="2120" t="s">
        <v>11</v>
      </c>
      <c r="C512" s="2122"/>
    </row>
    <row r="513" spans="2:3">
      <c r="B513" s="2121" t="s">
        <v>441</v>
      </c>
      <c r="C513" s="2145">
        <v>16</v>
      </c>
    </row>
    <row r="514" spans="2:3">
      <c r="B514" s="2121" t="s">
        <v>1212</v>
      </c>
      <c r="C514" s="2131">
        <v>0</v>
      </c>
    </row>
    <row r="515" spans="2:3">
      <c r="B515" s="2121" t="s">
        <v>2031</v>
      </c>
      <c r="C515" s="2131">
        <v>1.50652209665633E-3</v>
      </c>
    </row>
    <row r="516" spans="2:3">
      <c r="B516" s="2147"/>
      <c r="C516" s="2112"/>
    </row>
    <row r="517" spans="2:3">
      <c r="B517" s="2113" t="s">
        <v>2063</v>
      </c>
      <c r="C517" s="2114"/>
    </row>
    <row r="518" spans="2:3">
      <c r="B518" s="2120" t="s">
        <v>12</v>
      </c>
      <c r="C518" s="2127"/>
    </row>
    <row r="519" spans="2:3">
      <c r="B519" s="2121" t="s">
        <v>428</v>
      </c>
      <c r="C519" s="2145">
        <v>5.01</v>
      </c>
    </row>
    <row r="520" spans="2:3">
      <c r="B520" s="2121" t="s">
        <v>427</v>
      </c>
      <c r="C520" s="2131">
        <v>4.9285395562670789E-4</v>
      </c>
    </row>
    <row r="521" spans="2:3">
      <c r="B521" s="2120" t="s">
        <v>9</v>
      </c>
      <c r="C521" s="2144"/>
    </row>
    <row r="522" spans="2:3">
      <c r="B522" s="2121" t="s">
        <v>2055</v>
      </c>
      <c r="C522" s="2145">
        <v>2.0124074152109137</v>
      </c>
    </row>
    <row r="523" spans="2:3">
      <c r="B523" s="2121" t="s">
        <v>2068</v>
      </c>
      <c r="C523" s="2145">
        <v>0.82557711453450167</v>
      </c>
    </row>
    <row r="524" spans="2:3">
      <c r="B524" s="2121" t="s">
        <v>2069</v>
      </c>
      <c r="C524" s="2145">
        <v>0</v>
      </c>
    </row>
    <row r="525" spans="2:3">
      <c r="B525" s="2121" t="s">
        <v>427</v>
      </c>
      <c r="C525" s="2131">
        <v>0</v>
      </c>
    </row>
    <row r="526" spans="2:3">
      <c r="B526" s="2141" t="s">
        <v>422</v>
      </c>
      <c r="C526" s="2122"/>
    </row>
    <row r="527" spans="2:3">
      <c r="B527" s="2121" t="s">
        <v>2055</v>
      </c>
      <c r="C527" s="2145">
        <v>6.9369136713219329E-2</v>
      </c>
    </row>
    <row r="528" spans="2:3">
      <c r="B528" s="2121" t="s">
        <v>2044</v>
      </c>
      <c r="C528" s="2131">
        <v>1.6221710254750231E-3</v>
      </c>
    </row>
    <row r="529" spans="2:3">
      <c r="B529" s="2121" t="s">
        <v>2045</v>
      </c>
      <c r="C529" s="2131">
        <v>1.6221710254750231E-3</v>
      </c>
    </row>
    <row r="530" spans="2:3">
      <c r="B530" s="2121" t="s">
        <v>2046</v>
      </c>
      <c r="C530" s="2131">
        <v>1.6221710254750231E-3</v>
      </c>
    </row>
    <row r="531" spans="2:3">
      <c r="B531" s="2120" t="s">
        <v>309</v>
      </c>
      <c r="C531" s="2131">
        <v>2.3284010523007422E-3</v>
      </c>
    </row>
    <row r="532" spans="2:3">
      <c r="B532" s="2120" t="s">
        <v>10</v>
      </c>
      <c r="C532" s="2122"/>
    </row>
    <row r="533" spans="2:3">
      <c r="B533" s="2121" t="s">
        <v>2055</v>
      </c>
      <c r="C533" s="2145">
        <v>1.8563164933391338</v>
      </c>
    </row>
    <row r="534" spans="2:3">
      <c r="B534" s="2121" t="s">
        <v>2044</v>
      </c>
      <c r="C534" s="2131">
        <v>2.9613601597402394E-3</v>
      </c>
    </row>
    <row r="535" spans="2:3">
      <c r="B535" s="2121" t="s">
        <v>2045</v>
      </c>
      <c r="C535" s="2131">
        <v>2.9613601597402394E-3</v>
      </c>
    </row>
    <row r="536" spans="2:3">
      <c r="B536" s="2121" t="s">
        <v>2046</v>
      </c>
      <c r="C536" s="2131">
        <v>2.9613601597402394E-3</v>
      </c>
    </row>
    <row r="537" spans="2:3">
      <c r="B537" s="2120" t="s">
        <v>11</v>
      </c>
      <c r="C537" s="2122"/>
    </row>
    <row r="538" spans="2:3">
      <c r="B538" s="2121" t="s">
        <v>2055</v>
      </c>
      <c r="C538" s="2145">
        <v>16</v>
      </c>
    </row>
    <row r="539" spans="2:3">
      <c r="B539" s="2121" t="s">
        <v>1212</v>
      </c>
      <c r="C539" s="2131">
        <v>0</v>
      </c>
    </row>
    <row r="540" spans="2:3">
      <c r="B540" s="2121" t="s">
        <v>2031</v>
      </c>
      <c r="C540" s="2131">
        <v>1.50652209665633E-3</v>
      </c>
    </row>
    <row r="541" spans="2:3">
      <c r="B541" s="2111"/>
      <c r="C541" s="2128"/>
    </row>
    <row r="542" spans="2:3">
      <c r="B542" s="2080" t="s">
        <v>2028</v>
      </c>
      <c r="C542" s="2081"/>
    </row>
    <row r="543" spans="2:3">
      <c r="B543" s="2152" t="s">
        <v>2065</v>
      </c>
      <c r="C543" s="2150"/>
    </row>
    <row r="544" spans="2:3">
      <c r="B544" s="2111" t="s">
        <v>2066</v>
      </c>
      <c r="C544" s="2126">
        <v>16.690000000000001</v>
      </c>
    </row>
    <row r="545" spans="2:3">
      <c r="B545" s="2111" t="s">
        <v>274</v>
      </c>
      <c r="C545" s="2126">
        <v>71.849999999999994</v>
      </c>
    </row>
    <row r="546" spans="2:3">
      <c r="B546" s="2111" t="s">
        <v>275</v>
      </c>
      <c r="C546" s="2126">
        <v>71.849999999999994</v>
      </c>
    </row>
    <row r="547" spans="2:3">
      <c r="B547" s="2111" t="s">
        <v>276</v>
      </c>
      <c r="C547" s="2126">
        <v>141.52000000000001</v>
      </c>
    </row>
    <row r="548" spans="2:3">
      <c r="B548" s="2111" t="s">
        <v>277</v>
      </c>
      <c r="C548" s="2126">
        <v>141.52000000000001</v>
      </c>
    </row>
    <row r="549" spans="2:3">
      <c r="B549" s="2111" t="s">
        <v>278</v>
      </c>
      <c r="C549" s="2126">
        <v>202.17</v>
      </c>
    </row>
    <row r="550" spans="2:3">
      <c r="B550" s="2111" t="s">
        <v>279</v>
      </c>
      <c r="C550" s="2126">
        <v>202.17</v>
      </c>
    </row>
    <row r="551" spans="2:3">
      <c r="B551" s="2111" t="s">
        <v>1176</v>
      </c>
      <c r="C551" s="2126">
        <v>16.690000000000001</v>
      </c>
    </row>
    <row r="552" spans="2:3">
      <c r="B552" s="2111" t="s">
        <v>2067</v>
      </c>
      <c r="C552" s="2126">
        <v>16.690000000000001</v>
      </c>
    </row>
    <row r="553" spans="2:3">
      <c r="B553" s="2063"/>
      <c r="C553" s="2075"/>
    </row>
    <row r="554" spans="2:3">
      <c r="B554" s="2063"/>
      <c r="C554" s="2075"/>
    </row>
    <row r="555" spans="2:3">
      <c r="B555" s="2063"/>
      <c r="C555" s="2075"/>
    </row>
    <row r="560" spans="2:3">
      <c r="C560" s="2109">
        <v>5.5717836761048458</v>
      </c>
    </row>
    <row r="561" spans="3:3">
      <c r="C561" s="2109">
        <v>12.67849773693063</v>
      </c>
    </row>
    <row r="562" spans="3:3">
      <c r="C562" s="2109">
        <v>5.2634388685242275</v>
      </c>
    </row>
    <row r="563" spans="3:3">
      <c r="C563" s="2109">
        <v>0</v>
      </c>
    </row>
    <row r="564" spans="3:3">
      <c r="C564" s="2109">
        <v>0.20289115603284336</v>
      </c>
    </row>
    <row r="565" spans="3:3">
      <c r="C565" s="2109">
        <v>0.15267015805018316</v>
      </c>
    </row>
    <row r="566" spans="3:3">
      <c r="C566" s="2109">
        <v>0.10197980494618969</v>
      </c>
    </row>
    <row r="569" spans="3:3">
      <c r="C569" s="2109">
        <v>5.5717836761048458</v>
      </c>
    </row>
    <row r="570" spans="3:3">
      <c r="C570" s="2109">
        <v>4.7724625838007342E-3</v>
      </c>
    </row>
    <row r="572" spans="3:3">
      <c r="C572" s="2109">
        <v>7.67707054875138</v>
      </c>
    </row>
    <row r="573" spans="3:3">
      <c r="C573" s="2109">
        <v>5.2634388685242275</v>
      </c>
    </row>
    <row r="574" spans="3:3">
      <c r="C574" s="2109">
        <v>0</v>
      </c>
    </row>
    <row r="575" spans="3:3">
      <c r="C575" s="2109">
        <v>0</v>
      </c>
    </row>
    <row r="577" spans="3:3">
      <c r="C577" s="2109">
        <v>0.50902886227510924</v>
      </c>
    </row>
    <row r="578" spans="3:3">
      <c r="C578" s="2109">
        <v>1.4869881740786104E-2</v>
      </c>
    </row>
    <row r="579" spans="3:3">
      <c r="C579" s="2109">
        <v>1.4869881740786104E-2</v>
      </c>
    </row>
    <row r="580" spans="3:3">
      <c r="C580" s="2109">
        <v>1.4869881740786104E-2</v>
      </c>
    </row>
    <row r="581" spans="3:3">
      <c r="C581" s="2109">
        <v>2.3289170778172598E-3</v>
      </c>
    </row>
    <row r="583" spans="3:3">
      <c r="C583" s="2109">
        <v>1.4917870182292337</v>
      </c>
    </row>
    <row r="584" spans="3:3">
      <c r="C584" s="2109">
        <v>2.2618423369874714E-3</v>
      </c>
    </row>
    <row r="585" spans="3:3">
      <c r="C585" s="2109">
        <v>2.2618423369874714E-3</v>
      </c>
    </row>
    <row r="586" spans="3:3">
      <c r="C586" s="2109">
        <v>2.2618423369874714E-3</v>
      </c>
    </row>
    <row r="587" spans="3:3">
      <c r="C587" s="2109">
        <v>4.6442952554459453E-3</v>
      </c>
    </row>
    <row r="589" spans="3:3">
      <c r="C589" s="2109">
        <v>3.0006113076749066</v>
      </c>
    </row>
    <row r="590" spans="3:3">
      <c r="C590" s="2109">
        <v>2.4660037842528286E-2</v>
      </c>
    </row>
    <row r="591" spans="3:3">
      <c r="C591" s="2109">
        <v>0.14784686321998092</v>
      </c>
    </row>
    <row r="592" spans="3:3">
      <c r="C592" s="2109">
        <v>9.7625865237320739E-2</v>
      </c>
    </row>
    <row r="593" spans="3:3">
      <c r="C593" s="2109">
        <v>4.6935512133327272E-2</v>
      </c>
    </row>
    <row r="594" spans="3:3">
      <c r="C594" s="2109">
        <v>1.5068559754966202E-3</v>
      </c>
    </row>
    <row r="595" spans="3:3">
      <c r="C595" s="2109">
        <v>0</v>
      </c>
    </row>
    <row r="601" spans="3:3">
      <c r="C601" s="2109">
        <v>10.028582517444198</v>
      </c>
    </row>
    <row r="602" spans="3:3">
      <c r="C602" s="2109">
        <v>10.39598442500489</v>
      </c>
    </row>
    <row r="603" spans="3:3">
      <c r="C603" s="2109">
        <v>5.4612073061446331</v>
      </c>
    </row>
    <row r="604" spans="3:3">
      <c r="C604" s="2109">
        <v>0</v>
      </c>
    </row>
    <row r="605" spans="3:3">
      <c r="C605" s="2109">
        <v>0.21907857906844072</v>
      </c>
    </row>
    <row r="606" spans="3:3">
      <c r="C606" s="2109">
        <v>0.16624436409211646</v>
      </c>
    </row>
    <row r="607" spans="3:3">
      <c r="C607" s="2109">
        <v>0.1112087234917787</v>
      </c>
    </row>
    <row r="610" spans="3:3">
      <c r="C610" s="2109">
        <v>10.028582517444198</v>
      </c>
    </row>
    <row r="611" spans="3:3">
      <c r="C611" s="2109">
        <v>4.5877896686709668E-3</v>
      </c>
    </row>
    <row r="613" spans="3:3">
      <c r="C613" s="2109">
        <v>6.2218121554158667</v>
      </c>
    </row>
    <row r="614" spans="3:3">
      <c r="C614" s="2109">
        <v>5.4612073061446331</v>
      </c>
    </row>
    <row r="615" spans="3:3">
      <c r="C615" s="2109">
        <v>0</v>
      </c>
    </row>
    <row r="616" spans="3:3">
      <c r="C616" s="2109">
        <v>0</v>
      </c>
    </row>
    <row r="618" spans="3:3">
      <c r="C618" s="2109">
        <v>0.40572817691917867</v>
      </c>
    </row>
    <row r="619" spans="3:3">
      <c r="C619" s="2109">
        <v>1.0906811401910178E-2</v>
      </c>
    </row>
    <row r="620" spans="3:3">
      <c r="C620" s="2109">
        <v>1.0906811401910178E-2</v>
      </c>
    </row>
    <row r="621" spans="3:3">
      <c r="C621" s="2109">
        <v>1.0906811401910178E-2</v>
      </c>
    </row>
    <row r="622" spans="3:3">
      <c r="C622" s="2109">
        <v>2.3290616479463527E-3</v>
      </c>
    </row>
    <row r="624" spans="3:3">
      <c r="C624" s="2109">
        <v>1.6162418052370313</v>
      </c>
    </row>
    <row r="625" spans="3:3">
      <c r="C625" s="2109">
        <v>3.9391533711475996E-3</v>
      </c>
    </row>
    <row r="626" spans="3:3">
      <c r="C626" s="2109">
        <v>3.9391533711475996E-3</v>
      </c>
    </row>
    <row r="627" spans="3:3">
      <c r="C627" s="2109">
        <v>3.9391533711475996E-3</v>
      </c>
    </row>
    <row r="628" spans="3:3">
      <c r="C628" s="2109">
        <v>4.6463780838403457E-3</v>
      </c>
    </row>
    <row r="630" spans="3:3">
      <c r="C630" s="2109">
        <v>2.1522022874328148</v>
      </c>
    </row>
    <row r="631" spans="3:3">
      <c r="C631" s="2109">
        <v>3.9264067322728503E-2</v>
      </c>
    </row>
    <row r="632" spans="3:3">
      <c r="C632" s="2109">
        <v>0.15189836805693227</v>
      </c>
    </row>
    <row r="633" spans="3:3">
      <c r="C633" s="2109">
        <v>9.9064153080608008E-2</v>
      </c>
    </row>
    <row r="634" spans="3:3">
      <c r="C634" s="2109">
        <v>4.4028512480270225E-2</v>
      </c>
    </row>
    <row r="635" spans="3:3">
      <c r="C635" s="2109">
        <v>1.5069495152645132E-3</v>
      </c>
    </row>
    <row r="636" spans="3:3">
      <c r="C636" s="2109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0">
    <tabColor theme="6" tint="0.39997558519241921"/>
  </sheetPr>
  <dimension ref="B1:V84"/>
  <sheetViews>
    <sheetView zoomScale="85" zoomScaleNormal="85" zoomScaleSheetLayoutView="85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baseColWidth="10" defaultColWidth="8" defaultRowHeight="13.5"/>
  <cols>
    <col min="1" max="1" width="1.25" style="37" customWidth="1"/>
    <col min="2" max="2" width="21" style="37" customWidth="1"/>
    <col min="3" max="3" width="7.375" style="52" customWidth="1"/>
    <col min="4" max="4" width="7.25" style="37" customWidth="1"/>
    <col min="5" max="5" width="7.25" style="84" customWidth="1"/>
    <col min="6" max="6" width="4.625" style="84" customWidth="1"/>
    <col min="7" max="7" width="8.875" style="84" customWidth="1"/>
    <col min="8" max="8" width="9.125" style="37" customWidth="1"/>
    <col min="9" max="9" width="7.25" style="84" customWidth="1"/>
    <col min="10" max="10" width="5.75" style="84" customWidth="1"/>
    <col min="11" max="11" width="7.375" style="37" customWidth="1"/>
    <col min="12" max="12" width="7.375" style="84" customWidth="1"/>
    <col min="13" max="13" width="5.375" style="84" customWidth="1"/>
    <col min="14" max="14" width="7.375" style="37" customWidth="1"/>
    <col min="15" max="15" width="7.375" style="84" customWidth="1"/>
    <col min="16" max="16" width="5.375" style="84" customWidth="1"/>
    <col min="17" max="17" width="7.625" style="85" customWidth="1"/>
    <col min="18" max="18" width="2.25" style="85" customWidth="1"/>
    <col min="19" max="19" width="0.875" style="37" customWidth="1"/>
    <col min="20" max="20" width="9.25" style="2055" customWidth="1"/>
    <col min="21" max="21" width="7.375" style="2055" customWidth="1"/>
    <col min="22" max="22" width="0.875" style="37" customWidth="1"/>
    <col min="23" max="16384" width="8" style="37"/>
  </cols>
  <sheetData>
    <row r="1" spans="2:22" s="565" customFormat="1" ht="18.75">
      <c r="B1" s="1436" t="s">
        <v>1214</v>
      </c>
      <c r="C1" s="1436"/>
      <c r="D1" s="1437"/>
      <c r="E1" s="1437"/>
      <c r="F1" s="1437"/>
      <c r="G1" s="1437"/>
      <c r="H1" s="1437"/>
      <c r="I1" s="1437"/>
      <c r="J1" s="1437"/>
      <c r="K1" s="1438"/>
      <c r="L1" s="1438"/>
      <c r="M1" s="1438"/>
      <c r="N1" s="1438"/>
      <c r="O1" s="1438"/>
      <c r="P1" s="1438"/>
      <c r="Q1" s="1439"/>
      <c r="R1" s="1439"/>
      <c r="T1" s="2051"/>
      <c r="U1" s="2051"/>
    </row>
    <row r="2" spans="2:22">
      <c r="B2" s="859"/>
      <c r="C2" s="859"/>
      <c r="D2" s="1622" t="s">
        <v>486</v>
      </c>
      <c r="E2" s="1623"/>
      <c r="F2" s="1623"/>
      <c r="G2" s="1623"/>
      <c r="H2" s="79" t="s">
        <v>485</v>
      </c>
      <c r="I2" s="80"/>
      <c r="J2" s="80"/>
      <c r="K2" s="1919" t="s">
        <v>488</v>
      </c>
      <c r="L2" s="1920"/>
      <c r="M2" s="1920"/>
      <c r="N2" s="2364" t="s">
        <v>488</v>
      </c>
      <c r="O2" s="2365"/>
      <c r="P2" s="2365"/>
      <c r="Q2" s="1927" t="s">
        <v>487</v>
      </c>
      <c r="R2" s="1927"/>
      <c r="T2" s="2052"/>
      <c r="U2" s="2052"/>
    </row>
    <row r="3" spans="2:22" ht="27">
      <c r="B3" s="75"/>
      <c r="C3" s="860" t="s">
        <v>317</v>
      </c>
      <c r="D3" s="1624" t="s">
        <v>1826</v>
      </c>
      <c r="E3" s="1624"/>
      <c r="F3" s="1624"/>
      <c r="G3" s="1624"/>
      <c r="H3" s="204" t="s">
        <v>1710</v>
      </c>
      <c r="I3" s="204"/>
      <c r="J3" s="204"/>
      <c r="K3" s="1921" t="s">
        <v>2122</v>
      </c>
      <c r="L3" s="1921"/>
      <c r="M3" s="1921"/>
      <c r="N3" s="2366" t="s">
        <v>2123</v>
      </c>
      <c r="O3" s="2367"/>
      <c r="P3" s="2367"/>
      <c r="Q3" s="1928" t="s">
        <v>1869</v>
      </c>
      <c r="R3" s="1928"/>
      <c r="T3" s="2083" t="s">
        <v>2070</v>
      </c>
      <c r="U3" s="2058"/>
    </row>
    <row r="4" spans="2:22" s="38" customFormat="1" ht="27">
      <c r="B4" s="75" t="s">
        <v>292</v>
      </c>
      <c r="C4" s="861"/>
      <c r="D4" s="75" t="s">
        <v>1827</v>
      </c>
      <c r="E4" s="1625" t="s">
        <v>1738</v>
      </c>
      <c r="F4" s="1625" t="s">
        <v>1825</v>
      </c>
      <c r="G4" s="1625" t="s">
        <v>1737</v>
      </c>
      <c r="H4" s="76" t="s">
        <v>1827</v>
      </c>
      <c r="I4" s="77" t="s">
        <v>862</v>
      </c>
      <c r="J4" s="77" t="s">
        <v>1740</v>
      </c>
      <c r="K4" s="1922" t="s">
        <v>1280</v>
      </c>
      <c r="L4" s="1923" t="s">
        <v>862</v>
      </c>
      <c r="M4" s="1923" t="s">
        <v>1740</v>
      </c>
      <c r="N4" s="2368" t="s">
        <v>1280</v>
      </c>
      <c r="O4" s="2369" t="s">
        <v>862</v>
      </c>
      <c r="P4" s="2369" t="s">
        <v>1740</v>
      </c>
      <c r="Q4" s="1929" t="s">
        <v>1828</v>
      </c>
      <c r="R4" s="1929"/>
      <c r="T4" s="2053"/>
      <c r="U4" s="2053"/>
    </row>
    <row r="5" spans="2:22" s="38" customFormat="1">
      <c r="B5" s="862" t="s">
        <v>12</v>
      </c>
      <c r="C5" s="863"/>
      <c r="D5" s="114"/>
      <c r="E5" s="114"/>
      <c r="F5" s="122"/>
      <c r="G5" s="114"/>
      <c r="H5" s="115"/>
      <c r="I5" s="115"/>
      <c r="J5" s="122"/>
      <c r="K5" s="864"/>
      <c r="L5" s="864"/>
      <c r="M5" s="122"/>
      <c r="N5" s="864"/>
      <c r="O5" s="864"/>
      <c r="P5" s="122"/>
      <c r="Q5" s="1621"/>
      <c r="R5" s="1621"/>
      <c r="T5" s="2054"/>
      <c r="U5" s="2054"/>
    </row>
    <row r="6" spans="2:22" s="38" customFormat="1">
      <c r="B6" s="100" t="s">
        <v>272</v>
      </c>
      <c r="C6" s="863" t="s">
        <v>283</v>
      </c>
      <c r="D6" s="1626"/>
      <c r="E6" s="1626"/>
      <c r="F6" s="1210"/>
      <c r="G6" s="1626"/>
      <c r="H6" s="865"/>
      <c r="I6" s="865"/>
      <c r="J6" s="1210"/>
      <c r="K6" s="864"/>
      <c r="L6" s="864"/>
      <c r="M6" s="1210"/>
      <c r="N6" s="864"/>
      <c r="O6" s="864"/>
      <c r="P6" s="1210"/>
      <c r="Q6" s="1621"/>
      <c r="R6" s="1621"/>
      <c r="T6" s="2054"/>
      <c r="U6" s="2054"/>
    </row>
    <row r="7" spans="2:22" s="38" customFormat="1">
      <c r="B7" s="2061" t="s">
        <v>1526</v>
      </c>
      <c r="C7" s="863"/>
      <c r="D7" s="1627"/>
      <c r="E7" s="1626"/>
      <c r="F7" s="1211"/>
      <c r="G7" s="1626"/>
      <c r="H7" s="866"/>
      <c r="I7" s="867"/>
      <c r="J7" s="1211"/>
      <c r="K7" s="866"/>
      <c r="L7" s="866"/>
      <c r="M7" s="1211"/>
      <c r="N7" s="866"/>
      <c r="O7" s="866"/>
      <c r="P7" s="1211"/>
      <c r="Q7" s="866"/>
      <c r="R7" s="1621"/>
      <c r="T7" s="2054"/>
      <c r="U7" s="2054"/>
    </row>
    <row r="8" spans="2:22" s="38" customFormat="1">
      <c r="B8" s="108" t="s">
        <v>1525</v>
      </c>
      <c r="C8" s="863"/>
      <c r="D8" s="1626">
        <v>2.57</v>
      </c>
      <c r="E8" s="1626">
        <v>2.57</v>
      </c>
      <c r="F8" s="1210"/>
      <c r="G8" s="1626">
        <v>2.35</v>
      </c>
      <c r="H8" s="865">
        <v>2.36</v>
      </c>
      <c r="I8" s="865">
        <v>2.36</v>
      </c>
      <c r="J8" s="1210"/>
      <c r="K8" s="864">
        <f t="shared" ref="K8:K15" si="0">ROUND($L8,2)</f>
        <v>2.36</v>
      </c>
      <c r="L8" s="864">
        <f>ROUND(I8*Q8,2)</f>
        <v>2.36</v>
      </c>
      <c r="M8" s="1210"/>
      <c r="N8" s="864">
        <f>ROUND($O8,2)</f>
        <v>2.76</v>
      </c>
      <c r="O8" s="864">
        <f>ROUND(T8,2)</f>
        <v>2.76</v>
      </c>
      <c r="P8" s="1210"/>
      <c r="Q8" s="1621">
        <f>AjComDistAP100!$D$34</f>
        <v>1.0009199032610741</v>
      </c>
      <c r="R8" s="1621"/>
      <c r="T8" s="2054">
        <f>'MODELO IMP'!C36</f>
        <v>2.7631112211111972</v>
      </c>
      <c r="U8" s="2060">
        <f>O8-T8</f>
        <v>-3.1112211111974375E-3</v>
      </c>
    </row>
    <row r="9" spans="2:22" s="38" customFormat="1">
      <c r="B9" s="868" t="s">
        <v>1176</v>
      </c>
      <c r="C9" s="863"/>
      <c r="D9" s="1626">
        <v>2.57</v>
      </c>
      <c r="E9" s="1626">
        <v>2.57</v>
      </c>
      <c r="F9" s="1211"/>
      <c r="G9" s="1626">
        <v>2.35</v>
      </c>
      <c r="H9" s="865">
        <v>2.36</v>
      </c>
      <c r="I9" s="865">
        <v>2.36</v>
      </c>
      <c r="J9" s="1211"/>
      <c r="K9" s="864">
        <f t="shared" si="0"/>
        <v>2.36</v>
      </c>
      <c r="L9" s="864">
        <f t="shared" ref="L9:L15" si="1">ROUND(I9*Q9,2)</f>
        <v>2.36</v>
      </c>
      <c r="M9" s="1210"/>
      <c r="N9" s="864">
        <f t="shared" ref="N9:N15" si="2">ROUND($O9,2)</f>
        <v>2.76</v>
      </c>
      <c r="O9" s="864">
        <f t="shared" ref="O9:O15" si="3">ROUND(T9,2)</f>
        <v>2.76</v>
      </c>
      <c r="P9" s="1210"/>
      <c r="Q9" s="1621">
        <f>AjComDistAP100!$D$34</f>
        <v>1.0009199032610741</v>
      </c>
      <c r="R9" s="1621"/>
      <c r="T9" s="2054">
        <f>'MODELO IMP'!C90</f>
        <v>2.7631112211111972</v>
      </c>
      <c r="U9" s="2060">
        <f t="shared" ref="U9:U15" si="4">O9-T9</f>
        <v>-3.1112211111974375E-3</v>
      </c>
    </row>
    <row r="10" spans="2:22" s="38" customFormat="1">
      <c r="B10" s="108" t="s">
        <v>274</v>
      </c>
      <c r="C10" s="863"/>
      <c r="D10" s="1626">
        <v>5.5</v>
      </c>
      <c r="E10" s="1626">
        <v>5.5</v>
      </c>
      <c r="F10" s="1210"/>
      <c r="G10" s="1626">
        <v>5.03</v>
      </c>
      <c r="H10" s="865">
        <v>5.04</v>
      </c>
      <c r="I10" s="865">
        <v>5.04</v>
      </c>
      <c r="J10" s="1210"/>
      <c r="K10" s="864">
        <f t="shared" si="0"/>
        <v>5.04</v>
      </c>
      <c r="L10" s="864">
        <f t="shared" si="1"/>
        <v>5.04</v>
      </c>
      <c r="M10" s="1210"/>
      <c r="N10" s="864">
        <f t="shared" si="2"/>
        <v>5.57</v>
      </c>
      <c r="O10" s="864">
        <f t="shared" si="3"/>
        <v>5.57</v>
      </c>
      <c r="P10" s="1210"/>
      <c r="Q10" s="1621">
        <f>AjComDistAP100!$D$34</f>
        <v>1.0009199032610741</v>
      </c>
      <c r="R10" s="1621"/>
      <c r="T10" s="2054">
        <f>'MODELO IMP'!C118</f>
        <v>5.5717836761048458</v>
      </c>
      <c r="U10" s="2060">
        <f t="shared" si="4"/>
        <v>-1.783676104845533E-3</v>
      </c>
    </row>
    <row r="11" spans="2:22" s="38" customFormat="1">
      <c r="B11" s="108" t="s">
        <v>275</v>
      </c>
      <c r="C11" s="863"/>
      <c r="D11" s="1626">
        <v>5.5</v>
      </c>
      <c r="E11" s="1626">
        <v>5.5</v>
      </c>
      <c r="F11" s="1210"/>
      <c r="G11" s="1626">
        <v>5.03</v>
      </c>
      <c r="H11" s="865">
        <v>5.04</v>
      </c>
      <c r="I11" s="865">
        <v>5.04</v>
      </c>
      <c r="J11" s="1210"/>
      <c r="K11" s="864">
        <f t="shared" si="0"/>
        <v>5.04</v>
      </c>
      <c r="L11" s="864">
        <f t="shared" si="1"/>
        <v>5.04</v>
      </c>
      <c r="M11" s="1210"/>
      <c r="N11" s="864">
        <f t="shared" si="2"/>
        <v>5.57</v>
      </c>
      <c r="O11" s="864">
        <f t="shared" si="3"/>
        <v>5.57</v>
      </c>
      <c r="P11" s="1210"/>
      <c r="Q11" s="1621">
        <f>AjComDistAP100!$D$34</f>
        <v>1.0009199032610741</v>
      </c>
      <c r="R11" s="1621"/>
      <c r="T11" s="2054">
        <f>'MODELO IMP'!C153</f>
        <v>5.5717836761048458</v>
      </c>
      <c r="U11" s="2060">
        <f t="shared" si="4"/>
        <v>-1.783676104845533E-3</v>
      </c>
    </row>
    <row r="12" spans="2:22">
      <c r="B12" s="108" t="s">
        <v>276</v>
      </c>
      <c r="C12" s="863"/>
      <c r="D12" s="1626">
        <v>9.89</v>
      </c>
      <c r="E12" s="1626">
        <v>9.89</v>
      </c>
      <c r="F12" s="1210"/>
      <c r="G12" s="1626">
        <v>9.0399999999999991</v>
      </c>
      <c r="H12" s="865">
        <v>9.06</v>
      </c>
      <c r="I12" s="865">
        <v>9.06</v>
      </c>
      <c r="J12" s="1210"/>
      <c r="K12" s="864">
        <f t="shared" si="0"/>
        <v>9.07</v>
      </c>
      <c r="L12" s="864">
        <f t="shared" si="1"/>
        <v>9.07</v>
      </c>
      <c r="M12" s="1210"/>
      <c r="N12" s="864">
        <f t="shared" si="2"/>
        <v>10.029999999999999</v>
      </c>
      <c r="O12" s="864">
        <f t="shared" ref="O12:O13" si="5">ROUND(T12,2)</f>
        <v>10.029999999999999</v>
      </c>
      <c r="P12" s="1210"/>
      <c r="Q12" s="1621">
        <f>AjComDistAP100!$D$34</f>
        <v>1.0009199032610741</v>
      </c>
      <c r="R12" s="1621"/>
      <c r="T12" s="2055">
        <f>'MODELO IMP'!C227</f>
        <v>10.028582517444198</v>
      </c>
      <c r="U12" s="2060">
        <f t="shared" si="4"/>
        <v>1.4174825558015414E-3</v>
      </c>
      <c r="V12" s="38"/>
    </row>
    <row r="13" spans="2:22">
      <c r="B13" s="108" t="s">
        <v>277</v>
      </c>
      <c r="C13" s="863"/>
      <c r="D13" s="1626">
        <v>9.89</v>
      </c>
      <c r="E13" s="1626">
        <v>9.89</v>
      </c>
      <c r="F13" s="1210"/>
      <c r="G13" s="1626">
        <v>9.0399999999999991</v>
      </c>
      <c r="H13" s="865">
        <v>9.06</v>
      </c>
      <c r="I13" s="865">
        <v>9.06</v>
      </c>
      <c r="J13" s="1210"/>
      <c r="K13" s="864">
        <f t="shared" si="0"/>
        <v>9.07</v>
      </c>
      <c r="L13" s="864">
        <f t="shared" si="1"/>
        <v>9.07</v>
      </c>
      <c r="M13" s="1210"/>
      <c r="N13" s="864">
        <f t="shared" si="2"/>
        <v>10.029999999999999</v>
      </c>
      <c r="O13" s="864">
        <f t="shared" si="5"/>
        <v>10.029999999999999</v>
      </c>
      <c r="P13" s="1210"/>
      <c r="Q13" s="1621">
        <f>AjComDistAP100!$D$34</f>
        <v>1.0009199032610741</v>
      </c>
      <c r="R13" s="1621"/>
      <c r="T13" s="2055">
        <f>'MODELO IMP'!C256</f>
        <v>10.028582517444198</v>
      </c>
      <c r="U13" s="2060">
        <f t="shared" si="4"/>
        <v>1.4174825558015414E-3</v>
      </c>
    </row>
    <row r="14" spans="2:22">
      <c r="B14" s="108" t="s">
        <v>278</v>
      </c>
      <c r="C14" s="863"/>
      <c r="D14" s="1626">
        <v>9.89</v>
      </c>
      <c r="E14" s="1626">
        <v>9.89</v>
      </c>
      <c r="F14" s="1210"/>
      <c r="G14" s="1626">
        <v>9.0399999999999991</v>
      </c>
      <c r="H14" s="865">
        <v>9.06</v>
      </c>
      <c r="I14" s="865">
        <v>9.06</v>
      </c>
      <c r="J14" s="1210"/>
      <c r="K14" s="864">
        <f t="shared" si="0"/>
        <v>9.07</v>
      </c>
      <c r="L14" s="864">
        <f t="shared" si="1"/>
        <v>9.07</v>
      </c>
      <c r="M14" s="1210"/>
      <c r="N14" s="864">
        <f t="shared" si="2"/>
        <v>10.02</v>
      </c>
      <c r="O14" s="864">
        <f t="shared" si="3"/>
        <v>10.02</v>
      </c>
      <c r="P14" s="1210"/>
      <c r="Q14" s="1621">
        <f>AjComDistAP100!$D$34</f>
        <v>1.0009199032610741</v>
      </c>
      <c r="R14" s="1621"/>
      <c r="T14" s="2055">
        <f>'MODELO IMP'!C331</f>
        <v>10.02</v>
      </c>
      <c r="U14" s="2060">
        <f t="shared" si="4"/>
        <v>0</v>
      </c>
    </row>
    <row r="15" spans="2:22">
      <c r="B15" s="108" t="s">
        <v>279</v>
      </c>
      <c r="C15" s="863"/>
      <c r="D15" s="1626">
        <v>9.89</v>
      </c>
      <c r="E15" s="1626">
        <v>9.89</v>
      </c>
      <c r="F15" s="1210"/>
      <c r="G15" s="1626">
        <v>9.0399999999999991</v>
      </c>
      <c r="H15" s="865">
        <v>9.06</v>
      </c>
      <c r="I15" s="865">
        <v>9.06</v>
      </c>
      <c r="J15" s="1210"/>
      <c r="K15" s="864">
        <f t="shared" si="0"/>
        <v>9.07</v>
      </c>
      <c r="L15" s="864">
        <f t="shared" si="1"/>
        <v>9.07</v>
      </c>
      <c r="M15" s="1210"/>
      <c r="N15" s="864">
        <f t="shared" si="2"/>
        <v>10.02</v>
      </c>
      <c r="O15" s="864">
        <f t="shared" si="3"/>
        <v>10.02</v>
      </c>
      <c r="P15" s="1210"/>
      <c r="Q15" s="1621">
        <f>AjComDistAP100!$D$34</f>
        <v>1.0009199032610741</v>
      </c>
      <c r="R15" s="1621"/>
      <c r="T15" s="2055">
        <f>'MODELO IMP'!C360</f>
        <v>10.02</v>
      </c>
      <c r="U15" s="2060">
        <f t="shared" si="4"/>
        <v>0</v>
      </c>
    </row>
    <row r="16" spans="2:22" s="38" customFormat="1">
      <c r="B16" s="100" t="s">
        <v>280</v>
      </c>
      <c r="C16" s="863" t="s">
        <v>259</v>
      </c>
      <c r="D16" s="1626"/>
      <c r="E16" s="1626"/>
      <c r="F16" s="1210"/>
      <c r="G16" s="1626"/>
      <c r="H16" s="865"/>
      <c r="I16" s="865"/>
      <c r="J16" s="1210"/>
      <c r="K16" s="864"/>
      <c r="L16" s="864"/>
      <c r="M16" s="1210"/>
      <c r="N16" s="864"/>
      <c r="O16" s="864"/>
      <c r="P16" s="1210"/>
      <c r="Q16" s="1621"/>
      <c r="R16" s="1621"/>
      <c r="T16" s="2054"/>
      <c r="U16" s="2054"/>
    </row>
    <row r="17" spans="2:21" s="38" customFormat="1">
      <c r="B17" s="2061" t="s">
        <v>1526</v>
      </c>
      <c r="C17" s="863"/>
      <c r="D17" s="1627">
        <v>2.0129999999999999E-2</v>
      </c>
      <c r="E17" s="1627">
        <v>2.0129999999999999E-2</v>
      </c>
      <c r="F17" s="1211"/>
      <c r="G17" s="1627">
        <v>1.84E-2</v>
      </c>
      <c r="H17" s="869">
        <v>1.8440000000000002E-2</v>
      </c>
      <c r="I17" s="869">
        <v>1.8440000000000002E-2</v>
      </c>
      <c r="J17" s="1211"/>
      <c r="K17" s="870">
        <f t="shared" ref="K17:K25" si="6">ROUND($L17,5)</f>
        <v>1.8460000000000001E-2</v>
      </c>
      <c r="L17" s="870">
        <f>ROUND(I17*Q17,5)</f>
        <v>1.8460000000000001E-2</v>
      </c>
      <c r="M17" s="1211"/>
      <c r="N17" s="870">
        <f>ROUND($O17,5)</f>
        <v>3.3369999999999997E-2</v>
      </c>
      <c r="O17" s="870">
        <f>ROUND(T17,5)</f>
        <v>3.3369999999999997E-2</v>
      </c>
      <c r="P17" s="1211"/>
      <c r="Q17" s="1621">
        <f>AjComDistAP100!$D$34</f>
        <v>1.0009199032610741</v>
      </c>
      <c r="R17" s="1621"/>
      <c r="T17" s="2054">
        <f>'MODELO IMP'!C12</f>
        <v>3.3371839191314687E-2</v>
      </c>
      <c r="U17" s="2059">
        <f>O17-T17</f>
        <v>-1.839191314689792E-6</v>
      </c>
    </row>
    <row r="18" spans="2:21" s="38" customFormat="1">
      <c r="B18" s="108" t="s">
        <v>1525</v>
      </c>
      <c r="C18" s="863"/>
      <c r="D18" s="1627">
        <v>1.7420000000000001E-2</v>
      </c>
      <c r="E18" s="1627">
        <v>1.7420000000000001E-2</v>
      </c>
      <c r="F18" s="1211"/>
      <c r="G18" s="1627">
        <v>1.592E-2</v>
      </c>
      <c r="H18" s="869">
        <v>1.5949999999999999E-2</v>
      </c>
      <c r="I18" s="869">
        <v>1.5949999999999999E-2</v>
      </c>
      <c r="J18" s="1211"/>
      <c r="K18" s="870">
        <f t="shared" si="6"/>
        <v>1.5959999999999998E-2</v>
      </c>
      <c r="L18" s="870">
        <f t="shared" ref="L18:L25" si="7">ROUND(I18*Q18,5)</f>
        <v>1.5959999999999998E-2</v>
      </c>
      <c r="M18" s="1211"/>
      <c r="N18" s="870">
        <f>ROUND($O18,5)</f>
        <v>1.7950000000000001E-2</v>
      </c>
      <c r="O18" s="870">
        <f>ROUND(T18,5)</f>
        <v>1.7950000000000001E-2</v>
      </c>
      <c r="P18" s="1211"/>
      <c r="Q18" s="1621">
        <f>AjComDistAP100!$D$34</f>
        <v>1.0009199032610741</v>
      </c>
      <c r="R18" s="1621"/>
      <c r="T18" s="2054">
        <f>'MODELO IMP'!C37</f>
        <v>1.7952017519303327E-2</v>
      </c>
      <c r="U18" s="2059">
        <f t="shared" ref="U18:U25" si="8">O18-T18</f>
        <v>-2.0175193033260264E-6</v>
      </c>
    </row>
    <row r="19" spans="2:21" s="38" customFormat="1">
      <c r="B19" s="868" t="s">
        <v>1176</v>
      </c>
      <c r="C19" s="863"/>
      <c r="D19" s="1627">
        <v>1.7420000000000001E-2</v>
      </c>
      <c r="E19" s="1627">
        <v>1.7420000000000001E-2</v>
      </c>
      <c r="F19" s="1211"/>
      <c r="G19" s="1627">
        <v>1.592E-2</v>
      </c>
      <c r="H19" s="869">
        <v>1.5949999999999999E-2</v>
      </c>
      <c r="I19" s="869">
        <v>1.5949999999999999E-2</v>
      </c>
      <c r="J19" s="1211"/>
      <c r="K19" s="870">
        <f t="shared" si="6"/>
        <v>1.5959999999999998E-2</v>
      </c>
      <c r="L19" s="870">
        <f t="shared" si="7"/>
        <v>1.5959999999999998E-2</v>
      </c>
      <c r="M19" s="1211"/>
      <c r="N19" s="870">
        <f t="shared" ref="N19:N25" si="9">ROUND($O19,5)</f>
        <v>1.7489999999999999E-2</v>
      </c>
      <c r="O19" s="870">
        <f t="shared" ref="O19:O25" si="10">ROUND(T19,5)</f>
        <v>1.7489999999999999E-2</v>
      </c>
      <c r="P19" s="1211"/>
      <c r="Q19" s="1621">
        <f>AjComDistAP100!$D$34</f>
        <v>1.0009199032610741</v>
      </c>
      <c r="R19" s="1621"/>
      <c r="T19" s="2054">
        <f>'MODELO IMP'!C91</f>
        <v>1.7487579700070408E-2</v>
      </c>
      <c r="U19" s="2059">
        <f t="shared" si="8"/>
        <v>2.4202999295910854E-6</v>
      </c>
    </row>
    <row r="20" spans="2:21" s="38" customFormat="1">
      <c r="B20" s="108" t="s">
        <v>274</v>
      </c>
      <c r="C20" s="863"/>
      <c r="D20" s="1627">
        <v>5.8399999999999997E-3</v>
      </c>
      <c r="E20" s="1627">
        <v>5.8399999999999997E-3</v>
      </c>
      <c r="F20" s="1211"/>
      <c r="G20" s="1627">
        <v>5.3400000000000001E-3</v>
      </c>
      <c r="H20" s="869">
        <v>5.3499999999999997E-3</v>
      </c>
      <c r="I20" s="869">
        <v>5.3499999999999997E-3</v>
      </c>
      <c r="J20" s="1211"/>
      <c r="K20" s="870">
        <f t="shared" si="6"/>
        <v>5.3499999999999997E-3</v>
      </c>
      <c r="L20" s="870">
        <f t="shared" si="7"/>
        <v>5.3499999999999997E-3</v>
      </c>
      <c r="M20" s="1211"/>
      <c r="N20" s="870">
        <f t="shared" si="9"/>
        <v>4.7699999999999999E-3</v>
      </c>
      <c r="O20" s="870">
        <f t="shared" si="10"/>
        <v>4.7699999999999999E-3</v>
      </c>
      <c r="P20" s="1211"/>
      <c r="Q20" s="1621">
        <f>AjComDistAP100!$D$34</f>
        <v>1.0009199032610741</v>
      </c>
      <c r="R20" s="1621"/>
      <c r="T20" s="2054">
        <f>'MODELO IMP'!C127</f>
        <v>4.7724625838007342E-3</v>
      </c>
      <c r="U20" s="2059">
        <f t="shared" si="8"/>
        <v>-2.4625838007342679E-6</v>
      </c>
    </row>
    <row r="21" spans="2:21" s="38" customFormat="1">
      <c r="B21" s="108" t="s">
        <v>275</v>
      </c>
      <c r="C21" s="863"/>
      <c r="D21" s="1627">
        <v>5.8399999999999997E-3</v>
      </c>
      <c r="E21" s="1627">
        <v>5.8399999999999997E-3</v>
      </c>
      <c r="F21" s="1211"/>
      <c r="G21" s="1627">
        <v>5.3400000000000001E-3</v>
      </c>
      <c r="H21" s="869">
        <v>5.3499999999999997E-3</v>
      </c>
      <c r="I21" s="869">
        <v>5.3499999999999997E-3</v>
      </c>
      <c r="J21" s="1211"/>
      <c r="K21" s="870">
        <f t="shared" si="6"/>
        <v>5.3499999999999997E-3</v>
      </c>
      <c r="L21" s="870">
        <f t="shared" si="7"/>
        <v>5.3499999999999997E-3</v>
      </c>
      <c r="M21" s="1211"/>
      <c r="N21" s="870">
        <f t="shared" si="9"/>
        <v>4.7699999999999999E-3</v>
      </c>
      <c r="O21" s="870">
        <f t="shared" si="10"/>
        <v>4.7699999999999999E-3</v>
      </c>
      <c r="P21" s="1211"/>
      <c r="Q21" s="1621">
        <f>AjComDistAP100!$D$34</f>
        <v>1.0009199032610741</v>
      </c>
      <c r="R21" s="1621"/>
      <c r="T21" s="2054">
        <f>'MODELO IMP'!C163</f>
        <v>4.7724625838007342E-3</v>
      </c>
      <c r="U21" s="2059">
        <f t="shared" si="8"/>
        <v>-2.4625838007342679E-6</v>
      </c>
    </row>
    <row r="22" spans="2:21">
      <c r="B22" s="108" t="s">
        <v>276</v>
      </c>
      <c r="C22" s="863"/>
      <c r="D22" s="1627">
        <v>4.3899999999999998E-3</v>
      </c>
      <c r="E22" s="1627">
        <v>4.3899999999999998E-3</v>
      </c>
      <c r="F22" s="1211"/>
      <c r="G22" s="1627">
        <v>4.0099999999999997E-3</v>
      </c>
      <c r="H22" s="869">
        <v>4.0200000000000001E-3</v>
      </c>
      <c r="I22" s="869">
        <v>4.0200000000000001E-3</v>
      </c>
      <c r="J22" s="1211"/>
      <c r="K22" s="870">
        <f t="shared" si="6"/>
        <v>4.0200000000000001E-3</v>
      </c>
      <c r="L22" s="870">
        <f t="shared" si="7"/>
        <v>4.0200000000000001E-3</v>
      </c>
      <c r="M22" s="1211"/>
      <c r="N22" s="870">
        <f t="shared" si="9"/>
        <v>4.5900000000000003E-3</v>
      </c>
      <c r="O22" s="870">
        <f t="shared" ref="O22:O24" si="11">ROUND(T22,5)</f>
        <v>4.5900000000000003E-3</v>
      </c>
      <c r="P22" s="1211"/>
      <c r="Q22" s="1621">
        <f>AjComDistAP100!$D$34</f>
        <v>1.0009199032610741</v>
      </c>
      <c r="R22" s="1621"/>
      <c r="T22" s="2055">
        <f>'MODELO IMP'!C233</f>
        <v>4.5877896686709668E-3</v>
      </c>
      <c r="U22" s="2059">
        <f t="shared" si="8"/>
        <v>2.2103313290335394E-6</v>
      </c>
    </row>
    <row r="23" spans="2:21">
      <c r="B23" s="108" t="s">
        <v>277</v>
      </c>
      <c r="C23" s="863"/>
      <c r="D23" s="1627">
        <v>4.3899999999999998E-3</v>
      </c>
      <c r="E23" s="1627">
        <v>4.3899999999999998E-3</v>
      </c>
      <c r="F23" s="1211"/>
      <c r="G23" s="1627">
        <v>4.0099999999999997E-3</v>
      </c>
      <c r="H23" s="869">
        <v>4.0200000000000001E-3</v>
      </c>
      <c r="I23" s="869">
        <v>4.0200000000000001E-3</v>
      </c>
      <c r="J23" s="1211"/>
      <c r="K23" s="870">
        <f t="shared" si="6"/>
        <v>4.0200000000000001E-3</v>
      </c>
      <c r="L23" s="870">
        <f t="shared" si="7"/>
        <v>4.0200000000000001E-3</v>
      </c>
      <c r="M23" s="1211"/>
      <c r="N23" s="870">
        <f t="shared" si="9"/>
        <v>4.5900000000000003E-3</v>
      </c>
      <c r="O23" s="870">
        <f t="shared" si="11"/>
        <v>4.5900000000000003E-3</v>
      </c>
      <c r="P23" s="1211"/>
      <c r="Q23" s="1621">
        <f>AjComDistAP100!$D$34</f>
        <v>1.0009199032610741</v>
      </c>
      <c r="R23" s="1621"/>
      <c r="T23" s="2055">
        <f>'MODELO IMP'!C266</f>
        <v>4.5877896686709668E-3</v>
      </c>
      <c r="U23" s="2059">
        <f t="shared" si="8"/>
        <v>2.2103313290335394E-6</v>
      </c>
    </row>
    <row r="24" spans="2:21">
      <c r="B24" s="108" t="s">
        <v>278</v>
      </c>
      <c r="C24" s="863"/>
      <c r="D24" s="1627">
        <v>4.8000000000000001E-4</v>
      </c>
      <c r="E24" s="1627">
        <v>4.8000000000000001E-4</v>
      </c>
      <c r="F24" s="1211"/>
      <c r="G24" s="1627">
        <v>4.4000000000000002E-4</v>
      </c>
      <c r="H24" s="869">
        <v>4.4000000000000002E-4</v>
      </c>
      <c r="I24" s="869">
        <v>4.4000000000000002E-4</v>
      </c>
      <c r="J24" s="1211"/>
      <c r="K24" s="870">
        <f t="shared" si="6"/>
        <v>4.4000000000000002E-4</v>
      </c>
      <c r="L24" s="870">
        <f t="shared" si="7"/>
        <v>4.4000000000000002E-4</v>
      </c>
      <c r="M24" s="1211"/>
      <c r="N24" s="870">
        <f t="shared" si="9"/>
        <v>4.8999999999999998E-4</v>
      </c>
      <c r="O24" s="870">
        <f t="shared" si="11"/>
        <v>4.8999999999999998E-4</v>
      </c>
      <c r="P24" s="1211"/>
      <c r="Q24" s="1621">
        <f>AjComDistAP100!$D$34</f>
        <v>1.0009199032610741</v>
      </c>
      <c r="R24" s="1621"/>
      <c r="T24" s="2055">
        <f>'MODELO IMP'!C337</f>
        <v>4.9285395562670789E-4</v>
      </c>
      <c r="U24" s="2059">
        <f t="shared" si="8"/>
        <v>-2.8539556267079009E-6</v>
      </c>
    </row>
    <row r="25" spans="2:21">
      <c r="B25" s="108" t="s">
        <v>279</v>
      </c>
      <c r="C25" s="863"/>
      <c r="D25" s="1627">
        <v>4.8000000000000001E-4</v>
      </c>
      <c r="E25" s="1627">
        <v>4.8000000000000001E-4</v>
      </c>
      <c r="F25" s="1211"/>
      <c r="G25" s="1627">
        <v>4.4000000000000002E-4</v>
      </c>
      <c r="H25" s="869">
        <v>4.4000000000000002E-4</v>
      </c>
      <c r="I25" s="869">
        <v>4.4000000000000002E-4</v>
      </c>
      <c r="J25" s="1211"/>
      <c r="K25" s="870">
        <f t="shared" si="6"/>
        <v>4.4000000000000002E-4</v>
      </c>
      <c r="L25" s="870">
        <f t="shared" si="7"/>
        <v>4.4000000000000002E-4</v>
      </c>
      <c r="M25" s="1211"/>
      <c r="N25" s="870">
        <f t="shared" si="9"/>
        <v>4.8999999999999998E-4</v>
      </c>
      <c r="O25" s="870">
        <f t="shared" si="10"/>
        <v>4.8999999999999998E-4</v>
      </c>
      <c r="P25" s="1211"/>
      <c r="Q25" s="1621">
        <f>AjComDistAP100!$D$34</f>
        <v>1.0009199032610741</v>
      </c>
      <c r="R25" s="1621"/>
      <c r="T25" s="2055">
        <f>'MODELO IMP'!C370</f>
        <v>4.9285395562670789E-4</v>
      </c>
      <c r="U25" s="2059">
        <f t="shared" si="8"/>
        <v>-2.8539556267079009E-6</v>
      </c>
    </row>
    <row r="26" spans="2:21">
      <c r="B26" s="862" t="s">
        <v>9</v>
      </c>
      <c r="C26" s="863"/>
      <c r="D26" s="1628"/>
      <c r="E26" s="1628"/>
      <c r="F26" s="1212"/>
      <c r="G26" s="1628"/>
      <c r="H26" s="871"/>
      <c r="I26" s="871"/>
      <c r="J26" s="1212"/>
      <c r="K26" s="872"/>
      <c r="L26" s="872"/>
      <c r="M26" s="1212"/>
      <c r="N26" s="872"/>
      <c r="O26" s="872"/>
      <c r="P26" s="1212"/>
      <c r="Q26" s="1621"/>
      <c r="R26" s="1621"/>
    </row>
    <row r="27" spans="2:21" s="38" customFormat="1">
      <c r="B27" s="100" t="s">
        <v>1175</v>
      </c>
      <c r="C27" s="863" t="s">
        <v>405</v>
      </c>
      <c r="D27" s="1626"/>
      <c r="E27" s="1626"/>
      <c r="F27" s="1210"/>
      <c r="G27" s="1626"/>
      <c r="H27" s="865"/>
      <c r="I27" s="865"/>
      <c r="J27" s="1210"/>
      <c r="K27" s="864"/>
      <c r="L27" s="864"/>
      <c r="M27" s="1210"/>
      <c r="N27" s="864"/>
      <c r="O27" s="864"/>
      <c r="P27" s="1210"/>
      <c r="Q27" s="1621"/>
      <c r="R27" s="1621"/>
      <c r="T27" s="2054"/>
      <c r="U27" s="2054"/>
    </row>
    <row r="28" spans="2:21" s="38" customFormat="1">
      <c r="B28" s="2061" t="s">
        <v>1526</v>
      </c>
      <c r="C28" s="863"/>
      <c r="D28" s="1627">
        <v>4.1860000000000001E-2</v>
      </c>
      <c r="E28" s="1627">
        <v>4.1860000000000001E-2</v>
      </c>
      <c r="F28" s="1211"/>
      <c r="G28" s="1627">
        <v>2.8379999999999999E-2</v>
      </c>
      <c r="H28" s="869">
        <v>2.8420000000000001E-2</v>
      </c>
      <c r="I28" s="869">
        <v>2.8420000000000001E-2</v>
      </c>
      <c r="J28" s="1211"/>
      <c r="K28" s="870">
        <f>ROUND($L28,5)</f>
        <v>2.844E-2</v>
      </c>
      <c r="L28" s="870">
        <f>ROUND(I28*Q28,5)</f>
        <v>2.844E-2</v>
      </c>
      <c r="M28" s="1211"/>
      <c r="N28" s="870">
        <f>ROUND($O28,5)</f>
        <v>3.5180000000000003E-2</v>
      </c>
      <c r="O28" s="870">
        <f t="shared" ref="O28" si="12">ROUND(T28,5)</f>
        <v>3.5180000000000003E-2</v>
      </c>
      <c r="P28" s="1211"/>
      <c r="Q28" s="1621">
        <f>AjComDistAP100!$D$33</f>
        <v>1.0005890196901264</v>
      </c>
      <c r="R28" s="1621"/>
      <c r="T28" s="2054">
        <f>'MODELO IMP'!C14</f>
        <v>3.517756835209207E-2</v>
      </c>
      <c r="U28" s="2059">
        <f>O28-T28</f>
        <v>2.4316479079328213E-6</v>
      </c>
    </row>
    <row r="29" spans="2:21" s="38" customFormat="1">
      <c r="B29" s="108" t="s">
        <v>1525</v>
      </c>
      <c r="C29" s="863"/>
      <c r="D29" s="1627">
        <v>4.1860000000000001E-2</v>
      </c>
      <c r="E29" s="1627">
        <v>4.1860000000000001E-2</v>
      </c>
      <c r="F29" s="1211"/>
      <c r="G29" s="1627">
        <v>2.8379999999999999E-2</v>
      </c>
      <c r="H29" s="869">
        <v>2.8420000000000001E-2</v>
      </c>
      <c r="I29" s="869">
        <v>2.8420000000000001E-2</v>
      </c>
      <c r="J29" s="1211"/>
      <c r="K29" s="870">
        <f>ROUND($L29,5)</f>
        <v>2.844E-2</v>
      </c>
      <c r="L29" s="870">
        <f>ROUND(I29*Q29,5)</f>
        <v>2.844E-2</v>
      </c>
      <c r="M29" s="1211"/>
      <c r="N29" s="870">
        <f t="shared" ref="N29:N32" si="13">ROUND($O29,5)</f>
        <v>3.6110000000000003E-2</v>
      </c>
      <c r="O29" s="870">
        <f t="shared" ref="O29:O32" si="14">ROUND(T29,5)</f>
        <v>3.6110000000000003E-2</v>
      </c>
      <c r="P29" s="1211"/>
      <c r="Q29" s="1621">
        <f>AjComDistAP100!$D$33</f>
        <v>1.0005890196901264</v>
      </c>
      <c r="R29" s="1621"/>
      <c r="T29" s="2054">
        <f>'MODELO IMP'!C39</f>
        <v>3.6111819598495069E-2</v>
      </c>
      <c r="U29" s="2059">
        <f t="shared" ref="U29:U32" si="15">O29-T29</f>
        <v>-1.8195984950661326E-6</v>
      </c>
    </row>
    <row r="30" spans="2:21" s="38" customFormat="1">
      <c r="B30" s="868" t="s">
        <v>1215</v>
      </c>
      <c r="C30" s="863"/>
      <c r="D30" s="1627">
        <v>4.1860000000000001E-2</v>
      </c>
      <c r="E30" s="1627">
        <v>4.1860000000000001E-2</v>
      </c>
      <c r="F30" s="1211"/>
      <c r="G30" s="1627">
        <v>2.8379999999999999E-2</v>
      </c>
      <c r="H30" s="869">
        <v>2.8420000000000001E-2</v>
      </c>
      <c r="I30" s="869">
        <v>2.8420000000000001E-2</v>
      </c>
      <c r="J30" s="1211"/>
      <c r="K30" s="870">
        <f>ROUND($L30,5)</f>
        <v>2.844E-2</v>
      </c>
      <c r="L30" s="870">
        <f>ROUND(I30*Q30,5)</f>
        <v>2.844E-2</v>
      </c>
      <c r="M30" s="1211"/>
      <c r="N30" s="870">
        <f t="shared" si="13"/>
        <v>3.5180000000000003E-2</v>
      </c>
      <c r="O30" s="869">
        <f t="shared" si="14"/>
        <v>3.5180000000000003E-2</v>
      </c>
      <c r="P30" s="1211"/>
      <c r="Q30" s="1621">
        <f>AjComDistAP100!$D$33</f>
        <v>1.0005890196901264</v>
      </c>
      <c r="R30" s="1621"/>
      <c r="T30" s="2054">
        <f>'MODELO IMP'!C93</f>
        <v>3.517756835209207E-2</v>
      </c>
      <c r="U30" s="2059">
        <f t="shared" si="15"/>
        <v>2.4316479079328213E-6</v>
      </c>
    </row>
    <row r="31" spans="2:21" s="38" customFormat="1">
      <c r="B31" s="868" t="s">
        <v>1216</v>
      </c>
      <c r="C31" s="863"/>
      <c r="D31" s="1627">
        <v>4.1860000000000001E-2</v>
      </c>
      <c r="E31" s="1627">
        <v>4.1860000000000001E-2</v>
      </c>
      <c r="F31" s="1211"/>
      <c r="G31" s="1627">
        <v>2.8379999999999999E-2</v>
      </c>
      <c r="H31" s="869">
        <v>2.8420000000000001E-2</v>
      </c>
      <c r="I31" s="869">
        <v>2.8420000000000001E-2</v>
      </c>
      <c r="J31" s="1211"/>
      <c r="K31" s="870">
        <f>ROUND($L31,5)</f>
        <v>2.844E-2</v>
      </c>
      <c r="L31" s="870">
        <f>ROUND(I31*Q31,5)</f>
        <v>2.844E-2</v>
      </c>
      <c r="M31" s="1211"/>
      <c r="N31" s="870">
        <f t="shared" si="13"/>
        <v>3.5180000000000003E-2</v>
      </c>
      <c r="O31" s="869">
        <f t="shared" si="14"/>
        <v>3.5180000000000003E-2</v>
      </c>
      <c r="P31" s="1211"/>
      <c r="Q31" s="1621">
        <f>AjComDistAP100!$D$33</f>
        <v>1.0005890196901264</v>
      </c>
      <c r="R31" s="1621"/>
      <c r="T31" s="2054">
        <f>'MODELO IMP'!C94</f>
        <v>3.517756835209207E-2</v>
      </c>
      <c r="U31" s="2059">
        <f t="shared" si="15"/>
        <v>2.4316479079328213E-6</v>
      </c>
    </row>
    <row r="32" spans="2:21" s="38" customFormat="1">
      <c r="B32" s="868" t="s">
        <v>1217</v>
      </c>
      <c r="C32" s="863"/>
      <c r="D32" s="1627">
        <v>4.1860000000000001E-2</v>
      </c>
      <c r="E32" s="1627">
        <v>4.1860000000000001E-2</v>
      </c>
      <c r="F32" s="1211"/>
      <c r="G32" s="1627">
        <v>2.8379999999999999E-2</v>
      </c>
      <c r="H32" s="869">
        <v>2.8420000000000001E-2</v>
      </c>
      <c r="I32" s="869">
        <v>2.8420000000000001E-2</v>
      </c>
      <c r="J32" s="1211"/>
      <c r="K32" s="870">
        <f>ROUND($L32,5)</f>
        <v>2.844E-2</v>
      </c>
      <c r="L32" s="870">
        <f>ROUND(I32*Q32,5)</f>
        <v>2.844E-2</v>
      </c>
      <c r="M32" s="1211"/>
      <c r="N32" s="870">
        <f t="shared" si="13"/>
        <v>3.5180000000000003E-2</v>
      </c>
      <c r="O32" s="869">
        <f t="shared" si="14"/>
        <v>3.5180000000000003E-2</v>
      </c>
      <c r="P32" s="1211"/>
      <c r="Q32" s="1621">
        <f>AjComDistAP100!$D$33</f>
        <v>1.0005890196901264</v>
      </c>
      <c r="R32" s="1621"/>
      <c r="T32" s="2054">
        <f>'MODELO IMP'!C95</f>
        <v>3.517756835209207E-2</v>
      </c>
      <c r="U32" s="2059">
        <f t="shared" si="15"/>
        <v>2.4316479079328213E-6</v>
      </c>
    </row>
    <row r="33" spans="2:21" s="693" customFormat="1" ht="8.25">
      <c r="B33" s="1948" t="s">
        <v>274</v>
      </c>
      <c r="C33" s="1949"/>
      <c r="D33" s="1950"/>
      <c r="E33" s="1950"/>
      <c r="F33" s="1951"/>
      <c r="G33" s="1950"/>
      <c r="H33" s="1952"/>
      <c r="I33" s="1952"/>
      <c r="J33" s="1951"/>
      <c r="K33" s="1953"/>
      <c r="L33" s="1953"/>
      <c r="M33" s="1951"/>
      <c r="N33" s="1953"/>
      <c r="O33" s="1953"/>
      <c r="P33" s="1951"/>
      <c r="Q33" s="1954"/>
      <c r="R33" s="1954"/>
      <c r="T33" s="2056"/>
      <c r="U33" s="2056"/>
    </row>
    <row r="34" spans="2:21" s="693" customFormat="1" ht="8.25">
      <c r="B34" s="1948" t="s">
        <v>275</v>
      </c>
      <c r="C34" s="1949"/>
      <c r="D34" s="1950"/>
      <c r="E34" s="1950"/>
      <c r="F34" s="1951"/>
      <c r="G34" s="1950"/>
      <c r="H34" s="1952"/>
      <c r="I34" s="1952"/>
      <c r="J34" s="1951"/>
      <c r="K34" s="1953"/>
      <c r="L34" s="1953"/>
      <c r="M34" s="1951"/>
      <c r="N34" s="1953"/>
      <c r="O34" s="1953"/>
      <c r="P34" s="1951"/>
      <c r="Q34" s="1954"/>
      <c r="R34" s="1954"/>
      <c r="T34" s="2056"/>
      <c r="U34" s="2056"/>
    </row>
    <row r="35" spans="2:21" s="1955" customFormat="1" ht="8.25">
      <c r="B35" s="1948" t="s">
        <v>276</v>
      </c>
      <c r="C35" s="1949"/>
      <c r="D35" s="1950"/>
      <c r="E35" s="1950"/>
      <c r="F35" s="1951"/>
      <c r="G35" s="1950"/>
      <c r="H35" s="1952"/>
      <c r="I35" s="1952"/>
      <c r="J35" s="1951"/>
      <c r="K35" s="1953"/>
      <c r="L35" s="1953"/>
      <c r="M35" s="1951"/>
      <c r="N35" s="1953"/>
      <c r="O35" s="1953"/>
      <c r="P35" s="1951"/>
      <c r="Q35" s="1954"/>
      <c r="R35" s="1954"/>
      <c r="T35" s="2057"/>
      <c r="U35" s="2057"/>
    </row>
    <row r="36" spans="2:21" s="1955" customFormat="1" ht="8.25">
      <c r="B36" s="1948" t="s">
        <v>277</v>
      </c>
      <c r="C36" s="1949"/>
      <c r="D36" s="1950"/>
      <c r="E36" s="1950"/>
      <c r="F36" s="1951"/>
      <c r="G36" s="1950"/>
      <c r="H36" s="1952"/>
      <c r="I36" s="1952"/>
      <c r="J36" s="1951"/>
      <c r="K36" s="1953"/>
      <c r="L36" s="1953"/>
      <c r="M36" s="1951"/>
      <c r="N36" s="1953"/>
      <c r="O36" s="1953"/>
      <c r="P36" s="1951"/>
      <c r="Q36" s="1954"/>
      <c r="R36" s="1954"/>
      <c r="T36" s="2057"/>
      <c r="U36" s="2057"/>
    </row>
    <row r="37" spans="2:21" s="1955" customFormat="1" ht="8.25">
      <c r="B37" s="1948" t="s">
        <v>278</v>
      </c>
      <c r="C37" s="1949"/>
      <c r="D37" s="1950"/>
      <c r="E37" s="1950"/>
      <c r="F37" s="1951"/>
      <c r="G37" s="1950"/>
      <c r="H37" s="1952"/>
      <c r="I37" s="1952"/>
      <c r="J37" s="1951"/>
      <c r="K37" s="1953"/>
      <c r="L37" s="1953"/>
      <c r="M37" s="1951"/>
      <c r="N37" s="1953"/>
      <c r="O37" s="1953"/>
      <c r="P37" s="1951"/>
      <c r="Q37" s="1954"/>
      <c r="R37" s="1954"/>
      <c r="T37" s="2057"/>
      <c r="U37" s="2057"/>
    </row>
    <row r="38" spans="2:21" s="1955" customFormat="1" ht="8.25">
      <c r="B38" s="1948" t="s">
        <v>279</v>
      </c>
      <c r="C38" s="1949"/>
      <c r="D38" s="1950"/>
      <c r="E38" s="1950"/>
      <c r="F38" s="1951"/>
      <c r="G38" s="1950"/>
      <c r="H38" s="1952"/>
      <c r="I38" s="1952"/>
      <c r="J38" s="1951"/>
      <c r="K38" s="1953"/>
      <c r="L38" s="1953"/>
      <c r="M38" s="1951"/>
      <c r="N38" s="1953"/>
      <c r="O38" s="1953"/>
      <c r="P38" s="1951"/>
      <c r="Q38" s="1954"/>
      <c r="R38" s="1954"/>
      <c r="T38" s="2057"/>
      <c r="U38" s="2057"/>
    </row>
    <row r="39" spans="2:21" s="1955" customFormat="1" ht="8.25">
      <c r="B39" s="1948"/>
      <c r="C39" s="1949"/>
      <c r="D39" s="1950"/>
      <c r="E39" s="1950"/>
      <c r="F39" s="1951"/>
      <c r="G39" s="1950"/>
      <c r="H39" s="1952"/>
      <c r="I39" s="1952"/>
      <c r="J39" s="1951"/>
      <c r="K39" s="1953"/>
      <c r="L39" s="1953"/>
      <c r="M39" s="1951"/>
      <c r="N39" s="1953"/>
      <c r="O39" s="1953"/>
      <c r="P39" s="1951"/>
      <c r="Q39" s="1954"/>
      <c r="R39" s="1954"/>
      <c r="T39" s="2057"/>
      <c r="U39" s="2057"/>
    </row>
    <row r="40" spans="2:21" s="38" customFormat="1">
      <c r="B40" s="100" t="s">
        <v>406</v>
      </c>
      <c r="C40" s="863" t="s">
        <v>285</v>
      </c>
      <c r="D40" s="1626"/>
      <c r="E40" s="1626"/>
      <c r="F40" s="1210"/>
      <c r="G40" s="1626"/>
      <c r="H40" s="865"/>
      <c r="I40" s="865"/>
      <c r="J40" s="1210"/>
      <c r="K40" s="864"/>
      <c r="L40" s="864"/>
      <c r="M40" s="1210"/>
      <c r="N40" s="864"/>
      <c r="O40" s="864"/>
      <c r="P40" s="1210"/>
      <c r="Q40" s="1621"/>
      <c r="R40" s="1621"/>
      <c r="T40" s="2054"/>
      <c r="U40" s="2054"/>
    </row>
    <row r="41" spans="2:21" s="38" customFormat="1">
      <c r="B41" s="108" t="s">
        <v>274</v>
      </c>
      <c r="C41" s="863"/>
      <c r="D41" s="1626">
        <v>18.28</v>
      </c>
      <c r="E41" s="1626">
        <v>18.28</v>
      </c>
      <c r="F41" s="1210"/>
      <c r="G41" s="1626">
        <v>12.39</v>
      </c>
      <c r="H41" s="865">
        <v>12.41</v>
      </c>
      <c r="I41" s="865">
        <v>12.41</v>
      </c>
      <c r="J41" s="1210"/>
      <c r="K41" s="864">
        <f>ROUND($L41,2)</f>
        <v>12.42</v>
      </c>
      <c r="L41" s="864">
        <f>ROUND(I41*Q41,2)</f>
        <v>12.42</v>
      </c>
      <c r="M41" s="1210"/>
      <c r="N41" s="864">
        <f t="shared" ref="N41:N43" si="16">ROUND($O41,2)</f>
        <v>12.35</v>
      </c>
      <c r="O41" s="864">
        <f t="shared" ref="O41:O43" si="17">ROUND(T41,2)</f>
        <v>12.35</v>
      </c>
      <c r="P41" s="1210"/>
      <c r="Q41" s="1621">
        <f>AjComDistAP100!$D$33</f>
        <v>1.0005890196901264</v>
      </c>
      <c r="R41" s="1621"/>
      <c r="T41" s="2054">
        <f>'MODELO IMP'!C129</f>
        <v>12.350481537959073</v>
      </c>
      <c r="U41" s="2060">
        <f t="shared" ref="U41:U43" si="18">O41-T41</f>
        <v>-4.8153795907346364E-4</v>
      </c>
    </row>
    <row r="42" spans="2:21" s="38" customFormat="1">
      <c r="B42" s="108" t="s">
        <v>276</v>
      </c>
      <c r="C42" s="863"/>
      <c r="D42" s="1626">
        <v>14.44</v>
      </c>
      <c r="E42" s="1626">
        <v>14.44</v>
      </c>
      <c r="F42" s="1210"/>
      <c r="G42" s="1626">
        <v>9.7899999999999991</v>
      </c>
      <c r="H42" s="865">
        <v>9.8000000000000007</v>
      </c>
      <c r="I42" s="865">
        <v>9.8000000000000007</v>
      </c>
      <c r="J42" s="1210"/>
      <c r="K42" s="864">
        <f>ROUND($L42,2)</f>
        <v>9.81</v>
      </c>
      <c r="L42" s="864">
        <f>ROUND(I42*Q42,2)</f>
        <v>9.81</v>
      </c>
      <c r="M42" s="1210"/>
      <c r="N42" s="864">
        <f t="shared" si="16"/>
        <v>11.29</v>
      </c>
      <c r="O42" s="864">
        <f t="shared" ref="O42" si="19">ROUND(T42,2)</f>
        <v>11.29</v>
      </c>
      <c r="P42" s="1210"/>
      <c r="Q42" s="1621">
        <f>AjComDistAP100!$D$33</f>
        <v>1.0005890196901264</v>
      </c>
      <c r="R42" s="1621"/>
      <c r="T42" s="2054">
        <f>'MODELO IMP'!C235</f>
        <v>11.28539648731137</v>
      </c>
      <c r="U42" s="2060">
        <f t="shared" si="18"/>
        <v>4.6035126886287969E-3</v>
      </c>
    </row>
    <row r="43" spans="2:21" s="38" customFormat="1">
      <c r="B43" s="108" t="s">
        <v>278</v>
      </c>
      <c r="C43" s="863"/>
      <c r="D43" s="1626">
        <v>3.56</v>
      </c>
      <c r="E43" s="1626">
        <v>3.56</v>
      </c>
      <c r="F43" s="1210"/>
      <c r="G43" s="1626">
        <v>2.41</v>
      </c>
      <c r="H43" s="865">
        <v>2.41</v>
      </c>
      <c r="I43" s="865">
        <v>2.41</v>
      </c>
      <c r="J43" s="1210"/>
      <c r="K43" s="864">
        <f>ROUND($L43,2)</f>
        <v>2.41</v>
      </c>
      <c r="L43" s="864">
        <f>ROUND(I43*Q43,2)</f>
        <v>2.41</v>
      </c>
      <c r="M43" s="1210"/>
      <c r="N43" s="864">
        <f t="shared" si="16"/>
        <v>2.82</v>
      </c>
      <c r="O43" s="864">
        <f t="shared" si="17"/>
        <v>2.82</v>
      </c>
      <c r="P43" s="1210"/>
      <c r="Q43" s="1621">
        <f>AjComDistAP100!$D$33</f>
        <v>1.0005890196901264</v>
      </c>
      <c r="R43" s="1621"/>
      <c r="T43" s="2054">
        <f>'MODELO IMP'!C339</f>
        <v>2.8189350336210572</v>
      </c>
      <c r="U43" s="2060">
        <f t="shared" si="18"/>
        <v>1.0649663789426E-3</v>
      </c>
    </row>
    <row r="44" spans="2:21" s="38" customFormat="1" ht="15">
      <c r="B44" s="100" t="s">
        <v>1522</v>
      </c>
      <c r="C44" s="863" t="s">
        <v>285</v>
      </c>
      <c r="D44" s="1626"/>
      <c r="E44" s="1626"/>
      <c r="F44" s="1210"/>
      <c r="G44" s="1626"/>
      <c r="H44" s="865"/>
      <c r="I44" s="865"/>
      <c r="J44" s="1210"/>
      <c r="K44" s="864"/>
      <c r="L44" s="864"/>
      <c r="M44" s="1210"/>
      <c r="N44" s="864"/>
      <c r="O44" s="864"/>
      <c r="P44" s="1210"/>
      <c r="Q44" s="1621"/>
      <c r="R44" s="1621"/>
      <c r="T44" s="2054"/>
      <c r="U44" s="2054"/>
    </row>
    <row r="45" spans="2:21" s="38" customFormat="1">
      <c r="B45" s="108" t="s">
        <v>275</v>
      </c>
      <c r="C45" s="863"/>
      <c r="D45" s="1626">
        <v>10.48</v>
      </c>
      <c r="E45" s="1626">
        <v>10.48</v>
      </c>
      <c r="F45" s="1210"/>
      <c r="G45" s="1626">
        <v>7.1</v>
      </c>
      <c r="H45" s="865">
        <v>7.11</v>
      </c>
      <c r="I45" s="865">
        <v>7.11</v>
      </c>
      <c r="J45" s="1210"/>
      <c r="K45" s="864">
        <f>ROUND($L45,2)</f>
        <v>7.11</v>
      </c>
      <c r="L45" s="864">
        <f>ROUND(I45*Q45,2)</f>
        <v>7.11</v>
      </c>
      <c r="M45" s="1210"/>
      <c r="N45" s="864">
        <f t="shared" ref="N45:N47" si="20">ROUND($O45,2)</f>
        <v>7.68</v>
      </c>
      <c r="O45" s="864">
        <f t="shared" ref="O45" si="21">ROUND(T45,2)</f>
        <v>7.68</v>
      </c>
      <c r="P45" s="1210"/>
      <c r="Q45" s="1621">
        <f>AjComDistAP100!$D$33</f>
        <v>1.0005890196901264</v>
      </c>
      <c r="R45" s="1621"/>
      <c r="T45" s="2054">
        <f>'MODELO IMP'!C165</f>
        <v>7.67707054875138</v>
      </c>
      <c r="U45" s="2060">
        <f t="shared" ref="U45:U47" si="22">O45-T45</f>
        <v>2.9294512486197632E-3</v>
      </c>
    </row>
    <row r="46" spans="2:21" s="38" customFormat="1">
      <c r="B46" s="108" t="s">
        <v>286</v>
      </c>
      <c r="C46" s="863"/>
      <c r="D46" s="1626">
        <v>8.0500000000000007</v>
      </c>
      <c r="E46" s="1626">
        <v>8.0500000000000007</v>
      </c>
      <c r="F46" s="1210"/>
      <c r="G46" s="1626">
        <v>5.46</v>
      </c>
      <c r="H46" s="865">
        <v>5.47</v>
      </c>
      <c r="I46" s="865">
        <v>5.47</v>
      </c>
      <c r="J46" s="1210"/>
      <c r="K46" s="864">
        <f>ROUND($L46,2)</f>
        <v>5.47</v>
      </c>
      <c r="L46" s="864">
        <f>ROUND(I46*Q46,2)</f>
        <v>5.47</v>
      </c>
      <c r="M46" s="1210"/>
      <c r="N46" s="864">
        <f t="shared" si="20"/>
        <v>6.22</v>
      </c>
      <c r="O46" s="864">
        <f t="shared" ref="O46:O47" si="23">ROUND(T46,2)</f>
        <v>6.22</v>
      </c>
      <c r="P46" s="1210"/>
      <c r="Q46" s="1621">
        <f>AjComDistAP100!$D$33</f>
        <v>1.0005890196901264</v>
      </c>
      <c r="R46" s="1621"/>
      <c r="T46" s="2054">
        <f>'MODELO IMP'!C268</f>
        <v>6.2218121554158667</v>
      </c>
      <c r="U46" s="2060">
        <f t="shared" si="22"/>
        <v>-1.8121554158669895E-3</v>
      </c>
    </row>
    <row r="47" spans="2:21" s="38" customFormat="1">
      <c r="B47" s="108" t="s">
        <v>287</v>
      </c>
      <c r="C47" s="863"/>
      <c r="D47" s="1626">
        <v>2.58</v>
      </c>
      <c r="E47" s="1626">
        <v>2.58</v>
      </c>
      <c r="F47" s="1210"/>
      <c r="G47" s="1626">
        <v>1.75</v>
      </c>
      <c r="H47" s="865">
        <v>1.75</v>
      </c>
      <c r="I47" s="865">
        <v>1.75</v>
      </c>
      <c r="J47" s="1210"/>
      <c r="K47" s="864">
        <f>ROUND($L47,2)</f>
        <v>1.75</v>
      </c>
      <c r="L47" s="864">
        <f>ROUND(I47*Q47,2)</f>
        <v>1.75</v>
      </c>
      <c r="M47" s="1210"/>
      <c r="N47" s="864">
        <f t="shared" si="20"/>
        <v>2.0099999999999998</v>
      </c>
      <c r="O47" s="864">
        <f t="shared" si="23"/>
        <v>2.0099999999999998</v>
      </c>
      <c r="P47" s="1210"/>
      <c r="Q47" s="1621">
        <f>AjComDistAP100!$D$33</f>
        <v>1.0005890196901264</v>
      </c>
      <c r="R47" s="1621"/>
      <c r="T47" s="2054">
        <f>'MODELO IMP'!C372</f>
        <v>2.0124074152109137</v>
      </c>
      <c r="U47" s="2060">
        <f t="shared" si="22"/>
        <v>-2.4074152109139213E-3</v>
      </c>
    </row>
    <row r="48" spans="2:21" ht="15">
      <c r="B48" s="100" t="s">
        <v>1523</v>
      </c>
      <c r="C48" s="863" t="s">
        <v>285</v>
      </c>
      <c r="D48" s="1626"/>
      <c r="E48" s="1626"/>
      <c r="F48" s="1210"/>
      <c r="G48" s="1626"/>
      <c r="H48" s="865"/>
      <c r="I48" s="865"/>
      <c r="J48" s="1210"/>
      <c r="K48" s="864"/>
      <c r="L48" s="864"/>
      <c r="M48" s="1210"/>
      <c r="N48" s="864"/>
      <c r="O48" s="864"/>
      <c r="P48" s="1210"/>
      <c r="Q48" s="1621"/>
      <c r="R48" s="1621"/>
    </row>
    <row r="49" spans="2:21" s="38" customFormat="1">
      <c r="B49" s="108" t="s">
        <v>275</v>
      </c>
      <c r="C49" s="863"/>
      <c r="D49" s="1626">
        <v>8.73</v>
      </c>
      <c r="E49" s="1626">
        <v>8.73</v>
      </c>
      <c r="F49" s="1210"/>
      <c r="G49" s="1626">
        <v>5.92</v>
      </c>
      <c r="H49" s="865">
        <v>5.93</v>
      </c>
      <c r="I49" s="865">
        <v>5.93</v>
      </c>
      <c r="J49" s="1210"/>
      <c r="K49" s="864">
        <f>ROUND($L49,2)</f>
        <v>5.93</v>
      </c>
      <c r="L49" s="864">
        <f>ROUND(I49*Q49,2)</f>
        <v>5.93</v>
      </c>
      <c r="M49" s="1210"/>
      <c r="N49" s="864">
        <f t="shared" ref="N49:N51" si="24">ROUND($O49,2)</f>
        <v>5.26</v>
      </c>
      <c r="O49" s="864">
        <f t="shared" ref="O49" si="25">ROUND(T49,2)</f>
        <v>5.26</v>
      </c>
      <c r="P49" s="1210"/>
      <c r="Q49" s="1621">
        <f>AjComDistAP100!$D$33</f>
        <v>1.0005890196901264</v>
      </c>
      <c r="R49" s="1621"/>
      <c r="T49" s="2054">
        <f>'MODELO IMP'!C166</f>
        <v>5.2634388685242275</v>
      </c>
      <c r="U49" s="2060">
        <f t="shared" ref="U49:U51" si="26">O49-T49</f>
        <v>-3.4388685242277006E-3</v>
      </c>
    </row>
    <row r="50" spans="2:21" s="38" customFormat="1">
      <c r="B50" s="108" t="s">
        <v>286</v>
      </c>
      <c r="C50" s="863"/>
      <c r="D50" s="1626">
        <v>7.04</v>
      </c>
      <c r="E50" s="1626">
        <v>7.04</v>
      </c>
      <c r="F50" s="1210"/>
      <c r="G50" s="1626">
        <v>4.7699999999999996</v>
      </c>
      <c r="H50" s="865">
        <v>4.78</v>
      </c>
      <c r="I50" s="865">
        <v>4.78</v>
      </c>
      <c r="J50" s="1210"/>
      <c r="K50" s="864">
        <f>ROUND($L50,2)</f>
        <v>4.78</v>
      </c>
      <c r="L50" s="864">
        <f>ROUND(I50*Q50,2)</f>
        <v>4.78</v>
      </c>
      <c r="M50" s="1210"/>
      <c r="N50" s="864">
        <f t="shared" si="24"/>
        <v>5.46</v>
      </c>
      <c r="O50" s="864">
        <f t="shared" ref="O50:O51" si="27">ROUND(T50,2)</f>
        <v>5.46</v>
      </c>
      <c r="P50" s="1210"/>
      <c r="Q50" s="1621">
        <f>AjComDistAP100!$D$33</f>
        <v>1.0005890196901264</v>
      </c>
      <c r="R50" s="1621"/>
      <c r="T50" s="2054">
        <f>'MODELO IMP'!C269</f>
        <v>5.4612073061446331</v>
      </c>
      <c r="U50" s="2060">
        <f t="shared" si="26"/>
        <v>-1.2073061446331579E-3</v>
      </c>
    </row>
    <row r="51" spans="2:21" s="38" customFormat="1">
      <c r="B51" s="108" t="s">
        <v>287</v>
      </c>
      <c r="C51" s="863"/>
      <c r="D51" s="1626">
        <v>1.06</v>
      </c>
      <c r="E51" s="1626">
        <v>1.06</v>
      </c>
      <c r="F51" s="1210"/>
      <c r="G51" s="1626">
        <v>0.72</v>
      </c>
      <c r="H51" s="865">
        <v>0.72</v>
      </c>
      <c r="I51" s="865">
        <v>0.72</v>
      </c>
      <c r="J51" s="1210"/>
      <c r="K51" s="864">
        <f>ROUND($L51,2)</f>
        <v>0.72</v>
      </c>
      <c r="L51" s="864">
        <f>ROUND(I51*Q51,2)</f>
        <v>0.72</v>
      </c>
      <c r="M51" s="1210"/>
      <c r="N51" s="864">
        <f t="shared" si="24"/>
        <v>0.83</v>
      </c>
      <c r="O51" s="864">
        <f t="shared" si="27"/>
        <v>0.83</v>
      </c>
      <c r="P51" s="1210"/>
      <c r="Q51" s="1621">
        <f>AjComDistAP100!$D$33</f>
        <v>1.0005890196901264</v>
      </c>
      <c r="R51" s="1621"/>
      <c r="T51" s="2054">
        <f>'MODELO IMP'!C373</f>
        <v>0.82557711453450167</v>
      </c>
      <c r="U51" s="2060">
        <f t="shared" si="26"/>
        <v>4.4228854654982941E-3</v>
      </c>
    </row>
    <row r="52" spans="2:21" s="38" customFormat="1" ht="15">
      <c r="B52" s="100" t="s">
        <v>1524</v>
      </c>
      <c r="C52" s="863" t="s">
        <v>285</v>
      </c>
      <c r="D52" s="1626"/>
      <c r="E52" s="1626"/>
      <c r="F52" s="1210"/>
      <c r="G52" s="1626"/>
      <c r="H52" s="865"/>
      <c r="I52" s="865"/>
      <c r="J52" s="1210"/>
      <c r="K52" s="864"/>
      <c r="L52" s="864"/>
      <c r="M52" s="1210"/>
      <c r="N52" s="864"/>
      <c r="O52" s="864"/>
      <c r="P52" s="1210"/>
      <c r="Q52" s="1621"/>
      <c r="R52" s="1621"/>
      <c r="T52" s="2054"/>
      <c r="U52" s="2054"/>
    </row>
    <row r="53" spans="2:21" s="38" customFormat="1">
      <c r="B53" s="108" t="s">
        <v>275</v>
      </c>
      <c r="C53" s="863"/>
      <c r="D53" s="1626">
        <v>0</v>
      </c>
      <c r="E53" s="1626">
        <v>0</v>
      </c>
      <c r="F53" s="1210"/>
      <c r="G53" s="1626">
        <v>0</v>
      </c>
      <c r="H53" s="867">
        <v>0</v>
      </c>
      <c r="I53" s="867">
        <v>0</v>
      </c>
      <c r="J53" s="1210"/>
      <c r="K53" s="864">
        <f>ROUND($L53,2)</f>
        <v>0</v>
      </c>
      <c r="L53" s="864">
        <f>ROUND(I53*Q53,2)</f>
        <v>0</v>
      </c>
      <c r="M53" s="1210"/>
      <c r="N53" s="864">
        <f t="shared" ref="N53:N55" si="28">ROUND($O53,2)</f>
        <v>0</v>
      </c>
      <c r="O53" s="864">
        <f t="shared" ref="O53" si="29">ROUND(T53,2)</f>
        <v>0</v>
      </c>
      <c r="P53" s="1210"/>
      <c r="Q53" s="1621">
        <f>AjComDistAP100!$D$33</f>
        <v>1.0005890196901264</v>
      </c>
      <c r="R53" s="1621"/>
      <c r="T53" s="2054">
        <f>0</f>
        <v>0</v>
      </c>
      <c r="U53" s="2060">
        <f t="shared" ref="U53:U55" si="30">O53-T53</f>
        <v>0</v>
      </c>
    </row>
    <row r="54" spans="2:21" s="38" customFormat="1">
      <c r="B54" s="108" t="s">
        <v>286</v>
      </c>
      <c r="C54" s="863"/>
      <c r="D54" s="1626">
        <v>0</v>
      </c>
      <c r="E54" s="1626">
        <v>0</v>
      </c>
      <c r="F54" s="1210"/>
      <c r="G54" s="1626">
        <v>0</v>
      </c>
      <c r="H54" s="867">
        <v>0</v>
      </c>
      <c r="I54" s="867">
        <v>0</v>
      </c>
      <c r="J54" s="1210"/>
      <c r="K54" s="864">
        <f>ROUND($L54,2)</f>
        <v>0</v>
      </c>
      <c r="L54" s="864">
        <f>ROUND(I54*Q54,2)</f>
        <v>0</v>
      </c>
      <c r="M54" s="1210"/>
      <c r="N54" s="864">
        <f t="shared" si="28"/>
        <v>0</v>
      </c>
      <c r="O54" s="864">
        <f t="shared" ref="O54:O55" si="31">ROUND(T54,2)</f>
        <v>0</v>
      </c>
      <c r="P54" s="1210"/>
      <c r="Q54" s="1621">
        <f>AjComDistAP100!$D$33</f>
        <v>1.0005890196901264</v>
      </c>
      <c r="R54" s="1621"/>
      <c r="T54" s="2054">
        <f>0</f>
        <v>0</v>
      </c>
      <c r="U54" s="2060">
        <f t="shared" si="30"/>
        <v>0</v>
      </c>
    </row>
    <row r="55" spans="2:21" s="38" customFormat="1">
      <c r="B55" s="108" t="s">
        <v>287</v>
      </c>
      <c r="C55" s="863"/>
      <c r="D55" s="1626">
        <v>0</v>
      </c>
      <c r="E55" s="1626">
        <v>0</v>
      </c>
      <c r="F55" s="1210"/>
      <c r="G55" s="1626">
        <v>0</v>
      </c>
      <c r="H55" s="867">
        <v>0</v>
      </c>
      <c r="I55" s="867">
        <v>0</v>
      </c>
      <c r="J55" s="1210"/>
      <c r="K55" s="864">
        <f>ROUND($L55,2)</f>
        <v>0</v>
      </c>
      <c r="L55" s="864">
        <f>ROUND(I55*Q55,2)</f>
        <v>0</v>
      </c>
      <c r="M55" s="1210"/>
      <c r="N55" s="864">
        <f t="shared" si="28"/>
        <v>0</v>
      </c>
      <c r="O55" s="864">
        <f t="shared" si="31"/>
        <v>0</v>
      </c>
      <c r="P55" s="1210"/>
      <c r="Q55" s="1621">
        <f>AjComDistAP100!$D$33</f>
        <v>1.0005890196901264</v>
      </c>
      <c r="R55" s="1621"/>
      <c r="T55" s="2054">
        <f>0</f>
        <v>0</v>
      </c>
      <c r="U55" s="2060">
        <f t="shared" si="30"/>
        <v>0</v>
      </c>
    </row>
    <row r="56" spans="2:21" s="38" customFormat="1">
      <c r="B56" s="862" t="s">
        <v>309</v>
      </c>
      <c r="C56" s="863"/>
      <c r="D56" s="1627"/>
      <c r="E56" s="1627"/>
      <c r="F56" s="1211"/>
      <c r="G56" s="1627"/>
      <c r="H56" s="869"/>
      <c r="I56" s="869"/>
      <c r="J56" s="1211"/>
      <c r="K56" s="864"/>
      <c r="L56" s="864"/>
      <c r="M56" s="1211"/>
      <c r="N56" s="864"/>
      <c r="O56" s="864"/>
      <c r="P56" s="1211"/>
      <c r="Q56" s="1621"/>
      <c r="R56" s="1621"/>
      <c r="T56" s="2054"/>
      <c r="U56" s="2054"/>
    </row>
    <row r="57" spans="2:21">
      <c r="B57" s="873" t="s">
        <v>284</v>
      </c>
      <c r="C57" s="863" t="s">
        <v>184</v>
      </c>
      <c r="D57" s="1626"/>
      <c r="E57" s="1626"/>
      <c r="F57" s="1210"/>
      <c r="G57" s="1626"/>
      <c r="H57" s="865"/>
      <c r="I57" s="865"/>
      <c r="J57" s="1210"/>
      <c r="K57" s="864"/>
      <c r="L57" s="864"/>
      <c r="M57" s="1210"/>
      <c r="N57" s="864"/>
      <c r="O57" s="864"/>
      <c r="P57" s="1210"/>
      <c r="Q57" s="1621"/>
      <c r="R57" s="1621"/>
    </row>
    <row r="58" spans="2:21">
      <c r="B58" s="2061" t="s">
        <v>1526</v>
      </c>
      <c r="C58" s="863"/>
      <c r="D58" s="1627">
        <v>4.1399999999999996E-3</v>
      </c>
      <c r="E58" s="1627">
        <v>4.1399999999999996E-3</v>
      </c>
      <c r="F58" s="1211"/>
      <c r="G58" s="1627">
        <v>1.15E-3</v>
      </c>
      <c r="H58" s="869">
        <v>1.15E-3</v>
      </c>
      <c r="I58" s="869">
        <v>1.15E-3</v>
      </c>
      <c r="J58" s="1211"/>
      <c r="K58" s="870">
        <f t="shared" ref="K58:K66" si="32">ROUND($L58,5)</f>
        <v>1.15E-3</v>
      </c>
      <c r="L58" s="870">
        <f t="shared" ref="L58" si="33">ROUND(I58*Q58,5)</f>
        <v>1.15E-3</v>
      </c>
      <c r="M58" s="1211"/>
      <c r="N58" s="870">
        <f>ROUND($O58,5)</f>
        <v>2.47E-3</v>
      </c>
      <c r="O58" s="870">
        <f t="shared" ref="O58" si="34">ROUND(T58,5)</f>
        <v>2.47E-3</v>
      </c>
      <c r="P58" s="1211"/>
      <c r="Q58" s="1621">
        <f>AjComDistAP100!$D$35</f>
        <v>1.0002219970624939</v>
      </c>
      <c r="R58" s="1621"/>
      <c r="T58" s="2055">
        <f>'MODELO IMP'!C17</f>
        <v>2.4679384709881979E-3</v>
      </c>
      <c r="U58" s="2059">
        <f>O58-T58</f>
        <v>2.0615290118020622E-6</v>
      </c>
    </row>
    <row r="59" spans="2:21">
      <c r="B59" s="108" t="s">
        <v>1525</v>
      </c>
      <c r="C59" s="863"/>
      <c r="D59" s="1627">
        <v>4.1399999999999996E-3</v>
      </c>
      <c r="E59" s="1627">
        <v>4.1399999999999996E-3</v>
      </c>
      <c r="F59" s="1211"/>
      <c r="G59" s="1627">
        <v>1.15E-3</v>
      </c>
      <c r="H59" s="869">
        <v>1.15E-3</v>
      </c>
      <c r="I59" s="869">
        <v>1.15E-3</v>
      </c>
      <c r="J59" s="1211"/>
      <c r="K59" s="870">
        <f t="shared" si="32"/>
        <v>1.15E-3</v>
      </c>
      <c r="L59" s="870">
        <f t="shared" ref="L59:L66" si="35">ROUND(I59*Q59,5)</f>
        <v>1.15E-3</v>
      </c>
      <c r="M59" s="1211"/>
      <c r="N59" s="870">
        <f t="shared" ref="N59:N66" si="36">ROUND($O59,5)</f>
        <v>2.5300000000000001E-3</v>
      </c>
      <c r="O59" s="870">
        <f t="shared" ref="O59:O61" si="37">ROUND(T59,5)</f>
        <v>2.5300000000000001E-3</v>
      </c>
      <c r="P59" s="1211"/>
      <c r="Q59" s="1621">
        <f>AjComDistAP100!$D$35</f>
        <v>1.0002219970624939</v>
      </c>
      <c r="R59" s="1621"/>
      <c r="T59" s="2055">
        <f>'MODELO IMP'!C42</f>
        <v>2.5334823587717186E-3</v>
      </c>
      <c r="U59" s="2059">
        <f t="shared" ref="U59:U66" si="38">O59-T59</f>
        <v>-3.4823587717184613E-6</v>
      </c>
    </row>
    <row r="60" spans="2:21">
      <c r="B60" s="868" t="s">
        <v>1176</v>
      </c>
      <c r="C60" s="863"/>
      <c r="D60" s="1627">
        <v>4.1399999999999996E-3</v>
      </c>
      <c r="E60" s="1627">
        <v>4.1399999999999996E-3</v>
      </c>
      <c r="F60" s="1210"/>
      <c r="G60" s="1627">
        <v>1.15E-3</v>
      </c>
      <c r="H60" s="869">
        <v>1.15E-3</v>
      </c>
      <c r="I60" s="869">
        <v>1.15E-3</v>
      </c>
      <c r="J60" s="1210"/>
      <c r="K60" s="870">
        <f t="shared" si="32"/>
        <v>1.15E-3</v>
      </c>
      <c r="L60" s="870">
        <f t="shared" si="35"/>
        <v>1.15E-3</v>
      </c>
      <c r="M60" s="1211"/>
      <c r="N60" s="870">
        <f t="shared" si="36"/>
        <v>2.47E-3</v>
      </c>
      <c r="O60" s="870">
        <f t="shared" si="37"/>
        <v>2.47E-3</v>
      </c>
      <c r="P60" s="1211"/>
      <c r="Q60" s="1621">
        <f>AjComDistAP100!$D$35</f>
        <v>1.0002219970624939</v>
      </c>
      <c r="R60" s="1621"/>
      <c r="T60" s="2055">
        <f>'MODELO IMP'!C100</f>
        <v>2.4679384709881979E-3</v>
      </c>
      <c r="U60" s="2059">
        <f t="shared" si="38"/>
        <v>2.0615290118020622E-6</v>
      </c>
    </row>
    <row r="61" spans="2:21">
      <c r="B61" s="108" t="s">
        <v>274</v>
      </c>
      <c r="C61" s="863"/>
      <c r="D61" s="1627">
        <v>4.0299999999999997E-3</v>
      </c>
      <c r="E61" s="1627">
        <v>4.0299999999999997E-3</v>
      </c>
      <c r="F61" s="1211"/>
      <c r="G61" s="1627">
        <v>1.1199999999999999E-3</v>
      </c>
      <c r="H61" s="869">
        <v>1.1199999999999999E-3</v>
      </c>
      <c r="I61" s="869">
        <v>1.1199999999999999E-3</v>
      </c>
      <c r="J61" s="1211"/>
      <c r="K61" s="870">
        <f t="shared" si="32"/>
        <v>1.1199999999999999E-3</v>
      </c>
      <c r="L61" s="870">
        <f t="shared" si="35"/>
        <v>1.1199999999999999E-3</v>
      </c>
      <c r="M61" s="1211"/>
      <c r="N61" s="870">
        <f t="shared" si="36"/>
        <v>2.33E-3</v>
      </c>
      <c r="O61" s="870">
        <f t="shared" si="37"/>
        <v>2.33E-3</v>
      </c>
      <c r="P61" s="1211"/>
      <c r="Q61" s="1621">
        <f>AjComDistAP100!$D$35</f>
        <v>1.0002219970624939</v>
      </c>
      <c r="R61" s="1621"/>
      <c r="T61" s="2055">
        <f>'MODELO IMP'!C134</f>
        <v>2.3289170778172598E-3</v>
      </c>
      <c r="U61" s="2059">
        <f t="shared" si="38"/>
        <v>1.0829221827402327E-6</v>
      </c>
    </row>
    <row r="62" spans="2:21">
      <c r="B62" s="108" t="s">
        <v>275</v>
      </c>
      <c r="C62" s="863"/>
      <c r="D62" s="1627">
        <v>4.0299999999999997E-3</v>
      </c>
      <c r="E62" s="1627">
        <v>4.0299999999999997E-3</v>
      </c>
      <c r="F62" s="1211"/>
      <c r="G62" s="1627">
        <v>1.1199999999999999E-3</v>
      </c>
      <c r="H62" s="869">
        <v>1.1199999999999999E-3</v>
      </c>
      <c r="I62" s="869">
        <v>1.1199999999999999E-3</v>
      </c>
      <c r="J62" s="1211"/>
      <c r="K62" s="870">
        <f t="shared" si="32"/>
        <v>1.1199999999999999E-3</v>
      </c>
      <c r="L62" s="870">
        <f t="shared" si="35"/>
        <v>1.1199999999999999E-3</v>
      </c>
      <c r="M62" s="1211"/>
      <c r="N62" s="870">
        <f t="shared" si="36"/>
        <v>2.33E-3</v>
      </c>
      <c r="O62" s="870">
        <f t="shared" ref="O62:O66" si="39">ROUND(T62,5)</f>
        <v>2.33E-3</v>
      </c>
      <c r="P62" s="1211"/>
      <c r="Q62" s="1621">
        <f>AjComDistAP100!$D$35</f>
        <v>1.0002219970624939</v>
      </c>
      <c r="R62" s="1621"/>
      <c r="T62" s="2055">
        <f>'MODELO IMP'!C174</f>
        <v>2.3289170778172598E-3</v>
      </c>
      <c r="U62" s="2059">
        <f t="shared" si="38"/>
        <v>1.0829221827402327E-6</v>
      </c>
    </row>
    <row r="63" spans="2:21">
      <c r="B63" s="108" t="s">
        <v>276</v>
      </c>
      <c r="C63" s="863"/>
      <c r="D63" s="1627">
        <v>4.0299999999999997E-3</v>
      </c>
      <c r="E63" s="1627">
        <v>4.0299999999999997E-3</v>
      </c>
      <c r="F63" s="1211"/>
      <c r="G63" s="1627">
        <v>1.1199999999999999E-3</v>
      </c>
      <c r="H63" s="869">
        <v>1.1199999999999999E-3</v>
      </c>
      <c r="I63" s="869">
        <v>1.1199999999999999E-3</v>
      </c>
      <c r="J63" s="1211"/>
      <c r="K63" s="870">
        <f t="shared" si="32"/>
        <v>1.1199999999999999E-3</v>
      </c>
      <c r="L63" s="870">
        <f t="shared" si="35"/>
        <v>1.1199999999999999E-3</v>
      </c>
      <c r="M63" s="1211"/>
      <c r="N63" s="870">
        <f t="shared" si="36"/>
        <v>2.33E-3</v>
      </c>
      <c r="O63" s="870">
        <f t="shared" si="39"/>
        <v>2.33E-3</v>
      </c>
      <c r="P63" s="1211"/>
      <c r="Q63" s="1621">
        <f>AjComDistAP100!$D$35</f>
        <v>1.0002219970624939</v>
      </c>
      <c r="R63" s="1621"/>
      <c r="T63" s="2055">
        <f>'MODELO IMP'!C240</f>
        <v>2.3290616479463527E-3</v>
      </c>
      <c r="U63" s="2059">
        <f t="shared" si="38"/>
        <v>9.383520536473261E-7</v>
      </c>
    </row>
    <row r="64" spans="2:21">
      <c r="B64" s="108" t="s">
        <v>277</v>
      </c>
      <c r="C64" s="863"/>
      <c r="D64" s="1627">
        <v>4.0299999999999997E-3</v>
      </c>
      <c r="E64" s="1627">
        <v>4.0299999999999997E-3</v>
      </c>
      <c r="F64" s="1211"/>
      <c r="G64" s="1627">
        <v>1.1199999999999999E-3</v>
      </c>
      <c r="H64" s="869">
        <v>1.1199999999999999E-3</v>
      </c>
      <c r="I64" s="869">
        <v>1.1199999999999999E-3</v>
      </c>
      <c r="J64" s="1211"/>
      <c r="K64" s="870">
        <f t="shared" si="32"/>
        <v>1.1199999999999999E-3</v>
      </c>
      <c r="L64" s="870">
        <f t="shared" si="35"/>
        <v>1.1199999999999999E-3</v>
      </c>
      <c r="M64" s="1211"/>
      <c r="N64" s="870">
        <f t="shared" si="36"/>
        <v>2.33E-3</v>
      </c>
      <c r="O64" s="870">
        <f t="shared" si="39"/>
        <v>2.33E-3</v>
      </c>
      <c r="P64" s="1211"/>
      <c r="Q64" s="1621">
        <f>AjComDistAP100!$D$35</f>
        <v>1.0002219970624939</v>
      </c>
      <c r="R64" s="1621"/>
      <c r="T64" s="2055">
        <f>'MODELO IMP'!C277</f>
        <v>2.3290616479463527E-3</v>
      </c>
      <c r="U64" s="2059">
        <f t="shared" si="38"/>
        <v>9.383520536473261E-7</v>
      </c>
    </row>
    <row r="65" spans="2:21">
      <c r="B65" s="108" t="s">
        <v>278</v>
      </c>
      <c r="C65" s="863"/>
      <c r="D65" s="1627">
        <v>4.0299999999999997E-3</v>
      </c>
      <c r="E65" s="1627">
        <v>4.0299999999999997E-3</v>
      </c>
      <c r="F65" s="1211"/>
      <c r="G65" s="1627">
        <v>1.1199999999999999E-3</v>
      </c>
      <c r="H65" s="869">
        <v>1.1199999999999999E-3</v>
      </c>
      <c r="I65" s="869">
        <v>1.1199999999999999E-3</v>
      </c>
      <c r="J65" s="1211"/>
      <c r="K65" s="870">
        <f t="shared" si="32"/>
        <v>1.1199999999999999E-3</v>
      </c>
      <c r="L65" s="870">
        <f t="shared" si="35"/>
        <v>1.1199999999999999E-3</v>
      </c>
      <c r="M65" s="1211"/>
      <c r="N65" s="870">
        <f t="shared" si="36"/>
        <v>2.33E-3</v>
      </c>
      <c r="O65" s="870">
        <f t="shared" si="39"/>
        <v>2.33E-3</v>
      </c>
      <c r="P65" s="1211"/>
      <c r="Q65" s="1621">
        <f>AjComDistAP100!$D$35</f>
        <v>1.0002219970624939</v>
      </c>
      <c r="R65" s="1621"/>
      <c r="T65" s="2055">
        <f>'MODELO IMP'!C344</f>
        <v>2.3284010523007422E-3</v>
      </c>
      <c r="U65" s="2059">
        <f t="shared" si="38"/>
        <v>1.5989476992578355E-6</v>
      </c>
    </row>
    <row r="66" spans="2:21">
      <c r="B66" s="108" t="s">
        <v>279</v>
      </c>
      <c r="C66" s="863"/>
      <c r="D66" s="1627">
        <v>4.0299999999999997E-3</v>
      </c>
      <c r="E66" s="1627">
        <v>4.0299999999999997E-3</v>
      </c>
      <c r="F66" s="1211"/>
      <c r="G66" s="1627">
        <v>1.1199999999999999E-3</v>
      </c>
      <c r="H66" s="869">
        <v>1.1199999999999999E-3</v>
      </c>
      <c r="I66" s="869">
        <v>1.1199999999999999E-3</v>
      </c>
      <c r="J66" s="1211"/>
      <c r="K66" s="870">
        <f t="shared" si="32"/>
        <v>1.1199999999999999E-3</v>
      </c>
      <c r="L66" s="870">
        <f t="shared" si="35"/>
        <v>1.1199999999999999E-3</v>
      </c>
      <c r="M66" s="1211"/>
      <c r="N66" s="870">
        <f t="shared" si="36"/>
        <v>2.33E-3</v>
      </c>
      <c r="O66" s="870">
        <f t="shared" si="39"/>
        <v>2.33E-3</v>
      </c>
      <c r="P66" s="1211"/>
      <c r="Q66" s="1621">
        <f>AjComDistAP100!$D$35</f>
        <v>1.0002219970624939</v>
      </c>
      <c r="R66" s="1621"/>
      <c r="T66" s="2055">
        <f>'MODELO IMP'!C381</f>
        <v>2.3284010523007422E-3</v>
      </c>
      <c r="U66" s="2059">
        <f t="shared" si="38"/>
        <v>1.5989476992578355E-6</v>
      </c>
    </row>
    <row r="67" spans="2:21">
      <c r="B67" s="862" t="s">
        <v>407</v>
      </c>
      <c r="C67" s="863" t="s">
        <v>283</v>
      </c>
      <c r="D67" s="1626"/>
      <c r="E67" s="1626"/>
      <c r="F67" s="1210"/>
      <c r="G67" s="1626"/>
      <c r="H67" s="865"/>
      <c r="I67" s="865"/>
      <c r="J67" s="1210"/>
      <c r="K67" s="864"/>
      <c r="L67" s="864"/>
      <c r="M67" s="1210"/>
      <c r="N67" s="864"/>
      <c r="O67" s="864"/>
      <c r="P67" s="1210"/>
      <c r="Q67" s="1621"/>
      <c r="R67" s="1621"/>
    </row>
    <row r="68" spans="2:21">
      <c r="B68" s="2061" t="s">
        <v>1526</v>
      </c>
      <c r="C68" s="863"/>
      <c r="D68" s="1626">
        <v>28.41</v>
      </c>
      <c r="E68" s="1626">
        <v>28.41</v>
      </c>
      <c r="F68" s="1210"/>
      <c r="G68" s="1626">
        <v>19.260000000000002</v>
      </c>
      <c r="H68" s="865">
        <v>19.29</v>
      </c>
      <c r="I68" s="865">
        <v>19.29</v>
      </c>
      <c r="J68" s="1210"/>
      <c r="K68" s="864">
        <f t="shared" ref="K68:K76" si="40">ROUND($L68,2)</f>
        <v>19.3</v>
      </c>
      <c r="L68" s="864">
        <f>ROUND(I68*Q68,2)</f>
        <v>19.3</v>
      </c>
      <c r="M68" s="1210"/>
      <c r="N68" s="864">
        <f>ROUND($O68,2)</f>
        <v>16.690000000000001</v>
      </c>
      <c r="O68" s="864">
        <f>ROUND(T68,2)</f>
        <v>16.690000000000001</v>
      </c>
      <c r="P68" s="1210"/>
      <c r="Q68" s="1621">
        <f>AjComDistAP100!$D$33</f>
        <v>1.0005890196901264</v>
      </c>
      <c r="R68" s="1621"/>
      <c r="T68" s="2055">
        <f>T69</f>
        <v>16.690000000000001</v>
      </c>
      <c r="U68" s="2060">
        <f>O68-T68</f>
        <v>0</v>
      </c>
    </row>
    <row r="69" spans="2:21">
      <c r="B69" s="108" t="s">
        <v>1525</v>
      </c>
      <c r="C69" s="863"/>
      <c r="D69" s="1626">
        <v>28.41</v>
      </c>
      <c r="E69" s="1626">
        <v>28.41</v>
      </c>
      <c r="F69" s="1210"/>
      <c r="G69" s="1626">
        <v>19.260000000000002</v>
      </c>
      <c r="H69" s="865">
        <v>19.29</v>
      </c>
      <c r="I69" s="865">
        <v>19.29</v>
      </c>
      <c r="J69" s="1210"/>
      <c r="K69" s="864">
        <f t="shared" si="40"/>
        <v>19.3</v>
      </c>
      <c r="L69" s="864">
        <f t="shared" ref="L69:L76" si="41">ROUND(I69*Q69,2)</f>
        <v>19.3</v>
      </c>
      <c r="M69" s="1210"/>
      <c r="N69" s="864">
        <f t="shared" ref="N69:N76" si="42">ROUND($O69,2)</f>
        <v>16.690000000000001</v>
      </c>
      <c r="O69" s="864">
        <f t="shared" ref="O69:O76" si="43">ROUND(T69,2)</f>
        <v>16.690000000000001</v>
      </c>
      <c r="P69" s="1210"/>
      <c r="Q69" s="1621">
        <f>AjComDistAP100!$D$33</f>
        <v>1.0005890196901264</v>
      </c>
      <c r="R69" s="1621"/>
      <c r="T69" s="2055">
        <f>'MODELO IMP'!C544</f>
        <v>16.690000000000001</v>
      </c>
      <c r="U69" s="2060">
        <f t="shared" ref="U69:U76" si="44">O69-T69</f>
        <v>0</v>
      </c>
    </row>
    <row r="70" spans="2:21">
      <c r="B70" s="868" t="s">
        <v>1176</v>
      </c>
      <c r="C70" s="863"/>
      <c r="D70" s="1626">
        <v>28.41</v>
      </c>
      <c r="E70" s="1626">
        <v>28.41</v>
      </c>
      <c r="F70" s="1210"/>
      <c r="G70" s="1626">
        <v>19.260000000000002</v>
      </c>
      <c r="H70" s="865">
        <v>19.29</v>
      </c>
      <c r="I70" s="865">
        <v>19.29</v>
      </c>
      <c r="J70" s="1210"/>
      <c r="K70" s="864">
        <f t="shared" si="40"/>
        <v>19.3</v>
      </c>
      <c r="L70" s="864">
        <f t="shared" si="41"/>
        <v>19.3</v>
      </c>
      <c r="M70" s="1210"/>
      <c r="N70" s="864">
        <f t="shared" si="42"/>
        <v>16.690000000000001</v>
      </c>
      <c r="O70" s="864">
        <f t="shared" si="43"/>
        <v>16.690000000000001</v>
      </c>
      <c r="P70" s="1210"/>
      <c r="Q70" s="1621">
        <f>AjComDistAP100!$D$33</f>
        <v>1.0005890196901264</v>
      </c>
      <c r="R70" s="1621"/>
      <c r="T70" s="2055">
        <f>T68</f>
        <v>16.690000000000001</v>
      </c>
      <c r="U70" s="2060">
        <f t="shared" si="44"/>
        <v>0</v>
      </c>
    </row>
    <row r="71" spans="2:21">
      <c r="B71" s="108" t="s">
        <v>274</v>
      </c>
      <c r="C71" s="863"/>
      <c r="D71" s="1626">
        <v>176.46</v>
      </c>
      <c r="E71" s="1626">
        <v>176.46</v>
      </c>
      <c r="F71" s="1210"/>
      <c r="G71" s="1626">
        <v>119.62</v>
      </c>
      <c r="H71" s="865">
        <v>119.79</v>
      </c>
      <c r="I71" s="865">
        <v>119.79</v>
      </c>
      <c r="J71" s="1210"/>
      <c r="K71" s="864">
        <f t="shared" si="40"/>
        <v>119.86</v>
      </c>
      <c r="L71" s="864">
        <f t="shared" si="41"/>
        <v>119.86</v>
      </c>
      <c r="M71" s="1210"/>
      <c r="N71" s="864">
        <f t="shared" si="42"/>
        <v>71.849999999999994</v>
      </c>
      <c r="O71" s="864">
        <f t="shared" si="43"/>
        <v>71.849999999999994</v>
      </c>
      <c r="P71" s="1210"/>
      <c r="Q71" s="1621">
        <f>AjComDistAP100!$D$33</f>
        <v>1.0005890196901264</v>
      </c>
      <c r="R71" s="1621"/>
      <c r="T71" s="2055">
        <f>'MODELO IMP'!C545</f>
        <v>71.849999999999994</v>
      </c>
      <c r="U71" s="2060">
        <f t="shared" si="44"/>
        <v>0</v>
      </c>
    </row>
    <row r="72" spans="2:21">
      <c r="B72" s="108" t="s">
        <v>275</v>
      </c>
      <c r="C72" s="863"/>
      <c r="D72" s="1626">
        <v>176.46</v>
      </c>
      <c r="E72" s="1626">
        <v>176.46</v>
      </c>
      <c r="F72" s="1210"/>
      <c r="G72" s="1626">
        <v>119.62</v>
      </c>
      <c r="H72" s="865">
        <v>119.79</v>
      </c>
      <c r="I72" s="865">
        <v>119.79</v>
      </c>
      <c r="J72" s="1210"/>
      <c r="K72" s="864">
        <f>ROUND($L72,2)</f>
        <v>119.86</v>
      </c>
      <c r="L72" s="864">
        <f>ROUND(I72*Q72,2)</f>
        <v>119.86</v>
      </c>
      <c r="M72" s="1210"/>
      <c r="N72" s="864">
        <f>ROUND($O72,2)</f>
        <v>71.849999999999994</v>
      </c>
      <c r="O72" s="864">
        <f>ROUND(T72,2)</f>
        <v>71.849999999999994</v>
      </c>
      <c r="P72" s="1210"/>
      <c r="Q72" s="1621">
        <f>AjComDistAP100!$D$33</f>
        <v>1.0005890196901264</v>
      </c>
      <c r="R72" s="1621"/>
      <c r="T72" s="2055">
        <f>'MODELO IMP'!C546</f>
        <v>71.849999999999994</v>
      </c>
      <c r="U72" s="2060">
        <f t="shared" si="44"/>
        <v>0</v>
      </c>
    </row>
    <row r="73" spans="2:21">
      <c r="B73" s="108" t="s">
        <v>276</v>
      </c>
      <c r="C73" s="863"/>
      <c r="D73" s="1626">
        <v>1695.92</v>
      </c>
      <c r="E73" s="1626">
        <v>1695.92</v>
      </c>
      <c r="F73" s="1210"/>
      <c r="G73" s="1626">
        <v>1149.6199999999999</v>
      </c>
      <c r="H73" s="865">
        <v>1151.21</v>
      </c>
      <c r="I73" s="865">
        <v>1151.21</v>
      </c>
      <c r="J73" s="1210"/>
      <c r="K73" s="864">
        <f t="shared" si="40"/>
        <v>1151.8900000000001</v>
      </c>
      <c r="L73" s="864">
        <f t="shared" si="41"/>
        <v>1151.8900000000001</v>
      </c>
      <c r="M73" s="1210"/>
      <c r="N73" s="864">
        <f t="shared" ref="N73:N75" si="45">ROUND($O73,2)</f>
        <v>141.52000000000001</v>
      </c>
      <c r="O73" s="864">
        <f t="shared" ref="O73:O75" si="46">ROUND(T73,2)</f>
        <v>141.52000000000001</v>
      </c>
      <c r="P73" s="1210"/>
      <c r="Q73" s="1621">
        <f>AjComDistAP100!$D$33</f>
        <v>1.0005890196901264</v>
      </c>
      <c r="R73" s="1621"/>
      <c r="T73" s="2055">
        <f>'MODELO IMP'!C547</f>
        <v>141.52000000000001</v>
      </c>
      <c r="U73" s="2060">
        <f t="shared" si="44"/>
        <v>0</v>
      </c>
    </row>
    <row r="74" spans="2:21">
      <c r="B74" s="108" t="s">
        <v>277</v>
      </c>
      <c r="C74" s="863"/>
      <c r="D74" s="1626">
        <v>1695.92</v>
      </c>
      <c r="E74" s="1626">
        <v>1695.92</v>
      </c>
      <c r="F74" s="1210"/>
      <c r="G74" s="1626">
        <v>1149.6199999999999</v>
      </c>
      <c r="H74" s="865">
        <v>1151.21</v>
      </c>
      <c r="I74" s="865">
        <v>1151.21</v>
      </c>
      <c r="J74" s="1210"/>
      <c r="K74" s="864">
        <f t="shared" si="40"/>
        <v>1151.8900000000001</v>
      </c>
      <c r="L74" s="864">
        <f t="shared" si="41"/>
        <v>1151.8900000000001</v>
      </c>
      <c r="M74" s="1210"/>
      <c r="N74" s="864">
        <f t="shared" si="45"/>
        <v>141.52000000000001</v>
      </c>
      <c r="O74" s="864">
        <f t="shared" si="46"/>
        <v>141.52000000000001</v>
      </c>
      <c r="P74" s="1210"/>
      <c r="Q74" s="1621">
        <f>AjComDistAP100!$D$33</f>
        <v>1.0005890196901264</v>
      </c>
      <c r="R74" s="1621"/>
      <c r="T74" s="2055">
        <f>'MODELO IMP'!C548</f>
        <v>141.52000000000001</v>
      </c>
      <c r="U74" s="2060">
        <f t="shared" si="44"/>
        <v>0</v>
      </c>
    </row>
    <row r="75" spans="2:21">
      <c r="B75" s="108" t="s">
        <v>278</v>
      </c>
      <c r="C75" s="863"/>
      <c r="D75" s="1626">
        <v>1695.92</v>
      </c>
      <c r="E75" s="1626">
        <v>1695.92</v>
      </c>
      <c r="F75" s="1210"/>
      <c r="G75" s="1626">
        <v>1149.6199999999999</v>
      </c>
      <c r="H75" s="865">
        <v>1151.21</v>
      </c>
      <c r="I75" s="865">
        <v>1151.21</v>
      </c>
      <c r="J75" s="1210"/>
      <c r="K75" s="864">
        <f t="shared" si="40"/>
        <v>1151.8900000000001</v>
      </c>
      <c r="L75" s="864">
        <f t="shared" si="41"/>
        <v>1151.8900000000001</v>
      </c>
      <c r="M75" s="1210"/>
      <c r="N75" s="864">
        <f t="shared" si="45"/>
        <v>202.17</v>
      </c>
      <c r="O75" s="864">
        <f t="shared" si="46"/>
        <v>202.17</v>
      </c>
      <c r="P75" s="1210"/>
      <c r="Q75" s="1621">
        <f>AjComDistAP100!$D$33</f>
        <v>1.0005890196901264</v>
      </c>
      <c r="R75" s="1621"/>
      <c r="T75" s="2055">
        <f>'MODELO IMP'!C549</f>
        <v>202.17</v>
      </c>
      <c r="U75" s="2060">
        <f t="shared" si="44"/>
        <v>0</v>
      </c>
    </row>
    <row r="76" spans="2:21">
      <c r="B76" s="108" t="s">
        <v>279</v>
      </c>
      <c r="C76" s="863"/>
      <c r="D76" s="1626">
        <v>1695.92</v>
      </c>
      <c r="E76" s="1626">
        <v>1695.92</v>
      </c>
      <c r="F76" s="1210"/>
      <c r="G76" s="1626">
        <v>1149.6199999999999</v>
      </c>
      <c r="H76" s="865">
        <v>1151.21</v>
      </c>
      <c r="I76" s="865">
        <v>1151.21</v>
      </c>
      <c r="J76" s="1210"/>
      <c r="K76" s="864">
        <f t="shared" si="40"/>
        <v>1151.8900000000001</v>
      </c>
      <c r="L76" s="864">
        <f t="shared" si="41"/>
        <v>1151.8900000000001</v>
      </c>
      <c r="M76" s="1210"/>
      <c r="N76" s="864">
        <f t="shared" si="42"/>
        <v>202.17</v>
      </c>
      <c r="O76" s="864">
        <f t="shared" si="43"/>
        <v>202.17</v>
      </c>
      <c r="P76" s="1210"/>
      <c r="Q76" s="1621">
        <f>AjComDistAP100!$D$33</f>
        <v>1.0005890196901264</v>
      </c>
      <c r="R76" s="1621"/>
      <c r="T76" s="2055">
        <f>'MODELO IMP'!C550</f>
        <v>202.17</v>
      </c>
      <c r="U76" s="2060">
        <f t="shared" si="44"/>
        <v>0</v>
      </c>
    </row>
    <row r="77" spans="2:21">
      <c r="E77" s="37"/>
      <c r="F77" s="37"/>
      <c r="G77" s="37"/>
      <c r="I77" s="37"/>
      <c r="J77" s="37"/>
      <c r="L77" s="37"/>
      <c r="M77" s="37"/>
      <c r="O77" s="37"/>
      <c r="P77" s="37"/>
    </row>
    <row r="78" spans="2:21">
      <c r="E78" s="37"/>
      <c r="F78" s="37"/>
      <c r="G78" s="37"/>
      <c r="I78" s="37"/>
      <c r="J78" s="37"/>
      <c r="L78" s="37"/>
      <c r="M78" s="37"/>
      <c r="O78" s="37"/>
      <c r="P78" s="37"/>
    </row>
    <row r="79" spans="2:21">
      <c r="E79" s="37"/>
      <c r="F79" s="37"/>
      <c r="G79" s="37"/>
      <c r="I79" s="37"/>
      <c r="J79" s="37"/>
      <c r="L79" s="37"/>
      <c r="M79" s="37"/>
      <c r="O79" s="37"/>
      <c r="P79" s="37"/>
    </row>
    <row r="80" spans="2:21">
      <c r="E80" s="37"/>
      <c r="F80" s="37"/>
      <c r="G80" s="37"/>
      <c r="I80" s="37"/>
      <c r="J80" s="37"/>
      <c r="L80" s="37"/>
      <c r="M80" s="37"/>
      <c r="O80" s="37"/>
      <c r="P80" s="37"/>
    </row>
    <row r="81" spans="5:16">
      <c r="E81" s="37"/>
      <c r="F81" s="37"/>
      <c r="G81" s="37"/>
      <c r="I81" s="37"/>
      <c r="J81" s="37"/>
      <c r="L81" s="37"/>
      <c r="M81" s="37"/>
      <c r="O81" s="37"/>
      <c r="P81" s="37"/>
    </row>
    <row r="82" spans="5:16">
      <c r="E82" s="37"/>
      <c r="F82" s="37"/>
      <c r="G82" s="37"/>
      <c r="I82" s="37"/>
      <c r="J82" s="37"/>
      <c r="L82" s="37"/>
      <c r="M82" s="37"/>
      <c r="O82" s="37"/>
      <c r="P82" s="37"/>
    </row>
    <row r="83" spans="5:16">
      <c r="E83" s="37"/>
      <c r="F83" s="37"/>
      <c r="G83" s="37"/>
      <c r="I83" s="37"/>
      <c r="J83" s="37"/>
      <c r="L83" s="37"/>
      <c r="M83" s="37"/>
      <c r="O83" s="37"/>
      <c r="P83" s="37"/>
    </row>
    <row r="84" spans="5:16">
      <c r="L84" s="37"/>
      <c r="O84" s="37"/>
    </row>
  </sheetData>
  <phoneticPr fontId="0" type="noConversion"/>
  <printOptions horizontalCentered="1" verticalCentered="1" headings="1"/>
  <pageMargins left="0.78740157480314965" right="0.39370078740157483" top="0.39370078740157483" bottom="0.39370078740157483" header="0.59055118110236227" footer="0.47244094488188981"/>
  <pageSetup scale="58" orientation="portrait" r:id="rId1"/>
  <headerFooter>
    <oddHeader>&amp;L&amp;"Times New Roman,Negrita"&amp;14Nombre de la Distribuidora: &amp;K06-048ENSA&amp;RASEP FORM: &amp;A</oddHeader>
    <oddFooter>&amp;R&amp;A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19">
    <tabColor theme="7" tint="0.59999389629810485"/>
  </sheetPr>
  <dimension ref="B1:Y152"/>
  <sheetViews>
    <sheetView zoomScale="85" zoomScaleNormal="85" zoomScaleSheetLayoutView="85" workbookViewId="0">
      <pane xSplit="3" ySplit="4" topLeftCell="E83" activePane="bottomRight" state="frozen"/>
      <selection pane="topRight" activeCell="D1" sqref="D1"/>
      <selection pane="bottomLeft" activeCell="A5" sqref="A5"/>
      <selection pane="bottomRight" activeCell="X93" sqref="X93"/>
    </sheetView>
  </sheetViews>
  <sheetFormatPr baseColWidth="10" defaultColWidth="8" defaultRowHeight="15"/>
  <cols>
    <col min="1" max="1" width="1.625" style="78" customWidth="1"/>
    <col min="2" max="2" width="18.75" style="37" customWidth="1"/>
    <col min="3" max="3" width="9.75" style="51" customWidth="1"/>
    <col min="4" max="6" width="7.625" style="78" customWidth="1"/>
    <col min="7" max="7" width="8.125" style="78" customWidth="1"/>
    <col min="8" max="10" width="7.625" style="78" customWidth="1"/>
    <col min="11" max="12" width="9.25" style="78" customWidth="1"/>
    <col min="13" max="13" width="9.25" style="135" customWidth="1"/>
    <col min="14" max="15" width="9.25" style="78" customWidth="1"/>
    <col min="16" max="16" width="9.25" style="135" customWidth="1"/>
    <col min="17" max="17" width="7.5" style="1060" customWidth="1"/>
    <col min="18" max="18" width="7.5" style="1061" customWidth="1"/>
    <col min="19" max="19" width="0.875" style="78" customWidth="1"/>
    <col min="20" max="21" width="9.25" style="2055" customWidth="1"/>
    <col min="22" max="22" width="2.125" style="78" customWidth="1"/>
    <col min="23" max="23" width="7.25" style="78" bestFit="1" customWidth="1"/>
    <col min="24" max="24" width="9" style="78" bestFit="1" customWidth="1"/>
    <col min="25" max="25" width="1.875" style="37" customWidth="1"/>
    <col min="26" max="26" width="8" style="78" customWidth="1"/>
    <col min="27" max="16384" width="8" style="78"/>
  </cols>
  <sheetData>
    <row r="1" spans="2:25" s="877" customFormat="1" ht="21">
      <c r="B1" s="1422" t="s">
        <v>1213</v>
      </c>
      <c r="C1" s="1422"/>
      <c r="D1" s="1422"/>
      <c r="E1" s="1422"/>
      <c r="F1" s="1422"/>
      <c r="G1" s="1422"/>
      <c r="H1" s="1422"/>
      <c r="I1" s="1422"/>
      <c r="J1" s="1422"/>
      <c r="K1" s="1422"/>
      <c r="L1" s="1422"/>
      <c r="M1" s="1422"/>
      <c r="N1" s="1422"/>
      <c r="O1" s="1422"/>
      <c r="P1" s="1422"/>
      <c r="Q1" s="1422"/>
      <c r="R1" s="1422"/>
      <c r="T1" s="2051"/>
      <c r="U1" s="2051"/>
      <c r="Y1" s="37"/>
    </row>
    <row r="2" spans="2:25">
      <c r="B2" s="1140"/>
      <c r="C2" s="1141"/>
      <c r="D2" s="1629" t="s">
        <v>486</v>
      </c>
      <c r="E2" s="1629"/>
      <c r="F2" s="1629"/>
      <c r="G2" s="1629"/>
      <c r="H2" s="1142" t="s">
        <v>485</v>
      </c>
      <c r="I2" s="1142"/>
      <c r="J2" s="1142"/>
      <c r="K2" s="1924" t="s">
        <v>488</v>
      </c>
      <c r="L2" s="1924"/>
      <c r="M2" s="1925"/>
      <c r="N2" s="2370" t="s">
        <v>488</v>
      </c>
      <c r="O2" s="2370"/>
      <c r="P2" s="2371"/>
      <c r="Q2" s="1927" t="s">
        <v>487</v>
      </c>
      <c r="R2" s="1927"/>
      <c r="T2" s="2052"/>
      <c r="U2" s="2052"/>
      <c r="W2" s="2430"/>
      <c r="X2" s="2430"/>
    </row>
    <row r="3" spans="2:25" s="38" customFormat="1" ht="27">
      <c r="B3" s="81"/>
      <c r="C3" s="93" t="s">
        <v>317</v>
      </c>
      <c r="D3" s="1624" t="str">
        <f>RAT1000VAD!D3</f>
        <v>II SEM 2025</v>
      </c>
      <c r="E3" s="1624"/>
      <c r="F3" s="1624"/>
      <c r="G3" s="1624"/>
      <c r="H3" s="204" t="str">
        <f>RAT1000VAD!H3</f>
        <v>I SEM 2026</v>
      </c>
      <c r="I3" s="204"/>
      <c r="J3" s="204"/>
      <c r="K3" s="1921" t="str">
        <f>RAT1000VAD!K3</f>
        <v>II SEM 2026 Anterior</v>
      </c>
      <c r="L3" s="1921"/>
      <c r="M3" s="1921"/>
      <c r="N3" s="2367" t="str">
        <f>RAT1000VAD!N3</f>
        <v>II SEM 2026 Nuevo</v>
      </c>
      <c r="O3" s="2367"/>
      <c r="P3" s="2367"/>
      <c r="Q3" s="1928" t="s">
        <v>8</v>
      </c>
      <c r="R3" s="1928"/>
      <c r="T3" s="2083" t="s">
        <v>2070</v>
      </c>
      <c r="U3" s="2058"/>
      <c r="W3" s="2431"/>
      <c r="X3" s="2431"/>
    </row>
    <row r="4" spans="2:25" s="38" customFormat="1" ht="27">
      <c r="B4" s="1630" t="s">
        <v>292</v>
      </c>
      <c r="C4" s="93"/>
      <c r="D4" s="75" t="s">
        <v>112</v>
      </c>
      <c r="E4" s="75" t="s">
        <v>1738</v>
      </c>
      <c r="F4" s="75" t="s">
        <v>1825</v>
      </c>
      <c r="G4" s="75" t="s">
        <v>1709</v>
      </c>
      <c r="H4" s="76" t="s">
        <v>112</v>
      </c>
      <c r="I4" s="76" t="s">
        <v>214</v>
      </c>
      <c r="J4" s="76" t="s">
        <v>215</v>
      </c>
      <c r="K4" s="1922" t="s">
        <v>112</v>
      </c>
      <c r="L4" s="1922" t="s">
        <v>214</v>
      </c>
      <c r="M4" s="1926" t="s">
        <v>215</v>
      </c>
      <c r="N4" s="2368" t="s">
        <v>112</v>
      </c>
      <c r="O4" s="2368" t="s">
        <v>214</v>
      </c>
      <c r="P4" s="2372" t="s">
        <v>215</v>
      </c>
      <c r="Q4" s="1929" t="s">
        <v>214</v>
      </c>
      <c r="R4" s="1929" t="s">
        <v>215</v>
      </c>
      <c r="T4" s="2053"/>
      <c r="U4" s="2053"/>
      <c r="W4" s="2431"/>
      <c r="X4" s="2431"/>
    </row>
    <row r="5" spans="2:25" ht="21">
      <c r="B5" s="94" t="s">
        <v>281</v>
      </c>
      <c r="C5" s="95"/>
      <c r="D5" s="96"/>
      <c r="E5" s="96"/>
      <c r="F5" s="96"/>
      <c r="G5" s="96"/>
      <c r="H5" s="97"/>
      <c r="I5" s="97"/>
      <c r="J5" s="97"/>
      <c r="K5" s="98"/>
      <c r="L5" s="98"/>
      <c r="M5" s="99"/>
      <c r="N5" s="98"/>
      <c r="O5" s="98"/>
      <c r="P5" s="99"/>
      <c r="Q5" s="1631" t="s">
        <v>203</v>
      </c>
      <c r="R5" s="1631"/>
      <c r="T5" s="2054"/>
      <c r="U5" s="2054"/>
    </row>
    <row r="6" spans="2:25" s="73" customFormat="1">
      <c r="B6" s="100" t="s">
        <v>1383</v>
      </c>
      <c r="C6" s="95" t="s">
        <v>1195</v>
      </c>
      <c r="D6" s="82"/>
      <c r="E6" s="82"/>
      <c r="F6" s="82"/>
      <c r="G6" s="82"/>
      <c r="H6" s="83"/>
      <c r="I6" s="83"/>
      <c r="J6" s="83"/>
      <c r="K6" s="101"/>
      <c r="L6" s="101"/>
      <c r="M6" s="102"/>
      <c r="N6" s="101"/>
      <c r="O6" s="101"/>
      <c r="P6" s="102"/>
      <c r="Q6" s="1632" t="s">
        <v>199</v>
      </c>
      <c r="R6" s="1632" t="s">
        <v>198</v>
      </c>
      <c r="T6" s="2054"/>
      <c r="U6" s="2054"/>
      <c r="V6" s="2054"/>
      <c r="Y6" s="38"/>
    </row>
    <row r="7" spans="2:25" s="73" customFormat="1">
      <c r="B7" s="103" t="s">
        <v>1176</v>
      </c>
      <c r="C7" s="95"/>
      <c r="D7" s="104">
        <v>2.6589999999999999E-2</v>
      </c>
      <c r="E7" s="104">
        <v>2.2120000000000001E-2</v>
      </c>
      <c r="F7" s="104">
        <v>4.47E-3</v>
      </c>
      <c r="G7" s="104">
        <v>1.1599999999999999E-2</v>
      </c>
      <c r="H7" s="105">
        <v>1.357E-2</v>
      </c>
      <c r="I7" s="105">
        <v>1.2149999999999999E-2</v>
      </c>
      <c r="J7" s="105">
        <v>1.42E-3</v>
      </c>
      <c r="K7" s="106">
        <f>ROUND(L7+M7,5)</f>
        <v>1.357E-2</v>
      </c>
      <c r="L7" s="106">
        <f>ROUND(I7*Q7,5)</f>
        <v>1.214E-2</v>
      </c>
      <c r="M7" s="107">
        <f>ROUND(I7*R7,5)</f>
        <v>1.4300000000000001E-3</v>
      </c>
      <c r="N7" s="106">
        <f>ROUND(O7+P7,5)</f>
        <v>1.8319999999999999E-2</v>
      </c>
      <c r="O7" s="106">
        <f>ROUND(T7,5)</f>
        <v>1.6889999999999999E-2</v>
      </c>
      <c r="P7" s="107">
        <f>ROUND(I7*R7,5)</f>
        <v>1.4300000000000001E-3</v>
      </c>
      <c r="Q7" s="1633">
        <f>AjPérdDist200!$D$16</f>
        <v>0.99879806279480066</v>
      </c>
      <c r="R7" s="1633">
        <f>AjPérdDist200!$D$17</f>
        <v>0.11745863301450467</v>
      </c>
      <c r="T7" s="2054">
        <f>'MODELO IMP'!C97</f>
        <v>1.6891753377048683E-2</v>
      </c>
      <c r="U7" s="2059">
        <f t="shared" ref="U7:U10" si="0">O7-T7</f>
        <v>-1.7533770486841127E-6</v>
      </c>
      <c r="W7" s="2054"/>
    </row>
    <row r="8" spans="2:25" s="73" customFormat="1">
      <c r="B8" s="108" t="s">
        <v>275</v>
      </c>
      <c r="C8" s="95"/>
      <c r="D8" s="104">
        <v>2.4140000000000002E-2</v>
      </c>
      <c r="E8" s="104">
        <v>2.0080000000000001E-2</v>
      </c>
      <c r="F8" s="104">
        <v>4.0600000000000002E-3</v>
      </c>
      <c r="G8" s="104">
        <v>1.0529999999999999E-2</v>
      </c>
      <c r="H8" s="105">
        <v>1.2319999999999999E-2</v>
      </c>
      <c r="I8" s="105">
        <v>1.103E-2</v>
      </c>
      <c r="J8" s="105">
        <v>1.2899999999999999E-3</v>
      </c>
      <c r="K8" s="106">
        <f t="shared" ref="K8:K10" si="1">ROUND(L8+M8,5)</f>
        <v>1.2319999999999999E-2</v>
      </c>
      <c r="L8" s="106">
        <f>ROUND(I8*Q8,5)</f>
        <v>1.102E-2</v>
      </c>
      <c r="M8" s="107">
        <f>ROUND(I8*R8,5)</f>
        <v>1.2999999999999999E-3</v>
      </c>
      <c r="N8" s="106">
        <f t="shared" ref="N8:N10" si="2">ROUND(O8+P8,5)</f>
        <v>1.617E-2</v>
      </c>
      <c r="O8" s="106">
        <f t="shared" ref="O8:O10" si="3">ROUND(T8,5)</f>
        <v>1.487E-2</v>
      </c>
      <c r="P8" s="107">
        <f t="shared" ref="P8:P10" si="4">ROUND(I8*R8,5)</f>
        <v>1.2999999999999999E-3</v>
      </c>
      <c r="Q8" s="1633">
        <f>AjPérdDist200!$D$16</f>
        <v>0.99879806279480066</v>
      </c>
      <c r="R8" s="1633">
        <f>AjPérdDist200!$D$17</f>
        <v>0.11745863301450467</v>
      </c>
      <c r="T8" s="2054">
        <f>'MODELO IMP'!C171</f>
        <v>1.4869881740786104E-2</v>
      </c>
      <c r="U8" s="2059">
        <f t="shared" si="0"/>
        <v>1.1825921389548022E-7</v>
      </c>
      <c r="W8" s="2054"/>
    </row>
    <row r="9" spans="2:25" s="73" customFormat="1">
      <c r="B9" s="108" t="s">
        <v>286</v>
      </c>
      <c r="C9" s="95"/>
      <c r="D9" s="104">
        <v>1.7999999999999999E-2</v>
      </c>
      <c r="E9" s="104">
        <v>1.4970000000000001E-2</v>
      </c>
      <c r="F9" s="104">
        <v>3.0300000000000001E-3</v>
      </c>
      <c r="G9" s="104">
        <v>7.8499999999999993E-3</v>
      </c>
      <c r="H9" s="105">
        <v>9.1800000000000007E-3</v>
      </c>
      <c r="I9" s="105">
        <v>8.2199999999999999E-3</v>
      </c>
      <c r="J9" s="105">
        <v>9.6000000000000002E-4</v>
      </c>
      <c r="K9" s="106">
        <f t="shared" si="1"/>
        <v>9.1800000000000007E-3</v>
      </c>
      <c r="L9" s="106">
        <f>ROUND(I9*Q9,5)</f>
        <v>8.2100000000000003E-3</v>
      </c>
      <c r="M9" s="107">
        <f>ROUND(I9*R9,5)</f>
        <v>9.7000000000000005E-4</v>
      </c>
      <c r="N9" s="106">
        <f t="shared" si="2"/>
        <v>1.188E-2</v>
      </c>
      <c r="O9" s="106">
        <f t="shared" si="3"/>
        <v>1.091E-2</v>
      </c>
      <c r="P9" s="107">
        <f t="shared" si="4"/>
        <v>9.7000000000000005E-4</v>
      </c>
      <c r="Q9" s="1633">
        <f>AjPérdDist200!$D$16</f>
        <v>0.99879806279480066</v>
      </c>
      <c r="R9" s="1633">
        <f>AjPérdDist200!$D$17</f>
        <v>0.11745863301450467</v>
      </c>
      <c r="T9" s="2054">
        <f>'MODELO IMP'!C274</f>
        <v>1.0906811401910178E-2</v>
      </c>
      <c r="U9" s="2059">
        <f t="shared" si="0"/>
        <v>3.1885980898219146E-6</v>
      </c>
      <c r="W9" s="2054"/>
    </row>
    <row r="10" spans="2:25" s="73" customFormat="1">
      <c r="B10" s="108" t="s">
        <v>287</v>
      </c>
      <c r="C10" s="95"/>
      <c r="D10" s="104">
        <v>2.5500000000000002E-3</v>
      </c>
      <c r="E10" s="104">
        <v>2.1199999999999999E-3</v>
      </c>
      <c r="F10" s="104">
        <v>4.2999999999999999E-4</v>
      </c>
      <c r="G10" s="104">
        <v>1.1100000000000001E-3</v>
      </c>
      <c r="H10" s="105">
        <v>1.2999999999999999E-3</v>
      </c>
      <c r="I10" s="105">
        <v>1.16E-3</v>
      </c>
      <c r="J10" s="105">
        <v>1.3999999999999999E-4</v>
      </c>
      <c r="K10" s="106">
        <f t="shared" si="1"/>
        <v>1.2999999999999999E-3</v>
      </c>
      <c r="L10" s="106">
        <f>ROUND(I10*Q10,5)</f>
        <v>1.16E-3</v>
      </c>
      <c r="M10" s="107">
        <f>ROUND(I10*R10,5)</f>
        <v>1.3999999999999999E-4</v>
      </c>
      <c r="N10" s="106">
        <f t="shared" si="2"/>
        <v>1.7600000000000001E-3</v>
      </c>
      <c r="O10" s="106">
        <f t="shared" si="3"/>
        <v>1.6199999999999999E-3</v>
      </c>
      <c r="P10" s="107">
        <f t="shared" si="4"/>
        <v>1.3999999999999999E-4</v>
      </c>
      <c r="Q10" s="1633">
        <f>AjPérdDist200!$D$16</f>
        <v>0.99879806279480066</v>
      </c>
      <c r="R10" s="1633">
        <f>AjPérdDist200!$D$17</f>
        <v>0.11745863301450467</v>
      </c>
      <c r="T10" s="2054">
        <f>'MODELO IMP'!C378</f>
        <v>1.6221710254750231E-3</v>
      </c>
      <c r="U10" s="2059">
        <f t="shared" si="0"/>
        <v>-2.1710254750231632E-6</v>
      </c>
      <c r="V10" s="2054"/>
      <c r="W10" s="2054"/>
    </row>
    <row r="11" spans="2:25" s="73" customFormat="1">
      <c r="B11" s="100" t="s">
        <v>1384</v>
      </c>
      <c r="C11" s="95" t="s">
        <v>1195</v>
      </c>
      <c r="D11" s="104"/>
      <c r="E11" s="104"/>
      <c r="F11" s="104"/>
      <c r="G11" s="104"/>
      <c r="H11" s="105"/>
      <c r="I11" s="105"/>
      <c r="J11" s="105"/>
      <c r="K11" s="106"/>
      <c r="L11" s="106"/>
      <c r="M11" s="107"/>
      <c r="N11" s="106"/>
      <c r="O11" s="106"/>
      <c r="P11" s="107"/>
      <c r="Q11" s="1632" t="s">
        <v>197</v>
      </c>
      <c r="R11" s="1632" t="s">
        <v>200</v>
      </c>
      <c r="T11" s="2054"/>
      <c r="U11" s="2054"/>
      <c r="Y11" s="38"/>
    </row>
    <row r="12" spans="2:25" s="73" customFormat="1">
      <c r="B12" s="103" t="s">
        <v>1176</v>
      </c>
      <c r="C12" s="95"/>
      <c r="D12" s="104">
        <v>2.6589999999999999E-2</v>
      </c>
      <c r="E12" s="104">
        <v>2.2120000000000001E-2</v>
      </c>
      <c r="F12" s="104">
        <v>4.47E-3</v>
      </c>
      <c r="G12" s="104">
        <v>1.1599999999999999E-2</v>
      </c>
      <c r="H12" s="105">
        <v>1.357E-2</v>
      </c>
      <c r="I12" s="105">
        <v>1.2149999999999999E-2</v>
      </c>
      <c r="J12" s="105">
        <v>1.42E-3</v>
      </c>
      <c r="K12" s="106">
        <f t="shared" ref="K12:K15" si="5">ROUND(L12+M12,5)</f>
        <v>1.357E-2</v>
      </c>
      <c r="L12" s="106">
        <f>ROUND(I12*Q12,5)</f>
        <v>1.214E-2</v>
      </c>
      <c r="M12" s="107">
        <f>ROUND(I12*R12,5)</f>
        <v>1.4300000000000001E-3</v>
      </c>
      <c r="N12" s="106">
        <f t="shared" ref="N12" si="6">ROUND(O12+P12,5)</f>
        <v>1.8319999999999999E-2</v>
      </c>
      <c r="O12" s="106">
        <f t="shared" ref="O12" si="7">ROUND(T12,5)</f>
        <v>1.6889999999999999E-2</v>
      </c>
      <c r="P12" s="107">
        <f t="shared" ref="P12" si="8">ROUND(I12*R12,5)</f>
        <v>1.4300000000000001E-3</v>
      </c>
      <c r="Q12" s="1633">
        <f>AjPérdDist200!$D$16</f>
        <v>0.99879806279480066</v>
      </c>
      <c r="R12" s="1633">
        <f>AjPérdDist200!$D$17</f>
        <v>0.11745863301450467</v>
      </c>
      <c r="T12" s="2055">
        <f>T7</f>
        <v>1.6891753377048683E-2</v>
      </c>
      <c r="U12" s="2059">
        <f t="shared" ref="U12:U15" si="9">O12-T12</f>
        <v>-1.7533770486841127E-6</v>
      </c>
      <c r="Y12" s="38"/>
    </row>
    <row r="13" spans="2:25" s="73" customFormat="1">
      <c r="B13" s="108" t="s">
        <v>275</v>
      </c>
      <c r="C13" s="95"/>
      <c r="D13" s="104">
        <v>2.4140000000000002E-2</v>
      </c>
      <c r="E13" s="104">
        <v>2.0080000000000001E-2</v>
      </c>
      <c r="F13" s="104">
        <v>4.0600000000000002E-3</v>
      </c>
      <c r="G13" s="104">
        <v>1.0529999999999999E-2</v>
      </c>
      <c r="H13" s="105">
        <v>1.2319999999999999E-2</v>
      </c>
      <c r="I13" s="105">
        <v>1.103E-2</v>
      </c>
      <c r="J13" s="105">
        <v>1.2899999999999999E-3</v>
      </c>
      <c r="K13" s="106">
        <f t="shared" si="5"/>
        <v>1.2319999999999999E-2</v>
      </c>
      <c r="L13" s="106">
        <f>ROUND(I13*Q13,5)</f>
        <v>1.102E-2</v>
      </c>
      <c r="M13" s="107">
        <f>ROUND(I13*R13,5)</f>
        <v>1.2999999999999999E-3</v>
      </c>
      <c r="N13" s="106">
        <f t="shared" ref="N13:N15" si="10">ROUND(O13+P13,5)</f>
        <v>1.617E-2</v>
      </c>
      <c r="O13" s="106">
        <f t="shared" ref="O13:O15" si="11">ROUND(T13,5)</f>
        <v>1.487E-2</v>
      </c>
      <c r="P13" s="107">
        <f t="shared" ref="P13:P15" si="12">ROUND(I13*R13,5)</f>
        <v>1.2999999999999999E-3</v>
      </c>
      <c r="Q13" s="1633">
        <f>AjPérdDist200!$D$16</f>
        <v>0.99879806279480066</v>
      </c>
      <c r="R13" s="1633">
        <f>AjPérdDist200!$D$17</f>
        <v>0.11745863301450467</v>
      </c>
      <c r="T13" s="2055">
        <f>T8</f>
        <v>1.4869881740786104E-2</v>
      </c>
      <c r="U13" s="2059">
        <f t="shared" si="9"/>
        <v>1.1825921389548022E-7</v>
      </c>
      <c r="Y13" s="38"/>
    </row>
    <row r="14" spans="2:25" s="73" customFormat="1">
      <c r="B14" s="108" t="s">
        <v>286</v>
      </c>
      <c r="C14" s="95"/>
      <c r="D14" s="104">
        <v>1.7999999999999999E-2</v>
      </c>
      <c r="E14" s="104">
        <v>1.4970000000000001E-2</v>
      </c>
      <c r="F14" s="104">
        <v>3.0300000000000001E-3</v>
      </c>
      <c r="G14" s="104">
        <v>7.8499999999999993E-3</v>
      </c>
      <c r="H14" s="105">
        <v>9.1800000000000007E-3</v>
      </c>
      <c r="I14" s="105">
        <v>8.2199999999999999E-3</v>
      </c>
      <c r="J14" s="105">
        <v>9.6000000000000002E-4</v>
      </c>
      <c r="K14" s="106">
        <f t="shared" si="5"/>
        <v>9.1800000000000007E-3</v>
      </c>
      <c r="L14" s="106">
        <f>ROUND(I14*Q14,5)</f>
        <v>8.2100000000000003E-3</v>
      </c>
      <c r="M14" s="107">
        <f>ROUND(I14*R14,5)</f>
        <v>9.7000000000000005E-4</v>
      </c>
      <c r="N14" s="106">
        <f t="shared" si="10"/>
        <v>1.188E-2</v>
      </c>
      <c r="O14" s="106">
        <f t="shared" si="11"/>
        <v>1.091E-2</v>
      </c>
      <c r="P14" s="107">
        <f t="shared" si="12"/>
        <v>9.7000000000000005E-4</v>
      </c>
      <c r="Q14" s="1633">
        <f>AjPérdDist200!$D$16</f>
        <v>0.99879806279480066</v>
      </c>
      <c r="R14" s="1633">
        <f>AjPérdDist200!$D$17</f>
        <v>0.11745863301450467</v>
      </c>
      <c r="T14" s="2055">
        <f>T9</f>
        <v>1.0906811401910178E-2</v>
      </c>
      <c r="U14" s="2059">
        <f t="shared" si="9"/>
        <v>3.1885980898219146E-6</v>
      </c>
      <c r="Y14" s="38"/>
    </row>
    <row r="15" spans="2:25" s="73" customFormat="1">
      <c r="B15" s="108" t="s">
        <v>287</v>
      </c>
      <c r="C15" s="95"/>
      <c r="D15" s="104">
        <v>2.5500000000000002E-3</v>
      </c>
      <c r="E15" s="104">
        <v>2.1199999999999999E-3</v>
      </c>
      <c r="F15" s="104">
        <v>4.2999999999999999E-4</v>
      </c>
      <c r="G15" s="104">
        <v>1.1100000000000001E-3</v>
      </c>
      <c r="H15" s="105">
        <v>1.2999999999999999E-3</v>
      </c>
      <c r="I15" s="105">
        <v>1.16E-3</v>
      </c>
      <c r="J15" s="105">
        <v>1.3999999999999999E-4</v>
      </c>
      <c r="K15" s="106">
        <f t="shared" si="5"/>
        <v>1.2999999999999999E-3</v>
      </c>
      <c r="L15" s="106">
        <f>ROUND(I15*Q15,5)</f>
        <v>1.16E-3</v>
      </c>
      <c r="M15" s="107">
        <f>ROUND(I15*R15,5)</f>
        <v>1.3999999999999999E-4</v>
      </c>
      <c r="N15" s="106">
        <f t="shared" si="10"/>
        <v>1.7600000000000001E-3</v>
      </c>
      <c r="O15" s="106">
        <f t="shared" si="11"/>
        <v>1.6199999999999999E-3</v>
      </c>
      <c r="P15" s="107">
        <f t="shared" si="12"/>
        <v>1.3999999999999999E-4</v>
      </c>
      <c r="Q15" s="1633">
        <f>AjPérdDist200!$D$16</f>
        <v>0.99879806279480066</v>
      </c>
      <c r="R15" s="1633">
        <f>AjPérdDist200!$D$17</f>
        <v>0.11745863301450467</v>
      </c>
      <c r="T15" s="2055">
        <f>T10</f>
        <v>1.6221710254750231E-3</v>
      </c>
      <c r="U15" s="2059">
        <f t="shared" si="9"/>
        <v>-2.1710254750231632E-6</v>
      </c>
      <c r="Y15" s="38"/>
    </row>
    <row r="16" spans="2:25" s="73" customFormat="1">
      <c r="B16" s="100" t="s">
        <v>1385</v>
      </c>
      <c r="C16" s="95" t="s">
        <v>1195</v>
      </c>
      <c r="D16" s="104"/>
      <c r="E16" s="104"/>
      <c r="F16" s="104"/>
      <c r="G16" s="104"/>
      <c r="H16" s="105"/>
      <c r="I16" s="105"/>
      <c r="J16" s="105"/>
      <c r="K16" s="106"/>
      <c r="L16" s="106"/>
      <c r="M16" s="107"/>
      <c r="N16" s="106"/>
      <c r="O16" s="106"/>
      <c r="P16" s="107"/>
      <c r="Q16" s="1632" t="s">
        <v>197</v>
      </c>
      <c r="R16" s="1632" t="s">
        <v>200</v>
      </c>
      <c r="T16" s="2054"/>
      <c r="U16" s="2054"/>
      <c r="Y16" s="38"/>
    </row>
    <row r="17" spans="2:25" s="73" customFormat="1">
      <c r="B17" s="103" t="s">
        <v>1176</v>
      </c>
      <c r="C17" s="95"/>
      <c r="D17" s="104">
        <v>2.6589999999999999E-2</v>
      </c>
      <c r="E17" s="104">
        <v>2.2120000000000001E-2</v>
      </c>
      <c r="F17" s="104">
        <v>4.47E-3</v>
      </c>
      <c r="G17" s="104">
        <v>1.1599999999999999E-2</v>
      </c>
      <c r="H17" s="105">
        <v>1.357E-2</v>
      </c>
      <c r="I17" s="105">
        <v>1.2149999999999999E-2</v>
      </c>
      <c r="J17" s="105">
        <v>1.42E-3</v>
      </c>
      <c r="K17" s="106">
        <f t="shared" ref="K17:K20" si="13">ROUND(L17+M17,5)</f>
        <v>1.357E-2</v>
      </c>
      <c r="L17" s="106">
        <f>ROUND(I17*Q17,5)</f>
        <v>1.214E-2</v>
      </c>
      <c r="M17" s="107">
        <f>ROUND(I17*R17,5)</f>
        <v>1.4300000000000001E-3</v>
      </c>
      <c r="N17" s="106">
        <f t="shared" ref="N17" si="14">ROUND(O17+P17,5)</f>
        <v>1.8319999999999999E-2</v>
      </c>
      <c r="O17" s="106">
        <f t="shared" ref="O17" si="15">ROUND(T17,5)</f>
        <v>1.6889999999999999E-2</v>
      </c>
      <c r="P17" s="107">
        <f t="shared" ref="P17" si="16">ROUND(I17*R17,5)</f>
        <v>1.4300000000000001E-3</v>
      </c>
      <c r="Q17" s="1633">
        <f>AjPérdDist200!$D$16</f>
        <v>0.99879806279480066</v>
      </c>
      <c r="R17" s="1633">
        <f>AjPérdDist200!$D$17</f>
        <v>0.11745863301450467</v>
      </c>
      <c r="T17" s="2055">
        <f>T7</f>
        <v>1.6891753377048683E-2</v>
      </c>
      <c r="U17" s="2059">
        <f t="shared" ref="U17:U20" si="17">O17-T17</f>
        <v>-1.7533770486841127E-6</v>
      </c>
      <c r="Y17" s="38"/>
    </row>
    <row r="18" spans="2:25" s="73" customFormat="1">
      <c r="B18" s="108" t="s">
        <v>275</v>
      </c>
      <c r="C18" s="95"/>
      <c r="D18" s="104">
        <v>2.4140000000000002E-2</v>
      </c>
      <c r="E18" s="104">
        <v>2.0080000000000001E-2</v>
      </c>
      <c r="F18" s="104">
        <v>4.0600000000000002E-3</v>
      </c>
      <c r="G18" s="104">
        <v>1.0529999999999999E-2</v>
      </c>
      <c r="H18" s="105">
        <v>1.2319999999999999E-2</v>
      </c>
      <c r="I18" s="105">
        <v>1.103E-2</v>
      </c>
      <c r="J18" s="105">
        <v>1.2899999999999999E-3</v>
      </c>
      <c r="K18" s="106">
        <f t="shared" si="13"/>
        <v>1.2319999999999999E-2</v>
      </c>
      <c r="L18" s="106">
        <f>ROUND(I18*Q18,5)</f>
        <v>1.102E-2</v>
      </c>
      <c r="M18" s="107">
        <f>ROUND(I18*R18,5)</f>
        <v>1.2999999999999999E-3</v>
      </c>
      <c r="N18" s="106">
        <f t="shared" ref="N18:N20" si="18">ROUND(O18+P18,5)</f>
        <v>1.617E-2</v>
      </c>
      <c r="O18" s="106">
        <f t="shared" ref="O18:O20" si="19">ROUND(T18,5)</f>
        <v>1.487E-2</v>
      </c>
      <c r="P18" s="107">
        <f t="shared" ref="P18:P20" si="20">ROUND(I18*R18,5)</f>
        <v>1.2999999999999999E-3</v>
      </c>
      <c r="Q18" s="1633">
        <f>AjPérdDist200!$D$16</f>
        <v>0.99879806279480066</v>
      </c>
      <c r="R18" s="1633">
        <f>AjPérdDist200!$D$17</f>
        <v>0.11745863301450467</v>
      </c>
      <c r="T18" s="2054">
        <f>T8</f>
        <v>1.4869881740786104E-2</v>
      </c>
      <c r="U18" s="2059">
        <f t="shared" si="17"/>
        <v>1.1825921389548022E-7</v>
      </c>
      <c r="Y18" s="38"/>
    </row>
    <row r="19" spans="2:25" s="73" customFormat="1">
      <c r="B19" s="108" t="s">
        <v>286</v>
      </c>
      <c r="C19" s="95"/>
      <c r="D19" s="104">
        <v>1.7999999999999999E-2</v>
      </c>
      <c r="E19" s="104">
        <v>1.4970000000000001E-2</v>
      </c>
      <c r="F19" s="104">
        <v>3.0300000000000001E-3</v>
      </c>
      <c r="G19" s="104">
        <v>7.8499999999999993E-3</v>
      </c>
      <c r="H19" s="105">
        <v>9.1800000000000007E-3</v>
      </c>
      <c r="I19" s="105">
        <v>8.2199999999999999E-3</v>
      </c>
      <c r="J19" s="105">
        <v>9.6000000000000002E-4</v>
      </c>
      <c r="K19" s="106">
        <f t="shared" si="13"/>
        <v>9.1800000000000007E-3</v>
      </c>
      <c r="L19" s="106">
        <f>ROUND(I19*Q19,5)</f>
        <v>8.2100000000000003E-3</v>
      </c>
      <c r="M19" s="107">
        <f>ROUND(I19*R19,5)</f>
        <v>9.7000000000000005E-4</v>
      </c>
      <c r="N19" s="106">
        <f t="shared" si="18"/>
        <v>1.188E-2</v>
      </c>
      <c r="O19" s="106">
        <f t="shared" si="19"/>
        <v>1.091E-2</v>
      </c>
      <c r="P19" s="107">
        <f t="shared" si="20"/>
        <v>9.7000000000000005E-4</v>
      </c>
      <c r="Q19" s="1633">
        <f>AjPérdDist200!$D$16</f>
        <v>0.99879806279480066</v>
      </c>
      <c r="R19" s="1633">
        <f>AjPérdDist200!$D$17</f>
        <v>0.11745863301450467</v>
      </c>
      <c r="T19" s="2054">
        <f>T9</f>
        <v>1.0906811401910178E-2</v>
      </c>
      <c r="U19" s="2059">
        <f t="shared" si="17"/>
        <v>3.1885980898219146E-6</v>
      </c>
      <c r="Y19" s="38"/>
    </row>
    <row r="20" spans="2:25" s="73" customFormat="1">
      <c r="B20" s="108" t="s">
        <v>287</v>
      </c>
      <c r="C20" s="95"/>
      <c r="D20" s="104">
        <v>2.5500000000000002E-3</v>
      </c>
      <c r="E20" s="104">
        <v>2.1199999999999999E-3</v>
      </c>
      <c r="F20" s="104">
        <v>4.2999999999999999E-4</v>
      </c>
      <c r="G20" s="104">
        <v>1.1100000000000001E-3</v>
      </c>
      <c r="H20" s="105">
        <v>1.2999999999999999E-3</v>
      </c>
      <c r="I20" s="105">
        <v>1.16E-3</v>
      </c>
      <c r="J20" s="105">
        <v>1.3999999999999999E-4</v>
      </c>
      <c r="K20" s="106">
        <f t="shared" si="13"/>
        <v>1.2999999999999999E-3</v>
      </c>
      <c r="L20" s="106">
        <f>ROUND(I20*Q20,5)</f>
        <v>1.16E-3</v>
      </c>
      <c r="M20" s="107">
        <f>ROUND(I20*R20,5)</f>
        <v>1.3999999999999999E-4</v>
      </c>
      <c r="N20" s="106">
        <f t="shared" si="18"/>
        <v>1.7600000000000001E-3</v>
      </c>
      <c r="O20" s="106">
        <f t="shared" si="19"/>
        <v>1.6199999999999999E-3</v>
      </c>
      <c r="P20" s="107">
        <f t="shared" si="20"/>
        <v>1.3999999999999999E-4</v>
      </c>
      <c r="Q20" s="1633">
        <f>AjPérdDist200!$D$16</f>
        <v>0.99879806279480066</v>
      </c>
      <c r="R20" s="1633">
        <f>AjPérdDist200!$D$17</f>
        <v>0.11745863301450467</v>
      </c>
      <c r="T20" s="2054">
        <f>T10</f>
        <v>1.6221710254750231E-3</v>
      </c>
      <c r="U20" s="2059">
        <f t="shared" si="17"/>
        <v>-2.1710254750231632E-6</v>
      </c>
      <c r="Y20" s="38"/>
    </row>
    <row r="21" spans="2:25" s="73" customFormat="1">
      <c r="B21" s="100" t="s">
        <v>1386</v>
      </c>
      <c r="C21" s="95" t="s">
        <v>259</v>
      </c>
      <c r="D21" s="104"/>
      <c r="E21" s="104"/>
      <c r="F21" s="104"/>
      <c r="G21" s="104"/>
      <c r="H21" s="105"/>
      <c r="I21" s="105"/>
      <c r="J21" s="105"/>
      <c r="K21" s="106"/>
      <c r="L21" s="106"/>
      <c r="M21" s="107"/>
      <c r="N21" s="106"/>
      <c r="O21" s="106"/>
      <c r="P21" s="107"/>
      <c r="Q21" s="1632" t="s">
        <v>201</v>
      </c>
      <c r="R21" s="1632" t="s">
        <v>202</v>
      </c>
      <c r="T21" s="2054"/>
      <c r="U21" s="2054"/>
      <c r="Y21" s="38"/>
    </row>
    <row r="22" spans="2:25" s="73" customFormat="1">
      <c r="B22" s="2061" t="s">
        <v>1526</v>
      </c>
      <c r="C22" s="95"/>
      <c r="D22" s="104">
        <v>2.6589999999999999E-2</v>
      </c>
      <c r="E22" s="104">
        <v>2.2120000000000001E-2</v>
      </c>
      <c r="F22" s="104">
        <v>4.47E-3</v>
      </c>
      <c r="G22" s="104">
        <v>1.1599999999999999E-2</v>
      </c>
      <c r="H22" s="105">
        <v>1.357E-2</v>
      </c>
      <c r="I22" s="105">
        <v>1.2149999999999999E-2</v>
      </c>
      <c r="J22" s="105">
        <v>1.42E-3</v>
      </c>
      <c r="K22" s="106">
        <f t="shared" ref="K22" si="21">ROUND(L22+M22,5)</f>
        <v>1.357E-2</v>
      </c>
      <c r="L22" s="106">
        <f>ROUND(I22*Q22,5)</f>
        <v>1.214E-2</v>
      </c>
      <c r="M22" s="107">
        <f>ROUND(I22*R22,5)</f>
        <v>1.4300000000000001E-3</v>
      </c>
      <c r="N22" s="106">
        <f t="shared" ref="N22" si="22">ROUND(O22+P22,5)</f>
        <v>1.8319999999999999E-2</v>
      </c>
      <c r="O22" s="106">
        <f t="shared" ref="O22" si="23">ROUND(T22,5)</f>
        <v>1.6889999999999999E-2</v>
      </c>
      <c r="P22" s="107">
        <f t="shared" ref="P22" si="24">ROUND(I22*R22,5)</f>
        <v>1.4300000000000001E-3</v>
      </c>
      <c r="Q22" s="1633">
        <f>AjPérdDist200!$D$16</f>
        <v>0.99879806279480066</v>
      </c>
      <c r="R22" s="1633">
        <f>AjPérdDist200!$D$17</f>
        <v>0.11745863301450467</v>
      </c>
      <c r="T22" s="2054">
        <f>'MODELO IMP'!C16</f>
        <v>1.6891753377048683E-2</v>
      </c>
      <c r="U22" s="2059">
        <f t="shared" ref="U22:U26" si="25">O22-T22</f>
        <v>-1.7533770486841127E-6</v>
      </c>
      <c r="V22" s="2055"/>
    </row>
    <row r="23" spans="2:25" s="73" customFormat="1">
      <c r="B23" s="108" t="s">
        <v>1525</v>
      </c>
      <c r="C23" s="95"/>
      <c r="D23" s="104">
        <v>2.6589999999999999E-2</v>
      </c>
      <c r="E23" s="104">
        <v>2.2120000000000001E-2</v>
      </c>
      <c r="F23" s="104">
        <v>4.47E-3</v>
      </c>
      <c r="G23" s="104">
        <v>1.1599999999999999E-2</v>
      </c>
      <c r="H23" s="105">
        <v>1.357E-2</v>
      </c>
      <c r="I23" s="105">
        <v>1.2149999999999999E-2</v>
      </c>
      <c r="J23" s="105">
        <v>1.42E-3</v>
      </c>
      <c r="K23" s="106">
        <f t="shared" ref="K23:K26" si="26">ROUND(L23+M23,5)</f>
        <v>1.357E-2</v>
      </c>
      <c r="L23" s="106">
        <f>ROUND(I23*Q23,5)</f>
        <v>1.214E-2</v>
      </c>
      <c r="M23" s="107">
        <f>ROUND(I23*R23,5)</f>
        <v>1.4300000000000001E-3</v>
      </c>
      <c r="N23" s="106">
        <f t="shared" ref="N23:N24" si="27">ROUND(O23+P23,5)</f>
        <v>1.8769999999999998E-2</v>
      </c>
      <c r="O23" s="106">
        <f t="shared" ref="O23:O24" si="28">ROUND(T23,5)</f>
        <v>1.7340000000000001E-2</v>
      </c>
      <c r="P23" s="107">
        <f t="shared" ref="P23:P24" si="29">ROUND(I23*R23,5)</f>
        <v>1.4300000000000001E-3</v>
      </c>
      <c r="Q23" s="1633">
        <f>AjPérdDist200!$D$16</f>
        <v>0.99879806279480066</v>
      </c>
      <c r="R23" s="1633">
        <f>AjPérdDist200!$D$17</f>
        <v>0.11745863301450467</v>
      </c>
      <c r="T23" s="2054">
        <f>'MODELO IMP'!C41</f>
        <v>1.7340367149566625E-2</v>
      </c>
      <c r="U23" s="2059">
        <f t="shared" si="25"/>
        <v>-3.6714956662409204E-7</v>
      </c>
      <c r="V23" s="2055"/>
    </row>
    <row r="24" spans="2:25" s="73" customFormat="1">
      <c r="B24" s="109" t="s">
        <v>274</v>
      </c>
      <c r="C24" s="95"/>
      <c r="D24" s="104">
        <v>2.4140000000000002E-2</v>
      </c>
      <c r="E24" s="104">
        <v>2.0080000000000001E-2</v>
      </c>
      <c r="F24" s="104">
        <v>4.0600000000000002E-3</v>
      </c>
      <c r="G24" s="104">
        <v>1.0529999999999999E-2</v>
      </c>
      <c r="H24" s="105">
        <v>1.2319999999999999E-2</v>
      </c>
      <c r="I24" s="105">
        <v>1.103E-2</v>
      </c>
      <c r="J24" s="105">
        <v>1.2899999999999999E-3</v>
      </c>
      <c r="K24" s="106">
        <f t="shared" si="26"/>
        <v>1.2319999999999999E-2</v>
      </c>
      <c r="L24" s="106">
        <f>ROUND(I24*Q24,5)</f>
        <v>1.102E-2</v>
      </c>
      <c r="M24" s="107">
        <f>ROUND(I24*R24,5)</f>
        <v>1.2999999999999999E-3</v>
      </c>
      <c r="N24" s="106">
        <f t="shared" si="27"/>
        <v>1.617E-2</v>
      </c>
      <c r="O24" s="106">
        <f t="shared" si="28"/>
        <v>1.487E-2</v>
      </c>
      <c r="P24" s="107">
        <f t="shared" si="29"/>
        <v>1.2999999999999999E-3</v>
      </c>
      <c r="Q24" s="1633">
        <f>AjPérdDist200!$D$16</f>
        <v>0.99879806279480066</v>
      </c>
      <c r="R24" s="1633">
        <f>AjPérdDist200!$D$17</f>
        <v>0.11745863301450467</v>
      </c>
      <c r="T24" s="2054">
        <f>'MODELO IMP'!C133</f>
        <v>1.4869881740786104E-2</v>
      </c>
      <c r="U24" s="2059">
        <f t="shared" si="25"/>
        <v>1.1825921389548022E-7</v>
      </c>
      <c r="V24" s="2055"/>
    </row>
    <row r="25" spans="2:25">
      <c r="B25" s="109" t="s">
        <v>276</v>
      </c>
      <c r="C25" s="95"/>
      <c r="D25" s="104">
        <v>1.7999999999999999E-2</v>
      </c>
      <c r="E25" s="104">
        <v>1.4970000000000001E-2</v>
      </c>
      <c r="F25" s="104">
        <v>3.0300000000000001E-3</v>
      </c>
      <c r="G25" s="104">
        <v>7.8499999999999993E-3</v>
      </c>
      <c r="H25" s="105">
        <v>9.1800000000000007E-3</v>
      </c>
      <c r="I25" s="105">
        <v>8.2199999999999999E-3</v>
      </c>
      <c r="J25" s="105">
        <v>9.6000000000000002E-4</v>
      </c>
      <c r="K25" s="106">
        <f t="shared" si="26"/>
        <v>9.1800000000000007E-3</v>
      </c>
      <c r="L25" s="106">
        <f>ROUND(I25*Q25,5)</f>
        <v>8.2100000000000003E-3</v>
      </c>
      <c r="M25" s="107">
        <f>ROUND(I25*R25,5)</f>
        <v>9.7000000000000005E-4</v>
      </c>
      <c r="N25" s="106">
        <f t="shared" ref="N25:N26" si="30">ROUND(O25+P25,5)</f>
        <v>1.188E-2</v>
      </c>
      <c r="O25" s="106">
        <f t="shared" ref="O25:O26" si="31">ROUND(T25,5)</f>
        <v>1.091E-2</v>
      </c>
      <c r="P25" s="107">
        <f t="shared" ref="P25:P26" si="32">ROUND(I25*R25,5)</f>
        <v>9.7000000000000005E-4</v>
      </c>
      <c r="Q25" s="1633">
        <f>AjPérdDist200!$D$16</f>
        <v>0.99879806279480066</v>
      </c>
      <c r="R25" s="1633">
        <f>AjPérdDist200!$D$17</f>
        <v>0.11745863301450467</v>
      </c>
      <c r="T25" s="2054">
        <f>'MODELO IMP'!C239</f>
        <v>1.0906811401910178E-2</v>
      </c>
      <c r="U25" s="2059">
        <f t="shared" si="25"/>
        <v>3.1885980898219146E-6</v>
      </c>
      <c r="V25" s="2055"/>
    </row>
    <row r="26" spans="2:25">
      <c r="B26" s="109" t="s">
        <v>278</v>
      </c>
      <c r="C26" s="95"/>
      <c r="D26" s="104">
        <v>2.5500000000000002E-3</v>
      </c>
      <c r="E26" s="104">
        <v>2.1199999999999999E-3</v>
      </c>
      <c r="F26" s="104">
        <v>4.2999999999999999E-4</v>
      </c>
      <c r="G26" s="104">
        <v>1.1100000000000001E-3</v>
      </c>
      <c r="H26" s="105">
        <v>1.2999999999999999E-3</v>
      </c>
      <c r="I26" s="105">
        <v>1.16E-3</v>
      </c>
      <c r="J26" s="105">
        <v>1.3999999999999999E-4</v>
      </c>
      <c r="K26" s="106">
        <f t="shared" si="26"/>
        <v>1.2999999999999999E-3</v>
      </c>
      <c r="L26" s="106">
        <f>ROUND(I26*Q26,5)</f>
        <v>1.16E-3</v>
      </c>
      <c r="M26" s="107">
        <f>ROUND(I26*R26,5)</f>
        <v>1.3999999999999999E-4</v>
      </c>
      <c r="N26" s="106">
        <f t="shared" si="30"/>
        <v>1.7600000000000001E-3</v>
      </c>
      <c r="O26" s="106">
        <f t="shared" si="31"/>
        <v>1.6199999999999999E-3</v>
      </c>
      <c r="P26" s="107">
        <f t="shared" si="32"/>
        <v>1.3999999999999999E-4</v>
      </c>
      <c r="Q26" s="1633">
        <f>AjPérdDist200!$D$16</f>
        <v>0.99879806279480066</v>
      </c>
      <c r="R26" s="1633">
        <f>AjPérdDist200!$D$17</f>
        <v>0.11745863301450467</v>
      </c>
      <c r="T26" s="2054">
        <f>'MODELO IMP'!C343</f>
        <v>1.6221710254750231E-3</v>
      </c>
      <c r="U26" s="2059">
        <f t="shared" si="25"/>
        <v>-2.1710254750231632E-6</v>
      </c>
      <c r="V26" s="2055"/>
    </row>
    <row r="27" spans="2:25" ht="21">
      <c r="B27" s="94" t="s">
        <v>288</v>
      </c>
      <c r="C27" s="95"/>
      <c r="D27" s="110"/>
      <c r="E27" s="110"/>
      <c r="F27" s="110"/>
      <c r="G27" s="110"/>
      <c r="H27" s="111"/>
      <c r="I27" s="111"/>
      <c r="J27" s="111"/>
      <c r="K27" s="112"/>
      <c r="L27" s="112"/>
      <c r="M27" s="113"/>
      <c r="N27" s="112"/>
      <c r="O27" s="112"/>
      <c r="P27" s="113"/>
      <c r="Q27" s="1634"/>
      <c r="R27" s="1635"/>
      <c r="T27" s="2054"/>
      <c r="U27" s="2054"/>
    </row>
    <row r="28" spans="2:25" s="73" customFormat="1">
      <c r="B28" s="100" t="s">
        <v>282</v>
      </c>
      <c r="C28" s="95" t="s">
        <v>338</v>
      </c>
      <c r="D28" s="114"/>
      <c r="E28" s="114"/>
      <c r="F28" s="114"/>
      <c r="G28" s="114"/>
      <c r="H28" s="115"/>
      <c r="I28" s="115"/>
      <c r="J28" s="115"/>
      <c r="K28" s="116"/>
      <c r="L28" s="116"/>
      <c r="M28" s="117"/>
      <c r="N28" s="116"/>
      <c r="O28" s="116"/>
      <c r="P28" s="117"/>
      <c r="Q28" s="1632" t="s">
        <v>199</v>
      </c>
      <c r="R28" s="1632" t="s">
        <v>198</v>
      </c>
      <c r="T28" s="2054"/>
      <c r="U28" s="2054"/>
      <c r="Y28" s="38"/>
    </row>
    <row r="29" spans="2:25" s="73" customFormat="1">
      <c r="B29" s="108" t="s">
        <v>274</v>
      </c>
      <c r="C29" s="95"/>
      <c r="D29" s="114">
        <v>0.8</v>
      </c>
      <c r="E29" s="114">
        <v>0.67</v>
      </c>
      <c r="F29" s="114">
        <v>0.13</v>
      </c>
      <c r="G29" s="114">
        <v>0.35</v>
      </c>
      <c r="H29" s="115">
        <v>0.41</v>
      </c>
      <c r="I29" s="115">
        <v>0.37</v>
      </c>
      <c r="J29" s="115">
        <v>0.04</v>
      </c>
      <c r="K29" s="116">
        <f>ROUND(L29+M29,2)</f>
        <v>0.41</v>
      </c>
      <c r="L29" s="116">
        <f t="shared" ref="L29:L34" si="33">ROUND(I29*Q29,2)</f>
        <v>0.37</v>
      </c>
      <c r="M29" s="117">
        <f t="shared" ref="M29:M34" si="34">ROUND(I29*R29,2)</f>
        <v>0.04</v>
      </c>
      <c r="N29" s="116">
        <f>ROUND(O29+P29,2)</f>
        <v>0.53</v>
      </c>
      <c r="O29" s="116">
        <f>ROUND(T29,2)</f>
        <v>0.49</v>
      </c>
      <c r="P29" s="117">
        <f>ROUND(I29*R29,2)</f>
        <v>0.04</v>
      </c>
      <c r="Q29" s="1633">
        <f>AjPérdDist200!$D$16</f>
        <v>0.99879806279480066</v>
      </c>
      <c r="R29" s="1633">
        <f>AjPérdDist200!$D$17</f>
        <v>0.11745863301450467</v>
      </c>
      <c r="T29" s="2054">
        <f>'MODELO IMP'!C132</f>
        <v>0.48748879769182402</v>
      </c>
      <c r="U29" s="2060">
        <f t="shared" ref="U29:U34" si="35">O29-T29</f>
        <v>2.5112023081759749E-3</v>
      </c>
    </row>
    <row r="30" spans="2:25" s="73" customFormat="1">
      <c r="B30" s="108" t="s">
        <v>275</v>
      </c>
      <c r="C30" s="95"/>
      <c r="D30" s="114">
        <v>0.87</v>
      </c>
      <c r="E30" s="114">
        <v>0.72</v>
      </c>
      <c r="F30" s="114">
        <v>0.15</v>
      </c>
      <c r="G30" s="114">
        <v>0.38</v>
      </c>
      <c r="H30" s="115">
        <v>0.45</v>
      </c>
      <c r="I30" s="115">
        <v>0.4</v>
      </c>
      <c r="J30" s="115">
        <v>0.05</v>
      </c>
      <c r="K30" s="116">
        <f t="shared" ref="K30:K34" si="36">ROUND(L30+M30,2)</f>
        <v>0.45</v>
      </c>
      <c r="L30" s="116">
        <f t="shared" si="33"/>
        <v>0.4</v>
      </c>
      <c r="M30" s="117">
        <f t="shared" si="34"/>
        <v>0.05</v>
      </c>
      <c r="N30" s="116">
        <f t="shared" ref="N30:N34" si="37">ROUND(O30+P30,2)</f>
        <v>0.56000000000000005</v>
      </c>
      <c r="O30" s="116">
        <f t="shared" ref="O30:O34" si="38">ROUND(T30,2)</f>
        <v>0.51</v>
      </c>
      <c r="P30" s="117">
        <f t="shared" ref="P30:P34" si="39">ROUND(I30*R30,2)</f>
        <v>0.05</v>
      </c>
      <c r="Q30" s="1633">
        <f>AjPérdDist200!$D$16</f>
        <v>0.99879806279480066</v>
      </c>
      <c r="R30" s="1633">
        <f>AjPérdDist200!$D$17</f>
        <v>0.11745863301450467</v>
      </c>
      <c r="T30" s="2054">
        <f>'MODELO IMP'!C170</f>
        <v>0.50902886227510924</v>
      </c>
      <c r="U30" s="2060">
        <f t="shared" si="35"/>
        <v>9.7113772489076933E-4</v>
      </c>
      <c r="Y30" s="38"/>
    </row>
    <row r="31" spans="2:25">
      <c r="B31" s="108" t="s">
        <v>276</v>
      </c>
      <c r="C31" s="95"/>
      <c r="D31" s="114">
        <v>0.61</v>
      </c>
      <c r="E31" s="114">
        <v>0.51</v>
      </c>
      <c r="F31" s="114">
        <v>0.1</v>
      </c>
      <c r="G31" s="114">
        <v>0.27</v>
      </c>
      <c r="H31" s="115">
        <v>0.31</v>
      </c>
      <c r="I31" s="115">
        <v>0.28000000000000003</v>
      </c>
      <c r="J31" s="115">
        <v>0.03</v>
      </c>
      <c r="K31" s="116">
        <f t="shared" si="36"/>
        <v>0.31</v>
      </c>
      <c r="L31" s="116">
        <f t="shared" si="33"/>
        <v>0.28000000000000003</v>
      </c>
      <c r="M31" s="117">
        <f t="shared" si="34"/>
        <v>0.03</v>
      </c>
      <c r="N31" s="116">
        <f t="shared" si="37"/>
        <v>0.42</v>
      </c>
      <c r="O31" s="116">
        <f t="shared" si="38"/>
        <v>0.39</v>
      </c>
      <c r="P31" s="117">
        <f t="shared" si="39"/>
        <v>0.03</v>
      </c>
      <c r="Q31" s="1633">
        <f>AjPérdDist200!$D$16</f>
        <v>0.99879806279480066</v>
      </c>
      <c r="R31" s="1633">
        <f>AjPérdDist200!$D$17</f>
        <v>0.11745863301450467</v>
      </c>
      <c r="T31" s="2054">
        <f>'MODELO IMP'!C238</f>
        <v>0.39236045371705164</v>
      </c>
      <c r="U31" s="2060">
        <f t="shared" si="35"/>
        <v>-2.3604537170516249E-3</v>
      </c>
    </row>
    <row r="32" spans="2:25">
      <c r="B32" s="108" t="s">
        <v>277</v>
      </c>
      <c r="C32" s="95"/>
      <c r="D32" s="114">
        <v>0.66</v>
      </c>
      <c r="E32" s="114">
        <v>0.55000000000000004</v>
      </c>
      <c r="F32" s="114">
        <v>0.11</v>
      </c>
      <c r="G32" s="114">
        <v>0.28999999999999998</v>
      </c>
      <c r="H32" s="115">
        <v>0.34</v>
      </c>
      <c r="I32" s="115">
        <v>0.3</v>
      </c>
      <c r="J32" s="115">
        <v>0.04</v>
      </c>
      <c r="K32" s="116">
        <f t="shared" si="36"/>
        <v>0.34</v>
      </c>
      <c r="L32" s="116">
        <f t="shared" si="33"/>
        <v>0.3</v>
      </c>
      <c r="M32" s="117">
        <f t="shared" si="34"/>
        <v>0.04</v>
      </c>
      <c r="N32" s="116">
        <f t="shared" si="37"/>
        <v>0.45</v>
      </c>
      <c r="O32" s="116">
        <f t="shared" si="38"/>
        <v>0.41</v>
      </c>
      <c r="P32" s="117">
        <f t="shared" si="39"/>
        <v>0.04</v>
      </c>
      <c r="Q32" s="1633">
        <f>AjPérdDist200!$D$16</f>
        <v>0.99879806279480066</v>
      </c>
      <c r="R32" s="1633">
        <f>AjPérdDist200!$D$17</f>
        <v>0.11745863301450467</v>
      </c>
      <c r="T32" s="2054">
        <f>'MODELO IMP'!C273</f>
        <v>0.40572817691917867</v>
      </c>
      <c r="U32" s="2060">
        <f t="shared" si="35"/>
        <v>4.271823080821302E-3</v>
      </c>
    </row>
    <row r="33" spans="2:25">
      <c r="B33" s="108" t="s">
        <v>278</v>
      </c>
      <c r="C33" s="95"/>
      <c r="D33" s="114">
        <v>7.0000000000000007E-2</v>
      </c>
      <c r="E33" s="114">
        <v>0.06</v>
      </c>
      <c r="F33" s="114">
        <v>0.01</v>
      </c>
      <c r="G33" s="114">
        <v>0.03</v>
      </c>
      <c r="H33" s="115">
        <v>0.03</v>
      </c>
      <c r="I33" s="115">
        <v>0.03</v>
      </c>
      <c r="J33" s="115">
        <v>0</v>
      </c>
      <c r="K33" s="116">
        <f t="shared" si="36"/>
        <v>0.03</v>
      </c>
      <c r="L33" s="116">
        <f t="shared" si="33"/>
        <v>0.03</v>
      </c>
      <c r="M33" s="117">
        <f t="shared" si="34"/>
        <v>0</v>
      </c>
      <c r="N33" s="116">
        <f t="shared" si="37"/>
        <v>7.0000000000000007E-2</v>
      </c>
      <c r="O33" s="116">
        <f t="shared" si="38"/>
        <v>7.0000000000000007E-2</v>
      </c>
      <c r="P33" s="117">
        <f t="shared" si="39"/>
        <v>0</v>
      </c>
      <c r="Q33" s="1633">
        <f>AjPérdDist200!$D$16</f>
        <v>0.99879806279480066</v>
      </c>
      <c r="R33" s="1633">
        <f>AjPérdDist200!$D$17</f>
        <v>0.11745863301450467</v>
      </c>
      <c r="T33" s="2054">
        <f>'MODELO IMP'!C342</f>
        <v>6.8868100943057411E-2</v>
      </c>
      <c r="U33" s="2060">
        <f t="shared" si="35"/>
        <v>1.1318990569425952E-3</v>
      </c>
    </row>
    <row r="34" spans="2:25">
      <c r="B34" s="108" t="s">
        <v>279</v>
      </c>
      <c r="C34" s="95"/>
      <c r="D34" s="114">
        <v>7.0000000000000007E-2</v>
      </c>
      <c r="E34" s="114">
        <v>0.06</v>
      </c>
      <c r="F34" s="114">
        <v>0.01</v>
      </c>
      <c r="G34" s="114">
        <v>0.03</v>
      </c>
      <c r="H34" s="115">
        <v>0.03</v>
      </c>
      <c r="I34" s="115">
        <v>0.03</v>
      </c>
      <c r="J34" s="115">
        <v>0</v>
      </c>
      <c r="K34" s="116">
        <f t="shared" si="36"/>
        <v>0.03</v>
      </c>
      <c r="L34" s="116">
        <f t="shared" si="33"/>
        <v>0.03</v>
      </c>
      <c r="M34" s="117">
        <f t="shared" si="34"/>
        <v>0</v>
      </c>
      <c r="N34" s="116">
        <f t="shared" si="37"/>
        <v>7.0000000000000007E-2</v>
      </c>
      <c r="O34" s="116">
        <f t="shared" si="38"/>
        <v>7.0000000000000007E-2</v>
      </c>
      <c r="P34" s="117">
        <f t="shared" si="39"/>
        <v>0</v>
      </c>
      <c r="Q34" s="1633">
        <f>AjPérdDist200!$D$16</f>
        <v>0.99879806279480066</v>
      </c>
      <c r="R34" s="1633">
        <f>AjPérdDist200!$D$17</f>
        <v>0.11745863301450467</v>
      </c>
      <c r="T34" s="2054">
        <f>'MODELO IMP'!C377</f>
        <v>6.9369136713219329E-2</v>
      </c>
      <c r="U34" s="2060">
        <f t="shared" si="35"/>
        <v>6.3086328678067793E-4</v>
      </c>
    </row>
    <row r="35" spans="2:25" ht="21">
      <c r="B35" s="94" t="s">
        <v>309</v>
      </c>
      <c r="C35" s="95"/>
      <c r="D35" s="104"/>
      <c r="E35" s="104"/>
      <c r="F35" s="104"/>
      <c r="G35" s="104"/>
      <c r="H35" s="105"/>
      <c r="I35" s="105"/>
      <c r="J35" s="105"/>
      <c r="K35" s="106"/>
      <c r="L35" s="106"/>
      <c r="M35" s="107"/>
      <c r="N35" s="106"/>
      <c r="O35" s="106"/>
      <c r="P35" s="107"/>
      <c r="Q35" s="1631" t="s">
        <v>204</v>
      </c>
      <c r="R35" s="1631"/>
      <c r="T35" s="2054"/>
      <c r="U35" s="2054"/>
    </row>
    <row r="36" spans="2:25" s="73" customFormat="1">
      <c r="B36" s="100" t="s">
        <v>291</v>
      </c>
      <c r="C36" s="95" t="s">
        <v>333</v>
      </c>
      <c r="D36" s="114"/>
      <c r="E36" s="114"/>
      <c r="F36" s="114"/>
      <c r="G36" s="114"/>
      <c r="H36" s="115"/>
      <c r="I36" s="115"/>
      <c r="J36" s="115"/>
      <c r="K36" s="116"/>
      <c r="L36" s="116"/>
      <c r="M36" s="117"/>
      <c r="N36" s="116"/>
      <c r="O36" s="116"/>
      <c r="P36" s="117"/>
      <c r="Q36" s="1632" t="s">
        <v>205</v>
      </c>
      <c r="R36" s="1632" t="s">
        <v>206</v>
      </c>
      <c r="T36" s="2054"/>
      <c r="U36" s="2054"/>
      <c r="Y36" s="38"/>
    </row>
    <row r="37" spans="2:25" s="73" customFormat="1">
      <c r="B37" s="2061" t="s">
        <v>1526</v>
      </c>
      <c r="C37" s="95"/>
      <c r="D37" s="104">
        <v>2.48E-3</v>
      </c>
      <c r="E37" s="104">
        <v>1.83E-3</v>
      </c>
      <c r="F37" s="104">
        <v>6.4999999999999997E-4</v>
      </c>
      <c r="G37" s="104">
        <v>1.83E-3</v>
      </c>
      <c r="H37" s="105">
        <v>2.0400000000000001E-3</v>
      </c>
      <c r="I37" s="105">
        <v>1.9300000000000001E-3</v>
      </c>
      <c r="J37" s="105">
        <v>1.1E-4</v>
      </c>
      <c r="K37" s="106">
        <f t="shared" ref="K37" si="40">ROUND(L37+M37,5)</f>
        <v>1.99E-3</v>
      </c>
      <c r="L37" s="106">
        <f t="shared" ref="L37" si="41">ROUND(I37*Q37,5)</f>
        <v>1.8699999999999999E-3</v>
      </c>
      <c r="M37" s="107">
        <f t="shared" ref="M37" si="42">ROUND(I37*R37,5)</f>
        <v>1.2E-4</v>
      </c>
      <c r="N37" s="106">
        <f t="shared" ref="N37" si="43">ROUND(O37+P37,5)</f>
        <v>1.72E-3</v>
      </c>
      <c r="O37" s="106">
        <f t="shared" ref="O37" si="44">ROUND(T37,5)</f>
        <v>1.6000000000000001E-3</v>
      </c>
      <c r="P37" s="107">
        <f t="shared" ref="P37" si="45">ROUND(I37*R37,5)</f>
        <v>1.2E-4</v>
      </c>
      <c r="Q37" s="1633">
        <f>AjGen500!$E$48</f>
        <v>0.96798174113780089</v>
      </c>
      <c r="R37" s="1633">
        <f>AjGen500!$E$49</f>
        <v>5.9638179243661237E-2</v>
      </c>
      <c r="T37" s="2054">
        <f>'MODELO IMP'!C24</f>
        <v>1.5968055976472609E-3</v>
      </c>
      <c r="U37" s="2059">
        <f t="shared" ref="U37:U45" si="46">O37-T37</f>
        <v>3.194402352739217E-6</v>
      </c>
      <c r="Y37" s="38"/>
    </row>
    <row r="38" spans="2:25" s="73" customFormat="1">
      <c r="B38" s="108" t="s">
        <v>1525</v>
      </c>
      <c r="C38" s="95"/>
      <c r="D38" s="104">
        <v>2.48E-3</v>
      </c>
      <c r="E38" s="104">
        <v>1.83E-3</v>
      </c>
      <c r="F38" s="104">
        <v>6.4999999999999997E-4</v>
      </c>
      <c r="G38" s="104">
        <v>1.83E-3</v>
      </c>
      <c r="H38" s="105">
        <v>2.0400000000000001E-3</v>
      </c>
      <c r="I38" s="105">
        <v>1.9300000000000001E-3</v>
      </c>
      <c r="J38" s="105">
        <v>1.1E-4</v>
      </c>
      <c r="K38" s="106">
        <f t="shared" ref="K38:K45" si="47">ROUND(L38+M38,5)</f>
        <v>1.99E-3</v>
      </c>
      <c r="L38" s="106">
        <f t="shared" ref="L38:L45" si="48">ROUND(I38*Q38,5)</f>
        <v>1.8699999999999999E-3</v>
      </c>
      <c r="M38" s="107">
        <f t="shared" ref="M38:M45" si="49">ROUND(I38*R38,5)</f>
        <v>1.2E-4</v>
      </c>
      <c r="N38" s="106">
        <f t="shared" ref="N38:N45" si="50">ROUND(O38+P38,5)</f>
        <v>1.7600000000000001E-3</v>
      </c>
      <c r="O38" s="106">
        <f t="shared" ref="O38:O45" si="51">ROUND(T38,5)</f>
        <v>1.64E-3</v>
      </c>
      <c r="P38" s="107">
        <f t="shared" ref="P38:P45" si="52">ROUND(I38*R38,5)</f>
        <v>1.2E-4</v>
      </c>
      <c r="Q38" s="1633">
        <f>AjGen500!$E$48</f>
        <v>0.96798174113780089</v>
      </c>
      <c r="R38" s="1633">
        <f>AjGen500!$E$49</f>
        <v>5.9638179243661237E-2</v>
      </c>
      <c r="T38" s="2054">
        <f>'MODELO IMP'!C53</f>
        <v>1.6392139737614298E-3</v>
      </c>
      <c r="U38" s="2059">
        <f t="shared" si="46"/>
        <v>7.8602623857014324E-7</v>
      </c>
      <c r="Y38" s="38"/>
    </row>
    <row r="39" spans="2:25" s="73" customFormat="1">
      <c r="B39" s="103" t="s">
        <v>1176</v>
      </c>
      <c r="C39" s="95"/>
      <c r="D39" s="104">
        <v>2.48E-3</v>
      </c>
      <c r="E39" s="104">
        <v>1.83E-3</v>
      </c>
      <c r="F39" s="104">
        <v>6.4999999999999997E-4</v>
      </c>
      <c r="G39" s="104">
        <v>1.83E-3</v>
      </c>
      <c r="H39" s="105">
        <v>2.0400000000000001E-3</v>
      </c>
      <c r="I39" s="105">
        <v>1.9300000000000001E-3</v>
      </c>
      <c r="J39" s="105">
        <v>1.1E-4</v>
      </c>
      <c r="K39" s="106">
        <f t="shared" si="47"/>
        <v>1.99E-3</v>
      </c>
      <c r="L39" s="106">
        <f t="shared" si="48"/>
        <v>1.8699999999999999E-3</v>
      </c>
      <c r="M39" s="107">
        <f t="shared" si="49"/>
        <v>1.2E-4</v>
      </c>
      <c r="N39" s="106">
        <f t="shared" si="50"/>
        <v>1.72E-3</v>
      </c>
      <c r="O39" s="106">
        <f t="shared" si="51"/>
        <v>1.6000000000000001E-3</v>
      </c>
      <c r="P39" s="107">
        <f t="shared" si="52"/>
        <v>1.2E-4</v>
      </c>
      <c r="Q39" s="1633">
        <f>AjGen500!$E$48</f>
        <v>0.96798174113780089</v>
      </c>
      <c r="R39" s="1633">
        <f>AjGen500!$E$49</f>
        <v>5.9638179243661237E-2</v>
      </c>
      <c r="T39" s="2054">
        <f>'MODELO IMP'!C111</f>
        <v>1.5968055976472609E-3</v>
      </c>
      <c r="U39" s="2059">
        <f t="shared" si="46"/>
        <v>3.194402352739217E-6</v>
      </c>
      <c r="Y39" s="38"/>
    </row>
    <row r="40" spans="2:25" s="73" customFormat="1">
      <c r="B40" s="108" t="s">
        <v>274</v>
      </c>
      <c r="C40" s="95"/>
      <c r="D40" s="104">
        <v>2.3900000000000002E-3</v>
      </c>
      <c r="E40" s="104">
        <v>1.7600000000000001E-3</v>
      </c>
      <c r="F40" s="104">
        <v>6.3000000000000003E-4</v>
      </c>
      <c r="G40" s="104">
        <v>1.7600000000000001E-3</v>
      </c>
      <c r="H40" s="105">
        <v>1.9499999999999999E-3</v>
      </c>
      <c r="I40" s="105">
        <v>1.8500000000000001E-3</v>
      </c>
      <c r="J40" s="105">
        <v>1E-4</v>
      </c>
      <c r="K40" s="106">
        <f t="shared" si="47"/>
        <v>1.9E-3</v>
      </c>
      <c r="L40" s="106">
        <f t="shared" si="48"/>
        <v>1.7899999999999999E-3</v>
      </c>
      <c r="M40" s="107">
        <f t="shared" si="49"/>
        <v>1.1E-4</v>
      </c>
      <c r="N40" s="106">
        <f t="shared" si="50"/>
        <v>1.6199999999999999E-3</v>
      </c>
      <c r="O40" s="106">
        <f t="shared" si="51"/>
        <v>1.5100000000000001E-3</v>
      </c>
      <c r="P40" s="107">
        <f t="shared" si="52"/>
        <v>1.1E-4</v>
      </c>
      <c r="Q40" s="1633">
        <f>AjGen500!$E$48</f>
        <v>0.96798174113780089</v>
      </c>
      <c r="R40" s="1633">
        <f>AjGen500!$E$49</f>
        <v>5.9638179243661237E-2</v>
      </c>
      <c r="T40" s="2054">
        <f>'MODELO IMP'!C146</f>
        <v>1.5068559754966202E-3</v>
      </c>
      <c r="U40" s="2059">
        <f t="shared" si="46"/>
        <v>3.1440245033798574E-6</v>
      </c>
      <c r="Y40" s="38"/>
    </row>
    <row r="41" spans="2:25" s="73" customFormat="1">
      <c r="B41" s="108" t="s">
        <v>275</v>
      </c>
      <c r="C41" s="95"/>
      <c r="D41" s="104">
        <v>2.3900000000000002E-3</v>
      </c>
      <c r="E41" s="104">
        <v>1.7600000000000001E-3</v>
      </c>
      <c r="F41" s="104">
        <v>6.3000000000000003E-4</v>
      </c>
      <c r="G41" s="104">
        <v>1.7600000000000001E-3</v>
      </c>
      <c r="H41" s="105">
        <v>1.9499999999999999E-3</v>
      </c>
      <c r="I41" s="105">
        <v>1.8500000000000001E-3</v>
      </c>
      <c r="J41" s="105">
        <v>1E-4</v>
      </c>
      <c r="K41" s="106">
        <f t="shared" si="47"/>
        <v>1.9E-3</v>
      </c>
      <c r="L41" s="106">
        <f t="shared" si="48"/>
        <v>1.7899999999999999E-3</v>
      </c>
      <c r="M41" s="107">
        <f t="shared" si="49"/>
        <v>1.1E-4</v>
      </c>
      <c r="N41" s="106">
        <f t="shared" si="50"/>
        <v>1.6199999999999999E-3</v>
      </c>
      <c r="O41" s="106">
        <f t="shared" si="51"/>
        <v>1.5100000000000001E-3</v>
      </c>
      <c r="P41" s="107">
        <f t="shared" si="52"/>
        <v>1.1E-4</v>
      </c>
      <c r="Q41" s="1633">
        <f>AjGen500!$E$48</f>
        <v>0.96798174113780089</v>
      </c>
      <c r="R41" s="1633">
        <f>AjGen500!$E$49</f>
        <v>5.9638179243661237E-2</v>
      </c>
      <c r="T41" s="2054">
        <f>'MODELO IMP'!C187</f>
        <v>1.5068559754966202E-3</v>
      </c>
      <c r="U41" s="2059">
        <f t="shared" si="46"/>
        <v>3.1440245033798574E-6</v>
      </c>
      <c r="Y41" s="38"/>
    </row>
    <row r="42" spans="2:25">
      <c r="B42" s="108" t="s">
        <v>276</v>
      </c>
      <c r="C42" s="95"/>
      <c r="D42" s="104">
        <v>2.3900000000000002E-3</v>
      </c>
      <c r="E42" s="104">
        <v>1.7600000000000001E-3</v>
      </c>
      <c r="F42" s="104">
        <v>6.3000000000000003E-4</v>
      </c>
      <c r="G42" s="104">
        <v>1.7600000000000001E-3</v>
      </c>
      <c r="H42" s="105">
        <v>1.9499999999999999E-3</v>
      </c>
      <c r="I42" s="105">
        <v>1.8500000000000001E-3</v>
      </c>
      <c r="J42" s="105">
        <v>1E-4</v>
      </c>
      <c r="K42" s="106">
        <f t="shared" si="47"/>
        <v>1.9E-3</v>
      </c>
      <c r="L42" s="106">
        <f t="shared" si="48"/>
        <v>1.7899999999999999E-3</v>
      </c>
      <c r="M42" s="107">
        <f t="shared" si="49"/>
        <v>1.1E-4</v>
      </c>
      <c r="N42" s="106">
        <f t="shared" si="50"/>
        <v>1.6199999999999999E-3</v>
      </c>
      <c r="O42" s="106">
        <f t="shared" si="51"/>
        <v>1.5100000000000001E-3</v>
      </c>
      <c r="P42" s="107">
        <f t="shared" si="52"/>
        <v>1.1E-4</v>
      </c>
      <c r="Q42" s="1633">
        <f>AjGen500!$E$48</f>
        <v>0.96798174113780089</v>
      </c>
      <c r="R42" s="1633">
        <f>AjGen500!$E$49</f>
        <v>5.9638179243661237E-2</v>
      </c>
      <c r="T42" s="2054">
        <f>'MODELO IMP'!C249</f>
        <v>1.5069495152645132E-3</v>
      </c>
      <c r="U42" s="2059">
        <f t="shared" si="46"/>
        <v>3.0504847354868771E-6</v>
      </c>
    </row>
    <row r="43" spans="2:25">
      <c r="B43" s="108" t="s">
        <v>277</v>
      </c>
      <c r="C43" s="95"/>
      <c r="D43" s="104">
        <v>2.3900000000000002E-3</v>
      </c>
      <c r="E43" s="104">
        <v>1.7600000000000001E-3</v>
      </c>
      <c r="F43" s="104">
        <v>6.3000000000000003E-4</v>
      </c>
      <c r="G43" s="104">
        <v>1.7600000000000001E-3</v>
      </c>
      <c r="H43" s="105">
        <v>1.9499999999999999E-3</v>
      </c>
      <c r="I43" s="105">
        <v>1.8500000000000001E-3</v>
      </c>
      <c r="J43" s="105">
        <v>1E-4</v>
      </c>
      <c r="K43" s="106">
        <f t="shared" si="47"/>
        <v>1.9E-3</v>
      </c>
      <c r="L43" s="106">
        <f t="shared" si="48"/>
        <v>1.7899999999999999E-3</v>
      </c>
      <c r="M43" s="107">
        <f t="shared" si="49"/>
        <v>1.1E-4</v>
      </c>
      <c r="N43" s="106">
        <f t="shared" si="50"/>
        <v>1.6199999999999999E-3</v>
      </c>
      <c r="O43" s="106">
        <f t="shared" si="51"/>
        <v>1.5100000000000001E-3</v>
      </c>
      <c r="P43" s="107">
        <f t="shared" si="52"/>
        <v>1.1E-4</v>
      </c>
      <c r="Q43" s="1633">
        <f>AjGen500!$E$48</f>
        <v>0.96798174113780089</v>
      </c>
      <c r="R43" s="1633">
        <f>AjGen500!$E$49</f>
        <v>5.9638179243661237E-2</v>
      </c>
      <c r="T43" s="2054">
        <f>'MODELO IMP'!C290</f>
        <v>1.5069495152645132E-3</v>
      </c>
      <c r="U43" s="2059">
        <f t="shared" si="46"/>
        <v>3.0504847354868771E-6</v>
      </c>
    </row>
    <row r="44" spans="2:25">
      <c r="B44" s="108" t="s">
        <v>278</v>
      </c>
      <c r="C44" s="95"/>
      <c r="D44" s="104">
        <v>2.3900000000000002E-3</v>
      </c>
      <c r="E44" s="104">
        <v>1.7600000000000001E-3</v>
      </c>
      <c r="F44" s="104">
        <v>6.3000000000000003E-4</v>
      </c>
      <c r="G44" s="104">
        <v>1.7600000000000001E-3</v>
      </c>
      <c r="H44" s="105">
        <v>1.9499999999999999E-3</v>
      </c>
      <c r="I44" s="105">
        <v>1.8500000000000001E-3</v>
      </c>
      <c r="J44" s="105">
        <v>1E-4</v>
      </c>
      <c r="K44" s="106">
        <f t="shared" si="47"/>
        <v>1.9E-3</v>
      </c>
      <c r="L44" s="106">
        <f t="shared" si="48"/>
        <v>1.7899999999999999E-3</v>
      </c>
      <c r="M44" s="107">
        <f t="shared" si="49"/>
        <v>1.1E-4</v>
      </c>
      <c r="N44" s="106">
        <f t="shared" si="50"/>
        <v>1.6199999999999999E-3</v>
      </c>
      <c r="O44" s="106">
        <f t="shared" si="51"/>
        <v>1.5100000000000001E-3</v>
      </c>
      <c r="P44" s="107">
        <f t="shared" si="52"/>
        <v>1.1E-4</v>
      </c>
      <c r="Q44" s="1633">
        <f>AjGen500!$E$48</f>
        <v>0.96798174113780089</v>
      </c>
      <c r="R44" s="1633">
        <f>AjGen500!$E$49</f>
        <v>5.9638179243661237E-2</v>
      </c>
      <c r="T44" s="2054">
        <f>'MODELO IMP'!C353</f>
        <v>1.50652209665633E-3</v>
      </c>
      <c r="U44" s="2059">
        <f t="shared" si="46"/>
        <v>3.477903343670043E-6</v>
      </c>
    </row>
    <row r="45" spans="2:25">
      <c r="B45" s="108" t="s">
        <v>279</v>
      </c>
      <c r="C45" s="95"/>
      <c r="D45" s="104">
        <v>2.3900000000000002E-3</v>
      </c>
      <c r="E45" s="104">
        <v>1.7600000000000001E-3</v>
      </c>
      <c r="F45" s="104">
        <v>6.3000000000000003E-4</v>
      </c>
      <c r="G45" s="104">
        <v>1.7600000000000001E-3</v>
      </c>
      <c r="H45" s="105">
        <v>1.9499999999999999E-3</v>
      </c>
      <c r="I45" s="105">
        <v>1.8500000000000001E-3</v>
      </c>
      <c r="J45" s="105">
        <v>1E-4</v>
      </c>
      <c r="K45" s="106">
        <f t="shared" si="47"/>
        <v>1.9E-3</v>
      </c>
      <c r="L45" s="106">
        <f t="shared" si="48"/>
        <v>1.7899999999999999E-3</v>
      </c>
      <c r="M45" s="107">
        <f t="shared" si="49"/>
        <v>1.1E-4</v>
      </c>
      <c r="N45" s="106">
        <f t="shared" si="50"/>
        <v>1.6199999999999999E-3</v>
      </c>
      <c r="O45" s="106">
        <f t="shared" si="51"/>
        <v>1.5100000000000001E-3</v>
      </c>
      <c r="P45" s="107">
        <f t="shared" si="52"/>
        <v>1.1E-4</v>
      </c>
      <c r="Q45" s="1633">
        <f>AjGen500!$E$48</f>
        <v>0.96798174113780089</v>
      </c>
      <c r="R45" s="1633">
        <f>AjGen500!$E$49</f>
        <v>5.9638179243661237E-2</v>
      </c>
      <c r="T45" s="2054">
        <f>'MODELO IMP'!C394</f>
        <v>1.50652209665633E-3</v>
      </c>
      <c r="U45" s="2059">
        <f t="shared" si="46"/>
        <v>3.477903343670043E-6</v>
      </c>
    </row>
    <row r="46" spans="2:25" ht="21">
      <c r="B46" s="94" t="s">
        <v>10</v>
      </c>
      <c r="C46" s="95"/>
      <c r="D46" s="104"/>
      <c r="E46" s="104"/>
      <c r="F46" s="104"/>
      <c r="G46" s="104"/>
      <c r="H46" s="105"/>
      <c r="I46" s="105"/>
      <c r="J46" s="105"/>
      <c r="K46" s="106"/>
      <c r="L46" s="106"/>
      <c r="M46" s="107"/>
      <c r="N46" s="106"/>
      <c r="O46" s="106"/>
      <c r="P46" s="107"/>
      <c r="Q46" s="1631" t="s">
        <v>207</v>
      </c>
      <c r="R46" s="1631"/>
      <c r="T46" s="2054"/>
      <c r="U46" s="2054"/>
    </row>
    <row r="47" spans="2:25" s="73" customFormat="1">
      <c r="B47" s="100" t="s">
        <v>289</v>
      </c>
      <c r="C47" s="95" t="s">
        <v>259</v>
      </c>
      <c r="D47" s="114"/>
      <c r="E47" s="114"/>
      <c r="F47" s="114"/>
      <c r="G47" s="114"/>
      <c r="H47" s="115"/>
      <c r="I47" s="115"/>
      <c r="J47" s="115"/>
      <c r="K47" s="116"/>
      <c r="L47" s="116"/>
      <c r="M47" s="117"/>
      <c r="N47" s="116"/>
      <c r="O47" s="116"/>
      <c r="P47" s="117"/>
      <c r="Q47" s="1632" t="s">
        <v>200</v>
      </c>
      <c r="R47" s="1632" t="s">
        <v>208</v>
      </c>
      <c r="T47" s="2054"/>
      <c r="U47" s="2054"/>
      <c r="Y47" s="38"/>
    </row>
    <row r="48" spans="2:25" s="73" customFormat="1">
      <c r="B48" s="2061" t="s">
        <v>1526</v>
      </c>
      <c r="C48" s="95"/>
      <c r="D48" s="104">
        <v>6.7799999999999996E-3</v>
      </c>
      <c r="E48" s="104">
        <v>5.77E-3</v>
      </c>
      <c r="F48" s="104">
        <v>1.01E-3</v>
      </c>
      <c r="G48" s="104">
        <v>5.77E-3</v>
      </c>
      <c r="H48" s="105">
        <v>3.5500000000000002E-3</v>
      </c>
      <c r="I48" s="105">
        <v>5.2199999999999998E-3</v>
      </c>
      <c r="J48" s="105">
        <v>-1.67E-3</v>
      </c>
      <c r="K48" s="106">
        <f t="shared" ref="K48" si="53">ROUND(L48+M48,5)</f>
        <v>5.96E-3</v>
      </c>
      <c r="L48" s="106">
        <f t="shared" ref="L48" si="54">ROUND(I48*Q48,5)</f>
        <v>6.28E-3</v>
      </c>
      <c r="M48" s="107">
        <f t="shared" ref="M48" si="55">ROUND(I48*R48,5)</f>
        <v>-3.2000000000000003E-4</v>
      </c>
      <c r="N48" s="106">
        <f t="shared" ref="N48" si="56">ROUND(O48+P48,5)</f>
        <v>6.3299999999999997E-3</v>
      </c>
      <c r="O48" s="106">
        <f t="shared" ref="O48" si="57">ROUND(T48,5)</f>
        <v>6.6499999999999997E-3</v>
      </c>
      <c r="P48" s="107">
        <f t="shared" ref="P48" si="58">ROUND(I48*R48,5)</f>
        <v>-3.2000000000000003E-4</v>
      </c>
      <c r="Q48" s="1633">
        <f>AjTran300!$E$51</f>
        <v>1.2032115437243385</v>
      </c>
      <c r="R48" s="1633">
        <f>AjTran300!$E$52</f>
        <v>-6.0513892021273892E-2</v>
      </c>
      <c r="T48" s="2054">
        <f>'MODELO IMP'!C19</f>
        <v>6.6481116320298312E-3</v>
      </c>
      <c r="U48" s="2059">
        <f t="shared" ref="U48:U56" si="59">O48-T48</f>
        <v>1.8883679701684614E-6</v>
      </c>
      <c r="V48" s="2054"/>
    </row>
    <row r="49" spans="2:25" s="73" customFormat="1">
      <c r="B49" s="108" t="s">
        <v>1525</v>
      </c>
      <c r="C49" s="95"/>
      <c r="D49" s="104">
        <v>6.7799999999999996E-3</v>
      </c>
      <c r="E49" s="104">
        <v>5.77E-3</v>
      </c>
      <c r="F49" s="104">
        <v>1.01E-3</v>
      </c>
      <c r="G49" s="104">
        <v>5.77E-3</v>
      </c>
      <c r="H49" s="105">
        <v>3.5500000000000002E-3</v>
      </c>
      <c r="I49" s="105">
        <v>5.2199999999999998E-3</v>
      </c>
      <c r="J49" s="105">
        <v>-1.67E-3</v>
      </c>
      <c r="K49" s="106">
        <f t="shared" ref="K49:K56" si="60">ROUND(L49+M49,5)</f>
        <v>5.96E-3</v>
      </c>
      <c r="L49" s="106">
        <f t="shared" ref="L49:L56" si="61">ROUND(I49*Q49,5)</f>
        <v>6.28E-3</v>
      </c>
      <c r="M49" s="107">
        <f t="shared" ref="M49:M56" si="62">ROUND(I49*R49,5)</f>
        <v>-3.2000000000000003E-4</v>
      </c>
      <c r="N49" s="106">
        <f t="shared" ref="N49:N56" si="63">ROUND(O49+P49,5)</f>
        <v>6.4999999999999997E-3</v>
      </c>
      <c r="O49" s="106">
        <f t="shared" ref="O49:O56" si="64">ROUND(T49,5)</f>
        <v>6.8199999999999997E-3</v>
      </c>
      <c r="P49" s="107">
        <f t="shared" ref="P49:P56" si="65">ROUND(I49*R49,5)</f>
        <v>-3.2000000000000003E-4</v>
      </c>
      <c r="Q49" s="1633">
        <f>AjTran300!$E$51</f>
        <v>1.2032115437243385</v>
      </c>
      <c r="R49" s="1633">
        <f>AjTran300!$E$52</f>
        <v>-6.0513892021273892E-2</v>
      </c>
      <c r="T49" s="2054">
        <f>'MODELO IMP'!C44</f>
        <v>6.8246739004459173E-3</v>
      </c>
      <c r="U49" s="2059">
        <f t="shared" si="59"/>
        <v>-4.6739004459176586E-6</v>
      </c>
      <c r="V49" s="2054"/>
    </row>
    <row r="50" spans="2:25" s="73" customFormat="1">
      <c r="B50" s="103" t="s">
        <v>1176</v>
      </c>
      <c r="C50" s="95"/>
      <c r="D50" s="104">
        <v>6.7799999999999996E-3</v>
      </c>
      <c r="E50" s="104">
        <v>5.77E-3</v>
      </c>
      <c r="F50" s="104">
        <v>1.01E-3</v>
      </c>
      <c r="G50" s="104">
        <v>5.77E-3</v>
      </c>
      <c r="H50" s="105">
        <v>3.5500000000000002E-3</v>
      </c>
      <c r="I50" s="105">
        <v>5.2199999999999998E-3</v>
      </c>
      <c r="J50" s="105">
        <v>-1.67E-3</v>
      </c>
      <c r="K50" s="106">
        <f t="shared" si="60"/>
        <v>5.96E-3</v>
      </c>
      <c r="L50" s="106">
        <f t="shared" si="61"/>
        <v>6.28E-3</v>
      </c>
      <c r="M50" s="107">
        <f t="shared" si="62"/>
        <v>-3.2000000000000003E-4</v>
      </c>
      <c r="N50" s="106">
        <f t="shared" si="63"/>
        <v>6.3299999999999997E-3</v>
      </c>
      <c r="O50" s="106">
        <f t="shared" si="64"/>
        <v>6.6499999999999997E-3</v>
      </c>
      <c r="P50" s="107">
        <f t="shared" si="65"/>
        <v>-3.2000000000000003E-4</v>
      </c>
      <c r="Q50" s="1633">
        <f>AjTran300!$E$51</f>
        <v>1.2032115437243385</v>
      </c>
      <c r="R50" s="1633">
        <f>AjTran300!$E$52</f>
        <v>-6.0513892021273892E-2</v>
      </c>
      <c r="T50" s="2054">
        <f>'MODELO IMP'!C102</f>
        <v>6.6481116320298312E-3</v>
      </c>
      <c r="U50" s="2059">
        <f t="shared" si="59"/>
        <v>1.8883679701684614E-6</v>
      </c>
    </row>
    <row r="51" spans="2:25" s="73" customFormat="1">
      <c r="B51" s="108" t="s">
        <v>274</v>
      </c>
      <c r="C51" s="95"/>
      <c r="D51" s="104">
        <v>1.085E-2</v>
      </c>
      <c r="E51" s="104">
        <v>9.2300000000000004E-3</v>
      </c>
      <c r="F51" s="104">
        <v>1.6199999999999999E-3</v>
      </c>
      <c r="G51" s="104">
        <v>9.2300000000000004E-3</v>
      </c>
      <c r="H51" s="105">
        <v>5.6699999999999997E-3</v>
      </c>
      <c r="I51" s="105">
        <v>8.3400000000000002E-3</v>
      </c>
      <c r="J51" s="105">
        <v>-2.6700000000000001E-3</v>
      </c>
      <c r="K51" s="106">
        <f t="shared" si="60"/>
        <v>9.5300000000000003E-3</v>
      </c>
      <c r="L51" s="106">
        <f t="shared" si="61"/>
        <v>1.0030000000000001E-2</v>
      </c>
      <c r="M51" s="107">
        <f t="shared" si="62"/>
        <v>-5.0000000000000001E-4</v>
      </c>
      <c r="N51" s="106">
        <f t="shared" ref="N51" si="66">ROUND(O51+P51,5)</f>
        <v>4.7099999999999998E-3</v>
      </c>
      <c r="O51" s="106">
        <f t="shared" ref="O51" si="67">ROUND(T51,5)</f>
        <v>5.2100000000000002E-3</v>
      </c>
      <c r="P51" s="107">
        <f t="shared" ref="P51" si="68">ROUND(I51*R51,5)</f>
        <v>-5.0000000000000001E-4</v>
      </c>
      <c r="Q51" s="1633">
        <f>AjTran300!$E$51</f>
        <v>1.2032115437243385</v>
      </c>
      <c r="R51" s="1633">
        <f>AjTran300!$E$52</f>
        <v>-6.0513892021273892E-2</v>
      </c>
      <c r="T51" s="2054">
        <f>'MODELO IMP'!C137</f>
        <v>5.2099598402638968E-3</v>
      </c>
      <c r="U51" s="2059">
        <f t="shared" si="59"/>
        <v>4.0159736103446975E-8</v>
      </c>
    </row>
    <row r="52" spans="2:25" s="73" customFormat="1">
      <c r="B52" s="108" t="s">
        <v>275</v>
      </c>
      <c r="C52" s="95"/>
      <c r="D52" s="104">
        <v>6.7799999999999996E-3</v>
      </c>
      <c r="E52" s="104">
        <v>5.77E-3</v>
      </c>
      <c r="F52" s="104">
        <v>1.01E-3</v>
      </c>
      <c r="G52" s="104">
        <v>5.77E-3</v>
      </c>
      <c r="H52" s="105">
        <v>3.5500000000000002E-3</v>
      </c>
      <c r="I52" s="105">
        <v>5.2199999999999998E-3</v>
      </c>
      <c r="J52" s="105">
        <v>-1.67E-3</v>
      </c>
      <c r="K52" s="106">
        <f t="shared" si="60"/>
        <v>5.96E-3</v>
      </c>
      <c r="L52" s="106">
        <f t="shared" si="61"/>
        <v>6.28E-3</v>
      </c>
      <c r="M52" s="107">
        <f t="shared" si="62"/>
        <v>-3.2000000000000003E-4</v>
      </c>
      <c r="N52" s="106">
        <f t="shared" ref="N52:N55" si="69">ROUND(O52+P52,5)</f>
        <v>1.9400000000000001E-3</v>
      </c>
      <c r="O52" s="106">
        <f t="shared" ref="O52:O55" si="70">ROUND(T52,5)</f>
        <v>2.2599999999999999E-3</v>
      </c>
      <c r="P52" s="107">
        <f t="shared" ref="P52:P55" si="71">ROUND(I52*R52,5)</f>
        <v>-3.2000000000000003E-4</v>
      </c>
      <c r="Q52" s="1633">
        <f>AjTran300!$E$51</f>
        <v>1.2032115437243385</v>
      </c>
      <c r="R52" s="1633">
        <f>AjTran300!$E$52</f>
        <v>-6.0513892021273892E-2</v>
      </c>
      <c r="T52" s="2054">
        <f>'MODELO IMP'!C177</f>
        <v>2.2618423369874714E-3</v>
      </c>
      <c r="U52" s="2059">
        <f t="shared" si="59"/>
        <v>-1.8423369874715108E-6</v>
      </c>
    </row>
    <row r="53" spans="2:25" s="73" customFormat="1">
      <c r="B53" s="108" t="s">
        <v>276</v>
      </c>
      <c r="C53" s="95"/>
      <c r="D53" s="104">
        <v>6.7099999999999998E-3</v>
      </c>
      <c r="E53" s="104">
        <v>5.7099999999999998E-3</v>
      </c>
      <c r="F53" s="104">
        <v>1E-3</v>
      </c>
      <c r="G53" s="104">
        <v>5.7099999999999998E-3</v>
      </c>
      <c r="H53" s="105">
        <v>3.5100000000000001E-3</v>
      </c>
      <c r="I53" s="105">
        <v>5.1599999999999997E-3</v>
      </c>
      <c r="J53" s="105">
        <v>-1.65E-3</v>
      </c>
      <c r="K53" s="106">
        <f t="shared" si="60"/>
        <v>5.8999999999999999E-3</v>
      </c>
      <c r="L53" s="106">
        <f t="shared" si="61"/>
        <v>6.2100000000000002E-3</v>
      </c>
      <c r="M53" s="107">
        <f t="shared" si="62"/>
        <v>-3.1E-4</v>
      </c>
      <c r="N53" s="106">
        <f t="shared" si="69"/>
        <v>3.79E-3</v>
      </c>
      <c r="O53" s="106">
        <f t="shared" si="70"/>
        <v>4.1000000000000003E-3</v>
      </c>
      <c r="P53" s="107">
        <f t="shared" si="71"/>
        <v>-3.1E-4</v>
      </c>
      <c r="Q53" s="1633">
        <f>AjTran300!$E$51</f>
        <v>1.2032115437243385</v>
      </c>
      <c r="R53" s="1633">
        <f>AjTran300!$E$52</f>
        <v>-6.0513892021273892E-2</v>
      </c>
      <c r="T53" s="2054">
        <f>'MODELO IMP'!C243</f>
        <v>4.1030800763572238E-3</v>
      </c>
      <c r="U53" s="2059">
        <f t="shared" si="59"/>
        <v>-3.0800763572234185E-6</v>
      </c>
    </row>
    <row r="54" spans="2:25" s="73" customFormat="1">
      <c r="B54" s="108" t="s">
        <v>277</v>
      </c>
      <c r="C54" s="95"/>
      <c r="D54" s="104">
        <v>5.6299999999999996E-3</v>
      </c>
      <c r="E54" s="104">
        <v>4.79E-3</v>
      </c>
      <c r="F54" s="104">
        <v>8.4000000000000003E-4</v>
      </c>
      <c r="G54" s="104">
        <v>4.79E-3</v>
      </c>
      <c r="H54" s="105">
        <v>2.9399999999999999E-3</v>
      </c>
      <c r="I54" s="105">
        <v>4.3299999999999996E-3</v>
      </c>
      <c r="J54" s="105">
        <v>-1.39E-3</v>
      </c>
      <c r="K54" s="106">
        <f t="shared" si="60"/>
        <v>4.9500000000000004E-3</v>
      </c>
      <c r="L54" s="106">
        <f t="shared" si="61"/>
        <v>5.2100000000000002E-3</v>
      </c>
      <c r="M54" s="107">
        <f t="shared" si="62"/>
        <v>-2.5999999999999998E-4</v>
      </c>
      <c r="N54" s="106">
        <f t="shared" si="69"/>
        <v>3.6800000000000001E-3</v>
      </c>
      <c r="O54" s="106">
        <f t="shared" si="70"/>
        <v>3.9399999999999999E-3</v>
      </c>
      <c r="P54" s="107">
        <f t="shared" si="71"/>
        <v>-2.5999999999999998E-4</v>
      </c>
      <c r="Q54" s="1633">
        <f>AjTran300!$E$51</f>
        <v>1.2032115437243385</v>
      </c>
      <c r="R54" s="1633">
        <f>AjTran300!$E$52</f>
        <v>-6.0513892021273892E-2</v>
      </c>
      <c r="T54" s="2054">
        <f>'MODELO IMP'!C280</f>
        <v>3.9391533711475996E-3</v>
      </c>
      <c r="U54" s="2059">
        <f t="shared" si="59"/>
        <v>8.4662885240036762E-7</v>
      </c>
    </row>
    <row r="55" spans="2:25" s="73" customFormat="1">
      <c r="B55" s="108" t="s">
        <v>278</v>
      </c>
      <c r="C55" s="95"/>
      <c r="D55" s="104">
        <v>4.8199999999999996E-3</v>
      </c>
      <c r="E55" s="104">
        <v>4.1000000000000003E-3</v>
      </c>
      <c r="F55" s="104">
        <v>7.2000000000000005E-4</v>
      </c>
      <c r="G55" s="104">
        <v>4.1000000000000003E-3</v>
      </c>
      <c r="H55" s="105">
        <v>2.5200000000000001E-3</v>
      </c>
      <c r="I55" s="105">
        <v>3.7100000000000002E-3</v>
      </c>
      <c r="J55" s="105">
        <v>-1.1900000000000001E-3</v>
      </c>
      <c r="K55" s="106">
        <f t="shared" si="60"/>
        <v>4.2399999999999998E-3</v>
      </c>
      <c r="L55" s="106">
        <f t="shared" si="61"/>
        <v>4.4600000000000004E-3</v>
      </c>
      <c r="M55" s="107">
        <f t="shared" si="62"/>
        <v>-2.2000000000000001E-4</v>
      </c>
      <c r="N55" s="106">
        <f t="shared" si="69"/>
        <v>3.1700000000000001E-3</v>
      </c>
      <c r="O55" s="106">
        <f t="shared" si="70"/>
        <v>3.3899999999999998E-3</v>
      </c>
      <c r="P55" s="107">
        <f t="shared" si="71"/>
        <v>-2.2000000000000001E-4</v>
      </c>
      <c r="Q55" s="1633">
        <f>AjTran300!$E$51</f>
        <v>1.2032115437243385</v>
      </c>
      <c r="R55" s="1633">
        <f>AjTran300!$E$52</f>
        <v>-6.0513892021273892E-2</v>
      </c>
      <c r="T55" s="2054">
        <f>'MODELO IMP'!C347</f>
        <v>3.3915342005877212E-3</v>
      </c>
      <c r="U55" s="2059">
        <f t="shared" si="59"/>
        <v>-1.53420058772143E-6</v>
      </c>
    </row>
    <row r="56" spans="2:25" s="73" customFormat="1">
      <c r="B56" s="108" t="s">
        <v>279</v>
      </c>
      <c r="C56" s="95"/>
      <c r="D56" s="104">
        <v>5.0099999999999997E-3</v>
      </c>
      <c r="E56" s="104">
        <v>4.2900000000000004E-3</v>
      </c>
      <c r="F56" s="104">
        <v>7.2000000000000005E-4</v>
      </c>
      <c r="G56" s="104">
        <v>4.2900000000000004E-3</v>
      </c>
      <c r="H56" s="105">
        <v>2.64E-3</v>
      </c>
      <c r="I56" s="105">
        <v>3.8800000000000002E-3</v>
      </c>
      <c r="J56" s="105">
        <v>-1.24E-3</v>
      </c>
      <c r="K56" s="106">
        <f t="shared" si="60"/>
        <v>4.4400000000000004E-3</v>
      </c>
      <c r="L56" s="106">
        <f t="shared" si="61"/>
        <v>4.6699999999999997E-3</v>
      </c>
      <c r="M56" s="107">
        <f t="shared" si="62"/>
        <v>-2.3000000000000001E-4</v>
      </c>
      <c r="N56" s="106">
        <f t="shared" si="63"/>
        <v>2.7299999999999998E-3</v>
      </c>
      <c r="O56" s="106">
        <f t="shared" si="64"/>
        <v>2.96E-3</v>
      </c>
      <c r="P56" s="107">
        <f t="shared" si="65"/>
        <v>-2.3000000000000001E-4</v>
      </c>
      <c r="Q56" s="1633">
        <f>AjTran300!$E$51</f>
        <v>1.2032115437243385</v>
      </c>
      <c r="R56" s="1633">
        <f>AjTran300!$E$52</f>
        <v>-6.0513892021273892E-2</v>
      </c>
      <c r="T56" s="2054">
        <f>'MODELO IMP'!C384</f>
        <v>2.9613601597402394E-3</v>
      </c>
      <c r="U56" s="2059">
        <f t="shared" si="59"/>
        <v>-1.3601597402394285E-6</v>
      </c>
    </row>
    <row r="57" spans="2:25" s="73" customFormat="1">
      <c r="B57" s="100" t="s">
        <v>289</v>
      </c>
      <c r="C57" s="95" t="s">
        <v>285</v>
      </c>
      <c r="D57" s="104"/>
      <c r="E57" s="104"/>
      <c r="F57" s="104"/>
      <c r="G57" s="104"/>
      <c r="H57" s="105"/>
      <c r="I57" s="105"/>
      <c r="J57" s="105"/>
      <c r="K57" s="106"/>
      <c r="L57" s="106"/>
      <c r="M57" s="107"/>
      <c r="N57" s="106"/>
      <c r="O57" s="106"/>
      <c r="P57" s="107"/>
      <c r="Q57" s="1633"/>
      <c r="R57" s="1633"/>
      <c r="T57" s="2054"/>
      <c r="U57" s="2054"/>
      <c r="Y57" s="38"/>
    </row>
    <row r="58" spans="2:25" s="73" customFormat="1">
      <c r="B58" s="108" t="s">
        <v>274</v>
      </c>
      <c r="C58" s="95"/>
      <c r="D58" s="114">
        <v>0.8</v>
      </c>
      <c r="E58" s="114">
        <v>0.68</v>
      </c>
      <c r="F58" s="114">
        <v>0.12</v>
      </c>
      <c r="G58" s="114">
        <v>0.68</v>
      </c>
      <c r="H58" s="115">
        <v>0.41</v>
      </c>
      <c r="I58" s="115">
        <v>0.61</v>
      </c>
      <c r="J58" s="115">
        <v>-0.2</v>
      </c>
      <c r="K58" s="116">
        <f>ROUND(L58+M58,2)</f>
        <v>0.69</v>
      </c>
      <c r="L58" s="116">
        <f>ROUND(I58*Q58,2)</f>
        <v>0.73</v>
      </c>
      <c r="M58" s="117">
        <f>ROUND(I58*R58,2)</f>
        <v>-0.04</v>
      </c>
      <c r="N58" s="116">
        <f>ROUND(O58+P58,2)</f>
        <v>1.39</v>
      </c>
      <c r="O58" s="116">
        <f>ROUND(T58,2)</f>
        <v>1.43</v>
      </c>
      <c r="P58" s="117">
        <f>ROUND(I58*R58,2)</f>
        <v>-0.04</v>
      </c>
      <c r="Q58" s="1633">
        <f t="shared" ref="Q58:Q63" si="72">$Q$49</f>
        <v>1.2032115437243385</v>
      </c>
      <c r="R58" s="1633">
        <f t="shared" ref="R58:R63" si="73">$R$49</f>
        <v>-6.0513892021273892E-2</v>
      </c>
      <c r="T58" s="2054">
        <f>'MODELO IMP'!C136</f>
        <v>1.4286605609718894</v>
      </c>
      <c r="U58" s="2060">
        <f t="shared" ref="U58:U63" si="74">O58-T58</f>
        <v>1.3394390281105117E-3</v>
      </c>
      <c r="Y58" s="38"/>
    </row>
    <row r="59" spans="2:25" s="73" customFormat="1">
      <c r="B59" s="108" t="s">
        <v>275</v>
      </c>
      <c r="C59" s="95"/>
      <c r="D59" s="114">
        <v>0.87</v>
      </c>
      <c r="E59" s="114">
        <v>0.74</v>
      </c>
      <c r="F59" s="114">
        <v>0.13</v>
      </c>
      <c r="G59" s="114">
        <v>0.74</v>
      </c>
      <c r="H59" s="115">
        <v>0.46</v>
      </c>
      <c r="I59" s="115">
        <v>0.67</v>
      </c>
      <c r="J59" s="115">
        <v>-0.21</v>
      </c>
      <c r="K59" s="116">
        <f t="shared" ref="K59:K63" si="75">ROUND(L59+M59,2)</f>
        <v>0.77</v>
      </c>
      <c r="L59" s="116">
        <f t="shared" ref="L59:L63" si="76">ROUND(I59*Q59,2)</f>
        <v>0.81</v>
      </c>
      <c r="M59" s="117">
        <f t="shared" ref="M59:M63" si="77">ROUND(I59*R59,2)</f>
        <v>-0.04</v>
      </c>
      <c r="N59" s="116">
        <f t="shared" ref="N59:N62" si="78">ROUND(O59+P59,2)</f>
        <v>1.45</v>
      </c>
      <c r="O59" s="116">
        <f t="shared" ref="O59:O62" si="79">ROUND(T59,2)</f>
        <v>1.49</v>
      </c>
      <c r="P59" s="117">
        <f t="shared" ref="P59:P62" si="80">ROUND(I59*R59,2)</f>
        <v>-0.04</v>
      </c>
      <c r="Q59" s="1633">
        <f t="shared" si="72"/>
        <v>1.2032115437243385</v>
      </c>
      <c r="R59" s="1633">
        <f t="shared" si="73"/>
        <v>-6.0513892021273892E-2</v>
      </c>
      <c r="T59" s="2054">
        <f>'MODELO IMP'!C176</f>
        <v>1.4917870182292337</v>
      </c>
      <c r="U59" s="2060">
        <f t="shared" si="74"/>
        <v>-1.7870182292336612E-3</v>
      </c>
      <c r="Y59" s="38"/>
    </row>
    <row r="60" spans="2:25">
      <c r="B60" s="108" t="s">
        <v>276</v>
      </c>
      <c r="C60" s="95"/>
      <c r="D60" s="114">
        <v>0.83</v>
      </c>
      <c r="E60" s="114">
        <v>0.71</v>
      </c>
      <c r="F60" s="114">
        <v>0.12</v>
      </c>
      <c r="G60" s="114">
        <v>0.71</v>
      </c>
      <c r="H60" s="115">
        <v>0.43</v>
      </c>
      <c r="I60" s="115">
        <v>0.64</v>
      </c>
      <c r="J60" s="115">
        <v>-0.21</v>
      </c>
      <c r="K60" s="116">
        <f t="shared" si="75"/>
        <v>0.73</v>
      </c>
      <c r="L60" s="116">
        <f t="shared" si="76"/>
        <v>0.77</v>
      </c>
      <c r="M60" s="117">
        <f t="shared" si="77"/>
        <v>-0.04</v>
      </c>
      <c r="N60" s="116">
        <f t="shared" si="78"/>
        <v>1.52</v>
      </c>
      <c r="O60" s="116">
        <f t="shared" si="79"/>
        <v>1.56</v>
      </c>
      <c r="P60" s="117">
        <f t="shared" si="80"/>
        <v>-0.04</v>
      </c>
      <c r="Q60" s="1633">
        <f t="shared" si="72"/>
        <v>1.2032115437243385</v>
      </c>
      <c r="R60" s="1633">
        <f t="shared" si="73"/>
        <v>-6.0513892021273892E-2</v>
      </c>
      <c r="T60" s="2054">
        <f>'MODELO IMP'!C242</f>
        <v>1.5629907018895342</v>
      </c>
      <c r="U60" s="2060">
        <f t="shared" si="74"/>
        <v>-2.9907018895340975E-3</v>
      </c>
    </row>
    <row r="61" spans="2:25">
      <c r="B61" s="108" t="s">
        <v>277</v>
      </c>
      <c r="C61" s="95"/>
      <c r="D61" s="114">
        <v>0.87</v>
      </c>
      <c r="E61" s="114">
        <v>0.74</v>
      </c>
      <c r="F61" s="114">
        <v>0.13</v>
      </c>
      <c r="G61" s="114">
        <v>0.74</v>
      </c>
      <c r="H61" s="115">
        <v>0.46</v>
      </c>
      <c r="I61" s="115">
        <v>0.67</v>
      </c>
      <c r="J61" s="115">
        <v>-0.21</v>
      </c>
      <c r="K61" s="116">
        <f t="shared" si="75"/>
        <v>0.77</v>
      </c>
      <c r="L61" s="116">
        <f t="shared" si="76"/>
        <v>0.81</v>
      </c>
      <c r="M61" s="117">
        <f t="shared" si="77"/>
        <v>-0.04</v>
      </c>
      <c r="N61" s="116">
        <f t="shared" si="78"/>
        <v>1.58</v>
      </c>
      <c r="O61" s="116">
        <f t="shared" si="79"/>
        <v>1.62</v>
      </c>
      <c r="P61" s="117">
        <f t="shared" si="80"/>
        <v>-0.04</v>
      </c>
      <c r="Q61" s="1633">
        <f t="shared" si="72"/>
        <v>1.2032115437243385</v>
      </c>
      <c r="R61" s="1633">
        <f t="shared" si="73"/>
        <v>-6.0513892021273892E-2</v>
      </c>
      <c r="T61" s="2054">
        <f>'MODELO IMP'!C279</f>
        <v>1.6162418052370313</v>
      </c>
      <c r="U61" s="2060">
        <f t="shared" si="74"/>
        <v>3.7581947629687917E-3</v>
      </c>
    </row>
    <row r="62" spans="2:25">
      <c r="B62" s="108" t="s">
        <v>278</v>
      </c>
      <c r="C62" s="95"/>
      <c r="D62" s="114">
        <v>0.94</v>
      </c>
      <c r="E62" s="114">
        <v>0.8</v>
      </c>
      <c r="F62" s="114">
        <v>0.14000000000000001</v>
      </c>
      <c r="G62" s="114">
        <v>0.8</v>
      </c>
      <c r="H62" s="115">
        <v>0.49</v>
      </c>
      <c r="I62" s="115">
        <v>0.72</v>
      </c>
      <c r="J62" s="115">
        <v>-0.23</v>
      </c>
      <c r="K62" s="116">
        <f t="shared" si="75"/>
        <v>0.83</v>
      </c>
      <c r="L62" s="116">
        <f t="shared" si="76"/>
        <v>0.87</v>
      </c>
      <c r="M62" s="117">
        <f t="shared" si="77"/>
        <v>-0.04</v>
      </c>
      <c r="N62" s="116">
        <f t="shared" si="78"/>
        <v>1.8</v>
      </c>
      <c r="O62" s="116">
        <f t="shared" si="79"/>
        <v>1.84</v>
      </c>
      <c r="P62" s="117">
        <f t="shared" si="80"/>
        <v>-0.04</v>
      </c>
      <c r="Q62" s="1633">
        <f t="shared" si="72"/>
        <v>1.2032115437243385</v>
      </c>
      <c r="R62" s="1633">
        <f t="shared" si="73"/>
        <v>-6.0513892021273892E-2</v>
      </c>
      <c r="T62" s="2054">
        <f>'MODELO IMP'!C346</f>
        <v>1.8429087877228809</v>
      </c>
      <c r="U62" s="2060">
        <f t="shared" si="74"/>
        <v>-2.9087877228808345E-3</v>
      </c>
    </row>
    <row r="63" spans="2:25">
      <c r="B63" s="108" t="s">
        <v>279</v>
      </c>
      <c r="C63" s="95"/>
      <c r="D63" s="114">
        <v>0.96</v>
      </c>
      <c r="E63" s="114">
        <v>0.82</v>
      </c>
      <c r="F63" s="114">
        <v>0.14000000000000001</v>
      </c>
      <c r="G63" s="114">
        <v>0.82</v>
      </c>
      <c r="H63" s="115">
        <v>0.5</v>
      </c>
      <c r="I63" s="115">
        <v>0.74</v>
      </c>
      <c r="J63" s="115">
        <v>-0.24</v>
      </c>
      <c r="K63" s="116">
        <f t="shared" si="75"/>
        <v>0.85</v>
      </c>
      <c r="L63" s="116">
        <f t="shared" si="76"/>
        <v>0.89</v>
      </c>
      <c r="M63" s="117">
        <f t="shared" si="77"/>
        <v>-0.04</v>
      </c>
      <c r="N63" s="116">
        <f t="shared" ref="N63" si="81">ROUND(O63+P63,2)</f>
        <v>1.82</v>
      </c>
      <c r="O63" s="116">
        <f t="shared" ref="O63" si="82">ROUND(T63,2)</f>
        <v>1.86</v>
      </c>
      <c r="P63" s="117">
        <f t="shared" ref="P63" si="83">ROUND(I63*R63,2)</f>
        <v>-0.04</v>
      </c>
      <c r="Q63" s="1633">
        <f t="shared" si="72"/>
        <v>1.2032115437243385</v>
      </c>
      <c r="R63" s="1633">
        <f t="shared" si="73"/>
        <v>-6.0513892021273892E-2</v>
      </c>
      <c r="T63" s="2054">
        <f>'MODELO IMP'!C383</f>
        <v>1.8563164933391338</v>
      </c>
      <c r="U63" s="2060">
        <f t="shared" si="74"/>
        <v>3.6835066608662537E-3</v>
      </c>
    </row>
    <row r="64" spans="2:25" ht="21">
      <c r="B64" s="94" t="s">
        <v>334</v>
      </c>
      <c r="C64" s="95"/>
      <c r="D64" s="104"/>
      <c r="E64" s="104"/>
      <c r="F64" s="104"/>
      <c r="G64" s="104"/>
      <c r="H64" s="105"/>
      <c r="I64" s="105"/>
      <c r="J64" s="105"/>
      <c r="K64" s="106"/>
      <c r="L64" s="106"/>
      <c r="M64" s="107"/>
      <c r="N64" s="106"/>
      <c r="O64" s="106"/>
      <c r="P64" s="107"/>
      <c r="Q64" s="1631" t="s">
        <v>209</v>
      </c>
      <c r="R64" s="1631"/>
      <c r="T64" s="2054"/>
      <c r="U64" s="2054"/>
    </row>
    <row r="65" spans="2:25" s="73" customFormat="1">
      <c r="B65" s="100" t="s">
        <v>290</v>
      </c>
      <c r="C65" s="95" t="s">
        <v>259</v>
      </c>
      <c r="D65" s="114"/>
      <c r="E65" s="114"/>
      <c r="F65" s="114"/>
      <c r="G65" s="114"/>
      <c r="H65" s="115"/>
      <c r="I65" s="115"/>
      <c r="J65" s="115"/>
      <c r="K65" s="116"/>
      <c r="L65" s="116"/>
      <c r="M65" s="117"/>
      <c r="N65" s="116"/>
      <c r="O65" s="116"/>
      <c r="P65" s="117"/>
      <c r="Q65" s="1632" t="s">
        <v>210</v>
      </c>
      <c r="R65" s="1632" t="s">
        <v>211</v>
      </c>
      <c r="T65" s="2054"/>
      <c r="U65" s="2054"/>
      <c r="Y65" s="38"/>
    </row>
    <row r="66" spans="2:25" s="73" customFormat="1">
      <c r="B66" s="2061" t="s">
        <v>1526</v>
      </c>
      <c r="C66" s="95"/>
      <c r="D66" s="104">
        <v>5.1599999999999997E-3</v>
      </c>
      <c r="E66" s="104">
        <v>3.0300000000000001E-3</v>
      </c>
      <c r="F66" s="104">
        <v>2.1299999999999999E-3</v>
      </c>
      <c r="G66" s="104">
        <v>3.0300000000000001E-3</v>
      </c>
      <c r="H66" s="105">
        <v>3.8899999999999998E-3</v>
      </c>
      <c r="I66" s="105">
        <v>3.9699999999999996E-3</v>
      </c>
      <c r="J66" s="105">
        <v>-8.0000000000000007E-5</v>
      </c>
      <c r="K66" s="106">
        <f t="shared" ref="K66" si="84">ROUND(L66+M66,5)</f>
        <v>7.5300000000000002E-3</v>
      </c>
      <c r="L66" s="106">
        <f t="shared" ref="L66" si="85">ROUND(I66*Q66,5)</f>
        <v>5.1900000000000002E-3</v>
      </c>
      <c r="M66" s="107">
        <f t="shared" ref="M66" si="86">ROUND(I66*R66,5)</f>
        <v>2.3400000000000001E-3</v>
      </c>
      <c r="N66" s="106">
        <f t="shared" ref="N66" si="87">ROUND(O66+P66,5)</f>
        <v>7.26E-3</v>
      </c>
      <c r="O66" s="106">
        <f t="shared" ref="O66" si="88">ROUND(T66,5)</f>
        <v>4.9199999999999999E-3</v>
      </c>
      <c r="P66" s="107">
        <f t="shared" ref="P66" si="89">ROUND(I66*R66,5)</f>
        <v>2.3400000000000001E-3</v>
      </c>
      <c r="Q66" s="1633">
        <f>AjPTran400!$E$23</f>
        <v>1.3078711940393553</v>
      </c>
      <c r="R66" s="1633">
        <f>AjPTran400!$E$24</f>
        <v>0.58818396792289618</v>
      </c>
      <c r="T66" s="2054">
        <f>'MODELO IMP'!C20</f>
        <v>4.92136347216108E-3</v>
      </c>
      <c r="U66" s="2059">
        <f t="shared" ref="U66:U74" si="90">O66-T66</f>
        <v>-1.3634721610800843E-6</v>
      </c>
      <c r="Y66" s="38"/>
    </row>
    <row r="67" spans="2:25" s="73" customFormat="1">
      <c r="B67" s="108" t="s">
        <v>1525</v>
      </c>
      <c r="C67" s="95"/>
      <c r="D67" s="104">
        <v>5.1599999999999997E-3</v>
      </c>
      <c r="E67" s="104">
        <v>3.0300000000000001E-3</v>
      </c>
      <c r="F67" s="104">
        <v>2.1299999999999999E-3</v>
      </c>
      <c r="G67" s="104">
        <v>3.0300000000000001E-3</v>
      </c>
      <c r="H67" s="105">
        <v>3.8899999999999998E-3</v>
      </c>
      <c r="I67" s="105">
        <v>3.9699999999999996E-3</v>
      </c>
      <c r="J67" s="105">
        <v>-8.0000000000000007E-5</v>
      </c>
      <c r="K67" s="106">
        <f t="shared" ref="K67:K74" si="91">ROUND(L67+M67,5)</f>
        <v>7.5300000000000002E-3</v>
      </c>
      <c r="L67" s="106">
        <f t="shared" ref="L67:L74" si="92">ROUND(I67*Q67,5)</f>
        <v>5.1900000000000002E-3</v>
      </c>
      <c r="M67" s="107">
        <f t="shared" ref="M67:M74" si="93">ROUND(I67*R67,5)</f>
        <v>2.3400000000000001E-3</v>
      </c>
      <c r="N67" s="106">
        <f t="shared" ref="N67" si="94">ROUND(O67+P67,5)</f>
        <v>7.3899999999999999E-3</v>
      </c>
      <c r="O67" s="106">
        <f t="shared" ref="O67" si="95">ROUND(T67,5)</f>
        <v>5.0499999999999998E-3</v>
      </c>
      <c r="P67" s="107">
        <f t="shared" ref="P67" si="96">ROUND(I67*R67,5)</f>
        <v>2.3400000000000001E-3</v>
      </c>
      <c r="Q67" s="1633">
        <f>AjPTran400!$E$23</f>
        <v>1.3078711940393553</v>
      </c>
      <c r="R67" s="1633">
        <f>AjPTran400!$E$24</f>
        <v>0.58818396792289618</v>
      </c>
      <c r="T67" s="2054">
        <f>'MODELO IMP'!C45</f>
        <v>5.052066316282776E-3</v>
      </c>
      <c r="U67" s="2059">
        <f t="shared" si="90"/>
        <v>-2.0663162827762316E-6</v>
      </c>
      <c r="Y67" s="38"/>
    </row>
    <row r="68" spans="2:25" s="73" customFormat="1">
      <c r="B68" s="103" t="s">
        <v>1176</v>
      </c>
      <c r="C68" s="95"/>
      <c r="D68" s="104">
        <v>5.1599999999999997E-3</v>
      </c>
      <c r="E68" s="104">
        <v>3.0300000000000001E-3</v>
      </c>
      <c r="F68" s="104">
        <v>2.1299999999999999E-3</v>
      </c>
      <c r="G68" s="104">
        <v>3.0300000000000001E-3</v>
      </c>
      <c r="H68" s="105">
        <v>3.8899999999999998E-3</v>
      </c>
      <c r="I68" s="105">
        <v>3.9699999999999996E-3</v>
      </c>
      <c r="J68" s="105">
        <v>-8.0000000000000007E-5</v>
      </c>
      <c r="K68" s="106">
        <f t="shared" si="91"/>
        <v>7.5300000000000002E-3</v>
      </c>
      <c r="L68" s="106">
        <f t="shared" si="92"/>
        <v>5.1900000000000002E-3</v>
      </c>
      <c r="M68" s="107">
        <f t="shared" si="93"/>
        <v>2.3400000000000001E-3</v>
      </c>
      <c r="N68" s="106">
        <f t="shared" ref="N68:N74" si="97">ROUND(O68+P68,5)</f>
        <v>7.26E-3</v>
      </c>
      <c r="O68" s="106">
        <f t="shared" ref="O68:O74" si="98">ROUND(T68,5)</f>
        <v>4.9199999999999999E-3</v>
      </c>
      <c r="P68" s="107">
        <f t="shared" ref="P68:P74" si="99">ROUND(I68*R68,5)</f>
        <v>2.3400000000000001E-3</v>
      </c>
      <c r="Q68" s="1633">
        <f t="shared" ref="Q68:Q74" si="100">$Q$67</f>
        <v>1.3078711940393553</v>
      </c>
      <c r="R68" s="1633">
        <f t="shared" ref="R68:R74" si="101">$R$67</f>
        <v>0.58818396792289618</v>
      </c>
      <c r="T68" s="2054">
        <f>'MODELO IMP'!C105</f>
        <v>4.92136347216108E-3</v>
      </c>
      <c r="U68" s="2059">
        <f t="shared" si="90"/>
        <v>-1.3634721610800843E-6</v>
      </c>
      <c r="Y68" s="38"/>
    </row>
    <row r="69" spans="2:25" s="73" customFormat="1">
      <c r="B69" s="108" t="s">
        <v>274</v>
      </c>
      <c r="C69" s="95"/>
      <c r="D69" s="104">
        <v>4.9899999999999996E-3</v>
      </c>
      <c r="E69" s="104">
        <v>2.9299999999999999E-3</v>
      </c>
      <c r="F69" s="104">
        <v>2.0600000000000002E-3</v>
      </c>
      <c r="G69" s="104">
        <v>2.9299999999999999E-3</v>
      </c>
      <c r="H69" s="105">
        <v>3.7599999999999999E-3</v>
      </c>
      <c r="I69" s="105">
        <v>3.8400000000000001E-3</v>
      </c>
      <c r="J69" s="105">
        <v>-8.0000000000000007E-5</v>
      </c>
      <c r="K69" s="106">
        <f t="shared" si="91"/>
        <v>7.28E-3</v>
      </c>
      <c r="L69" s="106">
        <f t="shared" si="92"/>
        <v>5.0200000000000002E-3</v>
      </c>
      <c r="M69" s="107">
        <f t="shared" si="93"/>
        <v>2.2599999999999999E-3</v>
      </c>
      <c r="N69" s="106">
        <f t="shared" si="97"/>
        <v>6.8999999999999999E-3</v>
      </c>
      <c r="O69" s="106">
        <f t="shared" si="98"/>
        <v>4.64E-3</v>
      </c>
      <c r="P69" s="107">
        <f t="shared" si="99"/>
        <v>2.2599999999999999E-3</v>
      </c>
      <c r="Q69" s="1633">
        <f t="shared" si="100"/>
        <v>1.3078711940393553</v>
      </c>
      <c r="R69" s="1633">
        <f t="shared" si="101"/>
        <v>0.58818396792289618</v>
      </c>
      <c r="T69" s="2054">
        <f>'MODELO IMP'!C138</f>
        <v>4.6442952554459453E-3</v>
      </c>
      <c r="U69" s="2059">
        <f t="shared" si="90"/>
        <v>-4.2952554459452924E-6</v>
      </c>
      <c r="Y69" s="38"/>
    </row>
    <row r="70" spans="2:25" s="73" customFormat="1">
      <c r="B70" s="108" t="s">
        <v>275</v>
      </c>
      <c r="C70" s="95"/>
      <c r="D70" s="104">
        <v>4.9899999999999996E-3</v>
      </c>
      <c r="E70" s="104">
        <v>2.9299999999999999E-3</v>
      </c>
      <c r="F70" s="104">
        <v>2.0600000000000002E-3</v>
      </c>
      <c r="G70" s="104">
        <v>2.9299999999999999E-3</v>
      </c>
      <c r="H70" s="105">
        <v>3.7599999999999999E-3</v>
      </c>
      <c r="I70" s="105">
        <v>3.8400000000000001E-3</v>
      </c>
      <c r="J70" s="105">
        <v>-8.0000000000000007E-5</v>
      </c>
      <c r="K70" s="106">
        <f t="shared" si="91"/>
        <v>7.28E-3</v>
      </c>
      <c r="L70" s="106">
        <f t="shared" si="92"/>
        <v>5.0200000000000002E-3</v>
      </c>
      <c r="M70" s="107">
        <f t="shared" si="93"/>
        <v>2.2599999999999999E-3</v>
      </c>
      <c r="N70" s="106">
        <f t="shared" ref="N70:N72" si="102">ROUND(O70+P70,5)</f>
        <v>6.8999999999999999E-3</v>
      </c>
      <c r="O70" s="106">
        <f t="shared" ref="O70:O72" si="103">ROUND(T70,5)</f>
        <v>4.64E-3</v>
      </c>
      <c r="P70" s="107">
        <f t="shared" ref="P70:P72" si="104">ROUND(I70*R70,5)</f>
        <v>2.2599999999999999E-3</v>
      </c>
      <c r="Q70" s="1633">
        <f t="shared" si="100"/>
        <v>1.3078711940393553</v>
      </c>
      <c r="R70" s="1633">
        <f t="shared" si="101"/>
        <v>0.58818396792289618</v>
      </c>
      <c r="T70" s="2054">
        <f>'MODELO IMP'!C180</f>
        <v>4.6442952554459453E-3</v>
      </c>
      <c r="U70" s="2059">
        <f t="shared" si="90"/>
        <v>-4.2952554459452924E-6</v>
      </c>
      <c r="Y70" s="38"/>
    </row>
    <row r="71" spans="2:25">
      <c r="B71" s="108" t="s">
        <v>276</v>
      </c>
      <c r="C71" s="95"/>
      <c r="D71" s="104">
        <v>4.9899999999999996E-3</v>
      </c>
      <c r="E71" s="104">
        <v>2.9299999999999999E-3</v>
      </c>
      <c r="F71" s="104">
        <v>2.0600000000000002E-3</v>
      </c>
      <c r="G71" s="104">
        <v>2.9299999999999999E-3</v>
      </c>
      <c r="H71" s="105">
        <v>3.7599999999999999E-3</v>
      </c>
      <c r="I71" s="105">
        <v>3.8400000000000001E-3</v>
      </c>
      <c r="J71" s="105">
        <v>-8.0000000000000007E-5</v>
      </c>
      <c r="K71" s="106">
        <f t="shared" si="91"/>
        <v>7.28E-3</v>
      </c>
      <c r="L71" s="106">
        <f t="shared" si="92"/>
        <v>5.0200000000000002E-3</v>
      </c>
      <c r="M71" s="107">
        <f t="shared" si="93"/>
        <v>2.2599999999999999E-3</v>
      </c>
      <c r="N71" s="106">
        <f t="shared" si="102"/>
        <v>6.9100000000000003E-3</v>
      </c>
      <c r="O71" s="106">
        <f t="shared" si="103"/>
        <v>4.6499999999999996E-3</v>
      </c>
      <c r="P71" s="107">
        <f t="shared" si="104"/>
        <v>2.2599999999999999E-3</v>
      </c>
      <c r="Q71" s="1633">
        <f t="shared" si="100"/>
        <v>1.3078711940393553</v>
      </c>
      <c r="R71" s="1633">
        <f t="shared" si="101"/>
        <v>0.58818396792289618</v>
      </c>
      <c r="T71" s="2054">
        <f>'MODELO IMP'!C244</f>
        <v>4.6463780838403457E-3</v>
      </c>
      <c r="U71" s="2059">
        <f t="shared" si="90"/>
        <v>3.6219161596538763E-6</v>
      </c>
    </row>
    <row r="72" spans="2:25">
      <c r="B72" s="108" t="s">
        <v>277</v>
      </c>
      <c r="C72" s="95"/>
      <c r="D72" s="104">
        <v>4.9899999999999996E-3</v>
      </c>
      <c r="E72" s="104">
        <v>2.9299999999999999E-3</v>
      </c>
      <c r="F72" s="104">
        <v>2.0600000000000002E-3</v>
      </c>
      <c r="G72" s="104">
        <v>2.9299999999999999E-3</v>
      </c>
      <c r="H72" s="105">
        <v>3.7599999999999999E-3</v>
      </c>
      <c r="I72" s="105">
        <v>3.8400000000000001E-3</v>
      </c>
      <c r="J72" s="105">
        <v>-8.0000000000000007E-5</v>
      </c>
      <c r="K72" s="106">
        <f t="shared" si="91"/>
        <v>7.28E-3</v>
      </c>
      <c r="L72" s="106">
        <f t="shared" si="92"/>
        <v>5.0200000000000002E-3</v>
      </c>
      <c r="M72" s="107">
        <f t="shared" si="93"/>
        <v>2.2599999999999999E-3</v>
      </c>
      <c r="N72" s="106">
        <f t="shared" si="102"/>
        <v>6.9100000000000003E-3</v>
      </c>
      <c r="O72" s="106">
        <f t="shared" si="103"/>
        <v>4.6499999999999996E-3</v>
      </c>
      <c r="P72" s="107">
        <f t="shared" si="104"/>
        <v>2.2599999999999999E-3</v>
      </c>
      <c r="Q72" s="1633">
        <f t="shared" si="100"/>
        <v>1.3078711940393553</v>
      </c>
      <c r="R72" s="1633">
        <f t="shared" si="101"/>
        <v>0.58818396792289618</v>
      </c>
      <c r="T72" s="2054">
        <f>'MODELO IMP'!C283</f>
        <v>4.6463780838403457E-3</v>
      </c>
      <c r="U72" s="2059">
        <f t="shared" si="90"/>
        <v>3.6219161596538763E-6</v>
      </c>
    </row>
    <row r="73" spans="2:25">
      <c r="B73" s="108" t="s">
        <v>278</v>
      </c>
      <c r="C73" s="95"/>
      <c r="D73" s="104">
        <v>4.9899999999999996E-3</v>
      </c>
      <c r="E73" s="104">
        <v>2.9299999999999999E-3</v>
      </c>
      <c r="F73" s="104">
        <v>2.0600000000000002E-3</v>
      </c>
      <c r="G73" s="104">
        <v>2.9299999999999999E-3</v>
      </c>
      <c r="H73" s="105">
        <v>3.7599999999999999E-3</v>
      </c>
      <c r="I73" s="105">
        <v>3.8400000000000001E-3</v>
      </c>
      <c r="J73" s="105">
        <v>-8.0000000000000007E-5</v>
      </c>
      <c r="K73" s="106">
        <f t="shared" si="91"/>
        <v>7.28E-3</v>
      </c>
      <c r="L73" s="106">
        <f t="shared" si="92"/>
        <v>5.0200000000000002E-3</v>
      </c>
      <c r="M73" s="107">
        <f t="shared" si="93"/>
        <v>2.2599999999999999E-3</v>
      </c>
      <c r="N73" s="106">
        <f t="shared" si="97"/>
        <v>6.8999999999999999E-3</v>
      </c>
      <c r="O73" s="106">
        <f t="shared" si="98"/>
        <v>4.64E-3</v>
      </c>
      <c r="P73" s="107">
        <f t="shared" si="99"/>
        <v>2.2599999999999999E-3</v>
      </c>
      <c r="Q73" s="1633">
        <f t="shared" si="100"/>
        <v>1.3078711940393553</v>
      </c>
      <c r="R73" s="1633">
        <f t="shared" si="101"/>
        <v>0.58818396792289618</v>
      </c>
      <c r="T73" s="2054">
        <f>'MODELO IMP'!C348</f>
        <v>4.6431092347196251E-3</v>
      </c>
      <c r="U73" s="2059">
        <f t="shared" si="90"/>
        <v>-3.1092347196250841E-6</v>
      </c>
    </row>
    <row r="74" spans="2:25">
      <c r="B74" s="108" t="s">
        <v>279</v>
      </c>
      <c r="C74" s="95"/>
      <c r="D74" s="104">
        <v>4.9899999999999996E-3</v>
      </c>
      <c r="E74" s="104">
        <v>2.9299999999999999E-3</v>
      </c>
      <c r="F74" s="104">
        <v>2.0600000000000002E-3</v>
      </c>
      <c r="G74" s="104">
        <v>2.9299999999999999E-3</v>
      </c>
      <c r="H74" s="105">
        <v>3.7599999999999999E-3</v>
      </c>
      <c r="I74" s="105">
        <v>3.8400000000000001E-3</v>
      </c>
      <c r="J74" s="105">
        <v>-8.0000000000000007E-5</v>
      </c>
      <c r="K74" s="106">
        <f t="shared" si="91"/>
        <v>7.28E-3</v>
      </c>
      <c r="L74" s="106">
        <f t="shared" si="92"/>
        <v>5.0200000000000002E-3</v>
      </c>
      <c r="M74" s="107">
        <f t="shared" si="93"/>
        <v>2.2599999999999999E-3</v>
      </c>
      <c r="N74" s="106">
        <f t="shared" si="97"/>
        <v>6.8999999999999999E-3</v>
      </c>
      <c r="O74" s="106">
        <f t="shared" si="98"/>
        <v>4.64E-3</v>
      </c>
      <c r="P74" s="107">
        <f t="shared" si="99"/>
        <v>2.2599999999999999E-3</v>
      </c>
      <c r="Q74" s="1633">
        <f t="shared" si="100"/>
        <v>1.3078711940393553</v>
      </c>
      <c r="R74" s="1633">
        <f t="shared" si="101"/>
        <v>0.58818396792289618</v>
      </c>
      <c r="T74" s="2054">
        <f>'MODELO IMP'!C387</f>
        <v>4.6431092347196251E-3</v>
      </c>
      <c r="U74" s="2059">
        <f t="shared" si="90"/>
        <v>-3.1092347196250841E-6</v>
      </c>
    </row>
    <row r="75" spans="2:25" ht="21">
      <c r="B75" s="94" t="s">
        <v>185</v>
      </c>
      <c r="C75" s="95"/>
      <c r="D75" s="118"/>
      <c r="E75" s="118"/>
      <c r="F75" s="118"/>
      <c r="G75" s="118"/>
      <c r="H75" s="119"/>
      <c r="I75" s="119"/>
      <c r="J75" s="119"/>
      <c r="K75" s="120"/>
      <c r="L75" s="120"/>
      <c r="M75" s="121"/>
      <c r="N75" s="120"/>
      <c r="O75" s="120"/>
      <c r="P75" s="121"/>
      <c r="Q75" s="1631" t="s">
        <v>341</v>
      </c>
      <c r="R75" s="1631"/>
      <c r="T75" s="2054"/>
      <c r="U75" s="2054"/>
    </row>
    <row r="76" spans="2:25">
      <c r="B76" s="100" t="s">
        <v>337</v>
      </c>
      <c r="C76" s="95" t="s">
        <v>338</v>
      </c>
      <c r="D76" s="118"/>
      <c r="E76" s="118"/>
      <c r="F76" s="118"/>
      <c r="G76" s="118"/>
      <c r="H76" s="119"/>
      <c r="I76" s="119"/>
      <c r="J76" s="119"/>
      <c r="K76" s="120"/>
      <c r="L76" s="120"/>
      <c r="M76" s="121"/>
      <c r="N76" s="120"/>
      <c r="O76" s="120"/>
      <c r="P76" s="121"/>
      <c r="Q76" s="1632" t="s">
        <v>201</v>
      </c>
      <c r="R76" s="1632" t="s">
        <v>202</v>
      </c>
      <c r="T76" s="2054"/>
      <c r="U76" s="2054"/>
    </row>
    <row r="77" spans="2:25" s="37" customFormat="1" ht="13.5">
      <c r="B77" s="108"/>
      <c r="C77" s="114" t="s">
        <v>1196</v>
      </c>
      <c r="D77" s="114">
        <v>0</v>
      </c>
      <c r="E77" s="114">
        <v>0</v>
      </c>
      <c r="F77" s="122"/>
      <c r="G77" s="114">
        <v>0</v>
      </c>
      <c r="H77" s="115">
        <v>0</v>
      </c>
      <c r="I77" s="115">
        <v>0</v>
      </c>
      <c r="J77" s="122"/>
      <c r="K77" s="116">
        <f t="shared" ref="K77:K82" si="105">ROUND(L77+M77,2)</f>
        <v>0</v>
      </c>
      <c r="L77" s="116">
        <f t="shared" ref="L77:L82" si="106">ROUND(I77,2)</f>
        <v>0</v>
      </c>
      <c r="M77" s="123"/>
      <c r="N77" s="116">
        <f t="shared" ref="N77:N82" si="107">ROUND(O77+P77,2)</f>
        <v>0</v>
      </c>
      <c r="O77" s="116">
        <f t="shared" ref="O77:O89" si="108">ROUND(T77,2)</f>
        <v>0</v>
      </c>
      <c r="P77" s="123"/>
      <c r="Q77" s="123"/>
      <c r="R77" s="123"/>
      <c r="T77" s="2054">
        <f>0</f>
        <v>0</v>
      </c>
      <c r="U77" s="2060">
        <f t="shared" ref="U77:U82" si="109">O77-T77</f>
        <v>0</v>
      </c>
    </row>
    <row r="78" spans="2:25" s="37" customFormat="1" ht="13.5">
      <c r="B78" s="108"/>
      <c r="C78" s="114" t="s">
        <v>849</v>
      </c>
      <c r="D78" s="114">
        <v>8.9600000000000009</v>
      </c>
      <c r="E78" s="114">
        <v>8.9600000000000009</v>
      </c>
      <c r="F78" s="122"/>
      <c r="G78" s="114">
        <v>8.9600000000000009</v>
      </c>
      <c r="H78" s="115">
        <v>8.9600000000000009</v>
      </c>
      <c r="I78" s="115">
        <v>8.9600000000000009</v>
      </c>
      <c r="J78" s="122"/>
      <c r="K78" s="116">
        <f t="shared" si="105"/>
        <v>8.9600000000000009</v>
      </c>
      <c r="L78" s="116">
        <f t="shared" si="106"/>
        <v>8.9600000000000009</v>
      </c>
      <c r="M78" s="123"/>
      <c r="N78" s="116">
        <f t="shared" si="107"/>
        <v>16</v>
      </c>
      <c r="O78" s="116">
        <f t="shared" si="108"/>
        <v>16</v>
      </c>
      <c r="P78" s="123"/>
      <c r="Q78" s="123"/>
      <c r="R78" s="123"/>
      <c r="T78" s="2054">
        <f>'MODELO IMP'!$C$538</f>
        <v>16</v>
      </c>
      <c r="U78" s="2060">
        <f t="shared" si="109"/>
        <v>0</v>
      </c>
    </row>
    <row r="79" spans="2:25" s="37" customFormat="1" ht="13.5">
      <c r="B79" s="108"/>
      <c r="C79" s="114" t="s">
        <v>850</v>
      </c>
      <c r="D79" s="114">
        <v>11.25</v>
      </c>
      <c r="E79" s="114">
        <v>11.25</v>
      </c>
      <c r="F79" s="122"/>
      <c r="G79" s="114">
        <v>11.25</v>
      </c>
      <c r="H79" s="115">
        <v>11.25</v>
      </c>
      <c r="I79" s="115">
        <v>11.25</v>
      </c>
      <c r="J79" s="122"/>
      <c r="K79" s="116">
        <f t="shared" si="105"/>
        <v>11.25</v>
      </c>
      <c r="L79" s="116">
        <f t="shared" si="106"/>
        <v>11.25</v>
      </c>
      <c r="M79" s="123"/>
      <c r="N79" s="116">
        <f t="shared" si="107"/>
        <v>16</v>
      </c>
      <c r="O79" s="116">
        <f t="shared" si="108"/>
        <v>16</v>
      </c>
      <c r="P79" s="123"/>
      <c r="Q79" s="123"/>
      <c r="R79" s="123"/>
      <c r="T79" s="2054">
        <f>'MODELO IMP'!$C$538</f>
        <v>16</v>
      </c>
      <c r="U79" s="2060">
        <f t="shared" si="109"/>
        <v>0</v>
      </c>
    </row>
    <row r="80" spans="2:25" s="37" customFormat="1" ht="13.5">
      <c r="B80" s="108"/>
      <c r="C80" s="114" t="s">
        <v>851</v>
      </c>
      <c r="D80" s="114">
        <v>12.5</v>
      </c>
      <c r="E80" s="114">
        <v>12.5</v>
      </c>
      <c r="F80" s="122"/>
      <c r="G80" s="114">
        <v>12.5</v>
      </c>
      <c r="H80" s="115">
        <v>12.5</v>
      </c>
      <c r="I80" s="115">
        <v>12.5</v>
      </c>
      <c r="J80" s="122"/>
      <c r="K80" s="116">
        <f t="shared" si="105"/>
        <v>12.5</v>
      </c>
      <c r="L80" s="116">
        <f t="shared" si="106"/>
        <v>12.5</v>
      </c>
      <c r="M80" s="123"/>
      <c r="N80" s="116">
        <f t="shared" si="107"/>
        <v>16</v>
      </c>
      <c r="O80" s="116">
        <f t="shared" si="108"/>
        <v>16</v>
      </c>
      <c r="P80" s="123"/>
      <c r="Q80" s="123"/>
      <c r="R80" s="123"/>
      <c r="T80" s="2054">
        <f>'MODELO IMP'!$C$538</f>
        <v>16</v>
      </c>
      <c r="U80" s="2060">
        <f t="shared" si="109"/>
        <v>0</v>
      </c>
    </row>
    <row r="81" spans="2:25" s="37" customFormat="1" ht="13.5">
      <c r="B81" s="108"/>
      <c r="C81" s="114" t="s">
        <v>852</v>
      </c>
      <c r="D81" s="114">
        <v>13.93</v>
      </c>
      <c r="E81" s="114">
        <v>13.93</v>
      </c>
      <c r="F81" s="122"/>
      <c r="G81" s="114">
        <v>13.93</v>
      </c>
      <c r="H81" s="115">
        <v>13.93</v>
      </c>
      <c r="I81" s="115">
        <v>13.93</v>
      </c>
      <c r="J81" s="122"/>
      <c r="K81" s="116">
        <f t="shared" si="105"/>
        <v>13.93</v>
      </c>
      <c r="L81" s="116">
        <f t="shared" si="106"/>
        <v>13.93</v>
      </c>
      <c r="M81" s="123"/>
      <c r="N81" s="116">
        <f t="shared" si="107"/>
        <v>16</v>
      </c>
      <c r="O81" s="116">
        <f t="shared" si="108"/>
        <v>16</v>
      </c>
      <c r="P81" s="123"/>
      <c r="Q81" s="123"/>
      <c r="R81" s="123"/>
      <c r="T81" s="2054">
        <f>'MODELO IMP'!$C$538</f>
        <v>16</v>
      </c>
      <c r="U81" s="2060">
        <f t="shared" si="109"/>
        <v>0</v>
      </c>
    </row>
    <row r="82" spans="2:25" s="37" customFormat="1" ht="13.5">
      <c r="B82" s="108"/>
      <c r="C82" s="124" t="s">
        <v>1197</v>
      </c>
      <c r="D82" s="114">
        <v>13.93</v>
      </c>
      <c r="E82" s="114">
        <v>13.93</v>
      </c>
      <c r="F82" s="122"/>
      <c r="G82" s="114">
        <v>13.93</v>
      </c>
      <c r="H82" s="115">
        <v>13.93</v>
      </c>
      <c r="I82" s="115">
        <v>13.93</v>
      </c>
      <c r="J82" s="122"/>
      <c r="K82" s="116">
        <f t="shared" si="105"/>
        <v>13.93</v>
      </c>
      <c r="L82" s="116">
        <f t="shared" si="106"/>
        <v>13.93</v>
      </c>
      <c r="M82" s="123"/>
      <c r="N82" s="116">
        <f t="shared" si="107"/>
        <v>16</v>
      </c>
      <c r="O82" s="116">
        <f t="shared" si="108"/>
        <v>16</v>
      </c>
      <c r="P82" s="123"/>
      <c r="Q82" s="123"/>
      <c r="R82" s="123"/>
      <c r="T82" s="2054">
        <f>'MODELO IMP'!$C$538</f>
        <v>16</v>
      </c>
      <c r="U82" s="2060">
        <f t="shared" si="109"/>
        <v>0</v>
      </c>
    </row>
    <row r="83" spans="2:25" s="73" customFormat="1">
      <c r="B83" s="100" t="s">
        <v>891</v>
      </c>
      <c r="C83" s="95"/>
      <c r="D83" s="82"/>
      <c r="E83" s="82"/>
      <c r="F83" s="125"/>
      <c r="G83" s="82"/>
      <c r="H83" s="83"/>
      <c r="I83" s="83"/>
      <c r="J83" s="125"/>
      <c r="K83" s="101"/>
      <c r="L83" s="101"/>
      <c r="M83" s="126"/>
      <c r="N83" s="101"/>
      <c r="O83" s="101"/>
      <c r="P83" s="126"/>
      <c r="Q83" s="126"/>
      <c r="R83" s="126"/>
      <c r="T83" s="2054"/>
      <c r="U83" s="2054"/>
      <c r="Y83" s="38"/>
    </row>
    <row r="84" spans="2:25" s="73" customFormat="1">
      <c r="B84" s="108" t="s">
        <v>274</v>
      </c>
      <c r="C84" s="95" t="s">
        <v>338</v>
      </c>
      <c r="D84" s="114">
        <v>1.7</v>
      </c>
      <c r="E84" s="114">
        <v>1.7</v>
      </c>
      <c r="F84" s="122"/>
      <c r="G84" s="114">
        <v>1.7</v>
      </c>
      <c r="H84" s="115">
        <v>1.7</v>
      </c>
      <c r="I84" s="115">
        <v>1.7</v>
      </c>
      <c r="J84" s="122"/>
      <c r="K84" s="116">
        <f t="shared" ref="K84:K89" si="110">ROUND(L84+M84,2)</f>
        <v>1.7</v>
      </c>
      <c r="L84" s="116">
        <f t="shared" ref="L84:L89" si="111">ROUND(I84,2)</f>
        <v>1.7</v>
      </c>
      <c r="M84" s="123"/>
      <c r="N84" s="116">
        <f t="shared" ref="N84:N89" si="112">ROUND(O84+P84,2)</f>
        <v>2.87</v>
      </c>
      <c r="O84" s="116">
        <f t="shared" si="108"/>
        <v>2.87</v>
      </c>
      <c r="P84" s="123"/>
      <c r="Q84" s="123"/>
      <c r="R84" s="123"/>
      <c r="T84" s="2054">
        <f>'MODELO IMP'!C140</f>
        <v>2.8736374440166181</v>
      </c>
      <c r="U84" s="2060">
        <f t="shared" ref="U84:U89" si="113">O84-T84</f>
        <v>-3.63744401661803E-3</v>
      </c>
      <c r="Y84" s="38"/>
    </row>
    <row r="85" spans="2:25" s="73" customFormat="1">
      <c r="B85" s="108" t="s">
        <v>275</v>
      </c>
      <c r="C85" s="95"/>
      <c r="D85" s="114">
        <v>2.2799999999999998</v>
      </c>
      <c r="E85" s="114">
        <v>2.2799999999999998</v>
      </c>
      <c r="F85" s="122"/>
      <c r="G85" s="114">
        <v>2.2799999999999998</v>
      </c>
      <c r="H85" s="115">
        <v>2.2799999999999998</v>
      </c>
      <c r="I85" s="115">
        <v>2.2799999999999998</v>
      </c>
      <c r="J85" s="122"/>
      <c r="K85" s="116">
        <f t="shared" si="110"/>
        <v>2.2799999999999998</v>
      </c>
      <c r="L85" s="116">
        <f t="shared" si="111"/>
        <v>2.2799999999999998</v>
      </c>
      <c r="M85" s="123"/>
      <c r="N85" s="116">
        <f t="shared" ref="N85:N88" si="114">ROUND(O85+P85,2)</f>
        <v>3</v>
      </c>
      <c r="O85" s="116">
        <f t="shared" ref="O85:O88" si="115">ROUND(T85,2)</f>
        <v>3</v>
      </c>
      <c r="P85" s="123"/>
      <c r="Q85" s="123"/>
      <c r="R85" s="123"/>
      <c r="T85" s="2054">
        <f>'MODELO IMP'!C182</f>
        <v>3.0006113076749066</v>
      </c>
      <c r="U85" s="2060">
        <f t="shared" si="113"/>
        <v>-6.1130767490658044E-4</v>
      </c>
      <c r="Y85" s="38"/>
    </row>
    <row r="86" spans="2:25">
      <c r="B86" s="108" t="s">
        <v>276</v>
      </c>
      <c r="C86" s="95"/>
      <c r="D86" s="114">
        <v>1.91</v>
      </c>
      <c r="E86" s="114">
        <v>1.91</v>
      </c>
      <c r="F86" s="122"/>
      <c r="G86" s="114">
        <v>1.91</v>
      </c>
      <c r="H86" s="115">
        <v>1.91</v>
      </c>
      <c r="I86" s="115">
        <v>1.91</v>
      </c>
      <c r="J86" s="122"/>
      <c r="K86" s="116">
        <f t="shared" si="110"/>
        <v>1.91</v>
      </c>
      <c r="L86" s="116">
        <f t="shared" si="111"/>
        <v>1.91</v>
      </c>
      <c r="M86" s="123"/>
      <c r="N86" s="116">
        <f t="shared" si="114"/>
        <v>2.08</v>
      </c>
      <c r="O86" s="116">
        <f t="shared" si="115"/>
        <v>2.08</v>
      </c>
      <c r="P86" s="123"/>
      <c r="Q86" s="123"/>
      <c r="R86" s="123"/>
      <c r="T86" s="2054">
        <f>'MODELO IMP'!C246</f>
        <v>2.0812926339011164</v>
      </c>
      <c r="U86" s="2060">
        <f t="shared" si="113"/>
        <v>-1.2926339011163357E-3</v>
      </c>
    </row>
    <row r="87" spans="2:25">
      <c r="B87" s="108" t="s">
        <v>277</v>
      </c>
      <c r="C87" s="95"/>
      <c r="D87" s="114">
        <v>2</v>
      </c>
      <c r="E87" s="114">
        <v>2</v>
      </c>
      <c r="F87" s="122"/>
      <c r="G87" s="114">
        <v>2</v>
      </c>
      <c r="H87" s="115">
        <v>2</v>
      </c>
      <c r="I87" s="115">
        <v>2</v>
      </c>
      <c r="J87" s="122"/>
      <c r="K87" s="116">
        <f t="shared" si="110"/>
        <v>2</v>
      </c>
      <c r="L87" s="116">
        <f t="shared" si="111"/>
        <v>2</v>
      </c>
      <c r="M87" s="123"/>
      <c r="N87" s="116">
        <f t="shared" si="114"/>
        <v>2.15</v>
      </c>
      <c r="O87" s="116">
        <f t="shared" si="115"/>
        <v>2.15</v>
      </c>
      <c r="P87" s="123"/>
      <c r="Q87" s="123"/>
      <c r="R87" s="123"/>
      <c r="T87" s="2054">
        <f>'MODELO IMP'!C285</f>
        <v>2.1522022874328148</v>
      </c>
      <c r="U87" s="2060">
        <f t="shared" si="113"/>
        <v>-2.20228743281492E-3</v>
      </c>
    </row>
    <row r="88" spans="2:25">
      <c r="B88" s="108" t="s">
        <v>278</v>
      </c>
      <c r="C88" s="95"/>
      <c r="D88" s="114">
        <v>6.89</v>
      </c>
      <c r="E88" s="114">
        <v>6.89</v>
      </c>
      <c r="F88" s="122"/>
      <c r="G88" s="114">
        <v>6.89</v>
      </c>
      <c r="H88" s="115">
        <v>6.89</v>
      </c>
      <c r="I88" s="115">
        <v>6.89</v>
      </c>
      <c r="J88" s="122"/>
      <c r="K88" s="116">
        <f t="shared" si="110"/>
        <v>6.89</v>
      </c>
      <c r="L88" s="116">
        <f t="shared" si="111"/>
        <v>6.89</v>
      </c>
      <c r="M88" s="123"/>
      <c r="N88" s="116">
        <f t="shared" si="114"/>
        <v>8.18</v>
      </c>
      <c r="O88" s="116">
        <f t="shared" si="115"/>
        <v>8.18</v>
      </c>
      <c r="P88" s="123"/>
      <c r="Q88" s="123"/>
      <c r="R88" s="123"/>
      <c r="T88" s="2054">
        <f>'MODELO IMP'!C350</f>
        <v>8.1800536054785571</v>
      </c>
      <c r="U88" s="2060">
        <f t="shared" si="113"/>
        <v>-5.3605478557372521E-5</v>
      </c>
    </row>
    <row r="89" spans="2:25">
      <c r="B89" s="108" t="s">
        <v>279</v>
      </c>
      <c r="C89" s="95"/>
      <c r="D89" s="114">
        <v>7.01</v>
      </c>
      <c r="E89" s="114">
        <v>7.01</v>
      </c>
      <c r="F89" s="122"/>
      <c r="G89" s="114">
        <v>7.01</v>
      </c>
      <c r="H89" s="115">
        <v>7.01</v>
      </c>
      <c r="I89" s="115">
        <v>7.01</v>
      </c>
      <c r="J89" s="122"/>
      <c r="K89" s="116">
        <f t="shared" si="110"/>
        <v>7.01</v>
      </c>
      <c r="L89" s="116">
        <f t="shared" si="111"/>
        <v>7.01</v>
      </c>
      <c r="M89" s="123"/>
      <c r="N89" s="116">
        <f t="shared" si="112"/>
        <v>8.24</v>
      </c>
      <c r="O89" s="116">
        <f t="shared" si="108"/>
        <v>8.24</v>
      </c>
      <c r="P89" s="123"/>
      <c r="Q89" s="123"/>
      <c r="R89" s="123"/>
      <c r="T89" s="2054">
        <f>'MODELO IMP'!C389</f>
        <v>8.2395659109155197</v>
      </c>
      <c r="U89" s="2060">
        <f t="shared" si="113"/>
        <v>4.3408908448050454E-4</v>
      </c>
    </row>
    <row r="90" spans="2:25">
      <c r="B90" s="100" t="s">
        <v>2103</v>
      </c>
      <c r="C90" s="95" t="s">
        <v>259</v>
      </c>
      <c r="D90" s="104"/>
      <c r="E90" s="104"/>
      <c r="F90" s="127"/>
      <c r="G90" s="104"/>
      <c r="H90" s="105"/>
      <c r="I90" s="105"/>
      <c r="J90" s="127"/>
      <c r="K90" s="106"/>
      <c r="L90" s="106"/>
      <c r="M90" s="128"/>
      <c r="N90" s="106"/>
      <c r="O90" s="106"/>
      <c r="P90" s="128"/>
      <c r="Q90" s="128"/>
      <c r="R90" s="128"/>
      <c r="T90" s="2054"/>
      <c r="U90" s="2054"/>
    </row>
    <row r="91" spans="2:25" s="73" customFormat="1">
      <c r="B91" s="2061" t="s">
        <v>1526</v>
      </c>
      <c r="C91" s="95"/>
      <c r="D91" s="104">
        <v>3.4099999999999998E-2</v>
      </c>
      <c r="E91" s="104">
        <v>3.4099999999999998E-2</v>
      </c>
      <c r="F91" s="127"/>
      <c r="G91" s="104">
        <v>3.4099999999999998E-2</v>
      </c>
      <c r="H91" s="105">
        <v>3.4099999999999998E-2</v>
      </c>
      <c r="I91" s="105">
        <v>3.4099999999999998E-2</v>
      </c>
      <c r="J91" s="127"/>
      <c r="K91" s="106">
        <f t="shared" ref="K91" si="116">ROUND(L91+M91,5)</f>
        <v>3.4099999999999998E-2</v>
      </c>
      <c r="L91" s="106">
        <f t="shared" ref="L91" si="117">ROUND(I91,5)</f>
        <v>3.4099999999999998E-2</v>
      </c>
      <c r="M91" s="128"/>
      <c r="N91" s="106">
        <f t="shared" ref="N91" si="118">ROUND(O91+P91,5)</f>
        <v>1.46E-2</v>
      </c>
      <c r="O91" s="106">
        <f t="shared" ref="O91:O94" si="119">ROUND(T91,5)</f>
        <v>1.46E-2</v>
      </c>
      <c r="P91" s="128"/>
      <c r="Q91" s="128"/>
      <c r="R91" s="128"/>
      <c r="T91" s="2054">
        <f>'MODELO IMP'!C23</f>
        <v>1.4600565439169825E-2</v>
      </c>
      <c r="U91" s="2059">
        <f t="shared" ref="U91:U101" si="120">O91-T91</f>
        <v>-5.654391698247524E-7</v>
      </c>
      <c r="W91" s="78"/>
      <c r="X91" s="78"/>
      <c r="Y91" s="37"/>
    </row>
    <row r="92" spans="2:25" s="73" customFormat="1">
      <c r="B92" s="108" t="s">
        <v>1525</v>
      </c>
      <c r="C92" s="129" t="s">
        <v>1200</v>
      </c>
      <c r="D92" s="104">
        <v>3.4099999999999998E-2</v>
      </c>
      <c r="E92" s="104">
        <v>3.4099999999999998E-2</v>
      </c>
      <c r="F92" s="127"/>
      <c r="G92" s="104">
        <v>3.4099999999999998E-2</v>
      </c>
      <c r="H92" s="105">
        <v>3.4099999999999998E-2</v>
      </c>
      <c r="I92" s="105">
        <v>3.4099999999999998E-2</v>
      </c>
      <c r="J92" s="127"/>
      <c r="K92" s="106">
        <f t="shared" ref="K92:K101" si="121">ROUND(L92+M92,5)</f>
        <v>3.4099999999999998E-2</v>
      </c>
      <c r="L92" s="106">
        <f t="shared" ref="L92:L101" si="122">ROUND(I92,5)</f>
        <v>3.4099999999999998E-2</v>
      </c>
      <c r="M92" s="128"/>
      <c r="N92" s="106">
        <f t="shared" ref="N92:N101" si="123">ROUND(O92+P92,5)</f>
        <v>1.499E-2</v>
      </c>
      <c r="O92" s="106">
        <f t="shared" si="119"/>
        <v>1.499E-2</v>
      </c>
      <c r="P92" s="128"/>
      <c r="Q92" s="128"/>
      <c r="R92" s="128"/>
      <c r="T92" s="2054">
        <f>'MODELO IMP'!C50</f>
        <v>1.4988331032887787E-2</v>
      </c>
      <c r="U92" s="2059">
        <f t="shared" si="120"/>
        <v>1.6689671122130378E-6</v>
      </c>
      <c r="W92" s="78"/>
      <c r="X92" s="78"/>
      <c r="Y92" s="37"/>
    </row>
    <row r="93" spans="2:25" s="73" customFormat="1">
      <c r="B93" s="108" t="s">
        <v>1525</v>
      </c>
      <c r="C93" s="129" t="s">
        <v>1198</v>
      </c>
      <c r="D93" s="104"/>
      <c r="E93" s="104">
        <v>3.4099999999999998E-2</v>
      </c>
      <c r="F93" s="127"/>
      <c r="G93" s="104">
        <v>3.4099999999999998E-2</v>
      </c>
      <c r="H93" s="105">
        <v>3.4099999999999998E-2</v>
      </c>
      <c r="I93" s="105">
        <v>3.4099999999999998E-2</v>
      </c>
      <c r="J93" s="127"/>
      <c r="K93" s="106">
        <f t="shared" ref="K93:K94" si="124">ROUND(L93+M93,5)</f>
        <v>3.4099999999999998E-2</v>
      </c>
      <c r="L93" s="106">
        <f t="shared" ref="L93:L94" si="125">ROUND(I93,5)</f>
        <v>3.4099999999999998E-2</v>
      </c>
      <c r="M93" s="128"/>
      <c r="N93" s="106">
        <f t="shared" ref="N93:N94" si="126">ROUND(O93+P93,5)</f>
        <v>2.6980000000000001E-2</v>
      </c>
      <c r="O93" s="106">
        <f t="shared" si="119"/>
        <v>2.6980000000000001E-2</v>
      </c>
      <c r="P93" s="128"/>
      <c r="Q93" s="128"/>
      <c r="R93" s="128"/>
      <c r="T93" s="2054">
        <f>'MODELO IMP'!C51</f>
        <v>2.6978995859198017E-2</v>
      </c>
      <c r="U93" s="2059">
        <f t="shared" ref="U93:U94" si="127">O93-T93</f>
        <v>1.0041408019835496E-6</v>
      </c>
      <c r="W93" s="78"/>
      <c r="X93" s="78"/>
      <c r="Y93" s="37"/>
    </row>
    <row r="94" spans="2:25" s="73" customFormat="1">
      <c r="B94" s="108" t="s">
        <v>1525</v>
      </c>
      <c r="C94" s="129" t="s">
        <v>1199</v>
      </c>
      <c r="D94" s="104"/>
      <c r="E94" s="104">
        <v>3.4099999999999998E-2</v>
      </c>
      <c r="F94" s="127"/>
      <c r="G94" s="104">
        <v>3.4099999999999998E-2</v>
      </c>
      <c r="H94" s="105">
        <v>3.4099999999999998E-2</v>
      </c>
      <c r="I94" s="105">
        <v>3.4099999999999998E-2</v>
      </c>
      <c r="J94" s="127"/>
      <c r="K94" s="106">
        <f t="shared" si="124"/>
        <v>3.4099999999999998E-2</v>
      </c>
      <c r="L94" s="106">
        <f t="shared" si="125"/>
        <v>3.4099999999999998E-2</v>
      </c>
      <c r="M94" s="128"/>
      <c r="N94" s="106">
        <f t="shared" si="126"/>
        <v>3.1029999999999999E-2</v>
      </c>
      <c r="O94" s="106">
        <f t="shared" si="119"/>
        <v>3.1029999999999999E-2</v>
      </c>
      <c r="P94" s="128"/>
      <c r="Q94" s="128"/>
      <c r="R94" s="128"/>
      <c r="T94" s="2054">
        <f>'MODELO IMP'!C52</f>
        <v>3.1025845238077717E-2</v>
      </c>
      <c r="U94" s="2059">
        <f t="shared" si="127"/>
        <v>4.1547619222814802E-6</v>
      </c>
      <c r="W94" s="78"/>
      <c r="X94" s="78"/>
      <c r="Y94" s="37"/>
    </row>
    <row r="95" spans="2:25" s="73" customFormat="1">
      <c r="B95" s="103" t="s">
        <v>1176</v>
      </c>
      <c r="C95" s="95"/>
      <c r="D95" s="104">
        <v>3.4099999999999998E-2</v>
      </c>
      <c r="E95" s="104">
        <v>3.4099999999999998E-2</v>
      </c>
      <c r="F95" s="127"/>
      <c r="G95" s="104">
        <v>3.4099999999999998E-2</v>
      </c>
      <c r="H95" s="105">
        <v>3.4099999999999998E-2</v>
      </c>
      <c r="I95" s="105">
        <v>3.4099999999999998E-2</v>
      </c>
      <c r="J95" s="127"/>
      <c r="K95" s="106">
        <f t="shared" si="121"/>
        <v>3.4099999999999998E-2</v>
      </c>
      <c r="L95" s="106">
        <f t="shared" si="122"/>
        <v>3.4099999999999998E-2</v>
      </c>
      <c r="M95" s="128"/>
      <c r="N95" s="106">
        <f t="shared" si="123"/>
        <v>2.0250000000000001E-2</v>
      </c>
      <c r="O95" s="106">
        <f>ROUND(T95,5)</f>
        <v>2.0250000000000001E-2</v>
      </c>
      <c r="P95" s="128"/>
      <c r="Q95" s="128"/>
      <c r="R95" s="128"/>
      <c r="T95" s="2054">
        <f>'MODELO IMP'!C110</f>
        <v>2.0248558994201929E-2</v>
      </c>
      <c r="U95" s="2059">
        <f t="shared" si="120"/>
        <v>1.4410057980716873E-6</v>
      </c>
      <c r="Y95" s="37"/>
    </row>
    <row r="96" spans="2:25" s="73" customFormat="1">
      <c r="B96" s="108" t="s">
        <v>274</v>
      </c>
      <c r="C96" s="95"/>
      <c r="D96" s="104">
        <v>4.3970000000000002E-2</v>
      </c>
      <c r="E96" s="104">
        <v>4.3970000000000002E-2</v>
      </c>
      <c r="F96" s="127"/>
      <c r="G96" s="104">
        <v>4.3970000000000002E-2</v>
      </c>
      <c r="H96" s="105">
        <v>4.3970000000000002E-2</v>
      </c>
      <c r="I96" s="105">
        <v>4.3970000000000002E-2</v>
      </c>
      <c r="J96" s="127"/>
      <c r="K96" s="106">
        <f t="shared" si="121"/>
        <v>4.3970000000000002E-2</v>
      </c>
      <c r="L96" s="106">
        <f t="shared" si="122"/>
        <v>4.3970000000000002E-2</v>
      </c>
      <c r="M96" s="128"/>
      <c r="N96" s="106">
        <f t="shared" ref="N96" si="128">ROUND(O96+P96,5)</f>
        <v>6.2390000000000001E-2</v>
      </c>
      <c r="O96" s="106">
        <f t="shared" ref="O96" si="129">ROUND(T96,5)</f>
        <v>6.2390000000000001E-2</v>
      </c>
      <c r="P96" s="128"/>
      <c r="Q96" s="128"/>
      <c r="R96" s="128"/>
      <c r="T96" s="2054">
        <f>'MODELO IMP'!C145</f>
        <v>6.23947006307074E-2</v>
      </c>
      <c r="U96" s="2059">
        <f t="shared" si="120"/>
        <v>-4.7006307073993447E-6</v>
      </c>
      <c r="Y96" s="37"/>
    </row>
    <row r="97" spans="2:25" s="73" customFormat="1">
      <c r="B97" s="108" t="s">
        <v>275</v>
      </c>
      <c r="C97" s="95"/>
      <c r="D97" s="104">
        <v>3.5490000000000001E-2</v>
      </c>
      <c r="E97" s="104">
        <v>3.5490000000000001E-2</v>
      </c>
      <c r="F97" s="127"/>
      <c r="G97" s="104">
        <v>3.5490000000000001E-2</v>
      </c>
      <c r="H97" s="105">
        <v>3.5490000000000001E-2</v>
      </c>
      <c r="I97" s="105">
        <v>3.5490000000000001E-2</v>
      </c>
      <c r="J97" s="127"/>
      <c r="K97" s="106">
        <f t="shared" si="121"/>
        <v>3.5490000000000001E-2</v>
      </c>
      <c r="L97" s="106">
        <f t="shared" si="122"/>
        <v>3.5490000000000001E-2</v>
      </c>
      <c r="M97" s="128"/>
      <c r="N97" s="106">
        <f t="shared" ref="N97:N100" si="130">ROUND(O97+P97,5)</f>
        <v>2.4660000000000001E-2</v>
      </c>
      <c r="O97" s="106">
        <f t="shared" ref="O97:O100" si="131">ROUND(T97,5)</f>
        <v>2.4660000000000001E-2</v>
      </c>
      <c r="P97" s="128"/>
      <c r="Q97" s="128"/>
      <c r="R97" s="128"/>
      <c r="T97" s="2054">
        <f>'MODELO IMP'!C183</f>
        <v>2.4660037842528286E-2</v>
      </c>
      <c r="U97" s="2059">
        <f t="shared" si="120"/>
        <v>-3.7842528284592891E-8</v>
      </c>
      <c r="Y97" s="37"/>
    </row>
    <row r="98" spans="2:25" s="73" customFormat="1">
      <c r="B98" s="108" t="s">
        <v>276</v>
      </c>
      <c r="C98" s="95"/>
      <c r="D98" s="104">
        <v>3.2649999999999998E-2</v>
      </c>
      <c r="E98" s="104">
        <v>3.2649999999999998E-2</v>
      </c>
      <c r="F98" s="127"/>
      <c r="G98" s="104">
        <v>3.2649999999999998E-2</v>
      </c>
      <c r="H98" s="105">
        <v>3.2649999999999998E-2</v>
      </c>
      <c r="I98" s="105">
        <v>3.2649999999999998E-2</v>
      </c>
      <c r="J98" s="127"/>
      <c r="K98" s="106">
        <f t="shared" si="121"/>
        <v>3.2649999999999998E-2</v>
      </c>
      <c r="L98" s="106">
        <f t="shared" si="122"/>
        <v>3.2649999999999998E-2</v>
      </c>
      <c r="M98" s="128"/>
      <c r="N98" s="106">
        <f t="shared" si="130"/>
        <v>3.2620000000000003E-2</v>
      </c>
      <c r="O98" s="106">
        <f t="shared" si="131"/>
        <v>3.2620000000000003E-2</v>
      </c>
      <c r="P98" s="128"/>
      <c r="Q98" s="128"/>
      <c r="R98" s="128"/>
      <c r="T98" s="2054">
        <f>'MODELO IMP'!C248</f>
        <v>3.2620666623732295E-2</v>
      </c>
      <c r="U98" s="2059">
        <f t="shared" si="120"/>
        <v>-6.6662373229137151E-7</v>
      </c>
      <c r="Y98" s="37"/>
    </row>
    <row r="99" spans="2:25" s="73" customFormat="1">
      <c r="B99" s="108" t="s">
        <v>277</v>
      </c>
      <c r="C99" s="95"/>
      <c r="D99" s="104">
        <v>2.5860000000000001E-2</v>
      </c>
      <c r="E99" s="104">
        <v>2.5860000000000001E-2</v>
      </c>
      <c r="F99" s="127"/>
      <c r="G99" s="104">
        <v>2.5860000000000001E-2</v>
      </c>
      <c r="H99" s="105">
        <v>2.5860000000000001E-2</v>
      </c>
      <c r="I99" s="105">
        <v>2.5860000000000001E-2</v>
      </c>
      <c r="J99" s="127"/>
      <c r="K99" s="106">
        <f t="shared" si="121"/>
        <v>2.5860000000000001E-2</v>
      </c>
      <c r="L99" s="106">
        <f t="shared" si="122"/>
        <v>2.5860000000000001E-2</v>
      </c>
      <c r="M99" s="128"/>
      <c r="N99" s="106">
        <f t="shared" si="130"/>
        <v>3.9260000000000003E-2</v>
      </c>
      <c r="O99" s="106">
        <f t="shared" si="131"/>
        <v>3.9260000000000003E-2</v>
      </c>
      <c r="P99" s="128"/>
      <c r="Q99" s="128"/>
      <c r="R99" s="128"/>
      <c r="T99" s="2054">
        <f>'MODELO IMP'!C286</f>
        <v>3.9264067322728503E-2</v>
      </c>
      <c r="U99" s="2059">
        <f t="shared" si="120"/>
        <v>-4.0673227285001334E-6</v>
      </c>
      <c r="Y99" s="37"/>
    </row>
    <row r="100" spans="2:25" s="73" customFormat="1">
      <c r="B100" s="108" t="s">
        <v>278</v>
      </c>
      <c r="C100" s="95"/>
      <c r="D100" s="104">
        <v>1.142E-2</v>
      </c>
      <c r="E100" s="104">
        <v>1.142E-2</v>
      </c>
      <c r="F100" s="127"/>
      <c r="G100" s="104">
        <v>1.142E-2</v>
      </c>
      <c r="H100" s="105">
        <v>1.142E-2</v>
      </c>
      <c r="I100" s="105">
        <v>1.142E-2</v>
      </c>
      <c r="J100" s="127"/>
      <c r="K100" s="106">
        <f t="shared" si="121"/>
        <v>1.142E-2</v>
      </c>
      <c r="L100" s="106">
        <f t="shared" si="122"/>
        <v>1.142E-2</v>
      </c>
      <c r="M100" s="128"/>
      <c r="N100" s="106">
        <f t="shared" si="130"/>
        <v>1.315E-2</v>
      </c>
      <c r="O100" s="106">
        <f t="shared" si="131"/>
        <v>1.315E-2</v>
      </c>
      <c r="P100" s="128"/>
      <c r="Q100" s="128"/>
      <c r="R100" s="128"/>
      <c r="T100" s="2108">
        <f>T101</f>
        <v>1.3154927098616291E-2</v>
      </c>
      <c r="U100" s="2059">
        <f t="shared" si="120"/>
        <v>-4.9270986162905372E-6</v>
      </c>
      <c r="Y100" s="37"/>
    </row>
    <row r="101" spans="2:25" s="73" customFormat="1">
      <c r="B101" s="108" t="s">
        <v>279</v>
      </c>
      <c r="C101" s="95"/>
      <c r="D101" s="104">
        <v>1.158E-2</v>
      </c>
      <c r="E101" s="104">
        <v>1.158E-2</v>
      </c>
      <c r="F101" s="127"/>
      <c r="G101" s="104">
        <v>1.158E-2</v>
      </c>
      <c r="H101" s="105">
        <v>1.158E-2</v>
      </c>
      <c r="I101" s="105">
        <v>1.158E-2</v>
      </c>
      <c r="J101" s="127"/>
      <c r="K101" s="106">
        <f t="shared" si="121"/>
        <v>1.158E-2</v>
      </c>
      <c r="L101" s="106">
        <f t="shared" si="122"/>
        <v>1.158E-2</v>
      </c>
      <c r="M101" s="128"/>
      <c r="N101" s="106">
        <f t="shared" si="123"/>
        <v>1.315E-2</v>
      </c>
      <c r="O101" s="106">
        <f t="shared" ref="O101" si="132">ROUND(T101,5)</f>
        <v>1.315E-2</v>
      </c>
      <c r="P101" s="128"/>
      <c r="Q101" s="128"/>
      <c r="R101" s="128"/>
      <c r="T101" s="2054">
        <f>'MODELO IMP'!C390</f>
        <v>1.3154927098616291E-2</v>
      </c>
      <c r="U101" s="2059">
        <f t="shared" si="120"/>
        <v>-4.9270986162905372E-6</v>
      </c>
      <c r="Y101" s="37"/>
    </row>
    <row r="102" spans="2:25" s="73" customFormat="1">
      <c r="B102" s="100" t="s">
        <v>1387</v>
      </c>
      <c r="C102" s="95" t="s">
        <v>259</v>
      </c>
      <c r="D102" s="104"/>
      <c r="E102" s="104"/>
      <c r="F102" s="104"/>
      <c r="G102" s="104"/>
      <c r="H102" s="105"/>
      <c r="I102" s="105"/>
      <c r="J102" s="105"/>
      <c r="K102" s="106"/>
      <c r="L102" s="106"/>
      <c r="M102" s="107"/>
      <c r="N102" s="106"/>
      <c r="O102" s="106"/>
      <c r="P102" s="107"/>
      <c r="Q102" s="1632" t="s">
        <v>339</v>
      </c>
      <c r="R102" s="1632" t="s">
        <v>340</v>
      </c>
      <c r="T102" s="2054"/>
      <c r="U102" s="2054"/>
      <c r="Y102" s="37"/>
    </row>
    <row r="103" spans="2:25" s="73" customFormat="1">
      <c r="B103" s="103" t="s">
        <v>1176</v>
      </c>
      <c r="C103" s="95"/>
      <c r="D103" s="104">
        <v>8.924E-2</v>
      </c>
      <c r="E103" s="104">
        <v>6.5720000000000001E-2</v>
      </c>
      <c r="F103" s="104">
        <v>2.3519999999999999E-2</v>
      </c>
      <c r="G103" s="104">
        <v>6.5720000000000001E-2</v>
      </c>
      <c r="H103" s="105">
        <v>7.3139999999999997E-2</v>
      </c>
      <c r="I103" s="105">
        <v>6.9220000000000004E-2</v>
      </c>
      <c r="J103" s="105">
        <v>3.9199999999999999E-3</v>
      </c>
      <c r="K103" s="106">
        <f t="shared" ref="K103:K106" si="133">ROUND(L103+M103,5)</f>
        <v>7.1129999999999999E-2</v>
      </c>
      <c r="L103" s="106">
        <f>ROUND(I103*Q103,5)</f>
        <v>6.7000000000000004E-2</v>
      </c>
      <c r="M103" s="107">
        <f>ROUND(I103*R103,5)</f>
        <v>4.13E-3</v>
      </c>
      <c r="N103" s="106">
        <f t="shared" ref="N103" si="134">ROUND(O103+P103,5)</f>
        <v>0.19483</v>
      </c>
      <c r="O103" s="106">
        <f t="shared" ref="O103:O124" si="135">ROUND(T103,5)</f>
        <v>0.18445</v>
      </c>
      <c r="P103" s="2450">
        <f>O103*$W$125</f>
        <v>1.0376409914997149E-2</v>
      </c>
      <c r="Q103" s="1633">
        <f>AjGen500!$E$48</f>
        <v>0.96798174113780089</v>
      </c>
      <c r="R103" s="1633">
        <f>AjGen500!$E$49</f>
        <v>5.9638179243661237E-2</v>
      </c>
      <c r="T103" s="2054">
        <f>'MODELO IMP'!C107</f>
        <v>0.18444802943514918</v>
      </c>
      <c r="U103" s="2059">
        <f t="shared" ref="U103:U106" si="136">O103-T103</f>
        <v>1.9705648508228091E-6</v>
      </c>
      <c r="W103" s="2484"/>
      <c r="X103" s="2484"/>
      <c r="Y103" s="38"/>
    </row>
    <row r="104" spans="2:25" s="73" customFormat="1">
      <c r="B104" s="108" t="s">
        <v>275</v>
      </c>
      <c r="C104" s="95"/>
      <c r="D104" s="104">
        <v>0.11928</v>
      </c>
      <c r="E104" s="104">
        <v>8.7849999999999998E-2</v>
      </c>
      <c r="F104" s="104">
        <v>3.143E-2</v>
      </c>
      <c r="G104" s="104">
        <v>8.7849999999999998E-2</v>
      </c>
      <c r="H104" s="105">
        <v>9.7769999999999996E-2</v>
      </c>
      <c r="I104" s="105">
        <v>9.2530000000000001E-2</v>
      </c>
      <c r="J104" s="105">
        <v>5.2399999999999999E-3</v>
      </c>
      <c r="K104" s="106">
        <f t="shared" si="133"/>
        <v>9.5089999999999994E-2</v>
      </c>
      <c r="L104" s="106">
        <f>ROUND(I104*Q104,5)</f>
        <v>8.9569999999999997E-2</v>
      </c>
      <c r="M104" s="107">
        <f>ROUND(I104*R104,5)</f>
        <v>5.5199999999999997E-3</v>
      </c>
      <c r="N104" s="106">
        <f t="shared" ref="N104:N106" si="137">ROUND(O104+P104,5)</f>
        <v>0.15617</v>
      </c>
      <c r="O104" s="106">
        <f t="shared" ref="O104:O106" si="138">ROUND(T104,5)</f>
        <v>0.14785000000000001</v>
      </c>
      <c r="P104" s="2450">
        <f>O104*$W$125</f>
        <v>8.3174421573994507E-3</v>
      </c>
      <c r="Q104" s="1633">
        <f>AjGen500!$E$48</f>
        <v>0.96798174113780089</v>
      </c>
      <c r="R104" s="1633">
        <f>AjGen500!$E$49</f>
        <v>5.9638179243661237E-2</v>
      </c>
      <c r="T104" s="2054">
        <f>'MODELO IMP'!C184</f>
        <v>0.14784686321998092</v>
      </c>
      <c r="U104" s="2059">
        <f t="shared" si="136"/>
        <v>3.1367800190917894E-6</v>
      </c>
      <c r="W104" s="2484"/>
      <c r="X104" s="2484"/>
      <c r="Y104" s="38"/>
    </row>
    <row r="105" spans="2:25" s="73" customFormat="1">
      <c r="B105" s="108" t="s">
        <v>286</v>
      </c>
      <c r="C105" s="95"/>
      <c r="D105" s="104">
        <v>0.11928</v>
      </c>
      <c r="E105" s="104">
        <v>8.7849999999999998E-2</v>
      </c>
      <c r="F105" s="104">
        <v>3.143E-2</v>
      </c>
      <c r="G105" s="104">
        <v>8.7849999999999998E-2</v>
      </c>
      <c r="H105" s="105">
        <v>9.7769999999999996E-2</v>
      </c>
      <c r="I105" s="105">
        <v>9.2530000000000001E-2</v>
      </c>
      <c r="J105" s="105">
        <v>5.2399999999999999E-3</v>
      </c>
      <c r="K105" s="106">
        <f t="shared" si="133"/>
        <v>9.5089999999999994E-2</v>
      </c>
      <c r="L105" s="106">
        <f>ROUND(I105*Q105,5)</f>
        <v>8.9569999999999997E-2</v>
      </c>
      <c r="M105" s="107">
        <f>ROUND(I105*R105,5)</f>
        <v>5.5199999999999997E-3</v>
      </c>
      <c r="N105" s="106">
        <f t="shared" si="137"/>
        <v>0.16045000000000001</v>
      </c>
      <c r="O105" s="106">
        <f t="shared" si="138"/>
        <v>0.15190000000000001</v>
      </c>
      <c r="P105" s="2450">
        <f>O105*$W$125</f>
        <v>8.5452787535270653E-3</v>
      </c>
      <c r="Q105" s="1633">
        <f>AjGen500!$E$48</f>
        <v>0.96798174113780089</v>
      </c>
      <c r="R105" s="1633">
        <f>AjGen500!$E$49</f>
        <v>5.9638179243661237E-2</v>
      </c>
      <c r="T105" s="2054">
        <f>'MODELO IMP'!$C$287</f>
        <v>0.15189836805693227</v>
      </c>
      <c r="U105" s="2059">
        <f t="shared" si="136"/>
        <v>1.6319430677369517E-6</v>
      </c>
      <c r="W105" s="2484"/>
      <c r="X105" s="2484"/>
      <c r="Y105" s="38"/>
    </row>
    <row r="106" spans="2:25" s="73" customFormat="1">
      <c r="B106" s="108" t="s">
        <v>287</v>
      </c>
      <c r="C106" s="95"/>
      <c r="D106" s="104">
        <v>0.11928</v>
      </c>
      <c r="E106" s="104">
        <v>8.7849999999999998E-2</v>
      </c>
      <c r="F106" s="104">
        <v>3.143E-2</v>
      </c>
      <c r="G106" s="104">
        <v>8.7849999999999998E-2</v>
      </c>
      <c r="H106" s="105">
        <v>9.7769999999999996E-2</v>
      </c>
      <c r="I106" s="105">
        <v>9.2530000000000001E-2</v>
      </c>
      <c r="J106" s="105">
        <v>5.2399999999999999E-3</v>
      </c>
      <c r="K106" s="106">
        <f t="shared" si="133"/>
        <v>9.5089999999999994E-2</v>
      </c>
      <c r="L106" s="106">
        <f>ROUND(I106*Q106,5)</f>
        <v>8.9569999999999997E-2</v>
      </c>
      <c r="M106" s="107">
        <f>ROUND(I106*R106,5)</f>
        <v>5.5199999999999997E-3</v>
      </c>
      <c r="N106" s="106">
        <f t="shared" si="137"/>
        <v>0.14310999999999999</v>
      </c>
      <c r="O106" s="106">
        <f t="shared" si="138"/>
        <v>0.13549</v>
      </c>
      <c r="P106" s="2450">
        <f>O106*$W$125</f>
        <v>7.622118619587768E-3</v>
      </c>
      <c r="Q106" s="1633">
        <f>AjGen500!$E$48</f>
        <v>0.96798174113780089</v>
      </c>
      <c r="R106" s="1633">
        <f>AjGen500!$E$49</f>
        <v>5.9638179243661237E-2</v>
      </c>
      <c r="T106" s="2054">
        <f>'MODELO IMP'!$C$391</f>
        <v>0.13549453522737567</v>
      </c>
      <c r="U106" s="2059">
        <f t="shared" si="136"/>
        <v>-4.5352273756738004E-6</v>
      </c>
      <c r="W106" s="2484"/>
      <c r="X106" s="2484"/>
      <c r="Y106" s="38"/>
    </row>
    <row r="107" spans="2:25" s="73" customFormat="1">
      <c r="B107" s="100" t="s">
        <v>1388</v>
      </c>
      <c r="C107" s="95" t="s">
        <v>259</v>
      </c>
      <c r="D107" s="104"/>
      <c r="E107" s="104"/>
      <c r="F107" s="104"/>
      <c r="G107" s="104"/>
      <c r="H107" s="105"/>
      <c r="I107" s="105"/>
      <c r="J107" s="105"/>
      <c r="K107" s="106"/>
      <c r="L107" s="106"/>
      <c r="M107" s="107"/>
      <c r="N107" s="106"/>
      <c r="O107" s="107"/>
      <c r="P107" s="107"/>
      <c r="Q107" s="1632" t="s">
        <v>344</v>
      </c>
      <c r="R107" s="1632" t="s">
        <v>345</v>
      </c>
      <c r="T107" s="2054"/>
      <c r="U107" s="2054"/>
      <c r="Y107" s="38"/>
    </row>
    <row r="108" spans="2:25" s="73" customFormat="1">
      <c r="B108" s="103" t="s">
        <v>1176</v>
      </c>
      <c r="C108" s="95"/>
      <c r="D108" s="104">
        <v>8.924E-2</v>
      </c>
      <c r="E108" s="104">
        <v>6.5720000000000001E-2</v>
      </c>
      <c r="F108" s="104">
        <v>2.3519999999999999E-2</v>
      </c>
      <c r="G108" s="104">
        <v>6.5720000000000001E-2</v>
      </c>
      <c r="H108" s="105">
        <v>7.3139999999999997E-2</v>
      </c>
      <c r="I108" s="105">
        <v>6.9220000000000004E-2</v>
      </c>
      <c r="J108" s="105">
        <v>3.9199999999999999E-3</v>
      </c>
      <c r="K108" s="106">
        <f t="shared" ref="K108:K111" si="139">ROUND(L108+M108,5)</f>
        <v>7.1129999999999999E-2</v>
      </c>
      <c r="L108" s="106">
        <f>ROUND(I108*Q108,5)</f>
        <v>6.7000000000000004E-2</v>
      </c>
      <c r="M108" s="107">
        <f>ROUND(I108*R108,5)</f>
        <v>4.13E-3</v>
      </c>
      <c r="N108" s="106">
        <f t="shared" ref="N108" si="140">ROUND(O108+P108,5)</f>
        <v>0.1169</v>
      </c>
      <c r="O108" s="106">
        <f t="shared" si="135"/>
        <v>0.11067</v>
      </c>
      <c r="P108" s="2450">
        <f>O108*$W$125</f>
        <v>6.2258459489982904E-3</v>
      </c>
      <c r="Q108" s="1633">
        <f>AjGen500!$E$48</f>
        <v>0.96798174113780089</v>
      </c>
      <c r="R108" s="1633">
        <f>AjGen500!$E$49</f>
        <v>5.9638179243661237E-2</v>
      </c>
      <c r="T108" s="2054">
        <f>'MODELO IMP'!C108</f>
        <v>0.11066881766108949</v>
      </c>
      <c r="U108" s="2059">
        <f t="shared" ref="U108:U111" si="141">O108-T108</f>
        <v>1.1823389105131143E-6</v>
      </c>
      <c r="W108" s="2484"/>
      <c r="X108" s="2484"/>
      <c r="Y108" s="38"/>
    </row>
    <row r="109" spans="2:25" s="73" customFormat="1">
      <c r="B109" s="108" t="s">
        <v>275</v>
      </c>
      <c r="C109" s="95"/>
      <c r="D109" s="104">
        <v>0.11928</v>
      </c>
      <c r="E109" s="104">
        <v>8.7849999999999998E-2</v>
      </c>
      <c r="F109" s="104">
        <v>3.143E-2</v>
      </c>
      <c r="G109" s="104">
        <v>8.7849999999999998E-2</v>
      </c>
      <c r="H109" s="105">
        <v>9.7769999999999996E-2</v>
      </c>
      <c r="I109" s="105">
        <v>9.2530000000000001E-2</v>
      </c>
      <c r="J109" s="105">
        <v>5.2399999999999999E-3</v>
      </c>
      <c r="K109" s="106">
        <f t="shared" si="139"/>
        <v>9.5089999999999994E-2</v>
      </c>
      <c r="L109" s="106">
        <f>ROUND(I109*Q109,5)</f>
        <v>8.9569999999999997E-2</v>
      </c>
      <c r="M109" s="107">
        <f>ROUND(I109*R109,5)</f>
        <v>5.5199999999999997E-3</v>
      </c>
      <c r="N109" s="106">
        <f t="shared" ref="N109:N111" si="142">ROUND(O109+P109,5)</f>
        <v>0.10312</v>
      </c>
      <c r="O109" s="106">
        <f t="shared" ref="O109:O111" si="143">ROUND(T109,5)</f>
        <v>9.7629999999999995E-2</v>
      </c>
      <c r="P109" s="2450">
        <f>O109*$W$125</f>
        <v>5.4922683654170324E-3</v>
      </c>
      <c r="Q109" s="1633">
        <f>AjGen500!$E$48</f>
        <v>0.96798174113780089</v>
      </c>
      <c r="R109" s="1633">
        <f>AjGen500!$E$49</f>
        <v>5.9638179243661237E-2</v>
      </c>
      <c r="T109" s="2054">
        <f>'MODELO IMP'!C185</f>
        <v>9.7625865237320739E-2</v>
      </c>
      <c r="U109" s="2059">
        <f t="shared" si="141"/>
        <v>4.1347626792559433E-6</v>
      </c>
      <c r="W109" s="2484"/>
      <c r="X109" s="2484"/>
      <c r="Y109" s="38"/>
    </row>
    <row r="110" spans="2:25" s="73" customFormat="1">
      <c r="B110" s="108" t="s">
        <v>286</v>
      </c>
      <c r="C110" s="95"/>
      <c r="D110" s="104">
        <v>0.11928</v>
      </c>
      <c r="E110" s="104">
        <v>8.7849999999999998E-2</v>
      </c>
      <c r="F110" s="104">
        <v>3.143E-2</v>
      </c>
      <c r="G110" s="104">
        <v>8.7849999999999998E-2</v>
      </c>
      <c r="H110" s="105">
        <v>9.7769999999999996E-2</v>
      </c>
      <c r="I110" s="105">
        <v>9.2530000000000001E-2</v>
      </c>
      <c r="J110" s="105">
        <v>5.2399999999999999E-3</v>
      </c>
      <c r="K110" s="106">
        <f t="shared" si="139"/>
        <v>9.5089999999999994E-2</v>
      </c>
      <c r="L110" s="106">
        <f>ROUND(I110*Q110,5)</f>
        <v>8.9569999999999997E-2</v>
      </c>
      <c r="M110" s="107">
        <f>ROUND(I110*R110,5)</f>
        <v>5.5199999999999997E-3</v>
      </c>
      <c r="N110" s="106">
        <f t="shared" si="142"/>
        <v>0.10463</v>
      </c>
      <c r="O110" s="106">
        <f t="shared" si="143"/>
        <v>9.9059999999999995E-2</v>
      </c>
      <c r="P110" s="2450">
        <f>O110*$W$125</f>
        <v>5.5727143734324615E-3</v>
      </c>
      <c r="Q110" s="1633">
        <f>AjGen500!$E$48</f>
        <v>0.96798174113780089</v>
      </c>
      <c r="R110" s="1633">
        <f>AjGen500!$E$49</f>
        <v>5.9638179243661237E-2</v>
      </c>
      <c r="T110" s="2054">
        <f>'MODELO IMP'!$C$288</f>
        <v>9.9064153080608008E-2</v>
      </c>
      <c r="U110" s="2059">
        <f t="shared" si="141"/>
        <v>-4.1530806080131155E-6</v>
      </c>
      <c r="W110" s="2484"/>
      <c r="X110" s="2484"/>
      <c r="Y110" s="38"/>
    </row>
    <row r="111" spans="2:25" s="73" customFormat="1">
      <c r="B111" s="108" t="s">
        <v>287</v>
      </c>
      <c r="C111" s="95"/>
      <c r="D111" s="104">
        <v>0.11928</v>
      </c>
      <c r="E111" s="104">
        <v>8.7849999999999998E-2</v>
      </c>
      <c r="F111" s="104">
        <v>3.143E-2</v>
      </c>
      <c r="G111" s="104">
        <v>8.7849999999999998E-2</v>
      </c>
      <c r="H111" s="105">
        <v>9.7769999999999996E-2</v>
      </c>
      <c r="I111" s="105">
        <v>9.2530000000000001E-2</v>
      </c>
      <c r="J111" s="105">
        <v>5.2399999999999999E-3</v>
      </c>
      <c r="K111" s="106">
        <f t="shared" si="139"/>
        <v>9.5089999999999994E-2</v>
      </c>
      <c r="L111" s="106">
        <f>ROUND(I111*Q111,5)</f>
        <v>8.9569999999999997E-2</v>
      </c>
      <c r="M111" s="107">
        <f>ROUND(I111*R111,5)</f>
        <v>5.5199999999999997E-3</v>
      </c>
      <c r="N111" s="106">
        <f t="shared" si="142"/>
        <v>0.10065</v>
      </c>
      <c r="O111" s="106">
        <f t="shared" si="143"/>
        <v>9.529E-2</v>
      </c>
      <c r="P111" s="2450">
        <f>O111*$W$125</f>
        <v>5.3606294432099666E-3</v>
      </c>
      <c r="Q111" s="1633">
        <f>AjGen500!$E$48</f>
        <v>0.96798174113780089</v>
      </c>
      <c r="R111" s="1633">
        <f>AjGen500!$E$49</f>
        <v>5.9638179243661237E-2</v>
      </c>
      <c r="T111" s="2054">
        <f>'MODELO IMP'!$C$392</f>
        <v>9.5286807294048759E-2</v>
      </c>
      <c r="U111" s="2059">
        <f t="shared" si="141"/>
        <v>3.1927059512409928E-6</v>
      </c>
      <c r="W111" s="2484"/>
      <c r="X111" s="2484"/>
      <c r="Y111" s="38"/>
    </row>
    <row r="112" spans="2:25" s="73" customFormat="1">
      <c r="B112" s="100" t="s">
        <v>1389</v>
      </c>
      <c r="C112" s="95" t="s">
        <v>259</v>
      </c>
      <c r="D112" s="104"/>
      <c r="E112" s="104"/>
      <c r="F112" s="104"/>
      <c r="G112" s="104"/>
      <c r="H112" s="105"/>
      <c r="I112" s="105"/>
      <c r="J112" s="105"/>
      <c r="K112" s="106"/>
      <c r="L112" s="106"/>
      <c r="M112" s="107"/>
      <c r="N112" s="106"/>
      <c r="O112" s="106"/>
      <c r="P112" s="107"/>
      <c r="Q112" s="1632"/>
      <c r="R112" s="1632"/>
      <c r="T112" s="2054"/>
      <c r="U112" s="2054"/>
      <c r="Y112" s="38"/>
    </row>
    <row r="113" spans="2:25" s="73" customFormat="1">
      <c r="B113" s="103" t="s">
        <v>1176</v>
      </c>
      <c r="C113" s="95"/>
      <c r="D113" s="104">
        <v>8.924E-2</v>
      </c>
      <c r="E113" s="104">
        <v>6.5720000000000001E-2</v>
      </c>
      <c r="F113" s="104">
        <v>2.3519999999999999E-2</v>
      </c>
      <c r="G113" s="104">
        <v>6.5720000000000001E-2</v>
      </c>
      <c r="H113" s="105">
        <v>7.3139999999999997E-2</v>
      </c>
      <c r="I113" s="105">
        <v>6.9220000000000004E-2</v>
      </c>
      <c r="J113" s="105">
        <v>3.9199999999999999E-3</v>
      </c>
      <c r="K113" s="106">
        <f t="shared" ref="K113:K116" si="144">ROUND(L113+M113,5)</f>
        <v>7.1129999999999999E-2</v>
      </c>
      <c r="L113" s="106">
        <f>ROUND(I113*Q113,5)</f>
        <v>6.7000000000000004E-2</v>
      </c>
      <c r="M113" s="107">
        <f>ROUND(I113*R113,5)</f>
        <v>4.13E-3</v>
      </c>
      <c r="N113" s="106">
        <f t="shared" ref="N113" si="145">ROUND(O113+P113,5)</f>
        <v>3.8969999999999998E-2</v>
      </c>
      <c r="O113" s="106">
        <f>ROUND(T113,5)</f>
        <v>3.6889999999999999E-2</v>
      </c>
      <c r="P113" s="2450">
        <f>O113*$W$125</f>
        <v>2.0752819829994297E-3</v>
      </c>
      <c r="Q113" s="1633">
        <f>AjGen500!$E$48</f>
        <v>0.96798174113780089</v>
      </c>
      <c r="R113" s="1633">
        <f>AjGen500!$E$49</f>
        <v>5.9638179243661237E-2</v>
      </c>
      <c r="T113" s="2054">
        <f>'MODELO IMP'!C109</f>
        <v>3.6889605887029837E-2</v>
      </c>
      <c r="U113" s="2059">
        <f t="shared" ref="U113:U116" si="146">O113-T113</f>
        <v>3.9411297016178626E-7</v>
      </c>
      <c r="W113" s="2484"/>
      <c r="X113" s="2484"/>
      <c r="Y113" s="38"/>
    </row>
    <row r="114" spans="2:25" s="73" customFormat="1">
      <c r="B114" s="108" t="s">
        <v>275</v>
      </c>
      <c r="C114" s="95"/>
      <c r="D114" s="104">
        <v>0.11928</v>
      </c>
      <c r="E114" s="104">
        <v>8.7849999999999998E-2</v>
      </c>
      <c r="F114" s="104">
        <v>3.143E-2</v>
      </c>
      <c r="G114" s="104">
        <v>8.7849999999999998E-2</v>
      </c>
      <c r="H114" s="105">
        <v>9.7769999999999996E-2</v>
      </c>
      <c r="I114" s="105">
        <v>9.2530000000000001E-2</v>
      </c>
      <c r="J114" s="105">
        <v>5.2399999999999999E-3</v>
      </c>
      <c r="K114" s="106">
        <f t="shared" si="144"/>
        <v>9.5089999999999994E-2</v>
      </c>
      <c r="L114" s="106">
        <f>ROUND(I114*Q114,5)</f>
        <v>8.9569999999999997E-2</v>
      </c>
      <c r="M114" s="107">
        <f>ROUND(I114*R114,5)</f>
        <v>5.5199999999999997E-3</v>
      </c>
      <c r="N114" s="106">
        <f t="shared" ref="N114:N116" si="147">ROUND(O114+P114,5)</f>
        <v>4.9579999999999999E-2</v>
      </c>
      <c r="O114" s="106">
        <f t="shared" ref="O114:O116" si="148">ROUND(T114,5)</f>
        <v>4.6940000000000003E-2</v>
      </c>
      <c r="P114" s="2450">
        <f>O114*$W$125</f>
        <v>2.6406542770938805E-3</v>
      </c>
      <c r="Q114" s="1633">
        <f>AjGen500!$E$48</f>
        <v>0.96798174113780089</v>
      </c>
      <c r="R114" s="1633">
        <f>AjGen500!$E$49</f>
        <v>5.9638179243661237E-2</v>
      </c>
      <c r="T114" s="2054">
        <f>'MODELO IMP'!C186</f>
        <v>4.6935512133327272E-2</v>
      </c>
      <c r="U114" s="2059">
        <f t="shared" si="146"/>
        <v>4.4878666727310446E-6</v>
      </c>
      <c r="W114" s="2484"/>
      <c r="X114" s="2484"/>
      <c r="Y114" s="38"/>
    </row>
    <row r="115" spans="2:25" s="73" customFormat="1">
      <c r="B115" s="108" t="s">
        <v>286</v>
      </c>
      <c r="C115" s="95"/>
      <c r="D115" s="104">
        <v>0.11928</v>
      </c>
      <c r="E115" s="104">
        <v>8.7849999999999998E-2</v>
      </c>
      <c r="F115" s="104">
        <v>3.143E-2</v>
      </c>
      <c r="G115" s="104">
        <v>8.7849999999999998E-2</v>
      </c>
      <c r="H115" s="105">
        <v>9.7769999999999996E-2</v>
      </c>
      <c r="I115" s="105">
        <v>9.2530000000000001E-2</v>
      </c>
      <c r="J115" s="105">
        <v>5.2399999999999999E-3</v>
      </c>
      <c r="K115" s="106">
        <f t="shared" si="144"/>
        <v>9.5089999999999994E-2</v>
      </c>
      <c r="L115" s="106">
        <f>ROUND(I115*Q115,5)</f>
        <v>8.9569999999999997E-2</v>
      </c>
      <c r="M115" s="107">
        <f>ROUND(I115*R115,5)</f>
        <v>5.5199999999999997E-3</v>
      </c>
      <c r="N115" s="106">
        <f t="shared" si="147"/>
        <v>4.6510000000000003E-2</v>
      </c>
      <c r="O115" s="106">
        <f t="shared" si="148"/>
        <v>4.403E-2</v>
      </c>
      <c r="P115" s="2450">
        <f>O115*$W$125</f>
        <v>2.4769494635799648E-3</v>
      </c>
      <c r="Q115" s="1633">
        <f>AjGen500!$E$48</f>
        <v>0.96798174113780089</v>
      </c>
      <c r="R115" s="1633">
        <f>AjGen500!$E$49</f>
        <v>5.9638179243661237E-2</v>
      </c>
      <c r="T115" s="2054">
        <f>'MODELO IMP'!$C$289</f>
        <v>4.4028512480270225E-2</v>
      </c>
      <c r="U115" s="2059">
        <f t="shared" si="146"/>
        <v>1.4875197297745113E-6</v>
      </c>
      <c r="W115" s="2484"/>
      <c r="X115" s="2484"/>
      <c r="Y115" s="38"/>
    </row>
    <row r="116" spans="2:25" s="73" customFormat="1">
      <c r="B116" s="108" t="s">
        <v>287</v>
      </c>
      <c r="C116" s="95"/>
      <c r="D116" s="104">
        <v>0.11928</v>
      </c>
      <c r="E116" s="104">
        <v>8.7849999999999998E-2</v>
      </c>
      <c r="F116" s="104">
        <v>3.143E-2</v>
      </c>
      <c r="G116" s="104">
        <v>8.7849999999999998E-2</v>
      </c>
      <c r="H116" s="105">
        <v>9.7769999999999996E-2</v>
      </c>
      <c r="I116" s="105">
        <v>9.2530000000000001E-2</v>
      </c>
      <c r="J116" s="105">
        <v>5.2399999999999999E-3</v>
      </c>
      <c r="K116" s="106">
        <f t="shared" si="144"/>
        <v>9.5089999999999994E-2</v>
      </c>
      <c r="L116" s="106">
        <f>ROUND(I116*Q116,5)</f>
        <v>8.9569999999999997E-2</v>
      </c>
      <c r="M116" s="107">
        <f>ROUND(I116*R116,5)</f>
        <v>5.5199999999999997E-3</v>
      </c>
      <c r="N116" s="106">
        <f t="shared" si="147"/>
        <v>5.8180000000000003E-2</v>
      </c>
      <c r="O116" s="106">
        <f t="shared" si="148"/>
        <v>5.5079999999999997E-2</v>
      </c>
      <c r="P116" s="2450">
        <f>O116*$W$125</f>
        <v>3.0985777073355542E-3</v>
      </c>
      <c r="Q116" s="1633">
        <f>AjGen500!$E$48</f>
        <v>0.96798174113780089</v>
      </c>
      <c r="R116" s="1633">
        <f>AjGen500!$E$49</f>
        <v>5.9638179243661237E-2</v>
      </c>
      <c r="T116" s="2054">
        <f>'MODELO IMP'!$C$393</f>
        <v>5.5079079360721817E-2</v>
      </c>
      <c r="U116" s="2059">
        <f t="shared" si="146"/>
        <v>9.2063927818047953E-7</v>
      </c>
      <c r="W116" s="2484"/>
      <c r="X116" s="2484"/>
      <c r="Y116" s="38"/>
    </row>
    <row r="117" spans="2:25" s="73" customFormat="1">
      <c r="B117" s="100" t="s">
        <v>1390</v>
      </c>
      <c r="C117" s="95" t="s">
        <v>259</v>
      </c>
      <c r="D117" s="104"/>
      <c r="E117" s="104"/>
      <c r="F117" s="104"/>
      <c r="G117" s="104"/>
      <c r="H117" s="105"/>
      <c r="I117" s="105"/>
      <c r="J117" s="105"/>
      <c r="K117" s="106"/>
      <c r="L117" s="106"/>
      <c r="M117" s="107"/>
      <c r="N117" s="106"/>
      <c r="O117" s="106"/>
      <c r="P117" s="107"/>
      <c r="Q117" s="1632" t="s">
        <v>342</v>
      </c>
      <c r="R117" s="1632" t="s">
        <v>343</v>
      </c>
      <c r="T117" s="2054"/>
      <c r="U117" s="2054"/>
      <c r="Y117" s="38"/>
    </row>
    <row r="118" spans="2:25" s="73" customFormat="1">
      <c r="B118" s="2061" t="s">
        <v>1526</v>
      </c>
      <c r="C118" s="129"/>
      <c r="D118" s="104">
        <v>8.924E-2</v>
      </c>
      <c r="E118" s="104">
        <v>6.5720000000000001E-2</v>
      </c>
      <c r="F118" s="104">
        <v>2.3519999999999999E-2</v>
      </c>
      <c r="G118" s="104">
        <v>6.5720000000000001E-2</v>
      </c>
      <c r="H118" s="105">
        <v>7.3139999999999997E-2</v>
      </c>
      <c r="I118" s="105">
        <v>6.9220000000000004E-2</v>
      </c>
      <c r="J118" s="105">
        <v>3.9199999999999999E-3</v>
      </c>
      <c r="K118" s="106">
        <f t="shared" ref="K118" si="149">ROUND(L118+M118,5)</f>
        <v>7.1129999999999999E-2</v>
      </c>
      <c r="L118" s="106">
        <f t="shared" ref="L118" si="150">ROUND(I118*Q118,5)</f>
        <v>6.7000000000000004E-2</v>
      </c>
      <c r="M118" s="107">
        <f t="shared" ref="M118" si="151">ROUND(I118*R118,5)</f>
        <v>4.13E-3</v>
      </c>
      <c r="N118" s="106">
        <f t="shared" ref="N118" si="152">ROUND(O118+P118,5)</f>
        <v>6.8879999999999997E-2</v>
      </c>
      <c r="O118" s="106">
        <f t="shared" ref="O118" si="153">ROUND(T118,5)</f>
        <v>6.4750000000000002E-2</v>
      </c>
      <c r="P118" s="107">
        <f t="shared" ref="P118" si="154">ROUND(I118*R118,5)</f>
        <v>4.13E-3</v>
      </c>
      <c r="Q118" s="1633">
        <f>AjGen500!$E$48</f>
        <v>0.96798174113780089</v>
      </c>
      <c r="R118" s="1633">
        <f>AjGen500!$E$49</f>
        <v>5.9638179243661237E-2</v>
      </c>
      <c r="T118" s="2054">
        <f>'MODELO IMP'!C22</f>
        <v>6.4746466550597848E-2</v>
      </c>
      <c r="U118" s="2059">
        <f t="shared" ref="U118:U127" si="155">O118-T118</f>
        <v>3.5334494021543872E-6</v>
      </c>
      <c r="Y118" s="38"/>
    </row>
    <row r="119" spans="2:25" s="73" customFormat="1">
      <c r="B119" s="108" t="s">
        <v>1525</v>
      </c>
      <c r="C119" s="129" t="s">
        <v>1200</v>
      </c>
      <c r="D119" s="104">
        <v>8.924E-2</v>
      </c>
      <c r="E119" s="104">
        <v>6.5720000000000001E-2</v>
      </c>
      <c r="F119" s="104">
        <v>2.3519999999999999E-2</v>
      </c>
      <c r="G119" s="104">
        <v>6.5720000000000001E-2</v>
      </c>
      <c r="H119" s="105">
        <v>7.3139999999999997E-2</v>
      </c>
      <c r="I119" s="105">
        <v>6.9220000000000004E-2</v>
      </c>
      <c r="J119" s="105">
        <v>3.9199999999999999E-3</v>
      </c>
      <c r="K119" s="106">
        <f t="shared" ref="K119:K127" si="156">ROUND(L119+M119,5)</f>
        <v>7.1129999999999999E-2</v>
      </c>
      <c r="L119" s="106">
        <f t="shared" ref="L119:L127" si="157">ROUND(I119*Q119,5)</f>
        <v>6.7000000000000004E-2</v>
      </c>
      <c r="M119" s="107">
        <f t="shared" ref="M119:M127" si="158">ROUND(I119*R119,5)</f>
        <v>4.13E-3</v>
      </c>
      <c r="N119" s="106">
        <f t="shared" ref="N119:N124" si="159">ROUND(O119+P119,5)</f>
        <v>7.0209999999999995E-2</v>
      </c>
      <c r="O119" s="106">
        <f t="shared" si="135"/>
        <v>6.6470000000000001E-2</v>
      </c>
      <c r="P119" s="2450">
        <f>O119*$W$125</f>
        <v>3.7393329739759313E-3</v>
      </c>
      <c r="Q119" s="1633">
        <f>AjGen500!$E$48</f>
        <v>0.96798174113780089</v>
      </c>
      <c r="R119" s="1633">
        <f>AjGen500!$E$49</f>
        <v>5.9638179243661237E-2</v>
      </c>
      <c r="T119" s="2054">
        <f>'MODELO IMP'!C47</f>
        <v>6.6466019957466482E-2</v>
      </c>
      <c r="U119" s="2059">
        <f t="shared" si="155"/>
        <v>3.9800425335190237E-6</v>
      </c>
      <c r="W119" s="2484"/>
      <c r="X119" s="2484"/>
      <c r="Y119" s="38"/>
    </row>
    <row r="120" spans="2:25" s="73" customFormat="1">
      <c r="B120" s="108" t="s">
        <v>1525</v>
      </c>
      <c r="C120" s="129" t="s">
        <v>1198</v>
      </c>
      <c r="D120" s="104">
        <v>0.12315</v>
      </c>
      <c r="E120" s="104">
        <v>9.0700000000000003E-2</v>
      </c>
      <c r="F120" s="104">
        <v>3.245E-2</v>
      </c>
      <c r="G120" s="104">
        <v>9.0700000000000003E-2</v>
      </c>
      <c r="H120" s="105">
        <v>0.10095</v>
      </c>
      <c r="I120" s="105">
        <v>9.554E-2</v>
      </c>
      <c r="J120" s="105">
        <v>5.4099999999999999E-3</v>
      </c>
      <c r="K120" s="106">
        <f t="shared" si="156"/>
        <v>9.8180000000000003E-2</v>
      </c>
      <c r="L120" s="106">
        <f t="shared" si="157"/>
        <v>9.2480000000000007E-2</v>
      </c>
      <c r="M120" s="107">
        <f t="shared" si="158"/>
        <v>5.7000000000000002E-3</v>
      </c>
      <c r="N120" s="106">
        <f t="shared" si="159"/>
        <v>0.12637000000000001</v>
      </c>
      <c r="O120" s="106">
        <f t="shared" si="135"/>
        <v>0.11964</v>
      </c>
      <c r="P120" s="2450">
        <f>O120*$W$125</f>
        <v>6.7304618174587093E-3</v>
      </c>
      <c r="Q120" s="1633">
        <f>AjGen500!$E$48</f>
        <v>0.96798174113780089</v>
      </c>
      <c r="R120" s="1633">
        <f>AjGen500!$E$49</f>
        <v>5.9638179243661237E-2</v>
      </c>
      <c r="T120" s="2054">
        <f>'MODELO IMP'!C48</f>
        <v>0.11963883592343967</v>
      </c>
      <c r="U120" s="2059">
        <f t="shared" si="155"/>
        <v>1.1640765603254666E-6</v>
      </c>
      <c r="W120" s="2484"/>
      <c r="X120" s="2484"/>
      <c r="Y120" s="38"/>
    </row>
    <row r="121" spans="2:25" s="73" customFormat="1">
      <c r="B121" s="108" t="s">
        <v>1525</v>
      </c>
      <c r="C121" s="129" t="s">
        <v>1199</v>
      </c>
      <c r="D121" s="104">
        <v>0.15642</v>
      </c>
      <c r="E121" s="104">
        <v>0.1152</v>
      </c>
      <c r="F121" s="104">
        <v>4.122E-2</v>
      </c>
      <c r="G121" s="104">
        <v>0.1152</v>
      </c>
      <c r="H121" s="105">
        <v>0.12820999999999999</v>
      </c>
      <c r="I121" s="105">
        <v>0.12134</v>
      </c>
      <c r="J121" s="105">
        <v>6.8700000000000002E-3</v>
      </c>
      <c r="K121" s="106">
        <f t="shared" si="156"/>
        <v>0.12469</v>
      </c>
      <c r="L121" s="106">
        <f t="shared" si="157"/>
        <v>0.11745</v>
      </c>
      <c r="M121" s="107">
        <f t="shared" si="158"/>
        <v>7.2399999999999999E-3</v>
      </c>
      <c r="N121" s="106">
        <f t="shared" si="159"/>
        <v>0.14532</v>
      </c>
      <c r="O121" s="106">
        <f t="shared" si="135"/>
        <v>0.13758000000000001</v>
      </c>
      <c r="P121" s="2450">
        <f>O121*$W$125</f>
        <v>7.7396935543795498E-3</v>
      </c>
      <c r="Q121" s="1633">
        <f>AjGen500!$E$48</f>
        <v>0.96798174113780089</v>
      </c>
      <c r="R121" s="1633">
        <f>AjGen500!$E$49</f>
        <v>5.9638179243661237E-2</v>
      </c>
      <c r="T121" s="2054">
        <f>'MODELO IMP'!C49</f>
        <v>0.13758466131195562</v>
      </c>
      <c r="U121" s="2059">
        <f t="shared" si="155"/>
        <v>-4.6613119556171423E-6</v>
      </c>
      <c r="W121" s="2484"/>
      <c r="X121" s="2484"/>
      <c r="Y121" s="38"/>
    </row>
    <row r="122" spans="2:25" s="73" customFormat="1">
      <c r="B122" s="108" t="s">
        <v>274</v>
      </c>
      <c r="C122" s="130" t="s">
        <v>637</v>
      </c>
      <c r="D122" s="104">
        <v>0.11447</v>
      </c>
      <c r="E122" s="104">
        <v>8.43E-2</v>
      </c>
      <c r="F122" s="104">
        <v>3.0169999999999999E-2</v>
      </c>
      <c r="G122" s="104">
        <v>8.43E-2</v>
      </c>
      <c r="H122" s="105">
        <v>9.3820000000000001E-2</v>
      </c>
      <c r="I122" s="105">
        <v>8.8789999999999994E-2</v>
      </c>
      <c r="J122" s="105">
        <v>5.0299999999999997E-3</v>
      </c>
      <c r="K122" s="106">
        <f t="shared" si="156"/>
        <v>9.1249999999999998E-2</v>
      </c>
      <c r="L122" s="106">
        <f t="shared" si="157"/>
        <v>8.5949999999999999E-2</v>
      </c>
      <c r="M122" s="107">
        <f t="shared" si="158"/>
        <v>5.3E-3</v>
      </c>
      <c r="N122" s="106">
        <f t="shared" si="159"/>
        <v>8.7970000000000007E-2</v>
      </c>
      <c r="O122" s="106">
        <f t="shared" si="135"/>
        <v>8.2669999999999993E-2</v>
      </c>
      <c r="P122" s="107">
        <f t="shared" ref="P122:P124" si="160">ROUND(I122*R122,5)</f>
        <v>5.3E-3</v>
      </c>
      <c r="Q122" s="1633">
        <f>AjGen500!$E$48</f>
        <v>0.96798174113780089</v>
      </c>
      <c r="R122" s="1633">
        <f>AjGen500!$E$49</f>
        <v>5.9638179243661237E-2</v>
      </c>
      <c r="T122" s="2054">
        <f>'MODELO IMP'!C141</f>
        <v>8.2673583641626247E-2</v>
      </c>
      <c r="U122" s="2059">
        <f t="shared" si="155"/>
        <v>-3.5836416262535753E-6</v>
      </c>
      <c r="Y122" s="38"/>
    </row>
    <row r="123" spans="2:25" s="73" customFormat="1">
      <c r="B123" s="108" t="s">
        <v>274</v>
      </c>
      <c r="C123" s="130" t="s">
        <v>638</v>
      </c>
      <c r="D123" s="104">
        <v>0.12017</v>
      </c>
      <c r="E123" s="104">
        <v>8.8499999999999995E-2</v>
      </c>
      <c r="F123" s="104">
        <v>3.1669999999999997E-2</v>
      </c>
      <c r="G123" s="104">
        <v>8.8499999999999995E-2</v>
      </c>
      <c r="H123" s="105">
        <v>9.8500000000000004E-2</v>
      </c>
      <c r="I123" s="105">
        <v>9.3219999999999997E-2</v>
      </c>
      <c r="J123" s="105">
        <v>5.28E-3</v>
      </c>
      <c r="K123" s="106">
        <f t="shared" si="156"/>
        <v>9.5799999999999996E-2</v>
      </c>
      <c r="L123" s="106">
        <f t="shared" si="157"/>
        <v>9.0240000000000001E-2</v>
      </c>
      <c r="M123" s="107">
        <f t="shared" si="158"/>
        <v>5.5599999999999998E-3</v>
      </c>
      <c r="N123" s="106">
        <f t="shared" si="159"/>
        <v>9.2369999999999994E-2</v>
      </c>
      <c r="O123" s="106">
        <f t="shared" si="135"/>
        <v>8.6809999999999998E-2</v>
      </c>
      <c r="P123" s="107">
        <f t="shared" si="160"/>
        <v>5.5599999999999998E-3</v>
      </c>
      <c r="Q123" s="1633">
        <f>AjGen500!$E$48</f>
        <v>0.96798174113780089</v>
      </c>
      <c r="R123" s="1633">
        <f>AjGen500!$E$49</f>
        <v>5.9638179243661237E-2</v>
      </c>
      <c r="T123" s="2054">
        <f>'MODELO IMP'!C142</f>
        <v>8.6807262823707557E-2</v>
      </c>
      <c r="U123" s="2059">
        <f t="shared" si="155"/>
        <v>2.7371762924416343E-6</v>
      </c>
      <c r="W123" s="2485" t="s">
        <v>1866</v>
      </c>
      <c r="X123" s="2486">
        <f>G504EC1!J375</f>
        <v>8504421.8541369941</v>
      </c>
      <c r="Y123" s="38"/>
    </row>
    <row r="124" spans="2:25" s="73" customFormat="1">
      <c r="B124" s="108" t="s">
        <v>274</v>
      </c>
      <c r="C124" s="130" t="s">
        <v>639</v>
      </c>
      <c r="D124" s="104">
        <v>0.12620999999999999</v>
      </c>
      <c r="E124" s="104">
        <v>9.2950000000000005E-2</v>
      </c>
      <c r="F124" s="104">
        <v>3.3259999999999998E-2</v>
      </c>
      <c r="G124" s="104">
        <v>9.2950000000000005E-2</v>
      </c>
      <c r="H124" s="105">
        <v>0.10345</v>
      </c>
      <c r="I124" s="105">
        <v>9.7909999999999997E-2</v>
      </c>
      <c r="J124" s="105">
        <v>5.5399999999999998E-3</v>
      </c>
      <c r="K124" s="106">
        <f t="shared" si="156"/>
        <v>0.10062</v>
      </c>
      <c r="L124" s="106">
        <f t="shared" si="157"/>
        <v>9.4780000000000003E-2</v>
      </c>
      <c r="M124" s="107">
        <f t="shared" si="158"/>
        <v>5.8399999999999997E-3</v>
      </c>
      <c r="N124" s="106">
        <f t="shared" si="159"/>
        <v>9.6990000000000007E-2</v>
      </c>
      <c r="O124" s="106">
        <f t="shared" si="135"/>
        <v>9.1149999999999995E-2</v>
      </c>
      <c r="P124" s="107">
        <f t="shared" si="160"/>
        <v>5.8399999999999997E-3</v>
      </c>
      <c r="Q124" s="1633">
        <f>AjGen500!$E$48</f>
        <v>0.96798174113780089</v>
      </c>
      <c r="R124" s="1633">
        <f>AjGen500!$E$49</f>
        <v>5.9638179243661237E-2</v>
      </c>
      <c r="T124" s="2054">
        <f>'MODELO IMP'!C143</f>
        <v>9.1147625964892925E-2</v>
      </c>
      <c r="U124" s="2059">
        <f t="shared" si="155"/>
        <v>2.374035107069461E-6</v>
      </c>
      <c r="W124" s="2485" t="s">
        <v>1867</v>
      </c>
      <c r="X124" s="2486">
        <f>G504EC2!J375</f>
        <v>8504421.8541369941</v>
      </c>
      <c r="Y124" s="38"/>
    </row>
    <row r="125" spans="2:25" s="73" customFormat="1">
      <c r="B125" s="108" t="s">
        <v>274</v>
      </c>
      <c r="C125" s="130" t="s">
        <v>640</v>
      </c>
      <c r="D125" s="104">
        <v>0.13252</v>
      </c>
      <c r="E125" s="104">
        <v>9.7600000000000006E-2</v>
      </c>
      <c r="F125" s="104">
        <v>3.492E-2</v>
      </c>
      <c r="G125" s="104">
        <v>9.7600000000000006E-2</v>
      </c>
      <c r="H125" s="105">
        <v>0.10861999999999999</v>
      </c>
      <c r="I125" s="105">
        <v>0.1028</v>
      </c>
      <c r="J125" s="105">
        <v>5.8199999999999997E-3</v>
      </c>
      <c r="K125" s="106">
        <f t="shared" si="156"/>
        <v>0.10564</v>
      </c>
      <c r="L125" s="106">
        <f t="shared" si="157"/>
        <v>9.9510000000000001E-2</v>
      </c>
      <c r="M125" s="107">
        <f t="shared" si="158"/>
        <v>6.13E-3</v>
      </c>
      <c r="N125" s="106">
        <f t="shared" ref="N125:N127" si="161">ROUND(O125+P125,5)</f>
        <v>0.10184</v>
      </c>
      <c r="O125" s="106">
        <f t="shared" ref="O125:O127" si="162">ROUND(T125,5)</f>
        <v>9.5710000000000003E-2</v>
      </c>
      <c r="P125" s="107">
        <f t="shared" ref="P125:P127" si="163">ROUND(I125*R125,5)</f>
        <v>6.13E-3</v>
      </c>
      <c r="Q125" s="1633">
        <f>AjGen500!$E$48</f>
        <v>0.96798174113780089</v>
      </c>
      <c r="R125" s="1633">
        <f>AjGen500!$E$49</f>
        <v>5.9638179243661237E-2</v>
      </c>
      <c r="T125" s="2054">
        <f>'MODELO IMP'!C144</f>
        <v>9.570500726313759E-2</v>
      </c>
      <c r="U125" s="2059">
        <f t="shared" si="155"/>
        <v>4.9927368624136381E-6</v>
      </c>
      <c r="W125" s="2487">
        <v>5.625594966113933E-2</v>
      </c>
      <c r="X125" s="2488">
        <f>X124-X123</f>
        <v>0</v>
      </c>
      <c r="Y125" s="38"/>
    </row>
    <row r="126" spans="2:25">
      <c r="B126" s="108" t="s">
        <v>276</v>
      </c>
      <c r="C126" s="130"/>
      <c r="D126" s="104">
        <v>0.11928</v>
      </c>
      <c r="E126" s="104">
        <v>8.7849999999999998E-2</v>
      </c>
      <c r="F126" s="104">
        <v>3.143E-2</v>
      </c>
      <c r="G126" s="104">
        <v>8.7849999999999998E-2</v>
      </c>
      <c r="H126" s="105">
        <v>9.7769999999999996E-2</v>
      </c>
      <c r="I126" s="105">
        <v>9.2530000000000001E-2</v>
      </c>
      <c r="J126" s="105">
        <v>5.2399999999999999E-3</v>
      </c>
      <c r="K126" s="106">
        <f t="shared" si="156"/>
        <v>9.5089999999999994E-2</v>
      </c>
      <c r="L126" s="106">
        <f t="shared" si="157"/>
        <v>8.9569999999999997E-2</v>
      </c>
      <c r="M126" s="107">
        <f t="shared" si="158"/>
        <v>5.5199999999999997E-3</v>
      </c>
      <c r="N126" s="106">
        <f t="shared" si="161"/>
        <v>9.0969999999999995E-2</v>
      </c>
      <c r="O126" s="106">
        <f t="shared" si="162"/>
        <v>8.5449999999999998E-2</v>
      </c>
      <c r="P126" s="107">
        <f t="shared" si="163"/>
        <v>5.5199999999999997E-3</v>
      </c>
      <c r="Q126" s="1633">
        <f>AjGen500!$E$48</f>
        <v>0.96798174113780089</v>
      </c>
      <c r="R126" s="1633">
        <f>AjGen500!$E$49</f>
        <v>5.9638179243661237E-2</v>
      </c>
      <c r="T126" s="2054">
        <f>'MODELO IMP'!C247</f>
        <v>8.5454324797649472E-2</v>
      </c>
      <c r="U126" s="2059">
        <f t="shared" si="155"/>
        <v>-4.3247976494742435E-6</v>
      </c>
      <c r="Y126" s="60"/>
    </row>
    <row r="127" spans="2:25">
      <c r="B127" s="108" t="s">
        <v>278</v>
      </c>
      <c r="C127" s="130"/>
      <c r="D127" s="104">
        <v>0.11928</v>
      </c>
      <c r="E127" s="104">
        <v>8.7849999999999998E-2</v>
      </c>
      <c r="F127" s="104">
        <v>3.143E-2</v>
      </c>
      <c r="G127" s="104">
        <v>8.7849999999999998E-2</v>
      </c>
      <c r="H127" s="105">
        <v>9.7769999999999996E-2</v>
      </c>
      <c r="I127" s="105">
        <v>9.2530000000000001E-2</v>
      </c>
      <c r="J127" s="105">
        <v>5.2399999999999999E-3</v>
      </c>
      <c r="K127" s="106">
        <f t="shared" si="156"/>
        <v>9.5089999999999994E-2</v>
      </c>
      <c r="L127" s="106">
        <f t="shared" si="157"/>
        <v>8.9569999999999997E-2</v>
      </c>
      <c r="M127" s="107">
        <f t="shared" si="158"/>
        <v>5.5199999999999997E-3</v>
      </c>
      <c r="N127" s="106">
        <f t="shared" si="161"/>
        <v>9.0910000000000005E-2</v>
      </c>
      <c r="O127" s="106">
        <f t="shared" si="162"/>
        <v>8.5389999999999994E-2</v>
      </c>
      <c r="P127" s="107">
        <f t="shared" si="163"/>
        <v>5.5199999999999997E-3</v>
      </c>
      <c r="Q127" s="1633">
        <f>AjGen500!$E$48</f>
        <v>0.96798174113780089</v>
      </c>
      <c r="R127" s="1633">
        <f>AjGen500!$E$49</f>
        <v>5.9638179243661237E-2</v>
      </c>
      <c r="T127" s="2054">
        <f>'MODELO IMP'!C351</f>
        <v>8.5394205433827558E-2</v>
      </c>
      <c r="U127" s="2059">
        <f t="shared" si="155"/>
        <v>-4.205433827564331E-6</v>
      </c>
    </row>
    <row r="128" spans="2:25">
      <c r="B128" s="100" t="s">
        <v>848</v>
      </c>
      <c r="C128" s="95" t="s">
        <v>259</v>
      </c>
      <c r="D128" s="104"/>
      <c r="E128" s="104"/>
      <c r="F128" s="104"/>
      <c r="G128" s="104"/>
      <c r="H128" s="105"/>
      <c r="I128" s="105"/>
      <c r="J128" s="105"/>
      <c r="K128" s="106"/>
      <c r="L128" s="106"/>
      <c r="M128" s="107"/>
      <c r="N128" s="106"/>
      <c r="O128" s="106"/>
      <c r="P128" s="107"/>
      <c r="Q128" s="128"/>
      <c r="R128" s="128"/>
      <c r="T128" s="2054"/>
      <c r="U128" s="2054"/>
    </row>
    <row r="129" spans="2:25" ht="13.15" customHeight="1">
      <c r="B129" s="2061" t="s">
        <v>1526</v>
      </c>
      <c r="C129" s="95"/>
      <c r="D129" s="104">
        <v>0</v>
      </c>
      <c r="E129" s="104">
        <v>0</v>
      </c>
      <c r="F129" s="104">
        <v>0</v>
      </c>
      <c r="G129" s="104">
        <v>0</v>
      </c>
      <c r="H129" s="105">
        <v>0</v>
      </c>
      <c r="I129" s="105">
        <v>0</v>
      </c>
      <c r="J129" s="105">
        <v>0</v>
      </c>
      <c r="K129" s="106">
        <f t="shared" ref="K129" si="164">ROUND(L129+M129,5)</f>
        <v>0</v>
      </c>
      <c r="L129" s="106">
        <f t="shared" ref="L129" si="165">ROUND(I129*Q129,5)</f>
        <v>0</v>
      </c>
      <c r="M129" s="107">
        <f t="shared" ref="M129" si="166">ROUND(I129*R129,5)</f>
        <v>0</v>
      </c>
      <c r="N129" s="106">
        <f t="shared" ref="N129" si="167">ROUND(O129+P129,5)</f>
        <v>0</v>
      </c>
      <c r="O129" s="106">
        <f t="shared" ref="O129" si="168">ROUND(T129,5)</f>
        <v>0</v>
      </c>
      <c r="P129" s="107">
        <f t="shared" ref="P129" si="169">ROUND(I129*R129,5)</f>
        <v>0</v>
      </c>
      <c r="Q129" s="128"/>
      <c r="R129" s="128"/>
      <c r="T129" s="2054">
        <f>'MODELO IMP'!C25</f>
        <v>0</v>
      </c>
      <c r="U129" s="2059">
        <f t="shared" ref="U129:U137" si="170">O129-T129</f>
        <v>0</v>
      </c>
    </row>
    <row r="130" spans="2:25" ht="13.15" customHeight="1">
      <c r="B130" s="108" t="s">
        <v>1525</v>
      </c>
      <c r="C130" s="95"/>
      <c r="D130" s="104">
        <v>0</v>
      </c>
      <c r="E130" s="104">
        <v>0</v>
      </c>
      <c r="F130" s="104">
        <v>0</v>
      </c>
      <c r="G130" s="104">
        <v>0</v>
      </c>
      <c r="H130" s="105">
        <v>0</v>
      </c>
      <c r="I130" s="105">
        <v>0</v>
      </c>
      <c r="J130" s="105">
        <v>0</v>
      </c>
      <c r="K130" s="106">
        <f t="shared" ref="K130:K137" si="171">ROUND(L130+M130,5)</f>
        <v>0</v>
      </c>
      <c r="L130" s="106">
        <f t="shared" ref="L130:L137" si="172">ROUND(I130*Q130,5)</f>
        <v>0</v>
      </c>
      <c r="M130" s="107">
        <f t="shared" ref="M130:M137" si="173">ROUND(I130*R130,5)</f>
        <v>0</v>
      </c>
      <c r="N130" s="106">
        <f t="shared" ref="N130:N132" si="174">ROUND(O130+P130,5)</f>
        <v>0</v>
      </c>
      <c r="O130" s="106">
        <f t="shared" ref="O130:O132" si="175">ROUND(T130,5)</f>
        <v>0</v>
      </c>
      <c r="P130" s="107">
        <f t="shared" ref="P130:P132" si="176">ROUND(I130*R130,5)</f>
        <v>0</v>
      </c>
      <c r="Q130" s="128"/>
      <c r="R130" s="128"/>
      <c r="T130" s="2054">
        <f>'MODELO IMP'!C54</f>
        <v>0</v>
      </c>
      <c r="U130" s="2059">
        <f t="shared" si="170"/>
        <v>0</v>
      </c>
    </row>
    <row r="131" spans="2:25" s="73" customFormat="1">
      <c r="B131" s="103" t="s">
        <v>1176</v>
      </c>
      <c r="C131" s="95"/>
      <c r="D131" s="104">
        <v>0</v>
      </c>
      <c r="E131" s="104">
        <v>0</v>
      </c>
      <c r="F131" s="104">
        <v>0</v>
      </c>
      <c r="G131" s="104">
        <v>0</v>
      </c>
      <c r="H131" s="105">
        <v>0</v>
      </c>
      <c r="I131" s="105">
        <v>0</v>
      </c>
      <c r="J131" s="105">
        <v>0</v>
      </c>
      <c r="K131" s="106">
        <f t="shared" si="171"/>
        <v>0</v>
      </c>
      <c r="L131" s="106">
        <f t="shared" si="172"/>
        <v>0</v>
      </c>
      <c r="M131" s="107">
        <f t="shared" si="173"/>
        <v>0</v>
      </c>
      <c r="N131" s="106">
        <f t="shared" si="174"/>
        <v>0</v>
      </c>
      <c r="O131" s="106">
        <f t="shared" si="175"/>
        <v>0</v>
      </c>
      <c r="P131" s="107">
        <f t="shared" si="176"/>
        <v>0</v>
      </c>
      <c r="Q131" s="128"/>
      <c r="R131" s="128"/>
      <c r="T131" s="2054">
        <f>'MODELO IMP'!C112</f>
        <v>0</v>
      </c>
      <c r="U131" s="2059">
        <f t="shared" si="170"/>
        <v>0</v>
      </c>
      <c r="Y131" s="38"/>
    </row>
    <row r="132" spans="2:25">
      <c r="B132" s="108" t="s">
        <v>274</v>
      </c>
      <c r="C132" s="95"/>
      <c r="D132" s="104">
        <v>0</v>
      </c>
      <c r="E132" s="104">
        <v>0</v>
      </c>
      <c r="F132" s="104">
        <v>0</v>
      </c>
      <c r="G132" s="104">
        <v>0</v>
      </c>
      <c r="H132" s="105">
        <v>0</v>
      </c>
      <c r="I132" s="105">
        <v>0</v>
      </c>
      <c r="J132" s="105">
        <v>0</v>
      </c>
      <c r="K132" s="106">
        <f t="shared" si="171"/>
        <v>0</v>
      </c>
      <c r="L132" s="106">
        <f t="shared" si="172"/>
        <v>0</v>
      </c>
      <c r="M132" s="107">
        <f t="shared" si="173"/>
        <v>0</v>
      </c>
      <c r="N132" s="106">
        <f t="shared" si="174"/>
        <v>0</v>
      </c>
      <c r="O132" s="106">
        <f t="shared" si="175"/>
        <v>0</v>
      </c>
      <c r="P132" s="107">
        <f t="shared" si="176"/>
        <v>0</v>
      </c>
      <c r="Q132" s="128"/>
      <c r="R132" s="128"/>
      <c r="T132" s="2054">
        <f>'MODELO IMP'!C147</f>
        <v>0</v>
      </c>
      <c r="U132" s="2059">
        <f t="shared" si="170"/>
        <v>0</v>
      </c>
    </row>
    <row r="133" spans="2:25">
      <c r="B133" s="108" t="s">
        <v>275</v>
      </c>
      <c r="C133" s="95"/>
      <c r="D133" s="104">
        <v>0</v>
      </c>
      <c r="E133" s="104">
        <v>0</v>
      </c>
      <c r="F133" s="104">
        <v>0</v>
      </c>
      <c r="G133" s="104">
        <v>0</v>
      </c>
      <c r="H133" s="105">
        <v>0</v>
      </c>
      <c r="I133" s="105">
        <v>0</v>
      </c>
      <c r="J133" s="105">
        <v>0</v>
      </c>
      <c r="K133" s="106">
        <f t="shared" si="171"/>
        <v>0</v>
      </c>
      <c r="L133" s="106">
        <f t="shared" si="172"/>
        <v>0</v>
      </c>
      <c r="M133" s="107">
        <f t="shared" si="173"/>
        <v>0</v>
      </c>
      <c r="N133" s="106">
        <f t="shared" ref="N133:N137" si="177">ROUND(O133+P133,5)</f>
        <v>0</v>
      </c>
      <c r="O133" s="106">
        <f t="shared" ref="O133:O137" si="178">ROUND(T133,5)</f>
        <v>0</v>
      </c>
      <c r="P133" s="107">
        <f t="shared" ref="P133:P137" si="179">ROUND(I133*R133,5)</f>
        <v>0</v>
      </c>
      <c r="Q133" s="128"/>
      <c r="R133" s="128"/>
      <c r="T133" s="2054">
        <f>'MODELO IMP'!C188</f>
        <v>0</v>
      </c>
      <c r="U133" s="2059">
        <f t="shared" si="170"/>
        <v>0</v>
      </c>
    </row>
    <row r="134" spans="2:25">
      <c r="B134" s="108" t="s">
        <v>276</v>
      </c>
      <c r="C134" s="95"/>
      <c r="D134" s="104">
        <v>0</v>
      </c>
      <c r="E134" s="104">
        <v>0</v>
      </c>
      <c r="F134" s="104">
        <v>0</v>
      </c>
      <c r="G134" s="104">
        <v>0</v>
      </c>
      <c r="H134" s="105">
        <v>0</v>
      </c>
      <c r="I134" s="105">
        <v>0</v>
      </c>
      <c r="J134" s="105">
        <v>0</v>
      </c>
      <c r="K134" s="106">
        <f t="shared" si="171"/>
        <v>0</v>
      </c>
      <c r="L134" s="106">
        <f t="shared" si="172"/>
        <v>0</v>
      </c>
      <c r="M134" s="107">
        <f t="shared" si="173"/>
        <v>0</v>
      </c>
      <c r="N134" s="106">
        <f t="shared" si="177"/>
        <v>0</v>
      </c>
      <c r="O134" s="106">
        <f t="shared" si="178"/>
        <v>0</v>
      </c>
      <c r="P134" s="107">
        <f t="shared" si="179"/>
        <v>0</v>
      </c>
      <c r="Q134" s="128"/>
      <c r="R134" s="128"/>
      <c r="T134" s="2054">
        <f>'MODELO IMP'!C250</f>
        <v>0</v>
      </c>
      <c r="U134" s="2059">
        <f t="shared" si="170"/>
        <v>0</v>
      </c>
    </row>
    <row r="135" spans="2:25">
      <c r="B135" s="108" t="s">
        <v>277</v>
      </c>
      <c r="C135" s="95"/>
      <c r="D135" s="104">
        <v>0</v>
      </c>
      <c r="E135" s="104">
        <v>0</v>
      </c>
      <c r="F135" s="104">
        <v>0</v>
      </c>
      <c r="G135" s="104">
        <v>0</v>
      </c>
      <c r="H135" s="105">
        <v>0</v>
      </c>
      <c r="I135" s="105">
        <v>0</v>
      </c>
      <c r="J135" s="105">
        <v>0</v>
      </c>
      <c r="K135" s="106">
        <f t="shared" si="171"/>
        <v>0</v>
      </c>
      <c r="L135" s="106">
        <f t="shared" si="172"/>
        <v>0</v>
      </c>
      <c r="M135" s="107">
        <f t="shared" si="173"/>
        <v>0</v>
      </c>
      <c r="N135" s="106">
        <f t="shared" si="177"/>
        <v>0</v>
      </c>
      <c r="O135" s="106">
        <f t="shared" si="178"/>
        <v>0</v>
      </c>
      <c r="P135" s="107">
        <f t="shared" si="179"/>
        <v>0</v>
      </c>
      <c r="Q135" s="128"/>
      <c r="R135" s="128"/>
      <c r="T135" s="2054">
        <f>'MODELO IMP'!C291</f>
        <v>0</v>
      </c>
      <c r="U135" s="2059">
        <f t="shared" si="170"/>
        <v>0</v>
      </c>
    </row>
    <row r="136" spans="2:25">
      <c r="B136" s="108" t="s">
        <v>278</v>
      </c>
      <c r="C136" s="95"/>
      <c r="D136" s="104">
        <v>0</v>
      </c>
      <c r="E136" s="104">
        <v>0</v>
      </c>
      <c r="F136" s="104">
        <v>0</v>
      </c>
      <c r="G136" s="104">
        <v>0</v>
      </c>
      <c r="H136" s="105">
        <v>0</v>
      </c>
      <c r="I136" s="105">
        <v>0</v>
      </c>
      <c r="J136" s="105">
        <v>0</v>
      </c>
      <c r="K136" s="106">
        <f t="shared" si="171"/>
        <v>0</v>
      </c>
      <c r="L136" s="106">
        <f t="shared" si="172"/>
        <v>0</v>
      </c>
      <c r="M136" s="107">
        <f t="shared" si="173"/>
        <v>0</v>
      </c>
      <c r="N136" s="106">
        <f t="shared" si="177"/>
        <v>0</v>
      </c>
      <c r="O136" s="106">
        <f t="shared" si="178"/>
        <v>0</v>
      </c>
      <c r="P136" s="107">
        <f t="shared" si="179"/>
        <v>0</v>
      </c>
      <c r="Q136" s="128"/>
      <c r="R136" s="128"/>
      <c r="T136" s="2054">
        <f>'MODELO IMP'!C354</f>
        <v>0</v>
      </c>
      <c r="U136" s="2059">
        <f t="shared" si="170"/>
        <v>0</v>
      </c>
    </row>
    <row r="137" spans="2:25">
      <c r="B137" s="108" t="s">
        <v>279</v>
      </c>
      <c r="C137" s="95"/>
      <c r="D137" s="104">
        <v>0</v>
      </c>
      <c r="E137" s="104">
        <v>0</v>
      </c>
      <c r="F137" s="104">
        <v>0</v>
      </c>
      <c r="G137" s="104">
        <v>0</v>
      </c>
      <c r="H137" s="105">
        <v>0</v>
      </c>
      <c r="I137" s="105">
        <v>0</v>
      </c>
      <c r="J137" s="105">
        <v>0</v>
      </c>
      <c r="K137" s="106">
        <f t="shared" si="171"/>
        <v>0</v>
      </c>
      <c r="L137" s="106">
        <f t="shared" si="172"/>
        <v>0</v>
      </c>
      <c r="M137" s="107">
        <f t="shared" si="173"/>
        <v>0</v>
      </c>
      <c r="N137" s="106">
        <f t="shared" si="177"/>
        <v>0</v>
      </c>
      <c r="O137" s="106">
        <f t="shared" si="178"/>
        <v>0</v>
      </c>
      <c r="P137" s="107">
        <f t="shared" si="179"/>
        <v>0</v>
      </c>
      <c r="Q137" s="128"/>
      <c r="R137" s="128"/>
      <c r="T137" s="2054">
        <f>'MODELO IMP'!C395</f>
        <v>0</v>
      </c>
      <c r="U137" s="2059">
        <f t="shared" si="170"/>
        <v>0</v>
      </c>
    </row>
    <row r="138" spans="2:25">
      <c r="B138" s="131"/>
      <c r="C138" s="132"/>
      <c r="D138" s="133"/>
      <c r="E138" s="133"/>
      <c r="F138" s="133"/>
      <c r="G138" s="133"/>
      <c r="H138" s="133"/>
      <c r="I138" s="133"/>
      <c r="J138" s="133"/>
      <c r="K138" s="133"/>
      <c r="L138" s="133"/>
      <c r="M138" s="134"/>
      <c r="N138" s="133"/>
      <c r="O138" s="133"/>
      <c r="P138" s="134"/>
      <c r="Q138" s="1058"/>
      <c r="R138" s="1059"/>
    </row>
    <row r="139" spans="2:25">
      <c r="B139" s="37" t="s">
        <v>216</v>
      </c>
    </row>
    <row r="140" spans="2:25">
      <c r="B140" s="37" t="s">
        <v>196</v>
      </c>
    </row>
    <row r="141" spans="2:25">
      <c r="B141" s="37" t="s">
        <v>217</v>
      </c>
    </row>
    <row r="142" spans="2:25">
      <c r="B142" s="37" t="s">
        <v>335</v>
      </c>
    </row>
    <row r="144" spans="2:25">
      <c r="B144" s="52" t="str">
        <f>'PORTADA PORTADA PORTADA'!$B$23</f>
        <v>1 DE JULIO DE 2026</v>
      </c>
    </row>
    <row r="147" spans="11:18">
      <c r="K147" s="1065"/>
      <c r="L147" s="1066"/>
      <c r="M147" s="1066"/>
      <c r="N147" s="1065"/>
      <c r="O147" s="1066"/>
      <c r="P147" s="1066"/>
      <c r="Q147" s="1066"/>
      <c r="R147" s="1066"/>
    </row>
    <row r="148" spans="11:18">
      <c r="K148" s="1064"/>
      <c r="L148" s="1056"/>
      <c r="M148" s="1056"/>
      <c r="N148" s="1064"/>
      <c r="O148" s="1056"/>
      <c r="P148" s="1056"/>
      <c r="Q148" s="1056"/>
      <c r="R148" s="1057"/>
    </row>
    <row r="149" spans="11:18">
      <c r="K149" s="1064"/>
      <c r="L149" s="1056"/>
      <c r="M149" s="1056"/>
      <c r="N149" s="1064"/>
      <c r="O149" s="1056"/>
      <c r="P149" s="1056"/>
      <c r="Q149" s="1056"/>
      <c r="R149" s="1057"/>
    </row>
    <row r="150" spans="11:18">
      <c r="K150" s="1064"/>
      <c r="L150" s="1056"/>
      <c r="M150" s="1056"/>
      <c r="N150" s="1064"/>
      <c r="O150" s="1056"/>
      <c r="P150" s="1056"/>
      <c r="Q150" s="1056"/>
      <c r="R150" s="1057"/>
    </row>
    <row r="151" spans="11:18">
      <c r="K151" s="1064"/>
      <c r="L151" s="1056"/>
      <c r="M151" s="1056"/>
      <c r="N151" s="1064"/>
      <c r="O151" s="1056"/>
      <c r="P151" s="1056"/>
      <c r="Q151" s="1056"/>
      <c r="R151" s="1057"/>
    </row>
    <row r="152" spans="11:18">
      <c r="K152" s="1064"/>
      <c r="L152" s="1056"/>
      <c r="M152" s="1056"/>
      <c r="N152" s="1064"/>
      <c r="O152" s="1056"/>
      <c r="P152" s="1056"/>
      <c r="Q152" s="1056"/>
      <c r="R152" s="1057"/>
    </row>
  </sheetData>
  <phoneticPr fontId="0" type="noConversion"/>
  <printOptions horizontalCentered="1" verticalCentered="1" headings="1"/>
  <pageMargins left="0.78740157480314965" right="0.39370078740157483" top="0.39370078740157483" bottom="0.39370078740157483" header="0.59055118110236227" footer="0.47244094488188981"/>
  <pageSetup scale="51" fitToHeight="0" orientation="portrait" r:id="rId1"/>
  <rowBreaks count="1" manualBreakCount="1">
    <brk id="7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E5606-D032-4B4E-B54F-D5C78EB3E46E}">
  <sheetPr codeName="Hoja15">
    <tabColor rgb="FFC00000"/>
  </sheetPr>
  <dimension ref="A2:F45"/>
  <sheetViews>
    <sheetView zoomScaleNormal="100" zoomScaleSheetLayoutView="100" workbookViewId="0">
      <selection activeCell="I29" sqref="I29"/>
    </sheetView>
  </sheetViews>
  <sheetFormatPr baseColWidth="10" defaultColWidth="11.25" defaultRowHeight="13.5"/>
  <cols>
    <col min="1" max="1" width="3" style="1216" customWidth="1"/>
    <col min="2" max="2" width="23.5" style="529" bestFit="1" customWidth="1"/>
    <col min="3" max="3" width="10.75" style="529" customWidth="1"/>
    <col min="4" max="4" width="10" style="529" bestFit="1" customWidth="1"/>
    <col min="5" max="5" width="14" style="529" customWidth="1"/>
    <col min="6" max="6" width="2.5" style="1048" customWidth="1"/>
    <col min="7" max="16384" width="11.25" style="529"/>
  </cols>
  <sheetData>
    <row r="2" spans="2:6" s="1049" customFormat="1" ht="22.5">
      <c r="B2" s="1553" t="s">
        <v>712</v>
      </c>
      <c r="C2" s="1554" t="s">
        <v>1045</v>
      </c>
      <c r="D2" s="1554" t="s">
        <v>1046</v>
      </c>
      <c r="E2" s="1554" t="s">
        <v>714</v>
      </c>
      <c r="F2" s="1048"/>
    </row>
    <row r="3" spans="2:6">
      <c r="B3" s="1050" t="s">
        <v>1615</v>
      </c>
      <c r="C3" s="1051">
        <f>AjGen500!E37</f>
        <v>155581715.93891835</v>
      </c>
      <c r="D3" s="1051">
        <f>AjGen500!E38</f>
        <v>140912028.36540282</v>
      </c>
      <c r="E3" s="1238">
        <f>C3-D3</f>
        <v>14669687.573515534</v>
      </c>
    </row>
    <row r="4" spans="2:6">
      <c r="B4" s="1050" t="s">
        <v>1077</v>
      </c>
      <c r="C4" s="1051"/>
      <c r="D4" s="1051">
        <f>AjGen500!E39</f>
        <v>11198881.746667</v>
      </c>
      <c r="E4" s="1238">
        <f>C4-D4</f>
        <v>-11198881.746667</v>
      </c>
    </row>
    <row r="5" spans="2:6">
      <c r="B5" s="1050" t="s">
        <v>1047</v>
      </c>
      <c r="C5" s="1051">
        <f>AjGen500!E40</f>
        <v>51917768.041025147</v>
      </c>
      <c r="D5" s="1051">
        <f>AjGen500!E41</f>
        <v>50417087.956190251</v>
      </c>
      <c r="E5" s="1238">
        <f>C5-D5</f>
        <v>1500680.084834896</v>
      </c>
    </row>
    <row r="6" spans="2:6">
      <c r="B6" s="1050" t="s">
        <v>1049</v>
      </c>
      <c r="C6" s="1051">
        <f>SUM(E3:E5)*(AjGen500!$E$44/100)</f>
        <v>371369.99760275229</v>
      </c>
      <c r="D6" s="1051"/>
      <c r="E6" s="1238">
        <f>C6-D6</f>
        <v>371369.99760275229</v>
      </c>
    </row>
    <row r="7" spans="2:6">
      <c r="B7" s="1050" t="s">
        <v>1048</v>
      </c>
      <c r="C7" s="1051">
        <f>AjGen500!E46</f>
        <v>3733578.5402498017</v>
      </c>
      <c r="D7" s="1051"/>
      <c r="E7" s="1238">
        <f>C7-D7</f>
        <v>3733578.5402498017</v>
      </c>
    </row>
    <row r="8" spans="2:6">
      <c r="B8" s="1052" t="s">
        <v>1051</v>
      </c>
      <c r="C8" s="1053">
        <f>SUM(C3:C7)</f>
        <v>211604432.51779607</v>
      </c>
      <c r="D8" s="1053">
        <f>SUM(D3:D7)</f>
        <v>202527998.06826007</v>
      </c>
      <c r="E8" s="1239">
        <f>SUM(E3:E7)</f>
        <v>9076434.4495359845</v>
      </c>
    </row>
    <row r="9" spans="2:6" hidden="1">
      <c r="B9" s="1050" t="s">
        <v>1076</v>
      </c>
      <c r="C9" s="1051">
        <f>AjGen500Extra!F15</f>
        <v>0</v>
      </c>
      <c r="D9" s="1051">
        <f>AjGen500Extra!F16</f>
        <v>0</v>
      </c>
      <c r="E9" s="1238">
        <f>C9-D9</f>
        <v>0</v>
      </c>
      <c r="F9" s="1054"/>
    </row>
    <row r="10" spans="2:6" hidden="1">
      <c r="B10" s="1050" t="s">
        <v>1047</v>
      </c>
      <c r="C10" s="1051">
        <f>AjGen500Extra!F17</f>
        <v>0</v>
      </c>
      <c r="D10" s="1051">
        <f>AjGen500Extra!F18</f>
        <v>0</v>
      </c>
      <c r="E10" s="1238">
        <f>C10-D10</f>
        <v>0</v>
      </c>
    </row>
    <row r="11" spans="2:6" hidden="1">
      <c r="B11" s="1050" t="s">
        <v>1049</v>
      </c>
      <c r="C11" s="1051">
        <f>SUM(E9:E10)*AjGen500Extra!F21</f>
        <v>0</v>
      </c>
      <c r="D11" s="1051"/>
      <c r="E11" s="1238">
        <f>C11-D11</f>
        <v>0</v>
      </c>
    </row>
    <row r="12" spans="2:6" hidden="1">
      <c r="B12" s="1052" t="s">
        <v>1052</v>
      </c>
      <c r="C12" s="1053">
        <f>SUM(C9:C11)</f>
        <v>0</v>
      </c>
      <c r="D12" s="1053">
        <f>SUM(D9:D11)</f>
        <v>0</v>
      </c>
      <c r="E12" s="1239">
        <f>SUM(E9:E11)</f>
        <v>0</v>
      </c>
    </row>
    <row r="13" spans="2:6">
      <c r="B13" s="1050" t="s">
        <v>1078</v>
      </c>
      <c r="C13" s="1051">
        <f>AjPTran400!E14</f>
        <v>7901625.3908457123</v>
      </c>
      <c r="D13" s="1051">
        <f>AjPTran400!E15</f>
        <v>4605923.6281420002</v>
      </c>
      <c r="E13" s="1238">
        <f>C13-D13</f>
        <v>3295701.7627037121</v>
      </c>
      <c r="F13" s="1054"/>
    </row>
    <row r="14" spans="2:6">
      <c r="B14" s="1050" t="s">
        <v>1047</v>
      </c>
      <c r="C14" s="1051">
        <f>AjPTran400!E16</f>
        <v>3331428.8624405549</v>
      </c>
      <c r="D14" s="1051">
        <f>AjPTran400!E17</f>
        <v>3238020.1229980001</v>
      </c>
      <c r="E14" s="1238">
        <f>C14-D14</f>
        <v>93408.739442554768</v>
      </c>
    </row>
    <row r="15" spans="2:6">
      <c r="B15" s="1050" t="s">
        <v>1049</v>
      </c>
      <c r="C15" s="1051">
        <f>SUM(E13:E14)*(AjPTran400!$E$20/100)</f>
        <v>253166.55451032615</v>
      </c>
      <c r="D15" s="1051"/>
      <c r="E15" s="1238">
        <f>C15-D15</f>
        <v>253166.55451032615</v>
      </c>
    </row>
    <row r="16" spans="2:6">
      <c r="B16" s="1055" t="s">
        <v>1042</v>
      </c>
      <c r="C16" s="1053">
        <f>SUM(C13:C15)</f>
        <v>11486220.807796594</v>
      </c>
      <c r="D16" s="1053">
        <f>SUM(D13:D15)</f>
        <v>7843943.7511400003</v>
      </c>
      <c r="E16" s="1239">
        <f>SUM(E13:E15)</f>
        <v>3642277.056656593</v>
      </c>
    </row>
    <row r="17" spans="1:6">
      <c r="B17" s="1050" t="s">
        <v>1079</v>
      </c>
      <c r="C17" s="1051">
        <f>AjTran300!E42</f>
        <v>13862893.772841496</v>
      </c>
      <c r="D17" s="1051">
        <f>AjTran300!E43</f>
        <v>14691154.225263068</v>
      </c>
      <c r="E17" s="1238">
        <f>C17-D17</f>
        <v>-828260.45242157206</v>
      </c>
    </row>
    <row r="18" spans="1:6">
      <c r="B18" s="1050" t="s">
        <v>1047</v>
      </c>
      <c r="C18" s="1051">
        <f>AjTran300!E44</f>
        <v>2628257.1519444054</v>
      </c>
      <c r="D18" s="1051">
        <f>AjTran300!E45</f>
        <v>2564695.1872628815</v>
      </c>
      <c r="E18" s="1238">
        <f>C18-D18</f>
        <v>63561.964681523852</v>
      </c>
      <c r="F18" s="1054"/>
    </row>
    <row r="19" spans="1:6">
      <c r="B19" s="1050" t="s">
        <v>1049</v>
      </c>
      <c r="C19" s="1051">
        <f>SUM(E17:E18)*(AjTran300!$E$48/100)</f>
        <v>-57122.977034181604</v>
      </c>
      <c r="D19" s="1051"/>
      <c r="E19" s="1238">
        <f>C19-D19</f>
        <v>-57122.977034181604</v>
      </c>
      <c r="F19" s="1054"/>
    </row>
    <row r="20" spans="1:6">
      <c r="B20" s="1055" t="s">
        <v>1043</v>
      </c>
      <c r="C20" s="1053">
        <f>SUM(C17:C19)</f>
        <v>16434027.94775172</v>
      </c>
      <c r="D20" s="1053">
        <f>SUM(D17:D19)</f>
        <v>17255849.412525952</v>
      </c>
      <c r="E20" s="1239">
        <f>SUM(E17:E19)</f>
        <v>-821821.4647742298</v>
      </c>
      <c r="F20" s="1054"/>
    </row>
    <row r="21" spans="1:6">
      <c r="B21" s="1055" t="s">
        <v>1044</v>
      </c>
      <c r="C21" s="1215">
        <f>AjPérdDist200!$D$17</f>
        <v>0.11745863301450467</v>
      </c>
      <c r="D21" s="1051">
        <f>PD201BP1!J143</f>
        <v>20940738.742021929</v>
      </c>
      <c r="E21" s="1240">
        <f>C21*D21</f>
        <v>2459670.546951774</v>
      </c>
      <c r="F21" s="1054"/>
    </row>
    <row r="22" spans="1:6">
      <c r="A22" s="529"/>
      <c r="B22" s="1555" t="s">
        <v>1689</v>
      </c>
      <c r="C22" s="1556"/>
      <c r="D22" s="1556"/>
      <c r="E22" s="1557">
        <f>E8+E12+E16+E20+E21</f>
        <v>14356560.588370122</v>
      </c>
    </row>
    <row r="23" spans="1:6" s="1049" customFormat="1">
      <c r="A23" s="1216"/>
      <c r="E23" s="1385"/>
      <c r="F23" s="1054"/>
    </row>
    <row r="24" spans="1:6" s="1049" customFormat="1">
      <c r="A24" s="1216"/>
      <c r="D24" s="1385"/>
      <c r="E24" s="1240"/>
    </row>
    <row r="25" spans="1:6" s="1049" customFormat="1">
      <c r="A25" s="1216"/>
      <c r="D25" s="1385"/>
      <c r="F25" s="1054"/>
    </row>
    <row r="26" spans="1:6" s="1049" customFormat="1">
      <c r="A26" s="1216"/>
      <c r="F26" s="1054"/>
    </row>
    <row r="27" spans="1:6" s="1049" customFormat="1">
      <c r="A27" s="1216"/>
      <c r="F27" s="1194"/>
    </row>
    <row r="28" spans="1:6" s="1049" customFormat="1">
      <c r="A28" s="1216"/>
      <c r="F28" s="1194"/>
    </row>
    <row r="29" spans="1:6" s="1049" customFormat="1">
      <c r="A29" s="1216"/>
      <c r="F29" s="1194"/>
    </row>
    <row r="30" spans="1:6" s="1049" customFormat="1">
      <c r="A30" s="1216"/>
      <c r="F30" s="1194"/>
    </row>
    <row r="31" spans="1:6" s="1049" customFormat="1">
      <c r="A31" s="1216"/>
      <c r="F31" s="1194"/>
    </row>
    <row r="32" spans="1:6" s="1049" customFormat="1">
      <c r="A32" s="1216"/>
      <c r="F32" s="1194"/>
    </row>
    <row r="33" spans="1:6" s="1049" customFormat="1">
      <c r="A33" s="1216"/>
      <c r="F33" s="1194"/>
    </row>
    <row r="34" spans="1:6" s="1049" customFormat="1">
      <c r="A34" s="1216"/>
      <c r="F34" s="1194"/>
    </row>
    <row r="35" spans="1:6" s="1049" customFormat="1">
      <c r="A35" s="1216"/>
      <c r="F35" s="1194"/>
    </row>
    <row r="36" spans="1:6" s="1049" customFormat="1">
      <c r="A36" s="1216"/>
      <c r="F36" s="1194"/>
    </row>
    <row r="37" spans="1:6" s="1049" customFormat="1">
      <c r="A37" s="1216"/>
      <c r="F37" s="1194"/>
    </row>
    <row r="38" spans="1:6" s="1049" customFormat="1">
      <c r="A38" s="1216"/>
      <c r="F38" s="1194"/>
    </row>
    <row r="39" spans="1:6" s="1049" customFormat="1">
      <c r="A39" s="1216"/>
      <c r="F39" s="1194"/>
    </row>
    <row r="40" spans="1:6" s="1049" customFormat="1">
      <c r="A40" s="1216"/>
      <c r="F40" s="1194"/>
    </row>
    <row r="41" spans="1:6" s="1049" customFormat="1">
      <c r="A41" s="1216"/>
      <c r="F41" s="1194"/>
    </row>
    <row r="42" spans="1:6" s="1049" customFormat="1">
      <c r="A42" s="1216"/>
      <c r="F42" s="1194"/>
    </row>
    <row r="43" spans="1:6" s="1049" customFormat="1">
      <c r="A43" s="1216"/>
      <c r="B43" s="529"/>
      <c r="C43" s="529"/>
      <c r="D43" s="529"/>
      <c r="E43" s="529"/>
      <c r="F43" s="1194"/>
    </row>
    <row r="44" spans="1:6" s="1049" customFormat="1">
      <c r="A44" s="1216"/>
      <c r="B44" s="529"/>
      <c r="C44" s="529"/>
      <c r="D44" s="529"/>
      <c r="E44" s="529"/>
      <c r="F44" s="1194"/>
    </row>
    <row r="45" spans="1:6" s="1049" customFormat="1">
      <c r="A45" s="1216"/>
      <c r="B45" s="529"/>
      <c r="C45" s="529"/>
      <c r="D45" s="529"/>
      <c r="E45" s="529"/>
      <c r="F45" s="1194"/>
    </row>
  </sheetData>
  <pageMargins left="0.7" right="0.7" top="0.75" bottom="0.75" header="0.3" footer="0.3"/>
  <pageSetup scale="57" orientation="portrait" horizontalDpi="429496729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CD5E1-24C6-4AF9-9EC4-C1CB9050F441}">
  <sheetPr>
    <tabColor rgb="FFC00000"/>
  </sheetPr>
  <dimension ref="A1:L166"/>
  <sheetViews>
    <sheetView view="pageBreakPreview" zoomScale="70" zoomScaleNormal="85" zoomScaleSheetLayoutView="70" workbookViewId="0">
      <selection sqref="A1:XFD1048576"/>
    </sheetView>
  </sheetViews>
  <sheetFormatPr baseColWidth="10" defaultColWidth="8" defaultRowHeight="15"/>
  <cols>
    <col min="1" max="1" width="2.375" style="63" bestFit="1" customWidth="1"/>
    <col min="2" max="2" width="7.125" style="48" bestFit="1" customWidth="1"/>
    <col min="3" max="3" width="33.25" style="63" customWidth="1"/>
    <col min="4" max="5" width="12.75" style="63" customWidth="1"/>
    <col min="6" max="6" width="13.25" style="63" customWidth="1"/>
    <col min="7" max="7" width="14" style="63" customWidth="1"/>
    <col min="8" max="8" width="11.75" style="63" customWidth="1"/>
    <col min="9" max="9" width="11.125" style="63" customWidth="1"/>
    <col min="10" max="10" width="11.5" style="63" customWidth="1"/>
    <col min="11" max="11" width="16.5" style="63" customWidth="1"/>
    <col min="12" max="12" width="9.5" style="63" bestFit="1" customWidth="1"/>
    <col min="13" max="16384" width="8" style="63"/>
  </cols>
  <sheetData>
    <row r="1" spans="2:10" s="69" customFormat="1" ht="15.75">
      <c r="B1" s="48"/>
      <c r="C1" s="136" t="s">
        <v>151</v>
      </c>
    </row>
    <row r="2" spans="2:10" s="69" customFormat="1" ht="15.75">
      <c r="B2" s="48"/>
      <c r="D2" s="137" t="s">
        <v>24</v>
      </c>
    </row>
    <row r="3" spans="2:10" s="69" customFormat="1" ht="15.75">
      <c r="B3" s="48"/>
      <c r="D3" s="137"/>
    </row>
    <row r="4" spans="2:10" ht="21">
      <c r="C4" s="1241" t="s">
        <v>860</v>
      </c>
      <c r="D4" s="138"/>
      <c r="E4" s="138"/>
      <c r="F4" s="138"/>
      <c r="G4" s="138"/>
      <c r="H4" s="138"/>
      <c r="I4" s="69"/>
      <c r="J4" s="69"/>
    </row>
    <row r="5" spans="2:10">
      <c r="C5" s="139"/>
    </row>
    <row r="6" spans="2:10" s="143" customFormat="1">
      <c r="B6" s="48"/>
      <c r="C6" s="140" t="s">
        <v>292</v>
      </c>
      <c r="D6" s="141" t="s">
        <v>1391</v>
      </c>
      <c r="E6" s="141" t="s">
        <v>1392</v>
      </c>
      <c r="F6" s="142" t="s">
        <v>1237</v>
      </c>
      <c r="G6" s="142" t="s">
        <v>1238</v>
      </c>
      <c r="H6" s="142" t="s">
        <v>1239</v>
      </c>
    </row>
    <row r="7" spans="2:10" s="143" customFormat="1" ht="13.5">
      <c r="B7" s="48"/>
      <c r="C7" s="144" t="s">
        <v>266</v>
      </c>
      <c r="D7" s="145">
        <f>RAT1000PT!$I$34</f>
        <v>0.03</v>
      </c>
      <c r="E7" s="144"/>
      <c r="F7" s="146">
        <f>RAT1000PT!$I$10</f>
        <v>1.16E-3</v>
      </c>
      <c r="G7" s="146">
        <f>RAT1000PT!$I$15</f>
        <v>1.16E-3</v>
      </c>
      <c r="H7" s="146">
        <f>RAT1000PT!$I$20</f>
        <v>1.16E-3</v>
      </c>
    </row>
    <row r="8" spans="2:10" s="143" customFormat="1" ht="13.5">
      <c r="B8" s="48"/>
      <c r="C8" s="144" t="s">
        <v>265</v>
      </c>
      <c r="D8" s="145">
        <f>RAT1000PT!$I$33</f>
        <v>0.03</v>
      </c>
      <c r="E8" s="146">
        <f>RAT1000PT!$I$26</f>
        <v>1.16E-3</v>
      </c>
      <c r="F8" s="146"/>
      <c r="G8" s="146"/>
      <c r="H8" s="146"/>
    </row>
    <row r="9" spans="2:10" s="143" customFormat="1" ht="13.5">
      <c r="B9" s="48"/>
      <c r="C9" s="144" t="s">
        <v>264</v>
      </c>
      <c r="D9" s="145">
        <f>RAT1000PT!$I$32</f>
        <v>0.3</v>
      </c>
      <c r="E9" s="146"/>
      <c r="F9" s="146">
        <f>RAT1000PT!$I$9</f>
        <v>8.2199999999999999E-3</v>
      </c>
      <c r="G9" s="146">
        <f>RAT1000PT!$I$14</f>
        <v>8.2199999999999999E-3</v>
      </c>
      <c r="H9" s="146">
        <f>RAT1000PT!$I$19</f>
        <v>8.2199999999999999E-3</v>
      </c>
    </row>
    <row r="10" spans="2:10" s="143" customFormat="1" ht="13.5">
      <c r="B10" s="48"/>
      <c r="C10" s="144" t="s">
        <v>262</v>
      </c>
      <c r="D10" s="145">
        <f>RAT1000PT!$I$31</f>
        <v>0.28000000000000003</v>
      </c>
      <c r="E10" s="146">
        <f>RAT1000PT!$I$25</f>
        <v>8.2199999999999999E-3</v>
      </c>
      <c r="F10" s="146"/>
      <c r="G10" s="146"/>
      <c r="H10" s="146"/>
    </row>
    <row r="11" spans="2:10" s="143" customFormat="1" ht="13.5">
      <c r="B11" s="48"/>
      <c r="C11" s="144" t="s">
        <v>263</v>
      </c>
      <c r="D11" s="145">
        <f>RAT1000PT!$I$30</f>
        <v>0.4</v>
      </c>
      <c r="E11" s="146"/>
      <c r="F11" s="146">
        <f>RAT1000PT!$I$8</f>
        <v>1.103E-2</v>
      </c>
      <c r="G11" s="146">
        <f>RAT1000PT!$I$13</f>
        <v>1.103E-2</v>
      </c>
      <c r="H11" s="146">
        <f>RAT1000PT!$I$18</f>
        <v>1.103E-2</v>
      </c>
    </row>
    <row r="12" spans="2:10" s="143" customFormat="1" ht="13.5">
      <c r="B12" s="48"/>
      <c r="C12" s="144" t="s">
        <v>261</v>
      </c>
      <c r="D12" s="145">
        <f>RAT1000PT!$I$29</f>
        <v>0.37</v>
      </c>
      <c r="E12" s="146">
        <f>RAT1000PT!$I$24</f>
        <v>1.103E-2</v>
      </c>
      <c r="F12" s="146"/>
      <c r="G12" s="146"/>
      <c r="H12" s="146"/>
    </row>
    <row r="13" spans="2:10" s="143" customFormat="1" ht="13.5">
      <c r="B13" s="48"/>
      <c r="C13" s="144" t="s">
        <v>267</v>
      </c>
      <c r="D13" s="146"/>
      <c r="E13" s="146">
        <f>RAT1000PT!$I$23</f>
        <v>1.2149999999999999E-2</v>
      </c>
      <c r="F13" s="146"/>
      <c r="G13" s="146"/>
      <c r="H13" s="146"/>
    </row>
    <row r="14" spans="2:10" s="143" customFormat="1" ht="13.5">
      <c r="B14" s="48"/>
      <c r="C14" s="144" t="s">
        <v>1178</v>
      </c>
      <c r="D14" s="145"/>
      <c r="E14" s="146"/>
      <c r="F14" s="146">
        <f>RAT1000PT!$I$7</f>
        <v>1.2149999999999999E-2</v>
      </c>
      <c r="G14" s="146">
        <f>RAT1000PT!$I$12</f>
        <v>1.2149999999999999E-2</v>
      </c>
      <c r="H14" s="146">
        <f>RAT1000PT!$I$17</f>
        <v>1.2149999999999999E-2</v>
      </c>
    </row>
    <row r="15" spans="2:10" s="143" customFormat="1" ht="13.5">
      <c r="B15" s="48"/>
      <c r="C15" s="147"/>
      <c r="J15" s="148"/>
    </row>
    <row r="16" spans="2:10" s="143" customFormat="1" ht="36" customHeight="1">
      <c r="B16" s="48"/>
      <c r="C16" s="149" t="s">
        <v>1393</v>
      </c>
      <c r="D16" s="149"/>
      <c r="E16" s="149"/>
      <c r="F16" s="149"/>
      <c r="G16" s="149"/>
      <c r="H16" s="149"/>
      <c r="I16" s="149"/>
      <c r="J16" s="149"/>
    </row>
    <row r="17" spans="2:10" s="37" customFormat="1" ht="13.5">
      <c r="B17" s="48"/>
      <c r="C17" s="150" t="s">
        <v>310</v>
      </c>
      <c r="D17" s="151">
        <f>F801EVE!D4</f>
        <v>46204</v>
      </c>
      <c r="E17" s="151">
        <f>F801EVE!E4</f>
        <v>46235</v>
      </c>
      <c r="F17" s="151">
        <f>F801EVE!F4</f>
        <v>46266</v>
      </c>
      <c r="G17" s="151">
        <f>F801EVE!G4</f>
        <v>46296</v>
      </c>
      <c r="H17" s="151">
        <f>F801EVE!H4</f>
        <v>46327</v>
      </c>
      <c r="I17" s="151">
        <f>F801EVE!I4</f>
        <v>46357</v>
      </c>
      <c r="J17" s="152" t="s">
        <v>111</v>
      </c>
    </row>
    <row r="18" spans="2:10" s="37" customFormat="1" ht="13.5">
      <c r="B18" s="48"/>
      <c r="C18" s="153" t="s">
        <v>446</v>
      </c>
      <c r="D18" s="154">
        <f t="shared" ref="D18:H18" si="0">SUM(D19:D20)</f>
        <v>23036.577215858073</v>
      </c>
      <c r="E18" s="154">
        <f t="shared" si="0"/>
        <v>23046.191365241386</v>
      </c>
      <c r="F18" s="154">
        <f t="shared" si="0"/>
        <v>22638.77791428093</v>
      </c>
      <c r="G18" s="154">
        <f t="shared" si="0"/>
        <v>22967.192356653617</v>
      </c>
      <c r="H18" s="154">
        <f t="shared" si="0"/>
        <v>21999.108966418651</v>
      </c>
      <c r="I18" s="154">
        <f t="shared" ref="I18" si="1">SUM(I19:I20)</f>
        <v>22074.98756279824</v>
      </c>
      <c r="J18" s="154">
        <f>SUM(D18:I18)</f>
        <v>135762.83538125089</v>
      </c>
    </row>
    <row r="19" spans="2:10" s="37" customFormat="1" ht="13.5">
      <c r="B19" s="48" t="s">
        <v>279</v>
      </c>
      <c r="C19" s="155" t="s">
        <v>279</v>
      </c>
      <c r="D19" s="156">
        <f>$D$7*F801D!K6+$F$7*F801EVE!K6+$G$7*F801EVE!R6+$H$7*F801EVE!Y6</f>
        <v>23035.967215858072</v>
      </c>
      <c r="E19" s="156">
        <f>$D$7*F801D!L6+$F$7*F801EVE!L6+$G$7*F801EVE!S6+$H$7*F801EVE!Z6</f>
        <v>23045.581365241385</v>
      </c>
      <c r="F19" s="156">
        <f>$D$7*F801D!M6+$F$7*F801EVE!M6+$G$7*F801EVE!T6+$H$7*F801EVE!AA6</f>
        <v>22638.16791428093</v>
      </c>
      <c r="G19" s="156">
        <f>$D$7*F801D!N6+$F$7*F801EVE!N6+$G$7*F801EVE!U6+$H$7*F801EVE!AB6</f>
        <v>22966.582356653616</v>
      </c>
      <c r="H19" s="156">
        <f>$D$7*F801D!O6+$F$7*F801EVE!O6+$G$7*F801EVE!V6+$H$7*F801EVE!AC6</f>
        <v>21998.498966418651</v>
      </c>
      <c r="I19" s="156">
        <f>$D$7*F801D!P6+$F$7*F801EVE!P6+$G$7*F801EVE!W6+$H$7*F801EVE!AD6</f>
        <v>22074.37756279824</v>
      </c>
      <c r="J19" s="156">
        <f>SUM(D19:I19)</f>
        <v>135759.17538125088</v>
      </c>
    </row>
    <row r="20" spans="2:10" s="37" customFormat="1" ht="13.5">
      <c r="B20" s="48" t="s">
        <v>278</v>
      </c>
      <c r="C20" s="155" t="s">
        <v>278</v>
      </c>
      <c r="D20" s="156">
        <f>$D$8*F801D!D7+$E$8*F801EVE!D7</f>
        <v>0.61</v>
      </c>
      <c r="E20" s="156">
        <f>$D$8*F801D!E7+$E$8*F801EVE!E7</f>
        <v>0.61</v>
      </c>
      <c r="F20" s="156">
        <f>$D$8*F801D!F7+$E$8*F801EVE!F7</f>
        <v>0.61</v>
      </c>
      <c r="G20" s="156">
        <f>$D$8*F801D!G7+$E$8*F801EVE!G7</f>
        <v>0.61</v>
      </c>
      <c r="H20" s="156">
        <f>$D$8*F801D!H7+$E$8*F801EVE!H7</f>
        <v>0.61</v>
      </c>
      <c r="I20" s="156">
        <f>$D$8*F801D!I7+$E$8*F801EVE!I7</f>
        <v>0.61</v>
      </c>
      <c r="J20" s="156">
        <f>SUM(D20:I20)</f>
        <v>3.6599999999999997</v>
      </c>
    </row>
    <row r="21" spans="2:10" s="37" customFormat="1" ht="13.5">
      <c r="B21" s="48"/>
      <c r="C21" s="157"/>
      <c r="D21" s="156"/>
      <c r="E21" s="156"/>
      <c r="F21" s="156"/>
      <c r="G21" s="156"/>
      <c r="H21" s="156"/>
      <c r="I21" s="156"/>
      <c r="J21" s="156"/>
    </row>
    <row r="22" spans="2:10" s="37" customFormat="1" ht="13.5">
      <c r="B22" s="48"/>
      <c r="C22" s="153" t="s">
        <v>630</v>
      </c>
      <c r="D22" s="154">
        <f t="shared" ref="D22:H22" si="2">SUBTOTAL(9,D23:D30)</f>
        <v>278283.17695394153</v>
      </c>
      <c r="E22" s="154">
        <f t="shared" si="2"/>
        <v>278399.31647010962</v>
      </c>
      <c r="F22" s="154">
        <f t="shared" si="2"/>
        <v>274012.0522058307</v>
      </c>
      <c r="G22" s="154">
        <f t="shared" si="2"/>
        <v>277445.00358507526</v>
      </c>
      <c r="H22" s="154">
        <f t="shared" si="2"/>
        <v>266269.71488039027</v>
      </c>
      <c r="I22" s="154">
        <f t="shared" ref="I22" si="3">SUBTOTAL(9,I23:I30)</f>
        <v>266667.11477246229</v>
      </c>
      <c r="J22" s="154">
        <f t="shared" ref="J22:J30" si="4">SUM(D22:I22)</f>
        <v>1641076.3788678099</v>
      </c>
    </row>
    <row r="23" spans="2:10" s="37" customFormat="1" ht="13.5">
      <c r="B23" s="48" t="s">
        <v>277</v>
      </c>
      <c r="C23" s="155" t="s">
        <v>277</v>
      </c>
      <c r="D23" s="154">
        <f t="shared" ref="D23:H23" si="5">SUBTOTAL(9,D24:D25)</f>
        <v>39828.183182531619</v>
      </c>
      <c r="E23" s="154">
        <f t="shared" si="5"/>
        <v>39844.805193158725</v>
      </c>
      <c r="F23" s="154">
        <f t="shared" si="5"/>
        <v>39217.432876237246</v>
      </c>
      <c r="G23" s="154">
        <f t="shared" si="5"/>
        <v>39708.222921766552</v>
      </c>
      <c r="H23" s="154">
        <f t="shared" si="5"/>
        <v>38109.32616369905</v>
      </c>
      <c r="I23" s="154">
        <f t="shared" ref="I23" si="6">SUBTOTAL(9,I24:I25)</f>
        <v>38165.680053568831</v>
      </c>
      <c r="J23" s="156">
        <f t="shared" si="4"/>
        <v>234873.65039096199</v>
      </c>
    </row>
    <row r="24" spans="2:10" s="37" customFormat="1" ht="13.5">
      <c r="B24" s="48"/>
      <c r="C24" s="160" t="s">
        <v>304</v>
      </c>
      <c r="D24" s="156">
        <f>$D$9*F801D!K11+$F$9*F801EVE!K11+$G$9*F801EVE!R11+$H$9*F801EVE!Y11</f>
        <v>34837.97342014678</v>
      </c>
      <c r="E24" s="156">
        <f>$D$9*F801D!L11+$F$9*F801EVE!L11+$G$9*F801EVE!S11+$H$9*F801EVE!Z11</f>
        <v>34852.512802015204</v>
      </c>
      <c r="F24" s="156">
        <f>$D$9*F801D!M11+$F$9*F801EVE!M11+$G$9*F801EVE!T11+$H$9*F801EVE!AA11</f>
        <v>34307.077603900034</v>
      </c>
      <c r="G24" s="156">
        <f>$D$9*F801D!N11+$F$9*F801EVE!N11+$G$9*F801EVE!U11+$H$9*F801EVE!AB11</f>
        <v>34733.043392159954</v>
      </c>
      <c r="H24" s="156">
        <f>$D$9*F801D!O11+$F$9*F801EVE!O11+$G$9*F801EVE!V11+$H$9*F801EVE!AC11</f>
        <v>33337.715251692498</v>
      </c>
      <c r="I24" s="156">
        <f>$D$9*F801D!P11+$F$9*F801EVE!P11+$G$9*F801EVE!W11+$H$9*F801EVE!AD11</f>
        <v>33383.771013969257</v>
      </c>
      <c r="J24" s="156">
        <f t="shared" si="4"/>
        <v>205452.09348388371</v>
      </c>
    </row>
    <row r="25" spans="2:10" s="37" customFormat="1" ht="13.5">
      <c r="B25" s="48"/>
      <c r="C25" s="160" t="s">
        <v>305</v>
      </c>
      <c r="D25" s="156">
        <f>($D$9*F801D!K12+$F$9*F801EVE!K12+$G$9*F801EVE!R12+$H$9*F801EVE!Y12)*95%</f>
        <v>4990.2097623848422</v>
      </c>
      <c r="E25" s="156">
        <f>($D$9*F801D!L12+$F$9*F801EVE!L12+$G$9*F801EVE!S12+$H$9*F801EVE!Z12)*95%</f>
        <v>4992.29239114352</v>
      </c>
      <c r="F25" s="156">
        <f>($D$9*F801D!M12+$F$9*F801EVE!M12+$G$9*F801EVE!T12+$H$9*F801EVE!AA12)*95%</f>
        <v>4910.3552723372159</v>
      </c>
      <c r="G25" s="156">
        <f>($D$9*F801D!N12+$F$9*F801EVE!N12+$G$9*F801EVE!U12+$H$9*F801EVE!AB12)*95%</f>
        <v>4975.1795296065957</v>
      </c>
      <c r="H25" s="156">
        <f>($D$9*F801D!O12+$F$9*F801EVE!O12+$G$9*F801EVE!V12+$H$9*F801EVE!AC12)*95%</f>
        <v>4771.6109120065548</v>
      </c>
      <c r="I25" s="156">
        <f>($D$9*F801D!P12+$F$9*F801EVE!P12+$G$9*F801EVE!W12+$H$9*F801EVE!AD12)*95%</f>
        <v>4781.9090395995727</v>
      </c>
      <c r="J25" s="156">
        <f t="shared" si="4"/>
        <v>29421.556907078306</v>
      </c>
    </row>
    <row r="26" spans="2:10" s="37" customFormat="1" ht="13.5">
      <c r="B26" s="48" t="s">
        <v>276</v>
      </c>
      <c r="C26" s="158" t="s">
        <v>276</v>
      </c>
      <c r="D26" s="154">
        <f t="shared" ref="D26:H26" si="7">SUBTOTAL(9,D27:D30)</f>
        <v>238454.99377140988</v>
      </c>
      <c r="E26" s="154">
        <f t="shared" si="7"/>
        <v>238554.51127695086</v>
      </c>
      <c r="F26" s="154">
        <f t="shared" si="7"/>
        <v>234794.61932959346</v>
      </c>
      <c r="G26" s="154">
        <f t="shared" si="7"/>
        <v>237736.78066330866</v>
      </c>
      <c r="H26" s="154">
        <f t="shared" si="7"/>
        <v>228160.3887166912</v>
      </c>
      <c r="I26" s="154">
        <f t="shared" ref="I26" si="8">SUBTOTAL(9,I27:I30)</f>
        <v>228501.43471889343</v>
      </c>
      <c r="J26" s="159">
        <f t="shared" si="4"/>
        <v>1406202.7284768475</v>
      </c>
    </row>
    <row r="27" spans="2:10" s="37" customFormat="1" ht="13.5">
      <c r="B27" s="48"/>
      <c r="C27" s="160" t="s">
        <v>304</v>
      </c>
      <c r="D27" s="156">
        <f>($D$10*F801D!D15+$E$10*F801EVE!D15)*1</f>
        <v>237467.91688518127</v>
      </c>
      <c r="E27" s="156">
        <f>($D$10*F801D!E15+$E$10*F801EVE!E15)*1</f>
        <v>237567.02244116337</v>
      </c>
      <c r="F27" s="156">
        <f>($D$10*F801D!F15+$E$10*F801EVE!F15)*1</f>
        <v>233820.9938513001</v>
      </c>
      <c r="G27" s="156">
        <f>($D$10*F801D!G15+$E$10*F801EVE!G15)*1</f>
        <v>236752.67679746926</v>
      </c>
      <c r="H27" s="156">
        <f>($D$10*F801D!H15+$E$10*F801EVE!H15)*1</f>
        <v>227214.27347680126</v>
      </c>
      <c r="I27" s="156">
        <f>($D$10*F801D!I15+$E$10*F801EVE!I15)*1</f>
        <v>227555.56027477374</v>
      </c>
      <c r="J27" s="156">
        <f t="shared" si="4"/>
        <v>1400378.4437266891</v>
      </c>
    </row>
    <row r="28" spans="2:10" s="37" customFormat="1" ht="13.5">
      <c r="B28" s="48"/>
      <c r="C28" s="161" t="s">
        <v>306</v>
      </c>
      <c r="D28" s="156">
        <f>($D$10*F801D!D16+$E$10*F801EVE!D16)*1</f>
        <v>0</v>
      </c>
      <c r="E28" s="156">
        <f>($D$10*F801D!E16+$E$10*F801EVE!E16)*1</f>
        <v>0</v>
      </c>
      <c r="F28" s="156">
        <f>($D$10*F801D!F16+$E$10*F801EVE!F16)*1</f>
        <v>0</v>
      </c>
      <c r="G28" s="156">
        <f>($D$10*F801D!G16+$E$10*F801EVE!G16)*1</f>
        <v>0</v>
      </c>
      <c r="H28" s="156">
        <f>($D$10*F801D!H16+$E$10*F801EVE!H16)*1</f>
        <v>0</v>
      </c>
      <c r="I28" s="156">
        <f>($D$10*F801D!I16+$E$10*F801EVE!I16)*1</f>
        <v>0</v>
      </c>
      <c r="J28" s="156">
        <f t="shared" si="4"/>
        <v>0</v>
      </c>
    </row>
    <row r="29" spans="2:10" s="37" customFormat="1" ht="13.5">
      <c r="B29" s="48"/>
      <c r="C29" s="160" t="s">
        <v>305</v>
      </c>
      <c r="D29" s="156">
        <f>($D$10*F801D!D17+$E$10*F801EVE!D17)*0.95</f>
        <v>987.07688622861792</v>
      </c>
      <c r="E29" s="156">
        <f>($D$10*F801D!E17+$E$10*F801EVE!E17)*0.95</f>
        <v>987.48883578748848</v>
      </c>
      <c r="F29" s="156">
        <f>($D$10*F801D!F17+$E$10*F801EVE!F17)*0.95</f>
        <v>973.62547829336688</v>
      </c>
      <c r="G29" s="156">
        <f>($D$10*F801D!G17+$E$10*F801EVE!G17)*0.95</f>
        <v>984.10386583940044</v>
      </c>
      <c r="H29" s="156">
        <f>($D$10*F801D!H17+$E$10*F801EVE!H17)*0.95</f>
        <v>946.11523988995498</v>
      </c>
      <c r="I29" s="156">
        <f>($D$10*F801D!I17+$E$10*F801EVE!I17)*0.95</f>
        <v>945.87444411969284</v>
      </c>
      <c r="J29" s="156">
        <f>SUM(D29:I29)</f>
        <v>5824.284750158522</v>
      </c>
    </row>
    <row r="30" spans="2:10" s="37" customFormat="1" ht="13.5">
      <c r="B30" s="48"/>
      <c r="C30" s="160" t="s">
        <v>307</v>
      </c>
      <c r="D30" s="156">
        <f>($D$10*F801D!D18+$E$10*F801EVE!D18)*0.5</f>
        <v>0</v>
      </c>
      <c r="E30" s="156">
        <f>($D$10*F801D!E18+$E$10*F801EVE!E18)*0.5</f>
        <v>0</v>
      </c>
      <c r="F30" s="156">
        <f>($D$10*F801D!F18+$E$10*F801EVE!F18)*0.5</f>
        <v>0</v>
      </c>
      <c r="G30" s="156">
        <f>($D$10*F801D!G18+$E$10*F801EVE!G18)*0.5</f>
        <v>0</v>
      </c>
      <c r="H30" s="156">
        <f>($D$10*F801D!H18+$E$10*F801EVE!H18)*0.5</f>
        <v>0</v>
      </c>
      <c r="I30" s="156">
        <f>($D$10*F801D!I18+$E$10*F801EVE!I18)*0.5</f>
        <v>0</v>
      </c>
      <c r="J30" s="156">
        <f t="shared" si="4"/>
        <v>0</v>
      </c>
    </row>
    <row r="31" spans="2:10" s="37" customFormat="1" ht="13.5">
      <c r="B31" s="48"/>
      <c r="C31" s="157"/>
      <c r="D31" s="156"/>
      <c r="E31" s="156"/>
      <c r="F31" s="156"/>
      <c r="G31" s="156"/>
      <c r="H31" s="156"/>
      <c r="I31" s="156"/>
      <c r="J31" s="156"/>
    </row>
    <row r="32" spans="2:10" s="37" customFormat="1" ht="13.5">
      <c r="B32" s="48"/>
      <c r="C32" s="153" t="s">
        <v>443</v>
      </c>
      <c r="D32" s="154">
        <f t="shared" ref="D32:H32" si="9">SUBTOTAL(9,D33:D107)</f>
        <v>2674684.0738184182</v>
      </c>
      <c r="E32" s="154">
        <f t="shared" si="9"/>
        <v>2675800.3343039989</v>
      </c>
      <c r="F32" s="154">
        <f t="shared" si="9"/>
        <v>2628144.9975151983</v>
      </c>
      <c r="G32" s="154">
        <f t="shared" si="9"/>
        <v>2666628.0749422209</v>
      </c>
      <c r="H32" s="154">
        <f t="shared" si="9"/>
        <v>2553885.5445198719</v>
      </c>
      <c r="I32" s="154">
        <f t="shared" ref="I32" si="10">SUBTOTAL(9,I33:I107)</f>
        <v>2563037.7398309736</v>
      </c>
      <c r="J32" s="154">
        <f t="shared" ref="J32:J58" si="11">SUM(D32:I32)</f>
        <v>15762180.76493068</v>
      </c>
    </row>
    <row r="33" spans="2:10" s="37" customFormat="1" ht="13.5">
      <c r="B33" s="48" t="s">
        <v>275</v>
      </c>
      <c r="C33" s="155" t="s">
        <v>275</v>
      </c>
      <c r="D33" s="154">
        <f t="shared" ref="D33:H33" si="12">SUBTOTAL(9,D34:D36)</f>
        <v>36167.185476338418</v>
      </c>
      <c r="E33" s="154">
        <f t="shared" si="12"/>
        <v>36182.279595459666</v>
      </c>
      <c r="F33" s="154">
        <f t="shared" si="12"/>
        <v>35623.24165238288</v>
      </c>
      <c r="G33" s="154">
        <f t="shared" si="12"/>
        <v>36058.251935960834</v>
      </c>
      <c r="H33" s="154">
        <f t="shared" si="12"/>
        <v>34616.690475972406</v>
      </c>
      <c r="I33" s="154">
        <f t="shared" ref="I33" si="13">SUBTOTAL(9,I34:I36)</f>
        <v>34657.499263823411</v>
      </c>
      <c r="J33" s="156">
        <f t="shared" si="11"/>
        <v>213305.14839993761</v>
      </c>
    </row>
    <row r="34" spans="2:10" s="37" customFormat="1" ht="13.5">
      <c r="B34" s="48"/>
      <c r="C34" s="160" t="s">
        <v>304</v>
      </c>
      <c r="D34" s="156">
        <f>$D$11*F801D!K22+$F$11*F801EVE!K22+$G$11*F801EVE!R22+$H$11*F801EVE!Y22</f>
        <v>35763.580382982269</v>
      </c>
      <c r="E34" s="156">
        <f>$D$11*F801D!L22+$F$11*F801EVE!L22+$G$11*F801EVE!S22+$H$11*F801EVE!Z22</f>
        <v>35778.506060371685</v>
      </c>
      <c r="F34" s="156">
        <f>$D$11*F801D!M22+$F$11*F801EVE!M22+$G$11*F801EVE!T22+$H$11*F801EVE!AA22</f>
        <v>35222.773877686501</v>
      </c>
      <c r="G34" s="156">
        <f>$D$11*F801D!N22+$F$11*F801EVE!N22+$G$11*F801EVE!U22+$H$11*F801EVE!AB22</f>
        <v>35655.86247857842</v>
      </c>
      <c r="H34" s="156">
        <f>$D$11*F801D!O22+$F$11*F801EVE!O22+$G$11*F801EVE!V22+$H$11*F801EVE!AC22</f>
        <v>34227.538103553794</v>
      </c>
      <c r="I34" s="156">
        <f>$D$11*F801D!P22+$F$11*F801EVE!P22+$G$11*F801EVE!W22+$H$11*F801EVE!AD22</f>
        <v>34270.741404685672</v>
      </c>
      <c r="J34" s="156">
        <f t="shared" si="11"/>
        <v>210919.00230785832</v>
      </c>
    </row>
    <row r="35" spans="2:10" s="37" customFormat="1" ht="13.5">
      <c r="B35" s="48"/>
      <c r="C35" s="161" t="s">
        <v>306</v>
      </c>
      <c r="D35" s="156">
        <f>($D$11*F801D!K23+$F$11*F801EVE!K23+$G$11*F801EVE!R23+$H$11*F801EVE!Y23)*1</f>
        <v>276.44459564985584</v>
      </c>
      <c r="E35" s="156">
        <f>($D$11*F801D!L23+$F$11*F801EVE!L23+$G$11*F801EVE!S23+$H$11*F801EVE!Z23)*1</f>
        <v>276.55996784711721</v>
      </c>
      <c r="F35" s="156">
        <f>($D$11*F801D!M23+$F$11*F801EVE!M23+$G$11*F801EVE!T23+$H$11*F801EVE!AA23)*1</f>
        <v>274.77338519504008</v>
      </c>
      <c r="G35" s="156">
        <f>($D$11*F801D!N23+$F$11*F801EVE!N23+$G$11*F801EVE!U23+$H$11*F801EVE!AB23)*1</f>
        <v>275.61195998507378</v>
      </c>
      <c r="H35" s="156">
        <f>($D$11*F801D!O23+$F$11*F801EVE!O23+$G$11*F801EVE!V23+$H$11*F801EVE!AC23)*1</f>
        <v>267.00953605370682</v>
      </c>
      <c r="I35" s="156">
        <f>($D$11*F801D!P23+$F$11*F801EVE!P23+$G$11*F801EVE!W23+$H$11*F801EVE!AD23)*1</f>
        <v>264.90527930327664</v>
      </c>
      <c r="J35" s="156">
        <f t="shared" si="11"/>
        <v>1635.3047240340707</v>
      </c>
    </row>
    <row r="36" spans="2:10" s="37" customFormat="1" ht="13.5">
      <c r="B36" s="48"/>
      <c r="C36" s="160" t="s">
        <v>305</v>
      </c>
      <c r="D36" s="156">
        <f>($D$11*F801D!K24+$F$11*F801EVE!K24+$G$11*F801EVE!R24+$H$11*F801EVE!Y24)*95%</f>
        <v>127.16049770629495</v>
      </c>
      <c r="E36" s="156">
        <f>($D$11*F801D!L24+$F$11*F801EVE!L24+$G$11*F801EVE!S24+$H$11*F801EVE!Z24)*95%</f>
        <v>127.21356724086382</v>
      </c>
      <c r="F36" s="156">
        <f>($D$11*F801D!M24+$F$11*F801EVE!M24+$G$11*F801EVE!T24+$H$11*F801EVE!AA24)*95%</f>
        <v>125.69438950134233</v>
      </c>
      <c r="G36" s="156">
        <f>($D$11*F801D!N24+$F$11*F801EVE!N24+$G$11*F801EVE!U24+$H$11*F801EVE!AB24)*95%</f>
        <v>126.77749739734404</v>
      </c>
      <c r="H36" s="156">
        <f>($D$11*F801D!O24+$F$11*F801EVE!O24+$G$11*F801EVE!V24+$H$11*F801EVE!AC24)*95%</f>
        <v>122.14283636489972</v>
      </c>
      <c r="I36" s="156">
        <f>($D$11*F801D!P24+$F$11*F801EVE!P24+$G$11*F801EVE!W24+$H$11*F801EVE!AD24)*95%</f>
        <v>121.85257983446236</v>
      </c>
      <c r="J36" s="156">
        <f t="shared" si="11"/>
        <v>750.84136804520733</v>
      </c>
    </row>
    <row r="37" spans="2:10" s="37" customFormat="1" ht="13.5">
      <c r="B37" s="48" t="s">
        <v>274</v>
      </c>
      <c r="C37" s="158" t="s">
        <v>627</v>
      </c>
      <c r="D37" s="154">
        <f t="shared" ref="D37:H37" si="14">SUBTOTAL(9,D38:D43)</f>
        <v>425770.51263573713</v>
      </c>
      <c r="E37" s="154">
        <f t="shared" si="14"/>
        <v>425948.20494857256</v>
      </c>
      <c r="F37" s="154">
        <f t="shared" si="14"/>
        <v>419062.94462818286</v>
      </c>
      <c r="G37" s="154">
        <f t="shared" si="14"/>
        <v>424488.11565850663</v>
      </c>
      <c r="H37" s="154">
        <f t="shared" si="14"/>
        <v>407222.12721966038</v>
      </c>
      <c r="I37" s="154">
        <f t="shared" ref="I37" si="15">SUBTOTAL(9,I38:I43)</f>
        <v>407998.0522090848</v>
      </c>
      <c r="J37" s="159">
        <f t="shared" si="11"/>
        <v>2510489.9572997442</v>
      </c>
    </row>
    <row r="38" spans="2:10" s="37" customFormat="1" ht="13.5">
      <c r="B38" s="48"/>
      <c r="C38" s="160" t="s">
        <v>304</v>
      </c>
      <c r="D38" s="156">
        <f>($D$12*F801D!D28+$E$12*F801EVE!D28)*1</f>
        <v>424995.42228126328</v>
      </c>
      <c r="E38" s="156">
        <f>($D$12*F801D!E28+$E$12*F801EVE!E28)*1</f>
        <v>425172.79111561988</v>
      </c>
      <c r="F38" s="156">
        <f>($D$12*F801D!F28+$E$12*F801EVE!F28)*1</f>
        <v>418299.79237975244</v>
      </c>
      <c r="G38" s="156">
        <f>($D$12*F801D!G28+$E$12*F801EVE!G28)*1</f>
        <v>423715.35983284155</v>
      </c>
      <c r="H38" s="156">
        <f>($D$12*F801D!H28+$E$12*F801EVE!H28)*1</f>
        <v>406480.53819113388</v>
      </c>
      <c r="I38" s="156">
        <f>($D$12*F801D!I28+$E$12*F801EVE!I28)*1</f>
        <v>407255.31558095681</v>
      </c>
      <c r="J38" s="156">
        <f t="shared" si="11"/>
        <v>2505919.219381568</v>
      </c>
    </row>
    <row r="39" spans="2:10" s="37" customFormat="1" ht="13.5">
      <c r="B39" s="48"/>
      <c r="C39" s="161" t="s">
        <v>628</v>
      </c>
      <c r="D39" s="156">
        <f>($D$12*F801D!D29+$E$12*F801EVE!D29)*0.75</f>
        <v>33.714199582588208</v>
      </c>
      <c r="E39" s="156">
        <f>($D$12*F801D!E29+$E$12*F801EVE!E29)*0.75</f>
        <v>33.728269965391704</v>
      </c>
      <c r="F39" s="156">
        <f>($D$12*F801D!F29+$E$12*F801EVE!F29)*0.75</f>
        <v>33.091233835767227</v>
      </c>
      <c r="G39" s="156">
        <f>($D$12*F801D!G29+$E$12*F801EVE!G29)*0.75</f>
        <v>33.612654298564642</v>
      </c>
      <c r="H39" s="156">
        <f>($D$12*F801D!H29+$E$12*F801EVE!H29)*0.75</f>
        <v>32.156225711821328</v>
      </c>
      <c r="I39" s="156">
        <f>($D$12*F801D!I29+$E$12*F801EVE!I29)*0.75</f>
        <v>32.306905605866916</v>
      </c>
      <c r="J39" s="156">
        <f>SUM(D39:I39)</f>
        <v>198.60948900000002</v>
      </c>
    </row>
    <row r="40" spans="2:10" s="37" customFormat="1" ht="13.5">
      <c r="B40" s="48"/>
      <c r="C40" s="161" t="s">
        <v>629</v>
      </c>
      <c r="D40" s="156">
        <f>($D$12*F801D!D30+$E$12*F801EVE!D30)*1</f>
        <v>219.37806526282557</v>
      </c>
      <c r="E40" s="156">
        <f>($D$12*F801D!E30+$E$12*F801EVE!E30)*1</f>
        <v>219.46962114714594</v>
      </c>
      <c r="F40" s="156">
        <f>($D$12*F801D!F30+$E$12*F801EVE!F30)*1</f>
        <v>216.64165294133144</v>
      </c>
      <c r="G40" s="156">
        <f>($D$12*F801D!G30+$E$12*F801EVE!G30)*1</f>
        <v>218.71731079671156</v>
      </c>
      <c r="H40" s="156">
        <f>($D$12*F801D!H30+$E$12*F801EVE!H30)*1</f>
        <v>210.52034279343755</v>
      </c>
      <c r="I40" s="156">
        <f>($D$12*F801D!I30+$E$12*F801EVE!I30)*1</f>
        <v>210.22081301625025</v>
      </c>
      <c r="J40" s="156">
        <f>SUM(D40:I40)</f>
        <v>1294.9478059577025</v>
      </c>
    </row>
    <row r="41" spans="2:10" s="37" customFormat="1" ht="13.5">
      <c r="B41" s="48"/>
      <c r="C41" s="160" t="s">
        <v>305</v>
      </c>
      <c r="D41" s="156">
        <f>($D$12*F801D!D31+$E$12*F801EVE!D31)*0.95</f>
        <v>481.04158050590036</v>
      </c>
      <c r="E41" s="156">
        <f>($D$12*F801D!E31+$E$12*F801EVE!E31)*0.95</f>
        <v>481.24233980809089</v>
      </c>
      <c r="F41" s="156">
        <f>($D$12*F801D!F31+$E$12*F801EVE!F31)*0.95</f>
        <v>473.21964054911143</v>
      </c>
      <c r="G41" s="156">
        <f>($D$12*F801D!G31+$E$12*F801EVE!G31)*0.95</f>
        <v>479.59271016270992</v>
      </c>
      <c r="H41" s="156">
        <f>($D$12*F801D!H31+$E$12*F801EVE!H31)*0.95</f>
        <v>459.84860063805411</v>
      </c>
      <c r="I41" s="156">
        <f>($D$12*F801D!I31+$E$12*F801EVE!I31)*0.95</f>
        <v>460.96200195502576</v>
      </c>
      <c r="J41" s="156">
        <f t="shared" si="11"/>
        <v>2835.9068736188924</v>
      </c>
    </row>
    <row r="42" spans="2:10" s="37" customFormat="1" ht="13.5">
      <c r="B42" s="48"/>
      <c r="C42" s="160" t="s">
        <v>307</v>
      </c>
      <c r="D42" s="156">
        <f>($D$12*F801D!D32+$E$12*F801EVE!D32)*0.5</f>
        <v>40.956509122551594</v>
      </c>
      <c r="E42" s="156">
        <f>($D$12*F801D!E32+$E$12*F801EVE!E32)*0.5</f>
        <v>40.973602032031394</v>
      </c>
      <c r="F42" s="156">
        <f>($D$12*F801D!F32+$E$12*F801EVE!F32)*0.5</f>
        <v>40.199721104191291</v>
      </c>
      <c r="G42" s="156">
        <f>($D$12*F801D!G32+$E$12*F801EVE!G32)*0.5</f>
        <v>40.83315040714519</v>
      </c>
      <c r="H42" s="156">
        <f>($D$12*F801D!H32+$E$12*F801EVE!H32)*0.5</f>
        <v>39.063859383249614</v>
      </c>
      <c r="I42" s="156">
        <f>($D$12*F801D!I32+$E$12*F801EVE!I32)*0.5</f>
        <v>39.246907550830912</v>
      </c>
      <c r="J42" s="156">
        <f t="shared" si="11"/>
        <v>241.2737496</v>
      </c>
    </row>
    <row r="43" spans="2:10" s="37" customFormat="1" ht="13.5">
      <c r="B43" s="48"/>
      <c r="C43" s="160" t="s">
        <v>624</v>
      </c>
      <c r="D43" s="156">
        <f>($D$12*F801D!D33+$E$12*F801EVE!D33)*0</f>
        <v>0</v>
      </c>
      <c r="E43" s="156">
        <f>($D$12*F801D!E33+$E$12*F801EVE!E33)*0</f>
        <v>0</v>
      </c>
      <c r="F43" s="156">
        <f>($D$12*F801D!F33+$E$12*F801EVE!F33)*0</f>
        <v>0</v>
      </c>
      <c r="G43" s="156">
        <f>($D$12*F801D!G33+$E$12*F801EVE!G33)*0</f>
        <v>0</v>
      </c>
      <c r="H43" s="156">
        <f>($D$12*F801D!H33+$E$12*F801EVE!H33)*0</f>
        <v>0</v>
      </c>
      <c r="I43" s="156">
        <f>($D$12*F801D!I33+$E$12*F801EVE!I33)*0</f>
        <v>0</v>
      </c>
      <c r="J43" s="156">
        <f t="shared" si="11"/>
        <v>0</v>
      </c>
    </row>
    <row r="44" spans="2:10" s="37" customFormat="1" ht="13.5">
      <c r="B44" s="48" t="s">
        <v>274</v>
      </c>
      <c r="C44" s="158" t="s">
        <v>631</v>
      </c>
      <c r="D44" s="154">
        <f t="shared" ref="D44:H44" si="16">SUBTOTAL(9,D45:D48)</f>
        <v>206060.51444914078</v>
      </c>
      <c r="E44" s="154">
        <f t="shared" si="16"/>
        <v>206146.51234779714</v>
      </c>
      <c r="F44" s="154">
        <f t="shared" si="16"/>
        <v>203165.18534543342</v>
      </c>
      <c r="G44" s="154">
        <f t="shared" si="16"/>
        <v>205439.87170143082</v>
      </c>
      <c r="H44" s="154">
        <f t="shared" si="16"/>
        <v>197424.65902526845</v>
      </c>
      <c r="I44" s="154">
        <f t="shared" ref="I44" si="17">SUBTOTAL(9,I45:I48)</f>
        <v>197459.16177238521</v>
      </c>
      <c r="J44" s="159">
        <f t="shared" si="11"/>
        <v>1215695.9046414557</v>
      </c>
    </row>
    <row r="45" spans="2:10" s="37" customFormat="1" ht="13.5">
      <c r="B45" s="48"/>
      <c r="C45" s="160" t="s">
        <v>304</v>
      </c>
      <c r="D45" s="156">
        <f>($D$12*F801D!D35+$E$12*F801EVE!D35)*1</f>
        <v>205892.39178413604</v>
      </c>
      <c r="E45" s="156">
        <f>($D$12*F801D!E35+$E$12*F801EVE!E35)*1</f>
        <v>205978.31951798694</v>
      </c>
      <c r="F45" s="156">
        <f>($D$12*F801D!F35+$E$12*F801EVE!F35)*1</f>
        <v>202998.76709817763</v>
      </c>
      <c r="G45" s="156">
        <f>($D$12*F801D!G35+$E$12*F801EVE!G35)*1</f>
        <v>205272.25541249252</v>
      </c>
      <c r="H45" s="156">
        <f>($D$12*F801D!H35+$E$12*F801EVE!H35)*1</f>
        <v>197262.94300259362</v>
      </c>
      <c r="I45" s="156">
        <f>($D$12*F801D!I35+$E$12*F801EVE!I35)*1</f>
        <v>197298.0568630069</v>
      </c>
      <c r="J45" s="156">
        <f t="shared" si="11"/>
        <v>1214702.7336783935</v>
      </c>
    </row>
    <row r="46" spans="2:10" s="37" customFormat="1" ht="13.5">
      <c r="B46" s="48"/>
      <c r="C46" s="161" t="s">
        <v>306</v>
      </c>
      <c r="D46" s="156">
        <f>($D$12*F801D!D36+$E$12*F801EVE!D36)*1</f>
        <v>0</v>
      </c>
      <c r="E46" s="156">
        <f>($D$12*F801D!E36+$E$12*F801EVE!E36)*1</f>
        <v>0</v>
      </c>
      <c r="F46" s="156">
        <f>($D$12*F801D!F36+$E$12*F801EVE!F36)*1</f>
        <v>0</v>
      </c>
      <c r="G46" s="156">
        <f>($D$12*F801D!G36+$E$12*F801EVE!G36)*1</f>
        <v>0</v>
      </c>
      <c r="H46" s="156">
        <f>($D$12*F801D!H36+$E$12*F801EVE!H36)*1</f>
        <v>0</v>
      </c>
      <c r="I46" s="156">
        <f>($D$12*F801D!I36+$E$12*F801EVE!I36)*1</f>
        <v>0</v>
      </c>
      <c r="J46" s="156">
        <f>SUM(D46:I46)</f>
        <v>0</v>
      </c>
    </row>
    <row r="47" spans="2:10" s="37" customFormat="1" ht="13.5">
      <c r="B47" s="48"/>
      <c r="C47" s="160" t="s">
        <v>305</v>
      </c>
      <c r="D47" s="156">
        <f>($D$12*F801D!D37+$E$12*F801EVE!D37)*0.95</f>
        <v>168.12266500475579</v>
      </c>
      <c r="E47" s="156">
        <f>($D$12*F801D!E37+$E$12*F801EVE!E37)*0.95</f>
        <v>168.19282981020419</v>
      </c>
      <c r="F47" s="156">
        <f>($D$12*F801D!F37+$E$12*F801EVE!F37)*0.95</f>
        <v>166.41824725580096</v>
      </c>
      <c r="G47" s="156">
        <f>($D$12*F801D!G37+$E$12*F801EVE!G37)*0.95</f>
        <v>167.61628893828902</v>
      </c>
      <c r="H47" s="156">
        <f>($D$12*F801D!H37+$E$12*F801EVE!H37)*0.95</f>
        <v>161.71602267483581</v>
      </c>
      <c r="I47" s="156">
        <f>($D$12*F801D!I37+$E$12*F801EVE!I37)*0.95</f>
        <v>161.10490937831892</v>
      </c>
      <c r="J47" s="156">
        <f t="shared" si="11"/>
        <v>993.17096306220458</v>
      </c>
    </row>
    <row r="48" spans="2:10" s="37" customFormat="1" ht="13.5">
      <c r="B48" s="48"/>
      <c r="C48" s="160" t="s">
        <v>307</v>
      </c>
      <c r="D48" s="156">
        <f>($D$12*F801D!D38+$E$12*F801EVE!D38)*0.5</f>
        <v>0</v>
      </c>
      <c r="E48" s="156">
        <f>($D$12*F801D!E38+$E$12*F801EVE!E38)*0.5</f>
        <v>0</v>
      </c>
      <c r="F48" s="156">
        <f>($D$12*F801D!F38+$E$12*F801EVE!F38)*0.5</f>
        <v>0</v>
      </c>
      <c r="G48" s="156">
        <f>($D$12*F801D!G38+$E$12*F801EVE!G38)*0.5</f>
        <v>0</v>
      </c>
      <c r="H48" s="156">
        <f>($D$12*F801D!H38+$E$12*F801EVE!H38)*0.5</f>
        <v>0</v>
      </c>
      <c r="I48" s="156">
        <f>($D$12*F801D!I38+$E$12*F801EVE!I38)*0.5</f>
        <v>0</v>
      </c>
      <c r="J48" s="156">
        <f t="shared" si="11"/>
        <v>0</v>
      </c>
    </row>
    <row r="49" spans="2:10" s="37" customFormat="1" ht="13.5">
      <c r="B49" s="48" t="s">
        <v>274</v>
      </c>
      <c r="C49" s="158" t="s">
        <v>632</v>
      </c>
      <c r="D49" s="154">
        <f t="shared" ref="D49:H49" si="18">SUBTOTAL(9,D50:D53)</f>
        <v>60272.907692740475</v>
      </c>
      <c r="E49" s="154">
        <f t="shared" si="18"/>
        <v>60298.062164577757</v>
      </c>
      <c r="F49" s="154">
        <f t="shared" si="18"/>
        <v>59491.0864717062</v>
      </c>
      <c r="G49" s="154">
        <f t="shared" si="18"/>
        <v>60091.369064911196</v>
      </c>
      <c r="H49" s="154">
        <f t="shared" si="18"/>
        <v>57810.138295839439</v>
      </c>
      <c r="I49" s="154">
        <f t="shared" ref="I49" si="19">SUBTOTAL(9,I50:I53)</f>
        <v>57757.003385189353</v>
      </c>
      <c r="J49" s="159">
        <f t="shared" si="11"/>
        <v>355720.56707496441</v>
      </c>
    </row>
    <row r="50" spans="2:10" s="37" customFormat="1" ht="13.5">
      <c r="B50" s="48"/>
      <c r="C50" s="160" t="s">
        <v>304</v>
      </c>
      <c r="D50" s="156">
        <f>($D$12*F801D!D40+$E$12*F801EVE!D40)*1</f>
        <v>60272.907692740475</v>
      </c>
      <c r="E50" s="156">
        <f>($D$12*F801D!E40+$E$12*F801EVE!E40)*1</f>
        <v>60298.062164577757</v>
      </c>
      <c r="F50" s="156">
        <f>($D$12*F801D!F40+$E$12*F801EVE!F40)*1</f>
        <v>59491.0864717062</v>
      </c>
      <c r="G50" s="156">
        <f>($D$12*F801D!G40+$E$12*F801EVE!G40)*1</f>
        <v>60091.369064911196</v>
      </c>
      <c r="H50" s="156">
        <f>($D$12*F801D!H40+$E$12*F801EVE!H40)*1</f>
        <v>57810.138295839439</v>
      </c>
      <c r="I50" s="156">
        <f>($D$12*F801D!I40+$E$12*F801EVE!I40)*1</f>
        <v>57757.003385189353</v>
      </c>
      <c r="J50" s="156">
        <f t="shared" si="11"/>
        <v>355720.56707496441</v>
      </c>
    </row>
    <row r="51" spans="2:10" s="37" customFormat="1" ht="13.5">
      <c r="B51" s="48"/>
      <c r="C51" s="161" t="s">
        <v>306</v>
      </c>
      <c r="D51" s="156">
        <f>($D$12*F801D!D41+$E$12*F801EVE!D41)*1</f>
        <v>0</v>
      </c>
      <c r="E51" s="156">
        <f>($D$12*F801D!E41+$E$12*F801EVE!E41)*1</f>
        <v>0</v>
      </c>
      <c r="F51" s="156">
        <f>($D$12*F801D!F41+$E$12*F801EVE!F41)*1</f>
        <v>0</v>
      </c>
      <c r="G51" s="156">
        <f>($D$12*F801D!G41+$E$12*F801EVE!G41)*1</f>
        <v>0</v>
      </c>
      <c r="H51" s="156">
        <f>($D$12*F801D!H41+$E$12*F801EVE!H41)*1</f>
        <v>0</v>
      </c>
      <c r="I51" s="156">
        <f>($D$12*F801D!I41+$E$12*F801EVE!I41)*1</f>
        <v>0</v>
      </c>
      <c r="J51" s="156">
        <f>SUM(D51:I51)</f>
        <v>0</v>
      </c>
    </row>
    <row r="52" spans="2:10" s="37" customFormat="1" ht="13.5">
      <c r="B52" s="48"/>
      <c r="C52" s="160" t="s">
        <v>305</v>
      </c>
      <c r="D52" s="156">
        <f>($D$12*F801D!D42+$E$12*F801EVE!D42)*0.95</f>
        <v>0</v>
      </c>
      <c r="E52" s="156">
        <f>($D$12*F801D!E42+$E$12*F801EVE!E42)*0.95</f>
        <v>0</v>
      </c>
      <c r="F52" s="156">
        <f>($D$12*F801D!F42+$E$12*F801EVE!F42)*0.95</f>
        <v>0</v>
      </c>
      <c r="G52" s="156">
        <f>($D$12*F801D!G42+$E$12*F801EVE!G42)*0.95</f>
        <v>0</v>
      </c>
      <c r="H52" s="156">
        <f>($D$12*F801D!H42+$E$12*F801EVE!H42)*0.95</f>
        <v>0</v>
      </c>
      <c r="I52" s="156">
        <f>($D$12*F801D!I42+$E$12*F801EVE!I42)*0.95</f>
        <v>0</v>
      </c>
      <c r="J52" s="156">
        <f t="shared" si="11"/>
        <v>0</v>
      </c>
    </row>
    <row r="53" spans="2:10" s="37" customFormat="1" ht="13.5">
      <c r="B53" s="48"/>
      <c r="C53" s="160" t="s">
        <v>307</v>
      </c>
      <c r="D53" s="156">
        <f>($D$12*F801D!D43+$E$12*F801EVE!D43)*0.5</f>
        <v>0</v>
      </c>
      <c r="E53" s="156">
        <f>($D$12*F801D!E43+$E$12*F801EVE!E43)*0.5</f>
        <v>0</v>
      </c>
      <c r="F53" s="156">
        <f>($D$12*F801D!F43+$E$12*F801EVE!F43)*0.5</f>
        <v>0</v>
      </c>
      <c r="G53" s="156">
        <f>($D$12*F801D!G43+$E$12*F801EVE!G43)*0.5</f>
        <v>0</v>
      </c>
      <c r="H53" s="156">
        <f>($D$12*F801D!H43+$E$12*F801EVE!H43)*0.5</f>
        <v>0</v>
      </c>
      <c r="I53" s="156">
        <f>($D$12*F801D!I43+$E$12*F801EVE!I43)*0.5</f>
        <v>0</v>
      </c>
      <c r="J53" s="156">
        <f t="shared" si="11"/>
        <v>0</v>
      </c>
    </row>
    <row r="54" spans="2:10" s="37" customFormat="1" ht="13.5">
      <c r="B54" s="48" t="s">
        <v>274</v>
      </c>
      <c r="C54" s="158" t="s">
        <v>633</v>
      </c>
      <c r="D54" s="154">
        <f t="shared" ref="D54:H54" si="20">SUBTOTAL(9,D55:D58)</f>
        <v>61518.971627773448</v>
      </c>
      <c r="E54" s="154">
        <f t="shared" si="20"/>
        <v>61544.64613558312</v>
      </c>
      <c r="F54" s="154">
        <f t="shared" si="20"/>
        <v>60737.335908693218</v>
      </c>
      <c r="G54" s="154">
        <f t="shared" si="20"/>
        <v>61333.679925045137</v>
      </c>
      <c r="H54" s="154">
        <f t="shared" si="20"/>
        <v>59021.174378322095</v>
      </c>
      <c r="I54" s="154">
        <f t="shared" ref="I54" si="21">SUBTOTAL(9,I55:I58)</f>
        <v>58951.054272542344</v>
      </c>
      <c r="J54" s="159">
        <f t="shared" si="11"/>
        <v>363106.86224795942</v>
      </c>
    </row>
    <row r="55" spans="2:10" s="37" customFormat="1" ht="13.5">
      <c r="B55" s="48"/>
      <c r="C55" s="160" t="s">
        <v>304</v>
      </c>
      <c r="D55" s="156">
        <f>($D$12*F801D!D45+$E$12*F801EVE!D45)*1</f>
        <v>61518.971627773448</v>
      </c>
      <c r="E55" s="156">
        <f>($D$12*F801D!E45+$E$12*F801EVE!E45)*1</f>
        <v>61544.64613558312</v>
      </c>
      <c r="F55" s="156">
        <f>($D$12*F801D!F45+$E$12*F801EVE!F45)*1</f>
        <v>60737.335908693218</v>
      </c>
      <c r="G55" s="156">
        <f>($D$12*F801D!G45+$E$12*F801EVE!G45)*1</f>
        <v>61333.679925045137</v>
      </c>
      <c r="H55" s="156">
        <f>($D$12*F801D!H45+$E$12*F801EVE!H45)*1</f>
        <v>59021.174378322095</v>
      </c>
      <c r="I55" s="156">
        <f>($D$12*F801D!I45+$E$12*F801EVE!I45)*1</f>
        <v>58951.054272542344</v>
      </c>
      <c r="J55" s="156">
        <f t="shared" si="11"/>
        <v>363106.86224795942</v>
      </c>
    </row>
    <row r="56" spans="2:10" s="37" customFormat="1" ht="13.5">
      <c r="B56" s="48"/>
      <c r="C56" s="161" t="s">
        <v>306</v>
      </c>
      <c r="D56" s="156">
        <f>($D$12*F801D!D46+$E$12*F801EVE!D46)*1</f>
        <v>0</v>
      </c>
      <c r="E56" s="156">
        <f>($D$12*F801D!E46+$E$12*F801EVE!E46)*1</f>
        <v>0</v>
      </c>
      <c r="F56" s="156">
        <f>($D$12*F801D!F46+$E$12*F801EVE!F46)*1</f>
        <v>0</v>
      </c>
      <c r="G56" s="156">
        <f>($D$12*F801D!G46+$E$12*F801EVE!G46)*1</f>
        <v>0</v>
      </c>
      <c r="H56" s="156">
        <f>($D$12*F801D!H46+$E$12*F801EVE!H46)*1</f>
        <v>0</v>
      </c>
      <c r="I56" s="156">
        <f>($D$12*F801D!I46+$E$12*F801EVE!I46)*1</f>
        <v>0</v>
      </c>
      <c r="J56" s="156">
        <f>SUM(D56:I56)</f>
        <v>0</v>
      </c>
    </row>
    <row r="57" spans="2:10" s="37" customFormat="1" ht="13.5">
      <c r="B57" s="48"/>
      <c r="C57" s="160" t="s">
        <v>305</v>
      </c>
      <c r="D57" s="156">
        <f>($D$12*F801D!D47+$E$12*F801EVE!D47)*0.95</f>
        <v>0</v>
      </c>
      <c r="E57" s="156">
        <f>($D$12*F801D!E47+$E$12*F801EVE!E47)*0.95</f>
        <v>0</v>
      </c>
      <c r="F57" s="156">
        <f>($D$12*F801D!F47+$E$12*F801EVE!F47)*0.95</f>
        <v>0</v>
      </c>
      <c r="G57" s="156">
        <f>($D$12*F801D!G47+$E$12*F801EVE!G47)*0.95</f>
        <v>0</v>
      </c>
      <c r="H57" s="156">
        <f>($D$12*F801D!H47+$E$12*F801EVE!H47)*0.95</f>
        <v>0</v>
      </c>
      <c r="I57" s="156">
        <f>($D$12*F801D!I47+$E$12*F801EVE!I47)*0.95</f>
        <v>0</v>
      </c>
      <c r="J57" s="156">
        <f t="shared" si="11"/>
        <v>0</v>
      </c>
    </row>
    <row r="58" spans="2:10" s="37" customFormat="1" ht="13.5">
      <c r="B58" s="48"/>
      <c r="C58" s="160" t="s">
        <v>307</v>
      </c>
      <c r="D58" s="156">
        <f>($D$12*F801D!D48+$E$12*F801EVE!D48)*0.5</f>
        <v>0</v>
      </c>
      <c r="E58" s="156">
        <f>($D$12*F801D!E48+$E$12*F801EVE!E48)*0.5</f>
        <v>0</v>
      </c>
      <c r="F58" s="156">
        <f>($D$12*F801D!F48+$E$12*F801EVE!F48)*0.5</f>
        <v>0</v>
      </c>
      <c r="G58" s="156">
        <f>($D$12*F801D!G48+$E$12*F801EVE!G48)*0.5</f>
        <v>0</v>
      </c>
      <c r="H58" s="156">
        <f>($D$12*F801D!H48+$E$12*F801EVE!H48)*0.5</f>
        <v>0</v>
      </c>
      <c r="I58" s="156">
        <f>($D$12*F801D!I48+$E$12*F801EVE!I48)*0.5</f>
        <v>0</v>
      </c>
      <c r="J58" s="156">
        <f t="shared" si="11"/>
        <v>0</v>
      </c>
    </row>
    <row r="59" spans="2:10" s="37" customFormat="1" ht="13.5">
      <c r="B59" s="48"/>
      <c r="C59" s="157"/>
      <c r="D59" s="156"/>
      <c r="E59" s="156"/>
      <c r="F59" s="156"/>
      <c r="G59" s="156"/>
      <c r="H59" s="156"/>
      <c r="I59" s="156"/>
      <c r="J59" s="156"/>
    </row>
    <row r="60" spans="2:10" s="37" customFormat="1" ht="13.5">
      <c r="B60" s="48" t="s">
        <v>1176</v>
      </c>
      <c r="C60" s="158" t="str">
        <f>F801EVE!C50</f>
        <v>BTSH</v>
      </c>
      <c r="D60" s="154">
        <f t="shared" ref="D60:H60" si="22">SUBTOTAL(9,D61:D66)</f>
        <v>12.149999999999999</v>
      </c>
      <c r="E60" s="154">
        <f t="shared" si="22"/>
        <v>12.149999999999999</v>
      </c>
      <c r="F60" s="154">
        <f t="shared" si="22"/>
        <v>12.149999999999999</v>
      </c>
      <c r="G60" s="154">
        <f t="shared" si="22"/>
        <v>12.149999999999999</v>
      </c>
      <c r="H60" s="154">
        <f t="shared" si="22"/>
        <v>12.149999999999999</v>
      </c>
      <c r="I60" s="154">
        <f t="shared" ref="I60" si="23">SUBTOTAL(9,I61:I66)</f>
        <v>12.149999999999999</v>
      </c>
      <c r="J60" s="154">
        <f>SUM(D60:I60)</f>
        <v>72.899999999999991</v>
      </c>
    </row>
    <row r="61" spans="2:10" s="37" customFormat="1" ht="13.5">
      <c r="B61" s="48"/>
      <c r="C61" s="160" t="str">
        <f>F801EVE!C51</f>
        <v xml:space="preserve">    - Regulares</v>
      </c>
      <c r="D61" s="156">
        <f>($F$14*F801EVE!K51+$G$14*F801EVE!R51+$H$14*F801EVE!Y51)*1</f>
        <v>12.149999999999999</v>
      </c>
      <c r="E61" s="156">
        <f>($F$14*F801EVE!L51+$G$14*F801EVE!S51+$H$14*F801EVE!Z51)*1</f>
        <v>12.149999999999999</v>
      </c>
      <c r="F61" s="156">
        <f>($F$14*F801EVE!M51+$G$14*F801EVE!T51+$H$14*F801EVE!AA51)*1</f>
        <v>12.149999999999999</v>
      </c>
      <c r="G61" s="156">
        <f>($F$14*F801EVE!N51+$G$14*F801EVE!U51+$H$14*F801EVE!AB51)*1</f>
        <v>12.149999999999999</v>
      </c>
      <c r="H61" s="156">
        <f>($F$14*F801EVE!O51+$G$14*F801EVE!V51+$H$14*F801EVE!AC51)*1</f>
        <v>12.149999999999999</v>
      </c>
      <c r="I61" s="156">
        <f>($F$14*F801EVE!P51+$G$14*F801EVE!W51+$H$14*F801EVE!AD51)*1</f>
        <v>12.149999999999999</v>
      </c>
      <c r="J61" s="156">
        <f t="shared" ref="J61:J66" si="24">SUM(D61:I61)</f>
        <v>72.899999999999991</v>
      </c>
    </row>
    <row r="62" spans="2:10" s="37" customFormat="1" ht="13.5">
      <c r="B62" s="48"/>
      <c r="C62" s="162" t="str">
        <f>F801EVE!C52</f>
        <v xml:space="preserve">    - Jubilados (0 a 600 KWh)</v>
      </c>
      <c r="D62" s="156">
        <f>($F$14*F801EVE!K52+$G$14*F801EVE!R52+$H$14*F801EVE!Y52)*0.75</f>
        <v>0</v>
      </c>
      <c r="E62" s="156">
        <f>($F$14*F801EVE!L52+$G$14*F801EVE!S52+$H$14*F801EVE!Z52)*0.75</f>
        <v>0</v>
      </c>
      <c r="F62" s="156">
        <f>($F$14*F801EVE!M52+$G$14*F801EVE!T52+$H$14*F801EVE!AA52)*0.75</f>
        <v>0</v>
      </c>
      <c r="G62" s="156">
        <f>($F$14*F801EVE!N52+$G$14*F801EVE!U52+$H$14*F801EVE!AB52)*0.75</f>
        <v>0</v>
      </c>
      <c r="H62" s="156">
        <f>($F$14*F801EVE!O52+$G$14*F801EVE!V52+$H$14*F801EVE!AC52)*0.75</f>
        <v>0</v>
      </c>
      <c r="I62" s="156">
        <f>($F$14*F801EVE!P52+$G$14*F801EVE!W52+$H$14*F801EVE!AD52)*0.75</f>
        <v>0</v>
      </c>
      <c r="J62" s="156">
        <f t="shared" si="24"/>
        <v>0</v>
      </c>
    </row>
    <row r="63" spans="2:10" s="37" customFormat="1" ht="13.5">
      <c r="B63" s="48"/>
      <c r="C63" s="162" t="str">
        <f>F801EVE!C53</f>
        <v xml:space="preserve">    - Jubilados (601 y Más KWh)</v>
      </c>
      <c r="D63" s="156">
        <f>($F$14*F801EVE!K53+$G$14*F801EVE!R53+$H$14*F801EVE!Y53)*1</f>
        <v>0</v>
      </c>
      <c r="E63" s="156">
        <f>($F$14*F801EVE!L53+$G$14*F801EVE!S53+$H$14*F801EVE!Z53)*1</f>
        <v>0</v>
      </c>
      <c r="F63" s="156">
        <f>($F$14*F801EVE!M53+$G$14*F801EVE!T53+$H$14*F801EVE!AA53)*1</f>
        <v>0</v>
      </c>
      <c r="G63" s="156">
        <f>($F$14*F801EVE!N53+$G$14*F801EVE!U53+$H$14*F801EVE!AB53)*1</f>
        <v>0</v>
      </c>
      <c r="H63" s="156">
        <f>($F$14*F801EVE!O53+$G$14*F801EVE!V53+$H$14*F801EVE!AC53)*1</f>
        <v>0</v>
      </c>
      <c r="I63" s="156">
        <f>($F$14*F801EVE!P53+$G$14*F801EVE!W53+$H$14*F801EVE!AD53)*1</f>
        <v>0</v>
      </c>
      <c r="J63" s="156">
        <f t="shared" si="24"/>
        <v>0</v>
      </c>
    </row>
    <row r="64" spans="2:10" s="37" customFormat="1" ht="13.5">
      <c r="B64" s="48"/>
      <c r="C64" s="160" t="str">
        <f>F801EVE!C54</f>
        <v xml:space="preserve">    - Agropecuarios</v>
      </c>
      <c r="D64" s="156">
        <f>($F$14*F801EVE!K54+$G$14*F801EVE!R54+$H$14*F801EVE!Y54)*0.95</f>
        <v>0</v>
      </c>
      <c r="E64" s="156">
        <f>($F$14*F801EVE!L54+$G$14*F801EVE!S54+$H$14*F801EVE!Z54)*0.95</f>
        <v>0</v>
      </c>
      <c r="F64" s="156">
        <f>($F$14*F801EVE!M54+$G$14*F801EVE!T54+$H$14*F801EVE!AA54)*0.95</f>
        <v>0</v>
      </c>
      <c r="G64" s="156">
        <f>($F$14*F801EVE!N54+$G$14*F801EVE!U54+$H$14*F801EVE!AB54)*0.95</f>
        <v>0</v>
      </c>
      <c r="H64" s="156">
        <f>($F$14*F801EVE!O54+$G$14*F801EVE!V54+$H$14*F801EVE!AC54)*0.95</f>
        <v>0</v>
      </c>
      <c r="I64" s="156">
        <f>($F$14*F801EVE!P54+$G$14*F801EVE!W54+$H$14*F801EVE!AD54)*0.95</f>
        <v>0</v>
      </c>
      <c r="J64" s="156">
        <f t="shared" si="24"/>
        <v>0</v>
      </c>
    </row>
    <row r="65" spans="2:10" s="37" customFormat="1" ht="13.5">
      <c r="B65" s="48"/>
      <c r="C65" s="160" t="str">
        <f>F801EVE!C55</f>
        <v xml:space="preserve">    - Partidos Políticos</v>
      </c>
      <c r="D65" s="156">
        <f>($F$14*F801EVE!K55+$G$14*F801EVE!R55+$H$14*F801EVE!Y55)*0.5</f>
        <v>0</v>
      </c>
      <c r="E65" s="156">
        <f>($F$14*F801EVE!L55+$G$14*F801EVE!S55+$H$14*F801EVE!Z55)*0.5</f>
        <v>0</v>
      </c>
      <c r="F65" s="156">
        <f>($F$14*F801EVE!M55+$G$14*F801EVE!T55+$H$14*F801EVE!AA55)*0.5</f>
        <v>0</v>
      </c>
      <c r="G65" s="156">
        <f>($F$14*F801EVE!N55+$G$14*F801EVE!U55+$H$14*F801EVE!AB55)*0.5</f>
        <v>0</v>
      </c>
      <c r="H65" s="156">
        <f>($F$14*F801EVE!O55+$G$14*F801EVE!V55+$H$14*F801EVE!AC55)*0.5</f>
        <v>0</v>
      </c>
      <c r="I65" s="156">
        <f>($F$14*F801EVE!P55+$G$14*F801EVE!W55+$H$14*F801EVE!AD55)*0.5</f>
        <v>0</v>
      </c>
      <c r="J65" s="156">
        <f t="shared" si="24"/>
        <v>0</v>
      </c>
    </row>
    <row r="66" spans="2:10" s="37" customFormat="1" ht="13.5">
      <c r="B66" s="48"/>
      <c r="C66" s="160" t="str">
        <f>F801EVE!C56</f>
        <v xml:space="preserve">    - Cruz Roja</v>
      </c>
      <c r="D66" s="156">
        <f>($F$14*F801EVE!K56+$G$14*F801EVE!R56+$H$14*F801EVE!Y56)*0</f>
        <v>0</v>
      </c>
      <c r="E66" s="156">
        <f>($F$14*F801EVE!L56+$G$14*F801EVE!S56+$H$14*F801EVE!Z56)*0</f>
        <v>0</v>
      </c>
      <c r="F66" s="156">
        <f>($F$14*F801EVE!M56+$G$14*F801EVE!T56+$H$14*F801EVE!AA56)*0</f>
        <v>0</v>
      </c>
      <c r="G66" s="156">
        <f>($F$14*F801EVE!N56+$G$14*F801EVE!U56+$H$14*F801EVE!AB56)*0</f>
        <v>0</v>
      </c>
      <c r="H66" s="156">
        <f>($F$14*F801EVE!O56+$G$14*F801EVE!V56+$H$14*F801EVE!AC56)*0</f>
        <v>0</v>
      </c>
      <c r="I66" s="156">
        <f>($F$14*F801EVE!P56+$G$14*F801EVE!W56+$H$14*F801EVE!AD56)*0</f>
        <v>0</v>
      </c>
      <c r="J66" s="156">
        <f t="shared" si="24"/>
        <v>0</v>
      </c>
    </row>
    <row r="67" spans="2:10" s="37" customFormat="1" ht="13.5">
      <c r="B67" s="48" t="s">
        <v>751</v>
      </c>
      <c r="C67" s="158" t="s">
        <v>634</v>
      </c>
      <c r="D67" s="154">
        <f t="shared" ref="D67" si="25">SUBTOTAL(9,D68:D72)</f>
        <v>499797.03312369721</v>
      </c>
      <c r="E67" s="154">
        <f t="shared" ref="E67:I67" si="26">SUBTOTAL(9,E68:E72)</f>
        <v>500005.62495213503</v>
      </c>
      <c r="F67" s="154">
        <f t="shared" si="26"/>
        <v>490561.6366175483</v>
      </c>
      <c r="G67" s="154">
        <f t="shared" si="26"/>
        <v>498291.63581080659</v>
      </c>
      <c r="H67" s="154">
        <f t="shared" si="26"/>
        <v>476700.24727924797</v>
      </c>
      <c r="I67" s="154">
        <f t="shared" si="26"/>
        <v>478934.05961020966</v>
      </c>
      <c r="J67" s="159">
        <f t="shared" ref="J67:J86" si="27">SUM(D67:I67)</f>
        <v>2944290.2373936446</v>
      </c>
    </row>
    <row r="68" spans="2:10" s="37" customFormat="1" ht="13.5">
      <c r="B68" s="48"/>
      <c r="C68" s="160" t="s">
        <v>304</v>
      </c>
      <c r="D68" s="156">
        <f>$E$13*(F801EVE!D66)*1</f>
        <v>362159.29933751823</v>
      </c>
      <c r="E68" s="156">
        <f>$E$13*(F801EVE!E66)*1</f>
        <v>362310.44903099356</v>
      </c>
      <c r="F68" s="156">
        <f>$E$13*(F801EVE!F66)*1</f>
        <v>355467.15151235356</v>
      </c>
      <c r="G68" s="156">
        <f>$E$13*(F801EVE!G66)*1</f>
        <v>361068.45918281976</v>
      </c>
      <c r="H68" s="156">
        <f>$E$13*(F801EVE!H66)*1</f>
        <v>345422.91936137801</v>
      </c>
      <c r="I68" s="156">
        <f>$E$13*(F801EVE!I66)*1</f>
        <v>347041.58319703664</v>
      </c>
      <c r="J68" s="156">
        <f t="shared" si="27"/>
        <v>2133469.8616220998</v>
      </c>
    </row>
    <row r="69" spans="2:10" s="37" customFormat="1" ht="13.5">
      <c r="B69" s="48"/>
      <c r="C69" s="162" t="s">
        <v>644</v>
      </c>
      <c r="D69" s="156">
        <f>$E$13*(F801EVE!D67)*0.75</f>
        <v>137624.25146859608</v>
      </c>
      <c r="E69" s="156">
        <f>$E$13*(F801EVE!E67)*0.75</f>
        <v>137681.68797680869</v>
      </c>
      <c r="F69" s="156">
        <f>$E$13*(F801EVE!F67)*0.75</f>
        <v>135081.25191178347</v>
      </c>
      <c r="G69" s="156">
        <f>$E$13*(F801EVE!G67)*0.75</f>
        <v>137209.73491839072</v>
      </c>
      <c r="H69" s="156">
        <f>$E$13*(F801EVE!H67)*0.75</f>
        <v>131264.46863446175</v>
      </c>
      <c r="I69" s="156">
        <f>$E$13*(F801EVE!I67)*0.75</f>
        <v>131879.55687283422</v>
      </c>
      <c r="J69" s="156">
        <f>SUM(D69:I69)</f>
        <v>810740.951782875</v>
      </c>
    </row>
    <row r="70" spans="2:10" s="37" customFormat="1" ht="13.5">
      <c r="B70" s="48"/>
      <c r="C70" s="160" t="s">
        <v>305</v>
      </c>
      <c r="D70" s="156">
        <f>$E$13*(F801EVE!D68)*0.95</f>
        <v>13.19558582756072</v>
      </c>
      <c r="E70" s="156">
        <f>$E$13*(F801EVE!E68)*0.95</f>
        <v>13.201092912000181</v>
      </c>
      <c r="F70" s="156">
        <f>$E$13*(F801EVE!F68)*0.95</f>
        <v>12.951759840837541</v>
      </c>
      <c r="G70" s="156">
        <f>$E$13*(F801EVE!G68)*0.95</f>
        <v>13.155841460875264</v>
      </c>
      <c r="H70" s="156">
        <f>$E$13*(F801EVE!H68)*0.95</f>
        <v>12.585801873519623</v>
      </c>
      <c r="I70" s="156">
        <f>$E$13*(F801EVE!I68)*0.95</f>
        <v>12.644777305206665</v>
      </c>
      <c r="J70" s="156">
        <f t="shared" si="27"/>
        <v>77.73485921999999</v>
      </c>
    </row>
    <row r="71" spans="2:10" s="37" customFormat="1" ht="13.5">
      <c r="B71" s="48"/>
      <c r="C71" s="160" t="s">
        <v>307</v>
      </c>
      <c r="D71" s="156">
        <f>$E$13*(F801EVE!D69)*0.5</f>
        <v>0.28673175528953421</v>
      </c>
      <c r="E71" s="156">
        <f>$E$13*(F801EVE!E69)*0.5</f>
        <v>0.28685142076013093</v>
      </c>
      <c r="F71" s="156">
        <f>$E$13*(F801EVE!F69)*0.5</f>
        <v>0.28143357042135525</v>
      </c>
      <c r="G71" s="156">
        <f>$E$13*(F801EVE!G69)*0.5</f>
        <v>0.28586813527512078</v>
      </c>
      <c r="H71" s="156">
        <f>$E$13*(F801EVE!H69)*0.5</f>
        <v>0.27348153466466352</v>
      </c>
      <c r="I71" s="156">
        <f>$E$13*(F801EVE!I69)*0.5</f>
        <v>0.27476303358919518</v>
      </c>
      <c r="J71" s="156">
        <f t="shared" si="27"/>
        <v>1.6891294499999998</v>
      </c>
    </row>
    <row r="72" spans="2:10" s="37" customFormat="1" ht="13.5">
      <c r="B72" s="48"/>
      <c r="C72" s="160" t="s">
        <v>624</v>
      </c>
      <c r="D72" s="156">
        <f>$E$13*(F801EVE!D70)*0</f>
        <v>0</v>
      </c>
      <c r="E72" s="156">
        <f>$E$13*(F801EVE!E70)*0</f>
        <v>0</v>
      </c>
      <c r="F72" s="156">
        <f>$E$13*(F801EVE!F70)*0</f>
        <v>0</v>
      </c>
      <c r="G72" s="156">
        <f>$E$13*(F801EVE!G70)*0</f>
        <v>0</v>
      </c>
      <c r="H72" s="156">
        <f>$E$13*(F801EVE!H70)*0</f>
        <v>0</v>
      </c>
      <c r="I72" s="156">
        <f>$E$13*(F801EVE!I70)*0</f>
        <v>0</v>
      </c>
      <c r="J72" s="156">
        <f t="shared" si="27"/>
        <v>0</v>
      </c>
    </row>
    <row r="73" spans="2:10" s="37" customFormat="1" ht="13.5">
      <c r="B73" s="48" t="s">
        <v>750</v>
      </c>
      <c r="C73" s="158" t="s">
        <v>635</v>
      </c>
      <c r="D73" s="154">
        <f t="shared" ref="D73" si="28">SUBTOTAL(9,D74:D79)</f>
        <v>547617.51893909124</v>
      </c>
      <c r="E73" s="154">
        <f t="shared" ref="E73:I73" si="29">SUBTOTAL(9,E74:E79)</f>
        <v>547846.06323842995</v>
      </c>
      <c r="F73" s="154">
        <f t="shared" si="29"/>
        <v>537498.72742448165</v>
      </c>
      <c r="G73" s="154">
        <f t="shared" si="29"/>
        <v>545968.12559191312</v>
      </c>
      <c r="H73" s="154">
        <f t="shared" si="29"/>
        <v>522311.45217065711</v>
      </c>
      <c r="I73" s="154">
        <f t="shared" si="29"/>
        <v>524758.93574591202</v>
      </c>
      <c r="J73" s="159">
        <f t="shared" si="27"/>
        <v>3226000.823110485</v>
      </c>
    </row>
    <row r="74" spans="2:10" s="37" customFormat="1" ht="13.5">
      <c r="B74" s="48"/>
      <c r="C74" s="160" t="s">
        <v>304</v>
      </c>
      <c r="D74" s="156">
        <f>$E$13*(F801EVE!D72)*1</f>
        <v>353155.81152924866</v>
      </c>
      <c r="E74" s="156">
        <f>$E$13*(F801EVE!E72)*1</f>
        <v>353303.19861003413</v>
      </c>
      <c r="F74" s="156">
        <f>$E$13*(F801EVE!F72)*1</f>
        <v>346630.25326011184</v>
      </c>
      <c r="G74" s="156">
        <f>$E$13*(F801EVE!G72)*1</f>
        <v>352092.12597152207</v>
      </c>
      <c r="H74" s="156">
        <f>$E$13*(F801EVE!H72)*1</f>
        <v>336836.05506211909</v>
      </c>
      <c r="I74" s="156">
        <f>$E$13*(F801EVE!I72)*1</f>
        <v>338414.42503446428</v>
      </c>
      <c r="J74" s="156">
        <f t="shared" si="27"/>
        <v>2080431.8694675004</v>
      </c>
    </row>
    <row r="75" spans="2:10" s="37" customFormat="1" ht="13.5">
      <c r="B75" s="48"/>
      <c r="C75" s="162" t="s">
        <v>642</v>
      </c>
      <c r="D75" s="156">
        <f>$E$13*(F801EVE!D73)*0.75</f>
        <v>188946.27682647933</v>
      </c>
      <c r="E75" s="156">
        <f>$E$13*(F801EVE!E73)*0.75</f>
        <v>189025.13221907822</v>
      </c>
      <c r="F75" s="156">
        <f>$E$13*(F801EVE!F73)*0.75</f>
        <v>185454.95685122942</v>
      </c>
      <c r="G75" s="156">
        <f>$E$13*(F801EVE!G73)*0.75</f>
        <v>188377.1812055514</v>
      </c>
      <c r="H75" s="156">
        <f>$E$13*(F801EVE!H73)*0.75</f>
        <v>180214.84123201331</v>
      </c>
      <c r="I75" s="156">
        <f>$E$13*(F801EVE!I73)*0.75</f>
        <v>181059.3045538484</v>
      </c>
      <c r="J75" s="156">
        <f>SUM(D75:I75)</f>
        <v>1113077.6928882001</v>
      </c>
    </row>
    <row r="76" spans="2:10" s="37" customFormat="1" ht="13.5">
      <c r="B76" s="48"/>
      <c r="C76" s="162" t="s">
        <v>643</v>
      </c>
      <c r="D76" s="156">
        <f>$E$13*(F801EVE!D74)*1</f>
        <v>5491.5415959445518</v>
      </c>
      <c r="E76" s="156">
        <f>$E$13*(F801EVE!E74)*1</f>
        <v>5493.8334519990594</v>
      </c>
      <c r="F76" s="156">
        <f>$E$13*(F801EVE!F74)*1</f>
        <v>5390.0697427233081</v>
      </c>
      <c r="G76" s="156">
        <f>$E$13*(F801EVE!G74)*1</f>
        <v>5475.0013797154406</v>
      </c>
      <c r="H76" s="156">
        <f>$E$13*(F801EVE!H74)*1</f>
        <v>5237.7708280592697</v>
      </c>
      <c r="I76" s="156">
        <f>$E$13*(F801EVE!I74)*1</f>
        <v>5262.3143413583721</v>
      </c>
      <c r="J76" s="156">
        <f>SUM(D76:I76)</f>
        <v>32350.531339800003</v>
      </c>
    </row>
    <row r="77" spans="2:10" s="37" customFormat="1" ht="13.5">
      <c r="B77" s="48"/>
      <c r="C77" s="160" t="s">
        <v>305</v>
      </c>
      <c r="D77" s="156">
        <f>$E$13*(F801EVE!D75)*0.95</f>
        <v>23.132481127017247</v>
      </c>
      <c r="E77" s="156">
        <f>$E$13*(F801EVE!E75)*0.95</f>
        <v>23.142135304446384</v>
      </c>
      <c r="F77" s="156">
        <f>$E$13*(F801EVE!F75)*0.95</f>
        <v>22.705042731340278</v>
      </c>
      <c r="G77" s="156">
        <f>$E$13*(F801EVE!G75)*0.95</f>
        <v>23.0628073873083</v>
      </c>
      <c r="H77" s="156">
        <f>$E$13*(F801EVE!H75)*0.95</f>
        <v>22.063501242929661</v>
      </c>
      <c r="I77" s="156">
        <f>$E$13*(F801EVE!I75)*0.95</f>
        <v>22.166887941958123</v>
      </c>
      <c r="J77" s="156">
        <f t="shared" si="27"/>
        <v>136.27285573499998</v>
      </c>
    </row>
    <row r="78" spans="2:10" s="37" customFormat="1" ht="13.5">
      <c r="B78" s="48"/>
      <c r="C78" s="160" t="s">
        <v>307</v>
      </c>
      <c r="D78" s="156">
        <f>$E$13*(F801EVE!D76)*0.5</f>
        <v>0.75650629163105898</v>
      </c>
      <c r="E78" s="156">
        <f>$E$13*(F801EVE!E76)*0.5</f>
        <v>0.75682201418263328</v>
      </c>
      <c r="F78" s="156">
        <f>$E$13*(F801EVE!F76)*0.5</f>
        <v>0.74252768579804052</v>
      </c>
      <c r="G78" s="156">
        <f>$E$13*(F801EVE!G76)*0.5</f>
        <v>0.75422773698048473</v>
      </c>
      <c r="H78" s="156">
        <f>$E$13*(F801EVE!H76)*0.5</f>
        <v>0.72154722245473957</v>
      </c>
      <c r="I78" s="156">
        <f>$E$13*(F801EVE!I76)*0.5</f>
        <v>0.72492829895304267</v>
      </c>
      <c r="J78" s="156">
        <f t="shared" si="27"/>
        <v>4.4565592499999998</v>
      </c>
    </row>
    <row r="79" spans="2:10" s="37" customFormat="1" ht="13.5">
      <c r="B79" s="48"/>
      <c r="C79" s="160" t="s">
        <v>624</v>
      </c>
      <c r="D79" s="156">
        <f>$E$13*(F801EVE!D77)*0</f>
        <v>0</v>
      </c>
      <c r="E79" s="156">
        <f>$E$13*(F801EVE!E77)*0</f>
        <v>0</v>
      </c>
      <c r="F79" s="156">
        <f>$E$13*(F801EVE!F77)*0</f>
        <v>0</v>
      </c>
      <c r="G79" s="156">
        <f>$E$13*(F801EVE!G77)*0</f>
        <v>0</v>
      </c>
      <c r="H79" s="156">
        <f>$E$13*(F801EVE!H77)*0</f>
        <v>0</v>
      </c>
      <c r="I79" s="156">
        <f>$E$13*(F801EVE!I77)*0</f>
        <v>0</v>
      </c>
      <c r="J79" s="156">
        <f t="shared" si="27"/>
        <v>0</v>
      </c>
    </row>
    <row r="80" spans="2:10" s="37" customFormat="1" ht="13.5">
      <c r="B80" s="48" t="s">
        <v>749</v>
      </c>
      <c r="C80" s="158" t="s">
        <v>636</v>
      </c>
      <c r="D80" s="154">
        <f t="shared" ref="D80" si="30">SUBTOTAL(9,D81:D86)</f>
        <v>655688.8811157106</v>
      </c>
      <c r="E80" s="154">
        <f t="shared" ref="E80:I80" si="31">SUBTOTAL(9,E81:E86)</f>
        <v>655962.52823388379</v>
      </c>
      <c r="F80" s="154">
        <f t="shared" si="31"/>
        <v>643573.16374547174</v>
      </c>
      <c r="G80" s="154">
        <f t="shared" si="31"/>
        <v>653713.98286843393</v>
      </c>
      <c r="H80" s="154">
        <f t="shared" si="31"/>
        <v>625388.70621082501</v>
      </c>
      <c r="I80" s="154">
        <f t="shared" si="31"/>
        <v>628319.1964006148</v>
      </c>
      <c r="J80" s="159">
        <f t="shared" si="27"/>
        <v>3862646.45857494</v>
      </c>
    </row>
    <row r="81" spans="2:10" s="37" customFormat="1" ht="13.5">
      <c r="B81" s="48"/>
      <c r="C81" s="160" t="s">
        <v>304</v>
      </c>
      <c r="D81" s="156">
        <f>$E$13*(F801EVE!D79)*1</f>
        <v>566838.18083627266</v>
      </c>
      <c r="E81" s="156">
        <f>$E$13*(F801EVE!E79)*1</f>
        <v>567074.74674294551</v>
      </c>
      <c r="F81" s="156">
        <f>$E$13*(F801EVE!F79)*1</f>
        <v>556364.23291452858</v>
      </c>
      <c r="G81" s="156">
        <f>$E$13*(F801EVE!G79)*1</f>
        <v>565130.895930178</v>
      </c>
      <c r="H81" s="156">
        <f>$E$13*(F801EVE!H79)*1</f>
        <v>540643.90407366992</v>
      </c>
      <c r="I81" s="156">
        <f>$E$13*(F801EVE!I79)*1</f>
        <v>543177.29113570519</v>
      </c>
      <c r="J81" s="156">
        <f t="shared" si="27"/>
        <v>3339229.2516333</v>
      </c>
    </row>
    <row r="82" spans="2:10" s="37" customFormat="1" ht="13.5">
      <c r="B82" s="48"/>
      <c r="C82" s="162" t="s">
        <v>642</v>
      </c>
      <c r="D82" s="156">
        <f>$E$13*(F801EVE!D80)*0.75</f>
        <v>42058.898367895352</v>
      </c>
      <c r="E82" s="156">
        <f>$E$13*(F801EVE!E80)*0.75</f>
        <v>42076.451351731725</v>
      </c>
      <c r="F82" s="156">
        <f>$E$13*(F801EVE!F80)*0.75</f>
        <v>41281.74057217074</v>
      </c>
      <c r="G82" s="156">
        <f>$E$13*(F801EVE!G80)*0.75</f>
        <v>41932.219317721727</v>
      </c>
      <c r="H82" s="156">
        <f>$E$13*(F801EVE!H80)*0.75</f>
        <v>40115.305890491196</v>
      </c>
      <c r="I82" s="156">
        <f>$E$13*(F801EVE!I80)*0.75</f>
        <v>40303.280999739276</v>
      </c>
      <c r="J82" s="156">
        <f>SUM(D82:I82)</f>
        <v>247767.89649975003</v>
      </c>
    </row>
    <row r="83" spans="2:10" s="37" customFormat="1" ht="13.5">
      <c r="B83" s="48"/>
      <c r="C83" s="162" t="s">
        <v>643</v>
      </c>
      <c r="D83" s="156">
        <f>$E$13*(F801EVE!D81)*1</f>
        <v>46477.812441027505</v>
      </c>
      <c r="E83" s="156">
        <f>$E$13*(F801EVE!E81)*1</f>
        <v>46497.209627406264</v>
      </c>
      <c r="F83" s="156">
        <f>$E$13*(F801EVE!F81)*1</f>
        <v>45619.002636956597</v>
      </c>
      <c r="G83" s="156">
        <f>$E$13*(F801EVE!G81)*1</f>
        <v>46337.823868747844</v>
      </c>
      <c r="H83" s="156">
        <f>$E$13*(F801EVE!H81)*1</f>
        <v>44330.016608706406</v>
      </c>
      <c r="I83" s="156">
        <f>$E$13*(F801EVE!I81)*1</f>
        <v>44537.741304555384</v>
      </c>
      <c r="J83" s="156">
        <f>SUM(D83:I83)</f>
        <v>273799.60648740001</v>
      </c>
    </row>
    <row r="84" spans="2:10" s="37" customFormat="1" ht="13.5">
      <c r="B84" s="48"/>
      <c r="C84" s="160" t="s">
        <v>305</v>
      </c>
      <c r="D84" s="156">
        <f>$E$13*(F801EVE!D82)*0.95</f>
        <v>309.11926287817749</v>
      </c>
      <c r="E84" s="156">
        <f>$E$13*(F801EVE!E82)*0.95</f>
        <v>309.24827161676478</v>
      </c>
      <c r="F84" s="156">
        <f>$E$13*(F801EVE!F82)*0.95</f>
        <v>303.40740511972996</v>
      </c>
      <c r="G84" s="156">
        <f>$E$13*(F801EVE!G82)*0.95</f>
        <v>308.18821294269776</v>
      </c>
      <c r="H84" s="156">
        <f>$E$13*(F801EVE!H82)*0.95</f>
        <v>294.83448849594231</v>
      </c>
      <c r="I84" s="156">
        <f>$E$13*(F801EVE!I82)*0.95</f>
        <v>296.21604458668781</v>
      </c>
      <c r="J84" s="156">
        <f t="shared" si="27"/>
        <v>1821.0136856400002</v>
      </c>
    </row>
    <row r="85" spans="2:10" s="37" customFormat="1" ht="13.5">
      <c r="B85" s="48"/>
      <c r="C85" s="160" t="s">
        <v>307</v>
      </c>
      <c r="D85" s="156">
        <f>$E$13*(F801EVE!D83)*0.5</f>
        <v>4.870207636891978</v>
      </c>
      <c r="E85" s="156">
        <f>$E$13*(F801EVE!E83)*0.5</f>
        <v>4.8722401836121128</v>
      </c>
      <c r="F85" s="156">
        <f>$E$13*(F801EVE!F83)*0.5</f>
        <v>4.7802166961236097</v>
      </c>
      <c r="G85" s="156">
        <f>$E$13*(F801EVE!G83)*0.5</f>
        <v>4.8555388438058342</v>
      </c>
      <c r="H85" s="156">
        <f>$E$13*(F801EVE!H83)*0.5</f>
        <v>4.6451494614813509</v>
      </c>
      <c r="I85" s="156">
        <f>$E$13*(F801EVE!I83)*0.5</f>
        <v>4.6669160280851125</v>
      </c>
      <c r="J85" s="156">
        <f t="shared" si="27"/>
        <v>28.690268849999995</v>
      </c>
    </row>
    <row r="86" spans="2:10" s="37" customFormat="1" ht="13.5">
      <c r="B86" s="48"/>
      <c r="C86" s="160" t="s">
        <v>624</v>
      </c>
      <c r="D86" s="156">
        <f>$E$13*(F801EVE!D84)*0</f>
        <v>0</v>
      </c>
      <c r="E86" s="156">
        <f>$E$13*(F801EVE!E84)*0</f>
        <v>0</v>
      </c>
      <c r="F86" s="156">
        <f>$E$13*(F801EVE!F84)*0</f>
        <v>0</v>
      </c>
      <c r="G86" s="156">
        <f>$E$13*(F801EVE!G84)*0</f>
        <v>0</v>
      </c>
      <c r="H86" s="156">
        <f>$E$13*(F801EVE!H84)*0</f>
        <v>0</v>
      </c>
      <c r="I86" s="156">
        <f>$E$13*(F801EVE!I84)*0</f>
        <v>0</v>
      </c>
      <c r="J86" s="156">
        <f t="shared" si="27"/>
        <v>0</v>
      </c>
    </row>
    <row r="87" spans="2:10" s="37" customFormat="1" ht="13.5">
      <c r="B87" s="48"/>
      <c r="C87" s="157"/>
      <c r="D87" s="156"/>
      <c r="E87" s="156"/>
      <c r="F87" s="156"/>
      <c r="G87" s="156"/>
      <c r="H87" s="156"/>
      <c r="I87" s="156"/>
      <c r="J87" s="156"/>
    </row>
    <row r="88" spans="2:10" s="37" customFormat="1" ht="13.5">
      <c r="B88" s="48" t="s">
        <v>902</v>
      </c>
      <c r="C88" s="158" t="s">
        <v>898</v>
      </c>
      <c r="D88" s="154">
        <f t="shared" ref="D88:H88" si="32">SUBTOTAL(9,D89:D93)</f>
        <v>167090.77408753225</v>
      </c>
      <c r="E88" s="154">
        <f t="shared" si="32"/>
        <v>167160.50824060279</v>
      </c>
      <c r="F88" s="154">
        <f t="shared" si="32"/>
        <v>164003.29669951517</v>
      </c>
      <c r="G88" s="154">
        <f t="shared" si="32"/>
        <v>166587.50601881027</v>
      </c>
      <c r="H88" s="154">
        <f t="shared" si="32"/>
        <v>159369.30766395945</v>
      </c>
      <c r="I88" s="154">
        <f t="shared" ref="I88" si="33">SUBTOTAL(9,I89:I93)</f>
        <v>160116.09152498006</v>
      </c>
      <c r="J88" s="159">
        <f t="shared" ref="J88:J97" si="34">SUM(D88:I88)</f>
        <v>984327.48423539987</v>
      </c>
    </row>
    <row r="89" spans="2:10" s="37" customFormat="1" ht="13.5">
      <c r="B89" s="48"/>
      <c r="C89" s="160" t="s">
        <v>304</v>
      </c>
      <c r="D89" s="156">
        <f>$E$13*F801EVE!D87*1</f>
        <v>160709.88369514621</v>
      </c>
      <c r="E89" s="156">
        <f>$E$13*F801EVE!E87*1</f>
        <v>160776.95482873064</v>
      </c>
      <c r="F89" s="156">
        <f>$E$13*F801EVE!F87*1</f>
        <v>157740.31140936768</v>
      </c>
      <c r="G89" s="156">
        <f>$E$13*F801EVE!G87*1</f>
        <v>160225.83451150058</v>
      </c>
      <c r="H89" s="156">
        <f>$E$13*F801EVE!H87*1</f>
        <v>153283.2859211824</v>
      </c>
      <c r="I89" s="156">
        <f>$E$13*F801EVE!I87*1</f>
        <v>154001.55147537249</v>
      </c>
      <c r="J89" s="156">
        <f t="shared" si="34"/>
        <v>946737.8218413</v>
      </c>
    </row>
    <row r="90" spans="2:10" s="37" customFormat="1" ht="13.5">
      <c r="B90" s="48"/>
      <c r="C90" s="162" t="s">
        <v>644</v>
      </c>
      <c r="D90" s="156">
        <f>$E$13*F801EVE!D88*0.75</f>
        <v>6380.8903923860234</v>
      </c>
      <c r="E90" s="156">
        <f>$E$13*F801EVE!E88*0.75</f>
        <v>6383.5534118721625</v>
      </c>
      <c r="F90" s="156">
        <f>$E$13*F801EVE!F88*0.75</f>
        <v>6262.9852901474842</v>
      </c>
      <c r="G90" s="156">
        <f>$E$13*F801EVE!G88*0.75</f>
        <v>6361.6715073096966</v>
      </c>
      <c r="H90" s="156">
        <f>$E$13*F801EVE!H88*0.75</f>
        <v>6086.0217427770604</v>
      </c>
      <c r="I90" s="156">
        <f>$E$13*F801EVE!I88*0.75</f>
        <v>6114.5400496075681</v>
      </c>
      <c r="J90" s="156">
        <f t="shared" si="34"/>
        <v>37589.662394099993</v>
      </c>
    </row>
    <row r="91" spans="2:10" s="37" customFormat="1" ht="13.5">
      <c r="B91" s="48"/>
      <c r="C91" s="160" t="s">
        <v>305</v>
      </c>
      <c r="D91" s="156">
        <f>$E$13*F801EVE!D89*0.95</f>
        <v>0</v>
      </c>
      <c r="E91" s="156">
        <f>$E$13*F801EVE!E89*0.95</f>
        <v>0</v>
      </c>
      <c r="F91" s="156">
        <f>$E$13*F801EVE!F89*0.95</f>
        <v>0</v>
      </c>
      <c r="G91" s="156">
        <f>$E$13*F801EVE!G89*0.95</f>
        <v>0</v>
      </c>
      <c r="H91" s="156">
        <f>$E$13*F801EVE!H89*0.95</f>
        <v>0</v>
      </c>
      <c r="I91" s="156">
        <f>$E$13*F801EVE!I89*0.95</f>
        <v>0</v>
      </c>
      <c r="J91" s="156">
        <f t="shared" si="34"/>
        <v>0</v>
      </c>
    </row>
    <row r="92" spans="2:10" s="37" customFormat="1" ht="13.5">
      <c r="B92" s="48"/>
      <c r="C92" s="160" t="s">
        <v>307</v>
      </c>
      <c r="D92" s="156">
        <f>$E$13*F801EVE!D90*0.5</f>
        <v>0</v>
      </c>
      <c r="E92" s="156">
        <f>$E$13*F801EVE!E90*0.5</f>
        <v>0</v>
      </c>
      <c r="F92" s="156">
        <f>$E$13*F801EVE!F90*0.5</f>
        <v>0</v>
      </c>
      <c r="G92" s="156">
        <f>$E$13*F801EVE!G90*0.5</f>
        <v>0</v>
      </c>
      <c r="H92" s="156">
        <f>$E$13*F801EVE!H90*0.5</f>
        <v>0</v>
      </c>
      <c r="I92" s="156">
        <f>$E$13*F801EVE!I90*0.5</f>
        <v>0</v>
      </c>
      <c r="J92" s="156">
        <f t="shared" si="34"/>
        <v>0</v>
      </c>
    </row>
    <row r="93" spans="2:10" s="37" customFormat="1" ht="13.5">
      <c r="B93" s="48"/>
      <c r="C93" s="160" t="s">
        <v>624</v>
      </c>
      <c r="D93" s="156">
        <f>$E$13*F801EVE!D91*0</f>
        <v>0</v>
      </c>
      <c r="E93" s="156">
        <f>$E$13*F801EVE!E91*0</f>
        <v>0</v>
      </c>
      <c r="F93" s="156">
        <f>$E$13*F801EVE!F91*0</f>
        <v>0</v>
      </c>
      <c r="G93" s="156">
        <f>$E$13*F801EVE!G91*0</f>
        <v>0</v>
      </c>
      <c r="H93" s="156">
        <f>$E$13*F801EVE!H91*0</f>
        <v>0</v>
      </c>
      <c r="I93" s="156">
        <f>$E$13*F801EVE!I91*0</f>
        <v>0</v>
      </c>
      <c r="J93" s="156">
        <f t="shared" si="34"/>
        <v>0</v>
      </c>
    </row>
    <row r="94" spans="2:10" s="37" customFormat="1" ht="13.5">
      <c r="B94" s="48" t="s">
        <v>902</v>
      </c>
      <c r="C94" s="158" t="s">
        <v>899</v>
      </c>
      <c r="D94" s="154">
        <f t="shared" ref="D94:H94" si="35">SUBTOTAL(9,D95:D100)</f>
        <v>13225.122901533194</v>
      </c>
      <c r="E94" s="154">
        <f t="shared" si="35"/>
        <v>13230.64231306162</v>
      </c>
      <c r="F94" s="154">
        <f t="shared" si="35"/>
        <v>12980.751133341852</v>
      </c>
      <c r="G94" s="154">
        <f t="shared" si="35"/>
        <v>13185.28957083249</v>
      </c>
      <c r="H94" s="154">
        <f t="shared" si="35"/>
        <v>12613.974003639423</v>
      </c>
      <c r="I94" s="154">
        <f t="shared" ref="I94" si="36">SUBTOTAL(9,I95:I100)</f>
        <v>12673.08144626642</v>
      </c>
      <c r="J94" s="159">
        <f t="shared" si="34"/>
        <v>77908.861368674989</v>
      </c>
    </row>
    <row r="95" spans="2:10" s="37" customFormat="1" ht="13.5">
      <c r="B95" s="48"/>
      <c r="C95" s="160" t="s">
        <v>304</v>
      </c>
      <c r="D95" s="156">
        <f>$E$13*F801EVE!D93*1</f>
        <v>12013.319911101216</v>
      </c>
      <c r="E95" s="156">
        <f>$E$13*F801EVE!E93*1</f>
        <v>12018.333585220216</v>
      </c>
      <c r="F95" s="156">
        <f>$E$13*F801EVE!F93*1</f>
        <v>11791.339650472884</v>
      </c>
      <c r="G95" s="156">
        <f>$E$13*F801EVE!G93*1</f>
        <v>11977.136463250099</v>
      </c>
      <c r="H95" s="156">
        <f>$E$13*F801EVE!H93*1</f>
        <v>11458.169892581263</v>
      </c>
      <c r="I95" s="156">
        <f>$E$13*F801EVE!I93*1</f>
        <v>11511.861387374318</v>
      </c>
      <c r="J95" s="156">
        <f t="shared" si="34"/>
        <v>70770.160889999999</v>
      </c>
    </row>
    <row r="96" spans="2:10" s="37" customFormat="1" ht="13.5">
      <c r="B96" s="48"/>
      <c r="C96" s="162" t="s">
        <v>642</v>
      </c>
      <c r="D96" s="156">
        <f>$E$13*F801EVE!D94*0.75</f>
        <v>1098.8708847766868</v>
      </c>
      <c r="E96" s="156">
        <f>$E$13*F801EVE!E94*0.75</f>
        <v>1099.3294907703585</v>
      </c>
      <c r="F96" s="156">
        <f>$E$13*F801EVE!F94*0.75</f>
        <v>1078.5661191328277</v>
      </c>
      <c r="G96" s="156">
        <f>$E$13*F801EVE!G94*0.75</f>
        <v>1095.5611471147697</v>
      </c>
      <c r="H96" s="156">
        <f>$E$13*F801EVE!H94*0.75</f>
        <v>1048.0907343645522</v>
      </c>
      <c r="I96" s="156">
        <f>$E$13*F801EVE!I94*0.75</f>
        <v>1053.0019513158049</v>
      </c>
      <c r="J96" s="156">
        <f t="shared" si="34"/>
        <v>6473.4203274749998</v>
      </c>
    </row>
    <row r="97" spans="2:10" s="37" customFormat="1" ht="13.5">
      <c r="B97" s="48"/>
      <c r="C97" s="162" t="s">
        <v>643</v>
      </c>
      <c r="D97" s="156">
        <f>$E$13*F801EVE!D95*1</f>
        <v>112.93210565529048</v>
      </c>
      <c r="E97" s="156">
        <f>$E$13*F801EVE!E95*1</f>
        <v>112.97923707104552</v>
      </c>
      <c r="F97" s="156">
        <f>$E$13*F801EVE!F95*1</f>
        <v>110.84536373613938</v>
      </c>
      <c r="G97" s="156">
        <f>$E$13*F801EVE!G95*1</f>
        <v>112.59196046762101</v>
      </c>
      <c r="H97" s="156">
        <f>$E$13*F801EVE!H95*1</f>
        <v>107.71337669360712</v>
      </c>
      <c r="I97" s="156">
        <f>$E$13*F801EVE!I95*1</f>
        <v>108.21810757629646</v>
      </c>
      <c r="J97" s="156">
        <f t="shared" si="34"/>
        <v>665.28015119999986</v>
      </c>
    </row>
    <row r="98" spans="2:10" s="37" customFormat="1" ht="13.5">
      <c r="B98" s="48"/>
      <c r="C98" s="160" t="s">
        <v>305</v>
      </c>
      <c r="D98" s="156">
        <f>$E$13*F801EVE!D96*0.95</f>
        <v>0</v>
      </c>
      <c r="E98" s="156">
        <f>$E$13*F801EVE!E96*0.95</f>
        <v>0</v>
      </c>
      <c r="F98" s="156">
        <f>$E$13*F801EVE!F96*0.95</f>
        <v>0</v>
      </c>
      <c r="G98" s="156">
        <f>$E$13*F801EVE!G96*0.95</f>
        <v>0</v>
      </c>
      <c r="H98" s="156">
        <f>$E$13*F801EVE!H96*0.95</f>
        <v>0</v>
      </c>
      <c r="I98" s="156">
        <f>$E$13*F801EVE!I96*0.95</f>
        <v>0</v>
      </c>
      <c r="J98" s="156">
        <f t="shared" ref="J98:J107" si="37">SUM(D98:I98)</f>
        <v>0</v>
      </c>
    </row>
    <row r="99" spans="2:10" s="37" customFormat="1" ht="13.5">
      <c r="B99" s="48"/>
      <c r="C99" s="160" t="s">
        <v>307</v>
      </c>
      <c r="D99" s="156">
        <f>$E$13*F801EVE!D97*0.5</f>
        <v>0</v>
      </c>
      <c r="E99" s="156">
        <f>$E$13*F801EVE!E97*0.5</f>
        <v>0</v>
      </c>
      <c r="F99" s="156">
        <f>$E$13*F801EVE!F97*0.5</f>
        <v>0</v>
      </c>
      <c r="G99" s="156">
        <f>$E$13*F801EVE!G97*0.5</f>
        <v>0</v>
      </c>
      <c r="H99" s="156">
        <f>$E$13*F801EVE!H97*0.5</f>
        <v>0</v>
      </c>
      <c r="I99" s="156">
        <f>$E$13*F801EVE!I97*0.5</f>
        <v>0</v>
      </c>
      <c r="J99" s="156">
        <f t="shared" si="37"/>
        <v>0</v>
      </c>
    </row>
    <row r="100" spans="2:10" s="37" customFormat="1" ht="13.5">
      <c r="B100" s="48"/>
      <c r="C100" s="160" t="s">
        <v>624</v>
      </c>
      <c r="D100" s="156">
        <f>$E$13*F801EVE!D98*0</f>
        <v>0</v>
      </c>
      <c r="E100" s="156">
        <f>$E$13*F801EVE!E98*0</f>
        <v>0</v>
      </c>
      <c r="F100" s="156">
        <f>$E$13*F801EVE!F98*0</f>
        <v>0</v>
      </c>
      <c r="G100" s="156">
        <f>$E$13*F801EVE!G98*0</f>
        <v>0</v>
      </c>
      <c r="H100" s="156">
        <f>$E$13*F801EVE!H98*0</f>
        <v>0</v>
      </c>
      <c r="I100" s="156">
        <f>$E$13*F801EVE!I98*0</f>
        <v>0</v>
      </c>
      <c r="J100" s="156">
        <f t="shared" si="37"/>
        <v>0</v>
      </c>
    </row>
    <row r="101" spans="2:10" s="37" customFormat="1" ht="13.5">
      <c r="B101" s="48" t="s">
        <v>902</v>
      </c>
      <c r="C101" s="158" t="s">
        <v>900</v>
      </c>
      <c r="D101" s="154">
        <f t="shared" ref="D101:H101" si="38">SUBTOTAL(9,D102:D107)</f>
        <v>1462.5017691232076</v>
      </c>
      <c r="E101" s="154">
        <f t="shared" si="38"/>
        <v>1463.1121338952362</v>
      </c>
      <c r="F101" s="154">
        <f t="shared" si="38"/>
        <v>1435.4778884406189</v>
      </c>
      <c r="G101" s="154">
        <f t="shared" si="38"/>
        <v>1458.0967955699491</v>
      </c>
      <c r="H101" s="154">
        <f t="shared" si="38"/>
        <v>1394.9177964809787</v>
      </c>
      <c r="I101" s="154">
        <f t="shared" ref="I101" si="39">SUBTOTAL(9,I102:I107)</f>
        <v>1401.4541999650103</v>
      </c>
      <c r="J101" s="159">
        <f t="shared" si="37"/>
        <v>8615.5605834750004</v>
      </c>
    </row>
    <row r="102" spans="2:10" s="37" customFormat="1" ht="13.5">
      <c r="B102" s="48"/>
      <c r="C102" s="160" t="s">
        <v>304</v>
      </c>
      <c r="D102" s="156">
        <f>$E$13*F801EVE!D100*1</f>
        <v>1420.8267368603965</v>
      </c>
      <c r="E102" s="156">
        <f>$E$13*F801EVE!E100*1</f>
        <v>1421.4197088523933</v>
      </c>
      <c r="F102" s="156">
        <f>$E$13*F801EVE!F100*1</f>
        <v>1394.5729209552258</v>
      </c>
      <c r="G102" s="156">
        <f>$E$13*F801EVE!G100*1</f>
        <v>1416.5472861740668</v>
      </c>
      <c r="H102" s="156">
        <f>$E$13*F801EVE!H100*1</f>
        <v>1355.1686177793583</v>
      </c>
      <c r="I102" s="156">
        <f>$E$13*F801EVE!I100*1</f>
        <v>1361.51876177856</v>
      </c>
      <c r="J102" s="156">
        <f t="shared" si="37"/>
        <v>8370.0540323999994</v>
      </c>
    </row>
    <row r="103" spans="2:10" s="37" customFormat="1" ht="13.5">
      <c r="B103" s="48"/>
      <c r="C103" s="162" t="s">
        <v>642</v>
      </c>
      <c r="D103" s="156">
        <f>$E$13*F801EVE!D101*0.75</f>
        <v>41.675032262811143</v>
      </c>
      <c r="E103" s="156">
        <f>$E$13*F801EVE!E101*0.75</f>
        <v>41.692425042842864</v>
      </c>
      <c r="F103" s="156">
        <f>$E$13*F801EVE!F101*0.75</f>
        <v>40.904967485393172</v>
      </c>
      <c r="G103" s="156">
        <f>$E$13*F801EVE!G101*0.75</f>
        <v>41.549509395882275</v>
      </c>
      <c r="H103" s="156">
        <f>$E$13*F801EVE!H101*0.75</f>
        <v>39.749178701620295</v>
      </c>
      <c r="I103" s="156">
        <f>$E$13*F801EVE!I101*0.75</f>
        <v>39.935438186450234</v>
      </c>
      <c r="J103" s="156">
        <f t="shared" si="37"/>
        <v>245.50655107499998</v>
      </c>
    </row>
    <row r="104" spans="2:10" s="37" customFormat="1" ht="13.5">
      <c r="B104" s="48"/>
      <c r="C104" s="162" t="s">
        <v>643</v>
      </c>
      <c r="D104" s="156">
        <f>$E$13*F801EVE!D102*1</f>
        <v>0</v>
      </c>
      <c r="E104" s="156">
        <f>$E$13*F801EVE!E102*1</f>
        <v>0</v>
      </c>
      <c r="F104" s="156">
        <f>$E$13*F801EVE!F102*1</f>
        <v>0</v>
      </c>
      <c r="G104" s="156">
        <f>$E$13*F801EVE!G102*1</f>
        <v>0</v>
      </c>
      <c r="H104" s="156">
        <f>$E$13*F801EVE!H102*1</f>
        <v>0</v>
      </c>
      <c r="I104" s="156">
        <f>$E$13*F801EVE!I102*1</f>
        <v>0</v>
      </c>
      <c r="J104" s="156">
        <f t="shared" si="37"/>
        <v>0</v>
      </c>
    </row>
    <row r="105" spans="2:10" s="37" customFormat="1" ht="13.5">
      <c r="B105" s="48"/>
      <c r="C105" s="160" t="s">
        <v>305</v>
      </c>
      <c r="D105" s="156">
        <f>$E$13*F801EVE!D103*0.95</f>
        <v>0</v>
      </c>
      <c r="E105" s="156">
        <f>$E$13*F801EVE!E103*0.95</f>
        <v>0</v>
      </c>
      <c r="F105" s="156">
        <f>$E$13*F801EVE!F103*0.95</f>
        <v>0</v>
      </c>
      <c r="G105" s="156">
        <f>$E$13*F801EVE!G103*0.95</f>
        <v>0</v>
      </c>
      <c r="H105" s="156">
        <f>$E$13*F801EVE!H103*0.95</f>
        <v>0</v>
      </c>
      <c r="I105" s="156">
        <f>$E$13*F801EVE!I103*0.95</f>
        <v>0</v>
      </c>
      <c r="J105" s="156">
        <f t="shared" si="37"/>
        <v>0</v>
      </c>
    </row>
    <row r="106" spans="2:10" s="37" customFormat="1" ht="13.5">
      <c r="B106" s="48"/>
      <c r="C106" s="160" t="s">
        <v>307</v>
      </c>
      <c r="D106" s="156">
        <f>$E$13*F801EVE!D104*0.5</f>
        <v>0</v>
      </c>
      <c r="E106" s="156">
        <f>$E$13*F801EVE!E104*0.5</f>
        <v>0</v>
      </c>
      <c r="F106" s="156">
        <f>$E$13*F801EVE!F104*0.5</f>
        <v>0</v>
      </c>
      <c r="G106" s="156">
        <f>$E$13*F801EVE!G104*0.5</f>
        <v>0</v>
      </c>
      <c r="H106" s="156">
        <f>$E$13*F801EVE!H104*0.5</f>
        <v>0</v>
      </c>
      <c r="I106" s="156">
        <f>$E$13*F801EVE!I104*0.5</f>
        <v>0</v>
      </c>
      <c r="J106" s="156">
        <f t="shared" si="37"/>
        <v>0</v>
      </c>
    </row>
    <row r="107" spans="2:10" s="37" customFormat="1" ht="13.5">
      <c r="B107" s="48"/>
      <c r="C107" s="160" t="s">
        <v>624</v>
      </c>
      <c r="D107" s="156">
        <f>$E$13*F801EVE!D105*0</f>
        <v>0</v>
      </c>
      <c r="E107" s="156">
        <f>$E$13*F801EVE!E105*0</f>
        <v>0</v>
      </c>
      <c r="F107" s="156">
        <f>$E$13*F801EVE!F105*0</f>
        <v>0</v>
      </c>
      <c r="G107" s="156">
        <f>$E$13*F801EVE!G105*0</f>
        <v>0</v>
      </c>
      <c r="H107" s="156">
        <f>$E$13*F801EVE!H105*0</f>
        <v>0</v>
      </c>
      <c r="I107" s="156">
        <f>$E$13*F801EVE!I105*0</f>
        <v>0</v>
      </c>
      <c r="J107" s="156">
        <f t="shared" si="37"/>
        <v>0</v>
      </c>
    </row>
    <row r="108" spans="2:10" s="37" customFormat="1" ht="13.5">
      <c r="B108" s="48"/>
      <c r="C108" s="157"/>
      <c r="D108" s="156"/>
      <c r="E108" s="156"/>
      <c r="F108" s="156"/>
      <c r="G108" s="156"/>
      <c r="H108" s="156"/>
      <c r="I108" s="156"/>
      <c r="J108" s="156"/>
    </row>
    <row r="109" spans="2:10" s="37" customFormat="1" ht="13.5">
      <c r="B109" s="48"/>
      <c r="C109" s="153" t="s">
        <v>112</v>
      </c>
      <c r="D109" s="154">
        <f t="shared" ref="D109:H109" si="40">SUM(D32,D22,D18)</f>
        <v>2976003.8279882181</v>
      </c>
      <c r="E109" s="154">
        <f t="shared" si="40"/>
        <v>2977245.8421393498</v>
      </c>
      <c r="F109" s="154">
        <f t="shared" si="40"/>
        <v>2924795.8276353101</v>
      </c>
      <c r="G109" s="154">
        <f t="shared" si="40"/>
        <v>2967040.2708839495</v>
      </c>
      <c r="H109" s="154">
        <f t="shared" si="40"/>
        <v>2842154.3683666806</v>
      </c>
      <c r="I109" s="154">
        <f t="shared" ref="I109" si="41">SUM(I32,I22,I18)</f>
        <v>2851779.8421662343</v>
      </c>
      <c r="J109" s="154">
        <f>SUM(D109:I109)</f>
        <v>17539019.979179744</v>
      </c>
    </row>
    <row r="110" spans="2:10" s="37" customFormat="1">
      <c r="B110" s="48"/>
      <c r="C110" s="63"/>
      <c r="D110" s="63"/>
      <c r="E110" s="63"/>
      <c r="F110" s="63"/>
      <c r="G110" s="63"/>
      <c r="H110" s="63"/>
      <c r="I110" s="63"/>
      <c r="J110" s="163"/>
    </row>
    <row r="111" spans="2:10" s="37" customFormat="1" ht="51" customHeight="1">
      <c r="B111" s="48"/>
      <c r="C111" s="149" t="s">
        <v>1394</v>
      </c>
      <c r="D111" s="149"/>
      <c r="E111" s="149"/>
      <c r="F111" s="149"/>
      <c r="G111" s="149"/>
      <c r="H111" s="149"/>
      <c r="I111" s="149"/>
      <c r="J111" s="149"/>
    </row>
    <row r="112" spans="2:10" s="37" customFormat="1" ht="13.5">
      <c r="B112" s="48"/>
      <c r="C112" s="150" t="s">
        <v>310</v>
      </c>
      <c r="D112" s="151">
        <f t="shared" ref="D112:I112" si="42">D17</f>
        <v>46204</v>
      </c>
      <c r="E112" s="151">
        <f t="shared" si="42"/>
        <v>46235</v>
      </c>
      <c r="F112" s="151">
        <f t="shared" si="42"/>
        <v>46266</v>
      </c>
      <c r="G112" s="151">
        <f t="shared" si="42"/>
        <v>46296</v>
      </c>
      <c r="H112" s="151">
        <f t="shared" si="42"/>
        <v>46327</v>
      </c>
      <c r="I112" s="151">
        <f t="shared" si="42"/>
        <v>46357</v>
      </c>
      <c r="J112" s="152" t="s">
        <v>111</v>
      </c>
    </row>
    <row r="113" spans="1:10">
      <c r="A113" s="37"/>
      <c r="C113" s="153" t="s">
        <v>446</v>
      </c>
      <c r="D113" s="154">
        <f t="shared" ref="D113:H113" si="43">SUM(D114:D115)</f>
        <v>17883.792407114379</v>
      </c>
      <c r="E113" s="154">
        <f t="shared" si="43"/>
        <v>16648.612985012038</v>
      </c>
      <c r="F113" s="154">
        <f t="shared" si="43"/>
        <v>17026.105712180502</v>
      </c>
      <c r="G113" s="154">
        <f t="shared" si="43"/>
        <v>19732.147456238778</v>
      </c>
      <c r="H113" s="154">
        <f t="shared" si="43"/>
        <v>15779.958937384212</v>
      </c>
      <c r="I113" s="154">
        <f t="shared" ref="I113" si="44">SUM(I114:I115)</f>
        <v>18540.388165955515</v>
      </c>
      <c r="J113" s="154">
        <f>SUM(D113:I113)</f>
        <v>105611.00566388543</v>
      </c>
    </row>
    <row r="114" spans="1:10">
      <c r="A114" s="37"/>
      <c r="B114" s="48" t="s">
        <v>870</v>
      </c>
      <c r="C114" s="157" t="s">
        <v>971</v>
      </c>
      <c r="D114" s="156">
        <f>$D$7*F801D!D116+$F$7*F801EVE!K116+$G$7*F801EVE!R116+$H$7*F801EVE!Y116</f>
        <v>12088.041473192401</v>
      </c>
      <c r="E114" s="156">
        <f>$D$7*F801D!E116+$F$7*F801EVE!L116+$G$7*F801EVE!S116+$H$7*F801EVE!Z116</f>
        <v>10971.392267873158</v>
      </c>
      <c r="F114" s="156">
        <f>$D$7*F801D!F116+$F$7*F801EVE!M116+$G$7*F801EVE!T116+$H$7*F801EVE!AA116</f>
        <v>11137.046463863746</v>
      </c>
      <c r="G114" s="156">
        <f>$D$7*F801D!G116+$F$7*F801EVE!N116+$G$7*F801EVE!U116+$H$7*F801EVE!AB116</f>
        <v>12658.199196701302</v>
      </c>
      <c r="H114" s="156">
        <f>$D$7*F801D!H116+$F$7*F801EVE!O116+$G$7*F801EVE!V116+$H$7*F801EVE!AC116</f>
        <v>8981.0092647034198</v>
      </c>
      <c r="I114" s="156">
        <f>$D$7*F801D!I116+$F$7*F801EVE!P116+$G$7*F801EVE!W116+$H$7*F801EVE!AD116</f>
        <v>11372.616122938955</v>
      </c>
      <c r="J114" s="154">
        <f>SUM(D114:I114)</f>
        <v>67208.304789272981</v>
      </c>
    </row>
    <row r="115" spans="1:10">
      <c r="A115" s="37"/>
      <c r="B115" s="48" t="s">
        <v>871</v>
      </c>
      <c r="C115" s="153" t="s">
        <v>278</v>
      </c>
      <c r="D115" s="154">
        <f t="shared" ref="D115:H115" si="45">SUM(D116:D117)</f>
        <v>5795.7509339219778</v>
      </c>
      <c r="E115" s="154">
        <f t="shared" si="45"/>
        <v>5677.22071713888</v>
      </c>
      <c r="F115" s="154">
        <f t="shared" si="45"/>
        <v>5889.0592483167557</v>
      </c>
      <c r="G115" s="154">
        <f t="shared" si="45"/>
        <v>7073.9482595374748</v>
      </c>
      <c r="H115" s="154">
        <f t="shared" si="45"/>
        <v>6798.949672680792</v>
      </c>
      <c r="I115" s="154">
        <f t="shared" ref="I115" si="46">SUM(I116:I117)</f>
        <v>7167.77204301656</v>
      </c>
      <c r="J115" s="154">
        <f>SUM(D115:I115)</f>
        <v>38402.700874612441</v>
      </c>
    </row>
    <row r="116" spans="1:10">
      <c r="A116" s="37"/>
      <c r="C116" s="157" t="s">
        <v>969</v>
      </c>
      <c r="D116" s="156">
        <f>$D$8*F801D!D118+$E$8*F801EVE!D118</f>
        <v>0</v>
      </c>
      <c r="E116" s="156">
        <f>$D$8*F801D!E118+$E$8*F801EVE!E118</f>
        <v>0</v>
      </c>
      <c r="F116" s="156">
        <f>$D$8*F801D!F118+$E$8*F801EVE!F118</f>
        <v>0</v>
      </c>
      <c r="G116" s="156">
        <f>$D$8*F801D!G118+$E$8*F801EVE!G118</f>
        <v>0</v>
      </c>
      <c r="H116" s="156">
        <f>$D$8*F801D!H118+$E$8*F801EVE!H118</f>
        <v>0</v>
      </c>
      <c r="I116" s="156">
        <f>$D$8*F801D!I118+$E$8*F801EVE!I118</f>
        <v>0</v>
      </c>
      <c r="J116" s="154">
        <f t="shared" ref="J116:J141" si="47">SUM(D116:I116)</f>
        <v>0</v>
      </c>
    </row>
    <row r="117" spans="1:10">
      <c r="A117" s="37"/>
      <c r="C117" s="157" t="s">
        <v>1356</v>
      </c>
      <c r="D117" s="156">
        <f>$D$8*F801D!D119+$E$8*F801EVE!D119</f>
        <v>5795.7509339219778</v>
      </c>
      <c r="E117" s="156">
        <f>$D$8*F801D!E119+$E$8*F801EVE!E119</f>
        <v>5677.22071713888</v>
      </c>
      <c r="F117" s="156">
        <f>$D$8*F801D!F119+$E$8*F801EVE!F119</f>
        <v>5889.0592483167557</v>
      </c>
      <c r="G117" s="156">
        <f>$D$8*F801D!G119+$E$8*F801EVE!G119</f>
        <v>7073.9482595374748</v>
      </c>
      <c r="H117" s="156">
        <f>$D$8*F801D!H119+$E$8*F801EVE!H119</f>
        <v>6798.949672680792</v>
      </c>
      <c r="I117" s="156">
        <f>$D$8*F801D!I119+$E$8*F801EVE!I119</f>
        <v>7167.77204301656</v>
      </c>
      <c r="J117" s="154">
        <f t="shared" si="47"/>
        <v>38402.700874612441</v>
      </c>
    </row>
    <row r="118" spans="1:10">
      <c r="A118" s="37"/>
      <c r="C118" s="153" t="s">
        <v>942</v>
      </c>
      <c r="D118" s="156"/>
      <c r="E118" s="156"/>
      <c r="F118" s="156"/>
      <c r="G118" s="156"/>
      <c r="H118" s="156"/>
      <c r="I118" s="156"/>
      <c r="J118" s="154">
        <f t="shared" si="47"/>
        <v>0</v>
      </c>
    </row>
    <row r="119" spans="1:10">
      <c r="A119" s="37"/>
      <c r="C119" s="157"/>
      <c r="D119" s="156"/>
      <c r="E119" s="156"/>
      <c r="F119" s="156"/>
      <c r="G119" s="156"/>
      <c r="H119" s="156"/>
      <c r="I119" s="156"/>
      <c r="J119" s="154">
        <f t="shared" si="47"/>
        <v>0</v>
      </c>
    </row>
    <row r="120" spans="1:10">
      <c r="A120" s="37"/>
      <c r="C120" s="153" t="s">
        <v>630</v>
      </c>
      <c r="D120" s="154">
        <f t="shared" ref="D120:H120" si="48">D121+D125</f>
        <v>453951.40293811826</v>
      </c>
      <c r="E120" s="154">
        <f t="shared" si="48"/>
        <v>449223.14166909643</v>
      </c>
      <c r="F120" s="154">
        <f t="shared" si="48"/>
        <v>437098.34311139322</v>
      </c>
      <c r="G120" s="154">
        <f t="shared" si="48"/>
        <v>453321.936104908</v>
      </c>
      <c r="H120" s="154">
        <f t="shared" si="48"/>
        <v>421157.49820316525</v>
      </c>
      <c r="I120" s="154">
        <f t="shared" ref="I120" si="49">I121+I125</f>
        <v>443057.14701809944</v>
      </c>
      <c r="J120" s="154">
        <f t="shared" si="47"/>
        <v>2657809.4690447804</v>
      </c>
    </row>
    <row r="121" spans="1:10">
      <c r="A121" s="37"/>
      <c r="B121" s="48" t="s">
        <v>872</v>
      </c>
      <c r="C121" s="153" t="s">
        <v>277</v>
      </c>
      <c r="D121" s="154">
        <f t="shared" ref="D121:H121" si="50">SUM(D122:D124)</f>
        <v>65952.441864433189</v>
      </c>
      <c r="E121" s="154">
        <f t="shared" si="50"/>
        <v>65586.898813377949</v>
      </c>
      <c r="F121" s="154">
        <f t="shared" si="50"/>
        <v>63039.147981328009</v>
      </c>
      <c r="G121" s="154">
        <f t="shared" si="50"/>
        <v>65315.54314506497</v>
      </c>
      <c r="H121" s="154">
        <f t="shared" si="50"/>
        <v>61167.352292906464</v>
      </c>
      <c r="I121" s="154">
        <f t="shared" ref="I121" si="51">SUM(I122:I124)</f>
        <v>59148.376089884019</v>
      </c>
      <c r="J121" s="154">
        <f>SUM(D121:I121)</f>
        <v>380209.76018699462</v>
      </c>
    </row>
    <row r="122" spans="1:10">
      <c r="A122" s="37"/>
      <c r="C122" s="157" t="s">
        <v>1355</v>
      </c>
      <c r="D122" s="156">
        <f>$D$9*F801D!D124+$F$9*F801EVE!K124+$G$9*F801EVE!R124+$H$9*F801EVE!Y124</f>
        <v>61721.583411524713</v>
      </c>
      <c r="E122" s="156">
        <f>$D$9*F801D!E124+$F$9*F801EVE!L124+$G$9*F801EVE!S124+$H$9*F801EVE!Z124</f>
        <v>61306.804539454708</v>
      </c>
      <c r="F122" s="156">
        <f>$D$9*F801D!F124+$F$9*F801EVE!M124+$G$9*F801EVE!T124+$H$9*F801EVE!AA124</f>
        <v>58646.902553750653</v>
      </c>
      <c r="G122" s="156">
        <f>$D$9*F801D!G124+$F$9*F801EVE!N124+$G$9*F801EVE!U124+$H$9*F801EVE!AB124</f>
        <v>60588.36919590809</v>
      </c>
      <c r="H122" s="156">
        <f>$D$9*F801D!H124+$F$9*F801EVE!O124+$G$9*F801EVE!V124+$H$9*F801EVE!AC124</f>
        <v>56235.078043826004</v>
      </c>
      <c r="I122" s="156">
        <f>$D$9*F801D!I124+$F$9*F801EVE!P124+$G$9*F801EVE!W124+$H$9*F801EVE!AD124</f>
        <v>55815.923679454514</v>
      </c>
      <c r="J122" s="154">
        <f t="shared" si="47"/>
        <v>354314.66142391867</v>
      </c>
    </row>
    <row r="123" spans="1:10">
      <c r="A123" s="37"/>
      <c r="C123" s="157" t="s">
        <v>1355</v>
      </c>
      <c r="D123" s="156">
        <f>$D$9*F801D!D125+$F$9*F801EVE!K125+$G$9*F801EVE!R125+$H$9*F801EVE!Y125</f>
        <v>3121.5716202226649</v>
      </c>
      <c r="E123" s="156">
        <f>$D$9*F801D!E125+$F$9*F801EVE!L125+$G$9*F801EVE!S125+$H$9*F801EVE!Z125</f>
        <v>3194.7697565193603</v>
      </c>
      <c r="F123" s="156">
        <f>$D$9*F801D!F125+$F$9*F801EVE!M125+$G$9*F801EVE!T125+$H$9*F801EVE!AA125</f>
        <v>3342.9915842123446</v>
      </c>
      <c r="G123" s="156">
        <f>$D$9*F801D!G125+$F$9*F801EVE!N125+$G$9*F801EVE!U125+$H$9*F801EVE!AB125</f>
        <v>3606.8327186047068</v>
      </c>
      <c r="H123" s="156">
        <f>$D$9*F801D!H125+$F$9*F801EVE!O125+$G$9*F801EVE!V125+$H$9*F801EVE!AC125</f>
        <v>3849.7773761403587</v>
      </c>
      <c r="I123" s="156">
        <f>$D$9*F801D!I125+$F$9*F801EVE!P125+$G$9*F801EVE!W125+$H$9*F801EVE!AD125</f>
        <v>2292.5869108223133</v>
      </c>
      <c r="J123" s="154">
        <f t="shared" si="47"/>
        <v>19408.529966521746</v>
      </c>
    </row>
    <row r="124" spans="1:10">
      <c r="A124" s="37"/>
      <c r="C124" s="157" t="s">
        <v>1355</v>
      </c>
      <c r="D124" s="156">
        <f>$D$9*F801D!D126+$F$9*F801EVE!K126+$G$9*F801EVE!R126+$H$9*F801EVE!Y126</f>
        <v>1109.2868326858199</v>
      </c>
      <c r="E124" s="156">
        <f>$D$9*F801D!E126+$F$9*F801EVE!L126+$G$9*F801EVE!S126+$H$9*F801EVE!Z126</f>
        <v>1085.3245174038771</v>
      </c>
      <c r="F124" s="156">
        <f>$D$9*F801D!F126+$F$9*F801EVE!M126+$G$9*F801EVE!T126+$H$9*F801EVE!AA126</f>
        <v>1049.2538433650102</v>
      </c>
      <c r="G124" s="156">
        <f>$D$9*F801D!G126+$F$9*F801EVE!N126+$G$9*F801EVE!U126+$H$9*F801EVE!AB126</f>
        <v>1120.3412305521724</v>
      </c>
      <c r="H124" s="156">
        <f>$D$9*F801D!H126+$F$9*F801EVE!O126+$G$9*F801EVE!V126+$H$9*F801EVE!AC126</f>
        <v>1082.496872940101</v>
      </c>
      <c r="I124" s="156">
        <f>$D$9*F801D!I126+$F$9*F801EVE!P126+$G$9*F801EVE!W126+$H$9*F801EVE!AD126</f>
        <v>1039.865499607193</v>
      </c>
      <c r="J124" s="154">
        <f t="shared" si="47"/>
        <v>6486.5687965541729</v>
      </c>
    </row>
    <row r="125" spans="1:10">
      <c r="A125" s="37"/>
      <c r="B125" s="48" t="s">
        <v>873</v>
      </c>
      <c r="C125" s="153" t="s">
        <v>276</v>
      </c>
      <c r="D125" s="154">
        <f t="shared" ref="D125:H125" si="52">SUM(D126:D131)</f>
        <v>387998.96107368509</v>
      </c>
      <c r="E125" s="154">
        <f t="shared" si="52"/>
        <v>383636.24285571848</v>
      </c>
      <c r="F125" s="154">
        <f t="shared" si="52"/>
        <v>374059.1951300652</v>
      </c>
      <c r="G125" s="154">
        <f t="shared" si="52"/>
        <v>388006.39295984304</v>
      </c>
      <c r="H125" s="154">
        <f t="shared" si="52"/>
        <v>359990.14591025881</v>
      </c>
      <c r="I125" s="154">
        <f t="shared" ref="I125" si="53">SUM(I126:I131)</f>
        <v>383908.77092821541</v>
      </c>
      <c r="J125" s="154">
        <f t="shared" si="47"/>
        <v>2277599.7088577859</v>
      </c>
    </row>
    <row r="126" spans="1:10">
      <c r="A126" s="37"/>
      <c r="C126" s="157" t="s">
        <v>969</v>
      </c>
      <c r="D126" s="156">
        <f>$D$10*F801D!D129+$E$10*F801EVE!D129</f>
        <v>0</v>
      </c>
      <c r="E126" s="156">
        <f>$D$10*F801D!E129+$E$10*F801EVE!E129</f>
        <v>0</v>
      </c>
      <c r="F126" s="156">
        <f>$D$10*F801D!F129+$E$10*F801EVE!F129</f>
        <v>0</v>
      </c>
      <c r="G126" s="156">
        <f>$D$10*F801D!G129+$E$10*F801EVE!G129</f>
        <v>0</v>
      </c>
      <c r="H126" s="156">
        <f>$D$10*F801D!H129+$E$10*F801EVE!H129</f>
        <v>0</v>
      </c>
      <c r="I126" s="156">
        <f>$D$10*F801D!I129+$E$10*F801EVE!I129</f>
        <v>0</v>
      </c>
      <c r="J126" s="154">
        <f t="shared" si="47"/>
        <v>0</v>
      </c>
    </row>
    <row r="127" spans="1:10">
      <c r="A127" s="37"/>
      <c r="C127" s="157" t="s">
        <v>1356</v>
      </c>
      <c r="D127" s="156">
        <f>$D$10*F801D!D130+$E$10*F801EVE!D130</f>
        <v>253460.39229783459</v>
      </c>
      <c r="E127" s="156">
        <f>$D$10*F801D!E130+$E$10*F801EVE!E130</f>
        <v>252206.73065623466</v>
      </c>
      <c r="F127" s="156">
        <f>$D$10*F801D!F130+$E$10*F801EVE!F130</f>
        <v>230143.07827047125</v>
      </c>
      <c r="G127" s="156">
        <f>$D$10*F801D!G130+$E$10*F801EVE!G130</f>
        <v>238208.97078305483</v>
      </c>
      <c r="H127" s="156">
        <f>$D$10*F801D!H130+$E$10*F801EVE!H130</f>
        <v>218967.26800903116</v>
      </c>
      <c r="I127" s="156">
        <f>$D$10*F801D!I130+$E$10*F801EVE!I130</f>
        <v>230440.75806970254</v>
      </c>
      <c r="J127" s="154">
        <f>SUM(D127:I127)</f>
        <v>1423427.1980863293</v>
      </c>
    </row>
    <row r="128" spans="1:10">
      <c r="A128" s="37"/>
      <c r="C128" s="157" t="s">
        <v>1356</v>
      </c>
      <c r="D128" s="156">
        <f>$D$10*F801D!D131+$E$10*F801EVE!D131</f>
        <v>17991.78355088114</v>
      </c>
      <c r="E128" s="156">
        <f>$D$10*F801D!E131+$E$10*F801EVE!E131</f>
        <v>16041.462937268258</v>
      </c>
      <c r="F128" s="156">
        <f>$D$10*F801D!F131+$E$10*F801EVE!F131</f>
        <v>17941.611053035595</v>
      </c>
      <c r="G128" s="156">
        <f>$D$10*F801D!G131+$E$10*F801EVE!G131</f>
        <v>15646.752640531899</v>
      </c>
      <c r="H128" s="156">
        <f>$D$10*F801D!H131+$E$10*F801EVE!H131</f>
        <v>14958.578330152468</v>
      </c>
      <c r="I128" s="156">
        <f>$D$10*F801D!I131+$E$10*F801EVE!I131</f>
        <v>16773.185928414776</v>
      </c>
      <c r="J128" s="154">
        <f>SUM(D128:I128)</f>
        <v>99353.374440284126</v>
      </c>
    </row>
    <row r="129" spans="1:10">
      <c r="A129" s="37"/>
      <c r="C129" s="157" t="s">
        <v>1356</v>
      </c>
      <c r="D129" s="156">
        <f>$D$10*F801D!D132+$E$10*F801EVE!D132</f>
        <v>16632.051808600583</v>
      </c>
      <c r="E129" s="156">
        <f>$D$10*F801D!E132+$E$10*F801EVE!E132</f>
        <v>17157.944011406915</v>
      </c>
      <c r="F129" s="156">
        <f>$D$10*F801D!F132+$E$10*F801EVE!F132</f>
        <v>16509.977447092213</v>
      </c>
      <c r="G129" s="156">
        <f>$D$10*F801D!G132+$E$10*F801EVE!G132</f>
        <v>17219.150428476372</v>
      </c>
      <c r="H129" s="156">
        <f>$D$10*F801D!H132+$E$10*F801EVE!H132</f>
        <v>15353.587858480189</v>
      </c>
      <c r="I129" s="156">
        <f>$D$10*F801D!I132+$E$10*F801EVE!I132</f>
        <v>17208.23547052166</v>
      </c>
      <c r="J129" s="154">
        <f>SUM(D129:I129)</f>
        <v>100080.94702457792</v>
      </c>
    </row>
    <row r="130" spans="1:10">
      <c r="A130" s="37"/>
      <c r="C130" s="157" t="s">
        <v>1356</v>
      </c>
      <c r="D130" s="156">
        <f>$D$10*F801D!D133+$E$10*F801EVE!D133</f>
        <v>99914.733416368777</v>
      </c>
      <c r="E130" s="156">
        <f>$D$10*F801D!E133+$E$10*F801EVE!E133</f>
        <v>98230.105250808629</v>
      </c>
      <c r="F130" s="156">
        <f>$D$10*F801D!F133+$E$10*F801EVE!F133</f>
        <v>109464.52835946615</v>
      </c>
      <c r="G130" s="156">
        <f>$D$10*F801D!G133+$E$10*F801EVE!G133</f>
        <v>116931.51910777995</v>
      </c>
      <c r="H130" s="156">
        <f>$D$10*F801D!H133+$E$10*F801EVE!H133</f>
        <v>110710.71171259497</v>
      </c>
      <c r="I130" s="156">
        <f>$D$10*F801D!I133+$E$10*F801EVE!I133</f>
        <v>119486.59145957643</v>
      </c>
      <c r="J130" s="154">
        <f>SUM(D130:I130)</f>
        <v>654738.1893065949</v>
      </c>
    </row>
    <row r="131" spans="1:10">
      <c r="A131" s="37"/>
      <c r="C131" s="157"/>
      <c r="D131" s="156"/>
      <c r="E131" s="156"/>
      <c r="F131" s="156"/>
      <c r="G131" s="156"/>
      <c r="H131" s="156"/>
      <c r="I131" s="156"/>
      <c r="J131" s="154">
        <f t="shared" si="47"/>
        <v>0</v>
      </c>
    </row>
    <row r="132" spans="1:10">
      <c r="A132" s="37"/>
      <c r="C132" s="153" t="s">
        <v>443</v>
      </c>
      <c r="D132" s="154">
        <f t="shared" ref="D132:H132" si="54">SUM(D133:D134)</f>
        <v>104894.04352689644</v>
      </c>
      <c r="E132" s="154">
        <f t="shared" si="54"/>
        <v>103080.78741920355</v>
      </c>
      <c r="F132" s="154">
        <f t="shared" si="54"/>
        <v>104620.80591232881</v>
      </c>
      <c r="G132" s="154">
        <f t="shared" si="54"/>
        <v>109827.13043278905</v>
      </c>
      <c r="H132" s="154">
        <f t="shared" si="54"/>
        <v>102077.69824033577</v>
      </c>
      <c r="I132" s="154">
        <f t="shared" ref="I132" si="55">SUM(I133:I134)</f>
        <v>113797.82260196704</v>
      </c>
      <c r="J132" s="154">
        <f t="shared" si="47"/>
        <v>638298.28813352063</v>
      </c>
    </row>
    <row r="133" spans="1:10">
      <c r="A133" s="37"/>
      <c r="B133" s="48" t="s">
        <v>874</v>
      </c>
      <c r="C133" s="157" t="s">
        <v>1355</v>
      </c>
      <c r="D133" s="156">
        <f>$D$11*F801D!D137+$F$11*F801EVE!K137+$G$11*F801EVE!R137+$H$11*F801EVE!Y137</f>
        <v>3404.7556918596174</v>
      </c>
      <c r="E133" s="156">
        <f>$D$11*F801D!E137+$F$11*F801EVE!L137+$G$11*F801EVE!S137+$H$11*F801EVE!Z137</f>
        <v>3358.5484254343014</v>
      </c>
      <c r="F133" s="156">
        <f>$D$11*F801D!F137+$F$11*F801EVE!M137+$G$11*F801EVE!T137+$H$11*F801EVE!AA137</f>
        <v>3234.9590001691199</v>
      </c>
      <c r="G133" s="156">
        <f>$D$11*F801D!G137+$F$11*F801EVE!N137+$G$11*F801EVE!U137+$H$11*F801EVE!AB137</f>
        <v>3345.0916638293993</v>
      </c>
      <c r="H133" s="156">
        <f>$D$11*F801D!H137+$F$11*F801EVE!O137+$G$11*F801EVE!V137+$H$11*F801EVE!AC137</f>
        <v>3255.4983489040624</v>
      </c>
      <c r="I133" s="156">
        <f>$D$11*F801D!I137+$F$11*F801EVE!P137+$G$11*F801EVE!W137+$H$11*F801EVE!AD137</f>
        <v>3361.3504136082033</v>
      </c>
      <c r="J133" s="154">
        <f t="shared" si="47"/>
        <v>19960.203543804702</v>
      </c>
    </row>
    <row r="134" spans="1:10">
      <c r="A134" s="37"/>
      <c r="B134" s="48" t="s">
        <v>875</v>
      </c>
      <c r="C134" s="153" t="s">
        <v>274</v>
      </c>
      <c r="D134" s="154">
        <f t="shared" ref="D134:H134" si="56">SUM(D135:D140)</f>
        <v>101489.28783503681</v>
      </c>
      <c r="E134" s="154">
        <f t="shared" si="56"/>
        <v>99722.23899376925</v>
      </c>
      <c r="F134" s="154">
        <f t="shared" si="56"/>
        <v>101385.84691215969</v>
      </c>
      <c r="G134" s="154">
        <f t="shared" si="56"/>
        <v>106482.03876895965</v>
      </c>
      <c r="H134" s="154">
        <f t="shared" si="56"/>
        <v>98822.199891431708</v>
      </c>
      <c r="I134" s="154">
        <f t="shared" ref="I134" si="57">SUM(I135:I140)</f>
        <v>110436.47218835884</v>
      </c>
      <c r="J134" s="154">
        <f t="shared" si="47"/>
        <v>618338.08458971593</v>
      </c>
    </row>
    <row r="135" spans="1:10">
      <c r="A135" s="37"/>
      <c r="C135" s="157" t="s">
        <v>969</v>
      </c>
      <c r="D135" s="156">
        <f>$D$12*(F801D!D140)+$E$12*(F801EVE!D140)</f>
        <v>1028.0946169947301</v>
      </c>
      <c r="E135" s="156">
        <f>$D$12*(F801D!E140)+$E$12*(F801EVE!E140)</f>
        <v>1003.8058074969961</v>
      </c>
      <c r="F135" s="156">
        <f>$D$12*(F801D!F140)+$E$12*(F801EVE!F140)</f>
        <v>1021.0762353998638</v>
      </c>
      <c r="G135" s="156">
        <f>$D$12*(F801D!G140)+$E$12*(F801EVE!G140)</f>
        <v>1068.5098308532019</v>
      </c>
      <c r="H135" s="156">
        <f>$D$12*(F801D!H140)+$E$12*(F801EVE!H140)</f>
        <v>986.93942468988007</v>
      </c>
      <c r="I135" s="156">
        <f>$D$12*(F801D!I140)+$E$12*(F801EVE!I140)</f>
        <v>1043.0645211653218</v>
      </c>
      <c r="J135" s="154">
        <f t="shared" si="47"/>
        <v>6151.4904365999937</v>
      </c>
    </row>
    <row r="136" spans="1:10">
      <c r="A136" s="37"/>
      <c r="C136" s="157" t="s">
        <v>1356</v>
      </c>
      <c r="D136" s="156">
        <f>$D$12*(F801D!D141)+$E$12*(F801EVE!D141)</f>
        <v>67319.778684148856</v>
      </c>
      <c r="E136" s="156">
        <f>$D$12*(F801D!E141)+$E$12*(F801EVE!E141)</f>
        <v>65775.199415867421</v>
      </c>
      <c r="F136" s="156">
        <f>$D$12*(F801D!F141)+$E$12*(F801EVE!F141)</f>
        <v>64142.341648059584</v>
      </c>
      <c r="G136" s="156">
        <f>$D$12*(F801D!G141)+$E$12*(F801EVE!G141)</f>
        <v>66331.20205654591</v>
      </c>
      <c r="H136" s="156">
        <f>$D$12*(F801D!H141)+$E$12*(F801EVE!H141)</f>
        <v>61165.164734484395</v>
      </c>
      <c r="I136" s="156">
        <f>$D$12*(F801D!I141)+$E$12*(F801EVE!I141)</f>
        <v>65727.963214599935</v>
      </c>
      <c r="J136" s="154">
        <f t="shared" si="47"/>
        <v>390461.64975370612</v>
      </c>
    </row>
    <row r="137" spans="1:10">
      <c r="A137" s="37"/>
      <c r="C137" s="157" t="s">
        <v>1356</v>
      </c>
      <c r="D137" s="156">
        <f>$D$12*(F801D!D142)+$E$12*(F801EVE!D142)</f>
        <v>1354.9699241557923</v>
      </c>
      <c r="E137" s="156">
        <f>$D$12*(F801D!E142)+$E$12*(F801EVE!E142)</f>
        <v>1331.5566895493942</v>
      </c>
      <c r="F137" s="156">
        <f>$D$12*(F801D!F142)+$E$12*(F801EVE!F142)</f>
        <v>1302.0874633759856</v>
      </c>
      <c r="G137" s="156">
        <f>$D$12*(F801D!G142)+$E$12*(F801EVE!G142)</f>
        <v>1319.9587932866584</v>
      </c>
      <c r="H137" s="156">
        <f>$D$12*(F801D!H142)+$E$12*(F801EVE!H142)</f>
        <v>1160.9160802054021</v>
      </c>
      <c r="I137" s="156">
        <f>$D$12*(F801D!I142)+$E$12*(F801EVE!I142)</f>
        <v>1276.9633291409264</v>
      </c>
      <c r="J137" s="154">
        <f>SUM(D137:I137)</f>
        <v>7746.452279714159</v>
      </c>
    </row>
    <row r="138" spans="1:10">
      <c r="A138" s="37"/>
      <c r="C138" s="157" t="s">
        <v>1356</v>
      </c>
      <c r="D138" s="156">
        <f>$D$12*(F801D!D143)+$E$12*(F801EVE!D143)</f>
        <v>13564.92132555838</v>
      </c>
      <c r="E138" s="156">
        <f>$D$12*(F801D!E143)+$E$12*(F801EVE!E143)</f>
        <v>13100.0852555043</v>
      </c>
      <c r="F138" s="156">
        <f>$D$12*(F801D!F143)+$E$12*(F801EVE!F143)</f>
        <v>12902.87985831834</v>
      </c>
      <c r="G138" s="156">
        <f>$D$12*(F801D!G143)+$E$12*(F801EVE!G143)</f>
        <v>13421.474284552225</v>
      </c>
      <c r="H138" s="156">
        <f>$D$12*(F801D!H143)+$E$12*(F801EVE!H143)</f>
        <v>11989.023344804566</v>
      </c>
      <c r="I138" s="156">
        <f>$D$12*(F801D!I143)+$E$12*(F801EVE!I143)</f>
        <v>12120.675306592751</v>
      </c>
      <c r="J138" s="154">
        <f>SUM(D138:I138)</f>
        <v>77099.059375330558</v>
      </c>
    </row>
    <row r="139" spans="1:10">
      <c r="A139" s="37"/>
      <c r="C139" s="157" t="s">
        <v>1356</v>
      </c>
      <c r="D139" s="156">
        <f>$D$12*(F801D!D144)+$E$12*(F801EVE!D144)</f>
        <v>18221.523284179049</v>
      </c>
      <c r="E139" s="156">
        <f>$D$12*(F801D!E144)+$E$12*(F801EVE!E144)</f>
        <v>18511.591825351126</v>
      </c>
      <c r="F139" s="156">
        <f>$D$12*(F801D!F144)+$E$12*(F801EVE!F144)</f>
        <v>22017.461707005918</v>
      </c>
      <c r="G139" s="156">
        <f>$D$12*(F801D!G144)+$E$12*(F801EVE!G144)</f>
        <v>24340.893803721654</v>
      </c>
      <c r="H139" s="156">
        <f>$D$12*(F801D!H144)+$E$12*(F801EVE!H144)</f>
        <v>23520.156307247464</v>
      </c>
      <c r="I139" s="156">
        <f>$D$12*(F801D!I144)+$E$12*(F801EVE!I144)</f>
        <v>30267.805816859902</v>
      </c>
      <c r="J139" s="154">
        <f>SUM(D139:I139)</f>
        <v>136879.43274436513</v>
      </c>
    </row>
    <row r="140" spans="1:10">
      <c r="A140" s="37"/>
      <c r="C140" s="157"/>
      <c r="D140" s="156"/>
      <c r="E140" s="156"/>
      <c r="F140" s="156"/>
      <c r="G140" s="156"/>
      <c r="H140" s="156"/>
      <c r="I140" s="156"/>
      <c r="J140" s="154"/>
    </row>
    <row r="141" spans="1:10">
      <c r="A141" s="37"/>
      <c r="C141" s="153" t="s">
        <v>112</v>
      </c>
      <c r="D141" s="154">
        <f t="shared" ref="D141:H141" si="58">D113+D120+D132</f>
        <v>576729.238872129</v>
      </c>
      <c r="E141" s="154">
        <f t="shared" si="58"/>
        <v>568952.54207331198</v>
      </c>
      <c r="F141" s="154">
        <f t="shared" si="58"/>
        <v>558745.25473590253</v>
      </c>
      <c r="G141" s="154">
        <f t="shared" si="58"/>
        <v>582881.21399393585</v>
      </c>
      <c r="H141" s="154">
        <f t="shared" si="58"/>
        <v>539015.15538088523</v>
      </c>
      <c r="I141" s="154">
        <f t="shared" ref="I141" si="59">I113+I120+I132</f>
        <v>575395.35778602201</v>
      </c>
      <c r="J141" s="154">
        <f t="shared" si="47"/>
        <v>3401718.7628421867</v>
      </c>
    </row>
    <row r="142" spans="1:10">
      <c r="C142" s="164"/>
      <c r="D142" s="164"/>
      <c r="E142" s="164"/>
      <c r="F142" s="164"/>
      <c r="G142" s="164"/>
      <c r="H142" s="164"/>
      <c r="I142" s="164"/>
      <c r="J142" s="164"/>
    </row>
    <row r="143" spans="1:10">
      <c r="C143" s="153" t="s">
        <v>111</v>
      </c>
      <c r="D143" s="154">
        <f t="shared" ref="D143:H143" si="60">D109+D141</f>
        <v>3552733.0668603471</v>
      </c>
      <c r="E143" s="154">
        <f t="shared" si="60"/>
        <v>3546198.3842126615</v>
      </c>
      <c r="F143" s="154">
        <f t="shared" si="60"/>
        <v>3483541.0823712125</v>
      </c>
      <c r="G143" s="154">
        <f t="shared" si="60"/>
        <v>3549921.4848778853</v>
      </c>
      <c r="H143" s="154">
        <f t="shared" si="60"/>
        <v>3381169.5237475657</v>
      </c>
      <c r="I143" s="154">
        <f t="shared" ref="I143:J143" si="61">I109+I141</f>
        <v>3427175.1999522564</v>
      </c>
      <c r="J143" s="154">
        <f t="shared" si="61"/>
        <v>20940738.742021929</v>
      </c>
    </row>
    <row r="145" spans="2:12">
      <c r="C145" s="52" t="str">
        <f>'PORTADA PORTADA PORTADA'!$B$23</f>
        <v>1 DE JULIO DE 2026</v>
      </c>
      <c r="J145" s="163"/>
      <c r="K145" s="163"/>
      <c r="L145" s="1196"/>
    </row>
    <row r="146" spans="2:12">
      <c r="B146" s="48" t="s">
        <v>902</v>
      </c>
      <c r="D146" s="163">
        <f t="shared" ref="D146:J161" si="62">SUMIF($B$16:$B$142,$B146,D$16:D$142)</f>
        <v>181778.39875818868</v>
      </c>
      <c r="E146" s="163">
        <f t="shared" si="62"/>
        <v>181854.26268755965</v>
      </c>
      <c r="F146" s="163">
        <f t="shared" si="62"/>
        <v>178419.52572129763</v>
      </c>
      <c r="G146" s="163">
        <f t="shared" si="62"/>
        <v>181230.8923852127</v>
      </c>
      <c r="H146" s="163">
        <f t="shared" si="62"/>
        <v>173378.19946407987</v>
      </c>
      <c r="I146" s="163">
        <f t="shared" si="62"/>
        <v>174190.6271712115</v>
      </c>
      <c r="J146" s="163">
        <f t="shared" si="62"/>
        <v>1070851.9061875499</v>
      </c>
    </row>
    <row r="147" spans="2:12">
      <c r="B147" s="48" t="s">
        <v>751</v>
      </c>
      <c r="D147" s="163">
        <f t="shared" si="62"/>
        <v>499797.03312369721</v>
      </c>
      <c r="E147" s="163">
        <f t="shared" si="62"/>
        <v>500005.62495213503</v>
      </c>
      <c r="F147" s="163">
        <f t="shared" si="62"/>
        <v>490561.6366175483</v>
      </c>
      <c r="G147" s="163">
        <f t="shared" si="62"/>
        <v>498291.63581080659</v>
      </c>
      <c r="H147" s="163">
        <f t="shared" si="62"/>
        <v>476700.24727924797</v>
      </c>
      <c r="I147" s="163">
        <f t="shared" si="62"/>
        <v>478934.05961020966</v>
      </c>
      <c r="J147" s="163">
        <f t="shared" si="62"/>
        <v>2944290.2373936446</v>
      </c>
    </row>
    <row r="148" spans="2:12">
      <c r="B148" s="48" t="s">
        <v>750</v>
      </c>
      <c r="D148" s="163">
        <f t="shared" si="62"/>
        <v>547617.51893909124</v>
      </c>
      <c r="E148" s="163">
        <f t="shared" si="62"/>
        <v>547846.06323842995</v>
      </c>
      <c r="F148" s="163">
        <f t="shared" si="62"/>
        <v>537498.72742448165</v>
      </c>
      <c r="G148" s="163">
        <f t="shared" si="62"/>
        <v>545968.12559191312</v>
      </c>
      <c r="H148" s="163">
        <f t="shared" si="62"/>
        <v>522311.45217065711</v>
      </c>
      <c r="I148" s="163">
        <f t="shared" si="62"/>
        <v>524758.93574591202</v>
      </c>
      <c r="J148" s="163">
        <f t="shared" si="62"/>
        <v>3226000.823110485</v>
      </c>
    </row>
    <row r="149" spans="2:12">
      <c r="B149" s="48" t="s">
        <v>749</v>
      </c>
      <c r="D149" s="163">
        <f t="shared" si="62"/>
        <v>655688.8811157106</v>
      </c>
      <c r="E149" s="163">
        <f t="shared" si="62"/>
        <v>655962.52823388379</v>
      </c>
      <c r="F149" s="163">
        <f t="shared" si="62"/>
        <v>643573.16374547174</v>
      </c>
      <c r="G149" s="163">
        <f t="shared" si="62"/>
        <v>653713.98286843393</v>
      </c>
      <c r="H149" s="163">
        <f t="shared" si="62"/>
        <v>625388.70621082501</v>
      </c>
      <c r="I149" s="163">
        <f t="shared" si="62"/>
        <v>628319.1964006148</v>
      </c>
      <c r="J149" s="163">
        <f t="shared" si="62"/>
        <v>3862646.45857494</v>
      </c>
    </row>
    <row r="150" spans="2:12">
      <c r="B150" s="48" t="s">
        <v>1176</v>
      </c>
      <c r="D150" s="163">
        <f t="shared" si="62"/>
        <v>12.149999999999999</v>
      </c>
      <c r="E150" s="163">
        <f t="shared" si="62"/>
        <v>12.149999999999999</v>
      </c>
      <c r="F150" s="163">
        <f t="shared" si="62"/>
        <v>12.149999999999999</v>
      </c>
      <c r="G150" s="163">
        <f t="shared" si="62"/>
        <v>12.149999999999999</v>
      </c>
      <c r="H150" s="163">
        <f t="shared" si="62"/>
        <v>12.149999999999999</v>
      </c>
      <c r="I150" s="163">
        <f t="shared" si="62"/>
        <v>12.149999999999999</v>
      </c>
      <c r="J150" s="163">
        <f t="shared" si="62"/>
        <v>72.899999999999991</v>
      </c>
    </row>
    <row r="151" spans="2:12">
      <c r="B151" s="48" t="s">
        <v>274</v>
      </c>
      <c r="D151" s="163">
        <f t="shared" si="62"/>
        <v>753622.90640539187</v>
      </c>
      <c r="E151" s="163">
        <f t="shared" si="62"/>
        <v>753937.42559653067</v>
      </c>
      <c r="F151" s="163">
        <f t="shared" si="62"/>
        <v>742456.55235401564</v>
      </c>
      <c r="G151" s="163">
        <f t="shared" si="62"/>
        <v>751353.03634989378</v>
      </c>
      <c r="H151" s="163">
        <f t="shared" si="62"/>
        <v>721478.09891909035</v>
      </c>
      <c r="I151" s="163">
        <f t="shared" si="62"/>
        <v>722165.27163920167</v>
      </c>
      <c r="J151" s="163">
        <f t="shared" si="62"/>
        <v>4445013.2912641233</v>
      </c>
    </row>
    <row r="152" spans="2:12">
      <c r="B152" s="48" t="s">
        <v>275</v>
      </c>
      <c r="D152" s="163">
        <f t="shared" si="62"/>
        <v>36167.185476338418</v>
      </c>
      <c r="E152" s="163">
        <f t="shared" si="62"/>
        <v>36182.279595459666</v>
      </c>
      <c r="F152" s="163">
        <f t="shared" si="62"/>
        <v>35623.24165238288</v>
      </c>
      <c r="G152" s="163">
        <f t="shared" si="62"/>
        <v>36058.251935960834</v>
      </c>
      <c r="H152" s="163">
        <f t="shared" si="62"/>
        <v>34616.690475972406</v>
      </c>
      <c r="I152" s="163">
        <f t="shared" si="62"/>
        <v>34657.499263823411</v>
      </c>
      <c r="J152" s="163">
        <f t="shared" si="62"/>
        <v>213305.14839993761</v>
      </c>
    </row>
    <row r="153" spans="2:12">
      <c r="B153" s="48" t="s">
        <v>276</v>
      </c>
      <c r="D153" s="163">
        <f t="shared" si="62"/>
        <v>238454.99377140988</v>
      </c>
      <c r="E153" s="163">
        <f t="shared" si="62"/>
        <v>238554.51127695086</v>
      </c>
      <c r="F153" s="163">
        <f t="shared" si="62"/>
        <v>234794.61932959346</v>
      </c>
      <c r="G153" s="163">
        <f t="shared" si="62"/>
        <v>237736.78066330866</v>
      </c>
      <c r="H153" s="163">
        <f t="shared" si="62"/>
        <v>228160.3887166912</v>
      </c>
      <c r="I153" s="163">
        <f t="shared" si="62"/>
        <v>228501.43471889343</v>
      </c>
      <c r="J153" s="163">
        <f t="shared" si="62"/>
        <v>1406202.7284768475</v>
      </c>
    </row>
    <row r="154" spans="2:12">
      <c r="B154" s="48" t="s">
        <v>277</v>
      </c>
      <c r="D154" s="163">
        <f t="shared" si="62"/>
        <v>39828.183182531619</v>
      </c>
      <c r="E154" s="163">
        <f t="shared" si="62"/>
        <v>39844.805193158725</v>
      </c>
      <c r="F154" s="163">
        <f t="shared" si="62"/>
        <v>39217.432876237246</v>
      </c>
      <c r="G154" s="163">
        <f t="shared" si="62"/>
        <v>39708.222921766552</v>
      </c>
      <c r="H154" s="163">
        <f t="shared" si="62"/>
        <v>38109.32616369905</v>
      </c>
      <c r="I154" s="163">
        <f t="shared" si="62"/>
        <v>38165.680053568831</v>
      </c>
      <c r="J154" s="163">
        <f t="shared" si="62"/>
        <v>234873.65039096199</v>
      </c>
    </row>
    <row r="155" spans="2:12">
      <c r="B155" s="48" t="s">
        <v>278</v>
      </c>
      <c r="D155" s="163">
        <f t="shared" si="62"/>
        <v>0.61</v>
      </c>
      <c r="E155" s="163">
        <f t="shared" si="62"/>
        <v>0.61</v>
      </c>
      <c r="F155" s="163">
        <f t="shared" si="62"/>
        <v>0.61</v>
      </c>
      <c r="G155" s="163">
        <f t="shared" si="62"/>
        <v>0.61</v>
      </c>
      <c r="H155" s="163">
        <f t="shared" si="62"/>
        <v>0.61</v>
      </c>
      <c r="I155" s="163">
        <f t="shared" si="62"/>
        <v>0.61</v>
      </c>
      <c r="J155" s="163">
        <f t="shared" si="62"/>
        <v>3.6599999999999997</v>
      </c>
    </row>
    <row r="156" spans="2:12">
      <c r="B156" s="48" t="s">
        <v>279</v>
      </c>
      <c r="D156" s="163">
        <f t="shared" si="62"/>
        <v>23035.967215858072</v>
      </c>
      <c r="E156" s="163">
        <f t="shared" si="62"/>
        <v>23045.581365241385</v>
      </c>
      <c r="F156" s="163">
        <f t="shared" si="62"/>
        <v>22638.16791428093</v>
      </c>
      <c r="G156" s="163">
        <f t="shared" si="62"/>
        <v>22966.582356653616</v>
      </c>
      <c r="H156" s="163">
        <f t="shared" si="62"/>
        <v>21998.498966418651</v>
      </c>
      <c r="I156" s="163">
        <f t="shared" si="62"/>
        <v>22074.37756279824</v>
      </c>
      <c r="J156" s="163">
        <f t="shared" si="62"/>
        <v>135759.17538125088</v>
      </c>
    </row>
    <row r="157" spans="2:12">
      <c r="B157" s="48" t="s">
        <v>875</v>
      </c>
      <c r="D157" s="163">
        <f t="shared" si="62"/>
        <v>101489.28783503681</v>
      </c>
      <c r="E157" s="163">
        <f t="shared" si="62"/>
        <v>99722.23899376925</v>
      </c>
      <c r="F157" s="163">
        <f t="shared" si="62"/>
        <v>101385.84691215969</v>
      </c>
      <c r="G157" s="163">
        <f t="shared" si="62"/>
        <v>106482.03876895965</v>
      </c>
      <c r="H157" s="163">
        <f t="shared" si="62"/>
        <v>98822.199891431708</v>
      </c>
      <c r="I157" s="163">
        <f t="shared" si="62"/>
        <v>110436.47218835884</v>
      </c>
      <c r="J157" s="163">
        <f t="shared" si="62"/>
        <v>618338.08458971593</v>
      </c>
    </row>
    <row r="158" spans="2:12">
      <c r="B158" s="48" t="s">
        <v>874</v>
      </c>
      <c r="D158" s="163">
        <f t="shared" si="62"/>
        <v>3404.7556918596174</v>
      </c>
      <c r="E158" s="163">
        <f t="shared" si="62"/>
        <v>3358.5484254343014</v>
      </c>
      <c r="F158" s="163">
        <f t="shared" si="62"/>
        <v>3234.9590001691199</v>
      </c>
      <c r="G158" s="163">
        <f t="shared" si="62"/>
        <v>3345.0916638293993</v>
      </c>
      <c r="H158" s="163">
        <f t="shared" si="62"/>
        <v>3255.4983489040624</v>
      </c>
      <c r="I158" s="163">
        <f t="shared" si="62"/>
        <v>3361.3504136082033</v>
      </c>
      <c r="J158" s="163">
        <f t="shared" si="62"/>
        <v>19960.203543804702</v>
      </c>
    </row>
    <row r="159" spans="2:12">
      <c r="B159" s="48" t="s">
        <v>873</v>
      </c>
      <c r="D159" s="163">
        <f t="shared" si="62"/>
        <v>387998.96107368509</v>
      </c>
      <c r="E159" s="163">
        <f t="shared" si="62"/>
        <v>383636.24285571848</v>
      </c>
      <c r="F159" s="163">
        <f t="shared" si="62"/>
        <v>374059.1951300652</v>
      </c>
      <c r="G159" s="163">
        <f t="shared" si="62"/>
        <v>388006.39295984304</v>
      </c>
      <c r="H159" s="163">
        <f t="shared" si="62"/>
        <v>359990.14591025881</v>
      </c>
      <c r="I159" s="163">
        <f t="shared" si="62"/>
        <v>383908.77092821541</v>
      </c>
      <c r="J159" s="163">
        <f t="shared" si="62"/>
        <v>2277599.7088577859</v>
      </c>
    </row>
    <row r="160" spans="2:12">
      <c r="B160" s="48" t="s">
        <v>872</v>
      </c>
      <c r="D160" s="163">
        <f t="shared" si="62"/>
        <v>65952.441864433189</v>
      </c>
      <c r="E160" s="163">
        <f t="shared" si="62"/>
        <v>65586.898813377949</v>
      </c>
      <c r="F160" s="163">
        <f t="shared" si="62"/>
        <v>63039.147981328009</v>
      </c>
      <c r="G160" s="163">
        <f t="shared" si="62"/>
        <v>65315.54314506497</v>
      </c>
      <c r="H160" s="163">
        <f t="shared" si="62"/>
        <v>61167.352292906464</v>
      </c>
      <c r="I160" s="163">
        <f t="shared" si="62"/>
        <v>59148.376089884019</v>
      </c>
      <c r="J160" s="163">
        <f t="shared" si="62"/>
        <v>380209.76018699462</v>
      </c>
    </row>
    <row r="161" spans="2:10">
      <c r="B161" s="48" t="s">
        <v>871</v>
      </c>
      <c r="D161" s="163">
        <f t="shared" si="62"/>
        <v>5795.7509339219778</v>
      </c>
      <c r="E161" s="163">
        <f t="shared" si="62"/>
        <v>5677.22071713888</v>
      </c>
      <c r="F161" s="163">
        <f t="shared" si="62"/>
        <v>5889.0592483167557</v>
      </c>
      <c r="G161" s="163">
        <f t="shared" si="62"/>
        <v>7073.9482595374748</v>
      </c>
      <c r="H161" s="163">
        <f t="shared" si="62"/>
        <v>6798.949672680792</v>
      </c>
      <c r="I161" s="163">
        <f t="shared" si="62"/>
        <v>7167.77204301656</v>
      </c>
      <c r="J161" s="163">
        <f t="shared" si="62"/>
        <v>38402.700874612441</v>
      </c>
    </row>
    <row r="162" spans="2:10">
      <c r="B162" s="48" t="s">
        <v>870</v>
      </c>
      <c r="D162" s="163">
        <f t="shared" ref="D162:J164" si="63">SUMIF($B$16:$B$142,$B162,D$16:D$142)</f>
        <v>12088.041473192401</v>
      </c>
      <c r="E162" s="163">
        <f t="shared" si="63"/>
        <v>10971.392267873158</v>
      </c>
      <c r="F162" s="163">
        <f t="shared" si="63"/>
        <v>11137.046463863746</v>
      </c>
      <c r="G162" s="163">
        <f t="shared" si="63"/>
        <v>12658.199196701302</v>
      </c>
      <c r="H162" s="163">
        <f t="shared" si="63"/>
        <v>8981.0092647034198</v>
      </c>
      <c r="I162" s="163">
        <f t="shared" si="63"/>
        <v>11372.616122938955</v>
      </c>
      <c r="J162" s="163">
        <f t="shared" si="63"/>
        <v>67208.304789272981</v>
      </c>
    </row>
    <row r="163" spans="2:10">
      <c r="B163" s="48" t="s">
        <v>893</v>
      </c>
      <c r="D163" s="163">
        <f t="shared" si="63"/>
        <v>0</v>
      </c>
      <c r="E163" s="163">
        <f t="shared" si="63"/>
        <v>0</v>
      </c>
      <c r="F163" s="163">
        <f t="shared" si="63"/>
        <v>0</v>
      </c>
      <c r="G163" s="163">
        <f t="shared" si="63"/>
        <v>0</v>
      </c>
      <c r="H163" s="163">
        <f t="shared" si="63"/>
        <v>0</v>
      </c>
      <c r="I163" s="163">
        <f t="shared" si="63"/>
        <v>0</v>
      </c>
      <c r="J163" s="163">
        <f t="shared" si="63"/>
        <v>0</v>
      </c>
    </row>
    <row r="164" spans="2:10">
      <c r="D164" s="163">
        <f t="shared" si="63"/>
        <v>0</v>
      </c>
      <c r="E164" s="163">
        <f t="shared" si="63"/>
        <v>0</v>
      </c>
      <c r="F164" s="163">
        <f t="shared" si="63"/>
        <v>0</v>
      </c>
      <c r="G164" s="163">
        <f t="shared" si="63"/>
        <v>0</v>
      </c>
      <c r="H164" s="163">
        <f t="shared" si="63"/>
        <v>0</v>
      </c>
      <c r="I164" s="163">
        <f t="shared" si="63"/>
        <v>0</v>
      </c>
      <c r="J164" s="163">
        <f t="shared" si="63"/>
        <v>0</v>
      </c>
    </row>
    <row r="165" spans="2:10">
      <c r="B165" s="48" t="s">
        <v>111</v>
      </c>
      <c r="C165" s="139"/>
      <c r="D165" s="165">
        <f t="shared" ref="D165:J165" si="64">SUM(D146:D164)</f>
        <v>3552733.0668603466</v>
      </c>
      <c r="E165" s="165">
        <f t="shared" si="64"/>
        <v>3546198.3842126615</v>
      </c>
      <c r="F165" s="165">
        <f t="shared" si="64"/>
        <v>3483541.0823712121</v>
      </c>
      <c r="G165" s="165">
        <f t="shared" si="64"/>
        <v>3549921.4848778858</v>
      </c>
      <c r="H165" s="165">
        <f t="shared" si="64"/>
        <v>3381169.5237475666</v>
      </c>
      <c r="I165" s="165">
        <f t="shared" si="64"/>
        <v>3427175.1999522555</v>
      </c>
      <c r="J165" s="165">
        <f t="shared" si="64"/>
        <v>20940738.742021926</v>
      </c>
    </row>
    <row r="166" spans="2:10">
      <c r="D166" s="166">
        <f t="shared" ref="D166:J166" si="65">D165-D143</f>
        <v>0</v>
      </c>
      <c r="E166" s="166">
        <f t="shared" si="65"/>
        <v>0</v>
      </c>
      <c r="F166" s="166">
        <f t="shared" si="65"/>
        <v>0</v>
      </c>
      <c r="G166" s="166">
        <f t="shared" si="65"/>
        <v>0</v>
      </c>
      <c r="H166" s="166">
        <f t="shared" si="65"/>
        <v>0</v>
      </c>
      <c r="I166" s="166">
        <f t="shared" si="65"/>
        <v>0</v>
      </c>
      <c r="J166" s="166">
        <f t="shared" si="65"/>
        <v>0</v>
      </c>
    </row>
  </sheetData>
  <printOptions horizontalCentered="1" verticalCentered="1"/>
  <pageMargins left="0.51181102362204722" right="0.31496062992125984" top="0.78740157480314965" bottom="0.82677165354330717" header="0.31496062992125984" footer="0.23622047244094491"/>
  <pageSetup scale="31" orientation="portrait" horizontalDpi="300" r:id="rId1"/>
  <headerFooter alignWithMargins="0">
    <oddHeader>&amp;L
NOMBRE DE LA DISTRIBUIDORA: &amp;UELEKTRA NORESTE, S.A.&amp;R&amp;9&amp;A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17">
    <tabColor theme="7" tint="0.79998168889431442"/>
  </sheetPr>
  <dimension ref="B2:AR61"/>
  <sheetViews>
    <sheetView zoomScale="70" zoomScaleNormal="70" workbookViewId="0">
      <pane xSplit="2" topLeftCell="C1" activePane="topRight" state="frozen"/>
      <selection activeCell="A15" sqref="A15"/>
      <selection pane="topRight" activeCell="C19" sqref="C19"/>
    </sheetView>
  </sheetViews>
  <sheetFormatPr baseColWidth="10" defaultColWidth="11" defaultRowHeight="12.75"/>
  <cols>
    <col min="1" max="1" width="2.75" style="19" customWidth="1"/>
    <col min="2" max="2" width="20.875" style="19" customWidth="1"/>
    <col min="3" max="3" width="8.875" style="19" bestFit="1" customWidth="1"/>
    <col min="4" max="4" width="9.75" style="19" bestFit="1" customWidth="1"/>
    <col min="5" max="5" width="9.75" style="19" customWidth="1"/>
    <col min="6" max="6" width="9.75" style="19" bestFit="1" customWidth="1"/>
    <col min="7" max="7" width="7.5" style="19" customWidth="1"/>
    <col min="8" max="8" width="10.25" style="19" bestFit="1" customWidth="1"/>
    <col min="9" max="9" width="8.875" style="19" bestFit="1" customWidth="1"/>
    <col min="10" max="10" width="9.75" style="19" bestFit="1" customWidth="1"/>
    <col min="11" max="11" width="8.875" style="19" bestFit="1" customWidth="1"/>
    <col min="12" max="12" width="7.25" style="19" bestFit="1" customWidth="1"/>
    <col min="13" max="13" width="9.75" style="19" bestFit="1" customWidth="1"/>
    <col min="14" max="14" width="11.125" style="19" bestFit="1" customWidth="1"/>
    <col min="15" max="15" width="8.875" style="19" bestFit="1" customWidth="1"/>
    <col min="16" max="16" width="8" style="19" bestFit="1" customWidth="1"/>
    <col min="17" max="17" width="9.75" style="19" bestFit="1" customWidth="1"/>
    <col min="18" max="21" width="8.875" style="19" bestFit="1" customWidth="1"/>
    <col min="22" max="22" width="9.75" style="19" bestFit="1" customWidth="1"/>
    <col min="23" max="24" width="11.125" style="19" bestFit="1" customWidth="1"/>
    <col min="25" max="25" width="9.375" style="36" bestFit="1" customWidth="1"/>
    <col min="26" max="26" width="10.25" style="19" bestFit="1" customWidth="1"/>
    <col min="27" max="27" width="4.5" style="35" customWidth="1"/>
    <col min="28" max="30" width="7" style="19" bestFit="1" customWidth="1"/>
    <col min="31" max="31" width="3.375" style="19" customWidth="1"/>
    <col min="32" max="32" width="10" style="27" bestFit="1" customWidth="1"/>
    <col min="33" max="33" width="9.25" style="27" bestFit="1" customWidth="1"/>
    <col min="34" max="34" width="6.75" style="27" bestFit="1" customWidth="1"/>
    <col min="35" max="38" width="6.75" style="19" bestFit="1" customWidth="1"/>
    <col min="39" max="39" width="3.375" style="19" customWidth="1"/>
    <col min="40" max="40" width="4.75" style="19" bestFit="1" customWidth="1"/>
    <col min="41" max="41" width="10.375" style="19" bestFit="1" customWidth="1"/>
    <col min="42" max="42" width="10.75" style="19" bestFit="1" customWidth="1"/>
    <col min="43" max="43" width="10.5" style="19" bestFit="1" customWidth="1"/>
    <col min="44" max="44" width="10.125" style="19" bestFit="1" customWidth="1"/>
    <col min="45" max="16384" width="11" style="19"/>
  </cols>
  <sheetData>
    <row r="2" spans="2:44" s="23" customFormat="1" ht="25.5">
      <c r="B2" s="1156" t="s">
        <v>236</v>
      </c>
      <c r="C2" s="1157" t="s">
        <v>913</v>
      </c>
      <c r="D2" s="1157" t="s">
        <v>914</v>
      </c>
      <c r="E2" s="1157" t="s">
        <v>915</v>
      </c>
      <c r="F2" s="1157" t="s">
        <v>916</v>
      </c>
      <c r="G2" s="1158" t="s">
        <v>1176</v>
      </c>
      <c r="H2" s="1158" t="s">
        <v>274</v>
      </c>
      <c r="I2" s="1158" t="s">
        <v>275</v>
      </c>
      <c r="J2" s="1158" t="s">
        <v>276</v>
      </c>
      <c r="K2" s="1158" t="s">
        <v>277</v>
      </c>
      <c r="L2" s="1158" t="s">
        <v>278</v>
      </c>
      <c r="M2" s="1158" t="s">
        <v>279</v>
      </c>
      <c r="N2" s="1158" t="s">
        <v>413</v>
      </c>
      <c r="O2" s="1158" t="s">
        <v>274</v>
      </c>
      <c r="P2" s="1158" t="s">
        <v>275</v>
      </c>
      <c r="Q2" s="1158" t="str">
        <f>J2</f>
        <v>MTD</v>
      </c>
      <c r="R2" s="1158" t="str">
        <f>K2</f>
        <v>MTH</v>
      </c>
      <c r="S2" s="1158" t="str">
        <f>L2</f>
        <v>ATD</v>
      </c>
      <c r="T2" s="1158" t="s">
        <v>279</v>
      </c>
      <c r="U2" s="1157" t="s">
        <v>1745</v>
      </c>
      <c r="V2" s="1158" t="s">
        <v>414</v>
      </c>
      <c r="W2" s="1158" t="s">
        <v>111</v>
      </c>
      <c r="Y2" s="1143"/>
      <c r="AA2" s="1144"/>
      <c r="AB2" s="22"/>
      <c r="AC2" s="22"/>
      <c r="AD2" s="22"/>
      <c r="AF2" s="28" t="str">
        <f>N2</f>
        <v>REGULADOS</v>
      </c>
      <c r="AG2" s="28" t="str">
        <f>V2</f>
        <v>G.CLIENTES</v>
      </c>
      <c r="AH2" s="28" t="str">
        <f>W2</f>
        <v>TOTAL</v>
      </c>
      <c r="AI2" s="22"/>
      <c r="AJ2" s="22"/>
      <c r="AK2" s="22"/>
      <c r="AL2" s="22"/>
    </row>
    <row r="3" spans="2:44">
      <c r="B3" s="22" t="s">
        <v>12</v>
      </c>
      <c r="C3" s="20">
        <f>'C102'!$J$149</f>
        <v>1625227.0905430801</v>
      </c>
      <c r="D3" s="20">
        <f>'C102'!$J$150</f>
        <v>11706529.735465884</v>
      </c>
      <c r="E3" s="20">
        <f>'C102'!$J$151</f>
        <v>4252915.7432942046</v>
      </c>
      <c r="F3" s="20">
        <f>'C102'!$J$152</f>
        <v>3249479.6650762209</v>
      </c>
      <c r="G3" s="20">
        <f>'C102'!$J$61</f>
        <v>109.86</v>
      </c>
      <c r="H3" s="20">
        <f>'C102'!$J$154</f>
        <v>2080017.3820914903</v>
      </c>
      <c r="I3" s="20">
        <f>'C102'!$J$155</f>
        <v>95263.471742400012</v>
      </c>
      <c r="J3" s="20">
        <f>'C102'!$J$156</f>
        <v>643950.37635486003</v>
      </c>
      <c r="K3" s="20">
        <f>'C102'!$J$157</f>
        <v>105131.43539172001</v>
      </c>
      <c r="L3" s="20">
        <f>'C102'!$J$158</f>
        <v>55.680000000000007</v>
      </c>
      <c r="M3" s="20">
        <f>'C102'!$J$159</f>
        <v>49733.869501199995</v>
      </c>
      <c r="N3" s="20">
        <f>SUM(C3:M3)</f>
        <v>23808414.309461057</v>
      </c>
      <c r="O3" s="20">
        <f>'C102'!$J$160</f>
        <v>278542.77683212381</v>
      </c>
      <c r="P3" s="20">
        <f>'C102'!$J$161</f>
        <v>8980.3710846621907</v>
      </c>
      <c r="Q3" s="20">
        <f>'C102'!$J$162</f>
        <v>1037024.5794903691</v>
      </c>
      <c r="R3" s="20">
        <f>'C102'!$J$163</f>
        <v>253469.97665715785</v>
      </c>
      <c r="S3" s="20">
        <f>'C102'!$J$164</f>
        <v>13916.863740901241</v>
      </c>
      <c r="T3" s="20">
        <f>'C102'!$J$165</f>
        <v>24357.784038143833</v>
      </c>
      <c r="U3" s="20">
        <f>'C102'!$J$166</f>
        <v>0</v>
      </c>
      <c r="V3" s="20">
        <f>SUM(O3:U3)</f>
        <v>1616292.351843358</v>
      </c>
      <c r="W3" s="20">
        <f t="shared" ref="W3:W15" si="0">N3+V3</f>
        <v>25424706.661304414</v>
      </c>
      <c r="X3" s="20">
        <f>'C102'!$J$145</f>
        <v>25424706.661304418</v>
      </c>
      <c r="Y3" s="1145">
        <f>X3-W3</f>
        <v>0</v>
      </c>
      <c r="Z3" s="20"/>
      <c r="AA3" s="1146"/>
      <c r="AB3" s="22"/>
      <c r="AC3" s="22"/>
      <c r="AD3" s="22"/>
      <c r="AF3" s="27">
        <f t="shared" ref="AF3:AF16" si="1">N3/N$21</f>
        <v>1.4266945618986313E-2</v>
      </c>
      <c r="AG3" s="27">
        <f t="shared" ref="AG3:AG16" si="2">V3/V$21</f>
        <v>3.4015153981008825E-3</v>
      </c>
      <c r="AH3" s="27">
        <f t="shared" ref="AH3:AH16" si="3">W3/W$21</f>
        <v>1.1858816350206559E-2</v>
      </c>
      <c r="AI3" s="29">
        <f t="shared" ref="AI3:AI16" si="4">AF3</f>
        <v>1.4266945618986313E-2</v>
      </c>
      <c r="AJ3" s="29">
        <f t="shared" ref="AJ3:AJ16" si="5">AF27</f>
        <v>1.6605418448368721E-2</v>
      </c>
      <c r="AK3" s="29">
        <f t="shared" ref="AK3:AK16" si="6">AG3</f>
        <v>3.4015153981008825E-3</v>
      </c>
      <c r="AL3" s="29">
        <f t="shared" ref="AL3:AL16" si="7">AG27</f>
        <v>3.7305519600824969E-3</v>
      </c>
    </row>
    <row r="4" spans="2:44">
      <c r="B4" s="22" t="s">
        <v>9</v>
      </c>
      <c r="C4" s="20">
        <f>'D104'!$J$150</f>
        <v>2504823.9649259401</v>
      </c>
      <c r="D4" s="20">
        <f>'D104'!$J$151</f>
        <v>13422814.624866486</v>
      </c>
      <c r="E4" s="20">
        <f>'D104'!$J$152</f>
        <v>5049954.1927060382</v>
      </c>
      <c r="F4" s="20">
        <f>'D104'!$J$153</f>
        <v>4995221.6591539923</v>
      </c>
      <c r="G4" s="20">
        <f>'D104'!$J$63</f>
        <v>170.52000000000004</v>
      </c>
      <c r="H4" s="20">
        <f>'D104'!$J$155</f>
        <v>16844409.24575673</v>
      </c>
      <c r="I4" s="20">
        <f>'D104'!$J$156</f>
        <v>468930.92119070888</v>
      </c>
      <c r="J4" s="20">
        <f>'D104'!$J$157</f>
        <v>4751222.3402485615</v>
      </c>
      <c r="K4" s="20">
        <f>'D104'!$J$158</f>
        <v>519296.48608713533</v>
      </c>
      <c r="L4" s="20">
        <f>'D104'!$J$159</f>
        <v>14.46</v>
      </c>
      <c r="M4" s="20">
        <f>'D104'!$J$160</f>
        <v>341903.53865081462</v>
      </c>
      <c r="N4" s="20">
        <f>SUM(C4:M4)</f>
        <v>48898761.953586414</v>
      </c>
      <c r="O4" s="20">
        <f>'D104'!$J$161</f>
        <v>1592142.7931414403</v>
      </c>
      <c r="P4" s="20">
        <f>'D104'!$J$162</f>
        <v>49824.853939584005</v>
      </c>
      <c r="Q4" s="20">
        <f>'D104'!$J$163</f>
        <v>5794751.1912714774</v>
      </c>
      <c r="R4" s="20">
        <f>'D104'!$J$164</f>
        <v>1406133.7514696894</v>
      </c>
      <c r="S4" s="20">
        <f>'D104'!$J$165</f>
        <v>143350.31374057004</v>
      </c>
      <c r="T4" s="20">
        <f>'D104'!$J$166</f>
        <v>252554.60040262988</v>
      </c>
      <c r="U4" s="20">
        <f>'D104'!$J$167</f>
        <v>0</v>
      </c>
      <c r="V4" s="20">
        <f>SUM(O4:U4)</f>
        <v>9238757.5039653908</v>
      </c>
      <c r="W4" s="20">
        <f t="shared" si="0"/>
        <v>58137519.457551807</v>
      </c>
      <c r="X4" s="20">
        <f>'D104'!$J$146</f>
        <v>58137519.457551792</v>
      </c>
      <c r="Y4" s="1145">
        <f t="shared" ref="Y4:Y17" si="8">X4-W4</f>
        <v>0</v>
      </c>
      <c r="Z4" s="20"/>
      <c r="AA4" s="1146"/>
      <c r="AB4" s="22"/>
      <c r="AC4" s="22"/>
      <c r="AD4" s="22"/>
      <c r="AF4" s="27">
        <f t="shared" si="1"/>
        <v>2.9302076507898539E-2</v>
      </c>
      <c r="AG4" s="27">
        <f t="shared" si="2"/>
        <v>1.9443126036708464E-2</v>
      </c>
      <c r="AH4" s="27">
        <f t="shared" si="3"/>
        <v>2.7117015566318257E-2</v>
      </c>
      <c r="AI4" s="29">
        <f t="shared" si="4"/>
        <v>2.9302076507898539E-2</v>
      </c>
      <c r="AJ4" s="29">
        <f t="shared" si="5"/>
        <v>3.393677794434919E-2</v>
      </c>
      <c r="AK4" s="29">
        <f t="shared" si="6"/>
        <v>1.9443126036708464E-2</v>
      </c>
      <c r="AL4" s="29">
        <f t="shared" si="7"/>
        <v>2.1824099214902269E-2</v>
      </c>
    </row>
    <row r="5" spans="2:44">
      <c r="B5" s="22" t="s">
        <v>309</v>
      </c>
      <c r="C5" s="20">
        <f>'AP603'!$J$148</f>
        <v>101356.35326054999</v>
      </c>
      <c r="D5" s="20">
        <f>'AP603'!$J$149</f>
        <v>543146.96757904498</v>
      </c>
      <c r="E5" s="20">
        <f>'AP603'!$J$150</f>
        <v>204343.677748485</v>
      </c>
      <c r="F5" s="20">
        <f>'AP603'!$J$151</f>
        <v>202128.95524374</v>
      </c>
      <c r="G5" s="20">
        <f>'AP603'!$J$61</f>
        <v>6.9</v>
      </c>
      <c r="H5" s="20">
        <f>'AP603'!$J$153</f>
        <v>400357.13563036796</v>
      </c>
      <c r="I5" s="20">
        <f>'AP603'!$J$154</f>
        <v>19360.906951680001</v>
      </c>
      <c r="J5" s="20">
        <f>'AP603'!$J$155</f>
        <v>173103.15584016001</v>
      </c>
      <c r="K5" s="20">
        <f>'AP603'!$J$156</f>
        <v>28897.335472320003</v>
      </c>
      <c r="L5" s="20">
        <f>'AP603'!$J$157</f>
        <v>3.36</v>
      </c>
      <c r="M5" s="20">
        <f>'AP603'!$J$158</f>
        <v>126180.19145759998</v>
      </c>
      <c r="N5" s="20">
        <f>SUM(C5:M5)</f>
        <v>1798884.9391839481</v>
      </c>
      <c r="O5" s="20">
        <f>'AP603'!$J$159</f>
        <v>57966.740271397881</v>
      </c>
      <c r="P5" s="20">
        <f>'AP603'!$J$160</f>
        <v>1870.506993424608</v>
      </c>
      <c r="Q5" s="20">
        <f>'AP603'!$J$161</f>
        <v>287771.24523114756</v>
      </c>
      <c r="R5" s="20">
        <f>'AP603'!$J$162</f>
        <v>70383.752302491717</v>
      </c>
      <c r="S5" s="20">
        <f>'AP603'!$J$163</f>
        <v>35355.558613203153</v>
      </c>
      <c r="T5" s="20">
        <f>'AP603'!$J$164</f>
        <v>61932.446642547933</v>
      </c>
      <c r="U5" s="20">
        <f>'AP603'!$J$165</f>
        <v>16908.266592000033</v>
      </c>
      <c r="V5" s="20">
        <f>SUM(O5:U5)</f>
        <v>532188.5166462129</v>
      </c>
      <c r="W5" s="20">
        <f t="shared" si="0"/>
        <v>2331073.455830161</v>
      </c>
      <c r="X5" s="20">
        <f>'AP603'!$J$144</f>
        <v>2331073.455830161</v>
      </c>
      <c r="Y5" s="1145">
        <f t="shared" si="8"/>
        <v>0</v>
      </c>
      <c r="Z5" s="20"/>
      <c r="AA5" s="1146"/>
      <c r="AB5" s="22"/>
      <c r="AC5" s="22"/>
      <c r="AD5" s="22"/>
      <c r="AF5" s="27">
        <f t="shared" si="1"/>
        <v>1.077963163298625E-3</v>
      </c>
      <c r="AG5" s="27">
        <f t="shared" si="2"/>
        <v>1.1200000000000001E-3</v>
      </c>
      <c r="AH5" s="27">
        <f t="shared" si="3"/>
        <v>1.0872798801491838E-3</v>
      </c>
      <c r="AI5" s="29">
        <f t="shared" si="4"/>
        <v>1.077963163298625E-3</v>
      </c>
      <c r="AJ5" s="29">
        <f t="shared" si="5"/>
        <v>2.3147292223690873E-3</v>
      </c>
      <c r="AK5" s="29">
        <f t="shared" si="6"/>
        <v>1.1200000000000001E-3</v>
      </c>
      <c r="AL5" s="29">
        <f t="shared" si="7"/>
        <v>2.3299999999999996E-3</v>
      </c>
    </row>
    <row r="6" spans="2:44">
      <c r="B6" s="1159" t="s">
        <v>9</v>
      </c>
      <c r="C6" s="1160">
        <f>SUM(C3:C5)</f>
        <v>4231407.40872957</v>
      </c>
      <c r="D6" s="1160">
        <f>SUM(D3:D5)</f>
        <v>25672491.327911414</v>
      </c>
      <c r="E6" s="1160">
        <f>SUM(E3:E5)</f>
        <v>9507213.6137487274</v>
      </c>
      <c r="F6" s="1160">
        <f>SUM(F3:F5)</f>
        <v>8446830.2794739529</v>
      </c>
      <c r="G6" s="1160">
        <f t="shared" ref="G6:V6" si="9">SUM(G3:G5)</f>
        <v>287.28000000000003</v>
      </c>
      <c r="H6" s="1160">
        <f t="shared" si="9"/>
        <v>19324783.763478588</v>
      </c>
      <c r="I6" s="1160">
        <f t="shared" si="9"/>
        <v>583555.29988478881</v>
      </c>
      <c r="J6" s="1160">
        <f t="shared" si="9"/>
        <v>5568275.8724435819</v>
      </c>
      <c r="K6" s="1160">
        <f t="shared" si="9"/>
        <v>653325.25695117528</v>
      </c>
      <c r="L6" s="1160">
        <f t="shared" si="9"/>
        <v>73.500000000000014</v>
      </c>
      <c r="M6" s="1160">
        <f t="shared" si="9"/>
        <v>517817.59960961458</v>
      </c>
      <c r="N6" s="1160">
        <f t="shared" si="9"/>
        <v>74506061.202231422</v>
      </c>
      <c r="O6" s="1160">
        <f t="shared" si="9"/>
        <v>1928652.3102449619</v>
      </c>
      <c r="P6" s="1160">
        <f t="shared" si="9"/>
        <v>60675.732017670802</v>
      </c>
      <c r="Q6" s="1160">
        <f t="shared" si="9"/>
        <v>7119547.0159929944</v>
      </c>
      <c r="R6" s="1160">
        <f t="shared" si="9"/>
        <v>1729987.480429339</v>
      </c>
      <c r="S6" s="1160">
        <f t="shared" si="9"/>
        <v>192622.73609467442</v>
      </c>
      <c r="T6" s="1160">
        <f t="shared" si="9"/>
        <v>338844.83108332159</v>
      </c>
      <c r="U6" s="1160">
        <f t="shared" si="9"/>
        <v>16908.266592000033</v>
      </c>
      <c r="V6" s="1160">
        <f t="shared" si="9"/>
        <v>11387238.372454964</v>
      </c>
      <c r="W6" s="1160">
        <f t="shared" si="0"/>
        <v>85893299.574686378</v>
      </c>
      <c r="X6" s="20">
        <f>SUM(X3:X5)</f>
        <v>85893299.574686363</v>
      </c>
      <c r="Y6" s="1145">
        <f t="shared" si="8"/>
        <v>0</v>
      </c>
      <c r="Z6" s="20"/>
      <c r="AA6" s="1146"/>
      <c r="AB6" s="22"/>
      <c r="AC6" s="22"/>
      <c r="AD6" s="22"/>
      <c r="AF6" s="27">
        <f t="shared" si="1"/>
        <v>4.4646985290183482E-2</v>
      </c>
      <c r="AG6" s="27">
        <f t="shared" si="2"/>
        <v>2.3964641434809354E-2</v>
      </c>
      <c r="AH6" s="27">
        <f t="shared" si="3"/>
        <v>4.0063111796674003E-2</v>
      </c>
      <c r="AI6" s="29">
        <f t="shared" si="4"/>
        <v>4.4646985290183482E-2</v>
      </c>
      <c r="AJ6" s="29">
        <f t="shared" si="5"/>
        <v>5.2856925615086994E-2</v>
      </c>
      <c r="AK6" s="29">
        <f t="shared" si="6"/>
        <v>2.3964641434809354E-2</v>
      </c>
      <c r="AL6" s="29">
        <f t="shared" si="7"/>
        <v>2.788465117498477E-2</v>
      </c>
    </row>
    <row r="7" spans="2:44">
      <c r="B7" s="1159" t="s">
        <v>239</v>
      </c>
      <c r="C7" s="1160">
        <f>'P202'!$J$148</f>
        <v>1196004.9684744901</v>
      </c>
      <c r="D7" s="1160">
        <f>'P202'!$J$149</f>
        <v>6409134.2174327299</v>
      </c>
      <c r="E7" s="1160">
        <f>'P202'!$J$150</f>
        <v>2411255.3974321233</v>
      </c>
      <c r="F7" s="1160">
        <f>'P202'!$J$151</f>
        <v>2385121.6718761325</v>
      </c>
      <c r="G7" s="1160">
        <f>'P202'!$J$61</f>
        <v>81.419999999999987</v>
      </c>
      <c r="H7" s="1160">
        <f>'P202'!$J$153</f>
        <v>4960431.9400210949</v>
      </c>
      <c r="I7" s="1160">
        <f>'P202'!$J$154</f>
        <v>238434.11293924984</v>
      </c>
      <c r="J7" s="1160">
        <f>'P202'!$J$155</f>
        <v>1569121.4202385619</v>
      </c>
      <c r="K7" s="1160">
        <f>'P202'!$J$156</f>
        <v>262681.17494526098</v>
      </c>
      <c r="L7" s="1160">
        <f>'P202'!$J$157</f>
        <v>4.08</v>
      </c>
      <c r="M7" s="1160">
        <f>'P202'!$J$158</f>
        <v>151531.6993134509</v>
      </c>
      <c r="N7" s="1160">
        <f>SUM(C7:M7)</f>
        <v>19583802.102673095</v>
      </c>
      <c r="O7" s="1160">
        <f>'P202'!$J$159</f>
        <v>690235.153878849</v>
      </c>
      <c r="P7" s="1160">
        <f>'P202'!$J$160</f>
        <v>22307.008008506687</v>
      </c>
      <c r="Q7" s="1160">
        <f>'P202'!$J$161</f>
        <v>2541999.8104577647</v>
      </c>
      <c r="R7" s="1160">
        <f>'P202'!$J$162</f>
        <v>623847.83619429427</v>
      </c>
      <c r="S7" s="1160">
        <f>'P202'!$J$163</f>
        <v>42822.145701262831</v>
      </c>
      <c r="T7" s="1160">
        <f>'P202'!$J$164</f>
        <v>74949.860619591462</v>
      </c>
      <c r="U7" s="1160">
        <f>'P202'!$J$165</f>
        <v>0</v>
      </c>
      <c r="V7" s="1160">
        <f>SUM(O7:U7)</f>
        <v>3996161.814860269</v>
      </c>
      <c r="W7" s="1160">
        <f>N7+V7</f>
        <v>23579963.917533364</v>
      </c>
      <c r="X7" s="20">
        <f>'P202'!$J$145</f>
        <v>23579963.917533368</v>
      </c>
      <c r="Y7" s="1145">
        <f t="shared" si="8"/>
        <v>0</v>
      </c>
      <c r="Z7" s="20"/>
      <c r="AA7" s="1146"/>
      <c r="AB7" s="22"/>
      <c r="AC7" s="22"/>
      <c r="AD7" s="22"/>
      <c r="AF7" s="27">
        <f t="shared" si="1"/>
        <v>1.1735390521190554E-2</v>
      </c>
      <c r="AG7" s="27">
        <f t="shared" si="2"/>
        <v>8.4099921224321493E-3</v>
      </c>
      <c r="AH7" s="27">
        <f t="shared" si="3"/>
        <v>1.0998375138310403E-2</v>
      </c>
      <c r="AI7" s="29">
        <f t="shared" si="4"/>
        <v>1.1735390521190554E-2</v>
      </c>
      <c r="AJ7" s="29">
        <f t="shared" si="5"/>
        <v>1.5889158448003378E-2</v>
      </c>
      <c r="AK7" s="29">
        <f t="shared" si="6"/>
        <v>8.4099921224321493E-3</v>
      </c>
      <c r="AL7" s="29">
        <f t="shared" si="7"/>
        <v>1.0959771393444876E-2</v>
      </c>
      <c r="AO7" s="19" t="s">
        <v>1053</v>
      </c>
      <c r="AP7" s="19" t="s">
        <v>10</v>
      </c>
      <c r="AQ7" s="19" t="s">
        <v>9</v>
      </c>
      <c r="AR7" s="19" t="s">
        <v>1250</v>
      </c>
    </row>
    <row r="8" spans="2:44">
      <c r="B8" s="22" t="s">
        <v>237</v>
      </c>
      <c r="C8" s="20">
        <f>'T305'!$J$149</f>
        <v>312882.65571734996</v>
      </c>
      <c r="D8" s="20">
        <f>'T305'!$J$150</f>
        <v>1676671.073830965</v>
      </c>
      <c r="E8" s="20">
        <f>'T305'!$J$151</f>
        <v>630800.04870184499</v>
      </c>
      <c r="F8" s="20">
        <f>'T305'!$J$152</f>
        <v>623963.29662198003</v>
      </c>
      <c r="G8" s="20">
        <f>'T305'!$J$61</f>
        <v>21.3</v>
      </c>
      <c r="H8" s="20">
        <f>'T305'!$J$154</f>
        <v>2583311.4472157857</v>
      </c>
      <c r="I8" s="20">
        <f>'T305'!$J$155</f>
        <v>87397.166597320262</v>
      </c>
      <c r="J8" s="20">
        <f>'T305'!$J$156</f>
        <v>750964.92653548939</v>
      </c>
      <c r="K8" s="20">
        <f>'T305'!$J$157</f>
        <v>110796.87404783776</v>
      </c>
      <c r="L8" s="20">
        <f>'T305'!$J$158</f>
        <v>10.5</v>
      </c>
      <c r="M8" s="20">
        <f>'T305'!$J$159</f>
        <v>381967.21224804845</v>
      </c>
      <c r="N8" s="20">
        <f>SUM(C8:M8)</f>
        <v>7158786.5015166225</v>
      </c>
      <c r="O8" s="20">
        <f>'T305'!$J$160</f>
        <v>346057.63351742399</v>
      </c>
      <c r="P8" s="20">
        <f>'T305'!$J$161</f>
        <v>7698.7464580208716</v>
      </c>
      <c r="Q8" s="20">
        <f>'T305'!$J$162</f>
        <v>1156114.0185110567</v>
      </c>
      <c r="R8" s="20">
        <f>'T305'!$J$163</f>
        <v>248281.23630753416</v>
      </c>
      <c r="S8" s="20">
        <f>'T305'!$J$164</f>
        <v>108695.92129169022</v>
      </c>
      <c r="T8" s="20">
        <f>'T305'!$J$165</f>
        <v>197050.04176800197</v>
      </c>
      <c r="U8" s="20">
        <f>'T305'!$J$166</f>
        <v>0</v>
      </c>
      <c r="V8" s="20">
        <f>SUM(O8:U8)</f>
        <v>2063897.5978537281</v>
      </c>
      <c r="W8" s="20">
        <f t="shared" si="0"/>
        <v>9222684.0993703511</v>
      </c>
      <c r="X8" s="20">
        <f>'T305'!$J$145</f>
        <v>9222684.0993703492</v>
      </c>
      <c r="Y8" s="1145">
        <f t="shared" si="8"/>
        <v>0</v>
      </c>
      <c r="Z8" s="20"/>
      <c r="AA8" s="1146"/>
      <c r="AB8" s="22"/>
      <c r="AC8" s="22"/>
      <c r="AD8" s="22"/>
      <c r="AF8" s="27">
        <f t="shared" si="1"/>
        <v>4.2898286457693493E-3</v>
      </c>
      <c r="AG8" s="27">
        <f t="shared" si="2"/>
        <v>4.3435084322438564E-3</v>
      </c>
      <c r="AH8" s="27">
        <f t="shared" si="3"/>
        <v>4.301725815262245E-3</v>
      </c>
      <c r="AI8" s="29">
        <f t="shared" si="4"/>
        <v>4.2898286457693493E-3</v>
      </c>
      <c r="AJ8" s="29">
        <f t="shared" si="5"/>
        <v>7.0496015705979473E-3</v>
      </c>
      <c r="AK8" s="29">
        <f t="shared" si="6"/>
        <v>4.3435084322438564E-3</v>
      </c>
      <c r="AL8" s="29">
        <f t="shared" si="7"/>
        <v>6.9384348897095233E-3</v>
      </c>
      <c r="AN8" s="21" t="s">
        <v>1054</v>
      </c>
      <c r="AO8" s="27">
        <f>SUM(AI15,AI7)</f>
        <v>0.14302342736423551</v>
      </c>
      <c r="AP8" s="27">
        <f>AI10</f>
        <v>7.9247431250821926E-3</v>
      </c>
      <c r="AQ8" s="27">
        <f>AI6</f>
        <v>4.4646985290183482E-2</v>
      </c>
      <c r="AR8" s="27">
        <f>SUM(AO8:AQ8)</f>
        <v>0.19559515577950118</v>
      </c>
    </row>
    <row r="9" spans="2:44">
      <c r="B9" s="22" t="s">
        <v>238</v>
      </c>
      <c r="C9" s="20">
        <f>'PT405'!$J$114</f>
        <v>342848.88189873</v>
      </c>
      <c r="D9" s="20">
        <f>'PT405'!$J$115</f>
        <v>1837253.6555499872</v>
      </c>
      <c r="E9" s="20">
        <f>'PT405'!$J$116</f>
        <v>691214.70125357108</v>
      </c>
      <c r="F9" s="20">
        <f>'PT405'!$J$117</f>
        <v>683723.16165056406</v>
      </c>
      <c r="G9" s="20">
        <f>'PT405'!$J$61</f>
        <v>23.34</v>
      </c>
      <c r="H9" s="20">
        <f>'PT405'!$J$119</f>
        <v>1344056.0981876641</v>
      </c>
      <c r="I9" s="20">
        <f>'PT405'!$J$120</f>
        <v>64997.330480640005</v>
      </c>
      <c r="J9" s="20">
        <f>'PT405'!$J$121</f>
        <v>581132.02317768009</v>
      </c>
      <c r="K9" s="20">
        <f>'PT405'!$J$122</f>
        <v>97012.483371359995</v>
      </c>
      <c r="L9" s="20">
        <f>'PT405'!$J$123</f>
        <v>11.279999999999998</v>
      </c>
      <c r="M9" s="20">
        <f>'PT405'!$J$124</f>
        <v>423604.92846479989</v>
      </c>
      <c r="N9" s="20">
        <f>SUM(C9:M9)</f>
        <v>6065877.8840349978</v>
      </c>
      <c r="O9" s="20">
        <f>'PT405'!$J$125</f>
        <v>0</v>
      </c>
      <c r="P9" s="20">
        <f>'PT405'!$J$126</f>
        <v>0</v>
      </c>
      <c r="Q9" s="20">
        <f>'PT405'!$J$127</f>
        <v>0</v>
      </c>
      <c r="R9" s="20">
        <f>'PT405'!$J$128</f>
        <v>0</v>
      </c>
      <c r="S9" s="20">
        <f>'PT405'!$J$129</f>
        <v>0</v>
      </c>
      <c r="T9" s="20">
        <f>'PT405'!$J$130</f>
        <v>0</v>
      </c>
      <c r="U9" s="20">
        <f>'PT405'!$J$131</f>
        <v>0</v>
      </c>
      <c r="V9" s="20">
        <f>SUM(O9:U9)</f>
        <v>0</v>
      </c>
      <c r="W9" s="20">
        <f t="shared" si="0"/>
        <v>6065877.8840349978</v>
      </c>
      <c r="X9" s="20">
        <f>'PT405'!$J$110</f>
        <v>6065877.8840349959</v>
      </c>
      <c r="Y9" s="1145">
        <f t="shared" si="8"/>
        <v>0</v>
      </c>
      <c r="Z9" s="20"/>
      <c r="AA9" s="1146"/>
      <c r="AB9" s="22"/>
      <c r="AC9" s="22"/>
      <c r="AD9" s="22"/>
      <c r="AF9" s="27">
        <f t="shared" si="1"/>
        <v>3.6349144793128428E-3</v>
      </c>
      <c r="AG9" s="27">
        <f t="shared" si="2"/>
        <v>0</v>
      </c>
      <c r="AH9" s="27">
        <f t="shared" si="3"/>
        <v>2.8293003647130383E-3</v>
      </c>
      <c r="AI9" s="29">
        <f t="shared" si="4"/>
        <v>3.6349144793128428E-3</v>
      </c>
      <c r="AJ9" s="29">
        <f t="shared" si="5"/>
        <v>6.8023666835570684E-3</v>
      </c>
      <c r="AK9" s="29">
        <f t="shared" si="6"/>
        <v>0</v>
      </c>
      <c r="AL9" s="29">
        <f t="shared" si="7"/>
        <v>0</v>
      </c>
      <c r="AN9" s="21" t="s">
        <v>1055</v>
      </c>
      <c r="AO9" s="27">
        <f>SUM(AJ15,AJ7)</f>
        <v>0.13962270827359377</v>
      </c>
      <c r="AP9" s="27">
        <f>AJ10</f>
        <v>1.3851968254155014E-2</v>
      </c>
      <c r="AQ9" s="27">
        <f>AJ6</f>
        <v>5.2856925615086994E-2</v>
      </c>
      <c r="AR9" s="27">
        <f>SUM(AO9:AQ9)</f>
        <v>0.2063316021428358</v>
      </c>
    </row>
    <row r="10" spans="2:44">
      <c r="B10" s="1159" t="s">
        <v>10</v>
      </c>
      <c r="C10" s="1160">
        <f>SUM(C8:C9)</f>
        <v>655731.53761607991</v>
      </c>
      <c r="D10" s="1160">
        <f>SUM(D8:D9)</f>
        <v>3513924.7293809522</v>
      </c>
      <c r="E10" s="1160">
        <f>SUM(E8:E9)</f>
        <v>1322014.7499554162</v>
      </c>
      <c r="F10" s="1160">
        <f>SUM(F8:F9)</f>
        <v>1307686.4582725442</v>
      </c>
      <c r="G10" s="1160">
        <f>SUM(G8:G9)</f>
        <v>44.64</v>
      </c>
      <c r="H10" s="1160">
        <f t="shared" ref="H10:U10" si="10">SUM(H8:H9)</f>
        <v>3927367.5454034498</v>
      </c>
      <c r="I10" s="1160">
        <f t="shared" si="10"/>
        <v>152394.49707796026</v>
      </c>
      <c r="J10" s="1160">
        <f t="shared" si="10"/>
        <v>1332096.9497131696</v>
      </c>
      <c r="K10" s="1160">
        <f t="shared" si="10"/>
        <v>207809.35741919774</v>
      </c>
      <c r="L10" s="1160">
        <f t="shared" si="10"/>
        <v>21.779999999999998</v>
      </c>
      <c r="M10" s="1160">
        <f t="shared" si="10"/>
        <v>805572.1407128484</v>
      </c>
      <c r="N10" s="1160">
        <f t="shared" si="10"/>
        <v>13224664.38555162</v>
      </c>
      <c r="O10" s="1160">
        <f t="shared" si="10"/>
        <v>346057.63351742399</v>
      </c>
      <c r="P10" s="1160">
        <f t="shared" si="10"/>
        <v>7698.7464580208716</v>
      </c>
      <c r="Q10" s="1160">
        <f t="shared" si="10"/>
        <v>1156114.0185110567</v>
      </c>
      <c r="R10" s="1160">
        <f t="shared" si="10"/>
        <v>248281.23630753416</v>
      </c>
      <c r="S10" s="1160">
        <f t="shared" si="10"/>
        <v>108695.92129169022</v>
      </c>
      <c r="T10" s="1160">
        <f t="shared" si="10"/>
        <v>197050.04176800197</v>
      </c>
      <c r="U10" s="1160">
        <f t="shared" si="10"/>
        <v>0</v>
      </c>
      <c r="V10" s="1160">
        <f>SUM(V8:V9)</f>
        <v>2063897.5978537281</v>
      </c>
      <c r="W10" s="1160">
        <f t="shared" si="0"/>
        <v>15288561.983405348</v>
      </c>
      <c r="X10" s="20">
        <f>SUM(X8:X9)</f>
        <v>15288561.983405344</v>
      </c>
      <c r="Y10" s="1145">
        <f t="shared" si="8"/>
        <v>0</v>
      </c>
      <c r="Z10" s="20"/>
      <c r="AA10" s="1146"/>
      <c r="AB10" s="22"/>
      <c r="AC10" s="22"/>
      <c r="AD10" s="22"/>
      <c r="AF10" s="27">
        <f t="shared" si="1"/>
        <v>7.9247431250821926E-3</v>
      </c>
      <c r="AG10" s="27">
        <f t="shared" si="2"/>
        <v>4.3435084322438564E-3</v>
      </c>
      <c r="AH10" s="27">
        <f t="shared" si="3"/>
        <v>7.1310261799752833E-3</v>
      </c>
      <c r="AI10" s="29">
        <f t="shared" si="4"/>
        <v>7.9247431250821926E-3</v>
      </c>
      <c r="AJ10" s="29">
        <f t="shared" si="5"/>
        <v>1.3851968254155014E-2</v>
      </c>
      <c r="AK10" s="29">
        <f t="shared" si="6"/>
        <v>4.3435084322438564E-3</v>
      </c>
      <c r="AL10" s="29">
        <f t="shared" si="7"/>
        <v>6.9384348897095233E-3</v>
      </c>
      <c r="AO10" s="30">
        <f>AO9/AO8-1</f>
        <v>-2.377735699188066E-2</v>
      </c>
      <c r="AP10" s="30">
        <f>AP9/AP8-1</f>
        <v>0.7479390859134436</v>
      </c>
      <c r="AQ10" s="30">
        <f>AQ9/AQ8-1</f>
        <v>0.18388565927896217</v>
      </c>
      <c r="AR10" s="33">
        <f>AR9/AR8-1</f>
        <v>5.4891167015598485E-2</v>
      </c>
    </row>
    <row r="11" spans="2:44">
      <c r="B11" s="22" t="s">
        <v>1249</v>
      </c>
      <c r="C11" s="20">
        <f>G505E!$J$422</f>
        <v>179797.35708828003</v>
      </c>
      <c r="D11" s="20">
        <f>G505E!$J$423</f>
        <v>494349.96578461205</v>
      </c>
      <c r="E11" s="20">
        <f>G505E!$J$424</f>
        <v>541649.5209173162</v>
      </c>
      <c r="F11" s="20">
        <f>G505E!$J$425</f>
        <v>648543.1090940641</v>
      </c>
      <c r="G11" s="20">
        <f>G505E!$J$426</f>
        <v>12.239999999999998</v>
      </c>
      <c r="H11" s="20">
        <f>G505E!$J$427</f>
        <v>697050.3700707301</v>
      </c>
      <c r="I11" s="20">
        <f>G505E!$J$428</f>
        <v>33714.211845600003</v>
      </c>
      <c r="J11" s="20">
        <f>G505E!$J$429</f>
        <v>301384.95882885001</v>
      </c>
      <c r="K11" s="20">
        <f>G505E!$J$430</f>
        <v>50312.325152700003</v>
      </c>
      <c r="L11" s="20">
        <f>G505E!$J$431</f>
        <v>5.85</v>
      </c>
      <c r="M11" s="20">
        <f>G505E!$J$432</f>
        <v>219688.72619849999</v>
      </c>
      <c r="N11" s="20">
        <f>SUM(C11:M11)</f>
        <v>3166508.6349806525</v>
      </c>
      <c r="O11" s="20">
        <f>G505E!$J$433</f>
        <v>100924.23529395167</v>
      </c>
      <c r="P11" s="20">
        <f>G505E!$J$434</f>
        <v>3256.6862831946301</v>
      </c>
      <c r="Q11" s="20">
        <f>G505E!$J$435</f>
        <v>501030.29303637298</v>
      </c>
      <c r="R11" s="20">
        <f>G505E!$J$436</f>
        <v>122543.14016951688</v>
      </c>
      <c r="S11" s="20">
        <f>G505E!$J$437</f>
        <v>61556.552942630493</v>
      </c>
      <c r="T11" s="20">
        <f>G505E!$J$438</f>
        <v>107828.81335086472</v>
      </c>
      <c r="U11" s="20">
        <f>G505E!$J$439</f>
        <v>29438.499870000054</v>
      </c>
      <c r="V11" s="20">
        <f>SUM(O11:U11)</f>
        <v>926578.22094653139</v>
      </c>
      <c r="W11" s="20">
        <f t="shared" si="0"/>
        <v>4093086.8559271838</v>
      </c>
      <c r="X11" s="20">
        <f>G505E!$J$311+G505E!$J$342</f>
        <v>4093086.8559271833</v>
      </c>
      <c r="Y11" s="1145">
        <f t="shared" si="8"/>
        <v>0</v>
      </c>
      <c r="Z11" s="20"/>
      <c r="AA11" s="1146"/>
      <c r="AB11" s="22"/>
      <c r="AC11" s="22"/>
      <c r="AD11" s="22"/>
      <c r="AF11" s="27">
        <f t="shared" si="1"/>
        <v>1.8974974943781627E-3</v>
      </c>
      <c r="AG11" s="27">
        <f t="shared" si="2"/>
        <v>1.9500000000000001E-3</v>
      </c>
      <c r="AH11" s="27">
        <f t="shared" si="3"/>
        <v>1.9091337405186229E-3</v>
      </c>
      <c r="AI11" s="29">
        <f t="shared" si="4"/>
        <v>1.8974974943781627E-3</v>
      </c>
      <c r="AJ11" s="29">
        <f t="shared" si="5"/>
        <v>1.6099930461953604E-3</v>
      </c>
      <c r="AK11" s="29">
        <f t="shared" si="6"/>
        <v>1.9500000000000001E-3</v>
      </c>
      <c r="AL11" s="29">
        <f t="shared" si="7"/>
        <v>1.6199999999999999E-3</v>
      </c>
      <c r="AO11" s="30"/>
      <c r="AP11" s="30"/>
      <c r="AQ11" s="30"/>
      <c r="AR11" s="30"/>
    </row>
    <row r="12" spans="2:44">
      <c r="B12" s="22" t="s">
        <v>1247</v>
      </c>
      <c r="C12" s="20">
        <f>G505E!$J$402</f>
        <v>6446264.06737098</v>
      </c>
      <c r="D12" s="20">
        <f>G505E!$J$403</f>
        <v>17723900.243865941</v>
      </c>
      <c r="E12" s="20">
        <f>G505E!$J$404</f>
        <v>26803685.851276007</v>
      </c>
      <c r="F12" s="20">
        <f>G505E!$J$405</f>
        <v>40759662.75340683</v>
      </c>
      <c r="G12" s="20">
        <f>G505E!$J$406</f>
        <v>438.84</v>
      </c>
      <c r="H12" s="20">
        <f>G505E!$J$407</f>
        <v>34640728.999102011</v>
      </c>
      <c r="I12" s="20">
        <f>G505E!$J$408</f>
        <v>1688760.3433913139</v>
      </c>
      <c r="J12" s="20">
        <f>G505E!$J$409</f>
        <v>15110978.166511111</v>
      </c>
      <c r="K12" s="20">
        <f>G505E!$J$410</f>
        <v>2522582.5795792197</v>
      </c>
      <c r="L12" s="20">
        <f>G505E!$J$411</f>
        <v>293.30999999999995</v>
      </c>
      <c r="M12" s="20">
        <f>G505E!$J$412</f>
        <v>11014854.7489371</v>
      </c>
      <c r="N12" s="20">
        <f>SUM(C12:M12)</f>
        <v>156712149.90344054</v>
      </c>
      <c r="O12" s="20">
        <f>G505E!$J$413</f>
        <v>0</v>
      </c>
      <c r="P12" s="20">
        <f>G505E!$J$414</f>
        <v>0</v>
      </c>
      <c r="Q12" s="20">
        <f>G505E!$J$415</f>
        <v>0</v>
      </c>
      <c r="R12" s="20">
        <f>G505E!$J$416</f>
        <v>0</v>
      </c>
      <c r="S12" s="20">
        <f>G505E!$J$417</f>
        <v>0</v>
      </c>
      <c r="T12" s="20">
        <f>G505E!$J$418</f>
        <v>0</v>
      </c>
      <c r="U12" s="20">
        <f>G505E!$J$419</f>
        <v>0</v>
      </c>
      <c r="V12" s="20">
        <f>SUM(O12:U12)</f>
        <v>0</v>
      </c>
      <c r="W12" s="20">
        <f t="shared" si="0"/>
        <v>156712149.90344054</v>
      </c>
      <c r="X12" s="20">
        <f>G505E!$J$375-G505E!$J$342-G505E!$J$311</f>
        <v>156712149.90344051</v>
      </c>
      <c r="Y12" s="1145">
        <f t="shared" si="8"/>
        <v>0</v>
      </c>
      <c r="Z12" s="20"/>
      <c r="AA12" s="1146"/>
      <c r="AB12" s="22"/>
      <c r="AC12" s="22"/>
      <c r="AD12" s="22"/>
      <c r="AF12" s="27">
        <f t="shared" si="1"/>
        <v>9.3908132286590257E-2</v>
      </c>
      <c r="AG12" s="27">
        <f t="shared" si="2"/>
        <v>0</v>
      </c>
      <c r="AH12" s="27">
        <f t="shared" si="3"/>
        <v>7.3095065768424311E-2</v>
      </c>
      <c r="AI12" s="29">
        <f t="shared" si="4"/>
        <v>9.3908132286590257E-2</v>
      </c>
      <c r="AJ12" s="29">
        <f t="shared" si="5"/>
        <v>8.8860253209207166E-2</v>
      </c>
      <c r="AK12" s="29">
        <f t="shared" si="6"/>
        <v>0</v>
      </c>
      <c r="AL12" s="29">
        <f t="shared" si="7"/>
        <v>0</v>
      </c>
      <c r="AN12" s="21" t="str">
        <f>AN8</f>
        <v>IIS21</v>
      </c>
      <c r="AO12" s="27">
        <f>SUM(AK15,AK7)</f>
        <v>3.3747374360424992E-2</v>
      </c>
      <c r="AP12" s="27">
        <f>AK10</f>
        <v>4.3435084322438564E-3</v>
      </c>
      <c r="AQ12" s="27">
        <f>AK6</f>
        <v>2.3964641434809354E-2</v>
      </c>
      <c r="AR12" s="27">
        <f>SUM(AO12:AQ12)</f>
        <v>6.2055524227478204E-2</v>
      </c>
    </row>
    <row r="13" spans="2:44">
      <c r="B13" s="22" t="s">
        <v>1248</v>
      </c>
      <c r="C13" s="20">
        <f>G505P!$J$381</f>
        <v>3005436.2140737004</v>
      </c>
      <c r="D13" s="20">
        <f>G505P!$J$382</f>
        <v>8263398.9378702305</v>
      </c>
      <c r="E13" s="20">
        <f>G505P!$J$383</f>
        <v>9054043.4623923898</v>
      </c>
      <c r="F13" s="20">
        <f>G505P!$J$384</f>
        <v>10840843.147111559</v>
      </c>
      <c r="G13" s="20">
        <f>G505P!$J$385</f>
        <v>204.60000000000002</v>
      </c>
      <c r="H13" s="20">
        <f>G505P!$J$386</f>
        <v>18025045.512110896</v>
      </c>
      <c r="I13" s="20">
        <f>G505P!$J$387</f>
        <v>742029.48698179424</v>
      </c>
      <c r="J13" s="20">
        <f>G505P!$J$388</f>
        <v>5972269.6432612725</v>
      </c>
      <c r="K13" s="20">
        <f>G505P!$J$389</f>
        <v>819137.82828890695</v>
      </c>
      <c r="L13" s="20">
        <f>G505P!$J$390</f>
        <v>75.599999999999994</v>
      </c>
      <c r="M13" s="20">
        <f>G505P!$J$391</f>
        <v>2489898.5538400956</v>
      </c>
      <c r="N13" s="20">
        <f>SUM(C13:M13)</f>
        <v>59212382.985930838</v>
      </c>
      <c r="O13" s="20">
        <f>G505P!$J$392</f>
        <v>1548483.3860790343</v>
      </c>
      <c r="P13" s="20">
        <f>G505P!$J$393</f>
        <v>39594.044560633622</v>
      </c>
      <c r="Q13" s="20">
        <f>G505P!$J$394</f>
        <v>7206860.4362859689</v>
      </c>
      <c r="R13" s="20">
        <f>G505P!$J$395</f>
        <v>1705820.8610421491</v>
      </c>
      <c r="S13" s="20">
        <f>G505P!$J$396</f>
        <v>612184.36263524974</v>
      </c>
      <c r="T13" s="20">
        <f>G505P!$J$397</f>
        <v>0</v>
      </c>
      <c r="U13" s="20">
        <f>G505P!$J$398</f>
        <v>0</v>
      </c>
      <c r="V13" s="20">
        <f>SUM(O13:U13)</f>
        <v>11112943.090603035</v>
      </c>
      <c r="W13" s="20">
        <f t="shared" si="0"/>
        <v>70325326.076533869</v>
      </c>
      <c r="X13" s="20">
        <f>G505P!$J$375</f>
        <v>70325326.076533884</v>
      </c>
      <c r="Y13" s="1145">
        <f t="shared" si="8"/>
        <v>0</v>
      </c>
      <c r="Z13" s="20"/>
      <c r="AA13" s="1146"/>
      <c r="AB13" s="22"/>
      <c r="AC13" s="22"/>
      <c r="AD13" s="22"/>
      <c r="AF13" s="27">
        <f t="shared" si="1"/>
        <v>3.548240706207656E-2</v>
      </c>
      <c r="AG13" s="27">
        <f t="shared" si="2"/>
        <v>2.3387382237992846E-2</v>
      </c>
      <c r="AH13" s="27">
        <f t="shared" si="3"/>
        <v>3.2801760028928512E-2</v>
      </c>
      <c r="AI13" s="29">
        <f t="shared" si="4"/>
        <v>3.548240706207656E-2</v>
      </c>
      <c r="AJ13" s="29">
        <f t="shared" si="5"/>
        <v>3.3263303570187829E-2</v>
      </c>
      <c r="AK13" s="29">
        <f t="shared" si="6"/>
        <v>2.3387382237992846E-2</v>
      </c>
      <c r="AL13" s="29">
        <f t="shared" si="7"/>
        <v>3.5580552188243124E-2</v>
      </c>
      <c r="AN13" s="21" t="str">
        <f>AN9</f>
        <v>IS22</v>
      </c>
      <c r="AO13" s="27">
        <f>SUM(AL15,AL7)</f>
        <v>4.8160323581688001E-2</v>
      </c>
      <c r="AP13" s="27">
        <f>AL10</f>
        <v>6.9384348897095233E-3</v>
      </c>
      <c r="AQ13" s="27">
        <f>AL6</f>
        <v>2.788465117498477E-2</v>
      </c>
      <c r="AR13" s="27">
        <f>SUM(AO13:AQ13)</f>
        <v>8.2983409646382289E-2</v>
      </c>
    </row>
    <row r="14" spans="2:44">
      <c r="B14" s="22" t="s">
        <v>905</v>
      </c>
      <c r="C14" s="20">
        <f>G505Ex!$J$122</f>
        <v>0</v>
      </c>
      <c r="D14" s="20">
        <f>G505Ex!$J$123</f>
        <v>0</v>
      </c>
      <c r="E14" s="20">
        <f>G505Ex!$J$124</f>
        <v>0</v>
      </c>
      <c r="F14" s="20">
        <f>G505Ex!$J$125</f>
        <v>0</v>
      </c>
      <c r="G14" s="20">
        <f>G505Ex!$J$126</f>
        <v>0</v>
      </c>
      <c r="H14" s="20">
        <f>G505Ex!$J$127</f>
        <v>0</v>
      </c>
      <c r="I14" s="20">
        <f>G505Ex!$J$128</f>
        <v>0</v>
      </c>
      <c r="J14" s="20">
        <f>G505Ex!$J$129</f>
        <v>0</v>
      </c>
      <c r="K14" s="20">
        <f>G505Ex!$J$130</f>
        <v>0</v>
      </c>
      <c r="L14" s="20">
        <f>G505Ex!$J$131</f>
        <v>0</v>
      </c>
      <c r="M14" s="20">
        <f>G505Ex!$J$132</f>
        <v>0</v>
      </c>
      <c r="N14" s="20">
        <f>SUM(C14:M14)</f>
        <v>0</v>
      </c>
      <c r="O14" s="20">
        <f>G505Ex!$J$133</f>
        <v>0</v>
      </c>
      <c r="P14" s="20">
        <f>G505Ex!$J$134</f>
        <v>0</v>
      </c>
      <c r="Q14" s="20">
        <f>G505Ex!$J$135</f>
        <v>0</v>
      </c>
      <c r="R14" s="20">
        <f>G505Ex!$J$136</f>
        <v>0</v>
      </c>
      <c r="S14" s="20">
        <f>G505Ex!$J$137</f>
        <v>0</v>
      </c>
      <c r="T14" s="20">
        <f>G505Ex!$J$138</f>
        <v>0</v>
      </c>
      <c r="U14" s="20">
        <f>G505Ex!$J$139</f>
        <v>0</v>
      </c>
      <c r="V14" s="20">
        <f>SUM(O14:U14)</f>
        <v>0</v>
      </c>
      <c r="W14" s="20">
        <f t="shared" si="0"/>
        <v>0</v>
      </c>
      <c r="X14" s="20">
        <f>G505Ex!$J$120</f>
        <v>0</v>
      </c>
      <c r="Y14" s="1145">
        <f t="shared" si="8"/>
        <v>0</v>
      </c>
      <c r="Z14" s="20"/>
      <c r="AA14" s="1146"/>
      <c r="AB14" s="22"/>
      <c r="AC14" s="22"/>
      <c r="AD14" s="22"/>
      <c r="AF14" s="27">
        <f t="shared" si="1"/>
        <v>0</v>
      </c>
      <c r="AG14" s="27">
        <f t="shared" si="2"/>
        <v>0</v>
      </c>
      <c r="AH14" s="27">
        <f t="shared" si="3"/>
        <v>0</v>
      </c>
      <c r="AI14" s="29">
        <f t="shared" si="4"/>
        <v>0</v>
      </c>
      <c r="AJ14" s="29">
        <f t="shared" si="5"/>
        <v>0</v>
      </c>
      <c r="AK14" s="29">
        <f t="shared" si="6"/>
        <v>0</v>
      </c>
      <c r="AL14" s="29">
        <f t="shared" si="7"/>
        <v>0</v>
      </c>
      <c r="AO14" s="30">
        <f>AO13/AO12-1</f>
        <v>0.42708357300130717</v>
      </c>
      <c r="AP14" s="30">
        <f>AP13/AP12-1</f>
        <v>0.59742636579276254</v>
      </c>
      <c r="AQ14" s="30">
        <f>AQ13/AQ12-1</f>
        <v>0.16357472949632723</v>
      </c>
      <c r="AR14" s="33">
        <f>AR13/AR12-1</f>
        <v>0.33724451899218999</v>
      </c>
    </row>
    <row r="15" spans="2:44">
      <c r="B15" s="1159" t="s">
        <v>11</v>
      </c>
      <c r="C15" s="1160">
        <f>SUM(C11:C14)</f>
        <v>9631497.6385329608</v>
      </c>
      <c r="D15" s="1160">
        <f>SUM(D11:D14)</f>
        <v>26481649.147520784</v>
      </c>
      <c r="E15" s="1160">
        <f>SUM(E11:E14)</f>
        <v>36399378.834585711</v>
      </c>
      <c r="F15" s="1160">
        <f>SUM(F11:F14)</f>
        <v>52249049.009612449</v>
      </c>
      <c r="G15" s="1160">
        <f>SUM(G11:G14)</f>
        <v>655.68000000000006</v>
      </c>
      <c r="H15" s="1160">
        <f t="shared" ref="H15:V15" si="11">SUM(H11:H14)</f>
        <v>53362824.881283641</v>
      </c>
      <c r="I15" s="1160">
        <f t="shared" si="11"/>
        <v>2464504.0422187084</v>
      </c>
      <c r="J15" s="1160">
        <f t="shared" si="11"/>
        <v>21384632.768601231</v>
      </c>
      <c r="K15" s="1160">
        <f t="shared" si="11"/>
        <v>3392032.7330208262</v>
      </c>
      <c r="L15" s="1160">
        <f t="shared" si="11"/>
        <v>374.76</v>
      </c>
      <c r="M15" s="1160">
        <f t="shared" si="11"/>
        <v>13724442.028975695</v>
      </c>
      <c r="N15" s="1160">
        <f t="shared" si="11"/>
        <v>219091041.52435201</v>
      </c>
      <c r="O15" s="1160">
        <f t="shared" si="11"/>
        <v>1649407.6213729859</v>
      </c>
      <c r="P15" s="1160">
        <f t="shared" ref="P15:U15" si="12">SUM(P11:P14)</f>
        <v>42850.730843828249</v>
      </c>
      <c r="Q15" s="1160">
        <f t="shared" si="12"/>
        <v>7707890.7293223422</v>
      </c>
      <c r="R15" s="1160">
        <f t="shared" si="12"/>
        <v>1828364.001211666</v>
      </c>
      <c r="S15" s="1160">
        <f t="shared" si="12"/>
        <v>673740.91557788022</v>
      </c>
      <c r="T15" s="1160">
        <f t="shared" si="12"/>
        <v>107828.81335086472</v>
      </c>
      <c r="U15" s="1160">
        <f t="shared" si="12"/>
        <v>29438.499870000054</v>
      </c>
      <c r="V15" s="1160">
        <f t="shared" si="11"/>
        <v>12039521.311549567</v>
      </c>
      <c r="W15" s="1160">
        <f t="shared" si="0"/>
        <v>231130562.83590159</v>
      </c>
      <c r="X15" s="20">
        <f>SUM(X11:X14)</f>
        <v>231130562.83590156</v>
      </c>
      <c r="Y15" s="1145">
        <f t="shared" si="8"/>
        <v>0</v>
      </c>
      <c r="Z15" s="20"/>
      <c r="AA15" s="1146"/>
      <c r="AB15" s="22"/>
      <c r="AC15" s="22"/>
      <c r="AD15" s="22"/>
      <c r="AF15" s="27">
        <f t="shared" si="1"/>
        <v>0.13128803684304496</v>
      </c>
      <c r="AG15" s="27">
        <f t="shared" si="2"/>
        <v>2.5337382237992846E-2</v>
      </c>
      <c r="AH15" s="27">
        <f t="shared" si="3"/>
        <v>0.10780595953787145</v>
      </c>
      <c r="AI15" s="29">
        <f t="shared" si="4"/>
        <v>0.13128803684304496</v>
      </c>
      <c r="AJ15" s="29">
        <f t="shared" si="5"/>
        <v>0.12373354982559039</v>
      </c>
      <c r="AK15" s="29">
        <f t="shared" si="6"/>
        <v>2.5337382237992846E-2</v>
      </c>
      <c r="AL15" s="29">
        <f t="shared" si="7"/>
        <v>3.7200552188243127E-2</v>
      </c>
    </row>
    <row r="16" spans="2:44">
      <c r="B16" s="26" t="s">
        <v>111</v>
      </c>
      <c r="C16" s="34">
        <f>C6+C10+C15+C7</f>
        <v>15714641.553353101</v>
      </c>
      <c r="D16" s="34">
        <f>D6+D10+D15+D7</f>
        <v>62077199.422245882</v>
      </c>
      <c r="E16" s="34">
        <f>E6+E10+E15+E7</f>
        <v>49639862.595721982</v>
      </c>
      <c r="F16" s="34">
        <f>F6+F10+F15+F7</f>
        <v>64388687.41923508</v>
      </c>
      <c r="G16" s="34">
        <f t="shared" ref="G16:X16" si="13">G6+G10+G15+G7</f>
        <v>1069.0200000000002</v>
      </c>
      <c r="H16" s="34">
        <f t="shared" si="13"/>
        <v>81575408.130186781</v>
      </c>
      <c r="I16" s="34">
        <f t="shared" si="13"/>
        <v>3438887.9521207074</v>
      </c>
      <c r="J16" s="34">
        <f t="shared" si="13"/>
        <v>29854127.010996543</v>
      </c>
      <c r="K16" s="34">
        <f t="shared" si="13"/>
        <v>4515848.5223364606</v>
      </c>
      <c r="L16" s="34">
        <f t="shared" si="13"/>
        <v>474.12</v>
      </c>
      <c r="M16" s="34">
        <f t="shared" si="13"/>
        <v>15199363.468611609</v>
      </c>
      <c r="N16" s="34">
        <f t="shared" si="13"/>
        <v>326405569.21480817</v>
      </c>
      <c r="O16" s="34">
        <f t="shared" si="13"/>
        <v>4614352.7190142209</v>
      </c>
      <c r="P16" s="34">
        <f t="shared" si="13"/>
        <v>133532.2173280266</v>
      </c>
      <c r="Q16" s="34">
        <f t="shared" si="13"/>
        <v>18525551.574284159</v>
      </c>
      <c r="R16" s="34">
        <f t="shared" si="13"/>
        <v>4430480.5541428337</v>
      </c>
      <c r="S16" s="34">
        <f t="shared" si="13"/>
        <v>1017881.7186655077</v>
      </c>
      <c r="T16" s="34">
        <f t="shared" si="13"/>
        <v>718673.54682177969</v>
      </c>
      <c r="U16" s="34">
        <f t="shared" si="13"/>
        <v>46346.766462000087</v>
      </c>
      <c r="V16" s="34">
        <f t="shared" si="13"/>
        <v>29486819.096718527</v>
      </c>
      <c r="W16" s="34">
        <f t="shared" si="13"/>
        <v>355892388.31152666</v>
      </c>
      <c r="X16" s="20">
        <f t="shared" si="13"/>
        <v>355892388.31152666</v>
      </c>
      <c r="Y16" s="1145">
        <f t="shared" si="8"/>
        <v>0</v>
      </c>
      <c r="Z16" s="20"/>
      <c r="AA16" s="1146"/>
      <c r="AB16" s="22"/>
      <c r="AC16" s="22"/>
      <c r="AD16" s="22"/>
      <c r="AF16" s="27">
        <f t="shared" si="1"/>
        <v>0.19559515577950121</v>
      </c>
      <c r="AG16" s="27">
        <f t="shared" si="2"/>
        <v>6.2055524227478204E-2</v>
      </c>
      <c r="AH16" s="27">
        <f t="shared" si="3"/>
        <v>0.16599847265283113</v>
      </c>
      <c r="AI16" s="29">
        <f t="shared" si="4"/>
        <v>0.19559515577950121</v>
      </c>
      <c r="AJ16" s="29">
        <f t="shared" si="5"/>
        <v>0.20633160214283575</v>
      </c>
      <c r="AK16" s="29">
        <f t="shared" si="6"/>
        <v>6.2055524227478204E-2</v>
      </c>
      <c r="AL16" s="29">
        <f t="shared" si="7"/>
        <v>8.2983409646382303E-2</v>
      </c>
    </row>
    <row r="17" spans="2:38">
      <c r="B17" s="1147"/>
      <c r="C17" s="1148">
        <f>C16/C$21</f>
        <v>0.17587428596324772</v>
      </c>
      <c r="D17" s="1148">
        <f>D16/D$21</f>
        <v>0.11401552857454715</v>
      </c>
      <c r="E17" s="1148">
        <f>E16/E$21</f>
        <v>0.25973518631242321</v>
      </c>
      <c r="F17" s="1148">
        <f>F16/F$21</f>
        <v>0.36628967097770876</v>
      </c>
      <c r="G17" s="1148"/>
      <c r="H17" s="1148">
        <f t="shared" ref="H17:X17" si="14">H16/H$21</f>
        <v>0.22815662060923753</v>
      </c>
      <c r="I17" s="1148">
        <f t="shared" si="14"/>
        <v>0.19890221777527772</v>
      </c>
      <c r="J17" s="1148">
        <f t="shared" si="14"/>
        <v>0.19312047154271428</v>
      </c>
      <c r="K17" s="1148">
        <f t="shared" si="14"/>
        <v>0.17385246836910873</v>
      </c>
      <c r="L17" s="1148">
        <f t="shared" si="14"/>
        <v>0.15804000000000001</v>
      </c>
      <c r="M17" s="1148">
        <f t="shared" si="14"/>
        <v>0.13491251588855999</v>
      </c>
      <c r="N17" s="1148">
        <f t="shared" si="14"/>
        <v>0.19559515577950121</v>
      </c>
      <c r="O17" s="1148">
        <f t="shared" si="14"/>
        <v>8.9155868021890017E-2</v>
      </c>
      <c r="P17" s="1148">
        <f t="shared" si="14"/>
        <v>7.9954837877176707E-2</v>
      </c>
      <c r="Q17" s="1148">
        <f t="shared" si="14"/>
        <v>7.2101080657076308E-2</v>
      </c>
      <c r="R17" s="1148">
        <f t="shared" si="14"/>
        <v>7.0501188957842811E-2</v>
      </c>
      <c r="S17" s="1148">
        <f t="shared" si="14"/>
        <v>3.2244647507270262E-2</v>
      </c>
      <c r="T17" s="1148">
        <f t="shared" si="14"/>
        <v>1.2996650642369628E-2</v>
      </c>
      <c r="U17" s="1148">
        <f t="shared" si="14"/>
        <v>3.0699999999999998E-3</v>
      </c>
      <c r="V17" s="1148">
        <f t="shared" si="14"/>
        <v>6.2055524227478204E-2</v>
      </c>
      <c r="W17" s="1148">
        <f t="shared" si="14"/>
        <v>0.16599847265283113</v>
      </c>
      <c r="X17" s="1148">
        <f t="shared" si="14"/>
        <v>0.16599847265283113</v>
      </c>
      <c r="Y17" s="1145">
        <f t="shared" si="8"/>
        <v>0</v>
      </c>
      <c r="Z17" s="1148"/>
    </row>
    <row r="18" spans="2:38">
      <c r="B18" s="1149"/>
      <c r="C18" s="1148">
        <f>SUM($D$16:$G$16)/SUM($D$21:$G$21)</f>
        <v>0.19323261422910495</v>
      </c>
      <c r="D18" s="1148">
        <f>(C16+D16)/(C$21+D$21)</f>
        <v>0.12273602759116277</v>
      </c>
      <c r="E18" s="1148">
        <f>(E16+F16)/(E$21+F$21)</f>
        <v>0.31078625447659003</v>
      </c>
      <c r="F18" s="1148">
        <f>SUM($C$16:$F$16)/SUM($C$21:$F$21)</f>
        <v>0.19168282318219049</v>
      </c>
      <c r="G18" s="1148"/>
      <c r="H18" s="1150"/>
      <c r="I18" s="1150"/>
      <c r="J18" s="1148">
        <f>SUM(H16:M16)/SUM(H$21:M$21)</f>
        <v>0.20145579407402336</v>
      </c>
      <c r="K18" s="1150"/>
      <c r="L18" s="1150"/>
      <c r="M18" s="1148">
        <f>SUM(L16:M16)/SUM(L$21:M$21)</f>
        <v>0.13491313172434616</v>
      </c>
      <c r="N18" s="1150"/>
      <c r="O18" s="1150"/>
      <c r="P18" s="1148">
        <f>SUM(O16:P16)/SUM(O$21:P$21)</f>
        <v>8.8868244643156916E-2</v>
      </c>
      <c r="Q18" s="1150"/>
      <c r="R18" s="1148">
        <f>SUM(Q16:R16)/SUM(Q$21:R$21)</f>
        <v>7.1786673816895102E-2</v>
      </c>
      <c r="S18" s="1150"/>
      <c r="T18" s="1148">
        <f>SUM(S16:T16)/SUM(S$21:T$21)</f>
        <v>1.9991589839188202E-2</v>
      </c>
      <c r="U18" s="1150"/>
      <c r="V18" s="1150"/>
      <c r="W18" s="1150"/>
      <c r="X18" s="1150"/>
      <c r="Y18" s="1143"/>
      <c r="Z18" s="1150"/>
      <c r="AA18" s="1144"/>
      <c r="AB18" s="22"/>
      <c r="AC18" s="22"/>
      <c r="AD18" s="22"/>
      <c r="AF18" s="29"/>
      <c r="AG18" s="29"/>
      <c r="AH18" s="29"/>
      <c r="AI18" s="22"/>
      <c r="AJ18" s="22"/>
      <c r="AK18" s="22"/>
      <c r="AL18" s="22"/>
    </row>
    <row r="19" spans="2:38">
      <c r="B19" s="1149"/>
      <c r="C19" s="1193">
        <f>C16</f>
        <v>15714641.553353101</v>
      </c>
      <c r="D19" s="1193">
        <f t="shared" ref="D19:W19" si="15">D16</f>
        <v>62077199.422245882</v>
      </c>
      <c r="E19" s="1193">
        <f t="shared" si="15"/>
        <v>49639862.595721982</v>
      </c>
      <c r="F19" s="1193">
        <f>F16+G16</f>
        <v>64389756.439235084</v>
      </c>
      <c r="G19" s="1193"/>
      <c r="H19" s="1193">
        <f t="shared" si="15"/>
        <v>81575408.130186781</v>
      </c>
      <c r="I19" s="1193">
        <f t="shared" si="15"/>
        <v>3438887.9521207074</v>
      </c>
      <c r="J19" s="1193">
        <f t="shared" si="15"/>
        <v>29854127.010996543</v>
      </c>
      <c r="K19" s="1193">
        <f t="shared" si="15"/>
        <v>4515848.5223364606</v>
      </c>
      <c r="L19" s="1193">
        <f t="shared" si="15"/>
        <v>474.12</v>
      </c>
      <c r="M19" s="1193">
        <f t="shared" si="15"/>
        <v>15199363.468611609</v>
      </c>
      <c r="N19" s="1193">
        <f t="shared" si="15"/>
        <v>326405569.21480817</v>
      </c>
      <c r="O19" s="1193">
        <f t="shared" si="15"/>
        <v>4614352.7190142209</v>
      </c>
      <c r="P19" s="1193">
        <f t="shared" si="15"/>
        <v>133532.2173280266</v>
      </c>
      <c r="Q19" s="1193">
        <f t="shared" si="15"/>
        <v>18525551.574284159</v>
      </c>
      <c r="R19" s="1193">
        <f t="shared" si="15"/>
        <v>4430480.5541428337</v>
      </c>
      <c r="S19" s="1193">
        <f t="shared" si="15"/>
        <v>1017881.7186655077</v>
      </c>
      <c r="T19" s="1193">
        <f t="shared" si="15"/>
        <v>718673.54682177969</v>
      </c>
      <c r="U19" s="1193">
        <f t="shared" si="15"/>
        <v>46346.766462000087</v>
      </c>
      <c r="V19" s="1193">
        <f t="shared" si="15"/>
        <v>29486819.096718527</v>
      </c>
      <c r="W19" s="1193">
        <f t="shared" si="15"/>
        <v>355892388.31152666</v>
      </c>
      <c r="X19" s="1151"/>
      <c r="Y19" s="1143"/>
      <c r="Z19" s="1151"/>
      <c r="AA19" s="1144"/>
      <c r="AB19" s="22"/>
      <c r="AC19" s="22"/>
      <c r="AD19" s="22"/>
      <c r="AF19" s="29"/>
      <c r="AG19" s="29"/>
      <c r="AH19" s="29"/>
      <c r="AI19" s="22"/>
      <c r="AJ19" s="22"/>
      <c r="AK19" s="22"/>
      <c r="AL19" s="22"/>
    </row>
    <row r="20" spans="2:38">
      <c r="B20" s="1149"/>
      <c r="C20" s="1151"/>
      <c r="D20" s="1151"/>
      <c r="E20" s="1149"/>
      <c r="F20" s="1149"/>
      <c r="G20" s="1151"/>
      <c r="H20" s="1149"/>
      <c r="I20" s="1149"/>
      <c r="J20" s="1151"/>
      <c r="K20" s="1149"/>
      <c r="L20" s="1149"/>
      <c r="M20" s="1151"/>
      <c r="N20" s="1151"/>
      <c r="O20" s="1151"/>
      <c r="P20" s="1151"/>
      <c r="Q20" s="1151"/>
      <c r="R20" s="1151"/>
      <c r="S20" s="1151"/>
      <c r="T20" s="1151"/>
      <c r="U20" s="1151"/>
      <c r="V20" s="1151"/>
      <c r="W20" s="1151"/>
      <c r="X20" s="1151"/>
      <c r="Y20" s="1143"/>
      <c r="Z20" s="1151"/>
      <c r="AA20" s="1144"/>
      <c r="AB20" s="22"/>
      <c r="AC20" s="22"/>
      <c r="AD20" s="22"/>
      <c r="AF20" s="29"/>
      <c r="AG20" s="29"/>
      <c r="AH20" s="29"/>
      <c r="AI20" s="22"/>
      <c r="AJ20" s="22"/>
      <c r="AK20" s="22"/>
      <c r="AL20" s="22"/>
    </row>
    <row r="21" spans="2:38">
      <c r="B21" s="1152" t="s">
        <v>1284</v>
      </c>
      <c r="C21" s="20">
        <f>F801ENE!$J$204</f>
        <v>89351558.514000013</v>
      </c>
      <c r="D21" s="20">
        <f>F801ENE!$J$205</f>
        <v>544462672.74600005</v>
      </c>
      <c r="E21" s="20">
        <f>F801ENE!$J$206</f>
        <v>191117204.028</v>
      </c>
      <c r="F21" s="20">
        <f>F801ENE!$J$207</f>
        <v>175786249.30200005</v>
      </c>
      <c r="G21" s="20">
        <f>F801ENE!$J$50</f>
        <v>6000</v>
      </c>
      <c r="H21" s="20">
        <f>F801ENE!$J$209</f>
        <v>357541271.046</v>
      </c>
      <c r="I21" s="20">
        <f>F801ENE!$J$210</f>
        <v>17289339.408</v>
      </c>
      <c r="J21" s="20">
        <f>F801ENE!$J$211</f>
        <v>154588101.264</v>
      </c>
      <c r="K21" s="20">
        <f>F801ENE!$J$212</f>
        <v>25975176.335999995</v>
      </c>
      <c r="L21" s="20">
        <f>F801ENE!$J$213</f>
        <v>3000</v>
      </c>
      <c r="M21" s="20">
        <f>F801ENE!$J$214</f>
        <v>112660885.23</v>
      </c>
      <c r="N21" s="20">
        <f>SUM(C21:M21)</f>
        <v>1668781457.8740001</v>
      </c>
      <c r="O21" s="20">
        <f>F801ENE!$J$215</f>
        <v>51756018.099462405</v>
      </c>
      <c r="P21" s="20">
        <f>F801ENE!$J$216</f>
        <v>1670095.5298434002</v>
      </c>
      <c r="Q21" s="20">
        <f>F801ENE!$J$217</f>
        <v>256938611.8135246</v>
      </c>
      <c r="R21" s="20">
        <f>F801ENE!$J$218</f>
        <v>62842635.984367624</v>
      </c>
      <c r="S21" s="20">
        <f>F801ENE!$J$219</f>
        <v>31567463.047502816</v>
      </c>
      <c r="T21" s="20">
        <f>F801ENE!$J$220</f>
        <v>55296827.359417796</v>
      </c>
      <c r="U21" s="20">
        <f>F801ENE!$J$221</f>
        <v>15096666.600000029</v>
      </c>
      <c r="V21" s="20">
        <f>SUM(O21:U21)</f>
        <v>475168318.43411863</v>
      </c>
      <c r="W21" s="20">
        <f>N21+V21</f>
        <v>2143949776.3081188</v>
      </c>
      <c r="X21" s="20">
        <f>F801ENE!$J$225</f>
        <v>2143949776.3081188</v>
      </c>
      <c r="Y21" s="1145">
        <f>X21-W21</f>
        <v>0</v>
      </c>
      <c r="Z21" s="20"/>
      <c r="AA21" s="1146"/>
      <c r="AB21" s="20"/>
      <c r="AC21" s="20"/>
      <c r="AD21" s="20"/>
      <c r="AI21" s="20"/>
      <c r="AJ21" s="20"/>
      <c r="AK21" s="20"/>
      <c r="AL21" s="20"/>
    </row>
    <row r="22" spans="2:38">
      <c r="B22" s="1152" t="s">
        <v>1279</v>
      </c>
      <c r="C22" s="20">
        <f>F801C!$J$204</f>
        <v>82939</v>
      </c>
      <c r="D22" s="20">
        <f>F801C!$J$205</f>
        <v>317238.16666666669</v>
      </c>
      <c r="E22" s="20">
        <f>F801C!$J$206</f>
        <v>111995.33333333333</v>
      </c>
      <c r="F22" s="20">
        <f>F801C!$J$207</f>
        <v>33419</v>
      </c>
      <c r="G22" s="20">
        <f>F801C!$J$50</f>
        <v>1</v>
      </c>
      <c r="H22" s="20">
        <f>F801C!$J$209</f>
        <v>5545.833333333333</v>
      </c>
      <c r="I22" s="20">
        <f>F801C!$J$210</f>
        <v>92</v>
      </c>
      <c r="J22" s="20">
        <f>F801C!$J$211</f>
        <v>416.66666666666669</v>
      </c>
      <c r="K22" s="20">
        <f>F801C!$J$212</f>
        <v>26</v>
      </c>
      <c r="L22" s="20">
        <f>F801C!$J$213</f>
        <v>1</v>
      </c>
      <c r="M22" s="20">
        <f>F801C!$J$214</f>
        <v>3</v>
      </c>
      <c r="N22" s="20">
        <f>SUM(C22:M22)</f>
        <v>551677</v>
      </c>
      <c r="O22" s="20">
        <f>F801C!$J$215</f>
        <v>109</v>
      </c>
      <c r="P22" s="20">
        <f>F801C!$J$216</f>
        <v>3</v>
      </c>
      <c r="Q22" s="20">
        <f>F801C!$J$217</f>
        <v>152</v>
      </c>
      <c r="R22" s="20">
        <f>F801C!$J$218</f>
        <v>31</v>
      </c>
      <c r="S22" s="20">
        <f>F801C!$J$219</f>
        <v>1</v>
      </c>
      <c r="T22" s="20">
        <f>F801C!$J$220</f>
        <v>1</v>
      </c>
      <c r="U22" s="20">
        <f>F801C!$J$221</f>
        <v>0</v>
      </c>
      <c r="V22" s="20">
        <f>SUM(O22:U22)</f>
        <v>297</v>
      </c>
      <c r="W22" s="20">
        <f>N22+V22</f>
        <v>551974</v>
      </c>
      <c r="X22" s="20">
        <f>F801C!$J$226</f>
        <v>551974</v>
      </c>
      <c r="Y22" s="1145">
        <f>X22-W22</f>
        <v>0</v>
      </c>
      <c r="Z22" s="20"/>
      <c r="AA22" s="1146"/>
      <c r="AB22" s="20"/>
      <c r="AC22" s="20"/>
      <c r="AD22" s="20"/>
      <c r="AI22" s="20"/>
      <c r="AJ22" s="20"/>
      <c r="AK22" s="20"/>
      <c r="AL22" s="20"/>
    </row>
    <row r="23" spans="2:38">
      <c r="B23" s="1152" t="s">
        <v>1284</v>
      </c>
      <c r="C23" s="20">
        <f>F801D!$J$205</f>
        <v>0</v>
      </c>
      <c r="D23" s="20">
        <f>F801D!$J$206</f>
        <v>0</v>
      </c>
      <c r="E23" s="20">
        <f>F801D!$J$207</f>
        <v>0</v>
      </c>
      <c r="F23" s="20">
        <f>F801D!$J$208</f>
        <v>0</v>
      </c>
      <c r="G23" s="20">
        <f>F801D!$J$50</f>
        <v>0</v>
      </c>
      <c r="H23" s="20">
        <f>F801D!$J$210</f>
        <v>226259.38252712885</v>
      </c>
      <c r="I23" s="20">
        <f>F801D!$J$211</f>
        <v>9434.6886235153452</v>
      </c>
      <c r="J23" s="20">
        <f>F801D!$J$212</f>
        <v>80830.403207980577</v>
      </c>
      <c r="K23" s="20">
        <f>F801D!$J$213</f>
        <v>12725.668835639668</v>
      </c>
      <c r="L23" s="20">
        <f>F801D!$J$214</f>
        <v>1</v>
      </c>
      <c r="M23" s="20">
        <f>F801D!$J$215</f>
        <v>28180.825080282826</v>
      </c>
      <c r="N23" s="20">
        <f>SUM(C23:M23)</f>
        <v>357431.96827454725</v>
      </c>
      <c r="O23" s="20">
        <f>F801D!$J$216</f>
        <v>21382.524753443999</v>
      </c>
      <c r="P23" s="20">
        <f>F801D!$J$217</f>
        <v>641.27077068000006</v>
      </c>
      <c r="Q23" s="20">
        <f>F801D!$J$218</f>
        <v>98550.190327746212</v>
      </c>
      <c r="R23" s="20">
        <f>F801D!$J$219</f>
        <v>23015.900910686003</v>
      </c>
      <c r="S23" s="20">
        <f>F801D!$J$220</f>
        <v>9913.5763306065019</v>
      </c>
      <c r="T23" s="20">
        <f>F801D!$J$221</f>
        <v>17022.139179713002</v>
      </c>
      <c r="U23" s="20">
        <f>F801D!$J$222</f>
        <v>0</v>
      </c>
      <c r="V23" s="20">
        <f>SUM(O23:U23)</f>
        <v>170525.60227287572</v>
      </c>
      <c r="W23" s="20">
        <f>N23+V23</f>
        <v>527957.57054742298</v>
      </c>
      <c r="X23" s="20">
        <f>F801D!$J$223</f>
        <v>527957.57054742298</v>
      </c>
      <c r="Y23" s="1145">
        <f>X23-W23</f>
        <v>0</v>
      </c>
      <c r="Z23" s="20"/>
      <c r="AA23" s="1146"/>
      <c r="AB23" s="20"/>
      <c r="AC23" s="20"/>
      <c r="AD23" s="20"/>
      <c r="AI23" s="20"/>
      <c r="AJ23" s="20"/>
      <c r="AK23" s="20"/>
      <c r="AL23" s="20"/>
    </row>
    <row r="24" spans="2:38">
      <c r="B24" s="1152" t="s">
        <v>1643</v>
      </c>
      <c r="C24" s="1151"/>
      <c r="D24" s="1151"/>
      <c r="E24" s="1149"/>
      <c r="F24" s="1149"/>
      <c r="G24" s="1151"/>
      <c r="H24" s="2037">
        <f t="shared" ref="H24:M24" si="16">H21/(H23*4380)</f>
        <v>0.36078250664219169</v>
      </c>
      <c r="I24" s="2037">
        <f t="shared" si="16"/>
        <v>0.41838558980580243</v>
      </c>
      <c r="J24" s="2037">
        <f t="shared" si="16"/>
        <v>0.436643708874765</v>
      </c>
      <c r="K24" s="2037">
        <f t="shared" si="16"/>
        <v>0.46601916431736889</v>
      </c>
      <c r="L24" s="2037">
        <f t="shared" si="16"/>
        <v>0.68493150684931503</v>
      </c>
      <c r="M24" s="2037">
        <f t="shared" si="16"/>
        <v>0.9127363454137164</v>
      </c>
      <c r="N24" s="2038">
        <f>SUM(H21:L21)/(SUM(H23:L23)*4380)</f>
        <v>0.3851252914352557</v>
      </c>
      <c r="O24" s="2037">
        <f t="shared" ref="O24:T24" si="17">O21/(O23*4380)</f>
        <v>0.55262148061156846</v>
      </c>
      <c r="P24" s="2037">
        <f t="shared" si="17"/>
        <v>0.5946011680447969</v>
      </c>
      <c r="Q24" s="2037">
        <f t="shared" si="17"/>
        <v>0.5952477953008446</v>
      </c>
      <c r="R24" s="2037">
        <f t="shared" si="17"/>
        <v>0.62337919519473906</v>
      </c>
      <c r="S24" s="2037">
        <f t="shared" si="17"/>
        <v>0.72700134682251416</v>
      </c>
      <c r="T24" s="2037">
        <f t="shared" si="17"/>
        <v>0.74167214213223687</v>
      </c>
      <c r="U24" s="2037"/>
      <c r="V24" s="2038">
        <f>SUM(O21:T21)/(SUM(O23:T23)*4380)</f>
        <v>0.61597313550830524</v>
      </c>
      <c r="W24" s="2038">
        <f>SUM(H21:M21,O21:T21)/(SUM(H23:M23,O23:T23)*4380)</f>
        <v>0.48784942210793231</v>
      </c>
      <c r="Y24" s="1143"/>
      <c r="Z24" s="1151"/>
      <c r="AA24" s="1144"/>
      <c r="AB24" s="22"/>
      <c r="AC24" s="22"/>
      <c r="AD24" s="22"/>
      <c r="AF24" s="29"/>
      <c r="AG24" s="29"/>
      <c r="AH24" s="29"/>
      <c r="AI24" s="22"/>
      <c r="AJ24" s="22"/>
      <c r="AK24" s="22"/>
      <c r="AL24" s="22"/>
    </row>
    <row r="25" spans="2:38">
      <c r="B25" s="1153"/>
      <c r="N25" s="22"/>
      <c r="V25" s="22"/>
      <c r="Y25" s="1143"/>
      <c r="AA25" s="1144"/>
      <c r="AB25" s="25"/>
      <c r="AC25" s="25"/>
      <c r="AD25" s="25"/>
      <c r="AF25" s="29"/>
      <c r="AG25" s="29"/>
      <c r="AI25" s="25"/>
      <c r="AJ25" s="25"/>
      <c r="AK25" s="25"/>
      <c r="AL25" s="25"/>
    </row>
    <row r="26" spans="2:38" s="23" customFormat="1" ht="25.5">
      <c r="B26" s="1156" t="s">
        <v>236</v>
      </c>
      <c r="C26" s="1157" t="str">
        <f>C$2</f>
        <v>BTS
Prepago</v>
      </c>
      <c r="D26" s="1157" t="str">
        <f>D$2</f>
        <v>BTS
1</v>
      </c>
      <c r="E26" s="1157" t="str">
        <f>E$2</f>
        <v>BTS
2</v>
      </c>
      <c r="F26" s="1157" t="str">
        <f>F$2</f>
        <v>BTS
3</v>
      </c>
      <c r="G26" s="1158" t="str">
        <f t="shared" ref="G26:M26" si="18">G$2</f>
        <v>BTSH</v>
      </c>
      <c r="H26" s="1158" t="str">
        <f t="shared" si="18"/>
        <v>BTD</v>
      </c>
      <c r="I26" s="1158" t="str">
        <f t="shared" si="18"/>
        <v>BTH</v>
      </c>
      <c r="J26" s="1158" t="str">
        <f t="shared" si="18"/>
        <v>MTD</v>
      </c>
      <c r="K26" s="1158" t="str">
        <f t="shared" si="18"/>
        <v>MTH</v>
      </c>
      <c r="L26" s="1158" t="str">
        <f t="shared" si="18"/>
        <v>ATD</v>
      </c>
      <c r="M26" s="1158" t="str">
        <f t="shared" si="18"/>
        <v>ATH</v>
      </c>
      <c r="N26" s="1158" t="s">
        <v>413</v>
      </c>
      <c r="O26" s="1158" t="str">
        <f t="shared" ref="O26:U26" si="19">O$2</f>
        <v>BTD</v>
      </c>
      <c r="P26" s="1158" t="str">
        <f t="shared" si="19"/>
        <v>BTH</v>
      </c>
      <c r="Q26" s="1158" t="str">
        <f t="shared" si="19"/>
        <v>MTD</v>
      </c>
      <c r="R26" s="1158" t="str">
        <f t="shared" si="19"/>
        <v>MTH</v>
      </c>
      <c r="S26" s="1158" t="str">
        <f t="shared" si="19"/>
        <v>ATD</v>
      </c>
      <c r="T26" s="1158" t="str">
        <f t="shared" si="19"/>
        <v>ATH</v>
      </c>
      <c r="U26" s="1157" t="str">
        <f t="shared" si="19"/>
        <v>Arg y Min
ATD</v>
      </c>
      <c r="V26" s="1158" t="s">
        <v>414</v>
      </c>
      <c r="W26" s="1158" t="s">
        <v>111</v>
      </c>
      <c r="Y26" s="1143"/>
      <c r="AA26" s="1144"/>
      <c r="AB26" s="22"/>
      <c r="AC26" s="22"/>
      <c r="AD26" s="22"/>
      <c r="AF26" s="28" t="str">
        <f>N26</f>
        <v>REGULADOS</v>
      </c>
      <c r="AG26" s="28" t="str">
        <f>V26</f>
        <v>G.CLIENTES</v>
      </c>
      <c r="AH26" s="28" t="str">
        <f>W26</f>
        <v>TOTAL</v>
      </c>
      <c r="AI26" s="22"/>
      <c r="AJ26" s="22"/>
      <c r="AK26" s="22"/>
      <c r="AL26" s="22"/>
    </row>
    <row r="27" spans="2:38">
      <c r="B27" s="22" t="s">
        <v>12</v>
      </c>
      <c r="C27" s="20">
        <f>'C101'!$J$149</f>
        <v>2941096.9637430897</v>
      </c>
      <c r="D27" s="20">
        <f>'C101'!$J$150</f>
        <v>13358475.097342486</v>
      </c>
      <c r="E27" s="20">
        <f>'C101'!$J$151</f>
        <v>4848763.4724220047</v>
      </c>
      <c r="F27" s="20">
        <f>'C101'!$J$152</f>
        <v>3676608.1028914205</v>
      </c>
      <c r="G27" s="20">
        <f>'C101'!$J$61</f>
        <v>121.5</v>
      </c>
      <c r="H27" s="20">
        <f>'C101'!$J$154</f>
        <v>1890313.8817114781</v>
      </c>
      <c r="I27" s="20">
        <f>'C101'!$J$155</f>
        <v>85529.688785280014</v>
      </c>
      <c r="J27" s="20">
        <f>'C101'!$J$156</f>
        <v>734470.77216636995</v>
      </c>
      <c r="K27" s="20">
        <f>'C101'!$J$157</f>
        <v>119989.14405174</v>
      </c>
      <c r="L27" s="20">
        <f>'C101'!$J$158</f>
        <v>61.589999999999996</v>
      </c>
      <c r="M27" s="20">
        <f>'C101'!$J$159</f>
        <v>55384.193762699993</v>
      </c>
      <c r="N27" s="20">
        <f>SUM(C27:M27)</f>
        <v>27710814.406876571</v>
      </c>
      <c r="O27" s="20">
        <f>'C101'!$J$160</f>
        <v>248697.59633443566</v>
      </c>
      <c r="P27" s="20">
        <f>'C101'!$J$161</f>
        <v>8016.4856773530191</v>
      </c>
      <c r="Q27" s="20">
        <f>'C101'!$J$162</f>
        <v>1183921.9082240781</v>
      </c>
      <c r="R27" s="20">
        <f>'C101'!$J$163</f>
        <v>289380.48916824738</v>
      </c>
      <c r="S27" s="20">
        <f>'C101'!$J$164</f>
        <v>15498.116893276383</v>
      </c>
      <c r="T27" s="20">
        <f>'C101'!$J$165</f>
        <v>27125.50540611472</v>
      </c>
      <c r="U27" s="20">
        <f>'C101'!$J$166</f>
        <v>0</v>
      </c>
      <c r="V27" s="20">
        <f>SUM(O27:U27)</f>
        <v>1772640.1017035053</v>
      </c>
      <c r="W27" s="20">
        <f t="shared" ref="W27:W39" si="20">N27+V27</f>
        <v>29483454.508580077</v>
      </c>
      <c r="X27" s="20">
        <f>'C101'!$J$145</f>
        <v>29483454.508580066</v>
      </c>
      <c r="Y27" s="1145">
        <f>X27-W27</f>
        <v>0</v>
      </c>
      <c r="Z27" s="20">
        <f t="shared" ref="Z27:Z40" si="21">X27-X3</f>
        <v>4058747.8472756483</v>
      </c>
      <c r="AA27" s="1146"/>
      <c r="AB27" s="30">
        <f t="shared" ref="AB27:AB37" si="22">N27/N3-1</f>
        <v>0.16390844206137523</v>
      </c>
      <c r="AC27" s="30">
        <f t="shared" ref="AC27:AD32" si="23">V27/V3-1</f>
        <v>9.6732345285081012E-2</v>
      </c>
      <c r="AD27" s="30">
        <f t="shared" si="23"/>
        <v>0.1596379419965126</v>
      </c>
      <c r="AF27" s="27">
        <f t="shared" ref="AF27:AF40" si="24">N27/N$21</f>
        <v>1.6605418448368721E-2</v>
      </c>
      <c r="AG27" s="27">
        <f t="shared" ref="AG27:AG40" si="25">V27/V$21</f>
        <v>3.7305519600824969E-3</v>
      </c>
      <c r="AH27" s="27">
        <f t="shared" ref="AH27:AH40" si="26">W27/W$21</f>
        <v>1.375193338686813E-2</v>
      </c>
      <c r="AI27" s="31">
        <f>AH15+AH7</f>
        <v>0.11880433467618184</v>
      </c>
      <c r="AJ27" s="31">
        <f>AH10</f>
        <v>7.1310261799752833E-3</v>
      </c>
      <c r="AK27" s="31">
        <f>AH6</f>
        <v>4.0063111796674003E-2</v>
      </c>
      <c r="AL27" s="31">
        <f>SUM(AI27:AK27)</f>
        <v>0.16599847265283113</v>
      </c>
    </row>
    <row r="28" spans="2:38">
      <c r="B28" s="22" t="s">
        <v>9</v>
      </c>
      <c r="C28" s="20">
        <f>'D103'!$J$150</f>
        <v>3100623.0501792603</v>
      </c>
      <c r="D28" s="20">
        <f>'D103'!$J$151</f>
        <v>17054814.781982016</v>
      </c>
      <c r="E28" s="20">
        <f>'D103'!$J$152</f>
        <v>6416391.4813024309</v>
      </c>
      <c r="F28" s="20">
        <f>'D103'!$J$153</f>
        <v>6346849.1946534365</v>
      </c>
      <c r="G28" s="20">
        <f>'D103'!$J$63</f>
        <v>211.08000000000004</v>
      </c>
      <c r="H28" s="20">
        <f>'D103'!$J$155</f>
        <v>16762969.71676838</v>
      </c>
      <c r="I28" s="20">
        <f>'D103'!$J$156</f>
        <v>493660.97996966948</v>
      </c>
      <c r="J28" s="20">
        <f>'D103'!$J$157</f>
        <v>5473602.0634088013</v>
      </c>
      <c r="K28" s="20">
        <f>'D103'!$J$158</f>
        <v>591032.35686072742</v>
      </c>
      <c r="L28" s="20">
        <f>'D103'!$J$159</f>
        <v>16.919999999999998</v>
      </c>
      <c r="M28" s="20">
        <f>'D103'!$J$160</f>
        <v>392894.14839253202</v>
      </c>
      <c r="N28" s="20">
        <f>SUM(C28:M28)</f>
        <v>56633065.773517251</v>
      </c>
      <c r="O28" s="20">
        <f>'D103'!$J$161</f>
        <v>1584445.0842302006</v>
      </c>
      <c r="P28" s="20">
        <f>'D103'!$J$162</f>
        <v>49479.429533860792</v>
      </c>
      <c r="Q28" s="20">
        <f>'D103'!$J$163</f>
        <v>6675789.8928015279</v>
      </c>
      <c r="R28" s="20">
        <f>'D103'!$J$164</f>
        <v>1602280.8873324341</v>
      </c>
      <c r="S28" s="20">
        <f>'D103'!$J$165</f>
        <v>167737.71151386201</v>
      </c>
      <c r="T28" s="20">
        <f>'D103'!$J$166</f>
        <v>290387.51987259428</v>
      </c>
      <c r="U28" s="20">
        <f>'D103'!$J$167</f>
        <v>0</v>
      </c>
      <c r="V28" s="20">
        <f>SUM(O28:U28)</f>
        <v>10370120.52528448</v>
      </c>
      <c r="W28" s="20">
        <f t="shared" si="20"/>
        <v>67003186.298801735</v>
      </c>
      <c r="X28" s="20">
        <f>'D103'!$J$146</f>
        <v>67003186.298801735</v>
      </c>
      <c r="Y28" s="1145">
        <f t="shared" ref="Y28:Y41" si="27">X28-W28</f>
        <v>0</v>
      </c>
      <c r="Z28" s="20">
        <f t="shared" si="21"/>
        <v>8865666.8412499428</v>
      </c>
      <c r="AA28" s="1146"/>
      <c r="AB28" s="30">
        <f t="shared" si="22"/>
        <v>0.15816972681787034</v>
      </c>
      <c r="AC28" s="30">
        <f t="shared" si="23"/>
        <v>0.12245835230911672</v>
      </c>
      <c r="AD28" s="30">
        <f t="shared" si="23"/>
        <v>0.15249475595055362</v>
      </c>
      <c r="AF28" s="27">
        <f t="shared" si="24"/>
        <v>3.393677794434919E-2</v>
      </c>
      <c r="AG28" s="27">
        <f t="shared" si="25"/>
        <v>2.1824099214902269E-2</v>
      </c>
      <c r="AH28" s="27">
        <f t="shared" si="26"/>
        <v>3.1252218237211325E-2</v>
      </c>
      <c r="AI28" s="31">
        <f>AH31+AH39</f>
        <v>0.11935169819010873</v>
      </c>
      <c r="AJ28" s="31">
        <f>AH34</f>
        <v>1.2319706603474621E-2</v>
      </c>
      <c r="AK28" s="31">
        <f>AH30</f>
        <v>4.7322265342581916E-2</v>
      </c>
      <c r="AL28" s="31">
        <f>SUM(AI28:AK28)</f>
        <v>0.17899367013616527</v>
      </c>
    </row>
    <row r="29" spans="2:38">
      <c r="B29" s="22" t="s">
        <v>309</v>
      </c>
      <c r="C29" s="20">
        <f>'AP604'!$J$148</f>
        <v>217695.81961179001</v>
      </c>
      <c r="D29" s="20">
        <f>'AP604'!$J$149</f>
        <v>1194923.3286738992</v>
      </c>
      <c r="E29" s="20">
        <f>'AP604'!$J$150</f>
        <v>449556.09104666696</v>
      </c>
      <c r="F29" s="20">
        <f>'AP604'!$J$151</f>
        <v>444683.70153622807</v>
      </c>
      <c r="G29" s="20">
        <f>'AP604'!$J$61</f>
        <v>14.819999999999997</v>
      </c>
      <c r="H29" s="20">
        <f>'AP604'!$J$153</f>
        <v>832885.82680246211</v>
      </c>
      <c r="I29" s="20">
        <f>'AP604'!$J$154</f>
        <v>40277.601069120006</v>
      </c>
      <c r="J29" s="20">
        <f>'AP604'!$J$155</f>
        <v>360116.38670319004</v>
      </c>
      <c r="K29" s="20">
        <f>'AP604'!$J$156</f>
        <v>60116.778259380008</v>
      </c>
      <c r="L29" s="20">
        <f>'AP604'!$J$157</f>
        <v>6.99</v>
      </c>
      <c r="M29" s="20">
        <f>'AP604'!$J$158</f>
        <v>262499.8625859</v>
      </c>
      <c r="N29" s="20">
        <f>SUM(C29:M29)</f>
        <v>3862777.2062886362</v>
      </c>
      <c r="O29" s="20">
        <f>'AP604'!$J$159</f>
        <v>120591.52217174739</v>
      </c>
      <c r="P29" s="20">
        <f>'AP604'!$J$160</f>
        <v>3891.3225845351226</v>
      </c>
      <c r="Q29" s="20">
        <f>'AP604'!$J$161</f>
        <v>598666.96552551235</v>
      </c>
      <c r="R29" s="20">
        <f>'AP604'!$J$162</f>
        <v>146423.34184357655</v>
      </c>
      <c r="S29" s="20">
        <f>'AP604'!$J$163</f>
        <v>73552.188900681576</v>
      </c>
      <c r="T29" s="20">
        <f>'AP604'!$J$164</f>
        <v>128841.60774744347</v>
      </c>
      <c r="U29" s="20">
        <f>'AP604'!$J$165</f>
        <v>35175.233178000068</v>
      </c>
      <c r="V29" s="20">
        <f>SUM(O29:U29)</f>
        <v>1107142.1819514963</v>
      </c>
      <c r="W29" s="20">
        <f t="shared" si="20"/>
        <v>4969919.3882401325</v>
      </c>
      <c r="X29" s="20">
        <f>'AP604'!$J$144</f>
        <v>4969919.3882401325</v>
      </c>
      <c r="Y29" s="1145">
        <f t="shared" si="27"/>
        <v>0</v>
      </c>
      <c r="Z29" s="20">
        <f t="shared" si="21"/>
        <v>2638845.9324099715</v>
      </c>
      <c r="AA29" s="1146"/>
      <c r="AB29" s="30">
        <f t="shared" si="22"/>
        <v>1.1473175533066384</v>
      </c>
      <c r="AC29" s="30">
        <f t="shared" si="23"/>
        <v>1.0803571428571423</v>
      </c>
      <c r="AD29" s="30">
        <f t="shared" si="23"/>
        <v>1.1320303638695091</v>
      </c>
      <c r="AF29" s="27">
        <f t="shared" si="24"/>
        <v>2.3147292223690873E-3</v>
      </c>
      <c r="AG29" s="27">
        <f t="shared" si="25"/>
        <v>2.3299999999999996E-3</v>
      </c>
      <c r="AH29" s="27">
        <f t="shared" si="26"/>
        <v>2.3181137185024608E-3</v>
      </c>
      <c r="AI29" s="32">
        <f>AI31/AI27</f>
        <v>4.6072688796987048E-3</v>
      </c>
      <c r="AJ29" s="32">
        <f>AJ31/AJ27</f>
        <v>0.72762044235228451</v>
      </c>
      <c r="AK29" s="32">
        <f>AK31/AK27</f>
        <v>0.1811929533269695</v>
      </c>
      <c r="AL29" s="33">
        <f>AL31/AL27</f>
        <v>7.8285042480555025E-2</v>
      </c>
    </row>
    <row r="30" spans="2:38">
      <c r="B30" s="1159" t="s">
        <v>9</v>
      </c>
      <c r="C30" s="1160">
        <f>SUM(C27:C29)</f>
        <v>6259415.8335341401</v>
      </c>
      <c r="D30" s="1160">
        <f>SUM(D27:D29)</f>
        <v>31608213.207998402</v>
      </c>
      <c r="E30" s="1160">
        <f>SUM(E27:E29)</f>
        <v>11714711.044771103</v>
      </c>
      <c r="F30" s="1160">
        <f>SUM(F27:F29)</f>
        <v>10468140.999081086</v>
      </c>
      <c r="G30" s="1160">
        <f t="shared" ref="G30:V30" si="28">SUM(G27:G29)</f>
        <v>347.40000000000003</v>
      </c>
      <c r="H30" s="1160">
        <f t="shared" si="28"/>
        <v>19486169.425282322</v>
      </c>
      <c r="I30" s="1160">
        <f t="shared" si="28"/>
        <v>619468.26982406946</v>
      </c>
      <c r="J30" s="1160">
        <f t="shared" si="28"/>
        <v>6568189.2222783612</v>
      </c>
      <c r="K30" s="1160">
        <f t="shared" si="28"/>
        <v>771138.27917184751</v>
      </c>
      <c r="L30" s="1160">
        <f t="shared" si="28"/>
        <v>85.499999999999986</v>
      </c>
      <c r="M30" s="1160">
        <f t="shared" si="28"/>
        <v>710778.20474113198</v>
      </c>
      <c r="N30" s="1160">
        <f t="shared" si="28"/>
        <v>88206657.386682451</v>
      </c>
      <c r="O30" s="1160">
        <f t="shared" si="28"/>
        <v>1953734.2027363838</v>
      </c>
      <c r="P30" s="1160">
        <f t="shared" si="28"/>
        <v>61387.237795748937</v>
      </c>
      <c r="Q30" s="1160">
        <f t="shared" si="28"/>
        <v>8458378.7665511183</v>
      </c>
      <c r="R30" s="1160">
        <f t="shared" si="28"/>
        <v>2038084.7183442581</v>
      </c>
      <c r="S30" s="1160">
        <f t="shared" si="28"/>
        <v>256788.01730781997</v>
      </c>
      <c r="T30" s="1160">
        <f t="shared" si="28"/>
        <v>446354.6330261525</v>
      </c>
      <c r="U30" s="1160">
        <f t="shared" si="28"/>
        <v>35175.233178000068</v>
      </c>
      <c r="V30" s="1160">
        <f t="shared" si="28"/>
        <v>13249902.808939483</v>
      </c>
      <c r="W30" s="1160">
        <f t="shared" si="20"/>
        <v>101456560.19562194</v>
      </c>
      <c r="X30" s="20">
        <f>SUM(X27:X29)</f>
        <v>101456560.19562194</v>
      </c>
      <c r="Y30" s="1145">
        <f t="shared" si="27"/>
        <v>0</v>
      </c>
      <c r="Z30" s="20">
        <f t="shared" si="21"/>
        <v>15563260.620935574</v>
      </c>
      <c r="AA30" s="1146"/>
      <c r="AB30" s="1154">
        <f t="shared" si="22"/>
        <v>0.18388565927896217</v>
      </c>
      <c r="AC30" s="1154">
        <f t="shared" si="23"/>
        <v>0.16357472949632723</v>
      </c>
      <c r="AD30" s="1154">
        <f t="shared" si="23"/>
        <v>0.18119295332696961</v>
      </c>
      <c r="AF30" s="27">
        <f t="shared" si="24"/>
        <v>5.2856925615086994E-2</v>
      </c>
      <c r="AG30" s="27">
        <f t="shared" si="25"/>
        <v>2.788465117498477E-2</v>
      </c>
      <c r="AH30" s="27">
        <f t="shared" si="26"/>
        <v>4.7322265342581916E-2</v>
      </c>
      <c r="AI30" s="22"/>
      <c r="AJ30" s="22"/>
      <c r="AK30" s="22"/>
      <c r="AL30" s="22"/>
    </row>
    <row r="31" spans="2:38">
      <c r="B31" s="1159" t="s">
        <v>239</v>
      </c>
      <c r="C31" s="1160">
        <f>'P201'!$J$148</f>
        <v>1614650.7754202401</v>
      </c>
      <c r="D31" s="1160">
        <f>'P201'!$J$149</f>
        <v>8865103.1143118907</v>
      </c>
      <c r="E31" s="1160">
        <f>'P201'!$J$150</f>
        <v>3335244.2011644021</v>
      </c>
      <c r="F31" s="1160">
        <f>'P201'!$J$151</f>
        <v>3299096.0781956525</v>
      </c>
      <c r="G31" s="1160">
        <f>'P201'!$J$61</f>
        <v>109.91999999999999</v>
      </c>
      <c r="H31" s="1160">
        <f>'P201'!$J$153</f>
        <v>6499538.6517271828</v>
      </c>
      <c r="I31" s="1160">
        <f>'P201'!$J$154</f>
        <v>311211.7972785047</v>
      </c>
      <c r="J31" s="1160">
        <f>'P201'!$J$155</f>
        <v>2039753.7176009212</v>
      </c>
      <c r="K31" s="1160">
        <f>'P201'!$J$156</f>
        <v>340699.93901274301</v>
      </c>
      <c r="L31" s="1160">
        <f>'P201'!$J$157</f>
        <v>5.7</v>
      </c>
      <c r="M31" s="1160">
        <f>'P201'!$J$158</f>
        <v>210119.10453851882</v>
      </c>
      <c r="N31" s="1160">
        <f>SUM(C31:M31)</f>
        <v>26515532.999250062</v>
      </c>
      <c r="O31" s="1160">
        <f>'P201'!$J$159</f>
        <v>904891.24138425908</v>
      </c>
      <c r="P31" s="1160">
        <f>'P201'!$J$160</f>
        <v>29160.114507052582</v>
      </c>
      <c r="Q31" s="1160">
        <f>'P201'!$J$161</f>
        <v>3300777.1879705931</v>
      </c>
      <c r="R31" s="1160">
        <f>'P201'!$J$162</f>
        <v>808713.44795313943</v>
      </c>
      <c r="S31" s="1160">
        <f>'P201'!$J$163</f>
        <v>59722.437022459693</v>
      </c>
      <c r="T31" s="1160">
        <f>'P201'!$J$164</f>
        <v>104471.71460805478</v>
      </c>
      <c r="U31" s="1160">
        <f>'P201'!$J$165</f>
        <v>0</v>
      </c>
      <c r="V31" s="1160">
        <f>SUM(O31:U31)</f>
        <v>5207736.1434455588</v>
      </c>
      <c r="W31" s="1160">
        <f>N31+V31</f>
        <v>31723269.142695621</v>
      </c>
      <c r="X31" s="20">
        <f>'P201'!$J$145</f>
        <v>31723269.142695617</v>
      </c>
      <c r="Y31" s="1145">
        <f t="shared" si="27"/>
        <v>0</v>
      </c>
      <c r="Z31" s="20">
        <f t="shared" si="21"/>
        <v>8143305.2251622491</v>
      </c>
      <c r="AA31" s="1146"/>
      <c r="AB31" s="1154">
        <f t="shared" si="22"/>
        <v>0.3539522540227682</v>
      </c>
      <c r="AC31" s="1154">
        <f t="shared" si="23"/>
        <v>0.30318450170858613</v>
      </c>
      <c r="AD31" s="1154">
        <f t="shared" si="23"/>
        <v>0.34534850238286996</v>
      </c>
      <c r="AF31" s="27">
        <f t="shared" si="24"/>
        <v>1.5889158448003378E-2</v>
      </c>
      <c r="AG31" s="27">
        <f t="shared" si="25"/>
        <v>1.0959771393444876E-2</v>
      </c>
      <c r="AH31" s="27">
        <f t="shared" si="26"/>
        <v>1.4796647520970889E-2</v>
      </c>
      <c r="AI31" s="31">
        <f>AI28-AI27</f>
        <v>5.4736351392688232E-4</v>
      </c>
      <c r="AJ31" s="31">
        <f>AJ28-AJ27</f>
        <v>5.1886804234993374E-3</v>
      </c>
      <c r="AK31" s="31">
        <f>AK28-AK27</f>
        <v>7.2591535459079135E-3</v>
      </c>
      <c r="AL31" s="31">
        <f>AL28-AL27</f>
        <v>1.2995197483334137E-2</v>
      </c>
    </row>
    <row r="32" spans="2:38">
      <c r="B32" s="22" t="s">
        <v>237</v>
      </c>
      <c r="C32" s="20">
        <f>'T304'!$J$149</f>
        <v>557900.62272980995</v>
      </c>
      <c r="D32" s="20">
        <f>'T304'!$J$150</f>
        <v>3069961.1210989496</v>
      </c>
      <c r="E32" s="20">
        <f>'T304'!$J$151</f>
        <v>1154986.0046653501</v>
      </c>
      <c r="F32" s="20">
        <f>'T304'!$J$152</f>
        <v>1142468.0078994001</v>
      </c>
      <c r="G32" s="20">
        <f>'T304'!$J$61</f>
        <v>37.979999999999997</v>
      </c>
      <c r="H32" s="20">
        <f>'T304'!$J$154</f>
        <v>3570327.1615803987</v>
      </c>
      <c r="I32" s="20">
        <f>'T304'!$J$155</f>
        <v>115586.96308997383</v>
      </c>
      <c r="J32" s="20">
        <f>'T304'!$J$156</f>
        <v>1322692.9961966448</v>
      </c>
      <c r="K32" s="20">
        <f>'T304'!$J$157</f>
        <v>214964.39259816796</v>
      </c>
      <c r="L32" s="20">
        <f>'T304'!$J$158</f>
        <v>20.309999999999995</v>
      </c>
      <c r="M32" s="20">
        <f>'T304'!$J$159</f>
        <v>615298.82655458839</v>
      </c>
      <c r="N32" s="20">
        <f>SUM(C32:M32)</f>
        <v>11764244.386413284</v>
      </c>
      <c r="O32" s="20">
        <f>'T304'!$J$160</f>
        <v>422101.1016921908</v>
      </c>
      <c r="P32" s="20">
        <f>'T304'!$J$161</f>
        <v>8819.0410328121961</v>
      </c>
      <c r="Q32" s="20">
        <f>'T304'!$J$162</f>
        <v>1872575.0745623037</v>
      </c>
      <c r="R32" s="20">
        <f>'T304'!$J$163</f>
        <v>449451.6410557761</v>
      </c>
      <c r="S32" s="20">
        <f>'T304'!$J$164</f>
        <v>207135.4822311342</v>
      </c>
      <c r="T32" s="20">
        <f>'T304'!$J$165</f>
        <v>336842.09853367653</v>
      </c>
      <c r="U32" s="20">
        <f>'T304'!$J$166</f>
        <v>0</v>
      </c>
      <c r="V32" s="20">
        <f>SUM(O32:U32)</f>
        <v>3296924.4391078935</v>
      </c>
      <c r="W32" s="20">
        <f t="shared" si="20"/>
        <v>15061168.825521177</v>
      </c>
      <c r="X32" s="20">
        <f>'T304'!$J$145</f>
        <v>15061168.825521179</v>
      </c>
      <c r="Y32" s="1145">
        <f t="shared" si="27"/>
        <v>0</v>
      </c>
      <c r="Z32" s="20">
        <f t="shared" si="21"/>
        <v>5838484.7261508293</v>
      </c>
      <c r="AA32" s="1146"/>
      <c r="AB32" s="30">
        <f t="shared" si="22"/>
        <v>0.64332940840196495</v>
      </c>
      <c r="AC32" s="30">
        <f t="shared" si="23"/>
        <v>0.59742636579276254</v>
      </c>
      <c r="AD32" s="30">
        <f t="shared" si="23"/>
        <v>0.63305699981087171</v>
      </c>
      <c r="AF32" s="27">
        <f t="shared" si="24"/>
        <v>7.0496015705979473E-3</v>
      </c>
      <c r="AG32" s="27">
        <f t="shared" si="25"/>
        <v>6.9384348897095233E-3</v>
      </c>
      <c r="AH32" s="27">
        <f t="shared" si="26"/>
        <v>7.0249634538811388E-3</v>
      </c>
      <c r="AI32" s="22"/>
      <c r="AJ32" s="22"/>
      <c r="AK32" s="22"/>
      <c r="AL32" s="22"/>
    </row>
    <row r="33" spans="2:38" ht="19.149999999999999" customHeight="1">
      <c r="B33" s="22" t="s">
        <v>238</v>
      </c>
      <c r="C33" s="20">
        <f>'PT404'!$J$114</f>
        <v>639867.06493182003</v>
      </c>
      <c r="D33" s="20">
        <f>'PT404'!$J$115</f>
        <v>3490309.6438340368</v>
      </c>
      <c r="E33" s="20">
        <f>'PT404'!$J$116</f>
        <v>1313130.2422272209</v>
      </c>
      <c r="F33" s="20">
        <f>'PT404'!$J$117</f>
        <v>1298898.2428271642</v>
      </c>
      <c r="G33" s="20">
        <f>'PT404'!$J$61</f>
        <v>43.559999999999995</v>
      </c>
      <c r="H33" s="20">
        <f>'PT404'!$J$119</f>
        <v>2466485.9248656603</v>
      </c>
      <c r="I33" s="20">
        <f>'PT404'!$J$120</f>
        <v>119277.01604160003</v>
      </c>
      <c r="J33" s="20">
        <f>'PT404'!$J$121</f>
        <v>1067984.6489781302</v>
      </c>
      <c r="K33" s="20">
        <f>'PT404'!$J$122</f>
        <v>178286.23938725999</v>
      </c>
      <c r="L33" s="20">
        <f>'PT404'!$J$123</f>
        <v>20.7</v>
      </c>
      <c r="M33" s="20">
        <f>'PT404'!$J$124</f>
        <v>777360.10808699986</v>
      </c>
      <c r="N33" s="20">
        <f>SUM(C33:M33)</f>
        <v>11351663.391179891</v>
      </c>
      <c r="O33" s="20">
        <f>'PT404'!$J$125</f>
        <v>0</v>
      </c>
      <c r="P33" s="20">
        <f>'PT404'!$J$126</f>
        <v>0</v>
      </c>
      <c r="Q33" s="20">
        <f>'PT404'!$J$127</f>
        <v>0</v>
      </c>
      <c r="R33" s="20">
        <f>'PT404'!$J$128</f>
        <v>0</v>
      </c>
      <c r="S33" s="20">
        <f>'PT404'!$J$129</f>
        <v>0</v>
      </c>
      <c r="T33" s="20">
        <f>'PT404'!$J$130</f>
        <v>0</v>
      </c>
      <c r="U33" s="20">
        <f>'PT404'!$J$131</f>
        <v>0</v>
      </c>
      <c r="V33" s="20">
        <f>SUM(O33:U33)</f>
        <v>0</v>
      </c>
      <c r="W33" s="20">
        <f t="shared" si="20"/>
        <v>11351663.391179891</v>
      </c>
      <c r="X33" s="20">
        <f>'PT404'!$J$110</f>
        <v>11351663.391179891</v>
      </c>
      <c r="Y33" s="1145">
        <f t="shared" si="27"/>
        <v>0</v>
      </c>
      <c r="Z33" s="20">
        <f t="shared" si="21"/>
        <v>5285785.5071448954</v>
      </c>
      <c r="AA33" s="1146"/>
      <c r="AB33" s="30">
        <f t="shared" si="22"/>
        <v>0.87139662357146075</v>
      </c>
      <c r="AC33" s="30"/>
      <c r="AD33" s="30">
        <f>W33/W9-1</f>
        <v>0.87139662357146075</v>
      </c>
      <c r="AF33" s="27">
        <f t="shared" si="24"/>
        <v>6.8023666835570684E-3</v>
      </c>
      <c r="AG33" s="27">
        <f t="shared" si="25"/>
        <v>0</v>
      </c>
      <c r="AH33" s="27">
        <f t="shared" si="26"/>
        <v>5.2947431495934828E-3</v>
      </c>
      <c r="AI33" s="22"/>
      <c r="AJ33" s="22"/>
      <c r="AK33" s="22"/>
      <c r="AL33" s="22"/>
    </row>
    <row r="34" spans="2:38">
      <c r="B34" s="1159" t="s">
        <v>10</v>
      </c>
      <c r="C34" s="1160">
        <f>SUM(C32:C33)</f>
        <v>1197767.6876616301</v>
      </c>
      <c r="D34" s="1160">
        <f>SUM(D32:D33)</f>
        <v>6560270.7649329863</v>
      </c>
      <c r="E34" s="1160">
        <f>SUM(E32:E33)</f>
        <v>2468116.246892571</v>
      </c>
      <c r="F34" s="1160">
        <f>SUM(F32:F33)</f>
        <v>2441366.2507265643</v>
      </c>
      <c r="G34" s="1160">
        <f>SUM(G32:G33)</f>
        <v>81.539999999999992</v>
      </c>
      <c r="H34" s="1160">
        <f t="shared" ref="H34:U34" si="29">SUM(H32:H33)</f>
        <v>6036813.0864460589</v>
      </c>
      <c r="I34" s="1160">
        <f t="shared" si="29"/>
        <v>234863.97913157387</v>
      </c>
      <c r="J34" s="1160">
        <f t="shared" si="29"/>
        <v>2390677.6451747753</v>
      </c>
      <c r="K34" s="1160">
        <f t="shared" si="29"/>
        <v>393250.63198542793</v>
      </c>
      <c r="L34" s="1160">
        <f t="shared" si="29"/>
        <v>41.009999999999991</v>
      </c>
      <c r="M34" s="1160">
        <f t="shared" si="29"/>
        <v>1392658.9346415882</v>
      </c>
      <c r="N34" s="1160">
        <f t="shared" si="29"/>
        <v>23115907.777593173</v>
      </c>
      <c r="O34" s="1160">
        <f t="shared" si="29"/>
        <v>422101.1016921908</v>
      </c>
      <c r="P34" s="1160">
        <f t="shared" si="29"/>
        <v>8819.0410328121961</v>
      </c>
      <c r="Q34" s="1160">
        <f t="shared" si="29"/>
        <v>1872575.0745623037</v>
      </c>
      <c r="R34" s="1160">
        <f t="shared" si="29"/>
        <v>449451.6410557761</v>
      </c>
      <c r="S34" s="1160">
        <f t="shared" si="29"/>
        <v>207135.4822311342</v>
      </c>
      <c r="T34" s="1160">
        <f t="shared" si="29"/>
        <v>336842.09853367653</v>
      </c>
      <c r="U34" s="1160">
        <f t="shared" si="29"/>
        <v>0</v>
      </c>
      <c r="V34" s="1160">
        <f>SUM(V32:V33)</f>
        <v>3296924.4391078935</v>
      </c>
      <c r="W34" s="1160">
        <f t="shared" si="20"/>
        <v>26412832.216701068</v>
      </c>
      <c r="X34" s="20">
        <f>SUM(X32:X33)</f>
        <v>26412832.216701068</v>
      </c>
      <c r="Y34" s="1145">
        <f t="shared" si="27"/>
        <v>0</v>
      </c>
      <c r="Z34" s="20">
        <f t="shared" si="21"/>
        <v>11124270.233295724</v>
      </c>
      <c r="AA34" s="1146"/>
      <c r="AB34" s="1154">
        <f t="shared" si="22"/>
        <v>0.74793908591344382</v>
      </c>
      <c r="AC34" s="1154">
        <f>V34/V10-1</f>
        <v>0.59742636579276254</v>
      </c>
      <c r="AD34" s="1154">
        <f>W34/W10-1</f>
        <v>0.72762044235228451</v>
      </c>
      <c r="AF34" s="27">
        <f t="shared" si="24"/>
        <v>1.3851968254155014E-2</v>
      </c>
      <c r="AG34" s="27">
        <f t="shared" si="25"/>
        <v>6.9384348897095233E-3</v>
      </c>
      <c r="AH34" s="27">
        <f t="shared" si="26"/>
        <v>1.2319706603474621E-2</v>
      </c>
      <c r="AI34" s="22"/>
      <c r="AJ34" s="22"/>
      <c r="AK34" s="22"/>
      <c r="AL34" s="22"/>
    </row>
    <row r="35" spans="2:38">
      <c r="B35" s="22" t="s">
        <v>1249</v>
      </c>
      <c r="C35" s="20">
        <f>G504E!$J$422</f>
        <v>151593.85009403998</v>
      </c>
      <c r="D35" s="20">
        <f>G504E!$J$423</f>
        <v>831251.01125140802</v>
      </c>
      <c r="E35" s="20">
        <f>G504E!$J$424</f>
        <v>312734.672032464</v>
      </c>
      <c r="F35" s="20">
        <f>G504E!$J$425</f>
        <v>309345.18367737602</v>
      </c>
      <c r="G35" s="20">
        <f>G504E!$J$426</f>
        <v>10.32</v>
      </c>
      <c r="H35" s="20">
        <f>G504E!$J$427</f>
        <v>579087.99975106795</v>
      </c>
      <c r="I35" s="20">
        <f>G504E!$J$428</f>
        <v>28008.729840959997</v>
      </c>
      <c r="J35" s="20">
        <f>G504E!$J$429</f>
        <v>250381.35041165998</v>
      </c>
      <c r="K35" s="20">
        <f>G504E!$J$430</f>
        <v>41797.931665320008</v>
      </c>
      <c r="L35" s="20">
        <f>G504E!$J$431</f>
        <v>4.8599999999999994</v>
      </c>
      <c r="M35" s="20">
        <f>G504E!$J$432</f>
        <v>182510.63407259999</v>
      </c>
      <c r="N35" s="20">
        <f>SUM(C35:M35)</f>
        <v>2686726.5427968958</v>
      </c>
      <c r="O35" s="20">
        <f>G504E!$J$433</f>
        <v>83844.749321129086</v>
      </c>
      <c r="P35" s="20">
        <f>G504E!$J$434</f>
        <v>2705.5547583463081</v>
      </c>
      <c r="Q35" s="20">
        <f>G504E!$J$435</f>
        <v>416240.55113790982</v>
      </c>
      <c r="R35" s="20">
        <f>G504E!$J$436</f>
        <v>101805.07029467556</v>
      </c>
      <c r="S35" s="20">
        <f>G504E!$J$437</f>
        <v>51139.290136954565</v>
      </c>
      <c r="T35" s="20">
        <f>G504E!$J$438</f>
        <v>89580.86032225682</v>
      </c>
      <c r="U35" s="20">
        <f>G504E!$J$439</f>
        <v>24456.599892000046</v>
      </c>
      <c r="V35" s="20">
        <f>SUM(O35:U35)</f>
        <v>769772.67586327216</v>
      </c>
      <c r="W35" s="20">
        <f t="shared" si="20"/>
        <v>3456499.2186601679</v>
      </c>
      <c r="X35" s="20">
        <f>G504E!$J$311+G504E!$J$342</f>
        <v>3456499.2186601674</v>
      </c>
      <c r="Y35" s="1145">
        <f t="shared" si="27"/>
        <v>0</v>
      </c>
      <c r="Z35" s="20">
        <f t="shared" si="21"/>
        <v>-636587.63726701587</v>
      </c>
      <c r="AA35" s="1146"/>
      <c r="AB35" s="30">
        <f t="shared" si="22"/>
        <v>-0.15151769582548069</v>
      </c>
      <c r="AC35" s="30">
        <f>V35/V11-1</f>
        <v>-0.1692307692307693</v>
      </c>
      <c r="AD35" s="30">
        <f>W35/W11-1</f>
        <v>-0.15552751741516935</v>
      </c>
      <c r="AF35" s="27">
        <f t="shared" si="24"/>
        <v>1.6099930461953604E-3</v>
      </c>
      <c r="AG35" s="27">
        <f t="shared" si="25"/>
        <v>1.6199999999999999E-3</v>
      </c>
      <c r="AH35" s="27">
        <f t="shared" si="26"/>
        <v>1.6122109094422253E-3</v>
      </c>
      <c r="AI35" s="22"/>
      <c r="AJ35" s="22"/>
      <c r="AK35" s="22"/>
      <c r="AL35" s="22"/>
    </row>
    <row r="36" spans="2:38">
      <c r="B36" s="22" t="s">
        <v>1247</v>
      </c>
      <c r="C36" s="20">
        <f>G504E!$J$402</f>
        <v>6070804.8805101598</v>
      </c>
      <c r="D36" s="20">
        <f>G504E!$J$403</f>
        <v>33160303.124978039</v>
      </c>
      <c r="E36" s="20">
        <f>G504E!$J$404</f>
        <v>22454704.832240045</v>
      </c>
      <c r="F36" s="20">
        <f>G504E!$J$405</f>
        <v>25542069.370452434</v>
      </c>
      <c r="G36" s="20">
        <f>G504E!$J$406</f>
        <v>592.61529364060823</v>
      </c>
      <c r="H36" s="20">
        <f>G504E!$J$407</f>
        <v>32481435.240517702</v>
      </c>
      <c r="I36" s="20">
        <f>G504E!$J$408</f>
        <v>1817872.9742108621</v>
      </c>
      <c r="J36" s="20">
        <f>G504E!$J$409</f>
        <v>14059994.72033871</v>
      </c>
      <c r="K36" s="20">
        <f>G504E!$J$410</f>
        <v>2522656.6092081037</v>
      </c>
      <c r="L36" s="20">
        <f>G504E!$J$411</f>
        <v>272.73</v>
      </c>
      <c r="M36" s="20">
        <f>G504E!$J$412</f>
        <v>10177635.799763851</v>
      </c>
      <c r="N36" s="20">
        <f>SUM(C36:M36)</f>
        <v>148288342.89751354</v>
      </c>
      <c r="O36" s="20">
        <f>G504E!$J$413</f>
        <v>0</v>
      </c>
      <c r="P36" s="20">
        <f>G504E!$J$414</f>
        <v>0</v>
      </c>
      <c r="Q36" s="20">
        <f>G504E!$J$415</f>
        <v>0</v>
      </c>
      <c r="R36" s="20">
        <f>G504E!$J$416</f>
        <v>0</v>
      </c>
      <c r="S36" s="20">
        <f>G504E!$J$417</f>
        <v>0</v>
      </c>
      <c r="T36" s="20">
        <f>G504E!$J$418</f>
        <v>0</v>
      </c>
      <c r="U36" s="20">
        <f>G504E!$J$419</f>
        <v>0</v>
      </c>
      <c r="V36" s="20">
        <f>SUM(O36:U36)</f>
        <v>0</v>
      </c>
      <c r="W36" s="20">
        <f t="shared" si="20"/>
        <v>148288342.89751354</v>
      </c>
      <c r="X36" s="20">
        <f>G504E!$J$375-G504E!$J$342-G504E!$J$311</f>
        <v>148288342.89751354</v>
      </c>
      <c r="Y36" s="1145">
        <f t="shared" si="27"/>
        <v>0</v>
      </c>
      <c r="Z36" s="20">
        <f t="shared" si="21"/>
        <v>-8423807.0059269667</v>
      </c>
      <c r="AA36" s="1146"/>
      <c r="AB36" s="30">
        <f t="shared" si="22"/>
        <v>-5.375337528785995E-2</v>
      </c>
      <c r="AC36" s="30"/>
      <c r="AD36" s="30">
        <f>W36/W12-1</f>
        <v>-5.375337528785995E-2</v>
      </c>
      <c r="AF36" s="27">
        <f t="shared" si="24"/>
        <v>8.8860253209207166E-2</v>
      </c>
      <c r="AG36" s="27">
        <f t="shared" si="25"/>
        <v>0</v>
      </c>
      <c r="AH36" s="27">
        <f t="shared" si="26"/>
        <v>6.9165959266483404E-2</v>
      </c>
      <c r="AI36" s="22"/>
      <c r="AJ36" s="22"/>
      <c r="AK36" s="22"/>
      <c r="AL36" s="22"/>
    </row>
    <row r="37" spans="2:38">
      <c r="B37" s="22" t="s">
        <v>1248</v>
      </c>
      <c r="C37" s="20">
        <f>G504P!$J$381</f>
        <v>1286785.0066121998</v>
      </c>
      <c r="D37" s="20">
        <f>G504P!$J$382</f>
        <v>7079802.6469651172</v>
      </c>
      <c r="E37" s="20">
        <f>G504P!$J$383</f>
        <v>4794080.3701340221</v>
      </c>
      <c r="F37" s="20">
        <f>G504P!$J$384</f>
        <v>5453966.5054028276</v>
      </c>
      <c r="G37" s="20">
        <f>G504P!$J$385</f>
        <v>121.5</v>
      </c>
      <c r="H37" s="20">
        <f>G504P!$J$386</f>
        <v>26197561.361590277</v>
      </c>
      <c r="I37" s="20">
        <f>G504P!$J$387</f>
        <v>595707.82673291978</v>
      </c>
      <c r="J37" s="20">
        <f>G504P!$J$388</f>
        <v>6050052.1146321101</v>
      </c>
      <c r="K37" s="20">
        <f>G504P!$J$389</f>
        <v>1176267.7307503279</v>
      </c>
      <c r="L37" s="20">
        <f>G504P!$J$390</f>
        <v>88.53</v>
      </c>
      <c r="M37" s="20">
        <f>G504P!$J$391</f>
        <v>2874750.6327436827</v>
      </c>
      <c r="N37" s="20">
        <f>SUM(C37:M37)</f>
        <v>55509184.225563481</v>
      </c>
      <c r="O37" s="20">
        <f>G504P!$J$392</f>
        <v>2339626.7983815162</v>
      </c>
      <c r="P37" s="20">
        <f>G504P!$J$393</f>
        <v>70703.651001131453</v>
      </c>
      <c r="Q37" s="20">
        <f>G504P!$J$394</f>
        <v>10865621.15116385</v>
      </c>
      <c r="R37" s="20">
        <f>G504P!$J$395</f>
        <v>2537613.1898497255</v>
      </c>
      <c r="S37" s="20">
        <f>G504P!$J$396</f>
        <v>1093186.36184866</v>
      </c>
      <c r="T37" s="20">
        <f>G504P!$J$397</f>
        <v>0</v>
      </c>
      <c r="U37" s="20">
        <f>G504P!$J$398</f>
        <v>0</v>
      </c>
      <c r="V37" s="20">
        <f>SUM(O37:U37)</f>
        <v>16906751.152244885</v>
      </c>
      <c r="W37" s="20">
        <f t="shared" si="20"/>
        <v>72415935.377808362</v>
      </c>
      <c r="X37" s="20">
        <f>G504P!$J$375</f>
        <v>72415935.377808362</v>
      </c>
      <c r="Y37" s="1145">
        <f t="shared" si="27"/>
        <v>0</v>
      </c>
      <c r="Z37" s="20">
        <f t="shared" si="21"/>
        <v>2090609.3012744784</v>
      </c>
      <c r="AA37" s="1146"/>
      <c r="AB37" s="30">
        <f t="shared" si="22"/>
        <v>-6.2540951294719149E-2</v>
      </c>
      <c r="AC37" s="30">
        <f>V37/V13-1</f>
        <v>0.52135676520660135</v>
      </c>
      <c r="AD37" s="30">
        <f>W37/W13-1</f>
        <v>2.9727687277259385E-2</v>
      </c>
      <c r="AF37" s="27">
        <f t="shared" si="24"/>
        <v>3.3263303570187829E-2</v>
      </c>
      <c r="AG37" s="27">
        <f t="shared" si="25"/>
        <v>3.5580552188243124E-2</v>
      </c>
      <c r="AH37" s="27">
        <f t="shared" si="26"/>
        <v>3.3776880493212202E-2</v>
      </c>
      <c r="AI37" s="22"/>
      <c r="AJ37" s="22"/>
      <c r="AK37" s="22"/>
      <c r="AL37" s="22"/>
    </row>
    <row r="38" spans="2:38">
      <c r="B38" s="22" t="s">
        <v>905</v>
      </c>
      <c r="C38" s="20">
        <f>G504Ex!$J$122</f>
        <v>0</v>
      </c>
      <c r="D38" s="20">
        <f>G504Ex!$J$123</f>
        <v>0</v>
      </c>
      <c r="E38" s="20">
        <f>G504Ex!$J$124</f>
        <v>0</v>
      </c>
      <c r="F38" s="20">
        <f>G504Ex!$J$125</f>
        <v>0</v>
      </c>
      <c r="G38" s="20">
        <f>G504Ex!$J$126</f>
        <v>0</v>
      </c>
      <c r="H38" s="20">
        <f>G504Ex!$J$127</f>
        <v>0</v>
      </c>
      <c r="I38" s="20">
        <f>G504Ex!$J$128</f>
        <v>0</v>
      </c>
      <c r="J38" s="20">
        <f>G504Ex!$J$129</f>
        <v>0</v>
      </c>
      <c r="K38" s="20">
        <f>G504Ex!$J$130</f>
        <v>0</v>
      </c>
      <c r="L38" s="20">
        <f>G504Ex!$J$131</f>
        <v>0</v>
      </c>
      <c r="M38" s="20">
        <f>G504Ex!$J$132</f>
        <v>0</v>
      </c>
      <c r="N38" s="20">
        <f>SUM(C38:M38)</f>
        <v>0</v>
      </c>
      <c r="O38" s="20">
        <f>G504Ex!$J$133</f>
        <v>0</v>
      </c>
      <c r="P38" s="20">
        <f>G504Ex!$J$134</f>
        <v>0</v>
      </c>
      <c r="Q38" s="20">
        <f>G504Ex!$J$135</f>
        <v>0</v>
      </c>
      <c r="R38" s="20">
        <f>G504Ex!$J$136</f>
        <v>0</v>
      </c>
      <c r="S38" s="20">
        <f>G504Ex!$J$137</f>
        <v>0</v>
      </c>
      <c r="T38" s="20">
        <f>G504Ex!$J$138</f>
        <v>0</v>
      </c>
      <c r="U38" s="20">
        <f>G504Ex!$J$139</f>
        <v>0</v>
      </c>
      <c r="V38" s="20">
        <f>SUM(O38:U38)</f>
        <v>0</v>
      </c>
      <c r="W38" s="20">
        <f t="shared" si="20"/>
        <v>0</v>
      </c>
      <c r="X38" s="20">
        <f>G504Ex!$J$120</f>
        <v>0</v>
      </c>
      <c r="Y38" s="1145">
        <f t="shared" si="27"/>
        <v>0</v>
      </c>
      <c r="Z38" s="20">
        <f t="shared" si="21"/>
        <v>0</v>
      </c>
      <c r="AA38" s="1146"/>
      <c r="AB38" s="30"/>
      <c r="AC38" s="30"/>
      <c r="AD38" s="30"/>
      <c r="AF38" s="27">
        <f t="shared" si="24"/>
        <v>0</v>
      </c>
      <c r="AG38" s="27">
        <f t="shared" si="25"/>
        <v>0</v>
      </c>
      <c r="AH38" s="27">
        <f t="shared" si="26"/>
        <v>0</v>
      </c>
      <c r="AI38" s="22"/>
      <c r="AJ38" s="22"/>
      <c r="AK38" s="22"/>
      <c r="AL38" s="22"/>
    </row>
    <row r="39" spans="2:38">
      <c r="B39" s="1159" t="s">
        <v>11</v>
      </c>
      <c r="C39" s="1160">
        <f>SUM(C35:C38)</f>
        <v>7509183.7372164</v>
      </c>
      <c r="D39" s="1160">
        <f>SUM(D35:D38)</f>
        <v>41071356.783194564</v>
      </c>
      <c r="E39" s="1160">
        <f>SUM(E35:E38)</f>
        <v>27561519.874406531</v>
      </c>
      <c r="F39" s="1160">
        <f>SUM(F35:F38)</f>
        <v>31305381.059532635</v>
      </c>
      <c r="G39" s="1160">
        <f>SUM(G35:G38)</f>
        <v>724.43529364060828</v>
      </c>
      <c r="H39" s="1160">
        <f t="shared" ref="H39:V39" si="30">SUM(H35:H38)</f>
        <v>59258084.601859048</v>
      </c>
      <c r="I39" s="1160">
        <f t="shared" si="30"/>
        <v>2441589.530784742</v>
      </c>
      <c r="J39" s="1160">
        <f t="shared" si="30"/>
        <v>20360428.185382478</v>
      </c>
      <c r="K39" s="1160">
        <f t="shared" si="30"/>
        <v>3740722.2716237516</v>
      </c>
      <c r="L39" s="1160">
        <f t="shared" si="30"/>
        <v>366.12</v>
      </c>
      <c r="M39" s="1160">
        <f t="shared" si="30"/>
        <v>13234897.066580134</v>
      </c>
      <c r="N39" s="1160">
        <f t="shared" si="30"/>
        <v>206484253.66587394</v>
      </c>
      <c r="O39" s="1160">
        <f t="shared" si="30"/>
        <v>2423471.5477026454</v>
      </c>
      <c r="P39" s="1160">
        <f t="shared" si="30"/>
        <v>73409.205759477758</v>
      </c>
      <c r="Q39" s="1160">
        <f t="shared" si="30"/>
        <v>11281861.702301759</v>
      </c>
      <c r="R39" s="1160">
        <f t="shared" si="30"/>
        <v>2639418.2601444009</v>
      </c>
      <c r="S39" s="1160">
        <f t="shared" si="30"/>
        <v>1144325.6519856146</v>
      </c>
      <c r="T39" s="1160">
        <f t="shared" si="30"/>
        <v>89580.86032225682</v>
      </c>
      <c r="U39" s="1160">
        <f t="shared" si="30"/>
        <v>24456.599892000046</v>
      </c>
      <c r="V39" s="1160">
        <f t="shared" si="30"/>
        <v>17676523.828108158</v>
      </c>
      <c r="W39" s="1160">
        <f t="shared" si="20"/>
        <v>224160777.49398211</v>
      </c>
      <c r="X39" s="20">
        <f>SUM(X35:X38)</f>
        <v>224160777.49398208</v>
      </c>
      <c r="Y39" s="1145">
        <f t="shared" si="27"/>
        <v>0</v>
      </c>
      <c r="Z39" s="20">
        <f t="shared" si="21"/>
        <v>-6969785.3419194818</v>
      </c>
      <c r="AA39" s="1146"/>
      <c r="AB39" s="1154">
        <f>N39/N15-1</f>
        <v>-5.7541320588760048E-2</v>
      </c>
      <c r="AC39" s="1154">
        <f>V39/V15-1</f>
        <v>0.468208192891439</v>
      </c>
      <c r="AD39" s="1154">
        <f>W39/W15-1</f>
        <v>-3.0155186992158578E-2</v>
      </c>
      <c r="AF39" s="27">
        <f t="shared" si="24"/>
        <v>0.12373354982559039</v>
      </c>
      <c r="AG39" s="27">
        <f t="shared" si="25"/>
        <v>3.7200552188243127E-2</v>
      </c>
      <c r="AH39" s="27">
        <f t="shared" si="26"/>
        <v>0.10455505066913784</v>
      </c>
      <c r="AI39" s="22"/>
      <c r="AJ39" s="22"/>
      <c r="AK39" s="22"/>
      <c r="AL39" s="22"/>
    </row>
    <row r="40" spans="2:38">
      <c r="B40" s="26" t="s">
        <v>111</v>
      </c>
      <c r="C40" s="34">
        <f>C30+C34+C39+C31</f>
        <v>16581018.033832412</v>
      </c>
      <c r="D40" s="34">
        <f>D30+D34+D39+D31</f>
        <v>88104943.870437846</v>
      </c>
      <c r="E40" s="34">
        <f>E30+E34+E39+E31</f>
        <v>45079591.36723461</v>
      </c>
      <c r="F40" s="34">
        <f>F30+F34+F39+F31</f>
        <v>47513984.387535937</v>
      </c>
      <c r="G40" s="34">
        <f t="shared" ref="G40:X40" si="31">G30+G34+G39+G31</f>
        <v>1263.2952936406084</v>
      </c>
      <c r="H40" s="34">
        <f t="shared" si="31"/>
        <v>91280605.765314609</v>
      </c>
      <c r="I40" s="34">
        <f t="shared" si="31"/>
        <v>3607133.5770188901</v>
      </c>
      <c r="J40" s="34">
        <f t="shared" si="31"/>
        <v>31359048.770436533</v>
      </c>
      <c r="K40" s="34">
        <f t="shared" si="31"/>
        <v>5245811.1217937702</v>
      </c>
      <c r="L40" s="34">
        <f t="shared" si="31"/>
        <v>498.33</v>
      </c>
      <c r="M40" s="34">
        <f t="shared" si="31"/>
        <v>15548453.310501372</v>
      </c>
      <c r="N40" s="34">
        <f t="shared" si="31"/>
        <v>344322351.82939959</v>
      </c>
      <c r="O40" s="34">
        <f t="shared" si="31"/>
        <v>5704198.093515479</v>
      </c>
      <c r="P40" s="34">
        <f t="shared" si="31"/>
        <v>172775.59909509146</v>
      </c>
      <c r="Q40" s="34">
        <f t="shared" si="31"/>
        <v>24913592.731385775</v>
      </c>
      <c r="R40" s="34">
        <f t="shared" si="31"/>
        <v>5935668.0674975747</v>
      </c>
      <c r="S40" s="34">
        <f t="shared" si="31"/>
        <v>1667971.5885470284</v>
      </c>
      <c r="T40" s="34">
        <f t="shared" si="31"/>
        <v>977249.30649014073</v>
      </c>
      <c r="U40" s="34">
        <f t="shared" si="31"/>
        <v>59631.83307000011</v>
      </c>
      <c r="V40" s="34">
        <f t="shared" si="31"/>
        <v>39431087.219601095</v>
      </c>
      <c r="W40" s="34">
        <f t="shared" si="31"/>
        <v>383753439.04900068</v>
      </c>
      <c r="X40" s="20">
        <f t="shared" si="31"/>
        <v>383753439.04900068</v>
      </c>
      <c r="Y40" s="1145">
        <f t="shared" si="27"/>
        <v>0</v>
      </c>
      <c r="Z40" s="20">
        <f t="shared" si="21"/>
        <v>27861050.737474024</v>
      </c>
      <c r="AA40" s="1146"/>
      <c r="AB40" s="1155">
        <f>N40/N16-1</f>
        <v>5.4891167015598263E-2</v>
      </c>
      <c r="AC40" s="1155">
        <f>V40/V16-1</f>
        <v>0.33724451899219021</v>
      </c>
      <c r="AD40" s="1155">
        <f>W40/W16-1</f>
        <v>7.8285042480555012E-2</v>
      </c>
      <c r="AF40" s="27">
        <f t="shared" si="24"/>
        <v>0.20633160214283575</v>
      </c>
      <c r="AG40" s="27">
        <f t="shared" si="25"/>
        <v>8.2983409646382303E-2</v>
      </c>
      <c r="AH40" s="27">
        <f t="shared" si="26"/>
        <v>0.17899367013616524</v>
      </c>
      <c r="AI40" s="22"/>
      <c r="AJ40" s="22"/>
      <c r="AK40" s="22"/>
      <c r="AL40" s="22"/>
    </row>
    <row r="41" spans="2:38">
      <c r="B41" s="1147"/>
      <c r="C41" s="1148">
        <f t="shared" ref="C41:X41" si="32">C40/C$21</f>
        <v>0.18557055198130004</v>
      </c>
      <c r="D41" s="1148">
        <f t="shared" si="32"/>
        <v>0.1618199892860977</v>
      </c>
      <c r="E41" s="1148">
        <f t="shared" si="32"/>
        <v>0.23587406270672595</v>
      </c>
      <c r="F41" s="1148">
        <f t="shared" si="32"/>
        <v>0.27029409055714654</v>
      </c>
      <c r="G41" s="1148">
        <f t="shared" si="32"/>
        <v>0.21054921560676806</v>
      </c>
      <c r="H41" s="1148">
        <f t="shared" si="32"/>
        <v>0.25530089295221742</v>
      </c>
      <c r="I41" s="1148">
        <f t="shared" si="32"/>
        <v>0.20863339494335006</v>
      </c>
      <c r="J41" s="1148">
        <f t="shared" si="32"/>
        <v>0.20285551419564096</v>
      </c>
      <c r="K41" s="1148">
        <f t="shared" si="32"/>
        <v>0.2019547838265644</v>
      </c>
      <c r="L41" s="1148">
        <f t="shared" si="32"/>
        <v>0.16611000000000001</v>
      </c>
      <c r="M41" s="1148">
        <f t="shared" si="32"/>
        <v>0.13801110544053349</v>
      </c>
      <c r="N41" s="1148">
        <f t="shared" si="32"/>
        <v>0.20633160214283575</v>
      </c>
      <c r="O41" s="1148">
        <f t="shared" si="32"/>
        <v>0.11021323322349501</v>
      </c>
      <c r="P41" s="1148">
        <f t="shared" si="32"/>
        <v>0.10345252472551202</v>
      </c>
      <c r="Q41" s="1148">
        <f t="shared" si="32"/>
        <v>9.6963210611050663E-2</v>
      </c>
      <c r="R41" s="1148">
        <f t="shared" si="32"/>
        <v>9.4452881781949716E-2</v>
      </c>
      <c r="S41" s="1148">
        <f t="shared" si="32"/>
        <v>5.2838316022958819E-2</v>
      </c>
      <c r="T41" s="1148">
        <f t="shared" si="32"/>
        <v>1.7672791607703367E-2</v>
      </c>
      <c r="U41" s="1148">
        <f t="shared" si="32"/>
        <v>3.9499999999999995E-3</v>
      </c>
      <c r="V41" s="1148">
        <f t="shared" si="32"/>
        <v>8.2983409646382303E-2</v>
      </c>
      <c r="W41" s="1148">
        <f t="shared" si="32"/>
        <v>0.17899367013616524</v>
      </c>
      <c r="X41" s="1148">
        <f t="shared" si="32"/>
        <v>0.17899367013616524</v>
      </c>
      <c r="Y41" s="1145">
        <f t="shared" si="27"/>
        <v>0</v>
      </c>
      <c r="Z41" s="1148"/>
    </row>
    <row r="42" spans="2:38">
      <c r="B42" s="1149"/>
      <c r="C42" s="1148">
        <f>SUM(D40:G40)/SUM(D$21:G$21)</f>
        <v>0.19827222903834268</v>
      </c>
      <c r="D42" s="1148">
        <f>(C40+D40)/(C$21+D$21)</f>
        <v>0.1651682097704848</v>
      </c>
      <c r="E42" s="1148">
        <f>(E40+F40)/(E$21+F$21)</f>
        <v>0.25236496117546786</v>
      </c>
      <c r="F42" s="1148">
        <f>SUM($C$40:$F$40)/SUM($C$21:$F$21)</f>
        <v>0.19713805471506921</v>
      </c>
      <c r="G42" s="1148"/>
      <c r="H42" s="1150"/>
      <c r="I42" s="1150"/>
      <c r="J42" s="1148">
        <f>SUM(H40:M40)/SUM(H$21:M$21)</f>
        <v>0.22010304610669637</v>
      </c>
      <c r="K42" s="1150"/>
      <c r="L42" s="1150"/>
      <c r="M42" s="1148">
        <f>SUM(L40:M40)/SUM(L$21:M$21)</f>
        <v>0.13801185365442215</v>
      </c>
      <c r="N42" s="1150"/>
      <c r="O42" s="1150"/>
      <c r="P42" s="1148">
        <f>SUM(O40:P40)/SUM(O$21:P$21)</f>
        <v>0.1100018940810038</v>
      </c>
      <c r="Q42" s="1150"/>
      <c r="R42" s="1148">
        <f>SUM(Q40:R40)/SUM(Q$21:R$21)</f>
        <v>9.6469886872105351E-2</v>
      </c>
      <c r="S42" s="1150"/>
      <c r="T42" s="1148">
        <f>SUM(S40:T40)/SUM(S$21:T$21)</f>
        <v>3.0452339881503483E-2</v>
      </c>
      <c r="U42" s="1150"/>
      <c r="V42" s="1150"/>
      <c r="W42" s="1150"/>
      <c r="X42" s="1150"/>
      <c r="Y42" s="1143"/>
      <c r="Z42" s="1150"/>
      <c r="AA42" s="1144"/>
    </row>
    <row r="43" spans="2:38">
      <c r="B43" s="1149"/>
      <c r="C43" s="1148"/>
      <c r="D43" s="1148"/>
      <c r="E43" s="1148"/>
      <c r="F43" s="1148"/>
      <c r="G43" s="1148"/>
      <c r="H43" s="1150"/>
      <c r="I43" s="1150"/>
      <c r="J43" s="1148"/>
      <c r="K43" s="1150"/>
      <c r="L43" s="1150"/>
      <c r="M43" s="1148"/>
      <c r="N43" s="1150"/>
      <c r="O43" s="1150"/>
      <c r="P43" s="1148"/>
      <c r="Q43" s="1150"/>
      <c r="R43" s="1148"/>
      <c r="S43" s="1150"/>
      <c r="T43" s="1148"/>
      <c r="U43" s="1150"/>
      <c r="V43" s="1150"/>
      <c r="W43" s="1150"/>
      <c r="X43" s="1150"/>
      <c r="Y43" s="1143"/>
      <c r="Z43" s="1150"/>
      <c r="AA43" s="1144"/>
    </row>
    <row r="44" spans="2:38">
      <c r="C44" s="2179">
        <f t="shared" ref="C44:W44" si="33">C41/C17-1</f>
        <v>5.5131800336511549E-2</v>
      </c>
      <c r="D44" s="2179">
        <f t="shared" si="33"/>
        <v>0.41928026216441561</v>
      </c>
      <c r="E44" s="2179">
        <f t="shared" si="33"/>
        <v>-9.1867120294575111E-2</v>
      </c>
      <c r="F44" s="2179">
        <f t="shared" si="33"/>
        <v>-0.26207558669161657</v>
      </c>
      <c r="G44" s="2179" t="e">
        <f t="shared" si="33"/>
        <v>#DIV/0!</v>
      </c>
      <c r="H44" s="2179">
        <f t="shared" si="33"/>
        <v>0.11897210026383465</v>
      </c>
      <c r="I44" s="2179">
        <f t="shared" si="33"/>
        <v>4.8924427675646864E-2</v>
      </c>
      <c r="J44" s="2179">
        <f t="shared" si="33"/>
        <v>5.0409169857342118E-2</v>
      </c>
      <c r="K44" s="2179">
        <f t="shared" si="33"/>
        <v>0.16164461581178835</v>
      </c>
      <c r="L44" s="2179">
        <f t="shared" si="33"/>
        <v>5.1063022019741888E-2</v>
      </c>
      <c r="M44" s="2179">
        <f t="shared" si="33"/>
        <v>2.2967398773683811E-2</v>
      </c>
      <c r="N44" s="24">
        <f t="shared" si="33"/>
        <v>5.4891167015598263E-2</v>
      </c>
      <c r="O44" s="2179">
        <f t="shared" si="33"/>
        <v>0.23618597035514122</v>
      </c>
      <c r="P44" s="2179">
        <f t="shared" si="33"/>
        <v>0.29388699260989659</v>
      </c>
      <c r="Q44" s="2179">
        <f t="shared" si="33"/>
        <v>0.3448232637763422</v>
      </c>
      <c r="R44" s="2179">
        <f t="shared" si="33"/>
        <v>0.33973459424108654</v>
      </c>
      <c r="S44" s="2179">
        <f t="shared" si="33"/>
        <v>0.63866936399429597</v>
      </c>
      <c r="T44" s="2179">
        <f t="shared" si="33"/>
        <v>0.35979585002379944</v>
      </c>
      <c r="U44" s="2179">
        <f t="shared" si="33"/>
        <v>0.28664495114006505</v>
      </c>
      <c r="V44" s="24">
        <f t="shared" si="33"/>
        <v>0.33724451899219021</v>
      </c>
      <c r="W44" s="24">
        <f t="shared" si="33"/>
        <v>7.828504248055479E-2</v>
      </c>
      <c r="AF44" s="33">
        <f>AF40/AF16-1</f>
        <v>5.4891167015598263E-2</v>
      </c>
      <c r="AG44" s="33">
        <f>AG40/AG16-1</f>
        <v>0.33724451899219021</v>
      </c>
      <c r="AH44" s="33">
        <f>AH40/AH16-1</f>
        <v>7.828504248055479E-2</v>
      </c>
    </row>
    <row r="45" spans="2:38">
      <c r="C45" s="2179">
        <f>C42/C18-1</f>
        <v>2.6080560102874406E-2</v>
      </c>
      <c r="D45" s="2181"/>
      <c r="E45" s="2181"/>
      <c r="F45" s="2181"/>
      <c r="G45" s="2180"/>
      <c r="H45" s="2181"/>
      <c r="I45" s="2181"/>
      <c r="J45" s="2179">
        <f>J42/J18-1</f>
        <v>9.2562500465095621E-2</v>
      </c>
      <c r="K45" s="2181"/>
      <c r="L45" s="2181"/>
      <c r="M45" s="2179">
        <f>M42/M18-1</f>
        <v>2.2968275144685579E-2</v>
      </c>
      <c r="N45" s="2181"/>
      <c r="O45" s="2181"/>
      <c r="P45" s="2179">
        <f>P42/P18-1</f>
        <v>0.23780878673487149</v>
      </c>
      <c r="Q45" s="2181"/>
      <c r="R45" s="2179">
        <f>R42/R18-1</f>
        <v>0.34384115801449799</v>
      </c>
      <c r="S45" s="2181"/>
      <c r="T45" s="2180">
        <f>T42/T18-1</f>
        <v>0.52325753611700043</v>
      </c>
      <c r="U45" s="2181"/>
      <c r="V45" s="2181"/>
      <c r="W45" s="2181"/>
      <c r="X45" s="20"/>
    </row>
    <row r="46" spans="2:38">
      <c r="G46" s="30"/>
    </row>
    <row r="47" spans="2:38" s="23" customFormat="1" ht="25.5">
      <c r="B47" s="1156" t="s">
        <v>236</v>
      </c>
      <c r="C47" s="1157" t="str">
        <f>C$2</f>
        <v>BTS
Prepago</v>
      </c>
      <c r="D47" s="1157" t="str">
        <f>D$2</f>
        <v>BTS
1</v>
      </c>
      <c r="E47" s="1157" t="str">
        <f>E$2</f>
        <v>BTS
2</v>
      </c>
      <c r="F47" s="1157" t="str">
        <f>F$2</f>
        <v>BTS
3</v>
      </c>
      <c r="G47" s="1158" t="str">
        <f t="shared" ref="G47:M47" si="34">G$2</f>
        <v>BTSH</v>
      </c>
      <c r="H47" s="1158" t="str">
        <f t="shared" si="34"/>
        <v>BTD</v>
      </c>
      <c r="I47" s="1158" t="str">
        <f t="shared" si="34"/>
        <v>BTH</v>
      </c>
      <c r="J47" s="1158" t="str">
        <f t="shared" si="34"/>
        <v>MTD</v>
      </c>
      <c r="K47" s="1158" t="str">
        <f t="shared" si="34"/>
        <v>MTH</v>
      </c>
      <c r="L47" s="1158" t="str">
        <f t="shared" si="34"/>
        <v>ATD</v>
      </c>
      <c r="M47" s="1158" t="str">
        <f t="shared" si="34"/>
        <v>ATH</v>
      </c>
      <c r="N47" s="2175" t="s">
        <v>413</v>
      </c>
      <c r="O47" s="1158" t="str">
        <f t="shared" ref="O47:U47" si="35">O$2</f>
        <v>BTD</v>
      </c>
      <c r="P47" s="1158" t="str">
        <f t="shared" si="35"/>
        <v>BTH</v>
      </c>
      <c r="Q47" s="1158" t="str">
        <f t="shared" si="35"/>
        <v>MTD</v>
      </c>
      <c r="R47" s="1158" t="str">
        <f t="shared" si="35"/>
        <v>MTH</v>
      </c>
      <c r="S47" s="1158" t="str">
        <f t="shared" si="35"/>
        <v>ATD</v>
      </c>
      <c r="T47" s="1158" t="str">
        <f t="shared" si="35"/>
        <v>ATH</v>
      </c>
      <c r="U47" s="1157" t="str">
        <f t="shared" si="35"/>
        <v>Arg y Min
ATD</v>
      </c>
      <c r="V47" s="2175" t="s">
        <v>414</v>
      </c>
      <c r="W47" s="2175" t="s">
        <v>111</v>
      </c>
      <c r="Y47" s="1143"/>
      <c r="AA47" s="1144"/>
      <c r="AB47" s="22"/>
      <c r="AC47" s="22"/>
      <c r="AD47" s="22"/>
      <c r="AF47" s="28" t="str">
        <f>N47</f>
        <v>REGULADOS</v>
      </c>
      <c r="AG47" s="28" t="str">
        <f>V47</f>
        <v>G.CLIENTES</v>
      </c>
      <c r="AH47" s="28" t="str">
        <f>W47</f>
        <v>TOTAL</v>
      </c>
      <c r="AI47" s="22"/>
      <c r="AJ47" s="22"/>
      <c r="AK47" s="22"/>
      <c r="AL47" s="22"/>
    </row>
    <row r="48" spans="2:38">
      <c r="B48" s="22" t="s">
        <v>12</v>
      </c>
      <c r="C48" s="1191">
        <f t="shared" ref="C48:T48" si="36">C27/C3-1</f>
        <v>0.80965292841648551</v>
      </c>
      <c r="D48" s="1191">
        <f t="shared" si="36"/>
        <v>0.14111315643541222</v>
      </c>
      <c r="E48" s="1191">
        <f t="shared" si="36"/>
        <v>0.14010334676093805</v>
      </c>
      <c r="F48" s="1191">
        <f t="shared" si="36"/>
        <v>0.13144517948696888</v>
      </c>
      <c r="G48" s="1191">
        <f t="shared" si="36"/>
        <v>0.10595303113052967</v>
      </c>
      <c r="H48" s="1191">
        <f t="shared" si="36"/>
        <v>-9.1202843790306409E-2</v>
      </c>
      <c r="I48" s="1191">
        <f t="shared" si="36"/>
        <v>-0.1021774955193836</v>
      </c>
      <c r="J48" s="1191">
        <f t="shared" si="36"/>
        <v>0.14057045253068856</v>
      </c>
      <c r="K48" s="1191">
        <f t="shared" si="36"/>
        <v>0.14132508135801758</v>
      </c>
      <c r="L48" s="1191">
        <f t="shared" si="36"/>
        <v>0.10614224137931005</v>
      </c>
      <c r="M48" s="1191">
        <f t="shared" si="36"/>
        <v>0.11361119330084835</v>
      </c>
      <c r="N48" s="2176">
        <f t="shared" si="36"/>
        <v>0.16390844206137523</v>
      </c>
      <c r="O48" s="1191">
        <f t="shared" si="36"/>
        <v>-0.10714756576034168</v>
      </c>
      <c r="P48" s="1191">
        <f t="shared" si="36"/>
        <v>-0.10733246969664945</v>
      </c>
      <c r="Q48" s="1191">
        <f t="shared" si="36"/>
        <v>0.14165269718669515</v>
      </c>
      <c r="R48" s="1191">
        <f t="shared" si="36"/>
        <v>0.14167560586341899</v>
      </c>
      <c r="S48" s="1191">
        <f t="shared" si="36"/>
        <v>0.11362137201414768</v>
      </c>
      <c r="T48" s="1191">
        <f t="shared" si="36"/>
        <v>0.11362779814603363</v>
      </c>
      <c r="U48" s="1191"/>
      <c r="V48" s="2176">
        <f t="shared" ref="V48:W53" si="37">V27/V3-1</f>
        <v>9.6732345285081012E-2</v>
      </c>
      <c r="W48" s="2176">
        <f t="shared" si="37"/>
        <v>0.1596379419965126</v>
      </c>
    </row>
    <row r="49" spans="2:23">
      <c r="B49" s="22" t="s">
        <v>9</v>
      </c>
      <c r="C49" s="1191">
        <f t="shared" ref="C49:T49" si="38">C28/C4-1</f>
        <v>0.23786066150598173</v>
      </c>
      <c r="D49" s="1191">
        <f t="shared" si="38"/>
        <v>0.27058409570724873</v>
      </c>
      <c r="E49" s="1191">
        <f t="shared" si="38"/>
        <v>0.27058409570724873</v>
      </c>
      <c r="F49" s="1191">
        <f t="shared" si="38"/>
        <v>0.27058409570724851</v>
      </c>
      <c r="G49" s="1191">
        <f t="shared" si="38"/>
        <v>0.23786066150598173</v>
      </c>
      <c r="H49" s="1191">
        <f t="shared" si="38"/>
        <v>-4.8348106365835308E-3</v>
      </c>
      <c r="I49" s="1191">
        <f t="shared" si="38"/>
        <v>5.2737104041179705E-2</v>
      </c>
      <c r="J49" s="1191">
        <f t="shared" si="38"/>
        <v>0.15204081632653055</v>
      </c>
      <c r="K49" s="1191">
        <f t="shared" si="38"/>
        <v>0.13814048948052227</v>
      </c>
      <c r="L49" s="1191">
        <f t="shared" si="38"/>
        <v>0.17012448132780067</v>
      </c>
      <c r="M49" s="1191">
        <f t="shared" si="38"/>
        <v>0.14913741443838635</v>
      </c>
      <c r="N49" s="2176">
        <f t="shared" si="38"/>
        <v>0.15816972681787034</v>
      </c>
      <c r="O49" s="1191">
        <f t="shared" si="38"/>
        <v>-4.8348106365833088E-3</v>
      </c>
      <c r="P49" s="1191">
        <f t="shared" si="38"/>
        <v>-6.9327730722916758E-3</v>
      </c>
      <c r="Q49" s="1191">
        <f t="shared" si="38"/>
        <v>0.15204081632653055</v>
      </c>
      <c r="R49" s="1191">
        <f t="shared" si="38"/>
        <v>0.13949393907779539</v>
      </c>
      <c r="S49" s="1191">
        <f t="shared" si="38"/>
        <v>0.17012448132780067</v>
      </c>
      <c r="T49" s="1191">
        <f t="shared" si="38"/>
        <v>0.14980095159482376</v>
      </c>
      <c r="U49" s="1191"/>
      <c r="V49" s="2176">
        <f t="shared" si="37"/>
        <v>0.12245835230911672</v>
      </c>
      <c r="W49" s="2176">
        <f t="shared" si="37"/>
        <v>0.15249475595055362</v>
      </c>
    </row>
    <row r="50" spans="2:23">
      <c r="B50" s="22" t="s">
        <v>309</v>
      </c>
      <c r="C50" s="1191">
        <f t="shared" ref="C50:T50" si="39">C29/C5-1</f>
        <v>1.1478260869565218</v>
      </c>
      <c r="D50" s="1191">
        <f t="shared" si="39"/>
        <v>1.2000000000000002</v>
      </c>
      <c r="E50" s="1191">
        <f t="shared" si="39"/>
        <v>1.1999999999999997</v>
      </c>
      <c r="F50" s="1191">
        <f t="shared" si="39"/>
        <v>1.2000000000000002</v>
      </c>
      <c r="G50" s="1191">
        <f t="shared" si="39"/>
        <v>1.1478260869565213</v>
      </c>
      <c r="H50" s="1191">
        <f t="shared" si="39"/>
        <v>1.0803571428571432</v>
      </c>
      <c r="I50" s="1191">
        <f t="shared" si="39"/>
        <v>1.0803571428571432</v>
      </c>
      <c r="J50" s="1191">
        <f t="shared" si="39"/>
        <v>1.0803571428571432</v>
      </c>
      <c r="K50" s="1191">
        <f t="shared" si="39"/>
        <v>1.0803571428571428</v>
      </c>
      <c r="L50" s="1191">
        <f t="shared" si="39"/>
        <v>1.0803571428571428</v>
      </c>
      <c r="M50" s="1191">
        <f t="shared" si="39"/>
        <v>1.0803571428571432</v>
      </c>
      <c r="N50" s="2176">
        <f t="shared" si="39"/>
        <v>1.1473175533066384</v>
      </c>
      <c r="O50" s="1191">
        <f t="shared" si="39"/>
        <v>1.0803571428571432</v>
      </c>
      <c r="P50" s="1191">
        <f t="shared" si="39"/>
        <v>1.0803571428571432</v>
      </c>
      <c r="Q50" s="1191">
        <f t="shared" si="39"/>
        <v>1.0803571428571428</v>
      </c>
      <c r="R50" s="1191">
        <f t="shared" si="39"/>
        <v>1.0803571428571432</v>
      </c>
      <c r="S50" s="1191">
        <f t="shared" si="39"/>
        <v>1.0803571428571432</v>
      </c>
      <c r="T50" s="1191">
        <f t="shared" si="39"/>
        <v>1.0803571428571428</v>
      </c>
      <c r="U50" s="1191">
        <f>U29/U5-1</f>
        <v>1.0803571428571428</v>
      </c>
      <c r="V50" s="2176">
        <f t="shared" si="37"/>
        <v>1.0803571428571423</v>
      </c>
      <c r="W50" s="2176">
        <f t="shared" si="37"/>
        <v>1.1320303638695091</v>
      </c>
    </row>
    <row r="51" spans="2:23">
      <c r="B51" s="1159" t="s">
        <v>9</v>
      </c>
      <c r="C51" s="1192">
        <f t="shared" ref="C51:T51" si="40">C30/C6-1</f>
        <v>0.47927515101020624</v>
      </c>
      <c r="D51" s="1192">
        <f t="shared" si="40"/>
        <v>0.23120942195561689</v>
      </c>
      <c r="E51" s="1192">
        <f t="shared" si="40"/>
        <v>0.2321918409227739</v>
      </c>
      <c r="F51" s="1192">
        <f t="shared" si="40"/>
        <v>0.23929813346895079</v>
      </c>
      <c r="G51" s="1192">
        <f t="shared" si="40"/>
        <v>0.2092731829573935</v>
      </c>
      <c r="H51" s="1192">
        <f t="shared" si="40"/>
        <v>8.3512273037038565E-3</v>
      </c>
      <c r="I51" s="1192">
        <f t="shared" si="40"/>
        <v>6.1541673850568968E-2</v>
      </c>
      <c r="J51" s="1192">
        <f t="shared" si="40"/>
        <v>0.17957324183292966</v>
      </c>
      <c r="K51" s="1192">
        <f t="shared" si="40"/>
        <v>0.18032828360327224</v>
      </c>
      <c r="L51" s="1192">
        <f t="shared" si="40"/>
        <v>0.16326530612244849</v>
      </c>
      <c r="M51" s="1192">
        <f t="shared" si="40"/>
        <v>0.37264203703580456</v>
      </c>
      <c r="N51" s="2177">
        <f t="shared" si="40"/>
        <v>0.18388565927896217</v>
      </c>
      <c r="O51" s="1192">
        <f t="shared" si="40"/>
        <v>1.300488032922642E-2</v>
      </c>
      <c r="P51" s="1192">
        <f t="shared" si="40"/>
        <v>1.1726364963688063E-2</v>
      </c>
      <c r="Q51" s="1192">
        <f t="shared" si="40"/>
        <v>0.18805013121630343</v>
      </c>
      <c r="R51" s="1192">
        <f t="shared" si="40"/>
        <v>0.17809217777602493</v>
      </c>
      <c r="S51" s="1192">
        <f t="shared" si="40"/>
        <v>0.33311374614473444</v>
      </c>
      <c r="T51" s="1192">
        <f t="shared" si="40"/>
        <v>0.31728328745376189</v>
      </c>
      <c r="U51" s="1192">
        <f>U30/U6-1</f>
        <v>1.0803571428571428</v>
      </c>
      <c r="V51" s="2177">
        <f t="shared" si="37"/>
        <v>0.16357472949632723</v>
      </c>
      <c r="W51" s="2177">
        <f t="shared" si="37"/>
        <v>0.18119295332696961</v>
      </c>
    </row>
    <row r="52" spans="2:23">
      <c r="B52" s="1159" t="s">
        <v>239</v>
      </c>
      <c r="C52" s="1192">
        <f t="shared" ref="C52:T52" si="41">C31/C7-1</f>
        <v>0.3500368459837877</v>
      </c>
      <c r="D52" s="1192">
        <f t="shared" si="41"/>
        <v>0.38319823139277842</v>
      </c>
      <c r="E52" s="1192">
        <f t="shared" si="41"/>
        <v>0.38319823139277753</v>
      </c>
      <c r="F52" s="1192">
        <f t="shared" si="41"/>
        <v>0.3831982313927782</v>
      </c>
      <c r="G52" s="1192">
        <f t="shared" si="41"/>
        <v>0.35003684598378793</v>
      </c>
      <c r="H52" s="1192">
        <f t="shared" si="41"/>
        <v>0.31027675216919581</v>
      </c>
      <c r="I52" s="1192">
        <f t="shared" si="41"/>
        <v>0.30523184556983995</v>
      </c>
      <c r="J52" s="1192">
        <f t="shared" si="41"/>
        <v>0.29993363884536506</v>
      </c>
      <c r="K52" s="1192">
        <f t="shared" si="41"/>
        <v>0.29700934634444209</v>
      </c>
      <c r="L52" s="1192">
        <f t="shared" si="41"/>
        <v>0.39705882352941169</v>
      </c>
      <c r="M52" s="1192">
        <f t="shared" si="41"/>
        <v>0.38663464800112179</v>
      </c>
      <c r="N52" s="2177">
        <f t="shared" si="41"/>
        <v>0.3539522540227682</v>
      </c>
      <c r="O52" s="1192">
        <f t="shared" si="41"/>
        <v>0.31098979282513728</v>
      </c>
      <c r="P52" s="1192">
        <f t="shared" si="41"/>
        <v>0.30721764639760241</v>
      </c>
      <c r="Q52" s="1192">
        <f t="shared" si="41"/>
        <v>0.29849623685699145</v>
      </c>
      <c r="R52" s="1192">
        <f t="shared" si="41"/>
        <v>0.29633125424718099</v>
      </c>
      <c r="S52" s="1192">
        <f t="shared" si="41"/>
        <v>0.39466241227371457</v>
      </c>
      <c r="T52" s="1192">
        <f t="shared" si="41"/>
        <v>0.39388804387911658</v>
      </c>
      <c r="U52" s="1192"/>
      <c r="V52" s="2177">
        <f t="shared" si="37"/>
        <v>0.30318450170858613</v>
      </c>
      <c r="W52" s="2177">
        <f t="shared" si="37"/>
        <v>0.34534850238286996</v>
      </c>
    </row>
    <row r="53" spans="2:23">
      <c r="B53" s="22" t="s">
        <v>237</v>
      </c>
      <c r="C53" s="1191">
        <f t="shared" ref="C53:T53" si="42">C32/C8-1</f>
        <v>0.78309859154929584</v>
      </c>
      <c r="D53" s="1191">
        <f t="shared" si="42"/>
        <v>0.83098591549295753</v>
      </c>
      <c r="E53" s="1191">
        <f t="shared" si="42"/>
        <v>0.83098591549295797</v>
      </c>
      <c r="F53" s="1191">
        <f t="shared" si="42"/>
        <v>0.83098591549295775</v>
      </c>
      <c r="G53" s="1191">
        <f t="shared" si="42"/>
        <v>0.78309859154929562</v>
      </c>
      <c r="H53" s="1191">
        <f t="shared" si="42"/>
        <v>0.38207383605580669</v>
      </c>
      <c r="I53" s="1191">
        <f t="shared" si="42"/>
        <v>0.32254817393036528</v>
      </c>
      <c r="J53" s="1191">
        <f t="shared" si="42"/>
        <v>0.76132459647452855</v>
      </c>
      <c r="K53" s="1191">
        <f t="shared" si="42"/>
        <v>0.94016658362901784</v>
      </c>
      <c r="L53" s="1191">
        <f t="shared" si="42"/>
        <v>0.93428571428571372</v>
      </c>
      <c r="M53" s="1191">
        <f t="shared" si="42"/>
        <v>0.61086817618004097</v>
      </c>
      <c r="N53" s="2176">
        <f t="shared" si="42"/>
        <v>0.64332940840196495</v>
      </c>
      <c r="O53" s="1191">
        <f t="shared" si="42"/>
        <v>0.21974220710533188</v>
      </c>
      <c r="P53" s="1191">
        <f t="shared" si="42"/>
        <v>0.1455164916652314</v>
      </c>
      <c r="Q53" s="1191">
        <f t="shared" si="42"/>
        <v>0.61971487637003775</v>
      </c>
      <c r="R53" s="1191">
        <f t="shared" si="42"/>
        <v>0.81025214688016822</v>
      </c>
      <c r="S53" s="1191">
        <f t="shared" si="42"/>
        <v>0.90564171837945184</v>
      </c>
      <c r="T53" s="1191">
        <f t="shared" si="42"/>
        <v>0.70942414176323565</v>
      </c>
      <c r="U53" s="1191"/>
      <c r="V53" s="2176">
        <f t="shared" si="37"/>
        <v>0.59742636579276254</v>
      </c>
      <c r="W53" s="2176">
        <f t="shared" si="37"/>
        <v>0.63305699981087171</v>
      </c>
    </row>
    <row r="54" spans="2:23">
      <c r="B54" s="22" t="s">
        <v>238</v>
      </c>
      <c r="C54" s="1191">
        <f t="shared" ref="C54:N54" si="43">C33/C9-1</f>
        <v>0.86632390745501286</v>
      </c>
      <c r="D54" s="1191">
        <f t="shared" si="43"/>
        <v>0.8997429305912592</v>
      </c>
      <c r="E54" s="1191">
        <f t="shared" si="43"/>
        <v>0.8997429305912592</v>
      </c>
      <c r="F54" s="1191">
        <f t="shared" si="43"/>
        <v>0.89974293059125987</v>
      </c>
      <c r="G54" s="1191">
        <f t="shared" si="43"/>
        <v>0.86632390745501264</v>
      </c>
      <c r="H54" s="1191">
        <f t="shared" si="43"/>
        <v>0.83510638297872353</v>
      </c>
      <c r="I54" s="1191">
        <f t="shared" si="43"/>
        <v>0.83510638297872375</v>
      </c>
      <c r="J54" s="1191">
        <f t="shared" si="43"/>
        <v>0.8377659574468086</v>
      </c>
      <c r="K54" s="1191">
        <f t="shared" si="43"/>
        <v>0.8377659574468086</v>
      </c>
      <c r="L54" s="1191">
        <f t="shared" si="43"/>
        <v>0.83510638297872375</v>
      </c>
      <c r="M54" s="1191">
        <f t="shared" si="43"/>
        <v>0.83510638297872353</v>
      </c>
      <c r="N54" s="2176">
        <f t="shared" si="43"/>
        <v>0.87139662357146075</v>
      </c>
      <c r="O54" s="1191"/>
      <c r="P54" s="1191"/>
      <c r="Q54" s="1191"/>
      <c r="R54" s="1191"/>
      <c r="S54" s="1191"/>
      <c r="T54" s="1191"/>
      <c r="U54" s="1191"/>
      <c r="V54" s="2176"/>
      <c r="W54" s="2176">
        <f>W33/W9-1</f>
        <v>0.87139662357146075</v>
      </c>
    </row>
    <row r="55" spans="2:23">
      <c r="B55" s="1159" t="s">
        <v>10</v>
      </c>
      <c r="C55" s="1192">
        <f t="shared" ref="C55:N55" si="44">C34/C10-1</f>
        <v>0.82661290322580694</v>
      </c>
      <c r="D55" s="1192">
        <f t="shared" si="44"/>
        <v>0.86693548387096753</v>
      </c>
      <c r="E55" s="1192">
        <f t="shared" si="44"/>
        <v>0.86693548387096753</v>
      </c>
      <c r="F55" s="1192">
        <f t="shared" si="44"/>
        <v>0.86693548387096775</v>
      </c>
      <c r="G55" s="1192">
        <f t="shared" si="44"/>
        <v>0.82661290322580627</v>
      </c>
      <c r="H55" s="1192">
        <f t="shared" si="44"/>
        <v>0.53711436901582643</v>
      </c>
      <c r="I55" s="1192">
        <f t="shared" si="44"/>
        <v>0.54115787403678239</v>
      </c>
      <c r="J55" s="1192">
        <f t="shared" si="44"/>
        <v>0.79467241156099178</v>
      </c>
      <c r="K55" s="1192">
        <f t="shared" si="44"/>
        <v>0.89236248487191006</v>
      </c>
      <c r="L55" s="1192">
        <f t="shared" si="44"/>
        <v>0.88292011019283723</v>
      </c>
      <c r="M55" s="1192">
        <f t="shared" si="44"/>
        <v>0.72878239484452445</v>
      </c>
      <c r="N55" s="2177">
        <f t="shared" si="44"/>
        <v>0.74793908591344382</v>
      </c>
      <c r="O55" s="1192">
        <f t="shared" ref="O55:T56" si="45">O34/O10-1</f>
        <v>0.21974220710533188</v>
      </c>
      <c r="P55" s="1192">
        <f t="shared" si="45"/>
        <v>0.1455164916652314</v>
      </c>
      <c r="Q55" s="1192">
        <f t="shared" si="45"/>
        <v>0.61971487637003775</v>
      </c>
      <c r="R55" s="1192">
        <f t="shared" si="45"/>
        <v>0.81025214688016822</v>
      </c>
      <c r="S55" s="1192">
        <f t="shared" si="45"/>
        <v>0.90564171837945184</v>
      </c>
      <c r="T55" s="1192">
        <f t="shared" si="45"/>
        <v>0.70942414176323565</v>
      </c>
      <c r="U55" s="1192"/>
      <c r="V55" s="2177">
        <f>V34/V10-1</f>
        <v>0.59742636579276254</v>
      </c>
      <c r="W55" s="2177">
        <f>W34/W10-1</f>
        <v>0.72762044235228451</v>
      </c>
    </row>
    <row r="56" spans="2:23">
      <c r="B56" s="22" t="s">
        <v>1249</v>
      </c>
      <c r="C56" s="1191">
        <f t="shared" ref="C56:N56" si="46">C35/C11-1</f>
        <v>-0.15686274509803944</v>
      </c>
      <c r="D56" s="1191">
        <f t="shared" si="46"/>
        <v>0.68150312285767112</v>
      </c>
      <c r="E56" s="1191">
        <f t="shared" si="46"/>
        <v>-0.42262540636456403</v>
      </c>
      <c r="F56" s="1191">
        <f t="shared" si="46"/>
        <v>-0.5230152331592981</v>
      </c>
      <c r="G56" s="1191">
        <f t="shared" si="46"/>
        <v>-0.1568627450980391</v>
      </c>
      <c r="H56" s="1191">
        <f t="shared" si="46"/>
        <v>-0.16923076923076941</v>
      </c>
      <c r="I56" s="1191">
        <f t="shared" si="46"/>
        <v>-0.16923076923076941</v>
      </c>
      <c r="J56" s="1191">
        <f t="shared" si="46"/>
        <v>-0.1692307692307693</v>
      </c>
      <c r="K56" s="1191">
        <f t="shared" si="46"/>
        <v>-0.16923076923076907</v>
      </c>
      <c r="L56" s="1191">
        <f t="shared" si="46"/>
        <v>-0.1692307692307693</v>
      </c>
      <c r="M56" s="1191">
        <f t="shared" si="46"/>
        <v>-0.1692307692307693</v>
      </c>
      <c r="N56" s="2176">
        <f t="shared" si="46"/>
        <v>-0.15151769582548069</v>
      </c>
      <c r="O56" s="1191">
        <f t="shared" si="45"/>
        <v>-0.16923076923076918</v>
      </c>
      <c r="P56" s="1191">
        <f t="shared" si="45"/>
        <v>-0.16923076923076918</v>
      </c>
      <c r="Q56" s="1191">
        <f t="shared" si="45"/>
        <v>-0.1692307692307693</v>
      </c>
      <c r="R56" s="1191">
        <f t="shared" si="45"/>
        <v>-0.16923076923076918</v>
      </c>
      <c r="S56" s="1191">
        <f t="shared" si="45"/>
        <v>-0.16923076923076918</v>
      </c>
      <c r="T56" s="1191">
        <f t="shared" si="45"/>
        <v>-0.16923076923076941</v>
      </c>
      <c r="U56" s="1191">
        <f>U35/U11-1</f>
        <v>-0.16923076923076918</v>
      </c>
      <c r="V56" s="2176">
        <f>V35/V11-1</f>
        <v>-0.1692307692307693</v>
      </c>
      <c r="W56" s="2176">
        <f>W35/W11-1</f>
        <v>-0.15552751741516935</v>
      </c>
    </row>
    <row r="57" spans="2:23">
      <c r="B57" s="22" t="s">
        <v>1247</v>
      </c>
      <c r="C57" s="1191">
        <f t="shared" ref="C57:N57" si="47">C36/C12-1</f>
        <v>-5.8244462674323261E-2</v>
      </c>
      <c r="D57" s="1191">
        <f t="shared" si="47"/>
        <v>0.87093713396714012</v>
      </c>
      <c r="E57" s="1191">
        <f t="shared" si="47"/>
        <v>-0.16225309620351802</v>
      </c>
      <c r="F57" s="1191">
        <f t="shared" si="47"/>
        <v>-0.37334934479266413</v>
      </c>
      <c r="G57" s="1191">
        <f t="shared" si="47"/>
        <v>0.35041312013628723</v>
      </c>
      <c r="H57" s="1191">
        <f t="shared" si="47"/>
        <v>-6.2333958348286589E-2</v>
      </c>
      <c r="I57" s="1191">
        <f t="shared" si="47"/>
        <v>7.645408735751591E-2</v>
      </c>
      <c r="J57" s="1191">
        <f t="shared" si="47"/>
        <v>-6.9550987010330467E-2</v>
      </c>
      <c r="K57" s="1191">
        <f t="shared" si="47"/>
        <v>2.9346761324378079E-5</v>
      </c>
      <c r="L57" s="1191">
        <f t="shared" si="47"/>
        <v>-7.0164672189833022E-2</v>
      </c>
      <c r="M57" s="1191">
        <f t="shared" si="47"/>
        <v>-7.6008169717720397E-2</v>
      </c>
      <c r="N57" s="2176">
        <f t="shared" si="47"/>
        <v>-5.375337528785995E-2</v>
      </c>
      <c r="O57" s="1191"/>
      <c r="P57" s="1191"/>
      <c r="Q57" s="1191"/>
      <c r="R57" s="1191"/>
      <c r="S57" s="1191"/>
      <c r="T57" s="1191"/>
      <c r="U57" s="1191"/>
      <c r="V57" s="2176"/>
      <c r="W57" s="2176">
        <f>W36/W12-1</f>
        <v>-5.375337528785995E-2</v>
      </c>
    </row>
    <row r="58" spans="2:23">
      <c r="B58" s="22" t="s">
        <v>1248</v>
      </c>
      <c r="C58" s="1191">
        <f t="shared" ref="C58:N58" si="48">C37/C13-1</f>
        <v>-0.57184750733137846</v>
      </c>
      <c r="D58" s="1191">
        <f t="shared" si="48"/>
        <v>-0.14323358944717335</v>
      </c>
      <c r="E58" s="1191">
        <f t="shared" si="48"/>
        <v>-0.47050393671655055</v>
      </c>
      <c r="F58" s="1191">
        <f t="shared" si="48"/>
        <v>-0.49690568977045058</v>
      </c>
      <c r="G58" s="1191">
        <f t="shared" si="48"/>
        <v>-0.40615835777126108</v>
      </c>
      <c r="H58" s="1191">
        <f t="shared" si="48"/>
        <v>0.45339779275388392</v>
      </c>
      <c r="I58" s="1191">
        <f t="shared" si="48"/>
        <v>-0.19719116667996306</v>
      </c>
      <c r="J58" s="1191">
        <f t="shared" si="48"/>
        <v>1.3023938304360216E-2</v>
      </c>
      <c r="K58" s="1191">
        <f t="shared" si="48"/>
        <v>0.43598267608691432</v>
      </c>
      <c r="L58" s="1191">
        <f t="shared" si="48"/>
        <v>0.17103174603174609</v>
      </c>
      <c r="M58" s="1191">
        <f t="shared" si="48"/>
        <v>0.15456536504671692</v>
      </c>
      <c r="N58" s="2176">
        <f t="shared" si="48"/>
        <v>-6.2540951294719149E-2</v>
      </c>
      <c r="O58" s="1191">
        <f>O37/O13-1</f>
        <v>0.51091501492034874</v>
      </c>
      <c r="P58" s="1191">
        <f>P37/P13-1</f>
        <v>0.78571428571428537</v>
      </c>
      <c r="Q58" s="1191">
        <f>Q37/Q13-1</f>
        <v>0.50767747581961098</v>
      </c>
      <c r="R58" s="1191">
        <f>R37/R13-1</f>
        <v>0.48761997687107872</v>
      </c>
      <c r="S58" s="1191">
        <f>S37/S13-1</f>
        <v>0.78571428571428537</v>
      </c>
      <c r="T58" s="1191"/>
      <c r="U58" s="1191"/>
      <c r="V58" s="2176">
        <f>V37/V13-1</f>
        <v>0.52135676520660135</v>
      </c>
      <c r="W58" s="2176">
        <f>W37/W13-1</f>
        <v>2.9727687277259385E-2</v>
      </c>
    </row>
    <row r="59" spans="2:23">
      <c r="B59" s="22" t="s">
        <v>905</v>
      </c>
      <c r="C59" s="1191"/>
      <c r="D59" s="1191"/>
      <c r="E59" s="1191"/>
      <c r="F59" s="1191"/>
      <c r="G59" s="1191"/>
      <c r="H59" s="1191"/>
      <c r="I59" s="1191"/>
      <c r="J59" s="1191"/>
      <c r="K59" s="1191"/>
      <c r="L59" s="1191"/>
      <c r="M59" s="1191"/>
      <c r="N59" s="2176"/>
      <c r="O59" s="1191"/>
      <c r="P59" s="1191"/>
      <c r="Q59" s="1191"/>
      <c r="R59" s="1191"/>
      <c r="S59" s="1191"/>
      <c r="T59" s="1191"/>
      <c r="U59" s="1191"/>
      <c r="V59" s="2176"/>
      <c r="W59" s="2176"/>
    </row>
    <row r="60" spans="2:23">
      <c r="B60" s="1159" t="s">
        <v>11</v>
      </c>
      <c r="C60" s="1192">
        <f t="shared" ref="C60:W60" si="49">C39/C15-1</f>
        <v>-0.22035139092240119</v>
      </c>
      <c r="D60" s="1192">
        <f t="shared" si="49"/>
        <v>0.55093652039565932</v>
      </c>
      <c r="E60" s="1192">
        <f t="shared" si="49"/>
        <v>-0.24280246650202952</v>
      </c>
      <c r="F60" s="1192">
        <f t="shared" si="49"/>
        <v>-0.40084304589403585</v>
      </c>
      <c r="G60" s="1192">
        <f t="shared" si="49"/>
        <v>0.10486105057437811</v>
      </c>
      <c r="H60" s="1192">
        <f t="shared" si="49"/>
        <v>0.11047503076702925</v>
      </c>
      <c r="I60" s="1192">
        <f t="shared" si="49"/>
        <v>-9.2978185636641841E-3</v>
      </c>
      <c r="J60" s="1192">
        <f t="shared" si="49"/>
        <v>-4.7894419993154136E-2</v>
      </c>
      <c r="K60" s="1192">
        <f t="shared" si="49"/>
        <v>0.10279663141469597</v>
      </c>
      <c r="L60" s="1192">
        <f t="shared" si="49"/>
        <v>-2.3054755043227626E-2</v>
      </c>
      <c r="M60" s="1192">
        <f t="shared" si="49"/>
        <v>-3.5669571219144047E-2</v>
      </c>
      <c r="N60" s="2177">
        <f t="shared" si="49"/>
        <v>-5.7541320588760048E-2</v>
      </c>
      <c r="O60" s="1192">
        <f t="shared" si="49"/>
        <v>0.46929813849490998</v>
      </c>
      <c r="P60" s="1192">
        <f t="shared" si="49"/>
        <v>0.71313777650657784</v>
      </c>
      <c r="Q60" s="1192">
        <f t="shared" si="49"/>
        <v>0.46367691220418106</v>
      </c>
      <c r="R60" s="1192">
        <f t="shared" si="49"/>
        <v>0.44359561793780955</v>
      </c>
      <c r="S60" s="1192">
        <f t="shared" si="49"/>
        <v>0.69846542717997906</v>
      </c>
      <c r="T60" s="1192">
        <f t="shared" si="49"/>
        <v>-0.16923076923076941</v>
      </c>
      <c r="U60" s="1192">
        <f t="shared" si="49"/>
        <v>-0.16923076923076918</v>
      </c>
      <c r="V60" s="2177">
        <f t="shared" si="49"/>
        <v>0.468208192891439</v>
      </c>
      <c r="W60" s="2177">
        <f t="shared" si="49"/>
        <v>-3.0155186992158578E-2</v>
      </c>
    </row>
    <row r="61" spans="2:23">
      <c r="B61" s="2174" t="s">
        <v>112</v>
      </c>
      <c r="C61" s="2174">
        <f t="shared" ref="C61:V61" si="50">C40/C16-1</f>
        <v>5.5131800336511549E-2</v>
      </c>
      <c r="D61" s="2174">
        <f t="shared" si="50"/>
        <v>0.41928026216441561</v>
      </c>
      <c r="E61" s="2174">
        <f t="shared" si="50"/>
        <v>-9.1867120294575111E-2</v>
      </c>
      <c r="F61" s="2174">
        <f t="shared" si="50"/>
        <v>-0.26207558669161657</v>
      </c>
      <c r="G61" s="2174">
        <f t="shared" si="50"/>
        <v>0.18173214125143411</v>
      </c>
      <c r="H61" s="2174">
        <f t="shared" si="50"/>
        <v>0.11897210026383487</v>
      </c>
      <c r="I61" s="2174">
        <f t="shared" si="50"/>
        <v>4.8924427675646864E-2</v>
      </c>
      <c r="J61" s="2174">
        <f t="shared" si="50"/>
        <v>5.0409169857342118E-2</v>
      </c>
      <c r="K61" s="2174">
        <f t="shared" si="50"/>
        <v>0.16164461581178835</v>
      </c>
      <c r="L61" s="2174">
        <f t="shared" si="50"/>
        <v>5.1063022019741888E-2</v>
      </c>
      <c r="M61" s="2174">
        <f t="shared" si="50"/>
        <v>2.2967398773683811E-2</v>
      </c>
      <c r="N61" s="2178">
        <f t="shared" si="50"/>
        <v>5.4891167015598263E-2</v>
      </c>
      <c r="O61" s="2174">
        <f t="shared" si="50"/>
        <v>0.23618597035514122</v>
      </c>
      <c r="P61" s="2174">
        <f t="shared" si="50"/>
        <v>0.29388699260989659</v>
      </c>
      <c r="Q61" s="2174">
        <f t="shared" si="50"/>
        <v>0.3448232637763422</v>
      </c>
      <c r="R61" s="2174">
        <f t="shared" si="50"/>
        <v>0.33973459424108676</v>
      </c>
      <c r="S61" s="2174">
        <f t="shared" si="50"/>
        <v>0.63866936399429597</v>
      </c>
      <c r="T61" s="2174">
        <f t="shared" si="50"/>
        <v>0.35979585002379944</v>
      </c>
      <c r="U61" s="2174">
        <f t="shared" si="50"/>
        <v>0.28664495114006505</v>
      </c>
      <c r="V61" s="2178">
        <f t="shared" si="50"/>
        <v>0.33724451899219021</v>
      </c>
      <c r="W61" s="2178">
        <f>W40/W16-1</f>
        <v>7.8285042480555012E-2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22">
    <tabColor theme="7" tint="0.79998168889431442"/>
  </sheetPr>
  <dimension ref="A2:W90"/>
  <sheetViews>
    <sheetView tabSelected="1" topLeftCell="A16" zoomScale="85" zoomScaleNormal="85" zoomScaleSheetLayoutView="85" workbookViewId="0">
      <selection activeCell="G30" sqref="G30"/>
    </sheetView>
  </sheetViews>
  <sheetFormatPr baseColWidth="10" defaultColWidth="11" defaultRowHeight="13.15" customHeight="1"/>
  <cols>
    <col min="1" max="1" width="1.25" style="38" customWidth="1"/>
    <col min="2" max="2" width="32" style="38" bestFit="1" customWidth="1"/>
    <col min="3" max="4" width="4.25" style="1486" hidden="1" customWidth="1"/>
    <col min="5" max="8" width="13.75" style="38" customWidth="1"/>
    <col min="9" max="9" width="1.25" style="38" customWidth="1"/>
    <col min="10" max="11" width="12.25" style="38" bestFit="1" customWidth="1"/>
    <col min="12" max="12" width="12.875" style="38" bestFit="1" customWidth="1"/>
    <col min="13" max="13" width="12.5" style="38" customWidth="1"/>
    <col min="14" max="14" width="1.25" style="38" customWidth="1"/>
    <col min="15" max="17" width="11.375" style="38" bestFit="1" customWidth="1"/>
    <col min="18" max="18" width="12.5" style="38" customWidth="1"/>
    <col min="19" max="19" width="1.25" style="38" customWidth="1"/>
    <col min="20" max="23" width="6.75" style="38" bestFit="1" customWidth="1"/>
    <col min="24" max="39" width="11" style="38"/>
    <col min="40" max="43" width="11" style="38" customWidth="1"/>
    <col min="44" max="16384" width="11" style="38"/>
  </cols>
  <sheetData>
    <row r="2" spans="2:23" s="246" customFormat="1" ht="13.15" customHeight="1">
      <c r="B2" s="275" t="s">
        <v>1650</v>
      </c>
      <c r="C2" s="1474" t="s">
        <v>487</v>
      </c>
      <c r="D2" s="1474"/>
      <c r="E2" s="1440" t="s">
        <v>1651</v>
      </c>
      <c r="F2" s="1440"/>
      <c r="G2" s="1440"/>
      <c r="H2" s="1440"/>
      <c r="J2" s="1440" t="s">
        <v>1649</v>
      </c>
      <c r="K2" s="1440"/>
      <c r="L2" s="1440"/>
      <c r="M2" s="1440"/>
      <c r="O2" s="1440" t="s">
        <v>1648</v>
      </c>
      <c r="P2" s="1440"/>
      <c r="Q2" s="1440"/>
      <c r="R2" s="1440"/>
    </row>
    <row r="3" spans="2:23" ht="13.15" customHeight="1">
      <c r="B3" s="1441" t="s">
        <v>1036</v>
      </c>
      <c r="C3" s="1475" t="s">
        <v>787</v>
      </c>
      <c r="D3" s="1475" t="s">
        <v>788</v>
      </c>
      <c r="E3" s="1442" t="s">
        <v>479</v>
      </c>
      <c r="F3" s="1442" t="s">
        <v>478</v>
      </c>
      <c r="G3" s="1442" t="s">
        <v>716</v>
      </c>
      <c r="H3" s="1442" t="s">
        <v>789</v>
      </c>
      <c r="J3" s="1442" t="s">
        <v>479</v>
      </c>
      <c r="K3" s="1442" t="s">
        <v>478</v>
      </c>
      <c r="L3" s="1442" t="s">
        <v>716</v>
      </c>
      <c r="M3" s="1442" t="s">
        <v>789</v>
      </c>
      <c r="O3" s="1442" t="s">
        <v>479</v>
      </c>
      <c r="P3" s="1442" t="s">
        <v>478</v>
      </c>
      <c r="Q3" s="1442" t="s">
        <v>716</v>
      </c>
      <c r="R3" s="1442" t="s">
        <v>789</v>
      </c>
    </row>
    <row r="4" spans="2:23" s="448" customFormat="1" ht="13.15" customHeight="1">
      <c r="B4" s="448" t="s">
        <v>12</v>
      </c>
      <c r="C4" s="1476" t="s">
        <v>330</v>
      </c>
      <c r="D4" s="1476" t="s">
        <v>17</v>
      </c>
      <c r="E4" s="1443">
        <f>E19/J$67</f>
        <v>1.1858816350206559E-2</v>
      </c>
      <c r="F4" s="1443">
        <f>F19/K$67</f>
        <v>1.375193338686813E-2</v>
      </c>
      <c r="G4" s="1443">
        <f t="shared" ref="G4:G15" si="0">F4-E4</f>
        <v>1.8931170366615711E-3</v>
      </c>
      <c r="H4" s="1444">
        <f t="shared" ref="H4:H15" si="1">F4/E4-1</f>
        <v>0.1596379419965126</v>
      </c>
      <c r="I4" s="38"/>
      <c r="J4" s="1443">
        <f t="shared" ref="J4:K6" si="2">J19/J$65</f>
        <v>1.4266945618986313E-2</v>
      </c>
      <c r="K4" s="1443">
        <f t="shared" si="2"/>
        <v>1.6605418448368721E-2</v>
      </c>
      <c r="L4" s="1443">
        <f t="shared" ref="L4:L15" si="3">K4-J4</f>
        <v>2.3384728293824077E-3</v>
      </c>
      <c r="M4" s="1444">
        <f t="shared" ref="M4:M15" si="4">K4/J4-1</f>
        <v>0.16390844206137523</v>
      </c>
      <c r="N4" s="38"/>
      <c r="O4" s="1443">
        <f t="shared" ref="O4:P6" si="5">O19/J$66</f>
        <v>3.4015153981008825E-3</v>
      </c>
      <c r="P4" s="1443">
        <f t="shared" si="5"/>
        <v>3.7305519600824969E-3</v>
      </c>
      <c r="Q4" s="1443">
        <f t="shared" ref="Q4:Q15" si="6">P4-O4</f>
        <v>3.2903656198161445E-4</v>
      </c>
      <c r="R4" s="1444">
        <f t="shared" ref="R4:R9" si="7">P4/O4-1</f>
        <v>9.6732345285081012E-2</v>
      </c>
      <c r="S4" s="38"/>
      <c r="T4" s="1443">
        <f t="shared" ref="T4:T14" si="8">J4</f>
        <v>1.4266945618986313E-2</v>
      </c>
      <c r="U4" s="1443">
        <f t="shared" ref="U4:U14" si="9">K4</f>
        <v>1.6605418448368721E-2</v>
      </c>
      <c r="V4" s="1443">
        <f>O4</f>
        <v>3.4015153981008825E-3</v>
      </c>
      <c r="W4" s="1443">
        <f>P4</f>
        <v>3.7305519600824969E-3</v>
      </c>
    </row>
    <row r="5" spans="2:23" s="448" customFormat="1" ht="13.15" customHeight="1">
      <c r="B5" s="448" t="s">
        <v>9</v>
      </c>
      <c r="C5" s="1476" t="s">
        <v>331</v>
      </c>
      <c r="D5" s="1476" t="s">
        <v>18</v>
      </c>
      <c r="E5" s="1443">
        <f t="shared" ref="E5:F5" si="10">E20/J$67</f>
        <v>2.7117015566318257E-2</v>
      </c>
      <c r="F5" s="1443">
        <f t="shared" si="10"/>
        <v>3.1252218237211325E-2</v>
      </c>
      <c r="G5" s="1443">
        <f t="shared" si="0"/>
        <v>4.1352026708930678E-3</v>
      </c>
      <c r="H5" s="1444">
        <f t="shared" si="1"/>
        <v>0.15249475595055362</v>
      </c>
      <c r="I5" s="38"/>
      <c r="J5" s="1443">
        <f t="shared" si="2"/>
        <v>2.9302076507898539E-2</v>
      </c>
      <c r="K5" s="1443">
        <f t="shared" si="2"/>
        <v>3.393677794434919E-2</v>
      </c>
      <c r="L5" s="1443">
        <f t="shared" si="3"/>
        <v>4.6347014364506514E-3</v>
      </c>
      <c r="M5" s="1444">
        <f t="shared" si="4"/>
        <v>0.15816972681787056</v>
      </c>
      <c r="N5" s="38"/>
      <c r="O5" s="1443">
        <f t="shared" si="5"/>
        <v>1.9443126036708464E-2</v>
      </c>
      <c r="P5" s="1443">
        <f t="shared" si="5"/>
        <v>2.1824099214902269E-2</v>
      </c>
      <c r="Q5" s="1443">
        <f t="shared" si="6"/>
        <v>2.380973178193805E-3</v>
      </c>
      <c r="R5" s="1444">
        <f t="shared" si="7"/>
        <v>0.12245835230911672</v>
      </c>
      <c r="S5" s="38"/>
      <c r="T5" s="1443">
        <f t="shared" si="8"/>
        <v>2.9302076507898539E-2</v>
      </c>
      <c r="U5" s="1443">
        <f t="shared" si="9"/>
        <v>3.393677794434919E-2</v>
      </c>
      <c r="V5" s="1443">
        <f t="shared" ref="V5:V14" si="11">O5</f>
        <v>1.9443126036708464E-2</v>
      </c>
      <c r="W5" s="1443">
        <f t="shared" ref="W5:W14" si="12">P5</f>
        <v>2.1824099214902269E-2</v>
      </c>
    </row>
    <row r="6" spans="2:23" s="448" customFormat="1" ht="13.15" customHeight="1">
      <c r="B6" s="448" t="s">
        <v>309</v>
      </c>
      <c r="C6" s="1476" t="s">
        <v>178</v>
      </c>
      <c r="D6" s="1476" t="s">
        <v>177</v>
      </c>
      <c r="E6" s="1443">
        <f t="shared" ref="E6:F6" si="13">E21/J$67</f>
        <v>1.0872798801491838E-3</v>
      </c>
      <c r="F6" s="1443">
        <f t="shared" si="13"/>
        <v>2.3181137185024608E-3</v>
      </c>
      <c r="G6" s="1443">
        <f t="shared" si="0"/>
        <v>1.230833838353277E-3</v>
      </c>
      <c r="H6" s="1444">
        <f t="shared" si="1"/>
        <v>1.1320303638695091</v>
      </c>
      <c r="J6" s="1443">
        <f t="shared" si="2"/>
        <v>1.077963163298625E-3</v>
      </c>
      <c r="K6" s="1443">
        <f t="shared" si="2"/>
        <v>2.3147292223690873E-3</v>
      </c>
      <c r="L6" s="1443">
        <f t="shared" si="3"/>
        <v>1.2367660590704623E-3</v>
      </c>
      <c r="M6" s="1444">
        <f t="shared" si="4"/>
        <v>1.147317553306638</v>
      </c>
      <c r="O6" s="1443">
        <f t="shared" si="5"/>
        <v>1.1200000000000001E-3</v>
      </c>
      <c r="P6" s="1443">
        <f t="shared" si="5"/>
        <v>2.3299999999999996E-3</v>
      </c>
      <c r="Q6" s="1443">
        <f t="shared" si="6"/>
        <v>1.2099999999999995E-3</v>
      </c>
      <c r="R6" s="1444">
        <f t="shared" si="7"/>
        <v>1.0803571428571423</v>
      </c>
      <c r="S6" s="38"/>
      <c r="T6" s="1443">
        <f t="shared" si="8"/>
        <v>1.077963163298625E-3</v>
      </c>
      <c r="U6" s="1443">
        <f t="shared" si="9"/>
        <v>2.3147292223690873E-3</v>
      </c>
      <c r="V6" s="1443">
        <f t="shared" si="11"/>
        <v>1.1200000000000001E-3</v>
      </c>
      <c r="W6" s="1443">
        <f t="shared" si="12"/>
        <v>2.3299999999999996E-3</v>
      </c>
    </row>
    <row r="7" spans="2:23" s="448" customFormat="1" ht="13.15" customHeight="1">
      <c r="B7" s="1445" t="s">
        <v>1246</v>
      </c>
      <c r="C7" s="1477"/>
      <c r="D7" s="1477"/>
      <c r="E7" s="1446">
        <f t="shared" ref="E7:F7" si="14">E22/J$67</f>
        <v>4.0063111796674003E-2</v>
      </c>
      <c r="F7" s="1446">
        <f t="shared" si="14"/>
        <v>4.7322265342581916E-2</v>
      </c>
      <c r="G7" s="1446">
        <f t="shared" si="0"/>
        <v>7.2591535459079135E-3</v>
      </c>
      <c r="H7" s="1447">
        <f t="shared" si="1"/>
        <v>0.18119295332696939</v>
      </c>
      <c r="J7" s="1446">
        <f>SUM(J4:J6)</f>
        <v>4.4646985290183475E-2</v>
      </c>
      <c r="K7" s="1446">
        <f>SUM(K4:K6)</f>
        <v>5.2856925615087001E-2</v>
      </c>
      <c r="L7" s="1446">
        <f t="shared" si="3"/>
        <v>8.2099403249035266E-3</v>
      </c>
      <c r="M7" s="1447">
        <f t="shared" si="4"/>
        <v>0.18388565927896239</v>
      </c>
      <c r="O7" s="1446">
        <f>SUM(O4:O6)</f>
        <v>2.3964641434809347E-2</v>
      </c>
      <c r="P7" s="1446">
        <f>SUM(P4:P6)</f>
        <v>2.7884651174984766E-2</v>
      </c>
      <c r="Q7" s="1446">
        <f t="shared" si="6"/>
        <v>3.9200097401754196E-3</v>
      </c>
      <c r="R7" s="1447">
        <f t="shared" si="7"/>
        <v>0.16357472949632745</v>
      </c>
      <c r="S7" s="38"/>
      <c r="T7" s="1443">
        <f t="shared" si="8"/>
        <v>4.4646985290183475E-2</v>
      </c>
      <c r="U7" s="1443">
        <f t="shared" si="9"/>
        <v>5.2856925615087001E-2</v>
      </c>
      <c r="V7" s="1443">
        <f t="shared" si="11"/>
        <v>2.3964641434809347E-2</v>
      </c>
      <c r="W7" s="1443">
        <f t="shared" si="12"/>
        <v>2.7884651174984766E-2</v>
      </c>
    </row>
    <row r="8" spans="2:23" s="448" customFormat="1" ht="13.15" customHeight="1">
      <c r="B8" s="1445" t="s">
        <v>239</v>
      </c>
      <c r="C8" s="1477" t="s">
        <v>332</v>
      </c>
      <c r="D8" s="1477" t="s">
        <v>19</v>
      </c>
      <c r="E8" s="1446">
        <f t="shared" ref="E8:F8" si="15">E23/J$67</f>
        <v>1.0998375138310403E-2</v>
      </c>
      <c r="F8" s="1446">
        <f t="shared" si="15"/>
        <v>1.4796647520970889E-2</v>
      </c>
      <c r="G8" s="1446">
        <f t="shared" si="0"/>
        <v>3.7982723826604867E-3</v>
      </c>
      <c r="H8" s="1447">
        <f t="shared" si="1"/>
        <v>0.34534850238286996</v>
      </c>
      <c r="J8" s="1446">
        <f t="shared" ref="J8:K10" si="16">J23/J$65</f>
        <v>1.1735390521190554E-2</v>
      </c>
      <c r="K8" s="1446">
        <f t="shared" si="16"/>
        <v>1.5889158448003378E-2</v>
      </c>
      <c r="L8" s="1446">
        <f t="shared" si="3"/>
        <v>4.1537679268128236E-3</v>
      </c>
      <c r="M8" s="1447">
        <f t="shared" si="4"/>
        <v>0.35395225402276798</v>
      </c>
      <c r="O8" s="1446">
        <f t="shared" ref="O8:P10" si="17">O23/J$66</f>
        <v>8.4099921224321493E-3</v>
      </c>
      <c r="P8" s="1446">
        <f t="shared" si="17"/>
        <v>1.0959771393444876E-2</v>
      </c>
      <c r="Q8" s="1446">
        <f t="shared" si="6"/>
        <v>2.5497792710127264E-3</v>
      </c>
      <c r="R8" s="1447">
        <f t="shared" si="7"/>
        <v>0.30318450170858613</v>
      </c>
      <c r="S8" s="38"/>
      <c r="T8" s="1443">
        <f t="shared" si="8"/>
        <v>1.1735390521190554E-2</v>
      </c>
      <c r="U8" s="1443">
        <f t="shared" si="9"/>
        <v>1.5889158448003378E-2</v>
      </c>
      <c r="V8" s="1443">
        <f t="shared" si="11"/>
        <v>8.4099921224321493E-3</v>
      </c>
      <c r="W8" s="1443">
        <f>P8</f>
        <v>1.0959771393444876E-2</v>
      </c>
    </row>
    <row r="9" spans="2:23" s="448" customFormat="1" ht="13.15" customHeight="1">
      <c r="B9" s="448" t="s">
        <v>237</v>
      </c>
      <c r="C9" s="1476" t="s">
        <v>168</v>
      </c>
      <c r="D9" s="1476" t="s">
        <v>20</v>
      </c>
      <c r="E9" s="1443">
        <f t="shared" ref="E9:F9" si="18">E24/J$67</f>
        <v>4.301725815262245E-3</v>
      </c>
      <c r="F9" s="1443">
        <f t="shared" si="18"/>
        <v>7.0249634538811388E-3</v>
      </c>
      <c r="G9" s="1443">
        <f t="shared" si="0"/>
        <v>2.7232376386188938E-3</v>
      </c>
      <c r="H9" s="1444">
        <f t="shared" si="1"/>
        <v>0.63305699981087193</v>
      </c>
      <c r="J9" s="1443">
        <f t="shared" si="16"/>
        <v>4.2898286457693493E-3</v>
      </c>
      <c r="K9" s="1443">
        <f t="shared" si="16"/>
        <v>7.0496015705979473E-3</v>
      </c>
      <c r="L9" s="1443">
        <f t="shared" si="3"/>
        <v>2.759772924828598E-3</v>
      </c>
      <c r="M9" s="1444">
        <f t="shared" si="4"/>
        <v>0.64332940840196495</v>
      </c>
      <c r="O9" s="1443">
        <f t="shared" si="17"/>
        <v>4.3435084322438564E-3</v>
      </c>
      <c r="P9" s="1443">
        <f t="shared" si="17"/>
        <v>6.9384348897095233E-3</v>
      </c>
      <c r="Q9" s="1443">
        <f t="shared" si="6"/>
        <v>2.5949264574656669E-3</v>
      </c>
      <c r="R9" s="1444">
        <f t="shared" si="7"/>
        <v>0.59742636579276254</v>
      </c>
      <c r="S9" s="38"/>
      <c r="T9" s="1443">
        <f t="shared" si="8"/>
        <v>4.2898286457693493E-3</v>
      </c>
      <c r="U9" s="1443">
        <f t="shared" si="9"/>
        <v>7.0496015705979473E-3</v>
      </c>
      <c r="V9" s="1443">
        <f t="shared" si="11"/>
        <v>4.3435084322438564E-3</v>
      </c>
      <c r="W9" s="1443">
        <f t="shared" si="12"/>
        <v>6.9384348897095233E-3</v>
      </c>
    </row>
    <row r="10" spans="2:23" s="448" customFormat="1" ht="13.15" customHeight="1">
      <c r="B10" s="448" t="s">
        <v>238</v>
      </c>
      <c r="C10" s="1476" t="s">
        <v>169</v>
      </c>
      <c r="D10" s="1476" t="s">
        <v>22</v>
      </c>
      <c r="E10" s="1443">
        <f t="shared" ref="E10:F10" si="19">E25/J$67</f>
        <v>2.8293003647130383E-3</v>
      </c>
      <c r="F10" s="1443">
        <f t="shared" si="19"/>
        <v>5.2947431495934828E-3</v>
      </c>
      <c r="G10" s="1443">
        <f t="shared" si="0"/>
        <v>2.4654427848804445E-3</v>
      </c>
      <c r="H10" s="1444">
        <f t="shared" si="1"/>
        <v>0.87139662357146097</v>
      </c>
      <c r="J10" s="1443">
        <f t="shared" si="16"/>
        <v>3.6349144793128428E-3</v>
      </c>
      <c r="K10" s="1443">
        <f t="shared" si="16"/>
        <v>6.8023666835570684E-3</v>
      </c>
      <c r="L10" s="1443">
        <f t="shared" si="3"/>
        <v>3.1674522042442256E-3</v>
      </c>
      <c r="M10" s="1444">
        <f t="shared" si="4"/>
        <v>0.87139662357146075</v>
      </c>
      <c r="O10" s="1443">
        <f t="shared" si="17"/>
        <v>0</v>
      </c>
      <c r="P10" s="1443">
        <f t="shared" si="17"/>
        <v>0</v>
      </c>
      <c r="Q10" s="1443">
        <f t="shared" si="6"/>
        <v>0</v>
      </c>
      <c r="R10" s="1448"/>
      <c r="S10" s="38"/>
      <c r="T10" s="1443">
        <f t="shared" si="8"/>
        <v>3.6349144793128428E-3</v>
      </c>
      <c r="U10" s="1443">
        <f t="shared" si="9"/>
        <v>6.8023666835570684E-3</v>
      </c>
      <c r="V10" s="1443">
        <f t="shared" si="11"/>
        <v>0</v>
      </c>
      <c r="W10" s="1443">
        <f t="shared" si="12"/>
        <v>0</v>
      </c>
    </row>
    <row r="11" spans="2:23" s="448" customFormat="1" ht="13.15" customHeight="1">
      <c r="B11" s="1445" t="s">
        <v>240</v>
      </c>
      <c r="C11" s="1477"/>
      <c r="D11" s="1477"/>
      <c r="E11" s="1446">
        <f t="shared" ref="E11:F11" si="20">E26/J$67</f>
        <v>7.1310261799752833E-3</v>
      </c>
      <c r="F11" s="1446">
        <f t="shared" si="20"/>
        <v>1.2319706603474621E-2</v>
      </c>
      <c r="G11" s="1446">
        <f t="shared" si="0"/>
        <v>5.1886804234993374E-3</v>
      </c>
      <c r="H11" s="1447">
        <f t="shared" si="1"/>
        <v>0.72762044235228451</v>
      </c>
      <c r="J11" s="1446">
        <f>SUM(J9:J10)</f>
        <v>7.9247431250821926E-3</v>
      </c>
      <c r="K11" s="1446">
        <f>SUM(K9:K10)</f>
        <v>1.3851968254155016E-2</v>
      </c>
      <c r="L11" s="1446">
        <f t="shared" si="3"/>
        <v>5.9272251290728231E-3</v>
      </c>
      <c r="M11" s="1447">
        <f t="shared" si="4"/>
        <v>0.74793908591344382</v>
      </c>
      <c r="O11" s="1446">
        <f>SUM(O9:O10)</f>
        <v>4.3435084322438564E-3</v>
      </c>
      <c r="P11" s="1446">
        <f>SUM(P9:P10)</f>
        <v>6.9384348897095233E-3</v>
      </c>
      <c r="Q11" s="1446">
        <f t="shared" si="6"/>
        <v>2.5949264574656669E-3</v>
      </c>
      <c r="R11" s="1447">
        <f>P11/O11-1</f>
        <v>0.59742636579276254</v>
      </c>
      <c r="S11" s="38"/>
      <c r="T11" s="1443">
        <f t="shared" si="8"/>
        <v>7.9247431250821926E-3</v>
      </c>
      <c r="U11" s="1443">
        <f t="shared" si="9"/>
        <v>1.3851968254155016E-2</v>
      </c>
      <c r="V11" s="1443">
        <f t="shared" si="11"/>
        <v>4.3435084322438564E-3</v>
      </c>
      <c r="W11" s="1443">
        <f t="shared" si="12"/>
        <v>6.9384348897095233E-3</v>
      </c>
    </row>
    <row r="12" spans="2:23" s="448" customFormat="1" ht="13.15" customHeight="1">
      <c r="B12" s="448" t="s">
        <v>1085</v>
      </c>
      <c r="C12" s="1476" t="s">
        <v>170</v>
      </c>
      <c r="D12" s="1476" t="s">
        <v>21</v>
      </c>
      <c r="E12" s="1443">
        <f t="shared" ref="E12:F12" si="21">E27/J$67</f>
        <v>1.9091337405186229E-3</v>
      </c>
      <c r="F12" s="1443">
        <f t="shared" si="21"/>
        <v>1.6122109094422253E-3</v>
      </c>
      <c r="G12" s="1443">
        <f t="shared" si="0"/>
        <v>-2.9692283107639762E-4</v>
      </c>
      <c r="H12" s="1444">
        <f t="shared" si="1"/>
        <v>-0.15552751741516935</v>
      </c>
      <c r="J12" s="1443">
        <f>J27/J$65</f>
        <v>1.8974974943781627E-3</v>
      </c>
      <c r="K12" s="1443">
        <f>K27/K$65</f>
        <v>1.6099930461953604E-3</v>
      </c>
      <c r="L12" s="1443">
        <f t="shared" si="3"/>
        <v>-2.8750444818280234E-4</v>
      </c>
      <c r="M12" s="1444">
        <f t="shared" si="4"/>
        <v>-0.1515176958254808</v>
      </c>
      <c r="O12" s="1443">
        <f>O27/J$66</f>
        <v>1.9500000000000001E-3</v>
      </c>
      <c r="P12" s="1443">
        <f>P27/K$66</f>
        <v>1.6199999999999999E-3</v>
      </c>
      <c r="Q12" s="1443">
        <f t="shared" si="6"/>
        <v>-3.3000000000000022E-4</v>
      </c>
      <c r="R12" s="1444">
        <f>P12/O12-1</f>
        <v>-0.1692307692307693</v>
      </c>
      <c r="S12" s="38"/>
      <c r="T12" s="1443">
        <f t="shared" si="8"/>
        <v>1.8974974943781627E-3</v>
      </c>
      <c r="U12" s="1443">
        <f t="shared" si="9"/>
        <v>1.6099930461953604E-3</v>
      </c>
      <c r="V12" s="1443">
        <f t="shared" si="11"/>
        <v>1.9500000000000001E-3</v>
      </c>
      <c r="W12" s="1443">
        <f t="shared" si="12"/>
        <v>1.6199999999999999E-3</v>
      </c>
    </row>
    <row r="13" spans="2:23" s="448" customFormat="1" ht="13.15" customHeight="1">
      <c r="B13" s="448" t="s">
        <v>11</v>
      </c>
      <c r="C13" s="1476" t="s">
        <v>170</v>
      </c>
      <c r="D13" s="1476" t="s">
        <v>21</v>
      </c>
      <c r="E13" s="1443">
        <f t="shared" ref="E13:F13" si="22">E28/J$67</f>
        <v>0.10589682579735281</v>
      </c>
      <c r="F13" s="1443">
        <f t="shared" si="22"/>
        <v>0.10294283975969562</v>
      </c>
      <c r="G13" s="1443">
        <f t="shared" si="0"/>
        <v>-2.9539860376571886E-3</v>
      </c>
      <c r="H13" s="1444">
        <f t="shared" si="1"/>
        <v>-2.7894944115794518E-2</v>
      </c>
      <c r="J13" s="1443">
        <f>J28/J$65</f>
        <v>0.12939053934866682</v>
      </c>
      <c r="K13" s="1443">
        <f>K28/K$65</f>
        <v>0.12212355677939501</v>
      </c>
      <c r="L13" s="1443">
        <f t="shared" si="3"/>
        <v>-7.2669825692718015E-3</v>
      </c>
      <c r="M13" s="1444">
        <f t="shared" si="4"/>
        <v>-5.6163167769859634E-2</v>
      </c>
      <c r="O13" s="1443">
        <f>O28/J$66</f>
        <v>2.3387382237992846E-2</v>
      </c>
      <c r="P13" s="1443">
        <f>P28/K$66</f>
        <v>3.5580552188243124E-2</v>
      </c>
      <c r="Q13" s="1443">
        <f t="shared" si="6"/>
        <v>1.2193169950250278E-2</v>
      </c>
      <c r="R13" s="1444">
        <f>P13/O13-1</f>
        <v>0.52135676520660157</v>
      </c>
      <c r="S13" s="38"/>
      <c r="T13" s="1443">
        <f t="shared" si="8"/>
        <v>0.12939053934866682</v>
      </c>
      <c r="U13" s="1443">
        <f t="shared" si="9"/>
        <v>0.12212355677939501</v>
      </c>
      <c r="V13" s="1443">
        <f t="shared" si="11"/>
        <v>2.3387382237992846E-2</v>
      </c>
      <c r="W13" s="1443">
        <f t="shared" si="12"/>
        <v>3.5580552188243124E-2</v>
      </c>
    </row>
    <row r="14" spans="2:23" s="448" customFormat="1" ht="13.15" customHeight="1">
      <c r="B14" s="1445" t="s">
        <v>241</v>
      </c>
      <c r="C14" s="1477"/>
      <c r="D14" s="1477"/>
      <c r="E14" s="1446">
        <f t="shared" ref="E14:F14" si="23">E29/J$67</f>
        <v>0.10780595953787143</v>
      </c>
      <c r="F14" s="1446">
        <f t="shared" si="23"/>
        <v>0.10455505066913784</v>
      </c>
      <c r="G14" s="1446">
        <f t="shared" si="0"/>
        <v>-3.2509088687335957E-3</v>
      </c>
      <c r="H14" s="1447">
        <f t="shared" si="1"/>
        <v>-3.0155186992158578E-2</v>
      </c>
      <c r="J14" s="1446">
        <f>SUM(J12:J13)</f>
        <v>0.13128803684304499</v>
      </c>
      <c r="K14" s="1446">
        <f>SUM(K12:K13)</f>
        <v>0.12373354982559037</v>
      </c>
      <c r="L14" s="1446">
        <f t="shared" si="3"/>
        <v>-7.5544870174546197E-3</v>
      </c>
      <c r="M14" s="1447">
        <f t="shared" si="4"/>
        <v>-5.754132058876027E-2</v>
      </c>
      <c r="O14" s="1446">
        <f>SUM(O12:O13)</f>
        <v>2.5337382237992846E-2</v>
      </c>
      <c r="P14" s="1446">
        <f>SUM(P12:P13)</f>
        <v>3.7200552188243127E-2</v>
      </c>
      <c r="Q14" s="1446">
        <f t="shared" si="6"/>
        <v>1.1863169950250281E-2</v>
      </c>
      <c r="R14" s="1447">
        <f>P14/O14-1</f>
        <v>0.46820819289143922</v>
      </c>
      <c r="S14" s="38"/>
      <c r="T14" s="1443">
        <f t="shared" si="8"/>
        <v>0.13128803684304499</v>
      </c>
      <c r="U14" s="1443">
        <f t="shared" si="9"/>
        <v>0.12373354982559037</v>
      </c>
      <c r="V14" s="1443">
        <f t="shared" si="11"/>
        <v>2.5337382237992846E-2</v>
      </c>
      <c r="W14" s="1443">
        <f t="shared" si="12"/>
        <v>3.7200552188243127E-2</v>
      </c>
    </row>
    <row r="15" spans="2:23" s="448" customFormat="1" ht="13.15" customHeight="1">
      <c r="B15" s="1441" t="s">
        <v>935</v>
      </c>
      <c r="C15" s="1478"/>
      <c r="D15" s="1479"/>
      <c r="E15" s="1449">
        <f t="shared" ref="E15:F15" si="24">E30/J$67</f>
        <v>0.1659984726528311</v>
      </c>
      <c r="F15" s="1449">
        <f t="shared" si="24"/>
        <v>0.17899367013616524</v>
      </c>
      <c r="G15" s="1449">
        <f t="shared" si="0"/>
        <v>1.2995197483334137E-2</v>
      </c>
      <c r="H15" s="1450">
        <f t="shared" si="1"/>
        <v>7.8285042480555012E-2</v>
      </c>
      <c r="J15" s="1449">
        <f>J7+J11+J14+J8</f>
        <v>0.19559515577950121</v>
      </c>
      <c r="K15" s="1449">
        <f>K7+K11+K14+K8</f>
        <v>0.20633160214283575</v>
      </c>
      <c r="L15" s="1449">
        <f t="shared" si="3"/>
        <v>1.073644636333454E-2</v>
      </c>
      <c r="M15" s="1450">
        <f t="shared" si="4"/>
        <v>5.4891167015598263E-2</v>
      </c>
      <c r="O15" s="1449">
        <f>O7+O11+O14+O8</f>
        <v>6.2055524227478204E-2</v>
      </c>
      <c r="P15" s="1449">
        <f>P7+P11+P14+P8</f>
        <v>8.2983409646382303E-2</v>
      </c>
      <c r="Q15" s="1449">
        <f t="shared" si="6"/>
        <v>2.0927885418904099E-2</v>
      </c>
      <c r="R15" s="1450">
        <f>P15/O15-1</f>
        <v>0.33724451899219021</v>
      </c>
      <c r="S15" s="38"/>
    </row>
    <row r="16" spans="2:23" ht="13.15" customHeight="1">
      <c r="B16" s="448"/>
      <c r="C16" s="1480"/>
      <c r="D16" s="1480"/>
      <c r="E16" s="448"/>
      <c r="F16" s="448"/>
      <c r="G16" s="448"/>
      <c r="H16" s="448"/>
      <c r="J16" s="448"/>
      <c r="K16" s="448"/>
      <c r="L16" s="448"/>
      <c r="M16" s="448"/>
      <c r="Q16" s="448"/>
      <c r="R16" s="448"/>
    </row>
    <row r="17" spans="2:18" s="246" customFormat="1" ht="16.149999999999999" customHeight="1">
      <c r="B17" s="1440" t="s">
        <v>2110</v>
      </c>
      <c r="C17" s="1474" t="s">
        <v>487</v>
      </c>
      <c r="D17" s="1474"/>
      <c r="E17" s="1440"/>
      <c r="F17" s="1440"/>
      <c r="G17" s="1440"/>
      <c r="H17" s="1440"/>
      <c r="J17" s="1440" t="s">
        <v>1649</v>
      </c>
      <c r="K17" s="1440"/>
      <c r="L17" s="1440"/>
      <c r="M17" s="1440"/>
      <c r="O17" s="1440" t="s">
        <v>1648</v>
      </c>
      <c r="P17" s="1440"/>
      <c r="Q17" s="1440"/>
      <c r="R17" s="1440"/>
    </row>
    <row r="18" spans="2:18" ht="16.149999999999999" customHeight="1">
      <c r="B18" s="2189" t="s">
        <v>2111</v>
      </c>
      <c r="C18" s="2188"/>
      <c r="D18" s="2188"/>
      <c r="E18" s="2189" t="s">
        <v>858</v>
      </c>
      <c r="F18" s="2189" t="s">
        <v>859</v>
      </c>
      <c r="G18" s="2189" t="s">
        <v>716</v>
      </c>
      <c r="H18" s="2189" t="s">
        <v>789</v>
      </c>
      <c r="J18" s="2189" t="s">
        <v>858</v>
      </c>
      <c r="K18" s="2189" t="s">
        <v>859</v>
      </c>
      <c r="L18" s="2189" t="s">
        <v>716</v>
      </c>
      <c r="M18" s="2189" t="s">
        <v>789</v>
      </c>
      <c r="N18" s="246"/>
      <c r="O18" s="2189" t="s">
        <v>858</v>
      </c>
      <c r="P18" s="2189" t="s">
        <v>859</v>
      </c>
      <c r="Q18" s="2189" t="s">
        <v>716</v>
      </c>
      <c r="R18" s="2189" t="s">
        <v>789</v>
      </c>
    </row>
    <row r="19" spans="2:18" ht="16.149999999999999" customHeight="1">
      <c r="B19" s="448" t="s">
        <v>12</v>
      </c>
      <c r="C19" s="1476"/>
      <c r="D19" s="1481"/>
      <c r="E19" s="1451">
        <f>J19+O19</f>
        <v>25424706.661304414</v>
      </c>
      <c r="F19" s="1451">
        <f t="shared" ref="F19:F21" si="25">K19+P19</f>
        <v>29483454.508580077</v>
      </c>
      <c r="G19" s="1452">
        <f>F19-E19</f>
        <v>4058747.8472756632</v>
      </c>
      <c r="H19" s="1444">
        <f t="shared" ref="H19:H30" si="26">F19/E19-1</f>
        <v>0.1596379419965126</v>
      </c>
      <c r="J19" s="1451">
        <f>'VPP1'!N3</f>
        <v>23808414.309461057</v>
      </c>
      <c r="K19" s="1451">
        <f>'VPP1'!N27</f>
        <v>27710814.406876571</v>
      </c>
      <c r="L19" s="1452">
        <f>K19-J19</f>
        <v>3902400.0974155143</v>
      </c>
      <c r="M19" s="1444">
        <f t="shared" ref="M19:M30" si="27">K19/J19-1</f>
        <v>0.16390844206137523</v>
      </c>
      <c r="O19" s="1451">
        <f>'VPP1'!V3</f>
        <v>1616292.351843358</v>
      </c>
      <c r="P19" s="1451">
        <f>'VPP1'!V27</f>
        <v>1772640.1017035053</v>
      </c>
      <c r="Q19" s="1452">
        <f t="shared" ref="Q19:Q30" si="28">P19-O19</f>
        <v>156347.74986014725</v>
      </c>
      <c r="R19" s="1444">
        <f t="shared" ref="R19:R24" si="29">P19/O19-1</f>
        <v>9.6732345285081012E-2</v>
      </c>
    </row>
    <row r="20" spans="2:18" ht="16.149999999999999" customHeight="1">
      <c r="B20" s="448" t="s">
        <v>9</v>
      </c>
      <c r="C20" s="1476"/>
      <c r="D20" s="1481"/>
      <c r="E20" s="1451">
        <f t="shared" ref="E20:E21" si="30">J20+O20</f>
        <v>58137519.457551807</v>
      </c>
      <c r="F20" s="1451">
        <f t="shared" si="25"/>
        <v>67003186.298801735</v>
      </c>
      <c r="G20" s="1452">
        <f>F20-E20</f>
        <v>8865666.8412499279</v>
      </c>
      <c r="H20" s="1444">
        <f t="shared" si="26"/>
        <v>0.15249475595055362</v>
      </c>
      <c r="J20" s="1451">
        <f>'VPP1'!N4</f>
        <v>48898761.953586414</v>
      </c>
      <c r="K20" s="1451">
        <f>'VPP1'!N28</f>
        <v>56633065.773517251</v>
      </c>
      <c r="L20" s="1452">
        <f>K20-J20</f>
        <v>7734303.8199308366</v>
      </c>
      <c r="M20" s="1444">
        <f t="shared" si="27"/>
        <v>0.15816972681787034</v>
      </c>
      <c r="O20" s="1451">
        <f>'VPP1'!V4</f>
        <v>9238757.5039653908</v>
      </c>
      <c r="P20" s="1451">
        <f>'VPP1'!V28</f>
        <v>10370120.52528448</v>
      </c>
      <c r="Q20" s="1452">
        <f t="shared" si="28"/>
        <v>1131363.0213190895</v>
      </c>
      <c r="R20" s="1444">
        <f t="shared" si="29"/>
        <v>0.12245835230911672</v>
      </c>
    </row>
    <row r="21" spans="2:18" ht="16.149999999999999" customHeight="1">
      <c r="B21" s="448" t="s">
        <v>309</v>
      </c>
      <c r="C21" s="1476"/>
      <c r="D21" s="1481"/>
      <c r="E21" s="1451">
        <f t="shared" si="30"/>
        <v>2331073.455830161</v>
      </c>
      <c r="F21" s="1451">
        <f t="shared" si="25"/>
        <v>4969919.3882401325</v>
      </c>
      <c r="G21" s="1452">
        <f>F21-E21</f>
        <v>2638845.9324099715</v>
      </c>
      <c r="H21" s="1444">
        <f t="shared" si="26"/>
        <v>1.1320303638695091</v>
      </c>
      <c r="J21" s="1451">
        <f>'VPP1'!N5</f>
        <v>1798884.9391839481</v>
      </c>
      <c r="K21" s="1451">
        <f>'VPP1'!N29</f>
        <v>3862777.2062886362</v>
      </c>
      <c r="L21" s="1452">
        <f>K21-J21</f>
        <v>2063892.2671046881</v>
      </c>
      <c r="M21" s="1444">
        <f t="shared" si="27"/>
        <v>1.1473175533066384</v>
      </c>
      <c r="O21" s="1451">
        <f>'VPP1'!V5</f>
        <v>532188.5166462129</v>
      </c>
      <c r="P21" s="1451">
        <f>'VPP1'!V29</f>
        <v>1107142.1819514963</v>
      </c>
      <c r="Q21" s="1452">
        <f t="shared" si="28"/>
        <v>574953.66530528339</v>
      </c>
      <c r="R21" s="1444">
        <f t="shared" si="29"/>
        <v>1.0803571428571423</v>
      </c>
    </row>
    <row r="22" spans="2:18" ht="16.149999999999999" customHeight="1">
      <c r="B22" s="1445" t="s">
        <v>936</v>
      </c>
      <c r="C22" s="1477"/>
      <c r="D22" s="1482"/>
      <c r="E22" s="1453">
        <f>SUM(E19:E21)</f>
        <v>85893299.574686378</v>
      </c>
      <c r="F22" s="1453">
        <f>SUM(F19:F21)</f>
        <v>101456560.19562194</v>
      </c>
      <c r="G22" s="1454">
        <f>SUM(G19:G21)</f>
        <v>15563260.620935563</v>
      </c>
      <c r="H22" s="1447">
        <f t="shared" si="26"/>
        <v>0.18119295332696961</v>
      </c>
      <c r="J22" s="1453">
        <f>SUM(J19:J21)</f>
        <v>74506061.202231422</v>
      </c>
      <c r="K22" s="1453">
        <f>SUM(K19:K21)</f>
        <v>88206657.386682451</v>
      </c>
      <c r="L22" s="1454">
        <f>SUM(L19:L21)</f>
        <v>13700596.18445104</v>
      </c>
      <c r="M22" s="1447">
        <f t="shared" si="27"/>
        <v>0.18388565927896217</v>
      </c>
      <c r="O22" s="1453">
        <f>SUM(O19:O21)</f>
        <v>11387238.372454964</v>
      </c>
      <c r="P22" s="1453">
        <f>SUM(P19:P21)</f>
        <v>13249902.808939483</v>
      </c>
      <c r="Q22" s="1454">
        <f t="shared" si="28"/>
        <v>1862664.4364845194</v>
      </c>
      <c r="R22" s="1447">
        <f t="shared" si="29"/>
        <v>0.16357472949632723</v>
      </c>
    </row>
    <row r="23" spans="2:18" ht="16.149999999999999" customHeight="1">
      <c r="B23" s="1445" t="s">
        <v>239</v>
      </c>
      <c r="C23" s="1477"/>
      <c r="D23" s="1482"/>
      <c r="E23" s="1453">
        <f t="shared" ref="E23" si="31">J23+O23</f>
        <v>23579963.917533364</v>
      </c>
      <c r="F23" s="1453">
        <f t="shared" ref="F23" si="32">K23+P23</f>
        <v>31723269.142695621</v>
      </c>
      <c r="G23" s="1454">
        <f>F23-E23</f>
        <v>8143305.2251622565</v>
      </c>
      <c r="H23" s="1447">
        <f t="shared" si="26"/>
        <v>0.34534850238286996</v>
      </c>
      <c r="J23" s="1453">
        <f>'VPP1'!N7</f>
        <v>19583802.102673095</v>
      </c>
      <c r="K23" s="1453">
        <f>'VPP1'!N31</f>
        <v>26515532.999250062</v>
      </c>
      <c r="L23" s="1454">
        <f>K23-J23</f>
        <v>6931730.8965769671</v>
      </c>
      <c r="M23" s="1447">
        <f t="shared" si="27"/>
        <v>0.3539522540227682</v>
      </c>
      <c r="O23" s="1453">
        <f>'VPP1'!V7</f>
        <v>3996161.814860269</v>
      </c>
      <c r="P23" s="1453">
        <f>'VPP1'!V31</f>
        <v>5207736.1434455588</v>
      </c>
      <c r="Q23" s="1454">
        <f t="shared" si="28"/>
        <v>1211574.3285852899</v>
      </c>
      <c r="R23" s="1447">
        <f t="shared" si="29"/>
        <v>0.30318450170858613</v>
      </c>
    </row>
    <row r="24" spans="2:18" ht="16.149999999999999" customHeight="1">
      <c r="B24" s="448" t="s">
        <v>237</v>
      </c>
      <c r="C24" s="1476"/>
      <c r="D24" s="1481"/>
      <c r="E24" s="1451">
        <f t="shared" ref="E24:E25" si="33">J24+O24</f>
        <v>9222684.0993703511</v>
      </c>
      <c r="F24" s="1451">
        <f t="shared" ref="F24:F25" si="34">K24+P24</f>
        <v>15061168.825521177</v>
      </c>
      <c r="G24" s="1452">
        <f>F24-E24</f>
        <v>5838484.7261508256</v>
      </c>
      <c r="H24" s="1444">
        <f t="shared" si="26"/>
        <v>0.63305699981087171</v>
      </c>
      <c r="J24" s="1451">
        <f>'VPP1'!N8</f>
        <v>7158786.5015166225</v>
      </c>
      <c r="K24" s="1451">
        <f>'VPP1'!N32</f>
        <v>11764244.386413284</v>
      </c>
      <c r="L24" s="1452">
        <f>K24-J24</f>
        <v>4605457.8848966612</v>
      </c>
      <c r="M24" s="1444">
        <f t="shared" si="27"/>
        <v>0.64332940840196495</v>
      </c>
      <c r="O24" s="1451">
        <f>'VPP1'!V8</f>
        <v>2063897.5978537281</v>
      </c>
      <c r="P24" s="1451">
        <f>'VPP1'!V32</f>
        <v>3296924.4391078935</v>
      </c>
      <c r="Q24" s="1452">
        <f t="shared" si="28"/>
        <v>1233026.8412541654</v>
      </c>
      <c r="R24" s="1444">
        <f t="shared" si="29"/>
        <v>0.59742636579276254</v>
      </c>
    </row>
    <row r="25" spans="2:18" ht="16.149999999999999" customHeight="1">
      <c r="B25" s="448" t="s">
        <v>238</v>
      </c>
      <c r="C25" s="1476"/>
      <c r="D25" s="1481"/>
      <c r="E25" s="1451">
        <f t="shared" si="33"/>
        <v>6065877.8840349978</v>
      </c>
      <c r="F25" s="1451">
        <f t="shared" si="34"/>
        <v>11351663.391179891</v>
      </c>
      <c r="G25" s="1452">
        <f>F25-E25</f>
        <v>5285785.5071448935</v>
      </c>
      <c r="H25" s="1444">
        <f t="shared" si="26"/>
        <v>0.87139662357146075</v>
      </c>
      <c r="J25" s="1451">
        <f>'VPP1'!N9</f>
        <v>6065877.8840349978</v>
      </c>
      <c r="K25" s="1451">
        <f>'VPP1'!N33</f>
        <v>11351663.391179891</v>
      </c>
      <c r="L25" s="1452">
        <f>K25-J25</f>
        <v>5285785.5071448935</v>
      </c>
      <c r="M25" s="1444">
        <f t="shared" si="27"/>
        <v>0.87139662357146075</v>
      </c>
      <c r="O25" s="1451">
        <f>'VPP1'!V9</f>
        <v>0</v>
      </c>
      <c r="P25" s="1451">
        <f>'VPP1'!V33</f>
        <v>0</v>
      </c>
      <c r="Q25" s="1452">
        <f t="shared" si="28"/>
        <v>0</v>
      </c>
      <c r="R25" s="1444"/>
    </row>
    <row r="26" spans="2:18" ht="16.149999999999999" customHeight="1">
      <c r="B26" s="1445" t="s">
        <v>937</v>
      </c>
      <c r="C26" s="1477"/>
      <c r="D26" s="1482"/>
      <c r="E26" s="1453">
        <f>SUM(E24:E25)</f>
        <v>15288561.983405348</v>
      </c>
      <c r="F26" s="1453">
        <f>SUM(F24:F25)</f>
        <v>26412832.216701068</v>
      </c>
      <c r="G26" s="1454">
        <f>SUM(G24:G25)</f>
        <v>11124270.23329572</v>
      </c>
      <c r="H26" s="1447">
        <f t="shared" si="26"/>
        <v>0.72762044235228451</v>
      </c>
      <c r="J26" s="1453">
        <f>SUM(J24:J25)</f>
        <v>13224664.38555162</v>
      </c>
      <c r="K26" s="1453">
        <f>SUM(K24:K25)</f>
        <v>23115907.777593173</v>
      </c>
      <c r="L26" s="1454">
        <f>SUM(L24:L25)</f>
        <v>9891243.3920415547</v>
      </c>
      <c r="M26" s="1447">
        <f t="shared" si="27"/>
        <v>0.74793908591344382</v>
      </c>
      <c r="O26" s="1453">
        <f>SUM(O24:O25)</f>
        <v>2063897.5978537281</v>
      </c>
      <c r="P26" s="1453">
        <f>SUM(P24:P25)</f>
        <v>3296924.4391078935</v>
      </c>
      <c r="Q26" s="1454">
        <f t="shared" si="28"/>
        <v>1233026.8412541654</v>
      </c>
      <c r="R26" s="1447">
        <f>P26/O26-1</f>
        <v>0.59742636579276254</v>
      </c>
    </row>
    <row r="27" spans="2:18" ht="16.149999999999999" customHeight="1">
      <c r="B27" s="448" t="s">
        <v>1085</v>
      </c>
      <c r="C27" s="1476"/>
      <c r="D27" s="1481"/>
      <c r="E27" s="1451">
        <f t="shared" ref="E27:E28" si="35">J27+O27</f>
        <v>4093086.8559271838</v>
      </c>
      <c r="F27" s="1451">
        <f t="shared" ref="F27:F28" si="36">K27+P27</f>
        <v>3456499.2186601679</v>
      </c>
      <c r="G27" s="1452">
        <f>F27-E27</f>
        <v>-636587.63726701587</v>
      </c>
      <c r="H27" s="1444">
        <f t="shared" si="26"/>
        <v>-0.15552751741516935</v>
      </c>
      <c r="J27" s="1451">
        <f>'VPP1'!N11</f>
        <v>3166508.6349806525</v>
      </c>
      <c r="K27" s="1451">
        <f>'VPP1'!N35</f>
        <v>2686726.5427968958</v>
      </c>
      <c r="L27" s="1452">
        <f>K27-J27</f>
        <v>-479782.09218375664</v>
      </c>
      <c r="M27" s="1444">
        <f t="shared" si="27"/>
        <v>-0.15151769582548069</v>
      </c>
      <c r="O27" s="1451">
        <f>'VPP1'!V11</f>
        <v>926578.22094653139</v>
      </c>
      <c r="P27" s="1451">
        <f>'VPP1'!V35</f>
        <v>769772.67586327216</v>
      </c>
      <c r="Q27" s="1452">
        <f t="shared" si="28"/>
        <v>-156805.54508325923</v>
      </c>
      <c r="R27" s="1444">
        <f>P27/O27-1</f>
        <v>-0.1692307692307693</v>
      </c>
    </row>
    <row r="28" spans="2:18" ht="16.149999999999999" customHeight="1">
      <c r="B28" s="448" t="s">
        <v>11</v>
      </c>
      <c r="C28" s="1476"/>
      <c r="D28" s="1481"/>
      <c r="E28" s="1451">
        <f t="shared" si="35"/>
        <v>227037475.97997439</v>
      </c>
      <c r="F28" s="1451">
        <f t="shared" si="36"/>
        <v>220704278.27532193</v>
      </c>
      <c r="G28" s="1452">
        <f>F28-E28</f>
        <v>-6333197.7046524584</v>
      </c>
      <c r="H28" s="1444">
        <f t="shared" si="26"/>
        <v>-2.7894944115794629E-2</v>
      </c>
      <c r="J28" s="1451">
        <f>SUM('VPP1'!N12:N14)</f>
        <v>215924532.88937137</v>
      </c>
      <c r="K28" s="1451">
        <f>SUM('VPP1'!N36:N38)</f>
        <v>203797527.12307703</v>
      </c>
      <c r="L28" s="1452">
        <f>K28-J28</f>
        <v>-12127005.76629433</v>
      </c>
      <c r="M28" s="1444">
        <f t="shared" si="27"/>
        <v>-5.6163167769859634E-2</v>
      </c>
      <c r="O28" s="1451">
        <f>SUM('VPP1'!V12:V14)</f>
        <v>11112943.090603035</v>
      </c>
      <c r="P28" s="1451">
        <f>SUM('VPP1'!V36:V38)</f>
        <v>16906751.152244885</v>
      </c>
      <c r="Q28" s="1452">
        <f t="shared" si="28"/>
        <v>5793808.0616418496</v>
      </c>
      <c r="R28" s="1444">
        <f>P28/O28-1</f>
        <v>0.52135676520660135</v>
      </c>
    </row>
    <row r="29" spans="2:18" ht="16.149999999999999" customHeight="1">
      <c r="B29" s="1445" t="s">
        <v>713</v>
      </c>
      <c r="C29" s="1477"/>
      <c r="D29" s="1482"/>
      <c r="E29" s="1453">
        <f>SUM(E27:E28)</f>
        <v>231130562.83590156</v>
      </c>
      <c r="F29" s="1453">
        <f>SUM(F27:F28)</f>
        <v>224160777.49398211</v>
      </c>
      <c r="G29" s="1454">
        <f>SUM(G27:G28)</f>
        <v>-6969785.3419194743</v>
      </c>
      <c r="H29" s="1447">
        <f t="shared" si="26"/>
        <v>-3.0155186992158467E-2</v>
      </c>
      <c r="J29" s="1453">
        <f>SUM(J27:J28)</f>
        <v>219091041.52435201</v>
      </c>
      <c r="K29" s="1453">
        <f>SUM(K27:K28)</f>
        <v>206484253.66587394</v>
      </c>
      <c r="L29" s="1454">
        <f>SUM(L27:L28)</f>
        <v>-12606787.858478088</v>
      </c>
      <c r="M29" s="1447">
        <f t="shared" si="27"/>
        <v>-5.7541320588760048E-2</v>
      </c>
      <c r="O29" s="1453">
        <f>SUM(O27:O28)</f>
        <v>12039521.311549567</v>
      </c>
      <c r="P29" s="1453">
        <f>SUM(P27:P28)</f>
        <v>17676523.828108158</v>
      </c>
      <c r="Q29" s="1454">
        <f t="shared" si="28"/>
        <v>5637002.5165585913</v>
      </c>
      <c r="R29" s="1447">
        <f>P29/O29-1</f>
        <v>0.468208192891439</v>
      </c>
    </row>
    <row r="30" spans="2:18" ht="16.149999999999999" customHeight="1">
      <c r="B30" s="1441" t="s">
        <v>2109</v>
      </c>
      <c r="C30" s="1483"/>
      <c r="D30" s="1484"/>
      <c r="E30" s="1455">
        <f>E22+E26+E29+E23</f>
        <v>355892388.3115266</v>
      </c>
      <c r="F30" s="1455">
        <f>F22+F26+F29+F23</f>
        <v>383753439.04900068</v>
      </c>
      <c r="G30" s="1455">
        <f>G22+G26+G29+G23</f>
        <v>27861050.737474065</v>
      </c>
      <c r="H30" s="1450">
        <f t="shared" si="26"/>
        <v>7.8285042480555234E-2</v>
      </c>
      <c r="J30" s="1455">
        <f>J22+J26+J29+J23</f>
        <v>326405569.21480817</v>
      </c>
      <c r="K30" s="1455">
        <f>K22+K26+K29+K23</f>
        <v>344322351.82939959</v>
      </c>
      <c r="L30" s="1455">
        <f>L22+L26+L29+L23</f>
        <v>17916782.614591472</v>
      </c>
      <c r="M30" s="1450">
        <f t="shared" si="27"/>
        <v>5.4891167015598263E-2</v>
      </c>
      <c r="O30" s="1455">
        <f>O22+O26+O29+O23</f>
        <v>29486819.096718527</v>
      </c>
      <c r="P30" s="1455">
        <f>P22+P26+P29+P23</f>
        <v>39431087.219601095</v>
      </c>
      <c r="Q30" s="1455">
        <f t="shared" si="28"/>
        <v>9944268.1228825673</v>
      </c>
      <c r="R30" s="1450">
        <f>P30/O30-1</f>
        <v>0.33724451899219021</v>
      </c>
    </row>
    <row r="31" spans="2:18" ht="13.15" customHeight="1">
      <c r="B31" s="448"/>
      <c r="C31" s="1480"/>
      <c r="D31" s="1480"/>
      <c r="E31" s="448"/>
      <c r="F31" s="448"/>
      <c r="G31" s="448"/>
      <c r="H31" s="448"/>
      <c r="J31" s="448"/>
      <c r="K31" s="448"/>
      <c r="L31" s="448"/>
      <c r="M31" s="448"/>
      <c r="O31" s="448"/>
      <c r="P31" s="448"/>
      <c r="Q31" s="448"/>
      <c r="R31" s="448"/>
    </row>
    <row r="32" spans="2:18" s="246" customFormat="1" ht="13.15" customHeight="1">
      <c r="B32" s="275" t="s">
        <v>1650</v>
      </c>
      <c r="C32" s="1474" t="s">
        <v>487</v>
      </c>
      <c r="D32" s="1474"/>
      <c r="E32" s="1440" t="s">
        <v>1651</v>
      </c>
      <c r="F32" s="1440"/>
      <c r="G32" s="1440"/>
      <c r="H32" s="1440"/>
      <c r="J32" s="1440" t="s">
        <v>1649</v>
      </c>
      <c r="K32" s="1440"/>
      <c r="L32" s="1440"/>
      <c r="M32" s="1440"/>
      <c r="O32" s="1440" t="s">
        <v>1648</v>
      </c>
      <c r="P32" s="1440"/>
      <c r="Q32" s="1440"/>
      <c r="R32" s="1440"/>
    </row>
    <row r="33" spans="1:19" ht="13.15" customHeight="1">
      <c r="B33" s="1441" t="s">
        <v>1036</v>
      </c>
      <c r="C33" s="1475"/>
      <c r="D33" s="1475"/>
      <c r="E33" s="1442" t="str">
        <f>$J$3</f>
        <v>Tarifa
Aprobada
(P-1)</v>
      </c>
      <c r="F33" s="1442" t="str">
        <f>$K$3</f>
        <v>Tarifa
Aprobada
(P)</v>
      </c>
      <c r="G33" s="1442" t="s">
        <v>1245</v>
      </c>
      <c r="H33" s="1442" t="s">
        <v>789</v>
      </c>
      <c r="J33" s="1442" t="str">
        <f>$J$3</f>
        <v>Tarifa
Aprobada
(P-1)</v>
      </c>
      <c r="K33" s="1442" t="str">
        <f>$K$3</f>
        <v>Tarifa
Aprobada
(P)</v>
      </c>
      <c r="L33" s="1442" t="s">
        <v>1245</v>
      </c>
      <c r="M33" s="1442" t="s">
        <v>789</v>
      </c>
      <c r="O33" s="1442" t="str">
        <f>$O$3</f>
        <v>Tarifa
Aprobada
(P-1)</v>
      </c>
      <c r="P33" s="1442" t="str">
        <f>$P$3</f>
        <v>Tarifa
Aprobada
(P)</v>
      </c>
      <c r="Q33" s="1442" t="s">
        <v>716</v>
      </c>
      <c r="R33" s="1442" t="s">
        <v>789</v>
      </c>
    </row>
    <row r="34" spans="1:19" s="448" customFormat="1" ht="13.15" customHeight="1">
      <c r="A34" s="38"/>
      <c r="B34" s="448" t="s">
        <v>892</v>
      </c>
      <c r="C34" s="1476"/>
      <c r="D34" s="1476"/>
      <c r="E34" s="1443">
        <f t="array" ref="E34:E38">TRANSPOSE('VPP1'!$C$17:$G$17)</f>
        <v>0.17587428596324772</v>
      </c>
      <c r="F34" s="1443">
        <f t="array" ref="F34:F38">TRANSPOSE('VPP1'!$C$41:$G$41)</f>
        <v>0.18557055198130004</v>
      </c>
      <c r="G34" s="1443">
        <f t="shared" ref="G34" si="37">F34-E34</f>
        <v>9.6962660180523186E-3</v>
      </c>
      <c r="H34" s="1444">
        <f>F34/E34-1</f>
        <v>5.5131800336511549E-2</v>
      </c>
      <c r="J34" s="1443">
        <f t="array" ref="J34:J44">TRANSPOSE('VPP1'!C17:M17)</f>
        <v>0.17587428596324772</v>
      </c>
      <c r="K34" s="1443">
        <f t="array" ref="K34:K44">TRANSPOSE('VPP1'!C41:M41)</f>
        <v>0.18557055198130004</v>
      </c>
      <c r="L34" s="1443">
        <f t="shared" ref="L34:L46" si="38">K34-J34</f>
        <v>9.6962660180523186E-3</v>
      </c>
      <c r="M34" s="1444">
        <f>K34/J34-1</f>
        <v>5.5131800336511549E-2</v>
      </c>
      <c r="O34" s="1443"/>
      <c r="P34" s="1443"/>
      <c r="Q34" s="1443"/>
      <c r="R34" s="1444"/>
    </row>
    <row r="35" spans="1:19" s="448" customFormat="1" ht="13.15" customHeight="1">
      <c r="A35" s="38"/>
      <c r="B35" s="448" t="s">
        <v>751</v>
      </c>
      <c r="C35" s="1476"/>
      <c r="D35" s="1476"/>
      <c r="E35" s="1443">
        <v>0.11401552857454715</v>
      </c>
      <c r="F35" s="1443">
        <v>0.1618199892860977</v>
      </c>
      <c r="G35" s="1443">
        <f t="shared" ref="G35:G46" si="39">F35-E35</f>
        <v>4.7804460711550548E-2</v>
      </c>
      <c r="H35" s="1444">
        <f t="shared" ref="H35:H46" si="40">F35/E35-1</f>
        <v>0.41928026216441561</v>
      </c>
      <c r="J35" s="1443">
        <v>0.11401552857454715</v>
      </c>
      <c r="K35" s="1443">
        <v>0.1618199892860977</v>
      </c>
      <c r="L35" s="1443">
        <f t="shared" si="38"/>
        <v>4.7804460711550548E-2</v>
      </c>
      <c r="M35" s="1444">
        <f>K35/J35-1</f>
        <v>0.41928026216441561</v>
      </c>
      <c r="O35" s="1443"/>
      <c r="P35" s="1443"/>
      <c r="Q35" s="1443"/>
      <c r="R35" s="1444"/>
    </row>
    <row r="36" spans="1:19" s="448" customFormat="1" ht="13.15" customHeight="1">
      <c r="A36" s="38"/>
      <c r="B36" s="448" t="s">
        <v>750</v>
      </c>
      <c r="C36" s="1476"/>
      <c r="D36" s="1476"/>
      <c r="E36" s="1443">
        <v>0.25973518631242321</v>
      </c>
      <c r="F36" s="1443">
        <v>0.23587406270672595</v>
      </c>
      <c r="G36" s="1443">
        <f t="shared" si="39"/>
        <v>-2.3861123605697254E-2</v>
      </c>
      <c r="H36" s="1444">
        <f t="shared" si="40"/>
        <v>-9.1867120294575111E-2</v>
      </c>
      <c r="J36" s="1443">
        <v>0.25973518631242321</v>
      </c>
      <c r="K36" s="1443">
        <v>0.23587406270672595</v>
      </c>
      <c r="L36" s="1443">
        <f t="shared" si="38"/>
        <v>-2.3861123605697254E-2</v>
      </c>
      <c r="M36" s="1444">
        <f>K36/J36-1</f>
        <v>-9.1867120294575111E-2</v>
      </c>
      <c r="O36" s="1443"/>
      <c r="P36" s="1443"/>
      <c r="Q36" s="1443"/>
      <c r="R36" s="1444"/>
    </row>
    <row r="37" spans="1:19" s="448" customFormat="1" ht="13.15" customHeight="1">
      <c r="A37" s="38"/>
      <c r="B37" s="448" t="s">
        <v>749</v>
      </c>
      <c r="C37" s="1476"/>
      <c r="D37" s="1476"/>
      <c r="E37" s="1443">
        <v>0.36628967097770876</v>
      </c>
      <c r="F37" s="1443">
        <v>0.27029409055714654</v>
      </c>
      <c r="G37" s="1443">
        <f t="shared" si="39"/>
        <v>-9.5995580420562221E-2</v>
      </c>
      <c r="H37" s="1444">
        <f t="shared" si="40"/>
        <v>-0.26207558669161657</v>
      </c>
      <c r="J37" s="1443">
        <v>0.36628967097770876</v>
      </c>
      <c r="K37" s="1443">
        <v>0.27029409055714654</v>
      </c>
      <c r="L37" s="1443">
        <f t="shared" si="38"/>
        <v>-9.5995580420562221E-2</v>
      </c>
      <c r="M37" s="1444">
        <f>K37/J37-1</f>
        <v>-0.26207558669161657</v>
      </c>
      <c r="O37" s="1443"/>
      <c r="P37" s="1443"/>
      <c r="Q37" s="1443"/>
      <c r="R37" s="1444"/>
    </row>
    <row r="38" spans="1:19" s="448" customFormat="1" ht="13.15" customHeight="1">
      <c r="A38" s="38"/>
      <c r="B38" s="448" t="s">
        <v>1176</v>
      </c>
      <c r="C38" s="1476"/>
      <c r="D38" s="1476"/>
      <c r="E38" s="1443">
        <v>0</v>
      </c>
      <c r="F38" s="1443">
        <v>0.21054921560676806</v>
      </c>
      <c r="G38" s="1443">
        <v>0</v>
      </c>
      <c r="H38" s="1444">
        <v>0</v>
      </c>
      <c r="J38" s="1443">
        <v>0</v>
      </c>
      <c r="K38" s="1443">
        <v>0.21054921560676806</v>
      </c>
      <c r="L38" s="1443">
        <f t="shared" si="38"/>
        <v>0.21054921560676806</v>
      </c>
      <c r="M38" s="1444"/>
      <c r="O38" s="1443"/>
      <c r="P38" s="1443"/>
      <c r="Q38" s="1443"/>
      <c r="R38" s="1444"/>
    </row>
    <row r="39" spans="1:19" s="448" customFormat="1" ht="13.15" customHeight="1">
      <c r="A39" s="38"/>
      <c r="B39" s="448" t="s">
        <v>274</v>
      </c>
      <c r="C39" s="1476"/>
      <c r="D39" s="1476"/>
      <c r="E39" s="1443">
        <f>E55/E77</f>
        <v>0.21057984779021968</v>
      </c>
      <c r="F39" s="1443">
        <f>F55/F77</f>
        <v>0.23695442513512993</v>
      </c>
      <c r="G39" s="1443">
        <f t="shared" si="39"/>
        <v>2.6374577344910249E-2</v>
      </c>
      <c r="H39" s="1444">
        <f t="shared" si="40"/>
        <v>0.12524739485605796</v>
      </c>
      <c r="J39" s="1443">
        <v>0.22815662060923753</v>
      </c>
      <c r="K39" s="1443">
        <v>0.25530089295221742</v>
      </c>
      <c r="L39" s="1443">
        <f t="shared" si="38"/>
        <v>2.7144272342979892E-2</v>
      </c>
      <c r="M39" s="1444">
        <f t="shared" ref="M39:M46" si="41">K39/J39-1</f>
        <v>0.11897210026383465</v>
      </c>
      <c r="O39" s="1443">
        <f>'VPP1'!$O$16/'VPP1'!$O$21</f>
        <v>8.9155868021890017E-2</v>
      </c>
      <c r="P39" s="1443">
        <f>'VPP1'!$O$40/'VPP1'!$O$21</f>
        <v>0.11021323322349501</v>
      </c>
      <c r="Q39" s="1443">
        <f>P39-O39</f>
        <v>2.1057365201604991E-2</v>
      </c>
      <c r="R39" s="1444">
        <f t="shared" ref="R39:R45" si="42">P39/O39-1</f>
        <v>0.23618597035514122</v>
      </c>
    </row>
    <row r="40" spans="1:19" s="448" customFormat="1" ht="13.15" customHeight="1">
      <c r="A40" s="38"/>
      <c r="B40" s="448" t="s">
        <v>275</v>
      </c>
      <c r="C40" s="1476"/>
      <c r="D40" s="1476"/>
      <c r="E40" s="1443">
        <f t="shared" ref="E40:F40" si="43">E56/E78</f>
        <v>0.18842440089383222</v>
      </c>
      <c r="F40" s="1443">
        <f t="shared" si="43"/>
        <v>0.19936824006126941</v>
      </c>
      <c r="G40" s="1443">
        <f t="shared" si="39"/>
        <v>1.0943839167437186E-2</v>
      </c>
      <c r="H40" s="1444">
        <f t="shared" si="40"/>
        <v>5.8080795881651825E-2</v>
      </c>
      <c r="J40" s="1443">
        <v>0.19890221777527772</v>
      </c>
      <c r="K40" s="1443">
        <v>0.20863339494335006</v>
      </c>
      <c r="L40" s="1443">
        <f t="shared" si="38"/>
        <v>9.7311771680723413E-3</v>
      </c>
      <c r="M40" s="1444">
        <f t="shared" si="41"/>
        <v>4.8924427675646864E-2</v>
      </c>
      <c r="O40" s="1443">
        <f>'VPP1'!$P$16/'VPP1'!$P$21</f>
        <v>7.9954837877176707E-2</v>
      </c>
      <c r="P40" s="1443">
        <f>'VPP1'!$P$40/'VPP1'!$P$21</f>
        <v>0.10345252472551202</v>
      </c>
      <c r="Q40" s="1443">
        <f t="shared" ref="Q40:Q45" si="44">P40-O40</f>
        <v>2.3497686848335309E-2</v>
      </c>
      <c r="R40" s="1444">
        <f t="shared" si="42"/>
        <v>0.29388699260989659</v>
      </c>
    </row>
    <row r="41" spans="1:19" s="448" customFormat="1" ht="13.15" customHeight="1">
      <c r="B41" s="448" t="s">
        <v>276</v>
      </c>
      <c r="C41" s="1476"/>
      <c r="D41" s="1476"/>
      <c r="E41" s="1443">
        <f t="shared" ref="E41:F41" si="45">E57/E79</f>
        <v>0.11756145360159596</v>
      </c>
      <c r="F41" s="1443">
        <f t="shared" si="45"/>
        <v>0.1367411633645797</v>
      </c>
      <c r="G41" s="1443">
        <f t="shared" si="39"/>
        <v>1.9179709762983735E-2</v>
      </c>
      <c r="H41" s="1444">
        <f t="shared" si="40"/>
        <v>0.16314624543502032</v>
      </c>
      <c r="J41" s="1443">
        <v>0.19312047154271428</v>
      </c>
      <c r="K41" s="1443">
        <v>0.20285551419564096</v>
      </c>
      <c r="L41" s="1443">
        <f t="shared" si="38"/>
        <v>9.7350426529266842E-3</v>
      </c>
      <c r="M41" s="1444">
        <f t="shared" si="41"/>
        <v>5.0409169857342118E-2</v>
      </c>
      <c r="O41" s="1443">
        <f>'VPP1'!$Q$16/'VPP1'!Q$21</f>
        <v>7.2101080657076308E-2</v>
      </c>
      <c r="P41" s="1443">
        <f>'VPP1'!$Q$40/'VPP1'!$Q$21</f>
        <v>9.6963210611050663E-2</v>
      </c>
      <c r="Q41" s="1443">
        <f t="shared" si="44"/>
        <v>2.4862129953974355E-2</v>
      </c>
      <c r="R41" s="1444">
        <f t="shared" si="42"/>
        <v>0.3448232637763422</v>
      </c>
    </row>
    <row r="42" spans="1:19" s="448" customFormat="1" ht="13.15" customHeight="1">
      <c r="B42" s="448" t="s">
        <v>277</v>
      </c>
      <c r="C42" s="1476"/>
      <c r="D42" s="1476"/>
      <c r="E42" s="1443">
        <f t="shared" ref="E42:F42" si="46">E58/E80</f>
        <v>0.10072674436305305</v>
      </c>
      <c r="F42" s="1443">
        <f t="shared" si="46"/>
        <v>0.12589230580189845</v>
      </c>
      <c r="G42" s="1443">
        <f t="shared" si="39"/>
        <v>2.5165561438845394E-2</v>
      </c>
      <c r="H42" s="1444">
        <f t="shared" si="40"/>
        <v>0.24983991687590179</v>
      </c>
      <c r="J42" s="1443">
        <v>0.17385246836910873</v>
      </c>
      <c r="K42" s="1443">
        <v>0.2019547838265644</v>
      </c>
      <c r="L42" s="1443">
        <f t="shared" si="38"/>
        <v>2.8102315457455673E-2</v>
      </c>
      <c r="M42" s="1444">
        <f t="shared" si="41"/>
        <v>0.16164461581178835</v>
      </c>
      <c r="O42" s="1443">
        <f>'VPP1'!$R$16/'VPP1'!R$21</f>
        <v>7.0501188957842811E-2</v>
      </c>
      <c r="P42" s="1443">
        <f>'VPP1'!$R$40/'VPP1'!R$21</f>
        <v>9.4452881781949716E-2</v>
      </c>
      <c r="Q42" s="1443">
        <f t="shared" si="44"/>
        <v>2.3951692824106904E-2</v>
      </c>
      <c r="R42" s="1444">
        <f t="shared" si="42"/>
        <v>0.33973459424108654</v>
      </c>
    </row>
    <row r="43" spans="1:19" ht="13.15" customHeight="1">
      <c r="A43" s="448"/>
      <c r="B43" s="448" t="s">
        <v>278</v>
      </c>
      <c r="C43" s="1476"/>
      <c r="D43" s="1485"/>
      <c r="E43" s="1443">
        <f t="shared" ref="E43:F43" si="47">E59/E81</f>
        <v>3.2256601277378429E-2</v>
      </c>
      <c r="F43" s="1443">
        <f t="shared" si="47"/>
        <v>5.2849079724822168E-2</v>
      </c>
      <c r="G43" s="1443">
        <f t="shared" si="39"/>
        <v>2.0592478447443739E-2</v>
      </c>
      <c r="H43" s="1444">
        <f t="shared" si="40"/>
        <v>0.63839578975994771</v>
      </c>
      <c r="I43" s="448"/>
      <c r="J43" s="1443">
        <v>0.15804000000000001</v>
      </c>
      <c r="K43" s="1443">
        <v>0.16611000000000001</v>
      </c>
      <c r="L43" s="1443">
        <f t="shared" si="38"/>
        <v>8.0699999999999938E-3</v>
      </c>
      <c r="M43" s="1444">
        <f t="shared" si="41"/>
        <v>5.1063022019741888E-2</v>
      </c>
      <c r="N43" s="448"/>
      <c r="O43" s="1443">
        <f>'VPP1'!$S$16/'VPP1'!S$21</f>
        <v>3.2244647507270262E-2</v>
      </c>
      <c r="P43" s="1443">
        <f>'VPP1'!$S$40/'VPP1'!$S$21</f>
        <v>5.2838316022958819E-2</v>
      </c>
      <c r="Q43" s="1443">
        <f t="shared" si="44"/>
        <v>2.0593668515688557E-2</v>
      </c>
      <c r="R43" s="1444">
        <f t="shared" si="42"/>
        <v>0.63866936399429597</v>
      </c>
      <c r="S43" s="448"/>
    </row>
    <row r="44" spans="1:19" ht="13.15" customHeight="1">
      <c r="A44" s="448"/>
      <c r="B44" s="448" t="s">
        <v>279</v>
      </c>
      <c r="C44" s="1476"/>
      <c r="D44" s="1476"/>
      <c r="E44" s="1443">
        <f t="shared" ref="E44:F44" si="48">E60/E82</f>
        <v>9.4774075986292672E-2</v>
      </c>
      <c r="F44" s="1443">
        <f t="shared" si="48"/>
        <v>9.8392043819919922E-2</v>
      </c>
      <c r="G44" s="1443">
        <f t="shared" si="39"/>
        <v>3.6179678336272503E-3</v>
      </c>
      <c r="H44" s="1444">
        <f t="shared" si="40"/>
        <v>3.8174656898269488E-2</v>
      </c>
      <c r="I44" s="448"/>
      <c r="J44" s="1443">
        <v>0.13491251588855999</v>
      </c>
      <c r="K44" s="1443">
        <v>0.13801110544053349</v>
      </c>
      <c r="L44" s="1443">
        <f t="shared" si="38"/>
        <v>3.0985895519735074E-3</v>
      </c>
      <c r="M44" s="1444">
        <f t="shared" si="41"/>
        <v>2.2967398773683811E-2</v>
      </c>
      <c r="N44" s="448"/>
      <c r="O44" s="1443">
        <f>'VPP1'!$T$16/'VPP1'!T$21</f>
        <v>1.2996650642369628E-2</v>
      </c>
      <c r="P44" s="1443">
        <f>'VPP1'!$T$40/'VPP1'!$T$21</f>
        <v>1.7672791607703367E-2</v>
      </c>
      <c r="Q44" s="1443">
        <f t="shared" si="44"/>
        <v>4.6761409653337388E-3</v>
      </c>
      <c r="R44" s="1444">
        <f t="shared" si="42"/>
        <v>0.35979585002379944</v>
      </c>
      <c r="S44" s="448"/>
    </row>
    <row r="45" spans="1:19" ht="13.15" customHeight="1">
      <c r="A45" s="448"/>
      <c r="B45" s="448" t="s">
        <v>1876</v>
      </c>
      <c r="C45" s="1476"/>
      <c r="D45" s="1476"/>
      <c r="E45" s="1443">
        <f t="shared" ref="E45:F45" si="49">E61/E83</f>
        <v>3.0699999999999998E-3</v>
      </c>
      <c r="F45" s="1443">
        <f t="shared" si="49"/>
        <v>3.9499999999999995E-3</v>
      </c>
      <c r="G45" s="1443">
        <f t="shared" si="39"/>
        <v>8.7999999999999971E-4</v>
      </c>
      <c r="H45" s="1444">
        <f t="shared" si="40"/>
        <v>0.28664495114006505</v>
      </c>
      <c r="I45" s="448"/>
      <c r="J45" s="1443"/>
      <c r="K45" s="1443"/>
      <c r="L45" s="1443"/>
      <c r="M45" s="1444"/>
      <c r="N45" s="448"/>
      <c r="O45" s="1443">
        <f>'VPP1'!$U$16/'VPP1'!U$21</f>
        <v>3.0699999999999998E-3</v>
      </c>
      <c r="P45" s="1443">
        <f>'VPP1'!$U$40/'VPP1'!$U$21</f>
        <v>3.9499999999999995E-3</v>
      </c>
      <c r="Q45" s="1443">
        <f t="shared" si="44"/>
        <v>8.7999999999999971E-4</v>
      </c>
      <c r="R45" s="1444">
        <f t="shared" si="42"/>
        <v>0.28664495114006505</v>
      </c>
      <c r="S45" s="448"/>
    </row>
    <row r="46" spans="1:19" s="448" customFormat="1" ht="13.15" customHeight="1">
      <c r="B46" s="1441" t="s">
        <v>786</v>
      </c>
      <c r="C46" s="1478"/>
      <c r="D46" s="1479"/>
      <c r="E46" s="1449"/>
      <c r="F46" s="1449"/>
      <c r="G46" s="1449">
        <f t="shared" si="39"/>
        <v>0</v>
      </c>
      <c r="H46" s="1450" t="e">
        <f t="shared" si="40"/>
        <v>#DIV/0!</v>
      </c>
      <c r="J46" s="1449">
        <f>J62/J$65</f>
        <v>0.19559515577950121</v>
      </c>
      <c r="K46" s="1449">
        <f>K62/K$65</f>
        <v>0.20633160214283577</v>
      </c>
      <c r="L46" s="1449">
        <f t="shared" si="38"/>
        <v>1.0736446363334567E-2</v>
      </c>
      <c r="M46" s="1450">
        <f t="shared" si="41"/>
        <v>5.4891167015598263E-2</v>
      </c>
      <c r="O46" s="1449">
        <f>O15</f>
        <v>6.2055524227478204E-2</v>
      </c>
      <c r="P46" s="1449">
        <f>P15</f>
        <v>8.2983409646382303E-2</v>
      </c>
      <c r="Q46" s="1449">
        <f>P46-O46</f>
        <v>2.0927885418904099E-2</v>
      </c>
      <c r="R46" s="1450">
        <f>P46/O46-1</f>
        <v>0.33724451899219021</v>
      </c>
    </row>
    <row r="47" spans="1:19" ht="13.15" customHeight="1">
      <c r="A47" s="448"/>
      <c r="B47" s="1456"/>
      <c r="D47" s="1487"/>
      <c r="H47" s="1457"/>
      <c r="M47" s="1457"/>
      <c r="Q47" s="1457"/>
      <c r="R47" s="1457"/>
    </row>
    <row r="48" spans="1:19" s="246" customFormat="1" ht="13.15" customHeight="1">
      <c r="B48" s="275" t="s">
        <v>1653</v>
      </c>
      <c r="C48" s="1474" t="s">
        <v>487</v>
      </c>
      <c r="D48" s="1474"/>
      <c r="E48" s="1440" t="s">
        <v>1651</v>
      </c>
      <c r="F48" s="1440"/>
      <c r="G48" s="1440"/>
      <c r="H48" s="1440"/>
      <c r="J48" s="1440" t="s">
        <v>1649</v>
      </c>
      <c r="K48" s="1440"/>
      <c r="L48" s="1440"/>
      <c r="M48" s="1440"/>
      <c r="O48" s="1440" t="s">
        <v>1648</v>
      </c>
      <c r="P48" s="1440"/>
      <c r="Q48" s="1440"/>
      <c r="R48" s="1440"/>
    </row>
    <row r="49" spans="1:18" ht="13.15" customHeight="1">
      <c r="B49" s="1441" t="s">
        <v>1652</v>
      </c>
      <c r="C49" s="1475"/>
      <c r="D49" s="1475"/>
      <c r="E49" s="1442" t="s">
        <v>858</v>
      </c>
      <c r="F49" s="1442" t="s">
        <v>859</v>
      </c>
      <c r="G49" s="1442" t="s">
        <v>716</v>
      </c>
      <c r="H49" s="1442" t="s">
        <v>789</v>
      </c>
      <c r="J49" s="1442" t="s">
        <v>858</v>
      </c>
      <c r="K49" s="1442" t="s">
        <v>859</v>
      </c>
      <c r="L49" s="1442" t="s">
        <v>716</v>
      </c>
      <c r="M49" s="1442" t="s">
        <v>789</v>
      </c>
      <c r="O49" s="1442" t="s">
        <v>858</v>
      </c>
      <c r="P49" s="1442" t="s">
        <v>859</v>
      </c>
      <c r="Q49" s="1442" t="s">
        <v>716</v>
      </c>
      <c r="R49" s="1442" t="s">
        <v>789</v>
      </c>
    </row>
    <row r="50" spans="1:18" ht="13.15" customHeight="1">
      <c r="A50" s="448"/>
      <c r="B50" s="448" t="s">
        <v>892</v>
      </c>
      <c r="C50" s="1476"/>
      <c r="D50" s="1476"/>
      <c r="E50" s="1451">
        <f>J50+O50</f>
        <v>15714641.553353101</v>
      </c>
      <c r="F50" s="1451">
        <f t="shared" ref="F50:F61" si="50">K50+P50</f>
        <v>16581018.033832412</v>
      </c>
      <c r="G50" s="1451">
        <f t="shared" ref="G50:G62" si="51">F50-E50</f>
        <v>866376.4804793112</v>
      </c>
      <c r="H50" s="1444">
        <f>F50/E50-1</f>
        <v>5.5131800336511549E-2</v>
      </c>
      <c r="I50" s="448"/>
      <c r="J50" s="1451">
        <f t="array" ref="J50:J60">TRANSPOSE('VPP1'!$C$19:$M$19)</f>
        <v>15714641.553353101</v>
      </c>
      <c r="K50" s="1451">
        <f t="array" ref="K50:K60">TRANSPOSE('VPP1'!$C$40:$M$40)</f>
        <v>16581018.033832412</v>
      </c>
      <c r="L50" s="1451">
        <f t="shared" ref="L50:L60" si="52">K50-J50</f>
        <v>866376.4804793112</v>
      </c>
      <c r="M50" s="1444">
        <f>K50/J50-1</f>
        <v>5.5131800336511549E-2</v>
      </c>
      <c r="N50" s="448"/>
      <c r="O50" s="1451"/>
      <c r="P50" s="1451"/>
      <c r="Q50" s="1451"/>
      <c r="R50" s="1444"/>
    </row>
    <row r="51" spans="1:18" ht="13.15" customHeight="1">
      <c r="A51" s="448"/>
      <c r="B51" s="448" t="s">
        <v>751</v>
      </c>
      <c r="C51" s="1476"/>
      <c r="D51" s="1476"/>
      <c r="E51" s="1451">
        <f t="shared" ref="E51:E61" si="53">J51+O51</f>
        <v>62077199.422245882</v>
      </c>
      <c r="F51" s="1451">
        <f t="shared" si="50"/>
        <v>88104943.870437846</v>
      </c>
      <c r="G51" s="1451">
        <f t="shared" si="51"/>
        <v>26027744.448191963</v>
      </c>
      <c r="H51" s="1444">
        <f>F51/E51-1</f>
        <v>0.41928026216441561</v>
      </c>
      <c r="I51" s="448"/>
      <c r="J51" s="1451">
        <v>62077199.422245882</v>
      </c>
      <c r="K51" s="1451">
        <v>88104943.870437846</v>
      </c>
      <c r="L51" s="1451">
        <f t="shared" si="52"/>
        <v>26027744.448191963</v>
      </c>
      <c r="M51" s="1444">
        <f>K51/J51-1</f>
        <v>0.41928026216441561</v>
      </c>
      <c r="N51" s="448"/>
      <c r="O51" s="1451"/>
      <c r="P51" s="1451"/>
      <c r="Q51" s="1451"/>
      <c r="R51" s="1444"/>
    </row>
    <row r="52" spans="1:18" ht="13.15" customHeight="1">
      <c r="A52" s="448"/>
      <c r="B52" s="448" t="s">
        <v>750</v>
      </c>
      <c r="C52" s="1476"/>
      <c r="D52" s="1476"/>
      <c r="E52" s="1451">
        <f t="shared" si="53"/>
        <v>49639862.595721982</v>
      </c>
      <c r="F52" s="1451">
        <f t="shared" si="50"/>
        <v>45079591.36723461</v>
      </c>
      <c r="G52" s="1451">
        <f t="shared" si="51"/>
        <v>-4560271.2284873724</v>
      </c>
      <c r="H52" s="1444">
        <f>F52/E52-1</f>
        <v>-9.1867120294575111E-2</v>
      </c>
      <c r="I52" s="448"/>
      <c r="J52" s="1451">
        <v>49639862.595721982</v>
      </c>
      <c r="K52" s="1451">
        <v>45079591.36723461</v>
      </c>
      <c r="L52" s="1451">
        <f t="shared" si="52"/>
        <v>-4560271.2284873724</v>
      </c>
      <c r="M52" s="1444">
        <f>K52/J52-1</f>
        <v>-9.1867120294575111E-2</v>
      </c>
      <c r="N52" s="448"/>
      <c r="O52" s="1451"/>
      <c r="P52" s="1451"/>
      <c r="Q52" s="1451"/>
      <c r="R52" s="1444"/>
    </row>
    <row r="53" spans="1:18" ht="13.15" customHeight="1">
      <c r="A53" s="448"/>
      <c r="B53" s="448" t="s">
        <v>749</v>
      </c>
      <c r="C53" s="1476"/>
      <c r="D53" s="1476"/>
      <c r="E53" s="1451">
        <f t="shared" si="53"/>
        <v>64389756.439235084</v>
      </c>
      <c r="F53" s="1451">
        <f t="shared" si="50"/>
        <v>47513984.387535937</v>
      </c>
      <c r="G53" s="1451">
        <f t="shared" si="51"/>
        <v>-16875772.051699147</v>
      </c>
      <c r="H53" s="1444">
        <f>F53/E53-1</f>
        <v>-0.26208783795641299</v>
      </c>
      <c r="I53" s="448"/>
      <c r="J53" s="1451">
        <v>64389756.439235084</v>
      </c>
      <c r="K53" s="1451">
        <v>47513984.387535937</v>
      </c>
      <c r="L53" s="1451">
        <f t="shared" si="52"/>
        <v>-16875772.051699147</v>
      </c>
      <c r="M53" s="1444">
        <f>K53/J53-1</f>
        <v>-0.26208783795641299</v>
      </c>
      <c r="N53" s="448"/>
      <c r="O53" s="1451"/>
      <c r="P53" s="1451"/>
      <c r="Q53" s="1451"/>
      <c r="R53" s="1444"/>
    </row>
    <row r="54" spans="1:18" ht="13.15" customHeight="1">
      <c r="A54" s="448"/>
      <c r="B54" s="448" t="s">
        <v>1176</v>
      </c>
      <c r="C54" s="1476"/>
      <c r="D54" s="1476"/>
      <c r="E54" s="1451">
        <f t="shared" si="53"/>
        <v>0</v>
      </c>
      <c r="F54" s="1451">
        <f t="shared" si="50"/>
        <v>1263.2952936406084</v>
      </c>
      <c r="G54" s="1451">
        <f t="shared" si="51"/>
        <v>1263.2952936406084</v>
      </c>
      <c r="H54" s="1444"/>
      <c r="I54" s="448"/>
      <c r="J54" s="1451">
        <v>0</v>
      </c>
      <c r="K54" s="1451">
        <v>1263.2952936406084</v>
      </c>
      <c r="L54" s="1451">
        <f t="shared" si="52"/>
        <v>1263.2952936406084</v>
      </c>
      <c r="M54" s="1444"/>
      <c r="N54" s="448"/>
      <c r="O54" s="1451"/>
      <c r="P54" s="1451"/>
      <c r="Q54" s="1451"/>
      <c r="R54" s="1444"/>
    </row>
    <row r="55" spans="1:18" ht="13.15" customHeight="1">
      <c r="A55" s="448"/>
      <c r="B55" s="448" t="s">
        <v>274</v>
      </c>
      <c r="C55" s="1476"/>
      <c r="D55" s="1476"/>
      <c r="E55" s="1451">
        <f t="shared" si="53"/>
        <v>86189760.849201009</v>
      </c>
      <c r="F55" s="1451">
        <f t="shared" si="50"/>
        <v>96984803.858830094</v>
      </c>
      <c r="G55" s="1451">
        <f t="shared" si="51"/>
        <v>10795043.009629086</v>
      </c>
      <c r="H55" s="1444">
        <f t="shared" ref="H55:H60" si="54">F55/E55-1</f>
        <v>0.12524739485605796</v>
      </c>
      <c r="I55" s="448"/>
      <c r="J55" s="1451">
        <v>81575408.130186781</v>
      </c>
      <c r="K55" s="1451">
        <v>91280605.765314609</v>
      </c>
      <c r="L55" s="1451">
        <f t="shared" si="52"/>
        <v>9705197.6351278275</v>
      </c>
      <c r="M55" s="1444">
        <f>K55/J55-1</f>
        <v>0.11897210026383487</v>
      </c>
      <c r="N55" s="448"/>
      <c r="O55" s="1451">
        <f>'VPP1'!$O$16</f>
        <v>4614352.7190142209</v>
      </c>
      <c r="P55" s="1451">
        <f>'VPP1'!$O$40</f>
        <v>5704198.093515479</v>
      </c>
      <c r="Q55" s="1451">
        <f t="shared" ref="Q55:Q62" si="55">P55-O55</f>
        <v>1089845.3745012581</v>
      </c>
      <c r="R55" s="1444">
        <f t="shared" ref="R55:R62" si="56">P55/O55-1</f>
        <v>0.23618597035514122</v>
      </c>
    </row>
    <row r="56" spans="1:18" ht="13.15" customHeight="1">
      <c r="A56" s="448"/>
      <c r="B56" s="448" t="s">
        <v>275</v>
      </c>
      <c r="C56" s="1476"/>
      <c r="D56" s="1476"/>
      <c r="E56" s="1451">
        <f t="shared" si="53"/>
        <v>3572420.1694487338</v>
      </c>
      <c r="F56" s="1451">
        <f t="shared" si="50"/>
        <v>3779909.1761139818</v>
      </c>
      <c r="G56" s="1451">
        <f t="shared" si="51"/>
        <v>207489.00666524796</v>
      </c>
      <c r="H56" s="1444">
        <f t="shared" si="54"/>
        <v>5.8080795881651825E-2</v>
      </c>
      <c r="I56" s="448"/>
      <c r="J56" s="1451">
        <v>3438887.9521207074</v>
      </c>
      <c r="K56" s="1451">
        <v>3607133.5770188901</v>
      </c>
      <c r="L56" s="1451">
        <f t="shared" si="52"/>
        <v>168245.62489818269</v>
      </c>
      <c r="M56" s="1444">
        <f>K56/J56-1</f>
        <v>4.8924427675646864E-2</v>
      </c>
      <c r="N56" s="448"/>
      <c r="O56" s="1451">
        <f>'VPP1'!$P$16</f>
        <v>133532.2173280266</v>
      </c>
      <c r="P56" s="1451">
        <f>'VPP1'!$P$40</f>
        <v>172775.59909509146</v>
      </c>
      <c r="Q56" s="1451">
        <f t="shared" si="55"/>
        <v>39243.381767064857</v>
      </c>
      <c r="R56" s="1444">
        <f t="shared" si="56"/>
        <v>0.29388699260989659</v>
      </c>
    </row>
    <row r="57" spans="1:18" ht="13.15" customHeight="1">
      <c r="A57" s="448"/>
      <c r="B57" s="448" t="s">
        <v>276</v>
      </c>
      <c r="C57" s="1476"/>
      <c r="D57" s="1476"/>
      <c r="E57" s="1451">
        <f t="shared" si="53"/>
        <v>48379678.585280702</v>
      </c>
      <c r="F57" s="1451">
        <f t="shared" si="50"/>
        <v>56272641.501822308</v>
      </c>
      <c r="G57" s="1451">
        <f t="shared" si="51"/>
        <v>7892962.9165416062</v>
      </c>
      <c r="H57" s="1444">
        <f t="shared" si="54"/>
        <v>0.16314624543502032</v>
      </c>
      <c r="I57" s="448"/>
      <c r="J57" s="1451">
        <v>29854127.010996543</v>
      </c>
      <c r="K57" s="1451">
        <v>31359048.770436533</v>
      </c>
      <c r="L57" s="1451">
        <f t="shared" si="52"/>
        <v>1504921.7594399899</v>
      </c>
      <c r="M57" s="1444">
        <f>K57/J57-1</f>
        <v>5.0409169857342118E-2</v>
      </c>
      <c r="N57" s="448"/>
      <c r="O57" s="1451">
        <f>'VPP1'!$Q$16</f>
        <v>18525551.574284159</v>
      </c>
      <c r="P57" s="1451">
        <f>'VPP1'!$Q$40</f>
        <v>24913592.731385775</v>
      </c>
      <c r="Q57" s="1451">
        <f t="shared" si="55"/>
        <v>6388041.1571016163</v>
      </c>
      <c r="R57" s="1444">
        <f t="shared" si="56"/>
        <v>0.3448232637763422</v>
      </c>
    </row>
    <row r="58" spans="1:18" ht="13.15" customHeight="1">
      <c r="A58" s="448"/>
      <c r="B58" s="448" t="s">
        <v>277</v>
      </c>
      <c r="C58" s="1476"/>
      <c r="D58" s="1476"/>
      <c r="E58" s="1451">
        <f t="shared" si="53"/>
        <v>8946329.0764792934</v>
      </c>
      <c r="F58" s="1451">
        <f t="shared" si="50"/>
        <v>11181479.189291345</v>
      </c>
      <c r="G58" s="1451">
        <f t="shared" si="51"/>
        <v>2235150.1128120515</v>
      </c>
      <c r="H58" s="1444">
        <f t="shared" si="54"/>
        <v>0.24983991687590201</v>
      </c>
      <c r="I58" s="448"/>
      <c r="J58" s="1451">
        <v>4515848.5223364606</v>
      </c>
      <c r="K58" s="1451">
        <v>5245811.1217937702</v>
      </c>
      <c r="L58" s="1451">
        <f t="shared" si="52"/>
        <v>729962.59945730958</v>
      </c>
      <c r="M58" s="1444">
        <f>K58/J58-1</f>
        <v>0.16164461581178835</v>
      </c>
      <c r="N58" s="448"/>
      <c r="O58" s="1451">
        <f>'VPP1'!$R$16</f>
        <v>4430480.5541428337</v>
      </c>
      <c r="P58" s="1451">
        <f>'VPP1'!$R$40</f>
        <v>5935668.0674975747</v>
      </c>
      <c r="Q58" s="1451">
        <f t="shared" si="55"/>
        <v>1505187.513354741</v>
      </c>
      <c r="R58" s="1444">
        <f t="shared" si="56"/>
        <v>0.33973459424108676</v>
      </c>
    </row>
    <row r="59" spans="1:18" ht="13.15" customHeight="1">
      <c r="A59" s="448"/>
      <c r="B59" s="448" t="s">
        <v>278</v>
      </c>
      <c r="C59" s="1476"/>
      <c r="D59" s="1476"/>
      <c r="E59" s="1451">
        <f t="shared" si="53"/>
        <v>1018355.8386655077</v>
      </c>
      <c r="F59" s="1451">
        <f t="shared" si="50"/>
        <v>1668469.9185470284</v>
      </c>
      <c r="G59" s="1451">
        <f t="shared" si="51"/>
        <v>650114.07988152071</v>
      </c>
      <c r="H59" s="1444">
        <f t="shared" si="54"/>
        <v>0.63839578975994771</v>
      </c>
      <c r="I59" s="448"/>
      <c r="J59" s="1451">
        <v>474.12</v>
      </c>
      <c r="K59" s="1451">
        <v>498.33</v>
      </c>
      <c r="L59" s="1451">
        <f t="shared" si="52"/>
        <v>24.20999999999998</v>
      </c>
      <c r="M59" s="1444"/>
      <c r="N59" s="448"/>
      <c r="O59" s="1451">
        <f>'VPP1'!$S$16</f>
        <v>1017881.7186655077</v>
      </c>
      <c r="P59" s="1451">
        <f>'VPP1'!$S$40</f>
        <v>1667971.5885470284</v>
      </c>
      <c r="Q59" s="1451">
        <f t="shared" si="55"/>
        <v>650089.86988152063</v>
      </c>
      <c r="R59" s="1444">
        <f t="shared" si="56"/>
        <v>0.63866936399429597</v>
      </c>
    </row>
    <row r="60" spans="1:18" ht="13.15" customHeight="1">
      <c r="A60" s="448"/>
      <c r="B60" s="448" t="s">
        <v>279</v>
      </c>
      <c r="C60" s="1476"/>
      <c r="D60" s="1476"/>
      <c r="E60" s="1451">
        <f t="shared" si="53"/>
        <v>15918037.01543339</v>
      </c>
      <c r="F60" s="1451">
        <f t="shared" si="50"/>
        <v>16525702.616991512</v>
      </c>
      <c r="G60" s="1451">
        <f t="shared" si="51"/>
        <v>607665.60155812278</v>
      </c>
      <c r="H60" s="1444">
        <f t="shared" si="54"/>
        <v>3.8174656898269488E-2</v>
      </c>
      <c r="I60" s="448"/>
      <c r="J60" s="1451">
        <v>15199363.468611609</v>
      </c>
      <c r="K60" s="1451">
        <v>15548453.310501372</v>
      </c>
      <c r="L60" s="1451">
        <f t="shared" si="52"/>
        <v>349089.84188976325</v>
      </c>
      <c r="M60" s="1444">
        <f>K60/J60-1</f>
        <v>2.2967398773683811E-2</v>
      </c>
      <c r="N60" s="448"/>
      <c r="O60" s="1451">
        <f>'VPP1'!$T$16</f>
        <v>718673.54682177969</v>
      </c>
      <c r="P60" s="1451">
        <f>'VPP1'!$T$40</f>
        <v>977249.30649014073</v>
      </c>
      <c r="Q60" s="1451">
        <f t="shared" si="55"/>
        <v>258575.75966836105</v>
      </c>
      <c r="R60" s="1444">
        <f t="shared" si="56"/>
        <v>0.35979585002379944</v>
      </c>
    </row>
    <row r="61" spans="1:18" ht="13.15" customHeight="1">
      <c r="A61" s="448"/>
      <c r="B61" s="448" t="s">
        <v>1876</v>
      </c>
      <c r="C61" s="1476"/>
      <c r="D61" s="1476"/>
      <c r="E61" s="1451">
        <f t="shared" si="53"/>
        <v>46346.766462000087</v>
      </c>
      <c r="F61" s="1451">
        <f t="shared" si="50"/>
        <v>59631.83307000011</v>
      </c>
      <c r="G61" s="1451">
        <f t="shared" si="51"/>
        <v>13285.066608000023</v>
      </c>
      <c r="H61" s="1444"/>
      <c r="I61" s="448"/>
      <c r="J61" s="1451"/>
      <c r="K61" s="1451"/>
      <c r="L61" s="1451"/>
      <c r="M61" s="1444"/>
      <c r="N61" s="448"/>
      <c r="O61" s="1451">
        <f>'VPP1'!$U$16</f>
        <v>46346.766462000087</v>
      </c>
      <c r="P61" s="1451">
        <f>'VPP1'!$U$40</f>
        <v>59631.83307000011</v>
      </c>
      <c r="Q61" s="1451">
        <f t="shared" si="55"/>
        <v>13285.066608000023</v>
      </c>
      <c r="R61" s="1444">
        <f t="shared" si="56"/>
        <v>0.28664495114006505</v>
      </c>
    </row>
    <row r="62" spans="1:18" ht="13.15" customHeight="1">
      <c r="B62" s="1441" t="s">
        <v>786</v>
      </c>
      <c r="C62" s="1483"/>
      <c r="D62" s="1484"/>
      <c r="E62" s="1455">
        <f>SUM(E50:E61)</f>
        <v>355892388.31152672</v>
      </c>
      <c r="F62" s="1455">
        <f>SUM(F50:F61)</f>
        <v>383753439.04900068</v>
      </c>
      <c r="G62" s="1455">
        <f t="shared" si="51"/>
        <v>27861050.737473965</v>
      </c>
      <c r="H62" s="1450">
        <f>F62/E62-1</f>
        <v>7.828504248055479E-2</v>
      </c>
      <c r="J62" s="1455">
        <f>SUM(J50:J61)</f>
        <v>326405569.21480817</v>
      </c>
      <c r="K62" s="1455">
        <f>SUM(K50:K61)</f>
        <v>344322351.82939965</v>
      </c>
      <c r="L62" s="1455">
        <f t="shared" ref="L62" si="57">K62-J62</f>
        <v>17916782.614591479</v>
      </c>
      <c r="M62" s="1450">
        <f>K62/J62-1</f>
        <v>5.4891167015598263E-2</v>
      </c>
      <c r="O62" s="1455">
        <f>SUM(O50:O61)</f>
        <v>29486819.096718527</v>
      </c>
      <c r="P62" s="1455">
        <f>SUM(P50:P61)</f>
        <v>39431087.219601087</v>
      </c>
      <c r="Q62" s="1455">
        <f t="shared" si="55"/>
        <v>9944268.1228825599</v>
      </c>
      <c r="R62" s="1450">
        <f t="shared" si="56"/>
        <v>0.33724451899218999</v>
      </c>
    </row>
    <row r="63" spans="1:18" s="246" customFormat="1" ht="13.15" customHeight="1">
      <c r="A63" s="1458"/>
      <c r="B63" s="1459"/>
      <c r="C63" s="1488"/>
      <c r="D63" s="1489"/>
      <c r="E63" s="789">
        <f t="shared" ref="E63:F63" si="58">E30-E62</f>
        <v>0</v>
      </c>
      <c r="F63" s="789">
        <f t="shared" si="58"/>
        <v>0</v>
      </c>
      <c r="G63" s="789">
        <f>G30-G62</f>
        <v>1.0058283805847168E-7</v>
      </c>
      <c r="H63" s="1460"/>
      <c r="J63" s="789">
        <f>J30-J62</f>
        <v>0</v>
      </c>
      <c r="K63" s="789">
        <f>K30-K62</f>
        <v>0</v>
      </c>
      <c r="L63" s="789">
        <f>L30-L62</f>
        <v>0</v>
      </c>
      <c r="M63" s="1460"/>
      <c r="O63" s="789">
        <f>O30-O62</f>
        <v>0</v>
      </c>
      <c r="P63" s="789">
        <f>P30-P62</f>
        <v>0</v>
      </c>
      <c r="Q63" s="789">
        <f>Q30-Q62</f>
        <v>0</v>
      </c>
      <c r="R63" s="1460"/>
    </row>
    <row r="64" spans="1:18" s="246" customFormat="1" ht="13.15" customHeight="1">
      <c r="A64" s="1458"/>
      <c r="B64" s="1459"/>
      <c r="C64" s="1488"/>
      <c r="D64" s="1489"/>
      <c r="E64" s="789"/>
      <c r="F64" s="789"/>
      <c r="H64" s="1460"/>
      <c r="J64" s="789">
        <f>'VPP1'!N16-J62</f>
        <v>0</v>
      </c>
      <c r="K64" s="789">
        <f>'VPP1'!N40-K62</f>
        <v>0</v>
      </c>
      <c r="M64" s="1460"/>
      <c r="O64" s="789">
        <f>'VPP1'!V16-O62</f>
        <v>0</v>
      </c>
      <c r="P64" s="789">
        <f>'VPP1'!V40-P62</f>
        <v>0</v>
      </c>
      <c r="Q64" s="1460"/>
      <c r="R64" s="1460"/>
    </row>
    <row r="65" spans="1:18" ht="13.15" customHeight="1">
      <c r="A65" s="448"/>
      <c r="B65" s="1461" t="s">
        <v>415</v>
      </c>
      <c r="C65" s="1490"/>
      <c r="D65" s="1490"/>
      <c r="E65" s="1462"/>
      <c r="F65" s="87"/>
      <c r="G65" s="87"/>
      <c r="H65" s="1457"/>
      <c r="J65" s="1462">
        <f>'VPP1'!N21</f>
        <v>1668781457.8740001</v>
      </c>
      <c r="K65" s="87">
        <f>J65</f>
        <v>1668781457.8740001</v>
      </c>
      <c r="L65" s="87"/>
      <c r="M65" s="1457"/>
      <c r="O65" s="1462"/>
      <c r="P65" s="87"/>
      <c r="Q65" s="1457"/>
      <c r="R65" s="1457"/>
    </row>
    <row r="66" spans="1:18" ht="13.15" customHeight="1">
      <c r="A66" s="448"/>
      <c r="B66" s="1461" t="s">
        <v>857</v>
      </c>
      <c r="C66" s="1490"/>
      <c r="D66" s="1490"/>
      <c r="E66" s="1462"/>
      <c r="F66" s="87"/>
      <c r="G66" s="87"/>
      <c r="H66" s="1457"/>
      <c r="J66" s="1462">
        <f>'VPP1'!V21</f>
        <v>475168318.43411863</v>
      </c>
      <c r="K66" s="87">
        <f>J66</f>
        <v>475168318.43411863</v>
      </c>
      <c r="L66" s="87"/>
      <c r="M66" s="1457"/>
      <c r="O66" s="1462"/>
      <c r="P66" s="87"/>
      <c r="Q66" s="1457"/>
      <c r="R66" s="1457"/>
    </row>
    <row r="67" spans="1:18" ht="13.15" customHeight="1">
      <c r="A67" s="448"/>
      <c r="B67" s="1461" t="s">
        <v>934</v>
      </c>
      <c r="D67" s="1487"/>
      <c r="E67" s="87"/>
      <c r="F67" s="87"/>
      <c r="G67" s="87"/>
      <c r="H67" s="1457"/>
      <c r="J67" s="87">
        <f>SUM(J65:J66)</f>
        <v>2143949776.3081188</v>
      </c>
      <c r="K67" s="87">
        <f>SUM(K65:K66)</f>
        <v>2143949776.3081188</v>
      </c>
      <c r="L67" s="87"/>
      <c r="M67" s="1457"/>
      <c r="Q67" s="1457"/>
      <c r="R67" s="1457"/>
    </row>
    <row r="68" spans="1:18" ht="13.15" customHeight="1">
      <c r="A68" s="448"/>
      <c r="B68" s="1456"/>
      <c r="D68" s="1487"/>
      <c r="H68" s="1457"/>
      <c r="M68" s="1457"/>
      <c r="Q68" s="1457"/>
      <c r="R68" s="1457"/>
    </row>
    <row r="69" spans="1:18" ht="13.15" customHeight="1">
      <c r="B69" s="52" t="str">
        <f>'PORTADA PORTADA PORTADA'!$B$23</f>
        <v>1 DE JULIO DE 2026</v>
      </c>
      <c r="H69" s="1463"/>
      <c r="M69" s="1463"/>
      <c r="Q69" s="1463"/>
      <c r="R69" s="1463"/>
    </row>
    <row r="70" spans="1:18" ht="13.15" customHeight="1">
      <c r="B70" s="1461"/>
      <c r="C70" s="1491"/>
      <c r="E70" s="1464"/>
      <c r="F70" s="1464"/>
      <c r="G70" s="1464"/>
      <c r="H70" s="1463"/>
      <c r="J70" s="1464"/>
      <c r="K70" s="1464"/>
      <c r="L70" s="1464"/>
      <c r="M70" s="1463"/>
      <c r="O70" s="1464"/>
      <c r="P70" s="1464"/>
      <c r="Q70" s="1463"/>
      <c r="R70" s="1463"/>
    </row>
    <row r="71" spans="1:18" ht="13.15" customHeight="1">
      <c r="B71" s="38" t="s">
        <v>9</v>
      </c>
      <c r="E71" s="1465"/>
      <c r="F71" s="1465"/>
      <c r="G71" s="1466">
        <f t="shared" ref="G71:H74" si="59">J71/J$74</f>
        <v>0.22826222414483016</v>
      </c>
      <c r="H71" s="1466">
        <f t="shared" si="59"/>
        <v>0.25617464831439685</v>
      </c>
      <c r="J71" s="1465">
        <f>J7</f>
        <v>4.4646985290183475E-2</v>
      </c>
      <c r="K71" s="1465">
        <f>K7</f>
        <v>5.2856925615087001E-2</v>
      </c>
      <c r="L71" s="1467">
        <f>K71/J71-1</f>
        <v>0.18388565927896239</v>
      </c>
      <c r="O71" s="1465">
        <f>O7</f>
        <v>2.3964641434809347E-2</v>
      </c>
      <c r="P71" s="1465">
        <f>P7</f>
        <v>2.7884651174984766E-2</v>
      </c>
      <c r="Q71" s="1467">
        <f>P71/O71-1</f>
        <v>0.16357472949632745</v>
      </c>
      <c r="R71" s="1467"/>
    </row>
    <row r="72" spans="1:18" ht="13.15" customHeight="1">
      <c r="B72" s="38" t="s">
        <v>10</v>
      </c>
      <c r="E72" s="1465"/>
      <c r="F72" s="1465"/>
      <c r="G72" s="1466">
        <f t="shared" si="59"/>
        <v>4.0516050070360292E-2</v>
      </c>
      <c r="H72" s="1466">
        <f t="shared" si="59"/>
        <v>6.7134496656337736E-2</v>
      </c>
      <c r="J72" s="1465">
        <f>J11</f>
        <v>7.9247431250821926E-3</v>
      </c>
      <c r="K72" s="1465">
        <f>K11</f>
        <v>1.3851968254155016E-2</v>
      </c>
      <c r="L72" s="1467">
        <f>K72/J72-1</f>
        <v>0.74793908591344382</v>
      </c>
      <c r="O72" s="1465">
        <f>O11</f>
        <v>4.3435084322438564E-3</v>
      </c>
      <c r="P72" s="1465">
        <f>P11</f>
        <v>6.9384348897095233E-3</v>
      </c>
      <c r="Q72" s="1467">
        <f>P72/O72-1</f>
        <v>0.59742636579276254</v>
      </c>
      <c r="R72" s="1467"/>
    </row>
    <row r="73" spans="1:18" ht="13.15" customHeight="1">
      <c r="B73" s="38" t="s">
        <v>1253</v>
      </c>
      <c r="E73" s="1465"/>
      <c r="F73" s="1465"/>
      <c r="G73" s="1466">
        <f t="shared" si="59"/>
        <v>0.7312217257848096</v>
      </c>
      <c r="H73" s="1466">
        <f t="shared" si="59"/>
        <v>0.67669085502926551</v>
      </c>
      <c r="J73" s="1465">
        <f>J14+J8</f>
        <v>0.14302342736423554</v>
      </c>
      <c r="K73" s="1465">
        <f>K14+K8</f>
        <v>0.13962270827359374</v>
      </c>
      <c r="L73" s="1467">
        <f>K73/J73-1</f>
        <v>-2.3777356991880993E-2</v>
      </c>
      <c r="O73" s="1465">
        <f>O14+O8</f>
        <v>3.3747374360424992E-2</v>
      </c>
      <c r="P73" s="1465">
        <f>P14+P8</f>
        <v>4.8160323581688001E-2</v>
      </c>
      <c r="Q73" s="1467">
        <f>P73/O73-1</f>
        <v>0.42708357300130717</v>
      </c>
      <c r="R73" s="1467"/>
    </row>
    <row r="74" spans="1:18" ht="13.15" customHeight="1">
      <c r="B74" s="246" t="s">
        <v>112</v>
      </c>
      <c r="E74" s="1468"/>
      <c r="F74" s="1468"/>
      <c r="G74" s="1469">
        <f t="shared" si="59"/>
        <v>1</v>
      </c>
      <c r="H74" s="1469">
        <f t="shared" si="59"/>
        <v>1</v>
      </c>
      <c r="I74" s="246"/>
      <c r="J74" s="1468">
        <f>SUM(J71:J73)</f>
        <v>0.19559515577950121</v>
      </c>
      <c r="K74" s="1468">
        <f>SUM(K71:K73)</f>
        <v>0.20633160214283575</v>
      </c>
      <c r="L74" s="1470">
        <f>K74/J74-1</f>
        <v>5.4891167015598263E-2</v>
      </c>
      <c r="M74" s="1470">
        <f>M62</f>
        <v>5.4891167015598263E-2</v>
      </c>
      <c r="N74" s="246"/>
      <c r="O74" s="1468">
        <f>SUM(O71:O73)</f>
        <v>6.2055524227478197E-2</v>
      </c>
      <c r="P74" s="1468">
        <f>SUM(P71:P73)</f>
        <v>8.2983409646382289E-2</v>
      </c>
      <c r="Q74" s="1470">
        <f>P74/O74-1</f>
        <v>0.33724451899219021</v>
      </c>
      <c r="R74" s="1470">
        <f>R62</f>
        <v>0.33724451899218999</v>
      </c>
    </row>
    <row r="75" spans="1:18" ht="13.15" customHeight="1">
      <c r="E75" s="1465"/>
      <c r="F75" s="1465"/>
      <c r="G75" s="1467"/>
      <c r="J75" s="1465">
        <f>J72+J73</f>
        <v>0.15094817048931775</v>
      </c>
      <c r="K75" s="1465">
        <f>K72+K73</f>
        <v>0.15347467652774877</v>
      </c>
      <c r="L75" s="1467">
        <f>K75/J75-1</f>
        <v>1.6737573103675407E-2</v>
      </c>
      <c r="O75" s="1465">
        <f>O72+O73</f>
        <v>3.8090882792668847E-2</v>
      </c>
      <c r="P75" s="1465">
        <f>P72+P73</f>
        <v>5.5098758471397523E-2</v>
      </c>
      <c r="Q75" s="1467">
        <f>P75/O75-1</f>
        <v>0.44650778432475957</v>
      </c>
      <c r="R75" s="1467"/>
    </row>
    <row r="76" spans="1:18" ht="13.15" customHeight="1">
      <c r="E76" s="38" t="s">
        <v>514</v>
      </c>
      <c r="F76" s="38" t="s">
        <v>514</v>
      </c>
      <c r="K76" s="1465"/>
      <c r="P76" s="1465"/>
    </row>
    <row r="77" spans="1:18" ht="13.15" customHeight="1">
      <c r="E77" s="87">
        <f>'VPP1'!H21+'VPP1'!O21</f>
        <v>409297289.14546239</v>
      </c>
      <c r="F77" s="87">
        <f>E77</f>
        <v>409297289.14546239</v>
      </c>
      <c r="G77" s="87"/>
      <c r="J77" s="87">
        <f>J22</f>
        <v>74506061.202231422</v>
      </c>
      <c r="K77" s="87">
        <f>K22</f>
        <v>88206657.386682451</v>
      </c>
      <c r="L77" s="87">
        <f>K77-J77</f>
        <v>13700596.184451029</v>
      </c>
      <c r="O77" s="87">
        <f>O22</f>
        <v>11387238.372454964</v>
      </c>
      <c r="P77" s="87">
        <f>P22</f>
        <v>13249902.808939483</v>
      </c>
      <c r="Q77" s="87">
        <f>P77-O77</f>
        <v>1862664.4364845194</v>
      </c>
    </row>
    <row r="78" spans="1:18" ht="13.15" customHeight="1">
      <c r="E78" s="87">
        <f>'VPP1'!I21+'VPP1'!P21</f>
        <v>18959434.937843401</v>
      </c>
      <c r="F78" s="87">
        <f t="shared" ref="F78:F83" si="60">E78</f>
        <v>18959434.937843401</v>
      </c>
      <c r="G78" s="87"/>
      <c r="J78" s="87">
        <f>+J23</f>
        <v>19583802.102673095</v>
      </c>
      <c r="K78" s="87">
        <f>+K23</f>
        <v>26515532.999250062</v>
      </c>
      <c r="L78" s="87">
        <f>K78-J78</f>
        <v>6931730.8965769671</v>
      </c>
      <c r="O78" s="87">
        <f>O23</f>
        <v>3996161.814860269</v>
      </c>
      <c r="P78" s="87">
        <f>P23</f>
        <v>5207736.1434455588</v>
      </c>
      <c r="Q78" s="87">
        <f>P78-O78</f>
        <v>1211574.3285852899</v>
      </c>
    </row>
    <row r="79" spans="1:18" ht="13.15" customHeight="1">
      <c r="E79" s="87">
        <f>'VPP1'!J21+'VPP1'!Q21</f>
        <v>411526713.0775246</v>
      </c>
      <c r="F79" s="87">
        <f t="shared" si="60"/>
        <v>411526713.0775246</v>
      </c>
      <c r="G79" s="87"/>
      <c r="J79" s="87">
        <f>J26</f>
        <v>13224664.38555162</v>
      </c>
      <c r="K79" s="87">
        <f>K26</f>
        <v>23115907.777593173</v>
      </c>
      <c r="L79" s="87">
        <f>K79-J79</f>
        <v>9891243.3920415528</v>
      </c>
      <c r="O79" s="87">
        <f>O26</f>
        <v>2063897.5978537281</v>
      </c>
      <c r="P79" s="87">
        <f>P26</f>
        <v>3296924.4391078935</v>
      </c>
      <c r="Q79" s="87">
        <f>P79-O79</f>
        <v>1233026.8412541654</v>
      </c>
    </row>
    <row r="80" spans="1:18" ht="13.15" customHeight="1">
      <c r="E80" s="87">
        <f>'VPP1'!K21+'VPP1'!R21</f>
        <v>88817812.320367619</v>
      </c>
      <c r="F80" s="87">
        <f t="shared" si="60"/>
        <v>88817812.320367619</v>
      </c>
      <c r="G80" s="87"/>
      <c r="J80" s="87">
        <f>J29</f>
        <v>219091041.52435201</v>
      </c>
      <c r="K80" s="87">
        <f>K29</f>
        <v>206484253.66587394</v>
      </c>
      <c r="L80" s="87">
        <f>K80-J80</f>
        <v>-12606787.858478069</v>
      </c>
      <c r="O80" s="87">
        <f>O29</f>
        <v>12039521.311549567</v>
      </c>
      <c r="P80" s="87">
        <f>P29</f>
        <v>17676523.828108158</v>
      </c>
      <c r="Q80" s="87">
        <f>P80-O80</f>
        <v>5637002.5165585913</v>
      </c>
    </row>
    <row r="81" spans="2:17" ht="13.15" customHeight="1">
      <c r="E81" s="87">
        <f>'VPP1'!L21+'VPP1'!S21</f>
        <v>31570463.047502816</v>
      </c>
      <c r="F81" s="87">
        <f t="shared" si="60"/>
        <v>31570463.047502816</v>
      </c>
      <c r="G81" s="87"/>
      <c r="J81" s="87">
        <f>SUM(J77:J80)</f>
        <v>326405569.21480817</v>
      </c>
      <c r="K81" s="87">
        <f>SUM(K77:K80)</f>
        <v>344322351.82939959</v>
      </c>
      <c r="L81" s="87">
        <f>K81-J81</f>
        <v>17916782.61459142</v>
      </c>
      <c r="O81" s="87">
        <f>SUM(O77:O80)</f>
        <v>29486819.096718527</v>
      </c>
      <c r="P81" s="87">
        <f>SUM(P77:P80)</f>
        <v>39431087.219601095</v>
      </c>
      <c r="Q81" s="87">
        <f>P81-O81</f>
        <v>9944268.1228825673</v>
      </c>
    </row>
    <row r="82" spans="2:17" ht="13.15" customHeight="1">
      <c r="E82" s="87">
        <f>'VPP1'!M21+'VPP1'!T21</f>
        <v>167957712.58941782</v>
      </c>
      <c r="F82" s="87">
        <f t="shared" si="60"/>
        <v>167957712.58941782</v>
      </c>
      <c r="K82" s="1465"/>
      <c r="P82" s="1465"/>
    </row>
    <row r="83" spans="2:17" ht="13.15" customHeight="1">
      <c r="E83" s="87">
        <f>'VPP1'!U21</f>
        <v>15096666.600000029</v>
      </c>
      <c r="F83" s="87">
        <f t="shared" si="60"/>
        <v>15096666.600000029</v>
      </c>
      <c r="G83" s="87"/>
      <c r="J83" s="87">
        <f t="shared" ref="J83:K87" si="61">J77+O77</f>
        <v>85893299.574686378</v>
      </c>
      <c r="K83" s="87">
        <f t="shared" si="61"/>
        <v>101456560.19562194</v>
      </c>
      <c r="L83" s="87">
        <f t="shared" ref="L83:L88" si="62">K83-J83</f>
        <v>15563260.620935559</v>
      </c>
      <c r="P83" s="1465"/>
    </row>
    <row r="84" spans="2:17" ht="13.15" customHeight="1">
      <c r="E84" s="87"/>
      <c r="F84" s="87"/>
      <c r="G84" s="87"/>
      <c r="J84" s="87">
        <f t="shared" si="61"/>
        <v>23579963.917533364</v>
      </c>
      <c r="K84" s="87">
        <f t="shared" si="61"/>
        <v>31723269.142695621</v>
      </c>
      <c r="L84" s="87">
        <f t="shared" si="62"/>
        <v>8143305.2251622565</v>
      </c>
      <c r="P84" s="1465"/>
    </row>
    <row r="85" spans="2:17" ht="13.15" customHeight="1">
      <c r="E85" s="87"/>
      <c r="F85" s="87"/>
      <c r="G85" s="87"/>
      <c r="J85" s="87">
        <f t="shared" si="61"/>
        <v>15288561.983405348</v>
      </c>
      <c r="K85" s="87">
        <f t="shared" si="61"/>
        <v>26412832.216701068</v>
      </c>
      <c r="L85" s="87">
        <f t="shared" si="62"/>
        <v>11124270.23329572</v>
      </c>
      <c r="P85" s="1465"/>
    </row>
    <row r="86" spans="2:17" ht="13.15" customHeight="1">
      <c r="E86" s="87"/>
      <c r="F86" s="87"/>
      <c r="G86" s="87"/>
      <c r="J86" s="87">
        <f t="shared" si="61"/>
        <v>231130562.83590159</v>
      </c>
      <c r="K86" s="87">
        <f t="shared" si="61"/>
        <v>224160777.49398211</v>
      </c>
      <c r="L86" s="87">
        <f t="shared" si="62"/>
        <v>-6969785.3419194818</v>
      </c>
      <c r="P86" s="1465"/>
    </row>
    <row r="87" spans="2:17" ht="13.15" customHeight="1">
      <c r="E87" s="1471"/>
      <c r="F87" s="1471"/>
      <c r="G87" s="1471"/>
      <c r="J87" s="1471">
        <f t="shared" si="61"/>
        <v>355892388.31152672</v>
      </c>
      <c r="K87" s="1471">
        <f t="shared" si="61"/>
        <v>383753439.04900068</v>
      </c>
      <c r="L87" s="1471">
        <f t="shared" si="62"/>
        <v>27861050.737473965</v>
      </c>
      <c r="P87" s="1465"/>
    </row>
    <row r="88" spans="2:17" ht="13.15" customHeight="1">
      <c r="E88" s="1471"/>
      <c r="F88" s="1471"/>
      <c r="G88" s="1471"/>
      <c r="J88" s="1471">
        <f>J81+O81</f>
        <v>355892388.31152672</v>
      </c>
      <c r="K88" s="1471">
        <f>K81+P81</f>
        <v>383753439.04900068</v>
      </c>
      <c r="L88" s="1471">
        <f t="shared" si="62"/>
        <v>27861050.737473965</v>
      </c>
      <c r="P88" s="1465"/>
    </row>
    <row r="89" spans="2:17" ht="13.15" customHeight="1">
      <c r="B89" s="1472" t="s">
        <v>457</v>
      </c>
      <c r="C89" s="1492"/>
      <c r="D89" s="1493"/>
      <c r="E89" s="1471"/>
      <c r="F89" s="1471"/>
      <c r="G89" s="1473"/>
      <c r="J89" s="1471">
        <f>+J74*J65/1000</f>
        <v>326405.56921480817</v>
      </c>
      <c r="K89" s="1471">
        <f>+K74*K65/1000</f>
        <v>344322.35182939959</v>
      </c>
      <c r="L89" s="1473">
        <f>+K89-J89</f>
        <v>17916.782614591415</v>
      </c>
    </row>
    <row r="90" spans="2:17" ht="13.15" customHeight="1">
      <c r="E90" s="1471"/>
      <c r="F90" s="1471"/>
      <c r="G90" s="1473"/>
      <c r="J90" s="1471">
        <f>+O74*J66/1000</f>
        <v>29486.819096718522</v>
      </c>
      <c r="K90" s="1471">
        <f>+P74*K66/1000</f>
        <v>39431.087219601097</v>
      </c>
      <c r="L90" s="1473">
        <f>+K90-J90</f>
        <v>9944.268122882575</v>
      </c>
      <c r="P90" s="1465"/>
    </row>
  </sheetData>
  <phoneticPr fontId="0" type="noConversion"/>
  <printOptions horizontalCentered="1" verticalCentered="1"/>
  <pageMargins left="0.19685039370078741" right="0.19685039370078741" top="0.39370078740157483" bottom="0.19685039370078741" header="0.59055118110236227" footer="0.47244094488188981"/>
  <pageSetup scale="46" orientation="landscape" r:id="rId1"/>
  <headerFooter>
    <oddHeader>&amp;L&amp;"Times New Roman,Negrita"&amp;14Nombre de la Distribuidora: &amp;K06-048ENSA&amp;RASEP FORM: &amp;A</oddHeader>
    <oddFooter>&amp;R&amp;A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432CC-4E06-4629-A7A3-5C8D601E54EB}">
  <sheetPr codeName="Hoja18">
    <tabColor theme="7" tint="0.79998168889431442"/>
  </sheetPr>
  <dimension ref="A2:AH34"/>
  <sheetViews>
    <sheetView zoomScaleNormal="100" zoomScaleSheetLayoutView="100" workbookViewId="0">
      <selection activeCell="H29" sqref="H29"/>
    </sheetView>
  </sheetViews>
  <sheetFormatPr baseColWidth="10" defaultColWidth="11.25" defaultRowHeight="12"/>
  <cols>
    <col min="1" max="1" width="1.125" style="337" customWidth="1"/>
    <col min="2" max="2" width="16.75" style="337" bestFit="1" customWidth="1"/>
    <col min="3" max="8" width="8.875" style="337" customWidth="1"/>
    <col min="9" max="9" width="1.125" style="337" customWidth="1"/>
    <col min="10" max="11" width="5.875" style="1374" bestFit="1" customWidth="1"/>
    <col min="12" max="12" width="10.25" style="693" customWidth="1"/>
    <col min="13" max="13" width="6.125" style="337" customWidth="1"/>
    <col min="14" max="14" width="0.875" style="74" customWidth="1"/>
    <col min="15" max="15" width="11.75" style="74" hidden="1" customWidth="1"/>
    <col min="16" max="17" width="6.125" style="74" hidden="1" customWidth="1"/>
    <col min="18" max="18" width="0.875" style="74" hidden="1" customWidth="1"/>
    <col min="19" max="19" width="8.75" style="74" hidden="1" customWidth="1"/>
    <col min="20" max="20" width="3.625" style="74" hidden="1" customWidth="1"/>
    <col min="21" max="23" width="4.375" style="74" hidden="1" customWidth="1"/>
    <col min="24" max="25" width="4.625" style="74" hidden="1" customWidth="1"/>
    <col min="26" max="26" width="4.125" style="74" hidden="1" customWidth="1"/>
    <col min="27" max="34" width="4.625" style="1374" hidden="1" customWidth="1"/>
    <col min="35" max="16384" width="11.25" style="337"/>
  </cols>
  <sheetData>
    <row r="2" spans="1:34" s="1176" customFormat="1" ht="27">
      <c r="B2" s="1431" t="s">
        <v>2135</v>
      </c>
      <c r="C2" s="1258"/>
      <c r="D2" s="1258"/>
      <c r="E2" s="1258"/>
      <c r="F2" s="1258"/>
      <c r="G2" s="1258"/>
      <c r="H2" s="1258"/>
      <c r="J2" s="2034"/>
      <c r="K2" s="2034"/>
      <c r="L2" s="1432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1049"/>
      <c r="Z2" s="1049"/>
      <c r="AA2" s="2034"/>
      <c r="AB2" s="2034"/>
      <c r="AC2" s="2034"/>
      <c r="AD2" s="2034"/>
      <c r="AE2" s="2034"/>
      <c r="AF2" s="2034"/>
      <c r="AG2" s="2034"/>
      <c r="AH2" s="2034"/>
    </row>
    <row r="3" spans="1:34" s="1176" customFormat="1">
      <c r="B3" s="1257"/>
      <c r="C3" s="1258"/>
      <c r="D3" s="1258"/>
      <c r="E3" s="1258"/>
      <c r="F3" s="1258"/>
      <c r="G3" s="1258"/>
      <c r="H3" s="1258"/>
      <c r="J3" s="2034"/>
      <c r="K3" s="2034"/>
      <c r="L3" s="1432"/>
      <c r="N3" s="1049"/>
      <c r="O3" s="1049"/>
      <c r="P3" s="1049"/>
      <c r="Q3" s="1049"/>
      <c r="R3" s="1049"/>
      <c r="S3" s="1049"/>
      <c r="T3" s="1049"/>
      <c r="U3" s="1049"/>
      <c r="V3" s="1049"/>
      <c r="W3" s="1049"/>
      <c r="X3" s="1049"/>
      <c r="Y3" s="1049"/>
      <c r="Z3" s="1049"/>
      <c r="AA3" s="2034"/>
      <c r="AB3" s="2034"/>
      <c r="AC3" s="2034"/>
      <c r="AD3" s="2034"/>
      <c r="AE3" s="2034"/>
      <c r="AF3" s="2034"/>
      <c r="AG3" s="2034"/>
      <c r="AH3" s="2034"/>
    </row>
    <row r="4" spans="1:34" ht="24">
      <c r="B4" s="1595" t="s">
        <v>918</v>
      </c>
      <c r="C4" s="1595" t="s">
        <v>968</v>
      </c>
      <c r="D4" s="1595" t="s">
        <v>966</v>
      </c>
      <c r="E4" s="1595" t="s">
        <v>967</v>
      </c>
      <c r="F4" s="1595" t="s">
        <v>1655</v>
      </c>
      <c r="G4" s="1595" t="s">
        <v>1654</v>
      </c>
      <c r="H4" s="1595" t="s">
        <v>716</v>
      </c>
      <c r="J4" s="2035" t="s">
        <v>1252</v>
      </c>
      <c r="K4" s="2035" t="s">
        <v>1251</v>
      </c>
      <c r="L4" s="2033" t="s">
        <v>514</v>
      </c>
      <c r="M4" s="2033"/>
      <c r="O4" s="2403"/>
      <c r="P4" s="2403"/>
      <c r="Q4" s="2403"/>
      <c r="S4" s="2405"/>
      <c r="T4" s="2405" t="s">
        <v>514</v>
      </c>
      <c r="U4" s="2405" t="s">
        <v>2137</v>
      </c>
      <c r="V4" s="2405" t="s">
        <v>2138</v>
      </c>
      <c r="W4" s="2405" t="s">
        <v>2139</v>
      </c>
      <c r="X4" s="2406" t="s">
        <v>2141</v>
      </c>
      <c r="Y4" s="2406" t="s">
        <v>2142</v>
      </c>
      <c r="Z4" s="2406" t="s">
        <v>2140</v>
      </c>
      <c r="AA4" s="2407"/>
      <c r="AB4" s="2407"/>
      <c r="AC4" s="2407"/>
      <c r="AD4" s="2407"/>
      <c r="AE4" s="2411"/>
      <c r="AF4" s="2411"/>
      <c r="AG4" s="2411"/>
      <c r="AH4" s="2411"/>
    </row>
    <row r="5" spans="1:34">
      <c r="A5" s="1588"/>
      <c r="B5" s="1597" t="s">
        <v>892</v>
      </c>
      <c r="C5" s="1598">
        <f>'VPP1'!C22</f>
        <v>82939</v>
      </c>
      <c r="D5" s="1599">
        <f t="shared" ref="D5:D28" si="0">C5/C$29</f>
        <v>0.15025861678518049</v>
      </c>
      <c r="E5" s="1600">
        <f t="shared" ref="E5:E29" si="1">L5/L$29</f>
        <v>4.1676026857169111E-2</v>
      </c>
      <c r="F5" s="1601">
        <f>'VPP1'!C17</f>
        <v>0.17587428596324772</v>
      </c>
      <c r="G5" s="1601">
        <f>'VPP1'!C41</f>
        <v>0.18557055198130004</v>
      </c>
      <c r="H5" s="1602">
        <f>G5/F5-1</f>
        <v>5.5131800336511549E-2</v>
      </c>
      <c r="J5" s="2036">
        <f>'VPP1'!C44</f>
        <v>5.5131800336511549E-2</v>
      </c>
      <c r="K5" s="2036">
        <f>'VPP2'!M34</f>
        <v>5.5131800336511549E-2</v>
      </c>
      <c r="L5" s="1433">
        <f>'VPP1'!C21</f>
        <v>89351558.514000013</v>
      </c>
      <c r="M5" s="2296">
        <f t="shared" ref="M5:M12" si="2">L5/L$12</f>
        <v>8.9286407598279077E-2</v>
      </c>
      <c r="P5" s="2400"/>
      <c r="Q5" s="2400"/>
      <c r="S5" s="74" t="s">
        <v>2136</v>
      </c>
      <c r="T5" s="74">
        <v>25</v>
      </c>
      <c r="U5" s="2404">
        <f>($T5-10)*P$16+P$15</f>
        <v>4.9971499999999995</v>
      </c>
      <c r="V5" s="2404">
        <f>($T5-10)*Q$16+Q$15</f>
        <v>5.4031500000000001</v>
      </c>
      <c r="W5" s="2363">
        <f>V5/U5-1</f>
        <v>8.1246310396926313E-2</v>
      </c>
      <c r="X5" s="2404">
        <f>U5*(1+P$7)</f>
        <v>2.8203914599999997</v>
      </c>
      <c r="Y5" s="2404">
        <f>V5*(1+Q$7)</f>
        <v>2.9193219450000001</v>
      </c>
      <c r="Z5" s="2363">
        <f>Y5/X5-1</f>
        <v>3.507686305361335E-2</v>
      </c>
      <c r="AA5" s="2408">
        <f>U5/$T5</f>
        <v>0.19988599999999998</v>
      </c>
      <c r="AB5" s="2408">
        <f>V5/$T5</f>
        <v>0.21612600000000001</v>
      </c>
      <c r="AC5" s="2408">
        <f>X5/$T5</f>
        <v>0.11281565839999999</v>
      </c>
      <c r="AD5" s="2408">
        <f>Y5/$T5</f>
        <v>0.11677287780000001</v>
      </c>
      <c r="AE5" s="2408">
        <f>AA5+$P$21</f>
        <v>0.20551599999999998</v>
      </c>
      <c r="AF5" s="2408">
        <f>AB5+$Q$21</f>
        <v>0.22175600000000001</v>
      </c>
      <c r="AG5" s="2408">
        <f>AC5+$P$21</f>
        <v>0.11844565839999999</v>
      </c>
      <c r="AH5" s="2408">
        <f>AD5+$Q$21</f>
        <v>0.1224028778</v>
      </c>
    </row>
    <row r="6" spans="1:34">
      <c r="A6" s="1588"/>
      <c r="B6" s="1597" t="s">
        <v>919</v>
      </c>
      <c r="C6" s="1598">
        <f>'VPP1'!D22</f>
        <v>317238.16666666669</v>
      </c>
      <c r="D6" s="1599">
        <f t="shared" si="0"/>
        <v>0.57473285323912615</v>
      </c>
      <c r="E6" s="1600">
        <f t="shared" si="1"/>
        <v>0.25395238034413287</v>
      </c>
      <c r="F6" s="1601">
        <f>'VPP1'!D17</f>
        <v>0.11401552857454715</v>
      </c>
      <c r="G6" s="1601">
        <f>'VPP1'!D41</f>
        <v>0.1618199892860977</v>
      </c>
      <c r="H6" s="1602">
        <f>G6/F6-1</f>
        <v>0.41928026216441561</v>
      </c>
      <c r="J6" s="2036">
        <f>'VPP1'!D44</f>
        <v>0.41928026216441561</v>
      </c>
      <c r="K6" s="2036">
        <f>'VPP2'!M35</f>
        <v>0.41928026216441561</v>
      </c>
      <c r="L6" s="1433">
        <f>'VPP1'!D21</f>
        <v>544462672.74600005</v>
      </c>
      <c r="M6" s="2296">
        <f t="shared" si="2"/>
        <v>0.54406567640597858</v>
      </c>
      <c r="O6" s="74" t="str">
        <f>'Formato FET ASEP'!B6</f>
        <v>Prepago</v>
      </c>
      <c r="P6" s="2400">
        <f>ROUND('Facturador Cáculo %FET'!C13,4)</f>
        <v>-0.40610000000000002</v>
      </c>
      <c r="Q6" s="2400">
        <f>ROUND('Facturador Cáculo %FET'!D13,4)</f>
        <v>-0.43709999999999999</v>
      </c>
      <c r="S6" s="2410" t="s">
        <v>1688</v>
      </c>
      <c r="T6" s="2410">
        <v>100</v>
      </c>
      <c r="U6" s="2404">
        <f>$T6*P14</f>
        <v>17.830000000000002</v>
      </c>
      <c r="V6" s="2404">
        <f>$T6*Q14</f>
        <v>18.813000000000002</v>
      </c>
      <c r="W6" s="2363">
        <f>V6/U6-1</f>
        <v>5.5131800336511549E-2</v>
      </c>
      <c r="X6" s="2404">
        <f>U6*(1+P6)</f>
        <v>10.589237000000001</v>
      </c>
      <c r="Y6" s="2404">
        <f>V6*(1+Q6)</f>
        <v>10.5898377</v>
      </c>
      <c r="Z6" s="2363">
        <f>Y6/X6-1</f>
        <v>5.6727411049450893E-5</v>
      </c>
      <c r="AA6" s="2408">
        <f>U6/$T6</f>
        <v>0.17830000000000001</v>
      </c>
      <c r="AB6" s="2408">
        <f>V6/$T6</f>
        <v>0.18813000000000002</v>
      </c>
      <c r="AC6" s="2408">
        <f>X6/$T6</f>
        <v>0.10589237000000001</v>
      </c>
      <c r="AD6" s="2408">
        <f>Y6/$T6</f>
        <v>0.105898377</v>
      </c>
      <c r="AE6" s="2408">
        <f>AA6+$P$20</f>
        <v>0.18267000000000003</v>
      </c>
      <c r="AF6" s="2408">
        <f>AB6+$Q$20</f>
        <v>0.19250000000000003</v>
      </c>
      <c r="AG6" s="2408">
        <f>AC6+$P$20</f>
        <v>0.11026237000000001</v>
      </c>
      <c r="AH6" s="2408">
        <f>AD6+$Q$20</f>
        <v>0.110268377</v>
      </c>
    </row>
    <row r="7" spans="1:34">
      <c r="A7" s="1588"/>
      <c r="B7" s="1603" t="s">
        <v>2133</v>
      </c>
      <c r="C7" s="1604">
        <f>SUM(C5:C6)</f>
        <v>400177.16666666669</v>
      </c>
      <c r="D7" s="1605">
        <f t="shared" si="0"/>
        <v>0.72499147002430664</v>
      </c>
      <c r="E7" s="1606">
        <f t="shared" si="1"/>
        <v>0.29562840720130201</v>
      </c>
      <c r="F7" s="1607">
        <f>'VPP1'!D18</f>
        <v>0.12273602759116277</v>
      </c>
      <c r="G7" s="1607">
        <f>'VPP1'!D42</f>
        <v>0.1651682097704848</v>
      </c>
      <c r="H7" s="1608">
        <f>G7/F7-1</f>
        <v>0.34571904445746648</v>
      </c>
      <c r="J7" s="2036"/>
      <c r="K7" s="2036"/>
      <c r="L7" s="1434">
        <f>SUM(L5:L6)</f>
        <v>633814231.26000011</v>
      </c>
      <c r="M7" s="2296">
        <f t="shared" si="2"/>
        <v>0.63335208400425769</v>
      </c>
      <c r="O7" s="74" t="str">
        <f>'Formato FET ASEP'!B8</f>
        <v>BTS 0-50 kWh</v>
      </c>
      <c r="P7" s="2400">
        <f>ROUND('Facturador Cáculo %FET'!C15,4)</f>
        <v>-0.43559999999999999</v>
      </c>
      <c r="Q7" s="2400">
        <f>ROUND('Facturador Cáculo %FET'!D15,4)</f>
        <v>-0.4597</v>
      </c>
      <c r="S7" s="2410" t="s">
        <v>2136</v>
      </c>
      <c r="T7" s="2410">
        <v>50</v>
      </c>
      <c r="U7" s="2404">
        <f t="shared" ref="U7:U17" si="3">($T7-10)*P$16+P$15</f>
        <v>9.3924000000000003</v>
      </c>
      <c r="V7" s="2404">
        <f t="shared" ref="V7:V17" si="4">($T7-10)*Q$16+Q$15</f>
        <v>9.8083999999999989</v>
      </c>
      <c r="W7" s="2363">
        <f t="shared" ref="W7:W17" si="5">V7/U7-1</f>
        <v>4.4291128997913098E-2</v>
      </c>
      <c r="X7" s="2404">
        <f>U7*(1+P$7)</f>
        <v>5.3010705600000003</v>
      </c>
      <c r="Y7" s="2404">
        <f>V7*(1+Q$7)</f>
        <v>5.2994785199999992</v>
      </c>
      <c r="Z7" s="2363">
        <f t="shared" ref="Z7:Z17" si="6">Y7/X7-1</f>
        <v>-3.003242424302055E-4</v>
      </c>
      <c r="AA7" s="2408">
        <f t="shared" ref="AA7:AA17" si="7">U7/$T7</f>
        <v>0.18784800000000001</v>
      </c>
      <c r="AB7" s="2408">
        <f t="shared" ref="AB7:AB17" si="8">V7/$T7</f>
        <v>0.19616799999999998</v>
      </c>
      <c r="AC7" s="2408">
        <f t="shared" ref="AC7:AC17" si="9">X7/$T7</f>
        <v>0.10602141120000001</v>
      </c>
      <c r="AD7" s="2408">
        <f t="shared" ref="AD7:AD17" si="10">Y7/$T7</f>
        <v>0.10598957039999998</v>
      </c>
      <c r="AE7" s="2408">
        <f t="shared" ref="AE7:AE17" si="11">AA7+$P$21</f>
        <v>0.19347800000000001</v>
      </c>
      <c r="AF7" s="2408">
        <f t="shared" ref="AF7:AF17" si="12">AB7+$Q$21</f>
        <v>0.20179799999999998</v>
      </c>
      <c r="AG7" s="2408">
        <f t="shared" ref="AG7:AG17" si="13">AC7+$P$21</f>
        <v>0.11165141120000001</v>
      </c>
      <c r="AH7" s="2408">
        <f t="shared" ref="AH7:AH17" si="14">AD7+$Q$21</f>
        <v>0.11161957039999998</v>
      </c>
    </row>
    <row r="8" spans="1:34">
      <c r="B8" s="1597" t="s">
        <v>920</v>
      </c>
      <c r="C8" s="1609">
        <f>'VPP1'!E22</f>
        <v>111995.33333333333</v>
      </c>
      <c r="D8" s="1610">
        <f t="shared" si="0"/>
        <v>0.20289928589761008</v>
      </c>
      <c r="E8" s="1600">
        <f t="shared" si="1"/>
        <v>8.9142325667324565E-2</v>
      </c>
      <c r="F8" s="1601">
        <f>'VPP1'!E17</f>
        <v>0.25973518631242321</v>
      </c>
      <c r="G8" s="1601">
        <f>'VPP1'!E41</f>
        <v>0.23587406270672595</v>
      </c>
      <c r="H8" s="1602">
        <f t="shared" ref="H8:H29" si="15">G8/F8-1</f>
        <v>-9.1867120294575111E-2</v>
      </c>
      <c r="J8" s="2036">
        <f>'VPP1'!E44</f>
        <v>-9.1867120294575111E-2</v>
      </c>
      <c r="K8" s="2036">
        <f>'VPP2'!M36</f>
        <v>-9.1867120294575111E-2</v>
      </c>
      <c r="L8" s="1433">
        <f>'VPP1'!E21</f>
        <v>191117204.028</v>
      </c>
      <c r="M8" s="2296">
        <f t="shared" si="2"/>
        <v>0.19097785043350732</v>
      </c>
      <c r="O8" s="74" t="str">
        <f>'Formato FET ASEP'!B9</f>
        <v>BTS 51-100 kWh</v>
      </c>
      <c r="P8" s="2400">
        <f>ROUND('Facturador Cáculo %FET'!C16,4)</f>
        <v>-0.44440000000000002</v>
      </c>
      <c r="Q8" s="2400">
        <f>ROUND('Facturador Cáculo %FET'!D16,4)</f>
        <v>-0.45760000000000001</v>
      </c>
      <c r="S8" s="74" t="s">
        <v>2136</v>
      </c>
      <c r="T8" s="74">
        <v>75</v>
      </c>
      <c r="U8" s="2404">
        <f t="shared" si="3"/>
        <v>13.787650000000001</v>
      </c>
      <c r="V8" s="2404">
        <f t="shared" si="4"/>
        <v>14.213649999999999</v>
      </c>
      <c r="W8" s="2363">
        <f t="shared" si="5"/>
        <v>3.0897215986770643E-2</v>
      </c>
      <c r="X8" s="2404">
        <f>U8*(1+P$8)</f>
        <v>7.6604183400000005</v>
      </c>
      <c r="Y8" s="2404">
        <f>V8*(1+Q$8)</f>
        <v>7.7094837599999995</v>
      </c>
      <c r="Z8" s="2363">
        <f t="shared" si="6"/>
        <v>6.40505750760334E-3</v>
      </c>
      <c r="AA8" s="2408">
        <f t="shared" si="7"/>
        <v>0.18383533333333335</v>
      </c>
      <c r="AB8" s="2408">
        <f t="shared" si="8"/>
        <v>0.18951533333333331</v>
      </c>
      <c r="AC8" s="2408">
        <f t="shared" si="9"/>
        <v>0.1021389112</v>
      </c>
      <c r="AD8" s="2408">
        <f t="shared" si="10"/>
        <v>0.10279311679999999</v>
      </c>
      <c r="AE8" s="2408">
        <f t="shared" si="11"/>
        <v>0.18946533333333335</v>
      </c>
      <c r="AF8" s="2408">
        <f t="shared" si="12"/>
        <v>0.19514533333333331</v>
      </c>
      <c r="AG8" s="2408">
        <f t="shared" si="13"/>
        <v>0.1077689112</v>
      </c>
      <c r="AH8" s="2408">
        <f t="shared" si="14"/>
        <v>0.10842311679999998</v>
      </c>
    </row>
    <row r="9" spans="1:34">
      <c r="B9" s="1597" t="s">
        <v>1244</v>
      </c>
      <c r="C9" s="1609">
        <f>'VPP1'!F22+'VPP1'!G22</f>
        <v>33420</v>
      </c>
      <c r="D9" s="1610">
        <f t="shared" si="0"/>
        <v>6.0546220390416232E-2</v>
      </c>
      <c r="E9" s="1600">
        <f t="shared" si="1"/>
        <v>8.1994344866904587E-2</v>
      </c>
      <c r="F9" s="1611">
        <f>'VPP1'!F17</f>
        <v>0.36628967097770876</v>
      </c>
      <c r="G9" s="1611">
        <f>'VPP1'!F41</f>
        <v>0.27029409055714654</v>
      </c>
      <c r="H9" s="1612">
        <f>G9/F9-1</f>
        <v>-0.26207558669161657</v>
      </c>
      <c r="J9" s="2036">
        <f>'VPP1'!F44</f>
        <v>-0.26207558669161657</v>
      </c>
      <c r="K9" s="2036">
        <f>'VPP2'!M37</f>
        <v>-0.26207558669161657</v>
      </c>
      <c r="L9" s="1433">
        <f>'VPP1'!F21+'VPP1'!G21</f>
        <v>175792249.30200005</v>
      </c>
      <c r="M9" s="2296">
        <f t="shared" si="2"/>
        <v>0.1756640699371502</v>
      </c>
      <c r="O9" s="74" t="str">
        <f>'Formato FET ASEP'!B10</f>
        <v>BTS 101-150 kWh</v>
      </c>
      <c r="P9" s="2400">
        <f>ROUND('Facturador Cáculo %FET'!C17,4)</f>
        <v>-0.39860000000000001</v>
      </c>
      <c r="Q9" s="2400">
        <f>ROUND('Facturador Cáculo %FET'!D17,4)</f>
        <v>-0.40870000000000001</v>
      </c>
      <c r="S9" s="2410" t="s">
        <v>2136</v>
      </c>
      <c r="T9" s="2410">
        <v>100</v>
      </c>
      <c r="U9" s="2404">
        <f t="shared" si="3"/>
        <v>18.182900000000004</v>
      </c>
      <c r="V9" s="2404">
        <f t="shared" si="4"/>
        <v>18.6189</v>
      </c>
      <c r="W9" s="2363">
        <f t="shared" si="5"/>
        <v>2.3978573274889836E-2</v>
      </c>
      <c r="X9" s="2404">
        <f>U9*(1+P$8)</f>
        <v>10.102419240000001</v>
      </c>
      <c r="Y9" s="2404">
        <f>V9*(1+Q$8)</f>
        <v>10.09889136</v>
      </c>
      <c r="Z9" s="2363">
        <f t="shared" si="6"/>
        <v>-3.4921140334720491E-4</v>
      </c>
      <c r="AA9" s="2408">
        <f t="shared" si="7"/>
        <v>0.18182900000000005</v>
      </c>
      <c r="AB9" s="2408">
        <f t="shared" si="8"/>
        <v>0.18618899999999999</v>
      </c>
      <c r="AC9" s="2408">
        <f t="shared" si="9"/>
        <v>0.10102419240000002</v>
      </c>
      <c r="AD9" s="2408">
        <f t="shared" si="10"/>
        <v>0.10098891359999999</v>
      </c>
      <c r="AE9" s="2408">
        <f t="shared" si="11"/>
        <v>0.18745900000000004</v>
      </c>
      <c r="AF9" s="2408">
        <f t="shared" si="12"/>
        <v>0.19181899999999999</v>
      </c>
      <c r="AG9" s="2408">
        <f t="shared" si="13"/>
        <v>0.10665419240000001</v>
      </c>
      <c r="AH9" s="2408">
        <f t="shared" si="14"/>
        <v>0.10661891359999999</v>
      </c>
    </row>
    <row r="10" spans="1:34">
      <c r="B10" s="1603" t="s">
        <v>2134</v>
      </c>
      <c r="C10" s="1613">
        <f>SUM(C8:C9)</f>
        <v>145415.33333333331</v>
      </c>
      <c r="D10" s="1606">
        <f t="shared" si="0"/>
        <v>0.26344550628802632</v>
      </c>
      <c r="E10" s="1606">
        <f t="shared" si="1"/>
        <v>0.17113667053422915</v>
      </c>
      <c r="F10" s="1607">
        <f>'VPP1'!E18</f>
        <v>0.31078625447659003</v>
      </c>
      <c r="G10" s="1607">
        <f>'VPP1'!E42</f>
        <v>0.25236496117546786</v>
      </c>
      <c r="H10" s="1608">
        <f>G10/F10-1</f>
        <v>-0.18797901277684326</v>
      </c>
      <c r="J10" s="2036"/>
      <c r="K10" s="2036"/>
      <c r="L10" s="1434">
        <f>SUM(L8:L9)</f>
        <v>366909453.33000004</v>
      </c>
      <c r="M10" s="2296">
        <f t="shared" si="2"/>
        <v>0.36664192037065751</v>
      </c>
      <c r="O10" s="74" t="str">
        <f>'Formato FET ASEP'!B11</f>
        <v>BTS 151-200 kWh</v>
      </c>
      <c r="P10" s="2400">
        <f>ROUND('Facturador Cáculo %FET'!C18,4)</f>
        <v>-0.39119999999999999</v>
      </c>
      <c r="Q10" s="2400">
        <f>ROUND('Facturador Cáculo %FET'!D18,4)</f>
        <v>-0.39929999999999999</v>
      </c>
      <c r="S10" s="74" t="s">
        <v>2136</v>
      </c>
      <c r="T10" s="74">
        <v>125</v>
      </c>
      <c r="U10" s="2404">
        <f t="shared" si="3"/>
        <v>22.578150000000001</v>
      </c>
      <c r="V10" s="2404">
        <f t="shared" si="4"/>
        <v>23.024149999999999</v>
      </c>
      <c r="W10" s="2363">
        <f t="shared" si="5"/>
        <v>1.9753611345482147E-2</v>
      </c>
      <c r="X10" s="2404">
        <f>U10*(1+P$9)</f>
        <v>13.578499409999999</v>
      </c>
      <c r="Y10" s="2404">
        <f>V10*(1+Q$9)</f>
        <v>13.614179894999998</v>
      </c>
      <c r="Z10" s="2363">
        <f t="shared" si="6"/>
        <v>2.6277193025998624E-3</v>
      </c>
      <c r="AA10" s="2408">
        <f t="shared" si="7"/>
        <v>0.18062520000000001</v>
      </c>
      <c r="AB10" s="2408">
        <f t="shared" si="8"/>
        <v>0.1841932</v>
      </c>
      <c r="AC10" s="2408">
        <f t="shared" si="9"/>
        <v>0.10862799527999999</v>
      </c>
      <c r="AD10" s="2408">
        <f t="shared" si="10"/>
        <v>0.10891343915999999</v>
      </c>
      <c r="AE10" s="2408">
        <f t="shared" si="11"/>
        <v>0.18625520000000001</v>
      </c>
      <c r="AF10" s="2408">
        <f t="shared" si="12"/>
        <v>0.1898232</v>
      </c>
      <c r="AG10" s="2408">
        <f t="shared" si="13"/>
        <v>0.11425799527999998</v>
      </c>
      <c r="AH10" s="2408">
        <f t="shared" si="14"/>
        <v>0.11454343915999998</v>
      </c>
    </row>
    <row r="11" spans="1:34">
      <c r="B11" s="1597" t="s">
        <v>1176</v>
      </c>
      <c r="C11" s="1609">
        <f>'VPP1'!G22</f>
        <v>1</v>
      </c>
      <c r="D11" s="1610">
        <f t="shared" si="0"/>
        <v>1.8116762534535079E-6</v>
      </c>
      <c r="E11" s="1600">
        <f t="shared" si="1"/>
        <v>2.7985651879125838E-6</v>
      </c>
      <c r="F11" s="1611"/>
      <c r="G11" s="1611">
        <f>'VPP1'!G41</f>
        <v>0.21054921560676806</v>
      </c>
      <c r="H11" s="1612"/>
      <c r="J11" s="2036"/>
      <c r="K11" s="2036">
        <f>'VPP2'!M38</f>
        <v>0</v>
      </c>
      <c r="L11" s="1433">
        <f>'VPP1'!G21</f>
        <v>6000</v>
      </c>
      <c r="M11" s="2296">
        <f t="shared" si="2"/>
        <v>5.9956250847682265E-6</v>
      </c>
      <c r="O11" s="74" t="str">
        <f>'Formato FET ASEP'!B12</f>
        <v>BTS 201-250 kWh</v>
      </c>
      <c r="P11" s="2400">
        <f>ROUND('Facturador Cáculo %FET'!C19,4)</f>
        <v>-0.25679999999999997</v>
      </c>
      <c r="Q11" s="2400">
        <f>ROUND('Facturador Cáculo %FET'!D19,4)</f>
        <v>-0.26500000000000001</v>
      </c>
      <c r="S11" s="2410" t="s">
        <v>2136</v>
      </c>
      <c r="T11" s="2410">
        <v>150</v>
      </c>
      <c r="U11" s="2404">
        <f t="shared" si="3"/>
        <v>26.973400000000002</v>
      </c>
      <c r="V11" s="2404">
        <f t="shared" si="4"/>
        <v>27.429400000000001</v>
      </c>
      <c r="W11" s="2363">
        <f t="shared" si="5"/>
        <v>1.6905543980365811E-2</v>
      </c>
      <c r="X11" s="2404">
        <f>U11*(1+P$9)</f>
        <v>16.221802759999999</v>
      </c>
      <c r="Y11" s="2404">
        <f>V11*(1+Q$9)</f>
        <v>16.219004219999999</v>
      </c>
      <c r="Z11" s="2363">
        <f t="shared" si="6"/>
        <v>-1.7251720054822783E-4</v>
      </c>
      <c r="AA11" s="2408">
        <f t="shared" si="7"/>
        <v>0.17982266666666669</v>
      </c>
      <c r="AB11" s="2408">
        <f t="shared" si="8"/>
        <v>0.18286266666666667</v>
      </c>
      <c r="AC11" s="2408">
        <f t="shared" si="9"/>
        <v>0.10814535173333333</v>
      </c>
      <c r="AD11" s="2408">
        <f t="shared" si="10"/>
        <v>0.10812669479999999</v>
      </c>
      <c r="AE11" s="2408">
        <f t="shared" si="11"/>
        <v>0.18545266666666668</v>
      </c>
      <c r="AF11" s="2408">
        <f t="shared" si="12"/>
        <v>0.18849266666666667</v>
      </c>
      <c r="AG11" s="2408">
        <f t="shared" si="13"/>
        <v>0.11377535173333332</v>
      </c>
      <c r="AH11" s="2408">
        <f t="shared" si="14"/>
        <v>0.11375669479999999</v>
      </c>
    </row>
    <row r="12" spans="1:34">
      <c r="B12" s="2390" t="s">
        <v>921</v>
      </c>
      <c r="C12" s="2391">
        <f>C7+C10+C11</f>
        <v>545593.5</v>
      </c>
      <c r="D12" s="2392">
        <f t="shared" si="0"/>
        <v>0.98843878798858642</v>
      </c>
      <c r="E12" s="2392">
        <f t="shared" si="1"/>
        <v>0.46676787630071909</v>
      </c>
      <c r="F12" s="2393">
        <f>'VPP1'!C18</f>
        <v>0.19323261422910495</v>
      </c>
      <c r="G12" s="2393">
        <f>'VPP1'!C42</f>
        <v>0.19827222903834268</v>
      </c>
      <c r="H12" s="2394">
        <f>G12/F12-1</f>
        <v>2.6080560102874406E-2</v>
      </c>
      <c r="J12" s="2036">
        <f>'VPP1'!C45</f>
        <v>2.6080560102874406E-2</v>
      </c>
      <c r="K12" s="2036"/>
      <c r="L12" s="1434">
        <f>L7+L10+L11</f>
        <v>1000729684.5900002</v>
      </c>
      <c r="M12" s="2296">
        <f t="shared" si="2"/>
        <v>1</v>
      </c>
      <c r="O12" s="74" t="str">
        <f>'Formato FET ASEP'!B13</f>
        <v>BTS 251-300 kWh</v>
      </c>
      <c r="P12" s="2400">
        <f>ROUND('Facturador Cáculo %FET'!C20,4)</f>
        <v>-0.25419999999999998</v>
      </c>
      <c r="Q12" s="2400">
        <f>ROUND('Facturador Cáculo %FET'!D20,4)</f>
        <v>-0.26140000000000002</v>
      </c>
      <c r="S12" s="74" t="s">
        <v>2136</v>
      </c>
      <c r="T12" s="74">
        <v>175</v>
      </c>
      <c r="U12" s="2404">
        <f t="shared" si="3"/>
        <v>31.368650000000002</v>
      </c>
      <c r="V12" s="2404">
        <f t="shared" si="4"/>
        <v>31.834650000000003</v>
      </c>
      <c r="W12" s="2363">
        <f t="shared" si="5"/>
        <v>1.4855596272074223E-2</v>
      </c>
      <c r="X12" s="2404">
        <f>U12*(1+P$10)</f>
        <v>19.097234120000003</v>
      </c>
      <c r="Y12" s="2404">
        <f>V12*(1+Q$10)</f>
        <v>19.123074255000002</v>
      </c>
      <c r="Z12" s="2363">
        <f t="shared" si="6"/>
        <v>1.3530825897420939E-3</v>
      </c>
      <c r="AA12" s="2408">
        <f t="shared" si="7"/>
        <v>0.17924942857142859</v>
      </c>
      <c r="AB12" s="2408">
        <f t="shared" si="8"/>
        <v>0.18191228571428572</v>
      </c>
      <c r="AC12" s="2408">
        <f t="shared" si="9"/>
        <v>0.10912705211428574</v>
      </c>
      <c r="AD12" s="2408">
        <f t="shared" si="10"/>
        <v>0.10927471002857145</v>
      </c>
      <c r="AE12" s="2408">
        <f t="shared" si="11"/>
        <v>0.18487942857142858</v>
      </c>
      <c r="AF12" s="2408">
        <f t="shared" si="12"/>
        <v>0.18754228571428572</v>
      </c>
      <c r="AG12" s="2408">
        <f t="shared" si="13"/>
        <v>0.11475705211428573</v>
      </c>
      <c r="AH12" s="2408">
        <f t="shared" si="14"/>
        <v>0.11490471002857144</v>
      </c>
    </row>
    <row r="13" spans="1:34">
      <c r="B13" s="1597" t="s">
        <v>274</v>
      </c>
      <c r="C13" s="1609">
        <f>'VPP1'!H22</f>
        <v>5545.833333333333</v>
      </c>
      <c r="D13" s="1610">
        <f t="shared" si="0"/>
        <v>1.0047254555610912E-2</v>
      </c>
      <c r="E13" s="1610">
        <f t="shared" si="1"/>
        <v>0.16676709239855883</v>
      </c>
      <c r="F13" s="1611">
        <f>'VPP1'!H17</f>
        <v>0.22815662060923753</v>
      </c>
      <c r="G13" s="1611">
        <f>'VPP1'!H41</f>
        <v>0.25530089295221742</v>
      </c>
      <c r="H13" s="1612">
        <f t="shared" si="15"/>
        <v>0.11897210026383465</v>
      </c>
      <c r="J13" s="2036">
        <f>'VPP1'!H44</f>
        <v>0.11897210026383465</v>
      </c>
      <c r="K13" s="2036">
        <f>'VPP2'!M39</f>
        <v>0.11897210026383465</v>
      </c>
      <c r="L13" s="1433">
        <f>'VPP1'!H21</f>
        <v>357541271.046</v>
      </c>
      <c r="S13" s="2410" t="s">
        <v>2136</v>
      </c>
      <c r="T13" s="2410">
        <v>200</v>
      </c>
      <c r="U13" s="2404">
        <f t="shared" si="3"/>
        <v>35.763900000000007</v>
      </c>
      <c r="V13" s="2404">
        <f t="shared" si="4"/>
        <v>36.239899999999999</v>
      </c>
      <c r="W13" s="2363">
        <f t="shared" si="5"/>
        <v>1.3309510428113125E-2</v>
      </c>
      <c r="X13" s="2404">
        <f>U13*(1+P$10)</f>
        <v>21.773062320000005</v>
      </c>
      <c r="Y13" s="2404">
        <f>V13*(1+Q$10)</f>
        <v>21.76930793</v>
      </c>
      <c r="Z13" s="2363">
        <f t="shared" si="6"/>
        <v>-1.7243279538847744E-4</v>
      </c>
      <c r="AA13" s="2408">
        <f t="shared" si="7"/>
        <v>0.17881950000000002</v>
      </c>
      <c r="AB13" s="2408">
        <f t="shared" si="8"/>
        <v>0.18119949999999999</v>
      </c>
      <c r="AC13" s="2408">
        <f t="shared" si="9"/>
        <v>0.10886531160000003</v>
      </c>
      <c r="AD13" s="2408">
        <f t="shared" si="10"/>
        <v>0.10884653965</v>
      </c>
      <c r="AE13" s="2408">
        <f t="shared" si="11"/>
        <v>0.18444950000000002</v>
      </c>
      <c r="AF13" s="2408">
        <f t="shared" si="12"/>
        <v>0.18682949999999998</v>
      </c>
      <c r="AG13" s="2408">
        <f t="shared" si="13"/>
        <v>0.11449531160000002</v>
      </c>
      <c r="AH13" s="2408">
        <f t="shared" si="14"/>
        <v>0.11447653965</v>
      </c>
    </row>
    <row r="14" spans="1:34">
      <c r="B14" s="1597" t="s">
        <v>275</v>
      </c>
      <c r="C14" s="1609">
        <f>'VPP1'!I22</f>
        <v>92</v>
      </c>
      <c r="D14" s="1610">
        <f t="shared" si="0"/>
        <v>1.6667421531772273E-4</v>
      </c>
      <c r="E14" s="1610">
        <f t="shared" si="1"/>
        <v>8.0642238982056597E-3</v>
      </c>
      <c r="F14" s="1611">
        <f>'VPP1'!I17</f>
        <v>0.19890221777527772</v>
      </c>
      <c r="G14" s="1611">
        <f>'VPP1'!I41</f>
        <v>0.20863339494335006</v>
      </c>
      <c r="H14" s="1612">
        <f t="shared" si="15"/>
        <v>4.8924427675646864E-2</v>
      </c>
      <c r="J14" s="2036">
        <f>'VPP1'!I44</f>
        <v>4.8924427675646864E-2</v>
      </c>
      <c r="K14" s="2036">
        <f>'VPP2'!M40</f>
        <v>4.8924427675646864E-2</v>
      </c>
      <c r="L14" s="1433">
        <f>'VPP1'!I21</f>
        <v>17289339.408</v>
      </c>
      <c r="O14" s="74" t="s">
        <v>1818</v>
      </c>
      <c r="P14" s="2401">
        <v>0.17830000000000001</v>
      </c>
      <c r="Q14" s="2401">
        <v>0.18813000000000002</v>
      </c>
      <c r="S14" s="74" t="s">
        <v>2136</v>
      </c>
      <c r="T14" s="74">
        <v>225</v>
      </c>
      <c r="U14" s="2404">
        <f t="shared" si="3"/>
        <v>40.159150000000004</v>
      </c>
      <c r="V14" s="2404">
        <f t="shared" si="4"/>
        <v>40.645150000000001</v>
      </c>
      <c r="W14" s="2363">
        <f t="shared" si="5"/>
        <v>1.2101849765246531E-2</v>
      </c>
      <c r="X14" s="2404">
        <f>U14*(1+P$11)</f>
        <v>29.846280280000006</v>
      </c>
      <c r="Y14" s="2404">
        <f>V14*(1+Q$11)</f>
        <v>29.87418525</v>
      </c>
      <c r="Z14" s="2363">
        <f t="shared" si="6"/>
        <v>9.349563744025513E-4</v>
      </c>
      <c r="AA14" s="2408">
        <f t="shared" si="7"/>
        <v>0.17848511111111112</v>
      </c>
      <c r="AB14" s="2408">
        <f t="shared" si="8"/>
        <v>0.18064511111111112</v>
      </c>
      <c r="AC14" s="2408">
        <f t="shared" si="9"/>
        <v>0.1326501345777778</v>
      </c>
      <c r="AD14" s="2408">
        <f t="shared" si="10"/>
        <v>0.13277415666666667</v>
      </c>
      <c r="AE14" s="2408">
        <f t="shared" si="11"/>
        <v>0.18411511111111112</v>
      </c>
      <c r="AF14" s="2408">
        <f t="shared" si="12"/>
        <v>0.18627511111111111</v>
      </c>
      <c r="AG14" s="2408">
        <f t="shared" si="13"/>
        <v>0.1382801345777778</v>
      </c>
      <c r="AH14" s="2408">
        <f t="shared" si="14"/>
        <v>0.13840415666666667</v>
      </c>
    </row>
    <row r="15" spans="1:34">
      <c r="B15" s="1597" t="s">
        <v>276</v>
      </c>
      <c r="C15" s="1609">
        <f>'VPP1'!J22</f>
        <v>416.66666666666669</v>
      </c>
      <c r="D15" s="1610">
        <f t="shared" si="0"/>
        <v>7.5486510560562826E-4</v>
      </c>
      <c r="E15" s="1610">
        <f t="shared" si="1"/>
        <v>7.2104146443822612E-2</v>
      </c>
      <c r="F15" s="1611">
        <f>'VPP1'!J17</f>
        <v>0.19312047154271428</v>
      </c>
      <c r="G15" s="1611">
        <f>'VPP1'!J41</f>
        <v>0.20285551419564096</v>
      </c>
      <c r="H15" s="1612">
        <f t="shared" si="15"/>
        <v>5.0409169857342118E-2</v>
      </c>
      <c r="J15" s="2036">
        <f>'VPP1'!J44</f>
        <v>5.0409169857342118E-2</v>
      </c>
      <c r="K15" s="2036">
        <f>'VPP2'!M41</f>
        <v>5.0409169857342118E-2</v>
      </c>
      <c r="L15" s="1433">
        <f>'VPP1'!J21</f>
        <v>154588101.264</v>
      </c>
      <c r="O15" s="74" t="s">
        <v>1819</v>
      </c>
      <c r="P15" s="2402">
        <v>2.36</v>
      </c>
      <c r="Q15" s="2402">
        <v>2.76</v>
      </c>
      <c r="S15" s="2410" t="s">
        <v>2136</v>
      </c>
      <c r="T15" s="2410">
        <v>250</v>
      </c>
      <c r="U15" s="2404">
        <f t="shared" si="3"/>
        <v>44.554400000000001</v>
      </c>
      <c r="V15" s="2404">
        <f t="shared" si="4"/>
        <v>45.050399999999996</v>
      </c>
      <c r="W15" s="2363">
        <f t="shared" si="5"/>
        <v>1.1132458298170222E-2</v>
      </c>
      <c r="X15" s="2404">
        <f>U15*(1+P$11)</f>
        <v>33.112830080000002</v>
      </c>
      <c r="Y15" s="2404">
        <f>V15*(1+Q$11)</f>
        <v>33.112043999999997</v>
      </c>
      <c r="Z15" s="2363">
        <f t="shared" si="6"/>
        <v>-2.3739438704151183E-5</v>
      </c>
      <c r="AA15" s="2408">
        <f t="shared" si="7"/>
        <v>0.1782176</v>
      </c>
      <c r="AB15" s="2408">
        <f t="shared" si="8"/>
        <v>0.18020159999999999</v>
      </c>
      <c r="AC15" s="2408">
        <f t="shared" si="9"/>
        <v>0.13245132032000001</v>
      </c>
      <c r="AD15" s="2408">
        <f t="shared" si="10"/>
        <v>0.132448176</v>
      </c>
      <c r="AE15" s="2408">
        <f t="shared" si="11"/>
        <v>0.1838476</v>
      </c>
      <c r="AF15" s="2408">
        <f t="shared" si="12"/>
        <v>0.18583159999999999</v>
      </c>
      <c r="AG15" s="2408">
        <f t="shared" si="13"/>
        <v>0.13808132032000001</v>
      </c>
      <c r="AH15" s="2408">
        <f t="shared" si="14"/>
        <v>0.138078176</v>
      </c>
    </row>
    <row r="16" spans="1:34">
      <c r="B16" s="1597" t="s">
        <v>277</v>
      </c>
      <c r="C16" s="1609">
        <f>'VPP1'!K22</f>
        <v>26</v>
      </c>
      <c r="D16" s="1610">
        <f t="shared" si="0"/>
        <v>4.7103582589791201E-5</v>
      </c>
      <c r="E16" s="1610">
        <f t="shared" si="1"/>
        <v>1.2115537373970054E-2</v>
      </c>
      <c r="F16" s="1611">
        <f>'VPP1'!K17</f>
        <v>0.17385246836910873</v>
      </c>
      <c r="G16" s="1611">
        <f>'VPP1'!K41</f>
        <v>0.2019547838265644</v>
      </c>
      <c r="H16" s="1612">
        <f t="shared" si="15"/>
        <v>0.16164461581178835</v>
      </c>
      <c r="J16" s="2036">
        <f>'VPP1'!K44</f>
        <v>0.16164461581178835</v>
      </c>
      <c r="K16" s="2036">
        <f>'VPP2'!M42</f>
        <v>0.16164461581178835</v>
      </c>
      <c r="L16" s="1433">
        <f>'VPP1'!K21</f>
        <v>25975176.335999995</v>
      </c>
      <c r="O16" s="74" t="s">
        <v>1820</v>
      </c>
      <c r="P16" s="2401">
        <v>0.17581000000000002</v>
      </c>
      <c r="Q16" s="2401">
        <v>0.17621000000000001</v>
      </c>
      <c r="S16" s="74" t="s">
        <v>2136</v>
      </c>
      <c r="T16" s="74">
        <v>275</v>
      </c>
      <c r="U16" s="2404">
        <f t="shared" si="3"/>
        <v>48.949650000000005</v>
      </c>
      <c r="V16" s="2404">
        <f t="shared" si="4"/>
        <v>49.455649999999999</v>
      </c>
      <c r="W16" s="2363">
        <f t="shared" si="5"/>
        <v>1.033715256390999E-2</v>
      </c>
      <c r="X16" s="2404">
        <f>U16*(1+P$12)</f>
        <v>36.506648970000008</v>
      </c>
      <c r="Y16" s="2404">
        <f>V16*(1+Q$12)</f>
        <v>36.527943089999994</v>
      </c>
      <c r="Z16" s="2363">
        <f t="shared" si="6"/>
        <v>5.8329429297887536E-4</v>
      </c>
      <c r="AA16" s="2408">
        <f t="shared" si="7"/>
        <v>0.17799872727272728</v>
      </c>
      <c r="AB16" s="2408">
        <f t="shared" si="8"/>
        <v>0.17983872727272726</v>
      </c>
      <c r="AC16" s="2408">
        <f t="shared" si="9"/>
        <v>0.13275145080000003</v>
      </c>
      <c r="AD16" s="2408">
        <f t="shared" si="10"/>
        <v>0.13282888396363635</v>
      </c>
      <c r="AE16" s="2408">
        <f t="shared" si="11"/>
        <v>0.18362872727272728</v>
      </c>
      <c r="AF16" s="2408">
        <f t="shared" si="12"/>
        <v>0.18546872727272726</v>
      </c>
      <c r="AG16" s="2408">
        <f t="shared" si="13"/>
        <v>0.13838145080000003</v>
      </c>
      <c r="AH16" s="2408">
        <f t="shared" si="14"/>
        <v>0.13845888396363634</v>
      </c>
    </row>
    <row r="17" spans="2:34">
      <c r="B17" s="1597" t="s">
        <v>278</v>
      </c>
      <c r="C17" s="1609">
        <f>'VPP1'!L22</f>
        <v>1</v>
      </c>
      <c r="D17" s="1610">
        <f t="shared" si="0"/>
        <v>1.8116762534535079E-6</v>
      </c>
      <c r="E17" s="1610">
        <f t="shared" si="1"/>
        <v>1.3992825939562919E-6</v>
      </c>
      <c r="F17" s="1611">
        <f>'VPP1'!L17</f>
        <v>0.15804000000000001</v>
      </c>
      <c r="G17" s="1611">
        <f>'VPP1'!L41</f>
        <v>0.16611000000000001</v>
      </c>
      <c r="H17" s="1612">
        <f>G17/F17-1</f>
        <v>5.1063022019741888E-2</v>
      </c>
      <c r="J17" s="2036">
        <f>'VPP1'!L44</f>
        <v>5.1063022019741888E-2</v>
      </c>
      <c r="K17" s="2036">
        <f>'VPP2'!M43</f>
        <v>5.1063022019741888E-2</v>
      </c>
      <c r="L17" s="1433">
        <f>'VPP1'!L21</f>
        <v>3000</v>
      </c>
      <c r="O17" s="74" t="s">
        <v>1821</v>
      </c>
      <c r="P17" s="2401">
        <v>0.20362000000000002</v>
      </c>
      <c r="Q17" s="2401">
        <v>0.24436000000000005</v>
      </c>
      <c r="S17" s="2410" t="s">
        <v>2136</v>
      </c>
      <c r="T17" s="2410">
        <v>300</v>
      </c>
      <c r="U17" s="2404">
        <f t="shared" si="3"/>
        <v>53.344900000000003</v>
      </c>
      <c r="V17" s="2404">
        <f t="shared" si="4"/>
        <v>53.860900000000001</v>
      </c>
      <c r="W17" s="2363">
        <f t="shared" si="5"/>
        <v>9.6729021893375844E-3</v>
      </c>
      <c r="X17" s="2404">
        <f>U17*(1+P$12)</f>
        <v>39.784626420000002</v>
      </c>
      <c r="Y17" s="2404">
        <f>V17*(1+Q$12)</f>
        <v>39.78166074</v>
      </c>
      <c r="Z17" s="2363">
        <f t="shared" si="6"/>
        <v>-7.4543366794355137E-5</v>
      </c>
      <c r="AA17" s="2408">
        <f t="shared" si="7"/>
        <v>0.17781633333333335</v>
      </c>
      <c r="AB17" s="2408">
        <f t="shared" si="8"/>
        <v>0.17953633333333333</v>
      </c>
      <c r="AC17" s="2408">
        <f t="shared" si="9"/>
        <v>0.13261542140000002</v>
      </c>
      <c r="AD17" s="2408">
        <f t="shared" si="10"/>
        <v>0.13260553580000001</v>
      </c>
      <c r="AE17" s="2408">
        <f t="shared" si="11"/>
        <v>0.18344633333333335</v>
      </c>
      <c r="AF17" s="2408">
        <f t="shared" si="12"/>
        <v>0.18516633333333332</v>
      </c>
      <c r="AG17" s="2408">
        <f t="shared" si="13"/>
        <v>0.13824542140000001</v>
      </c>
      <c r="AH17" s="2408">
        <f t="shared" si="14"/>
        <v>0.1382355358</v>
      </c>
    </row>
    <row r="18" spans="2:34">
      <c r="B18" s="1597" t="s">
        <v>279</v>
      </c>
      <c r="C18" s="1609">
        <f>'VPP1'!M22</f>
        <v>3</v>
      </c>
      <c r="D18" s="1610">
        <f t="shared" si="0"/>
        <v>5.4350287603605233E-6</v>
      </c>
      <c r="E18" s="1610">
        <f t="shared" si="1"/>
        <v>5.2548138574015503E-2</v>
      </c>
      <c r="F18" s="1611">
        <f>'VPP1'!M17</f>
        <v>0.13491251588855999</v>
      </c>
      <c r="G18" s="1611">
        <f>'VPP1'!M41</f>
        <v>0.13801110544053349</v>
      </c>
      <c r="H18" s="1612">
        <f t="shared" si="15"/>
        <v>2.2967398773683811E-2</v>
      </c>
      <c r="J18" s="2036">
        <f>'VPP1'!M44</f>
        <v>2.2967398773683811E-2</v>
      </c>
      <c r="K18" s="2036">
        <f>'VPP2'!M44</f>
        <v>2.2967398773683811E-2</v>
      </c>
      <c r="L18" s="1433">
        <f>'VPP1'!M21</f>
        <v>112660885.23</v>
      </c>
      <c r="O18" s="74" t="s">
        <v>1822</v>
      </c>
      <c r="P18" s="2401">
        <v>0.23087999999999997</v>
      </c>
      <c r="Q18" s="2401">
        <v>0.26735999999999999</v>
      </c>
      <c r="S18" s="553" t="s">
        <v>154</v>
      </c>
      <c r="U18" s="2404"/>
      <c r="V18" s="2404"/>
      <c r="W18" s="2404"/>
      <c r="X18" s="2404"/>
      <c r="Z18" s="2404"/>
      <c r="AA18" s="2409">
        <f t="shared" ref="AA18:AH18" si="16">AVERAGE(AA5:AA17)</f>
        <v>0.18174868463758467</v>
      </c>
      <c r="AB18" s="2409">
        <f t="shared" si="16"/>
        <v>0.1866552121101121</v>
      </c>
      <c r="AC18" s="2409">
        <f t="shared" si="16"/>
        <v>0.11485589084810745</v>
      </c>
      <c r="AD18" s="2409">
        <f t="shared" si="16"/>
        <v>0.11525084551299035</v>
      </c>
      <c r="AE18" s="2409">
        <f t="shared" si="16"/>
        <v>0.18728176156066156</v>
      </c>
      <c r="AF18" s="2409">
        <f t="shared" si="16"/>
        <v>0.19218828903318905</v>
      </c>
      <c r="AG18" s="2409">
        <f t="shared" si="16"/>
        <v>0.12038896777118438</v>
      </c>
      <c r="AH18" s="2409">
        <f t="shared" si="16"/>
        <v>0.12078392243606727</v>
      </c>
    </row>
    <row r="19" spans="2:34">
      <c r="B19" s="2390" t="s">
        <v>922</v>
      </c>
      <c r="C19" s="2391">
        <f>SUM(C13:C18)</f>
        <v>6084.5</v>
      </c>
      <c r="D19" s="2392">
        <f t="shared" si="0"/>
        <v>1.1023144164137869E-2</v>
      </c>
      <c r="E19" s="2392">
        <f t="shared" si="1"/>
        <v>0.31160053797116666</v>
      </c>
      <c r="F19" s="2393">
        <f>'VPP1'!J18</f>
        <v>0.20145579407402336</v>
      </c>
      <c r="G19" s="2393">
        <f>'VPP1'!J42</f>
        <v>0.22010304610669637</v>
      </c>
      <c r="H19" s="2394">
        <f>G19/F19-1</f>
        <v>9.2562500465095621E-2</v>
      </c>
      <c r="J19" s="2036">
        <f>'VPP1'!J45</f>
        <v>9.2562500465095621E-2</v>
      </c>
      <c r="K19" s="2036"/>
      <c r="L19" s="1434">
        <f>SUM(L13:L18)</f>
        <v>668057773.28400004</v>
      </c>
      <c r="AC19" s="2409">
        <f>AVERAGE(AC6:AC17)</f>
        <v>0.11502591021878307</v>
      </c>
      <c r="AD19" s="2409">
        <f>AVERAGE(AD6:AD17)</f>
        <v>0.11512400948907288</v>
      </c>
      <c r="AG19" s="2409">
        <f t="shared" ref="AG19:AH19" si="17">AVERAGE(AG6:AG17)</f>
        <v>0.12055091021878307</v>
      </c>
      <c r="AH19" s="2409">
        <f t="shared" si="17"/>
        <v>0.12064900948907287</v>
      </c>
    </row>
    <row r="20" spans="2:34">
      <c r="B20" s="2395" t="s">
        <v>1656</v>
      </c>
      <c r="C20" s="2396">
        <f>C12+C19</f>
        <v>551678</v>
      </c>
      <c r="D20" s="2397">
        <f t="shared" si="0"/>
        <v>0.99946193215272428</v>
      </c>
      <c r="E20" s="2397">
        <f t="shared" si="1"/>
        <v>0.77836841427188563</v>
      </c>
      <c r="F20" s="2398">
        <f>'VPP1'!N17</f>
        <v>0.19559515577950121</v>
      </c>
      <c r="G20" s="2398">
        <f>'VPP1'!N41</f>
        <v>0.20633160214283575</v>
      </c>
      <c r="H20" s="2399">
        <f>G20/F20-1</f>
        <v>5.4891167015598263E-2</v>
      </c>
      <c r="J20" s="2036">
        <f>'VPP1'!N44</f>
        <v>5.4891167015598263E-2</v>
      </c>
      <c r="K20" s="2036">
        <f>'VPP2'!M15</f>
        <v>5.4891167015598263E-2</v>
      </c>
      <c r="L20" s="1434">
        <f>L12+L19</f>
        <v>1668787457.8740001</v>
      </c>
      <c r="O20" s="74" t="s">
        <v>892</v>
      </c>
      <c r="P20" s="74">
        <v>4.3699999999999998E-3</v>
      </c>
      <c r="Q20" s="548">
        <f>P20</f>
        <v>4.3699999999999998E-3</v>
      </c>
      <c r="U20" s="2412">
        <v>2.8600000000000001E-3</v>
      </c>
    </row>
    <row r="21" spans="2:34">
      <c r="B21" s="1614" t="s">
        <v>1870</v>
      </c>
      <c r="C21" s="1609">
        <f>'VPP1'!O22</f>
        <v>109</v>
      </c>
      <c r="D21" s="1610">
        <f t="shared" si="0"/>
        <v>1.9747271162643236E-4</v>
      </c>
      <c r="E21" s="1610">
        <f t="shared" si="1"/>
        <v>2.4140431753021517E-2</v>
      </c>
      <c r="F21" s="1611">
        <f>'VPP1'!O17</f>
        <v>8.9155868021890017E-2</v>
      </c>
      <c r="G21" s="1611">
        <f>'VPP1'!O41</f>
        <v>0.11021323322349501</v>
      </c>
      <c r="H21" s="1612">
        <f t="shared" si="15"/>
        <v>0.23618597035514122</v>
      </c>
      <c r="J21" s="2036">
        <f>'VPP1'!O44</f>
        <v>0.23618597035514122</v>
      </c>
      <c r="K21" s="2036"/>
      <c r="L21" s="1433">
        <f>'VPP1'!O21</f>
        <v>51756018.099462405</v>
      </c>
      <c r="O21" s="74" t="s">
        <v>273</v>
      </c>
      <c r="P21" s="74">
        <v>5.6299999999999996E-3</v>
      </c>
      <c r="Q21" s="548">
        <f>P21</f>
        <v>5.6299999999999996E-3</v>
      </c>
      <c r="U21" s="2412">
        <v>4.2199999999999998E-3</v>
      </c>
    </row>
    <row r="22" spans="2:34">
      <c r="B22" s="1614" t="s">
        <v>1871</v>
      </c>
      <c r="C22" s="1609">
        <f>+'VPP1'!P22</f>
        <v>3</v>
      </c>
      <c r="D22" s="1610">
        <f t="shared" si="0"/>
        <v>5.4350287603605233E-6</v>
      </c>
      <c r="E22" s="1610">
        <f t="shared" si="1"/>
        <v>7.7897853505136025E-4</v>
      </c>
      <c r="F22" s="1611">
        <f>'VPP1'!P17</f>
        <v>7.9954837877176707E-2</v>
      </c>
      <c r="G22" s="1611">
        <f>'VPP1'!P41</f>
        <v>0.10345252472551202</v>
      </c>
      <c r="H22" s="1612">
        <f t="shared" si="15"/>
        <v>0.29388699260989659</v>
      </c>
      <c r="J22" s="2036">
        <f>'VPP1'!P44</f>
        <v>0.29388699260989659</v>
      </c>
      <c r="K22" s="2036"/>
      <c r="L22" s="1433">
        <f>+'VPP1'!P21</f>
        <v>1670095.5298434002</v>
      </c>
      <c r="O22" s="74" t="s">
        <v>1176</v>
      </c>
      <c r="Q22" s="548"/>
      <c r="U22" s="2412"/>
    </row>
    <row r="23" spans="2:34">
      <c r="B23" s="1614" t="s">
        <v>1872</v>
      </c>
      <c r="C23" s="1609">
        <f>'VPP1'!Q22</f>
        <v>152</v>
      </c>
      <c r="D23" s="1610">
        <f t="shared" si="0"/>
        <v>2.7537479052493322E-4</v>
      </c>
      <c r="E23" s="1610">
        <f t="shared" si="1"/>
        <v>0.11984324240865249</v>
      </c>
      <c r="F23" s="1611">
        <f>'VPP1'!Q17</f>
        <v>7.2101080657076308E-2</v>
      </c>
      <c r="G23" s="1611">
        <f>'VPP1'!Q41</f>
        <v>9.6963210611050663E-2</v>
      </c>
      <c r="H23" s="1612">
        <f t="shared" si="15"/>
        <v>0.3448232637763422</v>
      </c>
      <c r="J23" s="2036">
        <f>'VPP1'!R45</f>
        <v>0.34384115801449799</v>
      </c>
      <c r="K23" s="2036"/>
      <c r="L23" s="1433">
        <f>'VPP1'!Q21</f>
        <v>256938611.8135246</v>
      </c>
      <c r="O23" s="74" t="s">
        <v>274</v>
      </c>
      <c r="P23" s="74">
        <v>5.8099999999999992E-3</v>
      </c>
      <c r="Q23" s="548">
        <f t="shared" ref="Q23:Q28" si="18">P23</f>
        <v>5.8099999999999992E-3</v>
      </c>
      <c r="U23" s="2412">
        <v>4.1799999999999997E-3</v>
      </c>
    </row>
    <row r="24" spans="2:34">
      <c r="B24" s="1614" t="s">
        <v>1873</v>
      </c>
      <c r="C24" s="1609">
        <f>+'VPP1'!R22</f>
        <v>31</v>
      </c>
      <c r="D24" s="1610">
        <f t="shared" si="0"/>
        <v>5.6161963857058742E-5</v>
      </c>
      <c r="E24" s="1610">
        <f t="shared" si="1"/>
        <v>2.9311535563752312E-2</v>
      </c>
      <c r="F24" s="1611">
        <f>'VPP1'!R17</f>
        <v>7.0501188957842811E-2</v>
      </c>
      <c r="G24" s="1611">
        <f>'VPP1'!R41</f>
        <v>9.4452881781949716E-2</v>
      </c>
      <c r="H24" s="1612">
        <f t="shared" si="15"/>
        <v>0.33973459424108654</v>
      </c>
      <c r="J24" s="2036">
        <f>'VPP1'!R44</f>
        <v>0.33973459424108654</v>
      </c>
      <c r="K24" s="2036"/>
      <c r="L24" s="1433">
        <f>+'VPP1'!R21</f>
        <v>62842635.984367624</v>
      </c>
      <c r="O24" s="74" t="s">
        <v>275</v>
      </c>
      <c r="P24" s="74">
        <v>5.8500000000000002E-3</v>
      </c>
      <c r="Q24" s="548">
        <f t="shared" si="18"/>
        <v>5.8500000000000002E-3</v>
      </c>
      <c r="U24" s="2412">
        <v>4.2900000000000004E-3</v>
      </c>
    </row>
    <row r="25" spans="2:34">
      <c r="B25" s="1614" t="s">
        <v>1874</v>
      </c>
      <c r="C25" s="1609">
        <f>'VPP1'!S22</f>
        <v>1</v>
      </c>
      <c r="D25" s="1610">
        <f t="shared" si="0"/>
        <v>1.8116762534535079E-6</v>
      </c>
      <c r="E25" s="1610">
        <f t="shared" si="1"/>
        <v>1.4723933859243045E-2</v>
      </c>
      <c r="F25" s="1611">
        <f>'VPP1'!S17</f>
        <v>3.2244647507270262E-2</v>
      </c>
      <c r="G25" s="1611">
        <f>'VPP1'!S41</f>
        <v>5.2838316022958819E-2</v>
      </c>
      <c r="H25" s="1612">
        <f>G25/F25-1</f>
        <v>0.63866936399429597</v>
      </c>
      <c r="J25" s="2036"/>
      <c r="K25" s="2036"/>
      <c r="L25" s="1433">
        <f>'VPP1'!S21</f>
        <v>31567463.047502816</v>
      </c>
      <c r="O25" s="74" t="s">
        <v>276</v>
      </c>
      <c r="P25" s="74">
        <v>5.8599999999999998E-3</v>
      </c>
      <c r="Q25" s="548">
        <f t="shared" si="18"/>
        <v>5.8599999999999998E-3</v>
      </c>
      <c r="U25" s="2412">
        <v>4.3400000000000001E-3</v>
      </c>
    </row>
    <row r="26" spans="2:34">
      <c r="B26" s="1614" t="s">
        <v>1875</v>
      </c>
      <c r="C26" s="1609">
        <f>'VPP1'!T22</f>
        <v>1</v>
      </c>
      <c r="D26" s="1610">
        <f t="shared" si="0"/>
        <v>1.8116762534535079E-6</v>
      </c>
      <c r="E26" s="1610">
        <f t="shared" si="1"/>
        <v>2.5791962675013127E-2</v>
      </c>
      <c r="F26" s="1611">
        <f>'VPP1'!T17</f>
        <v>1.2996650642369628E-2</v>
      </c>
      <c r="G26" s="1611">
        <f>'VPP1'!T41</f>
        <v>1.7672791607703367E-2</v>
      </c>
      <c r="H26" s="1612">
        <f>G26/F26-1</f>
        <v>0.35979585002379944</v>
      </c>
      <c r="J26" s="2036"/>
      <c r="K26" s="2036"/>
      <c r="L26" s="1433">
        <f>+'VPP1'!T21</f>
        <v>55296827.359417796</v>
      </c>
      <c r="O26" s="74" t="s">
        <v>277</v>
      </c>
      <c r="P26" s="74">
        <v>5.8200000000000005E-3</v>
      </c>
      <c r="Q26" s="548">
        <f t="shared" si="18"/>
        <v>5.8200000000000005E-3</v>
      </c>
      <c r="U26" s="2412">
        <v>4.2199999999999998E-3</v>
      </c>
    </row>
    <row r="27" spans="2:34">
      <c r="B27" s="1614" t="s">
        <v>1876</v>
      </c>
      <c r="C27" s="1609"/>
      <c r="D27" s="1610">
        <f t="shared" si="0"/>
        <v>0</v>
      </c>
      <c r="E27" s="1610">
        <f t="shared" si="1"/>
        <v>7.0415009333804519E-3</v>
      </c>
      <c r="F27" s="1611">
        <f>'VPP1'!U17</f>
        <v>3.0699999999999998E-3</v>
      </c>
      <c r="G27" s="1611">
        <f>'VPP1'!U41</f>
        <v>3.9499999999999995E-3</v>
      </c>
      <c r="H27" s="1612">
        <f>G27/F27-1</f>
        <v>0.28664495114006505</v>
      </c>
      <c r="J27" s="2036"/>
      <c r="K27" s="2036"/>
      <c r="L27" s="1433">
        <f>+'VPP1'!U21</f>
        <v>15096666.600000029</v>
      </c>
      <c r="O27" s="74" t="s">
        <v>278</v>
      </c>
      <c r="P27" s="74">
        <v>5.8100000000000001E-3</v>
      </c>
      <c r="Q27" s="548">
        <f t="shared" si="18"/>
        <v>5.8100000000000001E-3</v>
      </c>
      <c r="U27" s="2412">
        <v>4.3200000000000001E-3</v>
      </c>
    </row>
    <row r="28" spans="2:34">
      <c r="B28" s="2395" t="s">
        <v>1657</v>
      </c>
      <c r="C28" s="2396">
        <f>SUM(C21:C27)</f>
        <v>297</v>
      </c>
      <c r="D28" s="2397">
        <f t="shared" si="0"/>
        <v>5.3806784727569181E-4</v>
      </c>
      <c r="E28" s="2397">
        <f t="shared" si="1"/>
        <v>0.22163158572811428</v>
      </c>
      <c r="F28" s="2398">
        <f>'VPP1'!V17</f>
        <v>6.2055524227478204E-2</v>
      </c>
      <c r="G28" s="2398">
        <f>'VPP1'!V41</f>
        <v>8.2983409646382303E-2</v>
      </c>
      <c r="H28" s="2399">
        <f>G28/F28-1</f>
        <v>0.33724451899219021</v>
      </c>
      <c r="J28" s="2036">
        <f>'VPP1'!V44</f>
        <v>0.33724451899219021</v>
      </c>
      <c r="K28" s="2036">
        <f>'VPP2'!R30</f>
        <v>0.33724451899219021</v>
      </c>
      <c r="L28" s="1434">
        <f>SUM(L21:L27)</f>
        <v>475168318.43411863</v>
      </c>
      <c r="O28" s="74" t="s">
        <v>279</v>
      </c>
      <c r="P28" s="74">
        <v>5.8599999999999998E-3</v>
      </c>
      <c r="Q28" s="548">
        <f t="shared" si="18"/>
        <v>5.8599999999999998E-3</v>
      </c>
      <c r="U28" s="2412">
        <v>4.2700000000000004E-3</v>
      </c>
    </row>
    <row r="29" spans="2:34" ht="13.5">
      <c r="B29" s="1636" t="s">
        <v>112</v>
      </c>
      <c r="C29" s="1637">
        <f>C20+C28</f>
        <v>551975</v>
      </c>
      <c r="D29" s="1596">
        <f>D20+D28</f>
        <v>1</v>
      </c>
      <c r="E29" s="1596">
        <f t="shared" si="1"/>
        <v>1</v>
      </c>
      <c r="F29" s="1638">
        <f>'VPP1'!W17</f>
        <v>0.16599847265283113</v>
      </c>
      <c r="G29" s="1638">
        <f>'VPP1'!W41</f>
        <v>0.17899367013616524</v>
      </c>
      <c r="H29" s="1639">
        <f t="shared" si="15"/>
        <v>7.828504248055479E-2</v>
      </c>
      <c r="J29" s="2036">
        <f>'VPP1'!W44</f>
        <v>7.828504248055479E-2</v>
      </c>
      <c r="K29" s="2036">
        <f>'VPP2'!H30</f>
        <v>7.8285042480555234E-2</v>
      </c>
      <c r="L29" s="1434">
        <f>L20+L28</f>
        <v>2143955776.3081188</v>
      </c>
      <c r="O29" s="553" t="s">
        <v>2152</v>
      </c>
      <c r="P29" s="553">
        <v>5.6500000000000005E-3</v>
      </c>
      <c r="Q29" s="553">
        <v>5.6500000000000005E-3</v>
      </c>
    </row>
    <row r="31" spans="2:34">
      <c r="O31" s="337"/>
      <c r="P31" s="337"/>
      <c r="Q31" s="337"/>
    </row>
    <row r="32" spans="2:34">
      <c r="O32" s="337"/>
      <c r="P32" s="337"/>
      <c r="Q32" s="337"/>
    </row>
    <row r="33" spans="15:17">
      <c r="O33" s="337"/>
      <c r="P33" s="337"/>
      <c r="Q33" s="337"/>
    </row>
    <row r="34" spans="15:17">
      <c r="O34" s="337"/>
      <c r="P34" s="337"/>
    </row>
  </sheetData>
  <pageMargins left="0.7" right="0.7" top="0.75" bottom="0.75" header="0.3" footer="0.3"/>
  <pageSetup scale="80" orientation="portrait" r:id="rId1"/>
  <colBreaks count="1" manualBreakCount="1">
    <brk id="9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4C302-0708-44C7-AF16-27543AAAAFAE}">
  <sheetPr>
    <tabColor rgb="FF0000FF"/>
    <pageSetUpPr fitToPage="1"/>
  </sheetPr>
  <dimension ref="B2:C14"/>
  <sheetViews>
    <sheetView zoomScaleNormal="100" workbookViewId="0">
      <selection activeCell="I8" sqref="I8"/>
    </sheetView>
  </sheetViews>
  <sheetFormatPr baseColWidth="10" defaultColWidth="11.25" defaultRowHeight="15.75"/>
  <cols>
    <col min="1" max="1" width="2.875" style="69" customWidth="1"/>
    <col min="2" max="2" width="22.25" style="69" customWidth="1"/>
    <col min="3" max="3" width="19" style="69" customWidth="1"/>
    <col min="4" max="16384" width="11.25" style="69"/>
  </cols>
  <sheetData>
    <row r="2" spans="2:3">
      <c r="B2" s="2554" t="s">
        <v>918</v>
      </c>
      <c r="C2" s="1558"/>
    </row>
    <row r="3" spans="2:3" ht="32.25" thickBot="1">
      <c r="B3" s="2555" t="s">
        <v>1861</v>
      </c>
      <c r="C3" s="1558"/>
    </row>
    <row r="4" spans="2:3" ht="39" customHeight="1" thickBot="1">
      <c r="B4" s="1592" t="s">
        <v>1699</v>
      </c>
      <c r="C4" s="1559" t="s">
        <v>1700</v>
      </c>
    </row>
    <row r="5" spans="2:3">
      <c r="B5" s="1593"/>
      <c r="C5" s="1560"/>
    </row>
    <row r="6" spans="2:3">
      <c r="B6" s="1593" t="s">
        <v>1688</v>
      </c>
      <c r="C6" s="1561">
        <f>'Facturador Cáculo %FET'!D13</f>
        <v>-0.43710134656272137</v>
      </c>
    </row>
    <row r="7" spans="2:3">
      <c r="B7" s="1593" t="s">
        <v>1701</v>
      </c>
      <c r="C7" s="1562"/>
    </row>
    <row r="8" spans="2:3">
      <c r="B8" s="1594" t="s">
        <v>1702</v>
      </c>
      <c r="C8" s="1561">
        <f>'Facturador Cáculo %FET'!D15</f>
        <v>-0.45973496432212024</v>
      </c>
    </row>
    <row r="9" spans="2:3">
      <c r="B9" s="1594" t="s">
        <v>1703</v>
      </c>
      <c r="C9" s="1561">
        <f>'Facturador Cáculo %FET'!D16</f>
        <v>-0.45757250268528471</v>
      </c>
    </row>
    <row r="10" spans="2:3">
      <c r="B10" s="1594" t="s">
        <v>1704</v>
      </c>
      <c r="C10" s="1561">
        <f>'Facturador Cáculo %FET'!D17</f>
        <v>-0.40867663142544663</v>
      </c>
    </row>
    <row r="11" spans="2:3">
      <c r="B11" s="1594" t="s">
        <v>1705</v>
      </c>
      <c r="C11" s="1561">
        <f>'Facturador Cáculo %FET'!D18</f>
        <v>-0.39928256070640189</v>
      </c>
    </row>
    <row r="12" spans="2:3">
      <c r="B12" s="1594" t="s">
        <v>1706</v>
      </c>
      <c r="C12" s="1561">
        <f>'Facturador Cáculo %FET'!D19</f>
        <v>-0.26503884572697001</v>
      </c>
    </row>
    <row r="13" spans="2:3">
      <c r="B13" s="1594" t="s">
        <v>1707</v>
      </c>
      <c r="C13" s="1561">
        <f>'Facturador Cáculo %FET'!D20</f>
        <v>-0.26141849238767173</v>
      </c>
    </row>
    <row r="14" spans="2:3" ht="16.5" thickBot="1">
      <c r="B14" s="1590"/>
      <c r="C14" s="1591"/>
    </row>
  </sheetData>
  <pageMargins left="0.39370078740157483" right="0.39370078740157483" top="0.78740157480314965" bottom="0.39370078740157483" header="0.31496062992125984" footer="0.31496062992125984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8">
    <pageSetUpPr fitToPage="1"/>
  </sheetPr>
  <dimension ref="A1:B12"/>
  <sheetViews>
    <sheetView view="pageBreakPreview" zoomScale="70" zoomScaleNormal="100" zoomScaleSheetLayoutView="70" workbookViewId="0">
      <selection activeCell="D26" sqref="D26"/>
    </sheetView>
  </sheetViews>
  <sheetFormatPr baseColWidth="10" defaultColWidth="11.25" defaultRowHeight="15.75"/>
  <cols>
    <col min="1" max="1" width="11.75" style="716" customWidth="1"/>
    <col min="2" max="2" width="59.375" style="69" customWidth="1"/>
    <col min="3" max="16384" width="11.25" style="69"/>
  </cols>
  <sheetData>
    <row r="1" spans="1:2" s="708" customFormat="1">
      <c r="A1" s="707" t="s">
        <v>329</v>
      </c>
      <c r="B1" s="707" t="s">
        <v>323</v>
      </c>
    </row>
    <row r="2" spans="1:2" ht="45">
      <c r="A2" s="709" t="s">
        <v>139</v>
      </c>
      <c r="B2" s="710" t="s">
        <v>96</v>
      </c>
    </row>
    <row r="3" spans="1:2" ht="30">
      <c r="A3" s="711" t="s">
        <v>140</v>
      </c>
      <c r="B3" s="712" t="s">
        <v>26</v>
      </c>
    </row>
    <row r="4" spans="1:2" ht="30">
      <c r="A4" s="711" t="s">
        <v>324</v>
      </c>
      <c r="B4" s="712" t="s">
        <v>325</v>
      </c>
    </row>
    <row r="5" spans="1:2" ht="30">
      <c r="A5" s="711" t="s">
        <v>328</v>
      </c>
      <c r="B5" s="712" t="s">
        <v>4</v>
      </c>
    </row>
    <row r="6" spans="1:2" ht="31.5">
      <c r="A6" s="713" t="s">
        <v>98</v>
      </c>
      <c r="B6" s="712" t="s">
        <v>97</v>
      </c>
    </row>
    <row r="7" spans="1:2" ht="47.25">
      <c r="A7" s="713" t="s">
        <v>99</v>
      </c>
      <c r="B7" s="712" t="s">
        <v>100</v>
      </c>
    </row>
    <row r="8" spans="1:2" ht="30">
      <c r="A8" s="713" t="s">
        <v>354</v>
      </c>
      <c r="B8" s="712" t="s">
        <v>355</v>
      </c>
    </row>
    <row r="9" spans="1:2" ht="30">
      <c r="A9" s="711" t="s">
        <v>222</v>
      </c>
      <c r="B9" s="712" t="s">
        <v>249</v>
      </c>
    </row>
    <row r="10" spans="1:2">
      <c r="A10" s="711" t="s">
        <v>116</v>
      </c>
      <c r="B10" s="712" t="s">
        <v>195</v>
      </c>
    </row>
    <row r="11" spans="1:2" ht="30">
      <c r="A11" s="711" t="s">
        <v>23</v>
      </c>
      <c r="B11" s="712" t="s">
        <v>235</v>
      </c>
    </row>
    <row r="12" spans="1:2" ht="30">
      <c r="A12" s="714" t="s">
        <v>180</v>
      </c>
      <c r="B12" s="715" t="s">
        <v>181</v>
      </c>
    </row>
  </sheetData>
  <phoneticPr fontId="0" type="noConversion"/>
  <printOptions horizontalCentered="1" verticalCentered="1"/>
  <pageMargins left="0.59055118110236227" right="0.59055118110236227" top="0.39370078740157483" bottom="0.39370078740157483" header="0.59055118110236227" footer="0.47244094488188981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0EAF9-6938-4B20-907A-A2F7BDE770C5}">
  <sheetPr codeName="Hoja21">
    <tabColor rgb="FF0000FF"/>
  </sheetPr>
  <dimension ref="A1:AM155"/>
  <sheetViews>
    <sheetView zoomScale="85" zoomScaleNormal="85" workbookViewId="0">
      <pane ySplit="2" topLeftCell="A13" activePane="bottomLeft" state="frozen"/>
      <selection activeCell="I8" sqref="I8"/>
      <selection pane="bottomLeft" activeCell="C24" sqref="C24:D33"/>
    </sheetView>
  </sheetViews>
  <sheetFormatPr baseColWidth="10" defaultColWidth="3.75" defaultRowHeight="12"/>
  <cols>
    <col min="1" max="1" width="1.25" style="874" customWidth="1"/>
    <col min="2" max="2" width="23.625" style="874" bestFit="1" customWidth="1"/>
    <col min="3" max="3" width="9.75" style="874" customWidth="1"/>
    <col min="4" max="4" width="9.75" style="1213" customWidth="1"/>
    <col min="5" max="5" width="1.25" style="874" customWidth="1"/>
    <col min="6" max="6" width="14.5" style="874" bestFit="1" customWidth="1"/>
    <col min="7" max="7" width="8.25" style="874" bestFit="1" customWidth="1"/>
    <col min="8" max="8" width="2.75" style="2280" hidden="1" customWidth="1"/>
    <col min="9" max="10" width="4" style="2280" hidden="1" customWidth="1"/>
    <col min="11" max="13" width="4.875" style="2280" hidden="1" customWidth="1"/>
    <col min="14" max="14" width="2.875" style="2287" hidden="1" customWidth="1"/>
    <col min="15" max="15" width="0.75" style="874" customWidth="1"/>
    <col min="16" max="16" width="9.875" style="874" bestFit="1" customWidth="1"/>
    <col min="17" max="17" width="8" style="874" customWidth="1"/>
    <col min="18" max="18" width="9.875" style="874" bestFit="1" customWidth="1"/>
    <col min="19" max="19" width="8" style="874" customWidth="1"/>
    <col min="20" max="20" width="9.625" style="874" bestFit="1" customWidth="1"/>
    <col min="21" max="21" width="0.75" style="874" customWidth="1"/>
    <col min="22" max="22" width="9.625" style="874" bestFit="1" customWidth="1"/>
    <col min="23" max="23" width="5.875" style="874" bestFit="1" customWidth="1"/>
    <col min="24" max="24" width="9.625" style="874" bestFit="1" customWidth="1"/>
    <col min="25" max="25" width="8" style="874" customWidth="1"/>
    <col min="26" max="26" width="9.875" style="874" bestFit="1" customWidth="1"/>
    <col min="27" max="27" width="1.125" style="874" customWidth="1"/>
    <col min="28" max="28" width="5" style="2265" bestFit="1" customWidth="1"/>
    <col min="29" max="29" width="5" style="874" bestFit="1" customWidth="1"/>
    <col min="30" max="30" width="5" style="2265" bestFit="1" customWidth="1"/>
    <col min="31" max="31" width="1.25" style="874" customWidth="1"/>
    <col min="32" max="33" width="5.375" style="874" bestFit="1" customWidth="1"/>
    <col min="34" max="34" width="1.25" style="874" customWidth="1"/>
    <col min="35" max="35" width="5.375" style="874" bestFit="1" customWidth="1"/>
    <col min="36" max="36" width="5.5" style="874" bestFit="1" customWidth="1"/>
    <col min="37" max="37" width="1.25" style="874" customWidth="1"/>
    <col min="38" max="39" width="5.75" style="874" customWidth="1"/>
    <col min="40" max="16384" width="3.75" style="874"/>
  </cols>
  <sheetData>
    <row r="1" spans="1:39" ht="7.15" customHeight="1"/>
    <row r="2" spans="1:39" ht="27">
      <c r="B2" s="2266"/>
      <c r="C2" s="2266" t="str">
        <f>'PLIEGO UNIFICADO'!D2</f>
        <v>I SEM 2026</v>
      </c>
      <c r="D2" s="2267" t="str">
        <f>'PLIEGO UNIFICADO'!E2</f>
        <v>II SEM 2026 Nuevo</v>
      </c>
      <c r="F2" s="2266"/>
      <c r="G2" s="2266" t="s">
        <v>514</v>
      </c>
      <c r="H2" s="2281" t="s">
        <v>1643</v>
      </c>
      <c r="I2" s="2281" t="s">
        <v>1667</v>
      </c>
      <c r="J2" s="2281" t="s">
        <v>1666</v>
      </c>
      <c r="K2" s="2281" t="s">
        <v>2118</v>
      </c>
      <c r="L2" s="2281" t="s">
        <v>1749</v>
      </c>
      <c r="M2" s="2281" t="s">
        <v>1750</v>
      </c>
      <c r="N2" s="2281"/>
      <c r="O2" s="2268"/>
      <c r="P2" s="2516" t="s">
        <v>2117</v>
      </c>
      <c r="Q2" s="2516" t="s">
        <v>1700</v>
      </c>
      <c r="R2" s="2516" t="s">
        <v>2116</v>
      </c>
      <c r="S2" s="2510" t="s">
        <v>2172</v>
      </c>
      <c r="T2" s="2510" t="s">
        <v>112</v>
      </c>
      <c r="U2" s="2517"/>
      <c r="V2" s="2509" t="s">
        <v>2117</v>
      </c>
      <c r="W2" s="2509" t="s">
        <v>1700</v>
      </c>
      <c r="X2" s="2509" t="s">
        <v>2116</v>
      </c>
      <c r="Y2" s="2509" t="s">
        <v>2172</v>
      </c>
      <c r="Z2" s="2509" t="s">
        <v>112</v>
      </c>
      <c r="AA2" s="2517"/>
      <c r="AB2" s="2514" t="s">
        <v>2104</v>
      </c>
      <c r="AC2" s="2514" t="s">
        <v>2105</v>
      </c>
      <c r="AD2" s="2514" t="s">
        <v>2187</v>
      </c>
      <c r="AE2" s="2273"/>
      <c r="AF2" s="2512" t="s">
        <v>2175</v>
      </c>
      <c r="AG2" s="2514" t="str">
        <f>AF2</f>
        <v>Tarifa + CVC</v>
      </c>
      <c r="AH2" s="2273"/>
      <c r="AI2" s="2512" t="s">
        <v>2176</v>
      </c>
      <c r="AJ2" s="2514" t="str">
        <f>AI2</f>
        <v>Neto FET</v>
      </c>
      <c r="AK2" s="2273"/>
      <c r="AL2" s="2512" t="s">
        <v>2177</v>
      </c>
      <c r="AM2" s="2514" t="str">
        <f>AL2</f>
        <v>Tarifa + CVC + FET</v>
      </c>
    </row>
    <row r="3" spans="1:39" ht="10.9" customHeight="1">
      <c r="A3" s="875"/>
      <c r="C3" s="2269"/>
      <c r="D3" s="1214"/>
      <c r="E3" s="875"/>
      <c r="G3" s="1573"/>
      <c r="H3" s="2282"/>
      <c r="I3" s="2282"/>
      <c r="J3" s="2282"/>
      <c r="K3" s="2282"/>
      <c r="L3" s="2282"/>
      <c r="M3" s="2282"/>
      <c r="N3" s="2288"/>
      <c r="P3" s="875"/>
      <c r="Q3" s="875"/>
      <c r="R3" s="875"/>
      <c r="S3" s="875"/>
      <c r="T3" s="875"/>
      <c r="V3" s="2500"/>
      <c r="W3" s="2500"/>
      <c r="X3" s="2500"/>
      <c r="Y3" s="875"/>
      <c r="Z3" s="875"/>
      <c r="AB3" s="2498"/>
      <c r="AD3" s="2498"/>
      <c r="AF3" s="875"/>
      <c r="AG3" s="875"/>
      <c r="AI3" s="875"/>
      <c r="AJ3" s="2500"/>
      <c r="AL3" s="875"/>
      <c r="AM3" s="875"/>
    </row>
    <row r="4" spans="1:39" ht="10.9" customHeight="1">
      <c r="A4" s="875"/>
      <c r="B4" s="1161" t="s">
        <v>1768</v>
      </c>
      <c r="C4" s="2269"/>
      <c r="D4" s="1214"/>
      <c r="E4" s="875"/>
      <c r="G4" s="1573"/>
      <c r="H4" s="2282"/>
      <c r="I4" s="2282"/>
      <c r="J4" s="2282"/>
      <c r="K4" s="2282"/>
      <c r="L4" s="2282"/>
      <c r="M4" s="2282"/>
      <c r="N4" s="2288"/>
      <c r="P4" s="875"/>
      <c r="Q4" s="875"/>
      <c r="R4" s="875"/>
      <c r="S4" s="875"/>
      <c r="T4" s="875"/>
      <c r="V4" s="2500"/>
      <c r="W4" s="2500"/>
      <c r="X4" s="2500"/>
      <c r="Y4" s="875"/>
      <c r="Z4" s="875"/>
      <c r="AB4" s="2498"/>
      <c r="AD4" s="2498"/>
      <c r="AF4" s="875"/>
      <c r="AG4" s="875"/>
      <c r="AI4" s="875"/>
      <c r="AJ4" s="2500"/>
      <c r="AL4" s="875"/>
      <c r="AM4" s="875"/>
    </row>
    <row r="5" spans="1:39" ht="10.9" customHeight="1">
      <c r="A5" s="875"/>
      <c r="B5" s="874" t="s">
        <v>1769</v>
      </c>
      <c r="C5" s="1209">
        <f>'PLIEGO UNIFICADO'!D10</f>
        <v>0.17830000000000001</v>
      </c>
      <c r="D5" s="2499">
        <f>'PLIEGO UNIFICADO'!E10</f>
        <v>0.18813000000000002</v>
      </c>
      <c r="E5" s="875"/>
      <c r="G5" s="1573"/>
      <c r="H5" s="2282"/>
      <c r="I5" s="2282"/>
      <c r="J5" s="2282"/>
      <c r="K5" s="2282"/>
      <c r="L5" s="2282"/>
      <c r="M5" s="2282"/>
      <c r="N5" s="2288"/>
      <c r="P5" s="875"/>
      <c r="Q5" s="875"/>
      <c r="R5" s="875"/>
      <c r="S5" s="875"/>
      <c r="T5" s="875"/>
      <c r="V5" s="2500"/>
      <c r="W5" s="2500"/>
      <c r="X5" s="2500"/>
      <c r="Y5" s="875"/>
      <c r="Z5" s="875"/>
      <c r="AB5" s="2498"/>
      <c r="AD5" s="2498"/>
      <c r="AF5" s="875"/>
      <c r="AG5" s="875"/>
      <c r="AI5" s="875"/>
      <c r="AJ5" s="2500"/>
      <c r="AL5" s="875"/>
      <c r="AM5" s="875"/>
    </row>
    <row r="6" spans="1:39" ht="10.9" customHeight="1">
      <c r="A6" s="875"/>
      <c r="B6" s="1161"/>
      <c r="C6" s="2269"/>
      <c r="D6" s="1214"/>
      <c r="E6" s="875"/>
      <c r="G6" s="1573"/>
      <c r="H6" s="2282"/>
      <c r="I6" s="2282"/>
      <c r="J6" s="2282"/>
      <c r="K6" s="2282"/>
      <c r="L6" s="2282"/>
      <c r="M6" s="2282"/>
      <c r="N6" s="2288"/>
      <c r="P6" s="875"/>
      <c r="Q6" s="875"/>
      <c r="R6" s="875"/>
      <c r="S6" s="875"/>
      <c r="T6" s="875"/>
      <c r="V6" s="2500"/>
      <c r="W6" s="2500"/>
      <c r="X6" s="2500"/>
      <c r="Y6" s="875"/>
      <c r="Z6" s="875"/>
      <c r="AB6" s="2498"/>
      <c r="AD6" s="2498"/>
      <c r="AF6" s="875"/>
      <c r="AG6" s="875"/>
      <c r="AI6" s="875"/>
      <c r="AJ6" s="2500"/>
      <c r="AL6" s="875"/>
      <c r="AM6" s="875"/>
    </row>
    <row r="7" spans="1:39" ht="10.9" customHeight="1">
      <c r="A7" s="875"/>
      <c r="B7" s="1161" t="s">
        <v>267</v>
      </c>
      <c r="E7" s="875"/>
      <c r="G7" s="1573"/>
      <c r="H7" s="2282"/>
      <c r="I7" s="2282"/>
      <c r="J7" s="2282"/>
      <c r="K7" s="2282"/>
      <c r="L7" s="2282"/>
      <c r="M7" s="2282"/>
      <c r="N7" s="2288"/>
      <c r="P7" s="875"/>
      <c r="Q7" s="875"/>
      <c r="R7" s="875"/>
      <c r="S7" s="875"/>
      <c r="T7" s="875"/>
      <c r="V7" s="2500"/>
      <c r="W7" s="2500"/>
      <c r="X7" s="2500"/>
      <c r="Y7" s="875"/>
      <c r="Z7" s="875"/>
      <c r="AB7" s="2498"/>
      <c r="AD7" s="2498"/>
      <c r="AF7" s="875"/>
      <c r="AG7" s="875"/>
      <c r="AI7" s="875"/>
      <c r="AJ7" s="2500"/>
      <c r="AL7" s="875"/>
      <c r="AM7" s="875"/>
    </row>
    <row r="8" spans="1:39" ht="10.9" customHeight="1">
      <c r="A8" s="875"/>
      <c r="B8" s="874" t="s">
        <v>1296</v>
      </c>
      <c r="C8" s="875">
        <f>'PLIEGO UNIFICADO'!D32</f>
        <v>2.36</v>
      </c>
      <c r="D8" s="2500">
        <f>'PLIEGO UNIFICADO'!E32</f>
        <v>2.76</v>
      </c>
      <c r="E8" s="875"/>
      <c r="G8" s="1573"/>
      <c r="H8" s="2282"/>
      <c r="I8" s="2282"/>
      <c r="J8" s="2282"/>
      <c r="K8" s="2282"/>
      <c r="L8" s="2282"/>
      <c r="M8" s="2282"/>
      <c r="N8" s="2288"/>
      <c r="P8" s="875"/>
      <c r="Q8" s="875"/>
      <c r="R8" s="875"/>
      <c r="S8" s="875"/>
      <c r="T8" s="875"/>
      <c r="V8" s="2500"/>
      <c r="W8" s="2500"/>
      <c r="X8" s="2500"/>
      <c r="Y8" s="875"/>
      <c r="Z8" s="875"/>
      <c r="AB8" s="2498"/>
      <c r="AD8" s="2498"/>
      <c r="AF8" s="875"/>
      <c r="AG8" s="875"/>
      <c r="AI8" s="875"/>
      <c r="AJ8" s="2500"/>
      <c r="AL8" s="875"/>
      <c r="AM8" s="875"/>
    </row>
    <row r="9" spans="1:39" ht="10.9" customHeight="1">
      <c r="A9" s="875"/>
      <c r="B9" s="874" t="s">
        <v>1297</v>
      </c>
      <c r="C9" s="1209">
        <f>'PLIEGO UNIFICADO'!D33</f>
        <v>0.17581000000000002</v>
      </c>
      <c r="D9" s="2499">
        <f>'PLIEGO UNIFICADO'!E33</f>
        <v>0.17621000000000001</v>
      </c>
      <c r="E9" s="875"/>
      <c r="G9" s="1573"/>
      <c r="H9" s="2282"/>
      <c r="I9" s="2282"/>
      <c r="J9" s="2282"/>
      <c r="K9" s="2282"/>
      <c r="L9" s="2282"/>
      <c r="M9" s="2282"/>
      <c r="N9" s="2288"/>
      <c r="P9" s="875"/>
      <c r="Q9" s="875"/>
      <c r="R9" s="875"/>
      <c r="S9" s="875"/>
      <c r="T9" s="875"/>
      <c r="V9" s="2500"/>
      <c r="W9" s="2500"/>
      <c r="X9" s="2500"/>
      <c r="Y9" s="875"/>
      <c r="Z9" s="875"/>
      <c r="AB9" s="2498"/>
      <c r="AD9" s="2498"/>
      <c r="AF9" s="875"/>
      <c r="AG9" s="875"/>
      <c r="AI9" s="875"/>
      <c r="AJ9" s="2500"/>
      <c r="AL9" s="875"/>
      <c r="AM9" s="875"/>
    </row>
    <row r="10" spans="1:39" ht="10.9" customHeight="1">
      <c r="A10" s="875"/>
      <c r="B10" s="874" t="s">
        <v>1670</v>
      </c>
      <c r="C10" s="1209">
        <f>'PLIEGO UNIFICADO'!D34</f>
        <v>0.20362000000000002</v>
      </c>
      <c r="D10" s="2499">
        <f>'PLIEGO UNIFICADO'!E34</f>
        <v>0.24436000000000005</v>
      </c>
      <c r="E10" s="875"/>
      <c r="G10" s="1573"/>
      <c r="H10" s="2282"/>
      <c r="I10" s="2282"/>
      <c r="J10" s="2282"/>
      <c r="K10" s="2282"/>
      <c r="L10" s="2282"/>
      <c r="M10" s="2282"/>
      <c r="N10" s="2288"/>
      <c r="P10" s="875"/>
      <c r="Q10" s="875"/>
      <c r="R10" s="875"/>
      <c r="S10" s="875"/>
      <c r="T10" s="875"/>
      <c r="V10" s="2500"/>
      <c r="W10" s="2500"/>
      <c r="X10" s="2500"/>
      <c r="Y10" s="875"/>
      <c r="Z10" s="875"/>
      <c r="AB10" s="2498"/>
      <c r="AD10" s="2498"/>
      <c r="AF10" s="875"/>
      <c r="AG10" s="875"/>
      <c r="AI10" s="875"/>
      <c r="AJ10" s="2500"/>
      <c r="AL10" s="875"/>
      <c r="AM10" s="875"/>
    </row>
    <row r="11" spans="1:39" ht="10.9" customHeight="1">
      <c r="A11" s="875"/>
      <c r="B11" s="874" t="s">
        <v>1671</v>
      </c>
      <c r="C11" s="1209">
        <f>'PLIEGO UNIFICADO'!D35</f>
        <v>0.23087999999999997</v>
      </c>
      <c r="D11" s="2499">
        <f>'PLIEGO UNIFICADO'!E35</f>
        <v>0.26735999999999999</v>
      </c>
      <c r="E11" s="875"/>
      <c r="G11" s="1573"/>
      <c r="H11" s="2282"/>
      <c r="I11" s="2282"/>
      <c r="J11" s="2282"/>
      <c r="K11" s="2282"/>
      <c r="L11" s="2282"/>
      <c r="M11" s="2282"/>
      <c r="N11" s="2288"/>
      <c r="P11" s="875"/>
      <c r="Q11" s="875"/>
      <c r="R11" s="875"/>
      <c r="S11" s="875"/>
      <c r="T11" s="875"/>
      <c r="V11" s="2500"/>
      <c r="W11" s="2500"/>
      <c r="X11" s="2500"/>
      <c r="Y11" s="875"/>
      <c r="Z11" s="875"/>
      <c r="AB11" s="2498"/>
      <c r="AD11" s="2498"/>
      <c r="AF11" s="875"/>
      <c r="AG11" s="875"/>
      <c r="AI11" s="875"/>
      <c r="AJ11" s="2500"/>
      <c r="AL11" s="875"/>
      <c r="AM11" s="875"/>
    </row>
    <row r="12" spans="1:39" ht="10.9" customHeight="1">
      <c r="A12" s="875"/>
      <c r="B12" s="1161"/>
      <c r="C12" s="2269"/>
      <c r="D12" s="1214"/>
      <c r="E12" s="875"/>
      <c r="G12" s="1573"/>
      <c r="H12" s="2282"/>
      <c r="I12" s="2282"/>
      <c r="J12" s="2282"/>
      <c r="K12" s="2282"/>
      <c r="L12" s="2282"/>
      <c r="M12" s="2282"/>
      <c r="N12" s="2288"/>
      <c r="P12" s="875"/>
      <c r="Q12" s="875"/>
      <c r="R12" s="875"/>
      <c r="S12" s="875"/>
      <c r="T12" s="875"/>
      <c r="V12" s="2500"/>
      <c r="W12" s="2500"/>
      <c r="X12" s="2500"/>
      <c r="Y12" s="875"/>
      <c r="Z12" s="875"/>
      <c r="AB12" s="2498"/>
      <c r="AD12" s="2498"/>
      <c r="AF12" s="875"/>
      <c r="AG12" s="875"/>
      <c r="AI12" s="875"/>
      <c r="AJ12" s="2500"/>
      <c r="AL12" s="875"/>
      <c r="AM12" s="875"/>
    </row>
    <row r="13" spans="1:39">
      <c r="A13" s="875"/>
      <c r="B13" s="1213" t="s">
        <v>892</v>
      </c>
      <c r="C13" s="2530">
        <v>-0.40605720695457109</v>
      </c>
      <c r="D13" s="2531">
        <f>-(V13-R13)/V13</f>
        <v>-0.43710134656272137</v>
      </c>
      <c r="E13" s="875"/>
      <c r="F13" s="2265" t="s">
        <v>892</v>
      </c>
      <c r="G13" s="2270">
        <v>300</v>
      </c>
      <c r="H13" s="2282"/>
      <c r="I13" s="2282"/>
      <c r="J13" s="2282"/>
      <c r="K13" s="2282"/>
      <c r="L13" s="2282"/>
      <c r="M13" s="2282"/>
      <c r="N13" s="2288"/>
      <c r="P13" s="875">
        <f>ROUND($C$5*$G13,2)</f>
        <v>53.49</v>
      </c>
      <c r="Q13" s="875">
        <f>ROUND(P13*$C13,2)</f>
        <v>-21.72</v>
      </c>
      <c r="R13" s="875">
        <f>SUM(P13:Q13)</f>
        <v>31.770000000000003</v>
      </c>
      <c r="S13" s="875">
        <f>ROUND($G13*$C$25,2)</f>
        <v>0</v>
      </c>
      <c r="T13" s="875">
        <f>SUM(R13:S13)</f>
        <v>31.770000000000003</v>
      </c>
      <c r="V13" s="2500">
        <f>ROUND($D$5*$G13,2)</f>
        <v>56.44</v>
      </c>
      <c r="W13" s="2500">
        <f>ROUND(V13*$D13,2)</f>
        <v>-24.67</v>
      </c>
      <c r="X13" s="2500">
        <f>SUM(V13:W13)</f>
        <v>31.769999999999996</v>
      </c>
      <c r="Y13" s="875">
        <f>ROUND($G13*$D$25,2)</f>
        <v>0</v>
      </c>
      <c r="Z13" s="875">
        <f>SUM(X13:Y13)</f>
        <v>31.769999999999996</v>
      </c>
      <c r="AB13" s="2556">
        <f>V13/P13-1</f>
        <v>5.5150495419704626E-2</v>
      </c>
      <c r="AC13" s="2557">
        <f>X13/R13-1</f>
        <v>0</v>
      </c>
      <c r="AD13" s="2556">
        <f>Z13/T13-1</f>
        <v>0</v>
      </c>
      <c r="AF13" s="2511">
        <f>($P13+$S13)/$G13</f>
        <v>0.17830000000000001</v>
      </c>
      <c r="AG13" s="2511">
        <f>($V13+$Y13)/$G13</f>
        <v>0.18813333333333332</v>
      </c>
      <c r="AI13" s="2558">
        <f>$R13/$G13</f>
        <v>0.10590000000000001</v>
      </c>
      <c r="AJ13" s="2558">
        <f>$X13/$G13</f>
        <v>0.10589999999999998</v>
      </c>
      <c r="AL13" s="2511">
        <f>$T13/$G13</f>
        <v>0.10590000000000001</v>
      </c>
      <c r="AM13" s="2511">
        <f>$Z13/$G13</f>
        <v>0.10589999999999998</v>
      </c>
    </row>
    <row r="14" spans="1:39">
      <c r="A14" s="875"/>
      <c r="B14" s="1213"/>
      <c r="C14" s="2530"/>
      <c r="D14" s="2531"/>
      <c r="E14" s="875"/>
      <c r="F14" s="2265"/>
      <c r="G14" s="2270"/>
      <c r="H14" s="2282"/>
      <c r="I14" s="2282"/>
      <c r="J14" s="2282"/>
      <c r="K14" s="2282"/>
      <c r="L14" s="2282"/>
      <c r="M14" s="2282"/>
      <c r="N14" s="2288"/>
      <c r="P14" s="875"/>
      <c r="Q14" s="875"/>
      <c r="R14" s="875"/>
      <c r="S14" s="875"/>
      <c r="T14" s="875"/>
      <c r="U14" s="875"/>
      <c r="V14" s="875"/>
      <c r="W14" s="875"/>
      <c r="X14" s="875"/>
      <c r="Y14" s="875"/>
      <c r="Z14" s="875"/>
      <c r="AA14" s="875"/>
      <c r="AB14" s="875"/>
      <c r="AC14" s="875"/>
      <c r="AD14" s="875"/>
      <c r="AE14" s="875"/>
      <c r="AF14" s="875"/>
      <c r="AG14" s="875"/>
      <c r="AH14" s="875"/>
      <c r="AI14" s="875"/>
      <c r="AJ14" s="875"/>
      <c r="AK14" s="875"/>
      <c r="AL14" s="875"/>
      <c r="AM14" s="875"/>
    </row>
    <row r="15" spans="1:39">
      <c r="A15" s="2269"/>
      <c r="B15" s="1213" t="s">
        <v>765</v>
      </c>
      <c r="C15" s="2501">
        <v>-0.43556975505857315</v>
      </c>
      <c r="D15" s="2502">
        <f t="shared" ref="D15:D20" si="0">-(V15-R15)/V15</f>
        <v>-0.45973496432212024</v>
      </c>
      <c r="E15" s="2269"/>
      <c r="F15" s="2265" t="s">
        <v>765</v>
      </c>
      <c r="G15" s="2270">
        <v>50</v>
      </c>
      <c r="H15" s="2282"/>
      <c r="I15" s="2282"/>
      <c r="J15" s="2282"/>
      <c r="K15" s="2282">
        <f t="shared" ref="K15:K34" si="1">IF(G15&lt;=300,G15,300)</f>
        <v>50</v>
      </c>
      <c r="L15" s="2282">
        <f t="shared" ref="L15:L34" si="2">IF(G15&lt;=750,G15,750)-K15</f>
        <v>0</v>
      </c>
      <c r="M15" s="2282">
        <f t="shared" ref="M15:M34" si="3">IF(G15&gt;750,G15,G15)-K15-L15</f>
        <v>0</v>
      </c>
      <c r="N15" s="2289">
        <f t="shared" ref="N15:N34" si="4">G15-SUM(K15:M15)</f>
        <v>0</v>
      </c>
      <c r="P15" s="875">
        <f t="shared" ref="P15:P20" si="5">ROUND($C$8+$C$9*($G15-10),2)</f>
        <v>9.39</v>
      </c>
      <c r="Q15" s="875">
        <f t="shared" ref="Q15:Q20" si="6">ROUND(P15*$C15,2)</f>
        <v>-4.09</v>
      </c>
      <c r="R15" s="875">
        <f t="shared" ref="R15:R34" si="7">SUM(P15:Q15)</f>
        <v>5.3000000000000007</v>
      </c>
      <c r="S15" s="875">
        <f t="shared" ref="S15:S20" si="8">ROUND($G15*$C$26,2)</f>
        <v>0</v>
      </c>
      <c r="T15" s="875">
        <f t="shared" ref="T15:T34" si="9">SUM(R15:S15)</f>
        <v>5.3000000000000007</v>
      </c>
      <c r="V15" s="2500">
        <f t="shared" ref="V15:V35" si="10">ROUND($D$8+$D$9*($K15-10)+$D$10*$L15++$D$11*$M15,2)</f>
        <v>9.81</v>
      </c>
      <c r="W15" s="2500">
        <f t="shared" ref="W15:W20" si="11">ROUND(V15*$D15,2)</f>
        <v>-4.51</v>
      </c>
      <c r="X15" s="2500">
        <f t="shared" ref="X15:X34" si="12">SUM(V15:W15)</f>
        <v>5.3000000000000007</v>
      </c>
      <c r="Y15" s="875">
        <f t="shared" ref="Y15:Y20" si="13">ROUND($G15*$D$26,2)</f>
        <v>0</v>
      </c>
      <c r="Z15" s="875">
        <f t="shared" ref="Z15:Z34" si="14">SUM(X15:Y15)</f>
        <v>5.3000000000000007</v>
      </c>
      <c r="AB15" s="2556">
        <f t="shared" ref="AB15:AB20" si="15">V15/P15-1</f>
        <v>4.4728434504792247E-2</v>
      </c>
      <c r="AC15" s="2557">
        <f t="shared" ref="AC15:AC34" si="16">X15/R15-1</f>
        <v>0</v>
      </c>
      <c r="AD15" s="2556">
        <f t="shared" ref="AD15:AD36" si="17">Z15/T15-1</f>
        <v>0</v>
      </c>
      <c r="AF15" s="2511">
        <f t="shared" ref="AF15:AF36" si="18">($P15+$S15)/$G15</f>
        <v>0.18780000000000002</v>
      </c>
      <c r="AG15" s="2511">
        <f t="shared" ref="AG15:AG36" si="19">($V15+$Y15)/$G15</f>
        <v>0.19620000000000001</v>
      </c>
      <c r="AI15" s="2558">
        <f t="shared" ref="AI15:AI36" si="20">$R15/$G15</f>
        <v>0.10600000000000001</v>
      </c>
      <c r="AJ15" s="2558">
        <f t="shared" ref="AJ15:AJ36" si="21">$X15/$G15</f>
        <v>0.10600000000000001</v>
      </c>
      <c r="AL15" s="2511">
        <f t="shared" ref="AL15:AL36" si="22">$T15/$G15</f>
        <v>0.10600000000000001</v>
      </c>
      <c r="AM15" s="2511">
        <f t="shared" ref="AM15:AM36" si="23">$Z15/$G15</f>
        <v>0.10600000000000001</v>
      </c>
    </row>
    <row r="16" spans="1:39">
      <c r="A16" s="875"/>
      <c r="B16" s="1213" t="s">
        <v>1298</v>
      </c>
      <c r="C16" s="2501">
        <v>-0.44444444444444436</v>
      </c>
      <c r="D16" s="2502">
        <f t="shared" si="0"/>
        <v>-0.45757250268528471</v>
      </c>
      <c r="E16" s="875"/>
      <c r="F16" s="2265" t="s">
        <v>1298</v>
      </c>
      <c r="G16" s="2270">
        <v>100</v>
      </c>
      <c r="H16" s="2282"/>
      <c r="I16" s="2282"/>
      <c r="J16" s="2282"/>
      <c r="K16" s="2282">
        <f t="shared" si="1"/>
        <v>100</v>
      </c>
      <c r="L16" s="2282">
        <f t="shared" si="2"/>
        <v>0</v>
      </c>
      <c r="M16" s="2282">
        <f t="shared" si="3"/>
        <v>0</v>
      </c>
      <c r="N16" s="2289">
        <f t="shared" si="4"/>
        <v>0</v>
      </c>
      <c r="P16" s="875">
        <f>ROUND($C$8+$C$9*($G16-10),2)</f>
        <v>18.18</v>
      </c>
      <c r="Q16" s="875">
        <f t="shared" si="6"/>
        <v>-8.08</v>
      </c>
      <c r="R16" s="875">
        <f t="shared" si="7"/>
        <v>10.1</v>
      </c>
      <c r="S16" s="875">
        <f t="shared" si="8"/>
        <v>0</v>
      </c>
      <c r="T16" s="875">
        <f t="shared" si="9"/>
        <v>10.1</v>
      </c>
      <c r="V16" s="2500">
        <f t="shared" si="10"/>
        <v>18.62</v>
      </c>
      <c r="W16" s="2500">
        <f t="shared" si="11"/>
        <v>-8.52</v>
      </c>
      <c r="X16" s="2500">
        <f t="shared" si="12"/>
        <v>10.100000000000001</v>
      </c>
      <c r="Y16" s="875">
        <f t="shared" si="13"/>
        <v>0</v>
      </c>
      <c r="Z16" s="875">
        <f t="shared" si="14"/>
        <v>10.100000000000001</v>
      </c>
      <c r="AB16" s="2556">
        <f t="shared" si="15"/>
        <v>2.4202420242024347E-2</v>
      </c>
      <c r="AC16" s="2557">
        <f t="shared" si="16"/>
        <v>0</v>
      </c>
      <c r="AD16" s="2556">
        <f t="shared" si="17"/>
        <v>0</v>
      </c>
      <c r="AF16" s="2511">
        <f t="shared" si="18"/>
        <v>0.18179999999999999</v>
      </c>
      <c r="AG16" s="2511">
        <f t="shared" si="19"/>
        <v>0.1862</v>
      </c>
      <c r="AI16" s="2558">
        <f t="shared" si="20"/>
        <v>0.10099999999999999</v>
      </c>
      <c r="AJ16" s="2558">
        <f t="shared" si="21"/>
        <v>0.10100000000000002</v>
      </c>
      <c r="AL16" s="2511">
        <f t="shared" si="22"/>
        <v>0.10099999999999999</v>
      </c>
      <c r="AM16" s="2511">
        <f t="shared" si="23"/>
        <v>0.10100000000000002</v>
      </c>
    </row>
    <row r="17" spans="1:39">
      <c r="B17" s="1213" t="s">
        <v>740</v>
      </c>
      <c r="C17" s="2501">
        <v>-0.39859102706711158</v>
      </c>
      <c r="D17" s="2502">
        <f t="shared" si="0"/>
        <v>-0.40867663142544663</v>
      </c>
      <c r="F17" s="2265" t="s">
        <v>740</v>
      </c>
      <c r="G17" s="2270">
        <v>150</v>
      </c>
      <c r="H17" s="2282"/>
      <c r="I17" s="2282"/>
      <c r="J17" s="2282"/>
      <c r="K17" s="2282">
        <f t="shared" si="1"/>
        <v>150</v>
      </c>
      <c r="L17" s="2282">
        <f t="shared" si="2"/>
        <v>0</v>
      </c>
      <c r="M17" s="2282">
        <f t="shared" si="3"/>
        <v>0</v>
      </c>
      <c r="N17" s="2289">
        <f t="shared" si="4"/>
        <v>0</v>
      </c>
      <c r="P17" s="875">
        <f t="shared" si="5"/>
        <v>26.97</v>
      </c>
      <c r="Q17" s="875">
        <f t="shared" si="6"/>
        <v>-10.75</v>
      </c>
      <c r="R17" s="875">
        <f t="shared" si="7"/>
        <v>16.22</v>
      </c>
      <c r="S17" s="875">
        <f t="shared" si="8"/>
        <v>0</v>
      </c>
      <c r="T17" s="875">
        <f t="shared" si="9"/>
        <v>16.22</v>
      </c>
      <c r="V17" s="2500">
        <f t="shared" si="10"/>
        <v>27.43</v>
      </c>
      <c r="W17" s="2500">
        <f t="shared" si="11"/>
        <v>-11.21</v>
      </c>
      <c r="X17" s="2500">
        <f t="shared" si="12"/>
        <v>16.22</v>
      </c>
      <c r="Y17" s="875">
        <f t="shared" si="13"/>
        <v>0</v>
      </c>
      <c r="Z17" s="875">
        <f t="shared" si="14"/>
        <v>16.22</v>
      </c>
      <c r="AB17" s="2556">
        <f t="shared" si="15"/>
        <v>1.7055988134964783E-2</v>
      </c>
      <c r="AC17" s="2557">
        <f t="shared" si="16"/>
        <v>0</v>
      </c>
      <c r="AD17" s="2556">
        <f t="shared" si="17"/>
        <v>0</v>
      </c>
      <c r="AF17" s="2511">
        <f t="shared" si="18"/>
        <v>0.17979999999999999</v>
      </c>
      <c r="AG17" s="2511">
        <f t="shared" si="19"/>
        <v>0.18286666666666668</v>
      </c>
      <c r="AI17" s="2558">
        <f t="shared" si="20"/>
        <v>0.10813333333333333</v>
      </c>
      <c r="AJ17" s="2558">
        <f t="shared" si="21"/>
        <v>0.10813333333333333</v>
      </c>
      <c r="AL17" s="2511">
        <f t="shared" si="22"/>
        <v>0.10813333333333333</v>
      </c>
      <c r="AM17" s="2511">
        <f t="shared" si="23"/>
        <v>0.10813333333333333</v>
      </c>
    </row>
    <row r="18" spans="1:39">
      <c r="B18" s="1213" t="s">
        <v>741</v>
      </c>
      <c r="C18" s="2501">
        <v>-0.39121923937360181</v>
      </c>
      <c r="D18" s="2502">
        <f t="shared" si="0"/>
        <v>-0.39928256070640189</v>
      </c>
      <c r="F18" s="2265" t="s">
        <v>741</v>
      </c>
      <c r="G18" s="2270">
        <v>200</v>
      </c>
      <c r="H18" s="2282"/>
      <c r="I18" s="2282"/>
      <c r="J18" s="2282"/>
      <c r="K18" s="2282">
        <f t="shared" si="1"/>
        <v>200</v>
      </c>
      <c r="L18" s="2282">
        <f t="shared" si="2"/>
        <v>0</v>
      </c>
      <c r="M18" s="2282">
        <f t="shared" si="3"/>
        <v>0</v>
      </c>
      <c r="N18" s="2289">
        <f t="shared" si="4"/>
        <v>0</v>
      </c>
      <c r="P18" s="875">
        <f t="shared" si="5"/>
        <v>35.76</v>
      </c>
      <c r="Q18" s="875">
        <f t="shared" si="6"/>
        <v>-13.99</v>
      </c>
      <c r="R18" s="875">
        <f t="shared" si="7"/>
        <v>21.769999999999996</v>
      </c>
      <c r="S18" s="875">
        <f t="shared" si="8"/>
        <v>0</v>
      </c>
      <c r="T18" s="875">
        <f t="shared" si="9"/>
        <v>21.769999999999996</v>
      </c>
      <c r="V18" s="2500">
        <f t="shared" si="10"/>
        <v>36.24</v>
      </c>
      <c r="W18" s="2500">
        <f t="shared" si="11"/>
        <v>-14.47</v>
      </c>
      <c r="X18" s="2500">
        <f t="shared" si="12"/>
        <v>21.770000000000003</v>
      </c>
      <c r="Y18" s="875">
        <f t="shared" si="13"/>
        <v>0</v>
      </c>
      <c r="Z18" s="875">
        <f t="shared" si="14"/>
        <v>21.770000000000003</v>
      </c>
      <c r="AB18" s="2556">
        <f t="shared" si="15"/>
        <v>1.3422818791946511E-2</v>
      </c>
      <c r="AC18" s="2557">
        <f t="shared" si="16"/>
        <v>0</v>
      </c>
      <c r="AD18" s="2556">
        <f t="shared" si="17"/>
        <v>0</v>
      </c>
      <c r="AF18" s="2511">
        <f t="shared" si="18"/>
        <v>0.17879999999999999</v>
      </c>
      <c r="AG18" s="2511">
        <f t="shared" si="19"/>
        <v>0.1812</v>
      </c>
      <c r="AI18" s="2558">
        <f t="shared" si="20"/>
        <v>0.10884999999999997</v>
      </c>
      <c r="AJ18" s="2558">
        <f t="shared" si="21"/>
        <v>0.10885000000000002</v>
      </c>
      <c r="AL18" s="2511">
        <f t="shared" si="22"/>
        <v>0.10884999999999997</v>
      </c>
      <c r="AM18" s="2511">
        <f t="shared" si="23"/>
        <v>0.10885000000000002</v>
      </c>
    </row>
    <row r="19" spans="1:39">
      <c r="B19" s="1213" t="s">
        <v>742</v>
      </c>
      <c r="C19" s="2501">
        <v>-0.25679012345679009</v>
      </c>
      <c r="D19" s="2502">
        <f t="shared" si="0"/>
        <v>-0.26503884572697001</v>
      </c>
      <c r="F19" s="2265" t="s">
        <v>742</v>
      </c>
      <c r="G19" s="2270">
        <v>250</v>
      </c>
      <c r="H19" s="2282"/>
      <c r="I19" s="2282"/>
      <c r="J19" s="2282"/>
      <c r="K19" s="2282">
        <f t="shared" si="1"/>
        <v>250</v>
      </c>
      <c r="L19" s="2282">
        <f t="shared" si="2"/>
        <v>0</v>
      </c>
      <c r="M19" s="2282">
        <f t="shared" si="3"/>
        <v>0</v>
      </c>
      <c r="N19" s="2289">
        <f t="shared" si="4"/>
        <v>0</v>
      </c>
      <c r="P19" s="875">
        <f t="shared" si="5"/>
        <v>44.55</v>
      </c>
      <c r="Q19" s="875">
        <f t="shared" si="6"/>
        <v>-11.44</v>
      </c>
      <c r="R19" s="875">
        <f t="shared" si="7"/>
        <v>33.11</v>
      </c>
      <c r="S19" s="875">
        <f t="shared" si="8"/>
        <v>0</v>
      </c>
      <c r="T19" s="875">
        <f t="shared" si="9"/>
        <v>33.11</v>
      </c>
      <c r="V19" s="2500">
        <f t="shared" si="10"/>
        <v>45.05</v>
      </c>
      <c r="W19" s="2500">
        <f t="shared" si="11"/>
        <v>-11.94</v>
      </c>
      <c r="X19" s="2500">
        <f t="shared" si="12"/>
        <v>33.11</v>
      </c>
      <c r="Y19" s="875">
        <f t="shared" si="13"/>
        <v>0</v>
      </c>
      <c r="Z19" s="875">
        <f t="shared" si="14"/>
        <v>33.11</v>
      </c>
      <c r="AB19" s="2556">
        <f t="shared" si="15"/>
        <v>1.1223344556677839E-2</v>
      </c>
      <c r="AC19" s="2557">
        <f t="shared" si="16"/>
        <v>0</v>
      </c>
      <c r="AD19" s="2556">
        <f t="shared" si="17"/>
        <v>0</v>
      </c>
      <c r="AF19" s="2511">
        <f t="shared" si="18"/>
        <v>0.1782</v>
      </c>
      <c r="AG19" s="2511">
        <f t="shared" si="19"/>
        <v>0.1802</v>
      </c>
      <c r="AI19" s="2558">
        <f t="shared" si="20"/>
        <v>0.13244</v>
      </c>
      <c r="AJ19" s="2558">
        <f t="shared" si="21"/>
        <v>0.13244</v>
      </c>
      <c r="AL19" s="2511">
        <f t="shared" si="22"/>
        <v>0.13244</v>
      </c>
      <c r="AM19" s="2511">
        <f t="shared" si="23"/>
        <v>0.13244</v>
      </c>
    </row>
    <row r="20" spans="1:39">
      <c r="A20" s="2269"/>
      <c r="B20" s="1213" t="s">
        <v>743</v>
      </c>
      <c r="C20" s="2501">
        <v>-0.2542182227221596</v>
      </c>
      <c r="D20" s="2502">
        <f t="shared" si="0"/>
        <v>-0.26141849238767173</v>
      </c>
      <c r="E20" s="2269"/>
      <c r="F20" s="2278" t="s">
        <v>743</v>
      </c>
      <c r="G20" s="2270">
        <v>300</v>
      </c>
      <c r="H20" s="2282"/>
      <c r="I20" s="2282"/>
      <c r="J20" s="2282"/>
      <c r="K20" s="2282">
        <f t="shared" si="1"/>
        <v>300</v>
      </c>
      <c r="L20" s="2282">
        <f t="shared" si="2"/>
        <v>0</v>
      </c>
      <c r="M20" s="2282">
        <f t="shared" si="3"/>
        <v>0</v>
      </c>
      <c r="N20" s="2289">
        <f t="shared" si="4"/>
        <v>0</v>
      </c>
      <c r="P20" s="875">
        <f t="shared" si="5"/>
        <v>53.34</v>
      </c>
      <c r="Q20" s="875">
        <f t="shared" si="6"/>
        <v>-13.56</v>
      </c>
      <c r="R20" s="875">
        <f t="shared" si="7"/>
        <v>39.78</v>
      </c>
      <c r="S20" s="875">
        <f t="shared" si="8"/>
        <v>0</v>
      </c>
      <c r="T20" s="875">
        <f t="shared" si="9"/>
        <v>39.78</v>
      </c>
      <c r="V20" s="2500">
        <f t="shared" si="10"/>
        <v>53.86</v>
      </c>
      <c r="W20" s="2500">
        <f t="shared" si="11"/>
        <v>-14.08</v>
      </c>
      <c r="X20" s="2500">
        <f t="shared" si="12"/>
        <v>39.78</v>
      </c>
      <c r="Y20" s="875">
        <f t="shared" si="13"/>
        <v>0</v>
      </c>
      <c r="Z20" s="875">
        <f t="shared" si="14"/>
        <v>39.78</v>
      </c>
      <c r="AB20" s="2556">
        <f t="shared" si="15"/>
        <v>9.7487814023247132E-3</v>
      </c>
      <c r="AC20" s="2557">
        <f t="shared" si="16"/>
        <v>0</v>
      </c>
      <c r="AD20" s="2556">
        <f t="shared" si="17"/>
        <v>0</v>
      </c>
      <c r="AF20" s="2511">
        <f t="shared" si="18"/>
        <v>0.17780000000000001</v>
      </c>
      <c r="AG20" s="2511">
        <f t="shared" si="19"/>
        <v>0.17953333333333332</v>
      </c>
      <c r="AI20" s="2558">
        <f t="shared" si="20"/>
        <v>0.1326</v>
      </c>
      <c r="AJ20" s="2558">
        <f t="shared" si="21"/>
        <v>0.1326</v>
      </c>
      <c r="AL20" s="2511">
        <f t="shared" si="22"/>
        <v>0.1326</v>
      </c>
      <c r="AM20" s="2511">
        <f t="shared" si="23"/>
        <v>0.1326</v>
      </c>
    </row>
    <row r="21" spans="1:39" s="2265" customFormat="1">
      <c r="A21" s="2521"/>
      <c r="C21" s="2522"/>
      <c r="D21" s="2522"/>
      <c r="E21" s="2521"/>
      <c r="F21" s="2518" t="s">
        <v>2174</v>
      </c>
      <c r="G21" s="2519">
        <f>SUM(G15:G20)</f>
        <v>1050</v>
      </c>
      <c r="H21" s="2523"/>
      <c r="I21" s="2523"/>
      <c r="J21" s="2523"/>
      <c r="K21" s="2523"/>
      <c r="L21" s="2523"/>
      <c r="M21" s="2523"/>
      <c r="N21" s="2524"/>
      <c r="P21" s="2525">
        <f>SUM(P15:P20)</f>
        <v>188.19</v>
      </c>
      <c r="Q21" s="2525">
        <f>SUM(Q15:Q20)</f>
        <v>-61.910000000000004</v>
      </c>
      <c r="R21" s="2525">
        <f>SUM(R15:R20)</f>
        <v>126.28</v>
      </c>
      <c r="S21" s="2525">
        <f>SUM(S15:S20)</f>
        <v>0</v>
      </c>
      <c r="T21" s="2525">
        <f>SUM(T15:T20)</f>
        <v>126.28</v>
      </c>
      <c r="V21" s="2525">
        <f>SUM(V15:V20)</f>
        <v>191.01</v>
      </c>
      <c r="W21" s="2525">
        <f>SUM(W15:W20)</f>
        <v>-64.73</v>
      </c>
      <c r="X21" s="2525">
        <f>SUM(X15:X20)</f>
        <v>126.28</v>
      </c>
      <c r="Y21" s="2525">
        <f>SUM(Y15:Y20)</f>
        <v>0</v>
      </c>
      <c r="Z21" s="2525">
        <f>SUM(Z15:Z20)</f>
        <v>126.28</v>
      </c>
      <c r="AB21" s="2559">
        <f>V21/P21-1</f>
        <v>1.498485573091024E-2</v>
      </c>
      <c r="AC21" s="2560">
        <f t="shared" ref="AC21" si="24">X21/R21-1</f>
        <v>0</v>
      </c>
      <c r="AD21" s="2559">
        <f t="shared" si="17"/>
        <v>0</v>
      </c>
      <c r="AE21" s="874"/>
      <c r="AF21" s="2561">
        <f t="shared" si="18"/>
        <v>0.17922857142857143</v>
      </c>
      <c r="AG21" s="2561">
        <f t="shared" si="19"/>
        <v>0.1819142857142857</v>
      </c>
      <c r="AH21" s="874"/>
      <c r="AI21" s="2562">
        <f t="shared" si="20"/>
        <v>0.12026666666666667</v>
      </c>
      <c r="AJ21" s="2562">
        <f t="shared" si="21"/>
        <v>0.12026666666666667</v>
      </c>
      <c r="AK21" s="874"/>
      <c r="AL21" s="2561">
        <f t="shared" si="22"/>
        <v>0.12026666666666667</v>
      </c>
      <c r="AM21" s="2561">
        <f t="shared" si="23"/>
        <v>0.12026666666666667</v>
      </c>
    </row>
    <row r="22" spans="1:39" ht="10.9" customHeight="1">
      <c r="A22" s="875"/>
      <c r="C22" s="1209"/>
      <c r="D22" s="2499"/>
      <c r="E22" s="875"/>
      <c r="G22" s="1573"/>
      <c r="H22" s="2282"/>
      <c r="I22" s="2282"/>
      <c r="J22" s="2282"/>
      <c r="K22" s="2282"/>
      <c r="L22" s="2282"/>
      <c r="M22" s="2282"/>
      <c r="N22" s="2288"/>
      <c r="P22" s="875"/>
      <c r="Q22" s="875"/>
      <c r="R22" s="875"/>
      <c r="S22" s="875"/>
      <c r="T22" s="875"/>
      <c r="V22" s="2500"/>
      <c r="W22" s="2500"/>
      <c r="X22" s="2500"/>
      <c r="Y22" s="875"/>
      <c r="Z22" s="875"/>
      <c r="AB22" s="2498"/>
      <c r="AD22" s="2498"/>
      <c r="AF22" s="875"/>
      <c r="AG22" s="875"/>
      <c r="AI22" s="875"/>
      <c r="AJ22" s="2500"/>
      <c r="AL22" s="875"/>
      <c r="AM22" s="875"/>
    </row>
    <row r="23" spans="1:39">
      <c r="A23" s="875"/>
      <c r="C23" s="2269"/>
      <c r="D23" s="1214"/>
      <c r="E23" s="875"/>
      <c r="F23" s="874" t="s">
        <v>1690</v>
      </c>
      <c r="G23" s="1573">
        <v>350</v>
      </c>
      <c r="H23" s="2282"/>
      <c r="I23" s="2282"/>
      <c r="J23" s="2282"/>
      <c r="K23" s="2282">
        <f t="shared" si="1"/>
        <v>300</v>
      </c>
      <c r="L23" s="2282">
        <f t="shared" si="2"/>
        <v>50</v>
      </c>
      <c r="M23" s="2282">
        <f t="shared" si="3"/>
        <v>0</v>
      </c>
      <c r="N23" s="2289">
        <f t="shared" si="4"/>
        <v>0</v>
      </c>
      <c r="P23" s="875">
        <f t="shared" ref="P23:P29" si="25">ROUND($C$8+$C$10*($G23-10),2)</f>
        <v>71.59</v>
      </c>
      <c r="Q23" s="875"/>
      <c r="R23" s="875">
        <f t="shared" si="7"/>
        <v>71.59</v>
      </c>
      <c r="S23" s="875">
        <f t="shared" ref="S23:S29" si="26">ROUND($G23*$C$26,2)</f>
        <v>0</v>
      </c>
      <c r="T23" s="875">
        <f t="shared" si="9"/>
        <v>71.59</v>
      </c>
      <c r="V23" s="2500">
        <f t="shared" si="10"/>
        <v>66.08</v>
      </c>
      <c r="W23" s="2500"/>
      <c r="X23" s="2500">
        <f t="shared" si="12"/>
        <v>66.08</v>
      </c>
      <c r="Y23" s="875">
        <f t="shared" ref="Y23:Y29" si="27">ROUND($G23*$D$26,2)</f>
        <v>0</v>
      </c>
      <c r="Z23" s="875">
        <f t="shared" si="14"/>
        <v>66.08</v>
      </c>
      <c r="AB23" s="2556">
        <f t="shared" ref="AB23:AB30" si="28">V23/P23-1</f>
        <v>-7.6966056711831321E-2</v>
      </c>
      <c r="AC23" s="2556">
        <f t="shared" si="16"/>
        <v>-7.6966056711831321E-2</v>
      </c>
      <c r="AD23" s="2556">
        <f t="shared" si="17"/>
        <v>-7.6966056711831321E-2</v>
      </c>
      <c r="AF23" s="2511">
        <f t="shared" si="18"/>
        <v>0.20454285714285717</v>
      </c>
      <c r="AG23" s="2511">
        <f t="shared" si="19"/>
        <v>0.1888</v>
      </c>
      <c r="AI23" s="2511">
        <f>$R23/$G23</f>
        <v>0.20454285714285717</v>
      </c>
      <c r="AJ23" s="2511">
        <f>$X23/$G23</f>
        <v>0.1888</v>
      </c>
      <c r="AL23" s="2511">
        <f>$T23/$G23</f>
        <v>0.20454285714285717</v>
      </c>
      <c r="AM23" s="2511">
        <f>$Z23/$G23</f>
        <v>0.1888</v>
      </c>
    </row>
    <row r="24" spans="1:39">
      <c r="A24" s="875"/>
      <c r="B24" s="687" t="s">
        <v>2171</v>
      </c>
      <c r="C24" s="2569"/>
      <c r="D24" s="2567"/>
      <c r="E24" s="875"/>
      <c r="F24" s="874" t="s">
        <v>1691</v>
      </c>
      <c r="G24" s="1573">
        <v>400</v>
      </c>
      <c r="H24" s="2282"/>
      <c r="I24" s="2282"/>
      <c r="J24" s="2282"/>
      <c r="K24" s="2282">
        <f t="shared" si="1"/>
        <v>300</v>
      </c>
      <c r="L24" s="2282">
        <f t="shared" si="2"/>
        <v>100</v>
      </c>
      <c r="M24" s="2282">
        <f t="shared" si="3"/>
        <v>0</v>
      </c>
      <c r="N24" s="2289">
        <f t="shared" si="4"/>
        <v>0</v>
      </c>
      <c r="P24" s="875">
        <f t="shared" si="25"/>
        <v>81.77</v>
      </c>
      <c r="Q24" s="875"/>
      <c r="R24" s="875">
        <f t="shared" si="7"/>
        <v>81.77</v>
      </c>
      <c r="S24" s="875">
        <f t="shared" si="26"/>
        <v>0</v>
      </c>
      <c r="T24" s="875">
        <f t="shared" si="9"/>
        <v>81.77</v>
      </c>
      <c r="V24" s="2500">
        <f t="shared" si="10"/>
        <v>78.3</v>
      </c>
      <c r="W24" s="2500"/>
      <c r="X24" s="2500">
        <f t="shared" si="12"/>
        <v>78.3</v>
      </c>
      <c r="Y24" s="875">
        <f t="shared" si="27"/>
        <v>0</v>
      </c>
      <c r="Z24" s="875">
        <f t="shared" si="14"/>
        <v>78.3</v>
      </c>
      <c r="AB24" s="2556">
        <f t="shared" si="28"/>
        <v>-4.243610125963071E-2</v>
      </c>
      <c r="AC24" s="2556">
        <f t="shared" si="16"/>
        <v>-4.243610125963071E-2</v>
      </c>
      <c r="AD24" s="2556">
        <f t="shared" si="17"/>
        <v>-4.243610125963071E-2</v>
      </c>
      <c r="AF24" s="2511">
        <f t="shared" si="18"/>
        <v>0.204425</v>
      </c>
      <c r="AG24" s="2511">
        <f t="shared" si="19"/>
        <v>0.19574999999999998</v>
      </c>
      <c r="AI24" s="2511">
        <f t="shared" si="20"/>
        <v>0.204425</v>
      </c>
      <c r="AJ24" s="2511">
        <f t="shared" si="21"/>
        <v>0.19574999999999998</v>
      </c>
      <c r="AL24" s="2511">
        <f t="shared" si="22"/>
        <v>0.204425</v>
      </c>
      <c r="AM24" s="2511">
        <f t="shared" si="23"/>
        <v>0.19574999999999998</v>
      </c>
    </row>
    <row r="25" spans="1:39">
      <c r="A25" s="875"/>
      <c r="B25" s="337" t="s">
        <v>892</v>
      </c>
      <c r="C25" s="2570"/>
      <c r="D25" s="2568"/>
      <c r="E25" s="875"/>
      <c r="F25" s="874" t="s">
        <v>1692</v>
      </c>
      <c r="G25" s="1573">
        <v>450</v>
      </c>
      <c r="H25" s="2282"/>
      <c r="I25" s="2282"/>
      <c r="J25" s="2282"/>
      <c r="K25" s="2282">
        <f t="shared" si="1"/>
        <v>300</v>
      </c>
      <c r="L25" s="2282">
        <f t="shared" si="2"/>
        <v>150</v>
      </c>
      <c r="M25" s="2282">
        <f t="shared" si="3"/>
        <v>0</v>
      </c>
      <c r="N25" s="2289">
        <f t="shared" si="4"/>
        <v>0</v>
      </c>
      <c r="P25" s="875">
        <f t="shared" si="25"/>
        <v>91.95</v>
      </c>
      <c r="Q25" s="875"/>
      <c r="R25" s="875">
        <f t="shared" si="7"/>
        <v>91.95</v>
      </c>
      <c r="S25" s="875">
        <f t="shared" si="26"/>
        <v>0</v>
      </c>
      <c r="T25" s="875">
        <f t="shared" si="9"/>
        <v>91.95</v>
      </c>
      <c r="V25" s="2500">
        <f t="shared" si="10"/>
        <v>90.51</v>
      </c>
      <c r="W25" s="2500"/>
      <c r="X25" s="2500">
        <f t="shared" si="12"/>
        <v>90.51</v>
      </c>
      <c r="Y25" s="875">
        <f t="shared" si="27"/>
        <v>0</v>
      </c>
      <c r="Z25" s="875">
        <f t="shared" si="14"/>
        <v>90.51</v>
      </c>
      <c r="AB25" s="2556">
        <f t="shared" si="28"/>
        <v>-1.566068515497554E-2</v>
      </c>
      <c r="AC25" s="2556">
        <f t="shared" si="16"/>
        <v>-1.566068515497554E-2</v>
      </c>
      <c r="AD25" s="2556">
        <f t="shared" si="17"/>
        <v>-1.566068515497554E-2</v>
      </c>
      <c r="AF25" s="2511">
        <f t="shared" si="18"/>
        <v>0.20433333333333334</v>
      </c>
      <c r="AG25" s="2511">
        <f t="shared" si="19"/>
        <v>0.20113333333333336</v>
      </c>
      <c r="AI25" s="2511">
        <f t="shared" si="20"/>
        <v>0.20433333333333334</v>
      </c>
      <c r="AJ25" s="2511">
        <f t="shared" si="21"/>
        <v>0.20113333333333336</v>
      </c>
      <c r="AL25" s="2511">
        <f t="shared" si="22"/>
        <v>0.20433333333333334</v>
      </c>
      <c r="AM25" s="2511">
        <f t="shared" si="23"/>
        <v>0.20113333333333336</v>
      </c>
    </row>
    <row r="26" spans="1:39">
      <c r="A26" s="875"/>
      <c r="B26" s="337" t="s">
        <v>273</v>
      </c>
      <c r="C26" s="2570"/>
      <c r="D26" s="2568"/>
      <c r="E26" s="875"/>
      <c r="F26" s="874" t="s">
        <v>1693</v>
      </c>
      <c r="G26" s="1573">
        <v>500</v>
      </c>
      <c r="H26" s="2282"/>
      <c r="I26" s="2282"/>
      <c r="J26" s="2282"/>
      <c r="K26" s="2282">
        <f t="shared" si="1"/>
        <v>300</v>
      </c>
      <c r="L26" s="2282">
        <f t="shared" si="2"/>
        <v>200</v>
      </c>
      <c r="M26" s="2282">
        <f t="shared" si="3"/>
        <v>0</v>
      </c>
      <c r="N26" s="2289">
        <f t="shared" si="4"/>
        <v>0</v>
      </c>
      <c r="P26" s="875">
        <f t="shared" si="25"/>
        <v>102.13</v>
      </c>
      <c r="Q26" s="875"/>
      <c r="R26" s="875">
        <f t="shared" si="7"/>
        <v>102.13</v>
      </c>
      <c r="S26" s="875">
        <f t="shared" si="26"/>
        <v>0</v>
      </c>
      <c r="T26" s="875">
        <f t="shared" si="9"/>
        <v>102.13</v>
      </c>
      <c r="V26" s="2500">
        <f t="shared" si="10"/>
        <v>102.73</v>
      </c>
      <c r="W26" s="2500"/>
      <c r="X26" s="2500">
        <f t="shared" si="12"/>
        <v>102.73</v>
      </c>
      <c r="Y26" s="875">
        <f t="shared" si="27"/>
        <v>0</v>
      </c>
      <c r="Z26" s="875">
        <f t="shared" si="14"/>
        <v>102.73</v>
      </c>
      <c r="AB26" s="2556">
        <f t="shared" si="28"/>
        <v>5.8748653676687912E-3</v>
      </c>
      <c r="AC26" s="2556">
        <f t="shared" si="16"/>
        <v>5.8748653676687912E-3</v>
      </c>
      <c r="AD26" s="2556">
        <f t="shared" si="17"/>
        <v>5.8748653676687912E-3</v>
      </c>
      <c r="AF26" s="2511">
        <f t="shared" si="18"/>
        <v>0.20426</v>
      </c>
      <c r="AG26" s="2511">
        <f t="shared" si="19"/>
        <v>0.20546</v>
      </c>
      <c r="AI26" s="2511">
        <f t="shared" si="20"/>
        <v>0.20426</v>
      </c>
      <c r="AJ26" s="2511">
        <f t="shared" si="21"/>
        <v>0.20546</v>
      </c>
      <c r="AL26" s="2511">
        <f t="shared" si="22"/>
        <v>0.20426</v>
      </c>
      <c r="AM26" s="2511">
        <f t="shared" si="23"/>
        <v>0.20546</v>
      </c>
    </row>
    <row r="27" spans="1:39">
      <c r="A27" s="875"/>
      <c r="B27" s="337" t="s">
        <v>1176</v>
      </c>
      <c r="C27" s="2570"/>
      <c r="D27" s="2568"/>
      <c r="E27" s="875"/>
      <c r="F27" s="874" t="s">
        <v>1694</v>
      </c>
      <c r="G27" s="1573">
        <v>600</v>
      </c>
      <c r="H27" s="2282"/>
      <c r="I27" s="2282"/>
      <c r="J27" s="2282"/>
      <c r="K27" s="2282">
        <f t="shared" si="1"/>
        <v>300</v>
      </c>
      <c r="L27" s="2282">
        <f t="shared" si="2"/>
        <v>300</v>
      </c>
      <c r="M27" s="2282">
        <f t="shared" si="3"/>
        <v>0</v>
      </c>
      <c r="N27" s="2289">
        <f t="shared" si="4"/>
        <v>0</v>
      </c>
      <c r="P27" s="875">
        <f t="shared" si="25"/>
        <v>122.5</v>
      </c>
      <c r="Q27" s="875"/>
      <c r="R27" s="875">
        <f t="shared" si="7"/>
        <v>122.5</v>
      </c>
      <c r="S27" s="875">
        <f t="shared" si="26"/>
        <v>0</v>
      </c>
      <c r="T27" s="875">
        <f t="shared" si="9"/>
        <v>122.5</v>
      </c>
      <c r="V27" s="2500">
        <f t="shared" si="10"/>
        <v>127.17</v>
      </c>
      <c r="W27" s="2500"/>
      <c r="X27" s="2500">
        <f t="shared" si="12"/>
        <v>127.17</v>
      </c>
      <c r="Y27" s="875">
        <f t="shared" si="27"/>
        <v>0</v>
      </c>
      <c r="Z27" s="875">
        <f t="shared" si="14"/>
        <v>127.17</v>
      </c>
      <c r="AB27" s="2556">
        <f t="shared" si="28"/>
        <v>3.8122448979591939E-2</v>
      </c>
      <c r="AC27" s="2556">
        <f t="shared" si="16"/>
        <v>3.8122448979591939E-2</v>
      </c>
      <c r="AD27" s="2556">
        <f t="shared" si="17"/>
        <v>3.8122448979591939E-2</v>
      </c>
      <c r="AF27" s="2511">
        <f t="shared" si="18"/>
        <v>0.20416666666666666</v>
      </c>
      <c r="AG27" s="2511">
        <f t="shared" si="19"/>
        <v>0.21195</v>
      </c>
      <c r="AI27" s="2511">
        <f t="shared" si="20"/>
        <v>0.20416666666666666</v>
      </c>
      <c r="AJ27" s="2511">
        <f t="shared" si="21"/>
        <v>0.21195</v>
      </c>
      <c r="AL27" s="2511">
        <f t="shared" si="22"/>
        <v>0.20416666666666666</v>
      </c>
      <c r="AM27" s="2511">
        <f t="shared" si="23"/>
        <v>0.21195</v>
      </c>
    </row>
    <row r="28" spans="1:39">
      <c r="A28" s="875"/>
      <c r="B28" s="337" t="s">
        <v>274</v>
      </c>
      <c r="C28" s="2570"/>
      <c r="D28" s="2568"/>
      <c r="E28" s="875"/>
      <c r="F28" s="874" t="s">
        <v>1695</v>
      </c>
      <c r="G28" s="1573">
        <v>700</v>
      </c>
      <c r="H28" s="2282"/>
      <c r="I28" s="2282"/>
      <c r="J28" s="2282"/>
      <c r="K28" s="2282">
        <f t="shared" si="1"/>
        <v>300</v>
      </c>
      <c r="L28" s="2282">
        <f t="shared" si="2"/>
        <v>400</v>
      </c>
      <c r="M28" s="2282">
        <f t="shared" si="3"/>
        <v>0</v>
      </c>
      <c r="N28" s="2289">
        <f t="shared" si="4"/>
        <v>0</v>
      </c>
      <c r="P28" s="875">
        <f t="shared" si="25"/>
        <v>142.86000000000001</v>
      </c>
      <c r="Q28" s="875"/>
      <c r="R28" s="875">
        <f t="shared" si="7"/>
        <v>142.86000000000001</v>
      </c>
      <c r="S28" s="875">
        <f t="shared" si="26"/>
        <v>0</v>
      </c>
      <c r="T28" s="875">
        <f t="shared" si="9"/>
        <v>142.86000000000001</v>
      </c>
      <c r="V28" s="2500">
        <f t="shared" si="10"/>
        <v>151.6</v>
      </c>
      <c r="W28" s="2500"/>
      <c r="X28" s="2500">
        <f t="shared" si="12"/>
        <v>151.6</v>
      </c>
      <c r="Y28" s="875">
        <f t="shared" si="27"/>
        <v>0</v>
      </c>
      <c r="Z28" s="875">
        <f t="shared" si="14"/>
        <v>151.6</v>
      </c>
      <c r="AB28" s="2556">
        <f t="shared" si="28"/>
        <v>6.1178776424471337E-2</v>
      </c>
      <c r="AC28" s="2556">
        <f t="shared" si="16"/>
        <v>6.1178776424471337E-2</v>
      </c>
      <c r="AD28" s="2556">
        <f t="shared" si="17"/>
        <v>6.1178776424471337E-2</v>
      </c>
      <c r="AF28" s="2511">
        <f t="shared" si="18"/>
        <v>0.20408571428571431</v>
      </c>
      <c r="AG28" s="2511">
        <f t="shared" si="19"/>
        <v>0.21657142857142855</v>
      </c>
      <c r="AI28" s="2511">
        <f t="shared" si="20"/>
        <v>0.20408571428571431</v>
      </c>
      <c r="AJ28" s="2511">
        <f t="shared" si="21"/>
        <v>0.21657142857142855</v>
      </c>
      <c r="AL28" s="2511">
        <f t="shared" si="22"/>
        <v>0.20408571428571431</v>
      </c>
      <c r="AM28" s="2511">
        <f t="shared" si="23"/>
        <v>0.21657142857142855</v>
      </c>
    </row>
    <row r="29" spans="1:39">
      <c r="A29" s="875"/>
      <c r="B29" s="337" t="s">
        <v>275</v>
      </c>
      <c r="C29" s="2570"/>
      <c r="D29" s="2568"/>
      <c r="E29" s="875"/>
      <c r="F29" s="2279" t="s">
        <v>1696</v>
      </c>
      <c r="G29" s="1573">
        <v>750</v>
      </c>
      <c r="H29" s="2282"/>
      <c r="I29" s="2282"/>
      <c r="J29" s="2282"/>
      <c r="K29" s="2282">
        <f t="shared" si="1"/>
        <v>300</v>
      </c>
      <c r="L29" s="2282">
        <f t="shared" si="2"/>
        <v>450</v>
      </c>
      <c r="M29" s="2282">
        <f t="shared" si="3"/>
        <v>0</v>
      </c>
      <c r="N29" s="2289">
        <f t="shared" si="4"/>
        <v>0</v>
      </c>
      <c r="P29" s="875">
        <f t="shared" si="25"/>
        <v>153.04</v>
      </c>
      <c r="Q29" s="875"/>
      <c r="R29" s="875">
        <f t="shared" si="7"/>
        <v>153.04</v>
      </c>
      <c r="S29" s="875">
        <f t="shared" si="26"/>
        <v>0</v>
      </c>
      <c r="T29" s="875">
        <f t="shared" si="9"/>
        <v>153.04</v>
      </c>
      <c r="V29" s="2500">
        <f t="shared" si="10"/>
        <v>163.82</v>
      </c>
      <c r="W29" s="2500"/>
      <c r="X29" s="2500">
        <f t="shared" si="12"/>
        <v>163.82</v>
      </c>
      <c r="Y29" s="875">
        <f t="shared" si="27"/>
        <v>0</v>
      </c>
      <c r="Z29" s="875">
        <f t="shared" si="14"/>
        <v>163.82</v>
      </c>
      <c r="AB29" s="2556">
        <f t="shared" si="28"/>
        <v>7.0439100888656681E-2</v>
      </c>
      <c r="AC29" s="2556">
        <f t="shared" si="16"/>
        <v>7.0439100888656681E-2</v>
      </c>
      <c r="AD29" s="2556">
        <f t="shared" si="17"/>
        <v>7.0439100888656681E-2</v>
      </c>
      <c r="AF29" s="2511">
        <f t="shared" si="18"/>
        <v>0.20405333333333334</v>
      </c>
      <c r="AG29" s="2511">
        <f t="shared" si="19"/>
        <v>0.21842666666666666</v>
      </c>
      <c r="AI29" s="2511">
        <f t="shared" si="20"/>
        <v>0.20405333333333334</v>
      </c>
      <c r="AJ29" s="2511">
        <f t="shared" si="21"/>
        <v>0.21842666666666666</v>
      </c>
      <c r="AL29" s="2511">
        <f t="shared" si="22"/>
        <v>0.20405333333333334</v>
      </c>
      <c r="AM29" s="2511">
        <f t="shared" si="23"/>
        <v>0.21842666666666666</v>
      </c>
    </row>
    <row r="30" spans="1:39" s="2265" customFormat="1">
      <c r="A30" s="2521"/>
      <c r="B30" s="337" t="s">
        <v>276</v>
      </c>
      <c r="C30" s="2570"/>
      <c r="D30" s="2568"/>
      <c r="E30" s="2521"/>
      <c r="F30" s="2518" t="s">
        <v>2174</v>
      </c>
      <c r="G30" s="2519">
        <f>SUM(G23:G29)</f>
        <v>3750</v>
      </c>
      <c r="H30" s="2523"/>
      <c r="I30" s="2523"/>
      <c r="J30" s="2523"/>
      <c r="K30" s="2523"/>
      <c r="L30" s="2523"/>
      <c r="M30" s="2523"/>
      <c r="N30" s="2524"/>
      <c r="P30" s="2525">
        <f>SUM(P23:P29)</f>
        <v>765.83999999999992</v>
      </c>
      <c r="Q30" s="2525">
        <f t="shared" ref="Q30" si="29">SUM(Q23:Q29)</f>
        <v>0</v>
      </c>
      <c r="R30" s="2525">
        <f t="shared" ref="R30" si="30">SUM(R23:R29)</f>
        <v>765.83999999999992</v>
      </c>
      <c r="S30" s="2525">
        <f t="shared" ref="S30" si="31">SUM(S23:S29)</f>
        <v>0</v>
      </c>
      <c r="T30" s="2525">
        <f t="shared" ref="T30" si="32">SUM(T23:T29)</f>
        <v>765.83999999999992</v>
      </c>
      <c r="V30" s="2525">
        <f t="shared" ref="V30" si="33">SUM(V23:V29)</f>
        <v>780.21</v>
      </c>
      <c r="W30" s="2525">
        <f t="shared" ref="W30" si="34">SUM(W23:W29)</f>
        <v>0</v>
      </c>
      <c r="X30" s="2525">
        <f t="shared" ref="X30" si="35">SUM(X23:X29)</f>
        <v>780.21</v>
      </c>
      <c r="Y30" s="2525">
        <f t="shared" ref="Y30" si="36">SUM(Y23:Y29)</f>
        <v>0</v>
      </c>
      <c r="Z30" s="2525">
        <f t="shared" ref="Z30" si="37">SUM(Z23:Z29)</f>
        <v>780.21</v>
      </c>
      <c r="AB30" s="2559">
        <f t="shared" si="28"/>
        <v>1.8763710435600212E-2</v>
      </c>
      <c r="AC30" s="2560">
        <f t="shared" si="16"/>
        <v>1.8763710435600212E-2</v>
      </c>
      <c r="AD30" s="2559">
        <f t="shared" si="17"/>
        <v>1.8763710435600212E-2</v>
      </c>
      <c r="AE30" s="2478"/>
      <c r="AF30" s="2561">
        <f t="shared" si="18"/>
        <v>0.20422399999999999</v>
      </c>
      <c r="AG30" s="2561">
        <f t="shared" si="19"/>
        <v>0.20805600000000002</v>
      </c>
      <c r="AH30" s="2478"/>
      <c r="AI30" s="2562">
        <f t="shared" si="20"/>
        <v>0.20422399999999999</v>
      </c>
      <c r="AJ30" s="2562">
        <f t="shared" si="21"/>
        <v>0.20805600000000002</v>
      </c>
      <c r="AK30" s="2478"/>
      <c r="AL30" s="2561">
        <f t="shared" si="22"/>
        <v>0.20422399999999999</v>
      </c>
      <c r="AM30" s="2561">
        <f t="shared" si="23"/>
        <v>0.20805600000000002</v>
      </c>
    </row>
    <row r="31" spans="1:39" ht="10.9" customHeight="1">
      <c r="A31" s="875"/>
      <c r="B31" s="337" t="s">
        <v>276</v>
      </c>
      <c r="C31" s="2570"/>
      <c r="D31" s="2568"/>
      <c r="E31" s="875"/>
      <c r="G31" s="1573"/>
      <c r="H31" s="2282"/>
      <c r="I31" s="2282"/>
      <c r="J31" s="2282"/>
      <c r="K31" s="2282"/>
      <c r="L31" s="2282"/>
      <c r="M31" s="2282"/>
      <c r="N31" s="2288"/>
      <c r="P31" s="875"/>
      <c r="Q31" s="875"/>
      <c r="R31" s="875"/>
      <c r="S31" s="875"/>
      <c r="T31" s="875"/>
      <c r="V31" s="2500"/>
      <c r="W31" s="2500"/>
      <c r="X31" s="2500"/>
      <c r="Y31" s="875"/>
      <c r="Z31" s="875"/>
      <c r="AB31" s="2498"/>
      <c r="AD31" s="2498"/>
      <c r="AF31" s="875"/>
      <c r="AG31" s="875"/>
      <c r="AI31" s="875"/>
      <c r="AJ31" s="2500"/>
      <c r="AL31" s="875"/>
      <c r="AM31" s="875"/>
    </row>
    <row r="32" spans="1:39">
      <c r="A32" s="875"/>
      <c r="B32" s="337" t="s">
        <v>277</v>
      </c>
      <c r="C32" s="2570"/>
      <c r="D32" s="2568"/>
      <c r="E32" s="875"/>
      <c r="F32" s="2276" t="s">
        <v>1697</v>
      </c>
      <c r="G32" s="2277">
        <v>800</v>
      </c>
      <c r="H32" s="2282"/>
      <c r="I32" s="2282"/>
      <c r="J32" s="2282"/>
      <c r="K32" s="2282">
        <f t="shared" ref="K32" si="38">IF(G32&lt;=300,G32,300)</f>
        <v>300</v>
      </c>
      <c r="L32" s="2282">
        <f t="shared" ref="L32" si="39">IF(G32&lt;=750,G32,750)-K32</f>
        <v>450</v>
      </c>
      <c r="M32" s="2282">
        <f t="shared" ref="M32" si="40">IF(G32&gt;750,G32,G32)-K32-L32</f>
        <v>50</v>
      </c>
      <c r="N32" s="2289">
        <f t="shared" ref="N32" si="41">G32-SUM(K32:M32)</f>
        <v>0</v>
      </c>
      <c r="P32" s="875">
        <f>ROUND($C$8+$C$11*($G32-10),2)</f>
        <v>184.76</v>
      </c>
      <c r="Q32" s="875"/>
      <c r="R32" s="875">
        <f t="shared" ref="R32" si="42">SUM(P32:Q32)</f>
        <v>184.76</v>
      </c>
      <c r="S32" s="875">
        <f>ROUND($G32*$C$26,2)</f>
        <v>0</v>
      </c>
      <c r="T32" s="875">
        <f t="shared" ref="T32" si="43">SUM(R32:S32)</f>
        <v>184.76</v>
      </c>
      <c r="V32" s="2500">
        <f t="shared" si="10"/>
        <v>177.19</v>
      </c>
      <c r="W32" s="2500"/>
      <c r="X32" s="2500">
        <f t="shared" ref="X32" si="44">SUM(V32:W32)</f>
        <v>177.19</v>
      </c>
      <c r="Y32" s="875">
        <f>ROUND($G32*$D$26,2)</f>
        <v>0</v>
      </c>
      <c r="Z32" s="875">
        <f t="shared" ref="Z32" si="45">SUM(X32:Y32)</f>
        <v>177.19</v>
      </c>
      <c r="AB32" s="2556">
        <f>V32/P32-1</f>
        <v>-4.097207187702967E-2</v>
      </c>
      <c r="AC32" s="2556">
        <f t="shared" ref="AC32" si="46">X32/R32-1</f>
        <v>-4.097207187702967E-2</v>
      </c>
      <c r="AD32" s="2556">
        <f t="shared" si="17"/>
        <v>-4.097207187702967E-2</v>
      </c>
      <c r="AF32" s="2511">
        <f t="shared" si="18"/>
        <v>0.23094999999999999</v>
      </c>
      <c r="AG32" s="2511">
        <f t="shared" si="19"/>
        <v>0.2214875</v>
      </c>
      <c r="AI32" s="2511">
        <f t="shared" si="20"/>
        <v>0.23094999999999999</v>
      </c>
      <c r="AJ32" s="2511">
        <f t="shared" si="21"/>
        <v>0.2214875</v>
      </c>
      <c r="AL32" s="2511">
        <f t="shared" si="22"/>
        <v>0.23094999999999999</v>
      </c>
      <c r="AM32" s="2511">
        <f t="shared" si="23"/>
        <v>0.2214875</v>
      </c>
    </row>
    <row r="33" spans="1:39">
      <c r="A33" s="875"/>
      <c r="B33" s="337" t="s">
        <v>278</v>
      </c>
      <c r="C33" s="2570"/>
      <c r="D33" s="2568"/>
      <c r="E33" s="875"/>
      <c r="F33" s="2276" t="s">
        <v>1697</v>
      </c>
      <c r="G33" s="2277">
        <v>1000</v>
      </c>
      <c r="H33" s="2282"/>
      <c r="I33" s="2282"/>
      <c r="J33" s="2282"/>
      <c r="K33" s="2282">
        <f t="shared" si="1"/>
        <v>300</v>
      </c>
      <c r="L33" s="2282">
        <f t="shared" si="2"/>
        <v>450</v>
      </c>
      <c r="M33" s="2282">
        <f t="shared" si="3"/>
        <v>250</v>
      </c>
      <c r="N33" s="2289">
        <f t="shared" si="4"/>
        <v>0</v>
      </c>
      <c r="P33" s="875">
        <f>ROUND($C$8+$C$11*($G33-10),2)</f>
        <v>230.93</v>
      </c>
      <c r="Q33" s="875"/>
      <c r="R33" s="875">
        <f t="shared" si="7"/>
        <v>230.93</v>
      </c>
      <c r="S33" s="875">
        <f>ROUND($G33*$C$26,2)</f>
        <v>0</v>
      </c>
      <c r="T33" s="875">
        <f t="shared" si="9"/>
        <v>230.93</v>
      </c>
      <c r="V33" s="2500">
        <f t="shared" si="10"/>
        <v>230.66</v>
      </c>
      <c r="W33" s="2500"/>
      <c r="X33" s="2500">
        <f t="shared" si="12"/>
        <v>230.66</v>
      </c>
      <c r="Y33" s="875">
        <f>ROUND($G33*$D$26,2)</f>
        <v>0</v>
      </c>
      <c r="Z33" s="875">
        <f t="shared" si="14"/>
        <v>230.66</v>
      </c>
      <c r="AB33" s="2556">
        <f>V33/P33-1</f>
        <v>-1.1691854674577007E-3</v>
      </c>
      <c r="AC33" s="2556">
        <f t="shared" si="16"/>
        <v>-1.1691854674577007E-3</v>
      </c>
      <c r="AD33" s="2556">
        <f t="shared" si="17"/>
        <v>-1.1691854674577007E-3</v>
      </c>
      <c r="AF33" s="2511">
        <f t="shared" si="18"/>
        <v>0.23093</v>
      </c>
      <c r="AG33" s="2511">
        <f t="shared" si="19"/>
        <v>0.23066</v>
      </c>
      <c r="AI33" s="2511">
        <f t="shared" si="20"/>
        <v>0.23093</v>
      </c>
      <c r="AJ33" s="2511">
        <f t="shared" si="21"/>
        <v>0.23066</v>
      </c>
      <c r="AL33" s="2511">
        <f t="shared" si="22"/>
        <v>0.23093</v>
      </c>
      <c r="AM33" s="2511">
        <f t="shared" si="23"/>
        <v>0.23066</v>
      </c>
    </row>
    <row r="34" spans="1:39">
      <c r="A34" s="875"/>
      <c r="D34" s="874"/>
      <c r="E34" s="875"/>
      <c r="F34" s="2276" t="s">
        <v>1698</v>
      </c>
      <c r="G34" s="2277">
        <v>1500</v>
      </c>
      <c r="H34" s="2282"/>
      <c r="I34" s="2282"/>
      <c r="J34" s="2282"/>
      <c r="K34" s="2282">
        <f t="shared" si="1"/>
        <v>300</v>
      </c>
      <c r="L34" s="2282">
        <f t="shared" si="2"/>
        <v>450</v>
      </c>
      <c r="M34" s="2282">
        <f t="shared" si="3"/>
        <v>750</v>
      </c>
      <c r="N34" s="2289">
        <f t="shared" si="4"/>
        <v>0</v>
      </c>
      <c r="P34" s="875">
        <f>ROUND($C$8+$C$11*($G34-10),2)</f>
        <v>346.37</v>
      </c>
      <c r="Q34" s="875"/>
      <c r="R34" s="875">
        <f t="shared" si="7"/>
        <v>346.37</v>
      </c>
      <c r="S34" s="875">
        <f>ROUND($G34*$C$26,2)</f>
        <v>0</v>
      </c>
      <c r="T34" s="875">
        <f t="shared" si="9"/>
        <v>346.37</v>
      </c>
      <c r="V34" s="2500">
        <f t="shared" si="10"/>
        <v>364.34</v>
      </c>
      <c r="W34" s="2500"/>
      <c r="X34" s="2500">
        <f t="shared" si="12"/>
        <v>364.34</v>
      </c>
      <c r="Y34" s="875">
        <f>ROUND($G34*$D$26,2)</f>
        <v>0</v>
      </c>
      <c r="Z34" s="875">
        <f t="shared" si="14"/>
        <v>364.34</v>
      </c>
      <c r="AB34" s="2556">
        <f>V34/P34-1</f>
        <v>5.1880936570719127E-2</v>
      </c>
      <c r="AC34" s="2556">
        <f t="shared" si="16"/>
        <v>5.1880936570719127E-2</v>
      </c>
      <c r="AD34" s="2556">
        <f t="shared" si="17"/>
        <v>5.1880936570719127E-2</v>
      </c>
      <c r="AF34" s="2511">
        <f t="shared" si="18"/>
        <v>0.23091333333333333</v>
      </c>
      <c r="AG34" s="2511">
        <f t="shared" si="19"/>
        <v>0.24289333333333332</v>
      </c>
      <c r="AI34" s="2511">
        <f t="shared" si="20"/>
        <v>0.23091333333333333</v>
      </c>
      <c r="AJ34" s="2511">
        <f t="shared" si="21"/>
        <v>0.24289333333333332</v>
      </c>
      <c r="AL34" s="2511">
        <f t="shared" si="22"/>
        <v>0.23091333333333333</v>
      </c>
      <c r="AM34" s="2511">
        <f t="shared" si="23"/>
        <v>0.24289333333333332</v>
      </c>
    </row>
    <row r="35" spans="1:39">
      <c r="A35" s="875"/>
      <c r="D35" s="874"/>
      <c r="E35" s="875"/>
      <c r="F35" s="2276" t="s">
        <v>1698</v>
      </c>
      <c r="G35" s="2277">
        <v>2000</v>
      </c>
      <c r="H35" s="2282"/>
      <c r="I35" s="2282"/>
      <c r="J35" s="2282"/>
      <c r="K35" s="2282">
        <f t="shared" ref="K35" si="47">IF(G35&lt;=300,G35,300)</f>
        <v>300</v>
      </c>
      <c r="L35" s="2282">
        <f t="shared" ref="L35" si="48">IF(G35&lt;=750,G35,750)-K35</f>
        <v>450</v>
      </c>
      <c r="M35" s="2282">
        <f t="shared" ref="M35" si="49">IF(G35&gt;750,G35,G35)-K35-L35</f>
        <v>1250</v>
      </c>
      <c r="N35" s="2289">
        <f t="shared" ref="N35" si="50">G35-SUM(K35:M35)</f>
        <v>0</v>
      </c>
      <c r="P35" s="875">
        <f>ROUND($C$8+$C$11*($G35-10),2)</f>
        <v>461.81</v>
      </c>
      <c r="Q35" s="875"/>
      <c r="R35" s="875">
        <f t="shared" ref="R35" si="51">SUM(P35:Q35)</f>
        <v>461.81</v>
      </c>
      <c r="S35" s="875">
        <f>ROUND($G35*$C$26,2)</f>
        <v>0</v>
      </c>
      <c r="T35" s="875">
        <f t="shared" ref="T35" si="52">SUM(R35:S35)</f>
        <v>461.81</v>
      </c>
      <c r="V35" s="2500">
        <f t="shared" si="10"/>
        <v>498.02</v>
      </c>
      <c r="W35" s="2500"/>
      <c r="X35" s="2500">
        <f t="shared" ref="X35" si="53">SUM(V35:W35)</f>
        <v>498.02</v>
      </c>
      <c r="Y35" s="875">
        <f>ROUND($G35*$D$26,2)</f>
        <v>0</v>
      </c>
      <c r="Z35" s="875">
        <f t="shared" ref="Z35" si="54">SUM(X35:Y35)</f>
        <v>498.02</v>
      </c>
      <c r="AB35" s="2556">
        <f>V35/P35-1</f>
        <v>7.8408869448474361E-2</v>
      </c>
      <c r="AC35" s="2556">
        <f t="shared" ref="AC35:AC36" si="55">X35/R35-1</f>
        <v>7.8408869448474361E-2</v>
      </c>
      <c r="AD35" s="2556">
        <f t="shared" si="17"/>
        <v>7.8408869448474361E-2</v>
      </c>
      <c r="AF35" s="2511">
        <f t="shared" si="18"/>
        <v>0.230905</v>
      </c>
      <c r="AG35" s="2511">
        <f t="shared" si="19"/>
        <v>0.24900999999999998</v>
      </c>
      <c r="AI35" s="2511">
        <f t="shared" si="20"/>
        <v>0.230905</v>
      </c>
      <c r="AJ35" s="2511">
        <f t="shared" si="21"/>
        <v>0.24900999999999998</v>
      </c>
      <c r="AL35" s="2511">
        <f t="shared" si="22"/>
        <v>0.230905</v>
      </c>
      <c r="AM35" s="2511">
        <f t="shared" si="23"/>
        <v>0.24900999999999998</v>
      </c>
    </row>
    <row r="36" spans="1:39" s="2265" customFormat="1">
      <c r="A36" s="2521"/>
      <c r="C36" s="2522"/>
      <c r="D36" s="2522"/>
      <c r="E36" s="2521"/>
      <c r="F36" s="2518" t="s">
        <v>2174</v>
      </c>
      <c r="G36" s="2519">
        <f>SUM(G32:G35)</f>
        <v>5300</v>
      </c>
      <c r="H36" s="2523"/>
      <c r="I36" s="2523"/>
      <c r="J36" s="2523"/>
      <c r="K36" s="2523"/>
      <c r="L36" s="2523"/>
      <c r="M36" s="2523"/>
      <c r="N36" s="2524"/>
      <c r="P36" s="2525">
        <f>SUM(P32:P35)</f>
        <v>1223.8699999999999</v>
      </c>
      <c r="Q36" s="2525">
        <f>SUM(Q32:Q35)</f>
        <v>0</v>
      </c>
      <c r="R36" s="2525">
        <f>SUM(R32:R35)</f>
        <v>1223.8699999999999</v>
      </c>
      <c r="S36" s="2525">
        <f>SUM(S32:S35)</f>
        <v>0</v>
      </c>
      <c r="T36" s="2525">
        <f>SUM(T32:T35)</f>
        <v>1223.8699999999999</v>
      </c>
      <c r="V36" s="2525">
        <f>SUM(V32:V35)</f>
        <v>1270.21</v>
      </c>
      <c r="W36" s="2525">
        <f>SUM(W32:W35)</f>
        <v>0</v>
      </c>
      <c r="X36" s="2525">
        <f>SUM(X32:X35)</f>
        <v>1270.21</v>
      </c>
      <c r="Y36" s="2525">
        <f>SUM(Y32:Y35)</f>
        <v>0</v>
      </c>
      <c r="Z36" s="2525">
        <f>SUM(Z32:Z35)</f>
        <v>1270.21</v>
      </c>
      <c r="AB36" s="2559">
        <f>V36/P36-1</f>
        <v>3.786349857419502E-2</v>
      </c>
      <c r="AC36" s="2560">
        <f t="shared" si="55"/>
        <v>3.786349857419502E-2</v>
      </c>
      <c r="AD36" s="2559">
        <f t="shared" si="17"/>
        <v>3.786349857419502E-2</v>
      </c>
      <c r="AE36" s="2478"/>
      <c r="AF36" s="2561">
        <f t="shared" si="18"/>
        <v>0.23091886792452829</v>
      </c>
      <c r="AG36" s="2561">
        <f t="shared" si="19"/>
        <v>0.23966226415094341</v>
      </c>
      <c r="AH36" s="2478"/>
      <c r="AI36" s="2562">
        <f t="shared" si="20"/>
        <v>0.23091886792452829</v>
      </c>
      <c r="AJ36" s="2562">
        <f t="shared" si="21"/>
        <v>0.23966226415094341</v>
      </c>
      <c r="AK36" s="2478"/>
      <c r="AL36" s="2561">
        <f t="shared" si="22"/>
        <v>0.23091886792452829</v>
      </c>
      <c r="AM36" s="2561">
        <f t="shared" si="23"/>
        <v>0.23966226415094341</v>
      </c>
    </row>
    <row r="37" spans="1:39">
      <c r="A37" s="875"/>
      <c r="E37" s="875"/>
    </row>
    <row r="38" spans="1:39">
      <c r="A38" s="875"/>
      <c r="B38" s="1161" t="s">
        <v>1178</v>
      </c>
      <c r="E38" s="875"/>
      <c r="H38" s="2283"/>
      <c r="I38" s="2283"/>
      <c r="J38" s="2283"/>
      <c r="K38" s="2283">
        <v>0.24</v>
      </c>
      <c r="L38" s="2283">
        <v>0.28000000000000003</v>
      </c>
      <c r="M38" s="2283">
        <f>1-SUM(K38:L38)</f>
        <v>0.48</v>
      </c>
    </row>
    <row r="39" spans="1:39">
      <c r="A39" s="875"/>
      <c r="B39" s="874" t="s">
        <v>313</v>
      </c>
      <c r="C39" s="875">
        <f>'PLIEGO UNIFICADO'!D62</f>
        <v>2.36</v>
      </c>
      <c r="D39" s="2500">
        <f>'PLIEGO UNIFICADO'!E62</f>
        <v>2.76</v>
      </c>
      <c r="E39" s="875"/>
      <c r="F39" s="874" t="s">
        <v>1176</v>
      </c>
      <c r="G39" s="874">
        <v>300</v>
      </c>
      <c r="K39" s="2280">
        <f>$G39*K$38</f>
        <v>72</v>
      </c>
      <c r="L39" s="2280">
        <f t="shared" ref="L39:M41" si="56">$G39*L$38</f>
        <v>84.000000000000014</v>
      </c>
      <c r="M39" s="2280">
        <f t="shared" si="56"/>
        <v>144</v>
      </c>
      <c r="N39" s="2289">
        <f>G39-SUM(K39:M39)</f>
        <v>0</v>
      </c>
      <c r="P39" s="875">
        <f>ROUND($C$39+$C$40*$K39+$C$41*$L39++$C$42*$M39,2)</f>
        <v>55.1</v>
      </c>
      <c r="Q39" s="875"/>
      <c r="R39" s="875">
        <f t="shared" ref="R39:R42" si="57">SUM(P39:Q39)</f>
        <v>55.1</v>
      </c>
      <c r="S39" s="875">
        <f>ROUND($G39*$C$27,2)</f>
        <v>0</v>
      </c>
      <c r="T39" s="875">
        <f t="shared" ref="T39:T42" si="58">SUM(R39:S39)</f>
        <v>55.1</v>
      </c>
      <c r="V39" s="2500">
        <f>ROUND($D$39+$D$40*$K39+$D$41*$L39++$D$42*$M39,2)</f>
        <v>64.930000000000007</v>
      </c>
      <c r="W39" s="2500"/>
      <c r="X39" s="2500">
        <f t="shared" ref="X39:X42" si="59">SUM(V39:W39)</f>
        <v>64.930000000000007</v>
      </c>
      <c r="Y39" s="875">
        <f>ROUND($G39*$D$27,2)</f>
        <v>0</v>
      </c>
      <c r="Z39" s="875">
        <f t="shared" ref="Z39:Z42" si="60">SUM(X39:Y39)</f>
        <v>64.930000000000007</v>
      </c>
      <c r="AB39" s="2556">
        <f t="shared" ref="AB39:AB42" si="61">V39/P39-1</f>
        <v>0.17840290381125246</v>
      </c>
      <c r="AC39" s="2556">
        <f t="shared" ref="AC39:AC42" si="62">X39/R39-1</f>
        <v>0.17840290381125246</v>
      </c>
      <c r="AD39" s="2556">
        <f t="shared" ref="AD39:AD42" si="63">Z39/T39-1</f>
        <v>0.17840290381125246</v>
      </c>
      <c r="AF39" s="2511">
        <f t="shared" ref="AF39:AF42" si="64">($P39+$S39)/$G39</f>
        <v>0.18366666666666667</v>
      </c>
      <c r="AG39" s="2511">
        <f t="shared" ref="AG39:AG42" si="65">($V39+$Y39)/$G39</f>
        <v>0.21643333333333337</v>
      </c>
      <c r="AI39" s="2511">
        <f t="shared" ref="AI39:AI42" si="66">$R39/$G39</f>
        <v>0.18366666666666667</v>
      </c>
      <c r="AJ39" s="2511">
        <f t="shared" ref="AJ39:AJ42" si="67">$X39/$G39</f>
        <v>0.21643333333333337</v>
      </c>
      <c r="AL39" s="2511">
        <f t="shared" ref="AL39:AL42" si="68">$T39/$G39</f>
        <v>0.18366666666666667</v>
      </c>
      <c r="AM39" s="2511">
        <f t="shared" ref="AM39:AM42" si="69">$Z39/$G39</f>
        <v>0.21643333333333337</v>
      </c>
    </row>
    <row r="40" spans="1:39">
      <c r="A40" s="875"/>
      <c r="B40" s="874" t="s">
        <v>2106</v>
      </c>
      <c r="C40" s="1209">
        <f>'PLIEGO UNIFICADO'!D63</f>
        <v>0.17581000000000002</v>
      </c>
      <c r="D40" s="2499">
        <f>'PLIEGO UNIFICADO'!E63</f>
        <v>0.30385000000000001</v>
      </c>
      <c r="E40" s="875"/>
      <c r="F40" s="874" t="s">
        <v>1176</v>
      </c>
      <c r="G40" s="874">
        <v>750</v>
      </c>
      <c r="K40" s="2280">
        <f t="shared" ref="K40:K41" si="70">$G40*K$38</f>
        <v>180</v>
      </c>
      <c r="L40" s="2280">
        <f t="shared" si="56"/>
        <v>210.00000000000003</v>
      </c>
      <c r="M40" s="2280">
        <f t="shared" si="56"/>
        <v>360</v>
      </c>
      <c r="N40" s="2289">
        <f>G40-SUM(K40:M40)</f>
        <v>0</v>
      </c>
      <c r="P40" s="875">
        <f>ROUND($C$39+$C$40*$K40+$C$41*$L40++$C$42*$M40,2)</f>
        <v>134.22</v>
      </c>
      <c r="Q40" s="875"/>
      <c r="R40" s="875">
        <f t="shared" si="57"/>
        <v>134.22</v>
      </c>
      <c r="S40" s="875">
        <f t="shared" ref="S40:S42" si="71">ROUND($G40*$C$27,2)</f>
        <v>0</v>
      </c>
      <c r="T40" s="875">
        <f t="shared" si="58"/>
        <v>134.22</v>
      </c>
      <c r="V40" s="2500">
        <f>ROUND($D$39+$D$40*$K40+$D$41*$L40++$D$42*$M40,2)</f>
        <v>158.16999999999999</v>
      </c>
      <c r="W40" s="2500"/>
      <c r="X40" s="2500">
        <f t="shared" si="59"/>
        <v>158.16999999999999</v>
      </c>
      <c r="Y40" s="875">
        <f>ROUND($G40*$D$27,2)</f>
        <v>0</v>
      </c>
      <c r="Z40" s="875">
        <f t="shared" si="60"/>
        <v>158.16999999999999</v>
      </c>
      <c r="AB40" s="2556">
        <f t="shared" si="61"/>
        <v>0.17843838474146922</v>
      </c>
      <c r="AC40" s="2556">
        <f t="shared" si="62"/>
        <v>0.17843838474146922</v>
      </c>
      <c r="AD40" s="2556">
        <f t="shared" si="63"/>
        <v>0.17843838474146922</v>
      </c>
      <c r="AF40" s="2511">
        <f t="shared" si="64"/>
        <v>0.17896000000000001</v>
      </c>
      <c r="AG40" s="2511">
        <f t="shared" si="65"/>
        <v>0.21089333333333332</v>
      </c>
      <c r="AI40" s="2511">
        <f t="shared" si="66"/>
        <v>0.17896000000000001</v>
      </c>
      <c r="AJ40" s="2511">
        <f t="shared" si="67"/>
        <v>0.21089333333333332</v>
      </c>
      <c r="AL40" s="2511">
        <f t="shared" si="68"/>
        <v>0.17896000000000001</v>
      </c>
      <c r="AM40" s="2511">
        <f t="shared" si="69"/>
        <v>0.21089333333333332</v>
      </c>
    </row>
    <row r="41" spans="1:39">
      <c r="A41" s="875"/>
      <c r="B41" s="874" t="s">
        <v>2107</v>
      </c>
      <c r="C41" s="1209">
        <f>'PLIEGO UNIFICADO'!D64</f>
        <v>0.17581000000000002</v>
      </c>
      <c r="D41" s="2499">
        <f>'PLIEGO UNIFICADO'!E64</f>
        <v>0.22592000000000001</v>
      </c>
      <c r="E41" s="875"/>
      <c r="F41" s="874" t="s">
        <v>1176</v>
      </c>
      <c r="G41" s="874">
        <v>2000</v>
      </c>
      <c r="K41" s="2280">
        <f t="shared" si="70"/>
        <v>480</v>
      </c>
      <c r="L41" s="2280">
        <f t="shared" si="56"/>
        <v>560</v>
      </c>
      <c r="M41" s="2280">
        <f t="shared" si="56"/>
        <v>960</v>
      </c>
      <c r="N41" s="2289">
        <f>G41-SUM(K41:M41)</f>
        <v>0</v>
      </c>
      <c r="P41" s="875">
        <f>ROUND($C$39+$C$40*$K41+$C$41*$L41++$C$42*$M41,2)</f>
        <v>353.98</v>
      </c>
      <c r="Q41" s="875"/>
      <c r="R41" s="875">
        <f t="shared" si="57"/>
        <v>353.98</v>
      </c>
      <c r="S41" s="875">
        <f t="shared" si="71"/>
        <v>0</v>
      </c>
      <c r="T41" s="875">
        <f t="shared" si="58"/>
        <v>353.98</v>
      </c>
      <c r="V41" s="2500">
        <f>ROUND($D$39+$D$40*$K41+$D$41*$L41++$D$42*$M41,2)</f>
        <v>417.19</v>
      </c>
      <c r="W41" s="2500"/>
      <c r="X41" s="2500">
        <f t="shared" si="59"/>
        <v>417.19</v>
      </c>
      <c r="Y41" s="875">
        <f>ROUND($G41*$D$27,2)</f>
        <v>0</v>
      </c>
      <c r="Z41" s="875">
        <f t="shared" si="60"/>
        <v>417.19</v>
      </c>
      <c r="AB41" s="2556">
        <f t="shared" si="61"/>
        <v>0.1785694107011695</v>
      </c>
      <c r="AC41" s="2556">
        <f t="shared" si="62"/>
        <v>0.1785694107011695</v>
      </c>
      <c r="AD41" s="2556">
        <f t="shared" si="63"/>
        <v>0.1785694107011695</v>
      </c>
      <c r="AF41" s="2511">
        <f t="shared" si="64"/>
        <v>0.17699000000000001</v>
      </c>
      <c r="AG41" s="2511">
        <f t="shared" si="65"/>
        <v>0.208595</v>
      </c>
      <c r="AI41" s="2511">
        <f t="shared" si="66"/>
        <v>0.17699000000000001</v>
      </c>
      <c r="AJ41" s="2511">
        <f t="shared" si="67"/>
        <v>0.208595</v>
      </c>
      <c r="AL41" s="2511">
        <f t="shared" si="68"/>
        <v>0.17699000000000001</v>
      </c>
      <c r="AM41" s="2511">
        <f t="shared" si="69"/>
        <v>0.208595</v>
      </c>
    </row>
    <row r="42" spans="1:39">
      <c r="A42" s="875"/>
      <c r="B42" s="874" t="s">
        <v>2108</v>
      </c>
      <c r="C42" s="1209">
        <f>'PLIEGO UNIFICADO'!D65</f>
        <v>0.17581000000000002</v>
      </c>
      <c r="D42" s="2499">
        <f>'PLIEGO UNIFICADO'!E65</f>
        <v>0.14798999999999998</v>
      </c>
      <c r="E42" s="875"/>
      <c r="F42" s="1572" t="s">
        <v>112</v>
      </c>
      <c r="G42" s="2271">
        <f>SUM(G38:G41)</f>
        <v>3050</v>
      </c>
      <c r="H42" s="2284"/>
      <c r="I42" s="2284"/>
      <c r="J42" s="2284"/>
      <c r="K42" s="2284"/>
      <c r="L42" s="2284"/>
      <c r="M42" s="2284"/>
      <c r="N42" s="2288"/>
      <c r="P42" s="2520">
        <f>SUM(P39:P41)</f>
        <v>543.29999999999995</v>
      </c>
      <c r="Q42" s="2520"/>
      <c r="R42" s="2520">
        <f t="shared" si="57"/>
        <v>543.29999999999995</v>
      </c>
      <c r="S42" s="2520">
        <f t="shared" si="71"/>
        <v>0</v>
      </c>
      <c r="T42" s="2520">
        <f t="shared" si="58"/>
        <v>543.29999999999995</v>
      </c>
      <c r="U42" s="2478"/>
      <c r="V42" s="2526">
        <f>SUM(V39:V41)</f>
        <v>640.29</v>
      </c>
      <c r="W42" s="2526"/>
      <c r="X42" s="2526">
        <f t="shared" si="59"/>
        <v>640.29</v>
      </c>
      <c r="Y42" s="2520">
        <f>ROUND($G42*$D$27,2)</f>
        <v>0</v>
      </c>
      <c r="Z42" s="2520">
        <f t="shared" si="60"/>
        <v>640.29</v>
      </c>
      <c r="AA42" s="2478"/>
      <c r="AB42" s="2559">
        <f t="shared" si="61"/>
        <v>0.17852015461071225</v>
      </c>
      <c r="AC42" s="2559">
        <f t="shared" si="62"/>
        <v>0.17852015461071225</v>
      </c>
      <c r="AD42" s="2559">
        <f t="shared" si="63"/>
        <v>0.17852015461071225</v>
      </c>
      <c r="AE42" s="2478"/>
      <c r="AF42" s="2561">
        <f t="shared" si="64"/>
        <v>0.17813114754098358</v>
      </c>
      <c r="AG42" s="2561">
        <f t="shared" si="65"/>
        <v>0.2099311475409836</v>
      </c>
      <c r="AH42" s="2478"/>
      <c r="AI42" s="2561">
        <f t="shared" si="66"/>
        <v>0.17813114754098358</v>
      </c>
      <c r="AJ42" s="2561">
        <f t="shared" si="67"/>
        <v>0.2099311475409836</v>
      </c>
      <c r="AK42" s="2478"/>
      <c r="AL42" s="2561">
        <f t="shared" si="68"/>
        <v>0.17813114754098358</v>
      </c>
      <c r="AM42" s="2561">
        <f t="shared" si="69"/>
        <v>0.2099311475409836</v>
      </c>
    </row>
    <row r="43" spans="1:39">
      <c r="A43" s="875"/>
      <c r="E43" s="875"/>
    </row>
    <row r="44" spans="1:39">
      <c r="A44" s="875"/>
      <c r="E44" s="875"/>
    </row>
    <row r="45" spans="1:39">
      <c r="A45" s="875"/>
      <c r="B45" s="1161" t="s">
        <v>261</v>
      </c>
      <c r="C45" s="2269"/>
      <c r="D45" s="1214"/>
      <c r="E45" s="875"/>
      <c r="F45" s="875"/>
      <c r="G45" s="875"/>
      <c r="H45" s="2285"/>
      <c r="I45" s="2285"/>
      <c r="J45" s="2285"/>
      <c r="K45" s="2285"/>
      <c r="L45" s="2285"/>
      <c r="M45" s="2285"/>
      <c r="N45" s="2290"/>
      <c r="O45" s="875"/>
      <c r="P45" s="875"/>
      <c r="Q45" s="875"/>
      <c r="R45" s="875"/>
      <c r="S45" s="875"/>
      <c r="T45" s="875"/>
      <c r="U45" s="875"/>
      <c r="V45" s="875"/>
      <c r="W45" s="875"/>
      <c r="X45" s="875"/>
      <c r="Y45" s="875"/>
      <c r="Z45" s="875"/>
      <c r="AA45" s="875"/>
      <c r="AB45" s="2498"/>
      <c r="AD45" s="2498"/>
      <c r="AF45" s="875"/>
      <c r="AG45" s="875"/>
      <c r="AI45" s="875"/>
      <c r="AJ45" s="875"/>
      <c r="AL45" s="875"/>
      <c r="AM45" s="875"/>
    </row>
    <row r="46" spans="1:39">
      <c r="A46" s="2272"/>
      <c r="B46" s="874" t="s">
        <v>313</v>
      </c>
      <c r="C46" s="875">
        <f>'PLIEGO UNIFICADO'!D94</f>
        <v>5.04</v>
      </c>
      <c r="D46" s="2500">
        <f>'PLIEGO UNIFICADO'!E94</f>
        <v>5.57</v>
      </c>
      <c r="E46" s="2272"/>
      <c r="P46" s="2273"/>
      <c r="Q46" s="2273"/>
      <c r="R46" s="2273"/>
      <c r="S46" s="2273"/>
      <c r="T46" s="2273"/>
      <c r="U46" s="2273"/>
      <c r="V46" s="2273"/>
      <c r="W46" s="2273"/>
      <c r="X46" s="2273"/>
      <c r="Y46" s="2273"/>
      <c r="Z46" s="2273"/>
    </row>
    <row r="47" spans="1:39">
      <c r="A47" s="2272"/>
      <c r="B47" s="874" t="s">
        <v>1658</v>
      </c>
      <c r="C47" s="875">
        <f>'PLIEGO UNIFICADO'!D95</f>
        <v>14.93</v>
      </c>
      <c r="D47" s="2500">
        <f>'PLIEGO UNIFICADO'!E95</f>
        <v>17.14</v>
      </c>
      <c r="E47" s="2272"/>
      <c r="F47" s="874" t="s">
        <v>274</v>
      </c>
      <c r="G47" s="1573">
        <v>10000</v>
      </c>
      <c r="H47" s="2285">
        <v>0.4</v>
      </c>
      <c r="I47" s="2282">
        <f>ROUND(G47/(730*H47),0)</f>
        <v>34</v>
      </c>
      <c r="J47" s="2282"/>
      <c r="N47" s="2290"/>
      <c r="P47" s="2275">
        <f>C$46+C$47*$I47+C$48*$G47</f>
        <v>2192.2599999999998</v>
      </c>
      <c r="Q47" s="2275"/>
      <c r="R47" s="2275">
        <f t="shared" ref="R47:R85" si="72">SUM(P47:Q47)</f>
        <v>2192.2599999999998</v>
      </c>
      <c r="S47" s="2275">
        <f>ROUND($G47*$C$28,2)</f>
        <v>0</v>
      </c>
      <c r="T47" s="2275">
        <f t="shared" ref="T47:T51" si="73">SUM(R47:S47)</f>
        <v>2192.2599999999998</v>
      </c>
      <c r="U47" s="2273"/>
      <c r="V47" s="2274">
        <f>D$46+D$47*$I47+D$48*$G47</f>
        <v>2456.9300000000003</v>
      </c>
      <c r="W47" s="2274"/>
      <c r="X47" s="2274">
        <f t="shared" ref="X47:X51" si="74">SUM(V47:W47)</f>
        <v>2456.9300000000003</v>
      </c>
      <c r="Y47" s="2275">
        <f>ROUND($G47*$D$28,2)</f>
        <v>0</v>
      </c>
      <c r="Z47" s="2275">
        <f t="shared" ref="Z47:Z51" si="75">SUM(X47:Y47)</f>
        <v>2456.9300000000003</v>
      </c>
      <c r="AB47" s="2556">
        <f t="shared" ref="AB47:AB51" si="76">V47/P47-1</f>
        <v>0.12072929305830549</v>
      </c>
      <c r="AC47" s="2556">
        <f t="shared" ref="AC47:AC51" si="77">X47/R47-1</f>
        <v>0.12072929305830549</v>
      </c>
      <c r="AD47" s="2556">
        <f t="shared" ref="AD47:AD51" si="78">Z47/T47-1</f>
        <v>0.12072929305830549</v>
      </c>
      <c r="AF47" s="2511">
        <f t="shared" ref="AF47:AF51" si="79">($P47+$S47)/$G47</f>
        <v>0.21922599999999998</v>
      </c>
      <c r="AG47" s="2511">
        <f t="shared" ref="AG47:AG51" si="80">($V47+$Y47)/$G47</f>
        <v>0.24569300000000002</v>
      </c>
      <c r="AI47" s="2511">
        <f t="shared" ref="AI47:AI51" si="81">$R47/$G47</f>
        <v>0.21922599999999998</v>
      </c>
      <c r="AJ47" s="2511">
        <f t="shared" ref="AJ47:AJ51" si="82">$X47/$G47</f>
        <v>0.24569300000000002</v>
      </c>
      <c r="AL47" s="2511">
        <f t="shared" ref="AL47:AL51" si="83">$T47/$G47</f>
        <v>0.21922599999999998</v>
      </c>
      <c r="AM47" s="2511">
        <f t="shared" ref="AM47:AM51" si="84">$Z47/$G47</f>
        <v>0.24569300000000002</v>
      </c>
    </row>
    <row r="48" spans="1:39">
      <c r="A48" s="2272"/>
      <c r="B48" s="874" t="s">
        <v>1662</v>
      </c>
      <c r="C48" s="2272">
        <f>'PLIEGO UNIFICADO'!D96</f>
        <v>0.16796</v>
      </c>
      <c r="D48" s="2503">
        <f>'PLIEGO UNIFICADO'!E96</f>
        <v>0.18686000000000003</v>
      </c>
      <c r="E48" s="2272"/>
      <c r="F48" s="874" t="s">
        <v>274</v>
      </c>
      <c r="G48" s="1573">
        <v>30000</v>
      </c>
      <c r="H48" s="2285">
        <v>0.5</v>
      </c>
      <c r="I48" s="2282">
        <f>ROUND(G48/(730*H48),0)</f>
        <v>82</v>
      </c>
      <c r="J48" s="2282"/>
      <c r="N48" s="2290"/>
      <c r="P48" s="2275">
        <f>C$46+C$47*$I48+C$48*10000+C$49*20000</f>
        <v>6361.7</v>
      </c>
      <c r="Q48" s="2275"/>
      <c r="R48" s="2275">
        <f t="shared" si="72"/>
        <v>6361.7</v>
      </c>
      <c r="S48" s="2275">
        <f>ROUND($G48*$C$28,2)</f>
        <v>0</v>
      </c>
      <c r="T48" s="2275">
        <f t="shared" si="73"/>
        <v>6361.7</v>
      </c>
      <c r="U48" s="2273"/>
      <c r="V48" s="2274">
        <f>D$46+D$47*$I48+D$48*10000+D$49*20000</f>
        <v>7104.85</v>
      </c>
      <c r="W48" s="2274"/>
      <c r="X48" s="2274">
        <f t="shared" si="74"/>
        <v>7104.85</v>
      </c>
      <c r="Y48" s="2275">
        <f>ROUND($G48*$D$28,2)</f>
        <v>0</v>
      </c>
      <c r="Z48" s="2275">
        <f t="shared" si="75"/>
        <v>7104.85</v>
      </c>
      <c r="AB48" s="2556">
        <f t="shared" si="76"/>
        <v>0.11681625980476928</v>
      </c>
      <c r="AC48" s="2556">
        <f t="shared" si="77"/>
        <v>0.11681625980476928</v>
      </c>
      <c r="AD48" s="2556">
        <f t="shared" si="78"/>
        <v>0.11681625980476928</v>
      </c>
      <c r="AF48" s="2511">
        <f t="shared" si="79"/>
        <v>0.21205666666666667</v>
      </c>
      <c r="AG48" s="2511">
        <f t="shared" si="80"/>
        <v>0.23682833333333334</v>
      </c>
      <c r="AI48" s="2511">
        <f t="shared" si="81"/>
        <v>0.21205666666666667</v>
      </c>
      <c r="AJ48" s="2511">
        <f t="shared" si="82"/>
        <v>0.23682833333333334</v>
      </c>
      <c r="AL48" s="2511">
        <f t="shared" si="83"/>
        <v>0.21205666666666667</v>
      </c>
      <c r="AM48" s="2511">
        <f t="shared" si="84"/>
        <v>0.23682833333333334</v>
      </c>
    </row>
    <row r="49" spans="1:39">
      <c r="A49" s="2272"/>
      <c r="B49" s="874" t="s">
        <v>1659</v>
      </c>
      <c r="C49" s="2272">
        <f>'PLIEGO UNIFICADO'!D97</f>
        <v>0.17264000000000002</v>
      </c>
      <c r="D49" s="2503">
        <f>'PLIEGO UNIFICADO'!E97</f>
        <v>0.19125999999999999</v>
      </c>
      <c r="E49" s="2272"/>
      <c r="F49" s="874" t="s">
        <v>274</v>
      </c>
      <c r="G49" s="1573">
        <v>50000</v>
      </c>
      <c r="H49" s="2285">
        <v>0.6</v>
      </c>
      <c r="I49" s="2282">
        <f>ROUND(G49/(730*H49),0)</f>
        <v>114</v>
      </c>
      <c r="J49" s="2282"/>
      <c r="N49" s="2290"/>
      <c r="P49" s="2275">
        <f>C$46+C$47*$I49+C$48*10000+C$49*20000+C$50*20000</f>
        <v>10391.26</v>
      </c>
      <c r="Q49" s="2275"/>
      <c r="R49" s="2275">
        <f t="shared" si="72"/>
        <v>10391.26</v>
      </c>
      <c r="S49" s="2275">
        <f>ROUND($G49*$C$28,2)</f>
        <v>0</v>
      </c>
      <c r="T49" s="2275">
        <f t="shared" si="73"/>
        <v>10391.26</v>
      </c>
      <c r="U49" s="2273"/>
      <c r="V49" s="2274">
        <f>D$46+D$47*$I49+D$48*10000+D$49*20000+D$50*20000</f>
        <v>11570.93</v>
      </c>
      <c r="W49" s="2274"/>
      <c r="X49" s="2274">
        <f t="shared" si="74"/>
        <v>11570.93</v>
      </c>
      <c r="Y49" s="2275">
        <f>ROUND($G49*$D$28,2)</f>
        <v>0</v>
      </c>
      <c r="Z49" s="2275">
        <f t="shared" si="75"/>
        <v>11570.93</v>
      </c>
      <c r="AB49" s="2556">
        <f t="shared" si="76"/>
        <v>0.11352521253437975</v>
      </c>
      <c r="AC49" s="2556">
        <f t="shared" si="77"/>
        <v>0.11352521253437975</v>
      </c>
      <c r="AD49" s="2556">
        <f t="shared" si="78"/>
        <v>0.11352521253437975</v>
      </c>
      <c r="AF49" s="2511">
        <f t="shared" si="79"/>
        <v>0.20782520000000002</v>
      </c>
      <c r="AG49" s="2511">
        <f t="shared" si="80"/>
        <v>0.2314186</v>
      </c>
      <c r="AI49" s="2511">
        <f t="shared" si="81"/>
        <v>0.20782520000000002</v>
      </c>
      <c r="AJ49" s="2511">
        <f t="shared" si="82"/>
        <v>0.2314186</v>
      </c>
      <c r="AL49" s="2511">
        <f t="shared" si="83"/>
        <v>0.20782520000000002</v>
      </c>
      <c r="AM49" s="2511">
        <f t="shared" si="84"/>
        <v>0.2314186</v>
      </c>
    </row>
    <row r="50" spans="1:39">
      <c r="B50" s="874" t="s">
        <v>1660</v>
      </c>
      <c r="C50" s="2272">
        <f>'PLIEGO UNIFICADO'!D98</f>
        <v>0.17759000000000003</v>
      </c>
      <c r="D50" s="2503">
        <f>'PLIEGO UNIFICADO'!E98</f>
        <v>0.19588</v>
      </c>
      <c r="F50" s="874" t="s">
        <v>274</v>
      </c>
      <c r="G50" s="1573">
        <v>100000</v>
      </c>
      <c r="H50" s="2285">
        <v>0.7</v>
      </c>
      <c r="I50" s="2282">
        <f>ROUND(G50/(730*H50),0)</f>
        <v>196</v>
      </c>
      <c r="J50" s="2282"/>
      <c r="N50" s="2290"/>
      <c r="P50" s="2275">
        <f>C$46+C$47*$I50+C$48*10000+C$49*20000+C$50*20000+C$51*50000</f>
        <v>20753.52</v>
      </c>
      <c r="Q50" s="2275"/>
      <c r="R50" s="2275">
        <f t="shared" si="72"/>
        <v>20753.52</v>
      </c>
      <c r="S50" s="2275">
        <f>ROUND($G50*$C$28,2)</f>
        <v>0</v>
      </c>
      <c r="T50" s="2275">
        <f t="shared" si="73"/>
        <v>20753.52</v>
      </c>
      <c r="U50" s="2273"/>
      <c r="V50" s="2274">
        <f>D$46+D$47*$I50+D$48*10000+D$49*20000+D$50*20000+D$51*50000</f>
        <v>23012.910000000003</v>
      </c>
      <c r="W50" s="2274"/>
      <c r="X50" s="2274">
        <f t="shared" si="74"/>
        <v>23012.910000000003</v>
      </c>
      <c r="Y50" s="2275">
        <f>ROUND($G50*$D$28,2)</f>
        <v>0</v>
      </c>
      <c r="Z50" s="2275">
        <f t="shared" si="75"/>
        <v>23012.910000000003</v>
      </c>
      <c r="AB50" s="2556">
        <f t="shared" si="76"/>
        <v>0.10886779688457682</v>
      </c>
      <c r="AC50" s="2556">
        <f t="shared" si="77"/>
        <v>0.10886779688457682</v>
      </c>
      <c r="AD50" s="2556">
        <f t="shared" si="78"/>
        <v>0.10886779688457682</v>
      </c>
      <c r="AF50" s="2511">
        <f t="shared" si="79"/>
        <v>0.2075352</v>
      </c>
      <c r="AG50" s="2511">
        <f t="shared" si="80"/>
        <v>0.23012910000000003</v>
      </c>
      <c r="AI50" s="2511">
        <f t="shared" si="81"/>
        <v>0.2075352</v>
      </c>
      <c r="AJ50" s="2511">
        <f t="shared" si="82"/>
        <v>0.23012910000000003</v>
      </c>
      <c r="AL50" s="2511">
        <f t="shared" si="83"/>
        <v>0.2075352</v>
      </c>
      <c r="AM50" s="2511">
        <f t="shared" si="84"/>
        <v>0.23012910000000003</v>
      </c>
    </row>
    <row r="51" spans="1:39">
      <c r="A51" s="2269"/>
      <c r="B51" s="874" t="s">
        <v>1661</v>
      </c>
      <c r="C51" s="2272">
        <f>'PLIEGO UNIFICADO'!D99</f>
        <v>0.18276000000000001</v>
      </c>
      <c r="D51" s="2503">
        <f>'PLIEGO UNIFICADO'!E99</f>
        <v>0.20073000000000002</v>
      </c>
      <c r="E51" s="2269"/>
      <c r="F51" s="1572" t="s">
        <v>112</v>
      </c>
      <c r="G51" s="2271">
        <f>SUM(G47:G50)</f>
        <v>190000</v>
      </c>
      <c r="H51" s="2284"/>
      <c r="I51" s="2284"/>
      <c r="J51" s="2284"/>
      <c r="N51" s="2288"/>
      <c r="P51" s="2527">
        <f>SUM(P47:P50)</f>
        <v>39698.740000000005</v>
      </c>
      <c r="Q51" s="2527">
        <f t="shared" ref="Q51" si="85">SUM(Q47:Q50)</f>
        <v>0</v>
      </c>
      <c r="R51" s="2527">
        <f t="shared" si="72"/>
        <v>39698.740000000005</v>
      </c>
      <c r="S51" s="2527">
        <f>ROUND($G51*$C$28,2)</f>
        <v>0</v>
      </c>
      <c r="T51" s="2527">
        <f t="shared" si="73"/>
        <v>39698.740000000005</v>
      </c>
      <c r="U51" s="2528"/>
      <c r="V51" s="2529">
        <f>SUM(V47:V50)</f>
        <v>44145.62</v>
      </c>
      <c r="W51" s="2529">
        <f>SUM(W47:W50)</f>
        <v>0</v>
      </c>
      <c r="X51" s="2529">
        <f t="shared" si="74"/>
        <v>44145.62</v>
      </c>
      <c r="Y51" s="2527">
        <f>ROUND($G51*$D$28,2)</f>
        <v>0</v>
      </c>
      <c r="Z51" s="2527">
        <f t="shared" si="75"/>
        <v>44145.62</v>
      </c>
      <c r="AA51" s="2478"/>
      <c r="AB51" s="2559">
        <f t="shared" si="76"/>
        <v>0.11201564583661838</v>
      </c>
      <c r="AC51" s="2559">
        <f t="shared" si="77"/>
        <v>0.11201564583661838</v>
      </c>
      <c r="AD51" s="2559">
        <f t="shared" si="78"/>
        <v>0.11201564583661838</v>
      </c>
      <c r="AE51" s="2478"/>
      <c r="AF51" s="2561">
        <f t="shared" si="79"/>
        <v>0.20894073684210529</v>
      </c>
      <c r="AG51" s="2561">
        <f t="shared" si="80"/>
        <v>0.23234536842105263</v>
      </c>
      <c r="AH51" s="2478"/>
      <c r="AI51" s="2561">
        <f t="shared" si="81"/>
        <v>0.20894073684210529</v>
      </c>
      <c r="AJ51" s="2561">
        <f t="shared" si="82"/>
        <v>0.23234536842105263</v>
      </c>
      <c r="AK51" s="2478"/>
      <c r="AL51" s="2561">
        <f t="shared" si="83"/>
        <v>0.20894073684210529</v>
      </c>
      <c r="AM51" s="2561">
        <f t="shared" si="84"/>
        <v>0.23234536842105263</v>
      </c>
    </row>
    <row r="52" spans="1:39">
      <c r="A52" s="875"/>
      <c r="E52" s="875"/>
      <c r="P52" s="2273"/>
      <c r="Q52" s="2273"/>
      <c r="R52" s="2273"/>
      <c r="S52" s="2273"/>
      <c r="T52" s="2273"/>
      <c r="U52" s="2273"/>
      <c r="V52" s="2273"/>
      <c r="W52" s="2273"/>
      <c r="X52" s="2273"/>
      <c r="Y52" s="2273"/>
      <c r="Z52" s="2273"/>
    </row>
    <row r="53" spans="1:39">
      <c r="A53" s="875"/>
      <c r="B53" s="1161" t="s">
        <v>263</v>
      </c>
      <c r="C53" s="2269"/>
      <c r="D53" s="1214"/>
      <c r="E53" s="875"/>
      <c r="F53" s="874" t="s">
        <v>275</v>
      </c>
      <c r="G53" s="1573">
        <v>10000</v>
      </c>
      <c r="H53" s="2285">
        <v>0.4</v>
      </c>
      <c r="I53" s="2282">
        <f>ROUND(G53/(730*H53),0)</f>
        <v>34</v>
      </c>
      <c r="J53" s="2282">
        <f t="shared" ref="J53:J56" si="86">ROUND(I53*1.02,0)</f>
        <v>35</v>
      </c>
      <c r="K53" s="2280">
        <f>$G53*K$38</f>
        <v>2400</v>
      </c>
      <c r="L53" s="2280">
        <f t="shared" ref="L53:M56" si="87">$G53*L$38</f>
        <v>2800.0000000000005</v>
      </c>
      <c r="M53" s="2280">
        <f t="shared" si="87"/>
        <v>4800</v>
      </c>
      <c r="N53" s="2289">
        <f>G53-SUM(K53:M53)</f>
        <v>0</v>
      </c>
      <c r="P53" s="2275">
        <f>C$54+C$55*$I53+C$56*$J53+C$57*$K53+C$58*$L53+C$59*$M53</f>
        <v>2175.8900000000003</v>
      </c>
      <c r="Q53" s="2275"/>
      <c r="R53" s="2275">
        <f t="shared" si="72"/>
        <v>2175.8900000000003</v>
      </c>
      <c r="S53" s="2275">
        <f>ROUND($G53*$C$29,2)</f>
        <v>0</v>
      </c>
      <c r="T53" s="2275">
        <f t="shared" ref="T53:T57" si="88">SUM(R53:S53)</f>
        <v>2175.8900000000003</v>
      </c>
      <c r="U53" s="2273"/>
      <c r="V53" s="2274">
        <f>D$54+D$55*$I53+D$56*$J53+D$57*$K53+D$58*$L53+D$59*$M53</f>
        <v>2106.558</v>
      </c>
      <c r="W53" s="2274"/>
      <c r="X53" s="2274">
        <f t="shared" ref="X53:X57" si="89">SUM(V53:W53)</f>
        <v>2106.558</v>
      </c>
      <c r="Y53" s="2275">
        <f>ROUND($G53*$D$29,2)</f>
        <v>0</v>
      </c>
      <c r="Z53" s="2275">
        <f t="shared" ref="Z53:Z57" si="90">SUM(X53:Y53)</f>
        <v>2106.558</v>
      </c>
      <c r="AB53" s="2556">
        <f t="shared" ref="AB53:AB57" si="91">V53/P53-1</f>
        <v>-3.186374311201412E-2</v>
      </c>
      <c r="AC53" s="2556">
        <f t="shared" ref="AC53:AC57" si="92">X53/R53-1</f>
        <v>-3.186374311201412E-2</v>
      </c>
      <c r="AD53" s="2556">
        <f t="shared" ref="AD53:AD57" si="93">Z53/T53-1</f>
        <v>-3.186374311201412E-2</v>
      </c>
      <c r="AF53" s="2511">
        <f t="shared" ref="AF53:AF57" si="94">($P53+$S53)/$G53</f>
        <v>0.21758900000000003</v>
      </c>
      <c r="AG53" s="2511">
        <f t="shared" ref="AG53:AG57" si="95">($V53+$Y53)/$G53</f>
        <v>0.2106558</v>
      </c>
      <c r="AI53" s="2511">
        <f t="shared" ref="AI53:AI57" si="96">$R53/$G53</f>
        <v>0.21758900000000003</v>
      </c>
      <c r="AJ53" s="2511">
        <f t="shared" ref="AJ53:AJ57" si="97">$X53/$G53</f>
        <v>0.2106558</v>
      </c>
      <c r="AL53" s="2511">
        <f t="shared" ref="AL53:AL57" si="98">$T53/$G53</f>
        <v>0.21758900000000003</v>
      </c>
      <c r="AM53" s="2511">
        <f t="shared" ref="AM53:AM57" si="99">$Z53/$G53</f>
        <v>0.2106558</v>
      </c>
    </row>
    <row r="54" spans="1:39">
      <c r="A54" s="875"/>
      <c r="B54" s="874" t="s">
        <v>313</v>
      </c>
      <c r="C54" s="875">
        <f>'PLIEGO UNIFICADO'!D131</f>
        <v>5.04</v>
      </c>
      <c r="D54" s="2500">
        <f>'PLIEGO UNIFICADO'!E131</f>
        <v>5.57</v>
      </c>
      <c r="E54" s="875"/>
      <c r="F54" s="874" t="s">
        <v>275</v>
      </c>
      <c r="G54" s="1573">
        <v>30000</v>
      </c>
      <c r="H54" s="2285">
        <v>0.5</v>
      </c>
      <c r="I54" s="2282">
        <f>ROUND(G54/(730*H54),0)</f>
        <v>82</v>
      </c>
      <c r="J54" s="2282">
        <f t="shared" si="86"/>
        <v>84</v>
      </c>
      <c r="K54" s="2280">
        <f t="shared" ref="K54:K56" si="100">$G54*K$38</f>
        <v>7200</v>
      </c>
      <c r="L54" s="2280">
        <f t="shared" si="87"/>
        <v>8400</v>
      </c>
      <c r="M54" s="2280">
        <f t="shared" si="87"/>
        <v>14400</v>
      </c>
      <c r="N54" s="2289">
        <f>G54-SUM(K54:M54)</f>
        <v>0</v>
      </c>
      <c r="P54" s="2275">
        <f>C$54+C$55*$I54+C$56*$J54+C$57*$K54+C$58*$L54+C$59*$M54</f>
        <v>6187.0599999999995</v>
      </c>
      <c r="Q54" s="2275"/>
      <c r="R54" s="2275">
        <f t="shared" si="72"/>
        <v>6187.0599999999995</v>
      </c>
      <c r="S54" s="2275">
        <f t="shared" ref="S54:S57" si="101">ROUND($G54*$C$29,2)</f>
        <v>0</v>
      </c>
      <c r="T54" s="2275">
        <f t="shared" si="88"/>
        <v>6187.0599999999995</v>
      </c>
      <c r="U54" s="2273"/>
      <c r="V54" s="2274">
        <f>D$54+D$55*$I54+D$56*$J54+D$57*$K54+D$58*$L54+D$59*$M54</f>
        <v>5944.2740000000003</v>
      </c>
      <c r="W54" s="2274"/>
      <c r="X54" s="2274">
        <f t="shared" si="89"/>
        <v>5944.2740000000003</v>
      </c>
      <c r="Y54" s="2275">
        <f>ROUND($G54*$D$29,2)</f>
        <v>0</v>
      </c>
      <c r="Z54" s="2275">
        <f t="shared" si="90"/>
        <v>5944.2740000000003</v>
      </c>
      <c r="AB54" s="2556">
        <f t="shared" si="91"/>
        <v>-3.9240931880408336E-2</v>
      </c>
      <c r="AC54" s="2556">
        <f t="shared" si="92"/>
        <v>-3.9240931880408336E-2</v>
      </c>
      <c r="AD54" s="2556">
        <f t="shared" si="93"/>
        <v>-3.9240931880408336E-2</v>
      </c>
      <c r="AF54" s="2511">
        <f t="shared" si="94"/>
        <v>0.20623533333333333</v>
      </c>
      <c r="AG54" s="2511">
        <f t="shared" si="95"/>
        <v>0.19814246666666668</v>
      </c>
      <c r="AI54" s="2511">
        <f t="shared" si="96"/>
        <v>0.20623533333333333</v>
      </c>
      <c r="AJ54" s="2511">
        <f t="shared" si="97"/>
        <v>0.19814246666666668</v>
      </c>
      <c r="AL54" s="2511">
        <f t="shared" si="98"/>
        <v>0.20623533333333333</v>
      </c>
      <c r="AM54" s="2511">
        <f t="shared" si="99"/>
        <v>0.19814246666666668</v>
      </c>
    </row>
    <row r="55" spans="1:39">
      <c r="A55" s="1162"/>
      <c r="B55" s="874" t="s">
        <v>1664</v>
      </c>
      <c r="C55" s="875">
        <f>'PLIEGO UNIFICADO'!D132</f>
        <v>10.3</v>
      </c>
      <c r="D55" s="2500">
        <f>'PLIEGO UNIFICADO'!E132</f>
        <v>12.69</v>
      </c>
      <c r="E55" s="1162"/>
      <c r="F55" s="874" t="s">
        <v>275</v>
      </c>
      <c r="G55" s="1573">
        <v>50000</v>
      </c>
      <c r="H55" s="2285">
        <v>0.6</v>
      </c>
      <c r="I55" s="2282">
        <f>ROUND(G55/(730*H55),0)</f>
        <v>114</v>
      </c>
      <c r="J55" s="2282">
        <f t="shared" si="86"/>
        <v>116</v>
      </c>
      <c r="K55" s="2280">
        <f t="shared" si="100"/>
        <v>12000</v>
      </c>
      <c r="L55" s="2280">
        <f t="shared" si="87"/>
        <v>14000.000000000002</v>
      </c>
      <c r="M55" s="2280">
        <f t="shared" si="87"/>
        <v>24000</v>
      </c>
      <c r="N55" s="2289">
        <f>G55-SUM(K55:M55)</f>
        <v>0</v>
      </c>
      <c r="P55" s="2275">
        <f>C$54+C$55*$I55+C$56*$J55+C$57*$K55+C$58*$L55+C$59*$M55</f>
        <v>9932.6200000000008</v>
      </c>
      <c r="Q55" s="2275"/>
      <c r="R55" s="2275">
        <f t="shared" si="72"/>
        <v>9932.6200000000008</v>
      </c>
      <c r="S55" s="2275">
        <f t="shared" si="101"/>
        <v>0</v>
      </c>
      <c r="T55" s="2275">
        <f t="shared" si="88"/>
        <v>9932.6200000000008</v>
      </c>
      <c r="U55" s="2273"/>
      <c r="V55" s="2274">
        <f>D$54+D$55*$I55+D$56*$J55+D$57*$K55+D$58*$L55+D$59*$M55</f>
        <v>9489.5300000000007</v>
      </c>
      <c r="W55" s="2274"/>
      <c r="X55" s="2274">
        <f t="shared" si="89"/>
        <v>9489.5300000000007</v>
      </c>
      <c r="Y55" s="2275">
        <f>ROUND($G55*$D$29,2)</f>
        <v>0</v>
      </c>
      <c r="Z55" s="2275">
        <f t="shared" si="90"/>
        <v>9489.5300000000007</v>
      </c>
      <c r="AB55" s="2556">
        <f t="shared" si="91"/>
        <v>-4.4609579345630923E-2</v>
      </c>
      <c r="AC55" s="2556">
        <f t="shared" si="92"/>
        <v>-4.4609579345630923E-2</v>
      </c>
      <c r="AD55" s="2556">
        <f t="shared" si="93"/>
        <v>-4.4609579345630923E-2</v>
      </c>
      <c r="AF55" s="2511">
        <f t="shared" si="94"/>
        <v>0.19865240000000001</v>
      </c>
      <c r="AG55" s="2511">
        <f t="shared" si="95"/>
        <v>0.1897906</v>
      </c>
      <c r="AI55" s="2511">
        <f t="shared" si="96"/>
        <v>0.19865240000000001</v>
      </c>
      <c r="AJ55" s="2511">
        <f t="shared" si="97"/>
        <v>0.1897906</v>
      </c>
      <c r="AL55" s="2511">
        <f t="shared" si="98"/>
        <v>0.19865240000000001</v>
      </c>
      <c r="AM55" s="2511">
        <f t="shared" si="99"/>
        <v>0.1897906</v>
      </c>
    </row>
    <row r="56" spans="1:39">
      <c r="B56" s="874" t="s">
        <v>1665</v>
      </c>
      <c r="C56" s="875">
        <f>'PLIEGO UNIFICADO'!D133</f>
        <v>5.93</v>
      </c>
      <c r="D56" s="2500">
        <f>'PLIEGO UNIFICADO'!E133</f>
        <v>5.26</v>
      </c>
      <c r="F56" s="874" t="s">
        <v>275</v>
      </c>
      <c r="G56" s="1573">
        <v>100000</v>
      </c>
      <c r="H56" s="2285">
        <v>0.7</v>
      </c>
      <c r="I56" s="2282">
        <f>ROUND(G56/(730*H56),0)</f>
        <v>196</v>
      </c>
      <c r="J56" s="2282">
        <f t="shared" si="86"/>
        <v>200</v>
      </c>
      <c r="K56" s="2280">
        <f t="shared" si="100"/>
        <v>24000</v>
      </c>
      <c r="L56" s="2280">
        <f t="shared" si="87"/>
        <v>28000.000000000004</v>
      </c>
      <c r="M56" s="2280">
        <f t="shared" si="87"/>
        <v>48000</v>
      </c>
      <c r="N56" s="2289">
        <f>G56-SUM(K56:M56)</f>
        <v>0</v>
      </c>
      <c r="P56" s="2275">
        <f>C$54+C$55*$I56+C$56*$J56+C$57*$K56+C$58*$L56+C$59*$M56</f>
        <v>19340.840000000004</v>
      </c>
      <c r="Q56" s="2275"/>
      <c r="R56" s="2275">
        <f t="shared" si="72"/>
        <v>19340.840000000004</v>
      </c>
      <c r="S56" s="2275">
        <f t="shared" si="101"/>
        <v>0</v>
      </c>
      <c r="T56" s="2275">
        <f t="shared" si="88"/>
        <v>19340.840000000004</v>
      </c>
      <c r="U56" s="2273"/>
      <c r="V56" s="2274">
        <f>D$54+D$55*$I56+D$56*$J56+D$57*$K56+D$58*$L56+D$59*$M56</f>
        <v>18399.09</v>
      </c>
      <c r="W56" s="2274"/>
      <c r="X56" s="2274">
        <f t="shared" si="89"/>
        <v>18399.09</v>
      </c>
      <c r="Y56" s="2275">
        <f>ROUND($G56*$D$29,2)</f>
        <v>0</v>
      </c>
      <c r="Z56" s="2275">
        <f t="shared" si="90"/>
        <v>18399.09</v>
      </c>
      <c r="AB56" s="2556">
        <f t="shared" si="91"/>
        <v>-4.86923008514627E-2</v>
      </c>
      <c r="AC56" s="2556">
        <f t="shared" si="92"/>
        <v>-4.86923008514627E-2</v>
      </c>
      <c r="AD56" s="2556">
        <f t="shared" si="93"/>
        <v>-4.86923008514627E-2</v>
      </c>
      <c r="AF56" s="2511">
        <f t="shared" si="94"/>
        <v>0.19340840000000004</v>
      </c>
      <c r="AG56" s="2511">
        <f t="shared" si="95"/>
        <v>0.18399090000000001</v>
      </c>
      <c r="AI56" s="2511">
        <f t="shared" si="96"/>
        <v>0.19340840000000004</v>
      </c>
      <c r="AJ56" s="2511">
        <f t="shared" si="97"/>
        <v>0.18399090000000001</v>
      </c>
      <c r="AL56" s="2511">
        <f t="shared" si="98"/>
        <v>0.19340840000000004</v>
      </c>
      <c r="AM56" s="2511">
        <f t="shared" si="99"/>
        <v>0.18399090000000001</v>
      </c>
    </row>
    <row r="57" spans="1:39">
      <c r="A57" s="2269"/>
      <c r="B57" s="874" t="s">
        <v>2106</v>
      </c>
      <c r="C57" s="1162">
        <f>'PLIEGO UNIFICADO'!D134</f>
        <v>0.16131000000000001</v>
      </c>
      <c r="D57" s="2504">
        <f>'PLIEGO UNIFICADO'!E134</f>
        <v>0.21456000000000003</v>
      </c>
      <c r="E57" s="2269"/>
      <c r="F57" s="1572" t="s">
        <v>275</v>
      </c>
      <c r="G57" s="2271">
        <f>SUM(G53:G56)</f>
        <v>190000</v>
      </c>
      <c r="H57" s="2284"/>
      <c r="I57" s="2284"/>
      <c r="J57" s="2284"/>
      <c r="N57" s="2288"/>
      <c r="P57" s="2527">
        <f>SUM(P53:P56)</f>
        <v>37636.410000000003</v>
      </c>
      <c r="Q57" s="2527">
        <f>SUM(Q53:Q56)</f>
        <v>0</v>
      </c>
      <c r="R57" s="2527">
        <f t="shared" si="72"/>
        <v>37636.410000000003</v>
      </c>
      <c r="S57" s="2527">
        <f t="shared" si="101"/>
        <v>0</v>
      </c>
      <c r="T57" s="2527">
        <f t="shared" si="88"/>
        <v>37636.410000000003</v>
      </c>
      <c r="U57" s="2528"/>
      <c r="V57" s="2529">
        <f>SUM(V53:V56)</f>
        <v>35939.452000000005</v>
      </c>
      <c r="W57" s="2529">
        <f>SUM(W53:W56)</f>
        <v>0</v>
      </c>
      <c r="X57" s="2529">
        <f t="shared" si="89"/>
        <v>35939.452000000005</v>
      </c>
      <c r="Y57" s="2527">
        <f>ROUND($G57*$D$29,2)</f>
        <v>0</v>
      </c>
      <c r="Z57" s="2527">
        <f t="shared" si="90"/>
        <v>35939.452000000005</v>
      </c>
      <c r="AA57" s="2478"/>
      <c r="AB57" s="2559">
        <f t="shared" si="91"/>
        <v>-4.5088200495211894E-2</v>
      </c>
      <c r="AC57" s="2559">
        <f t="shared" si="92"/>
        <v>-4.5088200495211894E-2</v>
      </c>
      <c r="AD57" s="2559">
        <f t="shared" si="93"/>
        <v>-4.5088200495211894E-2</v>
      </c>
      <c r="AE57" s="2478"/>
      <c r="AF57" s="2561">
        <f t="shared" si="94"/>
        <v>0.19808636842105265</v>
      </c>
      <c r="AG57" s="2561">
        <f t="shared" si="95"/>
        <v>0.18915501052631581</v>
      </c>
      <c r="AH57" s="2478"/>
      <c r="AI57" s="2561">
        <f t="shared" si="96"/>
        <v>0.19808636842105265</v>
      </c>
      <c r="AJ57" s="2561">
        <f t="shared" si="97"/>
        <v>0.18915501052631581</v>
      </c>
      <c r="AK57" s="2478"/>
      <c r="AL57" s="2561">
        <f t="shared" si="98"/>
        <v>0.19808636842105265</v>
      </c>
      <c r="AM57" s="2561">
        <f t="shared" si="99"/>
        <v>0.18915501052631581</v>
      </c>
    </row>
    <row r="58" spans="1:39">
      <c r="A58" s="875"/>
      <c r="B58" s="874" t="s">
        <v>2107</v>
      </c>
      <c r="C58" s="1162">
        <f>'PLIEGO UNIFICADO'!D135</f>
        <v>0.16131000000000001</v>
      </c>
      <c r="D58" s="2504">
        <f>'PLIEGO UNIFICADO'!E135</f>
        <v>0.16151000000000001</v>
      </c>
      <c r="E58" s="875"/>
      <c r="P58" s="2273"/>
      <c r="Q58" s="2273"/>
      <c r="R58" s="2273"/>
      <c r="S58" s="2273"/>
      <c r="T58" s="2273"/>
      <c r="U58" s="2273"/>
      <c r="V58" s="2273"/>
      <c r="W58" s="2273"/>
      <c r="X58" s="2273"/>
      <c r="Y58" s="2273"/>
      <c r="Z58" s="2273"/>
    </row>
    <row r="59" spans="1:39">
      <c r="A59" s="875"/>
      <c r="B59" s="874" t="s">
        <v>2108</v>
      </c>
      <c r="C59" s="1162">
        <f>'PLIEGO UNIFICADO'!D136</f>
        <v>0.16131000000000001</v>
      </c>
      <c r="D59" s="2504">
        <f>'PLIEGO UNIFICADO'!E136</f>
        <v>0.10797</v>
      </c>
      <c r="E59" s="875"/>
      <c r="P59" s="2273"/>
      <c r="Q59" s="2273"/>
      <c r="R59" s="2273"/>
      <c r="S59" s="2273"/>
      <c r="T59" s="2273"/>
      <c r="U59" s="2273"/>
      <c r="V59" s="2273"/>
      <c r="W59" s="2273"/>
      <c r="X59" s="2273"/>
      <c r="Y59" s="2273"/>
      <c r="Z59" s="2273"/>
    </row>
    <row r="60" spans="1:39">
      <c r="A60" s="875"/>
      <c r="E60" s="875"/>
      <c r="P60" s="2273"/>
      <c r="Q60" s="2273"/>
      <c r="R60" s="2273"/>
      <c r="S60" s="2273"/>
      <c r="T60" s="2273"/>
      <c r="U60" s="2273"/>
      <c r="V60" s="2273"/>
      <c r="W60" s="2273"/>
      <c r="X60" s="2273"/>
      <c r="Y60" s="2273"/>
      <c r="Z60" s="2273"/>
    </row>
    <row r="61" spans="1:39">
      <c r="A61" s="875"/>
      <c r="B61" s="1161" t="s">
        <v>262</v>
      </c>
      <c r="C61" s="2269"/>
      <c r="D61" s="1214"/>
      <c r="E61" s="875"/>
      <c r="F61" s="874" t="s">
        <v>276</v>
      </c>
      <c r="G61" s="1573">
        <v>75000</v>
      </c>
      <c r="H61" s="2285">
        <v>0.6</v>
      </c>
      <c r="I61" s="2282">
        <f>ROUND(G61/(730*H61),0)</f>
        <v>171</v>
      </c>
      <c r="J61" s="2282"/>
      <c r="N61" s="2290"/>
      <c r="P61" s="2275">
        <f>C$62+C$63*$I61+C$64*$G61</f>
        <v>13685.009999999998</v>
      </c>
      <c r="Q61" s="2275"/>
      <c r="R61" s="2275">
        <f t="shared" si="72"/>
        <v>13685.009999999998</v>
      </c>
      <c r="S61" s="2275">
        <f>ROUND($G61*$C$31,2)</f>
        <v>0</v>
      </c>
      <c r="T61" s="2275">
        <f t="shared" ref="T61:T65" si="102">SUM(R61:S61)</f>
        <v>13685.009999999998</v>
      </c>
      <c r="U61" s="2273"/>
      <c r="V61" s="2274">
        <f>D$62+D$63*$I61+D$64*$G61</f>
        <v>14231.29</v>
      </c>
      <c r="W61" s="2274"/>
      <c r="X61" s="2274">
        <f t="shared" ref="X61:X65" si="103">SUM(V61:W61)</f>
        <v>14231.29</v>
      </c>
      <c r="Y61" s="2275">
        <f>ROUND($G61*$D$31,2)</f>
        <v>0</v>
      </c>
      <c r="Z61" s="2275">
        <f t="shared" ref="Z61:Z65" si="104">SUM(X61:Y61)</f>
        <v>14231.29</v>
      </c>
      <c r="AB61" s="2556">
        <f t="shared" ref="AB61:AB65" si="105">V61/P61-1</f>
        <v>3.9918129398517355E-2</v>
      </c>
      <c r="AC61" s="2556">
        <f t="shared" ref="AC61:AC65" si="106">X61/R61-1</f>
        <v>3.9918129398517355E-2</v>
      </c>
      <c r="AD61" s="2556">
        <f t="shared" ref="AD61:AD65" si="107">Z61/T61-1</f>
        <v>3.9918129398517355E-2</v>
      </c>
      <c r="AF61" s="2511">
        <f t="shared" ref="AF61:AF65" si="108">($P61+$S61)/$G61</f>
        <v>0.18246679999999998</v>
      </c>
      <c r="AG61" s="2511">
        <f t="shared" ref="AG61:AG65" si="109">($V61+$Y61)/$G61</f>
        <v>0.18975053333333333</v>
      </c>
      <c r="AI61" s="2511">
        <f t="shared" ref="AI61:AI65" si="110">$R61/$G61</f>
        <v>0.18246679999999998</v>
      </c>
      <c r="AJ61" s="2511">
        <f t="shared" ref="AJ61:AJ65" si="111">$X61/$G61</f>
        <v>0.18975053333333333</v>
      </c>
      <c r="AL61" s="2511">
        <f t="shared" ref="AL61:AL65" si="112">$T61/$G61</f>
        <v>0.18246679999999998</v>
      </c>
      <c r="AM61" s="2511">
        <f t="shared" ref="AM61:AM65" si="113">$Z61/$G61</f>
        <v>0.18975053333333333</v>
      </c>
    </row>
    <row r="62" spans="1:39">
      <c r="A62" s="2272"/>
      <c r="B62" s="874" t="s">
        <v>313</v>
      </c>
      <c r="C62" s="875">
        <f>'PLIEGO UNIFICADO'!D169</f>
        <v>9.06</v>
      </c>
      <c r="D62" s="2500">
        <f>'PLIEGO UNIFICADO'!E169</f>
        <v>10.029999999999999</v>
      </c>
      <c r="E62" s="2272"/>
      <c r="F62" s="874" t="s">
        <v>276</v>
      </c>
      <c r="G62" s="1573">
        <v>100000</v>
      </c>
      <c r="H62" s="2285">
        <v>0.7</v>
      </c>
      <c r="I62" s="2282">
        <f>ROUND(G62/(730*H62),0)</f>
        <v>196</v>
      </c>
      <c r="J62" s="2282"/>
      <c r="N62" s="2290"/>
      <c r="P62" s="2275">
        <f>C$62+C$63*$I62+C$64*$G62</f>
        <v>17845.259999999998</v>
      </c>
      <c r="Q62" s="2275"/>
      <c r="R62" s="2275">
        <f t="shared" si="72"/>
        <v>17845.259999999998</v>
      </c>
      <c r="S62" s="2275">
        <f>ROUND($G62*$C$31,2)</f>
        <v>0</v>
      </c>
      <c r="T62" s="2275">
        <f t="shared" si="102"/>
        <v>17845.259999999998</v>
      </c>
      <c r="U62" s="2273"/>
      <c r="V62" s="2274">
        <f>D$62+D$63*$I62+D$64*$G62</f>
        <v>18481.79</v>
      </c>
      <c r="W62" s="2274"/>
      <c r="X62" s="2274">
        <f t="shared" si="103"/>
        <v>18481.79</v>
      </c>
      <c r="Y62" s="2275">
        <f>ROUND($G62*$D$31,2)</f>
        <v>0</v>
      </c>
      <c r="Z62" s="2275">
        <f t="shared" si="104"/>
        <v>18481.79</v>
      </c>
      <c r="AB62" s="2556">
        <f t="shared" si="105"/>
        <v>3.5669415856087516E-2</v>
      </c>
      <c r="AC62" s="2556">
        <f t="shared" si="106"/>
        <v>3.5669415856087516E-2</v>
      </c>
      <c r="AD62" s="2556">
        <f t="shared" si="107"/>
        <v>3.5669415856087516E-2</v>
      </c>
      <c r="AF62" s="2511">
        <f t="shared" si="108"/>
        <v>0.17845259999999999</v>
      </c>
      <c r="AG62" s="2511">
        <f t="shared" si="109"/>
        <v>0.18481790000000001</v>
      </c>
      <c r="AI62" s="2511">
        <f t="shared" si="110"/>
        <v>0.17845259999999999</v>
      </c>
      <c r="AJ62" s="2511">
        <f t="shared" si="111"/>
        <v>0.18481790000000001</v>
      </c>
      <c r="AL62" s="2511">
        <f t="shared" si="112"/>
        <v>0.17845259999999999</v>
      </c>
      <c r="AM62" s="2511">
        <f t="shared" si="113"/>
        <v>0.18481790000000001</v>
      </c>
    </row>
    <row r="63" spans="1:39">
      <c r="B63" s="874" t="s">
        <v>1658</v>
      </c>
      <c r="C63" s="875">
        <f>'PLIEGO UNIFICADO'!D170</f>
        <v>12.450000000000001</v>
      </c>
      <c r="D63" s="2500">
        <f>'PLIEGO UNIFICADO'!E170</f>
        <v>15.309999999999999</v>
      </c>
      <c r="F63" s="874" t="s">
        <v>276</v>
      </c>
      <c r="G63" s="1573">
        <v>500000</v>
      </c>
      <c r="H63" s="2285">
        <v>0.8</v>
      </c>
      <c r="I63" s="2282">
        <f>ROUND(G63/(730*H63),0)</f>
        <v>856</v>
      </c>
      <c r="J63" s="2282"/>
      <c r="N63" s="2290"/>
      <c r="P63" s="2275">
        <f>C$62+C$63*$I63+C$64*$G63</f>
        <v>87646.26</v>
      </c>
      <c r="Q63" s="2275"/>
      <c r="R63" s="2275">
        <f t="shared" si="72"/>
        <v>87646.26</v>
      </c>
      <c r="S63" s="2275">
        <f>ROUND($G63*$C$31,2)</f>
        <v>0</v>
      </c>
      <c r="T63" s="2275">
        <f t="shared" si="102"/>
        <v>87646.26</v>
      </c>
      <c r="U63" s="2273"/>
      <c r="V63" s="2274">
        <f>D$62+D$63*$I63+D$64*$G63</f>
        <v>90470.39</v>
      </c>
      <c r="W63" s="2274"/>
      <c r="X63" s="2274">
        <f t="shared" si="103"/>
        <v>90470.39</v>
      </c>
      <c r="Y63" s="2275">
        <f>ROUND($G63*$D$31,2)</f>
        <v>0</v>
      </c>
      <c r="Z63" s="2275">
        <f t="shared" si="104"/>
        <v>90470.39</v>
      </c>
      <c r="AB63" s="2556">
        <f t="shared" si="105"/>
        <v>3.2221911123190061E-2</v>
      </c>
      <c r="AC63" s="2556">
        <f t="shared" si="106"/>
        <v>3.2221911123190061E-2</v>
      </c>
      <c r="AD63" s="2556">
        <f t="shared" si="107"/>
        <v>3.2221911123190061E-2</v>
      </c>
      <c r="AF63" s="2511">
        <f t="shared" si="108"/>
        <v>0.17529251999999998</v>
      </c>
      <c r="AG63" s="2511">
        <f t="shared" si="109"/>
        <v>0.18094078</v>
      </c>
      <c r="AI63" s="2511">
        <f t="shared" si="110"/>
        <v>0.17529251999999998</v>
      </c>
      <c r="AJ63" s="2511">
        <f t="shared" si="111"/>
        <v>0.18094078</v>
      </c>
      <c r="AL63" s="2511">
        <f t="shared" si="112"/>
        <v>0.17529251999999998</v>
      </c>
      <c r="AM63" s="2511">
        <f t="shared" si="113"/>
        <v>0.18094078</v>
      </c>
    </row>
    <row r="64" spans="1:39">
      <c r="A64" s="2269"/>
      <c r="B64" s="874" t="s">
        <v>1663</v>
      </c>
      <c r="C64" s="2272">
        <f>'PLIEGO UNIFICADO'!D171</f>
        <v>0.15395999999999999</v>
      </c>
      <c r="D64" s="2503">
        <f>'PLIEGO UNIFICADO'!E171</f>
        <v>0.15471000000000001</v>
      </c>
      <c r="E64" s="2269"/>
      <c r="F64" s="874" t="s">
        <v>276</v>
      </c>
      <c r="G64" s="1573">
        <v>1000000</v>
      </c>
      <c r="H64" s="2285">
        <v>0.9</v>
      </c>
      <c r="I64" s="2282">
        <f>ROUND(G64/(730*H64),0)</f>
        <v>1522</v>
      </c>
      <c r="J64" s="2282"/>
      <c r="N64" s="2290"/>
      <c r="P64" s="2275">
        <f>C$62+C$63*$I64+C$64*$G64</f>
        <v>172917.96</v>
      </c>
      <c r="Q64" s="2275"/>
      <c r="R64" s="2275">
        <f t="shared" si="72"/>
        <v>172917.96</v>
      </c>
      <c r="S64" s="2275">
        <f>ROUND($G64*$C$31,2)</f>
        <v>0</v>
      </c>
      <c r="T64" s="2275">
        <f t="shared" si="102"/>
        <v>172917.96</v>
      </c>
      <c r="U64" s="2273"/>
      <c r="V64" s="2274">
        <f>D$62+D$63*$I64+D$64*$G64</f>
        <v>178021.85</v>
      </c>
      <c r="W64" s="2274"/>
      <c r="X64" s="2274">
        <f t="shared" si="103"/>
        <v>178021.85</v>
      </c>
      <c r="Y64" s="2275">
        <f>ROUND($G64*$D$31,2)</f>
        <v>0</v>
      </c>
      <c r="Z64" s="2275">
        <f t="shared" si="104"/>
        <v>178021.85</v>
      </c>
      <c r="AB64" s="2556">
        <f t="shared" si="105"/>
        <v>2.9516251521819914E-2</v>
      </c>
      <c r="AC64" s="2556">
        <f t="shared" si="106"/>
        <v>2.9516251521819914E-2</v>
      </c>
      <c r="AD64" s="2556">
        <f t="shared" si="107"/>
        <v>2.9516251521819914E-2</v>
      </c>
      <c r="AF64" s="2511">
        <f t="shared" si="108"/>
        <v>0.17291795999999998</v>
      </c>
      <c r="AG64" s="2511">
        <f t="shared" si="109"/>
        <v>0.17802185000000001</v>
      </c>
      <c r="AI64" s="2511">
        <f t="shared" si="110"/>
        <v>0.17291795999999998</v>
      </c>
      <c r="AJ64" s="2511">
        <f t="shared" si="111"/>
        <v>0.17802185000000001</v>
      </c>
      <c r="AL64" s="2511">
        <f t="shared" si="112"/>
        <v>0.17291795999999998</v>
      </c>
      <c r="AM64" s="2511">
        <f t="shared" si="113"/>
        <v>0.17802185000000001</v>
      </c>
    </row>
    <row r="65" spans="1:39">
      <c r="A65" s="875"/>
      <c r="E65" s="875"/>
      <c r="F65" s="1572" t="s">
        <v>276</v>
      </c>
      <c r="G65" s="2271">
        <f>SUM(G61:G64)</f>
        <v>1675000</v>
      </c>
      <c r="H65" s="2284"/>
      <c r="I65" s="2284"/>
      <c r="J65" s="2284"/>
      <c r="N65" s="2288"/>
      <c r="P65" s="2527">
        <f>SUM(P61:P64)</f>
        <v>292094.49</v>
      </c>
      <c r="Q65" s="2527">
        <f>SUM(Q61:Q64)</f>
        <v>0</v>
      </c>
      <c r="R65" s="2527">
        <f t="shared" si="72"/>
        <v>292094.49</v>
      </c>
      <c r="S65" s="2527">
        <f>ROUND($G65*$C$31,2)</f>
        <v>0</v>
      </c>
      <c r="T65" s="2527">
        <f t="shared" si="102"/>
        <v>292094.49</v>
      </c>
      <c r="U65" s="2528"/>
      <c r="V65" s="2529">
        <f>SUM(V61:V64)</f>
        <v>301205.32</v>
      </c>
      <c r="W65" s="2529">
        <f>SUM(W61:W64)</f>
        <v>0</v>
      </c>
      <c r="X65" s="2529">
        <f t="shared" si="103"/>
        <v>301205.32</v>
      </c>
      <c r="Y65" s="2527">
        <f>ROUND($G65*$D$31,2)</f>
        <v>0</v>
      </c>
      <c r="Z65" s="2527">
        <f t="shared" si="104"/>
        <v>301205.32</v>
      </c>
      <c r="AA65" s="2478"/>
      <c r="AB65" s="2559">
        <f t="shared" si="105"/>
        <v>3.1191379200614211E-2</v>
      </c>
      <c r="AC65" s="2559">
        <f t="shared" si="106"/>
        <v>3.1191379200614211E-2</v>
      </c>
      <c r="AD65" s="2559">
        <f t="shared" si="107"/>
        <v>3.1191379200614211E-2</v>
      </c>
      <c r="AE65" s="2478"/>
      <c r="AF65" s="2561">
        <f t="shared" si="108"/>
        <v>0.17438477014925371</v>
      </c>
      <c r="AG65" s="2561">
        <f t="shared" si="109"/>
        <v>0.17982407164179104</v>
      </c>
      <c r="AH65" s="2478"/>
      <c r="AI65" s="2561">
        <f t="shared" si="110"/>
        <v>0.17438477014925371</v>
      </c>
      <c r="AJ65" s="2561">
        <f t="shared" si="111"/>
        <v>0.17982407164179104</v>
      </c>
      <c r="AK65" s="2478"/>
      <c r="AL65" s="2561">
        <f t="shared" si="112"/>
        <v>0.17438477014925371</v>
      </c>
      <c r="AM65" s="2561">
        <f t="shared" si="113"/>
        <v>0.17982407164179104</v>
      </c>
    </row>
    <row r="66" spans="1:39">
      <c r="A66" s="875"/>
      <c r="E66" s="875"/>
      <c r="P66" s="2273"/>
      <c r="Q66" s="2273"/>
      <c r="R66" s="2273"/>
      <c r="S66" s="2273"/>
      <c r="T66" s="2273"/>
      <c r="U66" s="2273"/>
      <c r="V66" s="2273"/>
      <c r="W66" s="2273"/>
      <c r="X66" s="2273"/>
      <c r="Y66" s="2273"/>
      <c r="Z66" s="2273"/>
    </row>
    <row r="67" spans="1:39">
      <c r="A67" s="875"/>
      <c r="B67" s="1161" t="s">
        <v>264</v>
      </c>
      <c r="C67" s="2269"/>
      <c r="D67" s="1214"/>
      <c r="E67" s="875"/>
      <c r="F67" s="874" t="s">
        <v>277</v>
      </c>
      <c r="G67" s="1573">
        <f>G61</f>
        <v>75000</v>
      </c>
      <c r="H67" s="2285">
        <v>0.6</v>
      </c>
      <c r="I67" s="2282">
        <f>ROUND(G67/(730*H67),0)</f>
        <v>171</v>
      </c>
      <c r="J67" s="2282">
        <f t="shared" ref="J67:J70" si="114">ROUND(I67*1.02,0)</f>
        <v>174</v>
      </c>
      <c r="K67" s="2280">
        <f t="shared" ref="K67:M70" si="115">$G67*K$38</f>
        <v>18000</v>
      </c>
      <c r="L67" s="2280">
        <f t="shared" si="115"/>
        <v>21000.000000000004</v>
      </c>
      <c r="M67" s="2280">
        <f t="shared" si="115"/>
        <v>36000</v>
      </c>
      <c r="N67" s="2289">
        <f>G67-SUM(K67:M67)</f>
        <v>0</v>
      </c>
      <c r="P67" s="2275">
        <f>C$68+C$69*$I67+C$70*$J67+C$71*$K67+C$72*$L67+C$73*$M67</f>
        <v>13249.95</v>
      </c>
      <c r="Q67" s="2275"/>
      <c r="R67" s="2275">
        <f t="shared" si="72"/>
        <v>13249.95</v>
      </c>
      <c r="S67" s="2275">
        <f>ROUND($G67*$C$32,2)</f>
        <v>0</v>
      </c>
      <c r="T67" s="2275">
        <f t="shared" ref="T67:T71" si="116">SUM(R67:S67)</f>
        <v>13249.95</v>
      </c>
      <c r="U67" s="2273"/>
      <c r="V67" s="2274">
        <f>D$68+D$69*$I67+D$70*$J67+D$71*$K67+D$72*$L67+D$73*$M67</f>
        <v>14768.410000000002</v>
      </c>
      <c r="W67" s="2274"/>
      <c r="X67" s="2274">
        <f t="shared" ref="X67:X71" si="117">SUM(V67:W67)</f>
        <v>14768.410000000002</v>
      </c>
      <c r="Y67" s="2275">
        <f>ROUND($G67*$D$32,2)</f>
        <v>0</v>
      </c>
      <c r="Z67" s="2275">
        <f t="shared" ref="Z67:Z71" si="118">SUM(X67:Y67)</f>
        <v>14768.410000000002</v>
      </c>
      <c r="AB67" s="2556">
        <f t="shared" ref="AB67:AB71" si="119">V67/P67-1</f>
        <v>0.11460118717429135</v>
      </c>
      <c r="AC67" s="2556">
        <f t="shared" ref="AC67:AC71" si="120">X67/R67-1</f>
        <v>0.11460118717429135</v>
      </c>
      <c r="AD67" s="2556">
        <f t="shared" ref="AD67:AD71" si="121">Z67/T67-1</f>
        <v>0.11460118717429135</v>
      </c>
      <c r="AF67" s="2511">
        <f t="shared" ref="AF67:AF71" si="122">($P67+$S67)/$G67</f>
        <v>0.17666600000000002</v>
      </c>
      <c r="AG67" s="2511">
        <f t="shared" ref="AG67:AG71" si="123">($V67+$Y67)/$G67</f>
        <v>0.19691213333333335</v>
      </c>
      <c r="AI67" s="2511">
        <f t="shared" ref="AI67:AI71" si="124">$R67/$G67</f>
        <v>0.17666600000000002</v>
      </c>
      <c r="AJ67" s="2511">
        <f t="shared" ref="AJ67:AJ71" si="125">$X67/$G67</f>
        <v>0.19691213333333335</v>
      </c>
      <c r="AL67" s="2511">
        <f t="shared" ref="AL67:AL71" si="126">$T67/$G67</f>
        <v>0.17666600000000002</v>
      </c>
      <c r="AM67" s="2511">
        <f t="shared" ref="AM67:AM71" si="127">$Z67/$G67</f>
        <v>0.19691213333333335</v>
      </c>
    </row>
    <row r="68" spans="1:39">
      <c r="A68" s="1162"/>
      <c r="B68" s="874" t="s">
        <v>313</v>
      </c>
      <c r="C68" s="875">
        <f>'PLIEGO UNIFICADO'!D200</f>
        <v>9.06</v>
      </c>
      <c r="D68" s="2500">
        <f>'PLIEGO UNIFICADO'!E200</f>
        <v>10.029999999999999</v>
      </c>
      <c r="E68" s="1162"/>
      <c r="F68" s="874" t="s">
        <v>277</v>
      </c>
      <c r="G68" s="1573">
        <f t="shared" ref="G68:G70" si="128">G62</f>
        <v>100000</v>
      </c>
      <c r="H68" s="2285">
        <v>0.7</v>
      </c>
      <c r="I68" s="2282">
        <f>ROUND(G68/(730*H68),0)</f>
        <v>196</v>
      </c>
      <c r="J68" s="2282">
        <f t="shared" si="114"/>
        <v>200</v>
      </c>
      <c r="K68" s="2280">
        <f t="shared" si="115"/>
        <v>24000</v>
      </c>
      <c r="L68" s="2280">
        <f t="shared" si="115"/>
        <v>28000.000000000004</v>
      </c>
      <c r="M68" s="2280">
        <f t="shared" si="115"/>
        <v>48000</v>
      </c>
      <c r="N68" s="2289">
        <f>G68-SUM(K68:M68)</f>
        <v>0</v>
      </c>
      <c r="P68" s="2275">
        <f>C$68+C$69*$I68+C$70*$J68+C$71*$K68+C$72*$L68+C$73*$M68</f>
        <v>17245.98</v>
      </c>
      <c r="Q68" s="2275"/>
      <c r="R68" s="2275">
        <f t="shared" si="72"/>
        <v>17245.98</v>
      </c>
      <c r="S68" s="2275">
        <f>ROUND($G68*$C$32,2)</f>
        <v>0</v>
      </c>
      <c r="T68" s="2275">
        <f t="shared" si="116"/>
        <v>17245.98</v>
      </c>
      <c r="U68" s="2273"/>
      <c r="V68" s="2274">
        <f>D$68+D$69*$I68+D$70*$J68+D$71*$K68+D$72*$L68+D$73*$M68</f>
        <v>19180.350000000002</v>
      </c>
      <c r="W68" s="2274"/>
      <c r="X68" s="2274">
        <f t="shared" si="117"/>
        <v>19180.350000000002</v>
      </c>
      <c r="Y68" s="2275">
        <f>ROUND($G68*$D$32,2)</f>
        <v>0</v>
      </c>
      <c r="Z68" s="2275">
        <f t="shared" si="118"/>
        <v>19180.350000000002</v>
      </c>
      <c r="AB68" s="2556">
        <f t="shared" si="119"/>
        <v>0.11216353028357928</v>
      </c>
      <c r="AC68" s="2556">
        <f t="shared" si="120"/>
        <v>0.11216353028357928</v>
      </c>
      <c r="AD68" s="2556">
        <f t="shared" si="121"/>
        <v>0.11216353028357928</v>
      </c>
      <c r="AF68" s="2511">
        <f t="shared" si="122"/>
        <v>0.1724598</v>
      </c>
      <c r="AG68" s="2511">
        <f t="shared" si="123"/>
        <v>0.19180350000000002</v>
      </c>
      <c r="AI68" s="2511">
        <f t="shared" si="124"/>
        <v>0.1724598</v>
      </c>
      <c r="AJ68" s="2511">
        <f t="shared" si="125"/>
        <v>0.19180350000000002</v>
      </c>
      <c r="AL68" s="2511">
        <f t="shared" si="126"/>
        <v>0.1724598</v>
      </c>
      <c r="AM68" s="2511">
        <f t="shared" si="127"/>
        <v>0.19180350000000002</v>
      </c>
    </row>
    <row r="69" spans="1:39">
      <c r="B69" s="874" t="s">
        <v>1664</v>
      </c>
      <c r="C69" s="875">
        <f>'PLIEGO UNIFICADO'!D201</f>
        <v>8.27</v>
      </c>
      <c r="D69" s="2500">
        <f>'PLIEGO UNIFICADO'!E201</f>
        <v>10.4</v>
      </c>
      <c r="F69" s="874" t="s">
        <v>277</v>
      </c>
      <c r="G69" s="1573">
        <f t="shared" si="128"/>
        <v>500000</v>
      </c>
      <c r="H69" s="2285">
        <v>0.8</v>
      </c>
      <c r="I69" s="2282">
        <f>ROUND(G69/(730*H69),0)</f>
        <v>856</v>
      </c>
      <c r="J69" s="2282">
        <f t="shared" si="114"/>
        <v>873</v>
      </c>
      <c r="K69" s="2280">
        <f t="shared" si="115"/>
        <v>120000</v>
      </c>
      <c r="L69" s="2280">
        <f t="shared" si="115"/>
        <v>140000</v>
      </c>
      <c r="M69" s="2280">
        <f t="shared" si="115"/>
        <v>240000</v>
      </c>
      <c r="N69" s="2289">
        <f>G69-SUM(K69:M69)</f>
        <v>0</v>
      </c>
      <c r="P69" s="2275">
        <f t="shared" ref="P69:P70" si="129">C$68+C$69*$I69+C$70*$J69+C$71*$K69+C$72*$L69+C$73*$M69</f>
        <v>84561.12</v>
      </c>
      <c r="Q69" s="2275"/>
      <c r="R69" s="2275">
        <f t="shared" si="72"/>
        <v>84561.12</v>
      </c>
      <c r="S69" s="2275">
        <f>ROUND($G69*$C$32,2)</f>
        <v>0</v>
      </c>
      <c r="T69" s="2275">
        <f t="shared" si="116"/>
        <v>84561.12</v>
      </c>
      <c r="U69" s="2273"/>
      <c r="V69" s="2274">
        <f>D$68+D$69*$I69+D$70*$J69+D$71*$K69+D$72*$L69+D$73*$M69</f>
        <v>93878.61</v>
      </c>
      <c r="W69" s="2274"/>
      <c r="X69" s="2274">
        <f t="shared" si="117"/>
        <v>93878.61</v>
      </c>
      <c r="Y69" s="2275">
        <f>ROUND($G69*$D$32,2)</f>
        <v>0</v>
      </c>
      <c r="Z69" s="2275">
        <f t="shared" si="118"/>
        <v>93878.61</v>
      </c>
      <c r="AB69" s="2556">
        <f t="shared" si="119"/>
        <v>0.11018645448404674</v>
      </c>
      <c r="AC69" s="2556">
        <f t="shared" si="120"/>
        <v>0.11018645448404674</v>
      </c>
      <c r="AD69" s="2556">
        <f t="shared" si="121"/>
        <v>0.11018645448404674</v>
      </c>
      <c r="AF69" s="2511">
        <f t="shared" si="122"/>
        <v>0.16912223999999998</v>
      </c>
      <c r="AG69" s="2511">
        <f t="shared" si="123"/>
        <v>0.18775722</v>
      </c>
      <c r="AI69" s="2511">
        <f t="shared" si="124"/>
        <v>0.16912223999999998</v>
      </c>
      <c r="AJ69" s="2511">
        <f t="shared" si="125"/>
        <v>0.18775722</v>
      </c>
      <c r="AL69" s="2511">
        <f t="shared" si="126"/>
        <v>0.16912223999999998</v>
      </c>
      <c r="AM69" s="2511">
        <f t="shared" si="127"/>
        <v>0.18775722</v>
      </c>
    </row>
    <row r="70" spans="1:39">
      <c r="A70" s="2269"/>
      <c r="B70" s="874" t="s">
        <v>1665</v>
      </c>
      <c r="C70" s="875">
        <f>'PLIEGO UNIFICADO'!D202</f>
        <v>4.78</v>
      </c>
      <c r="D70" s="2500">
        <f>'PLIEGO UNIFICADO'!E202</f>
        <v>5.46</v>
      </c>
      <c r="E70" s="2269"/>
      <c r="F70" s="874" t="s">
        <v>277</v>
      </c>
      <c r="G70" s="1573">
        <f t="shared" si="128"/>
        <v>1000000</v>
      </c>
      <c r="H70" s="2285">
        <v>0.9</v>
      </c>
      <c r="I70" s="2282">
        <f>ROUND(G70/(730*H70),0)</f>
        <v>1522</v>
      </c>
      <c r="J70" s="2282">
        <f t="shared" si="114"/>
        <v>1552</v>
      </c>
      <c r="K70" s="2280">
        <f t="shared" si="115"/>
        <v>240000</v>
      </c>
      <c r="L70" s="2280">
        <f t="shared" si="115"/>
        <v>280000</v>
      </c>
      <c r="M70" s="2280">
        <f t="shared" si="115"/>
        <v>480000</v>
      </c>
      <c r="N70" s="2289">
        <f>G70-SUM(K70:M70)</f>
        <v>0</v>
      </c>
      <c r="P70" s="2275">
        <f t="shared" si="129"/>
        <v>166614.56</v>
      </c>
      <c r="Q70" s="2275"/>
      <c r="R70" s="2275">
        <f t="shared" si="72"/>
        <v>166614.56</v>
      </c>
      <c r="S70" s="2275">
        <f>ROUND($G70*$C$32,2)</f>
        <v>0</v>
      </c>
      <c r="T70" s="2275">
        <f t="shared" si="116"/>
        <v>166614.56</v>
      </c>
      <c r="U70" s="2273"/>
      <c r="V70" s="2274">
        <f>D$68+D$69*$I70+D$70*$J70+D$71*$K70+D$72*$L70+D$73*$M70</f>
        <v>184711.95</v>
      </c>
      <c r="W70" s="2274"/>
      <c r="X70" s="2274">
        <f t="shared" si="117"/>
        <v>184711.95</v>
      </c>
      <c r="Y70" s="2275">
        <f>ROUND($G70*$D$32,2)</f>
        <v>0</v>
      </c>
      <c r="Z70" s="2275">
        <f t="shared" si="118"/>
        <v>184711.95</v>
      </c>
      <c r="AB70" s="2556">
        <f t="shared" si="119"/>
        <v>0.10861829842481963</v>
      </c>
      <c r="AC70" s="2556">
        <f t="shared" si="120"/>
        <v>0.10861829842481963</v>
      </c>
      <c r="AD70" s="2556">
        <f t="shared" si="121"/>
        <v>0.10861829842481963</v>
      </c>
      <c r="AF70" s="2511">
        <f t="shared" si="122"/>
        <v>0.16661455999999999</v>
      </c>
      <c r="AG70" s="2511">
        <f t="shared" si="123"/>
        <v>0.18471195000000001</v>
      </c>
      <c r="AI70" s="2511">
        <f t="shared" si="124"/>
        <v>0.16661455999999999</v>
      </c>
      <c r="AJ70" s="2511">
        <f t="shared" si="125"/>
        <v>0.18471195000000001</v>
      </c>
      <c r="AL70" s="2511">
        <f t="shared" si="126"/>
        <v>0.16661455999999999</v>
      </c>
      <c r="AM70" s="2511">
        <f t="shared" si="127"/>
        <v>0.18471195000000001</v>
      </c>
    </row>
    <row r="71" spans="1:39">
      <c r="A71" s="875"/>
      <c r="B71" s="874" t="s">
        <v>2106</v>
      </c>
      <c r="C71" s="1162">
        <f>'PLIEGO UNIFICADO'!D203</f>
        <v>0.14660000000000001</v>
      </c>
      <c r="D71" s="2504">
        <f>'PLIEGO UNIFICADO'!E203</f>
        <v>0.23072000000000004</v>
      </c>
      <c r="E71" s="875"/>
      <c r="F71" s="1572" t="s">
        <v>277</v>
      </c>
      <c r="G71" s="2271">
        <f>SUM(G67:G70)</f>
        <v>1675000</v>
      </c>
      <c r="H71" s="2284"/>
      <c r="I71" s="2284"/>
      <c r="J71" s="2284"/>
      <c r="N71" s="2288"/>
      <c r="P71" s="2527">
        <f>SUM(P67:P70)</f>
        <v>281671.61</v>
      </c>
      <c r="Q71" s="2527">
        <f>SUM(Q67:Q70)</f>
        <v>0</v>
      </c>
      <c r="R71" s="2527">
        <f t="shared" si="72"/>
        <v>281671.61</v>
      </c>
      <c r="S71" s="2527">
        <f>ROUND($G71*$C$32,2)</f>
        <v>0</v>
      </c>
      <c r="T71" s="2527">
        <f t="shared" si="116"/>
        <v>281671.61</v>
      </c>
      <c r="U71" s="2528"/>
      <c r="V71" s="2529">
        <f>SUM(V67:V70)</f>
        <v>312539.32</v>
      </c>
      <c r="W71" s="2529">
        <f>SUM(W67:W70)</f>
        <v>0</v>
      </c>
      <c r="X71" s="2529">
        <f t="shared" si="117"/>
        <v>312539.32</v>
      </c>
      <c r="Y71" s="2527">
        <f>ROUND($G71*$D$32,2)</f>
        <v>0</v>
      </c>
      <c r="Z71" s="2527">
        <f t="shared" si="118"/>
        <v>312539.32</v>
      </c>
      <c r="AA71" s="2478"/>
      <c r="AB71" s="2559">
        <f t="shared" si="119"/>
        <v>0.10958757966413457</v>
      </c>
      <c r="AC71" s="2559">
        <f t="shared" si="120"/>
        <v>0.10958757966413457</v>
      </c>
      <c r="AD71" s="2559">
        <f t="shared" si="121"/>
        <v>0.10958757966413457</v>
      </c>
      <c r="AE71" s="2478"/>
      <c r="AF71" s="2561">
        <f t="shared" si="122"/>
        <v>0.16816215522388059</v>
      </c>
      <c r="AG71" s="2561">
        <f t="shared" si="123"/>
        <v>0.18659063880597015</v>
      </c>
      <c r="AH71" s="2478"/>
      <c r="AI71" s="2561">
        <f t="shared" si="124"/>
        <v>0.16816215522388059</v>
      </c>
      <c r="AJ71" s="2561">
        <f t="shared" si="125"/>
        <v>0.18659063880597015</v>
      </c>
      <c r="AK71" s="2478"/>
      <c r="AL71" s="2561">
        <f t="shared" si="126"/>
        <v>0.16816215522388059</v>
      </c>
      <c r="AM71" s="2561">
        <f t="shared" si="127"/>
        <v>0.18659063880597015</v>
      </c>
    </row>
    <row r="72" spans="1:39">
      <c r="A72" s="875"/>
      <c r="B72" s="874" t="s">
        <v>2107</v>
      </c>
      <c r="C72" s="1162">
        <f>'PLIEGO UNIFICADO'!D204</f>
        <v>0.14660000000000001</v>
      </c>
      <c r="D72" s="2504">
        <f>'PLIEGO UNIFICADO'!E204</f>
        <v>0.1749</v>
      </c>
      <c r="E72" s="875"/>
      <c r="P72" s="2273"/>
      <c r="Q72" s="2273"/>
      <c r="R72" s="2273"/>
      <c r="S72" s="2273"/>
      <c r="T72" s="2273"/>
      <c r="U72" s="2273"/>
      <c r="V72" s="2273"/>
      <c r="W72" s="2273"/>
      <c r="X72" s="2273"/>
      <c r="Y72" s="2273"/>
      <c r="Z72" s="2273"/>
    </row>
    <row r="73" spans="1:39">
      <c r="A73" s="875"/>
      <c r="B73" s="874" t="s">
        <v>2108</v>
      </c>
      <c r="C73" s="1162">
        <f>'PLIEGO UNIFICADO'!D205</f>
        <v>0.14660000000000001</v>
      </c>
      <c r="D73" s="2504">
        <f>'PLIEGO UNIFICADO'!E205</f>
        <v>0.11678000000000001</v>
      </c>
      <c r="E73" s="875"/>
      <c r="P73" s="2273"/>
      <c r="Q73" s="2273"/>
      <c r="R73" s="2273"/>
      <c r="S73" s="2273"/>
      <c r="T73" s="2273"/>
      <c r="U73" s="2273"/>
      <c r="V73" s="2273"/>
      <c r="W73" s="2273"/>
      <c r="X73" s="2273"/>
      <c r="Y73" s="2273"/>
      <c r="Z73" s="2273"/>
    </row>
    <row r="74" spans="1:39">
      <c r="A74" s="875"/>
      <c r="E74" s="875"/>
      <c r="P74" s="2273"/>
      <c r="Q74" s="2273"/>
      <c r="R74" s="2273"/>
      <c r="S74" s="2273"/>
      <c r="T74" s="2273"/>
      <c r="U74" s="2273"/>
      <c r="V74" s="2273"/>
      <c r="W74" s="2273"/>
      <c r="X74" s="2273"/>
      <c r="Y74" s="2273"/>
      <c r="Z74" s="2273"/>
    </row>
    <row r="75" spans="1:39">
      <c r="A75" s="2272"/>
      <c r="B75" s="1161" t="s">
        <v>265</v>
      </c>
      <c r="C75" s="2269"/>
      <c r="D75" s="1214"/>
      <c r="E75" s="2272"/>
      <c r="F75" s="874" t="s">
        <v>278</v>
      </c>
      <c r="G75" s="1573">
        <v>900000</v>
      </c>
      <c r="H75" s="2285">
        <v>0.7</v>
      </c>
      <c r="I75" s="2282">
        <f>ROUND(G75/(730*H75),0)</f>
        <v>1761</v>
      </c>
      <c r="J75" s="2282"/>
      <c r="N75" s="2290"/>
      <c r="P75" s="2275">
        <f>C$76+C$77*$I75+C$78*$G75</f>
        <v>125554.07999999999</v>
      </c>
      <c r="Q75" s="2275"/>
      <c r="R75" s="2275">
        <f t="shared" si="72"/>
        <v>125554.07999999999</v>
      </c>
      <c r="S75" s="2275">
        <f>ROUND($G75*$C$33,2)</f>
        <v>0</v>
      </c>
      <c r="T75" s="2275">
        <f t="shared" ref="T75:T79" si="130">SUM(R75:S75)</f>
        <v>125554.07999999999</v>
      </c>
      <c r="U75" s="2273"/>
      <c r="V75" s="2274">
        <f>D$76+D$77*$I75+D$78*$G75</f>
        <v>130971.09</v>
      </c>
      <c r="W75" s="2274"/>
      <c r="X75" s="2274">
        <f t="shared" ref="X75:X79" si="131">SUM(V75:W75)</f>
        <v>130971.09</v>
      </c>
      <c r="Y75" s="2275">
        <f>ROUND($G75*$D$33,2)</f>
        <v>0</v>
      </c>
      <c r="Z75" s="2275">
        <f t="shared" ref="Z75:Z79" si="132">SUM(X75:Y75)</f>
        <v>130971.09</v>
      </c>
      <c r="AB75" s="2556">
        <f t="shared" ref="AB75:AB79" si="133">V75/P75-1</f>
        <v>4.3144834480886685E-2</v>
      </c>
      <c r="AC75" s="2556">
        <f t="shared" ref="AC75:AC79" si="134">X75/R75-1</f>
        <v>4.3144834480886685E-2</v>
      </c>
      <c r="AD75" s="2556">
        <f t="shared" ref="AD75:AD79" si="135">Z75/T75-1</f>
        <v>4.3144834480886685E-2</v>
      </c>
      <c r="AF75" s="2511">
        <f t="shared" ref="AF75:AF79" si="136">($P75+$S75)/$G75</f>
        <v>0.13950453333333332</v>
      </c>
      <c r="AG75" s="2511">
        <f t="shared" ref="AG75:AG79" si="137">($V75+$Y75)/$G75</f>
        <v>0.14552343333333334</v>
      </c>
      <c r="AI75" s="2511">
        <f t="shared" ref="AI75:AI79" si="138">$R75/$G75</f>
        <v>0.13950453333333332</v>
      </c>
      <c r="AJ75" s="2511">
        <f t="shared" ref="AJ75:AJ79" si="139">$X75/$G75</f>
        <v>0.14552343333333334</v>
      </c>
      <c r="AL75" s="2511">
        <f t="shared" ref="AL75:AL79" si="140">$T75/$G75</f>
        <v>0.13950453333333332</v>
      </c>
      <c r="AM75" s="2511">
        <f t="shared" ref="AM75:AM79" si="141">$Z75/$G75</f>
        <v>0.14552343333333334</v>
      </c>
    </row>
    <row r="76" spans="1:39">
      <c r="B76" s="874" t="s">
        <v>313</v>
      </c>
      <c r="C76" s="875">
        <f>'PLIEGO UNIFICADO'!D238</f>
        <v>9.06</v>
      </c>
      <c r="D76" s="2500">
        <f>'PLIEGO UNIFICADO'!E238</f>
        <v>10.02</v>
      </c>
      <c r="F76" s="874" t="s">
        <v>278</v>
      </c>
      <c r="G76" s="1573">
        <v>1000000</v>
      </c>
      <c r="H76" s="2285">
        <v>0.8</v>
      </c>
      <c r="I76" s="2282">
        <f>ROUND(G76/(730*H76),0)</f>
        <v>1712</v>
      </c>
      <c r="J76" s="2282"/>
      <c r="N76" s="2290"/>
      <c r="P76" s="2275">
        <f>C$76+C$77*$I76+C$78*$G76</f>
        <v>137100.9</v>
      </c>
      <c r="Q76" s="2275"/>
      <c r="R76" s="2275">
        <f t="shared" si="72"/>
        <v>137100.9</v>
      </c>
      <c r="S76" s="2275">
        <f>ROUND($G76*$C$33,2)</f>
        <v>0</v>
      </c>
      <c r="T76" s="2275">
        <f t="shared" si="130"/>
        <v>137100.9</v>
      </c>
      <c r="U76" s="2273"/>
      <c r="V76" s="2274">
        <f>D$76+D$77*$I76+D$78*$G76</f>
        <v>142373.46</v>
      </c>
      <c r="W76" s="2274"/>
      <c r="X76" s="2274">
        <f t="shared" si="131"/>
        <v>142373.46</v>
      </c>
      <c r="Y76" s="2275">
        <f>ROUND($G76*$D$33,2)</f>
        <v>0</v>
      </c>
      <c r="Z76" s="2275">
        <f t="shared" si="132"/>
        <v>142373.46</v>
      </c>
      <c r="AB76" s="2556">
        <f t="shared" si="133"/>
        <v>3.8457515596177716E-2</v>
      </c>
      <c r="AC76" s="2556">
        <f t="shared" si="134"/>
        <v>3.8457515596177716E-2</v>
      </c>
      <c r="AD76" s="2556">
        <f t="shared" si="135"/>
        <v>3.8457515596177716E-2</v>
      </c>
      <c r="AF76" s="2511">
        <f t="shared" si="136"/>
        <v>0.1371009</v>
      </c>
      <c r="AG76" s="2511">
        <f t="shared" si="137"/>
        <v>0.14237345999999998</v>
      </c>
      <c r="AI76" s="2511">
        <f t="shared" si="138"/>
        <v>0.1371009</v>
      </c>
      <c r="AJ76" s="2511">
        <f t="shared" si="139"/>
        <v>0.14237345999999998</v>
      </c>
      <c r="AL76" s="2511">
        <f t="shared" si="140"/>
        <v>0.1371009</v>
      </c>
      <c r="AM76" s="2511">
        <f t="shared" si="141"/>
        <v>0.14237345999999998</v>
      </c>
    </row>
    <row r="77" spans="1:39">
      <c r="A77" s="2269"/>
      <c r="B77" s="874" t="s">
        <v>1658</v>
      </c>
      <c r="C77" s="875">
        <f>'PLIEGO UNIFICADO'!D239</f>
        <v>9.82</v>
      </c>
      <c r="D77" s="2500">
        <f>'PLIEGO UNIFICADO'!E239</f>
        <v>12.87</v>
      </c>
      <c r="E77" s="2269"/>
      <c r="F77" s="874" t="s">
        <v>278</v>
      </c>
      <c r="G77" s="1573">
        <v>5000000</v>
      </c>
      <c r="H77" s="2285">
        <v>0.9</v>
      </c>
      <c r="I77" s="2282">
        <f>ROUND(G77/(730*H77),0)</f>
        <v>7610</v>
      </c>
      <c r="J77" s="2282"/>
      <c r="N77" s="2290"/>
      <c r="P77" s="2275">
        <f>C$76+C$77*$I77+C$78*$G77</f>
        <v>676139.25999999989</v>
      </c>
      <c r="Q77" s="2275"/>
      <c r="R77" s="2275">
        <f t="shared" si="72"/>
        <v>676139.25999999989</v>
      </c>
      <c r="S77" s="2275">
        <f>ROUND($G77*$C$33,2)</f>
        <v>0</v>
      </c>
      <c r="T77" s="2275">
        <f t="shared" si="130"/>
        <v>676139.25999999989</v>
      </c>
      <c r="U77" s="2273"/>
      <c r="V77" s="2274">
        <f>D$76+D$77*$I77+D$78*$G77</f>
        <v>699600.72</v>
      </c>
      <c r="W77" s="2274"/>
      <c r="X77" s="2274">
        <f t="shared" si="131"/>
        <v>699600.72</v>
      </c>
      <c r="Y77" s="2275">
        <f>ROUND($G77*$D$33,2)</f>
        <v>0</v>
      </c>
      <c r="Z77" s="2275">
        <f t="shared" si="132"/>
        <v>699600.72</v>
      </c>
      <c r="AB77" s="2556">
        <f t="shared" si="133"/>
        <v>3.4699153544197614E-2</v>
      </c>
      <c r="AC77" s="2556">
        <f t="shared" si="134"/>
        <v>3.4699153544197614E-2</v>
      </c>
      <c r="AD77" s="2556">
        <f t="shared" si="135"/>
        <v>3.4699153544197614E-2</v>
      </c>
      <c r="AF77" s="2511">
        <f t="shared" si="136"/>
        <v>0.13522785199999998</v>
      </c>
      <c r="AG77" s="2511">
        <f t="shared" si="137"/>
        <v>0.139920144</v>
      </c>
      <c r="AI77" s="2511">
        <f t="shared" si="138"/>
        <v>0.13522785199999998</v>
      </c>
      <c r="AJ77" s="2511">
        <f t="shared" si="139"/>
        <v>0.139920144</v>
      </c>
      <c r="AL77" s="2511">
        <f t="shared" si="140"/>
        <v>0.13522785199999998</v>
      </c>
      <c r="AM77" s="2511">
        <f t="shared" si="141"/>
        <v>0.139920144</v>
      </c>
    </row>
    <row r="78" spans="1:39">
      <c r="A78" s="875"/>
      <c r="B78" s="874" t="s">
        <v>1663</v>
      </c>
      <c r="C78" s="2272">
        <f>'PLIEGO UNIFICADO'!D240</f>
        <v>0.12027999999999998</v>
      </c>
      <c r="D78" s="2503">
        <f>'PLIEGO UNIFICADO'!E240</f>
        <v>0.12033000000000001</v>
      </c>
      <c r="E78" s="875"/>
      <c r="F78" s="874" t="s">
        <v>278</v>
      </c>
      <c r="G78" s="1573">
        <v>10000000</v>
      </c>
      <c r="H78" s="2285">
        <v>0.95</v>
      </c>
      <c r="I78" s="2282">
        <f>ROUND(G78/(730*H78),0)</f>
        <v>14420</v>
      </c>
      <c r="J78" s="2282"/>
      <c r="N78" s="2290"/>
      <c r="P78" s="2275">
        <f>C$76+C$77*$I78+C$78*$G78</f>
        <v>1344413.4599999997</v>
      </c>
      <c r="Q78" s="2275"/>
      <c r="R78" s="2275">
        <f t="shared" si="72"/>
        <v>1344413.4599999997</v>
      </c>
      <c r="S78" s="2275">
        <f>ROUND($G78*$C$33,2)</f>
        <v>0</v>
      </c>
      <c r="T78" s="2275">
        <f t="shared" si="130"/>
        <v>1344413.4599999997</v>
      </c>
      <c r="U78" s="2273"/>
      <c r="V78" s="2274">
        <f>D$76+D$77*$I78+D$78*$G78</f>
        <v>1388895.42</v>
      </c>
      <c r="W78" s="2274"/>
      <c r="X78" s="2274">
        <f t="shared" si="131"/>
        <v>1388895.42</v>
      </c>
      <c r="Y78" s="2275">
        <f>ROUND($G78*$D$33,2)</f>
        <v>0</v>
      </c>
      <c r="Z78" s="2275">
        <f t="shared" si="132"/>
        <v>1388895.42</v>
      </c>
      <c r="AB78" s="2556">
        <f t="shared" si="133"/>
        <v>3.3086517893089473E-2</v>
      </c>
      <c r="AC78" s="2556">
        <f t="shared" si="134"/>
        <v>3.3086517893089473E-2</v>
      </c>
      <c r="AD78" s="2556">
        <f t="shared" si="135"/>
        <v>3.3086517893089473E-2</v>
      </c>
      <c r="AF78" s="2511">
        <f t="shared" si="136"/>
        <v>0.13444134599999996</v>
      </c>
      <c r="AG78" s="2511">
        <f t="shared" si="137"/>
        <v>0.138889542</v>
      </c>
      <c r="AI78" s="2511">
        <f t="shared" si="138"/>
        <v>0.13444134599999996</v>
      </c>
      <c r="AJ78" s="2511">
        <f t="shared" si="139"/>
        <v>0.138889542</v>
      </c>
      <c r="AL78" s="2511">
        <f t="shared" si="140"/>
        <v>0.13444134599999996</v>
      </c>
      <c r="AM78" s="2511">
        <f t="shared" si="141"/>
        <v>0.138889542</v>
      </c>
    </row>
    <row r="79" spans="1:39">
      <c r="A79" s="875"/>
      <c r="E79" s="875"/>
      <c r="F79" s="1572" t="s">
        <v>278</v>
      </c>
      <c r="G79" s="2271">
        <f>SUM(G75:G78)</f>
        <v>16900000</v>
      </c>
      <c r="H79" s="2284"/>
      <c r="I79" s="2284"/>
      <c r="J79" s="2284"/>
      <c r="N79" s="2288"/>
      <c r="P79" s="2527">
        <f>SUM(P75:P78)</f>
        <v>2283207.6999999997</v>
      </c>
      <c r="Q79" s="2527">
        <f>SUM(Q75:Q78)</f>
        <v>0</v>
      </c>
      <c r="R79" s="2527">
        <f t="shared" si="72"/>
        <v>2283207.6999999997</v>
      </c>
      <c r="S79" s="2527">
        <f>ROUND($G79*$C$33,2)</f>
        <v>0</v>
      </c>
      <c r="T79" s="2527">
        <f t="shared" si="130"/>
        <v>2283207.6999999997</v>
      </c>
      <c r="U79" s="2528"/>
      <c r="V79" s="2529">
        <f>SUM(V75:V78)</f>
        <v>2361840.69</v>
      </c>
      <c r="W79" s="2529">
        <f>SUM(W75:W78)</f>
        <v>0</v>
      </c>
      <c r="X79" s="2529">
        <f t="shared" si="131"/>
        <v>2361840.69</v>
      </c>
      <c r="Y79" s="2527">
        <f>ROUND($G79*$D$33,2)</f>
        <v>0</v>
      </c>
      <c r="Z79" s="2527">
        <f t="shared" si="132"/>
        <v>2361840.69</v>
      </c>
      <c r="AA79" s="2478"/>
      <c r="AB79" s="2559">
        <f t="shared" si="133"/>
        <v>3.4439700777112892E-2</v>
      </c>
      <c r="AC79" s="2559">
        <f t="shared" si="134"/>
        <v>3.4439700777112892E-2</v>
      </c>
      <c r="AD79" s="2559">
        <f t="shared" si="135"/>
        <v>3.4439700777112892E-2</v>
      </c>
      <c r="AE79" s="2478"/>
      <c r="AF79" s="2561">
        <f t="shared" si="136"/>
        <v>0.1351010473372781</v>
      </c>
      <c r="AG79" s="2561">
        <f t="shared" si="137"/>
        <v>0.13975388698224853</v>
      </c>
      <c r="AH79" s="2478"/>
      <c r="AI79" s="2561">
        <f t="shared" si="138"/>
        <v>0.1351010473372781</v>
      </c>
      <c r="AJ79" s="2561">
        <f t="shared" si="139"/>
        <v>0.13975388698224853</v>
      </c>
      <c r="AK79" s="2478"/>
      <c r="AL79" s="2561">
        <f t="shared" si="140"/>
        <v>0.1351010473372781</v>
      </c>
      <c r="AM79" s="2561">
        <f t="shared" si="141"/>
        <v>0.13975388698224853</v>
      </c>
    </row>
    <row r="80" spans="1:39">
      <c r="A80" s="875"/>
      <c r="E80" s="875"/>
      <c r="P80" s="2273"/>
      <c r="Q80" s="2273"/>
      <c r="R80" s="2273"/>
      <c r="S80" s="2273"/>
      <c r="T80" s="2273"/>
      <c r="U80" s="2273"/>
      <c r="V80" s="2273"/>
      <c r="W80" s="2273"/>
      <c r="X80" s="2273"/>
      <c r="Y80" s="2273"/>
      <c r="Z80" s="2273"/>
    </row>
    <row r="81" spans="1:39">
      <c r="A81" s="1162"/>
      <c r="B81" s="1161" t="s">
        <v>266</v>
      </c>
      <c r="C81" s="2269"/>
      <c r="D81" s="1214"/>
      <c r="E81" s="1162"/>
      <c r="F81" s="874" t="s">
        <v>279</v>
      </c>
      <c r="G81" s="1573">
        <f>G75</f>
        <v>900000</v>
      </c>
      <c r="H81" s="2285">
        <v>0.7</v>
      </c>
      <c r="I81" s="2282">
        <f>ROUND(G81/(730*H81),0)</f>
        <v>1761</v>
      </c>
      <c r="J81" s="2282">
        <f>ROUND(I81*1.02,0)</f>
        <v>1796</v>
      </c>
      <c r="K81" s="2280">
        <f t="shared" ref="K81:M84" si="142">$G81*K$38</f>
        <v>216000</v>
      </c>
      <c r="L81" s="2280">
        <f t="shared" si="142"/>
        <v>252000.00000000003</v>
      </c>
      <c r="M81" s="2280">
        <f t="shared" si="142"/>
        <v>432000</v>
      </c>
      <c r="N81" s="2289">
        <f>G81-SUM(K81:M81)</f>
        <v>0</v>
      </c>
      <c r="P81" s="2275">
        <f>C$82+C$83*$I81+C$84*$J81+C$85*$K81+C$86*$L81+C$87*$M81</f>
        <v>126165.87</v>
      </c>
      <c r="Q81" s="2275"/>
      <c r="R81" s="2275">
        <f t="shared" si="72"/>
        <v>126165.87</v>
      </c>
      <c r="S81" s="2275">
        <f>ROUND($G81*$C$36,2)</f>
        <v>0</v>
      </c>
      <c r="T81" s="2275">
        <f t="shared" ref="T81:T85" si="143">SUM(R81:S81)</f>
        <v>126165.87</v>
      </c>
      <c r="U81" s="2273"/>
      <c r="V81" s="2274">
        <f>D$82+D$83*$I81+D$84*$J81+D$85*$K81+D$86*$L81+D$87*$M81</f>
        <v>130370.56</v>
      </c>
      <c r="W81" s="2274"/>
      <c r="X81" s="2274">
        <f t="shared" ref="X81:X85" si="144">SUM(V81:W81)</f>
        <v>130370.56</v>
      </c>
      <c r="Y81" s="2275">
        <f>ROUND($G81*$D$36,2)</f>
        <v>0</v>
      </c>
      <c r="Z81" s="2275">
        <f t="shared" ref="Z81:Z85" si="145">SUM(X81:Y81)</f>
        <v>130370.56</v>
      </c>
      <c r="AB81" s="2556">
        <f t="shared" ref="AB81:AB85" si="146">V81/P81-1</f>
        <v>3.3326683357392861E-2</v>
      </c>
      <c r="AC81" s="2556">
        <f t="shared" ref="AC81:AC85" si="147">X81/R81-1</f>
        <v>3.3326683357392861E-2</v>
      </c>
      <c r="AD81" s="2556">
        <f t="shared" ref="AD81:AD85" si="148">Z81/T81-1</f>
        <v>3.3326683357392861E-2</v>
      </c>
      <c r="AF81" s="2511">
        <f t="shared" ref="AF81:AF85" si="149">($P81+$S81)/$G81</f>
        <v>0.14018429999999998</v>
      </c>
      <c r="AG81" s="2511">
        <f t="shared" ref="AG81:AG85" si="150">($V81+$Y81)/$G81</f>
        <v>0.14485617777777776</v>
      </c>
      <c r="AI81" s="2511">
        <f t="shared" ref="AI81:AI85" si="151">$R81/$G81</f>
        <v>0.14018429999999998</v>
      </c>
      <c r="AJ81" s="2511">
        <f t="shared" ref="AJ81:AJ85" si="152">$X81/$G81</f>
        <v>0.14485617777777776</v>
      </c>
      <c r="AL81" s="2511">
        <f t="shared" ref="AL81:AL85" si="153">$T81/$G81</f>
        <v>0.14018429999999998</v>
      </c>
      <c r="AM81" s="2511">
        <f t="shared" ref="AM81:AM85" si="154">$Z81/$G81</f>
        <v>0.14485617777777776</v>
      </c>
    </row>
    <row r="82" spans="1:39">
      <c r="B82" s="874" t="s">
        <v>313</v>
      </c>
      <c r="C82" s="875">
        <f>'PLIEGO UNIFICADO'!D268</f>
        <v>9.06</v>
      </c>
      <c r="D82" s="2500">
        <f>'PLIEGO UNIFICADO'!E268</f>
        <v>10.02</v>
      </c>
      <c r="F82" s="874" t="s">
        <v>279</v>
      </c>
      <c r="G82" s="1573">
        <f t="shared" ref="G82:G84" si="155">G76</f>
        <v>1000000</v>
      </c>
      <c r="H82" s="2285">
        <v>0.8</v>
      </c>
      <c r="I82" s="2282">
        <f>ROUND(G82/(730*H82),0)</f>
        <v>1712</v>
      </c>
      <c r="J82" s="2282">
        <f t="shared" ref="J82:J84" si="156">ROUND(I82*1.02,0)</f>
        <v>1746</v>
      </c>
      <c r="K82" s="2280">
        <f t="shared" si="142"/>
        <v>240000</v>
      </c>
      <c r="L82" s="2280">
        <f t="shared" si="142"/>
        <v>280000</v>
      </c>
      <c r="M82" s="2280">
        <f t="shared" si="142"/>
        <v>480000</v>
      </c>
      <c r="N82" s="2289">
        <f>G82-SUM(K82:M82)</f>
        <v>0</v>
      </c>
      <c r="P82" s="2275">
        <f t="shared" ref="P82:P84" si="157">C$82+C$83*$I82+C$84*$J82+C$85*$K82+C$86*$L82+C$87*$M82</f>
        <v>137730.65999999997</v>
      </c>
      <c r="Q82" s="2275"/>
      <c r="R82" s="2275">
        <f t="shared" si="72"/>
        <v>137730.65999999997</v>
      </c>
      <c r="S82" s="2275">
        <f t="shared" ref="S82:S85" si="158">ROUND($G82*$C$36,2)</f>
        <v>0</v>
      </c>
      <c r="T82" s="2275">
        <f t="shared" si="143"/>
        <v>137730.65999999997</v>
      </c>
      <c r="U82" s="2273"/>
      <c r="V82" s="2274">
        <f>D$82+D$83*$I82+D$84*$J82+D$85*$K82+D$86*$L82+D$87*$M82</f>
        <v>141677.68</v>
      </c>
      <c r="W82" s="2274"/>
      <c r="X82" s="2274">
        <f t="shared" si="144"/>
        <v>141677.68</v>
      </c>
      <c r="Y82" s="2275">
        <f>ROUND($G82*$D$36,2)</f>
        <v>0</v>
      </c>
      <c r="Z82" s="2275">
        <f t="shared" si="145"/>
        <v>141677.68</v>
      </c>
      <c r="AB82" s="2556">
        <f t="shared" si="146"/>
        <v>2.865752621820028E-2</v>
      </c>
      <c r="AC82" s="2556">
        <f t="shared" si="147"/>
        <v>2.865752621820028E-2</v>
      </c>
      <c r="AD82" s="2556">
        <f t="shared" si="148"/>
        <v>2.865752621820028E-2</v>
      </c>
      <c r="AF82" s="2511">
        <f t="shared" si="149"/>
        <v>0.13773065999999998</v>
      </c>
      <c r="AG82" s="2511">
        <f t="shared" si="150"/>
        <v>0.14167768</v>
      </c>
      <c r="AI82" s="2511">
        <f t="shared" si="151"/>
        <v>0.13773065999999998</v>
      </c>
      <c r="AJ82" s="2511">
        <f t="shared" si="152"/>
        <v>0.14167768</v>
      </c>
      <c r="AL82" s="2511">
        <f t="shared" si="153"/>
        <v>0.13773065999999998</v>
      </c>
      <c r="AM82" s="2511">
        <f t="shared" si="154"/>
        <v>0.14167768</v>
      </c>
    </row>
    <row r="83" spans="1:39">
      <c r="B83" s="874" t="s">
        <v>1664</v>
      </c>
      <c r="C83" s="875">
        <f>'PLIEGO UNIFICADO'!D269</f>
        <v>9.2899999999999991</v>
      </c>
      <c r="D83" s="2500">
        <f>'PLIEGO UNIFICADO'!E269</f>
        <v>12.14</v>
      </c>
      <c r="F83" s="874" t="s">
        <v>279</v>
      </c>
      <c r="G83" s="1573">
        <f t="shared" si="155"/>
        <v>5000000</v>
      </c>
      <c r="H83" s="2285">
        <v>0.9</v>
      </c>
      <c r="I83" s="2282">
        <f>ROUND(G83/(730*H83),0)</f>
        <v>7610</v>
      </c>
      <c r="J83" s="2282">
        <f t="shared" si="156"/>
        <v>7762</v>
      </c>
      <c r="K83" s="2280">
        <f t="shared" si="142"/>
        <v>1200000</v>
      </c>
      <c r="L83" s="2280">
        <f t="shared" si="142"/>
        <v>1400000.0000000002</v>
      </c>
      <c r="M83" s="2280">
        <f t="shared" si="142"/>
        <v>2400000</v>
      </c>
      <c r="N83" s="2289">
        <f>G83-SUM(K83:M83)</f>
        <v>0</v>
      </c>
      <c r="P83" s="2275">
        <f t="shared" si="157"/>
        <v>679094.59999999986</v>
      </c>
      <c r="Q83" s="2275"/>
      <c r="R83" s="2275">
        <f t="shared" si="72"/>
        <v>679094.59999999986</v>
      </c>
      <c r="S83" s="2275">
        <f t="shared" si="158"/>
        <v>0</v>
      </c>
      <c r="T83" s="2275">
        <f t="shared" si="143"/>
        <v>679094.59999999986</v>
      </c>
      <c r="U83" s="2273"/>
      <c r="V83" s="2274">
        <f>D$82+D$83*$I83+D$84*$J83+D$85*$K83+D$86*$L83+D$87*$M83</f>
        <v>696011.88000000012</v>
      </c>
      <c r="W83" s="2274"/>
      <c r="X83" s="2274">
        <f t="shared" si="144"/>
        <v>696011.88000000012</v>
      </c>
      <c r="Y83" s="2275">
        <f>ROUND($G83*$D$36,2)</f>
        <v>0</v>
      </c>
      <c r="Z83" s="2275">
        <f t="shared" si="145"/>
        <v>696011.88000000012</v>
      </c>
      <c r="AB83" s="2556">
        <f t="shared" si="146"/>
        <v>2.4911521899894762E-2</v>
      </c>
      <c r="AC83" s="2556">
        <f t="shared" si="147"/>
        <v>2.4911521899894762E-2</v>
      </c>
      <c r="AD83" s="2556">
        <f t="shared" si="148"/>
        <v>2.4911521899894762E-2</v>
      </c>
      <c r="AF83" s="2511">
        <f t="shared" si="149"/>
        <v>0.13581891999999998</v>
      </c>
      <c r="AG83" s="2511">
        <f t="shared" si="150"/>
        <v>0.13920237600000002</v>
      </c>
      <c r="AI83" s="2511">
        <f t="shared" si="151"/>
        <v>0.13581891999999998</v>
      </c>
      <c r="AJ83" s="2511">
        <f t="shared" si="152"/>
        <v>0.13920237600000002</v>
      </c>
      <c r="AL83" s="2511">
        <f t="shared" si="153"/>
        <v>0.13581891999999998</v>
      </c>
      <c r="AM83" s="2511">
        <f t="shared" si="154"/>
        <v>0.13920237600000002</v>
      </c>
    </row>
    <row r="84" spans="1:39">
      <c r="B84" s="874" t="s">
        <v>1665</v>
      </c>
      <c r="C84" s="875">
        <f>'PLIEGO UNIFICADO'!D270</f>
        <v>0.72</v>
      </c>
      <c r="D84" s="2500">
        <f>'PLIEGO UNIFICADO'!E270</f>
        <v>0.83</v>
      </c>
      <c r="F84" s="874" t="s">
        <v>279</v>
      </c>
      <c r="G84" s="1573">
        <f t="shared" si="155"/>
        <v>10000000</v>
      </c>
      <c r="H84" s="2285">
        <v>0.95</v>
      </c>
      <c r="I84" s="2282">
        <f>ROUND(G84/(730*H84),0)</f>
        <v>14420</v>
      </c>
      <c r="J84" s="2282">
        <f t="shared" si="156"/>
        <v>14708</v>
      </c>
      <c r="K84" s="2280">
        <f t="shared" si="142"/>
        <v>2400000</v>
      </c>
      <c r="L84" s="2280">
        <f t="shared" si="142"/>
        <v>2800000.0000000005</v>
      </c>
      <c r="M84" s="2280">
        <f t="shared" si="142"/>
        <v>4800000</v>
      </c>
      <c r="N84" s="2289">
        <f>G84-SUM(K84:M84)</f>
        <v>0</v>
      </c>
      <c r="P84" s="2275">
        <f t="shared" si="157"/>
        <v>1350160.6199999996</v>
      </c>
      <c r="Q84" s="2275"/>
      <c r="R84" s="2275">
        <f t="shared" si="72"/>
        <v>1350160.6199999996</v>
      </c>
      <c r="S84" s="2275">
        <f t="shared" si="158"/>
        <v>0</v>
      </c>
      <c r="T84" s="2275">
        <f t="shared" si="143"/>
        <v>1350160.6199999996</v>
      </c>
      <c r="U84" s="2273"/>
      <c r="V84" s="2274">
        <f>D$82+D$83*$I84+D$84*$J84+D$85*$K84+D$86*$L84+D$87*$M84</f>
        <v>1381624.46</v>
      </c>
      <c r="W84" s="2274"/>
      <c r="X84" s="2274">
        <f t="shared" si="144"/>
        <v>1381624.46</v>
      </c>
      <c r="Y84" s="2275">
        <f>ROUND($G84*$D$36,2)</f>
        <v>0</v>
      </c>
      <c r="Z84" s="2275">
        <f t="shared" si="145"/>
        <v>1381624.46</v>
      </c>
      <c r="AB84" s="2556">
        <f t="shared" si="146"/>
        <v>2.3303775516723579E-2</v>
      </c>
      <c r="AC84" s="2556">
        <f t="shared" si="147"/>
        <v>2.3303775516723579E-2</v>
      </c>
      <c r="AD84" s="2556">
        <f t="shared" si="148"/>
        <v>2.3303775516723579E-2</v>
      </c>
      <c r="AF84" s="2511">
        <f t="shared" si="149"/>
        <v>0.13501606199999996</v>
      </c>
      <c r="AG84" s="2511">
        <f t="shared" si="150"/>
        <v>0.13816244599999999</v>
      </c>
      <c r="AI84" s="2511" t="s">
        <v>2173</v>
      </c>
      <c r="AJ84" s="2511">
        <f t="shared" si="152"/>
        <v>0.13816244599999999</v>
      </c>
      <c r="AL84" s="2511">
        <f t="shared" si="153"/>
        <v>0.13501606199999996</v>
      </c>
      <c r="AM84" s="2511">
        <f t="shared" si="154"/>
        <v>0.13816244599999999</v>
      </c>
    </row>
    <row r="85" spans="1:39">
      <c r="B85" s="874" t="s">
        <v>2106</v>
      </c>
      <c r="C85" s="1162">
        <f>'PLIEGO UNIFICADO'!D271</f>
        <v>0.12055999999999999</v>
      </c>
      <c r="D85" s="2504">
        <f>'PLIEGO UNIFICADO'!E271</f>
        <v>0.17208999999999999</v>
      </c>
      <c r="F85" s="1572" t="s">
        <v>279</v>
      </c>
      <c r="G85" s="2271">
        <f>SUM(G81:G84)</f>
        <v>16900000</v>
      </c>
      <c r="H85" s="2284"/>
      <c r="I85" s="2284"/>
      <c r="J85" s="2284"/>
      <c r="N85" s="2288"/>
      <c r="P85" s="2527">
        <f>SUM(P81:P84)</f>
        <v>2293151.7499999995</v>
      </c>
      <c r="Q85" s="2527">
        <f>SUM(Q81:Q84)</f>
        <v>0</v>
      </c>
      <c r="R85" s="2527">
        <f t="shared" si="72"/>
        <v>2293151.7499999995</v>
      </c>
      <c r="S85" s="2527">
        <f t="shared" si="158"/>
        <v>0</v>
      </c>
      <c r="T85" s="2527">
        <f t="shared" si="143"/>
        <v>2293151.7499999995</v>
      </c>
      <c r="U85" s="2528"/>
      <c r="V85" s="2529">
        <f>SUM(V81:V84)</f>
        <v>2349684.58</v>
      </c>
      <c r="W85" s="2529">
        <f>SUM(W81:W84)</f>
        <v>0</v>
      </c>
      <c r="X85" s="2529">
        <f t="shared" si="144"/>
        <v>2349684.58</v>
      </c>
      <c r="Y85" s="2527">
        <f>ROUND($G85*$D$36,2)</f>
        <v>0</v>
      </c>
      <c r="Z85" s="2527">
        <f t="shared" si="145"/>
        <v>2349684.58</v>
      </c>
      <c r="AA85" s="2478"/>
      <c r="AB85" s="2559">
        <f t="shared" si="146"/>
        <v>2.4652895300104172E-2</v>
      </c>
      <c r="AC85" s="2559">
        <f t="shared" si="147"/>
        <v>2.4652895300104172E-2</v>
      </c>
      <c r="AD85" s="2559">
        <f t="shared" si="148"/>
        <v>2.4652895300104172E-2</v>
      </c>
      <c r="AE85" s="2478"/>
      <c r="AF85" s="2561">
        <f t="shared" si="149"/>
        <v>0.13568945266272187</v>
      </c>
      <c r="AG85" s="2561">
        <f t="shared" si="150"/>
        <v>0.13903459053254438</v>
      </c>
      <c r="AH85" s="2478"/>
      <c r="AI85" s="2561">
        <f t="shared" si="151"/>
        <v>0.13568945266272187</v>
      </c>
      <c r="AJ85" s="2561">
        <f t="shared" si="152"/>
        <v>0.13903459053254438</v>
      </c>
      <c r="AK85" s="2478"/>
      <c r="AL85" s="2561">
        <f t="shared" si="153"/>
        <v>0.13568945266272187</v>
      </c>
      <c r="AM85" s="2561">
        <f t="shared" si="154"/>
        <v>0.13903459053254438</v>
      </c>
    </row>
    <row r="86" spans="1:39">
      <c r="B86" s="874" t="s">
        <v>2107</v>
      </c>
      <c r="C86" s="1162">
        <f>'PLIEGO UNIFICADO'!D272</f>
        <v>0.12055999999999999</v>
      </c>
      <c r="D86" s="2504">
        <f>'PLIEGO UNIFICADO'!E272</f>
        <v>0.12963000000000002</v>
      </c>
      <c r="P86" s="2273"/>
      <c r="Q86" s="2273"/>
      <c r="R86" s="2273"/>
      <c r="S86" s="2273"/>
      <c r="T86" s="2273"/>
      <c r="U86" s="2273"/>
      <c r="V86" s="2273"/>
      <c r="W86" s="2273"/>
      <c r="X86" s="2273"/>
      <c r="Y86" s="2273"/>
      <c r="Z86" s="2273"/>
    </row>
    <row r="87" spans="1:39">
      <c r="B87" s="874" t="s">
        <v>2108</v>
      </c>
      <c r="C87" s="1162">
        <f>'PLIEGO UNIFICADO'!D273</f>
        <v>0.12055999999999999</v>
      </c>
      <c r="D87" s="2504">
        <f>'PLIEGO UNIFICADO'!E273</f>
        <v>8.7160000000000001E-2</v>
      </c>
      <c r="P87" s="2273"/>
      <c r="Q87" s="2273"/>
      <c r="R87" s="2273"/>
      <c r="S87" s="2273"/>
      <c r="T87" s="2273"/>
      <c r="U87" s="2273"/>
      <c r="V87" s="2273"/>
      <c r="W87" s="2273"/>
      <c r="X87" s="2273"/>
      <c r="Y87" s="2273"/>
      <c r="Z87" s="2273"/>
    </row>
    <row r="88" spans="1:39">
      <c r="P88" s="2273"/>
      <c r="Q88" s="2273"/>
      <c r="R88" s="2273"/>
      <c r="S88" s="2273"/>
      <c r="T88" s="2273"/>
      <c r="U88" s="2273"/>
      <c r="V88" s="2273"/>
      <c r="W88" s="2273"/>
      <c r="X88" s="2273"/>
      <c r="Y88" s="2273"/>
      <c r="Z88" s="2273"/>
    </row>
    <row r="89" spans="1:39">
      <c r="P89" s="2273"/>
      <c r="Q89" s="2273"/>
      <c r="R89" s="2273"/>
      <c r="S89" s="2273"/>
      <c r="T89" s="2273"/>
      <c r="U89" s="2273"/>
      <c r="V89" s="2273"/>
      <c r="W89" s="2273"/>
      <c r="X89" s="2273"/>
      <c r="Y89" s="2273"/>
      <c r="Z89" s="2273"/>
    </row>
    <row r="90" spans="1:39">
      <c r="A90" s="2505"/>
      <c r="B90" s="2506" t="s">
        <v>1687</v>
      </c>
      <c r="C90" s="2505"/>
      <c r="D90" s="2507"/>
      <c r="E90" s="2505"/>
      <c r="F90" s="2505"/>
      <c r="G90" s="2505"/>
      <c r="H90" s="2515"/>
      <c r="I90" s="2515"/>
      <c r="J90" s="2515"/>
      <c r="K90" s="2515"/>
      <c r="L90" s="2515"/>
      <c r="M90" s="2515"/>
      <c r="N90" s="2515"/>
      <c r="O90" s="2505"/>
      <c r="P90" s="2513"/>
      <c r="Q90" s="2513"/>
      <c r="R90" s="2513"/>
      <c r="S90" s="2513"/>
      <c r="T90" s="2513"/>
      <c r="U90" s="2513"/>
      <c r="V90" s="2513"/>
      <c r="W90" s="2513"/>
      <c r="X90" s="2513"/>
      <c r="Y90" s="2513"/>
      <c r="Z90" s="2513"/>
      <c r="AA90" s="2505"/>
      <c r="AB90" s="2508"/>
      <c r="AC90" s="2508"/>
      <c r="AD90" s="2508"/>
      <c r="AF90" s="2505"/>
      <c r="AG90" s="2505"/>
      <c r="AI90" s="2505"/>
      <c r="AJ90" s="2505"/>
      <c r="AL90" s="2505"/>
      <c r="AM90" s="2505"/>
    </row>
    <row r="91" spans="1:39">
      <c r="B91" s="1161" t="s">
        <v>1672</v>
      </c>
      <c r="C91" s="2269"/>
      <c r="D91" s="1214"/>
      <c r="F91" s="874" t="s">
        <v>1674</v>
      </c>
      <c r="G91" s="1573">
        <v>10000</v>
      </c>
      <c r="H91" s="2285">
        <v>0.4</v>
      </c>
      <c r="I91" s="2282">
        <f>ROUND(G91/(730*H91),0)</f>
        <v>34</v>
      </c>
      <c r="J91" s="2282"/>
      <c r="N91" s="2290"/>
      <c r="P91" s="2275">
        <f>C$92+(C$93+C$94)*$I91+C$95*$G91</f>
        <v>1021.0799999999999</v>
      </c>
      <c r="Q91" s="2275"/>
      <c r="R91" s="2275">
        <f t="shared" ref="R91:R95" si="159">SUM(P91:Q91)</f>
        <v>1021.0799999999999</v>
      </c>
      <c r="S91" s="2275"/>
      <c r="T91" s="2275">
        <f t="shared" ref="T91:T95" si="160">SUM(R91:S91)</f>
        <v>1021.0799999999999</v>
      </c>
      <c r="U91" s="2273"/>
      <c r="V91" s="2274">
        <f>D$92+(D$93+D$94)*$I91+D$95*$G91</f>
        <v>1327.97</v>
      </c>
      <c r="W91" s="2274"/>
      <c r="X91" s="2274">
        <f t="shared" ref="X91:X95" si="161">SUM(V91:W91)</f>
        <v>1327.97</v>
      </c>
      <c r="Y91" s="2275"/>
      <c r="Z91" s="2275">
        <f t="shared" ref="Z91:Z95" si="162">SUM(X91:Y91)</f>
        <v>1327.97</v>
      </c>
      <c r="AB91" s="2556">
        <f t="shared" ref="AB91:AB95" si="163">V91/P91-1</f>
        <v>0.30055431503897845</v>
      </c>
      <c r="AC91" s="2556">
        <f t="shared" ref="AC91:AC95" si="164">X91/R91-1</f>
        <v>0.30055431503897845</v>
      </c>
      <c r="AD91" s="2556">
        <f t="shared" ref="AD91:AD95" si="165">Z91/T91-1</f>
        <v>0.30055431503897845</v>
      </c>
      <c r="AF91" s="2511">
        <f t="shared" ref="AF91:AF95" si="166">($P91+$S91)/$G91</f>
        <v>0.10210799999999999</v>
      </c>
      <c r="AG91" s="2511">
        <f t="shared" ref="AG91:AG95" si="167">($V91+$Y91)/$G91</f>
        <v>0.132797</v>
      </c>
      <c r="AI91" s="2511">
        <f t="shared" ref="AI91:AI95" si="168">$R91/$G91</f>
        <v>0.10210799999999999</v>
      </c>
      <c r="AJ91" s="2511">
        <f t="shared" ref="AJ91:AJ95" si="169">$X91/$G91</f>
        <v>0.132797</v>
      </c>
      <c r="AL91" s="2511">
        <f t="shared" ref="AL91:AL95" si="170">$P91/$G91</f>
        <v>0.10210799999999999</v>
      </c>
      <c r="AM91" s="2511">
        <f t="shared" ref="AM91:AM95" si="171">$P91/$G91</f>
        <v>0.10210799999999999</v>
      </c>
    </row>
    <row r="92" spans="1:39">
      <c r="B92" s="874" t="s">
        <v>313</v>
      </c>
      <c r="C92" s="875">
        <f>'PLIEGO UNIFICADO'!D320</f>
        <v>2.52</v>
      </c>
      <c r="D92" s="2500">
        <f>'PLIEGO UNIFICADO'!E320</f>
        <v>2.79</v>
      </c>
      <c r="F92" s="874" t="s">
        <v>1674</v>
      </c>
      <c r="G92" s="1573">
        <v>30000</v>
      </c>
      <c r="H92" s="2285">
        <v>0.5</v>
      </c>
      <c r="I92" s="2282">
        <f>ROUND(G92/(730*H92),0)</f>
        <v>82</v>
      </c>
      <c r="J92" s="2282"/>
      <c r="N92" s="2290"/>
      <c r="P92" s="2275">
        <f>C$92+(C$93+C$94)*$I92+C$95*$G92</f>
        <v>2614.4</v>
      </c>
      <c r="Q92" s="2275"/>
      <c r="R92" s="2275">
        <f t="shared" si="159"/>
        <v>2614.4</v>
      </c>
      <c r="S92" s="2275"/>
      <c r="T92" s="2275">
        <f t="shared" si="160"/>
        <v>2614.4</v>
      </c>
      <c r="U92" s="2273"/>
      <c r="V92" s="2274">
        <f>D$92+(D$93+D$94)*$I92+D$95*$G92</f>
        <v>3372.93</v>
      </c>
      <c r="W92" s="2274"/>
      <c r="X92" s="2274">
        <f t="shared" si="161"/>
        <v>3372.93</v>
      </c>
      <c r="Y92" s="2275"/>
      <c r="Z92" s="2275">
        <f t="shared" si="162"/>
        <v>3372.93</v>
      </c>
      <c r="AB92" s="2556">
        <f t="shared" si="163"/>
        <v>0.29013540391676851</v>
      </c>
      <c r="AC92" s="2556">
        <f t="shared" si="164"/>
        <v>0.29013540391676851</v>
      </c>
      <c r="AD92" s="2556">
        <f t="shared" si="165"/>
        <v>0.29013540391676851</v>
      </c>
      <c r="AF92" s="2511">
        <f t="shared" si="166"/>
        <v>8.7146666666666664E-2</v>
      </c>
      <c r="AG92" s="2511">
        <f t="shared" si="167"/>
        <v>0.11243099999999999</v>
      </c>
      <c r="AI92" s="2511">
        <f t="shared" si="168"/>
        <v>8.7146666666666664E-2</v>
      </c>
      <c r="AJ92" s="2511">
        <f t="shared" si="169"/>
        <v>0.11243099999999999</v>
      </c>
      <c r="AL92" s="2511">
        <f t="shared" si="170"/>
        <v>8.7146666666666664E-2</v>
      </c>
      <c r="AM92" s="2511">
        <f t="shared" si="171"/>
        <v>8.7146666666666664E-2</v>
      </c>
    </row>
    <row r="93" spans="1:39">
      <c r="B93" s="874" t="s">
        <v>1658</v>
      </c>
      <c r="C93" s="875">
        <f>'PLIEGO UNIFICADO'!D321</f>
        <v>13.23</v>
      </c>
      <c r="D93" s="2500">
        <f>'PLIEGO UNIFICADO'!E321</f>
        <v>14.27</v>
      </c>
      <c r="F93" s="874" t="s">
        <v>1674</v>
      </c>
      <c r="G93" s="1573">
        <v>50000</v>
      </c>
      <c r="H93" s="2285">
        <v>0.6</v>
      </c>
      <c r="I93" s="2282">
        <f>ROUND(G93/(730*H93),0)</f>
        <v>114</v>
      </c>
      <c r="J93" s="2282"/>
      <c r="N93" s="2290"/>
      <c r="P93" s="2275">
        <f>C$92+(C$93+C$94)*$I93+C$95*$G93</f>
        <v>3852.6800000000003</v>
      </c>
      <c r="Q93" s="2275"/>
      <c r="R93" s="2275">
        <f t="shared" si="159"/>
        <v>3852.6800000000003</v>
      </c>
      <c r="S93" s="2275"/>
      <c r="T93" s="2275">
        <f t="shared" si="160"/>
        <v>3852.6800000000003</v>
      </c>
      <c r="U93" s="2273"/>
      <c r="V93" s="2274">
        <f>D$92+(D$93+D$94)*$I93+D$95*$G93</f>
        <v>4933.57</v>
      </c>
      <c r="W93" s="2274"/>
      <c r="X93" s="2274">
        <f t="shared" si="161"/>
        <v>4933.57</v>
      </c>
      <c r="Y93" s="2275"/>
      <c r="Z93" s="2275">
        <f t="shared" si="162"/>
        <v>4933.57</v>
      </c>
      <c r="AB93" s="2556">
        <f t="shared" si="163"/>
        <v>0.28055535367588269</v>
      </c>
      <c r="AC93" s="2556">
        <f t="shared" si="164"/>
        <v>0.28055535367588269</v>
      </c>
      <c r="AD93" s="2556">
        <f t="shared" si="165"/>
        <v>0.28055535367588269</v>
      </c>
      <c r="AF93" s="2511">
        <f t="shared" si="166"/>
        <v>7.70536E-2</v>
      </c>
      <c r="AG93" s="2511">
        <f t="shared" si="167"/>
        <v>9.8671399999999992E-2</v>
      </c>
      <c r="AI93" s="2511">
        <f t="shared" si="168"/>
        <v>7.70536E-2</v>
      </c>
      <c r="AJ93" s="2511">
        <f t="shared" si="169"/>
        <v>9.8671399999999992E-2</v>
      </c>
      <c r="AL93" s="2511">
        <f t="shared" si="170"/>
        <v>7.70536E-2</v>
      </c>
      <c r="AM93" s="2511">
        <f t="shared" si="171"/>
        <v>7.70536E-2</v>
      </c>
    </row>
    <row r="94" spans="1:39">
      <c r="B94" s="874" t="s">
        <v>1673</v>
      </c>
      <c r="C94" s="875">
        <f>'PLIEGO UNIFICADO'!D322</f>
        <v>8.9600000000000009</v>
      </c>
      <c r="D94" s="2500">
        <f>'PLIEGO UNIFICADO'!E322</f>
        <v>16</v>
      </c>
      <c r="F94" s="874" t="s">
        <v>1674</v>
      </c>
      <c r="G94" s="1573">
        <v>100000</v>
      </c>
      <c r="H94" s="2285">
        <v>0.7</v>
      </c>
      <c r="I94" s="2282">
        <f>ROUND(G94/(730*H94),0)</f>
        <v>196</v>
      </c>
      <c r="J94" s="2282"/>
      <c r="N94" s="2290"/>
      <c r="P94" s="2275">
        <f>C$92+(C$93+C$94)*$I94+C$95*$G94</f>
        <v>6992.76</v>
      </c>
      <c r="Q94" s="2275"/>
      <c r="R94" s="2275">
        <f t="shared" si="159"/>
        <v>6992.76</v>
      </c>
      <c r="S94" s="2275"/>
      <c r="T94" s="2275">
        <f t="shared" si="160"/>
        <v>6992.76</v>
      </c>
      <c r="U94" s="2273"/>
      <c r="V94" s="2274">
        <f>D$92+(D$93+D$94)*$I94+D$95*$G94</f>
        <v>8895.7099999999991</v>
      </c>
      <c r="W94" s="2274"/>
      <c r="X94" s="2274">
        <f t="shared" si="161"/>
        <v>8895.7099999999991</v>
      </c>
      <c r="Y94" s="2275"/>
      <c r="Z94" s="2275">
        <f t="shared" si="162"/>
        <v>8895.7099999999991</v>
      </c>
      <c r="AB94" s="2556">
        <f t="shared" si="163"/>
        <v>0.27213146168322644</v>
      </c>
      <c r="AC94" s="2556">
        <f t="shared" si="164"/>
        <v>0.27213146168322644</v>
      </c>
      <c r="AD94" s="2556">
        <f t="shared" si="165"/>
        <v>0.27213146168322644</v>
      </c>
      <c r="AF94" s="2511">
        <f t="shared" si="166"/>
        <v>6.9927600000000006E-2</v>
      </c>
      <c r="AG94" s="2511">
        <f t="shared" si="167"/>
        <v>8.8957099999999997E-2</v>
      </c>
      <c r="AI94" s="2511">
        <f t="shared" si="168"/>
        <v>6.9927600000000006E-2</v>
      </c>
      <c r="AJ94" s="2511">
        <f t="shared" si="169"/>
        <v>8.8957099999999997E-2</v>
      </c>
      <c r="AL94" s="2511">
        <f t="shared" si="170"/>
        <v>6.9927600000000006E-2</v>
      </c>
      <c r="AM94" s="2511">
        <f t="shared" si="171"/>
        <v>6.9927600000000006E-2</v>
      </c>
    </row>
    <row r="95" spans="1:39">
      <c r="B95" s="874" t="s">
        <v>1663</v>
      </c>
      <c r="C95" s="1162">
        <f>'PLIEGO UNIFICADO'!D323</f>
        <v>2.6409999999999996E-2</v>
      </c>
      <c r="D95" s="2504">
        <f>'PLIEGO UNIFICADO'!E323</f>
        <v>2.9599999999999998E-2</v>
      </c>
      <c r="F95" s="1572" t="s">
        <v>1674</v>
      </c>
      <c r="G95" s="2271">
        <f>SUM(G91:G94)</f>
        <v>190000</v>
      </c>
      <c r="H95" s="2284"/>
      <c r="I95" s="2284"/>
      <c r="J95" s="2284"/>
      <c r="N95" s="2288"/>
      <c r="P95" s="2527">
        <f>SUM(P91:P94)</f>
        <v>14480.92</v>
      </c>
      <c r="Q95" s="2527">
        <f>SUM(Q91:Q94)</f>
        <v>0</v>
      </c>
      <c r="R95" s="2527">
        <f t="shared" si="159"/>
        <v>14480.92</v>
      </c>
      <c r="S95" s="2527"/>
      <c r="T95" s="2527">
        <f t="shared" si="160"/>
        <v>14480.92</v>
      </c>
      <c r="U95" s="2528"/>
      <c r="V95" s="2529">
        <f>SUM(V91:V94)</f>
        <v>18530.18</v>
      </c>
      <c r="W95" s="2529">
        <f>SUM(W91:W94)</f>
        <v>0</v>
      </c>
      <c r="X95" s="2529">
        <f t="shared" si="161"/>
        <v>18530.18</v>
      </c>
      <c r="Y95" s="2527"/>
      <c r="Z95" s="2527">
        <f t="shared" si="162"/>
        <v>18530.18</v>
      </c>
      <c r="AA95" s="2478"/>
      <c r="AB95" s="2559">
        <f t="shared" si="163"/>
        <v>0.27962726125135706</v>
      </c>
      <c r="AC95" s="2559">
        <f t="shared" si="164"/>
        <v>0.27962726125135706</v>
      </c>
      <c r="AD95" s="2559">
        <f t="shared" si="165"/>
        <v>0.27962726125135706</v>
      </c>
      <c r="AE95" s="2478"/>
      <c r="AF95" s="2561">
        <f t="shared" si="166"/>
        <v>7.6215368421052629E-2</v>
      </c>
      <c r="AG95" s="2561">
        <f t="shared" si="167"/>
        <v>9.7527263157894742E-2</v>
      </c>
      <c r="AH95" s="2478"/>
      <c r="AI95" s="2561">
        <f t="shared" si="168"/>
        <v>7.6215368421052629E-2</v>
      </c>
      <c r="AJ95" s="2561">
        <f t="shared" si="169"/>
        <v>9.7527263157894742E-2</v>
      </c>
      <c r="AK95" s="2478"/>
      <c r="AL95" s="2561">
        <f t="shared" si="170"/>
        <v>7.6215368421052629E-2</v>
      </c>
      <c r="AM95" s="2561">
        <f t="shared" si="171"/>
        <v>7.6215368421052629E-2</v>
      </c>
    </row>
    <row r="96" spans="1:39">
      <c r="F96" s="2269"/>
      <c r="G96" s="2269"/>
      <c r="H96" s="2286"/>
      <c r="N96" s="2286"/>
      <c r="P96" s="2273"/>
      <c r="Q96" s="2273"/>
      <c r="R96" s="2273"/>
      <c r="S96" s="2273"/>
      <c r="T96" s="2273"/>
      <c r="U96" s="2273"/>
      <c r="V96" s="2273"/>
      <c r="W96" s="2273"/>
      <c r="X96" s="2273"/>
      <c r="Y96" s="2273"/>
      <c r="Z96" s="2273"/>
    </row>
    <row r="97" spans="2:39">
      <c r="B97" s="1161" t="s">
        <v>1675</v>
      </c>
      <c r="C97" s="2269"/>
      <c r="D97" s="1214"/>
      <c r="F97" s="875"/>
      <c r="G97" s="875"/>
      <c r="H97" s="2285"/>
      <c r="N97" s="2290"/>
      <c r="P97" s="2273"/>
      <c r="Q97" s="2273"/>
      <c r="R97" s="2273"/>
      <c r="S97" s="2273"/>
      <c r="T97" s="2273"/>
      <c r="U97" s="2273"/>
      <c r="V97" s="2273"/>
      <c r="W97" s="2273"/>
      <c r="X97" s="2273"/>
      <c r="Y97" s="2273"/>
      <c r="Z97" s="2273"/>
    </row>
    <row r="98" spans="2:39">
      <c r="B98" s="874" t="s">
        <v>313</v>
      </c>
      <c r="C98" s="875">
        <f>'PLIEGO UNIFICADO'!D344</f>
        <v>2.52</v>
      </c>
      <c r="D98" s="2500">
        <f>'PLIEGO UNIFICADO'!E344</f>
        <v>2.79</v>
      </c>
      <c r="F98" s="874" t="s">
        <v>1678</v>
      </c>
      <c r="G98" s="1573">
        <v>10000</v>
      </c>
      <c r="H98" s="2285">
        <v>0.4</v>
      </c>
      <c r="I98" s="2282">
        <f>ROUND(G98/(730*H98),0)</f>
        <v>34</v>
      </c>
      <c r="J98" s="2282">
        <f t="shared" ref="J98:J101" si="172">ROUND(I98*1.02,0)</f>
        <v>35</v>
      </c>
      <c r="N98" s="2290"/>
      <c r="P98" s="2275">
        <f>C$98+(C$99+C$101)*$I98+C$100*$J98+C$102*$G98</f>
        <v>1030.29</v>
      </c>
      <c r="Q98" s="2275"/>
      <c r="R98" s="2275">
        <f t="shared" ref="R98:R102" si="173">SUM(P98:Q98)</f>
        <v>1030.29</v>
      </c>
      <c r="S98" s="2275"/>
      <c r="T98" s="2275">
        <f t="shared" ref="T98:T102" si="174">SUM(R98:S98)</f>
        <v>1030.29</v>
      </c>
      <c r="U98" s="2273"/>
      <c r="V98" s="2274">
        <f>D$98+(D$99+D$101)*$I98+D$100*$J98+D$102*$G98</f>
        <v>1328.6499999999999</v>
      </c>
      <c r="W98" s="2274"/>
      <c r="X98" s="2274">
        <f t="shared" ref="X98:X102" si="175">SUM(V98:W98)</f>
        <v>1328.6499999999999</v>
      </c>
      <c r="Y98" s="2275"/>
      <c r="Z98" s="2275">
        <f t="shared" ref="Z98:Z102" si="176">SUM(X98:Y98)</f>
        <v>1328.6499999999999</v>
      </c>
      <c r="AB98" s="2556">
        <f t="shared" ref="AB98:AB102" si="177">V98/P98-1</f>
        <v>0.28958836832348167</v>
      </c>
      <c r="AC98" s="2556">
        <f t="shared" ref="AC98:AC102" si="178">X98/R98-1</f>
        <v>0.28958836832348167</v>
      </c>
      <c r="AD98" s="2556">
        <f t="shared" ref="AD98:AD102" si="179">Z98/T98-1</f>
        <v>0.28958836832348167</v>
      </c>
      <c r="AF98" s="2511">
        <f t="shared" ref="AF98:AF102" si="180">($P98+$S98)/$G98</f>
        <v>0.103029</v>
      </c>
      <c r="AG98" s="2511">
        <f t="shared" ref="AG98:AG102" si="181">($V98+$Y98)/$G98</f>
        <v>0.13286499999999998</v>
      </c>
      <c r="AI98" s="2511">
        <f t="shared" ref="AI98:AI102" si="182">$R98/$G98</f>
        <v>0.103029</v>
      </c>
      <c r="AJ98" s="2511">
        <f t="shared" ref="AJ98:AJ102" si="183">$X98/$G98</f>
        <v>0.13286499999999998</v>
      </c>
      <c r="AL98" s="2511">
        <f t="shared" ref="AL98:AL102" si="184">$P98/$G98</f>
        <v>0.103029</v>
      </c>
      <c r="AM98" s="2511">
        <f t="shared" ref="AM98:AM102" si="185">$P98/$G98</f>
        <v>0.103029</v>
      </c>
    </row>
    <row r="99" spans="2:39">
      <c r="B99" s="874" t="s">
        <v>1676</v>
      </c>
      <c r="C99" s="875">
        <f>'PLIEGO UNIFICADO'!D345</f>
        <v>8.0200000000000014</v>
      </c>
      <c r="D99" s="2500">
        <f>'PLIEGO UNIFICADO'!E345</f>
        <v>9.69</v>
      </c>
      <c r="F99" s="874" t="s">
        <v>1678</v>
      </c>
      <c r="G99" s="1573">
        <v>30000</v>
      </c>
      <c r="H99" s="2285">
        <v>0.5</v>
      </c>
      <c r="I99" s="2282">
        <f>ROUND(G99/(730*H99),0)</f>
        <v>82</v>
      </c>
      <c r="J99" s="2282">
        <f t="shared" si="172"/>
        <v>84</v>
      </c>
      <c r="N99" s="2290"/>
      <c r="P99" s="2275">
        <f>C$98+(C$99+C$101)*$I99+C$100*$J99+C$102*$G99</f>
        <v>2621.7000000000003</v>
      </c>
      <c r="Q99" s="2275"/>
      <c r="R99" s="2275">
        <f t="shared" si="173"/>
        <v>2621.7000000000003</v>
      </c>
      <c r="S99" s="2275"/>
      <c r="T99" s="2275">
        <f t="shared" si="174"/>
        <v>2621.7000000000003</v>
      </c>
      <c r="U99" s="2273"/>
      <c r="V99" s="2274">
        <f>D$98+(D$99+D$101)*$I99+D$100*$J99+D$102*$G99</f>
        <v>3356.11</v>
      </c>
      <c r="W99" s="2274"/>
      <c r="X99" s="2274">
        <f t="shared" si="175"/>
        <v>3356.11</v>
      </c>
      <c r="Y99" s="2275"/>
      <c r="Z99" s="2275">
        <f t="shared" si="176"/>
        <v>3356.11</v>
      </c>
      <c r="AB99" s="2556">
        <f t="shared" si="177"/>
        <v>0.28012739825304189</v>
      </c>
      <c r="AC99" s="2556">
        <f t="shared" si="178"/>
        <v>0.28012739825304189</v>
      </c>
      <c r="AD99" s="2556">
        <f t="shared" si="179"/>
        <v>0.28012739825304189</v>
      </c>
      <c r="AF99" s="2511">
        <f t="shared" si="180"/>
        <v>8.7390000000000009E-2</v>
      </c>
      <c r="AG99" s="2511">
        <f t="shared" si="181"/>
        <v>0.11187033333333334</v>
      </c>
      <c r="AI99" s="2511">
        <f t="shared" si="182"/>
        <v>8.7390000000000009E-2</v>
      </c>
      <c r="AJ99" s="2511">
        <f t="shared" si="183"/>
        <v>0.11187033333333334</v>
      </c>
      <c r="AL99" s="2511">
        <f t="shared" si="184"/>
        <v>8.7390000000000009E-2</v>
      </c>
      <c r="AM99" s="2511">
        <f t="shared" si="185"/>
        <v>8.7390000000000009E-2</v>
      </c>
    </row>
    <row r="100" spans="2:39">
      <c r="B100" s="874" t="s">
        <v>1677</v>
      </c>
      <c r="C100" s="875">
        <f>'PLIEGO UNIFICADO'!D346</f>
        <v>5.93</v>
      </c>
      <c r="D100" s="2500">
        <f>'PLIEGO UNIFICADO'!E346</f>
        <v>5.26</v>
      </c>
      <c r="F100" s="874" t="s">
        <v>1678</v>
      </c>
      <c r="G100" s="1573">
        <v>50000</v>
      </c>
      <c r="H100" s="2285">
        <v>0.6</v>
      </c>
      <c r="I100" s="2282">
        <f>ROUND(G100/(730*H100),0)</f>
        <v>114</v>
      </c>
      <c r="J100" s="2282">
        <f t="shared" si="172"/>
        <v>116</v>
      </c>
      <c r="N100" s="2290"/>
      <c r="P100" s="2275">
        <f>C$98+(C$99+C$101)*$I100+C$100*$J100+C$102*$G100</f>
        <v>3840.6200000000003</v>
      </c>
      <c r="Q100" s="2275"/>
      <c r="R100" s="2275">
        <f t="shared" si="173"/>
        <v>3840.6200000000003</v>
      </c>
      <c r="S100" s="2275"/>
      <c r="T100" s="2275">
        <f t="shared" si="174"/>
        <v>3840.6200000000003</v>
      </c>
      <c r="U100" s="2273"/>
      <c r="V100" s="2274">
        <f>D$98+(D$99+D$101)*$I100+D$100*$J100+D$102*$G100</f>
        <v>4883.1099999999997</v>
      </c>
      <c r="W100" s="2274"/>
      <c r="X100" s="2274">
        <f t="shared" si="175"/>
        <v>4883.1099999999997</v>
      </c>
      <c r="Y100" s="2275"/>
      <c r="Z100" s="2275">
        <f t="shared" si="176"/>
        <v>4883.1099999999997</v>
      </c>
      <c r="AB100" s="2556">
        <f t="shared" si="177"/>
        <v>0.27143794491514361</v>
      </c>
      <c r="AC100" s="2556">
        <f t="shared" si="178"/>
        <v>0.27143794491514361</v>
      </c>
      <c r="AD100" s="2556">
        <f t="shared" si="179"/>
        <v>0.27143794491514361</v>
      </c>
      <c r="AF100" s="2511">
        <f t="shared" si="180"/>
        <v>7.6812400000000003E-2</v>
      </c>
      <c r="AG100" s="2511">
        <f t="shared" si="181"/>
        <v>9.7662199999999991E-2</v>
      </c>
      <c r="AI100" s="2511">
        <f t="shared" si="182"/>
        <v>7.6812400000000003E-2</v>
      </c>
      <c r="AJ100" s="2511">
        <f t="shared" si="183"/>
        <v>9.7662199999999991E-2</v>
      </c>
      <c r="AL100" s="2511">
        <f t="shared" si="184"/>
        <v>7.6812400000000003E-2</v>
      </c>
      <c r="AM100" s="2511">
        <f t="shared" si="185"/>
        <v>7.6812400000000003E-2</v>
      </c>
    </row>
    <row r="101" spans="2:39">
      <c r="B101" s="874" t="s">
        <v>1673</v>
      </c>
      <c r="C101" s="875">
        <f>'PLIEGO UNIFICADO'!D347</f>
        <v>8.9600000000000009</v>
      </c>
      <c r="D101" s="2500">
        <f>'PLIEGO UNIFICADO'!E347</f>
        <v>16</v>
      </c>
      <c r="F101" s="874" t="s">
        <v>1678</v>
      </c>
      <c r="G101" s="1573">
        <v>100000</v>
      </c>
      <c r="H101" s="2285">
        <v>0.7</v>
      </c>
      <c r="I101" s="2282">
        <f>ROUND(G101/(730*H101),0)</f>
        <v>196</v>
      </c>
      <c r="J101" s="2282">
        <f t="shared" si="172"/>
        <v>200</v>
      </c>
      <c r="N101" s="2290"/>
      <c r="P101" s="2275">
        <f>C$98+(C$99+C$101)*$I101+C$100*$J101+C$102*$G101</f>
        <v>6945.6</v>
      </c>
      <c r="Q101" s="2275"/>
      <c r="R101" s="2275">
        <f t="shared" si="173"/>
        <v>6945.6</v>
      </c>
      <c r="S101" s="2275"/>
      <c r="T101" s="2275">
        <f t="shared" si="174"/>
        <v>6945.6</v>
      </c>
      <c r="U101" s="2273"/>
      <c r="V101" s="2274">
        <f>D$98+(D$99+D$101)*$I101+D$100*$J101+D$102*$G101</f>
        <v>8773.0299999999988</v>
      </c>
      <c r="W101" s="2274"/>
      <c r="X101" s="2274">
        <f t="shared" si="175"/>
        <v>8773.0299999999988</v>
      </c>
      <c r="Y101" s="2275"/>
      <c r="Z101" s="2275">
        <f t="shared" si="176"/>
        <v>8773.0299999999988</v>
      </c>
      <c r="AB101" s="2556">
        <f t="shared" si="177"/>
        <v>0.26310613913844705</v>
      </c>
      <c r="AC101" s="2556">
        <f t="shared" si="178"/>
        <v>0.26310613913844705</v>
      </c>
      <c r="AD101" s="2556">
        <f t="shared" si="179"/>
        <v>0.26310613913844705</v>
      </c>
      <c r="AF101" s="2511">
        <f t="shared" si="180"/>
        <v>6.9456000000000004E-2</v>
      </c>
      <c r="AG101" s="2511">
        <f t="shared" si="181"/>
        <v>8.7730299999999983E-2</v>
      </c>
      <c r="AI101" s="2511">
        <f t="shared" si="182"/>
        <v>6.9456000000000004E-2</v>
      </c>
      <c r="AJ101" s="2511">
        <f t="shared" si="183"/>
        <v>8.7730299999999983E-2</v>
      </c>
      <c r="AL101" s="2511">
        <f t="shared" si="184"/>
        <v>6.9456000000000004E-2</v>
      </c>
      <c r="AM101" s="2511">
        <f t="shared" si="185"/>
        <v>6.9456000000000004E-2</v>
      </c>
    </row>
    <row r="102" spans="2:39">
      <c r="B102" s="874" t="s">
        <v>1663</v>
      </c>
      <c r="C102" s="1162">
        <f>'PLIEGO UNIFICADO'!D348</f>
        <v>2.4289999999999999E-2</v>
      </c>
      <c r="D102" s="2504">
        <f>'PLIEGO UNIFICADO'!E348</f>
        <v>2.683E-2</v>
      </c>
      <c r="F102" s="1572" t="s">
        <v>1678</v>
      </c>
      <c r="G102" s="2271">
        <f>SUM(G98:G101)</f>
        <v>190000</v>
      </c>
      <c r="H102" s="2284"/>
      <c r="I102" s="2284"/>
      <c r="J102" s="2284"/>
      <c r="N102" s="2288"/>
      <c r="P102" s="2527">
        <f>SUM(P98:P101)</f>
        <v>14438.210000000001</v>
      </c>
      <c r="Q102" s="2527">
        <f>SUM(Q98:Q101)</f>
        <v>0</v>
      </c>
      <c r="R102" s="2527">
        <f t="shared" si="173"/>
        <v>14438.210000000001</v>
      </c>
      <c r="S102" s="2527"/>
      <c r="T102" s="2527">
        <f t="shared" si="174"/>
        <v>14438.210000000001</v>
      </c>
      <c r="U102" s="2528"/>
      <c r="V102" s="2529">
        <f>SUM(V98:V101)</f>
        <v>18340.899999999998</v>
      </c>
      <c r="W102" s="2529">
        <f>SUM(W98:W101)</f>
        <v>0</v>
      </c>
      <c r="X102" s="2529">
        <f t="shared" si="175"/>
        <v>18340.899999999998</v>
      </c>
      <c r="Y102" s="2527"/>
      <c r="Z102" s="2527">
        <f t="shared" si="176"/>
        <v>18340.899999999998</v>
      </c>
      <c r="AA102" s="2478"/>
      <c r="AB102" s="2559">
        <f t="shared" si="177"/>
        <v>0.2703028976583659</v>
      </c>
      <c r="AC102" s="2559">
        <f t="shared" si="178"/>
        <v>0.2703028976583659</v>
      </c>
      <c r="AD102" s="2559">
        <f t="shared" si="179"/>
        <v>0.2703028976583659</v>
      </c>
      <c r="AE102" s="2478"/>
      <c r="AF102" s="2561">
        <f t="shared" si="180"/>
        <v>7.5990578947368423E-2</v>
      </c>
      <c r="AG102" s="2561">
        <f t="shared" si="181"/>
        <v>9.6531052631578934E-2</v>
      </c>
      <c r="AH102" s="2478"/>
      <c r="AI102" s="2561">
        <f t="shared" si="182"/>
        <v>7.5990578947368423E-2</v>
      </c>
      <c r="AJ102" s="2561">
        <f t="shared" si="183"/>
        <v>9.6531052631578934E-2</v>
      </c>
      <c r="AK102" s="2478"/>
      <c r="AL102" s="2561">
        <f t="shared" si="184"/>
        <v>7.5990578947368423E-2</v>
      </c>
      <c r="AM102" s="2561">
        <f t="shared" si="185"/>
        <v>7.5990578947368423E-2</v>
      </c>
    </row>
    <row r="103" spans="2:39">
      <c r="P103" s="2273"/>
      <c r="Q103" s="2273"/>
      <c r="R103" s="2273"/>
      <c r="S103" s="2273"/>
      <c r="T103" s="2273"/>
      <c r="U103" s="2273"/>
      <c r="V103" s="2273"/>
      <c r="W103" s="2273"/>
      <c r="X103" s="2273"/>
      <c r="Y103" s="2273"/>
      <c r="Z103" s="2273"/>
    </row>
    <row r="104" spans="2:39">
      <c r="C104" s="875"/>
      <c r="F104" s="2269"/>
      <c r="G104" s="2269"/>
      <c r="P104" s="2273"/>
      <c r="Q104" s="2273"/>
      <c r="R104" s="2273"/>
      <c r="S104" s="2273"/>
      <c r="T104" s="2273"/>
      <c r="U104" s="2273"/>
      <c r="V104" s="2273"/>
      <c r="W104" s="2273"/>
      <c r="X104" s="2273"/>
      <c r="Y104" s="2273"/>
      <c r="Z104" s="2273"/>
    </row>
    <row r="105" spans="2:39">
      <c r="B105" s="1161" t="s">
        <v>1679</v>
      </c>
      <c r="C105" s="2269"/>
      <c r="D105" s="1214"/>
      <c r="F105" s="874" t="s">
        <v>1680</v>
      </c>
      <c r="G105" s="1573">
        <v>75000</v>
      </c>
      <c r="H105" s="2285">
        <v>0.6</v>
      </c>
      <c r="I105" s="2282">
        <f>ROUND(G105/(730*H105),0)</f>
        <v>171</v>
      </c>
      <c r="J105" s="2282"/>
      <c r="N105" s="2290"/>
      <c r="P105" s="2275">
        <f>C$106+(C$107+C$108)*$I105+C$109*$G105</f>
        <v>4822.5300000000007</v>
      </c>
      <c r="Q105" s="2275"/>
      <c r="R105" s="2275">
        <f t="shared" ref="R105:R109" si="186">SUM(P105:Q105)</f>
        <v>4822.5300000000007</v>
      </c>
      <c r="S105" s="2275"/>
      <c r="T105" s="2275">
        <f t="shared" ref="T105:T109" si="187">SUM(R105:S105)</f>
        <v>4822.5300000000007</v>
      </c>
      <c r="U105" s="2273"/>
      <c r="V105" s="2274">
        <f>D$106+(D$107+D$108)*$I105+D$109*$G105</f>
        <v>6819.0999999999995</v>
      </c>
      <c r="W105" s="2274"/>
      <c r="X105" s="2274">
        <f t="shared" ref="X105:X109" si="188">SUM(V105:W105)</f>
        <v>6819.0999999999995</v>
      </c>
      <c r="Y105" s="2275"/>
      <c r="Z105" s="2275">
        <f t="shared" ref="Z105:Z109" si="189">SUM(X105:Y105)</f>
        <v>6819.0999999999995</v>
      </c>
      <c r="AB105" s="2556">
        <f t="shared" ref="AB105:AB109" si="190">V105/P105-1</f>
        <v>0.41400882939038186</v>
      </c>
      <c r="AC105" s="2556">
        <f t="shared" ref="AC105:AC109" si="191">X105/R105-1</f>
        <v>0.41400882939038186</v>
      </c>
      <c r="AD105" s="2556">
        <f t="shared" ref="AD105:AD109" si="192">Z105/T105-1</f>
        <v>0.41400882939038186</v>
      </c>
      <c r="AF105" s="2511">
        <f t="shared" ref="AF105:AF109" si="193">($P105+$S105)/$G105</f>
        <v>6.4300400000000008E-2</v>
      </c>
      <c r="AG105" s="2511">
        <f t="shared" ref="AG105:AG109" si="194">($V105+$Y105)/$G105</f>
        <v>9.0921333333333326E-2</v>
      </c>
      <c r="AI105" s="2511">
        <f t="shared" ref="AI105:AI109" si="195">$R105/$G105</f>
        <v>6.4300400000000008E-2</v>
      </c>
      <c r="AJ105" s="2511">
        <f t="shared" ref="AJ105:AJ109" si="196">$X105/$G105</f>
        <v>9.0921333333333326E-2</v>
      </c>
      <c r="AL105" s="2511">
        <f t="shared" ref="AL105:AL109" si="197">$P105/$G105</f>
        <v>6.4300400000000008E-2</v>
      </c>
      <c r="AM105" s="2511">
        <f t="shared" ref="AM105:AM109" si="198">$P105/$G105</f>
        <v>6.4300400000000008E-2</v>
      </c>
    </row>
    <row r="106" spans="2:39">
      <c r="B106" s="874" t="s">
        <v>313</v>
      </c>
      <c r="C106" s="875">
        <f>'PLIEGO UNIFICADO'!D373</f>
        <v>4.53</v>
      </c>
      <c r="D106" s="2500">
        <f>'PLIEGO UNIFICADO'!E373</f>
        <v>5.0199999999999996</v>
      </c>
      <c r="F106" s="874" t="s">
        <v>1680</v>
      </c>
      <c r="G106" s="1573">
        <v>100000</v>
      </c>
      <c r="H106" s="2285">
        <v>0.7</v>
      </c>
      <c r="I106" s="2282">
        <f>ROUND(G106/(730*H106),0)</f>
        <v>196</v>
      </c>
      <c r="J106" s="2282"/>
      <c r="N106" s="2290"/>
      <c r="P106" s="2275">
        <f>C$106+(C$107+C$108)*$I106+C$109*$G106</f>
        <v>5804.5300000000007</v>
      </c>
      <c r="Q106" s="2275"/>
      <c r="R106" s="2275">
        <f t="shared" si="186"/>
        <v>5804.5300000000007</v>
      </c>
      <c r="S106" s="2275"/>
      <c r="T106" s="2275">
        <f t="shared" si="187"/>
        <v>5804.5300000000007</v>
      </c>
      <c r="U106" s="2273"/>
      <c r="V106" s="2274">
        <f>D$106+(D$107+D$108)*$I106+D$109*$G106</f>
        <v>8155.0999999999995</v>
      </c>
      <c r="W106" s="2274"/>
      <c r="X106" s="2274">
        <f t="shared" si="188"/>
        <v>8155.0999999999995</v>
      </c>
      <c r="Y106" s="2275"/>
      <c r="Z106" s="2275">
        <f t="shared" si="189"/>
        <v>8155.0999999999995</v>
      </c>
      <c r="AB106" s="2556">
        <f t="shared" si="190"/>
        <v>0.40495440629990687</v>
      </c>
      <c r="AC106" s="2556">
        <f t="shared" si="191"/>
        <v>0.40495440629990687</v>
      </c>
      <c r="AD106" s="2556">
        <f t="shared" si="192"/>
        <v>0.40495440629990687</v>
      </c>
      <c r="AF106" s="2511">
        <f t="shared" si="193"/>
        <v>5.8045300000000008E-2</v>
      </c>
      <c r="AG106" s="2511">
        <f t="shared" si="194"/>
        <v>8.1550999999999998E-2</v>
      </c>
      <c r="AI106" s="2511">
        <f t="shared" si="195"/>
        <v>5.8045300000000008E-2</v>
      </c>
      <c r="AJ106" s="2511">
        <f t="shared" si="196"/>
        <v>8.1550999999999998E-2</v>
      </c>
      <c r="AL106" s="2511">
        <f t="shared" si="197"/>
        <v>5.8045300000000008E-2</v>
      </c>
      <c r="AM106" s="2511">
        <f t="shared" si="198"/>
        <v>5.8045300000000008E-2</v>
      </c>
    </row>
    <row r="107" spans="2:39">
      <c r="B107" s="874" t="s">
        <v>1658</v>
      </c>
      <c r="C107" s="875">
        <f>'PLIEGO UNIFICADO'!D374</f>
        <v>10.540000000000001</v>
      </c>
      <c r="D107" s="2500">
        <f>'PLIEGO UNIFICADO'!E374</f>
        <v>13.229999999999999</v>
      </c>
      <c r="F107" s="874" t="s">
        <v>1680</v>
      </c>
      <c r="G107" s="1573">
        <v>500000</v>
      </c>
      <c r="H107" s="2285">
        <v>0.8</v>
      </c>
      <c r="I107" s="2282">
        <f>ROUND(G107/(730*H107),0)</f>
        <v>856</v>
      </c>
      <c r="J107" s="2282"/>
      <c r="N107" s="2290"/>
      <c r="P107" s="2275">
        <f>C$106+(C$107+C$108)*$I107+C$109*$G107</f>
        <v>26586.53</v>
      </c>
      <c r="Q107" s="2275"/>
      <c r="R107" s="2275">
        <f t="shared" si="186"/>
        <v>26586.53</v>
      </c>
      <c r="S107" s="2275"/>
      <c r="T107" s="2275">
        <f t="shared" si="187"/>
        <v>26586.53</v>
      </c>
      <c r="U107" s="2273"/>
      <c r="V107" s="2274">
        <f>D$106+(D$107+D$108)*$I107+D$109*$G107</f>
        <v>37130.899999999994</v>
      </c>
      <c r="W107" s="2274"/>
      <c r="X107" s="2274">
        <f t="shared" si="188"/>
        <v>37130.899999999994</v>
      </c>
      <c r="Y107" s="2275"/>
      <c r="Z107" s="2275">
        <f t="shared" si="189"/>
        <v>37130.899999999994</v>
      </c>
      <c r="AB107" s="2556">
        <f t="shared" si="190"/>
        <v>0.39660572477867539</v>
      </c>
      <c r="AC107" s="2556">
        <f t="shared" si="191"/>
        <v>0.39660572477867539</v>
      </c>
      <c r="AD107" s="2556">
        <f t="shared" si="192"/>
        <v>0.39660572477867539</v>
      </c>
      <c r="AF107" s="2511">
        <f t="shared" si="193"/>
        <v>5.3173059999999994E-2</v>
      </c>
      <c r="AG107" s="2511">
        <f t="shared" si="194"/>
        <v>7.4261799999999989E-2</v>
      </c>
      <c r="AI107" s="2511">
        <f t="shared" si="195"/>
        <v>5.3173059999999994E-2</v>
      </c>
      <c r="AJ107" s="2511">
        <f t="shared" si="196"/>
        <v>7.4261799999999989E-2</v>
      </c>
      <c r="AL107" s="2511">
        <f t="shared" si="197"/>
        <v>5.3173059999999994E-2</v>
      </c>
      <c r="AM107" s="2511">
        <f t="shared" si="198"/>
        <v>5.3173059999999994E-2</v>
      </c>
    </row>
    <row r="108" spans="2:39">
      <c r="B108" s="874" t="s">
        <v>1673</v>
      </c>
      <c r="C108" s="875">
        <f>'PLIEGO UNIFICADO'!D375</f>
        <v>8.9600000000000009</v>
      </c>
      <c r="D108" s="2500">
        <f>'PLIEGO UNIFICADO'!E375</f>
        <v>16</v>
      </c>
      <c r="F108" s="874" t="s">
        <v>1680</v>
      </c>
      <c r="G108" s="1573">
        <v>1000000</v>
      </c>
      <c r="H108" s="2285">
        <v>0.9</v>
      </c>
      <c r="I108" s="2282">
        <f>ROUND(G108/(730*H108),0)</f>
        <v>1522</v>
      </c>
      <c r="J108" s="2282"/>
      <c r="N108" s="2290"/>
      <c r="P108" s="2275">
        <f>C$106+(C$107+C$108)*$I108+C$109*$G108</f>
        <v>49463.53</v>
      </c>
      <c r="Q108" s="2275"/>
      <c r="R108" s="2275">
        <f t="shared" si="186"/>
        <v>49463.53</v>
      </c>
      <c r="S108" s="2275"/>
      <c r="T108" s="2275">
        <f t="shared" si="187"/>
        <v>49463.53</v>
      </c>
      <c r="U108" s="2273"/>
      <c r="V108" s="2274">
        <f>D$106+(D$107+D$108)*$I108+D$109*$G108</f>
        <v>68703.079999999987</v>
      </c>
      <c r="W108" s="2274"/>
      <c r="X108" s="2274">
        <f t="shared" si="188"/>
        <v>68703.079999999987</v>
      </c>
      <c r="Y108" s="2275"/>
      <c r="Z108" s="2275">
        <f t="shared" si="189"/>
        <v>68703.079999999987</v>
      </c>
      <c r="AB108" s="2556">
        <f t="shared" si="190"/>
        <v>0.38896435414132369</v>
      </c>
      <c r="AC108" s="2556">
        <f t="shared" si="191"/>
        <v>0.38896435414132369</v>
      </c>
      <c r="AD108" s="2556">
        <f t="shared" si="192"/>
        <v>0.38896435414132369</v>
      </c>
      <c r="AF108" s="2511">
        <f t="shared" si="193"/>
        <v>4.9463529999999999E-2</v>
      </c>
      <c r="AG108" s="2511">
        <f t="shared" si="194"/>
        <v>6.8703079999999986E-2</v>
      </c>
      <c r="AI108" s="2511">
        <f t="shared" si="195"/>
        <v>4.9463529999999999E-2</v>
      </c>
      <c r="AJ108" s="2511">
        <f t="shared" si="196"/>
        <v>6.8703079999999986E-2</v>
      </c>
      <c r="AL108" s="2511">
        <f t="shared" si="197"/>
        <v>4.9463529999999999E-2</v>
      </c>
      <c r="AM108" s="2511">
        <f t="shared" si="198"/>
        <v>4.9463529999999999E-2</v>
      </c>
    </row>
    <row r="109" spans="2:39">
      <c r="B109" s="874" t="s">
        <v>1663</v>
      </c>
      <c r="C109" s="1162">
        <f>'PLIEGO UNIFICADO'!D376</f>
        <v>1.9779999999999999E-2</v>
      </c>
      <c r="D109" s="2504">
        <f>'PLIEGO UNIFICADO'!E376</f>
        <v>2.4209999999999999E-2</v>
      </c>
      <c r="F109" s="1572" t="s">
        <v>1680</v>
      </c>
      <c r="G109" s="2271">
        <f>SUM(G105:G108)</f>
        <v>1675000</v>
      </c>
      <c r="H109" s="2284"/>
      <c r="I109" s="2284"/>
      <c r="J109" s="2284"/>
      <c r="N109" s="2288"/>
      <c r="P109" s="2527">
        <f>SUM(P105:P108)</f>
        <v>86677.119999999995</v>
      </c>
      <c r="Q109" s="2527">
        <f>SUM(Q105:Q108)</f>
        <v>0</v>
      </c>
      <c r="R109" s="2527">
        <f t="shared" si="186"/>
        <v>86677.119999999995</v>
      </c>
      <c r="S109" s="2527"/>
      <c r="T109" s="2527">
        <f t="shared" si="187"/>
        <v>86677.119999999995</v>
      </c>
      <c r="U109" s="2528"/>
      <c r="V109" s="2529">
        <f>SUM(V105:V108)</f>
        <v>120808.17999999998</v>
      </c>
      <c r="W109" s="2529">
        <f>SUM(W105:W108)</f>
        <v>0</v>
      </c>
      <c r="X109" s="2529">
        <f t="shared" si="188"/>
        <v>120808.17999999998</v>
      </c>
      <c r="Y109" s="2527"/>
      <c r="Z109" s="2527">
        <f t="shared" si="189"/>
        <v>120808.17999999998</v>
      </c>
      <c r="AA109" s="2478"/>
      <c r="AB109" s="2559">
        <f t="shared" si="190"/>
        <v>0.3937724280640611</v>
      </c>
      <c r="AC109" s="2559">
        <f t="shared" si="191"/>
        <v>0.3937724280640611</v>
      </c>
      <c r="AD109" s="2559">
        <f t="shared" si="192"/>
        <v>0.3937724280640611</v>
      </c>
      <c r="AE109" s="2478"/>
      <c r="AF109" s="2561">
        <f t="shared" si="193"/>
        <v>5.1747534328358206E-2</v>
      </c>
      <c r="AG109" s="2561">
        <f t="shared" si="194"/>
        <v>7.2124286567164173E-2</v>
      </c>
      <c r="AH109" s="2478"/>
      <c r="AI109" s="2561">
        <f t="shared" si="195"/>
        <v>5.1747534328358206E-2</v>
      </c>
      <c r="AJ109" s="2561">
        <f t="shared" si="196"/>
        <v>7.2124286567164173E-2</v>
      </c>
      <c r="AK109" s="2478"/>
      <c r="AL109" s="2561">
        <f t="shared" si="197"/>
        <v>5.1747534328358206E-2</v>
      </c>
      <c r="AM109" s="2561">
        <f t="shared" si="198"/>
        <v>5.1747534328358206E-2</v>
      </c>
    </row>
    <row r="110" spans="2:39">
      <c r="F110" s="2269"/>
      <c r="G110" s="2269"/>
      <c r="H110" s="2286"/>
      <c r="N110" s="2286"/>
      <c r="P110" s="2273"/>
      <c r="Q110" s="2273"/>
      <c r="R110" s="2273"/>
      <c r="S110" s="2273"/>
      <c r="T110" s="2273"/>
      <c r="U110" s="2273"/>
      <c r="V110" s="2273"/>
      <c r="W110" s="2273"/>
      <c r="X110" s="2273"/>
      <c r="Y110" s="2273"/>
      <c r="Z110" s="2273"/>
    </row>
    <row r="111" spans="2:39">
      <c r="B111" s="1161" t="s">
        <v>1681</v>
      </c>
      <c r="C111" s="2269"/>
      <c r="D111" s="1214"/>
      <c r="F111" s="875"/>
      <c r="G111" s="875"/>
      <c r="H111" s="2285"/>
      <c r="N111" s="2290"/>
      <c r="P111" s="2273"/>
      <c r="Q111" s="2273"/>
      <c r="R111" s="2273"/>
      <c r="S111" s="2273"/>
      <c r="T111" s="2273"/>
      <c r="U111" s="2273"/>
      <c r="V111" s="2273"/>
      <c r="W111" s="2273"/>
      <c r="X111" s="2273"/>
      <c r="Y111" s="2273"/>
      <c r="Z111" s="2273"/>
    </row>
    <row r="112" spans="2:39">
      <c r="B112" s="874" t="s">
        <v>313</v>
      </c>
      <c r="C112" s="875">
        <f>'PLIEGO UNIFICADO'!D397</f>
        <v>4.53</v>
      </c>
      <c r="D112" s="2500">
        <f>'PLIEGO UNIFICADO'!E397</f>
        <v>5.0199999999999996</v>
      </c>
      <c r="F112" s="874" t="s">
        <v>1682</v>
      </c>
      <c r="G112" s="1573">
        <f>G106</f>
        <v>100000</v>
      </c>
      <c r="H112" s="2285">
        <v>0.6</v>
      </c>
      <c r="I112" s="2282">
        <f>ROUND(G112/(730*H112),0)</f>
        <v>228</v>
      </c>
      <c r="J112" s="2282">
        <f t="shared" ref="J112:J115" si="199">ROUND(I112*1.02,0)</f>
        <v>233</v>
      </c>
      <c r="N112" s="2290"/>
      <c r="P112" s="2275">
        <f>C$112+(C$113+C$115)*$I112+C$114*$J112+C$116*$G112</f>
        <v>6511.71</v>
      </c>
      <c r="Q112" s="2275"/>
      <c r="R112" s="2275">
        <f t="shared" ref="R112:R116" si="200">SUM(P112:Q112)</f>
        <v>6511.71</v>
      </c>
      <c r="S112" s="2275"/>
      <c r="T112" s="2275">
        <f t="shared" ref="T112:T116" si="201">SUM(R112:S112)</f>
        <v>6511.71</v>
      </c>
      <c r="U112" s="2273"/>
      <c r="V112" s="2274">
        <f>D$112+(D$113+D$115)*$I112+D$114*$J112+D$116*$G112</f>
        <v>9216.2000000000007</v>
      </c>
      <c r="W112" s="2274"/>
      <c r="X112" s="2274">
        <f t="shared" ref="X112:X116" si="202">SUM(V112:W112)</f>
        <v>9216.2000000000007</v>
      </c>
      <c r="Y112" s="2275"/>
      <c r="Z112" s="2275">
        <f t="shared" ref="Z112:Z116" si="203">SUM(X112:Y112)</f>
        <v>9216.2000000000007</v>
      </c>
      <c r="AB112" s="2556">
        <f t="shared" ref="AB112:AB116" si="204">V112/P112-1</f>
        <v>0.4153271567683452</v>
      </c>
      <c r="AC112" s="2556">
        <f t="shared" ref="AC112:AC116" si="205">X112/R112-1</f>
        <v>0.4153271567683452</v>
      </c>
      <c r="AD112" s="2556">
        <f t="shared" ref="AD112:AD116" si="206">Z112/T112-1</f>
        <v>0.4153271567683452</v>
      </c>
      <c r="AF112" s="2511">
        <f t="shared" ref="AF112:AF116" si="207">($P112+$S112)/$G112</f>
        <v>6.5117099999999997E-2</v>
      </c>
      <c r="AG112" s="2511">
        <f t="shared" ref="AG112:AG116" si="208">($V112+$Y112)/$G112</f>
        <v>9.2162000000000008E-2</v>
      </c>
      <c r="AI112" s="2511">
        <f t="shared" ref="AI112:AI116" si="209">$R112/$G112</f>
        <v>6.5117099999999997E-2</v>
      </c>
      <c r="AJ112" s="2511">
        <f t="shared" ref="AJ112:AJ116" si="210">$X112/$G112</f>
        <v>9.2162000000000008E-2</v>
      </c>
      <c r="AL112" s="2511">
        <f t="shared" ref="AL112:AL116" si="211">$P112/$G112</f>
        <v>6.5117099999999997E-2</v>
      </c>
      <c r="AM112" s="2511">
        <f t="shared" ref="AM112:AM116" si="212">$P112/$G112</f>
        <v>6.5117099999999997E-2</v>
      </c>
    </row>
    <row r="113" spans="2:39">
      <c r="B113" s="874" t="s">
        <v>1676</v>
      </c>
      <c r="C113" s="875">
        <f>'PLIEGO UNIFICADO'!D398</f>
        <v>6.27</v>
      </c>
      <c r="D113" s="2500">
        <f>'PLIEGO UNIFICADO'!E398</f>
        <v>8.25</v>
      </c>
      <c r="F113" s="874" t="s">
        <v>1682</v>
      </c>
      <c r="G113" s="1573">
        <f t="shared" ref="G113:G115" si="213">G107</f>
        <v>500000</v>
      </c>
      <c r="H113" s="2285">
        <v>0.7</v>
      </c>
      <c r="I113" s="2282">
        <f>ROUND(G113/(730*H113),0)</f>
        <v>978</v>
      </c>
      <c r="J113" s="2282">
        <f t="shared" si="199"/>
        <v>998</v>
      </c>
      <c r="N113" s="2290"/>
      <c r="P113" s="2275">
        <f>C$112+(C$113+C$115)*$I113+C$114*$J113+C$116*$G113</f>
        <v>29274.910000000003</v>
      </c>
      <c r="Q113" s="2275"/>
      <c r="R113" s="2275">
        <f t="shared" si="200"/>
        <v>29274.910000000003</v>
      </c>
      <c r="S113" s="2275"/>
      <c r="T113" s="2275">
        <f t="shared" si="201"/>
        <v>29274.910000000003</v>
      </c>
      <c r="U113" s="2273"/>
      <c r="V113" s="2274">
        <f>D$112+(D$113+D$115)*$I113+D$114*$J113+D$116*$G113</f>
        <v>41220.6</v>
      </c>
      <c r="W113" s="2274"/>
      <c r="X113" s="2274">
        <f t="shared" si="202"/>
        <v>41220.6</v>
      </c>
      <c r="Y113" s="2275"/>
      <c r="Z113" s="2275">
        <f t="shared" si="203"/>
        <v>41220.6</v>
      </c>
      <c r="AB113" s="2556">
        <f t="shared" si="204"/>
        <v>0.40805215114239446</v>
      </c>
      <c r="AC113" s="2556">
        <f t="shared" si="205"/>
        <v>0.40805215114239446</v>
      </c>
      <c r="AD113" s="2556">
        <f t="shared" si="206"/>
        <v>0.40805215114239446</v>
      </c>
      <c r="AF113" s="2511">
        <f t="shared" si="207"/>
        <v>5.8549820000000009E-2</v>
      </c>
      <c r="AG113" s="2511">
        <f t="shared" si="208"/>
        <v>8.2441199999999992E-2</v>
      </c>
      <c r="AI113" s="2511">
        <f t="shared" si="209"/>
        <v>5.8549820000000009E-2</v>
      </c>
      <c r="AJ113" s="2511">
        <f t="shared" si="210"/>
        <v>8.2441199999999992E-2</v>
      </c>
      <c r="AL113" s="2511">
        <f t="shared" si="211"/>
        <v>5.8549820000000009E-2</v>
      </c>
      <c r="AM113" s="2511">
        <f t="shared" si="212"/>
        <v>5.8549820000000009E-2</v>
      </c>
    </row>
    <row r="114" spans="2:39">
      <c r="B114" s="874" t="s">
        <v>1677</v>
      </c>
      <c r="C114" s="875">
        <f>'PLIEGO UNIFICADO'!D399</f>
        <v>4.78</v>
      </c>
      <c r="D114" s="2500">
        <f>'PLIEGO UNIFICADO'!E399</f>
        <v>5.46</v>
      </c>
      <c r="F114" s="874" t="s">
        <v>1682</v>
      </c>
      <c r="G114" s="1573">
        <f t="shared" si="213"/>
        <v>1000000</v>
      </c>
      <c r="H114" s="2285">
        <v>0.8</v>
      </c>
      <c r="I114" s="2282">
        <f>ROUND(G114/(730*H114),0)</f>
        <v>1712</v>
      </c>
      <c r="J114" s="2282">
        <f t="shared" si="199"/>
        <v>1746</v>
      </c>
      <c r="N114" s="2290"/>
      <c r="P114" s="2275">
        <f>C$112+(C$113+C$115)*$I114+C$114*$J114+C$116*$G114</f>
        <v>53634.17</v>
      </c>
      <c r="Q114" s="2275"/>
      <c r="R114" s="2275">
        <f t="shared" si="200"/>
        <v>53634.17</v>
      </c>
      <c r="S114" s="2275"/>
      <c r="T114" s="2275">
        <f t="shared" si="201"/>
        <v>53634.17</v>
      </c>
      <c r="U114" s="2273"/>
      <c r="V114" s="2274">
        <f>D$112+(D$113+D$115)*$I114+D$114*$J114+D$116*$G114</f>
        <v>75154.179999999993</v>
      </c>
      <c r="W114" s="2274"/>
      <c r="X114" s="2274">
        <f t="shared" si="202"/>
        <v>75154.179999999993</v>
      </c>
      <c r="Y114" s="2275"/>
      <c r="Z114" s="2275">
        <f t="shared" si="203"/>
        <v>75154.179999999993</v>
      </c>
      <c r="AB114" s="2556">
        <f t="shared" si="204"/>
        <v>0.40123693533432125</v>
      </c>
      <c r="AC114" s="2556">
        <f t="shared" si="205"/>
        <v>0.40123693533432125</v>
      </c>
      <c r="AD114" s="2556">
        <f t="shared" si="206"/>
        <v>0.40123693533432125</v>
      </c>
      <c r="AF114" s="2511">
        <f t="shared" si="207"/>
        <v>5.3634169999999995E-2</v>
      </c>
      <c r="AG114" s="2511">
        <f t="shared" si="208"/>
        <v>7.5154179999999987E-2</v>
      </c>
      <c r="AI114" s="2511">
        <f t="shared" si="209"/>
        <v>5.3634169999999995E-2</v>
      </c>
      <c r="AJ114" s="2511">
        <f t="shared" si="210"/>
        <v>7.5154179999999987E-2</v>
      </c>
      <c r="AL114" s="2511">
        <f t="shared" si="211"/>
        <v>5.3634169999999995E-2</v>
      </c>
      <c r="AM114" s="2511">
        <f t="shared" si="212"/>
        <v>5.3634169999999995E-2</v>
      </c>
    </row>
    <row r="115" spans="2:39">
      <c r="B115" s="874" t="s">
        <v>1673</v>
      </c>
      <c r="C115" s="875">
        <f>'PLIEGO UNIFICADO'!D400</f>
        <v>8.9600000000000009</v>
      </c>
      <c r="D115" s="2500">
        <f>'PLIEGO UNIFICADO'!E400</f>
        <v>16</v>
      </c>
      <c r="F115" s="874" t="s">
        <v>1682</v>
      </c>
      <c r="G115" s="1573">
        <f t="shared" si="213"/>
        <v>1675000</v>
      </c>
      <c r="H115" s="2285">
        <v>0.9</v>
      </c>
      <c r="I115" s="2282">
        <f>ROUND(G115/(730*H115),0)</f>
        <v>2549</v>
      </c>
      <c r="J115" s="2282">
        <f t="shared" si="199"/>
        <v>2600</v>
      </c>
      <c r="N115" s="2290"/>
      <c r="P115" s="2275">
        <f>C$112+(C$113+C$115)*$I115+C$114*$J115+C$116*$G115</f>
        <v>83430.55</v>
      </c>
      <c r="Q115" s="2275"/>
      <c r="R115" s="2275">
        <f t="shared" si="200"/>
        <v>83430.55</v>
      </c>
      <c r="S115" s="2275"/>
      <c r="T115" s="2275">
        <f t="shared" si="201"/>
        <v>83430.55</v>
      </c>
      <c r="U115" s="2273"/>
      <c r="V115" s="2274">
        <f>D$112+(D$113+D$115)*$I115+D$114*$J115+D$116*$G115</f>
        <v>116381.76999999999</v>
      </c>
      <c r="W115" s="2274"/>
      <c r="X115" s="2274">
        <f t="shared" si="202"/>
        <v>116381.76999999999</v>
      </c>
      <c r="Y115" s="2275"/>
      <c r="Z115" s="2275">
        <f t="shared" si="203"/>
        <v>116381.76999999999</v>
      </c>
      <c r="AB115" s="2556">
        <f t="shared" si="204"/>
        <v>0.3949538867956639</v>
      </c>
      <c r="AC115" s="2556">
        <f t="shared" si="205"/>
        <v>0.3949538867956639</v>
      </c>
      <c r="AD115" s="2556">
        <f t="shared" si="206"/>
        <v>0.3949538867956639</v>
      </c>
      <c r="AF115" s="2511">
        <f t="shared" si="207"/>
        <v>4.9809283582089553E-2</v>
      </c>
      <c r="AG115" s="2511">
        <f t="shared" si="208"/>
        <v>6.9481653731343282E-2</v>
      </c>
      <c r="AI115" s="2511">
        <f t="shared" si="209"/>
        <v>4.9809283582089553E-2</v>
      </c>
      <c r="AJ115" s="2511">
        <f t="shared" si="210"/>
        <v>6.9481653731343282E-2</v>
      </c>
      <c r="AL115" s="2511">
        <f t="shared" si="211"/>
        <v>4.9809283582089553E-2</v>
      </c>
      <c r="AM115" s="2511">
        <f t="shared" si="212"/>
        <v>4.9809283582089553E-2</v>
      </c>
    </row>
    <row r="116" spans="2:39">
      <c r="B116" s="874" t="s">
        <v>1663</v>
      </c>
      <c r="C116" s="1162">
        <f>'PLIEGO UNIFICADO'!D401</f>
        <v>1.9209999999999998E-2</v>
      </c>
      <c r="D116" s="2504">
        <f>'PLIEGO UNIFICADO'!E401</f>
        <v>2.4099999999999996E-2</v>
      </c>
      <c r="F116" s="1572" t="s">
        <v>1682</v>
      </c>
      <c r="G116" s="2271">
        <f>SUM(G112:G115)</f>
        <v>3275000</v>
      </c>
      <c r="H116" s="2284"/>
      <c r="I116" s="2284"/>
      <c r="J116" s="2284"/>
      <c r="N116" s="2288"/>
      <c r="P116" s="2527">
        <f>SUM(P112:P115)</f>
        <v>172851.34000000003</v>
      </c>
      <c r="Q116" s="2527">
        <f>SUM(Q112:Q115)</f>
        <v>0</v>
      </c>
      <c r="R116" s="2527">
        <f t="shared" si="200"/>
        <v>172851.34000000003</v>
      </c>
      <c r="S116" s="2527"/>
      <c r="T116" s="2527">
        <f t="shared" si="201"/>
        <v>172851.34000000003</v>
      </c>
      <c r="U116" s="2528"/>
      <c r="V116" s="2529">
        <f>SUM(V112:V115)</f>
        <v>241972.75</v>
      </c>
      <c r="W116" s="2529">
        <f>SUM(W112:W115)</f>
        <v>0</v>
      </c>
      <c r="X116" s="2529">
        <f t="shared" si="202"/>
        <v>241972.75</v>
      </c>
      <c r="Y116" s="2527"/>
      <c r="Z116" s="2527">
        <f t="shared" si="203"/>
        <v>241972.75</v>
      </c>
      <c r="AA116" s="2478"/>
      <c r="AB116" s="2559">
        <f t="shared" si="204"/>
        <v>0.39988935000446024</v>
      </c>
      <c r="AC116" s="2559">
        <f t="shared" si="205"/>
        <v>0.39988935000446024</v>
      </c>
      <c r="AD116" s="2559">
        <f t="shared" si="206"/>
        <v>0.39988935000446024</v>
      </c>
      <c r="AE116" s="2478"/>
      <c r="AF116" s="2561">
        <f t="shared" si="207"/>
        <v>5.2779035114503825E-2</v>
      </c>
      <c r="AG116" s="2561">
        <f t="shared" si="208"/>
        <v>7.3884809160305348E-2</v>
      </c>
      <c r="AH116" s="2478"/>
      <c r="AI116" s="2561">
        <f t="shared" si="209"/>
        <v>5.2779035114503825E-2</v>
      </c>
      <c r="AJ116" s="2561">
        <f t="shared" si="210"/>
        <v>7.3884809160305348E-2</v>
      </c>
      <c r="AK116" s="2478"/>
      <c r="AL116" s="2561">
        <f t="shared" si="211"/>
        <v>5.2779035114503825E-2</v>
      </c>
      <c r="AM116" s="2561">
        <f t="shared" si="212"/>
        <v>5.2779035114503825E-2</v>
      </c>
    </row>
    <row r="117" spans="2:39">
      <c r="C117" s="875"/>
      <c r="F117" s="2269"/>
      <c r="G117" s="2269"/>
      <c r="P117" s="2273"/>
      <c r="Q117" s="2273"/>
      <c r="R117" s="2273"/>
      <c r="S117" s="2273"/>
      <c r="T117" s="2273"/>
      <c r="U117" s="2273"/>
      <c r="V117" s="2273"/>
      <c r="W117" s="2273"/>
      <c r="X117" s="2273"/>
      <c r="Y117" s="2273"/>
      <c r="Z117" s="2273"/>
    </row>
    <row r="118" spans="2:39">
      <c r="B118" s="1161" t="s">
        <v>1685</v>
      </c>
      <c r="C118" s="2269"/>
      <c r="D118" s="1214"/>
      <c r="F118" s="874" t="s">
        <v>1686</v>
      </c>
      <c r="G118" s="1573">
        <v>900000</v>
      </c>
      <c r="H118" s="2285">
        <v>0.7</v>
      </c>
      <c r="I118" s="2282">
        <f>ROUND(G118/(730*H118),0)</f>
        <v>1761</v>
      </c>
      <c r="J118" s="2282"/>
      <c r="N118" s="2290"/>
      <c r="P118" s="2275">
        <f>C$119+(C$120+C$121)*$I118+C$122*$G118</f>
        <v>27539.82</v>
      </c>
      <c r="Q118" s="2275"/>
      <c r="R118" s="2275">
        <f t="shared" ref="R118:R122" si="214">SUM(P118:Q118)</f>
        <v>27539.82</v>
      </c>
      <c r="S118" s="2275"/>
      <c r="T118" s="2275">
        <f t="shared" ref="T118:T122" si="215">SUM(R118:S118)</f>
        <v>27539.82</v>
      </c>
      <c r="U118" s="2273"/>
      <c r="V118" s="2274">
        <f>D$119+(D$120+D$121)*$I118+D$122*$G118</f>
        <v>44873.1</v>
      </c>
      <c r="W118" s="2274"/>
      <c r="X118" s="2274">
        <f t="shared" ref="X118:X122" si="216">SUM(V118:W118)</f>
        <v>44873.1</v>
      </c>
      <c r="Y118" s="2275"/>
      <c r="Z118" s="2275">
        <f t="shared" ref="Z118:Z122" si="217">SUM(X118:Y118)</f>
        <v>44873.1</v>
      </c>
      <c r="AB118" s="2556">
        <f t="shared" ref="AB118:AB122" si="218">V118/P118-1</f>
        <v>0.62938973457342851</v>
      </c>
      <c r="AC118" s="2556">
        <f t="shared" ref="AC118:AC122" si="219">X118/R118-1</f>
        <v>0.62938973457342851</v>
      </c>
      <c r="AD118" s="2556">
        <f t="shared" ref="AD118:AD122" si="220">Z118/T118-1</f>
        <v>0.62938973457342851</v>
      </c>
      <c r="AF118" s="2511">
        <f t="shared" ref="AF118:AF122" si="221">($P118+$S118)/$G118</f>
        <v>3.05998E-2</v>
      </c>
      <c r="AG118" s="2511">
        <f t="shared" ref="AG118:AG122" si="222">($V118+$Y118)/$G118</f>
        <v>4.9859000000000001E-2</v>
      </c>
      <c r="AI118" s="2511">
        <f t="shared" ref="AI118:AI122" si="223">$R118/$G118</f>
        <v>3.05998E-2</v>
      </c>
      <c r="AJ118" s="2511">
        <f t="shared" ref="AJ118:AJ122" si="224">$X118/$G118</f>
        <v>4.9859000000000001E-2</v>
      </c>
      <c r="AL118" s="2511">
        <f t="shared" ref="AL118:AL122" si="225">$P118/$G118</f>
        <v>3.05998E-2</v>
      </c>
      <c r="AM118" s="2511">
        <f t="shared" ref="AM118:AM122" si="226">$P118/$G118</f>
        <v>3.05998E-2</v>
      </c>
    </row>
    <row r="119" spans="2:39">
      <c r="B119" s="874" t="s">
        <v>313</v>
      </c>
      <c r="C119" s="875">
        <f>'PLIEGO UNIFICADO'!D426</f>
        <v>4.53</v>
      </c>
      <c r="D119" s="2500">
        <f>'PLIEGO UNIFICADO'!E426</f>
        <v>5.01</v>
      </c>
      <c r="F119" s="874" t="s">
        <v>1686</v>
      </c>
      <c r="G119" s="1573">
        <v>1000000</v>
      </c>
      <c r="H119" s="2285">
        <v>0.8</v>
      </c>
      <c r="I119" s="2282">
        <f>ROUND(G119/(730*H119),0)</f>
        <v>1712</v>
      </c>
      <c r="J119" s="2282"/>
      <c r="N119" s="2290"/>
      <c r="P119" s="2275">
        <f>C$119+(C$120+C$121)*$I119+C$122*$G119</f>
        <v>27690.21</v>
      </c>
      <c r="Q119" s="2275"/>
      <c r="R119" s="2275">
        <f t="shared" si="214"/>
        <v>27690.21</v>
      </c>
      <c r="S119" s="2275"/>
      <c r="T119" s="2275">
        <f t="shared" si="215"/>
        <v>27690.21</v>
      </c>
      <c r="U119" s="2273"/>
      <c r="V119" s="2274">
        <f>D$119+(D$120+D$121)*$I119+D$122*$G119</f>
        <v>44796.29</v>
      </c>
      <c r="W119" s="2274"/>
      <c r="X119" s="2274">
        <f t="shared" si="216"/>
        <v>44796.29</v>
      </c>
      <c r="Y119" s="2275"/>
      <c r="Z119" s="2275">
        <f t="shared" si="217"/>
        <v>44796.29</v>
      </c>
      <c r="AB119" s="2556">
        <f t="shared" si="218"/>
        <v>0.61776635135667091</v>
      </c>
      <c r="AC119" s="2556">
        <f t="shared" si="219"/>
        <v>0.61776635135667091</v>
      </c>
      <c r="AD119" s="2556">
        <f t="shared" si="220"/>
        <v>0.61776635135667091</v>
      </c>
      <c r="AF119" s="2511">
        <f t="shared" si="221"/>
        <v>2.769021E-2</v>
      </c>
      <c r="AG119" s="2511">
        <f t="shared" si="222"/>
        <v>4.4796290000000002E-2</v>
      </c>
      <c r="AI119" s="2511">
        <f t="shared" si="223"/>
        <v>2.769021E-2</v>
      </c>
      <c r="AJ119" s="2511">
        <f t="shared" si="224"/>
        <v>4.4796290000000002E-2</v>
      </c>
      <c r="AL119" s="2511">
        <f t="shared" si="225"/>
        <v>2.769021E-2</v>
      </c>
      <c r="AM119" s="2511">
        <f t="shared" si="226"/>
        <v>2.769021E-2</v>
      </c>
    </row>
    <row r="120" spans="2:39">
      <c r="B120" s="874" t="s">
        <v>1658</v>
      </c>
      <c r="C120" s="875">
        <f>'PLIEGO UNIFICADO'!D427</f>
        <v>2.9299999999999997</v>
      </c>
      <c r="D120" s="2500">
        <f>'PLIEGO UNIFICADO'!E427</f>
        <v>4.6899999999999995</v>
      </c>
      <c r="F120" s="874" t="s">
        <v>1686</v>
      </c>
      <c r="G120" s="1573">
        <v>5000000</v>
      </c>
      <c r="H120" s="2285">
        <v>0.9</v>
      </c>
      <c r="I120" s="2282">
        <f>ROUND(G120/(730*H120),0)</f>
        <v>7610</v>
      </c>
      <c r="J120" s="2282"/>
      <c r="N120" s="2290"/>
      <c r="P120" s="2275">
        <f>C$119+(C$120+C$121)*$I120+C$122*$G120</f>
        <v>127137.43000000001</v>
      </c>
      <c r="Q120" s="2275"/>
      <c r="R120" s="2275">
        <f t="shared" si="214"/>
        <v>127137.43000000001</v>
      </c>
      <c r="S120" s="2275"/>
      <c r="T120" s="2275">
        <f t="shared" si="215"/>
        <v>127137.43000000001</v>
      </c>
      <c r="U120" s="2273"/>
      <c r="V120" s="2274">
        <f>D$119+(D$120+D$121)*$I120+D$122*$G120</f>
        <v>204305.91</v>
      </c>
      <c r="W120" s="2274"/>
      <c r="X120" s="2274">
        <f t="shared" si="216"/>
        <v>204305.91</v>
      </c>
      <c r="Y120" s="2275"/>
      <c r="Z120" s="2275">
        <f t="shared" si="217"/>
        <v>204305.91</v>
      </c>
      <c r="AB120" s="2556">
        <f t="shared" si="218"/>
        <v>0.60696900983447599</v>
      </c>
      <c r="AC120" s="2556">
        <f t="shared" si="219"/>
        <v>0.60696900983447599</v>
      </c>
      <c r="AD120" s="2556">
        <f t="shared" si="220"/>
        <v>0.60696900983447599</v>
      </c>
      <c r="AF120" s="2511">
        <f t="shared" si="221"/>
        <v>2.5427486000000003E-2</v>
      </c>
      <c r="AG120" s="2511">
        <f t="shared" si="222"/>
        <v>4.0861182000000003E-2</v>
      </c>
      <c r="AI120" s="2511">
        <f t="shared" si="223"/>
        <v>2.5427486000000003E-2</v>
      </c>
      <c r="AJ120" s="2511">
        <f t="shared" si="224"/>
        <v>4.0861182000000003E-2</v>
      </c>
      <c r="AL120" s="2511">
        <f t="shared" si="225"/>
        <v>2.5427486000000003E-2</v>
      </c>
      <c r="AM120" s="2511">
        <f t="shared" si="226"/>
        <v>2.5427486000000003E-2</v>
      </c>
    </row>
    <row r="121" spans="2:39">
      <c r="B121" s="874" t="s">
        <v>1673</v>
      </c>
      <c r="C121" s="875">
        <f>'PLIEGO UNIFICADO'!D428</f>
        <v>8.9600000000000009</v>
      </c>
      <c r="D121" s="2500">
        <f>'PLIEGO UNIFICADO'!E428</f>
        <v>16</v>
      </c>
      <c r="F121" s="874" t="s">
        <v>1686</v>
      </c>
      <c r="G121" s="1573">
        <v>10000000</v>
      </c>
      <c r="H121" s="2285">
        <v>0.95</v>
      </c>
      <c r="I121" s="2282">
        <f>ROUND(G121/(730*H121),0)</f>
        <v>14420</v>
      </c>
      <c r="J121" s="2282"/>
      <c r="N121" s="2290"/>
      <c r="P121" s="2275">
        <f>C$119+(C$120+C$121)*$I121+C$122*$G121</f>
        <v>244758.33000000002</v>
      </c>
      <c r="Q121" s="2275"/>
      <c r="R121" s="2275">
        <f t="shared" si="214"/>
        <v>244758.33000000002</v>
      </c>
      <c r="S121" s="2275"/>
      <c r="T121" s="2275">
        <f t="shared" si="215"/>
        <v>244758.33000000002</v>
      </c>
      <c r="U121" s="2273"/>
      <c r="V121" s="2274">
        <f>D$119+(D$120+D$121)*$I121+D$122*$G121</f>
        <v>392054.81</v>
      </c>
      <c r="W121" s="2274"/>
      <c r="X121" s="2274">
        <f t="shared" si="216"/>
        <v>392054.81</v>
      </c>
      <c r="Y121" s="2275"/>
      <c r="Z121" s="2275">
        <f t="shared" si="217"/>
        <v>392054.81</v>
      </c>
      <c r="AB121" s="2556">
        <f t="shared" si="218"/>
        <v>0.60180374657728697</v>
      </c>
      <c r="AC121" s="2556">
        <f t="shared" si="219"/>
        <v>0.60180374657728697</v>
      </c>
      <c r="AD121" s="2556">
        <f t="shared" si="220"/>
        <v>0.60180374657728697</v>
      </c>
      <c r="AF121" s="2511">
        <f t="shared" si="221"/>
        <v>2.4475833000000002E-2</v>
      </c>
      <c r="AG121" s="2511">
        <f t="shared" si="222"/>
        <v>3.9205481E-2</v>
      </c>
      <c r="AI121" s="2511">
        <f t="shared" si="223"/>
        <v>2.4475833000000002E-2</v>
      </c>
      <c r="AJ121" s="2511">
        <f t="shared" si="224"/>
        <v>3.9205481E-2</v>
      </c>
      <c r="AL121" s="2511">
        <f t="shared" si="225"/>
        <v>2.4475833000000002E-2</v>
      </c>
      <c r="AM121" s="2511">
        <f t="shared" si="226"/>
        <v>2.4475833000000002E-2</v>
      </c>
    </row>
    <row r="122" spans="2:39">
      <c r="B122" s="874" t="s">
        <v>1663</v>
      </c>
      <c r="C122" s="1162">
        <f>'PLIEGO UNIFICADO'!D429</f>
        <v>7.3299999999999997E-3</v>
      </c>
      <c r="D122" s="2504">
        <f>'PLIEGO UNIFICADO'!E429</f>
        <v>9.3699999999999999E-3</v>
      </c>
      <c r="F122" s="1572" t="s">
        <v>1686</v>
      </c>
      <c r="G122" s="2271">
        <f>SUM(G118:G121)</f>
        <v>16900000</v>
      </c>
      <c r="H122" s="2284"/>
      <c r="I122" s="2284"/>
      <c r="J122" s="2284"/>
      <c r="N122" s="2288"/>
      <c r="P122" s="2527">
        <f>SUM(P118:P121)</f>
        <v>427125.79000000004</v>
      </c>
      <c r="Q122" s="2527">
        <f>SUM(Q118:Q121)</f>
        <v>0</v>
      </c>
      <c r="R122" s="2527">
        <f t="shared" si="214"/>
        <v>427125.79000000004</v>
      </c>
      <c r="S122" s="2527"/>
      <c r="T122" s="2527">
        <f t="shared" si="215"/>
        <v>427125.79000000004</v>
      </c>
      <c r="U122" s="2528"/>
      <c r="V122" s="2529">
        <f>SUM(V118:V121)</f>
        <v>686030.11</v>
      </c>
      <c r="W122" s="2529">
        <f>SUM(W118:W121)</f>
        <v>0</v>
      </c>
      <c r="X122" s="2529">
        <f t="shared" si="216"/>
        <v>686030.11</v>
      </c>
      <c r="Y122" s="2527"/>
      <c r="Z122" s="2527">
        <f t="shared" si="217"/>
        <v>686030.11</v>
      </c>
      <c r="AA122" s="2478"/>
      <c r="AB122" s="2559">
        <f t="shared" si="218"/>
        <v>0.60615473488500871</v>
      </c>
      <c r="AC122" s="2559">
        <f t="shared" si="219"/>
        <v>0.60615473488500871</v>
      </c>
      <c r="AD122" s="2559">
        <f t="shared" si="220"/>
        <v>0.60615473488500871</v>
      </c>
      <c r="AE122" s="2478"/>
      <c r="AF122" s="2561">
        <f t="shared" si="221"/>
        <v>2.5273715384615387E-2</v>
      </c>
      <c r="AG122" s="2561">
        <f t="shared" si="222"/>
        <v>4.0593497633136091E-2</v>
      </c>
      <c r="AH122" s="2478"/>
      <c r="AI122" s="2561">
        <f t="shared" si="223"/>
        <v>2.5273715384615387E-2</v>
      </c>
      <c r="AJ122" s="2561">
        <f t="shared" si="224"/>
        <v>4.0593497633136091E-2</v>
      </c>
      <c r="AK122" s="2478"/>
      <c r="AL122" s="2561">
        <f t="shared" si="225"/>
        <v>2.5273715384615387E-2</v>
      </c>
      <c r="AM122" s="2561">
        <f t="shared" si="226"/>
        <v>2.5273715384615387E-2</v>
      </c>
    </row>
    <row r="123" spans="2:39">
      <c r="F123" s="2269"/>
      <c r="G123" s="2269"/>
      <c r="H123" s="2286"/>
      <c r="N123" s="2286"/>
      <c r="P123" s="2273"/>
      <c r="Q123" s="2273"/>
      <c r="R123" s="2273"/>
      <c r="S123" s="2273"/>
      <c r="T123" s="2273"/>
      <c r="U123" s="2273"/>
      <c r="V123" s="2273"/>
      <c r="W123" s="2273"/>
      <c r="X123" s="2273"/>
      <c r="Y123" s="2273"/>
      <c r="Z123" s="2273"/>
    </row>
    <row r="124" spans="2:39">
      <c r="B124" s="1161" t="s">
        <v>1683</v>
      </c>
      <c r="C124" s="2269"/>
      <c r="D124" s="1214"/>
      <c r="F124" s="875"/>
      <c r="G124" s="875"/>
      <c r="H124" s="2285"/>
      <c r="N124" s="2290"/>
      <c r="P124" s="2273"/>
      <c r="Q124" s="2273"/>
      <c r="R124" s="2273"/>
      <c r="S124" s="2273"/>
      <c r="T124" s="2273"/>
      <c r="U124" s="2273"/>
      <c r="V124" s="2273"/>
      <c r="W124" s="2273"/>
      <c r="X124" s="2273"/>
      <c r="Y124" s="2273"/>
      <c r="Z124" s="2273"/>
    </row>
    <row r="125" spans="2:39">
      <c r="B125" s="874" t="s">
        <v>313</v>
      </c>
      <c r="C125" s="875">
        <f>'PLIEGO UNIFICADO'!D450</f>
        <v>4.53</v>
      </c>
      <c r="D125" s="2500">
        <f>'PLIEGO UNIFICADO'!E450</f>
        <v>5.01</v>
      </c>
      <c r="F125" s="874" t="s">
        <v>1684</v>
      </c>
      <c r="G125" s="1573">
        <f>G119</f>
        <v>1000000</v>
      </c>
      <c r="H125" s="2285">
        <v>0.7</v>
      </c>
      <c r="I125" s="2282">
        <f>ROUND(G125/(730*H125),0)</f>
        <v>1957</v>
      </c>
      <c r="J125" s="2282">
        <f>ROUND(I125*1.02,0)</f>
        <v>1996</v>
      </c>
      <c r="N125" s="2290"/>
      <c r="P125" s="2275">
        <f>C$125+(C$126+C$128)*$I125+C$127*$J125+C$129*$G125</f>
        <v>30888.33</v>
      </c>
      <c r="Q125" s="2275"/>
      <c r="R125" s="2275">
        <f t="shared" ref="R125:R129" si="227">SUM(P125:Q125)</f>
        <v>30888.33</v>
      </c>
      <c r="S125" s="2275"/>
      <c r="T125" s="2275">
        <f t="shared" ref="T125:T129" si="228">SUM(R125:S125)</f>
        <v>30888.33</v>
      </c>
      <c r="U125" s="2273"/>
      <c r="V125" s="2274">
        <f>D$125+(D$126+D$128)*$I125+D$127*$J125+D$129*$G125</f>
        <v>49535.99</v>
      </c>
      <c r="W125" s="2274"/>
      <c r="X125" s="2274">
        <f t="shared" ref="X125:X129" si="229">SUM(V125:W125)</f>
        <v>49535.99</v>
      </c>
      <c r="Y125" s="2275"/>
      <c r="Z125" s="2275">
        <f t="shared" ref="Z125:Z129" si="230">SUM(X125:Y125)</f>
        <v>49535.99</v>
      </c>
      <c r="AB125" s="2556">
        <f t="shared" ref="AB125:AB129" si="231">V125/P125-1</f>
        <v>0.60371214630250303</v>
      </c>
      <c r="AC125" s="2556">
        <f t="shared" ref="AC125:AC129" si="232">X125/R125-1</f>
        <v>0.60371214630250303</v>
      </c>
      <c r="AD125" s="2556">
        <f t="shared" ref="AD125:AD129" si="233">Z125/T125-1</f>
        <v>0.60371214630250303</v>
      </c>
      <c r="AF125" s="2511">
        <f t="shared" ref="AF125:AF129" si="234">($P125+$S125)/$G125</f>
        <v>3.0888330000000002E-2</v>
      </c>
      <c r="AG125" s="2511">
        <f t="shared" ref="AG125:AG129" si="235">($V125+$Y125)/$G125</f>
        <v>4.9535989999999995E-2</v>
      </c>
      <c r="AI125" s="2511">
        <f t="shared" ref="AI125:AI129" si="236">$R125/$G125</f>
        <v>3.0888330000000002E-2</v>
      </c>
      <c r="AJ125" s="2511">
        <f t="shared" ref="AJ125:AJ129" si="237">$X125/$G125</f>
        <v>4.9535989999999995E-2</v>
      </c>
      <c r="AL125" s="2511">
        <f t="shared" ref="AL125:AL129" si="238">$P125/$G125</f>
        <v>3.0888330000000002E-2</v>
      </c>
      <c r="AM125" s="2511">
        <f t="shared" ref="AM125:AM129" si="239">$P125/$G125</f>
        <v>3.0888330000000002E-2</v>
      </c>
    </row>
    <row r="126" spans="2:39">
      <c r="B126" s="874" t="s">
        <v>1676</v>
      </c>
      <c r="C126" s="875">
        <f>'PLIEGO UNIFICADO'!D451</f>
        <v>2.2800000000000002</v>
      </c>
      <c r="D126" s="2500">
        <f>'PLIEGO UNIFICADO'!E451</f>
        <v>3.8999999999999995</v>
      </c>
      <c r="F126" s="874" t="s">
        <v>1684</v>
      </c>
      <c r="G126" s="1573">
        <f t="shared" ref="G126:G128" si="240">G120</f>
        <v>5000000</v>
      </c>
      <c r="H126" s="2285">
        <v>0.8</v>
      </c>
      <c r="I126" s="2282">
        <f>ROUND(G126/(730*H126),0)</f>
        <v>8562</v>
      </c>
      <c r="J126" s="2282">
        <f t="shared" ref="J126:J128" si="241">ROUND(I126*1.02,0)</f>
        <v>8733</v>
      </c>
      <c r="N126" s="2290"/>
      <c r="P126" s="2275">
        <f>C$125+(C$126+C$128)*$I126+C$127*$J126+C$129*$G126</f>
        <v>139779.17000000001</v>
      </c>
      <c r="Q126" s="2275"/>
      <c r="R126" s="2275">
        <f t="shared" si="227"/>
        <v>139779.17000000001</v>
      </c>
      <c r="S126" s="2275"/>
      <c r="T126" s="2275">
        <f t="shared" si="228"/>
        <v>139779.17000000001</v>
      </c>
      <c r="U126" s="2273"/>
      <c r="V126" s="2274">
        <f>D$125+(D$126+D$128)*$I126+D$127*$J126+D$129*$G126</f>
        <v>222287.2</v>
      </c>
      <c r="W126" s="2274"/>
      <c r="X126" s="2274">
        <f t="shared" si="229"/>
        <v>222287.2</v>
      </c>
      <c r="Y126" s="2275"/>
      <c r="Z126" s="2275">
        <f t="shared" si="230"/>
        <v>222287.2</v>
      </c>
      <c r="AB126" s="2556">
        <f t="shared" si="231"/>
        <v>0.59027414456674765</v>
      </c>
      <c r="AC126" s="2556">
        <f t="shared" si="232"/>
        <v>0.59027414456674765</v>
      </c>
      <c r="AD126" s="2556">
        <f t="shared" si="233"/>
        <v>0.59027414456674765</v>
      </c>
      <c r="AF126" s="2511">
        <f t="shared" si="234"/>
        <v>2.7955834000000002E-2</v>
      </c>
      <c r="AG126" s="2511">
        <f t="shared" si="235"/>
        <v>4.4457440000000001E-2</v>
      </c>
      <c r="AI126" s="2511">
        <f t="shared" si="236"/>
        <v>2.7955834000000002E-2</v>
      </c>
      <c r="AJ126" s="2511">
        <f t="shared" si="237"/>
        <v>4.4457440000000001E-2</v>
      </c>
      <c r="AL126" s="2511">
        <f t="shared" si="238"/>
        <v>2.7955834000000002E-2</v>
      </c>
      <c r="AM126" s="2511">
        <f t="shared" si="239"/>
        <v>2.7955834000000002E-2</v>
      </c>
    </row>
    <row r="127" spans="2:39">
      <c r="B127" s="874" t="s">
        <v>1677</v>
      </c>
      <c r="C127" s="875">
        <f>'PLIEGO UNIFICADO'!D452</f>
        <v>0.72</v>
      </c>
      <c r="D127" s="2500">
        <f>'PLIEGO UNIFICADO'!E452</f>
        <v>0.83</v>
      </c>
      <c r="F127" s="874" t="s">
        <v>1684</v>
      </c>
      <c r="G127" s="1573">
        <f t="shared" si="240"/>
        <v>10000000</v>
      </c>
      <c r="H127" s="2285">
        <v>0.9</v>
      </c>
      <c r="I127" s="2282">
        <f>ROUND(G127/(730*H127),0)</f>
        <v>15221</v>
      </c>
      <c r="J127" s="2282">
        <f t="shared" si="241"/>
        <v>15525</v>
      </c>
      <c r="N127" s="2290"/>
      <c r="P127" s="2275">
        <f>C$125+(C$126+C$128)*$I127+C$127*$J127+C$129*$G127</f>
        <v>256766.57000000004</v>
      </c>
      <c r="Q127" s="2275"/>
      <c r="R127" s="2275">
        <f t="shared" si="227"/>
        <v>256766.57000000004</v>
      </c>
      <c r="S127" s="2275"/>
      <c r="T127" s="2275">
        <f t="shared" si="228"/>
        <v>256766.57000000004</v>
      </c>
      <c r="U127" s="2273"/>
      <c r="V127" s="2274">
        <f>D$125+(D$126+D$128)*$I127+D$127*$J127+D$129*$G127</f>
        <v>405088.66</v>
      </c>
      <c r="W127" s="2274"/>
      <c r="X127" s="2274">
        <f t="shared" si="229"/>
        <v>405088.66</v>
      </c>
      <c r="Y127" s="2275"/>
      <c r="Z127" s="2275">
        <f t="shared" si="230"/>
        <v>405088.66</v>
      </c>
      <c r="AB127" s="2556">
        <f t="shared" si="231"/>
        <v>0.57765343050693829</v>
      </c>
      <c r="AC127" s="2556">
        <f t="shared" si="232"/>
        <v>0.57765343050693829</v>
      </c>
      <c r="AD127" s="2556">
        <f t="shared" si="233"/>
        <v>0.57765343050693829</v>
      </c>
      <c r="AF127" s="2511">
        <f t="shared" si="234"/>
        <v>2.5676657000000002E-2</v>
      </c>
      <c r="AG127" s="2511">
        <f t="shared" si="235"/>
        <v>4.0508865999999998E-2</v>
      </c>
      <c r="AI127" s="2511">
        <f t="shared" si="236"/>
        <v>2.5676657000000002E-2</v>
      </c>
      <c r="AJ127" s="2511">
        <f t="shared" si="237"/>
        <v>4.0508865999999998E-2</v>
      </c>
      <c r="AL127" s="2511">
        <f t="shared" si="238"/>
        <v>2.5676657000000002E-2</v>
      </c>
      <c r="AM127" s="2511">
        <f t="shared" si="239"/>
        <v>2.5676657000000002E-2</v>
      </c>
    </row>
    <row r="128" spans="2:39">
      <c r="B128" s="874" t="s">
        <v>1673</v>
      </c>
      <c r="C128" s="875">
        <f>'PLIEGO UNIFICADO'!D453</f>
        <v>8.9600000000000009</v>
      </c>
      <c r="D128" s="2500">
        <f>'PLIEGO UNIFICADO'!E453</f>
        <v>16</v>
      </c>
      <c r="F128" s="874" t="s">
        <v>1684</v>
      </c>
      <c r="G128" s="1573">
        <f t="shared" si="240"/>
        <v>16900000</v>
      </c>
      <c r="H128" s="2285">
        <v>0.95</v>
      </c>
      <c r="I128" s="2282">
        <f>ROUND(G128/(730*H128),0)</f>
        <v>24369</v>
      </c>
      <c r="J128" s="2282">
        <f t="shared" si="241"/>
        <v>24856</v>
      </c>
      <c r="N128" s="2290"/>
      <c r="P128" s="2275">
        <f>C$125+(C$126+C$128)*$I128+C$127*$J128+C$129*$G128</f>
        <v>417713.41000000009</v>
      </c>
      <c r="Q128" s="2275"/>
      <c r="R128" s="2275">
        <f t="shared" si="227"/>
        <v>417713.41000000009</v>
      </c>
      <c r="S128" s="2275"/>
      <c r="T128" s="2275">
        <f t="shared" si="228"/>
        <v>417713.41000000009</v>
      </c>
      <c r="U128" s="2273"/>
      <c r="V128" s="2274">
        <f>D$125+(D$126+D$128)*$I128+D$127*$J128+D$129*$G128</f>
        <v>656495.59</v>
      </c>
      <c r="W128" s="2274"/>
      <c r="X128" s="2274">
        <f t="shared" si="229"/>
        <v>656495.59</v>
      </c>
      <c r="Y128" s="2275"/>
      <c r="Z128" s="2275">
        <f t="shared" si="230"/>
        <v>656495.59</v>
      </c>
      <c r="AB128" s="2556">
        <f t="shared" si="231"/>
        <v>0.57164116421352107</v>
      </c>
      <c r="AC128" s="2556">
        <f t="shared" si="232"/>
        <v>0.57164116421352107</v>
      </c>
      <c r="AD128" s="2556">
        <f t="shared" si="233"/>
        <v>0.57164116421352107</v>
      </c>
      <c r="AF128" s="2511">
        <f t="shared" si="234"/>
        <v>2.4716769822485211E-2</v>
      </c>
      <c r="AG128" s="2511">
        <f t="shared" si="235"/>
        <v>3.8845892899408284E-2</v>
      </c>
      <c r="AI128" s="2511">
        <f t="shared" si="236"/>
        <v>2.4716769822485211E-2</v>
      </c>
      <c r="AJ128" s="2511">
        <f t="shared" si="237"/>
        <v>3.8845892899408284E-2</v>
      </c>
      <c r="AL128" s="2511">
        <f t="shared" si="238"/>
        <v>2.4716769822485211E-2</v>
      </c>
      <c r="AM128" s="2511">
        <f t="shared" si="239"/>
        <v>2.4716769822485211E-2</v>
      </c>
    </row>
    <row r="129" spans="2:39">
      <c r="B129" s="874" t="s">
        <v>1663</v>
      </c>
      <c r="C129" s="1162">
        <f>'PLIEGO UNIFICADO'!D454</f>
        <v>7.45E-3</v>
      </c>
      <c r="D129" s="2504">
        <f>'PLIEGO UNIFICADO'!E454</f>
        <v>8.9300000000000004E-3</v>
      </c>
      <c r="F129" s="1572" t="s">
        <v>1684</v>
      </c>
      <c r="G129" s="2271">
        <f>SUM(G125:G128)</f>
        <v>32900000</v>
      </c>
      <c r="H129" s="2284"/>
      <c r="I129" s="2284"/>
      <c r="J129" s="2284"/>
      <c r="N129" s="2288"/>
      <c r="P129" s="2527">
        <f>SUM(P125:P128)</f>
        <v>845147.48000000021</v>
      </c>
      <c r="Q129" s="2527">
        <f>SUM(Q125:Q128)</f>
        <v>0</v>
      </c>
      <c r="R129" s="2527">
        <f t="shared" si="227"/>
        <v>845147.48000000021</v>
      </c>
      <c r="S129" s="2527"/>
      <c r="T129" s="2527">
        <f t="shared" si="228"/>
        <v>845147.48000000021</v>
      </c>
      <c r="U129" s="2528"/>
      <c r="V129" s="2529">
        <f>SUM(V125:V128)</f>
        <v>1333407.44</v>
      </c>
      <c r="W129" s="2529">
        <f>SUM(W125:W128)</f>
        <v>0</v>
      </c>
      <c r="X129" s="2529">
        <f t="shared" si="229"/>
        <v>1333407.44</v>
      </c>
      <c r="Y129" s="2527"/>
      <c r="Z129" s="2527">
        <f t="shared" si="230"/>
        <v>1333407.44</v>
      </c>
      <c r="AA129" s="2478"/>
      <c r="AB129" s="2559">
        <f t="shared" si="231"/>
        <v>0.5777216066478712</v>
      </c>
      <c r="AC129" s="2559">
        <f t="shared" si="232"/>
        <v>0.5777216066478712</v>
      </c>
      <c r="AD129" s="2559">
        <f t="shared" si="233"/>
        <v>0.5777216066478712</v>
      </c>
      <c r="AE129" s="2478"/>
      <c r="AF129" s="2561">
        <f t="shared" si="234"/>
        <v>2.5688373252279642E-2</v>
      </c>
      <c r="AG129" s="2561">
        <f t="shared" si="235"/>
        <v>4.052910151975684E-2</v>
      </c>
      <c r="AH129" s="2478"/>
      <c r="AI129" s="2561">
        <f t="shared" si="236"/>
        <v>2.5688373252279642E-2</v>
      </c>
      <c r="AJ129" s="2561">
        <f t="shared" si="237"/>
        <v>4.052910151975684E-2</v>
      </c>
      <c r="AK129" s="2478"/>
      <c r="AL129" s="2561">
        <f t="shared" si="238"/>
        <v>2.5688373252279642E-2</v>
      </c>
      <c r="AM129" s="2561">
        <f t="shared" si="239"/>
        <v>2.5688373252279642E-2</v>
      </c>
    </row>
    <row r="130" spans="2:39">
      <c r="P130" s="2273"/>
      <c r="Q130" s="2273"/>
      <c r="R130" s="2273"/>
      <c r="S130" s="2273"/>
      <c r="T130" s="2273"/>
      <c r="U130" s="2273"/>
      <c r="V130" s="2273"/>
      <c r="W130" s="2273"/>
      <c r="X130" s="2273"/>
      <c r="Y130" s="2273"/>
      <c r="Z130" s="2273"/>
    </row>
    <row r="131" spans="2:39">
      <c r="P131" s="2273"/>
      <c r="Q131" s="2273"/>
      <c r="R131" s="2273"/>
      <c r="S131" s="2273"/>
      <c r="T131" s="2273"/>
      <c r="U131" s="2273"/>
      <c r="V131" s="2273"/>
      <c r="W131" s="2273"/>
      <c r="X131" s="2273"/>
      <c r="Y131" s="2273"/>
      <c r="Z131" s="2273"/>
    </row>
    <row r="132" spans="2:39">
      <c r="P132" s="2273"/>
      <c r="Q132" s="2273"/>
      <c r="R132" s="2273"/>
      <c r="S132" s="2273"/>
      <c r="T132" s="2273"/>
      <c r="U132" s="2273"/>
      <c r="V132" s="2273"/>
      <c r="W132" s="2273"/>
      <c r="X132" s="2273"/>
      <c r="Y132" s="2273"/>
      <c r="Z132" s="2273"/>
    </row>
    <row r="133" spans="2:39">
      <c r="P133" s="2273"/>
      <c r="Q133" s="2273"/>
      <c r="R133" s="2273"/>
      <c r="S133" s="2273"/>
      <c r="T133" s="2273"/>
      <c r="U133" s="2273"/>
      <c r="V133" s="2273"/>
      <c r="W133" s="2273"/>
      <c r="X133" s="2273"/>
      <c r="Y133" s="2273"/>
      <c r="Z133" s="2273"/>
    </row>
    <row r="134" spans="2:39">
      <c r="P134" s="2273"/>
      <c r="Q134" s="2273"/>
      <c r="R134" s="2273"/>
      <c r="S134" s="2273"/>
      <c r="T134" s="2273"/>
      <c r="U134" s="2273"/>
      <c r="V134" s="2273"/>
      <c r="W134" s="2273"/>
      <c r="X134" s="2273"/>
      <c r="Y134" s="2273"/>
      <c r="Z134" s="2273"/>
    </row>
    <row r="135" spans="2:39">
      <c r="P135" s="2273"/>
      <c r="Q135" s="2273"/>
      <c r="R135" s="2273"/>
      <c r="S135" s="2273"/>
      <c r="T135" s="2273"/>
      <c r="U135" s="2273"/>
      <c r="V135" s="2273"/>
      <c r="W135" s="2273"/>
      <c r="X135" s="2273"/>
      <c r="Y135" s="2273"/>
      <c r="Z135" s="2273"/>
    </row>
    <row r="136" spans="2:39">
      <c r="P136" s="2273"/>
      <c r="Q136" s="2273"/>
      <c r="R136" s="2273"/>
      <c r="S136" s="2273"/>
      <c r="T136" s="2273"/>
      <c r="U136" s="2273"/>
      <c r="V136" s="2273"/>
      <c r="W136" s="2273"/>
      <c r="X136" s="2273"/>
      <c r="Y136" s="2273"/>
      <c r="Z136" s="2273"/>
    </row>
    <row r="137" spans="2:39">
      <c r="P137" s="2273"/>
      <c r="Q137" s="2273"/>
      <c r="R137" s="2273"/>
      <c r="S137" s="2273"/>
      <c r="T137" s="2273"/>
      <c r="U137" s="2273"/>
      <c r="V137" s="2273"/>
      <c r="W137" s="2273"/>
      <c r="X137" s="2273"/>
      <c r="Y137" s="2273"/>
      <c r="Z137" s="2273"/>
    </row>
    <row r="138" spans="2:39">
      <c r="P138" s="2273"/>
      <c r="Q138" s="2273"/>
      <c r="R138" s="2273"/>
      <c r="S138" s="2273"/>
      <c r="T138" s="2273"/>
      <c r="U138" s="2273"/>
      <c r="V138" s="2273"/>
      <c r="W138" s="2273"/>
      <c r="X138" s="2273"/>
      <c r="Y138" s="2273"/>
      <c r="Z138" s="2273"/>
    </row>
    <row r="139" spans="2:39">
      <c r="P139" s="2273"/>
      <c r="Q139" s="2273"/>
      <c r="R139" s="2273"/>
      <c r="S139" s="2273"/>
      <c r="T139" s="2273"/>
      <c r="U139" s="2273"/>
      <c r="V139" s="2273"/>
      <c r="W139" s="2273"/>
      <c r="X139" s="2273"/>
      <c r="Y139" s="2273"/>
      <c r="Z139" s="2273"/>
    </row>
    <row r="140" spans="2:39">
      <c r="P140" s="2273"/>
      <c r="Q140" s="2273"/>
      <c r="R140" s="2273"/>
      <c r="S140" s="2273"/>
      <c r="T140" s="2273"/>
      <c r="U140" s="2273"/>
      <c r="V140" s="2273"/>
      <c r="W140" s="2273"/>
      <c r="X140" s="2273"/>
      <c r="Y140" s="2273"/>
      <c r="Z140" s="2273"/>
    </row>
    <row r="141" spans="2:39">
      <c r="P141" s="2273"/>
      <c r="Q141" s="2273"/>
      <c r="R141" s="2273"/>
      <c r="S141" s="2273"/>
      <c r="T141" s="2273"/>
      <c r="U141" s="2273"/>
      <c r="V141" s="2273"/>
      <c r="W141" s="2273"/>
      <c r="X141" s="2273"/>
      <c r="Y141" s="2273"/>
      <c r="Z141" s="2273"/>
    </row>
    <row r="142" spans="2:39">
      <c r="P142" s="2273"/>
      <c r="Q142" s="2273"/>
      <c r="R142" s="2273"/>
      <c r="S142" s="2273"/>
      <c r="T142" s="2273"/>
      <c r="U142" s="2273"/>
      <c r="V142" s="2273"/>
      <c r="W142" s="2273"/>
      <c r="X142" s="2273"/>
      <c r="Y142" s="2273"/>
      <c r="Z142" s="2273"/>
    </row>
    <row r="143" spans="2:39">
      <c r="P143" s="2273"/>
      <c r="Q143" s="2273"/>
      <c r="R143" s="2273"/>
      <c r="S143" s="2273"/>
      <c r="T143" s="2273"/>
      <c r="U143" s="2273"/>
      <c r="V143" s="2273"/>
      <c r="W143" s="2273"/>
      <c r="X143" s="2273"/>
      <c r="Y143" s="2273"/>
      <c r="Z143" s="2273"/>
    </row>
    <row r="144" spans="2:39">
      <c r="P144" s="2273"/>
      <c r="Q144" s="2273"/>
      <c r="R144" s="2273"/>
      <c r="S144" s="2273"/>
      <c r="T144" s="2273"/>
      <c r="U144" s="2273"/>
      <c r="V144" s="2273"/>
      <c r="W144" s="2273"/>
      <c r="X144" s="2273"/>
      <c r="Y144" s="2273"/>
      <c r="Z144" s="2273"/>
    </row>
    <row r="145" spans="16:26">
      <c r="P145" s="2273"/>
      <c r="Q145" s="2273"/>
      <c r="R145" s="2273"/>
      <c r="S145" s="2273"/>
      <c r="T145" s="2273"/>
      <c r="U145" s="2273"/>
      <c r="V145" s="2273"/>
      <c r="W145" s="2273"/>
      <c r="X145" s="2273"/>
      <c r="Y145" s="2273"/>
      <c r="Z145" s="2273"/>
    </row>
    <row r="146" spans="16:26">
      <c r="P146" s="2273"/>
      <c r="Q146" s="2273"/>
      <c r="R146" s="2273"/>
      <c r="S146" s="2273"/>
      <c r="T146" s="2273"/>
      <c r="U146" s="2273"/>
      <c r="V146" s="2273"/>
      <c r="W146" s="2273"/>
      <c r="X146" s="2273"/>
      <c r="Y146" s="2273"/>
      <c r="Z146" s="2273"/>
    </row>
    <row r="147" spans="16:26">
      <c r="P147" s="2273"/>
      <c r="Q147" s="2273"/>
      <c r="R147" s="2273"/>
      <c r="S147" s="2273"/>
      <c r="T147" s="2273"/>
      <c r="U147" s="2273"/>
      <c r="V147" s="2273"/>
      <c r="W147" s="2273"/>
      <c r="X147" s="2273"/>
      <c r="Y147" s="2273"/>
      <c r="Z147" s="2273"/>
    </row>
    <row r="148" spans="16:26">
      <c r="P148" s="2273"/>
      <c r="Q148" s="2273"/>
      <c r="R148" s="2273"/>
      <c r="S148" s="2273"/>
      <c r="T148" s="2273"/>
      <c r="U148" s="2273"/>
      <c r="V148" s="2273"/>
      <c r="W148" s="2273"/>
      <c r="X148" s="2273"/>
      <c r="Y148" s="2273"/>
      <c r="Z148" s="2273"/>
    </row>
    <row r="149" spans="16:26">
      <c r="P149" s="2273"/>
      <c r="Q149" s="2273"/>
      <c r="R149" s="2273"/>
      <c r="S149" s="2273"/>
      <c r="T149" s="2273"/>
      <c r="U149" s="2273"/>
      <c r="V149" s="2273"/>
      <c r="W149" s="2273"/>
      <c r="X149" s="2273"/>
      <c r="Y149" s="2273"/>
      <c r="Z149" s="2273"/>
    </row>
    <row r="150" spans="16:26">
      <c r="P150" s="2273"/>
      <c r="Q150" s="2273"/>
      <c r="R150" s="2273"/>
      <c r="S150" s="2273"/>
      <c r="T150" s="2273"/>
      <c r="U150" s="2273"/>
      <c r="V150" s="2273"/>
      <c r="W150" s="2273"/>
      <c r="X150" s="2273"/>
      <c r="Y150" s="2273"/>
      <c r="Z150" s="2273"/>
    </row>
    <row r="151" spans="16:26">
      <c r="P151" s="2273"/>
      <c r="Q151" s="2273"/>
      <c r="R151" s="2273"/>
      <c r="S151" s="2273"/>
      <c r="T151" s="2273"/>
      <c r="U151" s="2273"/>
      <c r="V151" s="2273"/>
      <c r="W151" s="2273"/>
      <c r="X151" s="2273"/>
      <c r="Y151" s="2273"/>
      <c r="Z151" s="2273"/>
    </row>
    <row r="152" spans="16:26">
      <c r="P152" s="2273"/>
      <c r="Q152" s="2273"/>
      <c r="R152" s="2273"/>
      <c r="S152" s="2273"/>
      <c r="T152" s="2273"/>
      <c r="U152" s="2273"/>
      <c r="V152" s="2273"/>
      <c r="W152" s="2273"/>
      <c r="X152" s="2273"/>
      <c r="Y152" s="2273"/>
      <c r="Z152" s="2273"/>
    </row>
    <row r="153" spans="16:26">
      <c r="P153" s="2273"/>
      <c r="Q153" s="2273"/>
      <c r="R153" s="2273"/>
      <c r="S153" s="2273"/>
      <c r="T153" s="2273"/>
      <c r="U153" s="2273"/>
      <c r="V153" s="2273"/>
      <c r="W153" s="2273"/>
      <c r="X153" s="2273"/>
      <c r="Y153" s="2273"/>
      <c r="Z153" s="2273"/>
    </row>
    <row r="154" spans="16:26">
      <c r="P154" s="2273"/>
      <c r="Q154" s="2273"/>
      <c r="R154" s="2273"/>
      <c r="S154" s="2273"/>
      <c r="T154" s="2273"/>
      <c r="U154" s="2273"/>
      <c r="V154" s="2273"/>
      <c r="W154" s="2273"/>
      <c r="X154" s="2273"/>
      <c r="Y154" s="2273"/>
      <c r="Z154" s="2273"/>
    </row>
    <row r="155" spans="16:26">
      <c r="P155" s="2273"/>
      <c r="Q155" s="2273"/>
      <c r="R155" s="2273"/>
      <c r="S155" s="2273"/>
      <c r="T155" s="2273"/>
      <c r="U155" s="2273"/>
      <c r="V155" s="2273"/>
      <c r="W155" s="2273"/>
      <c r="X155" s="2273"/>
      <c r="Y155" s="2273"/>
      <c r="Z155" s="2273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57BBE-498D-4043-A474-3765880B77E8}">
  <sheetPr>
    <tabColor rgb="FF0000FF"/>
  </sheetPr>
  <dimension ref="A1:R26"/>
  <sheetViews>
    <sheetView zoomScaleNormal="100" zoomScaleSheetLayoutView="100" workbookViewId="0">
      <selection activeCell="J7" sqref="J7"/>
    </sheetView>
  </sheetViews>
  <sheetFormatPr baseColWidth="10" defaultColWidth="11.25" defaultRowHeight="12"/>
  <cols>
    <col min="1" max="1" width="0.75" style="337" customWidth="1"/>
    <col min="2" max="2" width="16.75" style="337" bestFit="1" customWidth="1"/>
    <col min="3" max="7" width="9.875" style="337" customWidth="1"/>
    <col min="8" max="8" width="0.75" style="337" customWidth="1"/>
    <col min="9" max="11" width="10.875" style="337" customWidth="1"/>
    <col min="12" max="12" width="7.375" style="337" bestFit="1" customWidth="1"/>
    <col min="13" max="13" width="1.25" style="337" customWidth="1"/>
    <col min="14" max="14" width="8.875" style="693" customWidth="1"/>
    <col min="15" max="15" width="7.625" style="693" bestFit="1" customWidth="1"/>
    <col min="16" max="16" width="8" style="693" bestFit="1" customWidth="1"/>
    <col min="17" max="17" width="7.625" style="693" bestFit="1" customWidth="1"/>
    <col min="18" max="18" width="8" style="693" bestFit="1" customWidth="1"/>
    <col min="19" max="16384" width="11.25" style="337"/>
  </cols>
  <sheetData>
    <row r="1" spans="1:18" ht="6" customHeight="1"/>
    <row r="2" spans="1:18" s="2413" customFormat="1" ht="30">
      <c r="B2" s="2437" t="s">
        <v>2148</v>
      </c>
      <c r="C2" s="2438"/>
      <c r="D2" s="2438"/>
      <c r="E2" s="2438"/>
      <c r="F2" s="2438"/>
      <c r="G2" s="2438"/>
      <c r="H2" s="2439"/>
      <c r="I2" s="2440" t="s">
        <v>2149</v>
      </c>
      <c r="J2" s="2441"/>
      <c r="K2" s="2441"/>
      <c r="N2" s="2551"/>
      <c r="O2" s="2551"/>
      <c r="P2" s="2551"/>
      <c r="Q2" s="2551"/>
      <c r="R2" s="2551"/>
    </row>
    <row r="3" spans="1:18" ht="24">
      <c r="B3" s="2415" t="s">
        <v>918</v>
      </c>
      <c r="C3" s="2415" t="s">
        <v>968</v>
      </c>
      <c r="D3" s="2415" t="s">
        <v>966</v>
      </c>
      <c r="E3" s="2415" t="s">
        <v>2144</v>
      </c>
      <c r="F3" s="2415" t="s">
        <v>2145</v>
      </c>
      <c r="G3" s="2415" t="s">
        <v>716</v>
      </c>
      <c r="I3" s="2434" t="s">
        <v>2146</v>
      </c>
      <c r="J3" s="2434" t="s">
        <v>2147</v>
      </c>
      <c r="K3" s="2434" t="s">
        <v>716</v>
      </c>
      <c r="N3" s="2033" t="s">
        <v>514</v>
      </c>
    </row>
    <row r="4" spans="1:18">
      <c r="A4" s="1588"/>
      <c r="B4" s="2426" t="s">
        <v>892</v>
      </c>
      <c r="C4" s="2414">
        <f>'VPP3'!$C5</f>
        <v>82939</v>
      </c>
      <c r="D4" s="1600">
        <f t="shared" ref="D4:D23" si="0">C4/C$24</f>
        <v>0.15025861678518049</v>
      </c>
      <c r="E4" s="1601">
        <f>'Facturador Cáculo %FET'!AF13</f>
        <v>0.17830000000000001</v>
      </c>
      <c r="F4" s="1601">
        <f>'Facturador Cáculo %FET'!AG13</f>
        <v>0.18813333333333332</v>
      </c>
      <c r="G4" s="1602">
        <f t="shared" ref="G4:G9" si="1">F4/E4-1</f>
        <v>5.5150495419704404E-2</v>
      </c>
      <c r="H4" s="1588"/>
      <c r="I4" s="2435">
        <f>'Facturador Cáculo %FET'!AL13</f>
        <v>0.10590000000000001</v>
      </c>
      <c r="J4" s="2435">
        <f>'Facturador Cáculo %FET'!AM13</f>
        <v>0.10589999999999998</v>
      </c>
      <c r="K4" s="2436">
        <f>J4/I4-1</f>
        <v>0</v>
      </c>
      <c r="L4" s="1588"/>
      <c r="M4" s="1588"/>
      <c r="N4" s="1433">
        <f>'VPP3'!L5</f>
        <v>89351558.514000013</v>
      </c>
      <c r="O4" s="1433">
        <f>$N4*E4</f>
        <v>15931382.883046204</v>
      </c>
      <c r="P4" s="1433">
        <f>$N4*F4</f>
        <v>16810006.541767202</v>
      </c>
      <c r="Q4" s="1433">
        <f>$N4*I4</f>
        <v>9462330.0466326028</v>
      </c>
      <c r="R4" s="1433">
        <f>$N4*J4</f>
        <v>9462330.0466325991</v>
      </c>
    </row>
    <row r="5" spans="1:18">
      <c r="A5" s="1588"/>
      <c r="B5" s="2426" t="s">
        <v>2143</v>
      </c>
      <c r="C5" s="2414">
        <f>'VPP3'!$C6</f>
        <v>317238.16666666669</v>
      </c>
      <c r="D5" s="1600">
        <f t="shared" si="0"/>
        <v>0.57473285323912615</v>
      </c>
      <c r="E5" s="1601">
        <f>'Facturador Cáculo %FET'!AF21</f>
        <v>0.17922857142857143</v>
      </c>
      <c r="F5" s="1601">
        <f>'Facturador Cáculo %FET'!AG21</f>
        <v>0.1819142857142857</v>
      </c>
      <c r="G5" s="1602">
        <f>F5/E5-1</f>
        <v>1.4984855730910018E-2</v>
      </c>
      <c r="H5" s="1588"/>
      <c r="I5" s="2435">
        <f>'Facturador Cáculo %FET'!AL21</f>
        <v>0.12026666666666667</v>
      </c>
      <c r="J5" s="2435">
        <f>'Facturador Cáculo %FET'!AM21</f>
        <v>0.12026666666666667</v>
      </c>
      <c r="K5" s="2436">
        <f>J5/I5-1</f>
        <v>0</v>
      </c>
      <c r="L5" s="1588"/>
      <c r="M5" s="1588"/>
      <c r="N5" s="1433">
        <f>'VPP3'!L6</f>
        <v>544462672.74600005</v>
      </c>
      <c r="O5" s="1433">
        <f>$N5*E5</f>
        <v>97583267.032447383</v>
      </c>
      <c r="P5" s="1433">
        <f>$N5*F5</f>
        <v>99045538.210679486</v>
      </c>
      <c r="Q5" s="1433">
        <f>$N5*I5</f>
        <v>65480710.775585614</v>
      </c>
      <c r="R5" s="1433">
        <f>$N5*J5</f>
        <v>65480710.775585614</v>
      </c>
    </row>
    <row r="6" spans="1:18">
      <c r="A6" s="1588"/>
      <c r="B6" s="2533" t="s">
        <v>2133</v>
      </c>
      <c r="C6" s="2534">
        <f>SUM(C4:C5)</f>
        <v>400177.16666666669</v>
      </c>
      <c r="D6" s="2535">
        <f t="shared" si="0"/>
        <v>0.72499147002430664</v>
      </c>
      <c r="E6" s="2536">
        <f>O6/$N6</f>
        <v>0.1790976666614609</v>
      </c>
      <c r="F6" s="2536">
        <f>P6/$N6</f>
        <v>0.18279101200067721</v>
      </c>
      <c r="G6" s="2537">
        <f>F6/E6-1</f>
        <v>2.0621962351958789E-2</v>
      </c>
      <c r="H6" s="1588"/>
      <c r="I6" s="2548">
        <f>Q6/$N6</f>
        <v>0.1182413349621925</v>
      </c>
      <c r="J6" s="2548">
        <f>R6/$N6</f>
        <v>0.1182413349621925</v>
      </c>
      <c r="K6" s="2549">
        <f>J6/I6-1</f>
        <v>0</v>
      </c>
      <c r="L6" s="2550" t="s">
        <v>2178</v>
      </c>
      <c r="M6" s="1588"/>
      <c r="N6" s="2421">
        <f>SUM(N4:N5)</f>
        <v>633814231.26000011</v>
      </c>
      <c r="O6" s="2421">
        <f>SUM(O4:O5)</f>
        <v>113514649.91549359</v>
      </c>
      <c r="P6" s="2421">
        <f t="shared" ref="P6:R6" si="2">SUM(P4:P5)</f>
        <v>115855544.75244668</v>
      </c>
      <c r="Q6" s="2421">
        <f t="shared" si="2"/>
        <v>74943040.82221821</v>
      </c>
      <c r="R6" s="2421">
        <f t="shared" si="2"/>
        <v>74943040.82221821</v>
      </c>
    </row>
    <row r="7" spans="1:18">
      <c r="B7" s="2426" t="s">
        <v>920</v>
      </c>
      <c r="C7" s="2414">
        <f>'VPP3'!$C8</f>
        <v>111995.33333333333</v>
      </c>
      <c r="D7" s="1610">
        <f t="shared" si="0"/>
        <v>0.20289928589761008</v>
      </c>
      <c r="E7" s="1601">
        <f>'Facturador Cáculo %FET'!AF30</f>
        <v>0.20422399999999999</v>
      </c>
      <c r="F7" s="1601">
        <f>'Facturador Cáculo %FET'!AG30</f>
        <v>0.20805600000000002</v>
      </c>
      <c r="G7" s="1602">
        <f t="shared" si="1"/>
        <v>1.8763710435600212E-2</v>
      </c>
      <c r="I7" s="1601">
        <f>Q7/$N7</f>
        <v>0.20422399999999999</v>
      </c>
      <c r="J7" s="1601">
        <f>R7/$N7</f>
        <v>0.20805600000000005</v>
      </c>
      <c r="K7" s="1602">
        <f t="shared" ref="K7" si="3">J7/I7-1</f>
        <v>1.8763710435600434E-2</v>
      </c>
      <c r="L7" s="2550" t="s">
        <v>1700</v>
      </c>
      <c r="N7" s="1433">
        <f>'VPP3'!L8</f>
        <v>191117204.028</v>
      </c>
      <c r="O7" s="1433">
        <f>$N7*E7</f>
        <v>39030719.875414267</v>
      </c>
      <c r="P7" s="1433">
        <f>$N7*F7</f>
        <v>39763081.001249574</v>
      </c>
      <c r="Q7" s="1433">
        <f>O7</f>
        <v>39030719.875414267</v>
      </c>
      <c r="R7" s="1433">
        <f t="shared" ref="R7" si="4">P7</f>
        <v>39763081.001249574</v>
      </c>
    </row>
    <row r="8" spans="1:18">
      <c r="B8" s="2426" t="s">
        <v>1244</v>
      </c>
      <c r="C8" s="2414">
        <f>'VPP3'!$C9</f>
        <v>33420</v>
      </c>
      <c r="D8" s="1610">
        <f t="shared" si="0"/>
        <v>6.0546220390416232E-2</v>
      </c>
      <c r="E8" s="1601">
        <f>'Facturador Cáculo %FET'!AI36</f>
        <v>0.23091886792452829</v>
      </c>
      <c r="F8" s="1601">
        <f>'Facturador Cáculo %FET'!AJ36</f>
        <v>0.23966226415094341</v>
      </c>
      <c r="G8" s="1612">
        <f t="shared" si="1"/>
        <v>3.786349857419502E-2</v>
      </c>
      <c r="I8" s="1601">
        <f t="shared" ref="I8:I9" si="5">Q8/$N8</f>
        <v>0.23091886792452829</v>
      </c>
      <c r="J8" s="1601">
        <f t="shared" ref="J8:J9" si="6">R8/$N8</f>
        <v>0.23966226415094338</v>
      </c>
      <c r="K8" s="1612">
        <f t="shared" ref="K8:K9" si="7">J8/I8-1</f>
        <v>3.786349857419502E-2</v>
      </c>
      <c r="N8" s="1433">
        <f>'VPP3'!L9</f>
        <v>175792249.30200005</v>
      </c>
      <c r="O8" s="1433">
        <f>$N8*E8</f>
        <v>40593747.1987243</v>
      </c>
      <c r="P8" s="1433">
        <f>$N8*F8</f>
        <v>42130768.487904429</v>
      </c>
      <c r="Q8" s="1433">
        <f>O8</f>
        <v>40593747.1987243</v>
      </c>
      <c r="R8" s="1433">
        <f t="shared" ref="R8" si="8">P8</f>
        <v>42130768.487904429</v>
      </c>
    </row>
    <row r="9" spans="1:18">
      <c r="B9" s="2533" t="s">
        <v>2134</v>
      </c>
      <c r="C9" s="2534">
        <f>SUM(C7:C8)</f>
        <v>145415.33333333331</v>
      </c>
      <c r="D9" s="2535">
        <f t="shared" si="0"/>
        <v>0.26344550628802632</v>
      </c>
      <c r="E9" s="2536">
        <f>O9/$N9</f>
        <v>0.21701394268117685</v>
      </c>
      <c r="F9" s="2536">
        <f>P9/$N9</f>
        <v>0.22319907199419664</v>
      </c>
      <c r="G9" s="2537">
        <f t="shared" si="1"/>
        <v>2.8501068809696717E-2</v>
      </c>
      <c r="I9" s="2398">
        <f t="shared" si="5"/>
        <v>0.21701394268117685</v>
      </c>
      <c r="J9" s="2398">
        <f t="shared" si="6"/>
        <v>0.22319907199419664</v>
      </c>
      <c r="K9" s="2563">
        <f t="shared" si="7"/>
        <v>2.8501068809696717E-2</v>
      </c>
      <c r="N9" s="2422">
        <f t="shared" ref="N9:R9" si="9">SUM(N7:N8)</f>
        <v>366909453.33000004</v>
      </c>
      <c r="O9" s="2422">
        <f>SUM(O7:O8)</f>
        <v>79624467.074138567</v>
      </c>
      <c r="P9" s="2422">
        <f t="shared" si="9"/>
        <v>81893849.489154011</v>
      </c>
      <c r="Q9" s="2422">
        <f t="shared" si="9"/>
        <v>79624467.074138567</v>
      </c>
      <c r="R9" s="2422">
        <f t="shared" si="9"/>
        <v>81893849.489154011</v>
      </c>
    </row>
    <row r="10" spans="1:18">
      <c r="B10" s="2426" t="s">
        <v>1176</v>
      </c>
      <c r="C10" s="2414">
        <f>'VPP3'!$C11</f>
        <v>1</v>
      </c>
      <c r="D10" s="1610">
        <f t="shared" si="0"/>
        <v>1.8116762534535079E-6</v>
      </c>
      <c r="E10" s="1601"/>
      <c r="F10" s="1601">
        <f>'VPP1'!G41</f>
        <v>0.21054921560676806</v>
      </c>
      <c r="G10" s="1612"/>
      <c r="I10" s="1601"/>
      <c r="J10" s="1601">
        <f t="shared" ref="J10" si="10">R10/$N10</f>
        <v>0.21054921560676806</v>
      </c>
      <c r="K10" s="1612"/>
      <c r="N10" s="1433">
        <f>'VPP3'!L11</f>
        <v>6000</v>
      </c>
      <c r="O10" s="1433">
        <f>$N10*E10</f>
        <v>0</v>
      </c>
      <c r="P10" s="1433">
        <f>$N10*F10</f>
        <v>1263.2952936406084</v>
      </c>
      <c r="Q10" s="1433">
        <f>O10</f>
        <v>0</v>
      </c>
      <c r="R10" s="1433">
        <f t="shared" ref="R10" si="11">P10</f>
        <v>1263.2952936406084</v>
      </c>
    </row>
    <row r="11" spans="1:18">
      <c r="B11" s="2538" t="s">
        <v>921</v>
      </c>
      <c r="C11" s="2539">
        <f>C6+C9+C10</f>
        <v>545593.5</v>
      </c>
      <c r="D11" s="2540">
        <f t="shared" si="0"/>
        <v>0.98843878798858642</v>
      </c>
      <c r="E11" s="2541">
        <f>O11/$N11</f>
        <v>0.19299828911217062</v>
      </c>
      <c r="F11" s="2541">
        <f>P11/$N11</f>
        <v>0.19760646714293575</v>
      </c>
      <c r="G11" s="2542">
        <f t="shared" ref="G11:G24" si="12">F11/E11-1</f>
        <v>2.3876781768188859E-2</v>
      </c>
      <c r="I11" s="2398">
        <f t="shared" ref="I11" si="13">Q11/$N11</f>
        <v>0.15445480460558458</v>
      </c>
      <c r="J11" s="2398">
        <f t="shared" ref="J11" si="14">R11/$N11</f>
        <v>0.15672379466880967</v>
      </c>
      <c r="K11" s="2399">
        <f t="shared" ref="K11" si="15">J11/I11-1</f>
        <v>1.4690317138525977E-2</v>
      </c>
      <c r="N11" s="2423">
        <f t="shared" ref="N11:R11" si="16">N6+N9+N10</f>
        <v>1000729684.5900002</v>
      </c>
      <c r="O11" s="2423">
        <f>O6+O9+O10</f>
        <v>193139116.98963216</v>
      </c>
      <c r="P11" s="2423">
        <f t="shared" si="16"/>
        <v>197750657.53689432</v>
      </c>
      <c r="Q11" s="2423">
        <f t="shared" si="16"/>
        <v>154567507.89635676</v>
      </c>
      <c r="R11" s="2423">
        <f t="shared" si="16"/>
        <v>156838153.60666585</v>
      </c>
    </row>
    <row r="12" spans="1:18">
      <c r="B12" s="2426" t="s">
        <v>274</v>
      </c>
      <c r="C12" s="2414">
        <f>'VPP3'!$C13</f>
        <v>5545.833333333333</v>
      </c>
      <c r="D12" s="1610">
        <f t="shared" si="0"/>
        <v>1.0047254555610912E-2</v>
      </c>
      <c r="E12" s="1611">
        <f>'Facturador Cáculo %FET'!AF51</f>
        <v>0.20894073684210529</v>
      </c>
      <c r="F12" s="1611">
        <f>'Facturador Cáculo %FET'!AG51</f>
        <v>0.23234536842105263</v>
      </c>
      <c r="G12" s="1612">
        <f t="shared" si="12"/>
        <v>0.11201564583661838</v>
      </c>
      <c r="I12" s="1611">
        <f t="shared" ref="I12:I24" si="17">Q12/$N12</f>
        <v>0.20894073684210526</v>
      </c>
      <c r="J12" s="1611">
        <f t="shared" ref="J12:J24" si="18">R12/$N12</f>
        <v>0.23234536842105263</v>
      </c>
      <c r="K12" s="1612">
        <f t="shared" ref="K12:K24" si="19">J12/I12-1</f>
        <v>0.1120156458366186</v>
      </c>
      <c r="N12" s="1433">
        <f>'VPP3'!L13</f>
        <v>357541271.046</v>
      </c>
      <c r="O12" s="1433">
        <f t="shared" ref="O12:P17" si="20">$N12*E12</f>
        <v>74704936.623814121</v>
      </c>
      <c r="P12" s="1433">
        <f t="shared" si="20"/>
        <v>83073058.346914306</v>
      </c>
      <c r="Q12" s="1433">
        <f t="shared" ref="Q12:Q17" si="21">O12</f>
        <v>74704936.623814121</v>
      </c>
      <c r="R12" s="1433">
        <f t="shared" ref="R12:R17" si="22">P12</f>
        <v>83073058.346914306</v>
      </c>
    </row>
    <row r="13" spans="1:18">
      <c r="B13" s="2426" t="s">
        <v>275</v>
      </c>
      <c r="C13" s="2414">
        <f>'VPP3'!$C14</f>
        <v>92</v>
      </c>
      <c r="D13" s="1610">
        <f t="shared" si="0"/>
        <v>1.6667421531772273E-4</v>
      </c>
      <c r="E13" s="1611">
        <f>'Facturador Cáculo %FET'!AF57</f>
        <v>0.19808636842105265</v>
      </c>
      <c r="F13" s="1611">
        <f>'Facturador Cáculo %FET'!AG57</f>
        <v>0.18915501052631581</v>
      </c>
      <c r="G13" s="1612">
        <f t="shared" si="12"/>
        <v>-4.5088200495211894E-2</v>
      </c>
      <c r="I13" s="1611">
        <f t="shared" si="17"/>
        <v>0.19808636842105265</v>
      </c>
      <c r="J13" s="1611">
        <f t="shared" si="18"/>
        <v>0.18915501052631581</v>
      </c>
      <c r="K13" s="1612">
        <f t="shared" si="19"/>
        <v>-4.5088200495211894E-2</v>
      </c>
      <c r="N13" s="1433">
        <f>'VPP3'!L14</f>
        <v>17289339.408</v>
      </c>
      <c r="O13" s="1433">
        <f t="shared" si="20"/>
        <v>3424782.4557297123</v>
      </c>
      <c r="P13" s="1433">
        <f t="shared" si="20"/>
        <v>3270365.1777132866</v>
      </c>
      <c r="Q13" s="1433">
        <f t="shared" si="21"/>
        <v>3424782.4557297123</v>
      </c>
      <c r="R13" s="1433">
        <f t="shared" si="22"/>
        <v>3270365.1777132866</v>
      </c>
    </row>
    <row r="14" spans="1:18">
      <c r="B14" s="2426" t="s">
        <v>276</v>
      </c>
      <c r="C14" s="2414">
        <f>'VPP3'!$C15</f>
        <v>416.66666666666669</v>
      </c>
      <c r="D14" s="1610">
        <f t="shared" si="0"/>
        <v>7.5486510560562826E-4</v>
      </c>
      <c r="E14" s="1611">
        <f>'Facturador Cáculo %FET'!AF65</f>
        <v>0.17438477014925371</v>
      </c>
      <c r="F14" s="1611">
        <f>'Facturador Cáculo %FET'!AG65</f>
        <v>0.17982407164179104</v>
      </c>
      <c r="G14" s="1612">
        <f t="shared" si="12"/>
        <v>3.1191379200614211E-2</v>
      </c>
      <c r="I14" s="1611">
        <f t="shared" si="17"/>
        <v>0.17438477014925371</v>
      </c>
      <c r="J14" s="1611">
        <f t="shared" si="18"/>
        <v>0.17982407164179104</v>
      </c>
      <c r="K14" s="1612">
        <f t="shared" si="19"/>
        <v>3.1191379200614211E-2</v>
      </c>
      <c r="N14" s="1433">
        <f>'VPP3'!L15</f>
        <v>154588101.264</v>
      </c>
      <c r="O14" s="1433">
        <f t="shared" si="20"/>
        <v>26957810.506732196</v>
      </c>
      <c r="P14" s="1433">
        <f t="shared" si="20"/>
        <v>27798661.796665985</v>
      </c>
      <c r="Q14" s="1433">
        <f t="shared" si="21"/>
        <v>26957810.506732196</v>
      </c>
      <c r="R14" s="1433">
        <f t="shared" si="22"/>
        <v>27798661.796665985</v>
      </c>
    </row>
    <row r="15" spans="1:18">
      <c r="B15" s="2426" t="s">
        <v>277</v>
      </c>
      <c r="C15" s="2414">
        <f>'VPP3'!$C16</f>
        <v>26</v>
      </c>
      <c r="D15" s="1610">
        <f t="shared" si="0"/>
        <v>4.7103582589791201E-5</v>
      </c>
      <c r="E15" s="1611">
        <f>'Facturador Cáculo %FET'!AF71</f>
        <v>0.16816215522388059</v>
      </c>
      <c r="F15" s="1611">
        <f>'Facturador Cáculo %FET'!AG71</f>
        <v>0.18659063880597015</v>
      </c>
      <c r="G15" s="1612">
        <f t="shared" si="12"/>
        <v>0.10958757966413457</v>
      </c>
      <c r="I15" s="1611">
        <f t="shared" si="17"/>
        <v>0.16816215522388056</v>
      </c>
      <c r="J15" s="1611">
        <f t="shared" si="18"/>
        <v>0.18659063880597015</v>
      </c>
      <c r="K15" s="1612">
        <f t="shared" si="19"/>
        <v>0.10958757966413479</v>
      </c>
      <c r="N15" s="1433">
        <f>'VPP3'!L16</f>
        <v>25975176.335999995</v>
      </c>
      <c r="O15" s="1433">
        <f t="shared" si="20"/>
        <v>4368041.6349821007</v>
      </c>
      <c r="P15" s="1433">
        <f t="shared" si="20"/>
        <v>4846724.7456319584</v>
      </c>
      <c r="Q15" s="1433">
        <f t="shared" si="21"/>
        <v>4368041.6349821007</v>
      </c>
      <c r="R15" s="1433">
        <f t="shared" si="22"/>
        <v>4846724.7456319584</v>
      </c>
    </row>
    <row r="16" spans="1:18">
      <c r="B16" s="2426" t="s">
        <v>278</v>
      </c>
      <c r="C16" s="2414">
        <f>'VPP3'!$C17</f>
        <v>1</v>
      </c>
      <c r="D16" s="1610">
        <f t="shared" si="0"/>
        <v>1.8116762534535079E-6</v>
      </c>
      <c r="E16" s="1611">
        <f>'Facturador Cáculo %FET'!AF79</f>
        <v>0.1351010473372781</v>
      </c>
      <c r="F16" s="1611">
        <f>'Facturador Cáculo %FET'!AG79</f>
        <v>0.13975388698224853</v>
      </c>
      <c r="G16" s="1612">
        <f t="shared" si="12"/>
        <v>3.4439700777112892E-2</v>
      </c>
      <c r="I16" s="1611">
        <f t="shared" si="17"/>
        <v>0.1351010473372781</v>
      </c>
      <c r="J16" s="1611">
        <f t="shared" si="18"/>
        <v>0.13975388698224853</v>
      </c>
      <c r="K16" s="1612">
        <f t="shared" si="19"/>
        <v>3.4439700777112892E-2</v>
      </c>
      <c r="N16" s="1433">
        <f>'VPP3'!L17</f>
        <v>3000</v>
      </c>
      <c r="O16" s="1433">
        <f t="shared" si="20"/>
        <v>405.30314201183427</v>
      </c>
      <c r="P16" s="1433">
        <f t="shared" si="20"/>
        <v>419.26166094674556</v>
      </c>
      <c r="Q16" s="1433">
        <f t="shared" si="21"/>
        <v>405.30314201183427</v>
      </c>
      <c r="R16" s="1433">
        <f t="shared" si="22"/>
        <v>419.26166094674556</v>
      </c>
    </row>
    <row r="17" spans="2:18">
      <c r="B17" s="2426" t="s">
        <v>279</v>
      </c>
      <c r="C17" s="2414">
        <f>'VPP3'!$C18</f>
        <v>3</v>
      </c>
      <c r="D17" s="1610">
        <f t="shared" si="0"/>
        <v>5.4350287603605233E-6</v>
      </c>
      <c r="E17" s="1611">
        <f>'Facturador Cáculo %FET'!AF85</f>
        <v>0.13568945266272187</v>
      </c>
      <c r="F17" s="1611">
        <f>'Facturador Cáculo %FET'!AG85</f>
        <v>0.13903459053254438</v>
      </c>
      <c r="G17" s="1612">
        <f t="shared" si="12"/>
        <v>2.4652895300104172E-2</v>
      </c>
      <c r="I17" s="1611">
        <f t="shared" si="17"/>
        <v>0.13568945266272187</v>
      </c>
      <c r="J17" s="1611">
        <f t="shared" si="18"/>
        <v>0.13903459053254438</v>
      </c>
      <c r="K17" s="1612">
        <f t="shared" si="19"/>
        <v>2.4652895300104172E-2</v>
      </c>
      <c r="N17" s="1433">
        <f>'VPP3'!L18</f>
        <v>112660885.23</v>
      </c>
      <c r="O17" s="1433">
        <f t="shared" si="20"/>
        <v>15286893.853356427</v>
      </c>
      <c r="P17" s="1433">
        <f t="shared" si="20"/>
        <v>15663760.046987029</v>
      </c>
      <c r="Q17" s="1433">
        <f t="shared" si="21"/>
        <v>15286893.853356427</v>
      </c>
      <c r="R17" s="1433">
        <f t="shared" si="22"/>
        <v>15663760.046987029</v>
      </c>
    </row>
    <row r="18" spans="2:18">
      <c r="B18" s="2538" t="s">
        <v>922</v>
      </c>
      <c r="C18" s="2539">
        <f>SUM(C12:C17)</f>
        <v>6084.5</v>
      </c>
      <c r="D18" s="2540">
        <f t="shared" si="0"/>
        <v>1.1023144164137869E-2</v>
      </c>
      <c r="E18" s="2541">
        <f t="shared" ref="E18:E19" si="23">O18/$N18</f>
        <v>0.18672467467080386</v>
      </c>
      <c r="F18" s="2541">
        <f t="shared" ref="F18:F19" si="24">P18/$N18</f>
        <v>0.20155889918570077</v>
      </c>
      <c r="G18" s="2542">
        <f t="shared" si="12"/>
        <v>7.9444371993415919E-2</v>
      </c>
      <c r="I18" s="2398">
        <f t="shared" si="17"/>
        <v>0.18672467467080386</v>
      </c>
      <c r="J18" s="2398">
        <f t="shared" si="18"/>
        <v>0.20155889918570077</v>
      </c>
      <c r="K18" s="2399">
        <f t="shared" si="19"/>
        <v>7.9444371993415919E-2</v>
      </c>
      <c r="N18" s="2423">
        <f t="shared" ref="N18:R18" si="25">SUM(N12:N17)</f>
        <v>668057773.28400004</v>
      </c>
      <c r="O18" s="2423">
        <f>SUM(O12:O17)</f>
        <v>124742870.37775655</v>
      </c>
      <c r="P18" s="2423">
        <f t="shared" si="25"/>
        <v>134652989.37557352</v>
      </c>
      <c r="Q18" s="2423">
        <f t="shared" si="25"/>
        <v>124742870.37775655</v>
      </c>
      <c r="R18" s="2423">
        <f t="shared" si="25"/>
        <v>134652989.37557352</v>
      </c>
    </row>
    <row r="19" spans="2:18">
      <c r="B19" s="2543" t="s">
        <v>1656</v>
      </c>
      <c r="C19" s="2544">
        <f>C11+C18</f>
        <v>551678</v>
      </c>
      <c r="D19" s="2545">
        <f t="shared" si="0"/>
        <v>0.99946193215272428</v>
      </c>
      <c r="E19" s="2532">
        <f t="shared" si="23"/>
        <v>0.19048680277856572</v>
      </c>
      <c r="F19" s="2532">
        <f t="shared" si="24"/>
        <v>0.19918872552885977</v>
      </c>
      <c r="G19" s="2546">
        <f t="shared" si="12"/>
        <v>4.5682549254657534E-2</v>
      </c>
      <c r="I19" s="2398">
        <f t="shared" si="17"/>
        <v>0.16737324873591081</v>
      </c>
      <c r="J19" s="2398">
        <f t="shared" si="18"/>
        <v>0.1746724195504159</v>
      </c>
      <c r="K19" s="2399">
        <f t="shared" si="19"/>
        <v>4.3610140029139766E-2</v>
      </c>
      <c r="N19" s="2424">
        <f t="shared" ref="N19:R19" si="26">N11+N18</f>
        <v>1668787457.8740001</v>
      </c>
      <c r="O19" s="2424">
        <f>O11+O18</f>
        <v>317881987.36738873</v>
      </c>
      <c r="P19" s="2424">
        <f t="shared" si="26"/>
        <v>332403646.91246784</v>
      </c>
      <c r="Q19" s="2424">
        <f t="shared" si="26"/>
        <v>279310378.2741133</v>
      </c>
      <c r="R19" s="2424">
        <f t="shared" si="26"/>
        <v>291491142.98223937</v>
      </c>
    </row>
    <row r="20" spans="2:18">
      <c r="B20" s="2425" t="s">
        <v>2179</v>
      </c>
      <c r="C20" s="2414">
        <f>'VPP3'!$C21+'VPP3'!$C22</f>
        <v>112</v>
      </c>
      <c r="D20" s="1610">
        <f t="shared" si="0"/>
        <v>2.0290774038679289E-4</v>
      </c>
      <c r="E20" s="1611">
        <f>AVERAGE('VPP3'!F21:F22)</f>
        <v>8.4555352949533369E-2</v>
      </c>
      <c r="F20" s="1611">
        <f>AVERAGE('VPP3'!G21:G22)</f>
        <v>0.10683287897450351</v>
      </c>
      <c r="G20" s="1612">
        <f>F20/E20-1</f>
        <v>0.26346677351422598</v>
      </c>
      <c r="I20" s="1611">
        <f t="shared" si="17"/>
        <v>8.4555352949533369E-2</v>
      </c>
      <c r="J20" s="1611">
        <f t="shared" si="18"/>
        <v>0.10683287897450351</v>
      </c>
      <c r="K20" s="1612">
        <f t="shared" si="19"/>
        <v>0.26346677351422598</v>
      </c>
      <c r="N20" s="1433">
        <f>SUM('VPP3'!L21:L22)</f>
        <v>53426113.629305802</v>
      </c>
      <c r="O20" s="1433">
        <f t="shared" ref="O20:P22" si="27">$N20*E20</f>
        <v>4517463.8946478274</v>
      </c>
      <c r="P20" s="1433">
        <f t="shared" si="27"/>
        <v>5707665.5314376997</v>
      </c>
      <c r="Q20" s="1433">
        <f t="shared" ref="Q20:Q22" si="28">O20</f>
        <v>4517463.8946478274</v>
      </c>
      <c r="R20" s="1433">
        <f t="shared" ref="R20:R22" si="29">P20</f>
        <v>5707665.5314376997</v>
      </c>
    </row>
    <row r="21" spans="2:18">
      <c r="B21" s="2425" t="s">
        <v>2180</v>
      </c>
      <c r="C21" s="2414">
        <f>'VPP3'!$C23+'VPP3'!$C24</f>
        <v>183</v>
      </c>
      <c r="D21" s="1610">
        <f t="shared" si="0"/>
        <v>3.3153675438199194E-4</v>
      </c>
      <c r="E21" s="1611">
        <f>AVERAGE('VPP3'!F23:F24)</f>
        <v>7.130113480745956E-2</v>
      </c>
      <c r="F21" s="1611">
        <f>AVERAGE('VPP3'!G23:G24)</f>
        <v>9.5708046196500196E-2</v>
      </c>
      <c r="G21" s="1612">
        <f>F21/E21-1</f>
        <v>0.3423074745577146</v>
      </c>
      <c r="I21" s="1611">
        <f t="shared" si="17"/>
        <v>7.130113480745956E-2</v>
      </c>
      <c r="J21" s="1611">
        <f t="shared" si="18"/>
        <v>9.5708046196500196E-2</v>
      </c>
      <c r="K21" s="1612">
        <f t="shared" si="19"/>
        <v>0.3423074745577146</v>
      </c>
      <c r="N21" s="1433">
        <f>SUM('VPP3'!L23:L24)</f>
        <v>319781247.79789221</v>
      </c>
      <c r="O21" s="1433">
        <f t="shared" si="27"/>
        <v>22800765.858135141</v>
      </c>
      <c r="P21" s="1433">
        <f t="shared" si="27"/>
        <v>30605638.437015146</v>
      </c>
      <c r="Q21" s="1433">
        <f t="shared" si="28"/>
        <v>22800765.858135141</v>
      </c>
      <c r="R21" s="1433">
        <f t="shared" si="29"/>
        <v>30605638.437015146</v>
      </c>
    </row>
    <row r="22" spans="2:18">
      <c r="B22" s="2425" t="s">
        <v>2181</v>
      </c>
      <c r="C22" s="2414">
        <f>'VPP3'!$C25+'VPP3'!$C26</f>
        <v>2</v>
      </c>
      <c r="D22" s="1610">
        <f t="shared" si="0"/>
        <v>3.6233525069070158E-6</v>
      </c>
      <c r="E22" s="1611">
        <f>AVERAGE('VPP3'!F25:F27)</f>
        <v>1.6103766049879963E-2</v>
      </c>
      <c r="F22" s="1611">
        <f>AVERAGE('VPP3'!G25:G27)</f>
        <v>2.4820369210220725E-2</v>
      </c>
      <c r="G22" s="1612">
        <f>F22/E22-1</f>
        <v>0.54127730950275033</v>
      </c>
      <c r="I22" s="1611">
        <f t="shared" si="17"/>
        <v>1.6103766049879963E-2</v>
      </c>
      <c r="J22" s="1611">
        <f t="shared" si="18"/>
        <v>2.4820369210220725E-2</v>
      </c>
      <c r="K22" s="1612">
        <f t="shared" si="19"/>
        <v>0.54127730950275033</v>
      </c>
      <c r="N22" s="1433">
        <f>SUM('VPP3'!L25:L27)</f>
        <v>101960957.00692064</v>
      </c>
      <c r="O22" s="1433">
        <f t="shared" si="27"/>
        <v>1641955.3978613191</v>
      </c>
      <c r="P22" s="1433">
        <f t="shared" si="27"/>
        <v>2530708.5979392119</v>
      </c>
      <c r="Q22" s="1433">
        <f t="shared" si="28"/>
        <v>1641955.3978613191</v>
      </c>
      <c r="R22" s="1433">
        <f t="shared" si="29"/>
        <v>2530708.5979392119</v>
      </c>
    </row>
    <row r="23" spans="2:18">
      <c r="B23" s="2543" t="s">
        <v>2182</v>
      </c>
      <c r="C23" s="2544">
        <f>SUM(C20:C22)</f>
        <v>297</v>
      </c>
      <c r="D23" s="2545">
        <f t="shared" si="0"/>
        <v>5.3806784727569181E-4</v>
      </c>
      <c r="E23" s="2532">
        <f>'VPP3'!F28</f>
        <v>6.2055524227478204E-2</v>
      </c>
      <c r="F23" s="2532">
        <f>'VPP3'!G28</f>
        <v>8.2983409646382303E-2</v>
      </c>
      <c r="G23" s="2546">
        <f t="shared" si="12"/>
        <v>0.33724451899219021</v>
      </c>
      <c r="I23" s="2398">
        <f t="shared" si="17"/>
        <v>6.0947213917965738E-2</v>
      </c>
      <c r="J23" s="2398">
        <f t="shared" si="18"/>
        <v>8.1747900816282484E-2</v>
      </c>
      <c r="K23" s="2399">
        <f t="shared" si="19"/>
        <v>0.34129020116184861</v>
      </c>
      <c r="N23" s="2424">
        <f>SUM(N20:N22)</f>
        <v>475168318.43411863</v>
      </c>
      <c r="O23" s="2424">
        <f>SUM(O20:O22)</f>
        <v>28960185.150644291</v>
      </c>
      <c r="P23" s="2424">
        <f>SUM(P20:P22)</f>
        <v>38844012.566392064</v>
      </c>
      <c r="Q23" s="2424">
        <f>SUM(Q20:Q22)</f>
        <v>28960185.150644291</v>
      </c>
      <c r="R23" s="2424">
        <f>SUM(R20:R22)</f>
        <v>38844012.566392064</v>
      </c>
    </row>
    <row r="24" spans="2:18" ht="13.5">
      <c r="B24" s="2416" t="s">
        <v>112</v>
      </c>
      <c r="C24" s="2417">
        <f>C19+C23</f>
        <v>551975</v>
      </c>
      <c r="D24" s="2418">
        <f>D19+D23</f>
        <v>1</v>
      </c>
      <c r="E24" s="2419">
        <f>O24/$N24</f>
        <v>0.16177673828482297</v>
      </c>
      <c r="F24" s="2419">
        <f>P24/$N24</f>
        <v>0.17316012931859376</v>
      </c>
      <c r="G24" s="2420">
        <f t="shared" si="12"/>
        <v>7.0364819778534926E-2</v>
      </c>
      <c r="I24" s="2564">
        <f t="shared" si="17"/>
        <v>0.14378587787645414</v>
      </c>
      <c r="J24" s="2564">
        <f t="shared" si="18"/>
        <v>0.15407741111034806</v>
      </c>
      <c r="K24" s="2565">
        <f t="shared" si="19"/>
        <v>7.1575410505451575E-2</v>
      </c>
      <c r="N24" s="2547">
        <f>N19+N23</f>
        <v>2143955776.3081188</v>
      </c>
      <c r="O24" s="2547">
        <f>O19+O23</f>
        <v>346842172.51803303</v>
      </c>
      <c r="P24" s="2547">
        <f>P19+P23</f>
        <v>371247659.4788599</v>
      </c>
      <c r="Q24" s="2547">
        <f>Q19+Q23</f>
        <v>308270563.4247576</v>
      </c>
      <c r="R24" s="2547">
        <f>R19+R23</f>
        <v>330335155.54863143</v>
      </c>
    </row>
    <row r="26" spans="2:18">
      <c r="B26" s="2552" t="s">
        <v>2183</v>
      </c>
      <c r="C26" s="2553"/>
      <c r="D26" s="2553"/>
    </row>
  </sheetData>
  <pageMargins left="0.7" right="0.7" top="0.75" bottom="0.75" header="0.3" footer="0.3"/>
  <pageSetup scale="8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24"/>
  <dimension ref="A1:B55"/>
  <sheetViews>
    <sheetView view="pageBreakPreview" zoomScaleNormal="100" zoomScaleSheetLayoutView="100" workbookViewId="0">
      <selection activeCell="B1" sqref="B1"/>
    </sheetView>
  </sheetViews>
  <sheetFormatPr baseColWidth="10" defaultRowHeight="15.75"/>
  <cols>
    <col min="1" max="1" width="17.125" style="2" customWidth="1"/>
    <col min="2" max="2" width="65.75" style="1" customWidth="1"/>
  </cols>
  <sheetData>
    <row r="1" spans="1:2" s="3" customFormat="1" ht="29.25" customHeight="1">
      <c r="A1" s="5" t="s">
        <v>226</v>
      </c>
      <c r="B1" s="7" t="s">
        <v>224</v>
      </c>
    </row>
    <row r="2" spans="1:2">
      <c r="A2" s="4" t="s">
        <v>139</v>
      </c>
      <c r="B2" s="8" t="s">
        <v>134</v>
      </c>
    </row>
    <row r="3" spans="1:2" ht="30">
      <c r="A3" s="6" t="s">
        <v>93</v>
      </c>
      <c r="B3" s="9" t="s">
        <v>44</v>
      </c>
    </row>
    <row r="4" spans="1:2" ht="30">
      <c r="A4" s="6" t="s">
        <v>94</v>
      </c>
      <c r="B4" s="9" t="s">
        <v>45</v>
      </c>
    </row>
    <row r="5" spans="1:2" ht="30">
      <c r="A5" s="6" t="s">
        <v>95</v>
      </c>
      <c r="B5" s="9" t="s">
        <v>46</v>
      </c>
    </row>
    <row r="6" spans="1:2" ht="30">
      <c r="A6" s="6" t="s">
        <v>92</v>
      </c>
      <c r="B6" s="9" t="s">
        <v>47</v>
      </c>
    </row>
    <row r="7" spans="1:2" ht="30">
      <c r="A7" s="6" t="s">
        <v>140</v>
      </c>
      <c r="B7" s="10" t="s">
        <v>30</v>
      </c>
    </row>
    <row r="8" spans="1:2" ht="30">
      <c r="A8" s="6" t="s">
        <v>253</v>
      </c>
      <c r="B8" s="9" t="s">
        <v>48</v>
      </c>
    </row>
    <row r="9" spans="1:2" ht="30">
      <c r="A9" s="6" t="s">
        <v>254</v>
      </c>
      <c r="B9" s="9" t="s">
        <v>49</v>
      </c>
    </row>
    <row r="10" spans="1:2" ht="45">
      <c r="A10" s="6" t="s">
        <v>141</v>
      </c>
      <c r="B10" s="10" t="s">
        <v>174</v>
      </c>
    </row>
    <row r="11" spans="1:2" ht="30">
      <c r="A11" s="6" t="s">
        <v>143</v>
      </c>
      <c r="B11" s="9" t="s">
        <v>65</v>
      </c>
    </row>
    <row r="12" spans="1:2" ht="30">
      <c r="A12" s="6" t="s">
        <v>144</v>
      </c>
      <c r="B12" s="9" t="s">
        <v>50</v>
      </c>
    </row>
    <row r="13" spans="1:2" ht="30">
      <c r="A13" s="6" t="s">
        <v>31</v>
      </c>
      <c r="B13" s="9" t="s">
        <v>51</v>
      </c>
    </row>
    <row r="14" spans="1:2" ht="30">
      <c r="A14" s="6" t="s">
        <v>32</v>
      </c>
      <c r="B14" s="9" t="s">
        <v>52</v>
      </c>
    </row>
    <row r="15" spans="1:2" ht="30">
      <c r="A15" s="12" t="s">
        <v>371</v>
      </c>
      <c r="B15" s="9" t="s">
        <v>373</v>
      </c>
    </row>
    <row r="16" spans="1:2" ht="30">
      <c r="A16" s="12" t="s">
        <v>372</v>
      </c>
      <c r="B16" s="9" t="s">
        <v>374</v>
      </c>
    </row>
    <row r="17" spans="1:2" ht="45">
      <c r="A17" s="6" t="s">
        <v>142</v>
      </c>
      <c r="B17" s="10" t="s">
        <v>175</v>
      </c>
    </row>
    <row r="18" spans="1:2" ht="45">
      <c r="A18" s="6" t="s">
        <v>145</v>
      </c>
      <c r="B18" s="10" t="s">
        <v>53</v>
      </c>
    </row>
    <row r="19" spans="1:2" ht="30">
      <c r="A19" s="6" t="s">
        <v>146</v>
      </c>
      <c r="B19" s="9" t="s">
        <v>66</v>
      </c>
    </row>
    <row r="20" spans="1:2" ht="30">
      <c r="A20" s="6" t="s">
        <v>147</v>
      </c>
      <c r="B20" s="9" t="s">
        <v>54</v>
      </c>
    </row>
    <row r="21" spans="1:2" ht="45">
      <c r="A21" s="16" t="s">
        <v>33</v>
      </c>
      <c r="B21" s="17" t="s">
        <v>55</v>
      </c>
    </row>
    <row r="22" spans="1:2" ht="30">
      <c r="A22" s="14" t="s">
        <v>34</v>
      </c>
      <c r="B22" s="15" t="s">
        <v>56</v>
      </c>
    </row>
    <row r="23" spans="1:2" ht="30">
      <c r="A23" s="12" t="s">
        <v>375</v>
      </c>
      <c r="B23" s="9" t="s">
        <v>377</v>
      </c>
    </row>
    <row r="24" spans="1:2" ht="44.25">
      <c r="A24" s="12" t="s">
        <v>376</v>
      </c>
      <c r="B24" s="9" t="s">
        <v>378</v>
      </c>
    </row>
    <row r="25" spans="1:2" ht="45">
      <c r="A25" s="6" t="s">
        <v>220</v>
      </c>
      <c r="B25" s="10" t="s">
        <v>57</v>
      </c>
    </row>
    <row r="26" spans="1:2" ht="45">
      <c r="A26" s="6" t="s">
        <v>148</v>
      </c>
      <c r="B26" s="10" t="s">
        <v>58</v>
      </c>
    </row>
    <row r="27" spans="1:2" ht="30">
      <c r="A27" s="6" t="s">
        <v>149</v>
      </c>
      <c r="B27" s="9" t="s">
        <v>67</v>
      </c>
    </row>
    <row r="28" spans="1:2" ht="30">
      <c r="A28" s="6" t="s">
        <v>221</v>
      </c>
      <c r="B28" s="9" t="s">
        <v>59</v>
      </c>
    </row>
    <row r="29" spans="1:2" ht="30">
      <c r="A29" s="6" t="s">
        <v>35</v>
      </c>
      <c r="B29" s="9" t="s">
        <v>60</v>
      </c>
    </row>
    <row r="30" spans="1:2" ht="30">
      <c r="A30" s="12" t="s">
        <v>379</v>
      </c>
      <c r="B30" s="9" t="s">
        <v>380</v>
      </c>
    </row>
    <row r="31" spans="1:2" ht="30">
      <c r="A31" s="6" t="s">
        <v>36</v>
      </c>
      <c r="B31" s="9" t="s">
        <v>61</v>
      </c>
    </row>
    <row r="32" spans="1:2" ht="30">
      <c r="A32" s="6" t="s">
        <v>346</v>
      </c>
      <c r="B32" s="9" t="s">
        <v>350</v>
      </c>
    </row>
    <row r="33" spans="1:2" ht="30">
      <c r="A33" s="6" t="s">
        <v>347</v>
      </c>
      <c r="B33" s="9" t="s">
        <v>370</v>
      </c>
    </row>
    <row r="34" spans="1:2" ht="30">
      <c r="A34" s="6" t="s">
        <v>348</v>
      </c>
      <c r="B34" s="9" t="s">
        <v>369</v>
      </c>
    </row>
    <row r="35" spans="1:2" ht="45">
      <c r="A35" s="6" t="s">
        <v>349</v>
      </c>
      <c r="B35" s="9" t="s">
        <v>351</v>
      </c>
    </row>
    <row r="36" spans="1:2" ht="45">
      <c r="A36" s="6" t="s">
        <v>150</v>
      </c>
      <c r="B36" s="10" t="s">
        <v>62</v>
      </c>
    </row>
    <row r="37" spans="1:2">
      <c r="A37" s="6" t="s">
        <v>5</v>
      </c>
      <c r="B37" s="10" t="s">
        <v>6</v>
      </c>
    </row>
    <row r="38" spans="1:2">
      <c r="A38" s="6" t="s">
        <v>231</v>
      </c>
      <c r="B38" s="9" t="s">
        <v>63</v>
      </c>
    </row>
    <row r="39" spans="1:2" ht="30">
      <c r="A39" s="6" t="s">
        <v>232</v>
      </c>
      <c r="B39" s="9" t="s">
        <v>68</v>
      </c>
    </row>
    <row r="40" spans="1:2" ht="30">
      <c r="A40" s="6" t="s">
        <v>233</v>
      </c>
      <c r="B40" s="9" t="s">
        <v>64</v>
      </c>
    </row>
    <row r="41" spans="1:2">
      <c r="A41" s="6" t="s">
        <v>234</v>
      </c>
      <c r="B41" s="9" t="s">
        <v>69</v>
      </c>
    </row>
    <row r="42" spans="1:2">
      <c r="A42" s="6" t="s">
        <v>225</v>
      </c>
      <c r="B42" s="10" t="s">
        <v>156</v>
      </c>
    </row>
    <row r="43" spans="1:2">
      <c r="A43" s="16" t="s">
        <v>223</v>
      </c>
      <c r="B43" s="11" t="s">
        <v>255</v>
      </c>
    </row>
    <row r="44" spans="1:2">
      <c r="A44" s="14" t="s">
        <v>271</v>
      </c>
      <c r="B44" s="18" t="s">
        <v>70</v>
      </c>
    </row>
    <row r="45" spans="1:2">
      <c r="A45" s="6" t="s">
        <v>303</v>
      </c>
      <c r="B45" s="9" t="s">
        <v>71</v>
      </c>
    </row>
    <row r="46" spans="1:2">
      <c r="A46" s="14" t="s">
        <v>302</v>
      </c>
      <c r="B46" s="18" t="s">
        <v>72</v>
      </c>
    </row>
    <row r="47" spans="1:2">
      <c r="A47" s="6" t="s">
        <v>89</v>
      </c>
      <c r="B47" s="10" t="s">
        <v>73</v>
      </c>
    </row>
    <row r="48" spans="1:2">
      <c r="A48" s="6" t="s">
        <v>90</v>
      </c>
      <c r="B48" s="10" t="s">
        <v>74</v>
      </c>
    </row>
    <row r="49" spans="1:2">
      <c r="A49" s="6" t="s">
        <v>179</v>
      </c>
      <c r="B49" s="10" t="s">
        <v>74</v>
      </c>
    </row>
    <row r="50" spans="1:2">
      <c r="A50" s="6" t="s">
        <v>91</v>
      </c>
      <c r="B50" s="10" t="s">
        <v>75</v>
      </c>
    </row>
    <row r="51" spans="1:2" ht="31.5">
      <c r="A51" s="12" t="s">
        <v>356</v>
      </c>
      <c r="B51" s="10" t="s">
        <v>73</v>
      </c>
    </row>
    <row r="52" spans="1:2" ht="31.5">
      <c r="A52" s="12" t="s">
        <v>357</v>
      </c>
      <c r="B52" s="10" t="s">
        <v>74</v>
      </c>
    </row>
    <row r="53" spans="1:2" ht="31.5">
      <c r="A53" s="12" t="s">
        <v>358</v>
      </c>
      <c r="B53" s="10" t="s">
        <v>75</v>
      </c>
    </row>
    <row r="54" spans="1:2" ht="47.25">
      <c r="A54" s="12" t="s">
        <v>367</v>
      </c>
      <c r="B54" s="10" t="s">
        <v>381</v>
      </c>
    </row>
    <row r="55" spans="1:2" ht="47.25">
      <c r="A55" s="13" t="s">
        <v>368</v>
      </c>
      <c r="B55" s="11" t="s">
        <v>382</v>
      </c>
    </row>
  </sheetData>
  <phoneticPr fontId="0" type="noConversion"/>
  <printOptions horizontalCentered="1" verticalCentered="1"/>
  <pageMargins left="0.59055118110236227" right="0.59055118110236227" top="0.98425196850393704" bottom="0.78740157480314965" header="0.59055118110236227" footer="0.47244094488188981"/>
  <pageSetup scale="70" orientation="portrait" r:id="rId1"/>
  <headerFooter>
    <oddHeader>&amp;L&amp;"Times New Roman,Negrita"&amp;14Nombre de la Distribuidora: &amp;K06-048ENSA&amp;RASEP FORM: &amp;A</oddHeader>
    <oddFooter>&amp;R&amp;A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25">
    <tabColor theme="0" tint="-0.34998626667073579"/>
    <pageSetUpPr fitToPage="1"/>
  </sheetPr>
  <dimension ref="B1:E22"/>
  <sheetViews>
    <sheetView zoomScale="85" zoomScaleNormal="85" zoomScaleSheetLayoutView="145" workbookViewId="0">
      <selection activeCell="D11" sqref="D11"/>
    </sheetView>
  </sheetViews>
  <sheetFormatPr baseColWidth="10" defaultColWidth="10" defaultRowHeight="15"/>
  <cols>
    <col min="1" max="1" width="2.625" style="167" customWidth="1"/>
    <col min="2" max="2" width="18.25" style="167" customWidth="1"/>
    <col min="3" max="4" width="20.25" style="167" customWidth="1"/>
    <col min="5" max="5" width="7.75" style="167" bestFit="1" customWidth="1"/>
    <col min="6" max="6" width="13.25" style="167" bestFit="1" customWidth="1"/>
    <col min="7" max="7" width="4.625" style="167" bestFit="1" customWidth="1"/>
    <col min="8" max="8" width="5.25" style="167" customWidth="1"/>
    <col min="9" max="16384" width="10" style="167"/>
  </cols>
  <sheetData>
    <row r="1" spans="2:5">
      <c r="B1" s="167" t="s">
        <v>151</v>
      </c>
    </row>
    <row r="2" spans="2:5" s="73" customFormat="1">
      <c r="B2" s="168" t="s">
        <v>1170</v>
      </c>
    </row>
    <row r="3" spans="2:5" s="73" customFormat="1"/>
    <row r="4" spans="2:5">
      <c r="B4" s="136" t="s">
        <v>1831</v>
      </c>
    </row>
    <row r="5" spans="2:5">
      <c r="B5" s="167" t="s">
        <v>135</v>
      </c>
    </row>
    <row r="7" spans="2:5" s="695" customFormat="1" ht="40.5">
      <c r="B7" s="696" t="s">
        <v>461</v>
      </c>
      <c r="C7" s="696" t="s">
        <v>1880</v>
      </c>
      <c r="D7" s="1640" t="s">
        <v>1881</v>
      </c>
      <c r="E7" s="696" t="s">
        <v>1830</v>
      </c>
    </row>
    <row r="8" spans="2:5" s="695" customFormat="1">
      <c r="B8" s="1981">
        <v>45444</v>
      </c>
      <c r="C8" s="1982">
        <v>109.6</v>
      </c>
      <c r="D8" s="1985"/>
      <c r="E8" s="1982"/>
    </row>
    <row r="9" spans="2:5" s="695" customFormat="1">
      <c r="B9" s="1978">
        <v>45627</v>
      </c>
      <c r="C9" s="1979">
        <v>108.8</v>
      </c>
      <c r="D9" s="1985"/>
      <c r="E9" s="1980">
        <f>C9/C8-1</f>
        <v>-7.2992700729926918E-3</v>
      </c>
    </row>
    <row r="10" spans="2:5" s="695" customFormat="1">
      <c r="B10" s="1975">
        <v>45809</v>
      </c>
      <c r="C10" s="1976">
        <v>109.1</v>
      </c>
      <c r="D10" s="1983">
        <f>D11/C11*C10</f>
        <v>99.782920110192819</v>
      </c>
      <c r="E10" s="1977">
        <f>C10/C9-1</f>
        <v>2.7573529411764053E-3</v>
      </c>
    </row>
    <row r="11" spans="2:5" s="695" customFormat="1">
      <c r="B11" s="1981">
        <v>45839</v>
      </c>
      <c r="C11" s="1982">
        <v>109.1</v>
      </c>
      <c r="D11" s="1983">
        <f>D12/C12*C11</f>
        <v>99.782920110192819</v>
      </c>
      <c r="E11" s="1982"/>
    </row>
    <row r="12" spans="2:5" s="695" customFormat="1">
      <c r="B12" s="1981">
        <v>45870</v>
      </c>
      <c r="C12" s="1982">
        <v>108.9</v>
      </c>
      <c r="D12" s="1982">
        <v>99.6</v>
      </c>
      <c r="E12" s="1982"/>
    </row>
    <row r="13" spans="2:5" s="695" customFormat="1">
      <c r="B13" s="1981">
        <v>45901</v>
      </c>
      <c r="C13" s="1982" t="s">
        <v>1829</v>
      </c>
      <c r="D13" s="1982">
        <v>99.5</v>
      </c>
      <c r="E13" s="1982"/>
    </row>
    <row r="14" spans="2:5" s="695" customFormat="1">
      <c r="B14" s="1981">
        <v>45931</v>
      </c>
      <c r="C14" s="1982" t="s">
        <v>1829</v>
      </c>
      <c r="D14" s="1982">
        <v>99.6</v>
      </c>
      <c r="E14" s="1982"/>
    </row>
    <row r="15" spans="2:5" s="695" customFormat="1">
      <c r="B15" s="1981">
        <v>45962</v>
      </c>
      <c r="C15" s="1982" t="s">
        <v>1829</v>
      </c>
      <c r="D15" s="1982">
        <v>99.9</v>
      </c>
      <c r="E15" s="1982"/>
    </row>
    <row r="16" spans="2:5" s="695" customFormat="1">
      <c r="B16" s="1975">
        <v>45992</v>
      </c>
      <c r="C16" s="1982" t="s">
        <v>1829</v>
      </c>
      <c r="D16" s="1976">
        <v>99.9</v>
      </c>
      <c r="E16" s="1974">
        <f>D16/D10-1</f>
        <v>1.1733459962677273E-3</v>
      </c>
    </row>
    <row r="17" spans="2:4" s="695" customFormat="1">
      <c r="B17" s="167"/>
    </row>
    <row r="18" spans="2:4" s="169" customFormat="1" ht="12">
      <c r="B18" s="694" t="s">
        <v>1168</v>
      </c>
    </row>
    <row r="19" spans="2:4" s="169" customFormat="1" ht="12">
      <c r="B19" s="694" t="s">
        <v>1169</v>
      </c>
    </row>
    <row r="20" spans="2:4" s="169" customFormat="1" ht="12">
      <c r="B20" s="694" t="s">
        <v>463</v>
      </c>
    </row>
    <row r="21" spans="2:4" s="169" customFormat="1" ht="11.25"/>
    <row r="22" spans="2:4">
      <c r="B22" s="1166" t="str">
        <f>'PORTADA PORTADA PORTADA'!$B$23</f>
        <v>1 DE JULIO DE 2026</v>
      </c>
      <c r="C22" s="169"/>
      <c r="D22" s="169"/>
    </row>
  </sheetData>
  <phoneticPr fontId="0" type="noConversion"/>
  <printOptions horizontalCentered="1" verticalCentered="1"/>
  <pageMargins left="0.59055118110236227" right="0.59055118110236227" top="0.78740157480314965" bottom="0.59055118110236227" header="0.59055118110236227" footer="0.47244094488188981"/>
  <pageSetup orientation="portrait" r:id="rId1"/>
  <headerFooter>
    <oddHeader>&amp;L&amp;"Times New Roman,Negrita"&amp;14Nombre de la Distribuidora: &amp;K06-048ENSA&amp;RASEP FORM: &amp;A</oddHeader>
    <oddFooter>&amp;R&amp;A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26">
    <tabColor theme="8" tint="0.39997558519241921"/>
  </sheetPr>
  <dimension ref="A1:K177"/>
  <sheetViews>
    <sheetView view="pageBreakPreview" zoomScale="85" zoomScaleNormal="85" zoomScaleSheetLayoutView="85" workbookViewId="0">
      <selection activeCell="G7" sqref="G7:H15"/>
    </sheetView>
  </sheetViews>
  <sheetFormatPr baseColWidth="10" defaultColWidth="8" defaultRowHeight="15"/>
  <cols>
    <col min="1" max="1" width="4" style="63" customWidth="1"/>
    <col min="2" max="2" width="7.375" style="48" bestFit="1" customWidth="1"/>
    <col min="3" max="3" width="28.75" style="63" customWidth="1"/>
    <col min="4" max="7" width="10.625" style="63" customWidth="1"/>
    <col min="8" max="8" width="11.5" style="63" customWidth="1"/>
    <col min="9" max="10" width="11.25" style="63" customWidth="1"/>
    <col min="11" max="11" width="6.25" style="1424" customWidth="1"/>
    <col min="12" max="16384" width="8" style="63"/>
  </cols>
  <sheetData>
    <row r="1" spans="2:11" s="69" customFormat="1" ht="15.75">
      <c r="B1" s="48"/>
      <c r="C1" s="136" t="s">
        <v>151</v>
      </c>
      <c r="K1" s="1423"/>
    </row>
    <row r="2" spans="2:11" s="69" customFormat="1" ht="15.75">
      <c r="B2" s="48"/>
      <c r="D2" s="168" t="s">
        <v>251</v>
      </c>
      <c r="K2" s="1423"/>
    </row>
    <row r="3" spans="2:11" s="69" customFormat="1" ht="15.75">
      <c r="B3" s="48"/>
      <c r="D3" s="137"/>
      <c r="K3" s="1423"/>
    </row>
    <row r="4" spans="2:11" ht="45">
      <c r="C4" s="170" t="s">
        <v>268</v>
      </c>
      <c r="D4" s="170"/>
      <c r="E4" s="170"/>
      <c r="F4" s="170"/>
      <c r="G4" s="170"/>
      <c r="H4" s="170"/>
      <c r="I4" s="170"/>
      <c r="J4" s="170"/>
    </row>
    <row r="5" spans="2:11">
      <c r="C5" s="139"/>
    </row>
    <row r="6" spans="2:11" s="143" customFormat="1" ht="30">
      <c r="B6" s="48"/>
      <c r="C6" s="140" t="s">
        <v>37</v>
      </c>
      <c r="D6" s="171" t="s">
        <v>1395</v>
      </c>
      <c r="E6" s="171" t="s">
        <v>1396</v>
      </c>
      <c r="F6" s="69"/>
      <c r="G6" s="69"/>
      <c r="K6" s="1425"/>
    </row>
    <row r="7" spans="2:11" s="143" customFormat="1" ht="15.75">
      <c r="B7" s="48"/>
      <c r="C7" s="144" t="s">
        <v>266</v>
      </c>
      <c r="D7" s="145">
        <f>RAT1000VAD!$N$15</f>
        <v>10.02</v>
      </c>
      <c r="E7" s="172">
        <f>RAT1000VAD!$N$25</f>
        <v>4.8999999999999998E-4</v>
      </c>
      <c r="F7" s="69"/>
      <c r="G7" s="2173"/>
      <c r="H7" s="2173"/>
      <c r="K7" s="1425"/>
    </row>
    <row r="8" spans="2:11" s="143" customFormat="1" ht="15.75">
      <c r="B8" s="48"/>
      <c r="C8" s="144" t="s">
        <v>265</v>
      </c>
      <c r="D8" s="145">
        <f>RAT1000VAD!$N$14</f>
        <v>10.02</v>
      </c>
      <c r="E8" s="172">
        <f>RAT1000VAD!$N$24</f>
        <v>4.8999999999999998E-4</v>
      </c>
      <c r="F8" s="69"/>
      <c r="G8" s="2173"/>
      <c r="H8" s="2173"/>
      <c r="K8" s="1425"/>
    </row>
    <row r="9" spans="2:11" s="143" customFormat="1" ht="15.75">
      <c r="B9" s="48"/>
      <c r="C9" s="144" t="s">
        <v>264</v>
      </c>
      <c r="D9" s="145">
        <f>RAT1000VAD!$N$13</f>
        <v>10.029999999999999</v>
      </c>
      <c r="E9" s="172">
        <f>RAT1000VAD!$N$23</f>
        <v>4.5900000000000003E-3</v>
      </c>
      <c r="F9" s="69"/>
      <c r="G9" s="2173"/>
      <c r="H9" s="2173"/>
      <c r="K9" s="1425"/>
    </row>
    <row r="10" spans="2:11" s="143" customFormat="1" ht="15.75">
      <c r="B10" s="48"/>
      <c r="C10" s="144" t="s">
        <v>262</v>
      </c>
      <c r="D10" s="145">
        <f>RAT1000VAD!$N$12</f>
        <v>10.029999999999999</v>
      </c>
      <c r="E10" s="172">
        <f>RAT1000VAD!$N$22</f>
        <v>4.5900000000000003E-3</v>
      </c>
      <c r="F10" s="69"/>
      <c r="G10" s="2173"/>
      <c r="H10" s="2173"/>
      <c r="K10" s="1425"/>
    </row>
    <row r="11" spans="2:11" s="143" customFormat="1" ht="15.75">
      <c r="B11" s="48"/>
      <c r="C11" s="144" t="s">
        <v>263</v>
      </c>
      <c r="D11" s="145">
        <f>RAT1000VAD!$N$11</f>
        <v>5.57</v>
      </c>
      <c r="E11" s="172">
        <f>RAT1000VAD!$N$21</f>
        <v>4.7699999999999999E-3</v>
      </c>
      <c r="F11" s="69"/>
      <c r="G11" s="2173"/>
      <c r="H11" s="2173"/>
      <c r="K11" s="1425"/>
    </row>
    <row r="12" spans="2:11" s="143" customFormat="1" ht="15.75">
      <c r="B12" s="48"/>
      <c r="C12" s="144" t="s">
        <v>261</v>
      </c>
      <c r="D12" s="145">
        <f>RAT1000VAD!$N$10</f>
        <v>5.57</v>
      </c>
      <c r="E12" s="172">
        <f>RAT1000VAD!$N$20</f>
        <v>4.7699999999999999E-3</v>
      </c>
      <c r="F12" s="69"/>
      <c r="G12" s="2173"/>
      <c r="H12" s="2173"/>
      <c r="K12" s="1425"/>
    </row>
    <row r="13" spans="2:11" s="143" customFormat="1" ht="15.75">
      <c r="B13" s="48"/>
      <c r="C13" s="144" t="s">
        <v>917</v>
      </c>
      <c r="D13" s="145"/>
      <c r="E13" s="172">
        <f>RAT1000VAD!$N$17</f>
        <v>3.3369999999999997E-2</v>
      </c>
      <c r="F13" s="69"/>
      <c r="G13" s="2173"/>
      <c r="H13" s="2173"/>
      <c r="K13" s="1425"/>
    </row>
    <row r="14" spans="2:11" s="143" customFormat="1" ht="15.75">
      <c r="B14" s="48"/>
      <c r="C14" s="144" t="s">
        <v>267</v>
      </c>
      <c r="D14" s="145">
        <f>RAT1000VAD!$N$8</f>
        <v>2.76</v>
      </c>
      <c r="E14" s="172">
        <f>RAT1000VAD!$N$18</f>
        <v>1.7950000000000001E-2</v>
      </c>
      <c r="F14" s="69"/>
      <c r="G14" s="2173"/>
      <c r="H14" s="2173"/>
      <c r="K14" s="1425"/>
    </row>
    <row r="15" spans="2:11" s="143" customFormat="1" ht="15.75">
      <c r="B15" s="48"/>
      <c r="C15" s="144" t="s">
        <v>1178</v>
      </c>
      <c r="D15" s="145">
        <f>RAT1000VAD!$N$9</f>
        <v>2.76</v>
      </c>
      <c r="E15" s="172">
        <f>RAT1000VAD!$N$19</f>
        <v>1.7489999999999999E-2</v>
      </c>
      <c r="F15" s="69"/>
      <c r="G15" s="2173"/>
      <c r="H15" s="2173"/>
      <c r="K15" s="1425"/>
    </row>
    <row r="16" spans="2:11" s="143" customFormat="1" ht="13.5">
      <c r="B16" s="48"/>
      <c r="C16" s="147"/>
      <c r="K16" s="1425"/>
    </row>
    <row r="17" spans="2:11" ht="33">
      <c r="C17" s="173" t="s">
        <v>1397</v>
      </c>
      <c r="D17" s="173"/>
      <c r="E17" s="173"/>
      <c r="F17" s="173"/>
      <c r="G17" s="173"/>
      <c r="H17" s="173"/>
      <c r="I17" s="173"/>
      <c r="J17" s="173"/>
    </row>
    <row r="18" spans="2:11" s="37" customFormat="1" ht="13.5">
      <c r="B18" s="48"/>
      <c r="C18" s="150" t="s">
        <v>310</v>
      </c>
      <c r="D18" s="151">
        <f>F801ENE!D4</f>
        <v>46204</v>
      </c>
      <c r="E18" s="151">
        <f>F801ENE!E4</f>
        <v>46235</v>
      </c>
      <c r="F18" s="151">
        <f>F801ENE!F4</f>
        <v>46266</v>
      </c>
      <c r="G18" s="151">
        <f>F801ENE!G4</f>
        <v>46296</v>
      </c>
      <c r="H18" s="151">
        <f>F801ENE!H4</f>
        <v>46327</v>
      </c>
      <c r="I18" s="151">
        <f>F801ENE!I4</f>
        <v>46357</v>
      </c>
      <c r="J18" s="151" t="s">
        <v>111</v>
      </c>
      <c r="K18" s="1426"/>
    </row>
    <row r="19" spans="2:11" s="37" customFormat="1" ht="13.5">
      <c r="B19" s="48"/>
      <c r="C19" s="153" t="s">
        <v>446</v>
      </c>
      <c r="D19" s="154">
        <f t="shared" ref="D19:I19" si="0">SUM(D20:D21)</f>
        <v>9411.2466972421189</v>
      </c>
      <c r="E19" s="154">
        <f t="shared" si="0"/>
        <v>9415.1576873999184</v>
      </c>
      <c r="F19" s="154">
        <f t="shared" si="0"/>
        <v>9238.087733588527</v>
      </c>
      <c r="G19" s="154">
        <f t="shared" si="0"/>
        <v>9383.0212671359532</v>
      </c>
      <c r="H19" s="154">
        <f t="shared" si="0"/>
        <v>8978.1937689903625</v>
      </c>
      <c r="I19" s="154">
        <f t="shared" si="0"/>
        <v>9020.0766083431081</v>
      </c>
      <c r="J19" s="154">
        <f>SUM(D19:I19)</f>
        <v>55445.78376269999</v>
      </c>
      <c r="K19" s="1426"/>
    </row>
    <row r="20" spans="2:11" s="37" customFormat="1" ht="13.5">
      <c r="B20" s="48" t="s">
        <v>279</v>
      </c>
      <c r="C20" s="155" t="s">
        <v>279</v>
      </c>
      <c r="D20" s="156">
        <f>$D$7*F801C!D6+$E$7*F801ENE!D6</f>
        <v>9400.9816972421195</v>
      </c>
      <c r="E20" s="156">
        <f>$D$7*F801C!E6+$E$7*F801ENE!E6</f>
        <v>9404.8926873999189</v>
      </c>
      <c r="F20" s="156">
        <f>$D$7*F801C!F6+$E$7*F801ENE!F6</f>
        <v>9227.8227335885276</v>
      </c>
      <c r="G20" s="156">
        <f>$D$7*F801C!G6+$E$7*F801ENE!G6</f>
        <v>9372.7562671359537</v>
      </c>
      <c r="H20" s="156">
        <f>$D$7*F801C!H6+$E$7*F801ENE!H6</f>
        <v>8967.9287689903631</v>
      </c>
      <c r="I20" s="156">
        <f>$D$7*F801C!I6+$E$7*F801ENE!I6</f>
        <v>9009.8116083431087</v>
      </c>
      <c r="J20" s="156">
        <f>SUM(D20:I20)</f>
        <v>55384.193762699993</v>
      </c>
      <c r="K20" s="1426"/>
    </row>
    <row r="21" spans="2:11" s="37" customFormat="1" ht="13.5">
      <c r="B21" s="48" t="s">
        <v>278</v>
      </c>
      <c r="C21" s="155" t="s">
        <v>278</v>
      </c>
      <c r="D21" s="156">
        <f>$D$8*F801C!D7+$E$8*F801ENE!D7</f>
        <v>10.264999999999999</v>
      </c>
      <c r="E21" s="156">
        <f>$D$8*F801C!E7+$E$8*F801ENE!E7</f>
        <v>10.264999999999999</v>
      </c>
      <c r="F21" s="156">
        <f>$D$8*F801C!F7+$E$8*F801ENE!F7</f>
        <v>10.264999999999999</v>
      </c>
      <c r="G21" s="156">
        <f>$D$8*F801C!G7+$E$8*F801ENE!G7</f>
        <v>10.264999999999999</v>
      </c>
      <c r="H21" s="156">
        <f>$D$8*F801C!H7+$E$8*F801ENE!H7</f>
        <v>10.264999999999999</v>
      </c>
      <c r="I21" s="156">
        <f>$D$8*F801C!I7+$E$8*F801ENE!I7</f>
        <v>10.264999999999999</v>
      </c>
      <c r="J21" s="156">
        <f>SUM(D21:I21)</f>
        <v>61.589999999999996</v>
      </c>
      <c r="K21" s="1426"/>
    </row>
    <row r="22" spans="2:11" s="37" customFormat="1" ht="13.5">
      <c r="B22" s="48"/>
      <c r="C22" s="157"/>
      <c r="D22" s="156"/>
      <c r="E22" s="156"/>
      <c r="F22" s="156"/>
      <c r="G22" s="156"/>
      <c r="H22" s="156"/>
      <c r="I22" s="156"/>
      <c r="J22" s="156"/>
      <c r="K22" s="1426"/>
    </row>
    <row r="23" spans="2:11" s="37" customFormat="1" ht="13.5">
      <c r="B23" s="48"/>
      <c r="C23" s="153" t="s">
        <v>630</v>
      </c>
      <c r="D23" s="154">
        <f>SUBTOTAL(9,D24:D31)</f>
        <v>144956.8055086305</v>
      </c>
      <c r="E23" s="154">
        <f t="shared" ref="E23:I23" si="1">SUBTOTAL(9,E24:E31)</f>
        <v>145025.48348179227</v>
      </c>
      <c r="F23" s="154">
        <f t="shared" si="1"/>
        <v>142370.19838009603</v>
      </c>
      <c r="G23" s="154">
        <f t="shared" si="1"/>
        <v>144543.57587346001</v>
      </c>
      <c r="H23" s="154">
        <f t="shared" si="1"/>
        <v>138462.88057172319</v>
      </c>
      <c r="I23" s="154">
        <f t="shared" si="1"/>
        <v>139100.97240240817</v>
      </c>
      <c r="J23" s="154">
        <f t="shared" ref="J23:J31" si="2">SUM(D23:I23)</f>
        <v>854459.91621811013</v>
      </c>
      <c r="K23" s="1426"/>
    </row>
    <row r="24" spans="2:11" s="37" customFormat="1" ht="13.5">
      <c r="B24" s="48" t="s">
        <v>277</v>
      </c>
      <c r="C24" s="155" t="s">
        <v>277</v>
      </c>
      <c r="D24" s="154">
        <f>SUBTOTAL(9,D25:D26)</f>
        <v>20363.484457737242</v>
      </c>
      <c r="E24" s="154">
        <f t="shared" ref="E24:I24" si="3">SUBTOTAL(9,E25:E26)</f>
        <v>20371.874388594413</v>
      </c>
      <c r="F24" s="154">
        <f t="shared" si="3"/>
        <v>19992.020538438806</v>
      </c>
      <c r="G24" s="154">
        <f t="shared" si="3"/>
        <v>20302.934725457166</v>
      </c>
      <c r="H24" s="154">
        <f t="shared" si="3"/>
        <v>19434.491036906478</v>
      </c>
      <c r="I24" s="154">
        <f t="shared" si="3"/>
        <v>19524.338904605909</v>
      </c>
      <c r="J24" s="156">
        <f t="shared" si="2"/>
        <v>119989.14405174</v>
      </c>
      <c r="K24" s="1426"/>
    </row>
    <row r="25" spans="2:11" s="37" customFormat="1" ht="13.5">
      <c r="B25" s="48"/>
      <c r="C25" s="160" t="s">
        <v>304</v>
      </c>
      <c r="D25" s="156">
        <f>$D$9*F801C!D11+$E$9*F801ENE!D11</f>
        <v>17778.297149825645</v>
      </c>
      <c r="E25" s="156">
        <f>$D$9*F801C!E11+$E$9*F801ENE!E11</f>
        <v>17785.612147691758</v>
      </c>
      <c r="F25" s="156">
        <f>$D$9*F801C!F11+$E$9*F801ENE!F11</f>
        <v>17454.425854190013</v>
      </c>
      <c r="G25" s="156">
        <f>$D$9*F801C!G11+$E$9*F801ENE!G11</f>
        <v>17725.505157857824</v>
      </c>
      <c r="H25" s="156">
        <f>$D$9*F801C!H11+$E$9*F801ENE!H11</f>
        <v>16968.328032475878</v>
      </c>
      <c r="I25" s="156">
        <f>$D$9*F801C!I11+$E$9*F801ENE!I11</f>
        <v>17046.664430198896</v>
      </c>
      <c r="J25" s="156">
        <f t="shared" ref="J25:J26" si="4">SUM(D25:I25)</f>
        <v>104758.83277224001</v>
      </c>
      <c r="K25" s="1426"/>
    </row>
    <row r="26" spans="2:11" s="37" customFormat="1" ht="13.5">
      <c r="B26" s="48"/>
      <c r="C26" s="160" t="s">
        <v>305</v>
      </c>
      <c r="D26" s="156">
        <f>($D$9*F801C!D12+$E$9*F801ENE!D12)*95%</f>
        <v>2585.1873079115962</v>
      </c>
      <c r="E26" s="156">
        <f>($D$9*F801C!E12+$E$9*F801ENE!E12)*95%</f>
        <v>2586.2622409026558</v>
      </c>
      <c r="F26" s="156">
        <f>($D$9*F801C!F12+$E$9*F801ENE!F12)*95%</f>
        <v>2537.5946842487951</v>
      </c>
      <c r="G26" s="156">
        <f>($D$9*F801C!G12+$E$9*F801ENE!G12)*95%</f>
        <v>2577.429567599343</v>
      </c>
      <c r="H26" s="156">
        <f>($D$9*F801C!H12+$E$9*F801ENE!H12)*95%</f>
        <v>2466.1630044306007</v>
      </c>
      <c r="I26" s="156">
        <f>($D$9*F801C!I12+$E$9*F801ENE!I12)*95%</f>
        <v>2477.674474407012</v>
      </c>
      <c r="J26" s="156">
        <f t="shared" si="4"/>
        <v>15230.311279500002</v>
      </c>
      <c r="K26" s="1426"/>
    </row>
    <row r="27" spans="2:11" s="37" customFormat="1" ht="13.5">
      <c r="B27" s="48" t="s">
        <v>276</v>
      </c>
      <c r="C27" s="158" t="s">
        <v>276</v>
      </c>
      <c r="D27" s="154">
        <f>SUBTOTAL(9,D28:D31)</f>
        <v>124593.32105089325</v>
      </c>
      <c r="E27" s="154">
        <f t="shared" ref="E27:I27" si="5">SUBTOTAL(9,E28:E31)</f>
        <v>124653.60909319784</v>
      </c>
      <c r="F27" s="154">
        <f t="shared" si="5"/>
        <v>122378.17784165721</v>
      </c>
      <c r="G27" s="154">
        <f t="shared" si="5"/>
        <v>124240.64114800282</v>
      </c>
      <c r="H27" s="154">
        <f t="shared" si="5"/>
        <v>119028.38953481671</v>
      </c>
      <c r="I27" s="154">
        <f t="shared" si="5"/>
        <v>119576.63349780225</v>
      </c>
      <c r="J27" s="159">
        <f t="shared" si="2"/>
        <v>734470.77216636995</v>
      </c>
      <c r="K27" s="1426"/>
    </row>
    <row r="28" spans="2:11" s="37" customFormat="1" ht="13.5">
      <c r="B28" s="48"/>
      <c r="C28" s="160" t="s">
        <v>304</v>
      </c>
      <c r="D28" s="156">
        <f>($D$10*F801C!D15+$E$10*(F801ENE!D15))*1</f>
        <v>124066.68373649352</v>
      </c>
      <c r="E28" s="156">
        <f>($D$10*F801C!E15+$E$10*(F801ENE!E15))*1</f>
        <v>124126.77585035138</v>
      </c>
      <c r="F28" s="156">
        <f>($D$10*F801C!F15+$E$10*(F801ENE!F15))*1</f>
        <v>121860.21525294511</v>
      </c>
      <c r="G28" s="156">
        <f>($D$10*F801C!G15+$E$10*(F801ENE!G15))*1</f>
        <v>123715.41783989199</v>
      </c>
      <c r="H28" s="156">
        <f>($D$10*F801C!H15+$E$10*(F801ENE!H15))*1</f>
        <v>118523.44682566033</v>
      </c>
      <c r="I28" s="156">
        <f>($D$10*F801C!I15+$E$10*(F801ENE!I15))*1</f>
        <v>119069.59258861776</v>
      </c>
      <c r="J28" s="156">
        <f t="shared" si="2"/>
        <v>731362.13209395995</v>
      </c>
      <c r="K28" s="1426"/>
    </row>
    <row r="29" spans="2:11" s="37" customFormat="1" ht="13.5">
      <c r="B29" s="48"/>
      <c r="C29" s="161" t="s">
        <v>306</v>
      </c>
      <c r="D29" s="156">
        <f>($D$10*F801C!D16+$E$10*(F801ENE!D16))*1</f>
        <v>0</v>
      </c>
      <c r="E29" s="156">
        <f>($D$10*F801C!E16+$E$10*(F801ENE!E16))*1</f>
        <v>0</v>
      </c>
      <c r="F29" s="156">
        <f>($D$10*F801C!F16+$E$10*(F801ENE!F16))*1</f>
        <v>0</v>
      </c>
      <c r="G29" s="156">
        <f>($D$10*F801C!G16+$E$10*(F801ENE!G16))*1</f>
        <v>0</v>
      </c>
      <c r="H29" s="156">
        <f>($D$10*F801C!H16+$E$10*(F801ENE!H16))*1</f>
        <v>0</v>
      </c>
      <c r="I29" s="156">
        <f>($D$10*F801C!I16+$E$10*(F801ENE!I16))*1</f>
        <v>0</v>
      </c>
      <c r="J29" s="156">
        <f>SUM(D29:I29)</f>
        <v>0</v>
      </c>
      <c r="K29" s="1426"/>
    </row>
    <row r="30" spans="2:11" s="37" customFormat="1" ht="13.5">
      <c r="B30" s="48"/>
      <c r="C30" s="160" t="s">
        <v>305</v>
      </c>
      <c r="D30" s="156">
        <f>($D$10*F801C!D17+$E$10*(F801ENE!D17))*0.95</f>
        <v>526.63731439973787</v>
      </c>
      <c r="E30" s="156">
        <f>($D$10*F801C!E17+$E$10*(F801ENE!E17))*0.95</f>
        <v>526.83324284646756</v>
      </c>
      <c r="F30" s="156">
        <f>($D$10*F801C!F17+$E$10*(F801ENE!F17))*0.95</f>
        <v>517.96258871209704</v>
      </c>
      <c r="G30" s="156">
        <f>($D$10*F801C!G17+$E$10*(F801ENE!G17))*0.95</f>
        <v>525.22330811083168</v>
      </c>
      <c r="H30" s="156">
        <f>($D$10*F801C!H17+$E$10*(F801ENE!H17))*0.95</f>
        <v>504.94270915638032</v>
      </c>
      <c r="I30" s="156">
        <f>($D$10*F801C!I17+$E$10*(F801ENE!I17))*0.95</f>
        <v>507.04090918448537</v>
      </c>
      <c r="J30" s="156">
        <f t="shared" si="2"/>
        <v>3108.6400724099994</v>
      </c>
      <c r="K30" s="1426"/>
    </row>
    <row r="31" spans="2:11" s="37" customFormat="1" ht="13.5">
      <c r="B31" s="48"/>
      <c r="C31" s="160" t="s">
        <v>307</v>
      </c>
      <c r="D31" s="156">
        <f>($D$10*F801C!D18+$E$10*(F801ENE!D18))*0.5</f>
        <v>0</v>
      </c>
      <c r="E31" s="156">
        <f>($D$10*F801C!E18+$E$10*(F801ENE!E18))*0.5</f>
        <v>0</v>
      </c>
      <c r="F31" s="156">
        <f>($D$10*F801C!F18+$E$10*(F801ENE!F18))*0.5</f>
        <v>0</v>
      </c>
      <c r="G31" s="156">
        <f>($D$10*F801C!G18+$E$10*(F801ENE!G18))*0.5</f>
        <v>0</v>
      </c>
      <c r="H31" s="156">
        <f>($D$10*F801C!H18+$E$10*(F801ENE!H18))*0.5</f>
        <v>0</v>
      </c>
      <c r="I31" s="156">
        <f>($D$10*F801C!I18+$E$10*(F801ENE!I18))*0.5</f>
        <v>0</v>
      </c>
      <c r="J31" s="156">
        <f t="shared" si="2"/>
        <v>0</v>
      </c>
      <c r="K31" s="1426"/>
    </row>
    <row r="32" spans="2:11" s="37" customFormat="1" ht="13.5">
      <c r="B32" s="48"/>
      <c r="C32" s="157"/>
      <c r="D32" s="156"/>
      <c r="E32" s="156"/>
      <c r="F32" s="156"/>
      <c r="G32" s="156"/>
      <c r="H32" s="156"/>
      <c r="I32" s="156"/>
      <c r="J32" s="156"/>
      <c r="K32" s="1426"/>
    </row>
    <row r="33" spans="2:11" s="37" customFormat="1" ht="13.5">
      <c r="B33" s="48"/>
      <c r="C33" s="153" t="s">
        <v>443</v>
      </c>
      <c r="D33" s="154">
        <f t="shared" ref="D33:I33" si="6">SUBTOTAL(9,D34:D108)</f>
        <v>4525660.3989206487</v>
      </c>
      <c r="E33" s="154">
        <f t="shared" si="6"/>
        <v>4529334.7645035051</v>
      </c>
      <c r="F33" s="154">
        <f t="shared" si="6"/>
        <v>4466176.4092151746</v>
      </c>
      <c r="G33" s="154">
        <f t="shared" si="6"/>
        <v>4518103.3120928425</v>
      </c>
      <c r="H33" s="154">
        <f t="shared" si="6"/>
        <v>4371417.3222266501</v>
      </c>
      <c r="I33" s="154">
        <f t="shared" si="6"/>
        <v>4390216.4999369346</v>
      </c>
      <c r="J33" s="154">
        <f t="shared" ref="J33:J99" si="7">SUM(D33:I33)</f>
        <v>26800908.706895757</v>
      </c>
      <c r="K33" s="1426"/>
    </row>
    <row r="34" spans="2:11" s="37" customFormat="1" ht="13.5">
      <c r="B34" s="48" t="s">
        <v>275</v>
      </c>
      <c r="C34" s="155" t="s">
        <v>275</v>
      </c>
      <c r="D34" s="154">
        <f>SUBTOTAL(9,D35:D37)</f>
        <v>14509.28883648129</v>
      </c>
      <c r="E34" s="154">
        <f t="shared" ref="E34:I34" si="8">SUBTOTAL(9,E35:E37)</f>
        <v>14515.130438601816</v>
      </c>
      <c r="F34" s="154">
        <f t="shared" si="8"/>
        <v>14250.652090170315</v>
      </c>
      <c r="G34" s="154">
        <f t="shared" si="8"/>
        <v>14467.130271588912</v>
      </c>
      <c r="H34" s="154">
        <f t="shared" si="8"/>
        <v>13862.464681495359</v>
      </c>
      <c r="I34" s="154">
        <f t="shared" si="8"/>
        <v>13925.022466942319</v>
      </c>
      <c r="J34" s="156">
        <f t="shared" si="7"/>
        <v>85529.688785280014</v>
      </c>
      <c r="K34" s="1426"/>
    </row>
    <row r="35" spans="2:11" s="37" customFormat="1" ht="13.5">
      <c r="B35" s="48"/>
      <c r="C35" s="160" t="s">
        <v>304</v>
      </c>
      <c r="D35" s="156">
        <f>$D$11*F801C!D22+$E$11*F801ENE!D22</f>
        <v>14358.712778120183</v>
      </c>
      <c r="E35" s="156">
        <f>$D$11*F801C!E22+$E$11*F801ENE!E22</f>
        <v>14364.505369758157</v>
      </c>
      <c r="F35" s="156">
        <f>$D$11*F801C!F22+$E$11*F801ENE!F22</f>
        <v>14102.245969350593</v>
      </c>
      <c r="G35" s="156">
        <f>$D$11*F801C!G22+$E$11*F801ENE!G22</f>
        <v>14316.907919551273</v>
      </c>
      <c r="H35" s="156">
        <f>$D$11*F801C!H22+$E$11*F801ENE!H22</f>
        <v>13717.315415871937</v>
      </c>
      <c r="I35" s="156">
        <f>$D$11*F801C!I22+$E$11*F801ENE!I22</f>
        <v>13779.348347487865</v>
      </c>
      <c r="J35" s="156">
        <f t="shared" ref="J35:J37" si="9">SUM(D35:I35)</f>
        <v>84639.035800140002</v>
      </c>
      <c r="K35" s="1426"/>
    </row>
    <row r="36" spans="2:11" s="37" customFormat="1" ht="13.5">
      <c r="B36" s="48"/>
      <c r="C36" s="161" t="s">
        <v>306</v>
      </c>
      <c r="D36" s="156">
        <f>$D$11*F801C!D23+$E$11*F801ENE!D23</f>
        <v>101.97175365589393</v>
      </c>
      <c r="E36" s="156">
        <f>$D$11*F801C!E23+$E$11*F801ENE!E23</f>
        <v>102.00268784566904</v>
      </c>
      <c r="F36" s="156">
        <f>$D$11*F801C!F23+$E$11*F801ENE!F23</f>
        <v>100.60214339690464</v>
      </c>
      <c r="G36" s="156">
        <f>$D$11*F801C!G23+$E$11*F801ENE!G23</f>
        <v>101.74850307837761</v>
      </c>
      <c r="H36" s="156">
        <f>$D$11*F801C!H23+$E$11*F801ENE!H23</f>
        <v>98.546497921483962</v>
      </c>
      <c r="I36" s="156">
        <f>$D$11*F801C!I23+$E$11*F801ENE!I23</f>
        <v>98.877772521670863</v>
      </c>
      <c r="J36" s="156">
        <f t="shared" si="9"/>
        <v>603.74935842000002</v>
      </c>
      <c r="K36" s="1426"/>
    </row>
    <row r="37" spans="2:11" s="37" customFormat="1" ht="13.5">
      <c r="B37" s="48"/>
      <c r="C37" s="160" t="s">
        <v>305</v>
      </c>
      <c r="D37" s="156">
        <f>($D$11*F801C!D24+$E$11*F801ENE!D24)*95%</f>
        <v>48.604304705211611</v>
      </c>
      <c r="E37" s="156">
        <f>($D$11*F801C!E24+$E$11*F801ENE!E24)*95%</f>
        <v>48.62238099799152</v>
      </c>
      <c r="F37" s="156">
        <f>($D$11*F801C!F24+$E$11*F801ENE!F24)*95%</f>
        <v>47.803977422815478</v>
      </c>
      <c r="G37" s="156">
        <f>($D$11*F801C!G24+$E$11*F801ENE!G24)*95%</f>
        <v>48.473848959261773</v>
      </c>
      <c r="H37" s="156">
        <f>($D$11*F801C!H24+$E$11*F801ENE!H24)*95%</f>
        <v>46.602767701936614</v>
      </c>
      <c r="I37" s="156">
        <f>($D$11*F801C!I24+$E$11*F801ENE!I24)*95%</f>
        <v>46.796346932782996</v>
      </c>
      <c r="J37" s="156">
        <f t="shared" si="9"/>
        <v>286.90362672000003</v>
      </c>
      <c r="K37" s="1426"/>
    </row>
    <row r="38" spans="2:11" s="37" customFormat="1" ht="13.5">
      <c r="B38" s="48" t="s">
        <v>274</v>
      </c>
      <c r="C38" s="158" t="s">
        <v>627</v>
      </c>
      <c r="D38" s="154">
        <f t="shared" ref="D38:I38" si="10">SUBTOTAL(9,D39:D44)</f>
        <v>190128.44492051972</v>
      </c>
      <c r="E38" s="154">
        <f t="shared" si="10"/>
        <v>190243.45151024446</v>
      </c>
      <c r="F38" s="154">
        <f t="shared" si="10"/>
        <v>187042.84442251359</v>
      </c>
      <c r="G38" s="154">
        <f t="shared" si="10"/>
        <v>189664.59523032146</v>
      </c>
      <c r="H38" s="154">
        <f t="shared" si="10"/>
        <v>182316.95239218682</v>
      </c>
      <c r="I38" s="154">
        <f t="shared" si="10"/>
        <v>183138.20574567199</v>
      </c>
      <c r="J38" s="154">
        <f t="shared" si="7"/>
        <v>1122534.494221458</v>
      </c>
      <c r="K38" s="1426"/>
    </row>
    <row r="39" spans="2:11" s="37" customFormat="1" ht="13.5">
      <c r="B39" s="48"/>
      <c r="C39" s="160" t="s">
        <v>304</v>
      </c>
      <c r="D39" s="156">
        <f>($D$12*F801C!D28+$E$12*F801ENE!D28)*1</f>
        <v>189771.56839578648</v>
      </c>
      <c r="E39" s="156">
        <f>($D$12*F801C!E28+$E$12*F801ENE!E28)*1</f>
        <v>189886.44824554821</v>
      </c>
      <c r="F39" s="156">
        <f>($D$12*F801C!F28+$E$12*F801ENE!F28)*1</f>
        <v>186691.57930557418</v>
      </c>
      <c r="G39" s="156">
        <f>($D$12*F801C!G28+$E$12*F801ENE!G28)*1</f>
        <v>189308.6333818784</v>
      </c>
      <c r="H39" s="156">
        <f>($D$12*F801C!H28+$E$12*F801ENE!H28)*1</f>
        <v>181974.10942670723</v>
      </c>
      <c r="I39" s="156">
        <f>($D$12*F801C!I28+$E$12*F801ENE!I28)*1</f>
        <v>182794.00552044553</v>
      </c>
      <c r="J39" s="156">
        <f t="shared" si="7"/>
        <v>1120426.3442759402</v>
      </c>
      <c r="K39" s="1426"/>
    </row>
    <row r="40" spans="2:11" s="37" customFormat="1" ht="13.5">
      <c r="B40" s="48"/>
      <c r="C40" s="161" t="s">
        <v>628</v>
      </c>
      <c r="D40" s="156">
        <f>($D$12*F801C!D29+$E$12*F801ENE!D29)*0.75</f>
        <v>43.822439438707683</v>
      </c>
      <c r="E40" s="156">
        <f>($D$12*F801C!E29+$E$12*F801ENE!E29)*0.75</f>
        <v>43.828524273338033</v>
      </c>
      <c r="F40" s="156">
        <f>($D$12*F801C!F29+$E$12*F801ENE!F29)*0.75</f>
        <v>43.553033580834963</v>
      </c>
      <c r="G40" s="156">
        <f>($D$12*F801C!G29+$E$12*F801ENE!G29)*0.75</f>
        <v>43.778525476351163</v>
      </c>
      <c r="H40" s="156">
        <f>($D$12*F801C!H29+$E$12*F801ENE!H29)*0.75</f>
        <v>43.148682832764081</v>
      </c>
      <c r="I40" s="156">
        <f>($D$12*F801C!I29+$E$12*F801ENE!I29)*0.75</f>
        <v>43.213845398004096</v>
      </c>
      <c r="J40" s="156">
        <f t="shared" si="7"/>
        <v>261.34505100000001</v>
      </c>
      <c r="K40" s="1426"/>
    </row>
    <row r="41" spans="2:11" s="37" customFormat="1" ht="13.5">
      <c r="B41" s="48"/>
      <c r="C41" s="161" t="s">
        <v>629</v>
      </c>
      <c r="D41" s="156">
        <f>($D$12*F801C!D30+$E$12*F801ENE!D30)*1</f>
        <v>77.460601325646977</v>
      </c>
      <c r="E41" s="156">
        <f>($D$12*F801C!E30+$E$12*F801ENE!E30)*1</f>
        <v>77.492928959888175</v>
      </c>
      <c r="F41" s="156">
        <f>($D$12*F801C!F30+$E$12*F801ENE!F30)*1</f>
        <v>76.02929635766678</v>
      </c>
      <c r="G41" s="156">
        <f>($D$12*F801C!G30+$E$12*F801ENE!G30)*1</f>
        <v>77.227294325640031</v>
      </c>
      <c r="H41" s="156">
        <f>($D$12*F801C!H30+$E$12*F801ENE!H30)*1</f>
        <v>73.88105340894144</v>
      </c>
      <c r="I41" s="156">
        <f>($D$12*F801C!I30+$E$12*F801ENE!I30)*1</f>
        <v>74.227250422216642</v>
      </c>
      <c r="J41" s="156">
        <f t="shared" si="7"/>
        <v>456.3184248</v>
      </c>
      <c r="K41" s="1426"/>
    </row>
    <row r="42" spans="2:11" s="37" customFormat="1" ht="13.5">
      <c r="B42" s="48"/>
      <c r="C42" s="160" t="s">
        <v>305</v>
      </c>
      <c r="D42" s="156">
        <f>($D$12*F801C!D31+$E$12*F801ENE!D31)*0.95</f>
        <v>215.09655753961385</v>
      </c>
      <c r="E42" s="156">
        <f>($D$12*F801C!E31+$E$12*F801ENE!E31)*0.95</f>
        <v>215.17749308652463</v>
      </c>
      <c r="F42" s="156">
        <f>($D$12*F801C!F31+$E$12*F801ENE!F31)*0.95</f>
        <v>211.51313879899902</v>
      </c>
      <c r="G42" s="156">
        <f>($D$12*F801C!G31+$E$12*F801ENE!G31)*0.95</f>
        <v>214.51244954387252</v>
      </c>
      <c r="H42" s="156">
        <f>($D$12*F801C!H31+$E$12*F801ENE!H31)*0.95</f>
        <v>206.13479231514705</v>
      </c>
      <c r="I42" s="156">
        <f>($D$12*F801C!I31+$E$12*F801ENE!I31)*0.95</f>
        <v>207.00153203384298</v>
      </c>
      <c r="J42" s="156">
        <f t="shared" si="7"/>
        <v>1269.4359633180002</v>
      </c>
      <c r="K42" s="1426"/>
    </row>
    <row r="43" spans="2:11" s="37" customFormat="1" ht="13.5">
      <c r="B43" s="48"/>
      <c r="C43" s="160" t="s">
        <v>307</v>
      </c>
      <c r="D43" s="156">
        <f>($D$12*F801C!D32+$E$12*F801ENE!D32)*0.5</f>
        <v>20.496926429244887</v>
      </c>
      <c r="E43" s="156">
        <f>($D$12*F801C!E32+$E$12*F801ENE!E32)*0.5</f>
        <v>20.504318376499523</v>
      </c>
      <c r="F43" s="156">
        <f>($D$12*F801C!F32+$E$12*F801ENE!F32)*0.5</f>
        <v>20.169648201903215</v>
      </c>
      <c r="G43" s="156">
        <f>($D$12*F801C!G32+$E$12*F801ENE!G32)*0.5</f>
        <v>20.443579097196967</v>
      </c>
      <c r="H43" s="156">
        <f>($D$12*F801C!H32+$E$12*F801ENE!H32)*0.5</f>
        <v>19.678436922765243</v>
      </c>
      <c r="I43" s="156">
        <f>($D$12*F801C!I32+$E$12*F801ENE!I32)*0.5</f>
        <v>19.757597372390158</v>
      </c>
      <c r="J43" s="156">
        <f t="shared" si="7"/>
        <v>121.05050639999999</v>
      </c>
      <c r="K43" s="1426"/>
    </row>
    <row r="44" spans="2:11" s="37" customFormat="1" ht="13.5">
      <c r="B44" s="48"/>
      <c r="C44" s="160" t="s">
        <v>624</v>
      </c>
      <c r="D44" s="156">
        <f>($D$12*F801C!D33+$E$12*F801ENE!D33)*0</f>
        <v>0</v>
      </c>
      <c r="E44" s="156">
        <f>($D$12*F801C!E33+$E$12*F801ENE!E33)*0</f>
        <v>0</v>
      </c>
      <c r="F44" s="156">
        <f>($D$12*F801C!F33+$E$12*F801ENE!F33)*0</f>
        <v>0</v>
      </c>
      <c r="G44" s="156">
        <f>($D$12*F801C!G33+$E$12*F801ENE!G33)*0</f>
        <v>0</v>
      </c>
      <c r="H44" s="156">
        <f>($D$12*F801C!H33+$E$12*F801ENE!H33)*0</f>
        <v>0</v>
      </c>
      <c r="I44" s="156">
        <f>($D$12*F801C!I33+$E$12*F801ENE!I33)*0</f>
        <v>0</v>
      </c>
      <c r="J44" s="156">
        <f t="shared" si="7"/>
        <v>0</v>
      </c>
      <c r="K44" s="1426"/>
    </row>
    <row r="45" spans="2:11" s="37" customFormat="1" ht="13.5">
      <c r="B45" s="48" t="s">
        <v>274</v>
      </c>
      <c r="C45" s="158" t="s">
        <v>631</v>
      </c>
      <c r="D45" s="154">
        <f t="shared" ref="D45:I45" si="11">SUBTOTAL(9,D46:D49)</f>
        <v>84461.819912256527</v>
      </c>
      <c r="E45" s="154">
        <f t="shared" si="11"/>
        <v>84510.688086106908</v>
      </c>
      <c r="F45" s="154">
        <f t="shared" si="11"/>
        <v>83049.157797638152</v>
      </c>
      <c r="G45" s="154">
        <f t="shared" si="11"/>
        <v>84246.445899836792</v>
      </c>
      <c r="H45" s="154">
        <f t="shared" si="11"/>
        <v>80895.465867487044</v>
      </c>
      <c r="I45" s="154">
        <f t="shared" si="11"/>
        <v>81267.698127454583</v>
      </c>
      <c r="J45" s="154">
        <f t="shared" si="7"/>
        <v>498431.27569078002</v>
      </c>
      <c r="K45" s="1426"/>
    </row>
    <row r="46" spans="2:11" s="37" customFormat="1" ht="13.5">
      <c r="B46" s="48"/>
      <c r="C46" s="160" t="s">
        <v>304</v>
      </c>
      <c r="D46" s="156">
        <f>($D$12*F801C!D35+$E$12*F801ENE!D35)*1</f>
        <v>84391.772837275377</v>
      </c>
      <c r="E46" s="156">
        <f>($D$12*F801C!E35+$E$12*F801ENE!E35)*1</f>
        <v>84440.618402584645</v>
      </c>
      <c r="F46" s="156">
        <f>($D$12*F801C!F35+$E$12*F801ENE!F35)*1</f>
        <v>82980.111715088919</v>
      </c>
      <c r="G46" s="156">
        <f>($D$12*F801C!G35+$E$12*F801ENE!G35)*1</f>
        <v>84176.561989622438</v>
      </c>
      <c r="H46" s="156">
        <f>($D$12*F801C!H35+$E$12*F801ENE!H35)*1</f>
        <v>80827.922172606195</v>
      </c>
      <c r="I46" s="156">
        <f>($D$12*F801C!I35+$E$12*F801ENE!I35)*1</f>
        <v>81199.912317442446</v>
      </c>
      <c r="J46" s="156">
        <f t="shared" si="7"/>
        <v>498016.89943462005</v>
      </c>
      <c r="K46" s="1426"/>
    </row>
    <row r="47" spans="2:11" s="37" customFormat="1" ht="13.5">
      <c r="B47" s="48"/>
      <c r="C47" s="161" t="s">
        <v>306</v>
      </c>
      <c r="D47" s="156">
        <f>($D$12*F801C!D36+$E$12*F801ENE!D36)*1</f>
        <v>0</v>
      </c>
      <c r="E47" s="156">
        <f>($D$12*F801C!E36+$E$12*F801ENE!E36)*1</f>
        <v>0</v>
      </c>
      <c r="F47" s="156">
        <f>($D$12*F801C!F36+$E$12*F801ENE!F36)*1</f>
        <v>0</v>
      </c>
      <c r="G47" s="156">
        <f>($D$12*F801C!G36+$E$12*F801ENE!G36)*1</f>
        <v>0</v>
      </c>
      <c r="H47" s="156">
        <f>($D$12*F801C!H36+$E$12*F801ENE!H36)*1</f>
        <v>0</v>
      </c>
      <c r="I47" s="156">
        <f>($D$12*F801C!I36+$E$12*F801ENE!I36)*1</f>
        <v>0</v>
      </c>
      <c r="J47" s="156">
        <f t="shared" si="7"/>
        <v>0</v>
      </c>
      <c r="K47" s="1426"/>
    </row>
    <row r="48" spans="2:11" s="37" customFormat="1" ht="13.5">
      <c r="B48" s="48"/>
      <c r="C48" s="160" t="s">
        <v>305</v>
      </c>
      <c r="D48" s="156">
        <f>($D$12*F801C!D37+$E$12*F801ENE!D37)*0.95</f>
        <v>70.047074981153884</v>
      </c>
      <c r="E48" s="156">
        <f>($D$12*F801C!E37+$E$12*F801ENE!E37)*0.95</f>
        <v>70.069683522269287</v>
      </c>
      <c r="F48" s="156">
        <f>($D$12*F801C!F37+$E$12*F801ENE!F37)*0.95</f>
        <v>69.046082549235678</v>
      </c>
      <c r="G48" s="156">
        <f>($D$12*F801C!G37+$E$12*F801ENE!G37)*0.95</f>
        <v>69.883910214353662</v>
      </c>
      <c r="H48" s="156">
        <f>($D$12*F801C!H37+$E$12*F801ENE!H37)*0.95</f>
        <v>67.543694880847852</v>
      </c>
      <c r="I48" s="156">
        <f>($D$12*F801C!I37+$E$12*F801ENE!I37)*0.95</f>
        <v>67.785810012139663</v>
      </c>
      <c r="J48" s="156">
        <f t="shared" si="7"/>
        <v>414.37625616000003</v>
      </c>
      <c r="K48" s="1426"/>
    </row>
    <row r="49" spans="2:11" s="37" customFormat="1" ht="13.5">
      <c r="B49" s="48"/>
      <c r="C49" s="160" t="s">
        <v>307</v>
      </c>
      <c r="D49" s="156">
        <f>($D$12*F801C!D38+$E$12*F801ENE!D38)*0.5</f>
        <v>0</v>
      </c>
      <c r="E49" s="156">
        <f>($D$12*F801C!E38+$E$12*F801ENE!E38)*0.5</f>
        <v>0</v>
      </c>
      <c r="F49" s="156">
        <f>($D$12*F801C!F38+$E$12*F801ENE!F38)*0.5</f>
        <v>0</v>
      </c>
      <c r="G49" s="156">
        <f>($D$12*F801C!G38+$E$12*F801ENE!G38)*0.5</f>
        <v>0</v>
      </c>
      <c r="H49" s="156">
        <f>($D$12*F801C!H38+$E$12*F801ENE!H38)*0.5</f>
        <v>0</v>
      </c>
      <c r="I49" s="156">
        <f>($D$12*F801C!I38+$E$12*F801ENE!I38)*0.5</f>
        <v>0</v>
      </c>
      <c r="J49" s="156">
        <f t="shared" si="7"/>
        <v>0</v>
      </c>
      <c r="K49" s="1426"/>
    </row>
    <row r="50" spans="2:11" s="37" customFormat="1" ht="13.5">
      <c r="B50" s="48" t="s">
        <v>274</v>
      </c>
      <c r="C50" s="158" t="s">
        <v>632</v>
      </c>
      <c r="D50" s="154">
        <f t="shared" ref="D50:I50" si="12">SUBTOTAL(9,D51:D54)</f>
        <v>23043.153214650702</v>
      </c>
      <c r="E50" s="154">
        <f t="shared" si="12"/>
        <v>23052.200584679162</v>
      </c>
      <c r="F50" s="154">
        <f t="shared" si="12"/>
        <v>22642.581197154232</v>
      </c>
      <c r="G50" s="154">
        <f t="shared" si="12"/>
        <v>22977.85877511507</v>
      </c>
      <c r="H50" s="154">
        <f t="shared" si="12"/>
        <v>22041.363405492528</v>
      </c>
      <c r="I50" s="154">
        <f t="shared" si="12"/>
        <v>22138.251796968314</v>
      </c>
      <c r="J50" s="154">
        <f t="shared" si="7"/>
        <v>135895.40897406</v>
      </c>
      <c r="K50" s="1426"/>
    </row>
    <row r="51" spans="2:11" s="37" customFormat="1" ht="13.5">
      <c r="B51" s="48"/>
      <c r="C51" s="160" t="s">
        <v>304</v>
      </c>
      <c r="D51" s="156">
        <f>($D$12*F801C!D40+$E$12*F801ENE!D40)*1</f>
        <v>23043.153214650702</v>
      </c>
      <c r="E51" s="156">
        <f>($D$12*F801C!E40+$E$12*F801ENE!E40)*1</f>
        <v>23052.200584679162</v>
      </c>
      <c r="F51" s="156">
        <f>($D$12*F801C!F40+$E$12*F801ENE!F40)*1</f>
        <v>22642.581197154232</v>
      </c>
      <c r="G51" s="156">
        <f>($D$12*F801C!G40+$E$12*F801ENE!G40)*1</f>
        <v>22977.85877511507</v>
      </c>
      <c r="H51" s="156">
        <f>($D$12*F801C!H40+$E$12*F801ENE!H40)*1</f>
        <v>22041.363405492528</v>
      </c>
      <c r="I51" s="156">
        <f>($D$12*F801C!I40+$E$12*F801ENE!I40)*1</f>
        <v>22138.251796968314</v>
      </c>
      <c r="J51" s="156">
        <f t="shared" si="7"/>
        <v>135895.40897406</v>
      </c>
      <c r="K51" s="1426"/>
    </row>
    <row r="52" spans="2:11" s="37" customFormat="1" ht="13.5">
      <c r="B52" s="48"/>
      <c r="C52" s="161" t="s">
        <v>306</v>
      </c>
      <c r="D52" s="156">
        <f>($D$12*F801C!D41+$E$12*F801ENE!D41)*1</f>
        <v>0</v>
      </c>
      <c r="E52" s="156">
        <f>($D$12*F801C!E41+$E$12*F801ENE!E41)*1</f>
        <v>0</v>
      </c>
      <c r="F52" s="156">
        <f>($D$12*F801C!F41+$E$12*F801ENE!F41)*1</f>
        <v>0</v>
      </c>
      <c r="G52" s="156">
        <f>($D$12*F801C!G41+$E$12*F801ENE!G41)*1</f>
        <v>0</v>
      </c>
      <c r="H52" s="156">
        <f>($D$12*F801C!H41+$E$12*F801ENE!H41)*1</f>
        <v>0</v>
      </c>
      <c r="I52" s="156">
        <f>($D$12*F801C!I41+$E$12*F801ENE!I41)*1</f>
        <v>0</v>
      </c>
      <c r="J52" s="156">
        <f t="shared" si="7"/>
        <v>0</v>
      </c>
      <c r="K52" s="1426"/>
    </row>
    <row r="53" spans="2:11" s="37" customFormat="1" ht="13.5">
      <c r="B53" s="48"/>
      <c r="C53" s="160" t="s">
        <v>305</v>
      </c>
      <c r="D53" s="156">
        <f>($D$12*F801C!D42+$E$12*F801ENE!D42)*0.95</f>
        <v>0</v>
      </c>
      <c r="E53" s="156">
        <f>($D$12*F801C!E42+$E$12*F801ENE!E42)*0.95</f>
        <v>0</v>
      </c>
      <c r="F53" s="156">
        <f>($D$12*F801C!F42+$E$12*F801ENE!F42)*0.95</f>
        <v>0</v>
      </c>
      <c r="G53" s="156">
        <f>($D$12*F801C!G42+$E$12*F801ENE!G42)*0.95</f>
        <v>0</v>
      </c>
      <c r="H53" s="156">
        <f>($D$12*F801C!H42+$E$12*F801ENE!H42)*0.95</f>
        <v>0</v>
      </c>
      <c r="I53" s="156">
        <f>($D$12*F801C!I42+$E$12*F801ENE!I42)*0.95</f>
        <v>0</v>
      </c>
      <c r="J53" s="156">
        <f t="shared" si="7"/>
        <v>0</v>
      </c>
      <c r="K53" s="1426"/>
    </row>
    <row r="54" spans="2:11" s="37" customFormat="1" ht="13.5">
      <c r="B54" s="48"/>
      <c r="C54" s="160" t="s">
        <v>307</v>
      </c>
      <c r="D54" s="156">
        <f>($D$12*F801C!D43+$E$12*F801ENE!D43)*0.5</f>
        <v>0</v>
      </c>
      <c r="E54" s="156">
        <f>($D$12*F801C!E43+$E$12*F801ENE!E43)*0.5</f>
        <v>0</v>
      </c>
      <c r="F54" s="156">
        <f>($D$12*F801C!F43+$E$12*F801ENE!F43)*0.5</f>
        <v>0</v>
      </c>
      <c r="G54" s="156">
        <f>($D$12*F801C!G43+$E$12*F801ENE!G43)*0.5</f>
        <v>0</v>
      </c>
      <c r="H54" s="156">
        <f>($D$12*F801C!H43+$E$12*F801ENE!H43)*0.5</f>
        <v>0</v>
      </c>
      <c r="I54" s="156">
        <f>($D$12*F801C!I43+$E$12*F801ENE!I43)*0.5</f>
        <v>0</v>
      </c>
      <c r="J54" s="156">
        <f t="shared" si="7"/>
        <v>0</v>
      </c>
      <c r="K54" s="1426"/>
    </row>
    <row r="55" spans="2:11" s="37" customFormat="1" ht="13.5">
      <c r="B55" s="48" t="s">
        <v>274</v>
      </c>
      <c r="C55" s="158" t="s">
        <v>633</v>
      </c>
      <c r="D55" s="154">
        <f t="shared" ref="D55:I55" si="13">SUBTOTAL(9,D56:D59)</f>
        <v>22640.252619883729</v>
      </c>
      <c r="E55" s="154">
        <f t="shared" si="13"/>
        <v>22649.396846610929</v>
      </c>
      <c r="F55" s="154">
        <f t="shared" si="13"/>
        <v>22235.392275160375</v>
      </c>
      <c r="G55" s="154">
        <f t="shared" si="13"/>
        <v>22574.259170156183</v>
      </c>
      <c r="H55" s="154">
        <f t="shared" si="13"/>
        <v>21627.738141186528</v>
      </c>
      <c r="I55" s="154">
        <f t="shared" si="13"/>
        <v>21725.663772182263</v>
      </c>
      <c r="J55" s="154">
        <f t="shared" si="7"/>
        <v>133452.70282518002</v>
      </c>
      <c r="K55" s="1426"/>
    </row>
    <row r="56" spans="2:11" s="37" customFormat="1" ht="13.5">
      <c r="B56" s="48"/>
      <c r="C56" s="160" t="s">
        <v>304</v>
      </c>
      <c r="D56" s="156">
        <f>($D$12*F801C!D45+$E$12*F801ENE!D45)*1</f>
        <v>22640.252619883729</v>
      </c>
      <c r="E56" s="156">
        <f>($D$12*F801C!E45+$E$12*F801ENE!E45)*1</f>
        <v>22649.396846610929</v>
      </c>
      <c r="F56" s="156">
        <f>($D$12*F801C!F45+$E$12*F801ENE!F45)*1</f>
        <v>22235.392275160375</v>
      </c>
      <c r="G56" s="156">
        <f>($D$12*F801C!G45+$E$12*F801ENE!G45)*1</f>
        <v>22574.259170156183</v>
      </c>
      <c r="H56" s="156">
        <f>($D$12*F801C!H45+$E$12*F801ENE!H45)*1</f>
        <v>21627.738141186528</v>
      </c>
      <c r="I56" s="156">
        <f>($D$12*F801C!I45+$E$12*F801ENE!I45)*1</f>
        <v>21725.663772182263</v>
      </c>
      <c r="J56" s="156">
        <f t="shared" si="7"/>
        <v>133452.70282518002</v>
      </c>
      <c r="K56" s="1426"/>
    </row>
    <row r="57" spans="2:11" s="37" customFormat="1" ht="13.5">
      <c r="B57" s="48"/>
      <c r="C57" s="161" t="s">
        <v>306</v>
      </c>
      <c r="D57" s="156">
        <f>($D$12*F801C!D46+$E$12*F801ENE!D46)*1</f>
        <v>0</v>
      </c>
      <c r="E57" s="156">
        <f>($D$12*F801C!E46+$E$12*F801ENE!E46)*1</f>
        <v>0</v>
      </c>
      <c r="F57" s="156">
        <f>($D$12*F801C!F46+$E$12*F801ENE!F46)*1</f>
        <v>0</v>
      </c>
      <c r="G57" s="156">
        <f>($D$12*F801C!G46+$E$12*F801ENE!G46)*1</f>
        <v>0</v>
      </c>
      <c r="H57" s="156">
        <f>($D$12*F801C!H46+$E$12*F801ENE!H46)*1</f>
        <v>0</v>
      </c>
      <c r="I57" s="156">
        <f>($D$12*F801C!I46+$E$12*F801ENE!I46)*1</f>
        <v>0</v>
      </c>
      <c r="J57" s="156">
        <f t="shared" si="7"/>
        <v>0</v>
      </c>
      <c r="K57" s="1426"/>
    </row>
    <row r="58" spans="2:11" s="37" customFormat="1" ht="13.5">
      <c r="B58" s="48"/>
      <c r="C58" s="160" t="s">
        <v>305</v>
      </c>
      <c r="D58" s="156">
        <f>($D$12*F801C!D47+$E$12*F801ENE!D47)*0.95</f>
        <v>0</v>
      </c>
      <c r="E58" s="156">
        <f>($D$12*F801C!E47+$E$12*F801ENE!E47)*0.95</f>
        <v>0</v>
      </c>
      <c r="F58" s="156">
        <f>($D$12*F801C!F47+$E$12*F801ENE!F47)*0.95</f>
        <v>0</v>
      </c>
      <c r="G58" s="156">
        <f>($D$12*F801C!G47+$E$12*F801ENE!G47)*0.95</f>
        <v>0</v>
      </c>
      <c r="H58" s="156">
        <f>($D$12*F801C!H47+$E$12*F801ENE!H47)*0.95</f>
        <v>0</v>
      </c>
      <c r="I58" s="156">
        <f>($D$12*F801C!I47+$E$12*F801ENE!I47)*0.95</f>
        <v>0</v>
      </c>
      <c r="J58" s="156">
        <f t="shared" si="7"/>
        <v>0</v>
      </c>
      <c r="K58" s="1426"/>
    </row>
    <row r="59" spans="2:11" s="37" customFormat="1" ht="13.5">
      <c r="B59" s="48"/>
      <c r="C59" s="160" t="s">
        <v>307</v>
      </c>
      <c r="D59" s="156">
        <f>($D$12*F801C!D48+$E$12*F801ENE!D48)*0.5</f>
        <v>0</v>
      </c>
      <c r="E59" s="156">
        <f>($D$12*F801C!E48+$E$12*F801ENE!E48)*0.5</f>
        <v>0</v>
      </c>
      <c r="F59" s="156">
        <f>($D$12*F801C!F48+$E$12*F801ENE!F48)*0.5</f>
        <v>0</v>
      </c>
      <c r="G59" s="156">
        <f>($D$12*F801C!G48+$E$12*F801ENE!G48)*0.5</f>
        <v>0</v>
      </c>
      <c r="H59" s="156">
        <f>($D$12*F801C!H48+$E$12*F801ENE!H48)*0.5</f>
        <v>0</v>
      </c>
      <c r="I59" s="156">
        <f>($D$12*F801C!I48+$E$12*F801ENE!I48)*0.5</f>
        <v>0</v>
      </c>
      <c r="J59" s="156">
        <f t="shared" si="7"/>
        <v>0</v>
      </c>
      <c r="K59" s="1426"/>
    </row>
    <row r="60" spans="2:11" s="37" customFormat="1" ht="13.5">
      <c r="B60" s="48"/>
      <c r="C60" s="157"/>
      <c r="D60" s="156"/>
      <c r="E60" s="156"/>
      <c r="F60" s="156"/>
      <c r="G60" s="156"/>
      <c r="H60" s="156"/>
      <c r="I60" s="156"/>
      <c r="J60" s="156">
        <f t="shared" si="7"/>
        <v>0</v>
      </c>
      <c r="K60" s="1426"/>
    </row>
    <row r="61" spans="2:11" s="37" customFormat="1" ht="13.5">
      <c r="B61" s="48" t="s">
        <v>1176</v>
      </c>
      <c r="C61" s="158" t="str">
        <f>F801ENE!C50</f>
        <v>BTSH</v>
      </c>
      <c r="D61" s="154">
        <f t="shared" ref="D61:I61" si="14">SUBTOTAL(9,D62:D67)</f>
        <v>20.25</v>
      </c>
      <c r="E61" s="154">
        <f t="shared" si="14"/>
        <v>20.25</v>
      </c>
      <c r="F61" s="154">
        <f t="shared" si="14"/>
        <v>20.25</v>
      </c>
      <c r="G61" s="154">
        <f t="shared" si="14"/>
        <v>20.25</v>
      </c>
      <c r="H61" s="154">
        <f t="shared" si="14"/>
        <v>20.25</v>
      </c>
      <c r="I61" s="154">
        <f t="shared" si="14"/>
        <v>20.25</v>
      </c>
      <c r="J61" s="154">
        <f t="shared" si="7"/>
        <v>121.5</v>
      </c>
      <c r="K61" s="1426"/>
    </row>
    <row r="62" spans="2:11" s="37" customFormat="1" ht="13.5">
      <c r="B62" s="48"/>
      <c r="C62" s="160" t="str">
        <f>F801ENE!C51</f>
        <v xml:space="preserve">    - Regulares</v>
      </c>
      <c r="D62" s="156">
        <f>(($D$15*F801C!D51)+($E$15*(F801ENE!D51)))*$K62</f>
        <v>20.25</v>
      </c>
      <c r="E62" s="156">
        <f>(($D$15*F801C!E51)+($E$15*(F801ENE!E51)))*$K62</f>
        <v>20.25</v>
      </c>
      <c r="F62" s="156">
        <f>(($D$15*F801C!F51)+($E$15*(F801ENE!F51)))*$K62</f>
        <v>20.25</v>
      </c>
      <c r="G62" s="156">
        <f>(($D$15*F801C!G51)+($E$15*(F801ENE!G51)))*$K62</f>
        <v>20.25</v>
      </c>
      <c r="H62" s="156">
        <f>(($D$15*F801C!H51)+($E$15*(F801ENE!H51)))*$K62</f>
        <v>20.25</v>
      </c>
      <c r="I62" s="156">
        <f>(($D$15*F801C!I51)+($E$15*(F801ENE!I51)))*$K62</f>
        <v>20.25</v>
      </c>
      <c r="J62" s="156">
        <f t="shared" si="7"/>
        <v>121.5</v>
      </c>
      <c r="K62" s="1427">
        <v>1</v>
      </c>
    </row>
    <row r="63" spans="2:11" s="37" customFormat="1" ht="13.5">
      <c r="B63" s="48"/>
      <c r="C63" s="162" t="str">
        <f>F801ENE!C52</f>
        <v xml:space="preserve">    - Jubilados (0 a 600 KWh)</v>
      </c>
      <c r="D63" s="156">
        <f>(($D$15*F801C!D52)+($E$15*(F801ENE!D52)))*$K63</f>
        <v>0</v>
      </c>
      <c r="E63" s="156">
        <f>(($D$15*F801C!E52)+($E$15*(F801ENE!E52)))*$K63</f>
        <v>0</v>
      </c>
      <c r="F63" s="156">
        <f>(($D$15*F801C!F52)+($E$15*(F801ENE!F52)))*$K63</f>
        <v>0</v>
      </c>
      <c r="G63" s="156">
        <f>(($D$15*F801C!G52)+($E$15*(F801ENE!G52)))*$K63</f>
        <v>0</v>
      </c>
      <c r="H63" s="156">
        <f>(($D$15*F801C!H52)+($E$15*(F801ENE!H52)))*$K63</f>
        <v>0</v>
      </c>
      <c r="I63" s="156">
        <f>(($D$15*F801C!I52)+($E$15*(F801ENE!I52)))*$K63</f>
        <v>0</v>
      </c>
      <c r="J63" s="156">
        <f>SUM(D63:I63)</f>
        <v>0</v>
      </c>
      <c r="K63" s="1427">
        <v>0.75</v>
      </c>
    </row>
    <row r="64" spans="2:11" s="37" customFormat="1" ht="13.5">
      <c r="B64" s="48"/>
      <c r="C64" s="162" t="str">
        <f>F801ENE!C53</f>
        <v xml:space="preserve">    - Jubilados (601 y Más KWh)</v>
      </c>
      <c r="D64" s="156">
        <f>(($D$15*F801C!D53)+($E$15*(F801ENE!D53)))*$K64</f>
        <v>0</v>
      </c>
      <c r="E64" s="156">
        <f>(($D$15*F801C!E53)+($E$15*(F801ENE!E53)))*$K64</f>
        <v>0</v>
      </c>
      <c r="F64" s="156">
        <f>(($D$15*F801C!F53)+($E$15*(F801ENE!F53)))*$K64</f>
        <v>0</v>
      </c>
      <c r="G64" s="156">
        <f>(($D$15*F801C!G53)+($E$15*(F801ENE!G53)))*$K64</f>
        <v>0</v>
      </c>
      <c r="H64" s="156">
        <f>(($D$15*F801C!H53)+($E$15*(F801ENE!H53)))*$K64</f>
        <v>0</v>
      </c>
      <c r="I64" s="156">
        <f>(($D$15*F801C!I53)+($E$15*(F801ENE!I53)))*$K64</f>
        <v>0</v>
      </c>
      <c r="J64" s="156">
        <f>SUM(D64:I64)</f>
        <v>0</v>
      </c>
      <c r="K64" s="1427">
        <v>1</v>
      </c>
    </row>
    <row r="65" spans="2:11" s="37" customFormat="1" ht="13.5">
      <c r="B65" s="48"/>
      <c r="C65" s="160" t="str">
        <f>F801ENE!C54</f>
        <v xml:space="preserve">    - Agropecuarios</v>
      </c>
      <c r="D65" s="156">
        <f>(($D$15*F801C!D54)+($E$15*(F801ENE!D54)))*$K65</f>
        <v>0</v>
      </c>
      <c r="E65" s="156">
        <f>(($D$15*F801C!E54)+($E$15*(F801ENE!E54)))*$K65</f>
        <v>0</v>
      </c>
      <c r="F65" s="156">
        <f>(($D$15*F801C!F54)+($E$15*(F801ENE!F54)))*$K65</f>
        <v>0</v>
      </c>
      <c r="G65" s="156">
        <f>(($D$15*F801C!G54)+($E$15*(F801ENE!G54)))*$K65</f>
        <v>0</v>
      </c>
      <c r="H65" s="156">
        <f>(($D$15*F801C!H54)+($E$15*(F801ENE!H54)))*$K65</f>
        <v>0</v>
      </c>
      <c r="I65" s="156">
        <f>(($D$15*F801C!I54)+($E$15*(F801ENE!I54)))*$K65</f>
        <v>0</v>
      </c>
      <c r="J65" s="156">
        <f>SUM(D65:I65)</f>
        <v>0</v>
      </c>
      <c r="K65" s="1427">
        <v>0.95</v>
      </c>
    </row>
    <row r="66" spans="2:11" s="37" customFormat="1" ht="13.5">
      <c r="B66" s="48"/>
      <c r="C66" s="160" t="str">
        <f>F801ENE!C55</f>
        <v xml:space="preserve">    - Partidos Políticos</v>
      </c>
      <c r="D66" s="156">
        <f>(($D$15*F801C!D55)+($E$15*(F801ENE!D55)))*$K66</f>
        <v>0</v>
      </c>
      <c r="E66" s="156">
        <f>(($D$15*F801C!E55)+($E$15*(F801ENE!E55)))*$K66</f>
        <v>0</v>
      </c>
      <c r="F66" s="156">
        <f>(($D$15*F801C!F55)+($E$15*(F801ENE!F55)))*$K66</f>
        <v>0</v>
      </c>
      <c r="G66" s="156">
        <f>(($D$15*F801C!G55)+($E$15*(F801ENE!G55)))*$K66</f>
        <v>0</v>
      </c>
      <c r="H66" s="156">
        <f>(($D$15*F801C!H55)+($E$15*(F801ENE!H55)))*$K66</f>
        <v>0</v>
      </c>
      <c r="I66" s="156">
        <f>(($D$15*F801C!I55)+($E$15*(F801ENE!I55)))*$K66</f>
        <v>0</v>
      </c>
      <c r="J66" s="156">
        <f>SUM(D66:I66)</f>
        <v>0</v>
      </c>
      <c r="K66" s="1427">
        <v>0.5</v>
      </c>
    </row>
    <row r="67" spans="2:11" s="37" customFormat="1" ht="13.5">
      <c r="B67" s="48"/>
      <c r="C67" s="160" t="str">
        <f>F801ENE!C56</f>
        <v xml:space="preserve">    - Cruz Roja</v>
      </c>
      <c r="D67" s="156">
        <f>(($D$15*F801C!D56)+($E$15*(F801ENE!D56)))*$K67</f>
        <v>0</v>
      </c>
      <c r="E67" s="156">
        <f>(($D$15*F801C!E56)+($E$15*(F801ENE!E56)))*$K67</f>
        <v>0</v>
      </c>
      <c r="F67" s="156">
        <f>(($D$15*F801C!F56)+($E$15*(F801ENE!F56)))*$K67</f>
        <v>0</v>
      </c>
      <c r="G67" s="156">
        <f>(($D$15*F801C!G56)+($E$15*(F801ENE!G56)))*$K67</f>
        <v>0</v>
      </c>
      <c r="H67" s="156">
        <f>(($D$15*F801C!H56)+($E$15*(F801ENE!H56)))*$K67</f>
        <v>0</v>
      </c>
      <c r="I67" s="156">
        <f>(($D$15*F801C!I56)+($E$15*(F801ENE!I56)))*$K67</f>
        <v>0</v>
      </c>
      <c r="J67" s="156">
        <f>SUM(D67:I67)</f>
        <v>0</v>
      </c>
      <c r="K67" s="1427">
        <v>0</v>
      </c>
    </row>
    <row r="68" spans="2:11" s="37" customFormat="1" ht="13.5">
      <c r="B68" s="48" t="s">
        <v>751</v>
      </c>
      <c r="C68" s="158" t="s">
        <v>634</v>
      </c>
      <c r="D68" s="154">
        <f t="shared" ref="D68" si="15">SUBTOTAL(9,D69:D73)</f>
        <v>2251577.7696471428</v>
      </c>
      <c r="E68" s="154">
        <f t="shared" ref="E68:I68" si="16">SUBTOTAL(9,E69:E73)</f>
        <v>2253717.0835874784</v>
      </c>
      <c r="F68" s="154">
        <f t="shared" si="16"/>
        <v>2226226.9167246651</v>
      </c>
      <c r="G68" s="154">
        <f t="shared" si="16"/>
        <v>2248886.7473828229</v>
      </c>
      <c r="H68" s="154">
        <f t="shared" si="16"/>
        <v>2184478.6991435084</v>
      </c>
      <c r="I68" s="154">
        <f t="shared" si="16"/>
        <v>2193587.8808568679</v>
      </c>
      <c r="J68" s="154">
        <f t="shared" si="7"/>
        <v>13358475.097342486</v>
      </c>
      <c r="K68" s="1426"/>
    </row>
    <row r="69" spans="2:11" s="37" customFormat="1" ht="13.5">
      <c r="B69" s="48"/>
      <c r="C69" s="160" t="s">
        <v>304</v>
      </c>
      <c r="D69" s="156">
        <f>(($D$14*F801C!D66)+($E$14*(F801ENE!D66)))*$K69</f>
        <v>1643333.4173731143</v>
      </c>
      <c r="E69" s="156">
        <f>(($D$14*F801C!E66)+($E$14*(F801ENE!E66)))*$K69</f>
        <v>1644944.6734480164</v>
      </c>
      <c r="F69" s="156">
        <f>(($D$14*F801C!F66)+($E$14*(F801ENE!F66)))*$K69</f>
        <v>1625498.358286218</v>
      </c>
      <c r="G69" s="156">
        <f>(($D$14*F801C!G66)+($E$14*(F801ENE!G66)))*$K69</f>
        <v>1641536.9780520452</v>
      </c>
      <c r="H69" s="156">
        <f>(($D$14*F801C!H66)+($E$14*(F801ENE!H66)))*$K69</f>
        <v>1595876.4313126309</v>
      </c>
      <c r="I69" s="156">
        <f>(($D$14*F801C!I66)+($E$14*(F801ENE!I66)))*$K69</f>
        <v>1602486.4163842755</v>
      </c>
      <c r="J69" s="156">
        <f t="shared" si="7"/>
        <v>9753676.274856301</v>
      </c>
      <c r="K69" s="1427">
        <v>1</v>
      </c>
    </row>
    <row r="70" spans="2:11" s="37" customFormat="1" ht="13.5">
      <c r="B70" s="48"/>
      <c r="C70" s="162" t="s">
        <v>644</v>
      </c>
      <c r="D70" s="156">
        <f>(($D$14*F801C!D67)+($E$14*(F801ENE!D67)))*$K70</f>
        <v>608132.1185744981</v>
      </c>
      <c r="E70" s="156">
        <f>(($D$14*F801C!E67)+($E$14*(F801ENE!E67)))*$K70</f>
        <v>608660.13893010898</v>
      </c>
      <c r="F70" s="156">
        <f>(($D$14*F801C!F67)+($E$14*(F801ENE!F67)))*$K70</f>
        <v>600617.98548509774</v>
      </c>
      <c r="G70" s="156">
        <f>(($D$14*F801C!G67)+($E$14*(F801ENE!G67)))*$K70</f>
        <v>607237.80633785261</v>
      </c>
      <c r="H70" s="156">
        <f>(($D$14*F801C!H67)+($E$14*(F801ENE!H67)))*$K70</f>
        <v>588494.18748836475</v>
      </c>
      <c r="I70" s="156">
        <f>(($D$14*F801C!I67)+($E$14*(F801ENE!I67)))*$K70</f>
        <v>590992.982436953</v>
      </c>
      <c r="J70" s="156">
        <f t="shared" si="7"/>
        <v>3604135.2192528751</v>
      </c>
      <c r="K70" s="1427">
        <v>0.75</v>
      </c>
    </row>
    <row r="71" spans="2:11" s="37" customFormat="1" ht="13.5">
      <c r="B71" s="48"/>
      <c r="C71" s="160" t="s">
        <v>305</v>
      </c>
      <c r="D71" s="156">
        <f>(($D$14*F801C!D68)+($E$14*(F801ENE!D68)))*$K71</f>
        <v>107.71024814639389</v>
      </c>
      <c r="E71" s="156">
        <f>(($D$14*F801C!E68)+($E$14*(F801ENE!E68)))*$K71</f>
        <v>107.746446071562</v>
      </c>
      <c r="F71" s="156">
        <f>(($D$14*F801C!F68)+($E$14*(F801ENE!F68)))*$K71</f>
        <v>106.10758617190112</v>
      </c>
      <c r="G71" s="156">
        <f>(($D$14*F801C!G68)+($E$14*(F801ENE!G68)))*$K71</f>
        <v>107.449009440696</v>
      </c>
      <c r="H71" s="156">
        <f>(($D$14*F801C!H68)+($E$14*(F801ENE!H68)))*$K71</f>
        <v>103.70215381267938</v>
      </c>
      <c r="I71" s="156">
        <f>(($D$14*F801C!I68)+($E$14*(F801ENE!I68)))*$K71</f>
        <v>104.08979781676756</v>
      </c>
      <c r="J71" s="156">
        <f t="shared" si="7"/>
        <v>636.80524145999993</v>
      </c>
      <c r="K71" s="1427">
        <v>0.95</v>
      </c>
    </row>
    <row r="72" spans="2:11" s="37" customFormat="1" ht="13.5">
      <c r="B72" s="48"/>
      <c r="C72" s="160" t="s">
        <v>307</v>
      </c>
      <c r="D72" s="156">
        <f>(($D$14*F801C!D69)+($E$14*(F801ENE!D69)))*$K72</f>
        <v>4.5234513841362425</v>
      </c>
      <c r="E72" s="156">
        <f>(($D$14*F801C!E69)+($E$14*(F801ENE!E69)))*$K72</f>
        <v>4.5247632813441419</v>
      </c>
      <c r="F72" s="156">
        <f>(($D$14*F801C!F69)+($E$14*(F801ENE!F69)))*$K72</f>
        <v>4.4653671773818502</v>
      </c>
      <c r="G72" s="156">
        <f>(($D$14*F801C!G69)+($E$14*(F801ENE!G69)))*$K72</f>
        <v>4.5139834843323499</v>
      </c>
      <c r="H72" s="156">
        <f>(($D$14*F801C!H69)+($E$14*(F801ENE!H69)))*$K72</f>
        <v>4.3781887001293667</v>
      </c>
      <c r="I72" s="156">
        <f>(($D$14*F801C!I69)+($E$14*(F801ENE!I69)))*$K72</f>
        <v>4.3922378226760497</v>
      </c>
      <c r="J72" s="156">
        <f t="shared" si="7"/>
        <v>26.797991850000003</v>
      </c>
      <c r="K72" s="1427">
        <v>0.5</v>
      </c>
    </row>
    <row r="73" spans="2:11" s="37" customFormat="1" ht="13.5">
      <c r="B73" s="48"/>
      <c r="C73" s="160" t="s">
        <v>624</v>
      </c>
      <c r="D73" s="156">
        <f>(($D$14*F801C!D70)+($E$14*(F801ENE!D70)))*$K73</f>
        <v>0</v>
      </c>
      <c r="E73" s="156">
        <f>(($D$14*F801C!E70)+($E$14*(F801ENE!E70)))*$K73</f>
        <v>0</v>
      </c>
      <c r="F73" s="156">
        <f>(($D$14*F801C!F70)+($E$14*(F801ENE!F70)))*$K73</f>
        <v>0</v>
      </c>
      <c r="G73" s="156">
        <f>(($D$14*F801C!G70)+($E$14*(F801ENE!G70)))*$K73</f>
        <v>0</v>
      </c>
      <c r="H73" s="156">
        <f>(($D$14*F801C!H70)+($E$14*(F801ENE!H70)))*$K73</f>
        <v>0</v>
      </c>
      <c r="I73" s="156">
        <f>(($D$14*F801C!I70)+($E$14*(F801ENE!I70)))*$K73</f>
        <v>0</v>
      </c>
      <c r="J73" s="156">
        <f t="shared" si="7"/>
        <v>0</v>
      </c>
      <c r="K73" s="1427">
        <v>0</v>
      </c>
    </row>
    <row r="74" spans="2:11" s="37" customFormat="1" ht="13.5">
      <c r="B74" s="48" t="s">
        <v>750</v>
      </c>
      <c r="C74" s="158" t="s">
        <v>635</v>
      </c>
      <c r="D74" s="154">
        <f t="shared" ref="D74" si="17">SUBTOTAL(9,D75:D80)</f>
        <v>817631.64545357099</v>
      </c>
      <c r="E74" s="154">
        <f t="shared" ref="E74:I74" si="18">SUBTOTAL(9,E75:E80)</f>
        <v>818380.62658319005</v>
      </c>
      <c r="F74" s="154">
        <f t="shared" si="18"/>
        <v>808046.74369535665</v>
      </c>
      <c r="G74" s="154">
        <f t="shared" si="18"/>
        <v>816558.41471949988</v>
      </c>
      <c r="H74" s="154">
        <f t="shared" si="18"/>
        <v>792408.74579494039</v>
      </c>
      <c r="I74" s="154">
        <f t="shared" si="18"/>
        <v>795737.29617544718</v>
      </c>
      <c r="J74" s="154">
        <f t="shared" si="7"/>
        <v>4848763.4724220047</v>
      </c>
      <c r="K74" s="1426"/>
    </row>
    <row r="75" spans="2:11" s="37" customFormat="1" ht="13.5">
      <c r="B75" s="48"/>
      <c r="C75" s="160" t="s">
        <v>304</v>
      </c>
      <c r="D75" s="156">
        <f>(($D$14*F801C!D72)+($E$14*(F801ENE!D72)))*$K75</f>
        <v>568188.6096337738</v>
      </c>
      <c r="E75" s="156">
        <f>(($D$14*F801C!E72)+($E$14*(F801ENE!E72)))*$K75</f>
        <v>568687.91263723804</v>
      </c>
      <c r="F75" s="156">
        <f>(($D$14*F801C!F72)+($E$14*(F801ENE!F72)))*$K75</f>
        <v>561260.73237597919</v>
      </c>
      <c r="G75" s="156">
        <f>(($D$14*F801C!G72)+($E$14*(F801ENE!G72)))*$K75</f>
        <v>567374.05582423299</v>
      </c>
      <c r="H75" s="156">
        <f>(($D$14*F801C!H72)+($E$14*(F801ENE!H72)))*$K75</f>
        <v>550053.77143459674</v>
      </c>
      <c r="I75" s="156">
        <f>(($D$14*F801C!I72)+($E$14*(F801ENE!I72)))*$K75</f>
        <v>552382.75472067914</v>
      </c>
      <c r="J75" s="156">
        <f t="shared" si="7"/>
        <v>3367947.8366264999</v>
      </c>
      <c r="K75" s="1427">
        <v>1</v>
      </c>
    </row>
    <row r="76" spans="2:11" s="37" customFormat="1" ht="13.5">
      <c r="B76" s="48"/>
      <c r="C76" s="162" t="s">
        <v>642</v>
      </c>
      <c r="D76" s="156">
        <f>(($D$14*F801C!D73)+($E$14*(F801ENE!D73)))*$K76</f>
        <v>220168.26703046696</v>
      </c>
      <c r="E76" s="156">
        <f>(($D$14*F801C!E73)+($E$14*(F801ENE!E73)))*$K76</f>
        <v>220405.73191596143</v>
      </c>
      <c r="F76" s="156">
        <f>(($D$14*F801C!F73)+($E$14*(F801ENE!F73)))*$K76</f>
        <v>218051.98336811602</v>
      </c>
      <c r="G76" s="156">
        <f>(($D$14*F801C!G73)+($E$14*(F801ENE!G73)))*$K76</f>
        <v>219997.73248337087</v>
      </c>
      <c r="H76" s="156">
        <f>(($D$14*F801C!H73)+($E$14*(F801ENE!H73)))*$K76</f>
        <v>214432.54332130979</v>
      </c>
      <c r="I76" s="156">
        <f>(($D$14*F801C!I73)+($E$14*(F801ENE!I73)))*$K76</f>
        <v>215301.31867862493</v>
      </c>
      <c r="J76" s="156">
        <f t="shared" si="7"/>
        <v>1308357.5767978502</v>
      </c>
      <c r="K76" s="1427">
        <v>0.75</v>
      </c>
    </row>
    <row r="77" spans="2:11" s="37" customFormat="1" ht="13.5">
      <c r="B77" s="48"/>
      <c r="C77" s="162" t="s">
        <v>1177</v>
      </c>
      <c r="D77" s="156">
        <f>(($D$14*F801C!D74)+($E$14*(F801ENE!D74)))*$K77</f>
        <v>29174.455141978193</v>
      </c>
      <c r="E77" s="156">
        <f>(($D$14*F801C!E74)+($E$14*(F801ENE!E74)))*$K77</f>
        <v>29186.630894539823</v>
      </c>
      <c r="F77" s="156">
        <f>(($D$14*F801C!F74)+($E$14*(F801ENE!F74)))*$K77</f>
        <v>28635.37408827867</v>
      </c>
      <c r="G77" s="156">
        <f>(($D$14*F801C!G74)+($E$14*(F801ENE!G74)))*$K77</f>
        <v>29086.583314371317</v>
      </c>
      <c r="H77" s="156">
        <f>(($D$14*F801C!H74)+($E$14*(F801ENE!H74)))*$K77</f>
        <v>27826.268343305481</v>
      </c>
      <c r="I77" s="156">
        <f>(($D$14*F801C!I74)+($E$14*(F801ENE!I74)))*$K77</f>
        <v>27956.658619926533</v>
      </c>
      <c r="J77" s="156">
        <f t="shared" si="7"/>
        <v>171865.97040240001</v>
      </c>
      <c r="K77" s="1427">
        <v>1</v>
      </c>
    </row>
    <row r="78" spans="2:11" s="37" customFormat="1" ht="13.5">
      <c r="B78" s="48"/>
      <c r="C78" s="160" t="s">
        <v>305</v>
      </c>
      <c r="D78" s="156">
        <f>(($D$14*F801C!D75)+($E$14*(F801ENE!D75)))*$K78</f>
        <v>96.132278653525589</v>
      </c>
      <c r="E78" s="156">
        <f>(($D$14*F801C!E75)+($E$14*(F801ENE!E75)))*$K78</f>
        <v>96.168021687632972</v>
      </c>
      <c r="F78" s="156">
        <f>(($D$14*F801C!F75)+($E$14*(F801ENE!F75)))*$K78</f>
        <v>94.549756966138645</v>
      </c>
      <c r="G78" s="156">
        <f>(($D$14*F801C!G75)+($E$14*(F801ENE!G75)))*$K78</f>
        <v>95.874322874994888</v>
      </c>
      <c r="H78" s="156">
        <f>(($D$14*F801C!H75)+($E$14*(F801ENE!H75)))*$K78</f>
        <v>92.174553126155175</v>
      </c>
      <c r="I78" s="156">
        <f>(($D$14*F801C!I75)+($E$14*(F801ENE!I75)))*$K78</f>
        <v>92.557325696552752</v>
      </c>
      <c r="J78" s="156">
        <f t="shared" si="7"/>
        <v>567.45625900499999</v>
      </c>
      <c r="K78" s="1427">
        <v>0.95</v>
      </c>
    </row>
    <row r="79" spans="2:11" s="37" customFormat="1" ht="13.5">
      <c r="B79" s="48"/>
      <c r="C79" s="160" t="s">
        <v>307</v>
      </c>
      <c r="D79" s="156">
        <f>(($D$14*F801C!D76)+($E$14*(F801ENE!D76)))*$K79</f>
        <v>4.1813686984408003</v>
      </c>
      <c r="E79" s="156">
        <f>(($D$14*F801C!E76)+($E$14*(F801ENE!E76)))*$K79</f>
        <v>4.183113763100736</v>
      </c>
      <c r="F79" s="156">
        <f>(($D$14*F801C!F76)+($E$14*(F801ENE!F76)))*$K79</f>
        <v>4.1041060166566137</v>
      </c>
      <c r="G79" s="156">
        <f>(($D$14*F801C!G76)+($E$14*(F801ENE!G76)))*$K79</f>
        <v>4.1687746497210521</v>
      </c>
      <c r="H79" s="156">
        <f>(($D$14*F801C!H76)+($E$14*(F801ENE!H76)))*$K79</f>
        <v>3.9881426021114157</v>
      </c>
      <c r="I79" s="156">
        <f>(($D$14*F801C!I76)+($E$14*(F801ENE!I76)))*$K79</f>
        <v>4.0068305199693848</v>
      </c>
      <c r="J79" s="156">
        <f t="shared" si="7"/>
        <v>24.632336250000002</v>
      </c>
      <c r="K79" s="1427">
        <v>0.5</v>
      </c>
    </row>
    <row r="80" spans="2:11" s="37" customFormat="1" ht="13.5">
      <c r="B80" s="48"/>
      <c r="C80" s="160" t="s">
        <v>624</v>
      </c>
      <c r="D80" s="156">
        <f>(($D$14*F801C!D77)+($E$14*(F801ENE!D77)))*$K80</f>
        <v>0</v>
      </c>
      <c r="E80" s="156">
        <f>(($D$14*F801C!E77)+($E$14*(F801ENE!E77)))*$K80</f>
        <v>0</v>
      </c>
      <c r="F80" s="156">
        <f>(($D$14*F801C!F77)+($E$14*(F801ENE!F77)))*$K80</f>
        <v>0</v>
      </c>
      <c r="G80" s="156">
        <f>(($D$14*F801C!G77)+($E$14*(F801ENE!G77)))*$K80</f>
        <v>0</v>
      </c>
      <c r="H80" s="156">
        <f>(($D$14*F801C!H77)+($E$14*(F801ENE!H77)))*$K80</f>
        <v>0</v>
      </c>
      <c r="I80" s="156">
        <f>(($D$14*F801C!I77)+($E$14*(F801ENE!I77)))*$K80</f>
        <v>0</v>
      </c>
      <c r="J80" s="156">
        <f t="shared" si="7"/>
        <v>0</v>
      </c>
      <c r="K80" s="1427">
        <v>0</v>
      </c>
    </row>
    <row r="81" spans="2:11" s="37" customFormat="1" ht="13.5">
      <c r="B81" s="48" t="s">
        <v>749</v>
      </c>
      <c r="C81" s="158" t="s">
        <v>636</v>
      </c>
      <c r="D81" s="154">
        <f t="shared" ref="D81" si="19">SUBTOTAL(9,D82:D87)</f>
        <v>622393.02809715131</v>
      </c>
      <c r="E81" s="154">
        <f t="shared" ref="E81:I81" si="20">SUBTOTAL(9,E82:E87)</f>
        <v>622782.83020948479</v>
      </c>
      <c r="F81" s="154">
        <f t="shared" si="20"/>
        <v>612632.27650060866</v>
      </c>
      <c r="G81" s="154">
        <f t="shared" si="20"/>
        <v>620956.59180444386</v>
      </c>
      <c r="H81" s="154">
        <f t="shared" si="20"/>
        <v>597582.06122699205</v>
      </c>
      <c r="I81" s="154">
        <f t="shared" si="20"/>
        <v>600261.31505273981</v>
      </c>
      <c r="J81" s="154">
        <f t="shared" si="7"/>
        <v>3676608.1028914205</v>
      </c>
      <c r="K81" s="1426"/>
    </row>
    <row r="82" spans="2:11" s="37" customFormat="1" ht="13.5">
      <c r="B82" s="48"/>
      <c r="C82" s="160" t="s">
        <v>304</v>
      </c>
      <c r="D82" s="156">
        <f>(($D$14*F801C!D79)+($E$14*(F801ENE!D79)))*$K82</f>
        <v>558596.0600770266</v>
      </c>
      <c r="E82" s="156">
        <f>(($D$14*F801C!E79)+($E$14*(F801ENE!E79)))*$K82</f>
        <v>558934.80364250857</v>
      </c>
      <c r="F82" s="156">
        <f>(($D$14*F801C!F79)+($E$14*(F801ENE!F79)))*$K82</f>
        <v>549696.34624986409</v>
      </c>
      <c r="G82" s="156">
        <f>(($D$14*F801C!G79)+($E$14*(F801ENE!G79)))*$K82</f>
        <v>557270.9045160783</v>
      </c>
      <c r="H82" s="156">
        <f>(($D$14*F801C!H79)+($E$14*(F801ENE!H79)))*$K82</f>
        <v>536013.00326299039</v>
      </c>
      <c r="I82" s="156">
        <f>(($D$14*F801C!I79)+($E$14*(F801ENE!I79)))*$K82</f>
        <v>538424.16532643244</v>
      </c>
      <c r="J82" s="156">
        <f t="shared" si="7"/>
        <v>3298935.2830748996</v>
      </c>
      <c r="K82" s="1427">
        <v>1</v>
      </c>
    </row>
    <row r="83" spans="2:11" s="37" customFormat="1" ht="13.5">
      <c r="B83" s="48"/>
      <c r="C83" s="162" t="s">
        <v>642</v>
      </c>
      <c r="D83" s="156">
        <f>(($D$14*F801C!D80)+($E$14*(F801ENE!D80)))*$K83</f>
        <v>15829.289999999997</v>
      </c>
      <c r="E83" s="156">
        <f>(($D$14*F801C!E80)+($E$14*(F801ENE!E80)))*$K83</f>
        <v>15860.34</v>
      </c>
      <c r="F83" s="156">
        <f>(($D$14*F801C!F80)+($E$14*(F801ENE!F80)))*$K83</f>
        <v>15854.130000000001</v>
      </c>
      <c r="G83" s="156">
        <f>(($D$14*F801C!G80)+($E$14*(F801ENE!G80)))*$K83</f>
        <v>15862.409999999998</v>
      </c>
      <c r="H83" s="156">
        <f>(($D$14*F801C!H80)+($E$14*(F801ENE!H80)))*$K83</f>
        <v>15816.869999999999</v>
      </c>
      <c r="I83" s="156">
        <f>(($D$14*F801C!I80)+($E$14*(F801ENE!I80)))*$K83</f>
        <v>15870.689999999999</v>
      </c>
      <c r="J83" s="156">
        <f t="shared" si="7"/>
        <v>95093.73</v>
      </c>
      <c r="K83" s="1427">
        <v>0.75</v>
      </c>
    </row>
    <row r="84" spans="2:11" s="37" customFormat="1" ht="13.5">
      <c r="B84" s="48"/>
      <c r="C84" s="162" t="s">
        <v>1177</v>
      </c>
      <c r="D84" s="156">
        <f>(($D$14*F801C!D81)+($E$14*(F801ENE!D81)))*$K84</f>
        <v>47603.314813877652</v>
      </c>
      <c r="E84" s="156">
        <f>(($D$14*F801C!E81)+($E$14*(F801ENE!E81)))*$K84</f>
        <v>47623.181720713328</v>
      </c>
      <c r="F84" s="156">
        <f>(($D$14*F801C!F81)+($E$14*(F801ENE!F81)))*$K84</f>
        <v>46723.708151659957</v>
      </c>
      <c r="G84" s="156">
        <f>(($D$14*F801C!G81)+($E$14*(F801ENE!G81)))*$K84</f>
        <v>47459.936291383092</v>
      </c>
      <c r="H84" s="156">
        <f>(($D$14*F801C!H81)+($E$14*(F801ENE!H81)))*$K84</f>
        <v>45403.50815792448</v>
      </c>
      <c r="I84" s="156">
        <f>(($D$14*F801C!I81)+($E$14*(F801ENE!I81)))*$K84</f>
        <v>45616.263095641538</v>
      </c>
      <c r="J84" s="156">
        <f t="shared" si="7"/>
        <v>280429.91223120003</v>
      </c>
      <c r="K84" s="1427">
        <v>1</v>
      </c>
    </row>
    <row r="85" spans="2:11" s="37" customFormat="1" ht="13.5">
      <c r="B85" s="48"/>
      <c r="C85" s="160" t="s">
        <v>305</v>
      </c>
      <c r="D85" s="156">
        <f>(($D$14*F801C!D82)+($E$14*(F801ENE!D82)))*$K85</f>
        <v>361.57170122460394</v>
      </c>
      <c r="E85" s="156">
        <f>(($D$14*F801C!E82)+($E$14*(F801ENE!E82)))*$K85</f>
        <v>361.71275215900602</v>
      </c>
      <c r="F85" s="156">
        <f>(($D$14*F801C!F82)+($E$14*(F801ENE!F82)))*$K85</f>
        <v>355.32667563313254</v>
      </c>
      <c r="G85" s="156">
        <f>(($D$14*F801C!G82)+($E$14*(F801ENE!G82)))*$K85</f>
        <v>360.55374333421184</v>
      </c>
      <c r="H85" s="156">
        <f>(($D$14*F801C!H82)+($E$14*(F801ENE!H82)))*$K85</f>
        <v>345.95352840622127</v>
      </c>
      <c r="I85" s="156">
        <f>(($D$14*F801C!I82)+($E$14*(F801ENE!I82)))*$K85</f>
        <v>347.4640445128241</v>
      </c>
      <c r="J85" s="156">
        <f t="shared" si="7"/>
        <v>2132.5824452699999</v>
      </c>
      <c r="K85" s="1427">
        <v>0.95</v>
      </c>
    </row>
    <row r="86" spans="2:11" s="37" customFormat="1" ht="13.5">
      <c r="B86" s="48"/>
      <c r="C86" s="160" t="s">
        <v>307</v>
      </c>
      <c r="D86" s="156">
        <f>(($D$14*F801C!D83)+($E$14*(F801ENE!D83)))*$K86</f>
        <v>2.7915050223147819</v>
      </c>
      <c r="E86" s="156">
        <f>(($D$14*F801C!E83)+($E$14*(F801ENE!E83)))*$K86</f>
        <v>2.7920941039551268</v>
      </c>
      <c r="F86" s="156">
        <f>(($D$14*F801C!F83)+($E$14*(F801ENE!F83)))*$K86</f>
        <v>2.7654234516040828</v>
      </c>
      <c r="G86" s="156">
        <f>(($D$14*F801C!G83)+($E$14*(F801ENE!G83)))*$K86</f>
        <v>2.7872536481114425</v>
      </c>
      <c r="H86" s="156">
        <f>(($D$14*F801C!H83)+($E$14*(F801ENE!H83)))*$K86</f>
        <v>2.7262776709183578</v>
      </c>
      <c r="I86" s="156">
        <f>(($D$14*F801C!I83)+($E$14*(F801ENE!I83)))*$K86</f>
        <v>2.7325861530962072</v>
      </c>
      <c r="J86" s="156">
        <f t="shared" si="7"/>
        <v>16.595140049999998</v>
      </c>
      <c r="K86" s="1427">
        <v>0.5</v>
      </c>
    </row>
    <row r="87" spans="2:11" s="37" customFormat="1" ht="13.5">
      <c r="B87" s="48"/>
      <c r="C87" s="160" t="s">
        <v>624</v>
      </c>
      <c r="D87" s="156">
        <f>(($D$14*F801C!D84)+($E$14*(F801ENE!D84)))*$K87</f>
        <v>0</v>
      </c>
      <c r="E87" s="156">
        <f>(($D$14*F801C!E84)+($E$14*(F801ENE!E84)))*$K87</f>
        <v>0</v>
      </c>
      <c r="F87" s="156">
        <f>(($D$14*F801C!F84)+($E$14*(F801ENE!F84)))*$K87</f>
        <v>0</v>
      </c>
      <c r="G87" s="156">
        <f>(($D$14*F801C!G84)+($E$14*(F801ENE!G84)))*$K87</f>
        <v>0</v>
      </c>
      <c r="H87" s="156">
        <f>(($D$14*F801C!H84)+($E$14*(F801ENE!H84)))*$K87</f>
        <v>0</v>
      </c>
      <c r="I87" s="156">
        <f>(($D$14*F801C!I84)+($E$14*(F801ENE!I84)))*$K87</f>
        <v>0</v>
      </c>
      <c r="J87" s="156">
        <f t="shared" si="7"/>
        <v>0</v>
      </c>
      <c r="K87" s="1427">
        <v>0</v>
      </c>
    </row>
    <row r="88" spans="2:11" s="37" customFormat="1" ht="13.5">
      <c r="B88" s="48"/>
      <c r="C88" s="157"/>
      <c r="D88" s="156"/>
      <c r="E88" s="156"/>
      <c r="F88" s="156"/>
      <c r="G88" s="156"/>
      <c r="H88" s="156"/>
      <c r="I88" s="156"/>
      <c r="J88" s="156">
        <f t="shared" si="7"/>
        <v>0</v>
      </c>
      <c r="K88" s="1426"/>
    </row>
    <row r="89" spans="2:11" s="37" customFormat="1" ht="13.5">
      <c r="B89" s="48" t="s">
        <v>902</v>
      </c>
      <c r="C89" s="158" t="s">
        <v>898</v>
      </c>
      <c r="D89" s="154">
        <f t="shared" ref="D89:I89" si="21">SUBTOTAL(9,D90:D94)</f>
        <v>458915.15483958443</v>
      </c>
      <c r="E89" s="154">
        <f t="shared" si="21"/>
        <v>459106.67983447859</v>
      </c>
      <c r="F89" s="154">
        <f t="shared" si="21"/>
        <v>450435.39184056141</v>
      </c>
      <c r="G89" s="154">
        <f t="shared" si="21"/>
        <v>457532.92805330851</v>
      </c>
      <c r="H89" s="154">
        <f t="shared" si="21"/>
        <v>437708.13141945074</v>
      </c>
      <c r="I89" s="154">
        <f t="shared" si="21"/>
        <v>439759.17483033612</v>
      </c>
      <c r="J89" s="154">
        <f t="shared" si="7"/>
        <v>2703457.4608177198</v>
      </c>
      <c r="K89" s="1426"/>
    </row>
    <row r="90" spans="2:11" s="37" customFormat="1" ht="13.5">
      <c r="B90" s="48"/>
      <c r="C90" s="160" t="s">
        <v>304</v>
      </c>
      <c r="D90" s="156">
        <f>($E$13*(F801ENE!D87))*$K90</f>
        <v>441390.02624749212</v>
      </c>
      <c r="E90" s="156">
        <f>($E$13*(F801ENE!E87))*$K90</f>
        <v>441574.23725388816</v>
      </c>
      <c r="F90" s="156">
        <f>($E$13*(F801ENE!F87))*$K90</f>
        <v>433234.08985437034</v>
      </c>
      <c r="G90" s="156">
        <f>($E$13*(F801ENE!G87))*$K90</f>
        <v>440060.58416862338</v>
      </c>
      <c r="H90" s="156">
        <f>($E$13*(F801ENE!H87))*$K90</f>
        <v>420992.86018023506</v>
      </c>
      <c r="I90" s="156">
        <f>($E$13*(F801ENE!I87))*$K90</f>
        <v>422965.57800273079</v>
      </c>
      <c r="J90" s="156">
        <f t="shared" si="7"/>
        <v>2600217.37570734</v>
      </c>
      <c r="K90" s="1427">
        <v>1</v>
      </c>
    </row>
    <row r="91" spans="2:11" s="37" customFormat="1" ht="13.5">
      <c r="B91" s="48"/>
      <c r="C91" s="162" t="s">
        <v>644</v>
      </c>
      <c r="D91" s="156">
        <f>($E$13*(F801ENE!D88))*$K91</f>
        <v>17525.128592092315</v>
      </c>
      <c r="E91" s="156">
        <f>($E$13*(F801ENE!E88))*$K91</f>
        <v>17532.442580590458</v>
      </c>
      <c r="F91" s="156">
        <f>($E$13*(F801ENE!F88))*$K91</f>
        <v>17201.301986191073</v>
      </c>
      <c r="G91" s="156">
        <f>($E$13*(F801ENE!G88))*$K91</f>
        <v>17472.343884685153</v>
      </c>
      <c r="H91" s="156">
        <f>($E$13*(F801ENE!H88))*$K91</f>
        <v>16715.271239215679</v>
      </c>
      <c r="I91" s="156">
        <f>($E$13*(F801ENE!I88))*$K91</f>
        <v>16793.596827605314</v>
      </c>
      <c r="J91" s="156">
        <f t="shared" si="7"/>
        <v>103240.08511037999</v>
      </c>
      <c r="K91" s="1427">
        <v>0.75</v>
      </c>
    </row>
    <row r="92" spans="2:11" s="37" customFormat="1" ht="13.5">
      <c r="B92" s="48"/>
      <c r="C92" s="160" t="s">
        <v>305</v>
      </c>
      <c r="D92" s="156">
        <f>($E$13*(F801ENE!D89))*$K92</f>
        <v>0</v>
      </c>
      <c r="E92" s="156">
        <f>($E$13*(F801ENE!E89))*$K92</f>
        <v>0</v>
      </c>
      <c r="F92" s="156">
        <f>($E$13*(F801ENE!F89))*$K92</f>
        <v>0</v>
      </c>
      <c r="G92" s="156">
        <f>($E$13*(F801ENE!G89))*$K92</f>
        <v>0</v>
      </c>
      <c r="H92" s="156">
        <f>($E$13*(F801ENE!H89))*$K92</f>
        <v>0</v>
      </c>
      <c r="I92" s="156">
        <f>($E$13*(F801ENE!I89))*$K92</f>
        <v>0</v>
      </c>
      <c r="J92" s="156">
        <f t="shared" si="7"/>
        <v>0</v>
      </c>
      <c r="K92" s="1427">
        <v>0.95</v>
      </c>
    </row>
    <row r="93" spans="2:11" s="37" customFormat="1" ht="13.5">
      <c r="B93" s="48"/>
      <c r="C93" s="160" t="s">
        <v>307</v>
      </c>
      <c r="D93" s="156">
        <f>($E$13*(F801ENE!D90))*$K93</f>
        <v>0</v>
      </c>
      <c r="E93" s="156">
        <f>($E$13*(F801ENE!E90))*$K93</f>
        <v>0</v>
      </c>
      <c r="F93" s="156">
        <f>($E$13*(F801ENE!F90))*$K93</f>
        <v>0</v>
      </c>
      <c r="G93" s="156">
        <f>($E$13*(F801ENE!G90))*$K93</f>
        <v>0</v>
      </c>
      <c r="H93" s="156">
        <f>($E$13*(F801ENE!H90))*$K93</f>
        <v>0</v>
      </c>
      <c r="I93" s="156">
        <f>($E$13*(F801ENE!I90))*$K93</f>
        <v>0</v>
      </c>
      <c r="J93" s="156">
        <f t="shared" si="7"/>
        <v>0</v>
      </c>
      <c r="K93" s="1427">
        <v>0.5</v>
      </c>
    </row>
    <row r="94" spans="2:11" s="37" customFormat="1" ht="13.5">
      <c r="B94" s="48"/>
      <c r="C94" s="160" t="s">
        <v>624</v>
      </c>
      <c r="D94" s="156">
        <f>($E$13*(F801ENE!D91))*$K94</f>
        <v>0</v>
      </c>
      <c r="E94" s="156">
        <f>($E$13*(F801ENE!E91))*$K94</f>
        <v>0</v>
      </c>
      <c r="F94" s="156">
        <f>($E$13*(F801ENE!F91))*$K94</f>
        <v>0</v>
      </c>
      <c r="G94" s="156">
        <f>($E$13*(F801ENE!G91))*$K94</f>
        <v>0</v>
      </c>
      <c r="H94" s="156">
        <f>($E$13*(F801ENE!H91))*$K94</f>
        <v>0</v>
      </c>
      <c r="I94" s="156">
        <f>($E$13*(F801ENE!I91))*$K94</f>
        <v>0</v>
      </c>
      <c r="J94" s="156">
        <f t="shared" si="7"/>
        <v>0</v>
      </c>
      <c r="K94" s="1427">
        <v>0</v>
      </c>
    </row>
    <row r="95" spans="2:11" s="37" customFormat="1" ht="13.5">
      <c r="B95" s="48" t="s">
        <v>902</v>
      </c>
      <c r="C95" s="158" t="s">
        <v>899</v>
      </c>
      <c r="D95" s="154">
        <f t="shared" ref="D95:I95" si="22">SUBTOTAL(9,D96:D101)</f>
        <v>36322.827261247949</v>
      </c>
      <c r="E95" s="154">
        <f t="shared" si="22"/>
        <v>36337.98633636759</v>
      </c>
      <c r="F95" s="154">
        <f t="shared" si="22"/>
        <v>35651.659697087867</v>
      </c>
      <c r="G95" s="154">
        <f t="shared" si="22"/>
        <v>36213.424936516894</v>
      </c>
      <c r="H95" s="154">
        <f t="shared" si="22"/>
        <v>34644.305555674699</v>
      </c>
      <c r="I95" s="154">
        <f t="shared" si="22"/>
        <v>34806.644268469987</v>
      </c>
      <c r="J95" s="154">
        <f t="shared" si="7"/>
        <v>213976.84805536503</v>
      </c>
      <c r="K95" s="1426"/>
    </row>
    <row r="96" spans="2:11" s="37" customFormat="1" ht="13.5">
      <c r="B96" s="48"/>
      <c r="C96" s="160" t="s">
        <v>304</v>
      </c>
      <c r="D96" s="156">
        <f>($E$13*(F801ENE!D93))*$K96</f>
        <v>32994.607854604736</v>
      </c>
      <c r="E96" s="156">
        <f>($E$13*(F801ENE!E93))*$K96</f>
        <v>33008.377920888772</v>
      </c>
      <c r="F96" s="156">
        <f>($E$13*(F801ENE!F93))*$K96</f>
        <v>32384.938612039517</v>
      </c>
      <c r="G96" s="156">
        <f>($E$13*(F801ENE!G93))*$K96</f>
        <v>32895.22994063011</v>
      </c>
      <c r="H96" s="156">
        <f>($E$13*(F801ENE!H93))*$K96</f>
        <v>31469.8871864557</v>
      </c>
      <c r="I96" s="156">
        <f>($E$13*(F801ENE!I93))*$K96</f>
        <v>31617.350987381149</v>
      </c>
      <c r="J96" s="156">
        <f t="shared" si="7"/>
        <v>194370.392502</v>
      </c>
      <c r="K96" s="1427">
        <v>1</v>
      </c>
    </row>
    <row r="97" spans="2:11" s="37" customFormat="1" ht="13.5">
      <c r="B97" s="48"/>
      <c r="C97" s="162" t="s">
        <v>642</v>
      </c>
      <c r="D97" s="156">
        <f>($E$13*(F801ENE!D94))*$K97</f>
        <v>3018.0511460903735</v>
      </c>
      <c r="E97" s="156">
        <f>($E$13*(F801ENE!E94))*$K97</f>
        <v>3019.310708395627</v>
      </c>
      <c r="F97" s="156">
        <f>($E$13*(F801ENE!F94))*$K97</f>
        <v>2962.2840654701613</v>
      </c>
      <c r="G97" s="156">
        <f>($E$13*(F801ENE!G94))*$K97</f>
        <v>3008.9609447917587</v>
      </c>
      <c r="H97" s="156">
        <f>($E$13*(F801ENE!H94))*$K97</f>
        <v>2878.5833584975389</v>
      </c>
      <c r="I97" s="156">
        <f>($E$13*(F801ENE!I94))*$K97</f>
        <v>2892.07202595954</v>
      </c>
      <c r="J97" s="156">
        <f t="shared" si="7"/>
        <v>17779.262249205</v>
      </c>
      <c r="K97" s="1427">
        <v>0.75</v>
      </c>
    </row>
    <row r="98" spans="2:11" s="37" customFormat="1" ht="13.5">
      <c r="B98" s="48"/>
      <c r="C98" s="162" t="s">
        <v>1177</v>
      </c>
      <c r="D98" s="156">
        <f>($E$13*(F801ENE!D95))*$K98</f>
        <v>310.16826055284309</v>
      </c>
      <c r="E98" s="156">
        <f>($E$13*(F801ENE!E95))*$K98</f>
        <v>310.29770708319251</v>
      </c>
      <c r="F98" s="156">
        <f>($E$13*(F801ENE!F95))*$K98</f>
        <v>304.43701957818689</v>
      </c>
      <c r="G98" s="156">
        <f>($E$13*(F801ENE!G95))*$K98</f>
        <v>309.23405109502164</v>
      </c>
      <c r="H98" s="156">
        <f>($E$13*(F801ENE!H95))*$K98</f>
        <v>295.83501072145424</v>
      </c>
      <c r="I98" s="156">
        <f>($E$13*(F801ENE!I95))*$K98</f>
        <v>297.22125512930143</v>
      </c>
      <c r="J98" s="156">
        <f t="shared" si="7"/>
        <v>1827.1933041599998</v>
      </c>
      <c r="K98" s="1427">
        <v>1</v>
      </c>
    </row>
    <row r="99" spans="2:11" s="37" customFormat="1" ht="13.5">
      <c r="B99" s="48"/>
      <c r="C99" s="160" t="s">
        <v>305</v>
      </c>
      <c r="D99" s="156">
        <f>($E$13*(F801ENE!D96))*$K99</f>
        <v>0</v>
      </c>
      <c r="E99" s="156">
        <f>($E$13*(F801ENE!E96))*$K99</f>
        <v>0</v>
      </c>
      <c r="F99" s="156">
        <f>($E$13*(F801ENE!F96))*$K99</f>
        <v>0</v>
      </c>
      <c r="G99" s="156">
        <f>($E$13*(F801ENE!G96))*$K99</f>
        <v>0</v>
      </c>
      <c r="H99" s="156">
        <f>($E$13*(F801ENE!H96))*$K99</f>
        <v>0</v>
      </c>
      <c r="I99" s="156">
        <f>($E$13*(F801ENE!I96))*$K99</f>
        <v>0</v>
      </c>
      <c r="J99" s="156">
        <f t="shared" si="7"/>
        <v>0</v>
      </c>
      <c r="K99" s="1427">
        <v>0.95</v>
      </c>
    </row>
    <row r="100" spans="2:11" s="37" customFormat="1" ht="13.5">
      <c r="B100" s="48"/>
      <c r="C100" s="160" t="s">
        <v>307</v>
      </c>
      <c r="D100" s="156">
        <f>($E$13*(F801ENE!D97))*$K100</f>
        <v>0</v>
      </c>
      <c r="E100" s="156">
        <f>($E$13*(F801ENE!E97))*$K100</f>
        <v>0</v>
      </c>
      <c r="F100" s="156">
        <f>($E$13*(F801ENE!F97))*$K100</f>
        <v>0</v>
      </c>
      <c r="G100" s="156">
        <f>($E$13*(F801ENE!G97))*$K100</f>
        <v>0</v>
      </c>
      <c r="H100" s="156">
        <f>($E$13*(F801ENE!H97))*$K100</f>
        <v>0</v>
      </c>
      <c r="I100" s="156">
        <f>($E$13*(F801ENE!I97))*$K100</f>
        <v>0</v>
      </c>
      <c r="J100" s="156">
        <f t="shared" ref="J100:J143" si="23">SUM(D100:I100)</f>
        <v>0</v>
      </c>
      <c r="K100" s="1427">
        <v>0.5</v>
      </c>
    </row>
    <row r="101" spans="2:11" s="37" customFormat="1" ht="13.5">
      <c r="B101" s="48"/>
      <c r="C101" s="160" t="s">
        <v>624</v>
      </c>
      <c r="D101" s="156">
        <f>($E$13*(F801ENE!D98))*$K101</f>
        <v>0</v>
      </c>
      <c r="E101" s="156">
        <f>($E$13*(F801ENE!E98))*$K101</f>
        <v>0</v>
      </c>
      <c r="F101" s="156">
        <f>($E$13*(F801ENE!F98))*$K101</f>
        <v>0</v>
      </c>
      <c r="G101" s="156">
        <f>($E$13*(F801ENE!G98))*$K101</f>
        <v>0</v>
      </c>
      <c r="H101" s="156">
        <f>($E$13*(F801ENE!H98))*$K101</f>
        <v>0</v>
      </c>
      <c r="I101" s="156">
        <f>($E$13*(F801ENE!I98))*$K101</f>
        <v>0</v>
      </c>
      <c r="J101" s="156">
        <f t="shared" si="23"/>
        <v>0</v>
      </c>
      <c r="K101" s="1427">
        <v>0</v>
      </c>
    </row>
    <row r="102" spans="2:11" s="37" customFormat="1" ht="13.5">
      <c r="B102" s="48" t="s">
        <v>902</v>
      </c>
      <c r="C102" s="158" t="s">
        <v>900</v>
      </c>
      <c r="D102" s="154">
        <f t="shared" ref="D102:I102" si="24">SUBTOTAL(9,D103:D108)</f>
        <v>4016.7641181597892</v>
      </c>
      <c r="E102" s="154">
        <f t="shared" si="24"/>
        <v>4018.4404862620599</v>
      </c>
      <c r="F102" s="154">
        <f t="shared" si="24"/>
        <v>3942.5429742603665</v>
      </c>
      <c r="G102" s="154">
        <f t="shared" si="24"/>
        <v>4004.6658492320325</v>
      </c>
      <c r="H102" s="154">
        <f t="shared" si="24"/>
        <v>3831.1445982362347</v>
      </c>
      <c r="I102" s="154">
        <f t="shared" si="24"/>
        <v>3849.0968438545174</v>
      </c>
      <c r="J102" s="154">
        <f t="shared" si="23"/>
        <v>23662.654870005001</v>
      </c>
      <c r="K102" s="1426"/>
    </row>
    <row r="103" spans="2:11" s="37" customFormat="1" ht="13.5">
      <c r="B103" s="48"/>
      <c r="C103" s="160" t="s">
        <v>304</v>
      </c>
      <c r="D103" s="156">
        <f>($E$13*(F801ENE!D100))*$K103</f>
        <v>3902.303556298883</v>
      </c>
      <c r="E103" s="156">
        <f>($E$13*(F801ENE!E100))*$K103</f>
        <v>3903.9321550950094</v>
      </c>
      <c r="F103" s="156">
        <f>($E$13*(F801ENE!F100))*$K103</f>
        <v>3830.1973968951343</v>
      </c>
      <c r="G103" s="156">
        <f>($E$13*(F801ENE!G100))*$K103</f>
        <v>3890.5500361834243</v>
      </c>
      <c r="H103" s="156">
        <f>($E$13*(F801ENE!H100))*$K103</f>
        <v>3721.9733971438009</v>
      </c>
      <c r="I103" s="156">
        <f>($E$13*(F801ENE!I100))*$K103</f>
        <v>3739.4140807037484</v>
      </c>
      <c r="J103" s="156">
        <f t="shared" si="23"/>
        <v>22988.370622319999</v>
      </c>
      <c r="K103" s="1427">
        <v>1</v>
      </c>
    </row>
    <row r="104" spans="2:11" s="37" customFormat="1" ht="13.5">
      <c r="B104" s="48"/>
      <c r="C104" s="162" t="s">
        <v>642</v>
      </c>
      <c r="D104" s="156">
        <f>($E$13*(F801ENE!D101))*$K104</f>
        <v>114.46056186090597</v>
      </c>
      <c r="E104" s="156">
        <f>($E$13*(F801ENE!E101))*$K104</f>
        <v>114.50833116705073</v>
      </c>
      <c r="F104" s="156">
        <f>($E$13*(F801ENE!F101))*$K104</f>
        <v>112.34557736523209</v>
      </c>
      <c r="G104" s="156">
        <f>($E$13*(F801ENE!G101))*$K104</f>
        <v>114.11581304860835</v>
      </c>
      <c r="H104" s="156">
        <f>($E$13*(F801ENE!H101))*$K104</f>
        <v>109.17120109243366</v>
      </c>
      <c r="I104" s="156">
        <f>($E$13*(F801ENE!I101))*$K104</f>
        <v>109.68276315076909</v>
      </c>
      <c r="J104" s="156">
        <f t="shared" si="23"/>
        <v>674.28424768499997</v>
      </c>
      <c r="K104" s="1427">
        <v>0.75</v>
      </c>
    </row>
    <row r="105" spans="2:11" s="37" customFormat="1" ht="13.5">
      <c r="B105" s="48"/>
      <c r="C105" s="162" t="s">
        <v>1177</v>
      </c>
      <c r="D105" s="156">
        <f>($E$13*(F801ENE!D102))*$K105</f>
        <v>0</v>
      </c>
      <c r="E105" s="156">
        <f>($E$13*(F801ENE!E102))*$K105</f>
        <v>0</v>
      </c>
      <c r="F105" s="156">
        <f>($E$13*(F801ENE!F102))*$K105</f>
        <v>0</v>
      </c>
      <c r="G105" s="156">
        <f>($E$13*(F801ENE!G102))*$K105</f>
        <v>0</v>
      </c>
      <c r="H105" s="156">
        <f>($E$13*(F801ENE!H102))*$K105</f>
        <v>0</v>
      </c>
      <c r="I105" s="156">
        <f>($E$13*(F801ENE!I102))*$K105</f>
        <v>0</v>
      </c>
      <c r="J105" s="156">
        <f t="shared" si="23"/>
        <v>0</v>
      </c>
      <c r="K105" s="1427">
        <v>1</v>
      </c>
    </row>
    <row r="106" spans="2:11" s="37" customFormat="1" ht="13.5">
      <c r="B106" s="48"/>
      <c r="C106" s="160" t="s">
        <v>305</v>
      </c>
      <c r="D106" s="156">
        <f>($E$13*(F801ENE!D103))*$K106</f>
        <v>0</v>
      </c>
      <c r="E106" s="156">
        <f>($E$13*(F801ENE!E103))*$K106</f>
        <v>0</v>
      </c>
      <c r="F106" s="156">
        <f>($E$13*(F801ENE!F103))*$K106</f>
        <v>0</v>
      </c>
      <c r="G106" s="156">
        <f>($E$13*(F801ENE!G103))*$K106</f>
        <v>0</v>
      </c>
      <c r="H106" s="156">
        <f>($E$13*(F801ENE!H103))*$K106</f>
        <v>0</v>
      </c>
      <c r="I106" s="156">
        <f>($E$13*(F801ENE!I103))*$K106</f>
        <v>0</v>
      </c>
      <c r="J106" s="156">
        <f t="shared" si="23"/>
        <v>0</v>
      </c>
      <c r="K106" s="1427">
        <v>0.95</v>
      </c>
    </row>
    <row r="107" spans="2:11" s="37" customFormat="1" ht="13.5">
      <c r="B107" s="48"/>
      <c r="C107" s="160" t="s">
        <v>307</v>
      </c>
      <c r="D107" s="156">
        <f>($E$13*(F801ENE!D104))*$K107</f>
        <v>0</v>
      </c>
      <c r="E107" s="156">
        <f>($E$13*(F801ENE!E104))*$K107</f>
        <v>0</v>
      </c>
      <c r="F107" s="156">
        <f>($E$13*(F801ENE!F104))*$K107</f>
        <v>0</v>
      </c>
      <c r="G107" s="156">
        <f>($E$13*(F801ENE!G104))*$K107</f>
        <v>0</v>
      </c>
      <c r="H107" s="156">
        <f>($E$13*(F801ENE!H104))*$K107</f>
        <v>0</v>
      </c>
      <c r="I107" s="156">
        <f>($E$13*(F801ENE!I104))*$K107</f>
        <v>0</v>
      </c>
      <c r="J107" s="156">
        <f t="shared" si="23"/>
        <v>0</v>
      </c>
      <c r="K107" s="1427">
        <v>0.5</v>
      </c>
    </row>
    <row r="108" spans="2:11" s="37" customFormat="1" ht="13.5">
      <c r="B108" s="48"/>
      <c r="C108" s="160" t="s">
        <v>624</v>
      </c>
      <c r="D108" s="156">
        <f>($E$13*(F801ENE!D105))*$K108</f>
        <v>0</v>
      </c>
      <c r="E108" s="156">
        <f>($E$13*(F801ENE!E105))*$K108</f>
        <v>0</v>
      </c>
      <c r="F108" s="156">
        <f>($E$13*(F801ENE!F105))*$K108</f>
        <v>0</v>
      </c>
      <c r="G108" s="156">
        <f>($E$13*(F801ENE!G105))*$K108</f>
        <v>0</v>
      </c>
      <c r="H108" s="156">
        <f>($E$13*(F801ENE!H105))*$K108</f>
        <v>0</v>
      </c>
      <c r="I108" s="156">
        <f>($E$13*(F801ENE!I105))*$K108</f>
        <v>0</v>
      </c>
      <c r="J108" s="156">
        <f t="shared" si="23"/>
        <v>0</v>
      </c>
      <c r="K108" s="1427">
        <v>0</v>
      </c>
    </row>
    <row r="109" spans="2:11" s="37" customFormat="1" ht="13.5">
      <c r="B109" s="48"/>
      <c r="C109" s="157"/>
      <c r="D109" s="156"/>
      <c r="E109" s="156"/>
      <c r="F109" s="156"/>
      <c r="G109" s="156"/>
      <c r="H109" s="156"/>
      <c r="I109" s="156"/>
      <c r="J109" s="156">
        <f t="shared" si="23"/>
        <v>0</v>
      </c>
      <c r="K109" s="1426"/>
    </row>
    <row r="110" spans="2:11" s="37" customFormat="1" ht="13.5">
      <c r="B110" s="48"/>
      <c r="C110" s="153" t="s">
        <v>112</v>
      </c>
      <c r="D110" s="154">
        <f t="shared" ref="D110:I110" si="25">D33+D23+D19</f>
        <v>4680028.4511265215</v>
      </c>
      <c r="E110" s="154">
        <f t="shared" si="25"/>
        <v>4683775.4056726974</v>
      </c>
      <c r="F110" s="154">
        <f t="shared" si="25"/>
        <v>4617784.6953288587</v>
      </c>
      <c r="G110" s="154">
        <f t="shared" si="25"/>
        <v>4672029.9092334379</v>
      </c>
      <c r="H110" s="154">
        <f t="shared" si="25"/>
        <v>4518858.3965673633</v>
      </c>
      <c r="I110" s="154">
        <f t="shared" si="25"/>
        <v>4538337.5489476854</v>
      </c>
      <c r="J110" s="154">
        <f t="shared" si="23"/>
        <v>27710814.40687656</v>
      </c>
      <c r="K110" s="1426"/>
    </row>
    <row r="111" spans="2:11">
      <c r="C111" s="48"/>
      <c r="D111" s="48"/>
      <c r="E111" s="48"/>
      <c r="F111" s="48"/>
      <c r="G111" s="48"/>
      <c r="H111" s="48"/>
      <c r="I111" s="48"/>
      <c r="J111" s="48">
        <f t="shared" si="23"/>
        <v>0</v>
      </c>
    </row>
    <row r="112" spans="2:11" ht="51">
      <c r="C112" s="173" t="s">
        <v>1398</v>
      </c>
      <c r="D112" s="173"/>
      <c r="E112" s="173"/>
      <c r="F112" s="173"/>
      <c r="G112" s="173"/>
      <c r="H112" s="173"/>
      <c r="I112" s="173"/>
      <c r="J112" s="173">
        <f t="shared" si="23"/>
        <v>0</v>
      </c>
    </row>
    <row r="113" spans="1:11" s="37" customFormat="1" ht="18" customHeight="1">
      <c r="A113" s="63"/>
      <c r="B113" s="48"/>
      <c r="C113" s="150" t="s">
        <v>310</v>
      </c>
      <c r="D113" s="151">
        <f t="shared" ref="D113:I113" si="26">D18</f>
        <v>46204</v>
      </c>
      <c r="E113" s="151">
        <f t="shared" si="26"/>
        <v>46235</v>
      </c>
      <c r="F113" s="151">
        <f t="shared" si="26"/>
        <v>46266</v>
      </c>
      <c r="G113" s="151">
        <f t="shared" si="26"/>
        <v>46296</v>
      </c>
      <c r="H113" s="151">
        <f t="shared" si="26"/>
        <v>46327</v>
      </c>
      <c r="I113" s="151">
        <f t="shared" si="26"/>
        <v>46357</v>
      </c>
      <c r="J113" s="151">
        <f t="shared" si="23"/>
        <v>277685</v>
      </c>
      <c r="K113" s="1426"/>
    </row>
    <row r="114" spans="1:11" s="37" customFormat="1" ht="13.5">
      <c r="A114" s="143"/>
      <c r="B114" s="52"/>
      <c r="C114" s="527" t="s">
        <v>230</v>
      </c>
      <c r="D114" s="528">
        <f t="shared" ref="D114:I114" si="27">SUM(D115:D116)</f>
        <v>7238.6085064619101</v>
      </c>
      <c r="E114" s="528">
        <f t="shared" si="27"/>
        <v>6729.8005802051393</v>
      </c>
      <c r="F114" s="528">
        <f t="shared" si="27"/>
        <v>6855.1406152501613</v>
      </c>
      <c r="G114" s="528">
        <f t="shared" si="27"/>
        <v>7990.7502892658867</v>
      </c>
      <c r="H114" s="528">
        <f t="shared" si="27"/>
        <v>6318.1333463679657</v>
      </c>
      <c r="I114" s="528">
        <f t="shared" si="27"/>
        <v>7491.1889618400382</v>
      </c>
      <c r="J114" s="528">
        <f t="shared" si="23"/>
        <v>42623.6222993911</v>
      </c>
      <c r="K114" s="1428"/>
    </row>
    <row r="115" spans="1:11" s="37" customFormat="1" ht="13.5">
      <c r="A115" s="143"/>
      <c r="B115" s="52" t="s">
        <v>870</v>
      </c>
      <c r="C115" s="157" t="s">
        <v>1026</v>
      </c>
      <c r="D115" s="156">
        <f>($D$7/2)*F801C!D116+$E$7*F801ENE!D116</f>
        <v>4897.76921201193</v>
      </c>
      <c r="E115" s="156">
        <f>($D$7/2)*F801C!E116+$E$7*F801ENE!E116</f>
        <v>4433.8225652068195</v>
      </c>
      <c r="F115" s="156">
        <f>($D$7/2)*F801C!F116+$E$7*F801ENE!F116</f>
        <v>4481.5279922921218</v>
      </c>
      <c r="G115" s="156">
        <f>($D$7/2)*F801C!G116+$E$7*F801ENE!G116</f>
        <v>5137.9393771191653</v>
      </c>
      <c r="H115" s="156">
        <f>($D$7/2)*F801C!H116+$E$7*F801ENE!H116</f>
        <v>3571.08750590721</v>
      </c>
      <c r="I115" s="156">
        <f>($D$7/2)*F801C!I116+$E$7*F801ENE!I116</f>
        <v>4603.3587535774741</v>
      </c>
      <c r="J115" s="156">
        <f t="shared" si="23"/>
        <v>27125.50540611472</v>
      </c>
      <c r="K115" s="1428"/>
    </row>
    <row r="116" spans="1:11" s="37" customFormat="1" ht="13.5">
      <c r="A116" s="143"/>
      <c r="B116" s="52" t="s">
        <v>871</v>
      </c>
      <c r="C116" s="153" t="s">
        <v>193</v>
      </c>
      <c r="D116" s="154">
        <f t="shared" ref="D116:I116" si="28">SUM(D117:D118)</f>
        <v>2340.8392944499801</v>
      </c>
      <c r="E116" s="154">
        <f t="shared" si="28"/>
        <v>2295.9780149983203</v>
      </c>
      <c r="F116" s="154">
        <f t="shared" si="28"/>
        <v>2373.6126229580395</v>
      </c>
      <c r="G116" s="154">
        <f t="shared" si="28"/>
        <v>2852.8109121467219</v>
      </c>
      <c r="H116" s="154">
        <f t="shared" si="28"/>
        <v>2747.0458404607557</v>
      </c>
      <c r="I116" s="154">
        <f t="shared" si="28"/>
        <v>2887.8302082625642</v>
      </c>
      <c r="J116" s="154">
        <f t="shared" si="23"/>
        <v>15498.116893276383</v>
      </c>
      <c r="K116" s="1428"/>
    </row>
    <row r="117" spans="1:11" s="37" customFormat="1" ht="13.5">
      <c r="A117" s="143"/>
      <c r="B117" s="52"/>
      <c r="C117" s="157" t="s">
        <v>944</v>
      </c>
      <c r="D117" s="156">
        <f>($D$8/2)*F801C!D118+$E$8*F801ENE!D118</f>
        <v>0</v>
      </c>
      <c r="E117" s="156">
        <f>($D$8/2)*F801C!E118+$E$8*F801ENE!E118</f>
        <v>0</v>
      </c>
      <c r="F117" s="156">
        <f>($D$8/2)*F801C!F118+$E$8*F801ENE!F118</f>
        <v>0</v>
      </c>
      <c r="G117" s="156">
        <f>($D$8/2)*F801C!G118+$E$8*F801ENE!G118</f>
        <v>0</v>
      </c>
      <c r="H117" s="156">
        <f>($D$8/2)*F801C!H118+$E$8*F801ENE!H118</f>
        <v>0</v>
      </c>
      <c r="I117" s="156">
        <f>($D$8/2)*F801C!I118+$E$8*F801ENE!I118</f>
        <v>0</v>
      </c>
      <c r="J117" s="156">
        <f t="shared" si="23"/>
        <v>0</v>
      </c>
      <c r="K117" s="1428"/>
    </row>
    <row r="118" spans="1:11" s="37" customFormat="1" ht="13.5">
      <c r="A118" s="143"/>
      <c r="B118" s="52"/>
      <c r="C118" s="157" t="s">
        <v>943</v>
      </c>
      <c r="D118" s="156">
        <f>($D$8/2)*F801C!D119+$E$8*F801ENE!D119</f>
        <v>2340.8392944499801</v>
      </c>
      <c r="E118" s="156">
        <f>($D$8/2)*F801C!E119+$E$8*F801ENE!E119</f>
        <v>2295.9780149983203</v>
      </c>
      <c r="F118" s="156">
        <f>($D$8/2)*F801C!F119+$E$8*F801ENE!F119</f>
        <v>2373.6126229580395</v>
      </c>
      <c r="G118" s="156">
        <f>($D$8/2)*F801C!G119+$E$8*F801ENE!G119</f>
        <v>2852.8109121467219</v>
      </c>
      <c r="H118" s="156">
        <f>($D$8/2)*F801C!H119+$E$8*F801ENE!H119</f>
        <v>2747.0458404607557</v>
      </c>
      <c r="I118" s="156">
        <f>($D$8/2)*F801C!I119+$E$8*F801ENE!I119</f>
        <v>2887.8302082625642</v>
      </c>
      <c r="J118" s="156">
        <f t="shared" si="23"/>
        <v>15498.116893276383</v>
      </c>
      <c r="K118" s="1428"/>
    </row>
    <row r="119" spans="1:11" s="37" customFormat="1" ht="13.5">
      <c r="A119" s="143"/>
      <c r="B119" s="52"/>
      <c r="C119" s="153" t="s">
        <v>893</v>
      </c>
      <c r="D119" s="156"/>
      <c r="E119" s="156"/>
      <c r="F119" s="156"/>
      <c r="G119" s="156"/>
      <c r="H119" s="156"/>
      <c r="I119" s="156"/>
      <c r="J119" s="156">
        <f t="shared" si="23"/>
        <v>0</v>
      </c>
      <c r="K119" s="1428"/>
    </row>
    <row r="120" spans="1:11" s="37" customFormat="1" ht="13.5">
      <c r="A120" s="143"/>
      <c r="B120" s="52"/>
      <c r="C120" s="157"/>
      <c r="D120" s="156"/>
      <c r="E120" s="156"/>
      <c r="F120" s="156"/>
      <c r="G120" s="156"/>
      <c r="H120" s="156"/>
      <c r="I120" s="156"/>
      <c r="J120" s="156">
        <f t="shared" si="23"/>
        <v>0</v>
      </c>
      <c r="K120" s="1428"/>
    </row>
    <row r="121" spans="1:11" s="37" customFormat="1" ht="13.5">
      <c r="A121" s="143"/>
      <c r="B121" s="52"/>
      <c r="C121" s="527" t="s">
        <v>194</v>
      </c>
      <c r="D121" s="528">
        <f t="shared" ref="D121:I121" si="29">D122+D127</f>
        <v>250008.53315526567</v>
      </c>
      <c r="E121" s="528">
        <f t="shared" si="29"/>
        <v>248426.15706714772</v>
      </c>
      <c r="F121" s="528">
        <f t="shared" si="29"/>
        <v>241455.47175532911</v>
      </c>
      <c r="G121" s="528">
        <f t="shared" si="29"/>
        <v>252645.50198432337</v>
      </c>
      <c r="H121" s="528">
        <f t="shared" si="29"/>
        <v>233805.80833352054</v>
      </c>
      <c r="I121" s="528">
        <f t="shared" si="29"/>
        <v>246960.92509673911</v>
      </c>
      <c r="J121" s="528">
        <f t="shared" si="23"/>
        <v>1473302.3973923256</v>
      </c>
      <c r="K121" s="1428"/>
    </row>
    <row r="122" spans="1:11" s="37" customFormat="1" ht="13.5">
      <c r="A122" s="143"/>
      <c r="B122" s="52" t="s">
        <v>872</v>
      </c>
      <c r="C122" s="153" t="s">
        <v>1071</v>
      </c>
      <c r="D122" s="154">
        <f>SUM(D123:D126)</f>
        <v>48134.214749351784</v>
      </c>
      <c r="E122" s="154">
        <f t="shared" ref="E122:I122" si="30">SUM(E123:E126)</f>
        <v>48584.863405285461</v>
      </c>
      <c r="F122" s="154">
        <f t="shared" si="30"/>
        <v>47265.979747004094</v>
      </c>
      <c r="G122" s="154">
        <f t="shared" si="30"/>
        <v>50649.128598780706</v>
      </c>
      <c r="H122" s="154">
        <f t="shared" si="30"/>
        <v>47500.689228473071</v>
      </c>
      <c r="I122" s="154">
        <f t="shared" si="30"/>
        <v>47245.613439352273</v>
      </c>
      <c r="J122" s="154">
        <f t="shared" si="23"/>
        <v>289380.48916824738</v>
      </c>
      <c r="K122" s="1428"/>
    </row>
    <row r="123" spans="1:11" s="37" customFormat="1" ht="13.5">
      <c r="A123" s="143"/>
      <c r="B123" s="52"/>
      <c r="C123" s="157" t="s">
        <v>980</v>
      </c>
      <c r="D123" s="156">
        <f>($D$9/2)*F801C!D124+$E$9*F801ENE!D124</f>
        <v>32142.275546024506</v>
      </c>
      <c r="E123" s="156">
        <f>($D$9/2)*F801C!E124+$E$9*F801ENE!E124</f>
        <v>32054.122742505893</v>
      </c>
      <c r="F123" s="156">
        <f>($D$9/2)*F801C!F124+$E$9*F801ENE!F124</f>
        <v>30552.69939470385</v>
      </c>
      <c r="G123" s="156">
        <f>($D$9/2)*F801C!G124+$E$9*F801ENE!G124</f>
        <v>31665.370095318591</v>
      </c>
      <c r="H123" s="156">
        <f>($D$9/2)*F801C!H124+$E$9*F801ENE!H124</f>
        <v>29260.714165040816</v>
      </c>
      <c r="I123" s="156">
        <f>($D$9/2)*F801C!I124+$E$9*F801ENE!I124</f>
        <v>29068.462461853589</v>
      </c>
      <c r="J123" s="156">
        <f t="shared" si="23"/>
        <v>184743.64440544724</v>
      </c>
      <c r="K123" s="1428"/>
    </row>
    <row r="124" spans="1:11" s="37" customFormat="1" ht="13.5">
      <c r="A124" s="143"/>
      <c r="B124" s="52"/>
      <c r="C124" s="157" t="s">
        <v>981</v>
      </c>
      <c r="D124" s="156">
        <f>($D$9/2)*F801C!D125+$E$9*F801ENE!D125</f>
        <v>1546.6878692890064</v>
      </c>
      <c r="E124" s="156">
        <f>($D$9/2)*F801C!E125+$E$9*F801ENE!E125</f>
        <v>1576.3275515308837</v>
      </c>
      <c r="F124" s="156">
        <f>($D$9/2)*F801C!F125+$E$9*F801ENE!F125</f>
        <v>1662.4096240575502</v>
      </c>
      <c r="G124" s="156">
        <f>($D$9/2)*F801C!G125+$E$9*F801ENE!G125</f>
        <v>1791.0622363230664</v>
      </c>
      <c r="H124" s="156">
        <f>($D$9/2)*F801C!H125+$E$9*F801ENE!H125</f>
        <v>1934.9420613420255</v>
      </c>
      <c r="I124" s="156">
        <f>($D$9/2)*F801C!I125+$E$9*F801ENE!I125</f>
        <v>1079.5577343155253</v>
      </c>
      <c r="J124" s="156">
        <f t="shared" si="23"/>
        <v>9590.9870768580586</v>
      </c>
      <c r="K124" s="1428"/>
    </row>
    <row r="125" spans="1:11" s="37" customFormat="1" ht="13.5">
      <c r="A125" s="143"/>
      <c r="B125" s="52"/>
      <c r="C125" s="157" t="s">
        <v>1019</v>
      </c>
      <c r="D125" s="156">
        <f>($D$9/2)*F801C!D126+$E$9*F801ENE!D126</f>
        <v>579.09284948479728</v>
      </c>
      <c r="E125" s="156">
        <f>($D$9/2)*F801C!E126+$E$9*F801ENE!E126</f>
        <v>565.94216609112846</v>
      </c>
      <c r="F125" s="156">
        <f>($D$9/2)*F801C!F126+$E$9*F801ENE!F126</f>
        <v>546.43154516425761</v>
      </c>
      <c r="G125" s="156">
        <f>($D$9/2)*F801C!G126+$E$9*F801ENE!G126</f>
        <v>585.85976382254887</v>
      </c>
      <c r="H125" s="156">
        <f>($D$9/2)*F801C!H126+$E$9*F801ENE!H126</f>
        <v>565.4335646973849</v>
      </c>
      <c r="I125" s="156">
        <f>($D$9/2)*F801C!I126+$E$9*F801ENE!I126</f>
        <v>541.939674862586</v>
      </c>
      <c r="J125" s="156">
        <f t="shared" si="23"/>
        <v>3384.6995641227031</v>
      </c>
      <c r="K125" s="1428"/>
    </row>
    <row r="126" spans="1:11" s="37" customFormat="1" ht="13.5">
      <c r="A126" s="143"/>
      <c r="B126" s="52"/>
      <c r="C126" s="157" t="s">
        <v>1765</v>
      </c>
      <c r="D126" s="156">
        <f>($D$9/2)*F801C!D127+$E$9*F801ENE!D127</f>
        <v>13866.158484553473</v>
      </c>
      <c r="E126" s="156">
        <f>($D$9/2)*F801C!E127+$E$9*F801ENE!E127</f>
        <v>14388.470945157564</v>
      </c>
      <c r="F126" s="156">
        <f>($D$9/2)*F801C!F127+$E$9*F801ENE!F127</f>
        <v>14504.439183078433</v>
      </c>
      <c r="G126" s="156">
        <f>($D$9/2)*F801C!G127+$E$9*F801ENE!G127</f>
        <v>16606.836503316506</v>
      </c>
      <c r="H126" s="156">
        <f>($D$9/2)*F801C!H127+$E$9*F801ENE!H127</f>
        <v>15739.599437392842</v>
      </c>
      <c r="I126" s="156">
        <f>($D$9/2)*F801C!I127+$E$9*F801ENE!I127</f>
        <v>16555.653568320573</v>
      </c>
      <c r="J126" s="156">
        <f t="shared" ref="J126" si="31">SUM(D126:I126)</f>
        <v>91661.15812181939</v>
      </c>
      <c r="K126" s="1428"/>
    </row>
    <row r="127" spans="1:11" s="37" customFormat="1" ht="13.5">
      <c r="A127" s="143"/>
      <c r="B127" s="52" t="s">
        <v>873</v>
      </c>
      <c r="C127" s="153" t="s">
        <v>1070</v>
      </c>
      <c r="D127" s="154">
        <f t="shared" ref="D127:I127" si="32">SUM(D128:D133)</f>
        <v>201874.31840591389</v>
      </c>
      <c r="E127" s="154">
        <f t="shared" si="32"/>
        <v>199841.29366186226</v>
      </c>
      <c r="F127" s="154">
        <f t="shared" si="32"/>
        <v>194189.492008325</v>
      </c>
      <c r="G127" s="154">
        <f t="shared" si="32"/>
        <v>201996.37338554268</v>
      </c>
      <c r="H127" s="154">
        <f t="shared" si="32"/>
        <v>186305.11910504749</v>
      </c>
      <c r="I127" s="154">
        <f t="shared" si="32"/>
        <v>199715.31165738683</v>
      </c>
      <c r="J127" s="154">
        <f t="shared" si="23"/>
        <v>1183921.9082240781</v>
      </c>
      <c r="K127" s="1428"/>
    </row>
    <row r="128" spans="1:11" s="37" customFormat="1" ht="13.5">
      <c r="A128" s="143"/>
      <c r="B128" s="52"/>
      <c r="C128" s="157" t="s">
        <v>944</v>
      </c>
      <c r="D128" s="156">
        <f>($D$10/2)*F801C!D129+$E$10*F801ENE!D129</f>
        <v>0</v>
      </c>
      <c r="E128" s="156">
        <f>($D$10/2)*F801C!E129+$E$10*F801ENE!E129</f>
        <v>0</v>
      </c>
      <c r="F128" s="156">
        <f>($D$10/2)*F801C!F129+$E$10*F801ENE!F129</f>
        <v>0</v>
      </c>
      <c r="G128" s="156">
        <f>($D$10/2)*F801C!G129+$E$10*F801ENE!G129</f>
        <v>0</v>
      </c>
      <c r="H128" s="156">
        <f>($D$10/2)*F801C!H129+$E$10*F801ENE!H129</f>
        <v>0</v>
      </c>
      <c r="I128" s="156">
        <f>($D$10/2)*F801C!I129+$E$10*F801ENE!I129</f>
        <v>0</v>
      </c>
      <c r="J128" s="156">
        <f t="shared" si="23"/>
        <v>0</v>
      </c>
      <c r="K128" s="1428"/>
    </row>
    <row r="129" spans="1:11" s="37" customFormat="1" ht="13.5">
      <c r="A129" s="143"/>
      <c r="B129" s="52"/>
      <c r="C129" s="157" t="s">
        <v>943</v>
      </c>
      <c r="D129" s="156">
        <f>($D$10/2)*F801C!D130+$E$10*F801ENE!D130</f>
        <v>131860.25481926976</v>
      </c>
      <c r="E129" s="156">
        <f>($D$10/2)*F801C!E130+$E$10*F801ENE!E130</f>
        <v>131534.68982470199</v>
      </c>
      <c r="F129" s="156">
        <f>($D$10/2)*F801C!F130+$E$10*F801ENE!F130</f>
        <v>119883.09094038364</v>
      </c>
      <c r="G129" s="156">
        <f>($D$10/2)*F801C!G130+$E$10*F801ENE!G130</f>
        <v>124247.07980516413</v>
      </c>
      <c r="H129" s="156">
        <f>($D$10/2)*F801C!H130+$E$10*F801ENE!H130</f>
        <v>113546.84550555005</v>
      </c>
      <c r="I129" s="156">
        <f>($D$10/2)*F801C!I130+$E$10*F801ENE!I130</f>
        <v>120219.39044492053</v>
      </c>
      <c r="J129" s="156">
        <f t="shared" si="23"/>
        <v>741291.35133999004</v>
      </c>
      <c r="K129" s="1428"/>
    </row>
    <row r="130" spans="1:11" s="37" customFormat="1" ht="13.5">
      <c r="A130" s="143"/>
      <c r="B130" s="52"/>
      <c r="C130" s="157" t="s">
        <v>1020</v>
      </c>
      <c r="D130" s="156">
        <f>($D$10/2)*F801C!D131+$E$10*F801ENE!D131</f>
        <v>9235.2563882158665</v>
      </c>
      <c r="E130" s="156">
        <f>($D$10/2)*F801C!E131+$E$10*F801ENE!E131</f>
        <v>8193.8370123112327</v>
      </c>
      <c r="F130" s="156">
        <f>($D$10/2)*F801C!F131+$E$10*F801ENE!F131</f>
        <v>9099.9306734734619</v>
      </c>
      <c r="G130" s="156">
        <f>($D$10/2)*F801C!G131+$E$10*F801ENE!G131</f>
        <v>7964.8845223920143</v>
      </c>
      <c r="H130" s="156">
        <f>($D$10/2)*F801C!H131+$E$10*F801ENE!H131</f>
        <v>7609.7309432442507</v>
      </c>
      <c r="I130" s="156">
        <f>($D$10/2)*F801C!I131+$E$10*F801ENE!I131</f>
        <v>8525.0609526542194</v>
      </c>
      <c r="J130" s="156">
        <f t="shared" si="23"/>
        <v>50628.700492291042</v>
      </c>
      <c r="K130" s="1428"/>
    </row>
    <row r="131" spans="1:11" s="37" customFormat="1" ht="13.5">
      <c r="A131" s="143"/>
      <c r="B131" s="52"/>
      <c r="C131" s="157" t="s">
        <v>1021</v>
      </c>
      <c r="D131" s="156">
        <f>($D$10/2)*F801C!D132+$E$10*F801ENE!D132</f>
        <v>8714.5174538493484</v>
      </c>
      <c r="E131" s="156">
        <f>($D$10/2)*F801C!E132+$E$10*F801ENE!E132</f>
        <v>9002.5120465144028</v>
      </c>
      <c r="F131" s="156">
        <f>($D$10/2)*F801C!F132+$E$10*F801ENE!F132</f>
        <v>8637.1266322219162</v>
      </c>
      <c r="G131" s="156">
        <f>($D$10/2)*F801C!G132+$E$10*F801ENE!G132</f>
        <v>9047.9790043634366</v>
      </c>
      <c r="H131" s="156">
        <f>($D$10/2)*F801C!H132+$E$10*F801ENE!H132</f>
        <v>8006.4333390298871</v>
      </c>
      <c r="I131" s="156">
        <f>($D$10/2)*F801C!I132+$E$10*F801ENE!I132</f>
        <v>9050.0672186347074</v>
      </c>
      <c r="J131" s="156">
        <f t="shared" si="23"/>
        <v>52458.635694613695</v>
      </c>
      <c r="K131" s="1428"/>
    </row>
    <row r="132" spans="1:11" s="37" customFormat="1" ht="13.5">
      <c r="A132" s="143"/>
      <c r="B132" s="52"/>
      <c r="C132" s="157" t="s">
        <v>1163</v>
      </c>
      <c r="D132" s="156">
        <f>($D$10/2)*F801C!D133+$E$10*F801ENE!D133</f>
        <v>52064.289744578899</v>
      </c>
      <c r="E132" s="156">
        <f>($D$10/2)*F801C!E133+$E$10*F801ENE!E133</f>
        <v>51110.254778334638</v>
      </c>
      <c r="F132" s="156">
        <f>($D$10/2)*F801C!F133+$E$10*F801ENE!F133</f>
        <v>56569.343762245975</v>
      </c>
      <c r="G132" s="156">
        <f>($D$10/2)*F801C!G133+$E$10*F801ENE!G133</f>
        <v>60736.430053623095</v>
      </c>
      <c r="H132" s="156">
        <f>($D$10/2)*F801C!H133+$E$10*F801ENE!H133</f>
        <v>57142.10931722328</v>
      </c>
      <c r="I132" s="156">
        <f>($D$10/2)*F801C!I133+$E$10*F801ENE!I133</f>
        <v>61920.793041177385</v>
      </c>
      <c r="J132" s="156">
        <f t="shared" si="23"/>
        <v>339543.22069718328</v>
      </c>
      <c r="K132" s="1428"/>
    </row>
    <row r="133" spans="1:11" s="37" customFormat="1" ht="13.5">
      <c r="A133" s="143"/>
      <c r="C133" s="157"/>
      <c r="D133" s="156"/>
      <c r="E133" s="156"/>
      <c r="F133" s="156"/>
      <c r="G133" s="156"/>
      <c r="H133" s="156"/>
      <c r="I133" s="156"/>
      <c r="J133" s="156">
        <f t="shared" si="23"/>
        <v>0</v>
      </c>
      <c r="K133" s="1428"/>
    </row>
    <row r="134" spans="1:11" s="37" customFormat="1" ht="13.5">
      <c r="A134" s="143"/>
      <c r="C134" s="527" t="s">
        <v>308</v>
      </c>
      <c r="D134" s="528">
        <f t="shared" ref="D134:I134" si="33">SUM(D135:D136)</f>
        <v>42264.573512755196</v>
      </c>
      <c r="E134" s="528">
        <f t="shared" si="33"/>
        <v>41499.271047652241</v>
      </c>
      <c r="F134" s="528">
        <f t="shared" si="33"/>
        <v>42059.454992188141</v>
      </c>
      <c r="G134" s="528">
        <f t="shared" si="33"/>
        <v>44287.35915544405</v>
      </c>
      <c r="H134" s="528">
        <f t="shared" si="33"/>
        <v>40847.688451851565</v>
      </c>
      <c r="I134" s="528">
        <f t="shared" si="33"/>
        <v>45755.734851897469</v>
      </c>
      <c r="J134" s="528">
        <f t="shared" si="23"/>
        <v>256714.08201178865</v>
      </c>
      <c r="K134" s="1428"/>
    </row>
    <row r="135" spans="1:11" s="37" customFormat="1" ht="13.5">
      <c r="A135" s="143"/>
      <c r="B135" s="52" t="s">
        <v>874</v>
      </c>
      <c r="C135" s="157" t="s">
        <v>1027</v>
      </c>
      <c r="D135" s="156">
        <f>($D$11/2)*(F801C!D137)+$E$11*(F801ENE!D137)</f>
        <v>1366.4706225538619</v>
      </c>
      <c r="E135" s="156">
        <f>($D$11/2)*(F801C!E137)+$E$11*(F801ENE!E137)</f>
        <v>1354.4020563474178</v>
      </c>
      <c r="F135" s="156">
        <f>($D$11/2)*(F801C!F137)+$E$11*(F801ENE!F137)</f>
        <v>1297.5441302020799</v>
      </c>
      <c r="G135" s="156">
        <f>($D$11/2)*(F801C!G137)+$E$11*(F801ENE!G137)</f>
        <v>1345.2668252705998</v>
      </c>
      <c r="H135" s="156">
        <f>($D$11/2)*(F801C!H137)+$E$11*(F801ENE!H137)</f>
        <v>1303.0451501192581</v>
      </c>
      <c r="I135" s="156">
        <f>($D$11/2)*(F801C!I137)+$E$11*(F801ENE!I137)</f>
        <v>1349.7568928598014</v>
      </c>
      <c r="J135" s="156">
        <f t="shared" si="23"/>
        <v>8016.4856773530191</v>
      </c>
      <c r="K135" s="1428"/>
    </row>
    <row r="136" spans="1:11" s="37" customFormat="1" ht="13.5">
      <c r="A136" s="143"/>
      <c r="B136" s="52" t="s">
        <v>875</v>
      </c>
      <c r="C136" s="153" t="s">
        <v>193</v>
      </c>
      <c r="D136" s="154">
        <f t="shared" ref="D136:I136" si="34">SUM(D137:D142)</f>
        <v>40898.102890201335</v>
      </c>
      <c r="E136" s="154">
        <f t="shared" si="34"/>
        <v>40144.868991304822</v>
      </c>
      <c r="F136" s="154">
        <f t="shared" si="34"/>
        <v>40761.910861986064</v>
      </c>
      <c r="G136" s="154">
        <f t="shared" si="34"/>
        <v>42942.092330173451</v>
      </c>
      <c r="H136" s="154">
        <f t="shared" si="34"/>
        <v>39544.643301732307</v>
      </c>
      <c r="I136" s="154">
        <f t="shared" si="34"/>
        <v>44405.977959037664</v>
      </c>
      <c r="J136" s="154">
        <f t="shared" si="23"/>
        <v>248697.59633443566</v>
      </c>
      <c r="K136" s="1428"/>
    </row>
    <row r="137" spans="1:11" s="37" customFormat="1" ht="13.5">
      <c r="A137" s="143"/>
      <c r="B137" s="52"/>
      <c r="C137" s="157" t="s">
        <v>1022</v>
      </c>
      <c r="D137" s="156">
        <f>($D$12/2)*(F801C!D140)+$E$12*(F801ENE!D140)</f>
        <v>421.26707835823009</v>
      </c>
      <c r="E137" s="156">
        <f>($D$12/2)*(F801C!E140)+$E$12*(F801ENE!E140)</f>
        <v>410.28072141096408</v>
      </c>
      <c r="F137" s="156">
        <f>($D$12/2)*(F801C!F140)+$E$12*(F801ENE!F140)</f>
        <v>418.73264794717596</v>
      </c>
      <c r="G137" s="156">
        <f>($D$12/2)*(F801C!G140)+$E$12*(F801ENE!G140)</f>
        <v>438.17353113407802</v>
      </c>
      <c r="H137" s="156">
        <f>($D$12/2)*(F801C!H140)+$E$12*(F801ENE!H140)</f>
        <v>404.12370069076002</v>
      </c>
      <c r="I137" s="156">
        <f>($D$12/2)*(F801C!I140)+$E$12*(F801ENE!I140)</f>
        <v>427.69199381801798</v>
      </c>
      <c r="J137" s="156">
        <f t="shared" si="23"/>
        <v>2520.2696733592265</v>
      </c>
      <c r="K137" s="1428"/>
    </row>
    <row r="138" spans="1:11" s="37" customFormat="1" ht="13.5">
      <c r="A138" s="143"/>
      <c r="B138" s="38"/>
      <c r="C138" s="157" t="s">
        <v>1023</v>
      </c>
      <c r="D138" s="156">
        <f>($D$12/2)*(F801C!D141)+$E$12*(F801ENE!D141)</f>
        <v>27239.240530280313</v>
      </c>
      <c r="E138" s="156">
        <f>($D$12/2)*(F801C!E141)+$E$12*(F801ENE!E141)</f>
        <v>26595.077982347761</v>
      </c>
      <c r="F138" s="156">
        <f>($D$12/2)*(F801C!F141)+$E$12*(F801ENE!F141)</f>
        <v>25912.405097731691</v>
      </c>
      <c r="G138" s="156">
        <f>($D$12/2)*(F801C!G141)+$E$12*(F801ENE!G141)</f>
        <v>26879.284440183346</v>
      </c>
      <c r="H138" s="156">
        <f>($D$12/2)*(F801C!H141)+$E$12*(F801ENE!H141)</f>
        <v>24645.69366647322</v>
      </c>
      <c r="I138" s="156">
        <f>($D$12/2)*(F801C!I141)+$E$12*(F801ENE!I141)</f>
        <v>26572.007087481477</v>
      </c>
      <c r="J138" s="156">
        <f t="shared" si="23"/>
        <v>157843.70880449782</v>
      </c>
      <c r="K138" s="1428"/>
    </row>
    <row r="139" spans="1:11" s="37" customFormat="1" ht="13.5">
      <c r="A139" s="143"/>
      <c r="B139" s="38"/>
      <c r="C139" s="157" t="s">
        <v>1024</v>
      </c>
      <c r="D139" s="156">
        <f>($D$12/2)*(F801C!D142)+$E$12*(F801ENE!D142)</f>
        <v>529.22134412812807</v>
      </c>
      <c r="E139" s="156">
        <f>($D$12/2)*(F801C!E142)+$E$12*(F801ENE!E142)</f>
        <v>516.60953240304605</v>
      </c>
      <c r="F139" s="156">
        <f>($D$12/2)*(F801C!F142)+$E$12*(F801ENE!F142)</f>
        <v>507.74463377717387</v>
      </c>
      <c r="G139" s="156">
        <f>($D$12/2)*(F801C!G142)+$E$12*(F801ENE!G142)</f>
        <v>516.25877211682212</v>
      </c>
      <c r="H139" s="156">
        <f>($D$12/2)*(F801C!H142)+$E$12*(F801ENE!H142)</f>
        <v>446.11080039991805</v>
      </c>
      <c r="I139" s="156">
        <f>($D$12/2)*(F801C!I142)+$E$12*(F801ENE!I142)</f>
        <v>499.73660249942031</v>
      </c>
      <c r="J139" s="156">
        <f t="shared" si="23"/>
        <v>3015.6816853245082</v>
      </c>
      <c r="K139" s="1428"/>
    </row>
    <row r="140" spans="1:11" s="37" customFormat="1" ht="13.5">
      <c r="A140" s="143"/>
      <c r="B140" s="52"/>
      <c r="C140" s="157" t="s">
        <v>1025</v>
      </c>
      <c r="D140" s="156">
        <f>($D$12/2)*(F801C!D143)+$E$12*(F801ENE!D143)</f>
        <v>5456.9434231287178</v>
      </c>
      <c r="E140" s="156">
        <f>($D$12/2)*(F801C!E143)+$E$12*(F801ENE!E143)</f>
        <v>5252.4062705385004</v>
      </c>
      <c r="F140" s="156">
        <f>($D$12/2)*(F801C!F143)+$E$12*(F801ENE!F143)</f>
        <v>5178.7991232660597</v>
      </c>
      <c r="G140" s="156">
        <f>($D$12/2)*(F801C!G143)+$E$12*(F801ENE!G143)</f>
        <v>5406.8715049844159</v>
      </c>
      <c r="H140" s="156">
        <f>($D$12/2)*(F801C!H143)+$E$12*(F801ENE!H143)</f>
        <v>4781.8699864719119</v>
      </c>
      <c r="I140" s="156">
        <f>($D$12/2)*(F801C!I143)+$E$12*(F801ENE!I143)</f>
        <v>4854.138325173114</v>
      </c>
      <c r="J140" s="156">
        <f t="shared" si="23"/>
        <v>30931.028633562717</v>
      </c>
      <c r="K140" s="1428"/>
    </row>
    <row r="141" spans="1:11" s="37" customFormat="1" ht="13.5">
      <c r="A141" s="143"/>
      <c r="B141" s="52"/>
      <c r="C141" s="157" t="s">
        <v>1162</v>
      </c>
      <c r="D141" s="156">
        <f>($D$12/2)*(F801C!D144)+$E$12*(F801ENE!D144)</f>
        <v>7251.4305143059501</v>
      </c>
      <c r="E141" s="156">
        <f>($D$12/2)*(F801C!E144)+$E$12*(F801ENE!E144)</f>
        <v>7370.4944846045501</v>
      </c>
      <c r="F141" s="156">
        <f>($D$12/2)*(F801C!F144)+$E$12*(F801ENE!F144)</f>
        <v>8744.2293592639617</v>
      </c>
      <c r="G141" s="156">
        <f>($D$12/2)*(F801C!G144)+$E$12*(F801ENE!G144)</f>
        <v>9701.504081754787</v>
      </c>
      <c r="H141" s="156">
        <f>($D$12/2)*(F801C!H144)+$E$12*(F801ENE!H144)</f>
        <v>9266.8451476964929</v>
      </c>
      <c r="I141" s="156">
        <f>($D$12/2)*(F801C!I144)+$E$12*(F801ENE!I144)</f>
        <v>12052.403950065638</v>
      </c>
      <c r="J141" s="156">
        <f t="shared" si="23"/>
        <v>54386.907537691375</v>
      </c>
      <c r="K141" s="1428"/>
    </row>
    <row r="142" spans="1:11" s="143" customFormat="1" ht="13.5">
      <c r="B142" s="52"/>
      <c r="C142" s="157"/>
      <c r="D142" s="156"/>
      <c r="E142" s="156"/>
      <c r="F142" s="156"/>
      <c r="G142" s="156"/>
      <c r="H142" s="156"/>
      <c r="I142" s="156"/>
      <c r="J142" s="156">
        <f t="shared" si="23"/>
        <v>0</v>
      </c>
      <c r="K142" s="1425"/>
    </row>
    <row r="143" spans="1:11" s="143" customFormat="1" ht="13.5">
      <c r="B143" s="52"/>
      <c r="C143" s="153" t="s">
        <v>112</v>
      </c>
      <c r="D143" s="154">
        <f t="shared" ref="D143:I143" si="35">D114+D121+D134</f>
        <v>299511.71517448279</v>
      </c>
      <c r="E143" s="154">
        <f t="shared" si="35"/>
        <v>296655.22869500512</v>
      </c>
      <c r="F143" s="154">
        <f t="shared" si="35"/>
        <v>290370.06736276741</v>
      </c>
      <c r="G143" s="154">
        <f t="shared" si="35"/>
        <v>304923.61142903334</v>
      </c>
      <c r="H143" s="154">
        <f t="shared" si="35"/>
        <v>280971.63013174006</v>
      </c>
      <c r="I143" s="154">
        <f t="shared" si="35"/>
        <v>300207.8489104766</v>
      </c>
      <c r="J143" s="154">
        <f t="shared" si="23"/>
        <v>1772640.1017035053</v>
      </c>
      <c r="K143" s="1425"/>
    </row>
    <row r="144" spans="1:11" s="143" customFormat="1" ht="13.5">
      <c r="B144" s="52"/>
      <c r="C144" s="1015"/>
      <c r="D144" s="1015"/>
      <c r="E144" s="1015"/>
      <c r="F144" s="1015"/>
      <c r="G144" s="1015"/>
      <c r="H144" s="1015"/>
      <c r="I144" s="1015"/>
      <c r="J144" s="1015"/>
      <c r="K144" s="1425"/>
    </row>
    <row r="145" spans="2:11" s="143" customFormat="1" ht="13.5">
      <c r="B145" s="52"/>
      <c r="C145" s="153" t="s">
        <v>111</v>
      </c>
      <c r="D145" s="154">
        <f t="shared" ref="D145:J145" si="36">D110+D143</f>
        <v>4979540.1663010046</v>
      </c>
      <c r="E145" s="154">
        <f t="shared" si="36"/>
        <v>4980430.6343677025</v>
      </c>
      <c r="F145" s="154">
        <f t="shared" si="36"/>
        <v>4908154.7626916263</v>
      </c>
      <c r="G145" s="154">
        <f t="shared" si="36"/>
        <v>4976953.5206624717</v>
      </c>
      <c r="H145" s="154">
        <f t="shared" si="36"/>
        <v>4799830.0266991034</v>
      </c>
      <c r="I145" s="154">
        <f t="shared" si="36"/>
        <v>4838545.3978581624</v>
      </c>
      <c r="J145" s="154">
        <f t="shared" si="36"/>
        <v>29483454.508580066</v>
      </c>
      <c r="K145" s="1425"/>
    </row>
    <row r="147" spans="2:11">
      <c r="C147" s="52" t="str">
        <f>'PORTADA PORTADA PORTADA'!$B$23</f>
        <v>1 DE JULIO DE 2026</v>
      </c>
    </row>
    <row r="148" spans="2:11" s="58" customFormat="1" ht="12">
      <c r="B148" s="1166"/>
      <c r="K148" s="1429"/>
    </row>
    <row r="149" spans="2:11" s="58" customFormat="1" ht="12">
      <c r="B149" s="1166" t="s">
        <v>902</v>
      </c>
      <c r="D149" s="1167">
        <f t="shared" ref="D149:J158" si="37">SUMIF($B$18:$B$145,$B149,D$18:D$145)</f>
        <v>499254.74621899216</v>
      </c>
      <c r="E149" s="1167">
        <f t="shared" si="37"/>
        <v>499463.10665710829</v>
      </c>
      <c r="F149" s="1167">
        <f t="shared" si="37"/>
        <v>490029.59451190964</v>
      </c>
      <c r="G149" s="1167">
        <f t="shared" si="37"/>
        <v>497751.01883905748</v>
      </c>
      <c r="H149" s="1167">
        <f t="shared" si="37"/>
        <v>476183.58157336171</v>
      </c>
      <c r="I149" s="1167">
        <f t="shared" si="37"/>
        <v>478414.91594266065</v>
      </c>
      <c r="J149" s="1167">
        <f t="shared" si="37"/>
        <v>2941096.9637430897</v>
      </c>
      <c r="K149" s="1429"/>
    </row>
    <row r="150" spans="2:11" s="58" customFormat="1" ht="12">
      <c r="B150" s="1166" t="s">
        <v>751</v>
      </c>
      <c r="D150" s="1167">
        <f t="shared" si="37"/>
        <v>2251577.7696471428</v>
      </c>
      <c r="E150" s="1167">
        <f t="shared" si="37"/>
        <v>2253717.0835874784</v>
      </c>
      <c r="F150" s="1167">
        <f t="shared" si="37"/>
        <v>2226226.9167246651</v>
      </c>
      <c r="G150" s="1167">
        <f t="shared" si="37"/>
        <v>2248886.7473828229</v>
      </c>
      <c r="H150" s="1167">
        <f t="shared" si="37"/>
        <v>2184478.6991435084</v>
      </c>
      <c r="I150" s="1167">
        <f t="shared" si="37"/>
        <v>2193587.8808568679</v>
      </c>
      <c r="J150" s="1167">
        <f t="shared" si="37"/>
        <v>13358475.097342486</v>
      </c>
      <c r="K150" s="1429"/>
    </row>
    <row r="151" spans="2:11" s="58" customFormat="1" ht="12">
      <c r="B151" s="1166" t="s">
        <v>750</v>
      </c>
      <c r="D151" s="1167">
        <f t="shared" si="37"/>
        <v>817631.64545357099</v>
      </c>
      <c r="E151" s="1167">
        <f t="shared" si="37"/>
        <v>818380.62658319005</v>
      </c>
      <c r="F151" s="1167">
        <f t="shared" si="37"/>
        <v>808046.74369535665</v>
      </c>
      <c r="G151" s="1167">
        <f t="shared" si="37"/>
        <v>816558.41471949988</v>
      </c>
      <c r="H151" s="1167">
        <f t="shared" si="37"/>
        <v>792408.74579494039</v>
      </c>
      <c r="I151" s="1167">
        <f t="shared" si="37"/>
        <v>795737.29617544718</v>
      </c>
      <c r="J151" s="1167">
        <f t="shared" si="37"/>
        <v>4848763.4724220047</v>
      </c>
      <c r="K151" s="1429"/>
    </row>
    <row r="152" spans="2:11" s="58" customFormat="1" ht="12">
      <c r="B152" s="1166" t="s">
        <v>749</v>
      </c>
      <c r="D152" s="1167">
        <f t="shared" si="37"/>
        <v>622393.02809715131</v>
      </c>
      <c r="E152" s="1167">
        <f t="shared" si="37"/>
        <v>622782.83020948479</v>
      </c>
      <c r="F152" s="1167">
        <f t="shared" si="37"/>
        <v>612632.27650060866</v>
      </c>
      <c r="G152" s="1167">
        <f t="shared" si="37"/>
        <v>620956.59180444386</v>
      </c>
      <c r="H152" s="1167">
        <f t="shared" si="37"/>
        <v>597582.06122699205</v>
      </c>
      <c r="I152" s="1167">
        <f t="shared" si="37"/>
        <v>600261.31505273981</v>
      </c>
      <c r="J152" s="1167">
        <f t="shared" si="37"/>
        <v>3676608.1028914205</v>
      </c>
      <c r="K152" s="1429"/>
    </row>
    <row r="153" spans="2:11" s="58" customFormat="1" ht="12">
      <c r="B153" s="1166" t="s">
        <v>1176</v>
      </c>
      <c r="D153" s="1167">
        <f t="shared" si="37"/>
        <v>20.25</v>
      </c>
      <c r="E153" s="1167">
        <f t="shared" si="37"/>
        <v>20.25</v>
      </c>
      <c r="F153" s="1167">
        <f t="shared" si="37"/>
        <v>20.25</v>
      </c>
      <c r="G153" s="1167">
        <f t="shared" si="37"/>
        <v>20.25</v>
      </c>
      <c r="H153" s="1167">
        <f t="shared" si="37"/>
        <v>20.25</v>
      </c>
      <c r="I153" s="1167">
        <f t="shared" si="37"/>
        <v>20.25</v>
      </c>
      <c r="J153" s="1167">
        <f t="shared" si="37"/>
        <v>121.5</v>
      </c>
      <c r="K153" s="1429"/>
    </row>
    <row r="154" spans="2:11" s="58" customFormat="1" ht="12">
      <c r="B154" s="1166" t="s">
        <v>274</v>
      </c>
      <c r="D154" s="1167">
        <f t="shared" si="37"/>
        <v>320273.67066731071</v>
      </c>
      <c r="E154" s="1167">
        <f t="shared" si="37"/>
        <v>320455.73702764144</v>
      </c>
      <c r="F154" s="1167">
        <f t="shared" si="37"/>
        <v>314969.97569246631</v>
      </c>
      <c r="G154" s="1167">
        <f t="shared" si="37"/>
        <v>319463.15907542949</v>
      </c>
      <c r="H154" s="1167">
        <f t="shared" si="37"/>
        <v>306881.51980635291</v>
      </c>
      <c r="I154" s="1167">
        <f t="shared" si="37"/>
        <v>308269.81944227719</v>
      </c>
      <c r="J154" s="1167">
        <f t="shared" si="37"/>
        <v>1890313.8817114781</v>
      </c>
      <c r="K154" s="1429"/>
    </row>
    <row r="155" spans="2:11" s="58" customFormat="1" ht="12">
      <c r="B155" s="1166" t="s">
        <v>275</v>
      </c>
      <c r="D155" s="1167">
        <f t="shared" si="37"/>
        <v>14509.28883648129</v>
      </c>
      <c r="E155" s="1167">
        <f t="shared" si="37"/>
        <v>14515.130438601816</v>
      </c>
      <c r="F155" s="1167">
        <f t="shared" si="37"/>
        <v>14250.652090170315</v>
      </c>
      <c r="G155" s="1167">
        <f t="shared" si="37"/>
        <v>14467.130271588912</v>
      </c>
      <c r="H155" s="1167">
        <f t="shared" si="37"/>
        <v>13862.464681495359</v>
      </c>
      <c r="I155" s="1167">
        <f t="shared" si="37"/>
        <v>13925.022466942319</v>
      </c>
      <c r="J155" s="1167">
        <f t="shared" si="37"/>
        <v>85529.688785280014</v>
      </c>
      <c r="K155" s="1429"/>
    </row>
    <row r="156" spans="2:11" s="58" customFormat="1" ht="12">
      <c r="B156" s="1166" t="s">
        <v>276</v>
      </c>
      <c r="D156" s="1167">
        <f t="shared" si="37"/>
        <v>124593.32105089325</v>
      </c>
      <c r="E156" s="1167">
        <f t="shared" si="37"/>
        <v>124653.60909319784</v>
      </c>
      <c r="F156" s="1167">
        <f t="shared" si="37"/>
        <v>122378.17784165721</v>
      </c>
      <c r="G156" s="1167">
        <f t="shared" si="37"/>
        <v>124240.64114800282</v>
      </c>
      <c r="H156" s="1167">
        <f t="shared" si="37"/>
        <v>119028.38953481671</v>
      </c>
      <c r="I156" s="1167">
        <f t="shared" si="37"/>
        <v>119576.63349780225</v>
      </c>
      <c r="J156" s="1167">
        <f t="shared" si="37"/>
        <v>734470.77216636995</v>
      </c>
      <c r="K156" s="1429"/>
    </row>
    <row r="157" spans="2:11" s="58" customFormat="1" ht="12">
      <c r="B157" s="1166" t="s">
        <v>277</v>
      </c>
      <c r="D157" s="1167">
        <f t="shared" si="37"/>
        <v>20363.484457737242</v>
      </c>
      <c r="E157" s="1167">
        <f t="shared" si="37"/>
        <v>20371.874388594413</v>
      </c>
      <c r="F157" s="1167">
        <f t="shared" si="37"/>
        <v>19992.020538438806</v>
      </c>
      <c r="G157" s="1167">
        <f t="shared" si="37"/>
        <v>20302.934725457166</v>
      </c>
      <c r="H157" s="1167">
        <f t="shared" si="37"/>
        <v>19434.491036906478</v>
      </c>
      <c r="I157" s="1167">
        <f t="shared" si="37"/>
        <v>19524.338904605909</v>
      </c>
      <c r="J157" s="1167">
        <f t="shared" si="37"/>
        <v>119989.14405174</v>
      </c>
      <c r="K157" s="1429"/>
    </row>
    <row r="158" spans="2:11" s="58" customFormat="1" ht="12">
      <c r="B158" s="1166" t="s">
        <v>278</v>
      </c>
      <c r="D158" s="1167">
        <f t="shared" si="37"/>
        <v>10.264999999999999</v>
      </c>
      <c r="E158" s="1167">
        <f t="shared" si="37"/>
        <v>10.264999999999999</v>
      </c>
      <c r="F158" s="1167">
        <f t="shared" si="37"/>
        <v>10.264999999999999</v>
      </c>
      <c r="G158" s="1167">
        <f t="shared" si="37"/>
        <v>10.264999999999999</v>
      </c>
      <c r="H158" s="1167">
        <f t="shared" si="37"/>
        <v>10.264999999999999</v>
      </c>
      <c r="I158" s="1167">
        <f t="shared" si="37"/>
        <v>10.264999999999999</v>
      </c>
      <c r="J158" s="1167">
        <f t="shared" si="37"/>
        <v>61.589999999999996</v>
      </c>
      <c r="K158" s="1429"/>
    </row>
    <row r="159" spans="2:11" s="58" customFormat="1" ht="12">
      <c r="B159" s="1166" t="s">
        <v>279</v>
      </c>
      <c r="D159" s="1167">
        <f t="shared" ref="D159:J167" si="38">SUMIF($B$18:$B$145,$B159,D$18:D$145)</f>
        <v>9400.9816972421195</v>
      </c>
      <c r="E159" s="1167">
        <f t="shared" si="38"/>
        <v>9404.8926873999189</v>
      </c>
      <c r="F159" s="1167">
        <f t="shared" si="38"/>
        <v>9227.8227335885276</v>
      </c>
      <c r="G159" s="1167">
        <f t="shared" si="38"/>
        <v>9372.7562671359537</v>
      </c>
      <c r="H159" s="1167">
        <f t="shared" si="38"/>
        <v>8967.9287689903631</v>
      </c>
      <c r="I159" s="1167">
        <f t="shared" si="38"/>
        <v>9009.8116083431087</v>
      </c>
      <c r="J159" s="1167">
        <f t="shared" si="38"/>
        <v>55384.193762699993</v>
      </c>
      <c r="K159" s="1429"/>
    </row>
    <row r="160" spans="2:11" s="58" customFormat="1" ht="12">
      <c r="B160" s="1166" t="s">
        <v>875</v>
      </c>
      <c r="D160" s="1167">
        <f t="shared" si="38"/>
        <v>40898.102890201335</v>
      </c>
      <c r="E160" s="1167">
        <f t="shared" si="38"/>
        <v>40144.868991304822</v>
      </c>
      <c r="F160" s="1167">
        <f t="shared" si="38"/>
        <v>40761.910861986064</v>
      </c>
      <c r="G160" s="1167">
        <f t="shared" si="38"/>
        <v>42942.092330173451</v>
      </c>
      <c r="H160" s="1167">
        <f t="shared" si="38"/>
        <v>39544.643301732307</v>
      </c>
      <c r="I160" s="1167">
        <f t="shared" si="38"/>
        <v>44405.977959037664</v>
      </c>
      <c r="J160" s="1167">
        <f t="shared" si="38"/>
        <v>248697.59633443566</v>
      </c>
      <c r="K160" s="1429"/>
    </row>
    <row r="161" spans="2:11" s="58" customFormat="1" ht="12">
      <c r="B161" s="1166" t="s">
        <v>874</v>
      </c>
      <c r="D161" s="1167">
        <f t="shared" si="38"/>
        <v>1366.4706225538619</v>
      </c>
      <c r="E161" s="1167">
        <f t="shared" si="38"/>
        <v>1354.4020563474178</v>
      </c>
      <c r="F161" s="1167">
        <f t="shared" si="38"/>
        <v>1297.5441302020799</v>
      </c>
      <c r="G161" s="1167">
        <f t="shared" si="38"/>
        <v>1345.2668252705998</v>
      </c>
      <c r="H161" s="1167">
        <f t="shared" si="38"/>
        <v>1303.0451501192581</v>
      </c>
      <c r="I161" s="1167">
        <f t="shared" si="38"/>
        <v>1349.7568928598014</v>
      </c>
      <c r="J161" s="1167">
        <f t="shared" si="38"/>
        <v>8016.4856773530191</v>
      </c>
      <c r="K161" s="1429"/>
    </row>
    <row r="162" spans="2:11" s="58" customFormat="1" ht="12">
      <c r="B162" s="1166" t="s">
        <v>873</v>
      </c>
      <c r="D162" s="1167">
        <f t="shared" si="38"/>
        <v>201874.31840591389</v>
      </c>
      <c r="E162" s="1167">
        <f t="shared" si="38"/>
        <v>199841.29366186226</v>
      </c>
      <c r="F162" s="1167">
        <f t="shared" si="38"/>
        <v>194189.492008325</v>
      </c>
      <c r="G162" s="1167">
        <f t="shared" si="38"/>
        <v>201996.37338554268</v>
      </c>
      <c r="H162" s="1167">
        <f t="shared" si="38"/>
        <v>186305.11910504749</v>
      </c>
      <c r="I162" s="1167">
        <f t="shared" si="38"/>
        <v>199715.31165738683</v>
      </c>
      <c r="J162" s="1167">
        <f t="shared" si="38"/>
        <v>1183921.9082240781</v>
      </c>
      <c r="K162" s="1429"/>
    </row>
    <row r="163" spans="2:11" s="58" customFormat="1" ht="12">
      <c r="B163" s="1166" t="s">
        <v>872</v>
      </c>
      <c r="D163" s="1167">
        <f t="shared" si="38"/>
        <v>48134.214749351784</v>
      </c>
      <c r="E163" s="1167">
        <f t="shared" si="38"/>
        <v>48584.863405285461</v>
      </c>
      <c r="F163" s="1167">
        <f t="shared" si="38"/>
        <v>47265.979747004094</v>
      </c>
      <c r="G163" s="1167">
        <f t="shared" si="38"/>
        <v>50649.128598780706</v>
      </c>
      <c r="H163" s="1167">
        <f t="shared" si="38"/>
        <v>47500.689228473071</v>
      </c>
      <c r="I163" s="1167">
        <f t="shared" si="38"/>
        <v>47245.613439352273</v>
      </c>
      <c r="J163" s="1167">
        <f t="shared" si="38"/>
        <v>289380.48916824738</v>
      </c>
      <c r="K163" s="1429"/>
    </row>
    <row r="164" spans="2:11" s="58" customFormat="1" ht="12">
      <c r="B164" s="1166" t="s">
        <v>871</v>
      </c>
      <c r="D164" s="1167">
        <f t="shared" si="38"/>
        <v>2340.8392944499801</v>
      </c>
      <c r="E164" s="1167">
        <f t="shared" si="38"/>
        <v>2295.9780149983203</v>
      </c>
      <c r="F164" s="1167">
        <f t="shared" si="38"/>
        <v>2373.6126229580395</v>
      </c>
      <c r="G164" s="1167">
        <f t="shared" si="38"/>
        <v>2852.8109121467219</v>
      </c>
      <c r="H164" s="1167">
        <f t="shared" si="38"/>
        <v>2747.0458404607557</v>
      </c>
      <c r="I164" s="1167">
        <f t="shared" si="38"/>
        <v>2887.8302082625642</v>
      </c>
      <c r="J164" s="1167">
        <f t="shared" si="38"/>
        <v>15498.116893276383</v>
      </c>
      <c r="K164" s="1429"/>
    </row>
    <row r="165" spans="2:11" s="58" customFormat="1" ht="12">
      <c r="B165" s="1166" t="s">
        <v>870</v>
      </c>
      <c r="D165" s="1167">
        <f t="shared" si="38"/>
        <v>4897.76921201193</v>
      </c>
      <c r="E165" s="1167">
        <f t="shared" si="38"/>
        <v>4433.8225652068195</v>
      </c>
      <c r="F165" s="1167">
        <f t="shared" si="38"/>
        <v>4481.5279922921218</v>
      </c>
      <c r="G165" s="1167">
        <f t="shared" si="38"/>
        <v>5137.9393771191653</v>
      </c>
      <c r="H165" s="1167">
        <f t="shared" si="38"/>
        <v>3571.08750590721</v>
      </c>
      <c r="I165" s="1167">
        <f t="shared" si="38"/>
        <v>4603.3587535774741</v>
      </c>
      <c r="J165" s="1167">
        <f t="shared" si="38"/>
        <v>27125.50540611472</v>
      </c>
      <c r="K165" s="1429"/>
    </row>
    <row r="166" spans="2:11" s="58" customFormat="1" ht="12">
      <c r="B166" s="1166" t="s">
        <v>893</v>
      </c>
      <c r="D166" s="1167">
        <f t="shared" si="38"/>
        <v>0</v>
      </c>
      <c r="E166" s="1167">
        <f t="shared" si="38"/>
        <v>0</v>
      </c>
      <c r="F166" s="1167">
        <f t="shared" si="38"/>
        <v>0</v>
      </c>
      <c r="G166" s="1167">
        <f t="shared" si="38"/>
        <v>0</v>
      </c>
      <c r="H166" s="1167">
        <f t="shared" si="38"/>
        <v>0</v>
      </c>
      <c r="I166" s="1167">
        <f t="shared" si="38"/>
        <v>0</v>
      </c>
      <c r="J166" s="1167">
        <f t="shared" si="38"/>
        <v>0</v>
      </c>
      <c r="K166" s="1429"/>
    </row>
    <row r="167" spans="2:11" s="58" customFormat="1" ht="12">
      <c r="B167" s="1166"/>
      <c r="D167" s="1167">
        <f t="shared" si="38"/>
        <v>0</v>
      </c>
      <c r="E167" s="1167">
        <f t="shared" si="38"/>
        <v>0</v>
      </c>
      <c r="F167" s="1167">
        <f t="shared" si="38"/>
        <v>0</v>
      </c>
      <c r="G167" s="1167">
        <f t="shared" si="38"/>
        <v>0</v>
      </c>
      <c r="H167" s="1167">
        <f t="shared" si="38"/>
        <v>0</v>
      </c>
      <c r="I167" s="1167">
        <f t="shared" si="38"/>
        <v>0</v>
      </c>
      <c r="J167" s="1167">
        <f t="shared" si="38"/>
        <v>0</v>
      </c>
      <c r="K167" s="1429"/>
    </row>
    <row r="168" spans="2:11" s="58" customFormat="1" ht="12">
      <c r="B168" s="1166" t="s">
        <v>111</v>
      </c>
      <c r="C168" s="1168"/>
      <c r="D168" s="1169">
        <f>SUM(D149:D167)</f>
        <v>4979540.1663010046</v>
      </c>
      <c r="E168" s="1169">
        <f t="shared" ref="E168:J168" si="39">SUM(E149:E167)</f>
        <v>4980430.6343677025</v>
      </c>
      <c r="F168" s="1169">
        <f t="shared" si="39"/>
        <v>4908154.7626916273</v>
      </c>
      <c r="G168" s="1169">
        <f t="shared" si="39"/>
        <v>4976953.5206624717</v>
      </c>
      <c r="H168" s="1169">
        <f t="shared" si="39"/>
        <v>4799830.0266991034</v>
      </c>
      <c r="I168" s="1169">
        <f t="shared" si="39"/>
        <v>4838545.3978581643</v>
      </c>
      <c r="J168" s="1169">
        <f t="shared" si="39"/>
        <v>29483454.508580081</v>
      </c>
      <c r="K168" s="1429"/>
    </row>
    <row r="169" spans="2:11" s="58" customFormat="1" ht="12">
      <c r="B169" s="1166"/>
      <c r="D169" s="166">
        <f>D168-D145</f>
        <v>0</v>
      </c>
      <c r="E169" s="166">
        <f t="shared" ref="E169:J169" si="40">E168-E145</f>
        <v>0</v>
      </c>
      <c r="F169" s="166">
        <f t="shared" si="40"/>
        <v>0</v>
      </c>
      <c r="G169" s="166">
        <f t="shared" si="40"/>
        <v>0</v>
      </c>
      <c r="H169" s="166">
        <f t="shared" si="40"/>
        <v>0</v>
      </c>
      <c r="I169" s="166">
        <f t="shared" si="40"/>
        <v>0</v>
      </c>
      <c r="J169" s="166">
        <f t="shared" si="40"/>
        <v>0</v>
      </c>
      <c r="K169" s="1429"/>
    </row>
    <row r="170" spans="2:11" s="58" customFormat="1" ht="12">
      <c r="B170" s="1166"/>
      <c r="K170" s="1429"/>
    </row>
    <row r="171" spans="2:11" s="58" customFormat="1" ht="12">
      <c r="B171" s="1166"/>
      <c r="K171" s="1429"/>
    </row>
    <row r="172" spans="2:11" s="58" customFormat="1" ht="12">
      <c r="B172" s="1166"/>
      <c r="K172" s="1429"/>
    </row>
    <row r="173" spans="2:11" s="143" customFormat="1" ht="13.5">
      <c r="B173" s="52"/>
      <c r="K173" s="1425"/>
    </row>
    <row r="174" spans="2:11" s="143" customFormat="1" ht="13.5">
      <c r="B174" s="52"/>
      <c r="K174" s="1425"/>
    </row>
    <row r="175" spans="2:11" s="143" customFormat="1" ht="13.5">
      <c r="B175" s="52"/>
      <c r="K175" s="1425"/>
    </row>
    <row r="176" spans="2:11" s="143" customFormat="1" ht="13.5">
      <c r="B176" s="52"/>
      <c r="K176" s="1425"/>
    </row>
    <row r="177" spans="2:11" s="143" customFormat="1" ht="13.5">
      <c r="B177" s="52"/>
      <c r="K177" s="1425"/>
    </row>
  </sheetData>
  <printOptions horizontalCentered="1" verticalCentered="1"/>
  <pageMargins left="0.51181102362204722" right="0.31496062992125984" top="0.78740157480314965" bottom="0.82677165354330717" header="0.31496062992125984" footer="0.23622047244094491"/>
  <pageSetup scale="30" orientation="portrait" horizontalDpi="300" r:id="rId1"/>
  <headerFooter alignWithMargins="0">
    <oddHeader>&amp;L
NOMBRE DE LA DISTRIBUIDORA: &amp;UELEKTRA NORESTE, S.A.&amp;R&amp;9&amp;A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27">
    <tabColor theme="8" tint="0.39997558519241921"/>
  </sheetPr>
  <dimension ref="A1:K177"/>
  <sheetViews>
    <sheetView view="pageBreakPreview" topLeftCell="A67" zoomScale="85" zoomScaleNormal="85" zoomScaleSheetLayoutView="85" workbookViewId="0">
      <selection activeCell="A120" sqref="A1:XFD1048576"/>
    </sheetView>
  </sheetViews>
  <sheetFormatPr baseColWidth="10" defaultColWidth="8" defaultRowHeight="15"/>
  <cols>
    <col min="1" max="1" width="4" style="63" customWidth="1"/>
    <col min="2" max="2" width="7.375" style="48" bestFit="1" customWidth="1"/>
    <col min="3" max="3" width="28.75" style="63" customWidth="1"/>
    <col min="4" max="7" width="10.625" style="63" customWidth="1"/>
    <col min="8" max="8" width="11.5" style="63" customWidth="1"/>
    <col min="9" max="10" width="11.25" style="63" customWidth="1"/>
    <col min="11" max="11" width="6.25" style="1424" customWidth="1"/>
    <col min="12" max="16384" width="8" style="63"/>
  </cols>
  <sheetData>
    <row r="1" spans="2:11" s="69" customFormat="1" ht="15.75">
      <c r="B1" s="48"/>
      <c r="C1" s="136" t="s">
        <v>151</v>
      </c>
      <c r="K1" s="1423"/>
    </row>
    <row r="2" spans="2:11" s="69" customFormat="1" ht="15.75">
      <c r="B2" s="48"/>
      <c r="D2" s="168" t="s">
        <v>251</v>
      </c>
      <c r="K2" s="1423"/>
    </row>
    <row r="3" spans="2:11" s="69" customFormat="1" ht="15.75">
      <c r="B3" s="48"/>
      <c r="D3" s="137"/>
      <c r="K3" s="1423"/>
    </row>
    <row r="4" spans="2:11" ht="45">
      <c r="C4" s="170" t="s">
        <v>171</v>
      </c>
      <c r="D4" s="170"/>
      <c r="E4" s="170"/>
      <c r="F4" s="170"/>
      <c r="G4" s="170"/>
      <c r="H4" s="170"/>
      <c r="I4" s="170"/>
      <c r="J4" s="170"/>
    </row>
    <row r="5" spans="2:11">
      <c r="C5" s="139"/>
    </row>
    <row r="6" spans="2:11" s="143" customFormat="1" ht="36">
      <c r="B6" s="48"/>
      <c r="C6" s="140" t="s">
        <v>78</v>
      </c>
      <c r="D6" s="171" t="s">
        <v>1399</v>
      </c>
      <c r="E6" s="171" t="s">
        <v>1400</v>
      </c>
      <c r="F6" s="69"/>
      <c r="G6" s="69"/>
      <c r="K6" s="1425"/>
    </row>
    <row r="7" spans="2:11" s="143" customFormat="1" ht="15.75">
      <c r="B7" s="48"/>
      <c r="C7" s="144" t="s">
        <v>266</v>
      </c>
      <c r="D7" s="145">
        <f>RAT1000VAD!$H$15</f>
        <v>9.06</v>
      </c>
      <c r="E7" s="172">
        <f>RAT1000VAD!$H$25</f>
        <v>4.4000000000000002E-4</v>
      </c>
      <c r="F7" s="69"/>
      <c r="G7" s="69"/>
      <c r="K7" s="1425"/>
    </row>
    <row r="8" spans="2:11" s="143" customFormat="1" ht="15.75">
      <c r="B8" s="48"/>
      <c r="C8" s="144" t="s">
        <v>265</v>
      </c>
      <c r="D8" s="145">
        <f>RAT1000VAD!$H$14</f>
        <v>9.06</v>
      </c>
      <c r="E8" s="172">
        <f>RAT1000VAD!$H$24</f>
        <v>4.4000000000000002E-4</v>
      </c>
      <c r="F8" s="69"/>
      <c r="G8" s="69"/>
      <c r="K8" s="1425"/>
    </row>
    <row r="9" spans="2:11" s="143" customFormat="1" ht="15.75">
      <c r="B9" s="48"/>
      <c r="C9" s="144" t="s">
        <v>264</v>
      </c>
      <c r="D9" s="145">
        <f>RAT1000VAD!$H$13</f>
        <v>9.06</v>
      </c>
      <c r="E9" s="172">
        <f>RAT1000VAD!$H$23</f>
        <v>4.0200000000000001E-3</v>
      </c>
      <c r="F9" s="69"/>
      <c r="G9" s="69"/>
      <c r="K9" s="1425"/>
    </row>
    <row r="10" spans="2:11" s="143" customFormat="1" ht="15.75">
      <c r="B10" s="48"/>
      <c r="C10" s="144" t="s">
        <v>262</v>
      </c>
      <c r="D10" s="145">
        <f>RAT1000VAD!$H$12</f>
        <v>9.06</v>
      </c>
      <c r="E10" s="172">
        <f>RAT1000VAD!$H$22</f>
        <v>4.0200000000000001E-3</v>
      </c>
      <c r="F10" s="69"/>
      <c r="G10" s="69"/>
      <c r="K10" s="1425"/>
    </row>
    <row r="11" spans="2:11" s="143" customFormat="1" ht="15.75">
      <c r="B11" s="48"/>
      <c r="C11" s="144" t="s">
        <v>263</v>
      </c>
      <c r="D11" s="145">
        <f>RAT1000VAD!$H$11</f>
        <v>5.04</v>
      </c>
      <c r="E11" s="172">
        <f>RAT1000VAD!$H$21</f>
        <v>5.3499999999999997E-3</v>
      </c>
      <c r="F11" s="69"/>
      <c r="G11" s="69"/>
      <c r="K11" s="1425"/>
    </row>
    <row r="12" spans="2:11" s="143" customFormat="1" ht="15.75">
      <c r="B12" s="48"/>
      <c r="C12" s="144" t="s">
        <v>261</v>
      </c>
      <c r="D12" s="145">
        <f>RAT1000VAD!$H$10</f>
        <v>5.04</v>
      </c>
      <c r="E12" s="172">
        <f>RAT1000VAD!$H$20</f>
        <v>5.3499999999999997E-3</v>
      </c>
      <c r="F12" s="69"/>
      <c r="G12" s="69"/>
      <c r="K12" s="1425"/>
    </row>
    <row r="13" spans="2:11" s="143" customFormat="1" ht="15.75">
      <c r="B13" s="48"/>
      <c r="C13" s="144" t="s">
        <v>917</v>
      </c>
      <c r="D13" s="145"/>
      <c r="E13" s="172">
        <f>RAT1000VAD!$H$17</f>
        <v>1.8440000000000002E-2</v>
      </c>
      <c r="F13" s="69"/>
      <c r="G13" s="69"/>
      <c r="K13" s="1425"/>
    </row>
    <row r="14" spans="2:11" s="143" customFormat="1" ht="15.75">
      <c r="B14" s="48"/>
      <c r="C14" s="144" t="s">
        <v>267</v>
      </c>
      <c r="D14" s="145">
        <f>RAT1000VAD!$H$8</f>
        <v>2.36</v>
      </c>
      <c r="E14" s="172">
        <f>RAT1000VAD!$H$18</f>
        <v>1.5949999999999999E-2</v>
      </c>
      <c r="F14" s="69"/>
      <c r="G14" s="69"/>
      <c r="K14" s="1425"/>
    </row>
    <row r="15" spans="2:11" s="143" customFormat="1" ht="15.75">
      <c r="B15" s="48"/>
      <c r="C15" s="144" t="s">
        <v>1178</v>
      </c>
      <c r="D15" s="145">
        <f>RAT1000VAD!$H$9</f>
        <v>2.36</v>
      </c>
      <c r="E15" s="172">
        <f>RAT1000VAD!$H$19</f>
        <v>1.5949999999999999E-2</v>
      </c>
      <c r="F15" s="69"/>
      <c r="G15" s="69"/>
      <c r="K15" s="1425"/>
    </row>
    <row r="16" spans="2:11" s="143" customFormat="1" ht="13.5">
      <c r="B16" s="48"/>
      <c r="C16" s="147"/>
      <c r="K16" s="1425"/>
    </row>
    <row r="17" spans="2:11" ht="36">
      <c r="C17" s="173" t="s">
        <v>1401</v>
      </c>
      <c r="D17" s="173"/>
      <c r="E17" s="173"/>
      <c r="F17" s="173"/>
      <c r="G17" s="173"/>
      <c r="H17" s="173"/>
      <c r="I17" s="173"/>
      <c r="J17" s="173"/>
    </row>
    <row r="18" spans="2:11" s="37" customFormat="1" ht="13.5">
      <c r="B18" s="48"/>
      <c r="C18" s="150" t="s">
        <v>310</v>
      </c>
      <c r="D18" s="151">
        <f>F801ENE!D4</f>
        <v>46204</v>
      </c>
      <c r="E18" s="151">
        <f>F801ENE!E4</f>
        <v>46235</v>
      </c>
      <c r="F18" s="151">
        <f>F801ENE!F4</f>
        <v>46266</v>
      </c>
      <c r="G18" s="151">
        <f>F801ENE!G4</f>
        <v>46296</v>
      </c>
      <c r="H18" s="151">
        <f>F801ENE!H4</f>
        <v>46327</v>
      </c>
      <c r="I18" s="151">
        <f>F801ENE!I4</f>
        <v>46357</v>
      </c>
      <c r="J18" s="151" t="s">
        <v>111</v>
      </c>
      <c r="K18" s="1426"/>
    </row>
    <row r="19" spans="2:11" s="37" customFormat="1" ht="13.5">
      <c r="B19" s="48"/>
      <c r="C19" s="153" t="s">
        <v>446</v>
      </c>
      <c r="D19" s="154">
        <f t="shared" ref="D19:I19" si="0">SUM(D20:D21)</f>
        <v>8451.1651975235382</v>
      </c>
      <c r="E19" s="154">
        <f t="shared" si="0"/>
        <v>8454.6771070529903</v>
      </c>
      <c r="F19" s="154">
        <f t="shared" si="0"/>
        <v>8295.6755158754149</v>
      </c>
      <c r="G19" s="154">
        <f t="shared" si="0"/>
        <v>8425.8199133465732</v>
      </c>
      <c r="H19" s="154">
        <f t="shared" si="0"/>
        <v>8062.3013435831845</v>
      </c>
      <c r="I19" s="154">
        <f t="shared" si="0"/>
        <v>8099.9104238183036</v>
      </c>
      <c r="J19" s="154">
        <f>SUM(D19:I19)</f>
        <v>49789.54950120001</v>
      </c>
      <c r="K19" s="1426"/>
    </row>
    <row r="20" spans="2:11" s="37" customFormat="1" ht="13.5">
      <c r="B20" s="48" t="s">
        <v>279</v>
      </c>
      <c r="C20" s="155" t="s">
        <v>279</v>
      </c>
      <c r="D20" s="156">
        <f>$D$7*F801C!D6+$E$7*F801ENE!D6</f>
        <v>8441.8851975235375</v>
      </c>
      <c r="E20" s="156">
        <f>$D$7*F801C!E6+$E$7*F801ENE!E6</f>
        <v>8445.3971070529897</v>
      </c>
      <c r="F20" s="156">
        <f>$D$7*F801C!F6+$E$7*F801ENE!F6</f>
        <v>8286.3955158754143</v>
      </c>
      <c r="G20" s="156">
        <f>$D$7*F801C!G6+$E$7*F801ENE!G6</f>
        <v>8416.5399133465726</v>
      </c>
      <c r="H20" s="156">
        <f>$D$7*F801C!H6+$E$7*F801ENE!H6</f>
        <v>8053.0213435831847</v>
      </c>
      <c r="I20" s="156">
        <f>$D$7*F801C!I6+$E$7*F801ENE!I6</f>
        <v>8090.6304238183038</v>
      </c>
      <c r="J20" s="156">
        <f>SUM(D20:I20)</f>
        <v>49733.869501199995</v>
      </c>
      <c r="K20" s="1426"/>
    </row>
    <row r="21" spans="2:11" s="37" customFormat="1" ht="13.5">
      <c r="B21" s="48" t="s">
        <v>278</v>
      </c>
      <c r="C21" s="155" t="s">
        <v>278</v>
      </c>
      <c r="D21" s="156">
        <f>$D$8*F801C!D7+$E$8*F801ENE!D7</f>
        <v>9.2800000000000011</v>
      </c>
      <c r="E21" s="156">
        <f>$D$8*F801C!E7+$E$8*F801ENE!E7</f>
        <v>9.2800000000000011</v>
      </c>
      <c r="F21" s="156">
        <f>$D$8*F801C!F7+$E$8*F801ENE!F7</f>
        <v>9.2800000000000011</v>
      </c>
      <c r="G21" s="156">
        <f>$D$8*F801C!G7+$E$8*F801ENE!G7</f>
        <v>9.2800000000000011</v>
      </c>
      <c r="H21" s="156">
        <f>$D$8*F801C!H7+$E$8*F801ENE!H7</f>
        <v>9.2800000000000011</v>
      </c>
      <c r="I21" s="156">
        <f>$D$8*F801C!I7+$E$8*F801ENE!I7</f>
        <v>9.2800000000000011</v>
      </c>
      <c r="J21" s="156">
        <f>SUM(D21:I21)</f>
        <v>55.680000000000007</v>
      </c>
      <c r="K21" s="1426"/>
    </row>
    <row r="22" spans="2:11" s="37" customFormat="1" ht="13.5">
      <c r="B22" s="48"/>
      <c r="C22" s="157"/>
      <c r="D22" s="156"/>
      <c r="E22" s="156"/>
      <c r="F22" s="156"/>
      <c r="G22" s="156"/>
      <c r="H22" s="156"/>
      <c r="I22" s="156"/>
      <c r="J22" s="156"/>
      <c r="K22" s="1426"/>
    </row>
    <row r="23" spans="2:11" s="37" customFormat="1" ht="13.5">
      <c r="B23" s="48"/>
      <c r="C23" s="153" t="s">
        <v>630</v>
      </c>
      <c r="D23" s="154">
        <f>SUBTOTAL(9,D24:D31)</f>
        <v>127077.33269383325</v>
      </c>
      <c r="E23" s="154">
        <f t="shared" ref="E23:I23" si="1">SUBTOTAL(9,E24:E31)</f>
        <v>127137.75758536054</v>
      </c>
      <c r="F23" s="154">
        <f t="shared" si="1"/>
        <v>124812.21377080305</v>
      </c>
      <c r="G23" s="154">
        <f t="shared" si="1"/>
        <v>126715.69471270352</v>
      </c>
      <c r="H23" s="154">
        <f t="shared" si="1"/>
        <v>121389.84287980985</v>
      </c>
      <c r="I23" s="154">
        <f t="shared" si="1"/>
        <v>121948.97010406987</v>
      </c>
      <c r="J23" s="154">
        <f t="shared" ref="J23:J31" si="2">SUM(D23:I23)</f>
        <v>749081.81174658006</v>
      </c>
      <c r="K23" s="1426"/>
    </row>
    <row r="24" spans="2:11" s="37" customFormat="1" ht="13.5">
      <c r="B24" s="48" t="s">
        <v>277</v>
      </c>
      <c r="C24" s="155" t="s">
        <v>277</v>
      </c>
      <c r="D24" s="154">
        <f>SUBTOTAL(9,D25:D26)</f>
        <v>17841.836400894055</v>
      </c>
      <c r="E24" s="154">
        <f t="shared" ref="E24:I24" si="3">SUBTOTAL(9,E25:E26)</f>
        <v>17849.184444912753</v>
      </c>
      <c r="F24" s="154">
        <f t="shared" si="3"/>
        <v>17516.501987913725</v>
      </c>
      <c r="G24" s="154">
        <f t="shared" si="3"/>
        <v>17788.805916413465</v>
      </c>
      <c r="H24" s="154">
        <f t="shared" si="3"/>
        <v>17028.208176114171</v>
      </c>
      <c r="I24" s="154">
        <f t="shared" si="3"/>
        <v>17106.898465471841</v>
      </c>
      <c r="J24" s="156">
        <f t="shared" si="2"/>
        <v>105131.43539172001</v>
      </c>
      <c r="K24" s="1426"/>
    </row>
    <row r="25" spans="2:11" s="37" customFormat="1" ht="13.5">
      <c r="B25" s="48"/>
      <c r="C25" s="160" t="s">
        <v>304</v>
      </c>
      <c r="D25" s="156">
        <f>$D$9*F801C!D11+$E$9*F801ENE!D11</f>
        <v>15577.423647559715</v>
      </c>
      <c r="E25" s="156">
        <f>$D$9*F801C!E11+$E$9*F801ENE!E11</f>
        <v>15583.83024699801</v>
      </c>
      <c r="F25" s="156">
        <f>$D$9*F801C!F11+$E$9*F801ENE!F11</f>
        <v>15293.771663146808</v>
      </c>
      <c r="G25" s="156">
        <f>$D$9*F801C!G11+$E$9*F801ENE!G11</f>
        <v>15531.187523875478</v>
      </c>
      <c r="H25" s="156">
        <f>$D$9*F801C!H11+$E$9*F801ENE!H11</f>
        <v>14868.038930403709</v>
      </c>
      <c r="I25" s="156">
        <f>$D$9*F801C!I11+$E$9*F801ENE!I11</f>
        <v>14936.647278736287</v>
      </c>
      <c r="J25" s="156">
        <f t="shared" si="2"/>
        <v>91790.899290720001</v>
      </c>
      <c r="K25" s="1426"/>
    </row>
    <row r="26" spans="2:11" s="37" customFormat="1" ht="13.5">
      <c r="B26" s="48"/>
      <c r="C26" s="160" t="s">
        <v>305</v>
      </c>
      <c r="D26" s="156">
        <f>($D$9*F801C!D12+$E$9*F801ENE!D12)*95%</f>
        <v>2264.412753334339</v>
      </c>
      <c r="E26" s="156">
        <f>($D$9*F801C!E12+$E$9*F801ENE!E12)*95%</f>
        <v>2265.354197914744</v>
      </c>
      <c r="F26" s="156">
        <f>($D$9*F801C!F12+$E$9*F801ENE!F12)*95%</f>
        <v>2222.7303247669188</v>
      </c>
      <c r="G26" s="156">
        <f>($D$9*F801C!G12+$E$9*F801ENE!G12)*95%</f>
        <v>2257.6183925379864</v>
      </c>
      <c r="H26" s="156">
        <f>($D$9*F801C!H12+$E$9*F801ENE!H12)*95%</f>
        <v>2160.1692457104605</v>
      </c>
      <c r="I26" s="156">
        <f>($D$9*F801C!I12+$E$9*F801ENE!I12)*95%</f>
        <v>2170.2511867355524</v>
      </c>
      <c r="J26" s="156">
        <f t="shared" si="2"/>
        <v>13340.536101000002</v>
      </c>
      <c r="K26" s="1426"/>
    </row>
    <row r="27" spans="2:11" s="37" customFormat="1" ht="13.5">
      <c r="B27" s="48" t="s">
        <v>276</v>
      </c>
      <c r="C27" s="158" t="s">
        <v>276</v>
      </c>
      <c r="D27" s="154">
        <f>SUBTOTAL(9,D28:D31)</f>
        <v>109235.49629293919</v>
      </c>
      <c r="E27" s="154">
        <f t="shared" ref="E27:I27" si="4">SUBTOTAL(9,E28:E31)</f>
        <v>109288.57314044778</v>
      </c>
      <c r="F27" s="154">
        <f t="shared" si="4"/>
        <v>107295.71178288932</v>
      </c>
      <c r="G27" s="154">
        <f t="shared" si="4"/>
        <v>108926.88879629006</v>
      </c>
      <c r="H27" s="154">
        <f t="shared" si="4"/>
        <v>104361.63470369567</v>
      </c>
      <c r="I27" s="154">
        <f t="shared" si="4"/>
        <v>104842.07163859803</v>
      </c>
      <c r="J27" s="159">
        <f t="shared" si="2"/>
        <v>643950.37635486003</v>
      </c>
      <c r="K27" s="1426"/>
    </row>
    <row r="28" spans="2:11" s="37" customFormat="1" ht="13.5">
      <c r="B28" s="48"/>
      <c r="C28" s="160" t="s">
        <v>304</v>
      </c>
      <c r="D28" s="156">
        <f>($D$10*F801C!D15+$E$10*(F801ENE!D15))*1</f>
        <v>108772.68771692897</v>
      </c>
      <c r="E28" s="156">
        <f>($D$10*F801C!E15+$E$10*(F801ENE!E15))*1</f>
        <v>108825.59296697441</v>
      </c>
      <c r="F28" s="156">
        <f>($D$10*F801C!F15+$E$10*(F801ENE!F15))*1</f>
        <v>106840.50067904998</v>
      </c>
      <c r="G28" s="156">
        <f>($D$10*F801C!G15+$E$10*(F801ENE!G15))*1</f>
        <v>108465.31863101652</v>
      </c>
      <c r="H28" s="156">
        <f>($D$10*F801C!H15+$E$10*(F801ENE!H15))*1</f>
        <v>103917.82663162408</v>
      </c>
      <c r="I28" s="156">
        <f>($D$10*F801C!I15+$E$10*(F801ENE!I15))*1</f>
        <v>104396.42592728614</v>
      </c>
      <c r="J28" s="156">
        <f t="shared" si="2"/>
        <v>641218.35255288018</v>
      </c>
      <c r="K28" s="1426"/>
    </row>
    <row r="29" spans="2:11" s="37" customFormat="1" ht="13.5">
      <c r="B29" s="48"/>
      <c r="C29" s="161" t="s">
        <v>306</v>
      </c>
      <c r="D29" s="156">
        <f>($D$10*F801C!D16+$E$10*(F801ENE!D16))*1</f>
        <v>0</v>
      </c>
      <c r="E29" s="156">
        <f>($D$10*F801C!E16+$E$10*(F801ENE!E16))*1</f>
        <v>0</v>
      </c>
      <c r="F29" s="156">
        <f>($D$10*F801C!F16+$E$10*(F801ENE!F16))*1</f>
        <v>0</v>
      </c>
      <c r="G29" s="156">
        <f>($D$10*F801C!G16+$E$10*(F801ENE!G16))*1</f>
        <v>0</v>
      </c>
      <c r="H29" s="156">
        <f>($D$10*F801C!H16+$E$10*(F801ENE!H16))*1</f>
        <v>0</v>
      </c>
      <c r="I29" s="156">
        <f>($D$10*F801C!I16+$E$10*(F801ENE!I16))*1</f>
        <v>0</v>
      </c>
      <c r="J29" s="156">
        <f>SUM(D29:I29)</f>
        <v>0</v>
      </c>
      <c r="K29" s="1426"/>
    </row>
    <row r="30" spans="2:11" s="37" customFormat="1" ht="13.5">
      <c r="B30" s="48"/>
      <c r="C30" s="160" t="s">
        <v>305</v>
      </c>
      <c r="D30" s="156">
        <f>($D$10*F801C!D17+$E$10*(F801ENE!D17))*0.95</f>
        <v>462.80857601022797</v>
      </c>
      <c r="E30" s="156">
        <f>($D$10*F801C!E17+$E$10*(F801ENE!E17))*0.95</f>
        <v>462.98017347337679</v>
      </c>
      <c r="F30" s="156">
        <f>($D$10*F801C!F17+$E$10*(F801ENE!F17))*0.95</f>
        <v>455.21110383935297</v>
      </c>
      <c r="G30" s="156">
        <f>($D$10*F801C!G17+$E$10*(F801ENE!G17))*0.95</f>
        <v>461.57016527353892</v>
      </c>
      <c r="H30" s="156">
        <f>($D$10*F801C!H17+$E$10*(F801ENE!H17))*0.95</f>
        <v>443.80807207160115</v>
      </c>
      <c r="I30" s="156">
        <f>($D$10*F801C!I17+$E$10*(F801ENE!I17))*0.95</f>
        <v>445.64571131190229</v>
      </c>
      <c r="J30" s="156">
        <f t="shared" si="2"/>
        <v>2732.0238019799999</v>
      </c>
      <c r="K30" s="1426"/>
    </row>
    <row r="31" spans="2:11" s="37" customFormat="1" ht="13.5">
      <c r="B31" s="48"/>
      <c r="C31" s="160" t="s">
        <v>307</v>
      </c>
      <c r="D31" s="156">
        <f>($D$10*F801C!D18+$E$10*(F801ENE!D18))*0.5</f>
        <v>0</v>
      </c>
      <c r="E31" s="156">
        <f>($D$10*F801C!E18+$E$10*(F801ENE!E18))*0.5</f>
        <v>0</v>
      </c>
      <c r="F31" s="156">
        <f>($D$10*F801C!F18+$E$10*(F801ENE!F18))*0.5</f>
        <v>0</v>
      </c>
      <c r="G31" s="156">
        <f>($D$10*F801C!G18+$E$10*(F801ENE!G18))*0.5</f>
        <v>0</v>
      </c>
      <c r="H31" s="156">
        <f>($D$10*F801C!H18+$E$10*(F801ENE!H18))*0.5</f>
        <v>0</v>
      </c>
      <c r="I31" s="156">
        <f>($D$10*F801C!I18+$E$10*(F801ENE!I18))*0.5</f>
        <v>0</v>
      </c>
      <c r="J31" s="156">
        <f t="shared" si="2"/>
        <v>0</v>
      </c>
      <c r="K31" s="1426"/>
    </row>
    <row r="32" spans="2:11" s="37" customFormat="1" ht="13.5">
      <c r="B32" s="48"/>
      <c r="C32" s="157"/>
      <c r="D32" s="156"/>
      <c r="E32" s="156"/>
      <c r="F32" s="156"/>
      <c r="G32" s="156"/>
      <c r="H32" s="156"/>
      <c r="I32" s="156"/>
      <c r="J32" s="156"/>
      <c r="K32" s="1426"/>
    </row>
    <row r="33" spans="2:11" s="37" customFormat="1" ht="13.5">
      <c r="B33" s="48"/>
      <c r="C33" s="153" t="s">
        <v>443</v>
      </c>
      <c r="D33" s="154">
        <f t="shared" ref="D33:I33" si="5">SUBTOTAL(9,D34:D108)</f>
        <v>3885493.7465327061</v>
      </c>
      <c r="E33" s="154">
        <f t="shared" si="5"/>
        <v>3888644.556988949</v>
      </c>
      <c r="F33" s="154">
        <f t="shared" si="5"/>
        <v>3834371.0930521591</v>
      </c>
      <c r="G33" s="154">
        <f t="shared" si="5"/>
        <v>3878992.2733849594</v>
      </c>
      <c r="H33" s="154">
        <f t="shared" si="5"/>
        <v>3752949.2975521474</v>
      </c>
      <c r="I33" s="154">
        <f t="shared" si="5"/>
        <v>3769091.9807023588</v>
      </c>
      <c r="J33" s="154">
        <f t="shared" ref="J33:J37" si="6">SUM(D33:I33)</f>
        <v>23009542.948213279</v>
      </c>
      <c r="K33" s="1426"/>
    </row>
    <row r="34" spans="2:11" s="37" customFormat="1" ht="13.5">
      <c r="B34" s="48" t="s">
        <v>275</v>
      </c>
      <c r="C34" s="155" t="s">
        <v>275</v>
      </c>
      <c r="D34" s="154">
        <f>SUBTOTAL(9,D35:D37)</f>
        <v>16162.51211953352</v>
      </c>
      <c r="E34" s="154">
        <f t="shared" ref="E34:I34" si="7">SUBTOTAL(9,E35:E37)</f>
        <v>16169.06402128296</v>
      </c>
      <c r="F34" s="154">
        <f t="shared" si="7"/>
        <v>15872.426879960414</v>
      </c>
      <c r="G34" s="154">
        <f t="shared" si="7"/>
        <v>16115.227355974986</v>
      </c>
      <c r="H34" s="154">
        <f t="shared" si="7"/>
        <v>15437.038486582844</v>
      </c>
      <c r="I34" s="154">
        <f t="shared" si="7"/>
        <v>15507.202879065284</v>
      </c>
      <c r="J34" s="156">
        <f t="shared" si="6"/>
        <v>95263.471742400012</v>
      </c>
      <c r="K34" s="1426"/>
    </row>
    <row r="35" spans="2:11" s="37" customFormat="1" ht="13.5">
      <c r="B35" s="48"/>
      <c r="C35" s="160" t="s">
        <v>304</v>
      </c>
      <c r="D35" s="156">
        <f>$D$11*F801C!D22+$E$11*F801ENE!D22</f>
        <v>16000.810306696641</v>
      </c>
      <c r="E35" s="156">
        <f>$D$11*F801C!E22+$E$11*F801ENE!E22</f>
        <v>16007.307238617639</v>
      </c>
      <c r="F35" s="156">
        <f>$D$11*F801C!F22+$E$11*F801ENE!F22</f>
        <v>15713.15885451272</v>
      </c>
      <c r="G35" s="156">
        <f>$D$11*F801C!G22+$E$11*F801ENE!G22</f>
        <v>15953.922257777635</v>
      </c>
      <c r="H35" s="156">
        <f>$D$11*F801C!H22+$E$11*F801ENE!H22</f>
        <v>15281.423328074394</v>
      </c>
      <c r="I35" s="156">
        <f>$D$11*F801C!I22+$E$11*F801ENE!I22</f>
        <v>15350.99904802098</v>
      </c>
      <c r="J35" s="156">
        <f t="shared" si="6"/>
        <v>94307.621033700008</v>
      </c>
      <c r="K35" s="1426"/>
    </row>
    <row r="36" spans="2:11" s="37" customFormat="1" ht="13.5">
      <c r="B36" s="48"/>
      <c r="C36" s="161" t="s">
        <v>306</v>
      </c>
      <c r="D36" s="156">
        <f>$D$11*F801C!D23+$E$11*F801ENE!D23</f>
        <v>108.3344616475959</v>
      </c>
      <c r="E36" s="156">
        <f>$D$11*F801C!E23+$E$11*F801ENE!E23</f>
        <v>108.36915722732273</v>
      </c>
      <c r="F36" s="156">
        <f>$D$11*F801C!F23+$E$11*F801ENE!F23</f>
        <v>106.7983159692746</v>
      </c>
      <c r="G36" s="156">
        <f>$D$11*F801C!G23+$E$11*F801ENE!G23</f>
        <v>108.0840652975514</v>
      </c>
      <c r="H36" s="156">
        <f>$D$11*F801C!H23+$E$11*F801ENE!H23</f>
        <v>104.49271779453652</v>
      </c>
      <c r="I36" s="156">
        <f>$D$11*F801C!I23+$E$11*F801ENE!I23</f>
        <v>104.86427316371888</v>
      </c>
      <c r="J36" s="156">
        <f t="shared" si="6"/>
        <v>640.94299109999997</v>
      </c>
      <c r="K36" s="1426"/>
    </row>
    <row r="37" spans="2:11" s="37" customFormat="1" ht="13.5">
      <c r="B37" s="48"/>
      <c r="C37" s="160" t="s">
        <v>305</v>
      </c>
      <c r="D37" s="156">
        <f>($D$11*F801C!D24+$E$11*F801ENE!D24)*95%</f>
        <v>53.367351189283447</v>
      </c>
      <c r="E37" s="156">
        <f>($D$11*F801C!E24+$E$11*F801ENE!E24)*95%</f>
        <v>53.387625437998871</v>
      </c>
      <c r="F37" s="156">
        <f>($D$11*F801C!F24+$E$11*F801ENE!F24)*95%</f>
        <v>52.469709478419865</v>
      </c>
      <c r="G37" s="156">
        <f>($D$11*F801C!G24+$E$11*F801ENE!G24)*95%</f>
        <v>53.221032899800939</v>
      </c>
      <c r="H37" s="156">
        <f>($D$11*F801C!H24+$E$11*F801ENE!H24)*95%</f>
        <v>51.122440713912134</v>
      </c>
      <c r="I37" s="156">
        <f>($D$11*F801C!I24+$E$11*F801ENE!I24)*95%</f>
        <v>51.339557880584692</v>
      </c>
      <c r="J37" s="156">
        <f t="shared" si="6"/>
        <v>314.90771759999996</v>
      </c>
      <c r="K37" s="1426"/>
    </row>
    <row r="38" spans="2:11" s="37" customFormat="1" ht="13.5">
      <c r="B38" s="48" t="s">
        <v>274</v>
      </c>
      <c r="C38" s="158" t="s">
        <v>627</v>
      </c>
      <c r="D38" s="154">
        <f t="shared" ref="D38:I38" si="8">SUBTOTAL(9,D39:D44)</f>
        <v>208623.46975676739</v>
      </c>
      <c r="E38" s="154">
        <f t="shared" si="8"/>
        <v>208742.802179205</v>
      </c>
      <c r="F38" s="154">
        <f t="shared" si="8"/>
        <v>205155.43729045024</v>
      </c>
      <c r="G38" s="154">
        <f t="shared" si="8"/>
        <v>208093.56085895593</v>
      </c>
      <c r="H38" s="154">
        <f t="shared" si="8"/>
        <v>199864.56669039826</v>
      </c>
      <c r="I38" s="154">
        <f t="shared" si="8"/>
        <v>200771.19164661327</v>
      </c>
      <c r="J38" s="154">
        <f t="shared" ref="J38:J99" si="9">SUM(D38:I38)</f>
        <v>1231251.0284223901</v>
      </c>
      <c r="K38" s="1426"/>
    </row>
    <row r="39" spans="2:11" s="37" customFormat="1" ht="13.5">
      <c r="B39" s="48"/>
      <c r="C39" s="160" t="s">
        <v>304</v>
      </c>
      <c r="D39" s="156">
        <f>($D$12*F801C!D28+$E$12*F801ENE!D28)*1</f>
        <v>208234.72891351313</v>
      </c>
      <c r="E39" s="156">
        <f>($D$12*F801C!E28+$E$12*F801ENE!E28)*1</f>
        <v>208353.91918525848</v>
      </c>
      <c r="F39" s="156">
        <f>($D$12*F801C!F28+$E$12*F801ENE!F28)*1</f>
        <v>204772.99016453288</v>
      </c>
      <c r="G39" s="156">
        <f>($D$12*F801C!G28+$E$12*F801ENE!G28)*1</f>
        <v>207705.84591049256</v>
      </c>
      <c r="H39" s="156">
        <f>($D$12*F801C!H28+$E$12*F801ENE!H28)*1</f>
        <v>199491.56579305738</v>
      </c>
      <c r="I39" s="156">
        <f>($D$12*F801C!I28+$E$12*F801ENE!I28)*1</f>
        <v>200396.66845584562</v>
      </c>
      <c r="J39" s="156">
        <f t="shared" si="9"/>
        <v>1228955.7184227002</v>
      </c>
      <c r="K39" s="1426"/>
    </row>
    <row r="40" spans="2:11" s="37" customFormat="1" ht="13.5">
      <c r="B40" s="48"/>
      <c r="C40" s="161" t="s">
        <v>628</v>
      </c>
      <c r="D40" s="156">
        <f>($D$12*F801C!D29+$E$12*F801ENE!D29)*0.75</f>
        <v>42.812762263540066</v>
      </c>
      <c r="E40" s="156">
        <f>($D$12*F801C!E29+$E$12*F801ENE!E29)*0.75</f>
        <v>42.81958697324076</v>
      </c>
      <c r="F40" s="156">
        <f>($D$12*F801C!F29+$E$12*F801ENE!F29)*0.75</f>
        <v>42.510598460684918</v>
      </c>
      <c r="G40" s="156">
        <f>($D$12*F801C!G29+$E$12*F801ENE!G29)*0.75</f>
        <v>42.763508657961992</v>
      </c>
      <c r="H40" s="156">
        <f>($D$12*F801C!H29+$E$12*F801ENE!H29)*0.75</f>
        <v>42.057081374274176</v>
      </c>
      <c r="I40" s="156">
        <f>($D$12*F801C!I29+$E$12*F801ENE!I29)*0.75</f>
        <v>42.130167270298095</v>
      </c>
      <c r="J40" s="156">
        <f t="shared" si="9"/>
        <v>255.093705</v>
      </c>
      <c r="K40" s="1426"/>
    </row>
    <row r="41" spans="2:11" s="37" customFormat="1" ht="13.5">
      <c r="B41" s="48"/>
      <c r="C41" s="161" t="s">
        <v>629</v>
      </c>
      <c r="D41" s="156">
        <f>($D$12*F801C!D30+$E$12*F801ENE!D30)*1</f>
        <v>86.879290795012849</v>
      </c>
      <c r="E41" s="156">
        <f>($D$12*F801C!E30+$E$12*F801ENE!E30)*1</f>
        <v>86.915549252704764</v>
      </c>
      <c r="F41" s="156">
        <f>($D$12*F801C!F30+$E$12*F801ENE!F30)*1</f>
        <v>85.273948744972174</v>
      </c>
      <c r="G41" s="156">
        <f>($D$12*F801C!G30+$E$12*F801ENE!G30)*1</f>
        <v>86.617615228967324</v>
      </c>
      <c r="H41" s="156">
        <f>($D$12*F801C!H30+$E$12*F801ENE!H30)*1</f>
        <v>82.86449386537457</v>
      </c>
      <c r="I41" s="156">
        <f>($D$12*F801C!I30+$E$12*F801ENE!I30)*1</f>
        <v>83.252786112968352</v>
      </c>
      <c r="J41" s="156">
        <f t="shared" si="9"/>
        <v>511.80368400000009</v>
      </c>
      <c r="K41" s="1426"/>
    </row>
    <row r="42" spans="2:11" s="37" customFormat="1" ht="13.5">
      <c r="B42" s="48"/>
      <c r="C42" s="160" t="s">
        <v>305</v>
      </c>
      <c r="D42" s="156">
        <f>($D$12*F801C!D31+$E$12*F801ENE!D31)*0.95</f>
        <v>236.663212334787</v>
      </c>
      <c r="E42" s="156">
        <f>($D$12*F801C!E31+$E$12*F801ENE!E31)*0.95</f>
        <v>236.75398910123832</v>
      </c>
      <c r="F42" s="156">
        <f>($D$12*F801C!F31+$E$12*F801ENE!F31)*0.95</f>
        <v>232.64407391501985</v>
      </c>
      <c r="G42" s="156">
        <f>($D$12*F801C!G31+$E$12*F801ENE!G31)*0.95</f>
        <v>236.00808072530776</v>
      </c>
      <c r="H42" s="156">
        <f>($D$12*F801C!H31+$E$12*F801ENE!H31)*0.95</f>
        <v>226.6117565798819</v>
      </c>
      <c r="I42" s="156">
        <f>($D$12*F801C!I31+$E$12*F801ENE!I31)*0.95</f>
        <v>227.58388603376517</v>
      </c>
      <c r="J42" s="156">
        <f t="shared" si="9"/>
        <v>1396.2649986899999</v>
      </c>
      <c r="K42" s="1426"/>
    </row>
    <row r="43" spans="2:11" s="37" customFormat="1" ht="13.5">
      <c r="B43" s="48"/>
      <c r="C43" s="160" t="s">
        <v>307</v>
      </c>
      <c r="D43" s="156">
        <f>($D$12*F801C!D32+$E$12*F801ENE!D32)*0.5</f>
        <v>22.385577860893111</v>
      </c>
      <c r="E43" s="156">
        <f>($D$12*F801C!E32+$E$12*F801ENE!E32)*0.5</f>
        <v>22.393868619344328</v>
      </c>
      <c r="F43" s="156">
        <f>($D$12*F801C!F32+$E$12*F801ENE!F32)*0.5</f>
        <v>22.018504796683899</v>
      </c>
      <c r="G43" s="156">
        <f>($D$12*F801C!G32+$E$12*F801ENE!G32)*0.5</f>
        <v>22.325743851153831</v>
      </c>
      <c r="H43" s="156">
        <f>($D$12*F801C!H32+$E$12*F801ENE!H32)*0.5</f>
        <v>21.467565521340472</v>
      </c>
      <c r="I43" s="156">
        <f>($D$12*F801C!I32+$E$12*F801ENE!I32)*0.5</f>
        <v>21.55635135058435</v>
      </c>
      <c r="J43" s="156">
        <f t="shared" si="9"/>
        <v>132.14761199999998</v>
      </c>
      <c r="K43" s="1426"/>
    </row>
    <row r="44" spans="2:11" s="37" customFormat="1" ht="13.5">
      <c r="B44" s="48"/>
      <c r="C44" s="160" t="s">
        <v>624</v>
      </c>
      <c r="D44" s="156">
        <f>($D$12*F801C!D33+$E$12*F801ENE!D33)*0</f>
        <v>0</v>
      </c>
      <c r="E44" s="156">
        <f>($D$12*F801C!E33+$E$12*F801ENE!E33)*0</f>
        <v>0</v>
      </c>
      <c r="F44" s="156">
        <f>($D$12*F801C!F33+$E$12*F801ENE!F33)*0</f>
        <v>0</v>
      </c>
      <c r="G44" s="156">
        <f>($D$12*F801C!G33+$E$12*F801ENE!G33)*0</f>
        <v>0</v>
      </c>
      <c r="H44" s="156">
        <f>($D$12*F801C!H33+$E$12*F801ENE!H33)*0</f>
        <v>0</v>
      </c>
      <c r="I44" s="156">
        <f>($D$12*F801C!I33+$E$12*F801ENE!I33)*0</f>
        <v>0</v>
      </c>
      <c r="J44" s="156">
        <f t="shared" si="9"/>
        <v>0</v>
      </c>
      <c r="K44" s="1426"/>
    </row>
    <row r="45" spans="2:11" s="37" customFormat="1" ht="13.5">
      <c r="B45" s="48" t="s">
        <v>274</v>
      </c>
      <c r="C45" s="158" t="s">
        <v>631</v>
      </c>
      <c r="D45" s="154">
        <f t="shared" ref="D45:I45" si="10">SUBTOTAL(9,D46:D49)</f>
        <v>93126.31642255187</v>
      </c>
      <c r="E45" s="154">
        <f t="shared" si="10"/>
        <v>93177.504814606291</v>
      </c>
      <c r="F45" s="154">
        <f t="shared" si="10"/>
        <v>91539.469522508196</v>
      </c>
      <c r="G45" s="154">
        <f t="shared" si="10"/>
        <v>92881.132551179602</v>
      </c>
      <c r="H45" s="154">
        <f t="shared" si="10"/>
        <v>89127.524925797814</v>
      </c>
      <c r="I45" s="154">
        <f t="shared" si="10"/>
        <v>89538.981758256195</v>
      </c>
      <c r="J45" s="154">
        <f t="shared" si="9"/>
        <v>549390.92999490001</v>
      </c>
      <c r="K45" s="1426"/>
    </row>
    <row r="46" spans="2:11" s="37" customFormat="1" ht="13.5">
      <c r="B46" s="48"/>
      <c r="C46" s="160" t="s">
        <v>304</v>
      </c>
      <c r="D46" s="156">
        <f>($D$12*F801C!D35+$E$12*F801ENE!D35)*1</f>
        <v>93051.192825874896</v>
      </c>
      <c r="E46" s="156">
        <f>($D$12*F801C!E35+$E$12*F801ENE!E35)*1</f>
        <v>93102.355860341268</v>
      </c>
      <c r="F46" s="156">
        <f>($D$12*F801C!F35+$E$12*F801ENE!F35)*1</f>
        <v>91465.46863222761</v>
      </c>
      <c r="G46" s="156">
        <f>($D$12*F801C!G35+$E$12*F801ENE!G35)*1</f>
        <v>92806.191959010466</v>
      </c>
      <c r="H46" s="156">
        <f>($D$12*F801C!H35+$E$12*F801ENE!H35)*1</f>
        <v>89055.209103447181</v>
      </c>
      <c r="I46" s="156">
        <f>($D$12*F801C!I35+$E$12*F801ENE!I35)*1</f>
        <v>89466.394381198552</v>
      </c>
      <c r="J46" s="156">
        <f t="shared" si="9"/>
        <v>548946.81276210002</v>
      </c>
      <c r="K46" s="1426"/>
    </row>
    <row r="47" spans="2:11" s="37" customFormat="1" ht="13.5">
      <c r="B47" s="48"/>
      <c r="C47" s="161" t="s">
        <v>306</v>
      </c>
      <c r="D47" s="156">
        <f>($D$12*F801C!D36+$E$12*F801ENE!D36)*1</f>
        <v>0</v>
      </c>
      <c r="E47" s="156">
        <f>($D$12*F801C!E36+$E$12*F801ENE!E36)*1</f>
        <v>0</v>
      </c>
      <c r="F47" s="156">
        <f>($D$12*F801C!F36+$E$12*F801ENE!F36)*1</f>
        <v>0</v>
      </c>
      <c r="G47" s="156">
        <f>($D$12*F801C!G36+$E$12*F801ENE!G36)*1</f>
        <v>0</v>
      </c>
      <c r="H47" s="156">
        <f>($D$12*F801C!H36+$E$12*F801ENE!H36)*1</f>
        <v>0</v>
      </c>
      <c r="I47" s="156">
        <f>($D$12*F801C!I36+$E$12*F801ENE!I36)*1</f>
        <v>0</v>
      </c>
      <c r="J47" s="156">
        <f t="shared" si="9"/>
        <v>0</v>
      </c>
      <c r="K47" s="1426"/>
    </row>
    <row r="48" spans="2:11" s="37" customFormat="1" ht="13.5">
      <c r="B48" s="48"/>
      <c r="C48" s="160" t="s">
        <v>305</v>
      </c>
      <c r="D48" s="156">
        <f>($D$12*F801C!D37+$E$12*F801ENE!D37)*0.95</f>
        <v>75.123596676975524</v>
      </c>
      <c r="E48" s="156">
        <f>($D$12*F801C!E37+$E$12*F801ENE!E37)*0.95</f>
        <v>75.148954265019</v>
      </c>
      <c r="F48" s="156">
        <f>($D$12*F801C!F37+$E$12*F801ENE!F37)*0.95</f>
        <v>74.000890280589289</v>
      </c>
      <c r="G48" s="156">
        <f>($D$12*F801C!G37+$E$12*F801ENE!G37)*0.95</f>
        <v>74.940592169138796</v>
      </c>
      <c r="H48" s="156">
        <f>($D$12*F801C!H37+$E$12*F801ENE!H37)*0.95</f>
        <v>72.315822350636466</v>
      </c>
      <c r="I48" s="156">
        <f>($D$12*F801C!I37+$E$12*F801ENE!I37)*0.95</f>
        <v>72.587377057640921</v>
      </c>
      <c r="J48" s="156">
        <f t="shared" si="9"/>
        <v>444.11723280000007</v>
      </c>
      <c r="K48" s="1426"/>
    </row>
    <row r="49" spans="2:11" s="37" customFormat="1" ht="13.5">
      <c r="B49" s="48"/>
      <c r="C49" s="160" t="s">
        <v>307</v>
      </c>
      <c r="D49" s="156">
        <f>($D$12*F801C!D38+$E$12*F801ENE!D38)*0.5</f>
        <v>0</v>
      </c>
      <c r="E49" s="156">
        <f>($D$12*F801C!E38+$E$12*F801ENE!E38)*0.5</f>
        <v>0</v>
      </c>
      <c r="F49" s="156">
        <f>($D$12*F801C!F38+$E$12*F801ENE!F38)*0.5</f>
        <v>0</v>
      </c>
      <c r="G49" s="156">
        <f>($D$12*F801C!G38+$E$12*F801ENE!G38)*0.5</f>
        <v>0</v>
      </c>
      <c r="H49" s="156">
        <f>($D$12*F801C!H38+$E$12*F801ENE!H38)*0.5</f>
        <v>0</v>
      </c>
      <c r="I49" s="156">
        <f>($D$12*F801C!I38+$E$12*F801ENE!I38)*0.5</f>
        <v>0</v>
      </c>
      <c r="J49" s="156">
        <f t="shared" si="9"/>
        <v>0</v>
      </c>
      <c r="K49" s="1426"/>
    </row>
    <row r="50" spans="2:11" s="37" customFormat="1" ht="13.5">
      <c r="B50" s="48" t="s">
        <v>274</v>
      </c>
      <c r="C50" s="158" t="s">
        <v>632</v>
      </c>
      <c r="D50" s="154">
        <f t="shared" ref="D50:I50" si="11">SUBTOTAL(9,D51:D54)</f>
        <v>25549.263773245544</v>
      </c>
      <c r="E50" s="154">
        <f t="shared" si="11"/>
        <v>25559.41124277432</v>
      </c>
      <c r="F50" s="154">
        <f t="shared" si="11"/>
        <v>25099.984885697093</v>
      </c>
      <c r="G50" s="154">
        <f t="shared" si="11"/>
        <v>25476.029967896357</v>
      </c>
      <c r="H50" s="154">
        <f t="shared" si="11"/>
        <v>24425.663043896231</v>
      </c>
      <c r="I50" s="154">
        <f t="shared" si="11"/>
        <v>24534.332413790453</v>
      </c>
      <c r="J50" s="154">
        <f t="shared" si="9"/>
        <v>150644.68532729999</v>
      </c>
      <c r="K50" s="1426"/>
    </row>
    <row r="51" spans="2:11" s="37" customFormat="1" ht="13.5">
      <c r="B51" s="48"/>
      <c r="C51" s="160" t="s">
        <v>304</v>
      </c>
      <c r="D51" s="156">
        <f>($D$12*F801C!D40+$E$12*F801ENE!D40)*1</f>
        <v>25549.263773245544</v>
      </c>
      <c r="E51" s="156">
        <f>($D$12*F801C!E40+$E$12*F801ENE!E40)*1</f>
        <v>25559.41124277432</v>
      </c>
      <c r="F51" s="156">
        <f>($D$12*F801C!F40+$E$12*F801ENE!F40)*1</f>
        <v>25099.984885697093</v>
      </c>
      <c r="G51" s="156">
        <f>($D$12*F801C!G40+$E$12*F801ENE!G40)*1</f>
        <v>25476.029967896357</v>
      </c>
      <c r="H51" s="156">
        <f>($D$12*F801C!H40+$E$12*F801ENE!H40)*1</f>
        <v>24425.663043896231</v>
      </c>
      <c r="I51" s="156">
        <f>($D$12*F801C!I40+$E$12*F801ENE!I40)*1</f>
        <v>24534.332413790453</v>
      </c>
      <c r="J51" s="156">
        <f t="shared" si="9"/>
        <v>150644.68532729999</v>
      </c>
      <c r="K51" s="1426"/>
    </row>
    <row r="52" spans="2:11" s="37" customFormat="1" ht="13.5">
      <c r="B52" s="48"/>
      <c r="C52" s="161" t="s">
        <v>306</v>
      </c>
      <c r="D52" s="156">
        <f>($D$12*F801C!D41+$E$12*F801ENE!D41)*1</f>
        <v>0</v>
      </c>
      <c r="E52" s="156">
        <f>($D$12*F801C!E41+$E$12*F801ENE!E41)*1</f>
        <v>0</v>
      </c>
      <c r="F52" s="156">
        <f>($D$12*F801C!F41+$E$12*F801ENE!F41)*1</f>
        <v>0</v>
      </c>
      <c r="G52" s="156">
        <f>($D$12*F801C!G41+$E$12*F801ENE!G41)*1</f>
        <v>0</v>
      </c>
      <c r="H52" s="156">
        <f>($D$12*F801C!H41+$E$12*F801ENE!H41)*1</f>
        <v>0</v>
      </c>
      <c r="I52" s="156">
        <f>($D$12*F801C!I41+$E$12*F801ENE!I41)*1</f>
        <v>0</v>
      </c>
      <c r="J52" s="156">
        <f t="shared" si="9"/>
        <v>0</v>
      </c>
      <c r="K52" s="1426"/>
    </row>
    <row r="53" spans="2:11" s="37" customFormat="1" ht="13.5">
      <c r="B53" s="48"/>
      <c r="C53" s="160" t="s">
        <v>305</v>
      </c>
      <c r="D53" s="156">
        <f>($D$12*F801C!D42+$E$12*F801ENE!D42)*0.95</f>
        <v>0</v>
      </c>
      <c r="E53" s="156">
        <f>($D$12*F801C!E42+$E$12*F801ENE!E42)*0.95</f>
        <v>0</v>
      </c>
      <c r="F53" s="156">
        <f>($D$12*F801C!F42+$E$12*F801ENE!F42)*0.95</f>
        <v>0</v>
      </c>
      <c r="G53" s="156">
        <f>($D$12*F801C!G42+$E$12*F801ENE!G42)*0.95</f>
        <v>0</v>
      </c>
      <c r="H53" s="156">
        <f>($D$12*F801C!H42+$E$12*F801ENE!H42)*0.95</f>
        <v>0</v>
      </c>
      <c r="I53" s="156">
        <f>($D$12*F801C!I42+$E$12*F801ENE!I42)*0.95</f>
        <v>0</v>
      </c>
      <c r="J53" s="156">
        <f t="shared" si="9"/>
        <v>0</v>
      </c>
      <c r="K53" s="1426"/>
    </row>
    <row r="54" spans="2:11" s="37" customFormat="1" ht="13.5">
      <c r="B54" s="48"/>
      <c r="C54" s="160" t="s">
        <v>307</v>
      </c>
      <c r="D54" s="156">
        <f>($D$12*F801C!D43+$E$12*F801ENE!D43)*0.5</f>
        <v>0</v>
      </c>
      <c r="E54" s="156">
        <f>($D$12*F801C!E43+$E$12*F801ENE!E43)*0.5</f>
        <v>0</v>
      </c>
      <c r="F54" s="156">
        <f>($D$12*F801C!F43+$E$12*F801ENE!F43)*0.5</f>
        <v>0</v>
      </c>
      <c r="G54" s="156">
        <f>($D$12*F801C!G43+$E$12*F801ENE!G43)*0.5</f>
        <v>0</v>
      </c>
      <c r="H54" s="156">
        <f>($D$12*F801C!H43+$E$12*F801ENE!H43)*0.5</f>
        <v>0</v>
      </c>
      <c r="I54" s="156">
        <f>($D$12*F801C!I43+$E$12*F801ENE!I43)*0.5</f>
        <v>0</v>
      </c>
      <c r="J54" s="156">
        <f t="shared" si="9"/>
        <v>0</v>
      </c>
      <c r="K54" s="1426"/>
    </row>
    <row r="55" spans="2:11" s="37" customFormat="1" ht="13.5">
      <c r="B55" s="48" t="s">
        <v>274</v>
      </c>
      <c r="C55" s="158" t="s">
        <v>633</v>
      </c>
      <c r="D55" s="154">
        <f t="shared" ref="D55:I55" si="12">SUBTOTAL(9,D56:D59)</f>
        <v>25235.002477228081</v>
      </c>
      <c r="E55" s="154">
        <f t="shared" si="12"/>
        <v>25245.258580580394</v>
      </c>
      <c r="F55" s="154">
        <f t="shared" si="12"/>
        <v>24780.913830630609</v>
      </c>
      <c r="G55" s="154">
        <f t="shared" si="12"/>
        <v>25160.984666737022</v>
      </c>
      <c r="H55" s="154">
        <f t="shared" si="12"/>
        <v>24099.373030471263</v>
      </c>
      <c r="I55" s="154">
        <f t="shared" si="12"/>
        <v>24209.205761252641</v>
      </c>
      <c r="J55" s="154">
        <f t="shared" si="9"/>
        <v>148730.73834690001</v>
      </c>
      <c r="K55" s="1426"/>
    </row>
    <row r="56" spans="2:11" s="37" customFormat="1" ht="13.5">
      <c r="B56" s="48"/>
      <c r="C56" s="160" t="s">
        <v>304</v>
      </c>
      <c r="D56" s="156">
        <f>($D$12*F801C!D45+$E$12*F801ENE!D45)*1</f>
        <v>25235.002477228081</v>
      </c>
      <c r="E56" s="156">
        <f>($D$12*F801C!E45+$E$12*F801ENE!E45)*1</f>
        <v>25245.258580580394</v>
      </c>
      <c r="F56" s="156">
        <f>($D$12*F801C!F45+$E$12*F801ENE!F45)*1</f>
        <v>24780.913830630609</v>
      </c>
      <c r="G56" s="156">
        <f>($D$12*F801C!G45+$E$12*F801ENE!G45)*1</f>
        <v>25160.984666737022</v>
      </c>
      <c r="H56" s="156">
        <f>($D$12*F801C!H45+$E$12*F801ENE!H45)*1</f>
        <v>24099.373030471263</v>
      </c>
      <c r="I56" s="156">
        <f>($D$12*F801C!I45+$E$12*F801ENE!I45)*1</f>
        <v>24209.205761252641</v>
      </c>
      <c r="J56" s="156">
        <f t="shared" si="9"/>
        <v>148730.73834690001</v>
      </c>
      <c r="K56" s="1426"/>
    </row>
    <row r="57" spans="2:11" s="37" customFormat="1" ht="13.5">
      <c r="B57" s="48"/>
      <c r="C57" s="161" t="s">
        <v>306</v>
      </c>
      <c r="D57" s="156">
        <f>($D$12*F801C!D46+$E$12*F801ENE!D46)*1</f>
        <v>0</v>
      </c>
      <c r="E57" s="156">
        <f>($D$12*F801C!E46+$E$12*F801ENE!E46)*1</f>
        <v>0</v>
      </c>
      <c r="F57" s="156">
        <f>($D$12*F801C!F46+$E$12*F801ENE!F46)*1</f>
        <v>0</v>
      </c>
      <c r="G57" s="156">
        <f>($D$12*F801C!G46+$E$12*F801ENE!G46)*1</f>
        <v>0</v>
      </c>
      <c r="H57" s="156">
        <f>($D$12*F801C!H46+$E$12*F801ENE!H46)*1</f>
        <v>0</v>
      </c>
      <c r="I57" s="156">
        <f>($D$12*F801C!I46+$E$12*F801ENE!I46)*1</f>
        <v>0</v>
      </c>
      <c r="J57" s="156">
        <f t="shared" si="9"/>
        <v>0</v>
      </c>
      <c r="K57" s="1426"/>
    </row>
    <row r="58" spans="2:11" s="37" customFormat="1" ht="13.5">
      <c r="B58" s="48"/>
      <c r="C58" s="160" t="s">
        <v>305</v>
      </c>
      <c r="D58" s="156">
        <f>($D$12*F801C!D47+$E$12*F801ENE!D47)*0.95</f>
        <v>0</v>
      </c>
      <c r="E58" s="156">
        <f>($D$12*F801C!E47+$E$12*F801ENE!E47)*0.95</f>
        <v>0</v>
      </c>
      <c r="F58" s="156">
        <f>($D$12*F801C!F47+$E$12*F801ENE!F47)*0.95</f>
        <v>0</v>
      </c>
      <c r="G58" s="156">
        <f>($D$12*F801C!G47+$E$12*F801ENE!G47)*0.95</f>
        <v>0</v>
      </c>
      <c r="H58" s="156">
        <f>($D$12*F801C!H47+$E$12*F801ENE!H47)*0.95</f>
        <v>0</v>
      </c>
      <c r="I58" s="156">
        <f>($D$12*F801C!I47+$E$12*F801ENE!I47)*0.95</f>
        <v>0</v>
      </c>
      <c r="J58" s="156">
        <f t="shared" si="9"/>
        <v>0</v>
      </c>
      <c r="K58" s="1426"/>
    </row>
    <row r="59" spans="2:11" s="37" customFormat="1" ht="13.5">
      <c r="B59" s="48"/>
      <c r="C59" s="160" t="s">
        <v>307</v>
      </c>
      <c r="D59" s="156">
        <f>($D$12*F801C!D48+$E$12*F801ENE!D48)*0.5</f>
        <v>0</v>
      </c>
      <c r="E59" s="156">
        <f>($D$12*F801C!E48+$E$12*F801ENE!E48)*0.5</f>
        <v>0</v>
      </c>
      <c r="F59" s="156">
        <f>($D$12*F801C!F48+$E$12*F801ENE!F48)*0.5</f>
        <v>0</v>
      </c>
      <c r="G59" s="156">
        <f>($D$12*F801C!G48+$E$12*F801ENE!G48)*0.5</f>
        <v>0</v>
      </c>
      <c r="H59" s="156">
        <f>($D$12*F801C!H48+$E$12*F801ENE!H48)*0.5</f>
        <v>0</v>
      </c>
      <c r="I59" s="156">
        <f>($D$12*F801C!I48+$E$12*F801ENE!I48)*0.5</f>
        <v>0</v>
      </c>
      <c r="J59" s="156">
        <f t="shared" si="9"/>
        <v>0</v>
      </c>
      <c r="K59" s="1426"/>
    </row>
    <row r="60" spans="2:11" s="37" customFormat="1" ht="13.5">
      <c r="B60" s="48"/>
      <c r="C60" s="157"/>
      <c r="D60" s="156"/>
      <c r="E60" s="156"/>
      <c r="F60" s="156"/>
      <c r="G60" s="156"/>
      <c r="H60" s="156"/>
      <c r="I60" s="156"/>
      <c r="J60" s="156">
        <f t="shared" si="9"/>
        <v>0</v>
      </c>
      <c r="K60" s="1426"/>
    </row>
    <row r="61" spans="2:11" s="37" customFormat="1" ht="13.5">
      <c r="B61" s="48" t="s">
        <v>1176</v>
      </c>
      <c r="C61" s="158" t="str">
        <f>F801ENE!C50</f>
        <v>BTSH</v>
      </c>
      <c r="D61" s="154">
        <f t="shared" ref="D61:I61" si="13">SUBTOTAL(9,D62:D67)</f>
        <v>18.309999999999999</v>
      </c>
      <c r="E61" s="154">
        <f t="shared" si="13"/>
        <v>18.309999999999999</v>
      </c>
      <c r="F61" s="154">
        <f t="shared" si="13"/>
        <v>18.309999999999999</v>
      </c>
      <c r="G61" s="154">
        <f t="shared" si="13"/>
        <v>18.309999999999999</v>
      </c>
      <c r="H61" s="154">
        <f t="shared" si="13"/>
        <v>18.309999999999999</v>
      </c>
      <c r="I61" s="154">
        <f t="shared" si="13"/>
        <v>18.309999999999999</v>
      </c>
      <c r="J61" s="154">
        <f t="shared" si="9"/>
        <v>109.86</v>
      </c>
      <c r="K61" s="1426"/>
    </row>
    <row r="62" spans="2:11" s="37" customFormat="1" ht="13.5">
      <c r="B62" s="48"/>
      <c r="C62" s="160" t="str">
        <f>F801ENE!C51</f>
        <v xml:space="preserve">    - Regulares</v>
      </c>
      <c r="D62" s="156">
        <f>(($D$15*F801C!D51)+($E$15*(F801ENE!D51)))*$K62</f>
        <v>18.309999999999999</v>
      </c>
      <c r="E62" s="156">
        <f>(($D$15*F801C!E51)+($E$15*(F801ENE!E51)))*$K62</f>
        <v>18.309999999999999</v>
      </c>
      <c r="F62" s="156">
        <f>(($D$15*F801C!F51)+($E$15*(F801ENE!F51)))*$K62</f>
        <v>18.309999999999999</v>
      </c>
      <c r="G62" s="156">
        <f>(($D$15*F801C!G51)+($E$15*(F801ENE!G51)))*$K62</f>
        <v>18.309999999999999</v>
      </c>
      <c r="H62" s="156">
        <f>(($D$15*F801C!H51)+($E$15*(F801ENE!H51)))*$K62</f>
        <v>18.309999999999999</v>
      </c>
      <c r="I62" s="156">
        <f>(($D$15*F801C!I51)+($E$15*(F801ENE!I51)))*$K62</f>
        <v>18.309999999999999</v>
      </c>
      <c r="J62" s="156">
        <f t="shared" si="9"/>
        <v>109.86</v>
      </c>
      <c r="K62" s="1427">
        <v>1</v>
      </c>
    </row>
    <row r="63" spans="2:11" s="37" customFormat="1" ht="13.5">
      <c r="B63" s="48"/>
      <c r="C63" s="162" t="str">
        <f>F801ENE!C52</f>
        <v xml:space="preserve">    - Jubilados (0 a 600 KWh)</v>
      </c>
      <c r="D63" s="156">
        <f>(($D$15*F801C!D52)+($E$15*(F801ENE!D52)))*$K63</f>
        <v>0</v>
      </c>
      <c r="E63" s="156">
        <f>(($D$15*F801C!E52)+($E$15*(F801ENE!E52)))*$K63</f>
        <v>0</v>
      </c>
      <c r="F63" s="156">
        <f>(($D$15*F801C!F52)+($E$15*(F801ENE!F52)))*$K63</f>
        <v>0</v>
      </c>
      <c r="G63" s="156">
        <f>(($D$15*F801C!G52)+($E$15*(F801ENE!G52)))*$K63</f>
        <v>0</v>
      </c>
      <c r="H63" s="156">
        <f>(($D$15*F801C!H52)+($E$15*(F801ENE!H52)))*$K63</f>
        <v>0</v>
      </c>
      <c r="I63" s="156">
        <f>(($D$15*F801C!I52)+($E$15*(F801ENE!I52)))*$K63</f>
        <v>0</v>
      </c>
      <c r="J63" s="156">
        <f t="shared" si="9"/>
        <v>0</v>
      </c>
      <c r="K63" s="1427">
        <v>0.75</v>
      </c>
    </row>
    <row r="64" spans="2:11" s="37" customFormat="1" ht="13.5">
      <c r="B64" s="48"/>
      <c r="C64" s="162" t="str">
        <f>F801ENE!C53</f>
        <v xml:space="preserve">    - Jubilados (601 y Más KWh)</v>
      </c>
      <c r="D64" s="156">
        <f>(($D$15*F801C!D53)+($E$15*(F801ENE!D53)))*$K64</f>
        <v>0</v>
      </c>
      <c r="E64" s="156">
        <f>(($D$15*F801C!E53)+($E$15*(F801ENE!E53)))*$K64</f>
        <v>0</v>
      </c>
      <c r="F64" s="156">
        <f>(($D$15*F801C!F53)+($E$15*(F801ENE!F53)))*$K64</f>
        <v>0</v>
      </c>
      <c r="G64" s="156">
        <f>(($D$15*F801C!G53)+($E$15*(F801ENE!G53)))*$K64</f>
        <v>0</v>
      </c>
      <c r="H64" s="156">
        <f>(($D$15*F801C!H53)+($E$15*(F801ENE!H53)))*$K64</f>
        <v>0</v>
      </c>
      <c r="I64" s="156">
        <f>(($D$15*F801C!I53)+($E$15*(F801ENE!I53)))*$K64</f>
        <v>0</v>
      </c>
      <c r="J64" s="156">
        <f t="shared" si="9"/>
        <v>0</v>
      </c>
      <c r="K64" s="1427">
        <v>1</v>
      </c>
    </row>
    <row r="65" spans="2:11" s="37" customFormat="1" ht="13.5">
      <c r="B65" s="48"/>
      <c r="C65" s="160" t="str">
        <f>F801ENE!C54</f>
        <v xml:space="preserve">    - Agropecuarios</v>
      </c>
      <c r="D65" s="156">
        <f>(($D$15*F801C!D54)+($E$15*(F801ENE!D54)))*$K65</f>
        <v>0</v>
      </c>
      <c r="E65" s="156">
        <f>(($D$15*F801C!E54)+($E$15*(F801ENE!E54)))*$K65</f>
        <v>0</v>
      </c>
      <c r="F65" s="156">
        <f>(($D$15*F801C!F54)+($E$15*(F801ENE!F54)))*$K65</f>
        <v>0</v>
      </c>
      <c r="G65" s="156">
        <f>(($D$15*F801C!G54)+($E$15*(F801ENE!G54)))*$K65</f>
        <v>0</v>
      </c>
      <c r="H65" s="156">
        <f>(($D$15*F801C!H54)+($E$15*(F801ENE!H54)))*$K65</f>
        <v>0</v>
      </c>
      <c r="I65" s="156">
        <f>(($D$15*F801C!I54)+($E$15*(F801ENE!I54)))*$K65</f>
        <v>0</v>
      </c>
      <c r="J65" s="156">
        <f t="shared" si="9"/>
        <v>0</v>
      </c>
      <c r="K65" s="1427">
        <v>0.95</v>
      </c>
    </row>
    <row r="66" spans="2:11" s="37" customFormat="1" ht="13.5">
      <c r="B66" s="48"/>
      <c r="C66" s="160" t="str">
        <f>F801ENE!C55</f>
        <v xml:space="preserve">    - Partidos Políticos</v>
      </c>
      <c r="D66" s="156">
        <f>(($D$15*F801C!D55)+($E$15*(F801ENE!D55)))*$K66</f>
        <v>0</v>
      </c>
      <c r="E66" s="156">
        <f>(($D$15*F801C!E55)+($E$15*(F801ENE!E55)))*$K66</f>
        <v>0</v>
      </c>
      <c r="F66" s="156">
        <f>(($D$15*F801C!F55)+($E$15*(F801ENE!F55)))*$K66</f>
        <v>0</v>
      </c>
      <c r="G66" s="156">
        <f>(($D$15*F801C!G55)+($E$15*(F801ENE!G55)))*$K66</f>
        <v>0</v>
      </c>
      <c r="H66" s="156">
        <f>(($D$15*F801C!H55)+($E$15*(F801ENE!H55)))*$K66</f>
        <v>0</v>
      </c>
      <c r="I66" s="156">
        <f>(($D$15*F801C!I55)+($E$15*(F801ENE!I55)))*$K66</f>
        <v>0</v>
      </c>
      <c r="J66" s="156">
        <f t="shared" si="9"/>
        <v>0</v>
      </c>
      <c r="K66" s="1427">
        <v>0.5</v>
      </c>
    </row>
    <row r="67" spans="2:11" s="37" customFormat="1" ht="13.5">
      <c r="B67" s="48"/>
      <c r="C67" s="160" t="str">
        <f>F801ENE!C56</f>
        <v xml:space="preserve">    - Cruz Roja</v>
      </c>
      <c r="D67" s="156">
        <f>(($D$15*F801C!D56)+($E$15*(F801ENE!D56)))*$K67</f>
        <v>0</v>
      </c>
      <c r="E67" s="156">
        <f>(($D$15*F801C!E56)+($E$15*(F801ENE!E56)))*$K67</f>
        <v>0</v>
      </c>
      <c r="F67" s="156">
        <f>(($D$15*F801C!F56)+($E$15*(F801ENE!F56)))*$K67</f>
        <v>0</v>
      </c>
      <c r="G67" s="156">
        <f>(($D$15*F801C!G56)+($E$15*(F801ENE!G56)))*$K67</f>
        <v>0</v>
      </c>
      <c r="H67" s="156">
        <f>(($D$15*F801C!H56)+($E$15*(F801ENE!H56)))*$K67</f>
        <v>0</v>
      </c>
      <c r="I67" s="156">
        <f>(($D$15*F801C!I56)+($E$15*(F801ENE!I56)))*$K67</f>
        <v>0</v>
      </c>
      <c r="J67" s="156">
        <f t="shared" si="9"/>
        <v>0</v>
      </c>
      <c r="K67" s="1427">
        <v>0</v>
      </c>
    </row>
    <row r="68" spans="2:11" s="37" customFormat="1" ht="13.5">
      <c r="B68" s="48" t="s">
        <v>751</v>
      </c>
      <c r="C68" s="158" t="s">
        <v>634</v>
      </c>
      <c r="D68" s="154">
        <f t="shared" ref="D68:I68" si="14">SUBTOTAL(9,D69:D73)</f>
        <v>1973482.6258981575</v>
      </c>
      <c r="E68" s="154">
        <f t="shared" si="14"/>
        <v>1975332.0190651964</v>
      </c>
      <c r="F68" s="154">
        <f t="shared" si="14"/>
        <v>1950914.788064535</v>
      </c>
      <c r="G68" s="154">
        <f t="shared" si="14"/>
        <v>1971036.3676744304</v>
      </c>
      <c r="H68" s="154">
        <f t="shared" si="14"/>
        <v>1913879.7041971562</v>
      </c>
      <c r="I68" s="154">
        <f t="shared" si="14"/>
        <v>1921884.2305664087</v>
      </c>
      <c r="J68" s="154">
        <f t="shared" si="9"/>
        <v>11706529.735465884</v>
      </c>
      <c r="K68" s="1426"/>
    </row>
    <row r="69" spans="2:11" s="37" customFormat="1" ht="13.5">
      <c r="B69" s="48"/>
      <c r="C69" s="160" t="s">
        <v>304</v>
      </c>
      <c r="D69" s="156">
        <f>(($D$14*F801C!D66)+($E$14*(F801ENE!D66)))*$K69</f>
        <v>1439246.5641839092</v>
      </c>
      <c r="E69" s="156">
        <f>(($D$14*F801C!E66)+($E$14*(F801ENE!E66)))*$K69</f>
        <v>1440638.5271028334</v>
      </c>
      <c r="F69" s="156">
        <f>(($D$14*F801C!F66)+($E$14*(F801ENE!F66)))*$K69</f>
        <v>1423366.6080593413</v>
      </c>
      <c r="G69" s="156">
        <f>(($D$14*F801C!G66)+($E$14*(F801ENE!G66)))*$K69</f>
        <v>1437607.8373220123</v>
      </c>
      <c r="H69" s="156">
        <f>(($D$14*F801C!H66)+($E$14*(F801ENE!H66)))*$K69</f>
        <v>1397092.6161245939</v>
      </c>
      <c r="I69" s="156">
        <f>(($D$14*F801C!I66)+($E$14*(F801ENE!I66)))*$K69</f>
        <v>1402896.9382356096</v>
      </c>
      <c r="J69" s="156">
        <f t="shared" si="9"/>
        <v>8540849.0910282992</v>
      </c>
      <c r="K69" s="1427">
        <v>1</v>
      </c>
    </row>
    <row r="70" spans="2:11" s="37" customFormat="1" ht="13.5">
      <c r="B70" s="48"/>
      <c r="C70" s="162" t="s">
        <v>644</v>
      </c>
      <c r="D70" s="156">
        <f>(($D$14*F801C!D67)+($E$14*(F801ENE!D67)))*$K70</f>
        <v>534137.08224307769</v>
      </c>
      <c r="E70" s="156">
        <f>(($D$14*F801C!E67)+($E$14*(F801ENE!E67)))*$K70</f>
        <v>534594.47916073748</v>
      </c>
      <c r="F70" s="156">
        <f>(($D$14*F801C!F67)+($E$14*(F801ENE!F67)))*$K70</f>
        <v>527450.6762388472</v>
      </c>
      <c r="G70" s="156">
        <f>(($D$14*F801C!G67)+($E$14*(F801ENE!G67)))*$K70</f>
        <v>533329.79142555699</v>
      </c>
      <c r="H70" s="156">
        <f>(($D$14*F801C!H67)+($E$14*(F801ENE!H67)))*$K70</f>
        <v>516691.79918882536</v>
      </c>
      <c r="I70" s="156">
        <f>(($D$14*F801C!I67)+($E$14*(F801ENE!I67)))*$K70</f>
        <v>518891.64651083003</v>
      </c>
      <c r="J70" s="156">
        <f t="shared" si="9"/>
        <v>3165095.4747678749</v>
      </c>
      <c r="K70" s="1427">
        <v>0.75</v>
      </c>
    </row>
    <row r="71" spans="2:11" s="37" customFormat="1" ht="13.5">
      <c r="B71" s="48"/>
      <c r="C71" s="160" t="s">
        <v>305</v>
      </c>
      <c r="D71" s="156">
        <f>(($D$14*F801C!D68)+($E$14*(F801ENE!D68)))*$K71</f>
        <v>95.006265066015743</v>
      </c>
      <c r="E71" s="156">
        <f>(($D$14*F801C!E68)+($E$14*(F801ENE!E68)))*$K71</f>
        <v>95.038429796179045</v>
      </c>
      <c r="F71" s="156">
        <f>(($D$14*F801C!F68)+($E$14*(F801ENE!F68)))*$K71</f>
        <v>93.582172670853623</v>
      </c>
      <c r="G71" s="156">
        <f>(($D$14*F801C!G68)+($E$14*(F801ENE!G68)))*$K71</f>
        <v>94.774133736997271</v>
      </c>
      <c r="H71" s="156">
        <f>(($D$14*F801C!H68)+($E$14*(F801ENE!H68)))*$K71</f>
        <v>91.444755059177481</v>
      </c>
      <c r="I71" s="156">
        <f>(($D$14*F801C!I68)+($E$14*(F801ENE!I68)))*$K71</f>
        <v>91.789207530776736</v>
      </c>
      <c r="J71" s="156">
        <f t="shared" si="9"/>
        <v>561.63496385999986</v>
      </c>
      <c r="K71" s="1427">
        <v>0.95</v>
      </c>
    </row>
    <row r="72" spans="2:11" s="37" customFormat="1" ht="13.5">
      <c r="B72" s="48"/>
      <c r="C72" s="160" t="s">
        <v>307</v>
      </c>
      <c r="D72" s="156">
        <f>(($D$14*F801C!D69)+($E$14*(F801ENE!D69)))*$K72</f>
        <v>3.9732061045667448</v>
      </c>
      <c r="E72" s="156">
        <f>(($D$14*F801C!E69)+($E$14*(F801ENE!E69)))*$K72</f>
        <v>3.9743718293837915</v>
      </c>
      <c r="F72" s="156">
        <f>(($D$14*F801C!F69)+($E$14*(F801ENE!F69)))*$K72</f>
        <v>3.921593675723706</v>
      </c>
      <c r="G72" s="156">
        <f>(($D$14*F801C!G69)+($E$14*(F801ENE!G69)))*$K72</f>
        <v>3.9647931239610568</v>
      </c>
      <c r="H72" s="156">
        <f>(($D$14*F801C!H69)+($E$14*(F801ENE!H69)))*$K72</f>
        <v>3.8441286778308301</v>
      </c>
      <c r="I72" s="156">
        <f>(($D$14*F801C!I69)+($E$14*(F801ENE!I69)))*$K72</f>
        <v>3.8566124385338716</v>
      </c>
      <c r="J72" s="156">
        <f t="shared" si="9"/>
        <v>23.534705850000002</v>
      </c>
      <c r="K72" s="1427">
        <v>0.5</v>
      </c>
    </row>
    <row r="73" spans="2:11" s="37" customFormat="1" ht="13.5">
      <c r="B73" s="48"/>
      <c r="C73" s="160" t="s">
        <v>624</v>
      </c>
      <c r="D73" s="156">
        <f>(($D$14*F801C!D70)+($E$14*(F801ENE!D70)))*$K73</f>
        <v>0</v>
      </c>
      <c r="E73" s="156">
        <f>(($D$14*F801C!E70)+($E$14*(F801ENE!E70)))*$K73</f>
        <v>0</v>
      </c>
      <c r="F73" s="156">
        <f>(($D$14*F801C!F70)+($E$14*(F801ENE!F70)))*$K73</f>
        <v>0</v>
      </c>
      <c r="G73" s="156">
        <f>(($D$14*F801C!G70)+($E$14*(F801ENE!G70)))*$K73</f>
        <v>0</v>
      </c>
      <c r="H73" s="156">
        <f>(($D$14*F801C!H70)+($E$14*(F801ENE!H70)))*$K73</f>
        <v>0</v>
      </c>
      <c r="I73" s="156">
        <f>(($D$14*F801C!I70)+($E$14*(F801ENE!I70)))*$K73</f>
        <v>0</v>
      </c>
      <c r="J73" s="156">
        <f t="shared" si="9"/>
        <v>0</v>
      </c>
      <c r="K73" s="1427">
        <v>0</v>
      </c>
    </row>
    <row r="74" spans="2:11" s="37" customFormat="1" ht="13.5">
      <c r="B74" s="48" t="s">
        <v>750</v>
      </c>
      <c r="C74" s="158" t="s">
        <v>635</v>
      </c>
      <c r="D74" s="154">
        <f t="shared" ref="D74:I74" si="15">SUBTOTAL(9,D75:D80)</f>
        <v>717275.89063980244</v>
      </c>
      <c r="E74" s="154">
        <f t="shared" si="15"/>
        <v>717923.89504188753</v>
      </c>
      <c r="F74" s="154">
        <f t="shared" si="15"/>
        <v>708744.88768473198</v>
      </c>
      <c r="G74" s="154">
        <f t="shared" si="15"/>
        <v>716303.55915186752</v>
      </c>
      <c r="H74" s="154">
        <f t="shared" si="15"/>
        <v>694870.13913255138</v>
      </c>
      <c r="I74" s="154">
        <f t="shared" si="15"/>
        <v>697797.37164336385</v>
      </c>
      <c r="J74" s="154">
        <f t="shared" si="9"/>
        <v>4252915.7432942046</v>
      </c>
      <c r="K74" s="1426"/>
    </row>
    <row r="75" spans="2:11" s="37" customFormat="1" ht="13.5">
      <c r="B75" s="48"/>
      <c r="C75" s="160" t="s">
        <v>304</v>
      </c>
      <c r="D75" s="156">
        <f>(($D$14*F801C!D72)+($E$14*(F801ENE!D72)))*$K75</f>
        <v>498895.62360215554</v>
      </c>
      <c r="E75" s="156">
        <f>(($D$14*F801C!E72)+($E$14*(F801ENE!E72)))*$K75</f>
        <v>499328.01150774071</v>
      </c>
      <c r="F75" s="156">
        <f>(($D$14*F801C!F72)+($E$14*(F801ENE!F72)))*$K75</f>
        <v>492730.59172127396</v>
      </c>
      <c r="G75" s="156">
        <f>(($D$14*F801C!G72)+($E$14*(F801ENE!G72)))*$K75</f>
        <v>498159.80559312063</v>
      </c>
      <c r="H75" s="156">
        <f>(($D$14*F801C!H72)+($E$14*(F801ENE!H72)))*$K75</f>
        <v>482785.81918561656</v>
      </c>
      <c r="I75" s="156">
        <f>(($D$14*F801C!I72)+($E$14*(F801ENE!I72)))*$K75</f>
        <v>484835.60767659231</v>
      </c>
      <c r="J75" s="156">
        <f t="shared" si="9"/>
        <v>2956735.4592864998</v>
      </c>
      <c r="K75" s="1427">
        <v>1</v>
      </c>
    </row>
    <row r="76" spans="2:11" s="37" customFormat="1" ht="13.5">
      <c r="B76" s="48"/>
      <c r="C76" s="162" t="s">
        <v>642</v>
      </c>
      <c r="D76" s="156">
        <f>(($D$14*F801C!D73)+($E$14*(F801ENE!D73)))*$K76</f>
        <v>192367.66234740656</v>
      </c>
      <c r="E76" s="156">
        <f>(($D$14*F801C!E73)+($E$14*(F801ENE!E73)))*$K76</f>
        <v>192572.42641000473</v>
      </c>
      <c r="F76" s="156">
        <f>(($D$14*F801C!F73)+($E$14*(F801ENE!F73)))*$K76</f>
        <v>190482.18243573539</v>
      </c>
      <c r="G76" s="156">
        <f>(($D$14*F801C!G73)+($E$14*(F801ENE!G73)))*$K76</f>
        <v>192209.47036823205</v>
      </c>
      <c r="H76" s="156">
        <f>(($D$14*F801C!H73)+($E$14*(F801ENE!H73)))*$K76</f>
        <v>187273.37470612209</v>
      </c>
      <c r="I76" s="156">
        <f>(($D$14*F801C!I73)+($E$14*(F801ENE!I73)))*$K76</f>
        <v>188034.59988434918</v>
      </c>
      <c r="J76" s="156">
        <f t="shared" si="9"/>
        <v>1142939.7161518501</v>
      </c>
      <c r="K76" s="1427">
        <v>0.75</v>
      </c>
    </row>
    <row r="77" spans="2:11" s="37" customFormat="1" ht="13.5">
      <c r="B77" s="48"/>
      <c r="C77" s="162" t="s">
        <v>1177</v>
      </c>
      <c r="D77" s="156">
        <f>(($D$14*F801C!D74)+($E$14*(F801ENE!D74)))*$K77</f>
        <v>25923.819471562791</v>
      </c>
      <c r="E77" s="156">
        <f>(($D$14*F801C!E74)+($E$14*(F801ENE!E74)))*$K77</f>
        <v>25934.638594312542</v>
      </c>
      <c r="F77" s="156">
        <f>(($D$14*F801C!F74)+($E$14*(F801ENE!F74)))*$K77</f>
        <v>25444.803159222549</v>
      </c>
      <c r="G77" s="156">
        <f>(($D$14*F801C!G74)+($E$14*(F801ENE!G74)))*$K77</f>
        <v>25845.738376836907</v>
      </c>
      <c r="H77" s="156">
        <f>(($D$14*F801C!H74)+($E$14*(F801ENE!H74)))*$K77</f>
        <v>24725.848472185091</v>
      </c>
      <c r="I77" s="156">
        <f>(($D$14*F801C!I74)+($E$14*(F801ENE!I74)))*$K77</f>
        <v>24841.710584280121</v>
      </c>
      <c r="J77" s="156">
        <f t="shared" si="9"/>
        <v>152716.5586584</v>
      </c>
      <c r="K77" s="1427">
        <v>1</v>
      </c>
    </row>
    <row r="78" spans="2:11" s="37" customFormat="1" ht="13.5">
      <c r="B78" s="48"/>
      <c r="C78" s="160" t="s">
        <v>305</v>
      </c>
      <c r="D78" s="156">
        <f>(($D$14*F801C!D75)+($E$14*(F801ENE!D75)))*$K78</f>
        <v>85.069740641990691</v>
      </c>
      <c r="E78" s="156">
        <f>(($D$14*F801C!E75)+($E$14*(F801ENE!E75)))*$K78</f>
        <v>85.101501165334028</v>
      </c>
      <c r="F78" s="156">
        <f>(($D$14*F801C!F75)+($E$14*(F801ENE!F75)))*$K78</f>
        <v>83.663544490802849</v>
      </c>
      <c r="G78" s="156">
        <f>(($D$14*F801C!G75)+($E$14*(F801ENE!G75)))*$K78</f>
        <v>84.840526454382641</v>
      </c>
      <c r="H78" s="156">
        <f>(($D$14*F801C!H75)+($E$14*(F801ENE!H75)))*$K78</f>
        <v>81.552987318226997</v>
      </c>
      <c r="I78" s="156">
        <f>(($D$14*F801C!I75)+($E$14*(F801ENE!I75)))*$K78</f>
        <v>81.893111134262725</v>
      </c>
      <c r="J78" s="156">
        <f t="shared" si="9"/>
        <v>502.1214112049999</v>
      </c>
      <c r="K78" s="1427">
        <v>0.95</v>
      </c>
    </row>
    <row r="79" spans="2:11" s="37" customFormat="1" ht="13.5">
      <c r="B79" s="48"/>
      <c r="C79" s="160" t="s">
        <v>307</v>
      </c>
      <c r="D79" s="156">
        <f>(($D$14*F801C!D76)+($E$14*(F801ENE!D76)))*$K79</f>
        <v>3.7154780356618802</v>
      </c>
      <c r="E79" s="156">
        <f>(($D$14*F801C!E76)+($E$14*(F801ENE!E76)))*$K79</f>
        <v>3.7170286641480073</v>
      </c>
      <c r="F79" s="156">
        <f>(($D$14*F801C!F76)+($E$14*(F801ENE!F76)))*$K79</f>
        <v>3.6468240092296926</v>
      </c>
      <c r="G79" s="156">
        <f>(($D$14*F801C!G76)+($E$14*(F801ENE!G76)))*$K79</f>
        <v>3.7042872235682882</v>
      </c>
      <c r="H79" s="156">
        <f>(($D$14*F801C!H76)+($E$14*(F801ENE!H76)))*$K79</f>
        <v>3.5437813093970516</v>
      </c>
      <c r="I79" s="156">
        <f>(($D$14*F801C!I76)+($E$14*(F801ENE!I76)))*$K79</f>
        <v>3.5603870079950801</v>
      </c>
      <c r="J79" s="156">
        <f t="shared" si="9"/>
        <v>21.887786249999998</v>
      </c>
      <c r="K79" s="1427">
        <v>0.5</v>
      </c>
    </row>
    <row r="80" spans="2:11" s="37" customFormat="1" ht="13.5">
      <c r="B80" s="48"/>
      <c r="C80" s="160" t="s">
        <v>624</v>
      </c>
      <c r="D80" s="156">
        <f>(($D$14*F801C!D77)+($E$14*(F801ENE!D77)))*$K80</f>
        <v>0</v>
      </c>
      <c r="E80" s="156">
        <f>(($D$14*F801C!E77)+($E$14*(F801ENE!E77)))*$K80</f>
        <v>0</v>
      </c>
      <c r="F80" s="156">
        <f>(($D$14*F801C!F77)+($E$14*(F801ENE!F77)))*$K80</f>
        <v>0</v>
      </c>
      <c r="G80" s="156">
        <f>(($D$14*F801C!G77)+($E$14*(F801ENE!G77)))*$K80</f>
        <v>0</v>
      </c>
      <c r="H80" s="156">
        <f>(($D$14*F801C!H77)+($E$14*(F801ENE!H77)))*$K80</f>
        <v>0</v>
      </c>
      <c r="I80" s="156">
        <f>(($D$14*F801C!I77)+($E$14*(F801ENE!I77)))*$K80</f>
        <v>0</v>
      </c>
      <c r="J80" s="156">
        <f t="shared" si="9"/>
        <v>0</v>
      </c>
      <c r="K80" s="1427">
        <v>0</v>
      </c>
    </row>
    <row r="81" spans="2:11" s="37" customFormat="1" ht="13.5">
      <c r="B81" s="48" t="s">
        <v>749</v>
      </c>
      <c r="C81" s="158" t="s">
        <v>636</v>
      </c>
      <c r="D81" s="154">
        <f t="shared" ref="D81:I81" si="16">SUBTOTAL(9,D82:D87)</f>
        <v>550136.10251529573</v>
      </c>
      <c r="E81" s="154">
        <f t="shared" si="16"/>
        <v>550476.90077110205</v>
      </c>
      <c r="F81" s="154">
        <f t="shared" si="16"/>
        <v>541458.36836683622</v>
      </c>
      <c r="G81" s="154">
        <f t="shared" si="16"/>
        <v>548853.79617163655</v>
      </c>
      <c r="H81" s="154">
        <f t="shared" si="16"/>
        <v>528091.66955824639</v>
      </c>
      <c r="I81" s="154">
        <f t="shared" si="16"/>
        <v>530462.82769310323</v>
      </c>
      <c r="J81" s="154">
        <f t="shared" si="9"/>
        <v>3249479.6650762209</v>
      </c>
      <c r="K81" s="1426"/>
    </row>
    <row r="82" spans="2:11" s="37" customFormat="1" ht="13.5">
      <c r="B82" s="48"/>
      <c r="C82" s="160" t="s">
        <v>304</v>
      </c>
      <c r="D82" s="156">
        <f>(($D$14*F801C!D79)+($E$14*(F801ENE!D79)))*$K82</f>
        <v>493978.65951134113</v>
      </c>
      <c r="E82" s="156">
        <f>(($D$14*F801C!E79)+($E$14*(F801ENE!E79)))*$K82</f>
        <v>494275.12858484744</v>
      </c>
      <c r="F82" s="156">
        <f>(($D$14*F801C!F79)+($E$14*(F801ENE!F79)))*$K82</f>
        <v>486066.85808831931</v>
      </c>
      <c r="G82" s="156">
        <f>(($D$14*F801C!G79)+($E$14*(F801ENE!G79)))*$K82</f>
        <v>492796.34468141769</v>
      </c>
      <c r="H82" s="156">
        <f>(($D$14*F801C!H79)+($E$14*(F801ENE!H79)))*$K82</f>
        <v>473913.48535067949</v>
      </c>
      <c r="I82" s="156">
        <f>(($D$14*F801C!I79)+($E$14*(F801ENE!I79)))*$K82</f>
        <v>476048.22601429507</v>
      </c>
      <c r="J82" s="156">
        <f t="shared" si="9"/>
        <v>2917078.7022309001</v>
      </c>
      <c r="K82" s="1427">
        <v>1</v>
      </c>
    </row>
    <row r="83" spans="2:11" s="37" customFormat="1" ht="13.5">
      <c r="B83" s="48"/>
      <c r="C83" s="162" t="s">
        <v>642</v>
      </c>
      <c r="D83" s="156">
        <f>(($D$14*F801C!D80)+($E$14*(F801ENE!D80)))*$K83</f>
        <v>13535.189999999999</v>
      </c>
      <c r="E83" s="156">
        <f>(($D$14*F801C!E80)+($E$14*(F801ENE!E80)))*$K83</f>
        <v>13561.74</v>
      </c>
      <c r="F83" s="156">
        <f>(($D$14*F801C!F80)+($E$14*(F801ENE!F80)))*$K83</f>
        <v>13556.429999999998</v>
      </c>
      <c r="G83" s="156">
        <f>(($D$14*F801C!G80)+($E$14*(F801ENE!G80)))*$K83</f>
        <v>13563.51</v>
      </c>
      <c r="H83" s="156">
        <f>(($D$14*F801C!H80)+($E$14*(F801ENE!H80)))*$K83</f>
        <v>13524.57</v>
      </c>
      <c r="I83" s="156">
        <f>(($D$14*F801C!I80)+($E$14*(F801ENE!I80)))*$K83</f>
        <v>13570.59</v>
      </c>
      <c r="J83" s="156">
        <f t="shared" si="9"/>
        <v>81312.03</v>
      </c>
      <c r="K83" s="1427">
        <v>0.75</v>
      </c>
    </row>
    <row r="84" spans="2:11" s="37" customFormat="1" ht="13.5">
      <c r="B84" s="48"/>
      <c r="C84" s="162" t="s">
        <v>1177</v>
      </c>
      <c r="D84" s="156">
        <f>(($D$14*F801C!D81)+($E$14*(F801ENE!D81)))*$K84</f>
        <v>42299.324305367605</v>
      </c>
      <c r="E84" s="156">
        <f>(($D$14*F801C!E81)+($E$14*(F801ENE!E81)))*$K84</f>
        <v>42316.977629268942</v>
      </c>
      <c r="F84" s="156">
        <f>(($D$14*F801C!F81)+($E$14*(F801ENE!F81)))*$K84</f>
        <v>41517.723956488924</v>
      </c>
      <c r="G84" s="156">
        <f>(($D$14*F801C!G81)+($E$14*(F801ENE!G81)))*$K84</f>
        <v>42171.921105713664</v>
      </c>
      <c r="H84" s="156">
        <f>(($D$14*F801C!H81)+($E$14*(F801ENE!H81)))*$K84</f>
        <v>40344.621455091663</v>
      </c>
      <c r="I84" s="156">
        <f>(($D$14*F801C!I81)+($E$14*(F801ENE!I81)))*$K84</f>
        <v>40533.671107269212</v>
      </c>
      <c r="J84" s="156">
        <f t="shared" si="9"/>
        <v>249184.23955920001</v>
      </c>
      <c r="K84" s="1427">
        <v>1</v>
      </c>
    </row>
    <row r="85" spans="2:11" s="37" customFormat="1" ht="13.5">
      <c r="B85" s="48"/>
      <c r="C85" s="160" t="s">
        <v>305</v>
      </c>
      <c r="D85" s="156">
        <f>(($D$14*F801C!D82)+($E$14*(F801ENE!D82)))*$K85</f>
        <v>320.49446431935559</v>
      </c>
      <c r="E85" s="156">
        <f>(($D$14*F801C!E82)+($E$14*(F801ENE!E82)))*$K85</f>
        <v>320.6197992722087</v>
      </c>
      <c r="F85" s="156">
        <f>(($D$14*F801C!F82)+($E$14*(F801ENE!F82)))*$K85</f>
        <v>314.94526330632107</v>
      </c>
      <c r="G85" s="156">
        <f>(($D$14*F801C!G82)+($E$14*(F801ENE!G82)))*$K85</f>
        <v>319.58992792092914</v>
      </c>
      <c r="H85" s="156">
        <f>(($D$14*F801C!H82)+($E$14*(F801ENE!H82)))*$K85</f>
        <v>306.61647788742226</v>
      </c>
      <c r="I85" s="156">
        <f>(($D$14*F801C!I82)+($E$14*(F801ENE!I82)))*$K85</f>
        <v>307.95869136376285</v>
      </c>
      <c r="J85" s="156">
        <f t="shared" si="9"/>
        <v>1890.2246240699997</v>
      </c>
      <c r="K85" s="1427">
        <v>0.95</v>
      </c>
    </row>
    <row r="86" spans="2:11" s="37" customFormat="1" ht="13.5">
      <c r="B86" s="48"/>
      <c r="C86" s="160" t="s">
        <v>307</v>
      </c>
      <c r="D86" s="156">
        <f>(($D$14*F801C!D83)+($E$14*(F801ENE!D83)))*$K86</f>
        <v>2.4342342677393187</v>
      </c>
      <c r="E86" s="156">
        <f>(($D$14*F801C!E83)+($E$14*(F801ENE!E83)))*$K86</f>
        <v>2.4347577135422993</v>
      </c>
      <c r="F86" s="156">
        <f>(($D$14*F801C!F83)+($E$14*(F801ENE!F83)))*$K86</f>
        <v>2.411058721620341</v>
      </c>
      <c r="G86" s="156">
        <f>(($D$14*F801C!G83)+($E$14*(F801ENE!G83)))*$K86</f>
        <v>2.4304565842550145</v>
      </c>
      <c r="H86" s="156">
        <f>(($D$14*F801C!H83)+($E$14*(F801ENE!H83)))*$K86</f>
        <v>2.3762745878076776</v>
      </c>
      <c r="I86" s="156">
        <f>(($D$14*F801C!I83)+($E$14*(F801ENE!I83)))*$K86</f>
        <v>2.3818801750353482</v>
      </c>
      <c r="J86" s="156">
        <f t="shared" si="9"/>
        <v>14.468662049999999</v>
      </c>
      <c r="K86" s="1427">
        <v>0.5</v>
      </c>
    </row>
    <row r="87" spans="2:11" s="37" customFormat="1" ht="13.5">
      <c r="B87" s="48"/>
      <c r="C87" s="160" t="s">
        <v>624</v>
      </c>
      <c r="D87" s="156">
        <f>(($D$14*F801C!D84)+($E$14*(F801ENE!D84)))*$K87</f>
        <v>0</v>
      </c>
      <c r="E87" s="156">
        <f>(($D$14*F801C!E84)+($E$14*(F801ENE!E84)))*$K87</f>
        <v>0</v>
      </c>
      <c r="F87" s="156">
        <f>(($D$14*F801C!F84)+($E$14*(F801ENE!F84)))*$K87</f>
        <v>0</v>
      </c>
      <c r="G87" s="156">
        <f>(($D$14*F801C!G84)+($E$14*(F801ENE!G84)))*$K87</f>
        <v>0</v>
      </c>
      <c r="H87" s="156">
        <f>(($D$14*F801C!H84)+($E$14*(F801ENE!H84)))*$K87</f>
        <v>0</v>
      </c>
      <c r="I87" s="156">
        <f>(($D$14*F801C!I84)+($E$14*(F801ENE!I84)))*$K87</f>
        <v>0</v>
      </c>
      <c r="J87" s="156">
        <f t="shared" si="9"/>
        <v>0</v>
      </c>
      <c r="K87" s="1427">
        <v>0</v>
      </c>
    </row>
    <row r="88" spans="2:11" s="37" customFormat="1" ht="13.5">
      <c r="B88" s="48"/>
      <c r="C88" s="157"/>
      <c r="D88" s="156"/>
      <c r="E88" s="156"/>
      <c r="F88" s="156"/>
      <c r="G88" s="156"/>
      <c r="H88" s="156"/>
      <c r="I88" s="156"/>
      <c r="J88" s="156">
        <f t="shared" si="9"/>
        <v>0</v>
      </c>
      <c r="K88" s="1426"/>
    </row>
    <row r="89" spans="2:11" s="37" customFormat="1" ht="13.5">
      <c r="B89" s="48" t="s">
        <v>902</v>
      </c>
      <c r="C89" s="158" t="s">
        <v>898</v>
      </c>
      <c r="D89" s="154">
        <f t="shared" ref="D89:I89" si="17">SUBTOTAL(9,D90:D94)</f>
        <v>253592.91145465802</v>
      </c>
      <c r="E89" s="154">
        <f t="shared" si="17"/>
        <v>253698.74666310419</v>
      </c>
      <c r="F89" s="154">
        <f t="shared" si="17"/>
        <v>248907.0609990996</v>
      </c>
      <c r="G89" s="154">
        <f t="shared" si="17"/>
        <v>252829.10378492688</v>
      </c>
      <c r="H89" s="154">
        <f t="shared" si="17"/>
        <v>241874.07681674178</v>
      </c>
      <c r="I89" s="154">
        <f t="shared" si="17"/>
        <v>243007.46730210964</v>
      </c>
      <c r="J89" s="154">
        <f t="shared" si="9"/>
        <v>1493909.3670206401</v>
      </c>
      <c r="K89" s="1426"/>
    </row>
    <row r="90" spans="2:11" s="37" customFormat="1" ht="13.5">
      <c r="B90" s="48"/>
      <c r="C90" s="160" t="s">
        <v>304</v>
      </c>
      <c r="D90" s="156">
        <f>($E$13*(F801ENE!D87))*$K90</f>
        <v>243908.66299082278</v>
      </c>
      <c r="E90" s="156">
        <f>($E$13*(F801ENE!E87))*$K90</f>
        <v>244010.45654664966</v>
      </c>
      <c r="F90" s="156">
        <f>($E$13*(F801ENE!F87))*$K90</f>
        <v>239401.75657520498</v>
      </c>
      <c r="G90" s="156">
        <f>($E$13*(F801ENE!G87))*$K90</f>
        <v>243174.02373597291</v>
      </c>
      <c r="H90" s="156">
        <f>($E$13*(F801ENE!H87))*$K90</f>
        <v>232637.34916762169</v>
      </c>
      <c r="I90" s="156">
        <f>($E$13*(F801ENE!I87))*$K90</f>
        <v>233727.45754780812</v>
      </c>
      <c r="J90" s="156">
        <f t="shared" si="9"/>
        <v>1436859.70656408</v>
      </c>
      <c r="K90" s="1427">
        <v>1</v>
      </c>
    </row>
    <row r="91" spans="2:11" s="37" customFormat="1" ht="13.5">
      <c r="B91" s="48"/>
      <c r="C91" s="162" t="s">
        <v>644</v>
      </c>
      <c r="D91" s="156">
        <f>($E$13*(F801ENE!D88))*$K91</f>
        <v>9684.2484638352507</v>
      </c>
      <c r="E91" s="156">
        <f>($E$13*(F801ENE!E88))*$K91</f>
        <v>9688.2901164545437</v>
      </c>
      <c r="F91" s="156">
        <f>($E$13*(F801ENE!F88))*$K91</f>
        <v>9505.3044238946186</v>
      </c>
      <c r="G91" s="156">
        <f>($E$13*(F801ENE!G88))*$K91</f>
        <v>9655.0800489539797</v>
      </c>
      <c r="H91" s="156">
        <f>($E$13*(F801ENE!H88))*$K91</f>
        <v>9236.7276491200828</v>
      </c>
      <c r="I91" s="156">
        <f>($E$13*(F801ENE!I88))*$K91</f>
        <v>9280.009754301529</v>
      </c>
      <c r="J91" s="156">
        <f t="shared" si="9"/>
        <v>57049.660456560006</v>
      </c>
      <c r="K91" s="1427">
        <v>0.75</v>
      </c>
    </row>
    <row r="92" spans="2:11" s="37" customFormat="1" ht="13.5">
      <c r="B92" s="48"/>
      <c r="C92" s="160" t="s">
        <v>305</v>
      </c>
      <c r="D92" s="156">
        <f>($E$13*(F801ENE!D89))*$K92</f>
        <v>0</v>
      </c>
      <c r="E92" s="156">
        <f>($E$13*(F801ENE!E89))*$K92</f>
        <v>0</v>
      </c>
      <c r="F92" s="156">
        <f>($E$13*(F801ENE!F89))*$K92</f>
        <v>0</v>
      </c>
      <c r="G92" s="156">
        <f>($E$13*(F801ENE!G89))*$K92</f>
        <v>0</v>
      </c>
      <c r="H92" s="156">
        <f>($E$13*(F801ENE!H89))*$K92</f>
        <v>0</v>
      </c>
      <c r="I92" s="156">
        <f>($E$13*(F801ENE!I89))*$K92</f>
        <v>0</v>
      </c>
      <c r="J92" s="156">
        <f t="shared" si="9"/>
        <v>0</v>
      </c>
      <c r="K92" s="1427">
        <v>0.95</v>
      </c>
    </row>
    <row r="93" spans="2:11" s="37" customFormat="1" ht="13.5">
      <c r="B93" s="48"/>
      <c r="C93" s="160" t="s">
        <v>307</v>
      </c>
      <c r="D93" s="156">
        <f>($E$13*(F801ENE!D90))*$K93</f>
        <v>0</v>
      </c>
      <c r="E93" s="156">
        <f>($E$13*(F801ENE!E90))*$K93</f>
        <v>0</v>
      </c>
      <c r="F93" s="156">
        <f>($E$13*(F801ENE!F90))*$K93</f>
        <v>0</v>
      </c>
      <c r="G93" s="156">
        <f>($E$13*(F801ENE!G90))*$K93</f>
        <v>0</v>
      </c>
      <c r="H93" s="156">
        <f>($E$13*(F801ENE!H90))*$K93</f>
        <v>0</v>
      </c>
      <c r="I93" s="156">
        <f>($E$13*(F801ENE!I90))*$K93</f>
        <v>0</v>
      </c>
      <c r="J93" s="156">
        <f t="shared" si="9"/>
        <v>0</v>
      </c>
      <c r="K93" s="1427">
        <v>0.5</v>
      </c>
    </row>
    <row r="94" spans="2:11" s="37" customFormat="1" ht="13.5">
      <c r="B94" s="48"/>
      <c r="C94" s="160" t="s">
        <v>624</v>
      </c>
      <c r="D94" s="156">
        <f>($E$13*(F801ENE!D91))*$K94</f>
        <v>0</v>
      </c>
      <c r="E94" s="156">
        <f>($E$13*(F801ENE!E91))*$K94</f>
        <v>0</v>
      </c>
      <c r="F94" s="156">
        <f>($E$13*(F801ENE!F91))*$K94</f>
        <v>0</v>
      </c>
      <c r="G94" s="156">
        <f>($E$13*(F801ENE!G91))*$K94</f>
        <v>0</v>
      </c>
      <c r="H94" s="156">
        <f>($E$13*(F801ENE!H91))*$K94</f>
        <v>0</v>
      </c>
      <c r="I94" s="156">
        <f>($E$13*(F801ENE!I91))*$K94</f>
        <v>0</v>
      </c>
      <c r="J94" s="156">
        <f t="shared" si="9"/>
        <v>0</v>
      </c>
      <c r="K94" s="1427">
        <v>0</v>
      </c>
    </row>
    <row r="95" spans="2:11" s="37" customFormat="1" ht="13.5">
      <c r="B95" s="48" t="s">
        <v>902</v>
      </c>
      <c r="C95" s="158" t="s">
        <v>899</v>
      </c>
      <c r="D95" s="154">
        <f t="shared" ref="D95:I95" si="18">SUBTOTAL(9,D96:D101)</f>
        <v>20071.709160845439</v>
      </c>
      <c r="E95" s="154">
        <f t="shared" si="18"/>
        <v>20080.085946737148</v>
      </c>
      <c r="F95" s="154">
        <f t="shared" si="18"/>
        <v>19700.827234471089</v>
      </c>
      <c r="G95" s="154">
        <f t="shared" si="18"/>
        <v>20011.254295156472</v>
      </c>
      <c r="H95" s="154">
        <f t="shared" si="18"/>
        <v>19144.171245029716</v>
      </c>
      <c r="I95" s="154">
        <f t="shared" si="18"/>
        <v>19233.87834314015</v>
      </c>
      <c r="J95" s="154">
        <f t="shared" si="9"/>
        <v>118241.92622538001</v>
      </c>
      <c r="K95" s="1426"/>
    </row>
    <row r="96" spans="2:11" s="37" customFormat="1" ht="13.5">
      <c r="B96" s="48"/>
      <c r="C96" s="160" t="s">
        <v>304</v>
      </c>
      <c r="D96" s="156">
        <f>($E$13*(F801ENE!D93))*$K96</f>
        <v>18232.561247794769</v>
      </c>
      <c r="E96" s="156">
        <f>($E$13*(F801ENE!E93))*$K96</f>
        <v>18240.170478309534</v>
      </c>
      <c r="F96" s="156">
        <f>($E$13*(F801ENE!F93))*$K96</f>
        <v>17895.662811088067</v>
      </c>
      <c r="G96" s="156">
        <f>($E$13*(F801ENE!G93))*$K96</f>
        <v>18177.645792784515</v>
      </c>
      <c r="H96" s="156">
        <f>($E$13*(F801ENE!H93))*$K96</f>
        <v>17390.012577711816</v>
      </c>
      <c r="I96" s="156">
        <f>($E$13*(F801ENE!I93))*$K96</f>
        <v>17471.499916311313</v>
      </c>
      <c r="J96" s="156">
        <f t="shared" si="9"/>
        <v>107407.55282400003</v>
      </c>
      <c r="K96" s="1427">
        <v>1</v>
      </c>
    </row>
    <row r="97" spans="2:11" s="37" customFormat="1" ht="13.5">
      <c r="B97" s="48"/>
      <c r="C97" s="162" t="s">
        <v>642</v>
      </c>
      <c r="D97" s="156">
        <f>($E$13*(F801ENE!D94))*$K97</f>
        <v>1667.7513675129308</v>
      </c>
      <c r="E97" s="156">
        <f>($E$13*(F801ENE!E94))*$K97</f>
        <v>1668.447391753532</v>
      </c>
      <c r="F97" s="156">
        <f>($E$13*(F801ENE!F94))*$K97</f>
        <v>1636.9349166098227</v>
      </c>
      <c r="G97" s="156">
        <f>($E$13*(F801ENE!G94))*$K97</f>
        <v>1662.7281936457907</v>
      </c>
      <c r="H97" s="156">
        <f>($E$13*(F801ENE!H94))*$K97</f>
        <v>1590.6825631014274</v>
      </c>
      <c r="I97" s="156">
        <f>($E$13*(F801ENE!I94))*$K97</f>
        <v>1598.1362948364977</v>
      </c>
      <c r="J97" s="156">
        <f t="shared" si="9"/>
        <v>9824.6807274599996</v>
      </c>
      <c r="K97" s="1427">
        <v>0.75</v>
      </c>
    </row>
    <row r="98" spans="2:11" s="37" customFormat="1" ht="13.5">
      <c r="B98" s="48"/>
      <c r="C98" s="162" t="s">
        <v>1177</v>
      </c>
      <c r="D98" s="156">
        <f>($E$13*(F801ENE!D95))*$K98</f>
        <v>171.3965455377413</v>
      </c>
      <c r="E98" s="156">
        <f>($E$13*(F801ENE!E95))*$K98</f>
        <v>171.46807667408063</v>
      </c>
      <c r="F98" s="156">
        <f>($E$13*(F801ENE!F95))*$K98</f>
        <v>168.2295067732025</v>
      </c>
      <c r="G98" s="156">
        <f>($E$13*(F801ENE!G95))*$K98</f>
        <v>170.88030872616721</v>
      </c>
      <c r="H98" s="156">
        <f>($E$13*(F801ENE!H95))*$K98</f>
        <v>163.47610421647042</v>
      </c>
      <c r="I98" s="156">
        <f>($E$13*(F801ENE!I95))*$K98</f>
        <v>164.24213199233802</v>
      </c>
      <c r="J98" s="156">
        <f t="shared" si="9"/>
        <v>1009.6926739200001</v>
      </c>
      <c r="K98" s="1427">
        <v>1</v>
      </c>
    </row>
    <row r="99" spans="2:11" s="37" customFormat="1" ht="13.5">
      <c r="B99" s="48"/>
      <c r="C99" s="160" t="s">
        <v>305</v>
      </c>
      <c r="D99" s="156">
        <f>($E$13*(F801ENE!D96))*$K99</f>
        <v>0</v>
      </c>
      <c r="E99" s="156">
        <f>($E$13*(F801ENE!E96))*$K99</f>
        <v>0</v>
      </c>
      <c r="F99" s="156">
        <f>($E$13*(F801ENE!F96))*$K99</f>
        <v>0</v>
      </c>
      <c r="G99" s="156">
        <f>($E$13*(F801ENE!G96))*$K99</f>
        <v>0</v>
      </c>
      <c r="H99" s="156">
        <f>($E$13*(F801ENE!H96))*$K99</f>
        <v>0</v>
      </c>
      <c r="I99" s="156">
        <f>($E$13*(F801ENE!I96))*$K99</f>
        <v>0</v>
      </c>
      <c r="J99" s="156">
        <f t="shared" si="9"/>
        <v>0</v>
      </c>
      <c r="K99" s="1427">
        <v>0.95</v>
      </c>
    </row>
    <row r="100" spans="2:11" s="37" customFormat="1" ht="13.5">
      <c r="B100" s="48"/>
      <c r="C100" s="160" t="s">
        <v>307</v>
      </c>
      <c r="D100" s="156">
        <f>($E$13*(F801ENE!D97))*$K100</f>
        <v>0</v>
      </c>
      <c r="E100" s="156">
        <f>($E$13*(F801ENE!E97))*$K100</f>
        <v>0</v>
      </c>
      <c r="F100" s="156">
        <f>($E$13*(F801ENE!F97))*$K100</f>
        <v>0</v>
      </c>
      <c r="G100" s="156">
        <f>($E$13*(F801ENE!G97))*$K100</f>
        <v>0</v>
      </c>
      <c r="H100" s="156">
        <f>($E$13*(F801ENE!H97))*$K100</f>
        <v>0</v>
      </c>
      <c r="I100" s="156">
        <f>($E$13*(F801ENE!I97))*$K100</f>
        <v>0</v>
      </c>
      <c r="J100" s="156">
        <f t="shared" ref="J100:J143" si="19">SUM(D100:I100)</f>
        <v>0</v>
      </c>
      <c r="K100" s="1427">
        <v>0.5</v>
      </c>
    </row>
    <row r="101" spans="2:11" s="37" customFormat="1" ht="13.5">
      <c r="B101" s="48"/>
      <c r="C101" s="160" t="s">
        <v>624</v>
      </c>
      <c r="D101" s="156">
        <f>($E$13*(F801ENE!D98))*$K101</f>
        <v>0</v>
      </c>
      <c r="E101" s="156">
        <f>($E$13*(F801ENE!E98))*$K101</f>
        <v>0</v>
      </c>
      <c r="F101" s="156">
        <f>($E$13*(F801ENE!F98))*$K101</f>
        <v>0</v>
      </c>
      <c r="G101" s="156">
        <f>($E$13*(F801ENE!G98))*$K101</f>
        <v>0</v>
      </c>
      <c r="H101" s="156">
        <f>($E$13*(F801ENE!H98))*$K101</f>
        <v>0</v>
      </c>
      <c r="I101" s="156">
        <f>($E$13*(F801ENE!I98))*$K101</f>
        <v>0</v>
      </c>
      <c r="J101" s="156">
        <f t="shared" si="19"/>
        <v>0</v>
      </c>
      <c r="K101" s="1427">
        <v>0</v>
      </c>
    </row>
    <row r="102" spans="2:11" s="37" customFormat="1" ht="13.5">
      <c r="B102" s="48" t="s">
        <v>902</v>
      </c>
      <c r="C102" s="158" t="s">
        <v>900</v>
      </c>
      <c r="D102" s="154">
        <f t="shared" ref="D102:I102" si="20">SUBTOTAL(9,D103:D108)</f>
        <v>2219.6323146199138</v>
      </c>
      <c r="E102" s="154">
        <f t="shared" si="20"/>
        <v>2220.5586624714533</v>
      </c>
      <c r="F102" s="154">
        <f t="shared" si="20"/>
        <v>2178.6182932382731</v>
      </c>
      <c r="G102" s="154">
        <f t="shared" si="20"/>
        <v>2212.9469061983427</v>
      </c>
      <c r="H102" s="154">
        <f t="shared" si="20"/>
        <v>2117.0604252764815</v>
      </c>
      <c r="I102" s="154">
        <f t="shared" si="20"/>
        <v>2126.9806952555386</v>
      </c>
      <c r="J102" s="154">
        <f t="shared" si="19"/>
        <v>13075.797297060004</v>
      </c>
      <c r="K102" s="1426"/>
    </row>
    <row r="103" spans="2:11" s="37" customFormat="1" ht="13.5">
      <c r="B103" s="48"/>
      <c r="C103" s="160" t="s">
        <v>304</v>
      </c>
      <c r="D103" s="156">
        <f>($E$13*(F801ENE!D100))*$K103</f>
        <v>2156.3823068070546</v>
      </c>
      <c r="E103" s="156">
        <f>($E$13*(F801ENE!E100))*$K103</f>
        <v>2157.2822577150728</v>
      </c>
      <c r="F103" s="156">
        <f>($E$13*(F801ENE!F100))*$K103</f>
        <v>2116.5370092522112</v>
      </c>
      <c r="G103" s="156">
        <f>($E$13*(F801ENE!G100))*$K103</f>
        <v>2149.8874038724111</v>
      </c>
      <c r="H103" s="156">
        <f>($E$13*(F801ENE!H100))*$K103</f>
        <v>2056.733276695586</v>
      </c>
      <c r="I103" s="156">
        <f>($E$13*(F801ENE!I100))*$K103</f>
        <v>2066.3708614976667</v>
      </c>
      <c r="J103" s="156">
        <f t="shared" si="19"/>
        <v>12703.193115840004</v>
      </c>
      <c r="K103" s="1427">
        <v>1</v>
      </c>
    </row>
    <row r="104" spans="2:11" s="37" customFormat="1" ht="13.5">
      <c r="B104" s="48"/>
      <c r="C104" s="162" t="s">
        <v>642</v>
      </c>
      <c r="D104" s="156">
        <f>($E$13*(F801ENE!D101))*$K104</f>
        <v>63.250007812859053</v>
      </c>
      <c r="E104" s="156">
        <f>($E$13*(F801ENE!E101))*$K104</f>
        <v>63.276404756380458</v>
      </c>
      <c r="F104" s="156">
        <f>($E$13*(F801ENE!F101))*$K104</f>
        <v>62.081283986061749</v>
      </c>
      <c r="G104" s="156">
        <f>($E$13*(F801ENE!G101))*$K104</f>
        <v>63.059502325931618</v>
      </c>
      <c r="H104" s="156">
        <f>($E$13*(F801ENE!H101))*$K104</f>
        <v>60.32714858089534</v>
      </c>
      <c r="I104" s="156">
        <f>($E$13*(F801ENE!I101))*$K104</f>
        <v>60.609833757871812</v>
      </c>
      <c r="J104" s="156">
        <f t="shared" si="19"/>
        <v>372.60418121999999</v>
      </c>
      <c r="K104" s="1427">
        <v>0.75</v>
      </c>
    </row>
    <row r="105" spans="2:11" s="37" customFormat="1" ht="13.5">
      <c r="B105" s="48"/>
      <c r="C105" s="162" t="s">
        <v>1177</v>
      </c>
      <c r="D105" s="156">
        <f>($E$13*(F801ENE!D102))*$K105</f>
        <v>0</v>
      </c>
      <c r="E105" s="156">
        <f>($E$13*(F801ENE!E102))*$K105</f>
        <v>0</v>
      </c>
      <c r="F105" s="156">
        <f>($E$13*(F801ENE!F102))*$K105</f>
        <v>0</v>
      </c>
      <c r="G105" s="156">
        <f>($E$13*(F801ENE!G102))*$K105</f>
        <v>0</v>
      </c>
      <c r="H105" s="156">
        <f>($E$13*(F801ENE!H102))*$K105</f>
        <v>0</v>
      </c>
      <c r="I105" s="156">
        <f>($E$13*(F801ENE!I102))*$K105</f>
        <v>0</v>
      </c>
      <c r="J105" s="156">
        <f t="shared" si="19"/>
        <v>0</v>
      </c>
      <c r="K105" s="1427">
        <v>1</v>
      </c>
    </row>
    <row r="106" spans="2:11" s="37" customFormat="1" ht="13.5">
      <c r="B106" s="48"/>
      <c r="C106" s="160" t="s">
        <v>305</v>
      </c>
      <c r="D106" s="156">
        <f>($E$13*(F801ENE!D103))*$K106</f>
        <v>0</v>
      </c>
      <c r="E106" s="156">
        <f>($E$13*(F801ENE!E103))*$K106</f>
        <v>0</v>
      </c>
      <c r="F106" s="156">
        <f>($E$13*(F801ENE!F103))*$K106</f>
        <v>0</v>
      </c>
      <c r="G106" s="156">
        <f>($E$13*(F801ENE!G103))*$K106</f>
        <v>0</v>
      </c>
      <c r="H106" s="156">
        <f>($E$13*(F801ENE!H103))*$K106</f>
        <v>0</v>
      </c>
      <c r="I106" s="156">
        <f>($E$13*(F801ENE!I103))*$K106</f>
        <v>0</v>
      </c>
      <c r="J106" s="156">
        <f t="shared" si="19"/>
        <v>0</v>
      </c>
      <c r="K106" s="1427">
        <v>0.95</v>
      </c>
    </row>
    <row r="107" spans="2:11" s="37" customFormat="1" ht="13.5">
      <c r="B107" s="48"/>
      <c r="C107" s="160" t="s">
        <v>307</v>
      </c>
      <c r="D107" s="156">
        <f>($E$13*(F801ENE!D104))*$K107</f>
        <v>0</v>
      </c>
      <c r="E107" s="156">
        <f>($E$13*(F801ENE!E104))*$K107</f>
        <v>0</v>
      </c>
      <c r="F107" s="156">
        <f>($E$13*(F801ENE!F104))*$K107</f>
        <v>0</v>
      </c>
      <c r="G107" s="156">
        <f>($E$13*(F801ENE!G104))*$K107</f>
        <v>0</v>
      </c>
      <c r="H107" s="156">
        <f>($E$13*(F801ENE!H104))*$K107</f>
        <v>0</v>
      </c>
      <c r="I107" s="156">
        <f>($E$13*(F801ENE!I104))*$K107</f>
        <v>0</v>
      </c>
      <c r="J107" s="156">
        <f t="shared" si="19"/>
        <v>0</v>
      </c>
      <c r="K107" s="1427">
        <v>0.5</v>
      </c>
    </row>
    <row r="108" spans="2:11" s="37" customFormat="1" ht="13.5">
      <c r="B108" s="48"/>
      <c r="C108" s="160" t="s">
        <v>624</v>
      </c>
      <c r="D108" s="156">
        <f>($E$13*(F801ENE!D105))*$K108</f>
        <v>0</v>
      </c>
      <c r="E108" s="156">
        <f>($E$13*(F801ENE!E105))*$K108</f>
        <v>0</v>
      </c>
      <c r="F108" s="156">
        <f>($E$13*(F801ENE!F105))*$K108</f>
        <v>0</v>
      </c>
      <c r="G108" s="156">
        <f>($E$13*(F801ENE!G105))*$K108</f>
        <v>0</v>
      </c>
      <c r="H108" s="156">
        <f>($E$13*(F801ENE!H105))*$K108</f>
        <v>0</v>
      </c>
      <c r="I108" s="156">
        <f>($E$13*(F801ENE!I105))*$K108</f>
        <v>0</v>
      </c>
      <c r="J108" s="156">
        <f t="shared" si="19"/>
        <v>0</v>
      </c>
      <c r="K108" s="1427">
        <v>0</v>
      </c>
    </row>
    <row r="109" spans="2:11" s="37" customFormat="1" ht="13.5">
      <c r="B109" s="48"/>
      <c r="C109" s="157"/>
      <c r="D109" s="156"/>
      <c r="E109" s="156"/>
      <c r="F109" s="156"/>
      <c r="G109" s="156"/>
      <c r="H109" s="156"/>
      <c r="I109" s="156"/>
      <c r="J109" s="156">
        <f t="shared" si="19"/>
        <v>0</v>
      </c>
      <c r="K109" s="1426"/>
    </row>
    <row r="110" spans="2:11" s="37" customFormat="1" ht="13.5">
      <c r="B110" s="48"/>
      <c r="C110" s="153" t="s">
        <v>112</v>
      </c>
      <c r="D110" s="154">
        <f t="shared" ref="D110:I110" si="21">D33+D23+D19</f>
        <v>4021022.2444240628</v>
      </c>
      <c r="E110" s="154">
        <f t="shared" si="21"/>
        <v>4024236.9916813625</v>
      </c>
      <c r="F110" s="154">
        <f t="shared" si="21"/>
        <v>3967478.9823388373</v>
      </c>
      <c r="G110" s="154">
        <f t="shared" si="21"/>
        <v>4014133.7880110098</v>
      </c>
      <c r="H110" s="154">
        <f t="shared" si="21"/>
        <v>3882401.4417755404</v>
      </c>
      <c r="I110" s="154">
        <f t="shared" si="21"/>
        <v>3899140.8612302472</v>
      </c>
      <c r="J110" s="154">
        <f t="shared" si="19"/>
        <v>23808414.309461061</v>
      </c>
      <c r="K110" s="1426"/>
    </row>
    <row r="111" spans="2:11">
      <c r="C111" s="48"/>
      <c r="D111" s="48"/>
      <c r="E111" s="48"/>
      <c r="F111" s="48"/>
      <c r="G111" s="48"/>
      <c r="H111" s="48"/>
      <c r="I111" s="48"/>
      <c r="J111" s="48"/>
    </row>
    <row r="112" spans="2:11" ht="33">
      <c r="C112" s="173" t="s">
        <v>1402</v>
      </c>
      <c r="D112" s="173"/>
      <c r="E112" s="173"/>
      <c r="F112" s="173"/>
      <c r="G112" s="173"/>
      <c r="H112" s="173"/>
      <c r="I112" s="173"/>
      <c r="J112" s="173"/>
    </row>
    <row r="113" spans="1:11" s="37" customFormat="1" ht="18" customHeight="1">
      <c r="A113" s="63"/>
      <c r="B113" s="48"/>
      <c r="C113" s="150" t="s">
        <v>310</v>
      </c>
      <c r="D113" s="151">
        <f t="shared" ref="D113:I113" si="22">D18</f>
        <v>46204</v>
      </c>
      <c r="E113" s="151">
        <f t="shared" si="22"/>
        <v>46235</v>
      </c>
      <c r="F113" s="151">
        <f t="shared" si="22"/>
        <v>46266</v>
      </c>
      <c r="G113" s="151">
        <f t="shared" si="22"/>
        <v>46296</v>
      </c>
      <c r="H113" s="151">
        <f t="shared" si="22"/>
        <v>46327</v>
      </c>
      <c r="I113" s="151">
        <f t="shared" si="22"/>
        <v>46357</v>
      </c>
      <c r="J113" s="151">
        <f t="shared" si="19"/>
        <v>277685</v>
      </c>
      <c r="K113" s="1426"/>
    </row>
    <row r="114" spans="1:11" s="37" customFormat="1" ht="13.5">
      <c r="A114" s="143"/>
      <c r="B114" s="52"/>
      <c r="C114" s="527" t="s">
        <v>230</v>
      </c>
      <c r="D114" s="528">
        <f t="shared" ref="D114:I114" si="23">SUM(D115:D116)</f>
        <v>6500.0374343739604</v>
      </c>
      <c r="E114" s="528">
        <f t="shared" si="23"/>
        <v>6043.1486842658396</v>
      </c>
      <c r="F114" s="528">
        <f t="shared" si="23"/>
        <v>6155.698919816472</v>
      </c>
      <c r="G114" s="528">
        <f t="shared" si="23"/>
        <v>7175.4300556673279</v>
      </c>
      <c r="H114" s="528">
        <f t="shared" si="23"/>
        <v>5673.4883110242954</v>
      </c>
      <c r="I114" s="528">
        <f t="shared" si="23"/>
        <v>6726.8443738971773</v>
      </c>
      <c r="J114" s="528">
        <f t="shared" si="19"/>
        <v>38274.647779045074</v>
      </c>
      <c r="K114" s="1428"/>
    </row>
    <row r="115" spans="1:11" s="37" customFormat="1" ht="13.5">
      <c r="A115" s="143"/>
      <c r="B115" s="52" t="s">
        <v>870</v>
      </c>
      <c r="C115" s="157" t="s">
        <v>1026</v>
      </c>
      <c r="D115" s="156">
        <f>($D$7/2)*F801C!D116+$E$7*F801ENE!D116</f>
        <v>4398.02806792908</v>
      </c>
      <c r="E115" s="156">
        <f>($D$7/2)*F801C!E116+$E$7*F801ENE!E116</f>
        <v>3981.4229156959195</v>
      </c>
      <c r="F115" s="156">
        <f>($D$7/2)*F801C!F116+$E$7*F801ENE!F116</f>
        <v>4024.2604420582315</v>
      </c>
      <c r="G115" s="156">
        <f>($D$7/2)*F801C!G116+$E$7*F801ENE!G116</f>
        <v>4613.6910733314953</v>
      </c>
      <c r="H115" s="156">
        <f>($D$7/2)*F801C!H116+$E$7*F801ENE!H116</f>
        <v>3206.7220461207603</v>
      </c>
      <c r="I115" s="156">
        <f>($D$7/2)*F801C!I116+$E$7*F801ENE!I116</f>
        <v>4133.6594930083438</v>
      </c>
      <c r="J115" s="156">
        <f t="shared" si="19"/>
        <v>24357.784038143833</v>
      </c>
      <c r="K115" s="1428"/>
    </row>
    <row r="116" spans="1:11" s="37" customFormat="1" ht="13.5">
      <c r="A116" s="143"/>
      <c r="B116" s="52" t="s">
        <v>871</v>
      </c>
      <c r="C116" s="153" t="s">
        <v>193</v>
      </c>
      <c r="D116" s="154">
        <f t="shared" ref="D116:I116" si="24">SUM(D117:D118)</f>
        <v>2102.00936644488</v>
      </c>
      <c r="E116" s="154">
        <f t="shared" si="24"/>
        <v>2061.7257685699201</v>
      </c>
      <c r="F116" s="154">
        <f t="shared" si="24"/>
        <v>2131.43847775824</v>
      </c>
      <c r="G116" s="154">
        <f t="shared" si="24"/>
        <v>2561.7389823358321</v>
      </c>
      <c r="H116" s="154">
        <f t="shared" si="24"/>
        <v>2466.7662649035356</v>
      </c>
      <c r="I116" s="154">
        <f t="shared" si="24"/>
        <v>2593.1848808888335</v>
      </c>
      <c r="J116" s="154">
        <f t="shared" si="19"/>
        <v>13916.863740901241</v>
      </c>
      <c r="K116" s="1428"/>
    </row>
    <row r="117" spans="1:11" s="37" customFormat="1" ht="13.5">
      <c r="A117" s="143"/>
      <c r="B117" s="52"/>
      <c r="C117" s="157" t="s">
        <v>944</v>
      </c>
      <c r="D117" s="156">
        <f>($D$8/2)*F801C!D118+$E$8*F801ENE!D118</f>
        <v>0</v>
      </c>
      <c r="E117" s="156">
        <f>($D$8/2)*F801C!E118+$E$8*F801ENE!E118</f>
        <v>0</v>
      </c>
      <c r="F117" s="156">
        <f>($D$8/2)*F801C!F118+$E$8*F801ENE!F118</f>
        <v>0</v>
      </c>
      <c r="G117" s="156">
        <f>($D$8/2)*F801C!G118+$E$8*F801ENE!G118</f>
        <v>0</v>
      </c>
      <c r="H117" s="156">
        <f>($D$8/2)*F801C!H118+$E$8*F801ENE!H118</f>
        <v>0</v>
      </c>
      <c r="I117" s="156">
        <f>($D$8/2)*F801C!I118+$E$8*F801ENE!I118</f>
        <v>0</v>
      </c>
      <c r="J117" s="156">
        <f t="shared" si="19"/>
        <v>0</v>
      </c>
      <c r="K117" s="1428"/>
    </row>
    <row r="118" spans="1:11" s="37" customFormat="1" ht="13.5">
      <c r="A118" s="143"/>
      <c r="B118" s="52"/>
      <c r="C118" s="157" t="s">
        <v>943</v>
      </c>
      <c r="D118" s="156">
        <f>($D$8/2)*F801C!D119+$E$8*F801ENE!D119</f>
        <v>2102.00936644488</v>
      </c>
      <c r="E118" s="156">
        <f>($D$8/2)*F801C!E119+$E$8*F801ENE!E119</f>
        <v>2061.7257685699201</v>
      </c>
      <c r="F118" s="156">
        <f>($D$8/2)*F801C!F119+$E$8*F801ENE!F119</f>
        <v>2131.43847775824</v>
      </c>
      <c r="G118" s="156">
        <f>($D$8/2)*F801C!G119+$E$8*F801ENE!G119</f>
        <v>2561.7389823358321</v>
      </c>
      <c r="H118" s="156">
        <f>($D$8/2)*F801C!H119+$E$8*F801ENE!H119</f>
        <v>2466.7662649035356</v>
      </c>
      <c r="I118" s="156">
        <f>($D$8/2)*F801C!I119+$E$8*F801ENE!I119</f>
        <v>2593.1848808888335</v>
      </c>
      <c r="J118" s="156">
        <f t="shared" si="19"/>
        <v>13916.863740901241</v>
      </c>
      <c r="K118" s="1428"/>
    </row>
    <row r="119" spans="1:11" s="37" customFormat="1" ht="13.5">
      <c r="A119" s="143"/>
      <c r="B119" s="52"/>
      <c r="C119" s="153" t="s">
        <v>893</v>
      </c>
      <c r="D119" s="156"/>
      <c r="E119" s="156"/>
      <c r="F119" s="156"/>
      <c r="G119" s="156"/>
      <c r="H119" s="156"/>
      <c r="I119" s="156"/>
      <c r="J119" s="156">
        <f t="shared" si="19"/>
        <v>0</v>
      </c>
      <c r="K119" s="1428"/>
    </row>
    <row r="120" spans="1:11" s="37" customFormat="1" ht="13.5">
      <c r="A120" s="143"/>
      <c r="B120" s="52"/>
      <c r="C120" s="157"/>
      <c r="D120" s="156"/>
      <c r="E120" s="156"/>
      <c r="F120" s="156"/>
      <c r="G120" s="156"/>
      <c r="H120" s="156"/>
      <c r="I120" s="156"/>
      <c r="J120" s="156">
        <f t="shared" si="19"/>
        <v>0</v>
      </c>
      <c r="K120" s="1428"/>
    </row>
    <row r="121" spans="1:11" s="37" customFormat="1" ht="13.5">
      <c r="A121" s="143"/>
      <c r="B121" s="52"/>
      <c r="C121" s="527" t="s">
        <v>194</v>
      </c>
      <c r="D121" s="528">
        <f t="shared" ref="D121:I121" si="25">D122+D127</f>
        <v>218986.9351817359</v>
      </c>
      <c r="E121" s="528">
        <f t="shared" si="25"/>
        <v>217601.06331371109</v>
      </c>
      <c r="F121" s="528">
        <f t="shared" si="25"/>
        <v>211496.01866153002</v>
      </c>
      <c r="G121" s="528">
        <f t="shared" si="25"/>
        <v>221296.43729345969</v>
      </c>
      <c r="H121" s="528">
        <f t="shared" si="25"/>
        <v>204796.31344242973</v>
      </c>
      <c r="I121" s="528">
        <f t="shared" si="25"/>
        <v>216317.78825466041</v>
      </c>
      <c r="J121" s="528">
        <f t="shared" si="19"/>
        <v>1290494.5561475267</v>
      </c>
      <c r="K121" s="1428"/>
    </row>
    <row r="122" spans="1:11" s="37" customFormat="1" ht="13.5">
      <c r="A122" s="143"/>
      <c r="B122" s="52" t="s">
        <v>872</v>
      </c>
      <c r="C122" s="153" t="s">
        <v>1071</v>
      </c>
      <c r="D122" s="154">
        <f t="shared" ref="D122:I122" si="26">SUM(D123:D126)</f>
        <v>42161.03435564143</v>
      </c>
      <c r="E122" s="154">
        <f t="shared" si="26"/>
        <v>42555.720106589884</v>
      </c>
      <c r="F122" s="154">
        <f t="shared" si="26"/>
        <v>41400.619386265025</v>
      </c>
      <c r="G122" s="154">
        <f t="shared" si="26"/>
        <v>44363.638642069382</v>
      </c>
      <c r="H122" s="154">
        <f t="shared" si="26"/>
        <v>41606.181938662688</v>
      </c>
      <c r="I122" s="154">
        <f t="shared" si="26"/>
        <v>41382.782227929449</v>
      </c>
      <c r="J122" s="154">
        <f t="shared" si="19"/>
        <v>253469.97665715785</v>
      </c>
      <c r="K122" s="1428"/>
    </row>
    <row r="123" spans="1:11" s="37" customFormat="1" ht="13.5">
      <c r="A123" s="143"/>
      <c r="B123" s="52"/>
      <c r="C123" s="157" t="s">
        <v>980</v>
      </c>
      <c r="D123" s="156">
        <f>($D$9/2)*F801C!D124+$E$9*F801ENE!D124</f>
        <v>28155.022242923424</v>
      </c>
      <c r="E123" s="156">
        <f>($D$9/2)*F801C!E124+$E$9*F801ENE!E124</f>
        <v>28077.816519580323</v>
      </c>
      <c r="F123" s="156">
        <f>($D$9/2)*F801C!F124+$E$9*F801ENE!F124</f>
        <v>26762.844437191608</v>
      </c>
      <c r="G123" s="156">
        <f>($D$9/2)*F801C!G124+$E$9*F801ENE!G124</f>
        <v>27737.34034491955</v>
      </c>
      <c r="H123" s="156">
        <f>($D$9/2)*F801C!H124+$E$9*F801ENE!H124</f>
        <v>25631.301817748164</v>
      </c>
      <c r="I123" s="156">
        <f>($D$9/2)*F801C!I124+$E$9*F801ENE!I124</f>
        <v>25462.924509074386</v>
      </c>
      <c r="J123" s="156">
        <f t="shared" si="19"/>
        <v>161827.24987143747</v>
      </c>
      <c r="K123" s="1428"/>
    </row>
    <row r="124" spans="1:11" s="37" customFormat="1" ht="13.5">
      <c r="A124" s="143"/>
      <c r="B124" s="52"/>
      <c r="C124" s="157" t="s">
        <v>981</v>
      </c>
      <c r="D124" s="156">
        <f>($D$9/2)*F801C!D125+$E$9*F801ENE!D125</f>
        <v>1354.6155195080185</v>
      </c>
      <c r="E124" s="156">
        <f>($D$9/2)*F801C!E125+$E$9*F801ENE!E125</f>
        <v>1380.5744568963296</v>
      </c>
      <c r="F124" s="156">
        <f>($D$9/2)*F801C!F125+$E$9*F801ENE!F125</f>
        <v>1455.9665988477889</v>
      </c>
      <c r="G124" s="156">
        <f>($D$9/2)*F801C!G125+$E$9*F801ENE!G125</f>
        <v>1568.6427429234698</v>
      </c>
      <c r="H124" s="156">
        <f>($D$9/2)*F801C!H125+$E$9*F801ENE!H125</f>
        <v>1694.6551386917085</v>
      </c>
      <c r="I124" s="156">
        <f>($D$9/2)*F801C!I125+$E$9*F801ENE!I125</f>
        <v>945.49500913908753</v>
      </c>
      <c r="J124" s="156">
        <f t="shared" si="19"/>
        <v>8399.9494660064029</v>
      </c>
      <c r="K124" s="1428"/>
    </row>
    <row r="125" spans="1:11" s="37" customFormat="1" ht="13.5">
      <c r="A125" s="143"/>
      <c r="B125" s="52"/>
      <c r="C125" s="157" t="s">
        <v>1019</v>
      </c>
      <c r="D125" s="156">
        <f>($D$9/2)*F801C!D126+$E$9*F801ENE!D126</f>
        <v>507.17935837230613</v>
      </c>
      <c r="E125" s="156">
        <f>($D$9/2)*F801C!E126+$E$9*F801ENE!E126</f>
        <v>495.66176638046545</v>
      </c>
      <c r="F125" s="156">
        <f>($D$9/2)*F801C!F126+$E$9*F801ENE!F126</f>
        <v>478.57403301967662</v>
      </c>
      <c r="G125" s="156">
        <f>($D$9/2)*F801C!G126+$E$9*F801ENE!G126</f>
        <v>513.10593694262445</v>
      </c>
      <c r="H125" s="156">
        <f>($D$9/2)*F801C!H126+$E$9*F801ENE!H126</f>
        <v>495.21632463692532</v>
      </c>
      <c r="I125" s="156">
        <f>($D$9/2)*F801C!I126+$E$9*F801ENE!I126</f>
        <v>474.63997667703603</v>
      </c>
      <c r="J125" s="156">
        <f>SUM(D125:I125)</f>
        <v>2964.3773960290341</v>
      </c>
      <c r="K125" s="1428"/>
    </row>
    <row r="126" spans="1:11" s="37" customFormat="1" ht="13.5">
      <c r="A126" s="143"/>
      <c r="B126" s="52"/>
      <c r="C126" s="157" t="s">
        <v>1765</v>
      </c>
      <c r="D126" s="156">
        <f>($D$9/2)*F801C!D127+$E$9*F801ENE!D127</f>
        <v>12144.217234837683</v>
      </c>
      <c r="E126" s="156">
        <f>($D$9/2)*F801C!E127+$E$9*F801ENE!E127</f>
        <v>12601.667363732768</v>
      </c>
      <c r="F126" s="156">
        <f>($D$9/2)*F801C!F127+$E$9*F801ENE!F127</f>
        <v>12703.234317205948</v>
      </c>
      <c r="G126" s="156">
        <f>($D$9/2)*F801C!G127+$E$9*F801ENE!G127</f>
        <v>14544.549617283737</v>
      </c>
      <c r="H126" s="156">
        <f>($D$9/2)*F801C!H127+$E$9*F801ENE!H127</f>
        <v>13785.008657585888</v>
      </c>
      <c r="I126" s="156">
        <f>($D$9/2)*F801C!I127+$E$9*F801ENE!I127</f>
        <v>14499.722733038932</v>
      </c>
      <c r="J126" s="156">
        <f>SUM(D126:I126)</f>
        <v>80278.399923684963</v>
      </c>
      <c r="K126" s="1428"/>
    </row>
    <row r="127" spans="1:11" s="37" customFormat="1" ht="13.5">
      <c r="A127" s="143"/>
      <c r="B127" s="52" t="s">
        <v>873</v>
      </c>
      <c r="C127" s="153" t="s">
        <v>1070</v>
      </c>
      <c r="D127" s="154">
        <f t="shared" ref="D127:I127" si="27">SUM(D128:D133)</f>
        <v>176825.90082609447</v>
      </c>
      <c r="E127" s="154">
        <f t="shared" si="27"/>
        <v>175045.34320712119</v>
      </c>
      <c r="F127" s="154">
        <f t="shared" si="27"/>
        <v>170095.39927526499</v>
      </c>
      <c r="G127" s="154">
        <f t="shared" si="27"/>
        <v>176932.7986513903</v>
      </c>
      <c r="H127" s="154">
        <f t="shared" si="27"/>
        <v>163190.13150376704</v>
      </c>
      <c r="I127" s="154">
        <f t="shared" si="27"/>
        <v>174935.00602673096</v>
      </c>
      <c r="J127" s="154">
        <f t="shared" si="19"/>
        <v>1037024.5794903691</v>
      </c>
      <c r="K127" s="1428"/>
    </row>
    <row r="128" spans="1:11" s="37" customFormat="1" ht="13.5">
      <c r="A128" s="143"/>
      <c r="B128" s="52"/>
      <c r="C128" s="157" t="s">
        <v>944</v>
      </c>
      <c r="D128" s="156">
        <f>($D$10/2)*F801C!D129+$E$10*F801ENE!D129</f>
        <v>0</v>
      </c>
      <c r="E128" s="156">
        <f>($D$10/2)*F801C!E129+$E$10*F801ENE!E129</f>
        <v>0</v>
      </c>
      <c r="F128" s="156">
        <f>($D$10/2)*F801C!F129+$E$10*F801ENE!F129</f>
        <v>0</v>
      </c>
      <c r="G128" s="156">
        <f>($D$10/2)*F801C!G129+$E$10*F801ENE!G129</f>
        <v>0</v>
      </c>
      <c r="H128" s="156">
        <f>($D$10/2)*F801C!H129+$E$10*F801ENE!H129</f>
        <v>0</v>
      </c>
      <c r="I128" s="156">
        <f>($D$10/2)*F801C!I129+$E$10*F801ENE!I129</f>
        <v>0</v>
      </c>
      <c r="J128" s="156">
        <f t="shared" si="19"/>
        <v>0</v>
      </c>
      <c r="K128" s="1428"/>
    </row>
    <row r="129" spans="1:11" s="37" customFormat="1" ht="13.5">
      <c r="A129" s="143"/>
      <c r="B129" s="52"/>
      <c r="C129" s="157" t="s">
        <v>943</v>
      </c>
      <c r="D129" s="156">
        <f>($D$10/2)*F801C!D130+$E$10*F801ENE!D130</f>
        <v>115506.39415543886</v>
      </c>
      <c r="E129" s="156">
        <f>($D$10/2)*F801C!E130+$E$10*F801ENE!E130</f>
        <v>115221.25880071937</v>
      </c>
      <c r="F129" s="156">
        <f>($D$10/2)*F801C!F130+$E$10*F801ENE!F130</f>
        <v>105016.59049680657</v>
      </c>
      <c r="G129" s="156">
        <f>($D$10/2)*F801C!G130+$E$10*F801ENE!G130</f>
        <v>108838.64610386924</v>
      </c>
      <c r="H129" s="156">
        <f>($D$10/2)*F801C!H130+$E$10*F801ENE!H130</f>
        <v>99467.199070220304</v>
      </c>
      <c r="I129" s="156">
        <f>($D$10/2)*F801C!I130+$E$10*F801ENE!I130</f>
        <v>105311.12731777353</v>
      </c>
      <c r="J129" s="156">
        <f t="shared" si="19"/>
        <v>649361.21594482788</v>
      </c>
      <c r="K129" s="1428"/>
    </row>
    <row r="130" spans="1:11" s="37" customFormat="1" ht="13.5">
      <c r="A130" s="143"/>
      <c r="B130" s="52"/>
      <c r="C130" s="157" t="s">
        <v>1020</v>
      </c>
      <c r="D130" s="156">
        <f>($D$10/2)*F801C!D131+$E$10*F801ENE!D131</f>
        <v>8088.3944837969029</v>
      </c>
      <c r="E130" s="156">
        <f>($D$10/2)*F801C!E131+$E$10*F801ENE!E131</f>
        <v>7176.301697056896</v>
      </c>
      <c r="F130" s="156">
        <f>($D$10/2)*F801C!F131+$E$10*F801ENE!F131</f>
        <v>7969.8739231728359</v>
      </c>
      <c r="G130" s="156">
        <f>($D$10/2)*F801C!G131+$E$10*F801ENE!G131</f>
        <v>6975.7812156897371</v>
      </c>
      <c r="H130" s="156">
        <f>($D$10/2)*F801C!H131+$E$10*F801ENE!H131</f>
        <v>6664.7316757825465</v>
      </c>
      <c r="I130" s="156">
        <f>($D$10/2)*F801C!I131+$E$10*F801ENE!I131</f>
        <v>7466.3932526514072</v>
      </c>
      <c r="J130" s="156">
        <f t="shared" si="19"/>
        <v>44341.476248150328</v>
      </c>
      <c r="K130" s="1428"/>
    </row>
    <row r="131" spans="1:11" s="37" customFormat="1" ht="13.5">
      <c r="A131" s="143"/>
      <c r="B131" s="52"/>
      <c r="C131" s="157" t="s">
        <v>1021</v>
      </c>
      <c r="D131" s="156">
        <f>($D$10/2)*F801C!D132+$E$10*F801ENE!D132</f>
        <v>7632.322475920344</v>
      </c>
      <c r="E131" s="156">
        <f>($D$10/2)*F801C!E132+$E$10*F801ENE!E132</f>
        <v>7884.5530342021566</v>
      </c>
      <c r="F131" s="156">
        <f>($D$10/2)*F801C!F132+$E$10*F801ENE!F132</f>
        <v>7564.5422792008931</v>
      </c>
      <c r="G131" s="156">
        <f>($D$10/2)*F801C!G132+$E$10*F801ENE!G132</f>
        <v>7924.3737685274536</v>
      </c>
      <c r="H131" s="156">
        <f>($D$10/2)*F801C!H132+$E$10*F801ENE!H132</f>
        <v>7012.1703753595093</v>
      </c>
      <c r="I131" s="156">
        <f>($D$10/2)*F801C!I132+$E$10*F801ENE!I132</f>
        <v>7926.2026620722281</v>
      </c>
      <c r="J131" s="156">
        <f t="shared" si="19"/>
        <v>45944.164595282578</v>
      </c>
      <c r="K131" s="1428"/>
    </row>
    <row r="132" spans="1:11" s="37" customFormat="1" ht="13.5">
      <c r="A132" s="143"/>
      <c r="B132" s="52"/>
      <c r="C132" s="157" t="s">
        <v>1163</v>
      </c>
      <c r="D132" s="156">
        <f>($D$10/2)*F801C!D133+$E$10*F801ENE!D133</f>
        <v>45598.789710938378</v>
      </c>
      <c r="E132" s="156">
        <f>($D$10/2)*F801C!E133+$E$10*F801ENE!E133</f>
        <v>44763.229675142757</v>
      </c>
      <c r="F132" s="156">
        <f>($D$10/2)*F801C!F133+$E$10*F801ENE!F133</f>
        <v>49544.392576084705</v>
      </c>
      <c r="G132" s="156">
        <f>($D$10/2)*F801C!G133+$E$10*F801ENE!G133</f>
        <v>53193.997563303885</v>
      </c>
      <c r="H132" s="156">
        <f>($D$10/2)*F801C!H133+$E$10*F801ENE!H133</f>
        <v>50046.030382404701</v>
      </c>
      <c r="I132" s="156">
        <f>($D$10/2)*F801C!I133+$E$10*F801ENE!I133</f>
        <v>54231.28279423379</v>
      </c>
      <c r="J132" s="156">
        <f t="shared" si="19"/>
        <v>297377.72270210821</v>
      </c>
      <c r="K132" s="1428"/>
    </row>
    <row r="133" spans="1:11" s="37" customFormat="1" ht="13.5">
      <c r="A133" s="143"/>
      <c r="C133" s="157"/>
      <c r="D133" s="156"/>
      <c r="E133" s="156"/>
      <c r="F133" s="156"/>
      <c r="G133" s="156"/>
      <c r="H133" s="156"/>
      <c r="I133" s="156"/>
      <c r="J133" s="156">
        <f t="shared" si="19"/>
        <v>0</v>
      </c>
      <c r="K133" s="1428"/>
    </row>
    <row r="134" spans="1:11" s="37" customFormat="1" ht="13.5">
      <c r="A134" s="143"/>
      <c r="C134" s="527" t="s">
        <v>308</v>
      </c>
      <c r="D134" s="528">
        <f t="shared" ref="D134:I134" si="28">SUM(D135:D136)</f>
        <v>47336.054736528371</v>
      </c>
      <c r="E134" s="528">
        <f t="shared" si="28"/>
        <v>46477.696625773468</v>
      </c>
      <c r="F134" s="528">
        <f t="shared" si="28"/>
        <v>47105.995179917511</v>
      </c>
      <c r="G134" s="528">
        <f t="shared" si="28"/>
        <v>49604.797543317749</v>
      </c>
      <c r="H134" s="528">
        <f t="shared" si="28"/>
        <v>45746.885957527433</v>
      </c>
      <c r="I134" s="528">
        <f t="shared" si="28"/>
        <v>51251.717873721485</v>
      </c>
      <c r="J134" s="528">
        <f t="shared" si="19"/>
        <v>287523.14791678602</v>
      </c>
      <c r="K134" s="1428"/>
    </row>
    <row r="135" spans="1:11" s="37" customFormat="1" ht="13.5">
      <c r="A135" s="143"/>
      <c r="B135" s="52" t="s">
        <v>874</v>
      </c>
      <c r="C135" s="157" t="s">
        <v>1027</v>
      </c>
      <c r="D135" s="156">
        <f>($D$11/2)*(F801C!D137)+$E$11*(F801ENE!D137)</f>
        <v>1530.8133712082097</v>
      </c>
      <c r="E135" s="156">
        <f>($D$11/2)*(F801C!E137)+$E$11*(F801ENE!E137)</f>
        <v>1517.2773483141898</v>
      </c>
      <c r="F135" s="156">
        <f>($D$11/2)*(F801C!F137)+$E$11*(F801ENE!F137)</f>
        <v>1453.5058797863999</v>
      </c>
      <c r="G135" s="156">
        <f>($D$11/2)*(F801C!G137)+$E$11*(F801ENE!G137)</f>
        <v>1507.0313344229996</v>
      </c>
      <c r="H135" s="156">
        <f>($D$11/2)*(F801C!H137)+$E$11*(F801ENE!H137)</f>
        <v>1459.6757868213901</v>
      </c>
      <c r="I135" s="156">
        <f>($D$11/2)*(F801C!I137)+$E$11*(F801ENE!I137)</f>
        <v>1512.0673641090016</v>
      </c>
      <c r="J135" s="156">
        <f t="shared" si="19"/>
        <v>8980.3710846621907</v>
      </c>
      <c r="K135" s="1428"/>
    </row>
    <row r="136" spans="1:11" s="37" customFormat="1" ht="13.5">
      <c r="A136" s="143"/>
      <c r="B136" s="52" t="s">
        <v>875</v>
      </c>
      <c r="C136" s="153" t="s">
        <v>193</v>
      </c>
      <c r="D136" s="154">
        <f t="shared" ref="D136:I136" si="29">SUM(D137:D142)</f>
        <v>45805.241365320158</v>
      </c>
      <c r="E136" s="154">
        <f t="shared" si="29"/>
        <v>44960.419277459281</v>
      </c>
      <c r="F136" s="154">
        <f t="shared" si="29"/>
        <v>45652.489300131114</v>
      </c>
      <c r="G136" s="154">
        <f t="shared" si="29"/>
        <v>48097.766208894747</v>
      </c>
      <c r="H136" s="154">
        <f t="shared" si="29"/>
        <v>44287.210170706043</v>
      </c>
      <c r="I136" s="154">
        <f t="shared" si="29"/>
        <v>49739.650509612482</v>
      </c>
      <c r="J136" s="154">
        <f t="shared" si="19"/>
        <v>278542.77683212381</v>
      </c>
      <c r="K136" s="1428"/>
    </row>
    <row r="137" spans="1:11" s="37" customFormat="1" ht="13.5">
      <c r="A137" s="143"/>
      <c r="B137" s="52"/>
      <c r="C137" s="157" t="s">
        <v>1022</v>
      </c>
      <c r="D137" s="156">
        <f>($D$12/2)*(F801C!D140)+$E$12*(F801ENE!D140)</f>
        <v>471.88669165965007</v>
      </c>
      <c r="E137" s="156">
        <f>($D$12/2)*(F801C!E140)+$E$12*(F801ENE!E140)</f>
        <v>459.56446741062001</v>
      </c>
      <c r="F137" s="156">
        <f>($D$12/2)*(F801C!F140)+$E$12*(F801ENE!F140)</f>
        <v>469.04409151307988</v>
      </c>
      <c r="G137" s="156">
        <f>($D$12/2)*(F801C!G140)+$E$12*(F801ENE!G140)</f>
        <v>490.84885567448998</v>
      </c>
      <c r="H137" s="156">
        <f>($D$12/2)*(F801C!H140)+$E$12*(F801ENE!H140)</f>
        <v>452.65879427580001</v>
      </c>
      <c r="I137" s="156">
        <f>($D$12/2)*(F801C!I140)+$E$12*(F801ENE!I140)</f>
        <v>479.09283373718995</v>
      </c>
      <c r="J137" s="156">
        <f t="shared" si="19"/>
        <v>2823.0957342708298</v>
      </c>
      <c r="K137" s="1428"/>
    </row>
    <row r="138" spans="1:11" s="37" customFormat="1" ht="13.5">
      <c r="A138" s="143"/>
      <c r="B138" s="38"/>
      <c r="C138" s="157" t="s">
        <v>1023</v>
      </c>
      <c r="D138" s="156">
        <f>($D$12/2)*(F801C!D141)+$E$12*(F801ENE!D141)</f>
        <v>30486.156611530332</v>
      </c>
      <c r="E138" s="156">
        <f>($D$12/2)*(F801C!E141)+$E$12*(F801ENE!E141)</f>
        <v>29763.668219195079</v>
      </c>
      <c r="F138" s="156">
        <f>($D$12/2)*(F801C!F141)+$E$12*(F801ENE!F141)</f>
        <v>28997.986891585857</v>
      </c>
      <c r="G138" s="156">
        <f>($D$12/2)*(F801C!G141)+$E$12*(F801ENE!G141)</f>
        <v>30082.432275677336</v>
      </c>
      <c r="H138" s="156">
        <f>($D$12/2)*(F801C!H141)+$E$12*(F801ENE!H141)</f>
        <v>27577.251848140822</v>
      </c>
      <c r="I138" s="156">
        <f>($D$12/2)*(F801C!I141)+$E$12*(F801ENE!I141)</f>
        <v>29737.792058286355</v>
      </c>
      <c r="J138" s="156">
        <f t="shared" si="19"/>
        <v>176645.28790441577</v>
      </c>
      <c r="K138" s="1428"/>
    </row>
    <row r="139" spans="1:11" s="37" customFormat="1" ht="13.5">
      <c r="A139" s="143"/>
      <c r="B139" s="38"/>
      <c r="C139" s="157" t="s">
        <v>1024</v>
      </c>
      <c r="D139" s="156">
        <f>($D$12/2)*(F801C!D142)+$E$12*(F801ENE!D142)</f>
        <v>593.57110924224014</v>
      </c>
      <c r="E139" s="156">
        <f>($D$12/2)*(F801C!E142)+$E$12*(F801ENE!E142)</f>
        <v>579.42578581893008</v>
      </c>
      <c r="F139" s="156">
        <f>($D$12/2)*(F801C!F142)+$E$12*(F801ENE!F142)</f>
        <v>569.48297499116984</v>
      </c>
      <c r="G139" s="156">
        <f>($D$12/2)*(F801C!G142)+$E$12*(F801ENE!G142)</f>
        <v>579.03237543501018</v>
      </c>
      <c r="H139" s="156">
        <f>($D$12/2)*(F801C!H142)+$E$12*(F801ENE!H142)</f>
        <v>500.35488095169001</v>
      </c>
      <c r="I139" s="156">
        <f>($D$12/2)*(F801C!I142)+$E$12*(F801ENE!I142)</f>
        <v>560.50122083268309</v>
      </c>
      <c r="J139" s="156">
        <f t="shared" si="19"/>
        <v>3382.368347271723</v>
      </c>
      <c r="K139" s="1428"/>
    </row>
    <row r="140" spans="1:11" s="37" customFormat="1" ht="13.5">
      <c r="A140" s="143"/>
      <c r="B140" s="52"/>
      <c r="C140" s="157" t="s">
        <v>1025</v>
      </c>
      <c r="D140" s="156">
        <f>($D$12/2)*(F801C!D143)+$E$12*(F801ENE!D143)</f>
        <v>6120.4711349556892</v>
      </c>
      <c r="E140" s="156">
        <f>($D$12/2)*(F801C!E143)+$E$12*(F801ENE!E143)</f>
        <v>5891.0636367674997</v>
      </c>
      <c r="F140" s="156">
        <f>($D$12/2)*(F801C!F143)+$E$12*(F801ENE!F143)</f>
        <v>5808.5063541872996</v>
      </c>
      <c r="G140" s="156">
        <f>($D$12/2)*(F801C!G143)+$E$12*(F801ENE!G143)</f>
        <v>6064.3108074772799</v>
      </c>
      <c r="H140" s="156">
        <f>($D$12/2)*(F801C!H143)+$E$12*(F801ENE!H143)</f>
        <v>5363.3132971959594</v>
      </c>
      <c r="I140" s="156">
        <f>($D$12/2)*(F801C!I143)+$E$12*(F801ENE!I143)</f>
        <v>5444.3689810641845</v>
      </c>
      <c r="J140" s="156">
        <f t="shared" si="19"/>
        <v>34692.034211647915</v>
      </c>
      <c r="K140" s="1428"/>
    </row>
    <row r="141" spans="1:11" s="37" customFormat="1" ht="13.5">
      <c r="A141" s="143"/>
      <c r="B141" s="52"/>
      <c r="C141" s="157" t="s">
        <v>1162</v>
      </c>
      <c r="D141" s="156">
        <f>($D$12/2)*(F801C!D144)+$E$12*(F801ENE!D144)</f>
        <v>8133.1558179322501</v>
      </c>
      <c r="E141" s="156">
        <f>($D$12/2)*(F801C!E144)+$E$12*(F801ENE!E144)</f>
        <v>8266.6971682671574</v>
      </c>
      <c r="F141" s="156">
        <f>($D$12/2)*(F801C!F144)+$E$12*(F801ENE!F144)</f>
        <v>9807.4689878537101</v>
      </c>
      <c r="G141" s="156">
        <f>($D$12/2)*(F801C!G144)+$E$12*(F801ENE!G144)</f>
        <v>10881.141894630631</v>
      </c>
      <c r="H141" s="156">
        <f>($D$12/2)*(F801C!H144)+$E$12*(F801ENE!H144)</f>
        <v>10393.631350141768</v>
      </c>
      <c r="I141" s="156">
        <f>($D$12/2)*(F801C!I144)+$E$12*(F801ENE!I144)</f>
        <v>13517.895415692066</v>
      </c>
      <c r="J141" s="156">
        <f t="shared" si="19"/>
        <v>60999.990634517584</v>
      </c>
      <c r="K141" s="1428"/>
    </row>
    <row r="142" spans="1:11" s="143" customFormat="1" ht="13.5">
      <c r="B142" s="52"/>
      <c r="C142" s="157"/>
      <c r="D142" s="156"/>
      <c r="E142" s="156"/>
      <c r="F142" s="156"/>
      <c r="G142" s="156"/>
      <c r="H142" s="156"/>
      <c r="I142" s="156"/>
      <c r="J142" s="156">
        <f t="shared" si="19"/>
        <v>0</v>
      </c>
      <c r="K142" s="1425"/>
    </row>
    <row r="143" spans="1:11" s="143" customFormat="1" ht="13.5">
      <c r="B143" s="52"/>
      <c r="C143" s="153" t="s">
        <v>112</v>
      </c>
      <c r="D143" s="154">
        <f t="shared" ref="D143:I143" si="30">D114+D121+D134</f>
        <v>272823.02735263819</v>
      </c>
      <c r="E143" s="154">
        <f t="shared" si="30"/>
        <v>270121.90862375038</v>
      </c>
      <c r="F143" s="154">
        <f t="shared" si="30"/>
        <v>264757.712761264</v>
      </c>
      <c r="G143" s="154">
        <f t="shared" si="30"/>
        <v>278076.66489244474</v>
      </c>
      <c r="H143" s="154">
        <f t="shared" si="30"/>
        <v>256216.68771098147</v>
      </c>
      <c r="I143" s="154">
        <f t="shared" si="30"/>
        <v>274296.35050227906</v>
      </c>
      <c r="J143" s="154">
        <f t="shared" si="19"/>
        <v>1616292.351843358</v>
      </c>
      <c r="K143" s="1425"/>
    </row>
    <row r="144" spans="1:11" s="143" customFormat="1" ht="13.5">
      <c r="B144" s="52"/>
      <c r="C144" s="1015"/>
      <c r="D144" s="1015"/>
      <c r="E144" s="1015"/>
      <c r="F144" s="1015"/>
      <c r="G144" s="1015"/>
      <c r="H144" s="1015"/>
      <c r="I144" s="1015"/>
      <c r="J144" s="1015"/>
      <c r="K144" s="1425"/>
    </row>
    <row r="145" spans="2:11" s="143" customFormat="1" ht="13.5">
      <c r="B145" s="52"/>
      <c r="C145" s="153" t="s">
        <v>111</v>
      </c>
      <c r="D145" s="154">
        <f t="shared" ref="D145:J145" si="31">D110+D143</f>
        <v>4293845.2717767013</v>
      </c>
      <c r="E145" s="154">
        <f t="shared" si="31"/>
        <v>4294358.9003051128</v>
      </c>
      <c r="F145" s="154">
        <f t="shared" si="31"/>
        <v>4232236.6951001016</v>
      </c>
      <c r="G145" s="154">
        <f t="shared" si="31"/>
        <v>4292210.4529034542</v>
      </c>
      <c r="H145" s="154">
        <f t="shared" si="31"/>
        <v>4138618.1294865217</v>
      </c>
      <c r="I145" s="154">
        <f t="shared" si="31"/>
        <v>4173437.2117325263</v>
      </c>
      <c r="J145" s="154">
        <f t="shared" si="31"/>
        <v>25424706.661304418</v>
      </c>
      <c r="K145" s="1425"/>
    </row>
    <row r="147" spans="2:11">
      <c r="C147" s="52" t="str">
        <f>'PORTADA PORTADA PORTADA'!$B$23</f>
        <v>1 DE JULIO DE 2026</v>
      </c>
    </row>
    <row r="148" spans="2:11" s="58" customFormat="1" ht="12">
      <c r="B148" s="1166"/>
      <c r="K148" s="1429"/>
    </row>
    <row r="149" spans="2:11" s="58" customFormat="1" ht="12">
      <c r="B149" s="1166" t="s">
        <v>902</v>
      </c>
      <c r="D149" s="1167">
        <f t="shared" ref="D149:J158" si="32">SUMIF($B$18:$B$145,$B149,D$18:D$145)</f>
        <v>275884.25293012336</v>
      </c>
      <c r="E149" s="1167">
        <f t="shared" si="32"/>
        <v>275999.39127231285</v>
      </c>
      <c r="F149" s="1167">
        <f t="shared" si="32"/>
        <v>270786.50652680895</v>
      </c>
      <c r="G149" s="1167">
        <f t="shared" si="32"/>
        <v>275053.30498628167</v>
      </c>
      <c r="H149" s="1167">
        <f t="shared" si="32"/>
        <v>263135.30848704797</v>
      </c>
      <c r="I149" s="1167">
        <f t="shared" si="32"/>
        <v>264368.32634050533</v>
      </c>
      <c r="J149" s="1167">
        <f t="shared" si="32"/>
        <v>1625227.0905430801</v>
      </c>
      <c r="K149" s="1429"/>
    </row>
    <row r="150" spans="2:11" s="58" customFormat="1" ht="12">
      <c r="B150" s="1166" t="s">
        <v>751</v>
      </c>
      <c r="D150" s="1167">
        <f t="shared" si="32"/>
        <v>1973482.6258981575</v>
      </c>
      <c r="E150" s="1167">
        <f t="shared" si="32"/>
        <v>1975332.0190651964</v>
      </c>
      <c r="F150" s="1167">
        <f t="shared" si="32"/>
        <v>1950914.788064535</v>
      </c>
      <c r="G150" s="1167">
        <f t="shared" si="32"/>
        <v>1971036.3676744304</v>
      </c>
      <c r="H150" s="1167">
        <f t="shared" si="32"/>
        <v>1913879.7041971562</v>
      </c>
      <c r="I150" s="1167">
        <f t="shared" si="32"/>
        <v>1921884.2305664087</v>
      </c>
      <c r="J150" s="1167">
        <f t="shared" si="32"/>
        <v>11706529.735465884</v>
      </c>
      <c r="K150" s="1429"/>
    </row>
    <row r="151" spans="2:11" s="58" customFormat="1" ht="12">
      <c r="B151" s="1166" t="s">
        <v>750</v>
      </c>
      <c r="D151" s="1167">
        <f t="shared" si="32"/>
        <v>717275.89063980244</v>
      </c>
      <c r="E151" s="1167">
        <f t="shared" si="32"/>
        <v>717923.89504188753</v>
      </c>
      <c r="F151" s="1167">
        <f t="shared" si="32"/>
        <v>708744.88768473198</v>
      </c>
      <c r="G151" s="1167">
        <f t="shared" si="32"/>
        <v>716303.55915186752</v>
      </c>
      <c r="H151" s="1167">
        <f t="shared" si="32"/>
        <v>694870.13913255138</v>
      </c>
      <c r="I151" s="1167">
        <f t="shared" si="32"/>
        <v>697797.37164336385</v>
      </c>
      <c r="J151" s="1167">
        <f t="shared" si="32"/>
        <v>4252915.7432942046</v>
      </c>
      <c r="K151" s="1429"/>
    </row>
    <row r="152" spans="2:11" s="58" customFormat="1" ht="12">
      <c r="B152" s="1166" t="s">
        <v>749</v>
      </c>
      <c r="D152" s="1167">
        <f t="shared" si="32"/>
        <v>550136.10251529573</v>
      </c>
      <c r="E152" s="1167">
        <f t="shared" si="32"/>
        <v>550476.90077110205</v>
      </c>
      <c r="F152" s="1167">
        <f t="shared" si="32"/>
        <v>541458.36836683622</v>
      </c>
      <c r="G152" s="1167">
        <f t="shared" si="32"/>
        <v>548853.79617163655</v>
      </c>
      <c r="H152" s="1167">
        <f t="shared" si="32"/>
        <v>528091.66955824639</v>
      </c>
      <c r="I152" s="1167">
        <f t="shared" si="32"/>
        <v>530462.82769310323</v>
      </c>
      <c r="J152" s="1167">
        <f t="shared" si="32"/>
        <v>3249479.6650762209</v>
      </c>
      <c r="K152" s="1429"/>
    </row>
    <row r="153" spans="2:11" s="58" customFormat="1" ht="12">
      <c r="B153" s="1166" t="s">
        <v>1176</v>
      </c>
      <c r="D153" s="1167">
        <f t="shared" si="32"/>
        <v>18.309999999999999</v>
      </c>
      <c r="E153" s="1167">
        <f t="shared" si="32"/>
        <v>18.309999999999999</v>
      </c>
      <c r="F153" s="1167">
        <f t="shared" si="32"/>
        <v>18.309999999999999</v>
      </c>
      <c r="G153" s="1167">
        <f t="shared" si="32"/>
        <v>18.309999999999999</v>
      </c>
      <c r="H153" s="1167">
        <f t="shared" si="32"/>
        <v>18.309999999999999</v>
      </c>
      <c r="I153" s="1167">
        <f t="shared" si="32"/>
        <v>18.309999999999999</v>
      </c>
      <c r="J153" s="1167">
        <f t="shared" si="32"/>
        <v>109.86</v>
      </c>
      <c r="K153" s="1429"/>
    </row>
    <row r="154" spans="2:11" s="58" customFormat="1" ht="12">
      <c r="B154" s="1166" t="s">
        <v>274</v>
      </c>
      <c r="D154" s="1167">
        <f t="shared" si="32"/>
        <v>352534.05242979288</v>
      </c>
      <c r="E154" s="1167">
        <f t="shared" si="32"/>
        <v>352724.97681716603</v>
      </c>
      <c r="F154" s="1167">
        <f t="shared" si="32"/>
        <v>346575.8055292861</v>
      </c>
      <c r="G154" s="1167">
        <f t="shared" si="32"/>
        <v>351611.70804476889</v>
      </c>
      <c r="H154" s="1167">
        <f t="shared" si="32"/>
        <v>337517.12769056356</v>
      </c>
      <c r="I154" s="1167">
        <f t="shared" si="32"/>
        <v>339053.71157991257</v>
      </c>
      <c r="J154" s="1167">
        <f t="shared" si="32"/>
        <v>2080017.3820914903</v>
      </c>
      <c r="K154" s="1429"/>
    </row>
    <row r="155" spans="2:11" s="58" customFormat="1" ht="12">
      <c r="B155" s="1166" t="s">
        <v>275</v>
      </c>
      <c r="D155" s="1167">
        <f t="shared" si="32"/>
        <v>16162.51211953352</v>
      </c>
      <c r="E155" s="1167">
        <f t="shared" si="32"/>
        <v>16169.06402128296</v>
      </c>
      <c r="F155" s="1167">
        <f t="shared" si="32"/>
        <v>15872.426879960414</v>
      </c>
      <c r="G155" s="1167">
        <f t="shared" si="32"/>
        <v>16115.227355974986</v>
      </c>
      <c r="H155" s="1167">
        <f t="shared" si="32"/>
        <v>15437.038486582844</v>
      </c>
      <c r="I155" s="1167">
        <f t="shared" si="32"/>
        <v>15507.202879065284</v>
      </c>
      <c r="J155" s="1167">
        <f t="shared" si="32"/>
        <v>95263.471742400012</v>
      </c>
      <c r="K155" s="1429"/>
    </row>
    <row r="156" spans="2:11" s="58" customFormat="1" ht="12">
      <c r="B156" s="1166" t="s">
        <v>276</v>
      </c>
      <c r="D156" s="1167">
        <f t="shared" si="32"/>
        <v>109235.49629293919</v>
      </c>
      <c r="E156" s="1167">
        <f t="shared" si="32"/>
        <v>109288.57314044778</v>
      </c>
      <c r="F156" s="1167">
        <f t="shared" si="32"/>
        <v>107295.71178288932</v>
      </c>
      <c r="G156" s="1167">
        <f t="shared" si="32"/>
        <v>108926.88879629006</v>
      </c>
      <c r="H156" s="1167">
        <f t="shared" si="32"/>
        <v>104361.63470369567</v>
      </c>
      <c r="I156" s="1167">
        <f t="shared" si="32"/>
        <v>104842.07163859803</v>
      </c>
      <c r="J156" s="1167">
        <f t="shared" si="32"/>
        <v>643950.37635486003</v>
      </c>
      <c r="K156" s="1429"/>
    </row>
    <row r="157" spans="2:11" s="58" customFormat="1" ht="12">
      <c r="B157" s="1166" t="s">
        <v>277</v>
      </c>
      <c r="D157" s="1167">
        <f t="shared" si="32"/>
        <v>17841.836400894055</v>
      </c>
      <c r="E157" s="1167">
        <f t="shared" si="32"/>
        <v>17849.184444912753</v>
      </c>
      <c r="F157" s="1167">
        <f t="shared" si="32"/>
        <v>17516.501987913725</v>
      </c>
      <c r="G157" s="1167">
        <f t="shared" si="32"/>
        <v>17788.805916413465</v>
      </c>
      <c r="H157" s="1167">
        <f t="shared" si="32"/>
        <v>17028.208176114171</v>
      </c>
      <c r="I157" s="1167">
        <f t="shared" si="32"/>
        <v>17106.898465471841</v>
      </c>
      <c r="J157" s="1167">
        <f t="shared" si="32"/>
        <v>105131.43539172001</v>
      </c>
      <c r="K157" s="1429"/>
    </row>
    <row r="158" spans="2:11" s="58" customFormat="1" ht="12">
      <c r="B158" s="1166" t="s">
        <v>278</v>
      </c>
      <c r="D158" s="1167">
        <f t="shared" si="32"/>
        <v>9.2800000000000011</v>
      </c>
      <c r="E158" s="1167">
        <f t="shared" si="32"/>
        <v>9.2800000000000011</v>
      </c>
      <c r="F158" s="1167">
        <f t="shared" si="32"/>
        <v>9.2800000000000011</v>
      </c>
      <c r="G158" s="1167">
        <f t="shared" si="32"/>
        <v>9.2800000000000011</v>
      </c>
      <c r="H158" s="1167">
        <f t="shared" si="32"/>
        <v>9.2800000000000011</v>
      </c>
      <c r="I158" s="1167">
        <f t="shared" si="32"/>
        <v>9.2800000000000011</v>
      </c>
      <c r="J158" s="1167">
        <f t="shared" si="32"/>
        <v>55.680000000000007</v>
      </c>
      <c r="K158" s="1429"/>
    </row>
    <row r="159" spans="2:11" s="58" customFormat="1" ht="12">
      <c r="B159" s="1166" t="s">
        <v>279</v>
      </c>
      <c r="D159" s="1167">
        <f t="shared" ref="D159:J167" si="33">SUMIF($B$18:$B$145,$B159,D$18:D$145)</f>
        <v>8441.8851975235375</v>
      </c>
      <c r="E159" s="1167">
        <f t="shared" si="33"/>
        <v>8445.3971070529897</v>
      </c>
      <c r="F159" s="1167">
        <f t="shared" si="33"/>
        <v>8286.3955158754143</v>
      </c>
      <c r="G159" s="1167">
        <f t="shared" si="33"/>
        <v>8416.5399133465726</v>
      </c>
      <c r="H159" s="1167">
        <f t="shared" si="33"/>
        <v>8053.0213435831847</v>
      </c>
      <c r="I159" s="1167">
        <f t="shared" si="33"/>
        <v>8090.6304238183038</v>
      </c>
      <c r="J159" s="1167">
        <f t="shared" si="33"/>
        <v>49733.869501199995</v>
      </c>
      <c r="K159" s="1429"/>
    </row>
    <row r="160" spans="2:11" s="58" customFormat="1" ht="12">
      <c r="B160" s="1166" t="s">
        <v>875</v>
      </c>
      <c r="D160" s="1167">
        <f t="shared" si="33"/>
        <v>45805.241365320158</v>
      </c>
      <c r="E160" s="1167">
        <f t="shared" si="33"/>
        <v>44960.419277459281</v>
      </c>
      <c r="F160" s="1167">
        <f t="shared" si="33"/>
        <v>45652.489300131114</v>
      </c>
      <c r="G160" s="1167">
        <f t="shared" si="33"/>
        <v>48097.766208894747</v>
      </c>
      <c r="H160" s="1167">
        <f t="shared" si="33"/>
        <v>44287.210170706043</v>
      </c>
      <c r="I160" s="1167">
        <f t="shared" si="33"/>
        <v>49739.650509612482</v>
      </c>
      <c r="J160" s="1167">
        <f t="shared" si="33"/>
        <v>278542.77683212381</v>
      </c>
      <c r="K160" s="1429"/>
    </row>
    <row r="161" spans="2:11" s="58" customFormat="1" ht="12">
      <c r="B161" s="1166" t="s">
        <v>874</v>
      </c>
      <c r="D161" s="1167">
        <f t="shared" si="33"/>
        <v>1530.8133712082097</v>
      </c>
      <c r="E161" s="1167">
        <f t="shared" si="33"/>
        <v>1517.2773483141898</v>
      </c>
      <c r="F161" s="1167">
        <f t="shared" si="33"/>
        <v>1453.5058797863999</v>
      </c>
      <c r="G161" s="1167">
        <f t="shared" si="33"/>
        <v>1507.0313344229996</v>
      </c>
      <c r="H161" s="1167">
        <f t="shared" si="33"/>
        <v>1459.6757868213901</v>
      </c>
      <c r="I161" s="1167">
        <f t="shared" si="33"/>
        <v>1512.0673641090016</v>
      </c>
      <c r="J161" s="1167">
        <f t="shared" si="33"/>
        <v>8980.3710846621907</v>
      </c>
      <c r="K161" s="1429"/>
    </row>
    <row r="162" spans="2:11" s="58" customFormat="1" ht="12">
      <c r="B162" s="1166" t="s">
        <v>873</v>
      </c>
      <c r="D162" s="1167">
        <f t="shared" si="33"/>
        <v>176825.90082609447</v>
      </c>
      <c r="E162" s="1167">
        <f t="shared" si="33"/>
        <v>175045.34320712119</v>
      </c>
      <c r="F162" s="1167">
        <f t="shared" si="33"/>
        <v>170095.39927526499</v>
      </c>
      <c r="G162" s="1167">
        <f t="shared" si="33"/>
        <v>176932.7986513903</v>
      </c>
      <c r="H162" s="1167">
        <f t="shared" si="33"/>
        <v>163190.13150376704</v>
      </c>
      <c r="I162" s="1167">
        <f t="shared" si="33"/>
        <v>174935.00602673096</v>
      </c>
      <c r="J162" s="1167">
        <f t="shared" si="33"/>
        <v>1037024.5794903691</v>
      </c>
      <c r="K162" s="1429"/>
    </row>
    <row r="163" spans="2:11" s="58" customFormat="1" ht="12">
      <c r="B163" s="1166" t="s">
        <v>872</v>
      </c>
      <c r="D163" s="1167">
        <f t="shared" si="33"/>
        <v>42161.03435564143</v>
      </c>
      <c r="E163" s="1167">
        <f t="shared" si="33"/>
        <v>42555.720106589884</v>
      </c>
      <c r="F163" s="1167">
        <f t="shared" si="33"/>
        <v>41400.619386265025</v>
      </c>
      <c r="G163" s="1167">
        <f t="shared" si="33"/>
        <v>44363.638642069382</v>
      </c>
      <c r="H163" s="1167">
        <f t="shared" si="33"/>
        <v>41606.181938662688</v>
      </c>
      <c r="I163" s="1167">
        <f t="shared" si="33"/>
        <v>41382.782227929449</v>
      </c>
      <c r="J163" s="1167">
        <f t="shared" si="33"/>
        <v>253469.97665715785</v>
      </c>
      <c r="K163" s="1429"/>
    </row>
    <row r="164" spans="2:11" s="58" customFormat="1" ht="12">
      <c r="B164" s="1166" t="s">
        <v>871</v>
      </c>
      <c r="D164" s="1167">
        <f t="shared" si="33"/>
        <v>2102.00936644488</v>
      </c>
      <c r="E164" s="1167">
        <f t="shared" si="33"/>
        <v>2061.7257685699201</v>
      </c>
      <c r="F164" s="1167">
        <f t="shared" si="33"/>
        <v>2131.43847775824</v>
      </c>
      <c r="G164" s="1167">
        <f t="shared" si="33"/>
        <v>2561.7389823358321</v>
      </c>
      <c r="H164" s="1167">
        <f t="shared" si="33"/>
        <v>2466.7662649035356</v>
      </c>
      <c r="I164" s="1167">
        <f t="shared" si="33"/>
        <v>2593.1848808888335</v>
      </c>
      <c r="J164" s="1167">
        <f t="shared" si="33"/>
        <v>13916.863740901241</v>
      </c>
      <c r="K164" s="1429"/>
    </row>
    <row r="165" spans="2:11" s="58" customFormat="1" ht="12">
      <c r="B165" s="1166" t="s">
        <v>870</v>
      </c>
      <c r="D165" s="1167">
        <f t="shared" si="33"/>
        <v>4398.02806792908</v>
      </c>
      <c r="E165" s="1167">
        <f t="shared" si="33"/>
        <v>3981.4229156959195</v>
      </c>
      <c r="F165" s="1167">
        <f t="shared" si="33"/>
        <v>4024.2604420582315</v>
      </c>
      <c r="G165" s="1167">
        <f t="shared" si="33"/>
        <v>4613.6910733314953</v>
      </c>
      <c r="H165" s="1167">
        <f t="shared" si="33"/>
        <v>3206.7220461207603</v>
      </c>
      <c r="I165" s="1167">
        <f t="shared" si="33"/>
        <v>4133.6594930083438</v>
      </c>
      <c r="J165" s="1167">
        <f t="shared" si="33"/>
        <v>24357.784038143833</v>
      </c>
      <c r="K165" s="1429"/>
    </row>
    <row r="166" spans="2:11" s="58" customFormat="1" ht="12">
      <c r="B166" s="1166" t="s">
        <v>893</v>
      </c>
      <c r="D166" s="1167">
        <f t="shared" si="33"/>
        <v>0</v>
      </c>
      <c r="E166" s="1167">
        <f t="shared" si="33"/>
        <v>0</v>
      </c>
      <c r="F166" s="1167">
        <f t="shared" si="33"/>
        <v>0</v>
      </c>
      <c r="G166" s="1167">
        <f t="shared" si="33"/>
        <v>0</v>
      </c>
      <c r="H166" s="1167">
        <f t="shared" si="33"/>
        <v>0</v>
      </c>
      <c r="I166" s="1167">
        <f t="shared" si="33"/>
        <v>0</v>
      </c>
      <c r="J166" s="1167">
        <f t="shared" si="33"/>
        <v>0</v>
      </c>
      <c r="K166" s="1429"/>
    </row>
    <row r="167" spans="2:11" s="58" customFormat="1" ht="12">
      <c r="B167" s="1166"/>
      <c r="D167" s="1167">
        <f t="shared" si="33"/>
        <v>0</v>
      </c>
      <c r="E167" s="1167">
        <f t="shared" si="33"/>
        <v>0</v>
      </c>
      <c r="F167" s="1167">
        <f t="shared" si="33"/>
        <v>0</v>
      </c>
      <c r="G167" s="1167">
        <f t="shared" si="33"/>
        <v>0</v>
      </c>
      <c r="H167" s="1167">
        <f t="shared" si="33"/>
        <v>0</v>
      </c>
      <c r="I167" s="1167">
        <f t="shared" si="33"/>
        <v>0</v>
      </c>
      <c r="J167" s="1167">
        <f t="shared" si="33"/>
        <v>0</v>
      </c>
      <c r="K167" s="1429"/>
    </row>
    <row r="168" spans="2:11" s="58" customFormat="1" ht="12">
      <c r="B168" s="1166" t="s">
        <v>111</v>
      </c>
      <c r="C168" s="1168"/>
      <c r="D168" s="1169">
        <f>SUM(D149:D167)</f>
        <v>4293845.2717766995</v>
      </c>
      <c r="E168" s="1169">
        <f t="shared" ref="E168:J168" si="34">SUM(E149:E167)</f>
        <v>4294358.9003051119</v>
      </c>
      <c r="F168" s="1169">
        <f t="shared" si="34"/>
        <v>4232236.6951001016</v>
      </c>
      <c r="G168" s="1169">
        <f t="shared" si="34"/>
        <v>4292210.4529034533</v>
      </c>
      <c r="H168" s="1169">
        <f t="shared" si="34"/>
        <v>4138618.1294865222</v>
      </c>
      <c r="I168" s="1169">
        <f t="shared" si="34"/>
        <v>4173437.2117325258</v>
      </c>
      <c r="J168" s="1169">
        <f t="shared" si="34"/>
        <v>25424706.661304418</v>
      </c>
      <c r="K168" s="1429"/>
    </row>
    <row r="169" spans="2:11" s="58" customFormat="1" ht="12">
      <c r="B169" s="1166"/>
      <c r="D169" s="166">
        <f>D168-D145</f>
        <v>0</v>
      </c>
      <c r="E169" s="166">
        <f t="shared" ref="E169:J169" si="35">E168-E145</f>
        <v>0</v>
      </c>
      <c r="F169" s="166">
        <f t="shared" si="35"/>
        <v>0</v>
      </c>
      <c r="G169" s="166">
        <f t="shared" si="35"/>
        <v>0</v>
      </c>
      <c r="H169" s="166">
        <f t="shared" si="35"/>
        <v>0</v>
      </c>
      <c r="I169" s="166">
        <f t="shared" si="35"/>
        <v>0</v>
      </c>
      <c r="J169" s="166">
        <f t="shared" si="35"/>
        <v>0</v>
      </c>
      <c r="K169" s="1429"/>
    </row>
    <row r="170" spans="2:11" s="58" customFormat="1" ht="12">
      <c r="B170" s="1166"/>
      <c r="K170" s="1429"/>
    </row>
    <row r="171" spans="2:11" s="58" customFormat="1" ht="12">
      <c r="B171" s="1166"/>
      <c r="K171" s="1429"/>
    </row>
    <row r="172" spans="2:11" s="58" customFormat="1" ht="12">
      <c r="B172" s="1166"/>
      <c r="K172" s="1429"/>
    </row>
    <row r="173" spans="2:11" s="58" customFormat="1" ht="12">
      <c r="B173" s="1166"/>
      <c r="K173" s="1429"/>
    </row>
    <row r="174" spans="2:11" s="58" customFormat="1" ht="12">
      <c r="B174" s="1166"/>
      <c r="K174" s="1429"/>
    </row>
    <row r="175" spans="2:11" s="58" customFormat="1" ht="12">
      <c r="B175" s="1166"/>
      <c r="K175" s="1429"/>
    </row>
    <row r="176" spans="2:11">
      <c r="K176" s="1425"/>
    </row>
    <row r="177" spans="11:11">
      <c r="K177" s="1425"/>
    </row>
  </sheetData>
  <printOptions horizontalCentered="1" verticalCentered="1"/>
  <pageMargins left="0.51181102362204722" right="0.31496062992125984" top="0.78740157480314965" bottom="0.82677165354330717" header="0.31496062992125984" footer="0.23622047244094491"/>
  <pageSetup scale="30" orientation="portrait" horizontalDpi="300" r:id="rId1"/>
  <headerFooter alignWithMargins="0">
    <oddHeader>&amp;L
NOMBRE DE LA DISTRIBUIDORA: &amp;UELEKTRA NORESTE, S.A.&amp;R&amp;9&amp;A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23">
    <tabColor theme="7" tint="0.59999389629810485"/>
  </sheetPr>
  <dimension ref="A1:J170"/>
  <sheetViews>
    <sheetView view="pageBreakPreview" zoomScale="85" zoomScaleNormal="85" zoomScaleSheetLayoutView="85" workbookViewId="0">
      <selection activeCell="E11" sqref="E11"/>
    </sheetView>
  </sheetViews>
  <sheetFormatPr baseColWidth="10" defaultColWidth="8" defaultRowHeight="15"/>
  <cols>
    <col min="1" max="1" width="2.375" style="63" bestFit="1" customWidth="1"/>
    <col min="2" max="2" width="5.625" style="48" bestFit="1" customWidth="1"/>
    <col min="3" max="3" width="30.375" style="63" customWidth="1"/>
    <col min="4" max="4" width="11.25" style="63" customWidth="1"/>
    <col min="5" max="5" width="11.5" style="63" customWidth="1"/>
    <col min="6" max="7" width="11.625" style="63" customWidth="1"/>
    <col min="8" max="8" width="10.625" style="63" customWidth="1"/>
    <col min="9" max="9" width="11.5" style="63" customWidth="1"/>
    <col min="10" max="10" width="12.75" style="63" customWidth="1"/>
    <col min="11" max="11" width="6.125" style="63" customWidth="1"/>
    <col min="12" max="16384" width="8" style="63"/>
  </cols>
  <sheetData>
    <row r="1" spans="1:10" s="174" customFormat="1" ht="15.75">
      <c r="A1" s="69"/>
      <c r="B1" s="48"/>
      <c r="C1" s="136" t="s">
        <v>151</v>
      </c>
    </row>
    <row r="2" spans="1:10" s="174" customFormat="1" ht="15.75">
      <c r="A2" s="69"/>
      <c r="B2" s="48"/>
      <c r="D2" s="175" t="s">
        <v>252</v>
      </c>
    </row>
    <row r="3" spans="1:10" s="174" customFormat="1" ht="15.75">
      <c r="A3" s="69"/>
      <c r="B3" s="48"/>
      <c r="D3" s="176"/>
    </row>
    <row r="4" spans="1:10" ht="47.25" customHeight="1">
      <c r="C4" s="177" t="s">
        <v>269</v>
      </c>
      <c r="D4" s="177"/>
      <c r="E4" s="177"/>
      <c r="F4" s="177"/>
      <c r="G4" s="177"/>
      <c r="H4" s="177"/>
      <c r="I4" s="177"/>
      <c r="J4" s="177"/>
    </row>
    <row r="5" spans="1:10">
      <c r="C5" s="139"/>
    </row>
    <row r="6" spans="1:10" s="143" customFormat="1">
      <c r="B6" s="48"/>
      <c r="C6" s="140" t="s">
        <v>1225</v>
      </c>
      <c r="D6" s="171" t="s">
        <v>1403</v>
      </c>
      <c r="E6" s="171" t="s">
        <v>412</v>
      </c>
      <c r="F6" s="171" t="s">
        <v>1226</v>
      </c>
      <c r="G6" s="171" t="s">
        <v>1227</v>
      </c>
      <c r="H6" s="171" t="s">
        <v>1228</v>
      </c>
    </row>
    <row r="7" spans="1:10" s="143" customFormat="1" ht="13.5">
      <c r="B7" s="48"/>
      <c r="C7" s="144" t="s">
        <v>266</v>
      </c>
      <c r="D7" s="146">
        <f>RAT1000VAD!$N$38</f>
        <v>0</v>
      </c>
      <c r="E7" s="144"/>
      <c r="F7" s="178">
        <f>RAT1000VAD!$N$47</f>
        <v>2.0099999999999998</v>
      </c>
      <c r="G7" s="178">
        <f>RAT1000VAD!$N$51</f>
        <v>0.83</v>
      </c>
      <c r="H7" s="178">
        <f>RAT1000VAD!$N$55</f>
        <v>0</v>
      </c>
    </row>
    <row r="8" spans="1:10" s="143" customFormat="1" ht="13.5">
      <c r="B8" s="48"/>
      <c r="C8" s="144" t="s">
        <v>265</v>
      </c>
      <c r="D8" s="146">
        <f>RAT1000VAD!$N$37</f>
        <v>0</v>
      </c>
      <c r="E8" s="178">
        <f>RAT1000VAD!$N$43</f>
        <v>2.82</v>
      </c>
      <c r="F8" s="146"/>
      <c r="G8" s="146"/>
      <c r="H8" s="146"/>
    </row>
    <row r="9" spans="1:10" s="143" customFormat="1" ht="13.5">
      <c r="B9" s="48"/>
      <c r="C9" s="144" t="s">
        <v>264</v>
      </c>
      <c r="D9" s="146">
        <f>RAT1000VAD!$N$36</f>
        <v>0</v>
      </c>
      <c r="E9" s="146"/>
      <c r="F9" s="178">
        <f>RAT1000VAD!$N$46</f>
        <v>6.22</v>
      </c>
      <c r="G9" s="178">
        <f>RAT1000VAD!$N$50</f>
        <v>5.46</v>
      </c>
      <c r="H9" s="178">
        <f>RAT1000VAD!$N$54</f>
        <v>0</v>
      </c>
    </row>
    <row r="10" spans="1:10" s="143" customFormat="1" ht="13.5">
      <c r="B10" s="48"/>
      <c r="C10" s="144" t="s">
        <v>262</v>
      </c>
      <c r="D10" s="146">
        <f>RAT1000VAD!$N$35</f>
        <v>0</v>
      </c>
      <c r="E10" s="178">
        <f>RAT1000VAD!$N$42</f>
        <v>11.29</v>
      </c>
      <c r="F10" s="146"/>
      <c r="G10" s="146"/>
      <c r="H10" s="146"/>
    </row>
    <row r="11" spans="1:10" s="143" customFormat="1" ht="13.5">
      <c r="B11" s="48"/>
      <c r="C11" s="144" t="s">
        <v>263</v>
      </c>
      <c r="D11" s="146">
        <f>RAT1000VAD!$N$34</f>
        <v>0</v>
      </c>
      <c r="E11" s="146"/>
      <c r="F11" s="178">
        <f>RAT1000VAD!$N$45</f>
        <v>7.68</v>
      </c>
      <c r="G11" s="178">
        <f>RAT1000VAD!$N$49</f>
        <v>5.26</v>
      </c>
      <c r="H11" s="178">
        <f>RAT1000VAD!$N$53</f>
        <v>0</v>
      </c>
    </row>
    <row r="12" spans="1:10" s="143" customFormat="1" ht="13.5">
      <c r="B12" s="48"/>
      <c r="C12" s="144" t="s">
        <v>261</v>
      </c>
      <c r="D12" s="146">
        <f>RAT1000VAD!$N$33</f>
        <v>0</v>
      </c>
      <c r="E12" s="178">
        <f>RAT1000VAD!$N$41</f>
        <v>12.35</v>
      </c>
      <c r="F12" s="146"/>
      <c r="G12" s="146"/>
      <c r="H12" s="146"/>
    </row>
    <row r="13" spans="1:10" s="143" customFormat="1" ht="13.5">
      <c r="B13" s="48"/>
      <c r="C13" s="144" t="s">
        <v>1768</v>
      </c>
      <c r="D13" s="146">
        <f>RAT1000VAD!$N$28</f>
        <v>3.5180000000000003E-2</v>
      </c>
      <c r="E13" s="178"/>
      <c r="F13" s="146"/>
      <c r="G13" s="146"/>
      <c r="H13" s="146"/>
    </row>
    <row r="14" spans="1:10" s="143" customFormat="1" ht="13.5">
      <c r="B14" s="48"/>
      <c r="C14" s="144" t="s">
        <v>2071</v>
      </c>
      <c r="D14" s="146">
        <f>RAT1000VAD!$N$29</f>
        <v>3.6110000000000003E-2</v>
      </c>
      <c r="E14" s="146"/>
      <c r="F14" s="146"/>
      <c r="G14" s="146"/>
      <c r="H14" s="146"/>
    </row>
    <row r="15" spans="1:10" s="143" customFormat="1" ht="13.5">
      <c r="B15" s="48"/>
      <c r="C15" s="144" t="s">
        <v>1241</v>
      </c>
      <c r="D15" s="146">
        <f>RAT1000VAD!$N$30</f>
        <v>3.5180000000000003E-2</v>
      </c>
      <c r="E15" s="146"/>
      <c r="F15" s="146"/>
      <c r="G15" s="146"/>
      <c r="H15" s="146"/>
    </row>
    <row r="16" spans="1:10" s="143" customFormat="1" ht="13.5">
      <c r="B16" s="48"/>
      <c r="C16" s="144" t="s">
        <v>1242</v>
      </c>
      <c r="D16" s="146">
        <f>RAT1000VAD!$N$31</f>
        <v>3.5180000000000003E-2</v>
      </c>
      <c r="E16" s="146"/>
      <c r="F16" s="146"/>
      <c r="G16" s="146"/>
      <c r="H16" s="146"/>
    </row>
    <row r="17" spans="1:10" s="143" customFormat="1" ht="13.5">
      <c r="B17" s="48"/>
      <c r="C17" s="144" t="s">
        <v>1243</v>
      </c>
      <c r="D17" s="146">
        <f>RAT1000VAD!$N$32</f>
        <v>3.5180000000000003E-2</v>
      </c>
      <c r="E17" s="146"/>
      <c r="F17" s="146"/>
      <c r="G17" s="146"/>
      <c r="H17" s="146"/>
    </row>
    <row r="18" spans="1:10" s="143" customFormat="1" ht="13.5">
      <c r="B18" s="48"/>
      <c r="C18" s="147"/>
      <c r="J18" s="148"/>
    </row>
    <row r="19" spans="1:10" s="143" customFormat="1" ht="40.5" customHeight="1">
      <c r="B19" s="48"/>
      <c r="C19" s="149" t="s">
        <v>1404</v>
      </c>
      <c r="D19" s="149"/>
      <c r="E19" s="149"/>
      <c r="F19" s="149"/>
      <c r="G19" s="149"/>
      <c r="H19" s="149"/>
      <c r="I19" s="149"/>
      <c r="J19" s="149"/>
    </row>
    <row r="20" spans="1:10" s="37" customFormat="1" ht="13.5">
      <c r="A20" s="143"/>
      <c r="B20" s="48"/>
      <c r="C20" s="150" t="s">
        <v>310</v>
      </c>
      <c r="D20" s="151">
        <f>F801ENE!D4</f>
        <v>46204</v>
      </c>
      <c r="E20" s="151">
        <f>F801ENE!E4</f>
        <v>46235</v>
      </c>
      <c r="F20" s="151">
        <f>F801ENE!F4</f>
        <v>46266</v>
      </c>
      <c r="G20" s="151">
        <f>F801ENE!G4</f>
        <v>46296</v>
      </c>
      <c r="H20" s="151">
        <f>F801ENE!H4</f>
        <v>46327</v>
      </c>
      <c r="I20" s="151">
        <f>F801ENE!I4</f>
        <v>46357</v>
      </c>
      <c r="J20" s="152" t="s">
        <v>111</v>
      </c>
    </row>
    <row r="21" spans="1:10" s="37" customFormat="1" ht="13.5">
      <c r="B21" s="48"/>
      <c r="C21" s="153" t="s">
        <v>446</v>
      </c>
      <c r="D21" s="154">
        <f t="shared" ref="D21:I21" si="0">SUM(D22:D23)</f>
        <v>65974.667983010804</v>
      </c>
      <c r="E21" s="154">
        <f t="shared" si="0"/>
        <v>66002.201587120333</v>
      </c>
      <c r="F21" s="154">
        <f t="shared" si="0"/>
        <v>66914.045163344825</v>
      </c>
      <c r="G21" s="154">
        <f t="shared" si="0"/>
        <v>65775.959270636537</v>
      </c>
      <c r="H21" s="154">
        <f t="shared" si="0"/>
        <v>65023.387175362841</v>
      </c>
      <c r="I21" s="154">
        <f t="shared" si="0"/>
        <v>63220.807213056723</v>
      </c>
      <c r="J21" s="154">
        <f>SUM(D21:I21)</f>
        <v>392911.06839253206</v>
      </c>
    </row>
    <row r="22" spans="1:10" s="37" customFormat="1" ht="13.5">
      <c r="B22" s="48" t="s">
        <v>279</v>
      </c>
      <c r="C22" s="155" t="s">
        <v>279</v>
      </c>
      <c r="D22" s="156">
        <f>$D$7*F801ENE!D6+$F$7*F801D!K6+$G$7*F801D!R6+$H$7*F801D!Y6</f>
        <v>65971.847983010797</v>
      </c>
      <c r="E22" s="156">
        <f>$D$7*F801ENE!E6+$F$7*F801D!L6+$G$7*F801D!S6+$H$7*F801D!Z6</f>
        <v>65999.381587120326</v>
      </c>
      <c r="F22" s="156">
        <f>$D$7*F801ENE!F6+$F$7*F801D!M6+$G$7*F801D!T6+$H$7*F801D!AA6</f>
        <v>66911.225163344818</v>
      </c>
      <c r="G22" s="156">
        <f>$D$7*F801ENE!G6+$F$7*F801D!N6+$G$7*F801D!U6+$H$7*F801D!AB6</f>
        <v>65773.13927063653</v>
      </c>
      <c r="H22" s="156">
        <f>$D$7*F801ENE!H6+$F$7*F801D!O6+$G$7*F801D!V6+$H$7*F801D!AC6</f>
        <v>65020.567175362841</v>
      </c>
      <c r="I22" s="156">
        <f>$D$7*F801ENE!I6+$F$7*F801D!P6+$G$7*F801D!W6+$H$7*F801D!AD6</f>
        <v>63217.987213056724</v>
      </c>
      <c r="J22" s="156">
        <f>SUM(D22:I22)</f>
        <v>392894.14839253202</v>
      </c>
    </row>
    <row r="23" spans="1:10" s="37" customFormat="1" ht="13.5">
      <c r="B23" s="48" t="s">
        <v>278</v>
      </c>
      <c r="C23" s="155" t="s">
        <v>278</v>
      </c>
      <c r="D23" s="156">
        <f>$D$8*F801ENE!D7+$E$8*F801D!D7</f>
        <v>2.82</v>
      </c>
      <c r="E23" s="156">
        <f>$D$8*F801ENE!E7+$E$8*F801D!E7</f>
        <v>2.82</v>
      </c>
      <c r="F23" s="156">
        <f>$D$8*F801ENE!F7+$E$8*F801D!F7</f>
        <v>2.82</v>
      </c>
      <c r="G23" s="156">
        <f>$D$8*F801ENE!G7+$E$8*F801D!G7</f>
        <v>2.82</v>
      </c>
      <c r="H23" s="156">
        <f>$D$8*F801ENE!H7+$E$8*F801D!H7</f>
        <v>2.82</v>
      </c>
      <c r="I23" s="156">
        <f>$D$8*F801ENE!I7+$E$8*F801D!I7</f>
        <v>2.82</v>
      </c>
      <c r="J23" s="156">
        <f>SUM(D23:I23)</f>
        <v>16.919999999999998</v>
      </c>
    </row>
    <row r="24" spans="1:10" s="37" customFormat="1" ht="13.5">
      <c r="B24" s="48"/>
      <c r="C24" s="157"/>
      <c r="D24" s="156"/>
      <c r="E24" s="156"/>
      <c r="F24" s="156"/>
      <c r="G24" s="156"/>
      <c r="H24" s="156"/>
      <c r="I24" s="156"/>
      <c r="J24" s="156"/>
    </row>
    <row r="25" spans="1:10" s="37" customFormat="1" ht="13.5">
      <c r="B25" s="48"/>
      <c r="C25" s="153" t="s">
        <v>630</v>
      </c>
      <c r="D25" s="154">
        <f>SUBTOTAL(9,D26:D33)</f>
        <v>1018327.5734718681</v>
      </c>
      <c r="E25" s="154">
        <f t="shared" ref="E25:I25" si="1">SUBTOTAL(9,E26:E33)</f>
        <v>1018752.5652840866</v>
      </c>
      <c r="F25" s="154">
        <f t="shared" si="1"/>
        <v>1032828.1104535739</v>
      </c>
      <c r="G25" s="154">
        <f t="shared" si="1"/>
        <v>1015260.4277600466</v>
      </c>
      <c r="H25" s="154">
        <f t="shared" si="1"/>
        <v>1003645.0742843397</v>
      </c>
      <c r="I25" s="154">
        <f t="shared" si="1"/>
        <v>975820.66901561362</v>
      </c>
      <c r="J25" s="154">
        <f t="shared" ref="J25" si="2">J26+J29</f>
        <v>6064634.4202695284</v>
      </c>
    </row>
    <row r="26" spans="1:10" s="37" customFormat="1" ht="13.5">
      <c r="B26" s="48" t="s">
        <v>277</v>
      </c>
      <c r="C26" s="155" t="s">
        <v>277</v>
      </c>
      <c r="D26" s="154">
        <f>SUBTOTAL(9,D27:D28)</f>
        <v>99241.686158981262</v>
      </c>
      <c r="E26" s="154">
        <f t="shared" ref="E26:I26" si="3">SUBTOTAL(9,E27:E28)</f>
        <v>99283.103974964106</v>
      </c>
      <c r="F26" s="154">
        <f t="shared" si="3"/>
        <v>100654.84414248637</v>
      </c>
      <c r="G26" s="154">
        <f t="shared" si="3"/>
        <v>98942.775749339024</v>
      </c>
      <c r="H26" s="154">
        <f t="shared" si="3"/>
        <v>97810.794946411668</v>
      </c>
      <c r="I26" s="154">
        <f t="shared" si="3"/>
        <v>95099.15188854502</v>
      </c>
      <c r="J26" s="154">
        <f t="shared" ref="J26" si="4">SUM(J27:J28)</f>
        <v>591032.35686072742</v>
      </c>
    </row>
    <row r="27" spans="1:10" s="37" customFormat="1" ht="13.5">
      <c r="B27" s="48"/>
      <c r="C27" s="160" t="s">
        <v>304</v>
      </c>
      <c r="D27" s="156">
        <f>$D$9*F801ENE!D11+$F$9*F801D!K11+$G$9*F801D!R11+$H$9*F801D!Y11</f>
        <v>89440.053825537354</v>
      </c>
      <c r="E27" s="156">
        <f>$D$9*F801ENE!E11+$F$9*F801D!L11+$G$9*F801D!S11+$H$9*F801D!Z11</f>
        <v>89477.380999572953</v>
      </c>
      <c r="F27" s="156">
        <f>$D$9*F801ENE!F11+$F$9*F801D!M11+$G$9*F801D!T11+$H$9*F801D!AA11</f>
        <v>90713.64087348622</v>
      </c>
      <c r="G27" s="156">
        <f>$D$9*F801ENE!G11+$F$9*F801D!N11+$G$9*F801D!U11+$H$9*F801D!AB11</f>
        <v>89170.665384428168</v>
      </c>
      <c r="H27" s="156">
        <f>$D$9*F801ENE!H11+$F$9*F801D!O11+$G$9*F801D!V11+$H$9*F801D!AC11</f>
        <v>88150.484975752843</v>
      </c>
      <c r="I27" s="156">
        <f>$D$9*F801ENE!I11+$F$9*F801D!P11+$G$9*F801D!W11+$H$9*F801D!AD11</f>
        <v>85706.658087697811</v>
      </c>
      <c r="J27" s="156">
        <f t="shared" ref="J27:J28" si="5">SUM(D27:I27)</f>
        <v>532658.88414647535</v>
      </c>
    </row>
    <row r="28" spans="1:10" s="37" customFormat="1" ht="13.5">
      <c r="B28" s="48"/>
      <c r="C28" s="160" t="s">
        <v>305</v>
      </c>
      <c r="D28" s="156">
        <f>($D$9*F801ENE!D12+$F$9*F801D!K12+$G$9*F801D!R12+$H$9*F801D!Y12)*95%</f>
        <v>9801.6323334439021</v>
      </c>
      <c r="E28" s="156">
        <f>($D$9*F801ENE!E12+$F$9*F801D!L12+$G$9*F801D!S12+$H$9*F801D!Z12)*95%</f>
        <v>9805.7229753911561</v>
      </c>
      <c r="F28" s="156">
        <f>($D$9*F801ENE!F12+$F$9*F801D!M12+$G$9*F801D!T12+$H$9*F801D!AA12)*95%</f>
        <v>9941.2032690001488</v>
      </c>
      <c r="G28" s="156">
        <f>($D$9*F801ENE!G12+$F$9*F801D!N12+$G$9*F801D!U12+$H$9*F801D!AB12)*95%</f>
        <v>9772.1103649108518</v>
      </c>
      <c r="H28" s="156">
        <f>($D$9*F801ENE!H12+$F$9*F801D!O12+$G$9*F801D!V12+$H$9*F801D!AC12)*95%</f>
        <v>9660.3099706588255</v>
      </c>
      <c r="I28" s="156">
        <f>($D$9*F801ENE!I12+$F$9*F801D!P12+$G$9*F801D!W12+$H$9*F801D!AD12)*95%</f>
        <v>9392.4938008472091</v>
      </c>
      <c r="J28" s="156">
        <f t="shared" si="5"/>
        <v>58373.472714252101</v>
      </c>
    </row>
    <row r="29" spans="1:10" s="37" customFormat="1" ht="13.5">
      <c r="B29" s="48" t="s">
        <v>276</v>
      </c>
      <c r="C29" s="158" t="s">
        <v>276</v>
      </c>
      <c r="D29" s="154">
        <f>SUBTOTAL(9,D30:D33)</f>
        <v>919085.88731288677</v>
      </c>
      <c r="E29" s="154">
        <f t="shared" ref="E29:I29" si="6">SUBTOTAL(9,E30:E33)</f>
        <v>919469.4613091225</v>
      </c>
      <c r="F29" s="154">
        <f t="shared" si="6"/>
        <v>932173.26631108753</v>
      </c>
      <c r="G29" s="154">
        <f t="shared" si="6"/>
        <v>916317.65201070753</v>
      </c>
      <c r="H29" s="154">
        <f t="shared" si="6"/>
        <v>905834.27933792805</v>
      </c>
      <c r="I29" s="154">
        <f t="shared" si="6"/>
        <v>880721.5171270686</v>
      </c>
      <c r="J29" s="159">
        <f t="shared" ref="J29:J33" si="7">SUM(D29:I29)</f>
        <v>5473602.0634088013</v>
      </c>
    </row>
    <row r="30" spans="1:10" s="37" customFormat="1" ht="13.5">
      <c r="B30" s="48"/>
      <c r="C30" s="160" t="s">
        <v>304</v>
      </c>
      <c r="D30" s="156">
        <f>($D$10*F801ENE!D15+$E$10*F801D!D15)*1</f>
        <v>913185.51999211847</v>
      </c>
      <c r="E30" s="156">
        <f>($D$10*F801ENE!E15+$E$10*F801D!E15)*1</f>
        <v>913566.63151177426</v>
      </c>
      <c r="F30" s="156">
        <f>($D$10*F801ENE!F15+$E$10*F801D!F15)*1</f>
        <v>926188.88035351771</v>
      </c>
      <c r="G30" s="156">
        <f>($D$10*F801ENE!G15+$E$10*F801D!G15)*1</f>
        <v>910435.05626639212</v>
      </c>
      <c r="H30" s="156">
        <f>($D$10*F801ENE!H15+$E$10*F801D!H15)*1</f>
        <v>900018.98497467372</v>
      </c>
      <c r="I30" s="156">
        <f>($D$10*F801ENE!I15+$E$10*F801D!I15)*1</f>
        <v>875067.4422140622</v>
      </c>
      <c r="J30" s="156">
        <f>SUM(D30:I30)</f>
        <v>5438462.5153125385</v>
      </c>
    </row>
    <row r="31" spans="1:10" s="37" customFormat="1" ht="13.5">
      <c r="B31" s="48"/>
      <c r="C31" s="161" t="s">
        <v>306</v>
      </c>
      <c r="D31" s="156">
        <f>($D$10*F801ENE!D16+$E$10*F801D!D16)*1</f>
        <v>0</v>
      </c>
      <c r="E31" s="156">
        <f>($D$10*F801ENE!E16+$E$10*F801D!E16)*1</f>
        <v>0</v>
      </c>
      <c r="F31" s="156">
        <f>($D$10*F801ENE!F16+$E$10*F801D!F16)*1</f>
        <v>0</v>
      </c>
      <c r="G31" s="156">
        <f>($D$10*F801ENE!G16+$E$10*F801D!G16)*1</f>
        <v>0</v>
      </c>
      <c r="H31" s="156">
        <f>($D$10*F801ENE!H16+$E$10*F801D!H16)*1</f>
        <v>0</v>
      </c>
      <c r="I31" s="156">
        <f>($D$10*F801ENE!I16+$E$10*F801D!I16)*1</f>
        <v>0</v>
      </c>
      <c r="J31" s="156">
        <f>SUM(D31:I31)</f>
        <v>0</v>
      </c>
    </row>
    <row r="32" spans="1:10" s="37" customFormat="1" ht="13.5">
      <c r="B32" s="48"/>
      <c r="C32" s="160" t="s">
        <v>305</v>
      </c>
      <c r="D32" s="156">
        <f>($D$10*F801ENE!D17+$E$10*F801D!D17)*0.95</f>
        <v>5900.3673207683169</v>
      </c>
      <c r="E32" s="156">
        <f>($D$10*F801ENE!E17+$E$10*F801D!E17)*0.95</f>
        <v>5902.829797348285</v>
      </c>
      <c r="F32" s="156">
        <f>($D$10*F801ENE!F17+$E$10*F801D!F17)*0.95</f>
        <v>5984.3859575697825</v>
      </c>
      <c r="G32" s="156">
        <f>($D$10*F801ENE!G17+$E$10*F801D!G17)*0.95</f>
        <v>5882.595744315402</v>
      </c>
      <c r="H32" s="156">
        <f>($D$10*F801ENE!H17+$E$10*F801D!H17)*0.95</f>
        <v>5815.2943632543256</v>
      </c>
      <c r="I32" s="156">
        <f>($D$10*F801ENE!I17+$E$10*F801D!I17)*0.95</f>
        <v>5654.0749130064332</v>
      </c>
      <c r="J32" s="156">
        <f>SUM(D32:I32)</f>
        <v>35139.548096262544</v>
      </c>
    </row>
    <row r="33" spans="2:10" s="37" customFormat="1" ht="13.5">
      <c r="B33" s="48"/>
      <c r="C33" s="160" t="s">
        <v>307</v>
      </c>
      <c r="D33" s="156">
        <f>($D$10*F801ENE!D18+$E$10*F801D!D18)*0.5</f>
        <v>0</v>
      </c>
      <c r="E33" s="156">
        <f>($D$10*F801ENE!E18+$E$10*F801D!E18)*0.5</f>
        <v>0</v>
      </c>
      <c r="F33" s="156">
        <f>($D$10*F801ENE!F18+$E$10*F801D!F18)*0.5</f>
        <v>0</v>
      </c>
      <c r="G33" s="156">
        <f>($D$10*F801ENE!G18+$E$10*F801D!G18)*0.5</f>
        <v>0</v>
      </c>
      <c r="H33" s="156">
        <f>($D$10*F801ENE!H18+$E$10*F801D!H18)*0.5</f>
        <v>0</v>
      </c>
      <c r="I33" s="156">
        <f>($D$10*F801ENE!I18+$E$10*F801D!I18)*0.5</f>
        <v>0</v>
      </c>
      <c r="J33" s="156">
        <f t="shared" si="7"/>
        <v>0</v>
      </c>
    </row>
    <row r="34" spans="2:10" s="37" customFormat="1" ht="13.5">
      <c r="B34" s="48"/>
      <c r="C34" s="157"/>
      <c r="D34" s="156"/>
      <c r="E34" s="156"/>
      <c r="F34" s="156"/>
      <c r="G34" s="156"/>
      <c r="H34" s="156"/>
      <c r="I34" s="156"/>
      <c r="J34" s="156"/>
    </row>
    <row r="35" spans="2:10" s="37" customFormat="1" ht="13.5">
      <c r="B35" s="48"/>
      <c r="C35" s="153" t="s">
        <v>443</v>
      </c>
      <c r="D35" s="154">
        <f t="shared" ref="D35:I35" si="8">SUBTOTAL(9,D36:D110)</f>
        <v>8485624.1049024574</v>
      </c>
      <c r="E35" s="154">
        <f t="shared" si="8"/>
        <v>8489165.5205091257</v>
      </c>
      <c r="F35" s="154">
        <f t="shared" si="8"/>
        <v>8423630.0938751753</v>
      </c>
      <c r="G35" s="154">
        <f t="shared" si="8"/>
        <v>8460065.8767684717</v>
      </c>
      <c r="H35" s="154">
        <f t="shared" si="8"/>
        <v>8185616.5015281588</v>
      </c>
      <c r="I35" s="154">
        <f t="shared" si="8"/>
        <v>8131418.1872718064</v>
      </c>
      <c r="J35" s="154">
        <f>SUM(D35:I35)</f>
        <v>50175520.284855194</v>
      </c>
    </row>
    <row r="36" spans="2:10" s="37" customFormat="1" ht="13.5">
      <c r="B36" s="48" t="s">
        <v>275</v>
      </c>
      <c r="C36" s="155" t="s">
        <v>275</v>
      </c>
      <c r="D36" s="154">
        <f>SUBTOTAL(9,D37:D39)</f>
        <v>82891.820514370964</v>
      </c>
      <c r="E36" s="154">
        <f t="shared" ref="E36:I36" si="9">SUBTOTAL(9,E37:E39)</f>
        <v>82926.414829536574</v>
      </c>
      <c r="F36" s="154">
        <f t="shared" si="9"/>
        <v>84072.163598621919</v>
      </c>
      <c r="G36" s="154">
        <f t="shared" si="9"/>
        <v>82642.15498585254</v>
      </c>
      <c r="H36" s="154">
        <f t="shared" si="9"/>
        <v>81696.665714422285</v>
      </c>
      <c r="I36" s="154">
        <f t="shared" si="9"/>
        <v>79431.760326865202</v>
      </c>
      <c r="J36" s="156">
        <f t="shared" ref="J36:J51" si="10">SUM(D36:I36)</f>
        <v>493660.97996966948</v>
      </c>
    </row>
    <row r="37" spans="2:10" s="37" customFormat="1" ht="13.5">
      <c r="B37" s="48"/>
      <c r="C37" s="160" t="s">
        <v>304</v>
      </c>
      <c r="D37" s="156">
        <f>$D$11*F801ENE!D22+$F$11*F801D!K22+$G$11*F801D!R22+$H$11*F801D!Y22</f>
        <v>80117.371887893634</v>
      </c>
      <c r="E37" s="156">
        <f>$D$11*F801ENE!E22+$F$11*F801D!L22+$G$11*F801D!S22+$H$11*F801D!Z22</f>
        <v>80150.80830654304</v>
      </c>
      <c r="F37" s="156">
        <f>$D$11*F801ENE!F22+$F$11*F801D!M22+$G$11*F801D!T22+$H$11*F801D!AA22</f>
        <v>81258.208043372229</v>
      </c>
      <c r="G37" s="156">
        <f>$D$11*F801ENE!G22+$F$11*F801D!N22+$G$11*F801D!U22+$H$11*F801D!AB22</f>
        <v>79876.062843505715</v>
      </c>
      <c r="H37" s="156">
        <f>$D$11*F801ENE!H22+$F$11*F801D!O22+$G$11*F801D!V22+$H$11*F801D!AC22</f>
        <v>78962.219775454636</v>
      </c>
      <c r="I37" s="156">
        <f>$D$11*F801ENE!I22+$F$11*F801D!P22+$G$11*F801D!W22+$H$11*F801D!AD22</f>
        <v>76773.122394074948</v>
      </c>
      <c r="J37" s="156">
        <f t="shared" ref="J37:J39" si="11">SUM(D37:I37)</f>
        <v>477137.79325084423</v>
      </c>
    </row>
    <row r="38" spans="2:10" s="37" customFormat="1" ht="13.5">
      <c r="B38" s="48"/>
      <c r="C38" s="161" t="s">
        <v>306</v>
      </c>
      <c r="D38" s="156">
        <f>$D$11*F801ENE!D23+$F$11*F801D!K23+$G$11*F801D!R23+$H$11*F801D!Y23</f>
        <v>2203.2701703979415</v>
      </c>
      <c r="E38" s="156">
        <f>$D$11*F801ENE!E23+$F$11*F801D!L23+$G$11*F801D!S23+$H$11*F801D!Z23</f>
        <v>2204.1896896242865</v>
      </c>
      <c r="F38" s="156">
        <f>$D$11*F801ENE!F23+$F$11*F801D!M23+$G$11*F801D!T23+$H$11*F801D!AA23</f>
        <v>2234.6437690501116</v>
      </c>
      <c r="G38" s="156">
        <f>$D$11*F801ENE!G23+$F$11*F801D!N23+$G$11*F801D!U23+$H$11*F801D!AB23</f>
        <v>2196.6340438398829</v>
      </c>
      <c r="H38" s="156">
        <f>$D$11*F801ENE!H23+$F$11*F801D!O23+$G$11*F801D!V23+$H$11*F801D!AC23</f>
        <v>2171.5028753452493</v>
      </c>
      <c r="I38" s="156">
        <f>$D$11*F801ENE!I23+$F$11*F801D!P23+$G$11*F801D!W23+$H$11*F801D!AD23</f>
        <v>2111.3015376473641</v>
      </c>
      <c r="J38" s="156">
        <f t="shared" si="11"/>
        <v>13121.542085904835</v>
      </c>
    </row>
    <row r="39" spans="2:10" s="37" customFormat="1" ht="13.5">
      <c r="B39" s="48"/>
      <c r="C39" s="160" t="s">
        <v>305</v>
      </c>
      <c r="D39" s="156">
        <f>($D$11*F801ENE!D24+$F$11*F801D!K24+$G$11*F801D!R24+$H$11*F801D!Y24)*95%</f>
        <v>571.17845607939466</v>
      </c>
      <c r="E39" s="156">
        <f>($D$11*F801ENE!E24+$F$11*F801D!L24+$G$11*F801D!S24+$H$11*F801D!Z24)*95%</f>
        <v>571.41683336925018</v>
      </c>
      <c r="F39" s="156">
        <f>($D$11*F801ENE!F24+$F$11*F801D!M24+$G$11*F801D!T24+$H$11*F801D!AA24)*95%</f>
        <v>579.31178619957882</v>
      </c>
      <c r="G39" s="156">
        <f>($D$11*F801ENE!G24+$F$11*F801D!N24+$G$11*F801D!U24+$H$11*F801D!AB24)*95%</f>
        <v>569.45809850695275</v>
      </c>
      <c r="H39" s="156">
        <f>($D$11*F801ENE!H24+$F$11*F801D!O24+$G$11*F801D!V24+$H$11*F801D!AC24)*95%</f>
        <v>562.94306362240036</v>
      </c>
      <c r="I39" s="156">
        <f>($D$11*F801ENE!I24+$F$11*F801D!P24+$G$11*F801D!W24+$H$11*F801D!AD24)*95%</f>
        <v>547.33639514289143</v>
      </c>
      <c r="J39" s="156">
        <f t="shared" si="11"/>
        <v>3401.6446329204687</v>
      </c>
    </row>
    <row r="40" spans="2:10" s="37" customFormat="1" ht="13.5">
      <c r="B40" s="48" t="s">
        <v>274</v>
      </c>
      <c r="C40" s="158" t="s">
        <v>627</v>
      </c>
      <c r="D40" s="154">
        <f t="shared" ref="D40:I40" si="12">SUBTOTAL(9,D41:D46)</f>
        <v>1183183.3501535801</v>
      </c>
      <c r="E40" s="154">
        <f t="shared" si="12"/>
        <v>1183677.1433585053</v>
      </c>
      <c r="F40" s="154">
        <f t="shared" si="12"/>
        <v>1200031.3609233822</v>
      </c>
      <c r="G40" s="154">
        <f t="shared" si="12"/>
        <v>1179619.6680602534</v>
      </c>
      <c r="H40" s="154">
        <f t="shared" si="12"/>
        <v>1166123.9195441359</v>
      </c>
      <c r="I40" s="154">
        <f t="shared" si="12"/>
        <v>1133795.0561218867</v>
      </c>
      <c r="J40" s="159">
        <f t="shared" si="10"/>
        <v>7046430.4981617443</v>
      </c>
    </row>
    <row r="41" spans="2:10" s="37" customFormat="1" ht="13.5">
      <c r="B41" s="48"/>
      <c r="C41" s="160" t="s">
        <v>304</v>
      </c>
      <c r="D41" s="156">
        <f>($D$12*F801ENE!D28+$E$12*F801D!D28)*1</f>
        <v>1180751.2963453147</v>
      </c>
      <c r="E41" s="156">
        <f>($D$12*F801ENE!E28+$E$12*F801D!E28)*1</f>
        <v>1181244.0745497802</v>
      </c>
      <c r="F41" s="156">
        <f>($D$12*F801ENE!F28+$E$12*F801D!F28)*1</f>
        <v>1197564.6757380364</v>
      </c>
      <c r="G41" s="156">
        <f>($D$12*F801ENE!G28+$E$12*F801D!G28)*1</f>
        <v>1177194.9394620711</v>
      </c>
      <c r="H41" s="156">
        <f>($D$12*F801ENE!H28+$E$12*F801D!H28)*1</f>
        <v>1163726.9316900822</v>
      </c>
      <c r="I41" s="156">
        <f>($D$12*F801ENE!I28+$E$12*F801D!I28)*1</f>
        <v>1131464.5208048746</v>
      </c>
      <c r="J41" s="156">
        <f t="shared" si="10"/>
        <v>7031946.4385901596</v>
      </c>
    </row>
    <row r="42" spans="2:10" s="37" customFormat="1" ht="13.5">
      <c r="B42" s="48"/>
      <c r="C42" s="161" t="s">
        <v>628</v>
      </c>
      <c r="D42" s="156">
        <f>($D$12*F801ENE!D29+$E$12*F801D!D29)*0.75</f>
        <v>0</v>
      </c>
      <c r="E42" s="156">
        <f>($D$12*F801ENE!E29+$E$12*F801D!E29)*0.75</f>
        <v>0</v>
      </c>
      <c r="F42" s="156">
        <f>($D$12*F801ENE!F29+$E$12*F801D!F29)*0.75</f>
        <v>0</v>
      </c>
      <c r="G42" s="156">
        <f>($D$12*F801ENE!G29+$E$12*F801D!G29)*0.75</f>
        <v>0</v>
      </c>
      <c r="H42" s="156">
        <f>($D$12*F801ENE!H29+$E$12*F801D!H29)*0.75</f>
        <v>0</v>
      </c>
      <c r="I42" s="156">
        <f>($D$12*F801ENE!I29+$E$12*F801D!I29)*0.75</f>
        <v>0</v>
      </c>
      <c r="J42" s="156">
        <f>SUM(D42:I42)</f>
        <v>0</v>
      </c>
    </row>
    <row r="43" spans="2:10" s="37" customFormat="1" ht="13.5">
      <c r="B43" s="48"/>
      <c r="C43" s="161" t="s">
        <v>629</v>
      </c>
      <c r="D43" s="156">
        <f>($D$12*F801ENE!D30+$E$12*F801D!D30)*1</f>
        <v>1343.8326776135357</v>
      </c>
      <c r="E43" s="156">
        <f>($D$12*F801ENE!E30+$E$12*F801D!E30)*1</f>
        <v>1344.3935166793287</v>
      </c>
      <c r="F43" s="156">
        <f>($D$12*F801ENE!F30+$E$12*F801D!F30)*1</f>
        <v>1362.968264183703</v>
      </c>
      <c r="G43" s="156">
        <f>($D$12*F801ENE!G30+$E$12*F801D!G30)*1</f>
        <v>1339.7851287285578</v>
      </c>
      <c r="H43" s="156">
        <f>($D$12*F801ENE!H30+$E$12*F801D!H30)*1</f>
        <v>1324.4569652089651</v>
      </c>
      <c r="I43" s="156">
        <f>($D$12*F801ENE!I30+$E$12*F801D!I30)*1</f>
        <v>1287.738579092998</v>
      </c>
      <c r="J43" s="156">
        <f t="shared" si="10"/>
        <v>8003.1751315070887</v>
      </c>
    </row>
    <row r="44" spans="2:10" s="37" customFormat="1" ht="13.5">
      <c r="B44" s="48"/>
      <c r="C44" s="160" t="s">
        <v>305</v>
      </c>
      <c r="D44" s="156">
        <f>($D$12*F801ENE!D31+$E$12*F801D!D31)*0.95</f>
        <v>1088.2211306518043</v>
      </c>
      <c r="E44" s="156">
        <f>($D$12*F801ENE!E31+$E$12*F801D!E31)*0.95</f>
        <v>1088.6752920458962</v>
      </c>
      <c r="F44" s="156">
        <f>($D$12*F801ENE!F31+$E$12*F801D!F31)*0.95</f>
        <v>1103.7169211620144</v>
      </c>
      <c r="G44" s="156">
        <f>($D$12*F801ENE!G31+$E$12*F801D!G31)*0.95</f>
        <v>1084.943469453834</v>
      </c>
      <c r="H44" s="156">
        <f>($D$12*F801ENE!H31+$E$12*F801D!H31)*0.95</f>
        <v>1072.5308888446698</v>
      </c>
      <c r="I44" s="156">
        <f>($D$12*F801ENE!I31+$E$12*F801D!I31)*0.95</f>
        <v>1042.7967379191339</v>
      </c>
      <c r="J44" s="156">
        <f>SUM(D44:I44)</f>
        <v>6480.8844400773532</v>
      </c>
    </row>
    <row r="45" spans="2:10" s="37" customFormat="1" ht="13.5">
      <c r="B45" s="48"/>
      <c r="C45" s="160" t="s">
        <v>307</v>
      </c>
      <c r="D45" s="156">
        <f>($D$12*F801ENE!D32+$E$12*F801D!D32)*0.5</f>
        <v>0</v>
      </c>
      <c r="E45" s="156">
        <f>($D$12*F801ENE!E32+$E$12*F801D!E32)*0.5</f>
        <v>0</v>
      </c>
      <c r="F45" s="156">
        <f>($D$12*F801ENE!F32+$E$12*F801D!F32)*0.5</f>
        <v>0</v>
      </c>
      <c r="G45" s="156">
        <f>($D$12*F801ENE!G32+$E$12*F801D!G32)*0.5</f>
        <v>0</v>
      </c>
      <c r="H45" s="156">
        <f>($D$12*F801ENE!H32+$E$12*F801D!H32)*0.5</f>
        <v>0</v>
      </c>
      <c r="I45" s="156">
        <f>($D$12*F801ENE!I32+$E$12*F801D!I32)*0.5</f>
        <v>0</v>
      </c>
      <c r="J45" s="156">
        <f t="shared" si="10"/>
        <v>0</v>
      </c>
    </row>
    <row r="46" spans="2:10" s="37" customFormat="1" ht="13.5">
      <c r="B46" s="48"/>
      <c r="C46" s="160" t="s">
        <v>624</v>
      </c>
      <c r="D46" s="156">
        <f>($D$12*F801ENE!D33+$E$12*F801D!D33)*0</f>
        <v>0</v>
      </c>
      <c r="E46" s="156">
        <f>($D$12*F801ENE!E33+$E$12*F801D!E33)*0</f>
        <v>0</v>
      </c>
      <c r="F46" s="156">
        <f>($D$12*F801ENE!F33+$E$12*F801D!F33)*0</f>
        <v>0</v>
      </c>
      <c r="G46" s="156">
        <f>($D$12*F801ENE!G33+$E$12*F801D!G33)*0</f>
        <v>0</v>
      </c>
      <c r="H46" s="156">
        <f>($D$12*F801ENE!H33+$E$12*F801D!H33)*0</f>
        <v>0</v>
      </c>
      <c r="I46" s="156">
        <f>($D$12*F801ENE!I33+$E$12*F801D!I33)*0</f>
        <v>0</v>
      </c>
      <c r="J46" s="156">
        <f t="shared" si="10"/>
        <v>0</v>
      </c>
    </row>
    <row r="47" spans="2:10" s="37" customFormat="1" ht="13.5">
      <c r="B47" s="48" t="s">
        <v>274</v>
      </c>
      <c r="C47" s="158" t="s">
        <v>631</v>
      </c>
      <c r="D47" s="154">
        <f t="shared" ref="D47:I47" si="13">SUBTOTAL(9,D48:D51)</f>
        <v>930654.32058834424</v>
      </c>
      <c r="E47" s="154">
        <f t="shared" si="13"/>
        <v>931042.72258840711</v>
      </c>
      <c r="F47" s="154">
        <f t="shared" si="13"/>
        <v>943906.42899081646</v>
      </c>
      <c r="G47" s="154">
        <f t="shared" si="13"/>
        <v>927851.24181198445</v>
      </c>
      <c r="H47" s="154">
        <f t="shared" si="13"/>
        <v>917235.91607699299</v>
      </c>
      <c r="I47" s="154">
        <f t="shared" si="13"/>
        <v>891807.06228208391</v>
      </c>
      <c r="J47" s="159">
        <f>SUM(D47:I47)</f>
        <v>5542497.6923386287</v>
      </c>
    </row>
    <row r="48" spans="2:10" s="37" customFormat="1" ht="13.5">
      <c r="B48" s="48"/>
      <c r="C48" s="160" t="s">
        <v>304</v>
      </c>
      <c r="D48" s="156">
        <f>($D$12*F801ENE!D35+$E$12*F801D!D35)*1</f>
        <v>929223.86737066763</v>
      </c>
      <c r="E48" s="156">
        <f>($D$12*F801ENE!E35+$E$12*F801D!E35)*1</f>
        <v>929611.67238119489</v>
      </c>
      <c r="F48" s="156">
        <f>($D$12*F801ENE!F35+$E$12*F801D!F35)*1</f>
        <v>942455.60674815823</v>
      </c>
      <c r="G48" s="156">
        <f>($D$12*F801ENE!G35+$E$12*F801D!G35)*1</f>
        <v>926425.0970394162</v>
      </c>
      <c r="H48" s="156">
        <f>($D$12*F801ENE!H35+$E$12*F801D!H35)*1</f>
        <v>915826.08748812298</v>
      </c>
      <c r="I48" s="156">
        <f>($D$12*F801ENE!I35+$E$12*F801D!I35)*1</f>
        <v>890436.31886686862</v>
      </c>
      <c r="J48" s="156">
        <f>SUM(D48:I48)</f>
        <v>5533978.6498944284</v>
      </c>
    </row>
    <row r="49" spans="2:10" s="37" customFormat="1" ht="13.5">
      <c r="B49" s="48"/>
      <c r="C49" s="161" t="s">
        <v>306</v>
      </c>
      <c r="D49" s="156">
        <f>($D$12*F801ENE!D36+$E$12*F801D!D36)*1</f>
        <v>0</v>
      </c>
      <c r="E49" s="156">
        <f>($D$12*F801ENE!E36+$E$12*F801D!E36)*1</f>
        <v>0</v>
      </c>
      <c r="F49" s="156">
        <f>($D$12*F801ENE!F36+$E$12*F801D!F36)*1</f>
        <v>0</v>
      </c>
      <c r="G49" s="156">
        <f>($D$12*F801ENE!G36+$E$12*F801D!G36)*1</f>
        <v>0</v>
      </c>
      <c r="H49" s="156">
        <f>($D$12*F801ENE!H36+$E$12*F801D!H36)*1</f>
        <v>0</v>
      </c>
      <c r="I49" s="156">
        <f>($D$12*F801ENE!I36+$E$12*F801D!I36)*1</f>
        <v>0</v>
      </c>
      <c r="J49" s="156">
        <f t="shared" si="10"/>
        <v>0</v>
      </c>
    </row>
    <row r="50" spans="2:10" s="37" customFormat="1" ht="13.5">
      <c r="B50" s="48"/>
      <c r="C50" s="160" t="s">
        <v>305</v>
      </c>
      <c r="D50" s="156">
        <f>($D$12*F801ENE!D37+$E$12*F801D!D37)*0.95</f>
        <v>1430.4532176765763</v>
      </c>
      <c r="E50" s="156">
        <f>($D$12*F801ENE!E37+$E$12*F801D!E37)*0.95</f>
        <v>1431.0502072122729</v>
      </c>
      <c r="F50" s="156">
        <f>($D$12*F801ENE!F37+$E$12*F801D!F37)*0.95</f>
        <v>1450.8222426581949</v>
      </c>
      <c r="G50" s="156">
        <f>($D$12*F801ENE!G37+$E$12*F801D!G37)*0.95</f>
        <v>1426.1447725682897</v>
      </c>
      <c r="H50" s="156">
        <f>($D$12*F801ENE!H37+$E$12*F801D!H37)*0.95</f>
        <v>1409.8285888700248</v>
      </c>
      <c r="I50" s="156">
        <f>($D$12*F801ENE!I37+$E$12*F801D!I37)*0.95</f>
        <v>1370.7434152152568</v>
      </c>
      <c r="J50" s="156">
        <f>SUM(D50:I50)</f>
        <v>8519.0424442006151</v>
      </c>
    </row>
    <row r="51" spans="2:10" s="37" customFormat="1" ht="13.5">
      <c r="B51" s="48"/>
      <c r="C51" s="160" t="s">
        <v>307</v>
      </c>
      <c r="D51" s="156">
        <f>($D$12*F801ENE!D38+$E$12*F801D!D38)*0.5</f>
        <v>0</v>
      </c>
      <c r="E51" s="156">
        <f>($D$12*F801ENE!E38+$E$12*F801D!E38)*0.5</f>
        <v>0</v>
      </c>
      <c r="F51" s="156">
        <f>($D$12*F801ENE!F38+$E$12*F801D!F38)*0.5</f>
        <v>0</v>
      </c>
      <c r="G51" s="156">
        <f>($D$12*F801ENE!G38+$E$12*F801D!G38)*0.5</f>
        <v>0</v>
      </c>
      <c r="H51" s="156">
        <f>($D$12*F801ENE!H38+$E$12*F801D!H38)*0.5</f>
        <v>0</v>
      </c>
      <c r="I51" s="156">
        <f>($D$12*F801ENE!I38+$E$12*F801D!I38)*0.5</f>
        <v>0</v>
      </c>
      <c r="J51" s="156">
        <f t="shared" si="10"/>
        <v>0</v>
      </c>
    </row>
    <row r="52" spans="2:10" s="37" customFormat="1" ht="13.5">
      <c r="B52" s="48" t="s">
        <v>274</v>
      </c>
      <c r="C52" s="158" t="s">
        <v>632</v>
      </c>
      <c r="D52" s="154">
        <f t="shared" ref="D52:I52" si="14">SUBTOTAL(9,D53:D56)</f>
        <v>338597.26249315502</v>
      </c>
      <c r="E52" s="154">
        <f t="shared" si="14"/>
        <v>338738.57366644341</v>
      </c>
      <c r="F52" s="154">
        <f t="shared" si="14"/>
        <v>343418.73866112996</v>
      </c>
      <c r="G52" s="154">
        <f t="shared" si="14"/>
        <v>337577.42647108826</v>
      </c>
      <c r="H52" s="154">
        <f t="shared" si="14"/>
        <v>333715.28329415771</v>
      </c>
      <c r="I52" s="154">
        <f t="shared" si="14"/>
        <v>324463.57716351637</v>
      </c>
      <c r="J52" s="159">
        <f t="shared" ref="J52:J69" si="15">SUM(D52:I52)</f>
        <v>2016510.8617494905</v>
      </c>
    </row>
    <row r="53" spans="2:10" s="37" customFormat="1" ht="15.75" customHeight="1">
      <c r="B53" s="48"/>
      <c r="C53" s="160" t="s">
        <v>304</v>
      </c>
      <c r="D53" s="156">
        <f>($D$12*F801ENE!D40+$E$12*F801D!D40)*1</f>
        <v>338597.26249315502</v>
      </c>
      <c r="E53" s="156">
        <f>($D$12*F801ENE!E40+$E$12*F801D!E40)*1</f>
        <v>338738.57366644341</v>
      </c>
      <c r="F53" s="156">
        <f>($D$12*F801ENE!F40+$E$12*F801D!F40)*1</f>
        <v>343418.73866112996</v>
      </c>
      <c r="G53" s="156">
        <f>($D$12*F801ENE!G40+$E$12*F801D!G40)*1</f>
        <v>337577.42647108826</v>
      </c>
      <c r="H53" s="156">
        <f>($D$12*F801ENE!H40+$E$12*F801D!H40)*1</f>
        <v>333715.28329415771</v>
      </c>
      <c r="I53" s="156">
        <f>($D$12*F801ENE!I40+$E$12*F801D!I40)*1</f>
        <v>324463.57716351637</v>
      </c>
      <c r="J53" s="156">
        <f t="shared" si="15"/>
        <v>2016510.8617494905</v>
      </c>
    </row>
    <row r="54" spans="2:10" s="37" customFormat="1" ht="13.5">
      <c r="B54" s="48"/>
      <c r="C54" s="161" t="s">
        <v>306</v>
      </c>
      <c r="D54" s="156">
        <f>($D$12*F801ENE!D41+$E$12*F801D!D41)*1</f>
        <v>0</v>
      </c>
      <c r="E54" s="156">
        <f>($D$12*F801ENE!E41+$E$12*F801D!E41)*1</f>
        <v>0</v>
      </c>
      <c r="F54" s="156">
        <f>($D$12*F801ENE!F41+$E$12*F801D!F41)*1</f>
        <v>0</v>
      </c>
      <c r="G54" s="156">
        <f>($D$12*F801ENE!G41+$E$12*F801D!G41)*1</f>
        <v>0</v>
      </c>
      <c r="H54" s="156">
        <f>($D$12*F801ENE!H41+$E$12*F801D!H41)*1</f>
        <v>0</v>
      </c>
      <c r="I54" s="156">
        <f>($D$12*F801ENE!I41+$E$12*F801D!I41)*1</f>
        <v>0</v>
      </c>
      <c r="J54" s="156">
        <f t="shared" si="15"/>
        <v>0</v>
      </c>
    </row>
    <row r="55" spans="2:10" s="37" customFormat="1" ht="13.5">
      <c r="B55" s="48"/>
      <c r="C55" s="160" t="s">
        <v>305</v>
      </c>
      <c r="D55" s="156">
        <f>($D$12*F801ENE!D42+$E$12*F801D!D42)*0.95</f>
        <v>0</v>
      </c>
      <c r="E55" s="156">
        <f>($D$12*F801ENE!E42+$E$12*F801D!E42)*0.95</f>
        <v>0</v>
      </c>
      <c r="F55" s="156">
        <f>($D$12*F801ENE!F42+$E$12*F801D!F42)*0.95</f>
        <v>0</v>
      </c>
      <c r="G55" s="156">
        <f>($D$12*F801ENE!G42+$E$12*F801D!G42)*0.95</f>
        <v>0</v>
      </c>
      <c r="H55" s="156">
        <f>($D$12*F801ENE!H42+$E$12*F801D!H42)*0.95</f>
        <v>0</v>
      </c>
      <c r="I55" s="156">
        <f>($D$12*F801ENE!I42+$E$12*F801D!I42)*0.95</f>
        <v>0</v>
      </c>
      <c r="J55" s="156">
        <f>SUM(D55:I55)</f>
        <v>0</v>
      </c>
    </row>
    <row r="56" spans="2:10" s="37" customFormat="1" ht="13.5">
      <c r="B56" s="48"/>
      <c r="C56" s="160" t="s">
        <v>307</v>
      </c>
      <c r="D56" s="156">
        <f>($D$12*F801ENE!D43+$E$12*F801D!D43)*0.5</f>
        <v>0</v>
      </c>
      <c r="E56" s="156">
        <f>($D$12*F801ENE!E43+$E$12*F801D!E43)*0.5</f>
        <v>0</v>
      </c>
      <c r="F56" s="156">
        <f>($D$12*F801ENE!F43+$E$12*F801D!F43)*0.5</f>
        <v>0</v>
      </c>
      <c r="G56" s="156">
        <f>($D$12*F801ENE!G43+$E$12*F801D!G43)*0.5</f>
        <v>0</v>
      </c>
      <c r="H56" s="156">
        <f>($D$12*F801ENE!H43+$E$12*F801D!H43)*0.5</f>
        <v>0</v>
      </c>
      <c r="I56" s="156">
        <f>($D$12*F801ENE!I43+$E$12*F801D!I43)*0.5</f>
        <v>0</v>
      </c>
      <c r="J56" s="156">
        <f t="shared" si="15"/>
        <v>0</v>
      </c>
    </row>
    <row r="57" spans="2:10" s="37" customFormat="1" ht="13.5">
      <c r="B57" s="48" t="s">
        <v>274</v>
      </c>
      <c r="C57" s="158" t="s">
        <v>633</v>
      </c>
      <c r="D57" s="154">
        <f t="shared" ref="D57:I57" si="16">SUBTOTAL(9,D58:D61)</f>
        <v>362276.24190291163</v>
      </c>
      <c r="E57" s="154">
        <f t="shared" si="16"/>
        <v>362427.43533082306</v>
      </c>
      <c r="F57" s="154">
        <f t="shared" si="16"/>
        <v>367434.89632822236</v>
      </c>
      <c r="G57" s="154">
        <f t="shared" si="16"/>
        <v>361185.08611886564</v>
      </c>
      <c r="H57" s="154">
        <f t="shared" si="16"/>
        <v>357052.85331365303</v>
      </c>
      <c r="I57" s="154">
        <f t="shared" si="16"/>
        <v>347154.15152404062</v>
      </c>
      <c r="J57" s="159">
        <f t="shared" si="15"/>
        <v>2157530.6645185165</v>
      </c>
    </row>
    <row r="58" spans="2:10" s="37" customFormat="1" ht="13.5">
      <c r="B58" s="48"/>
      <c r="C58" s="160" t="s">
        <v>304</v>
      </c>
      <c r="D58" s="156">
        <f>($D$12*F801ENE!D45+$E$12*F801D!D45)*1</f>
        <v>362276.24190291163</v>
      </c>
      <c r="E58" s="156">
        <f>($D$12*F801ENE!E45+$E$12*F801D!E45)*1</f>
        <v>362427.43533082306</v>
      </c>
      <c r="F58" s="156">
        <f>($D$12*F801ENE!F45+$E$12*F801D!F45)*1</f>
        <v>367434.89632822236</v>
      </c>
      <c r="G58" s="156">
        <f>($D$12*F801ENE!G45+$E$12*F801D!G45)*1</f>
        <v>361185.08611886564</v>
      </c>
      <c r="H58" s="156">
        <f>($D$12*F801ENE!H45+$E$12*F801D!H45)*1</f>
        <v>357052.85331365303</v>
      </c>
      <c r="I58" s="156">
        <f>($D$12*F801ENE!I45+$E$12*F801D!I45)*1</f>
        <v>347154.15152404062</v>
      </c>
      <c r="J58" s="156">
        <f t="shared" si="15"/>
        <v>2157530.6645185165</v>
      </c>
    </row>
    <row r="59" spans="2:10" s="37" customFormat="1" ht="13.5">
      <c r="B59" s="48"/>
      <c r="C59" s="161" t="s">
        <v>306</v>
      </c>
      <c r="D59" s="156">
        <f>($D$12*F801ENE!D46+$E$12*F801D!D46)*1</f>
        <v>0</v>
      </c>
      <c r="E59" s="156">
        <f>($D$12*F801ENE!E46+$E$12*F801D!E46)*1</f>
        <v>0</v>
      </c>
      <c r="F59" s="156">
        <f>($D$12*F801ENE!F46+$E$12*F801D!F46)*1</f>
        <v>0</v>
      </c>
      <c r="G59" s="156">
        <f>($D$12*F801ENE!G46+$E$12*F801D!G46)*1</f>
        <v>0</v>
      </c>
      <c r="H59" s="156">
        <f>($D$12*F801ENE!H46+$E$12*F801D!H46)*1</f>
        <v>0</v>
      </c>
      <c r="I59" s="156">
        <f>($D$12*F801ENE!I46+$E$12*F801D!I46)*1</f>
        <v>0</v>
      </c>
      <c r="J59" s="156">
        <f t="shared" si="15"/>
        <v>0</v>
      </c>
    </row>
    <row r="60" spans="2:10" s="37" customFormat="1" ht="13.5">
      <c r="B60" s="48"/>
      <c r="C60" s="160" t="s">
        <v>305</v>
      </c>
      <c r="D60" s="156">
        <f>($D$12*F801ENE!D47+$E$12*F801D!D47)*0.95</f>
        <v>0</v>
      </c>
      <c r="E60" s="156">
        <f>($D$12*F801ENE!E47+$E$12*F801D!E47)*0.95</f>
        <v>0</v>
      </c>
      <c r="F60" s="156">
        <f>($D$12*F801ENE!F47+$E$12*F801D!F47)*0.95</f>
        <v>0</v>
      </c>
      <c r="G60" s="156">
        <f>($D$12*F801ENE!G47+$E$12*F801D!G47)*0.95</f>
        <v>0</v>
      </c>
      <c r="H60" s="156">
        <f>($D$12*F801ENE!H47+$E$12*F801D!H47)*0.95</f>
        <v>0</v>
      </c>
      <c r="I60" s="156">
        <f>($D$12*F801ENE!I47+$E$12*F801D!I47)*0.95</f>
        <v>0</v>
      </c>
      <c r="J60" s="156">
        <f>SUM(D60:I60)</f>
        <v>0</v>
      </c>
    </row>
    <row r="61" spans="2:10" s="37" customFormat="1" ht="13.5">
      <c r="B61" s="48"/>
      <c r="C61" s="160" t="s">
        <v>307</v>
      </c>
      <c r="D61" s="156">
        <f>($D$12*F801ENE!D48+$E$12*F801D!D48)*0.5</f>
        <v>0</v>
      </c>
      <c r="E61" s="156">
        <f>($D$12*F801ENE!E48+$E$12*F801D!E48)*0.5</f>
        <v>0</v>
      </c>
      <c r="F61" s="156">
        <f>($D$12*F801ENE!F48+$E$12*F801D!F48)*0.5</f>
        <v>0</v>
      </c>
      <c r="G61" s="156">
        <f>($D$12*F801ENE!G48+$E$12*F801D!G48)*0.5</f>
        <v>0</v>
      </c>
      <c r="H61" s="156">
        <f>($D$12*F801ENE!H48+$E$12*F801D!H48)*0.5</f>
        <v>0</v>
      </c>
      <c r="I61" s="156">
        <f>($D$12*F801ENE!I48+$E$12*F801D!I48)*0.5</f>
        <v>0</v>
      </c>
      <c r="J61" s="156">
        <f t="shared" si="15"/>
        <v>0</v>
      </c>
    </row>
    <row r="62" spans="2:10" s="37" customFormat="1" ht="13.5">
      <c r="B62" s="48"/>
      <c r="C62" s="157"/>
      <c r="D62" s="156"/>
      <c r="E62" s="156"/>
      <c r="F62" s="156"/>
      <c r="G62" s="156"/>
      <c r="H62" s="156"/>
      <c r="I62" s="156"/>
      <c r="J62" s="156"/>
    </row>
    <row r="63" spans="2:10" s="37" customFormat="1" ht="13.5">
      <c r="B63" s="48" t="s">
        <v>1176</v>
      </c>
      <c r="C63" s="158" t="str">
        <f>F801ENE!C50</f>
        <v>BTSH</v>
      </c>
      <c r="D63" s="154">
        <f t="shared" ref="D63:I63" si="17">SUBTOTAL(9,D64:D69)</f>
        <v>35.180000000000007</v>
      </c>
      <c r="E63" s="154">
        <f t="shared" si="17"/>
        <v>35.180000000000007</v>
      </c>
      <c r="F63" s="154">
        <f t="shared" si="17"/>
        <v>35.180000000000007</v>
      </c>
      <c r="G63" s="154">
        <f t="shared" si="17"/>
        <v>35.180000000000007</v>
      </c>
      <c r="H63" s="154">
        <f t="shared" si="17"/>
        <v>35.180000000000007</v>
      </c>
      <c r="I63" s="154">
        <f t="shared" si="17"/>
        <v>35.180000000000007</v>
      </c>
      <c r="J63" s="159">
        <f t="shared" si="15"/>
        <v>211.08000000000004</v>
      </c>
    </row>
    <row r="64" spans="2:10" s="37" customFormat="1" ht="13.5">
      <c r="B64" s="48"/>
      <c r="C64" s="160" t="str">
        <f>F801ENE!C51</f>
        <v xml:space="preserve">    - Regulares</v>
      </c>
      <c r="D64" s="156">
        <f>($D$15*(F801ENE!K51)+$D$16*(F801ENE!R51)+$D$17*(F801ENE!Y51))*1</f>
        <v>35.180000000000007</v>
      </c>
      <c r="E64" s="156">
        <f>($D$15*(F801ENE!L51)+$D$16*(F801ENE!S51)+$D$17*(F801ENE!Z51))*1</f>
        <v>35.180000000000007</v>
      </c>
      <c r="F64" s="156">
        <f>($D$15*(F801ENE!M51)+$D$16*(F801ENE!T51)+$D$17*(F801ENE!AA51))*1</f>
        <v>35.180000000000007</v>
      </c>
      <c r="G64" s="156">
        <f>($D$15*(F801ENE!N51)+$D$16*(F801ENE!U51)+$D$17*(F801ENE!AB51))*1</f>
        <v>35.180000000000007</v>
      </c>
      <c r="H64" s="156">
        <f>($D$15*(F801ENE!O51)+$D$16*(F801ENE!V51)+$D$17*(F801ENE!AC51))*1</f>
        <v>35.180000000000007</v>
      </c>
      <c r="I64" s="156">
        <f>($D$15*(F801ENE!P51)+$D$16*(F801ENE!W51)+$D$17*(F801ENE!AD51))*1</f>
        <v>35.180000000000007</v>
      </c>
      <c r="J64" s="156">
        <f t="shared" si="15"/>
        <v>211.08000000000004</v>
      </c>
    </row>
    <row r="65" spans="2:10" s="37" customFormat="1" ht="13.5">
      <c r="B65" s="48"/>
      <c r="C65" s="162" t="str">
        <f>F801ENE!C52</f>
        <v xml:space="preserve">    - Jubilados (0 a 600 KWh)</v>
      </c>
      <c r="D65" s="156">
        <f>($D$15*(F801ENE!K52)+$D$16*(F801ENE!R52)+$D$17*(F801ENE!Y52))*0.75</f>
        <v>0</v>
      </c>
      <c r="E65" s="156">
        <f>($D$15*(F801ENE!L52)+$D$16*(F801ENE!S52)+$D$17*(F801ENE!Z52))*0.75</f>
        <v>0</v>
      </c>
      <c r="F65" s="156">
        <f>($D$15*(F801ENE!M52)+$D$16*(F801ENE!T52)+$D$17*(F801ENE!AA52))*0.75</f>
        <v>0</v>
      </c>
      <c r="G65" s="156">
        <f>($D$15*(F801ENE!N52)+$D$16*(F801ENE!U52)+$D$17*(F801ENE!AB52))*0.75</f>
        <v>0</v>
      </c>
      <c r="H65" s="156">
        <f>($D$15*(F801ENE!O52)+$D$16*(F801ENE!V52)+$D$17*(F801ENE!AC52))*0.75</f>
        <v>0</v>
      </c>
      <c r="I65" s="156">
        <f>($D$15*(F801ENE!P52)+$D$16*(F801ENE!W52)+$D$17*(F801ENE!AD52))*0.75</f>
        <v>0</v>
      </c>
      <c r="J65" s="156">
        <f t="shared" si="15"/>
        <v>0</v>
      </c>
    </row>
    <row r="66" spans="2:10" s="37" customFormat="1" ht="13.5">
      <c r="B66" s="48"/>
      <c r="C66" s="162" t="str">
        <f>F801ENE!C53</f>
        <v xml:space="preserve">    - Jubilados (601 y Más KWh)</v>
      </c>
      <c r="D66" s="156">
        <f>($D$15*(F801ENE!K53)+$D$16*(F801ENE!R53)+$D$17*(F801ENE!Y53))*1</f>
        <v>0</v>
      </c>
      <c r="E66" s="156">
        <f>($D$15*(F801ENE!L53)+$D$16*(F801ENE!S53)+$D$17*(F801ENE!Z53))*1</f>
        <v>0</v>
      </c>
      <c r="F66" s="156">
        <f>($D$15*(F801ENE!M53)+$D$16*(F801ENE!T53)+$D$17*(F801ENE!AA53))*1</f>
        <v>0</v>
      </c>
      <c r="G66" s="156">
        <f>($D$15*(F801ENE!N53)+$D$16*(F801ENE!U53)+$D$17*(F801ENE!AB53))*1</f>
        <v>0</v>
      </c>
      <c r="H66" s="156">
        <f>($D$15*(F801ENE!O53)+$D$16*(F801ENE!V53)+$D$17*(F801ENE!AC53))*1</f>
        <v>0</v>
      </c>
      <c r="I66" s="156">
        <f>($D$15*(F801ENE!P53)+$D$16*(F801ENE!W53)+$D$17*(F801ENE!AD53))*1</f>
        <v>0</v>
      </c>
      <c r="J66" s="156">
        <f t="shared" si="15"/>
        <v>0</v>
      </c>
    </row>
    <row r="67" spans="2:10" s="37" customFormat="1" ht="13.5">
      <c r="B67" s="48"/>
      <c r="C67" s="160" t="str">
        <f>F801ENE!C54</f>
        <v xml:space="preserve">    - Agropecuarios</v>
      </c>
      <c r="D67" s="156">
        <f>($D$15*(F801ENE!K54)+$D$16*(F801ENE!R54)+$D$17*(F801ENE!Y54))*0.95</f>
        <v>0</v>
      </c>
      <c r="E67" s="156">
        <f>($D$15*(F801ENE!L54)+$D$16*(F801ENE!S54)+$D$17*(F801ENE!Z54))*0.95</f>
        <v>0</v>
      </c>
      <c r="F67" s="156">
        <f>($D$15*(F801ENE!M54)+$D$16*(F801ENE!T54)+$D$17*(F801ENE!AA54))*0.95</f>
        <v>0</v>
      </c>
      <c r="G67" s="156">
        <f>($D$15*(F801ENE!N54)+$D$16*(F801ENE!U54)+$D$17*(F801ENE!AB54))*0.95</f>
        <v>0</v>
      </c>
      <c r="H67" s="156">
        <f>($D$15*(F801ENE!O54)+$D$16*(F801ENE!V54)+$D$17*(F801ENE!AC54))*0.95</f>
        <v>0</v>
      </c>
      <c r="I67" s="156">
        <f>($D$15*(F801ENE!P54)+$D$16*(F801ENE!W54)+$D$17*(F801ENE!AD54))*0.95</f>
        <v>0</v>
      </c>
      <c r="J67" s="156">
        <f t="shared" si="15"/>
        <v>0</v>
      </c>
    </row>
    <row r="68" spans="2:10" s="37" customFormat="1" ht="13.5">
      <c r="B68" s="48"/>
      <c r="C68" s="160" t="str">
        <f>F801ENE!C55</f>
        <v xml:space="preserve">    - Partidos Políticos</v>
      </c>
      <c r="D68" s="156">
        <f>($D$15*(F801ENE!K55)+$D$16*(F801ENE!R55)+$D$17*(F801ENE!Y55))*0.5</f>
        <v>0</v>
      </c>
      <c r="E68" s="156">
        <f>($D$15*(F801ENE!L55)+$D$16*(F801ENE!S55)+$D$17*(F801ENE!Z55))*0.5</f>
        <v>0</v>
      </c>
      <c r="F68" s="156">
        <f>($D$15*(F801ENE!M55)+$D$16*(F801ENE!T55)+$D$17*(F801ENE!AA55))*0.5</f>
        <v>0</v>
      </c>
      <c r="G68" s="156">
        <f>($D$15*(F801ENE!N55)+$D$16*(F801ENE!U55)+$D$17*(F801ENE!AB55))*0.5</f>
        <v>0</v>
      </c>
      <c r="H68" s="156">
        <f>($D$15*(F801ENE!O55)+$D$16*(F801ENE!V55)+$D$17*(F801ENE!AC55))*0.5</f>
        <v>0</v>
      </c>
      <c r="I68" s="156">
        <f>($D$15*(F801ENE!P55)+$D$16*(F801ENE!W55)+$D$17*(F801ENE!AD55))*0.5</f>
        <v>0</v>
      </c>
      <c r="J68" s="156">
        <f t="shared" si="15"/>
        <v>0</v>
      </c>
    </row>
    <row r="69" spans="2:10" s="37" customFormat="1" ht="13.5">
      <c r="B69" s="48"/>
      <c r="C69" s="160" t="str">
        <f>F801ENE!C56</f>
        <v xml:space="preserve">    - Cruz Roja</v>
      </c>
      <c r="D69" s="156">
        <f>($D$15*(F801ENE!K56)+$D$16*(F801ENE!R56)+$D$17*(F801ENE!Y56))*0</f>
        <v>0</v>
      </c>
      <c r="E69" s="156">
        <f>($D$15*(F801ENE!L56)+$D$16*(F801ENE!S56)+$D$17*(F801ENE!Z56))*0</f>
        <v>0</v>
      </c>
      <c r="F69" s="156">
        <f>($D$15*(F801ENE!M56)+$D$16*(F801ENE!T56)+$D$17*(F801ENE!AA56))*0</f>
        <v>0</v>
      </c>
      <c r="G69" s="156">
        <f>($D$15*(F801ENE!N56)+$D$16*(F801ENE!U56)+$D$17*(F801ENE!AB56))*0</f>
        <v>0</v>
      </c>
      <c r="H69" s="156">
        <f>($D$15*(F801ENE!O56)+$D$16*(F801ENE!V56)+$D$17*(F801ENE!AC56))*0</f>
        <v>0</v>
      </c>
      <c r="I69" s="156">
        <f>($D$15*(F801ENE!P56)+$D$16*(F801ENE!W56)+$D$17*(F801ENE!AD56))*0</f>
        <v>0</v>
      </c>
      <c r="J69" s="156">
        <f t="shared" si="15"/>
        <v>0</v>
      </c>
    </row>
    <row r="70" spans="2:10" s="37" customFormat="1" ht="13.5">
      <c r="B70" s="48" t="s">
        <v>751</v>
      </c>
      <c r="C70" s="158" t="s">
        <v>634</v>
      </c>
      <c r="D70" s="154">
        <f t="shared" ref="D70" si="18">SUBTOTAL(9,D71:D75)</f>
        <v>2895075.9856879292</v>
      </c>
      <c r="E70" s="154">
        <f t="shared" ref="E70:I70" si="19">SUBTOTAL(9,E71:E75)</f>
        <v>2896284.2402497963</v>
      </c>
      <c r="F70" s="154">
        <f t="shared" si="19"/>
        <v>2841580.5537586436</v>
      </c>
      <c r="G70" s="154">
        <f t="shared" si="19"/>
        <v>2886356.069935027</v>
      </c>
      <c r="H70" s="154">
        <f t="shared" si="19"/>
        <v>2761289.360056384</v>
      </c>
      <c r="I70" s="154">
        <f t="shared" si="19"/>
        <v>2774228.5722942343</v>
      </c>
      <c r="J70" s="159">
        <f>SUM(D70:I70)</f>
        <v>17054814.781982016</v>
      </c>
    </row>
    <row r="71" spans="2:10" s="37" customFormat="1" ht="13.5">
      <c r="B71" s="48"/>
      <c r="C71" s="160" t="s">
        <v>304</v>
      </c>
      <c r="D71" s="156">
        <f>($D$14*(F801ENE!D66))*1</f>
        <v>2045950.2283310948</v>
      </c>
      <c r="E71" s="156">
        <f>($D$14*(F801ENE!E66))*1</f>
        <v>2046804.1062622771</v>
      </c>
      <c r="F71" s="156">
        <f>($D$14*(F801ENE!F66))*1</f>
        <v>2008144.8103462583</v>
      </c>
      <c r="G71" s="156">
        <f>($D$14*(F801ENE!G66))*1</f>
        <v>2039787.8318807441</v>
      </c>
      <c r="H71" s="156">
        <f>($D$14*(F801ENE!H66))*1</f>
        <v>1951402.7292200057</v>
      </c>
      <c r="I71" s="156">
        <f>($D$14*(F801ENE!I66))*1</f>
        <v>1960546.917974161</v>
      </c>
      <c r="J71" s="156">
        <f t="shared" ref="J71:J89" si="20">SUM(D71:I71)</f>
        <v>12052636.62401454</v>
      </c>
    </row>
    <row r="72" spans="2:10" s="37" customFormat="1" ht="13.5">
      <c r="B72" s="48"/>
      <c r="C72" s="162" t="s">
        <v>644</v>
      </c>
      <c r="D72" s="156">
        <f>($D$14*(F801ENE!D67))*0.75</f>
        <v>848944.95046379534</v>
      </c>
      <c r="E72" s="156">
        <f>($D$14*(F801ENE!E67))*0.75</f>
        <v>849299.25163600186</v>
      </c>
      <c r="F72" s="156">
        <f>($D$14*(F801ENE!F67))*0.75</f>
        <v>833258.27744105156</v>
      </c>
      <c r="G72" s="156">
        <f>($D$14*(F801ENE!G67))*0.75</f>
        <v>846387.97574149631</v>
      </c>
      <c r="H72" s="156">
        <f>($D$14*(F801ENE!H67))*0.75</f>
        <v>809714.17924818106</v>
      </c>
      <c r="I72" s="156">
        <f>($D$14*(F801ENE!I67))*0.75</f>
        <v>813508.3946461489</v>
      </c>
      <c r="J72" s="156">
        <f t="shared" si="20"/>
        <v>5001113.0291766757</v>
      </c>
    </row>
    <row r="73" spans="2:10" s="37" customFormat="1" ht="13.5">
      <c r="B73" s="48"/>
      <c r="C73" s="160" t="s">
        <v>305</v>
      </c>
      <c r="D73" s="156">
        <f>($D$14*(F801ENE!D68))*0.95</f>
        <v>174.48321451622755</v>
      </c>
      <c r="E73" s="156">
        <f>($D$14*(F801ENE!E68))*0.95</f>
        <v>174.55603385203923</v>
      </c>
      <c r="F73" s="156">
        <f>($D$14*(F801ENE!F68))*0.95</f>
        <v>171.25914076141223</v>
      </c>
      <c r="G73" s="156">
        <f>($D$14*(F801ENE!G68))*0.95</f>
        <v>173.95768083028037</v>
      </c>
      <c r="H73" s="156">
        <f>($D$14*(F801ENE!H68))*0.95</f>
        <v>166.42013449447649</v>
      </c>
      <c r="I73" s="156">
        <f>($D$14*(F801ENE!I68))*0.95</f>
        <v>167.19995761356418</v>
      </c>
      <c r="J73" s="156">
        <f>SUM(D73:I73)</f>
        <v>1027.8761620680002</v>
      </c>
    </row>
    <row r="74" spans="2:10" s="37" customFormat="1" ht="13.5">
      <c r="B74" s="48"/>
      <c r="C74" s="160" t="s">
        <v>307</v>
      </c>
      <c r="D74" s="156">
        <f>($D$14*(F801ENE!D69))*0.5</f>
        <v>6.3236785226272829</v>
      </c>
      <c r="E74" s="156">
        <f>($D$14*(F801ENE!E69))*0.5</f>
        <v>6.3263176651441215</v>
      </c>
      <c r="F74" s="156">
        <f>($D$14*(F801ENE!F69))*0.5</f>
        <v>6.2068305724378074</v>
      </c>
      <c r="G74" s="156">
        <f>($D$14*(F801ENE!G69))*0.5</f>
        <v>6.3046319565036857</v>
      </c>
      <c r="H74" s="156">
        <f>($D$14*(F801ENE!H69))*0.5</f>
        <v>6.0314537026000803</v>
      </c>
      <c r="I74" s="156">
        <f>($D$14*(F801ENE!I69))*0.5</f>
        <v>6.0597163106870289</v>
      </c>
      <c r="J74" s="156">
        <f t="shared" si="20"/>
        <v>37.252628730000005</v>
      </c>
    </row>
    <row r="75" spans="2:10" s="37" customFormat="1" ht="13.5">
      <c r="B75" s="48"/>
      <c r="C75" s="160" t="s">
        <v>624</v>
      </c>
      <c r="D75" s="156">
        <f>($D$14*(F801ENE!D70))*0</f>
        <v>0</v>
      </c>
      <c r="E75" s="156">
        <f>($D$14*(F801ENE!E70))*0</f>
        <v>0</v>
      </c>
      <c r="F75" s="156">
        <f>($D$14*(F801ENE!F70))*0</f>
        <v>0</v>
      </c>
      <c r="G75" s="156">
        <f>($D$14*(F801ENE!G70))*0</f>
        <v>0</v>
      </c>
      <c r="H75" s="156">
        <f>($D$14*(F801ENE!H70))*0</f>
        <v>0</v>
      </c>
      <c r="I75" s="156">
        <f>($D$14*(F801ENE!I70))*0</f>
        <v>0</v>
      </c>
      <c r="J75" s="156">
        <f t="shared" si="20"/>
        <v>0</v>
      </c>
    </row>
    <row r="76" spans="2:10" s="37" customFormat="1" ht="13.5">
      <c r="B76" s="48" t="s">
        <v>750</v>
      </c>
      <c r="C76" s="158" t="s">
        <v>635</v>
      </c>
      <c r="D76" s="154">
        <f t="shared" ref="D76" si="21">SUBTOTAL(9,D77:D82)</f>
        <v>1089190.1695625875</v>
      </c>
      <c r="E76" s="154">
        <f t="shared" ref="E76:I76" si="22">SUBTOTAL(9,E77:E82)</f>
        <v>1089644.735378217</v>
      </c>
      <c r="F76" s="154">
        <f t="shared" si="22"/>
        <v>1069064.2826718292</v>
      </c>
      <c r="G76" s="154">
        <f t="shared" si="22"/>
        <v>1085909.5896736016</v>
      </c>
      <c r="H76" s="154">
        <f t="shared" si="22"/>
        <v>1038857.3766894317</v>
      </c>
      <c r="I76" s="154">
        <f t="shared" si="22"/>
        <v>1043725.3273267631</v>
      </c>
      <c r="J76" s="159">
        <f t="shared" si="20"/>
        <v>6416391.4813024309</v>
      </c>
    </row>
    <row r="77" spans="2:10" s="37" customFormat="1" ht="13.5">
      <c r="B77" s="48"/>
      <c r="C77" s="160" t="s">
        <v>304</v>
      </c>
      <c r="D77" s="156">
        <f>($D$14*(F801ENE!D72))*1</f>
        <v>783691.46680086758</v>
      </c>
      <c r="E77" s="156">
        <f>($D$14*(F801ENE!E72))*1</f>
        <v>784018.53489307337</v>
      </c>
      <c r="F77" s="156">
        <f>($D$14*(F801ENE!F72))*1</f>
        <v>769210.53752070258</v>
      </c>
      <c r="G77" s="156">
        <f>($D$14*(F801ENE!G72))*1</f>
        <v>781331.03192273283</v>
      </c>
      <c r="H77" s="156">
        <f>($D$14*(F801ENE!H72))*1</f>
        <v>747476.13785533654</v>
      </c>
      <c r="I77" s="156">
        <f>($D$14*(F801ENE!I72))*1</f>
        <v>750978.71388098749</v>
      </c>
      <c r="J77" s="156">
        <f t="shared" si="20"/>
        <v>4616706.422873701</v>
      </c>
    </row>
    <row r="78" spans="2:10" s="37" customFormat="1" ht="13.5">
      <c r="B78" s="48"/>
      <c r="C78" s="162" t="s">
        <v>642</v>
      </c>
      <c r="D78" s="156">
        <f>($D$14*(F801ENE!D73))*0.75</f>
        <v>246627.77355265524</v>
      </c>
      <c r="E78" s="156">
        <f>($D$14*(F801ENE!E73))*0.75</f>
        <v>246730.70191004837</v>
      </c>
      <c r="F78" s="156">
        <f>($D$14*(F801ENE!F73))*0.75</f>
        <v>242070.6238341321</v>
      </c>
      <c r="G78" s="156">
        <f>($D$14*(F801ENE!G73))*0.75</f>
        <v>245884.94448883139</v>
      </c>
      <c r="H78" s="156">
        <f>($D$14*(F801ENE!H73))*0.75</f>
        <v>235230.80634721433</v>
      </c>
      <c r="I78" s="156">
        <f>($D$14*(F801ENE!I73))*0.75</f>
        <v>236333.06733064889</v>
      </c>
      <c r="J78" s="156">
        <f>SUM(D78:I78)</f>
        <v>1452877.9174635303</v>
      </c>
    </row>
    <row r="79" spans="2:10" s="37" customFormat="1" ht="13.5">
      <c r="B79" s="48"/>
      <c r="C79" s="162" t="s">
        <v>1177</v>
      </c>
      <c r="D79" s="156">
        <f>($D$14*(F801ENE!D74))*1</f>
        <v>58690.227029350004</v>
      </c>
      <c r="E79" s="156">
        <f>($D$14*(F801ENE!E74))*1</f>
        <v>58714.720980603517</v>
      </c>
      <c r="F79" s="156">
        <f>($D$14*(F801ENE!F74))*1</f>
        <v>57605.758124108237</v>
      </c>
      <c r="G79" s="156">
        <f>($D$14*(F801ENE!G74))*1</f>
        <v>58513.45534718375</v>
      </c>
      <c r="H79" s="156">
        <f>($D$14*(F801ENE!H74))*1</f>
        <v>55978.080773078604</v>
      </c>
      <c r="I79" s="156">
        <f>($D$14*(F801ENE!I74))*1</f>
        <v>56240.386783595939</v>
      </c>
      <c r="J79" s="156">
        <f t="shared" si="20"/>
        <v>345742.62903792004</v>
      </c>
    </row>
    <row r="80" spans="2:10" s="37" customFormat="1" ht="13.5">
      <c r="B80" s="48"/>
      <c r="C80" s="160" t="s">
        <v>305</v>
      </c>
      <c r="D80" s="156">
        <f>($D$14*(F801ENE!D75))*0.95</f>
        <v>172.29052379826234</v>
      </c>
      <c r="E80" s="156">
        <f>($D$14*(F801ENE!E75))*0.95</f>
        <v>172.36242803010737</v>
      </c>
      <c r="F80" s="156">
        <f>($D$14*(F801ENE!F75))*0.95</f>
        <v>169.10696624218755</v>
      </c>
      <c r="G80" s="156">
        <f>($D$14*(F801ENE!G75))*0.95</f>
        <v>171.77159437415406</v>
      </c>
      <c r="H80" s="156">
        <f>($D$14*(F801ENE!H75))*0.95</f>
        <v>164.3287706621428</v>
      </c>
      <c r="I80" s="156">
        <f>($D$14*(F801ENE!I75))*0.95</f>
        <v>165.09879392214594</v>
      </c>
      <c r="J80" s="156">
        <f>SUM(D80:I80)</f>
        <v>1014.9590770290001</v>
      </c>
    </row>
    <row r="81" spans="2:10" s="37" customFormat="1" ht="13.5">
      <c r="B81" s="48"/>
      <c r="C81" s="160" t="s">
        <v>307</v>
      </c>
      <c r="D81" s="156">
        <f>($D$14*(F801ENE!D76))*0.5</f>
        <v>8.4116559164733875</v>
      </c>
      <c r="E81" s="156">
        <f>($D$14*(F801ENE!E76))*0.5</f>
        <v>8.4151664615915092</v>
      </c>
      <c r="F81" s="156">
        <f>($D$14*(F801ENE!F76))*0.5</f>
        <v>8.2562266440930543</v>
      </c>
      <c r="G81" s="156">
        <f>($D$14*(F801ENE!G76))*0.5</f>
        <v>8.3863204791881447</v>
      </c>
      <c r="H81" s="156">
        <f>($D$14*(F801ENE!H76))*0.5</f>
        <v>8.0229431399578406</v>
      </c>
      <c r="I81" s="156">
        <f>($D$14*(F801ENE!I76))*0.5</f>
        <v>8.0605376086960732</v>
      </c>
      <c r="J81" s="156">
        <f t="shared" si="20"/>
        <v>49.552850250000006</v>
      </c>
    </row>
    <row r="82" spans="2:10" s="37" customFormat="1" ht="13.5">
      <c r="B82" s="48"/>
      <c r="C82" s="160" t="s">
        <v>624</v>
      </c>
      <c r="D82" s="156">
        <f>($D$14*(F801ENE!D77))*0</f>
        <v>0</v>
      </c>
      <c r="E82" s="156">
        <f>($D$14*(F801ENE!E77))*0</f>
        <v>0</v>
      </c>
      <c r="F82" s="156">
        <f>($D$14*(F801ENE!F77))*0</f>
        <v>0</v>
      </c>
      <c r="G82" s="156">
        <f>($D$14*(F801ENE!G77))*0</f>
        <v>0</v>
      </c>
      <c r="H82" s="156">
        <f>($D$14*(F801ENE!H77))*0</f>
        <v>0</v>
      </c>
      <c r="I82" s="156">
        <f>($D$14*(F801ENE!I77))*0</f>
        <v>0</v>
      </c>
      <c r="J82" s="156">
        <f t="shared" si="20"/>
        <v>0</v>
      </c>
    </row>
    <row r="83" spans="2:10" s="37" customFormat="1" ht="13.5">
      <c r="B83" s="48" t="s">
        <v>749</v>
      </c>
      <c r="C83" s="158" t="s">
        <v>636</v>
      </c>
      <c r="D83" s="154">
        <f t="shared" ref="D83" si="23">SUBTOTAL(9,D84:D89)</f>
        <v>1077385.282780397</v>
      </c>
      <c r="E83" s="154">
        <f t="shared" ref="E83:I83" si="24">SUBTOTAL(9,E84:E89)</f>
        <v>1077834.9219099998</v>
      </c>
      <c r="F83" s="154">
        <f t="shared" si="24"/>
        <v>1057477.5247552637</v>
      </c>
      <c r="G83" s="154">
        <f t="shared" si="24"/>
        <v>1074140.2585503322</v>
      </c>
      <c r="H83" s="154">
        <f t="shared" si="24"/>
        <v>1027598.0079792024</v>
      </c>
      <c r="I83" s="154">
        <f t="shared" si="24"/>
        <v>1032413.1986782416</v>
      </c>
      <c r="J83" s="159">
        <f t="shared" si="20"/>
        <v>6346849.1946534365</v>
      </c>
    </row>
    <row r="84" spans="2:10" s="37" customFormat="1" ht="13.5">
      <c r="B84" s="48"/>
      <c r="C84" s="160" t="s">
        <v>304</v>
      </c>
      <c r="D84" s="156">
        <f>($D$14*(F801ENE!D79))*1</f>
        <v>980938.99321345019</v>
      </c>
      <c r="E84" s="156">
        <f>($D$14*(F801ENE!E79))*1</f>
        <v>981348.38116607163</v>
      </c>
      <c r="F84" s="156">
        <f>($D$14*(F801ENE!F79))*1</f>
        <v>962813.35475669033</v>
      </c>
      <c r="G84" s="156">
        <f>($D$14*(F801ENE!G79))*1</f>
        <v>977984.45981479599</v>
      </c>
      <c r="H84" s="156">
        <f>($D$14*(F801ENE!H79))*1</f>
        <v>935608.61790677358</v>
      </c>
      <c r="I84" s="156">
        <f>($D$14*(F801ENE!I79))*1</f>
        <v>939992.7582806393</v>
      </c>
      <c r="J84" s="156">
        <f t="shared" si="20"/>
        <v>5778686.565138421</v>
      </c>
    </row>
    <row r="85" spans="2:10" s="37" customFormat="1" ht="13.5">
      <c r="B85" s="48"/>
      <c r="C85" s="162" t="s">
        <v>642</v>
      </c>
      <c r="D85" s="156">
        <f>($D$14*(F801ENE!D80))*0.75</f>
        <v>0</v>
      </c>
      <c r="E85" s="156">
        <f>($D$14*(F801ENE!E80))*0.75</f>
        <v>0</v>
      </c>
      <c r="F85" s="156">
        <f>($D$14*(F801ENE!F80))*0.75</f>
        <v>0</v>
      </c>
      <c r="G85" s="156">
        <f>($D$14*(F801ENE!G80))*0.75</f>
        <v>0</v>
      </c>
      <c r="H85" s="156">
        <f>($D$14*(F801ENE!H80))*0.75</f>
        <v>0</v>
      </c>
      <c r="I85" s="156">
        <f>($D$14*(F801ENE!I80))*0.75</f>
        <v>0</v>
      </c>
      <c r="J85" s="156">
        <f t="shared" si="20"/>
        <v>0</v>
      </c>
    </row>
    <row r="86" spans="2:10" s="37" customFormat="1" ht="13.5">
      <c r="B86" s="48"/>
      <c r="C86" s="162" t="s">
        <v>1177</v>
      </c>
      <c r="D86" s="156">
        <f>($D$14*(F801ENE!D81))*1</f>
        <v>95763.548631148864</v>
      </c>
      <c r="E86" s="156">
        <f>($D$14*(F801ENE!E81))*1</f>
        <v>95803.51487102831</v>
      </c>
      <c r="F86" s="156">
        <f>($D$14*(F801ENE!F81))*1</f>
        <v>93994.044643812871</v>
      </c>
      <c r="G86" s="156">
        <f>($D$14*(F801ENE!G81))*1</f>
        <v>95475.114177261479</v>
      </c>
      <c r="H86" s="156">
        <f>($D$14*(F801ENE!H81))*1</f>
        <v>91338.199419646407</v>
      </c>
      <c r="I86" s="156">
        <f>($D$14*(F801ENE!I81))*1</f>
        <v>91766.198350062172</v>
      </c>
      <c r="J86" s="156">
        <f>SUM(D86:I86)</f>
        <v>564140.62009296007</v>
      </c>
    </row>
    <row r="87" spans="2:10" s="37" customFormat="1" ht="13.5">
      <c r="B87" s="48"/>
      <c r="C87" s="160" t="s">
        <v>305</v>
      </c>
      <c r="D87" s="156">
        <f>($D$14*(F801ENE!D82))*0.95</f>
        <v>679.90141232425901</v>
      </c>
      <c r="E87" s="156">
        <f>($D$14*(F801ENE!E82))*0.95</f>
        <v>680.18516437112578</v>
      </c>
      <c r="F87" s="156">
        <f>($D$14*(F801ENE!F82))*0.95</f>
        <v>667.33829956058037</v>
      </c>
      <c r="G87" s="156">
        <f>($D$14*(F801ENE!G82))*0.95</f>
        <v>677.85358728681842</v>
      </c>
      <c r="H87" s="156">
        <f>($D$14*(F801ENE!H82))*0.95</f>
        <v>648.48234711691657</v>
      </c>
      <c r="I87" s="156">
        <f>($D$14*(F801ENE!I82))*0.95</f>
        <v>651.52105110629964</v>
      </c>
      <c r="J87" s="156">
        <f>SUM(D87:I87)</f>
        <v>4005.2818617659996</v>
      </c>
    </row>
    <row r="88" spans="2:10" s="37" customFormat="1" ht="13.5">
      <c r="B88" s="48"/>
      <c r="C88" s="160" t="s">
        <v>307</v>
      </c>
      <c r="D88" s="156">
        <f>($D$14*(F801ENE!D83))*0.5</f>
        <v>2.8395234738599879</v>
      </c>
      <c r="E88" s="156">
        <f>($D$14*(F801ENE!E83))*0.5</f>
        <v>2.8407085289036011</v>
      </c>
      <c r="F88" s="156">
        <f>($D$14*(F801ENE!F83))*0.5</f>
        <v>2.787055199856459</v>
      </c>
      <c r="G88" s="156">
        <f>($D$14*(F801ENE!G83))*0.5</f>
        <v>2.8309709879278109</v>
      </c>
      <c r="H88" s="156">
        <f>($D$14*(F801ENE!H83))*0.5</f>
        <v>2.708305665563338</v>
      </c>
      <c r="I88" s="156">
        <f>($D$14*(F801ENE!I83))*0.5</f>
        <v>2.7209964338888049</v>
      </c>
      <c r="J88" s="156">
        <f t="shared" si="20"/>
        <v>16.72756029</v>
      </c>
    </row>
    <row r="89" spans="2:10" s="37" customFormat="1" ht="13.5">
      <c r="B89" s="48"/>
      <c r="C89" s="160" t="s">
        <v>624</v>
      </c>
      <c r="D89" s="156">
        <f>($D$14*(F801ENE!D84))*0</f>
        <v>0</v>
      </c>
      <c r="E89" s="156">
        <f>($D$14*(F801ENE!E84))*0</f>
        <v>0</v>
      </c>
      <c r="F89" s="156">
        <f>($D$14*(F801ENE!F84))*0</f>
        <v>0</v>
      </c>
      <c r="G89" s="156">
        <f>($D$14*(F801ENE!G84))*0</f>
        <v>0</v>
      </c>
      <c r="H89" s="156">
        <f>($D$14*(F801ENE!H84))*0</f>
        <v>0</v>
      </c>
      <c r="I89" s="156">
        <f>($D$14*(F801ENE!I84))*0</f>
        <v>0</v>
      </c>
      <c r="J89" s="156">
        <f t="shared" si="20"/>
        <v>0</v>
      </c>
    </row>
    <row r="90" spans="2:10" s="37" customFormat="1" ht="13.5">
      <c r="B90" s="48"/>
      <c r="C90" s="157"/>
      <c r="D90" s="156"/>
      <c r="E90" s="156"/>
      <c r="F90" s="156"/>
      <c r="G90" s="156"/>
      <c r="H90" s="156"/>
      <c r="I90" s="156"/>
      <c r="J90" s="156"/>
    </row>
    <row r="91" spans="2:10" s="37" customFormat="1" ht="13.5">
      <c r="B91" s="48" t="s">
        <v>902</v>
      </c>
      <c r="C91" s="158" t="s">
        <v>898</v>
      </c>
      <c r="D91" s="154">
        <f t="shared" ref="D91" si="25">SUBTOTAL(9,D92:D96)</f>
        <v>483806.86686414696</v>
      </c>
      <c r="E91" s="154">
        <f t="shared" ref="E91:F91" si="26">SUBTOTAL(9,E92:E96)</f>
        <v>484008.78023904585</v>
      </c>
      <c r="F91" s="154">
        <f t="shared" si="26"/>
        <v>474867.1586739872</v>
      </c>
      <c r="G91" s="154">
        <f t="shared" ref="G91:H91" si="27">SUBTOTAL(9,G92:G96)</f>
        <v>482349.66763306549</v>
      </c>
      <c r="H91" s="154">
        <f t="shared" si="27"/>
        <v>461449.56737597485</v>
      </c>
      <c r="I91" s="154">
        <f t="shared" ref="I91" si="28">SUBTOTAL(9,I92:I96)</f>
        <v>463611.86006985995</v>
      </c>
      <c r="J91" s="159">
        <f t="shared" ref="J91:J101" si="29">SUM(D91:I91)</f>
        <v>2850093.90085608</v>
      </c>
    </row>
    <row r="92" spans="2:10" s="37" customFormat="1" ht="13.5">
      <c r="B92" s="48"/>
      <c r="C92" s="160" t="s">
        <v>304</v>
      </c>
      <c r="D92" s="156">
        <f>$D$13*F801ENE!D87*1</f>
        <v>465331.16941524652</v>
      </c>
      <c r="E92" s="156">
        <f>$D$13*F801ENE!E87*1</f>
        <v>465525.37208845635</v>
      </c>
      <c r="F92" s="156">
        <f>$D$13*F801ENE!F87*1</f>
        <v>456732.85229477828</v>
      </c>
      <c r="G92" s="156">
        <f>$D$13*F801ENE!G87*1</f>
        <v>463929.61795181816</v>
      </c>
      <c r="H92" s="156">
        <f>$D$13*F801ENE!H87*1</f>
        <v>443827.65421458415</v>
      </c>
      <c r="I92" s="156">
        <f>$D$13*F801ENE!I87*1</f>
        <v>445907.3729138769</v>
      </c>
      <c r="J92" s="156">
        <f t="shared" si="29"/>
        <v>2741254.0388787608</v>
      </c>
    </row>
    <row r="93" spans="2:10" s="37" customFormat="1" ht="13.5">
      <c r="B93" s="48"/>
      <c r="C93" s="162" t="s">
        <v>644</v>
      </c>
      <c r="D93" s="156">
        <f>$D$13*F801ENE!D88*0.75</f>
        <v>18475.697448900439</v>
      </c>
      <c r="E93" s="156">
        <f>$D$13*F801ENE!E88*0.75</f>
        <v>18483.408150589523</v>
      </c>
      <c r="F93" s="156">
        <f>$D$13*F801ENE!F88*0.75</f>
        <v>18134.306379208931</v>
      </c>
      <c r="G93" s="156">
        <f>$D$13*F801ENE!G88*0.75</f>
        <v>18420.049681247339</v>
      </c>
      <c r="H93" s="156">
        <f>$D$13*F801ENE!H88*0.75</f>
        <v>17621.913161390701</v>
      </c>
      <c r="I93" s="156">
        <f>$D$13*F801ENE!I88*0.75</f>
        <v>17704.487155983068</v>
      </c>
      <c r="J93" s="156">
        <f t="shared" si="29"/>
        <v>108839.86197732</v>
      </c>
    </row>
    <row r="94" spans="2:10" s="37" customFormat="1" ht="13.5">
      <c r="B94" s="48"/>
      <c r="C94" s="160" t="s">
        <v>305</v>
      </c>
      <c r="D94" s="156">
        <f>$D$13*F801ENE!D89*0.95</f>
        <v>0</v>
      </c>
      <c r="E94" s="156">
        <f>$D$13*F801ENE!E89*0.95</f>
        <v>0</v>
      </c>
      <c r="F94" s="156">
        <f>$D$13*F801ENE!F89*0.95</f>
        <v>0</v>
      </c>
      <c r="G94" s="156">
        <f>$D$13*F801ENE!G89*0.95</f>
        <v>0</v>
      </c>
      <c r="H94" s="156">
        <f>$D$13*F801ENE!H89*0.95</f>
        <v>0</v>
      </c>
      <c r="I94" s="156">
        <f>$D$13*F801ENE!I89*0.95</f>
        <v>0</v>
      </c>
      <c r="J94" s="156">
        <f t="shared" si="29"/>
        <v>0</v>
      </c>
    </row>
    <row r="95" spans="2:10" s="37" customFormat="1" ht="13.5">
      <c r="B95" s="48"/>
      <c r="C95" s="160" t="s">
        <v>307</v>
      </c>
      <c r="D95" s="156">
        <f>$D$13*F801ENE!D90*0.5</f>
        <v>0</v>
      </c>
      <c r="E95" s="156">
        <f>$D$13*F801ENE!E90*0.5</f>
        <v>0</v>
      </c>
      <c r="F95" s="156">
        <f>$D$13*F801ENE!F90*0.5</f>
        <v>0</v>
      </c>
      <c r="G95" s="156">
        <f>$D$13*F801ENE!G90*0.5</f>
        <v>0</v>
      </c>
      <c r="H95" s="156">
        <f>$D$13*F801ENE!H90*0.5</f>
        <v>0</v>
      </c>
      <c r="I95" s="156">
        <f>$D$13*F801ENE!I90*0.5</f>
        <v>0</v>
      </c>
      <c r="J95" s="156">
        <f t="shared" si="29"/>
        <v>0</v>
      </c>
    </row>
    <row r="96" spans="2:10" s="37" customFormat="1" ht="13.5">
      <c r="B96" s="48"/>
      <c r="C96" s="160" t="s">
        <v>624</v>
      </c>
      <c r="D96" s="156">
        <f>$D$13*F801ENE!D91*0</f>
        <v>0</v>
      </c>
      <c r="E96" s="156">
        <f>$D$13*F801ENE!E91*0</f>
        <v>0</v>
      </c>
      <c r="F96" s="156">
        <f>$D$13*F801ENE!F91*0</f>
        <v>0</v>
      </c>
      <c r="G96" s="156">
        <f>$D$13*F801ENE!G91*0</f>
        <v>0</v>
      </c>
      <c r="H96" s="156">
        <f>$D$13*F801ENE!H91*0</f>
        <v>0</v>
      </c>
      <c r="I96" s="156">
        <f>$D$13*F801ENE!I91*0</f>
        <v>0</v>
      </c>
      <c r="J96" s="156">
        <f t="shared" si="29"/>
        <v>0</v>
      </c>
    </row>
    <row r="97" spans="2:10" s="37" customFormat="1" ht="13.5">
      <c r="B97" s="48" t="s">
        <v>902</v>
      </c>
      <c r="C97" s="158" t="s">
        <v>899</v>
      </c>
      <c r="D97" s="154">
        <f t="shared" ref="D97" si="30">SUBTOTAL(9,D98:D103)</f>
        <v>38292.989602957845</v>
      </c>
      <c r="E97" s="154">
        <f t="shared" ref="E97:F97" si="31">SUBTOTAL(9,E98:E103)</f>
        <v>38308.970911399825</v>
      </c>
      <c r="F97" s="154">
        <f t="shared" si="31"/>
        <v>37585.417684853201</v>
      </c>
      <c r="G97" s="154">
        <f t="shared" ref="G97:H97" si="32">SUBTOTAL(9,G98:G103)</f>
        <v>38177.653259414568</v>
      </c>
      <c r="H97" s="154">
        <f t="shared" si="32"/>
        <v>36523.424316710691</v>
      </c>
      <c r="I97" s="154">
        <f t="shared" ref="I97" si="33">SUBTOTAL(9,I98:I103)</f>
        <v>36694.568335773882</v>
      </c>
      <c r="J97" s="159">
        <f t="shared" si="29"/>
        <v>225583.02411111002</v>
      </c>
    </row>
    <row r="98" spans="2:10" s="37" customFormat="1" ht="13.5">
      <c r="B98" s="48"/>
      <c r="C98" s="160" t="s">
        <v>304</v>
      </c>
      <c r="D98" s="156">
        <f>$D$13*F801ENE!D93*1</f>
        <v>34784.246458645335</v>
      </c>
      <c r="E98" s="156">
        <f>$D$13*F801ENE!E93*1</f>
        <v>34798.763417946277</v>
      </c>
      <c r="F98" s="156">
        <f>$D$13*F801ENE!F93*1</f>
        <v>34141.5085517396</v>
      </c>
      <c r="G98" s="156">
        <f>$D$13*F801ENE!G93*1</f>
        <v>34679.47825326243</v>
      </c>
      <c r="H98" s="156">
        <f>$D$13*F801ENE!H93*1</f>
        <v>33176.824429712666</v>
      </c>
      <c r="I98" s="156">
        <f>$D$13*F801ENE!I93*1</f>
        <v>33332.286716693707</v>
      </c>
      <c r="J98" s="156">
        <f t="shared" si="29"/>
        <v>204913.10782800004</v>
      </c>
    </row>
    <row r="99" spans="2:10" s="37" customFormat="1" ht="13.5">
      <c r="B99" s="48"/>
      <c r="C99" s="162" t="s">
        <v>642</v>
      </c>
      <c r="D99" s="156">
        <f>$D$13*F801ENE!D94*0.75</f>
        <v>3181.7512532052547</v>
      </c>
      <c r="E99" s="156">
        <f>$D$13*F801ENE!E94*0.75</f>
        <v>3183.0791345926928</v>
      </c>
      <c r="F99" s="156">
        <f>$D$13*F801ENE!F94*0.75</f>
        <v>3122.9593474150524</v>
      </c>
      <c r="G99" s="156">
        <f>$D$13*F801ENE!G94*0.75</f>
        <v>3172.1679963372517</v>
      </c>
      <c r="H99" s="156">
        <f>$D$13*F801ENE!H94*0.75</f>
        <v>3034.7186860036991</v>
      </c>
      <c r="I99" s="156">
        <f>$D$13*F801ENE!I94*0.75</f>
        <v>3048.9389833160517</v>
      </c>
      <c r="J99" s="156">
        <f t="shared" si="29"/>
        <v>18743.615400870003</v>
      </c>
    </row>
    <row r="100" spans="2:10" s="37" customFormat="1" ht="13.5">
      <c r="B100" s="48"/>
      <c r="C100" s="162" t="s">
        <v>1177</v>
      </c>
      <c r="D100" s="156">
        <f>$D$13*F801ENE!D95*1</f>
        <v>326.99189110725268</v>
      </c>
      <c r="E100" s="156">
        <f>$D$13*F801ENE!E95*1</f>
        <v>327.12835886085446</v>
      </c>
      <c r="F100" s="156">
        <f>$D$13*F801ENE!F95*1</f>
        <v>320.9497856985501</v>
      </c>
      <c r="G100" s="156">
        <f>$D$13*F801ENE!G95*1</f>
        <v>326.0070098148895</v>
      </c>
      <c r="H100" s="156">
        <f>$D$13*F801ENE!H95*1</f>
        <v>311.88120099432911</v>
      </c>
      <c r="I100" s="156">
        <f>$D$13*F801ENE!I95*1</f>
        <v>313.34263576412428</v>
      </c>
      <c r="J100" s="156">
        <f t="shared" si="29"/>
        <v>1926.3008822400002</v>
      </c>
    </row>
    <row r="101" spans="2:10" s="37" customFormat="1" ht="13.5">
      <c r="B101" s="48"/>
      <c r="C101" s="160" t="s">
        <v>305</v>
      </c>
      <c r="D101" s="156">
        <f>$D$13*F801ENE!D96*0.95</f>
        <v>0</v>
      </c>
      <c r="E101" s="156">
        <f>$D$13*F801ENE!E96*0.95</f>
        <v>0</v>
      </c>
      <c r="F101" s="156">
        <f>$D$13*F801ENE!F96*0.95</f>
        <v>0</v>
      </c>
      <c r="G101" s="156">
        <f>$D$13*F801ENE!G96*0.95</f>
        <v>0</v>
      </c>
      <c r="H101" s="156">
        <f>$D$13*F801ENE!H96*0.95</f>
        <v>0</v>
      </c>
      <c r="I101" s="156">
        <f>$D$13*F801ENE!I96*0.95</f>
        <v>0</v>
      </c>
      <c r="J101" s="156">
        <f t="shared" si="29"/>
        <v>0</v>
      </c>
    </row>
    <row r="102" spans="2:10" s="37" customFormat="1" ht="13.5">
      <c r="B102" s="48"/>
      <c r="C102" s="160" t="s">
        <v>307</v>
      </c>
      <c r="D102" s="156">
        <f>$D$13*F801ENE!D97*0.5</f>
        <v>0</v>
      </c>
      <c r="E102" s="156">
        <f>$D$13*F801ENE!E97*0.5</f>
        <v>0</v>
      </c>
      <c r="F102" s="156">
        <f>$D$13*F801ENE!F97*0.5</f>
        <v>0</v>
      </c>
      <c r="G102" s="156">
        <f>$D$13*F801ENE!G97*0.5</f>
        <v>0</v>
      </c>
      <c r="H102" s="156">
        <f>$D$13*F801ENE!H97*0.5</f>
        <v>0</v>
      </c>
      <c r="I102" s="156">
        <f>$D$13*F801ENE!I97*0.5</f>
        <v>0</v>
      </c>
      <c r="J102" s="156">
        <f t="shared" ref="J102:J110" si="34">SUM(D102:I102)</f>
        <v>0</v>
      </c>
    </row>
    <row r="103" spans="2:10" s="37" customFormat="1" ht="13.5">
      <c r="B103" s="48"/>
      <c r="C103" s="160" t="s">
        <v>624</v>
      </c>
      <c r="D103" s="156">
        <f>$D$13*F801ENE!D98*0</f>
        <v>0</v>
      </c>
      <c r="E103" s="156">
        <f>$D$13*F801ENE!E98*0</f>
        <v>0</v>
      </c>
      <c r="F103" s="156">
        <f>$D$13*F801ENE!F98*0</f>
        <v>0</v>
      </c>
      <c r="G103" s="156">
        <f>$D$13*F801ENE!G98*0</f>
        <v>0</v>
      </c>
      <c r="H103" s="156">
        <f>$D$13*F801ENE!H98*0</f>
        <v>0</v>
      </c>
      <c r="I103" s="156">
        <f>$D$13*F801ENE!I98*0</f>
        <v>0</v>
      </c>
      <c r="J103" s="156">
        <f t="shared" si="34"/>
        <v>0</v>
      </c>
    </row>
    <row r="104" spans="2:10" s="37" customFormat="1" ht="13.5">
      <c r="B104" s="48" t="s">
        <v>902</v>
      </c>
      <c r="C104" s="158" t="s">
        <v>900</v>
      </c>
      <c r="D104" s="154">
        <f t="shared" ref="D104" si="35">SUBTOTAL(9,D105:D110)</f>
        <v>4234.6347520785557</v>
      </c>
      <c r="E104" s="154">
        <f t="shared" ref="E104:F104" si="36">SUBTOTAL(9,E105:E110)</f>
        <v>4236.4020469493344</v>
      </c>
      <c r="F104" s="154">
        <f t="shared" si="36"/>
        <v>4156.3878284231259</v>
      </c>
      <c r="G104" s="154">
        <f t="shared" ref="G104:H104" si="37">SUBTOTAL(9,G105:G110)</f>
        <v>4221.8802689836057</v>
      </c>
      <c r="H104" s="154">
        <f t="shared" si="37"/>
        <v>4038.9471670947187</v>
      </c>
      <c r="I104" s="154">
        <f t="shared" ref="I104" si="38">SUBTOTAL(9,I105:I110)</f>
        <v>4057.8731485406638</v>
      </c>
      <c r="J104" s="159">
        <f t="shared" si="34"/>
        <v>24946.125212070005</v>
      </c>
    </row>
    <row r="105" spans="2:10" s="37" customFormat="1" ht="13.5">
      <c r="B105" s="48"/>
      <c r="C105" s="160" t="s">
        <v>304</v>
      </c>
      <c r="D105" s="156">
        <f>$D$13*F801ENE!D100*1</f>
        <v>4113.9658109258235</v>
      </c>
      <c r="E105" s="156">
        <f>$D$13*F801ENE!E100*1</f>
        <v>4115.6827454672593</v>
      </c>
      <c r="F105" s="156">
        <f>$D$13*F801ENE!F100*1</f>
        <v>4037.9485892349671</v>
      </c>
      <c r="G105" s="156">
        <f>$D$13*F801ENE!G100*1</f>
        <v>4101.5747759344586</v>
      </c>
      <c r="H105" s="156">
        <f>$D$13*F801ENE!H100*1</f>
        <v>3923.8544834138133</v>
      </c>
      <c r="I105" s="156">
        <f>$D$13*F801ENE!I100*1</f>
        <v>3942.2411555036829</v>
      </c>
      <c r="J105" s="156">
        <f t="shared" si="34"/>
        <v>24235.267560480002</v>
      </c>
    </row>
    <row r="106" spans="2:10" s="37" customFormat="1" ht="13.5">
      <c r="B106" s="48"/>
      <c r="C106" s="162" t="s">
        <v>642</v>
      </c>
      <c r="D106" s="156">
        <f>$D$13*F801ENE!D101*0.75</f>
        <v>120.66894115273217</v>
      </c>
      <c r="E106" s="156">
        <f>$D$13*F801ENE!E101*0.75</f>
        <v>120.71930148207508</v>
      </c>
      <c r="F106" s="156">
        <f>$D$13*F801ENE!F101*0.75</f>
        <v>118.43923918815901</v>
      </c>
      <c r="G106" s="156">
        <f>$D$13*F801ENE!G101*0.75</f>
        <v>120.30549304914722</v>
      </c>
      <c r="H106" s="156">
        <f>$D$13*F801ENE!H101*0.75</f>
        <v>115.09268368090552</v>
      </c>
      <c r="I106" s="156">
        <f>$D$13*F801ENE!I101*0.75</f>
        <v>115.63199303698103</v>
      </c>
      <c r="J106" s="156">
        <f t="shared" si="34"/>
        <v>710.85765159000005</v>
      </c>
    </row>
    <row r="107" spans="2:10" s="37" customFormat="1" ht="13.5">
      <c r="B107" s="48"/>
      <c r="C107" s="162" t="s">
        <v>1177</v>
      </c>
      <c r="D107" s="156">
        <f>$D$13*F801ENE!D102*1</f>
        <v>0</v>
      </c>
      <c r="E107" s="156">
        <f>$D$13*F801ENE!E102*1</f>
        <v>0</v>
      </c>
      <c r="F107" s="156">
        <f>$D$13*F801ENE!F102*1</f>
        <v>0</v>
      </c>
      <c r="G107" s="156">
        <f>$D$13*F801ENE!G102*1</f>
        <v>0</v>
      </c>
      <c r="H107" s="156">
        <f>$D$13*F801ENE!H102*1</f>
        <v>0</v>
      </c>
      <c r="I107" s="156">
        <f>$D$13*F801ENE!I102*1</f>
        <v>0</v>
      </c>
      <c r="J107" s="156">
        <f t="shared" si="34"/>
        <v>0</v>
      </c>
    </row>
    <row r="108" spans="2:10" s="37" customFormat="1" ht="13.5">
      <c r="B108" s="48"/>
      <c r="C108" s="160" t="s">
        <v>305</v>
      </c>
      <c r="D108" s="156">
        <f>$D$13*F801ENE!D103*0.95</f>
        <v>0</v>
      </c>
      <c r="E108" s="156">
        <f>$D$13*F801ENE!E103*0.95</f>
        <v>0</v>
      </c>
      <c r="F108" s="156">
        <f>$D$13*F801ENE!F103*0.95</f>
        <v>0</v>
      </c>
      <c r="G108" s="156">
        <f>$D$13*F801ENE!G103*0.95</f>
        <v>0</v>
      </c>
      <c r="H108" s="156">
        <f>$D$13*F801ENE!H103*0.95</f>
        <v>0</v>
      </c>
      <c r="I108" s="156">
        <f>$D$13*F801ENE!I103*0.95</f>
        <v>0</v>
      </c>
      <c r="J108" s="156">
        <f t="shared" si="34"/>
        <v>0</v>
      </c>
    </row>
    <row r="109" spans="2:10" s="37" customFormat="1" ht="13.5">
      <c r="B109" s="48"/>
      <c r="C109" s="160" t="s">
        <v>307</v>
      </c>
      <c r="D109" s="156">
        <f>$D$13*F801ENE!D104*0.5</f>
        <v>0</v>
      </c>
      <c r="E109" s="156">
        <f>$D$13*F801ENE!E104*0.5</f>
        <v>0</v>
      </c>
      <c r="F109" s="156">
        <f>$D$13*F801ENE!F104*0.5</f>
        <v>0</v>
      </c>
      <c r="G109" s="156">
        <f>$D$13*F801ENE!G104*0.5</f>
        <v>0</v>
      </c>
      <c r="H109" s="156">
        <f>$D$13*F801ENE!H104*0.5</f>
        <v>0</v>
      </c>
      <c r="I109" s="156">
        <f>$D$13*F801ENE!I104*0.5</f>
        <v>0</v>
      </c>
      <c r="J109" s="156">
        <f t="shared" si="34"/>
        <v>0</v>
      </c>
    </row>
    <row r="110" spans="2:10" s="37" customFormat="1" ht="13.5">
      <c r="B110" s="48"/>
      <c r="C110" s="160" t="s">
        <v>624</v>
      </c>
      <c r="D110" s="156">
        <f>$D$13*F801ENE!D105*0</f>
        <v>0</v>
      </c>
      <c r="E110" s="156">
        <f>$D$13*F801ENE!E105*0</f>
        <v>0</v>
      </c>
      <c r="F110" s="156">
        <f>$D$13*F801ENE!F105*0</f>
        <v>0</v>
      </c>
      <c r="G110" s="156">
        <f>$D$13*F801ENE!G105*0</f>
        <v>0</v>
      </c>
      <c r="H110" s="156">
        <f>$D$13*F801ENE!H105*0</f>
        <v>0</v>
      </c>
      <c r="I110" s="156">
        <f>$D$13*F801ENE!I105*0</f>
        <v>0</v>
      </c>
      <c r="J110" s="156">
        <f t="shared" si="34"/>
        <v>0</v>
      </c>
    </row>
    <row r="111" spans="2:10" s="37" customFormat="1" ht="13.5">
      <c r="B111" s="48"/>
      <c r="C111" s="157"/>
      <c r="D111" s="156"/>
      <c r="E111" s="156"/>
      <c r="F111" s="156"/>
      <c r="G111" s="156"/>
      <c r="H111" s="156"/>
      <c r="I111" s="156"/>
      <c r="J111" s="156"/>
    </row>
    <row r="112" spans="2:10" s="37" customFormat="1" ht="13.5">
      <c r="B112" s="48"/>
      <c r="C112" s="153" t="s">
        <v>112</v>
      </c>
      <c r="D112" s="154">
        <f t="shared" ref="D112:I112" si="39">SUM(D35,D25,D21)</f>
        <v>9569926.3463573363</v>
      </c>
      <c r="E112" s="154">
        <f t="shared" si="39"/>
        <v>9573920.2873803321</v>
      </c>
      <c r="F112" s="154">
        <f t="shared" si="39"/>
        <v>9523372.2494920939</v>
      </c>
      <c r="G112" s="154">
        <f t="shared" si="39"/>
        <v>9541102.2637991533</v>
      </c>
      <c r="H112" s="154">
        <f t="shared" si="39"/>
        <v>9254284.9629878607</v>
      </c>
      <c r="I112" s="154">
        <f t="shared" si="39"/>
        <v>9170459.6635004766</v>
      </c>
      <c r="J112" s="154">
        <f>SUM(D112:I112)</f>
        <v>56633065.773517251</v>
      </c>
    </row>
    <row r="113" spans="1:10">
      <c r="A113" s="37"/>
      <c r="C113" s="48"/>
      <c r="D113" s="48"/>
      <c r="E113" s="48"/>
      <c r="F113" s="48"/>
      <c r="G113" s="48"/>
      <c r="H113" s="48"/>
      <c r="I113" s="48"/>
      <c r="J113" s="48"/>
    </row>
    <row r="114" spans="1:10" ht="54" customHeight="1">
      <c r="A114" s="37"/>
      <c r="C114" s="149" t="s">
        <v>1405</v>
      </c>
      <c r="D114" s="149"/>
      <c r="E114" s="149"/>
      <c r="F114" s="149"/>
      <c r="G114" s="149"/>
      <c r="H114" s="149"/>
      <c r="I114" s="149"/>
      <c r="J114" s="149"/>
    </row>
    <row r="115" spans="1:10" s="37" customFormat="1" ht="13.5">
      <c r="B115" s="48"/>
      <c r="C115" s="150" t="s">
        <v>310</v>
      </c>
      <c r="D115" s="151">
        <f t="shared" ref="D115:I115" si="40">D20</f>
        <v>46204</v>
      </c>
      <c r="E115" s="151">
        <f t="shared" si="40"/>
        <v>46235</v>
      </c>
      <c r="F115" s="151">
        <f t="shared" si="40"/>
        <v>46266</v>
      </c>
      <c r="G115" s="151">
        <f t="shared" si="40"/>
        <v>46296</v>
      </c>
      <c r="H115" s="151">
        <f t="shared" si="40"/>
        <v>46327</v>
      </c>
      <c r="I115" s="151">
        <f t="shared" si="40"/>
        <v>46357</v>
      </c>
      <c r="J115" s="152" t="s">
        <v>111</v>
      </c>
    </row>
    <row r="116" spans="1:10" s="37" customFormat="1" ht="13.5">
      <c r="B116" s="48"/>
      <c r="C116" s="153" t="s">
        <v>230</v>
      </c>
      <c r="D116" s="154">
        <f t="shared" ref="D116:I116" si="41">SUM(D117:D118)</f>
        <v>72708.287745800524</v>
      </c>
      <c r="E116" s="154">
        <f t="shared" si="41"/>
        <v>69981.679431537239</v>
      </c>
      <c r="F116" s="154">
        <f t="shared" si="41"/>
        <v>77576.618194738781</v>
      </c>
      <c r="G116" s="154">
        <f t="shared" si="41"/>
        <v>79240.59677505985</v>
      </c>
      <c r="H116" s="154">
        <f t="shared" si="41"/>
        <v>80289.549744454038</v>
      </c>
      <c r="I116" s="154">
        <f t="shared" si="41"/>
        <v>78328.499494865886</v>
      </c>
      <c r="J116" s="154">
        <f>SUM(D116:I116)</f>
        <v>458125.23138645635</v>
      </c>
    </row>
    <row r="117" spans="1:10" s="37" customFormat="1" ht="13.5">
      <c r="B117" s="48" t="s">
        <v>870</v>
      </c>
      <c r="C117" s="157" t="s">
        <v>1026</v>
      </c>
      <c r="D117" s="156">
        <f>$D$7*F801ENE!D116+$F$7*F801D!K116+$G$7*F801D!R116+$H$7*F801D!Y116</f>
        <v>47701.222950656695</v>
      </c>
      <c r="E117" s="156">
        <f>$D$7*F801ENE!E116+$F$7*F801D!L116+$G$7*F801D!S116+$H$7*F801D!Z116</f>
        <v>46133.447031537238</v>
      </c>
      <c r="F117" s="156">
        <f>$D$7*F801ENE!F116+$F$7*F801D!M116+$G$7*F801D!T116+$H$7*F801D!AA116</f>
        <v>51091.640704687496</v>
      </c>
      <c r="G117" s="156">
        <f>$D$7*F801ENE!G116+$F$7*F801D!N116+$G$7*F801D!U116+$H$7*F801D!AB116</f>
        <v>48012.340910126157</v>
      </c>
      <c r="H117" s="156">
        <f>$D$7*F801ENE!H116+$F$7*F801D!O116+$G$7*F801D!V116+$H$7*F801D!AC116</f>
        <v>51375.194887644837</v>
      </c>
      <c r="I117" s="156">
        <f>$D$7*F801ENE!I116+$F$7*F801D!P116+$G$7*F801D!W116+$H$7*F801D!AD116</f>
        <v>46073.673387941875</v>
      </c>
      <c r="J117" s="154">
        <f>SUM(D117:I117)</f>
        <v>290387.51987259428</v>
      </c>
    </row>
    <row r="118" spans="1:10" s="37" customFormat="1" ht="13.5">
      <c r="B118" s="48" t="s">
        <v>871</v>
      </c>
      <c r="C118" s="153" t="s">
        <v>193</v>
      </c>
      <c r="D118" s="154">
        <f t="shared" ref="D118:I118" si="42">SUM(D119:D120)</f>
        <v>25007.06479514383</v>
      </c>
      <c r="E118" s="154">
        <f t="shared" si="42"/>
        <v>23848.232399999997</v>
      </c>
      <c r="F118" s="154">
        <f t="shared" si="42"/>
        <v>26484.977490051278</v>
      </c>
      <c r="G118" s="154">
        <f t="shared" si="42"/>
        <v>31228.255864933697</v>
      </c>
      <c r="H118" s="154">
        <f t="shared" si="42"/>
        <v>28914.354856809208</v>
      </c>
      <c r="I118" s="154">
        <f t="shared" si="42"/>
        <v>32254.826106924003</v>
      </c>
      <c r="J118" s="154">
        <f>SUM(D118:I118)</f>
        <v>167737.71151386201</v>
      </c>
    </row>
    <row r="119" spans="1:10" s="37" customFormat="1" ht="13.5">
      <c r="B119" s="48"/>
      <c r="C119" s="157" t="s">
        <v>1074</v>
      </c>
      <c r="D119" s="156">
        <f>$D$8*F801ENE!D118+$E$8*F801D!D118</f>
        <v>0</v>
      </c>
      <c r="E119" s="156">
        <f>$D$8*F801ENE!E118+$E$8*F801D!E118</f>
        <v>0</v>
      </c>
      <c r="F119" s="156">
        <f>$D$8*F801ENE!F118+$E$8*F801D!F118</f>
        <v>0</v>
      </c>
      <c r="G119" s="156">
        <f>$D$8*F801ENE!G118+$E$8*F801D!G118</f>
        <v>0</v>
      </c>
      <c r="H119" s="156">
        <f>$D$8*F801ENE!H118+$E$8*F801D!H118</f>
        <v>0</v>
      </c>
      <c r="I119" s="156">
        <f>$D$8*F801ENE!I118+$E$8*F801D!I118</f>
        <v>0</v>
      </c>
      <c r="J119" s="154">
        <f t="shared" ref="J119:J139" si="43">SUM(D119:I119)</f>
        <v>0</v>
      </c>
    </row>
    <row r="120" spans="1:10" s="37" customFormat="1" ht="13.5">
      <c r="B120" s="48"/>
      <c r="C120" s="157" t="s">
        <v>1075</v>
      </c>
      <c r="D120" s="156">
        <f>$D$8*F801ENE!D119+$E$8*F801D!D119</f>
        <v>25007.06479514383</v>
      </c>
      <c r="E120" s="156">
        <f>$D$8*F801ENE!E119+$E$8*F801D!E119</f>
        <v>23848.232399999997</v>
      </c>
      <c r="F120" s="156">
        <f>$D$8*F801ENE!F119+$E$8*F801D!F119</f>
        <v>26484.977490051278</v>
      </c>
      <c r="G120" s="156">
        <f>$D$8*F801ENE!G119+$E$8*F801D!G119</f>
        <v>31228.255864933697</v>
      </c>
      <c r="H120" s="156">
        <f>$D$8*F801ENE!H119+$E$8*F801D!H119</f>
        <v>28914.354856809208</v>
      </c>
      <c r="I120" s="156">
        <f>$D$8*F801ENE!I119+$E$8*F801D!I119</f>
        <v>32254.826106924003</v>
      </c>
      <c r="J120" s="154">
        <f t="shared" si="43"/>
        <v>167737.71151386201</v>
      </c>
    </row>
    <row r="121" spans="1:10" s="37" customFormat="1" ht="13.5">
      <c r="B121" s="48"/>
      <c r="C121" s="153" t="s">
        <v>893</v>
      </c>
      <c r="D121" s="156"/>
      <c r="E121" s="156"/>
      <c r="F121" s="156"/>
      <c r="G121" s="156"/>
      <c r="H121" s="156"/>
      <c r="I121" s="156"/>
      <c r="J121" s="154">
        <f t="shared" si="43"/>
        <v>0</v>
      </c>
    </row>
    <row r="122" spans="1:10" s="37" customFormat="1" ht="13.5">
      <c r="B122" s="48"/>
      <c r="C122" s="157"/>
      <c r="D122" s="156"/>
      <c r="E122" s="156"/>
      <c r="F122" s="156"/>
      <c r="G122" s="156"/>
      <c r="H122" s="156"/>
      <c r="I122" s="156"/>
      <c r="J122" s="154">
        <f t="shared" si="43"/>
        <v>0</v>
      </c>
    </row>
    <row r="123" spans="1:10" s="37" customFormat="1" ht="13.5">
      <c r="B123" s="48"/>
      <c r="C123" s="153" t="s">
        <v>194</v>
      </c>
      <c r="D123" s="154">
        <f t="shared" ref="D123:I123" si="44">D124+D129</f>
        <v>1390756.6440873125</v>
      </c>
      <c r="E123" s="154">
        <f t="shared" si="44"/>
        <v>1354970.4729886232</v>
      </c>
      <c r="F123" s="154">
        <f t="shared" si="44"/>
        <v>1384149.8044893031</v>
      </c>
      <c r="G123" s="154">
        <f t="shared" si="44"/>
        <v>1383204.2983409574</v>
      </c>
      <c r="H123" s="154">
        <f t="shared" si="44"/>
        <v>1381934.5757879564</v>
      </c>
      <c r="I123" s="154">
        <f t="shared" si="44"/>
        <v>1383054.9844398096</v>
      </c>
      <c r="J123" s="154">
        <f t="shared" si="43"/>
        <v>8278070.7801339636</v>
      </c>
    </row>
    <row r="124" spans="1:10" s="37" customFormat="1" ht="13.5">
      <c r="B124" s="48" t="s">
        <v>872</v>
      </c>
      <c r="C124" s="153" t="s">
        <v>1072</v>
      </c>
      <c r="D124" s="154">
        <f t="shared" ref="D124:I124" si="45">SUM(D125:D128)</f>
        <v>268307.55298803205</v>
      </c>
      <c r="E124" s="154">
        <f t="shared" si="45"/>
        <v>261628.47440650201</v>
      </c>
      <c r="F124" s="154">
        <f t="shared" si="45"/>
        <v>268853.61792189599</v>
      </c>
      <c r="G124" s="154">
        <f t="shared" si="45"/>
        <v>269269.08632874192</v>
      </c>
      <c r="H124" s="154">
        <f t="shared" si="45"/>
        <v>264595.00335323159</v>
      </c>
      <c r="I124" s="154">
        <f t="shared" si="45"/>
        <v>269627.15233403043</v>
      </c>
      <c r="J124" s="154">
        <f t="shared" si="43"/>
        <v>1602280.8873324341</v>
      </c>
    </row>
    <row r="125" spans="1:10" s="37" customFormat="1" ht="13.5">
      <c r="B125" s="48"/>
      <c r="C125" s="157" t="s">
        <v>980</v>
      </c>
      <c r="D125" s="156">
        <f>$D$9*F801ENE!D124+$F$9*F801D!K124+$G$9*F801D!R124+$H$9*F801D!Y124</f>
        <v>216004.20541723043</v>
      </c>
      <c r="E125" s="156">
        <f>$D$9*F801ENE!E124+$F$9*F801D!L124+$G$9*F801D!S124+$H$9*F801D!Z124</f>
        <v>208761.3978129708</v>
      </c>
      <c r="F125" s="156">
        <f>$D$9*F801ENE!F124+$F$9*F801D!M124+$G$9*F801D!T124+$H$9*F801D!AA124</f>
        <v>211640.23646256956</v>
      </c>
      <c r="G125" s="156">
        <f>$D$9*F801ENE!G124+$F$9*F801D!N124+$G$9*F801D!U124+$H$9*F801D!AB124</f>
        <v>210231.99868245109</v>
      </c>
      <c r="H125" s="156">
        <f>$D$9*F801ENE!H124+$F$9*F801D!O124+$G$9*F801D!V124+$H$9*F801D!AC124</f>
        <v>208865.39014153677</v>
      </c>
      <c r="I125" s="156">
        <f>$D$9*F801ENE!I124+$F$9*F801D!P124+$G$9*F801D!W124+$H$9*F801D!AD124</f>
        <v>208999.1332247532</v>
      </c>
      <c r="J125" s="154">
        <f t="shared" si="43"/>
        <v>1264502.3617415118</v>
      </c>
    </row>
    <row r="126" spans="1:10" s="37" customFormat="1" ht="13.5">
      <c r="B126" s="48"/>
      <c r="C126" s="157" t="s">
        <v>981</v>
      </c>
      <c r="D126" s="156">
        <f>$D$9*F801ENE!D125+$F$9*F801D!K125+$G$9*F801D!R125+$H$9*F801D!Y125</f>
        <v>7291.6262795040002</v>
      </c>
      <c r="E126" s="156">
        <f>$D$9*F801ENE!E125+$F$9*F801D!L125+$G$9*F801D!S125+$H$9*F801D!Z125</f>
        <v>7708.7378424000008</v>
      </c>
      <c r="F126" s="156">
        <f>$D$9*F801ENE!F125+$F$9*F801D!M125+$G$9*F801D!T125+$H$9*F801D!AA125</f>
        <v>7585.6186697759995</v>
      </c>
      <c r="G126" s="156">
        <f>$D$9*F801ENE!G125+$F$9*F801D!N125+$G$9*F801D!U125+$H$9*F801D!AB125</f>
        <v>8279.0169251999996</v>
      </c>
      <c r="H126" s="156">
        <f>$D$9*F801ENE!H125+$F$9*F801D!O125+$G$9*F801D!V125+$H$9*F801D!AC125</f>
        <v>7973.770838208</v>
      </c>
      <c r="I126" s="156">
        <f>$D$9*F801ENE!I125+$F$9*F801D!P125+$G$9*F801D!W125+$H$9*F801D!AD125</f>
        <v>7448.6841854880004</v>
      </c>
      <c r="J126" s="154">
        <f>SUM(D126:I126)</f>
        <v>46287.454740575995</v>
      </c>
    </row>
    <row r="127" spans="1:10" s="37" customFormat="1" ht="13.5">
      <c r="B127" s="48"/>
      <c r="C127" s="157" t="s">
        <v>1019</v>
      </c>
      <c r="D127" s="156">
        <f>$D$9*F801ENE!D126+$F$9*F801D!K126+$G$9*F801D!R126+$H$9*F801D!Y126</f>
        <v>1497.3321497567999</v>
      </c>
      <c r="E127" s="156">
        <f>$D$9*F801ENE!E126+$F$9*F801D!L126+$G$9*F801D!S126+$H$9*F801D!Z126</f>
        <v>1488.8020785791998</v>
      </c>
      <c r="F127" s="156">
        <f>$D$9*F801ENE!F126+$F$9*F801D!M126+$G$9*F801D!T126+$H$9*F801D!AA126</f>
        <v>1465.3716510719998</v>
      </c>
      <c r="G127" s="156">
        <f>$D$9*F801ENE!G126+$F$9*F801D!N126+$G$9*F801D!U126+$H$9*F801D!AB126</f>
        <v>1475.2692196031999</v>
      </c>
      <c r="H127" s="156">
        <f>$D$9*F801ENE!H126+$F$9*F801D!O126+$G$9*F801D!V126+$H$9*F801D!AC126</f>
        <v>1449.0600971616</v>
      </c>
      <c r="I127" s="156">
        <f>$D$9*F801ENE!I126+$F$9*F801D!P126+$G$9*F801D!W126+$H$9*F801D!AD126</f>
        <v>1437.5044070015999</v>
      </c>
      <c r="J127" s="154">
        <f>SUM(D127:I127)</f>
        <v>8813.3396031743996</v>
      </c>
    </row>
    <row r="128" spans="1:10" s="37" customFormat="1" ht="13.5">
      <c r="B128" s="48"/>
      <c r="C128" s="157" t="s">
        <v>1764</v>
      </c>
      <c r="D128" s="156">
        <f>$D$9*F801ENE!D127+$F$9*F801D!K127+$G$9*F801D!R127+$H$9*F801D!Y127</f>
        <v>43514.3891415408</v>
      </c>
      <c r="E128" s="156">
        <f>$D$9*F801ENE!E127+$F$9*F801D!L127+$G$9*F801D!S127+$H$9*F801D!Z127</f>
        <v>43669.536672552</v>
      </c>
      <c r="F128" s="156">
        <f>$D$9*F801ENE!F127+$F$9*F801D!M127+$G$9*F801D!T127+$H$9*F801D!AA127</f>
        <v>48162.391138478401</v>
      </c>
      <c r="G128" s="156">
        <f>$D$9*F801ENE!G127+$F$9*F801D!N127+$G$9*F801D!U127+$H$9*F801D!AB127</f>
        <v>49282.801501487636</v>
      </c>
      <c r="H128" s="156">
        <f>$D$9*F801ENE!H127+$F$9*F801D!O127+$G$9*F801D!V127+$H$9*F801D!AC127</f>
        <v>46306.782276325197</v>
      </c>
      <c r="I128" s="156">
        <f>$D$9*F801ENE!I127+$F$9*F801D!P127+$G$9*F801D!W127+$H$9*F801D!AD127</f>
        <v>51741.830516787602</v>
      </c>
      <c r="J128" s="154">
        <f>SUM(D128:I128)</f>
        <v>282677.73124717164</v>
      </c>
    </row>
    <row r="129" spans="1:10" s="37" customFormat="1" ht="13.5">
      <c r="B129" s="48" t="s">
        <v>873</v>
      </c>
      <c r="C129" s="153" t="s">
        <v>193</v>
      </c>
      <c r="D129" s="154">
        <f t="shared" ref="D129:I129" si="46">SUM(D130:D134)</f>
        <v>1122449.0910992804</v>
      </c>
      <c r="E129" s="154">
        <f t="shared" si="46"/>
        <v>1093341.9985821212</v>
      </c>
      <c r="F129" s="154">
        <f t="shared" si="46"/>
        <v>1115296.1865674071</v>
      </c>
      <c r="G129" s="154">
        <f t="shared" si="46"/>
        <v>1113935.2120122155</v>
      </c>
      <c r="H129" s="154">
        <f t="shared" si="46"/>
        <v>1117339.5724347248</v>
      </c>
      <c r="I129" s="154">
        <f t="shared" si="46"/>
        <v>1113427.8321057791</v>
      </c>
      <c r="J129" s="154">
        <f t="shared" si="43"/>
        <v>6675789.8928015279</v>
      </c>
    </row>
    <row r="130" spans="1:10" s="37" customFormat="1" ht="13.5">
      <c r="B130" s="48"/>
      <c r="C130" s="157" t="s">
        <v>944</v>
      </c>
      <c r="D130" s="156">
        <f>$D$10*F801ENE!D129+$E$10*F801D!D129</f>
        <v>0</v>
      </c>
      <c r="E130" s="156">
        <f>$D$10*F801ENE!E129+$E$10*F801D!E129</f>
        <v>0</v>
      </c>
      <c r="F130" s="156">
        <f>$D$10*F801ENE!F129+$E$10*F801D!F129</f>
        <v>0</v>
      </c>
      <c r="G130" s="156">
        <f>$D$10*F801ENE!G129+$E$10*F801D!G129</f>
        <v>0</v>
      </c>
      <c r="H130" s="156">
        <f>$D$10*F801ENE!H129+$E$10*F801D!H129</f>
        <v>0</v>
      </c>
      <c r="I130" s="156">
        <f>$D$10*F801ENE!I129+$E$10*F801D!I129</f>
        <v>0</v>
      </c>
      <c r="J130" s="154">
        <f t="shared" si="43"/>
        <v>0</v>
      </c>
    </row>
    <row r="131" spans="1:10" s="37" customFormat="1" ht="13.5">
      <c r="B131" s="48"/>
      <c r="C131" s="157" t="s">
        <v>943</v>
      </c>
      <c r="D131" s="156">
        <f>$D$10*F801ENE!D130+$E$10*F801D!D130</f>
        <v>753350.52892372455</v>
      </c>
      <c r="E131" s="156">
        <f>$D$10*F801ENE!E130+$E$10*F801D!E130</f>
        <v>726310.02421422838</v>
      </c>
      <c r="F131" s="156">
        <f>$D$10*F801ENE!F130+$E$10*F801D!F130</f>
        <v>678029.53549077385</v>
      </c>
      <c r="G131" s="156">
        <f>$D$10*F801ENE!G130+$E$10*F801D!G130</f>
        <v>688135.87899725547</v>
      </c>
      <c r="H131" s="156">
        <f>$D$10*F801ENE!H130+$E$10*F801D!H130</f>
        <v>684942.75751543685</v>
      </c>
      <c r="I131" s="156">
        <f>$D$10*F801ENE!I130+$E$10*F801D!I130</f>
        <v>665748.35177213419</v>
      </c>
      <c r="J131" s="154">
        <f>SUM(D131:I131)</f>
        <v>4196517.0769135542</v>
      </c>
    </row>
    <row r="132" spans="1:10" s="37" customFormat="1" ht="13.5">
      <c r="B132" s="48"/>
      <c r="C132" s="157" t="s">
        <v>1020</v>
      </c>
      <c r="D132" s="156">
        <f>$D$10*F801ENE!D131+$E$10*F801D!D131</f>
        <v>58580.086965343187</v>
      </c>
      <c r="E132" s="156">
        <f>$D$10*F801ENE!E131+$E$10*F801D!E131</f>
        <v>55140.868110288597</v>
      </c>
      <c r="F132" s="156">
        <f>$D$10*F801ENE!F131+$E$10*F801D!F131</f>
        <v>66328.878233400595</v>
      </c>
      <c r="G132" s="156">
        <f>$D$10*F801ENE!G131+$E$10*F801D!G131</f>
        <v>55758.156723547792</v>
      </c>
      <c r="H132" s="156">
        <f>$D$10*F801ENE!H131+$E$10*F801D!H131</f>
        <v>53655.489413331234</v>
      </c>
      <c r="I132" s="156">
        <f>$D$10*F801ENE!I131+$E$10*F801D!I131</f>
        <v>60727.430498788795</v>
      </c>
      <c r="J132" s="154">
        <f>SUM(D132:I132)</f>
        <v>350190.90994470014</v>
      </c>
    </row>
    <row r="133" spans="1:10" s="37" customFormat="1" ht="13.5">
      <c r="B133" s="48"/>
      <c r="C133" s="157" t="s">
        <v>1021</v>
      </c>
      <c r="D133" s="156">
        <f>$D$10*F801ENE!D132+$E$10*F801D!D132</f>
        <v>41356.119744108</v>
      </c>
      <c r="E133" s="156">
        <f>$D$10*F801ENE!E132+$E$10*F801D!E132</f>
        <v>41764.865349521999</v>
      </c>
      <c r="F133" s="156">
        <f>$D$10*F801ENE!F132+$E$10*F801D!F132</f>
        <v>42022.268699124004</v>
      </c>
      <c r="G133" s="156">
        <f>$D$10*F801ENE!G132+$E$10*F801D!G132</f>
        <v>40949.643902873999</v>
      </c>
      <c r="H133" s="156">
        <f>$D$10*F801ENE!H132+$E$10*F801D!H132</f>
        <v>40937.109760679996</v>
      </c>
      <c r="I133" s="156">
        <f>$D$10*F801ENE!I132+$E$10*F801D!I132</f>
        <v>40358.748052224</v>
      </c>
      <c r="J133" s="154">
        <f>SUM(D133:I133)</f>
        <v>247388.75550853199</v>
      </c>
    </row>
    <row r="134" spans="1:10" s="37" customFormat="1" ht="13.5">
      <c r="B134" s="48"/>
      <c r="C134" s="157" t="s">
        <v>1163</v>
      </c>
      <c r="D134" s="156">
        <f>$D$10*F801ENE!D133+$E$10*F801D!D133</f>
        <v>269162.35546610446</v>
      </c>
      <c r="E134" s="156">
        <f>$D$10*F801ENE!E133+$E$10*F801D!E133</f>
        <v>270126.24090808223</v>
      </c>
      <c r="F134" s="156">
        <f>$D$10*F801ENE!F133+$E$10*F801D!F133</f>
        <v>328915.50414410874</v>
      </c>
      <c r="G134" s="156">
        <f>$D$10*F801ENE!G133+$E$10*F801D!G133</f>
        <v>329091.5323885383</v>
      </c>
      <c r="H134" s="156">
        <f>$D$10*F801ENE!H133+$E$10*F801D!H133</f>
        <v>337804.21574527677</v>
      </c>
      <c r="I134" s="156">
        <f>$D$10*F801ENE!I133+$E$10*F801D!I133</f>
        <v>346593.30178263196</v>
      </c>
      <c r="J134" s="154">
        <f>SUM(D134:I134)</f>
        <v>1881693.1504347424</v>
      </c>
    </row>
    <row r="135" spans="1:10" s="37" customFormat="1" ht="13.5">
      <c r="B135" s="48"/>
      <c r="C135" s="153" t="s">
        <v>308</v>
      </c>
      <c r="D135" s="154">
        <f t="shared" ref="D135:I135" si="47">SUM(D136:D137)</f>
        <v>262766.29609794606</v>
      </c>
      <c r="E135" s="154">
        <f t="shared" si="47"/>
        <v>261439.20504292022</v>
      </c>
      <c r="F135" s="154">
        <f t="shared" si="47"/>
        <v>269486.63299058634</v>
      </c>
      <c r="G135" s="154">
        <f t="shared" si="47"/>
        <v>271489.31021383952</v>
      </c>
      <c r="H135" s="154">
        <f t="shared" si="47"/>
        <v>278188.28135450161</v>
      </c>
      <c r="I135" s="154">
        <f t="shared" si="47"/>
        <v>290554.78806426749</v>
      </c>
      <c r="J135" s="154">
        <f t="shared" si="43"/>
        <v>1633924.5137640613</v>
      </c>
    </row>
    <row r="136" spans="1:10" s="37" customFormat="1" ht="13.5">
      <c r="B136" s="48" t="s">
        <v>874</v>
      </c>
      <c r="C136" s="157" t="s">
        <v>1027</v>
      </c>
      <c r="D136" s="156">
        <f>$D$11*F801ENE!D137+$F$11*F801D!K137+$G$11*F801D!R137+$H$11*F801D!Y137</f>
        <v>8431.7994998783997</v>
      </c>
      <c r="E136" s="156">
        <f>$D$11*F801ENE!E137+$F$11*F801D!L137+$G$11*F801D!S137+$H$11*F801D!Z137</f>
        <v>7948.9859620032003</v>
      </c>
      <c r="F136" s="156">
        <f>$D$11*F801ENE!F137+$F$11*F801D!M137+$G$11*F801D!T137+$H$11*F801D!AA137</f>
        <v>8093.1001109904</v>
      </c>
      <c r="G136" s="156">
        <f>$D$11*F801ENE!G137+$F$11*F801D!N137+$G$11*F801D!U137+$H$11*F801D!AB137</f>
        <v>8266.3793508239996</v>
      </c>
      <c r="H136" s="156">
        <f>$D$11*F801ENE!H137+$F$11*F801D!O137+$G$11*F801D!V137+$H$11*F801D!AC137</f>
        <v>8412.6126462623979</v>
      </c>
      <c r="I136" s="156">
        <f>$D$11*F801ENE!I137+$F$11*F801D!P137+$G$11*F801D!W137+$H$11*F801D!AD137</f>
        <v>8326.5519639023987</v>
      </c>
      <c r="J136" s="154">
        <f t="shared" si="43"/>
        <v>49479.429533860792</v>
      </c>
    </row>
    <row r="137" spans="1:10" s="37" customFormat="1" ht="13.5">
      <c r="B137" s="48" t="s">
        <v>875</v>
      </c>
      <c r="C137" s="153" t="s">
        <v>193</v>
      </c>
      <c r="D137" s="154">
        <f t="shared" ref="D137:I137" si="48">SUM(D138:D143)</f>
        <v>254334.49659806764</v>
      </c>
      <c r="E137" s="154">
        <f t="shared" si="48"/>
        <v>253490.21908091701</v>
      </c>
      <c r="F137" s="154">
        <f t="shared" si="48"/>
        <v>261393.53287959594</v>
      </c>
      <c r="G137" s="154">
        <f t="shared" si="48"/>
        <v>263222.93086301553</v>
      </c>
      <c r="H137" s="154">
        <f t="shared" si="48"/>
        <v>269775.66870823922</v>
      </c>
      <c r="I137" s="154">
        <f t="shared" si="48"/>
        <v>282228.23610036512</v>
      </c>
      <c r="J137" s="154">
        <f t="shared" si="43"/>
        <v>1584445.0842302006</v>
      </c>
    </row>
    <row r="138" spans="1:10" s="37" customFormat="1" ht="13.5">
      <c r="B138" s="48"/>
      <c r="C138" s="157" t="s">
        <v>1022</v>
      </c>
      <c r="D138" s="156">
        <f>$D$12*(F801ENE!D140)+$E$12*(F801D!D140)</f>
        <v>2016.3759333978001</v>
      </c>
      <c r="E138" s="156">
        <f>$D$12*(F801ENE!E140)+$E$12*(F801D!E140)</f>
        <v>2053.6162379069997</v>
      </c>
      <c r="F138" s="156">
        <f>$D$12*(F801ENE!F140)+$E$12*(F801D!F140)</f>
        <v>1977.729</v>
      </c>
      <c r="G138" s="156">
        <f>$D$12*(F801ENE!G140)+$E$12*(F801D!G140)</f>
        <v>2060.4773501598002</v>
      </c>
      <c r="H138" s="156">
        <f>$D$12*(F801ENE!H140)+$E$12*(F801D!H140)</f>
        <v>1965.8618399472002</v>
      </c>
      <c r="I138" s="156">
        <f>$D$12*(F801ENE!I140)+$E$12*(F801D!I140)</f>
        <v>2020.1519962611003</v>
      </c>
      <c r="J138" s="154">
        <f t="shared" si="43"/>
        <v>12094.212357672901</v>
      </c>
    </row>
    <row r="139" spans="1:10" s="37" customFormat="1" ht="13.5">
      <c r="B139" s="48"/>
      <c r="C139" s="157" t="s">
        <v>1023</v>
      </c>
      <c r="D139" s="156">
        <f>$D$12*(F801ENE!D141)+$E$12*(F801D!D141)</f>
        <v>167830.43783150194</v>
      </c>
      <c r="E139" s="156">
        <f>$D$12*(F801ENE!E141)+$E$12*(F801D!E141)</f>
        <v>165993.3660177</v>
      </c>
      <c r="F139" s="156">
        <f>$D$12*(F801ENE!F141)+$E$12*(F801D!F141)</f>
        <v>164182.04923270797</v>
      </c>
      <c r="G139" s="156">
        <f>$D$12*(F801ENE!G141)+$E$12*(F801D!G141)</f>
        <v>162615.88954393772</v>
      </c>
      <c r="H139" s="156">
        <f>$D$12*(F801ENE!H141)+$E$12*(F801D!H141)</f>
        <v>162577.460378658</v>
      </c>
      <c r="I139" s="156">
        <f>$D$12*(F801ENE!I141)+$E$12*(F801D!I141)</f>
        <v>166197.38201609399</v>
      </c>
      <c r="J139" s="154">
        <f t="shared" si="43"/>
        <v>989396.58502059965</v>
      </c>
    </row>
    <row r="140" spans="1:10" s="37" customFormat="1" ht="13.5">
      <c r="B140" s="48"/>
      <c r="C140" s="157" t="s">
        <v>1024</v>
      </c>
      <c r="D140" s="156">
        <f>$D$12*(F801ENE!D142)+$E$12*(F801D!D142)</f>
        <v>4379.7408574139999</v>
      </c>
      <c r="E140" s="156">
        <f>$D$12*(F801ENE!E142)+$E$12*(F801D!E142)</f>
        <v>4571.6641137179995</v>
      </c>
      <c r="F140" s="156">
        <f>$D$12*(F801ENE!F142)+$E$12*(F801D!F142)</f>
        <v>4272.2497242360005</v>
      </c>
      <c r="G140" s="156">
        <f>$D$12*(F801ENE!G142)+$E$12*(F801D!G142)</f>
        <v>4211.6179194180004</v>
      </c>
      <c r="H140" s="156">
        <f>$D$12*(F801ENE!H142)+$E$12*(F801D!H142)</f>
        <v>4317.2698402079996</v>
      </c>
      <c r="I140" s="156">
        <f>$D$12*(F801ENE!I142)+$E$12*(F801D!I142)</f>
        <v>4051.731756618</v>
      </c>
      <c r="J140" s="154">
        <f>SUM(D140:I140)</f>
        <v>25804.274211611999</v>
      </c>
    </row>
    <row r="141" spans="1:10" s="37" customFormat="1" ht="13.5">
      <c r="B141" s="48"/>
      <c r="C141" s="157" t="s">
        <v>1025</v>
      </c>
      <c r="D141" s="156">
        <f>$D$12*(F801ENE!D143)+$E$12*(F801D!D143)</f>
        <v>31591.122022593896</v>
      </c>
      <c r="E141" s="156">
        <f>$D$12*(F801ENE!E143)+$E$12*(F801D!E143)</f>
        <v>31862.46471938401</v>
      </c>
      <c r="F141" s="156">
        <f>$D$12*(F801ENE!F143)+$E$12*(F801D!F143)</f>
        <v>30961.29811476</v>
      </c>
      <c r="G141" s="156">
        <f>$D$12*(F801ENE!G143)+$E$12*(F801D!G143)</f>
        <v>30667.799604000003</v>
      </c>
      <c r="H141" s="156">
        <f>$D$12*(F801ENE!H143)+$E$12*(F801D!H143)</f>
        <v>31094.481408899992</v>
      </c>
      <c r="I141" s="156">
        <f>$D$12*(F801ENE!I143)+$E$12*(F801D!I143)</f>
        <v>29910.914074157994</v>
      </c>
      <c r="J141" s="154">
        <f>SUM(D141:I141)</f>
        <v>186088.07994379592</v>
      </c>
    </row>
    <row r="142" spans="1:10" s="37" customFormat="1" ht="13.5">
      <c r="B142" s="48"/>
      <c r="C142" s="157" t="s">
        <v>1162</v>
      </c>
      <c r="D142" s="156">
        <f>$D$12*(F801ENE!D144)+$E$12*(F801D!D144)</f>
        <v>48516.819953160004</v>
      </c>
      <c r="E142" s="156">
        <f>$D$12*(F801ENE!E144)+$E$12*(F801D!E144)</f>
        <v>49009.107992208003</v>
      </c>
      <c r="F142" s="156">
        <f>$D$12*(F801ENE!F144)+$E$12*(F801D!F144)</f>
        <v>60000.206807891998</v>
      </c>
      <c r="G142" s="156">
        <f>$D$12*(F801ENE!G144)+$E$12*(F801D!G144)</f>
        <v>63667.14644549998</v>
      </c>
      <c r="H142" s="156">
        <f>$D$12*(F801ENE!H144)+$E$12*(F801D!H144)</f>
        <v>69820.595240526003</v>
      </c>
      <c r="I142" s="156">
        <f>$D$12*(F801ENE!I144)+$E$12*(F801D!I144)</f>
        <v>80048.056257233999</v>
      </c>
      <c r="J142" s="154">
        <f>SUM(D142:I142)</f>
        <v>371061.93269652</v>
      </c>
    </row>
    <row r="143" spans="1:10">
      <c r="A143" s="37"/>
      <c r="C143" s="157"/>
      <c r="D143" s="156"/>
      <c r="E143" s="156"/>
      <c r="F143" s="156"/>
      <c r="G143" s="156"/>
      <c r="H143" s="156"/>
      <c r="I143" s="156"/>
      <c r="J143" s="154"/>
    </row>
    <row r="144" spans="1:10">
      <c r="A144" s="37"/>
      <c r="C144" s="153" t="s">
        <v>112</v>
      </c>
      <c r="D144" s="154">
        <f t="shared" ref="D144:I144" si="49">D116+D123+D135</f>
        <v>1726231.2279310592</v>
      </c>
      <c r="E144" s="154">
        <f t="shared" si="49"/>
        <v>1686391.3574630807</v>
      </c>
      <c r="F144" s="154">
        <f t="shared" si="49"/>
        <v>1731213.0556746284</v>
      </c>
      <c r="G144" s="154">
        <f t="shared" si="49"/>
        <v>1733934.2053298568</v>
      </c>
      <c r="H144" s="154">
        <f t="shared" si="49"/>
        <v>1740412.406886912</v>
      </c>
      <c r="I144" s="154">
        <f t="shared" si="49"/>
        <v>1751938.2719989428</v>
      </c>
      <c r="J144" s="154">
        <f>SUM(D144:I144)</f>
        <v>10370120.52528448</v>
      </c>
    </row>
    <row r="145" spans="2:10">
      <c r="C145" s="164"/>
      <c r="D145" s="164"/>
      <c r="E145" s="164"/>
      <c r="F145" s="164"/>
      <c r="G145" s="164"/>
      <c r="H145" s="164"/>
      <c r="I145" s="164"/>
      <c r="J145" s="164"/>
    </row>
    <row r="146" spans="2:10">
      <c r="C146" s="179" t="s">
        <v>111</v>
      </c>
      <c r="D146" s="180">
        <f t="shared" ref="D146:J146" si="50">D112+D144</f>
        <v>11296157.574288396</v>
      </c>
      <c r="E146" s="180">
        <f t="shared" si="50"/>
        <v>11260311.644843413</v>
      </c>
      <c r="F146" s="180">
        <f t="shared" si="50"/>
        <v>11254585.305166721</v>
      </c>
      <c r="G146" s="180">
        <f t="shared" si="50"/>
        <v>11275036.469129011</v>
      </c>
      <c r="H146" s="180">
        <f t="shared" si="50"/>
        <v>10994697.369874772</v>
      </c>
      <c r="I146" s="180">
        <f t="shared" si="50"/>
        <v>10922397.935499419</v>
      </c>
      <c r="J146" s="180">
        <f t="shared" si="50"/>
        <v>67003186.298801735</v>
      </c>
    </row>
    <row r="148" spans="2:10">
      <c r="C148" s="52" t="str">
        <f>'PORTADA PORTADA PORTADA'!$B$23</f>
        <v>1 DE JULIO DE 2026</v>
      </c>
    </row>
    <row r="150" spans="2:10">
      <c r="B150" s="48" t="s">
        <v>902</v>
      </c>
      <c r="D150" s="163">
        <f t="shared" ref="D150:J159" si="51">SUMIF($B$20:$B$146,$B150,D$20:D$146)</f>
        <v>526334.49121918331</v>
      </c>
      <c r="E150" s="163">
        <f t="shared" si="51"/>
        <v>526554.15319739503</v>
      </c>
      <c r="F150" s="163">
        <f t="shared" si="51"/>
        <v>516608.96418726351</v>
      </c>
      <c r="G150" s="163">
        <f t="shared" si="51"/>
        <v>524749.20116146374</v>
      </c>
      <c r="H150" s="163">
        <f t="shared" si="51"/>
        <v>502011.93885978026</v>
      </c>
      <c r="I150" s="163">
        <f t="shared" si="51"/>
        <v>504364.30155417451</v>
      </c>
      <c r="J150" s="163">
        <f t="shared" si="51"/>
        <v>3100623.0501792603</v>
      </c>
    </row>
    <row r="151" spans="2:10">
      <c r="B151" s="48" t="s">
        <v>751</v>
      </c>
      <c r="D151" s="163">
        <f t="shared" si="51"/>
        <v>2895075.9856879292</v>
      </c>
      <c r="E151" s="163">
        <f t="shared" si="51"/>
        <v>2896284.2402497963</v>
      </c>
      <c r="F151" s="163">
        <f t="shared" si="51"/>
        <v>2841580.5537586436</v>
      </c>
      <c r="G151" s="163">
        <f t="shared" si="51"/>
        <v>2886356.069935027</v>
      </c>
      <c r="H151" s="163">
        <f t="shared" si="51"/>
        <v>2761289.360056384</v>
      </c>
      <c r="I151" s="163">
        <f t="shared" si="51"/>
        <v>2774228.5722942343</v>
      </c>
      <c r="J151" s="163">
        <f t="shared" si="51"/>
        <v>17054814.781982016</v>
      </c>
    </row>
    <row r="152" spans="2:10">
      <c r="B152" s="48" t="s">
        <v>750</v>
      </c>
      <c r="D152" s="163">
        <f t="shared" si="51"/>
        <v>1089190.1695625875</v>
      </c>
      <c r="E152" s="163">
        <f t="shared" si="51"/>
        <v>1089644.735378217</v>
      </c>
      <c r="F152" s="163">
        <f t="shared" si="51"/>
        <v>1069064.2826718292</v>
      </c>
      <c r="G152" s="163">
        <f t="shared" si="51"/>
        <v>1085909.5896736016</v>
      </c>
      <c r="H152" s="163">
        <f t="shared" si="51"/>
        <v>1038857.3766894317</v>
      </c>
      <c r="I152" s="163">
        <f t="shared" si="51"/>
        <v>1043725.3273267631</v>
      </c>
      <c r="J152" s="163">
        <f t="shared" si="51"/>
        <v>6416391.4813024309</v>
      </c>
    </row>
    <row r="153" spans="2:10">
      <c r="B153" s="48" t="s">
        <v>749</v>
      </c>
      <c r="D153" s="163">
        <f t="shared" si="51"/>
        <v>1077385.282780397</v>
      </c>
      <c r="E153" s="163">
        <f t="shared" si="51"/>
        <v>1077834.9219099998</v>
      </c>
      <c r="F153" s="163">
        <f t="shared" si="51"/>
        <v>1057477.5247552637</v>
      </c>
      <c r="G153" s="163">
        <f t="shared" si="51"/>
        <v>1074140.2585503322</v>
      </c>
      <c r="H153" s="163">
        <f t="shared" si="51"/>
        <v>1027598.0079792024</v>
      </c>
      <c r="I153" s="163">
        <f t="shared" si="51"/>
        <v>1032413.1986782416</v>
      </c>
      <c r="J153" s="163">
        <f t="shared" si="51"/>
        <v>6346849.1946534365</v>
      </c>
    </row>
    <row r="154" spans="2:10">
      <c r="B154" s="48" t="s">
        <v>1176</v>
      </c>
      <c r="D154" s="163">
        <f t="shared" si="51"/>
        <v>35.180000000000007</v>
      </c>
      <c r="E154" s="163">
        <f t="shared" si="51"/>
        <v>35.180000000000007</v>
      </c>
      <c r="F154" s="163">
        <f t="shared" si="51"/>
        <v>35.180000000000007</v>
      </c>
      <c r="G154" s="163">
        <f t="shared" si="51"/>
        <v>35.180000000000007</v>
      </c>
      <c r="H154" s="163">
        <f t="shared" si="51"/>
        <v>35.180000000000007</v>
      </c>
      <c r="I154" s="163">
        <f t="shared" si="51"/>
        <v>35.180000000000007</v>
      </c>
      <c r="J154" s="163">
        <f t="shared" si="51"/>
        <v>211.08000000000004</v>
      </c>
    </row>
    <row r="155" spans="2:10">
      <c r="B155" s="48" t="s">
        <v>274</v>
      </c>
      <c r="D155" s="163">
        <f t="shared" si="51"/>
        <v>2814711.1751379906</v>
      </c>
      <c r="E155" s="163">
        <f t="shared" si="51"/>
        <v>2815885.8749441789</v>
      </c>
      <c r="F155" s="163">
        <f t="shared" si="51"/>
        <v>2854791.4249035511</v>
      </c>
      <c r="G155" s="163">
        <f t="shared" si="51"/>
        <v>2806233.4224621914</v>
      </c>
      <c r="H155" s="163">
        <f t="shared" si="51"/>
        <v>2774127.9722289396</v>
      </c>
      <c r="I155" s="163">
        <f t="shared" si="51"/>
        <v>2697219.8470915277</v>
      </c>
      <c r="J155" s="163">
        <f t="shared" si="51"/>
        <v>16762969.71676838</v>
      </c>
    </row>
    <row r="156" spans="2:10">
      <c r="B156" s="48" t="s">
        <v>275</v>
      </c>
      <c r="D156" s="163">
        <f t="shared" si="51"/>
        <v>82891.820514370964</v>
      </c>
      <c r="E156" s="163">
        <f t="shared" si="51"/>
        <v>82926.414829536574</v>
      </c>
      <c r="F156" s="163">
        <f t="shared" si="51"/>
        <v>84072.163598621919</v>
      </c>
      <c r="G156" s="163">
        <f t="shared" si="51"/>
        <v>82642.15498585254</v>
      </c>
      <c r="H156" s="163">
        <f t="shared" si="51"/>
        <v>81696.665714422285</v>
      </c>
      <c r="I156" s="163">
        <f t="shared" si="51"/>
        <v>79431.760326865202</v>
      </c>
      <c r="J156" s="163">
        <f t="shared" si="51"/>
        <v>493660.97996966948</v>
      </c>
    </row>
    <row r="157" spans="2:10">
      <c r="B157" s="48" t="s">
        <v>276</v>
      </c>
      <c r="D157" s="163">
        <f t="shared" si="51"/>
        <v>919085.88731288677</v>
      </c>
      <c r="E157" s="163">
        <f t="shared" si="51"/>
        <v>919469.4613091225</v>
      </c>
      <c r="F157" s="163">
        <f t="shared" si="51"/>
        <v>932173.26631108753</v>
      </c>
      <c r="G157" s="163">
        <f t="shared" si="51"/>
        <v>916317.65201070753</v>
      </c>
      <c r="H157" s="163">
        <f t="shared" si="51"/>
        <v>905834.27933792805</v>
      </c>
      <c r="I157" s="163">
        <f t="shared" si="51"/>
        <v>880721.5171270686</v>
      </c>
      <c r="J157" s="163">
        <f t="shared" si="51"/>
        <v>5473602.0634088013</v>
      </c>
    </row>
    <row r="158" spans="2:10">
      <c r="B158" s="48" t="s">
        <v>277</v>
      </c>
      <c r="D158" s="163">
        <f t="shared" si="51"/>
        <v>99241.686158981262</v>
      </c>
      <c r="E158" s="163">
        <f t="shared" si="51"/>
        <v>99283.103974964106</v>
      </c>
      <c r="F158" s="163">
        <f t="shared" si="51"/>
        <v>100654.84414248637</v>
      </c>
      <c r="G158" s="163">
        <f t="shared" si="51"/>
        <v>98942.775749339024</v>
      </c>
      <c r="H158" s="163">
        <f t="shared" si="51"/>
        <v>97810.794946411668</v>
      </c>
      <c r="I158" s="163">
        <f t="shared" si="51"/>
        <v>95099.15188854502</v>
      </c>
      <c r="J158" s="163">
        <f t="shared" si="51"/>
        <v>591032.35686072742</v>
      </c>
    </row>
    <row r="159" spans="2:10">
      <c r="B159" s="48" t="s">
        <v>278</v>
      </c>
      <c r="D159" s="163">
        <f t="shared" si="51"/>
        <v>2.82</v>
      </c>
      <c r="E159" s="163">
        <f t="shared" si="51"/>
        <v>2.82</v>
      </c>
      <c r="F159" s="163">
        <f t="shared" si="51"/>
        <v>2.82</v>
      </c>
      <c r="G159" s="163">
        <f t="shared" si="51"/>
        <v>2.82</v>
      </c>
      <c r="H159" s="163">
        <f t="shared" si="51"/>
        <v>2.82</v>
      </c>
      <c r="I159" s="163">
        <f t="shared" si="51"/>
        <v>2.82</v>
      </c>
      <c r="J159" s="163">
        <f t="shared" si="51"/>
        <v>16.919999999999998</v>
      </c>
    </row>
    <row r="160" spans="2:10">
      <c r="B160" s="48" t="s">
        <v>279</v>
      </c>
      <c r="D160" s="163">
        <f t="shared" ref="D160:J168" si="52">SUMIF($B$20:$B$146,$B160,D$20:D$146)</f>
        <v>65971.847983010797</v>
      </c>
      <c r="E160" s="163">
        <f t="shared" si="52"/>
        <v>65999.381587120326</v>
      </c>
      <c r="F160" s="163">
        <f t="shared" si="52"/>
        <v>66911.225163344818</v>
      </c>
      <c r="G160" s="163">
        <f t="shared" si="52"/>
        <v>65773.13927063653</v>
      </c>
      <c r="H160" s="163">
        <f t="shared" si="52"/>
        <v>65020.567175362841</v>
      </c>
      <c r="I160" s="163">
        <f t="shared" si="52"/>
        <v>63217.987213056724</v>
      </c>
      <c r="J160" s="163">
        <f t="shared" si="52"/>
        <v>392894.14839253202</v>
      </c>
    </row>
    <row r="161" spans="2:10">
      <c r="B161" s="48" t="s">
        <v>875</v>
      </c>
      <c r="D161" s="163">
        <f t="shared" si="52"/>
        <v>254334.49659806764</v>
      </c>
      <c r="E161" s="163">
        <f t="shared" si="52"/>
        <v>253490.21908091701</v>
      </c>
      <c r="F161" s="163">
        <f t="shared" si="52"/>
        <v>261393.53287959594</v>
      </c>
      <c r="G161" s="163">
        <f t="shared" si="52"/>
        <v>263222.93086301553</v>
      </c>
      <c r="H161" s="163">
        <f t="shared" si="52"/>
        <v>269775.66870823922</v>
      </c>
      <c r="I161" s="163">
        <f t="shared" si="52"/>
        <v>282228.23610036512</v>
      </c>
      <c r="J161" s="163">
        <f t="shared" si="52"/>
        <v>1584445.0842302006</v>
      </c>
    </row>
    <row r="162" spans="2:10">
      <c r="B162" s="48" t="s">
        <v>874</v>
      </c>
      <c r="D162" s="163">
        <f t="shared" si="52"/>
        <v>8431.7994998783997</v>
      </c>
      <c r="E162" s="163">
        <f t="shared" si="52"/>
        <v>7948.9859620032003</v>
      </c>
      <c r="F162" s="163">
        <f t="shared" si="52"/>
        <v>8093.1001109904</v>
      </c>
      <c r="G162" s="163">
        <f t="shared" si="52"/>
        <v>8266.3793508239996</v>
      </c>
      <c r="H162" s="163">
        <f t="shared" si="52"/>
        <v>8412.6126462623979</v>
      </c>
      <c r="I162" s="163">
        <f t="shared" si="52"/>
        <v>8326.5519639023987</v>
      </c>
      <c r="J162" s="163">
        <f t="shared" si="52"/>
        <v>49479.429533860792</v>
      </c>
    </row>
    <row r="163" spans="2:10">
      <c r="B163" s="48" t="s">
        <v>873</v>
      </c>
      <c r="D163" s="163">
        <f t="shared" si="52"/>
        <v>1122449.0910992804</v>
      </c>
      <c r="E163" s="163">
        <f t="shared" si="52"/>
        <v>1093341.9985821212</v>
      </c>
      <c r="F163" s="163">
        <f t="shared" si="52"/>
        <v>1115296.1865674071</v>
      </c>
      <c r="G163" s="163">
        <f t="shared" si="52"/>
        <v>1113935.2120122155</v>
      </c>
      <c r="H163" s="163">
        <f t="shared" si="52"/>
        <v>1117339.5724347248</v>
      </c>
      <c r="I163" s="163">
        <f t="shared" si="52"/>
        <v>1113427.8321057791</v>
      </c>
      <c r="J163" s="163">
        <f t="shared" si="52"/>
        <v>6675789.8928015279</v>
      </c>
    </row>
    <row r="164" spans="2:10">
      <c r="B164" s="48" t="s">
        <v>872</v>
      </c>
      <c r="D164" s="163">
        <f t="shared" si="52"/>
        <v>268307.55298803205</v>
      </c>
      <c r="E164" s="163">
        <f t="shared" si="52"/>
        <v>261628.47440650201</v>
      </c>
      <c r="F164" s="163">
        <f t="shared" si="52"/>
        <v>268853.61792189599</v>
      </c>
      <c r="G164" s="163">
        <f t="shared" si="52"/>
        <v>269269.08632874192</v>
      </c>
      <c r="H164" s="163">
        <f t="shared" si="52"/>
        <v>264595.00335323159</v>
      </c>
      <c r="I164" s="163">
        <f t="shared" si="52"/>
        <v>269627.15233403043</v>
      </c>
      <c r="J164" s="163">
        <f t="shared" si="52"/>
        <v>1602280.8873324341</v>
      </c>
    </row>
    <row r="165" spans="2:10">
      <c r="B165" s="48" t="s">
        <v>871</v>
      </c>
      <c r="D165" s="163">
        <f t="shared" si="52"/>
        <v>25007.06479514383</v>
      </c>
      <c r="E165" s="163">
        <f t="shared" si="52"/>
        <v>23848.232399999997</v>
      </c>
      <c r="F165" s="163">
        <f t="shared" si="52"/>
        <v>26484.977490051278</v>
      </c>
      <c r="G165" s="163">
        <f t="shared" si="52"/>
        <v>31228.255864933697</v>
      </c>
      <c r="H165" s="163">
        <f t="shared" si="52"/>
        <v>28914.354856809208</v>
      </c>
      <c r="I165" s="163">
        <f t="shared" si="52"/>
        <v>32254.826106924003</v>
      </c>
      <c r="J165" s="163">
        <f t="shared" si="52"/>
        <v>167737.71151386201</v>
      </c>
    </row>
    <row r="166" spans="2:10">
      <c r="B166" s="48" t="s">
        <v>870</v>
      </c>
      <c r="D166" s="163">
        <f t="shared" si="52"/>
        <v>47701.222950656695</v>
      </c>
      <c r="E166" s="163">
        <f t="shared" si="52"/>
        <v>46133.447031537238</v>
      </c>
      <c r="F166" s="163">
        <f t="shared" si="52"/>
        <v>51091.640704687496</v>
      </c>
      <c r="G166" s="163">
        <f t="shared" si="52"/>
        <v>48012.340910126157</v>
      </c>
      <c r="H166" s="163">
        <f t="shared" si="52"/>
        <v>51375.194887644837</v>
      </c>
      <c r="I166" s="163">
        <f t="shared" si="52"/>
        <v>46073.673387941875</v>
      </c>
      <c r="J166" s="163">
        <f t="shared" si="52"/>
        <v>290387.51987259428</v>
      </c>
    </row>
    <row r="167" spans="2:10">
      <c r="B167" s="48" t="s">
        <v>893</v>
      </c>
      <c r="D167" s="163">
        <f t="shared" si="52"/>
        <v>0</v>
      </c>
      <c r="E167" s="163">
        <f t="shared" si="52"/>
        <v>0</v>
      </c>
      <c r="F167" s="163">
        <f t="shared" si="52"/>
        <v>0</v>
      </c>
      <c r="G167" s="163">
        <f t="shared" si="52"/>
        <v>0</v>
      </c>
      <c r="H167" s="163">
        <f t="shared" si="52"/>
        <v>0</v>
      </c>
      <c r="I167" s="163">
        <f t="shared" si="52"/>
        <v>0</v>
      </c>
      <c r="J167" s="163">
        <f t="shared" si="52"/>
        <v>0</v>
      </c>
    </row>
    <row r="168" spans="2:10">
      <c r="D168" s="163">
        <f t="shared" si="52"/>
        <v>0</v>
      </c>
      <c r="E168" s="163">
        <f t="shared" si="52"/>
        <v>0</v>
      </c>
      <c r="F168" s="163">
        <f t="shared" si="52"/>
        <v>0</v>
      </c>
      <c r="G168" s="163">
        <f t="shared" si="52"/>
        <v>0</v>
      </c>
      <c r="H168" s="163">
        <f t="shared" si="52"/>
        <v>0</v>
      </c>
      <c r="I168" s="163">
        <f t="shared" si="52"/>
        <v>0</v>
      </c>
      <c r="J168" s="163">
        <f t="shared" si="52"/>
        <v>0</v>
      </c>
    </row>
    <row r="169" spans="2:10">
      <c r="B169" s="48" t="s">
        <v>111</v>
      </c>
      <c r="C169" s="139"/>
      <c r="D169" s="165">
        <f>SUM(D150:D168)</f>
        <v>11296157.574288396</v>
      </c>
      <c r="E169" s="165">
        <f t="shared" ref="E169:J169" si="53">SUM(E150:E168)</f>
        <v>11260311.644843411</v>
      </c>
      <c r="F169" s="165">
        <f t="shared" si="53"/>
        <v>11254585.305166719</v>
      </c>
      <c r="G169" s="165">
        <f t="shared" si="53"/>
        <v>11275036.469129007</v>
      </c>
      <c r="H169" s="165">
        <f t="shared" si="53"/>
        <v>10994697.369874777</v>
      </c>
      <c r="I169" s="165">
        <f t="shared" si="53"/>
        <v>10922397.935499419</v>
      </c>
      <c r="J169" s="165">
        <f t="shared" si="53"/>
        <v>67003186.298801728</v>
      </c>
    </row>
    <row r="170" spans="2:10">
      <c r="D170" s="166">
        <f>D169-D146</f>
        <v>0</v>
      </c>
      <c r="E170" s="166">
        <f t="shared" ref="E170:J170" si="54">E169-E146</f>
        <v>0</v>
      </c>
      <c r="F170" s="166">
        <f t="shared" si="54"/>
        <v>0</v>
      </c>
      <c r="G170" s="166">
        <f t="shared" si="54"/>
        <v>0</v>
      </c>
      <c r="H170" s="166">
        <f t="shared" si="54"/>
        <v>0</v>
      </c>
      <c r="I170" s="166">
        <f t="shared" si="54"/>
        <v>0</v>
      </c>
      <c r="J170" s="166">
        <f t="shared" si="54"/>
        <v>0</v>
      </c>
    </row>
  </sheetData>
  <printOptions horizontalCentered="1" verticalCentered="1"/>
  <pageMargins left="0.51181102362204722" right="0.31496062992125984" top="0.78740157480314965" bottom="0.82677165354330717" header="0.31496062992125984" footer="0.23622047244094491"/>
  <pageSetup scale="30" orientation="portrait" horizontalDpi="300" r:id="rId1"/>
  <headerFooter alignWithMargins="0">
    <oddHeader>&amp;L
NOMBRE DE LA DISTRIBUIDORA: &amp;UELEKTRA NORESTE, S.A.&amp;R&amp;9&amp;A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8">
    <tabColor theme="7" tint="0.59999389629810485"/>
  </sheetPr>
  <dimension ref="A1:J252"/>
  <sheetViews>
    <sheetView view="pageBreakPreview" zoomScale="85" zoomScaleNormal="85" zoomScaleSheetLayoutView="85" workbookViewId="0">
      <selection activeCell="C15" sqref="C15:D17"/>
    </sheetView>
  </sheetViews>
  <sheetFormatPr baseColWidth="10" defaultColWidth="8" defaultRowHeight="15"/>
  <cols>
    <col min="1" max="1" width="2.375" style="63" bestFit="1" customWidth="1"/>
    <col min="2" max="2" width="5.625" style="48" bestFit="1" customWidth="1"/>
    <col min="3" max="3" width="30.375" style="63" customWidth="1"/>
    <col min="4" max="4" width="11.25" style="63" customWidth="1"/>
    <col min="5" max="5" width="11.5" style="63" customWidth="1"/>
    <col min="6" max="7" width="11.625" style="63" customWidth="1"/>
    <col min="8" max="8" width="10.625" style="63" customWidth="1"/>
    <col min="9" max="9" width="11.5" style="63" customWidth="1"/>
    <col min="10" max="10" width="12.75" style="63" customWidth="1"/>
    <col min="11" max="11" width="6.125" style="63" customWidth="1"/>
    <col min="12" max="16384" width="8" style="63"/>
  </cols>
  <sheetData>
    <row r="1" spans="1:10" s="174" customFormat="1" ht="15.75">
      <c r="A1" s="69"/>
      <c r="B1" s="48"/>
      <c r="C1" s="136" t="s">
        <v>151</v>
      </c>
    </row>
    <row r="2" spans="1:10" s="174" customFormat="1" ht="15.75">
      <c r="A2" s="69"/>
      <c r="B2" s="48"/>
      <c r="D2" s="175" t="s">
        <v>252</v>
      </c>
    </row>
    <row r="3" spans="1:10" s="174" customFormat="1" ht="15.75">
      <c r="A3" s="69"/>
      <c r="B3" s="48"/>
      <c r="D3" s="176"/>
    </row>
    <row r="4" spans="1:10" ht="47.25" customHeight="1">
      <c r="C4" s="177" t="s">
        <v>172</v>
      </c>
      <c r="D4" s="177"/>
      <c r="E4" s="177"/>
      <c r="F4" s="177"/>
      <c r="G4" s="177"/>
      <c r="H4" s="177"/>
      <c r="I4" s="177"/>
      <c r="J4" s="177"/>
    </row>
    <row r="5" spans="1:10">
      <c r="C5" s="139"/>
    </row>
    <row r="6" spans="1:10" s="143" customFormat="1">
      <c r="B6" s="48"/>
      <c r="C6" s="140" t="s">
        <v>1225</v>
      </c>
      <c r="D6" s="171" t="s">
        <v>1403</v>
      </c>
      <c r="E6" s="171" t="s">
        <v>412</v>
      </c>
      <c r="F6" s="171" t="s">
        <v>1226</v>
      </c>
      <c r="G6" s="171" t="s">
        <v>1227</v>
      </c>
      <c r="H6" s="171" t="s">
        <v>1228</v>
      </c>
    </row>
    <row r="7" spans="1:10" s="143" customFormat="1" ht="13.5">
      <c r="B7" s="48"/>
      <c r="C7" s="144" t="s">
        <v>266</v>
      </c>
      <c r="D7" s="146">
        <f>RAT1000VAD!$H$38</f>
        <v>0</v>
      </c>
      <c r="E7" s="144"/>
      <c r="F7" s="178">
        <f>RAT1000VAD!$H$47</f>
        <v>1.75</v>
      </c>
      <c r="G7" s="178">
        <f>RAT1000VAD!$H$51</f>
        <v>0.72</v>
      </c>
      <c r="H7" s="178">
        <f>RAT1000VAD!$H$55</f>
        <v>0</v>
      </c>
    </row>
    <row r="8" spans="1:10" s="143" customFormat="1" ht="13.5">
      <c r="B8" s="48"/>
      <c r="C8" s="144" t="s">
        <v>265</v>
      </c>
      <c r="D8" s="146">
        <f>RAT1000VAD!$H$37</f>
        <v>0</v>
      </c>
      <c r="E8" s="178">
        <f>RAT1000VAD!$H$43</f>
        <v>2.41</v>
      </c>
      <c r="F8" s="146"/>
      <c r="G8" s="146"/>
      <c r="H8" s="146"/>
    </row>
    <row r="9" spans="1:10" s="143" customFormat="1" ht="13.5">
      <c r="B9" s="48"/>
      <c r="C9" s="144" t="s">
        <v>264</v>
      </c>
      <c r="D9" s="146">
        <f>RAT1000VAD!$H$36</f>
        <v>0</v>
      </c>
      <c r="E9" s="146"/>
      <c r="F9" s="178">
        <f>RAT1000VAD!$H$46</f>
        <v>5.47</v>
      </c>
      <c r="G9" s="178">
        <f>RAT1000VAD!$H$50</f>
        <v>4.78</v>
      </c>
      <c r="H9" s="178">
        <f>RAT1000VAD!$H$54</f>
        <v>0</v>
      </c>
    </row>
    <row r="10" spans="1:10" s="143" customFormat="1" ht="13.5">
      <c r="B10" s="48"/>
      <c r="C10" s="144" t="s">
        <v>262</v>
      </c>
      <c r="D10" s="146">
        <f>RAT1000VAD!$H$35</f>
        <v>0</v>
      </c>
      <c r="E10" s="178">
        <f>RAT1000VAD!$H$42</f>
        <v>9.8000000000000007</v>
      </c>
      <c r="F10" s="146"/>
      <c r="G10" s="146"/>
      <c r="H10" s="146"/>
    </row>
    <row r="11" spans="1:10" s="143" customFormat="1" ht="13.5">
      <c r="B11" s="48"/>
      <c r="C11" s="144" t="s">
        <v>263</v>
      </c>
      <c r="D11" s="146">
        <f>RAT1000VAD!$H$34</f>
        <v>0</v>
      </c>
      <c r="E11" s="146"/>
      <c r="F11" s="178">
        <f>RAT1000VAD!$H$45</f>
        <v>7.11</v>
      </c>
      <c r="G11" s="178">
        <f>RAT1000VAD!$H$49</f>
        <v>5.93</v>
      </c>
      <c r="H11" s="178">
        <f>RAT1000VAD!$H$53</f>
        <v>0</v>
      </c>
    </row>
    <row r="12" spans="1:10" s="143" customFormat="1" ht="13.5">
      <c r="B12" s="48"/>
      <c r="C12" s="144" t="s">
        <v>261</v>
      </c>
      <c r="D12" s="146">
        <f>RAT1000VAD!$H$33</f>
        <v>0</v>
      </c>
      <c r="E12" s="178">
        <f>RAT1000VAD!$H$41</f>
        <v>12.41</v>
      </c>
      <c r="F12" s="146"/>
      <c r="G12" s="146"/>
      <c r="H12" s="146"/>
    </row>
    <row r="13" spans="1:10" s="143" customFormat="1" ht="13.5">
      <c r="B13" s="48"/>
      <c r="C13" s="144" t="s">
        <v>1768</v>
      </c>
      <c r="D13" s="146">
        <f>RAT1000VAD!$H$28</f>
        <v>2.8420000000000001E-2</v>
      </c>
      <c r="E13" s="178"/>
      <c r="F13" s="146"/>
      <c r="G13" s="146"/>
      <c r="H13" s="146"/>
    </row>
    <row r="14" spans="1:10" s="143" customFormat="1" ht="13.5">
      <c r="B14" s="48"/>
      <c r="C14" s="144" t="s">
        <v>2071</v>
      </c>
      <c r="D14" s="146">
        <f>RAT1000VAD!$H$29</f>
        <v>2.8420000000000001E-2</v>
      </c>
      <c r="E14" s="146"/>
      <c r="F14" s="146"/>
      <c r="G14" s="146"/>
      <c r="H14" s="146"/>
    </row>
    <row r="15" spans="1:10" s="143" customFormat="1" ht="13.5">
      <c r="B15" s="48"/>
      <c r="C15" s="144" t="s">
        <v>1241</v>
      </c>
      <c r="D15" s="146">
        <f>RAT1000VAD!$H30</f>
        <v>2.8420000000000001E-2</v>
      </c>
      <c r="E15" s="146"/>
      <c r="F15" s="146"/>
      <c r="G15" s="146"/>
      <c r="H15" s="146"/>
    </row>
    <row r="16" spans="1:10" s="143" customFormat="1" ht="13.5">
      <c r="B16" s="48"/>
      <c r="C16" s="144" t="s">
        <v>1242</v>
      </c>
      <c r="D16" s="146">
        <f>RAT1000VAD!$H31</f>
        <v>2.8420000000000001E-2</v>
      </c>
      <c r="E16" s="146"/>
      <c r="F16" s="146"/>
      <c r="G16" s="146"/>
      <c r="H16" s="146"/>
    </row>
    <row r="17" spans="1:10" s="143" customFormat="1" ht="13.5">
      <c r="B17" s="48"/>
      <c r="C17" s="144" t="s">
        <v>1243</v>
      </c>
      <c r="D17" s="146">
        <f>RAT1000VAD!$H32</f>
        <v>2.8420000000000001E-2</v>
      </c>
      <c r="E17" s="146"/>
      <c r="F17" s="146"/>
      <c r="G17" s="146"/>
      <c r="H17" s="146"/>
    </row>
    <row r="18" spans="1:10" s="143" customFormat="1" ht="13.5">
      <c r="B18" s="48"/>
      <c r="C18" s="147"/>
      <c r="J18" s="148"/>
    </row>
    <row r="19" spans="1:10" s="143" customFormat="1" ht="40.5" customHeight="1">
      <c r="B19" s="48"/>
      <c r="C19" s="149" t="s">
        <v>1406</v>
      </c>
      <c r="D19" s="149"/>
      <c r="E19" s="149"/>
      <c r="F19" s="149"/>
      <c r="G19" s="149"/>
      <c r="H19" s="149"/>
      <c r="I19" s="149"/>
      <c r="J19" s="149"/>
    </row>
    <row r="20" spans="1:10" s="37" customFormat="1" ht="13.5">
      <c r="A20" s="143"/>
      <c r="B20" s="48"/>
      <c r="C20" s="150" t="s">
        <v>310</v>
      </c>
      <c r="D20" s="151">
        <f>F801ENE!D4</f>
        <v>46204</v>
      </c>
      <c r="E20" s="151">
        <f>F801ENE!E4</f>
        <v>46235</v>
      </c>
      <c r="F20" s="151">
        <f>F801ENE!F4</f>
        <v>46266</v>
      </c>
      <c r="G20" s="151">
        <f>F801ENE!G4</f>
        <v>46296</v>
      </c>
      <c r="H20" s="151">
        <f>F801ENE!H4</f>
        <v>46327</v>
      </c>
      <c r="I20" s="151">
        <f>F801ENE!I4</f>
        <v>46357</v>
      </c>
      <c r="J20" s="152" t="s">
        <v>111</v>
      </c>
    </row>
    <row r="21" spans="1:10" s="37" customFormat="1" ht="13.5">
      <c r="B21" s="48"/>
      <c r="C21" s="153" t="s">
        <v>446</v>
      </c>
      <c r="D21" s="154">
        <f t="shared" ref="D21:I21" si="0">SUM(D22:D23)</f>
        <v>57412.29601894314</v>
      </c>
      <c r="E21" s="154">
        <f t="shared" si="0"/>
        <v>57436.25625534619</v>
      </c>
      <c r="F21" s="154">
        <f t="shared" si="0"/>
        <v>58229.758898953121</v>
      </c>
      <c r="G21" s="154">
        <f t="shared" si="0"/>
        <v>57239.376131488789</v>
      </c>
      <c r="H21" s="154">
        <f t="shared" si="0"/>
        <v>56584.4743888269</v>
      </c>
      <c r="I21" s="154">
        <f t="shared" si="0"/>
        <v>55015.83695725647</v>
      </c>
      <c r="J21" s="154">
        <f>SUM(D21:I21)</f>
        <v>341917.99865081464</v>
      </c>
    </row>
    <row r="22" spans="1:10" s="37" customFormat="1" ht="13.5">
      <c r="B22" s="48" t="s">
        <v>279</v>
      </c>
      <c r="C22" s="155" t="s">
        <v>279</v>
      </c>
      <c r="D22" s="156">
        <f>$D$7*F801ENE!D6+$F$7*F801D!K6+$G$7*F801D!R6+$H$7*F801D!Y6</f>
        <v>57409.886018943136</v>
      </c>
      <c r="E22" s="156">
        <f>$D$7*F801ENE!E6+$F$7*F801D!L6+$G$7*F801D!S6+$H$7*F801D!Z6</f>
        <v>57433.846255346187</v>
      </c>
      <c r="F22" s="156">
        <f>$D$7*F801ENE!F6+$F$7*F801D!M6+$G$7*F801D!T6+$H$7*F801D!AA6</f>
        <v>58227.348898953118</v>
      </c>
      <c r="G22" s="156">
        <f>$D$7*F801ENE!G6+$F$7*F801D!N6+$G$7*F801D!U6+$H$7*F801D!AB6</f>
        <v>57236.966131488785</v>
      </c>
      <c r="H22" s="156">
        <f>$D$7*F801ENE!H6+$F$7*F801D!O6+$G$7*F801D!V6+$H$7*F801D!AC6</f>
        <v>56582.064388826897</v>
      </c>
      <c r="I22" s="156">
        <f>$D$7*F801ENE!I6+$F$7*F801D!P6+$G$7*F801D!W6+$H$7*F801D!AD6</f>
        <v>55013.426957256466</v>
      </c>
      <c r="J22" s="156">
        <f>SUM(D22:I22)</f>
        <v>341903.53865081462</v>
      </c>
    </row>
    <row r="23" spans="1:10" s="37" customFormat="1" ht="13.5">
      <c r="B23" s="48" t="s">
        <v>278</v>
      </c>
      <c r="C23" s="155" t="s">
        <v>278</v>
      </c>
      <c r="D23" s="156">
        <f>$D$8*F801ENE!D7+$E$8*F801D!D7</f>
        <v>2.41</v>
      </c>
      <c r="E23" s="156">
        <f>$D$8*F801ENE!E7+$E$8*F801D!E7</f>
        <v>2.41</v>
      </c>
      <c r="F23" s="156">
        <f>$D$8*F801ENE!F7+$E$8*F801D!F7</f>
        <v>2.41</v>
      </c>
      <c r="G23" s="156">
        <f>$D$8*F801ENE!G7+$E$8*F801D!G7</f>
        <v>2.41</v>
      </c>
      <c r="H23" s="156">
        <f>$D$8*F801ENE!H7+$E$8*F801D!H7</f>
        <v>2.41</v>
      </c>
      <c r="I23" s="156">
        <f>$D$8*F801ENE!I7+$E$8*F801D!I7</f>
        <v>2.41</v>
      </c>
      <c r="J23" s="156">
        <f>SUM(D23:I23)</f>
        <v>14.46</v>
      </c>
    </row>
    <row r="24" spans="1:10" s="37" customFormat="1" ht="13.5">
      <c r="B24" s="48"/>
      <c r="C24" s="157"/>
      <c r="D24" s="156"/>
      <c r="E24" s="156"/>
      <c r="F24" s="156"/>
      <c r="G24" s="156"/>
      <c r="H24" s="156"/>
      <c r="I24" s="156"/>
      <c r="J24" s="156"/>
    </row>
    <row r="25" spans="1:10" s="37" customFormat="1" ht="13.5">
      <c r="B25" s="48"/>
      <c r="C25" s="153" t="s">
        <v>630</v>
      </c>
      <c r="D25" s="154">
        <f>SUBTOTAL(9,D26:D33)</f>
        <v>884985.68510939181</v>
      </c>
      <c r="E25" s="154">
        <f t="shared" ref="E25:I25" si="1">SUBTOTAL(9,E26:E33)</f>
        <v>885355.02762735973</v>
      </c>
      <c r="F25" s="154">
        <f t="shared" si="1"/>
        <v>897587.49221892271</v>
      </c>
      <c r="G25" s="154">
        <f t="shared" si="1"/>
        <v>882320.15770954697</v>
      </c>
      <c r="H25" s="154">
        <f t="shared" si="1"/>
        <v>872225.74229620444</v>
      </c>
      <c r="I25" s="154">
        <f t="shared" si="1"/>
        <v>848044.72137427097</v>
      </c>
      <c r="J25" s="154">
        <f t="shared" ref="J25" si="2">J26+J29</f>
        <v>5270518.8263356965</v>
      </c>
    </row>
    <row r="26" spans="1:10" s="37" customFormat="1" ht="13.5">
      <c r="B26" s="48" t="s">
        <v>277</v>
      </c>
      <c r="C26" s="155" t="s">
        <v>277</v>
      </c>
      <c r="D26" s="154">
        <f>SUBTOTAL(9,D27:D28)</f>
        <v>87196.340940544003</v>
      </c>
      <c r="E26" s="154">
        <f t="shared" ref="E26:I26" si="3">SUBTOTAL(9,E27:E28)</f>
        <v>87232.73171687228</v>
      </c>
      <c r="F26" s="154">
        <f t="shared" si="3"/>
        <v>88437.978503363775</v>
      </c>
      <c r="G26" s="154">
        <f t="shared" si="3"/>
        <v>86933.710437187881</v>
      </c>
      <c r="H26" s="154">
        <f t="shared" si="3"/>
        <v>85939.122498888624</v>
      </c>
      <c r="I26" s="154">
        <f t="shared" si="3"/>
        <v>83556.601990278708</v>
      </c>
      <c r="J26" s="154">
        <f t="shared" ref="J26" si="4">SUM(J27:J28)</f>
        <v>519296.48608713533</v>
      </c>
    </row>
    <row r="27" spans="1:10" s="37" customFormat="1" ht="13.5">
      <c r="B27" s="48"/>
      <c r="C27" s="160" t="s">
        <v>304</v>
      </c>
      <c r="D27" s="156">
        <f>$D$9*F801ENE!D11+$F$9*F801D!K11+$G$9*F801D!R11+$H$9*F801D!Y11</f>
        <v>78584.396707869222</v>
      </c>
      <c r="E27" s="156">
        <f>$D$9*F801ENE!E11+$F$9*F801D!L11+$G$9*F801D!S11+$H$9*F801D!Z11</f>
        <v>78617.193350166854</v>
      </c>
      <c r="F27" s="156">
        <f>$D$9*F801ENE!F11+$F$9*F801D!M11+$G$9*F801D!T11+$H$9*F801D!AA11</f>
        <v>79703.403970691783</v>
      </c>
      <c r="G27" s="156">
        <f>$D$9*F801ENE!G11+$F$9*F801D!N11+$G$9*F801D!U11+$H$9*F801D!AB11</f>
        <v>78347.704899007687</v>
      </c>
      <c r="H27" s="156">
        <f>$D$9*F801ENE!H11+$F$9*F801D!O11+$G$9*F801D!V11+$H$9*F801D!AC11</f>
        <v>77451.347411283918</v>
      </c>
      <c r="I27" s="156">
        <f>$D$9*F801ENE!I11+$F$9*F801D!P11+$G$9*F801D!W11+$H$9*F801D!AD11</f>
        <v>75304.13647566794</v>
      </c>
      <c r="J27" s="156">
        <f t="shared" ref="J27:J33" si="5">SUM(D27:I27)</f>
        <v>468008.18281468743</v>
      </c>
    </row>
    <row r="28" spans="1:10" s="37" customFormat="1" ht="13.5">
      <c r="B28" s="48"/>
      <c r="C28" s="160" t="s">
        <v>305</v>
      </c>
      <c r="D28" s="156">
        <f>($D$9*F801ENE!D12+$F$9*F801D!K12+$G$9*F801D!R12+$H$9*F801D!Y12)*95%</f>
        <v>8611.9442326747812</v>
      </c>
      <c r="E28" s="156">
        <f>($D$9*F801ENE!E12+$F$9*F801D!L12+$G$9*F801D!S12+$H$9*F801D!Z12)*95%</f>
        <v>8615.5383667054339</v>
      </c>
      <c r="F28" s="156">
        <f>($D$9*F801ENE!F12+$F$9*F801D!M12+$G$9*F801D!T12+$H$9*F801D!AA12)*95%</f>
        <v>8734.5745326719953</v>
      </c>
      <c r="G28" s="156">
        <f>($D$9*F801ENE!G12+$F$9*F801D!N12+$G$9*F801D!U12+$H$9*F801D!AB12)*95%</f>
        <v>8586.0055381801994</v>
      </c>
      <c r="H28" s="156">
        <f>($D$9*F801ENE!H12+$F$9*F801D!O12+$G$9*F801D!V12+$H$9*F801D!AC12)*95%</f>
        <v>8487.7750876047066</v>
      </c>
      <c r="I28" s="156">
        <f>($D$9*F801ENE!I12+$F$9*F801D!P12+$G$9*F801D!W12+$H$9*F801D!AD12)*95%</f>
        <v>8252.4655146107743</v>
      </c>
      <c r="J28" s="156">
        <f t="shared" si="5"/>
        <v>51288.303272447891</v>
      </c>
    </row>
    <row r="29" spans="1:10" s="37" customFormat="1" ht="13.5">
      <c r="B29" s="48" t="s">
        <v>276</v>
      </c>
      <c r="C29" s="158" t="s">
        <v>276</v>
      </c>
      <c r="D29" s="154">
        <f>SUBTOTAL(9,D30:D33)</f>
        <v>797789.34416884778</v>
      </c>
      <c r="E29" s="154">
        <f t="shared" ref="E29:I29" si="6">SUBTOTAL(9,E30:E33)</f>
        <v>798122.29591048742</v>
      </c>
      <c r="F29" s="154">
        <f t="shared" si="6"/>
        <v>809149.51371555892</v>
      </c>
      <c r="G29" s="154">
        <f t="shared" si="6"/>
        <v>795386.44727235904</v>
      </c>
      <c r="H29" s="154">
        <f t="shared" si="6"/>
        <v>786286.6197973158</v>
      </c>
      <c r="I29" s="154">
        <f t="shared" si="6"/>
        <v>764488.11938399239</v>
      </c>
      <c r="J29" s="159">
        <f t="shared" si="5"/>
        <v>4751222.3402485615</v>
      </c>
    </row>
    <row r="30" spans="1:10" s="37" customFormat="1" ht="13.5">
      <c r="B30" s="48"/>
      <c r="C30" s="160" t="s">
        <v>304</v>
      </c>
      <c r="D30" s="156">
        <f>($D$10*F801ENE!D15+$E$10*F801D!D15)*1</f>
        <v>792667.6790011304</v>
      </c>
      <c r="E30" s="156">
        <f>($D$10*F801ENE!E15+$E$10*F801D!E15)*1</f>
        <v>792998.49325202743</v>
      </c>
      <c r="F30" s="156">
        <f>($D$10*F801ENE!F15+$E$10*F801D!F15)*1</f>
        <v>803954.91828737606</v>
      </c>
      <c r="G30" s="156">
        <f>($D$10*F801ENE!G15+$E$10*F801D!G15)*1</f>
        <v>790280.2082737505</v>
      </c>
      <c r="H30" s="156">
        <f>($D$10*F801ENE!H15+$E$10*F801D!H15)*1</f>
        <v>781238.80006659019</v>
      </c>
      <c r="I30" s="156">
        <f>($D$10*F801ENE!I15+$E$10*F801D!I15)*1</f>
        <v>759580.24213443848</v>
      </c>
      <c r="J30" s="156">
        <f>SUM(D30:I30)</f>
        <v>4720720.3410153138</v>
      </c>
    </row>
    <row r="31" spans="1:10" s="37" customFormat="1" ht="13.5">
      <c r="B31" s="48"/>
      <c r="C31" s="161" t="s">
        <v>306</v>
      </c>
      <c r="D31" s="156">
        <f>($D$10*F801ENE!D16+$E$10*F801D!D16)*1</f>
        <v>0</v>
      </c>
      <c r="E31" s="156">
        <f>($D$10*F801ENE!E16+$E$10*F801D!E16)*1</f>
        <v>0</v>
      </c>
      <c r="F31" s="156">
        <f>($D$10*F801ENE!F16+$E$10*F801D!F16)*1</f>
        <v>0</v>
      </c>
      <c r="G31" s="156">
        <f>($D$10*F801ENE!G16+$E$10*F801D!G16)*1</f>
        <v>0</v>
      </c>
      <c r="H31" s="156">
        <f>($D$10*F801ENE!H16+$E$10*F801D!H16)*1</f>
        <v>0</v>
      </c>
      <c r="I31" s="156">
        <f>($D$10*F801ENE!I16+$E$10*F801D!I16)*1</f>
        <v>0</v>
      </c>
      <c r="J31" s="156">
        <f>SUM(D31:I31)</f>
        <v>0</v>
      </c>
    </row>
    <row r="32" spans="1:10" s="37" customFormat="1" ht="13.5">
      <c r="B32" s="48"/>
      <c r="C32" s="160" t="s">
        <v>305</v>
      </c>
      <c r="D32" s="156">
        <f>($D$10*F801ENE!D17+$E$10*F801D!D17)*0.95</f>
        <v>5121.6651677174059</v>
      </c>
      <c r="E32" s="156">
        <f>($D$10*F801ENE!E17+$E$10*F801D!E17)*0.95</f>
        <v>5123.802658459982</v>
      </c>
      <c r="F32" s="156">
        <f>($D$10*F801ENE!F17+$E$10*F801D!F17)*0.95</f>
        <v>5194.5954281828072</v>
      </c>
      <c r="G32" s="156">
        <f>($D$10*F801ENE!G17+$E$10*F801D!G17)*0.95</f>
        <v>5106.2389986085882</v>
      </c>
      <c r="H32" s="156">
        <f>($D$10*F801ENE!H17+$E$10*F801D!H17)*0.95</f>
        <v>5047.8197307256332</v>
      </c>
      <c r="I32" s="156">
        <f>($D$10*F801ENE!I17+$E$10*F801D!I17)*0.95</f>
        <v>4907.8772495538578</v>
      </c>
      <c r="J32" s="156">
        <f>SUM(D32:I32)</f>
        <v>30501.999233248276</v>
      </c>
    </row>
    <row r="33" spans="2:10" s="37" customFormat="1" ht="13.5">
      <c r="B33" s="48"/>
      <c r="C33" s="160" t="s">
        <v>307</v>
      </c>
      <c r="D33" s="156">
        <f>($D$10*F801ENE!D18+$E$10*F801D!D18)*0.5</f>
        <v>0</v>
      </c>
      <c r="E33" s="156">
        <f>($D$10*F801ENE!E18+$E$10*F801D!E18)*0.5</f>
        <v>0</v>
      </c>
      <c r="F33" s="156">
        <f>($D$10*F801ENE!F18+$E$10*F801D!F18)*0.5</f>
        <v>0</v>
      </c>
      <c r="G33" s="156">
        <f>($D$10*F801ENE!G18+$E$10*F801D!G18)*0.5</f>
        <v>0</v>
      </c>
      <c r="H33" s="156">
        <f>($D$10*F801ENE!H18+$E$10*F801D!H18)*0.5</f>
        <v>0</v>
      </c>
      <c r="I33" s="156">
        <f>($D$10*F801ENE!I18+$E$10*F801D!I18)*0.5</f>
        <v>0</v>
      </c>
      <c r="J33" s="156">
        <f t="shared" si="5"/>
        <v>0</v>
      </c>
    </row>
    <row r="34" spans="2:10" s="37" customFormat="1" ht="13.5">
      <c r="B34" s="48"/>
      <c r="C34" s="157"/>
      <c r="D34" s="156"/>
      <c r="E34" s="156"/>
      <c r="F34" s="156"/>
      <c r="G34" s="156"/>
      <c r="H34" s="156"/>
      <c r="I34" s="156"/>
      <c r="J34" s="156"/>
    </row>
    <row r="35" spans="2:10" s="37" customFormat="1" ht="13.5">
      <c r="B35" s="48"/>
      <c r="C35" s="153" t="s">
        <v>443</v>
      </c>
      <c r="D35" s="154">
        <f t="shared" ref="D35:I35" si="7">SUBTOTAL(9,D36:D110)</f>
        <v>7316070.6506153746</v>
      </c>
      <c r="E35" s="154">
        <f t="shared" si="7"/>
        <v>7319123.9609696493</v>
      </c>
      <c r="F35" s="154">
        <f t="shared" si="7"/>
        <v>7275999.0264779506</v>
      </c>
      <c r="G35" s="154">
        <f t="shared" si="7"/>
        <v>7294035.0548915826</v>
      </c>
      <c r="H35" s="154">
        <f t="shared" si="7"/>
        <v>7070412.3072476145</v>
      </c>
      <c r="I35" s="154">
        <f t="shared" si="7"/>
        <v>7010684.1283977209</v>
      </c>
      <c r="J35" s="154">
        <f>SUM(D35:I35)</f>
        <v>43286325.12859989</v>
      </c>
    </row>
    <row r="36" spans="2:10" s="37" customFormat="1" ht="13.5">
      <c r="B36" s="48" t="s">
        <v>275</v>
      </c>
      <c r="C36" s="155" t="s">
        <v>275</v>
      </c>
      <c r="D36" s="154">
        <f>SUBTOTAL(9,D37:D39)</f>
        <v>78739.335961629156</v>
      </c>
      <c r="E36" s="154">
        <f t="shared" ref="E36:I36" si="8">SUBTOTAL(9,E37:E39)</f>
        <v>78772.197266728763</v>
      </c>
      <c r="F36" s="154">
        <f t="shared" si="8"/>
        <v>79860.549491312777</v>
      </c>
      <c r="G36" s="154">
        <f t="shared" si="8"/>
        <v>78502.177484398679</v>
      </c>
      <c r="H36" s="154">
        <f t="shared" si="8"/>
        <v>77604.052712505698</v>
      </c>
      <c r="I36" s="154">
        <f t="shared" si="8"/>
        <v>75452.608274133847</v>
      </c>
      <c r="J36" s="156">
        <f t="shared" ref="J36:J39" si="9">SUM(D36:I36)</f>
        <v>468930.92119070888</v>
      </c>
    </row>
    <row r="37" spans="2:10" s="37" customFormat="1" ht="13.5">
      <c r="B37" s="48"/>
      <c r="C37" s="160" t="s">
        <v>304</v>
      </c>
      <c r="D37" s="156">
        <f>$D$11*F801ENE!D22+$F$11*F801D!K22+$G$11*F801D!R22+$H$11*F801D!Y22</f>
        <v>76122.616191110341</v>
      </c>
      <c r="E37" s="156">
        <f>$D$11*F801ENE!E22+$F$11*F801D!L22+$G$11*F801D!S22+$H$11*F801D!Z22</f>
        <v>76154.385426716501</v>
      </c>
      <c r="F37" s="156">
        <f>$D$11*F801ENE!F22+$F$11*F801D!M22+$G$11*F801D!T22+$H$11*F801D!AA22</f>
        <v>77206.568781591661</v>
      </c>
      <c r="G37" s="156">
        <f>$D$11*F801ENE!G22+$F$11*F801D!N22+$G$11*F801D!U22+$H$11*F801D!AB22</f>
        <v>75893.339127515574</v>
      </c>
      <c r="H37" s="156">
        <f>$D$11*F801ENE!H22+$F$11*F801D!O22+$G$11*F801D!V22+$H$11*F801D!AC22</f>
        <v>75025.061455782939</v>
      </c>
      <c r="I37" s="156">
        <f>$D$11*F801ENE!I22+$F$11*F801D!P22+$G$11*F801D!W22+$H$11*F801D!AD22</f>
        <v>72945.115298775869</v>
      </c>
      <c r="J37" s="156">
        <f t="shared" si="9"/>
        <v>453347.08628149284</v>
      </c>
    </row>
    <row r="38" spans="2:10" s="37" customFormat="1" ht="13.5">
      <c r="B38" s="48"/>
      <c r="C38" s="161" t="s">
        <v>306</v>
      </c>
      <c r="D38" s="156">
        <f>$D$11*F801ENE!D23+$F$11*F801D!K23+$G$11*F801D!R23+$H$11*F801D!Y23</f>
        <v>2077.3141440499985</v>
      </c>
      <c r="E38" s="156">
        <f>$D$11*F801ENE!E23+$F$11*F801D!L23+$G$11*F801D!S23+$H$11*F801D!Z23</f>
        <v>2078.1810964193792</v>
      </c>
      <c r="F38" s="156">
        <f>$D$11*F801ENE!F23+$F$11*F801D!M23+$G$11*F801D!T23+$H$11*F801D!AA23</f>
        <v>2106.8941842581994</v>
      </c>
      <c r="G38" s="156">
        <f>$D$11*F801ENE!G23+$F$11*F801D!N23+$G$11*F801D!U23+$H$11*F801D!AB23</f>
        <v>2071.057390000507</v>
      </c>
      <c r="H38" s="156">
        <f>$D$11*F801ENE!H23+$F$11*F801D!O23+$G$11*F801D!V23+$H$11*F801D!AC23</f>
        <v>2047.3629141836909</v>
      </c>
      <c r="I38" s="156">
        <f>$D$11*F801ENE!I23+$F$11*F801D!P23+$G$11*F801D!W23+$H$11*F801D!AD23</f>
        <v>1990.6031522757994</v>
      </c>
      <c r="J38" s="156">
        <f t="shared" si="9"/>
        <v>12371.412881187574</v>
      </c>
    </row>
    <row r="39" spans="2:10" s="37" customFormat="1" ht="13.5">
      <c r="B39" s="48"/>
      <c r="C39" s="160" t="s">
        <v>305</v>
      </c>
      <c r="D39" s="156">
        <f>($D$11*F801ENE!D24+$F$11*F801D!K24+$G$11*F801D!R24+$H$11*F801D!Y24)*95%</f>
        <v>539.40562646881233</v>
      </c>
      <c r="E39" s="156">
        <f>($D$11*F801ENE!E24+$F$11*F801D!L24+$G$11*F801D!S24+$H$11*F801D!Z24)*95%</f>
        <v>539.63074359289476</v>
      </c>
      <c r="F39" s="156">
        <f>($D$11*F801ENE!F24+$F$11*F801D!M24+$G$11*F801D!T24+$H$11*F801D!AA24)*95%</f>
        <v>547.08652546291887</v>
      </c>
      <c r="G39" s="156">
        <f>($D$11*F801ENE!G24+$F$11*F801D!N24+$G$11*F801D!U24+$H$11*F801D!AB24)*95%</f>
        <v>537.78096688258927</v>
      </c>
      <c r="H39" s="156">
        <f>($D$11*F801ENE!H24+$F$11*F801D!O24+$G$11*F801D!V24+$H$11*F801D!AC24)*95%</f>
        <v>531.62834253906954</v>
      </c>
      <c r="I39" s="156">
        <f>($D$11*F801ENE!I24+$F$11*F801D!P24+$G$11*F801D!W24+$H$11*F801D!AD24)*95%</f>
        <v>516.88982308218306</v>
      </c>
      <c r="J39" s="156">
        <f t="shared" si="9"/>
        <v>3212.422028028468</v>
      </c>
    </row>
    <row r="40" spans="2:10" s="37" customFormat="1" ht="13.5">
      <c r="B40" s="48" t="s">
        <v>274</v>
      </c>
      <c r="C40" s="158" t="s">
        <v>627</v>
      </c>
      <c r="D40" s="154">
        <f t="shared" ref="D40:I40" si="10">SUBTOTAL(9,D41:D46)</f>
        <v>1188931.6093446098</v>
      </c>
      <c r="E40" s="154">
        <f t="shared" si="10"/>
        <v>1189427.8015448623</v>
      </c>
      <c r="F40" s="154">
        <f t="shared" si="10"/>
        <v>1205861.4727983135</v>
      </c>
      <c r="G40" s="154">
        <f t="shared" si="10"/>
        <v>1185350.6138160119</v>
      </c>
      <c r="H40" s="154">
        <f t="shared" si="10"/>
        <v>1171789.2989103422</v>
      </c>
      <c r="I40" s="154">
        <f t="shared" si="10"/>
        <v>1139303.3721840172</v>
      </c>
      <c r="J40" s="159">
        <f t="shared" ref="J40:J51" si="11">SUM(D40:I40)</f>
        <v>7080664.1685981564</v>
      </c>
    </row>
    <row r="41" spans="2:10" s="37" customFormat="1" ht="13.5">
      <c r="B41" s="48"/>
      <c r="C41" s="160" t="s">
        <v>304</v>
      </c>
      <c r="D41" s="156">
        <f>($D$12*F801ENE!D28+$E$12*F801D!D28)*1</f>
        <v>1186487.7398903123</v>
      </c>
      <c r="E41" s="156">
        <f>($D$12*F801ENE!E28+$E$12*F801D!E28)*1</f>
        <v>1186982.9121589288</v>
      </c>
      <c r="F41" s="156">
        <f>($D$12*F801ENE!F28+$E$12*F801D!F28)*1</f>
        <v>1203382.8037173303</v>
      </c>
      <c r="G41" s="156">
        <f>($D$12*F801ENE!G28+$E$12*F801D!G28)*1</f>
        <v>1182914.1051598627</v>
      </c>
      <c r="H41" s="156">
        <f>($D$12*F801ENE!H28+$E$12*F801D!H28)*1</f>
        <v>1169380.6657711675</v>
      </c>
      <c r="I41" s="156">
        <f>($D$12*F801ENE!I28+$E$12*F801D!I28)*1</f>
        <v>1136961.5144282181</v>
      </c>
      <c r="J41" s="156">
        <f t="shared" si="11"/>
        <v>7066109.7411258202</v>
      </c>
    </row>
    <row r="42" spans="2:10" s="37" customFormat="1" ht="13.5">
      <c r="B42" s="48"/>
      <c r="C42" s="161" t="s">
        <v>628</v>
      </c>
      <c r="D42" s="156">
        <f>($D$12*F801ENE!D29+$E$12*F801D!D29)*0.75</f>
        <v>0</v>
      </c>
      <c r="E42" s="156">
        <f>($D$12*F801ENE!E29+$E$12*F801D!E29)*0.75</f>
        <v>0</v>
      </c>
      <c r="F42" s="156">
        <f>($D$12*F801ENE!F29+$E$12*F801D!F29)*0.75</f>
        <v>0</v>
      </c>
      <c r="G42" s="156">
        <f>($D$12*F801ENE!G29+$E$12*F801D!G29)*0.75</f>
        <v>0</v>
      </c>
      <c r="H42" s="156">
        <f>($D$12*F801ENE!H29+$E$12*F801D!H29)*0.75</f>
        <v>0</v>
      </c>
      <c r="I42" s="156">
        <f>($D$12*F801ENE!I29+$E$12*F801D!I29)*0.75</f>
        <v>0</v>
      </c>
      <c r="J42" s="156">
        <f>SUM(D42:I42)</f>
        <v>0</v>
      </c>
    </row>
    <row r="43" spans="2:10" s="37" customFormat="1" ht="13.5">
      <c r="B43" s="48"/>
      <c r="C43" s="161" t="s">
        <v>629</v>
      </c>
      <c r="D43" s="156">
        <f>($D$12*F801ENE!D30+$E$12*F801D!D30)*1</f>
        <v>1350.3614193671237</v>
      </c>
      <c r="E43" s="156">
        <f>($D$12*F801ENE!E30+$E$12*F801D!E30)*1</f>
        <v>1350.9249831571231</v>
      </c>
      <c r="F43" s="156">
        <f>($D$12*F801ENE!F30+$E$12*F801D!F30)*1</f>
        <v>1369.5899723497778</v>
      </c>
      <c r="G43" s="156">
        <f>($D$12*F801ENE!G30+$E$12*F801D!G30)*1</f>
        <v>1346.2942062770367</v>
      </c>
      <c r="H43" s="156">
        <f>($D$12*F801ENE!H30+$E$12*F801D!H30)*1</f>
        <v>1330.8915739468225</v>
      </c>
      <c r="I43" s="156">
        <f>($D$12*F801ENE!I30+$E$12*F801D!I30)*1</f>
        <v>1293.9947989104539</v>
      </c>
      <c r="J43" s="156">
        <f t="shared" si="11"/>
        <v>8042.0569540083388</v>
      </c>
    </row>
    <row r="44" spans="2:10" s="37" customFormat="1" ht="13.5">
      <c r="B44" s="48"/>
      <c r="C44" s="160" t="s">
        <v>305</v>
      </c>
      <c r="D44" s="156">
        <f>($D$12*F801ENE!D31+$E$12*F801D!D31)*0.95</f>
        <v>1093.5080349302748</v>
      </c>
      <c r="E44" s="156">
        <f>($D$12*F801ENE!E31+$E$12*F801D!E31)*0.95</f>
        <v>1093.9644027764837</v>
      </c>
      <c r="F44" s="156">
        <f>($D$12*F801ENE!F31+$E$12*F801D!F31)*0.95</f>
        <v>1109.0791086332467</v>
      </c>
      <c r="G44" s="156">
        <f>($D$12*F801ENE!G31+$E$12*F801D!G31)*0.95</f>
        <v>1090.2144498722332</v>
      </c>
      <c r="H44" s="156">
        <f>($D$12*F801ENE!H31+$E$12*F801D!H31)*0.95</f>
        <v>1077.7415652277209</v>
      </c>
      <c r="I44" s="156">
        <f>($D$12*F801ENE!I31+$E$12*F801D!I31)*0.95</f>
        <v>1047.8629568887816</v>
      </c>
      <c r="J44" s="156">
        <f>SUM(D44:I44)</f>
        <v>6512.3705183287411</v>
      </c>
    </row>
    <row r="45" spans="2:10" s="37" customFormat="1" ht="13.5">
      <c r="B45" s="48"/>
      <c r="C45" s="160" t="s">
        <v>307</v>
      </c>
      <c r="D45" s="156">
        <f>($D$12*F801ENE!D32+$E$12*F801D!D32)*0.5</f>
        <v>0</v>
      </c>
      <c r="E45" s="156">
        <f>($D$12*F801ENE!E32+$E$12*F801D!E32)*0.5</f>
        <v>0</v>
      </c>
      <c r="F45" s="156">
        <f>($D$12*F801ENE!F32+$E$12*F801D!F32)*0.5</f>
        <v>0</v>
      </c>
      <c r="G45" s="156">
        <f>($D$12*F801ENE!G32+$E$12*F801D!G32)*0.5</f>
        <v>0</v>
      </c>
      <c r="H45" s="156">
        <f>($D$12*F801ENE!H32+$E$12*F801D!H32)*0.5</f>
        <v>0</v>
      </c>
      <c r="I45" s="156">
        <f>($D$12*F801ENE!I32+$E$12*F801D!I32)*0.5</f>
        <v>0</v>
      </c>
      <c r="J45" s="156">
        <f t="shared" si="11"/>
        <v>0</v>
      </c>
    </row>
    <row r="46" spans="2:10" s="37" customFormat="1" ht="13.5">
      <c r="B46" s="48"/>
      <c r="C46" s="160" t="s">
        <v>624</v>
      </c>
      <c r="D46" s="156">
        <f>($D$12*F801ENE!D33+$E$12*F801D!D33)*0</f>
        <v>0</v>
      </c>
      <c r="E46" s="156">
        <f>($D$12*F801ENE!E33+$E$12*F801D!E33)*0</f>
        <v>0</v>
      </c>
      <c r="F46" s="156">
        <f>($D$12*F801ENE!F33+$E$12*F801D!F33)*0</f>
        <v>0</v>
      </c>
      <c r="G46" s="156">
        <f>($D$12*F801ENE!G33+$E$12*F801D!G33)*0</f>
        <v>0</v>
      </c>
      <c r="H46" s="156">
        <f>($D$12*F801ENE!H33+$E$12*F801D!H33)*0</f>
        <v>0</v>
      </c>
      <c r="I46" s="156">
        <f>($D$12*F801ENE!I33+$E$12*F801D!I33)*0</f>
        <v>0</v>
      </c>
      <c r="J46" s="156">
        <f t="shared" si="11"/>
        <v>0</v>
      </c>
    </row>
    <row r="47" spans="2:10" s="37" customFormat="1" ht="13.5">
      <c r="B47" s="48" t="s">
        <v>274</v>
      </c>
      <c r="C47" s="158" t="s">
        <v>631</v>
      </c>
      <c r="D47" s="154">
        <f t="shared" ref="D47:I47" si="12">SUBTOTAL(9,D48:D51)</f>
        <v>935175.71809727559</v>
      </c>
      <c r="E47" s="154">
        <f t="shared" si="12"/>
        <v>935566.0070706181</v>
      </c>
      <c r="F47" s="154">
        <f t="shared" si="12"/>
        <v>948492.20921263413</v>
      </c>
      <c r="G47" s="154">
        <f t="shared" si="12"/>
        <v>932359.0211244314</v>
      </c>
      <c r="H47" s="154">
        <f t="shared" si="12"/>
        <v>921692.12295671937</v>
      </c>
      <c r="I47" s="154">
        <f t="shared" si="12"/>
        <v>896139.72817171353</v>
      </c>
      <c r="J47" s="159">
        <f>SUM(D47:I47)</f>
        <v>5569424.8066333923</v>
      </c>
    </row>
    <row r="48" spans="2:10" s="37" customFormat="1" ht="13.5">
      <c r="B48" s="48"/>
      <c r="C48" s="160" t="s">
        <v>304</v>
      </c>
      <c r="D48" s="156">
        <f>($D$12*F801ENE!D35+$E$12*F801D!D35)*1</f>
        <v>933738.31530931068</v>
      </c>
      <c r="E48" s="156">
        <f>($D$12*F801ENE!E35+$E$12*F801D!E35)*1</f>
        <v>934128.00439276348</v>
      </c>
      <c r="F48" s="156">
        <f>($D$12*F801ENE!F35+$E$12*F801D!F35)*1</f>
        <v>947034.33844086179</v>
      </c>
      <c r="G48" s="156">
        <f>($D$12*F801ENE!G35+$E$12*F801D!G35)*1</f>
        <v>930925.94771329197</v>
      </c>
      <c r="H48" s="156">
        <f>($D$12*F801ENE!H35+$E$12*F801D!H35)*1</f>
        <v>920275.44499818678</v>
      </c>
      <c r="I48" s="156">
        <f>($D$12*F801ENE!I35+$E$12*F801D!I35)*1</f>
        <v>894762.32527431904</v>
      </c>
      <c r="J48" s="156">
        <f>SUM(D48:I48)</f>
        <v>5560864.3761287341</v>
      </c>
    </row>
    <row r="49" spans="2:10" s="37" customFormat="1" ht="13.5">
      <c r="B49" s="48"/>
      <c r="C49" s="161" t="s">
        <v>306</v>
      </c>
      <c r="D49" s="156">
        <f>($D$12*F801ENE!D36+$E$12*F801D!D36)*1</f>
        <v>0</v>
      </c>
      <c r="E49" s="156">
        <f>($D$12*F801ENE!E36+$E$12*F801D!E36)*1</f>
        <v>0</v>
      </c>
      <c r="F49" s="156">
        <f>($D$12*F801ENE!F36+$E$12*F801D!F36)*1</f>
        <v>0</v>
      </c>
      <c r="G49" s="156">
        <f>($D$12*F801ENE!G36+$E$12*F801D!G36)*1</f>
        <v>0</v>
      </c>
      <c r="H49" s="156">
        <f>($D$12*F801ENE!H36+$E$12*F801D!H36)*1</f>
        <v>0</v>
      </c>
      <c r="I49" s="156">
        <f>($D$12*F801ENE!I36+$E$12*F801D!I36)*1</f>
        <v>0</v>
      </c>
      <c r="J49" s="156">
        <f t="shared" si="11"/>
        <v>0</v>
      </c>
    </row>
    <row r="50" spans="2:10" s="37" customFormat="1" ht="13.5">
      <c r="B50" s="48"/>
      <c r="C50" s="160" t="s">
        <v>305</v>
      </c>
      <c r="D50" s="156">
        <f>($D$12*F801ENE!D37+$E$12*F801D!D37)*0.95</f>
        <v>1437.4027879648834</v>
      </c>
      <c r="E50" s="156">
        <f>($D$12*F801ENE!E37+$E$12*F801D!E37)*0.95</f>
        <v>1438.0026778545998</v>
      </c>
      <c r="F50" s="156">
        <f>($D$12*F801ENE!F37+$E$12*F801D!F37)*0.95</f>
        <v>1457.8707717723237</v>
      </c>
      <c r="G50" s="156">
        <f>($D$12*F801ENE!G37+$E$12*F801D!G37)*0.95</f>
        <v>1433.0734111394718</v>
      </c>
      <c r="H50" s="156">
        <f>($D$12*F801ENE!H37+$E$12*F801D!H37)*0.95</f>
        <v>1416.6779585325512</v>
      </c>
      <c r="I50" s="156">
        <f>($D$12*F801ENE!I37+$E$12*F801D!I37)*0.95</f>
        <v>1377.4028973944403</v>
      </c>
      <c r="J50" s="156">
        <f>SUM(D50:I50)</f>
        <v>8560.4305046582704</v>
      </c>
    </row>
    <row r="51" spans="2:10" s="37" customFormat="1" ht="13.5">
      <c r="B51" s="48"/>
      <c r="C51" s="160" t="s">
        <v>307</v>
      </c>
      <c r="D51" s="156">
        <f>($D$12*F801ENE!D38+$E$12*F801D!D38)*0.5</f>
        <v>0</v>
      </c>
      <c r="E51" s="156">
        <f>($D$12*F801ENE!E38+$E$12*F801D!E38)*0.5</f>
        <v>0</v>
      </c>
      <c r="F51" s="156">
        <f>($D$12*F801ENE!F38+$E$12*F801D!F38)*0.5</f>
        <v>0</v>
      </c>
      <c r="G51" s="156">
        <f>($D$12*F801ENE!G38+$E$12*F801D!G38)*0.5</f>
        <v>0</v>
      </c>
      <c r="H51" s="156">
        <f>($D$12*F801ENE!H38+$E$12*F801D!H38)*0.5</f>
        <v>0</v>
      </c>
      <c r="I51" s="156">
        <f>($D$12*F801ENE!I38+$E$12*F801D!I38)*0.5</f>
        <v>0</v>
      </c>
      <c r="J51" s="156">
        <f t="shared" si="11"/>
        <v>0</v>
      </c>
    </row>
    <row r="52" spans="2:10" s="37" customFormat="1" ht="13.5">
      <c r="B52" s="48" t="s">
        <v>274</v>
      </c>
      <c r="C52" s="158" t="s">
        <v>632</v>
      </c>
      <c r="D52" s="154">
        <f t="shared" ref="D52:I52" si="13">SUBTOTAL(9,D53:D56)</f>
        <v>340242.26943644159</v>
      </c>
      <c r="E52" s="154">
        <f t="shared" si="13"/>
        <v>340384.26714174601</v>
      </c>
      <c r="F52" s="154">
        <f t="shared" si="13"/>
        <v>345087.16978013143</v>
      </c>
      <c r="G52" s="154">
        <f t="shared" si="13"/>
        <v>339217.47874544177</v>
      </c>
      <c r="H52" s="154">
        <f t="shared" si="13"/>
        <v>335336.57211987831</v>
      </c>
      <c r="I52" s="154">
        <f t="shared" si="13"/>
        <v>326039.91842908814</v>
      </c>
      <c r="J52" s="159">
        <f t="shared" ref="J52:J61" si="14">SUM(D52:I52)</f>
        <v>2026307.6756527273</v>
      </c>
    </row>
    <row r="53" spans="2:10" s="37" customFormat="1" ht="15.75" customHeight="1">
      <c r="B53" s="48"/>
      <c r="C53" s="160" t="s">
        <v>304</v>
      </c>
      <c r="D53" s="156">
        <f>($D$12*F801ENE!D40+$E$12*F801D!D40)*1</f>
        <v>340242.26943644159</v>
      </c>
      <c r="E53" s="156">
        <f>($D$12*F801ENE!E40+$E$12*F801D!E40)*1</f>
        <v>340384.26714174601</v>
      </c>
      <c r="F53" s="156">
        <f>($D$12*F801ENE!F40+$E$12*F801D!F40)*1</f>
        <v>345087.16978013143</v>
      </c>
      <c r="G53" s="156">
        <f>($D$12*F801ENE!G40+$E$12*F801D!G40)*1</f>
        <v>339217.47874544177</v>
      </c>
      <c r="H53" s="156">
        <f>($D$12*F801ENE!H40+$E$12*F801D!H40)*1</f>
        <v>335336.57211987831</v>
      </c>
      <c r="I53" s="156">
        <f>($D$12*F801ENE!I40+$E$12*F801D!I40)*1</f>
        <v>326039.91842908814</v>
      </c>
      <c r="J53" s="156">
        <f t="shared" si="14"/>
        <v>2026307.6756527273</v>
      </c>
    </row>
    <row r="54" spans="2:10" s="37" customFormat="1" ht="13.5">
      <c r="B54" s="48"/>
      <c r="C54" s="161" t="s">
        <v>306</v>
      </c>
      <c r="D54" s="156">
        <f>($D$12*F801ENE!D41+$E$12*F801D!D41)*1</f>
        <v>0</v>
      </c>
      <c r="E54" s="156">
        <f>($D$12*F801ENE!E41+$E$12*F801D!E41)*1</f>
        <v>0</v>
      </c>
      <c r="F54" s="156">
        <f>($D$12*F801ENE!F41+$E$12*F801D!F41)*1</f>
        <v>0</v>
      </c>
      <c r="G54" s="156">
        <f>($D$12*F801ENE!G41+$E$12*F801D!G41)*1</f>
        <v>0</v>
      </c>
      <c r="H54" s="156">
        <f>($D$12*F801ENE!H41+$E$12*F801D!H41)*1</f>
        <v>0</v>
      </c>
      <c r="I54" s="156">
        <f>($D$12*F801ENE!I41+$E$12*F801D!I41)*1</f>
        <v>0</v>
      </c>
      <c r="J54" s="156">
        <f t="shared" si="14"/>
        <v>0</v>
      </c>
    </row>
    <row r="55" spans="2:10" s="37" customFormat="1" ht="13.5">
      <c r="B55" s="48"/>
      <c r="C55" s="160" t="s">
        <v>305</v>
      </c>
      <c r="D55" s="156">
        <f>($D$12*F801ENE!D42+$E$12*F801D!D42)*0.95</f>
        <v>0</v>
      </c>
      <c r="E55" s="156">
        <f>($D$12*F801ENE!E42+$E$12*F801D!E42)*0.95</f>
        <v>0</v>
      </c>
      <c r="F55" s="156">
        <f>($D$12*F801ENE!F42+$E$12*F801D!F42)*0.95</f>
        <v>0</v>
      </c>
      <c r="G55" s="156">
        <f>($D$12*F801ENE!G42+$E$12*F801D!G42)*0.95</f>
        <v>0</v>
      </c>
      <c r="H55" s="156">
        <f>($D$12*F801ENE!H42+$E$12*F801D!H42)*0.95</f>
        <v>0</v>
      </c>
      <c r="I55" s="156">
        <f>($D$12*F801ENE!I42+$E$12*F801D!I42)*0.95</f>
        <v>0</v>
      </c>
      <c r="J55" s="156">
        <f>SUM(D55:I55)</f>
        <v>0</v>
      </c>
    </row>
    <row r="56" spans="2:10" s="37" customFormat="1" ht="13.5">
      <c r="B56" s="48"/>
      <c r="C56" s="160" t="s">
        <v>307</v>
      </c>
      <c r="D56" s="156">
        <f>($D$12*F801ENE!D43+$E$12*F801D!D43)*0.5</f>
        <v>0</v>
      </c>
      <c r="E56" s="156">
        <f>($D$12*F801ENE!E43+$E$12*F801D!E43)*0.5</f>
        <v>0</v>
      </c>
      <c r="F56" s="156">
        <f>($D$12*F801ENE!F43+$E$12*F801D!F43)*0.5</f>
        <v>0</v>
      </c>
      <c r="G56" s="156">
        <f>($D$12*F801ENE!G43+$E$12*F801D!G43)*0.5</f>
        <v>0</v>
      </c>
      <c r="H56" s="156">
        <f>($D$12*F801ENE!H43+$E$12*F801D!H43)*0.5</f>
        <v>0</v>
      </c>
      <c r="I56" s="156">
        <f>($D$12*F801ENE!I43+$E$12*F801D!I43)*0.5</f>
        <v>0</v>
      </c>
      <c r="J56" s="156">
        <f t="shared" si="14"/>
        <v>0</v>
      </c>
    </row>
    <row r="57" spans="2:10" s="37" customFormat="1" ht="13.5">
      <c r="B57" s="48" t="s">
        <v>274</v>
      </c>
      <c r="C57" s="158" t="s">
        <v>633</v>
      </c>
      <c r="D57" s="154">
        <f t="shared" ref="D57:I57" si="15">SUBTOTAL(9,D58:D61)</f>
        <v>364036.28842227801</v>
      </c>
      <c r="E57" s="154">
        <f t="shared" si="15"/>
        <v>364188.21639315906</v>
      </c>
      <c r="F57" s="154">
        <f t="shared" si="15"/>
        <v>369220.0051362947</v>
      </c>
      <c r="G57" s="154">
        <f t="shared" si="15"/>
        <v>362939.83147652814</v>
      </c>
      <c r="H57" s="154">
        <f t="shared" si="15"/>
        <v>358787.52304635098</v>
      </c>
      <c r="I57" s="154">
        <f t="shared" si="15"/>
        <v>348840.73039784166</v>
      </c>
      <c r="J57" s="159">
        <f t="shared" si="14"/>
        <v>2168012.5948724528</v>
      </c>
    </row>
    <row r="58" spans="2:10" s="37" customFormat="1" ht="13.5">
      <c r="B58" s="48"/>
      <c r="C58" s="160" t="s">
        <v>304</v>
      </c>
      <c r="D58" s="156">
        <f>($D$12*F801ENE!D45+$E$12*F801D!D45)*1</f>
        <v>364036.28842227801</v>
      </c>
      <c r="E58" s="156">
        <f>($D$12*F801ENE!E45+$E$12*F801D!E45)*1</f>
        <v>364188.21639315906</v>
      </c>
      <c r="F58" s="156">
        <f>($D$12*F801ENE!F45+$E$12*F801D!F45)*1</f>
        <v>369220.0051362947</v>
      </c>
      <c r="G58" s="156">
        <f>($D$12*F801ENE!G45+$E$12*F801D!G45)*1</f>
        <v>362939.83147652814</v>
      </c>
      <c r="H58" s="156">
        <f>($D$12*F801ENE!H45+$E$12*F801D!H45)*1</f>
        <v>358787.52304635098</v>
      </c>
      <c r="I58" s="156">
        <f>($D$12*F801ENE!I45+$E$12*F801D!I45)*1</f>
        <v>348840.73039784166</v>
      </c>
      <c r="J58" s="156">
        <f t="shared" si="14"/>
        <v>2168012.5948724528</v>
      </c>
    </row>
    <row r="59" spans="2:10" s="37" customFormat="1" ht="13.5">
      <c r="B59" s="48"/>
      <c r="C59" s="161" t="s">
        <v>306</v>
      </c>
      <c r="D59" s="156">
        <f>($D$12*F801ENE!D46+$E$12*F801D!D46)*1</f>
        <v>0</v>
      </c>
      <c r="E59" s="156">
        <f>($D$12*F801ENE!E46+$E$12*F801D!E46)*1</f>
        <v>0</v>
      </c>
      <c r="F59" s="156">
        <f>($D$12*F801ENE!F46+$E$12*F801D!F46)*1</f>
        <v>0</v>
      </c>
      <c r="G59" s="156">
        <f>($D$12*F801ENE!G46+$E$12*F801D!G46)*1</f>
        <v>0</v>
      </c>
      <c r="H59" s="156">
        <f>($D$12*F801ENE!H46+$E$12*F801D!H46)*1</f>
        <v>0</v>
      </c>
      <c r="I59" s="156">
        <f>($D$12*F801ENE!I46+$E$12*F801D!I46)*1</f>
        <v>0</v>
      </c>
      <c r="J59" s="156">
        <f t="shared" si="14"/>
        <v>0</v>
      </c>
    </row>
    <row r="60" spans="2:10" s="37" customFormat="1" ht="13.5">
      <c r="B60" s="48"/>
      <c r="C60" s="160" t="s">
        <v>305</v>
      </c>
      <c r="D60" s="156">
        <f>($D$12*F801ENE!D47+$E$12*F801D!D47)*0.95</f>
        <v>0</v>
      </c>
      <c r="E60" s="156">
        <f>($D$12*F801ENE!E47+$E$12*F801D!E47)*0.95</f>
        <v>0</v>
      </c>
      <c r="F60" s="156">
        <f>($D$12*F801ENE!F47+$E$12*F801D!F47)*0.95</f>
        <v>0</v>
      </c>
      <c r="G60" s="156">
        <f>($D$12*F801ENE!G47+$E$12*F801D!G47)*0.95</f>
        <v>0</v>
      </c>
      <c r="H60" s="156">
        <f>($D$12*F801ENE!H47+$E$12*F801D!H47)*0.95</f>
        <v>0</v>
      </c>
      <c r="I60" s="156">
        <f>($D$12*F801ENE!I47+$E$12*F801D!I47)*0.95</f>
        <v>0</v>
      </c>
      <c r="J60" s="156">
        <f>SUM(D60:I60)</f>
        <v>0</v>
      </c>
    </row>
    <row r="61" spans="2:10" s="37" customFormat="1" ht="13.5">
      <c r="B61" s="48"/>
      <c r="C61" s="160" t="s">
        <v>307</v>
      </c>
      <c r="D61" s="156">
        <f>($D$12*F801ENE!D48+$E$12*F801D!D48)*0.5</f>
        <v>0</v>
      </c>
      <c r="E61" s="156">
        <f>($D$12*F801ENE!E48+$E$12*F801D!E48)*0.5</f>
        <v>0</v>
      </c>
      <c r="F61" s="156">
        <f>($D$12*F801ENE!F48+$E$12*F801D!F48)*0.5</f>
        <v>0</v>
      </c>
      <c r="G61" s="156">
        <f>($D$12*F801ENE!G48+$E$12*F801D!G48)*0.5</f>
        <v>0</v>
      </c>
      <c r="H61" s="156">
        <f>($D$12*F801ENE!H48+$E$12*F801D!H48)*0.5</f>
        <v>0</v>
      </c>
      <c r="I61" s="156">
        <f>($D$12*F801ENE!I48+$E$12*F801D!I48)*0.5</f>
        <v>0</v>
      </c>
      <c r="J61" s="156">
        <f t="shared" si="14"/>
        <v>0</v>
      </c>
    </row>
    <row r="62" spans="2:10" s="37" customFormat="1" ht="13.5">
      <c r="B62" s="48"/>
      <c r="C62" s="157"/>
      <c r="D62" s="156"/>
      <c r="E62" s="156"/>
      <c r="F62" s="156"/>
      <c r="G62" s="156"/>
      <c r="H62" s="156"/>
      <c r="I62" s="156"/>
      <c r="J62" s="156"/>
    </row>
    <row r="63" spans="2:10" s="37" customFormat="1" ht="13.5">
      <c r="B63" s="48" t="s">
        <v>1176</v>
      </c>
      <c r="C63" s="158" t="str">
        <f>F801ENE!C50</f>
        <v>BTSH</v>
      </c>
      <c r="D63" s="154">
        <f t="shared" ref="D63:I63" si="16">SUBTOTAL(9,D64:D69)</f>
        <v>28.42</v>
      </c>
      <c r="E63" s="154">
        <f t="shared" si="16"/>
        <v>28.42</v>
      </c>
      <c r="F63" s="154">
        <f t="shared" si="16"/>
        <v>28.42</v>
      </c>
      <c r="G63" s="154">
        <f t="shared" si="16"/>
        <v>28.42</v>
      </c>
      <c r="H63" s="154">
        <f t="shared" si="16"/>
        <v>28.42</v>
      </c>
      <c r="I63" s="154">
        <f t="shared" si="16"/>
        <v>28.42</v>
      </c>
      <c r="J63" s="159">
        <f t="shared" ref="J63:J69" si="17">SUM(D63:I63)</f>
        <v>170.52000000000004</v>
      </c>
    </row>
    <row r="64" spans="2:10" s="37" customFormat="1" ht="13.5">
      <c r="B64" s="48"/>
      <c r="C64" s="160" t="str">
        <f>F801ENE!C51</f>
        <v xml:space="preserve">    - Regulares</v>
      </c>
      <c r="D64" s="156">
        <f>($D$15*(F801ENE!K51)+$D$16*(F801ENE!R51)+$D$17*(F801ENE!Y51))*1</f>
        <v>28.42</v>
      </c>
      <c r="E64" s="156">
        <f>($D$15*(F801ENE!L51)+$D$16*(F801ENE!S51)+$D$17*(F801ENE!Z51))*1</f>
        <v>28.42</v>
      </c>
      <c r="F64" s="156">
        <f>($D$15*(F801ENE!M51)+$D$16*(F801ENE!T51)+$D$17*(F801ENE!AA51))*1</f>
        <v>28.42</v>
      </c>
      <c r="G64" s="156">
        <f>($D$15*(F801ENE!N51)+$D$16*(F801ENE!U51)+$D$17*(F801ENE!AB51))*1</f>
        <v>28.42</v>
      </c>
      <c r="H64" s="156">
        <f>($D$15*(F801ENE!O51)+$D$16*(F801ENE!V51)+$D$17*(F801ENE!AC51))*1</f>
        <v>28.42</v>
      </c>
      <c r="I64" s="156">
        <f>($D$15*(F801ENE!P51)+$D$16*(F801ENE!W51)+$D$17*(F801ENE!AD51))*1</f>
        <v>28.42</v>
      </c>
      <c r="J64" s="156">
        <f t="shared" si="17"/>
        <v>170.52000000000004</v>
      </c>
    </row>
    <row r="65" spans="2:10" s="37" customFormat="1" ht="13.5">
      <c r="B65" s="48"/>
      <c r="C65" s="162" t="str">
        <f>F801ENE!C52</f>
        <v xml:space="preserve">    - Jubilados (0 a 600 KWh)</v>
      </c>
      <c r="D65" s="156">
        <f>($D$15*(F801ENE!K52)+$D$16*(F801ENE!R52)+$D$17*(F801ENE!Y52))*0.75</f>
        <v>0</v>
      </c>
      <c r="E65" s="156">
        <f>($D$15*(F801ENE!L52)+$D$16*(F801ENE!S52)+$D$17*(F801ENE!Z52))*0.75</f>
        <v>0</v>
      </c>
      <c r="F65" s="156">
        <f>($D$15*(F801ENE!M52)+$D$16*(F801ENE!T52)+$D$17*(F801ENE!AA52))*0.75</f>
        <v>0</v>
      </c>
      <c r="G65" s="156">
        <f>($D$15*(F801ENE!N52)+$D$16*(F801ENE!U52)+$D$17*(F801ENE!AB52))*0.75</f>
        <v>0</v>
      </c>
      <c r="H65" s="156">
        <f>($D$15*(F801ENE!O52)+$D$16*(F801ENE!V52)+$D$17*(F801ENE!AC52))*0.75</f>
        <v>0</v>
      </c>
      <c r="I65" s="156">
        <f>($D$15*(F801ENE!P52)+$D$16*(F801ENE!W52)+$D$17*(F801ENE!AD52))*0.75</f>
        <v>0</v>
      </c>
      <c r="J65" s="156">
        <f t="shared" si="17"/>
        <v>0</v>
      </c>
    </row>
    <row r="66" spans="2:10" s="37" customFormat="1" ht="13.5">
      <c r="B66" s="48"/>
      <c r="C66" s="162" t="str">
        <f>F801ENE!C53</f>
        <v xml:space="preserve">    - Jubilados (601 y Más KWh)</v>
      </c>
      <c r="D66" s="156">
        <f>($D$15*(F801ENE!K53)+$D$16*(F801ENE!R53)+$D$17*(F801ENE!Y53))*1</f>
        <v>0</v>
      </c>
      <c r="E66" s="156">
        <f>($D$15*(F801ENE!L53)+$D$16*(F801ENE!S53)+$D$17*(F801ENE!Z53))*1</f>
        <v>0</v>
      </c>
      <c r="F66" s="156">
        <f>($D$15*(F801ENE!M53)+$D$16*(F801ENE!T53)+$D$17*(F801ENE!AA53))*1</f>
        <v>0</v>
      </c>
      <c r="G66" s="156">
        <f>($D$15*(F801ENE!N53)+$D$16*(F801ENE!U53)+$D$17*(F801ENE!AB53))*1</f>
        <v>0</v>
      </c>
      <c r="H66" s="156">
        <f>($D$15*(F801ENE!O53)+$D$16*(F801ENE!V53)+$D$17*(F801ENE!AC53))*1</f>
        <v>0</v>
      </c>
      <c r="I66" s="156">
        <f>($D$15*(F801ENE!P53)+$D$16*(F801ENE!W53)+$D$17*(F801ENE!AD53))*1</f>
        <v>0</v>
      </c>
      <c r="J66" s="156">
        <f t="shared" si="17"/>
        <v>0</v>
      </c>
    </row>
    <row r="67" spans="2:10" s="37" customFormat="1" ht="13.5">
      <c r="B67" s="48"/>
      <c r="C67" s="160" t="str">
        <f>F801ENE!C54</f>
        <v xml:space="preserve">    - Agropecuarios</v>
      </c>
      <c r="D67" s="156">
        <f>($D$15*(F801ENE!K54)+$D$16*(F801ENE!R54)+$D$17*(F801ENE!Y54))*0.95</f>
        <v>0</v>
      </c>
      <c r="E67" s="156">
        <f>($D$15*(F801ENE!L54)+$D$16*(F801ENE!S54)+$D$17*(F801ENE!Z54))*0.95</f>
        <v>0</v>
      </c>
      <c r="F67" s="156">
        <f>($D$15*(F801ENE!M54)+$D$16*(F801ENE!T54)+$D$17*(F801ENE!AA54))*0.95</f>
        <v>0</v>
      </c>
      <c r="G67" s="156">
        <f>($D$15*(F801ENE!N54)+$D$16*(F801ENE!U54)+$D$17*(F801ENE!AB54))*0.95</f>
        <v>0</v>
      </c>
      <c r="H67" s="156">
        <f>($D$15*(F801ENE!O54)+$D$16*(F801ENE!V54)+$D$17*(F801ENE!AC54))*0.95</f>
        <v>0</v>
      </c>
      <c r="I67" s="156">
        <f>($D$15*(F801ENE!P54)+$D$16*(F801ENE!W54)+$D$17*(F801ENE!AD54))*0.95</f>
        <v>0</v>
      </c>
      <c r="J67" s="156">
        <f t="shared" si="17"/>
        <v>0</v>
      </c>
    </row>
    <row r="68" spans="2:10" s="37" customFormat="1" ht="13.5">
      <c r="B68" s="48"/>
      <c r="C68" s="160" t="str">
        <f>F801ENE!C55</f>
        <v xml:space="preserve">    - Partidos Políticos</v>
      </c>
      <c r="D68" s="156">
        <f>($D$15*(F801ENE!K55)+$D$16*(F801ENE!R55)+$D$17*(F801ENE!Y55))*0.5</f>
        <v>0</v>
      </c>
      <c r="E68" s="156">
        <f>($D$15*(F801ENE!L55)+$D$16*(F801ENE!S55)+$D$17*(F801ENE!Z55))*0.5</f>
        <v>0</v>
      </c>
      <c r="F68" s="156">
        <f>($D$15*(F801ENE!M55)+$D$16*(F801ENE!T55)+$D$17*(F801ENE!AA55))*0.5</f>
        <v>0</v>
      </c>
      <c r="G68" s="156">
        <f>($D$15*(F801ENE!N55)+$D$16*(F801ENE!U55)+$D$17*(F801ENE!AB55))*0.5</f>
        <v>0</v>
      </c>
      <c r="H68" s="156">
        <f>($D$15*(F801ENE!O55)+$D$16*(F801ENE!V55)+$D$17*(F801ENE!AC55))*0.5</f>
        <v>0</v>
      </c>
      <c r="I68" s="156">
        <f>($D$15*(F801ENE!P55)+$D$16*(F801ENE!W55)+$D$17*(F801ENE!AD55))*0.5</f>
        <v>0</v>
      </c>
      <c r="J68" s="156">
        <f t="shared" si="17"/>
        <v>0</v>
      </c>
    </row>
    <row r="69" spans="2:10" s="37" customFormat="1" ht="13.5">
      <c r="B69" s="48"/>
      <c r="C69" s="160" t="str">
        <f>F801ENE!C56</f>
        <v xml:space="preserve">    - Cruz Roja</v>
      </c>
      <c r="D69" s="156">
        <f>($D$15*(F801ENE!K56)+$D$16*(F801ENE!R56)+$D$17*(F801ENE!Y56))*0</f>
        <v>0</v>
      </c>
      <c r="E69" s="156">
        <f>($D$15*(F801ENE!L56)+$D$16*(F801ENE!S56)+$D$17*(F801ENE!Z56))*0</f>
        <v>0</v>
      </c>
      <c r="F69" s="156">
        <f>($D$15*(F801ENE!M56)+$D$16*(F801ENE!T56)+$D$17*(F801ENE!AA56))*0</f>
        <v>0</v>
      </c>
      <c r="G69" s="156">
        <f>($D$15*(F801ENE!N56)+$D$16*(F801ENE!U56)+$D$17*(F801ENE!AB56))*0</f>
        <v>0</v>
      </c>
      <c r="H69" s="156">
        <f>($D$15*(F801ENE!O56)+$D$16*(F801ENE!V56)+$D$17*(F801ENE!AC56))*0</f>
        <v>0</v>
      </c>
      <c r="I69" s="156">
        <f>($D$15*(F801ENE!P56)+$D$16*(F801ENE!W56)+$D$17*(F801ENE!AD56))*0</f>
        <v>0</v>
      </c>
      <c r="J69" s="156">
        <f t="shared" si="17"/>
        <v>0</v>
      </c>
    </row>
    <row r="70" spans="2:10" s="37" customFormat="1" ht="13.5">
      <c r="B70" s="48" t="s">
        <v>751</v>
      </c>
      <c r="C70" s="158" t="s">
        <v>634</v>
      </c>
      <c r="D70" s="154">
        <f t="shared" ref="D70:I70" si="18">SUBTOTAL(9,D71:D75)</f>
        <v>2278539.449273081</v>
      </c>
      <c r="E70" s="154">
        <f t="shared" si="18"/>
        <v>2279490.3934616228</v>
      </c>
      <c r="F70" s="154">
        <f t="shared" si="18"/>
        <v>2236436.4258604445</v>
      </c>
      <c r="G70" s="154">
        <f t="shared" si="18"/>
        <v>2271676.5302562579</v>
      </c>
      <c r="H70" s="154">
        <f t="shared" si="18"/>
        <v>2173244.0767876604</v>
      </c>
      <c r="I70" s="154">
        <f t="shared" si="18"/>
        <v>2183427.74922742</v>
      </c>
      <c r="J70" s="159">
        <f>SUM(D70:I70)</f>
        <v>13422814.624866486</v>
      </c>
    </row>
    <row r="71" spans="2:10" s="37" customFormat="1" ht="13.5">
      <c r="B71" s="48"/>
      <c r="C71" s="160" t="s">
        <v>304</v>
      </c>
      <c r="D71" s="156">
        <f>($D$14*(F801ENE!D66))*1</f>
        <v>1610243.8518186018</v>
      </c>
      <c r="E71" s="156">
        <f>($D$14*(F801ENE!E66))*1</f>
        <v>1610915.8875650489</v>
      </c>
      <c r="F71" s="156">
        <f>($D$14*(F801ENE!F66))*1</f>
        <v>1580489.4907239175</v>
      </c>
      <c r="G71" s="156">
        <f>($D$14*(F801ENE!G66))*1</f>
        <v>1605393.8017737675</v>
      </c>
      <c r="H71" s="156">
        <f>($D$14*(F801ENE!H66))*1</f>
        <v>1535831.2258220038</v>
      </c>
      <c r="I71" s="156">
        <f>($D$14*(F801ENE!I66))*1</f>
        <v>1543028.0644925409</v>
      </c>
      <c r="J71" s="156">
        <f t="shared" ref="J71:J89" si="19">SUM(D71:I71)</f>
        <v>9485902.3221958801</v>
      </c>
    </row>
    <row r="72" spans="2:10" s="37" customFormat="1" ht="13.5">
      <c r="B72" s="48"/>
      <c r="C72" s="162" t="s">
        <v>644</v>
      </c>
      <c r="D72" s="156">
        <f>($D$14*(F801ENE!D67))*0.75</f>
        <v>668153.29526948382</v>
      </c>
      <c r="E72" s="156">
        <f>($D$14*(F801ENE!E67))*0.75</f>
        <v>668432.14432276855</v>
      </c>
      <c r="F72" s="156">
        <f>($D$14*(F801ENE!F67))*0.75</f>
        <v>655807.26238921867</v>
      </c>
      <c r="G72" s="156">
        <f>($D$14*(F801ENE!G67))*0.75</f>
        <v>666140.85490371997</v>
      </c>
      <c r="H72" s="156">
        <f>($D$14*(F801ENE!H67))*0.75</f>
        <v>637277.12473645271</v>
      </c>
      <c r="I72" s="156">
        <f>($D$14*(F801ENE!I67))*0.75</f>
        <v>640263.32251020637</v>
      </c>
      <c r="J72" s="156">
        <f t="shared" si="19"/>
        <v>3936074.0041318499</v>
      </c>
    </row>
    <row r="73" spans="2:10" s="37" customFormat="1" ht="13.5">
      <c r="B73" s="48"/>
      <c r="C73" s="160" t="s">
        <v>305</v>
      </c>
      <c r="D73" s="156">
        <f>($D$14*(F801ENE!D68))*0.95</f>
        <v>137.32519957217355</v>
      </c>
      <c r="E73" s="156">
        <f>($D$14*(F801ENE!E68))*0.95</f>
        <v>137.38251127319177</v>
      </c>
      <c r="F73" s="156">
        <f>($D$14*(F801ENE!F68))*0.95</f>
        <v>134.78772584988468</v>
      </c>
      <c r="G73" s="156">
        <f>($D$14*(F801ENE!G68))*0.95</f>
        <v>136.91158374955879</v>
      </c>
      <c r="H73" s="156">
        <f>($D$14*(F801ENE!H68))*0.95</f>
        <v>130.97923628726173</v>
      </c>
      <c r="I73" s="156">
        <f>($D$14*(F801ENE!I68))*0.95</f>
        <v>131.59298796392946</v>
      </c>
      <c r="J73" s="156">
        <f>SUM(D73:I73)</f>
        <v>808.97924469600002</v>
      </c>
    </row>
    <row r="74" spans="2:10" s="37" customFormat="1" ht="13.5">
      <c r="B74" s="48"/>
      <c r="C74" s="160" t="s">
        <v>307</v>
      </c>
      <c r="D74" s="156">
        <f>($D$14*(F801ENE!D69))*0.5</f>
        <v>4.9769854226825636</v>
      </c>
      <c r="E74" s="156">
        <f>($D$14*(F801ENE!E69))*0.5</f>
        <v>4.9790625323565747</v>
      </c>
      <c r="F74" s="156">
        <f>($D$14*(F801ENE!F69))*0.5</f>
        <v>4.8850214585622398</v>
      </c>
      <c r="G74" s="156">
        <f>($D$14*(F801ENE!G69))*0.5</f>
        <v>4.9619950208760661</v>
      </c>
      <c r="H74" s="156">
        <f>($D$14*(F801ENE!H69))*0.5</f>
        <v>4.7469929168622063</v>
      </c>
      <c r="I74" s="156">
        <f>($D$14*(F801ENE!I69))*0.5</f>
        <v>4.7692367086603529</v>
      </c>
      <c r="J74" s="156">
        <f t="shared" si="19"/>
        <v>29.319294060000004</v>
      </c>
    </row>
    <row r="75" spans="2:10" s="37" customFormat="1" ht="13.5">
      <c r="B75" s="48"/>
      <c r="C75" s="160" t="s">
        <v>624</v>
      </c>
      <c r="D75" s="156">
        <f>($D$14*(F801ENE!D70))*0</f>
        <v>0</v>
      </c>
      <c r="E75" s="156">
        <f>($D$14*(F801ENE!E70))*0</f>
        <v>0</v>
      </c>
      <c r="F75" s="156">
        <f>($D$14*(F801ENE!F70))*0</f>
        <v>0</v>
      </c>
      <c r="G75" s="156">
        <f>($D$14*(F801ENE!G70))*0</f>
        <v>0</v>
      </c>
      <c r="H75" s="156">
        <f>($D$14*(F801ENE!H70))*0</f>
        <v>0</v>
      </c>
      <c r="I75" s="156">
        <f>($D$14*(F801ENE!I70))*0</f>
        <v>0</v>
      </c>
      <c r="J75" s="156">
        <f t="shared" si="19"/>
        <v>0</v>
      </c>
    </row>
    <row r="76" spans="2:10" s="37" customFormat="1" ht="13.5">
      <c r="B76" s="48" t="s">
        <v>750</v>
      </c>
      <c r="C76" s="158" t="s">
        <v>635</v>
      </c>
      <c r="D76" s="154">
        <f t="shared" ref="D76:I76" si="20">SUBTOTAL(9,D77:D82)</f>
        <v>857235.79670364817</v>
      </c>
      <c r="E76" s="154">
        <f t="shared" si="20"/>
        <v>857593.55800190859</v>
      </c>
      <c r="F76" s="154">
        <f t="shared" si="20"/>
        <v>841395.9267109771</v>
      </c>
      <c r="G76" s="154">
        <f t="shared" si="20"/>
        <v>854653.85041605495</v>
      </c>
      <c r="H76" s="154">
        <f t="shared" si="20"/>
        <v>817621.89547254611</v>
      </c>
      <c r="I76" s="154">
        <f t="shared" si="20"/>
        <v>821453.16540090297</v>
      </c>
      <c r="J76" s="159">
        <f t="shared" si="19"/>
        <v>5049954.1927060382</v>
      </c>
    </row>
    <row r="77" spans="2:10" s="37" customFormat="1" ht="13.5">
      <c r="B77" s="48"/>
      <c r="C77" s="160" t="s">
        <v>304</v>
      </c>
      <c r="D77" s="156">
        <f>($D$14*(F801ENE!D72))*1</f>
        <v>616796.21950929542</v>
      </c>
      <c r="E77" s="156">
        <f>($D$14*(F801ENE!E72))*1</f>
        <v>617053.63505015627</v>
      </c>
      <c r="F77" s="156">
        <f>($D$14*(F801ENE!F72))*1</f>
        <v>605399.15470336098</v>
      </c>
      <c r="G77" s="156">
        <f>($D$14*(F801ENE!G72))*1</f>
        <v>614938.46378410596</v>
      </c>
      <c r="H77" s="156">
        <f>($D$14*(F801ENE!H72))*1</f>
        <v>588293.32145800779</v>
      </c>
      <c r="I77" s="156">
        <f>($D$14*(F801ENE!I72))*1</f>
        <v>591049.98749647359</v>
      </c>
      <c r="J77" s="156">
        <f t="shared" si="19"/>
        <v>3633530.7820014004</v>
      </c>
    </row>
    <row r="78" spans="2:10" s="37" customFormat="1" ht="13.5">
      <c r="B78" s="48"/>
      <c r="C78" s="162" t="s">
        <v>642</v>
      </c>
      <c r="D78" s="156">
        <f>($D$14*(F801ENE!D73))*0.75</f>
        <v>194105.82454628806</v>
      </c>
      <c r="E78" s="156">
        <f>($D$14*(F801ENE!E73))*0.75</f>
        <v>194186.83323964479</v>
      </c>
      <c r="F78" s="156">
        <f>($D$14*(F801ENE!F73))*0.75</f>
        <v>190519.16724912857</v>
      </c>
      <c r="G78" s="156">
        <f>($D$14*(F801ENE!G73))*0.75</f>
        <v>193521.1886561226</v>
      </c>
      <c r="H78" s="156">
        <f>($D$14*(F801ENE!H73))*0.75</f>
        <v>185135.96002181753</v>
      </c>
      <c r="I78" s="156">
        <f>($D$14*(F801ENE!I73))*0.75</f>
        <v>186003.48306665858</v>
      </c>
      <c r="J78" s="156">
        <f>SUM(D78:I78)</f>
        <v>1143472.4567796602</v>
      </c>
    </row>
    <row r="79" spans="2:10" s="37" customFormat="1" ht="13.5">
      <c r="B79" s="48"/>
      <c r="C79" s="162" t="s">
        <v>1177</v>
      </c>
      <c r="D79" s="156">
        <f>($D$14*(F801ENE!D74))*1</f>
        <v>46191.532876602796</v>
      </c>
      <c r="E79" s="156">
        <f>($D$14*(F801ENE!E74))*1</f>
        <v>46210.810586229629</v>
      </c>
      <c r="F79" s="156">
        <f>($D$14*(F801ENE!F74))*1</f>
        <v>45338.012901887458</v>
      </c>
      <c r="G79" s="156">
        <f>($D$14*(F801ENE!G74))*1</f>
        <v>46052.406562363947</v>
      </c>
      <c r="H79" s="156">
        <f>($D$14*(F801ENE!H74))*1</f>
        <v>44056.966368620713</v>
      </c>
      <c r="I79" s="156">
        <f>($D$14*(F801ENE!I74))*1</f>
        <v>44263.411586535491</v>
      </c>
      <c r="J79" s="156">
        <f t="shared" si="19"/>
        <v>272113.14088224003</v>
      </c>
    </row>
    <row r="80" spans="2:10" s="37" customFormat="1" ht="13.5">
      <c r="B80" s="48"/>
      <c r="C80" s="160" t="s">
        <v>305</v>
      </c>
      <c r="D80" s="156">
        <f>($D$14*(F801ENE!D75))*0.95</f>
        <v>135.59946514391072</v>
      </c>
      <c r="E80" s="156">
        <f>($D$14*(F801ENE!E75))*0.95</f>
        <v>135.65605662186795</v>
      </c>
      <c r="F80" s="156">
        <f>($D$14*(F801ENE!F75))*0.95</f>
        <v>133.09387927452147</v>
      </c>
      <c r="G80" s="156">
        <f>($D$14*(F801ENE!G75))*0.95</f>
        <v>135.19104713689998</v>
      </c>
      <c r="H80" s="156">
        <f>($D$14*(F801ENE!H75))*0.95</f>
        <v>129.33325013065902</v>
      </c>
      <c r="I80" s="156">
        <f>($D$14*(F801ENE!I75))*0.95</f>
        <v>129.93928893014089</v>
      </c>
      <c r="J80" s="156">
        <f>SUM(D80:I80)</f>
        <v>798.81298723800001</v>
      </c>
    </row>
    <row r="81" spans="2:10" s="37" customFormat="1" ht="13.5">
      <c r="B81" s="48"/>
      <c r="C81" s="160" t="s">
        <v>307</v>
      </c>
      <c r="D81" s="156">
        <f>($D$14*(F801ENE!D76))*0.5</f>
        <v>6.6203063180884421</v>
      </c>
      <c r="E81" s="156">
        <f>($D$14*(F801ENE!E76))*0.5</f>
        <v>6.623069256118268</v>
      </c>
      <c r="F81" s="156">
        <f>($D$14*(F801ENE!F76))*0.5</f>
        <v>6.4979773255365441</v>
      </c>
      <c r="G81" s="156">
        <f>($D$14*(F801ENE!G76))*0.5</f>
        <v>6.6003663256307687</v>
      </c>
      <c r="H81" s="156">
        <f>($D$14*(F801ENE!H76))*0.5</f>
        <v>6.3143739694711103</v>
      </c>
      <c r="I81" s="156">
        <f>($D$14*(F801ENE!I76))*0.5</f>
        <v>6.3439623051548706</v>
      </c>
      <c r="J81" s="156">
        <f t="shared" si="19"/>
        <v>39.000055500000002</v>
      </c>
    </row>
    <row r="82" spans="2:10" s="37" customFormat="1" ht="13.5">
      <c r="B82" s="48"/>
      <c r="C82" s="160" t="s">
        <v>624</v>
      </c>
      <c r="D82" s="156">
        <f>($D$14*(F801ENE!D77))*0</f>
        <v>0</v>
      </c>
      <c r="E82" s="156">
        <f>($D$14*(F801ENE!E77))*0</f>
        <v>0</v>
      </c>
      <c r="F82" s="156">
        <f>($D$14*(F801ENE!F77))*0</f>
        <v>0</v>
      </c>
      <c r="G82" s="156">
        <f>($D$14*(F801ENE!G77))*0</f>
        <v>0</v>
      </c>
      <c r="H82" s="156">
        <f>($D$14*(F801ENE!H77))*0</f>
        <v>0</v>
      </c>
      <c r="I82" s="156">
        <f>($D$14*(F801ENE!I77))*0</f>
        <v>0</v>
      </c>
      <c r="J82" s="156">
        <f t="shared" si="19"/>
        <v>0</v>
      </c>
    </row>
    <row r="83" spans="2:10" s="37" customFormat="1" ht="13.5">
      <c r="B83" s="48" t="s">
        <v>749</v>
      </c>
      <c r="C83" s="158" t="s">
        <v>636</v>
      </c>
      <c r="D83" s="154">
        <f t="shared" ref="D83:I83" si="21">SUBTOTAL(9,D84:D89)</f>
        <v>847944.88331816345</v>
      </c>
      <c r="E83" s="154">
        <f t="shared" si="21"/>
        <v>848298.76711941836</v>
      </c>
      <c r="F83" s="154">
        <f t="shared" si="21"/>
        <v>832276.68938090804</v>
      </c>
      <c r="G83" s="154">
        <f t="shared" si="21"/>
        <v>845390.92074218881</v>
      </c>
      <c r="H83" s="154">
        <f t="shared" si="21"/>
        <v>808760.32641287544</v>
      </c>
      <c r="I83" s="154">
        <f t="shared" si="21"/>
        <v>812550.07218043832</v>
      </c>
      <c r="J83" s="159">
        <f t="shared" si="19"/>
        <v>4995221.6591539923</v>
      </c>
    </row>
    <row r="84" spans="2:10" s="37" customFormat="1" ht="13.5">
      <c r="B84" s="48"/>
      <c r="C84" s="160" t="s">
        <v>304</v>
      </c>
      <c r="D84" s="156">
        <f>($D$14*(F801ENE!D79))*1</f>
        <v>772037.83403838973</v>
      </c>
      <c r="E84" s="156">
        <f>($D$14*(F801ENE!E79))*1</f>
        <v>772360.03856936458</v>
      </c>
      <c r="F84" s="156">
        <f>($D$14*(F801ENE!F79))*1</f>
        <v>757772.23877555074</v>
      </c>
      <c r="G84" s="156">
        <f>($D$14*(F801ENE!G79))*1</f>
        <v>769712.49925052619</v>
      </c>
      <c r="H84" s="156">
        <f>($D$14*(F801ENE!H79))*1</f>
        <v>736361.03353393811</v>
      </c>
      <c r="I84" s="156">
        <f>($D$14*(F801ENE!I79))*1</f>
        <v>739811.52562547126</v>
      </c>
      <c r="J84" s="156">
        <f t="shared" si="19"/>
        <v>4548055.1697932407</v>
      </c>
    </row>
    <row r="85" spans="2:10" s="37" customFormat="1" ht="13.5">
      <c r="B85" s="48"/>
      <c r="C85" s="162" t="s">
        <v>642</v>
      </c>
      <c r="D85" s="156">
        <f>($D$14*(F801ENE!D80))*0.75</f>
        <v>0</v>
      </c>
      <c r="E85" s="156">
        <f>($D$14*(F801ENE!E80))*0.75</f>
        <v>0</v>
      </c>
      <c r="F85" s="156">
        <f>($D$14*(F801ENE!F80))*0.75</f>
        <v>0</v>
      </c>
      <c r="G85" s="156">
        <f>($D$14*(F801ENE!G80))*0.75</f>
        <v>0</v>
      </c>
      <c r="H85" s="156">
        <f>($D$14*(F801ENE!H80))*0.75</f>
        <v>0</v>
      </c>
      <c r="I85" s="156">
        <f>($D$14*(F801ENE!I80))*0.75</f>
        <v>0</v>
      </c>
      <c r="J85" s="156">
        <f t="shared" si="19"/>
        <v>0</v>
      </c>
    </row>
    <row r="86" spans="2:10" s="37" customFormat="1" ht="13.5">
      <c r="B86" s="48"/>
      <c r="C86" s="162" t="s">
        <v>1177</v>
      </c>
      <c r="D86" s="156">
        <f>($D$14*(F801ENE!D81))*1</f>
        <v>75369.705125927736</v>
      </c>
      <c r="E86" s="156">
        <f>($D$14*(F801ENE!E81))*1</f>
        <v>75401.160139424668</v>
      </c>
      <c r="F86" s="156">
        <f>($D$14*(F801ENE!F81))*1</f>
        <v>73977.035413380276</v>
      </c>
      <c r="G86" s="156">
        <f>($D$14*(F801ENE!G81))*1</f>
        <v>75142.695788362529</v>
      </c>
      <c r="H86" s="156">
        <f>($D$14*(F801ENE!H81))*1</f>
        <v>71886.780047254244</v>
      </c>
      <c r="I86" s="156">
        <f>($D$14*(F801ENE!I81))*1</f>
        <v>72223.632154770603</v>
      </c>
      <c r="J86" s="156">
        <f>SUM(D86:I86)</f>
        <v>444001.00866912003</v>
      </c>
    </row>
    <row r="87" spans="2:10" s="37" customFormat="1" ht="13.5">
      <c r="B87" s="48"/>
      <c r="C87" s="160" t="s">
        <v>305</v>
      </c>
      <c r="D87" s="156">
        <f>($D$14*(F801ENE!D82))*0.95</f>
        <v>535.10933642357907</v>
      </c>
      <c r="E87" s="156">
        <f>($D$14*(F801ENE!E82))*0.95</f>
        <v>535.33266052139004</v>
      </c>
      <c r="F87" s="156">
        <f>($D$14*(F801ENE!F82))*0.95</f>
        <v>525.22166916399033</v>
      </c>
      <c r="G87" s="156">
        <f>($D$14*(F801ENE!G82))*0.95</f>
        <v>533.49761702274657</v>
      </c>
      <c r="H87" s="156">
        <f>($D$14*(F801ENE!H82))*0.95</f>
        <v>510.38128787213429</v>
      </c>
      <c r="I87" s="156">
        <f>($D$14*(F801ENE!I82))*0.95</f>
        <v>512.7728682481594</v>
      </c>
      <c r="J87" s="156">
        <f>SUM(D87:I87)</f>
        <v>3152.3154392519996</v>
      </c>
    </row>
    <row r="88" spans="2:10" s="37" customFormat="1" ht="13.5">
      <c r="B88" s="48"/>
      <c r="C88" s="160" t="s">
        <v>307</v>
      </c>
      <c r="D88" s="156">
        <f>($D$14*(F801ENE!D83))*0.5</f>
        <v>2.2348174225173318</v>
      </c>
      <c r="E88" s="156">
        <f>($D$14*(F801ENE!E83))*0.5</f>
        <v>2.2357501077662789</v>
      </c>
      <c r="F88" s="156">
        <f>($D$14*(F801ENE!F83))*0.5</f>
        <v>2.1935228130689715</v>
      </c>
      <c r="G88" s="156">
        <f>($D$14*(F801ENE!G83))*0.5</f>
        <v>2.2280862773998442</v>
      </c>
      <c r="H88" s="156">
        <f>($D$14*(F801ENE!H83))*0.5</f>
        <v>2.1315438110027709</v>
      </c>
      <c r="I88" s="156">
        <f>($D$14*(F801ENE!I83))*0.5</f>
        <v>2.1415319482448028</v>
      </c>
      <c r="J88" s="156">
        <f t="shared" si="19"/>
        <v>13.16525238</v>
      </c>
    </row>
    <row r="89" spans="2:10" s="37" customFormat="1" ht="13.5">
      <c r="B89" s="48"/>
      <c r="C89" s="160" t="s">
        <v>624</v>
      </c>
      <c r="D89" s="156">
        <f>($D$14*(F801ENE!D84))*0</f>
        <v>0</v>
      </c>
      <c r="E89" s="156">
        <f>($D$14*(F801ENE!E84))*0</f>
        <v>0</v>
      </c>
      <c r="F89" s="156">
        <f>($D$14*(F801ENE!F84))*0</f>
        <v>0</v>
      </c>
      <c r="G89" s="156">
        <f>($D$14*(F801ENE!G84))*0</f>
        <v>0</v>
      </c>
      <c r="H89" s="156">
        <f>($D$14*(F801ENE!H84))*0</f>
        <v>0</v>
      </c>
      <c r="I89" s="156">
        <f>($D$14*(F801ENE!I84))*0</f>
        <v>0</v>
      </c>
      <c r="J89" s="156">
        <f t="shared" si="19"/>
        <v>0</v>
      </c>
    </row>
    <row r="90" spans="2:10" s="37" customFormat="1" ht="13.5">
      <c r="B90" s="48"/>
      <c r="C90" s="157"/>
      <c r="D90" s="156"/>
      <c r="E90" s="156"/>
      <c r="F90" s="156"/>
      <c r="G90" s="156"/>
      <c r="H90" s="156"/>
      <c r="I90" s="156"/>
      <c r="J90" s="156"/>
    </row>
    <row r="91" spans="2:10" s="37" customFormat="1" ht="13.5">
      <c r="B91" s="48" t="s">
        <v>902</v>
      </c>
      <c r="C91" s="158" t="s">
        <v>898</v>
      </c>
      <c r="D91" s="154">
        <f t="shared" ref="D91:I91" si="22">SUBTOTAL(9,D92:D96)</f>
        <v>390841.13576688617</v>
      </c>
      <c r="E91" s="154">
        <f t="shared" si="22"/>
        <v>391004.25055127015</v>
      </c>
      <c r="F91" s="154">
        <f t="shared" si="22"/>
        <v>383619.23392594414</v>
      </c>
      <c r="G91" s="154">
        <f t="shared" si="22"/>
        <v>389663.94411971921</v>
      </c>
      <c r="H91" s="154">
        <f t="shared" si="22"/>
        <v>372779.89496376365</v>
      </c>
      <c r="I91" s="154">
        <f t="shared" si="22"/>
        <v>374526.69309793686</v>
      </c>
      <c r="J91" s="159">
        <f t="shared" ref="J91:J101" si="23">SUM(D91:I91)</f>
        <v>2302435.1524255201</v>
      </c>
    </row>
    <row r="92" spans="2:10" s="37" customFormat="1" ht="13.5">
      <c r="B92" s="48"/>
      <c r="C92" s="160" t="s">
        <v>304</v>
      </c>
      <c r="D92" s="156">
        <f>$D$13*F801ENE!D87*1</f>
        <v>375915.62918650667</v>
      </c>
      <c r="E92" s="156">
        <f>$D$13*F801ENE!E87*1</f>
        <v>376072.51491625723</v>
      </c>
      <c r="F92" s="156">
        <f>$D$13*F801ENE!F87*1</f>
        <v>368969.5185394428</v>
      </c>
      <c r="G92" s="156">
        <f>$D$13*F801ENE!G87*1</f>
        <v>374783.39233060466</v>
      </c>
      <c r="H92" s="156">
        <f>$D$13*F801ENE!H87*1</f>
        <v>358544.11406419787</v>
      </c>
      <c r="I92" s="156">
        <f>$D$13*F801ENE!I87*1</f>
        <v>360224.20517943095</v>
      </c>
      <c r="J92" s="156">
        <f t="shared" si="23"/>
        <v>2214509.3742164401</v>
      </c>
    </row>
    <row r="93" spans="2:10" s="37" customFormat="1" ht="13.5">
      <c r="B93" s="48"/>
      <c r="C93" s="162" t="s">
        <v>644</v>
      </c>
      <c r="D93" s="156">
        <f>$D$13*F801ENE!D88*0.75</f>
        <v>14925.50658037949</v>
      </c>
      <c r="E93" s="156">
        <f>$D$13*F801ENE!E88*0.75</f>
        <v>14931.735635012912</v>
      </c>
      <c r="F93" s="156">
        <f>$D$13*F801ENE!F88*0.75</f>
        <v>14649.715386501361</v>
      </c>
      <c r="G93" s="156">
        <f>$D$13*F801ENE!G88*0.75</f>
        <v>14880.551789114535</v>
      </c>
      <c r="H93" s="156">
        <f>$D$13*F801ENE!H88*0.75</f>
        <v>14235.780899565767</v>
      </c>
      <c r="I93" s="156">
        <f>$D$13*F801ENE!I88*0.75</f>
        <v>14302.487918505934</v>
      </c>
      <c r="J93" s="156">
        <f t="shared" si="23"/>
        <v>87925.778209080003</v>
      </c>
    </row>
    <row r="94" spans="2:10" s="37" customFormat="1" ht="13.5">
      <c r="B94" s="48"/>
      <c r="C94" s="160" t="s">
        <v>305</v>
      </c>
      <c r="D94" s="156">
        <f>$D$13*F801ENE!D89*0.95</f>
        <v>0</v>
      </c>
      <c r="E94" s="156">
        <f>$D$13*F801ENE!E89*0.95</f>
        <v>0</v>
      </c>
      <c r="F94" s="156">
        <f>$D$13*F801ENE!F89*0.95</f>
        <v>0</v>
      </c>
      <c r="G94" s="156">
        <f>$D$13*F801ENE!G89*0.95</f>
        <v>0</v>
      </c>
      <c r="H94" s="156">
        <f>$D$13*F801ENE!H89*0.95</f>
        <v>0</v>
      </c>
      <c r="I94" s="156">
        <f>$D$13*F801ENE!I89*0.95</f>
        <v>0</v>
      </c>
      <c r="J94" s="156">
        <f t="shared" si="23"/>
        <v>0</v>
      </c>
    </row>
    <row r="95" spans="2:10" s="37" customFormat="1" ht="13.5">
      <c r="B95" s="48"/>
      <c r="C95" s="160" t="s">
        <v>307</v>
      </c>
      <c r="D95" s="156">
        <f>$D$13*F801ENE!D90*0.5</f>
        <v>0</v>
      </c>
      <c r="E95" s="156">
        <f>$D$13*F801ENE!E90*0.5</f>
        <v>0</v>
      </c>
      <c r="F95" s="156">
        <f>$D$13*F801ENE!F90*0.5</f>
        <v>0</v>
      </c>
      <c r="G95" s="156">
        <f>$D$13*F801ENE!G90*0.5</f>
        <v>0</v>
      </c>
      <c r="H95" s="156">
        <f>$D$13*F801ENE!H90*0.5</f>
        <v>0</v>
      </c>
      <c r="I95" s="156">
        <f>$D$13*F801ENE!I90*0.5</f>
        <v>0</v>
      </c>
      <c r="J95" s="156">
        <f t="shared" si="23"/>
        <v>0</v>
      </c>
    </row>
    <row r="96" spans="2:10" s="37" customFormat="1" ht="13.5">
      <c r="B96" s="48"/>
      <c r="C96" s="160" t="s">
        <v>624</v>
      </c>
      <c r="D96" s="156">
        <f>$D$13*F801ENE!D91*0</f>
        <v>0</v>
      </c>
      <c r="E96" s="156">
        <f>$D$13*F801ENE!E91*0</f>
        <v>0</v>
      </c>
      <c r="F96" s="156">
        <f>$D$13*F801ENE!F91*0</f>
        <v>0</v>
      </c>
      <c r="G96" s="156">
        <f>$D$13*F801ENE!G91*0</f>
        <v>0</v>
      </c>
      <c r="H96" s="156">
        <f>$D$13*F801ENE!H91*0</f>
        <v>0</v>
      </c>
      <c r="I96" s="156">
        <f>$D$13*F801ENE!I91*0</f>
        <v>0</v>
      </c>
      <c r="J96" s="156">
        <f t="shared" si="23"/>
        <v>0</v>
      </c>
    </row>
    <row r="97" spans="2:10" s="37" customFormat="1" ht="13.5">
      <c r="B97" s="48" t="s">
        <v>902</v>
      </c>
      <c r="C97" s="158" t="s">
        <v>899</v>
      </c>
      <c r="D97" s="154">
        <f t="shared" ref="D97:I97" si="24">SUBTOTAL(9,D98:D103)</f>
        <v>30934.81422728999</v>
      </c>
      <c r="E97" s="154">
        <f t="shared" si="24"/>
        <v>30947.724653268418</v>
      </c>
      <c r="F97" s="154">
        <f t="shared" si="24"/>
        <v>30363.2055316523</v>
      </c>
      <c r="G97" s="154">
        <f t="shared" si="24"/>
        <v>30841.640296548099</v>
      </c>
      <c r="H97" s="154">
        <f t="shared" si="24"/>
        <v>29505.279109747527</v>
      </c>
      <c r="I97" s="154">
        <f t="shared" si="24"/>
        <v>29643.537012583678</v>
      </c>
      <c r="J97" s="159">
        <f t="shared" si="23"/>
        <v>182236.20083109004</v>
      </c>
    </row>
    <row r="98" spans="2:10" s="37" customFormat="1" ht="13.5">
      <c r="B98" s="48"/>
      <c r="C98" s="160" t="s">
        <v>304</v>
      </c>
      <c r="D98" s="156">
        <f>$D$13*F801ENE!D93*1</f>
        <v>28100.292335267208</v>
      </c>
      <c r="E98" s="156">
        <f>$D$13*F801ENE!E93*1</f>
        <v>28112.019793576837</v>
      </c>
      <c r="F98" s="156">
        <f>$D$13*F801ENE!F93*1</f>
        <v>27581.059495180198</v>
      </c>
      <c r="G98" s="156">
        <f>$D$13*F801ENE!G93*1</f>
        <v>28015.655825972663</v>
      </c>
      <c r="H98" s="156">
        <f>$D$13*F801ENE!H93*1</f>
        <v>26801.74389688556</v>
      </c>
      <c r="I98" s="156">
        <f>$D$13*F801ENE!I93*1</f>
        <v>26927.333385117541</v>
      </c>
      <c r="J98" s="156">
        <f t="shared" si="23"/>
        <v>165538.10473199998</v>
      </c>
    </row>
    <row r="99" spans="2:10" s="37" customFormat="1" ht="13.5">
      <c r="B99" s="48"/>
      <c r="C99" s="162" t="s">
        <v>642</v>
      </c>
      <c r="D99" s="156">
        <f>$D$13*F801ENE!D94*0.75</f>
        <v>2570.3630078480201</v>
      </c>
      <c r="E99" s="156">
        <f>$D$13*F801ENE!E94*0.75</f>
        <v>2571.43573067437</v>
      </c>
      <c r="F99" s="156">
        <f>$D$13*F801ENE!F94*0.75</f>
        <v>2522.8682391567872</v>
      </c>
      <c r="G99" s="156">
        <f>$D$13*F801ENE!G94*0.75</f>
        <v>2562.6212181894452</v>
      </c>
      <c r="H99" s="156">
        <f>$D$13*F801ENE!H94*0.75</f>
        <v>2451.5834296823514</v>
      </c>
      <c r="I99" s="156">
        <f>$D$13*F801ENE!I94*0.75</f>
        <v>2463.0712309790274</v>
      </c>
      <c r="J99" s="156">
        <f t="shared" si="23"/>
        <v>15141.942856530002</v>
      </c>
    </row>
    <row r="100" spans="2:10" s="37" customFormat="1" ht="13.5">
      <c r="B100" s="48"/>
      <c r="C100" s="162" t="s">
        <v>1177</v>
      </c>
      <c r="D100" s="156">
        <f>$D$13*F801ENE!D95*1</f>
        <v>264.15888417476179</v>
      </c>
      <c r="E100" s="156">
        <f>$D$13*F801ENE!E95*1</f>
        <v>264.26912901721101</v>
      </c>
      <c r="F100" s="156">
        <f>$D$13*F801ENE!F95*1</f>
        <v>259.27779731531535</v>
      </c>
      <c r="G100" s="156">
        <f>$D$13*F801ENE!G95*1</f>
        <v>263.3632523859909</v>
      </c>
      <c r="H100" s="156">
        <f>$D$13*F801ENE!H95*1</f>
        <v>251.95178317961435</v>
      </c>
      <c r="I100" s="156">
        <f>$D$13*F801ENE!I95*1</f>
        <v>253.13239648710663</v>
      </c>
      <c r="J100" s="156">
        <f t="shared" si="23"/>
        <v>1556.1532425599999</v>
      </c>
    </row>
    <row r="101" spans="2:10" s="37" customFormat="1" ht="13.5">
      <c r="B101" s="48"/>
      <c r="C101" s="160" t="s">
        <v>305</v>
      </c>
      <c r="D101" s="156">
        <f>$D$13*F801ENE!D96*0.95</f>
        <v>0</v>
      </c>
      <c r="E101" s="156">
        <f>$D$13*F801ENE!E96*0.95</f>
        <v>0</v>
      </c>
      <c r="F101" s="156">
        <f>$D$13*F801ENE!F96*0.95</f>
        <v>0</v>
      </c>
      <c r="G101" s="156">
        <f>$D$13*F801ENE!G96*0.95</f>
        <v>0</v>
      </c>
      <c r="H101" s="156">
        <f>$D$13*F801ENE!H96*0.95</f>
        <v>0</v>
      </c>
      <c r="I101" s="156">
        <f>$D$13*F801ENE!I96*0.95</f>
        <v>0</v>
      </c>
      <c r="J101" s="156">
        <f t="shared" si="23"/>
        <v>0</v>
      </c>
    </row>
    <row r="102" spans="2:10" s="37" customFormat="1" ht="13.5">
      <c r="B102" s="48"/>
      <c r="C102" s="160" t="s">
        <v>307</v>
      </c>
      <c r="D102" s="156">
        <f>$D$13*F801ENE!D97*0.5</f>
        <v>0</v>
      </c>
      <c r="E102" s="156">
        <f>$D$13*F801ENE!E97*0.5</f>
        <v>0</v>
      </c>
      <c r="F102" s="156">
        <f>$D$13*F801ENE!F97*0.5</f>
        <v>0</v>
      </c>
      <c r="G102" s="156">
        <f>$D$13*F801ENE!G97*0.5</f>
        <v>0</v>
      </c>
      <c r="H102" s="156">
        <f>$D$13*F801ENE!H97*0.5</f>
        <v>0</v>
      </c>
      <c r="I102" s="156">
        <f>$D$13*F801ENE!I97*0.5</f>
        <v>0</v>
      </c>
      <c r="J102" s="156">
        <f t="shared" ref="J102:J110" si="25">SUM(D102:I102)</f>
        <v>0</v>
      </c>
    </row>
    <row r="103" spans="2:10" s="37" customFormat="1" ht="13.5">
      <c r="B103" s="48"/>
      <c r="C103" s="160" t="s">
        <v>624</v>
      </c>
      <c r="D103" s="156">
        <f>$D$13*F801ENE!D98*0</f>
        <v>0</v>
      </c>
      <c r="E103" s="156">
        <f>$D$13*F801ENE!E98*0</f>
        <v>0</v>
      </c>
      <c r="F103" s="156">
        <f>$D$13*F801ENE!F98*0</f>
        <v>0</v>
      </c>
      <c r="G103" s="156">
        <f>$D$13*F801ENE!G98*0</f>
        <v>0</v>
      </c>
      <c r="H103" s="156">
        <f>$D$13*F801ENE!H98*0</f>
        <v>0</v>
      </c>
      <c r="I103" s="156">
        <f>$D$13*F801ENE!I98*0</f>
        <v>0</v>
      </c>
      <c r="J103" s="156">
        <f t="shared" si="25"/>
        <v>0</v>
      </c>
    </row>
    <row r="104" spans="2:10" s="37" customFormat="1" ht="13.5">
      <c r="B104" s="48" t="s">
        <v>902</v>
      </c>
      <c r="C104" s="158" t="s">
        <v>900</v>
      </c>
      <c r="D104" s="154">
        <f t="shared" ref="D104:I104" si="26">SUBTOTAL(9,D105:D110)</f>
        <v>3420.9300640725569</v>
      </c>
      <c r="E104" s="154">
        <f t="shared" si="26"/>
        <v>3422.3577650454831</v>
      </c>
      <c r="F104" s="154">
        <f t="shared" si="26"/>
        <v>3357.7186493401146</v>
      </c>
      <c r="G104" s="154">
        <f t="shared" si="26"/>
        <v>3410.6264139998316</v>
      </c>
      <c r="H104" s="154">
        <f t="shared" si="26"/>
        <v>3262.8447552254661</v>
      </c>
      <c r="I104" s="154">
        <f t="shared" si="26"/>
        <v>3278.134021646551</v>
      </c>
      <c r="J104" s="159">
        <f t="shared" si="25"/>
        <v>20152.611669330003</v>
      </c>
    </row>
    <row r="105" spans="2:10" s="37" customFormat="1" ht="13.5">
      <c r="B105" s="48"/>
      <c r="C105" s="160" t="s">
        <v>304</v>
      </c>
      <c r="D105" s="156">
        <f>$D$13*F801ENE!D100*1</f>
        <v>3323.4482190594626</v>
      </c>
      <c r="E105" s="156">
        <f>$D$13*F801ENE!E100*1</f>
        <v>3324.8352366736644</v>
      </c>
      <c r="F105" s="156">
        <f>$D$13*F801ENE!F100*1</f>
        <v>3262.0380587281907</v>
      </c>
      <c r="G105" s="156">
        <f>$D$13*F801ENE!G100*1</f>
        <v>3313.4381788532492</v>
      </c>
      <c r="H105" s="156">
        <f>$D$13*F801ENE!H100*1</f>
        <v>3169.8676639744331</v>
      </c>
      <c r="I105" s="156">
        <f>$D$13*F801ENE!I100*1</f>
        <v>3184.7212518310025</v>
      </c>
      <c r="J105" s="156">
        <f t="shared" si="25"/>
        <v>19578.348609120003</v>
      </c>
    </row>
    <row r="106" spans="2:10" s="37" customFormat="1" ht="13.5">
      <c r="B106" s="48"/>
      <c r="C106" s="162" t="s">
        <v>642</v>
      </c>
      <c r="D106" s="156">
        <f>$D$13*F801ENE!D101*0.75</f>
        <v>97.481845013094045</v>
      </c>
      <c r="E106" s="156">
        <f>$D$13*F801ENE!E101*0.75</f>
        <v>97.522528371818481</v>
      </c>
      <c r="F106" s="156">
        <f>$D$13*F801ENE!F101*0.75</f>
        <v>95.68059061192379</v>
      </c>
      <c r="G106" s="156">
        <f>$D$13*F801ENE!G101*0.75</f>
        <v>97.188235146582258</v>
      </c>
      <c r="H106" s="156">
        <f>$D$13*F801ENE!H101*0.75</f>
        <v>92.977091251032817</v>
      </c>
      <c r="I106" s="156">
        <f>$D$13*F801ENE!I101*0.75</f>
        <v>93.412769815548629</v>
      </c>
      <c r="J106" s="156">
        <f t="shared" si="25"/>
        <v>574.26306020999994</v>
      </c>
    </row>
    <row r="107" spans="2:10" s="37" customFormat="1" ht="13.5">
      <c r="B107" s="48"/>
      <c r="C107" s="162" t="s">
        <v>1177</v>
      </c>
      <c r="D107" s="156">
        <f>$D$13*F801ENE!D102*1</f>
        <v>0</v>
      </c>
      <c r="E107" s="156">
        <f>$D$13*F801ENE!E102*1</f>
        <v>0</v>
      </c>
      <c r="F107" s="156">
        <f>$D$13*F801ENE!F102*1</f>
        <v>0</v>
      </c>
      <c r="G107" s="156">
        <f>$D$13*F801ENE!G102*1</f>
        <v>0</v>
      </c>
      <c r="H107" s="156">
        <f>$D$13*F801ENE!H102*1</f>
        <v>0</v>
      </c>
      <c r="I107" s="156">
        <f>$D$13*F801ENE!I102*1</f>
        <v>0</v>
      </c>
      <c r="J107" s="156">
        <f t="shared" si="25"/>
        <v>0</v>
      </c>
    </row>
    <row r="108" spans="2:10" s="37" customFormat="1" ht="13.5">
      <c r="B108" s="48"/>
      <c r="C108" s="160" t="s">
        <v>305</v>
      </c>
      <c r="D108" s="156">
        <f>$D$13*F801ENE!D103*0.95</f>
        <v>0</v>
      </c>
      <c r="E108" s="156">
        <f>$D$13*F801ENE!E103*0.95</f>
        <v>0</v>
      </c>
      <c r="F108" s="156">
        <f>$D$13*F801ENE!F103*0.95</f>
        <v>0</v>
      </c>
      <c r="G108" s="156">
        <f>$D$13*F801ENE!G103*0.95</f>
        <v>0</v>
      </c>
      <c r="H108" s="156">
        <f>$D$13*F801ENE!H103*0.95</f>
        <v>0</v>
      </c>
      <c r="I108" s="156">
        <f>$D$13*F801ENE!I103*0.95</f>
        <v>0</v>
      </c>
      <c r="J108" s="156">
        <f t="shared" si="25"/>
        <v>0</v>
      </c>
    </row>
    <row r="109" spans="2:10" s="37" customFormat="1" ht="13.5">
      <c r="B109" s="48"/>
      <c r="C109" s="160" t="s">
        <v>307</v>
      </c>
      <c r="D109" s="156">
        <f>$D$13*F801ENE!D104*0.5</f>
        <v>0</v>
      </c>
      <c r="E109" s="156">
        <f>$D$13*F801ENE!E104*0.5</f>
        <v>0</v>
      </c>
      <c r="F109" s="156">
        <f>$D$13*F801ENE!F104*0.5</f>
        <v>0</v>
      </c>
      <c r="G109" s="156">
        <f>$D$13*F801ENE!G104*0.5</f>
        <v>0</v>
      </c>
      <c r="H109" s="156">
        <f>$D$13*F801ENE!H104*0.5</f>
        <v>0</v>
      </c>
      <c r="I109" s="156">
        <f>$D$13*F801ENE!I104*0.5</f>
        <v>0</v>
      </c>
      <c r="J109" s="156">
        <f t="shared" si="25"/>
        <v>0</v>
      </c>
    </row>
    <row r="110" spans="2:10" s="37" customFormat="1" ht="13.5">
      <c r="B110" s="48"/>
      <c r="C110" s="160" t="s">
        <v>624</v>
      </c>
      <c r="D110" s="156">
        <f>$D$13*F801ENE!D105*0</f>
        <v>0</v>
      </c>
      <c r="E110" s="156">
        <f>$D$13*F801ENE!E105*0</f>
        <v>0</v>
      </c>
      <c r="F110" s="156">
        <f>$D$13*F801ENE!F105*0</f>
        <v>0</v>
      </c>
      <c r="G110" s="156">
        <f>$D$13*F801ENE!G105*0</f>
        <v>0</v>
      </c>
      <c r="H110" s="156">
        <f>$D$13*F801ENE!H105*0</f>
        <v>0</v>
      </c>
      <c r="I110" s="156">
        <f>$D$13*F801ENE!I105*0</f>
        <v>0</v>
      </c>
      <c r="J110" s="156">
        <f t="shared" si="25"/>
        <v>0</v>
      </c>
    </row>
    <row r="111" spans="2:10" s="37" customFormat="1" ht="13.5">
      <c r="B111" s="48"/>
      <c r="C111" s="157"/>
      <c r="D111" s="156"/>
      <c r="E111" s="156"/>
      <c r="F111" s="156"/>
      <c r="G111" s="156"/>
      <c r="H111" s="156"/>
      <c r="I111" s="156"/>
      <c r="J111" s="156"/>
    </row>
    <row r="112" spans="2:10" s="37" customFormat="1" ht="13.5">
      <c r="B112" s="48"/>
      <c r="C112" s="153" t="s">
        <v>112</v>
      </c>
      <c r="D112" s="154">
        <f t="shared" ref="D112:I112" si="27">SUM(D35,D25,D21)</f>
        <v>8258468.6317437096</v>
      </c>
      <c r="E112" s="154">
        <f t="shared" si="27"/>
        <v>8261915.2448523557</v>
      </c>
      <c r="F112" s="154">
        <f t="shared" si="27"/>
        <v>8231816.2775958264</v>
      </c>
      <c r="G112" s="154">
        <f t="shared" si="27"/>
        <v>8233594.5887326188</v>
      </c>
      <c r="H112" s="154">
        <f t="shared" si="27"/>
        <v>7999222.5239326451</v>
      </c>
      <c r="I112" s="154">
        <f t="shared" si="27"/>
        <v>7913744.6867292477</v>
      </c>
      <c r="J112" s="154">
        <f>SUM(D112:I112)</f>
        <v>48898761.9535864</v>
      </c>
    </row>
    <row r="113" spans="1:10">
      <c r="A113" s="37"/>
      <c r="C113" s="48"/>
      <c r="D113" s="48"/>
      <c r="E113" s="48"/>
      <c r="F113" s="48"/>
      <c r="G113" s="48"/>
      <c r="H113" s="48"/>
      <c r="I113" s="48"/>
      <c r="J113" s="48"/>
    </row>
    <row r="114" spans="1:10" ht="54" customHeight="1">
      <c r="A114" s="37"/>
      <c r="C114" s="149" t="s">
        <v>1407</v>
      </c>
      <c r="D114" s="149"/>
      <c r="E114" s="149"/>
      <c r="F114" s="149"/>
      <c r="G114" s="149"/>
      <c r="H114" s="149"/>
      <c r="I114" s="149"/>
      <c r="J114" s="149"/>
    </row>
    <row r="115" spans="1:10" s="37" customFormat="1" ht="13.5">
      <c r="B115" s="48"/>
      <c r="C115" s="150" t="s">
        <v>310</v>
      </c>
      <c r="D115" s="151">
        <f t="shared" ref="D115:I115" si="28">D20</f>
        <v>46204</v>
      </c>
      <c r="E115" s="151">
        <f t="shared" si="28"/>
        <v>46235</v>
      </c>
      <c r="F115" s="151">
        <f t="shared" si="28"/>
        <v>46266</v>
      </c>
      <c r="G115" s="151">
        <f t="shared" si="28"/>
        <v>46296</v>
      </c>
      <c r="H115" s="151">
        <f t="shared" si="28"/>
        <v>46327</v>
      </c>
      <c r="I115" s="151">
        <f t="shared" si="28"/>
        <v>46357</v>
      </c>
      <c r="J115" s="152" t="s">
        <v>111</v>
      </c>
    </row>
    <row r="116" spans="1:10" s="37" customFormat="1" ht="13.5">
      <c r="B116" s="48"/>
      <c r="C116" s="153" t="s">
        <v>230</v>
      </c>
      <c r="D116" s="154">
        <f t="shared" ref="D116:I116" si="29">SUM(D117:D118)</f>
        <v>62858.188893745137</v>
      </c>
      <c r="E116" s="154">
        <f t="shared" si="29"/>
        <v>60503.94000711132</v>
      </c>
      <c r="F116" s="154">
        <f t="shared" si="29"/>
        <v>67069.633501593024</v>
      </c>
      <c r="G116" s="154">
        <f t="shared" si="29"/>
        <v>68445.104789700432</v>
      </c>
      <c r="H116" s="154">
        <f t="shared" si="29"/>
        <v>69391.627385671483</v>
      </c>
      <c r="I116" s="154">
        <f t="shared" si="29"/>
        <v>67636.419565378514</v>
      </c>
      <c r="J116" s="154">
        <f>SUM(D116:I116)</f>
        <v>395904.91414319992</v>
      </c>
    </row>
    <row r="117" spans="1:10" s="37" customFormat="1" ht="13.5">
      <c r="B117" s="48" t="s">
        <v>870</v>
      </c>
      <c r="C117" s="157" t="s">
        <v>1026</v>
      </c>
      <c r="D117" s="156">
        <f>$D$7*F801ENE!D116+$F$7*F801D!K116+$G$7*F801D!R116+$H$7*F801D!Y116</f>
        <v>41486.903022717961</v>
      </c>
      <c r="E117" s="156">
        <f>$D$7*F801ENE!E116+$F$7*F801D!L116+$G$7*F801D!S116+$H$7*F801D!Z116</f>
        <v>40123.003807111323</v>
      </c>
      <c r="F117" s="156">
        <f>$D$7*F801ENE!F116+$F$7*F801D!M116+$G$7*F801D!T116+$H$7*F801D!AA116</f>
        <v>44435.308767187504</v>
      </c>
      <c r="G117" s="156">
        <f>$D$7*F801ENE!G116+$F$7*F801D!N116+$G$7*F801D!U116+$H$7*F801D!AB116</f>
        <v>41757.127259739362</v>
      </c>
      <c r="H117" s="156">
        <f>$D$7*F801ENE!H116+$F$7*F801D!O116+$G$7*F801D!V116+$H$7*F801D!AC116</f>
        <v>44681.13263215722</v>
      </c>
      <c r="I117" s="156">
        <f>$D$7*F801ENE!I116+$F$7*F801D!P116+$G$7*F801D!W116+$H$7*F801D!AD116</f>
        <v>40071.1249137165</v>
      </c>
      <c r="J117" s="154">
        <f>SUM(D117:I117)</f>
        <v>252554.60040262988</v>
      </c>
    </row>
    <row r="118" spans="1:10" s="37" customFormat="1" ht="13.5">
      <c r="B118" s="48" t="s">
        <v>871</v>
      </c>
      <c r="C118" s="153" t="s">
        <v>193</v>
      </c>
      <c r="D118" s="154">
        <f t="shared" ref="D118:I118" si="30">SUM(D119:D120)</f>
        <v>21371.285871027176</v>
      </c>
      <c r="E118" s="154">
        <f t="shared" si="30"/>
        <v>20380.9362</v>
      </c>
      <c r="F118" s="154">
        <f t="shared" si="30"/>
        <v>22634.324734405527</v>
      </c>
      <c r="G118" s="154">
        <f t="shared" si="30"/>
        <v>26687.97752996107</v>
      </c>
      <c r="H118" s="154">
        <f t="shared" si="30"/>
        <v>24710.494753514256</v>
      </c>
      <c r="I118" s="154">
        <f t="shared" si="30"/>
        <v>27565.294651662007</v>
      </c>
      <c r="J118" s="154">
        <f>SUM(D118:I118)</f>
        <v>143350.31374057004</v>
      </c>
    </row>
    <row r="119" spans="1:10" s="37" customFormat="1" ht="13.5">
      <c r="B119" s="48"/>
      <c r="C119" s="157" t="s">
        <v>1074</v>
      </c>
      <c r="D119" s="156">
        <f>$D$8*F801ENE!D118+$E$8*F801D!D118</f>
        <v>0</v>
      </c>
      <c r="E119" s="156">
        <f>$D$8*F801ENE!E118+$E$8*F801D!E118</f>
        <v>0</v>
      </c>
      <c r="F119" s="156">
        <f>$D$8*F801ENE!F118+$E$8*F801D!F118</f>
        <v>0</v>
      </c>
      <c r="G119" s="156">
        <f>$D$8*F801ENE!G118+$E$8*F801D!G118</f>
        <v>0</v>
      </c>
      <c r="H119" s="156">
        <f>$D$8*F801ENE!H118+$E$8*F801D!H118</f>
        <v>0</v>
      </c>
      <c r="I119" s="156">
        <f>$D$8*F801ENE!I118+$E$8*F801D!I118</f>
        <v>0</v>
      </c>
      <c r="J119" s="154">
        <f t="shared" ref="J119:J139" si="31">SUM(D119:I119)</f>
        <v>0</v>
      </c>
    </row>
    <row r="120" spans="1:10" s="37" customFormat="1" ht="13.5">
      <c r="B120" s="48"/>
      <c r="C120" s="157" t="s">
        <v>1075</v>
      </c>
      <c r="D120" s="156">
        <f>$D$8*F801ENE!D119+$E$8*F801D!D119</f>
        <v>21371.285871027176</v>
      </c>
      <c r="E120" s="156">
        <f>$D$8*F801ENE!E119+$E$8*F801D!E119</f>
        <v>20380.9362</v>
      </c>
      <c r="F120" s="156">
        <f>$D$8*F801ENE!F119+$E$8*F801D!F119</f>
        <v>22634.324734405527</v>
      </c>
      <c r="G120" s="156">
        <f>$D$8*F801ENE!G119+$E$8*F801D!G119</f>
        <v>26687.97752996107</v>
      </c>
      <c r="H120" s="156">
        <f>$D$8*F801ENE!H119+$E$8*F801D!H119</f>
        <v>24710.494753514256</v>
      </c>
      <c r="I120" s="156">
        <f>$D$8*F801ENE!I119+$E$8*F801D!I119</f>
        <v>27565.294651662007</v>
      </c>
      <c r="J120" s="154">
        <f t="shared" si="31"/>
        <v>143350.31374057004</v>
      </c>
    </row>
    <row r="121" spans="1:10" s="37" customFormat="1" ht="13.5">
      <c r="B121" s="48"/>
      <c r="C121" s="153" t="s">
        <v>893</v>
      </c>
      <c r="D121" s="156"/>
      <c r="E121" s="156"/>
      <c r="F121" s="156"/>
      <c r="G121" s="156"/>
      <c r="H121" s="156"/>
      <c r="I121" s="156"/>
      <c r="J121" s="154">
        <f t="shared" si="31"/>
        <v>0</v>
      </c>
    </row>
    <row r="122" spans="1:10" s="37" customFormat="1" ht="13.5">
      <c r="B122" s="48"/>
      <c r="C122" s="157"/>
      <c r="D122" s="156"/>
      <c r="E122" s="156"/>
      <c r="F122" s="156"/>
      <c r="G122" s="156"/>
      <c r="H122" s="156"/>
      <c r="I122" s="156"/>
      <c r="J122" s="154">
        <f t="shared" si="31"/>
        <v>0</v>
      </c>
    </row>
    <row r="123" spans="1:10" s="37" customFormat="1" ht="13.5">
      <c r="B123" s="48"/>
      <c r="C123" s="153" t="s">
        <v>194</v>
      </c>
      <c r="D123" s="154">
        <f t="shared" ref="D123:I123" si="32">D124+D129</f>
        <v>1209777.5918366839</v>
      </c>
      <c r="E123" s="154">
        <f t="shared" si="32"/>
        <v>1178645.784762851</v>
      </c>
      <c r="F123" s="154">
        <f t="shared" si="32"/>
        <v>1204047.4756967498</v>
      </c>
      <c r="G123" s="154">
        <f t="shared" si="32"/>
        <v>1203232.8651636264</v>
      </c>
      <c r="H123" s="154">
        <f t="shared" si="32"/>
        <v>1202079.0079515718</v>
      </c>
      <c r="I123" s="154">
        <f t="shared" si="32"/>
        <v>1203102.2173296844</v>
      </c>
      <c r="J123" s="154">
        <f t="shared" si="31"/>
        <v>7200884.9427411668</v>
      </c>
    </row>
    <row r="124" spans="1:10" s="37" customFormat="1" ht="13.5">
      <c r="B124" s="48" t="s">
        <v>872</v>
      </c>
      <c r="C124" s="153" t="s">
        <v>1072</v>
      </c>
      <c r="D124" s="154">
        <f t="shared" ref="D124:I124" si="33">SUM(D125:D128)</f>
        <v>235463.9432296913</v>
      </c>
      <c r="E124" s="154">
        <f t="shared" si="33"/>
        <v>229597.81433727182</v>
      </c>
      <c r="F124" s="154">
        <f t="shared" si="33"/>
        <v>235942.72562052359</v>
      </c>
      <c r="G124" s="154">
        <f t="shared" si="33"/>
        <v>236309.47475444019</v>
      </c>
      <c r="H124" s="154">
        <f t="shared" si="33"/>
        <v>232200.54826509659</v>
      </c>
      <c r="I124" s="154">
        <f t="shared" si="33"/>
        <v>236619.24526266605</v>
      </c>
      <c r="J124" s="154">
        <f t="shared" si="31"/>
        <v>1406133.7514696894</v>
      </c>
    </row>
    <row r="125" spans="1:10" s="37" customFormat="1" ht="13.5">
      <c r="B125" s="48"/>
      <c r="C125" s="157" t="s">
        <v>980</v>
      </c>
      <c r="D125" s="156">
        <f>$D$9*F801ENE!D124+$F$9*F801D!K124+$G$9*F801D!R124+$H$9*F801D!Y124</f>
        <v>189467.26940134968</v>
      </c>
      <c r="E125" s="156">
        <f>$D$9*F801ENE!E124+$F$9*F801D!L124+$G$9*F801D!S124+$H$9*F801D!Z124</f>
        <v>183105.38524296062</v>
      </c>
      <c r="F125" s="156">
        <f>$D$9*F801ENE!F124+$F$9*F801D!M124+$G$9*F801D!T124+$H$9*F801D!AA124</f>
        <v>185628.06379053718</v>
      </c>
      <c r="G125" s="156">
        <f>$D$9*F801ENE!G124+$F$9*F801D!N124+$G$9*F801D!U124+$H$9*F801D!AB124</f>
        <v>184391.00700119085</v>
      </c>
      <c r="H125" s="156">
        <f>$D$9*F801ENE!H124+$F$9*F801D!O124+$G$9*F801D!V124+$H$9*F801D!AC124</f>
        <v>183190.74372040678</v>
      </c>
      <c r="I125" s="156">
        <f>$D$9*F801ENE!I124+$F$9*F801D!P124+$G$9*F801D!W124+$H$9*F801D!AD124</f>
        <v>183301.67861833383</v>
      </c>
      <c r="J125" s="154">
        <f t="shared" si="31"/>
        <v>1109084.147774779</v>
      </c>
    </row>
    <row r="126" spans="1:10" s="37" customFormat="1" ht="13.5">
      <c r="B126" s="48"/>
      <c r="C126" s="157" t="s">
        <v>981</v>
      </c>
      <c r="D126" s="156">
        <f>$D$9*F801ENE!D125+$F$9*F801D!K125+$G$9*F801D!R125+$H$9*F801D!Y125</f>
        <v>6412.4108921039997</v>
      </c>
      <c r="E126" s="156">
        <f>$D$9*F801ENE!E125+$F$9*F801D!L125+$G$9*F801D!S125+$H$9*F801D!Z125</f>
        <v>6779.2276524000008</v>
      </c>
      <c r="F126" s="156">
        <f>$D$9*F801ENE!F125+$F$9*F801D!M125+$G$9*F801D!T125+$H$9*F801D!AA125</f>
        <v>6670.9540391760002</v>
      </c>
      <c r="G126" s="156">
        <f>$D$9*F801ENE!G125+$F$9*F801D!N125+$G$9*F801D!U125+$H$9*F801D!AB125</f>
        <v>7280.7431802000001</v>
      </c>
      <c r="H126" s="156">
        <f>$D$9*F801ENE!H125+$F$9*F801D!O125+$G$9*F801D!V125+$H$9*F801D!AC125</f>
        <v>7012.3032934079993</v>
      </c>
      <c r="I126" s="156">
        <f>$D$9*F801ENE!I125+$F$9*F801D!P125+$G$9*F801D!W125+$H$9*F801D!AD125</f>
        <v>6550.5309476880002</v>
      </c>
      <c r="J126" s="154">
        <f t="shared" si="31"/>
        <v>40706.170004975997</v>
      </c>
    </row>
    <row r="127" spans="1:10" s="37" customFormat="1" ht="13.5">
      <c r="B127" s="48"/>
      <c r="C127" s="157" t="s">
        <v>1019</v>
      </c>
      <c r="D127" s="156">
        <f>$D$9*F801ENE!D126+$F$9*F801D!K126+$G$9*F801D!R126+$H$9*F801D!Y126</f>
        <v>1316.7856686767998</v>
      </c>
      <c r="E127" s="156">
        <f>$D$9*F801ENE!E126+$F$9*F801D!L126+$G$9*F801D!S126+$H$9*F801D!Z126</f>
        <v>1309.2841430591998</v>
      </c>
      <c r="F127" s="156">
        <f>$D$9*F801ENE!F126+$F$9*F801D!M126+$G$9*F801D!T126+$H$9*F801D!AA126</f>
        <v>1288.6789278719998</v>
      </c>
      <c r="G127" s="156">
        <f>$D$9*F801ENE!G126+$F$9*F801D!N126+$G$9*F801D!U126+$H$9*F801D!AB126</f>
        <v>1297.3830596831999</v>
      </c>
      <c r="H127" s="156">
        <f>$D$9*F801ENE!H126+$F$9*F801D!O126+$G$9*F801D!V126+$H$9*F801D!AC126</f>
        <v>1274.3342012016001</v>
      </c>
      <c r="I127" s="156">
        <f>$D$9*F801ENE!I126+$F$9*F801D!P126+$G$9*F801D!W126+$H$9*F801D!AD126</f>
        <v>1264.1718820415999</v>
      </c>
      <c r="J127" s="154">
        <f>SUM(D127:I127)</f>
        <v>7750.6378825343991</v>
      </c>
    </row>
    <row r="128" spans="1:10" s="37" customFormat="1" ht="13.5">
      <c r="B128" s="48"/>
      <c r="C128" s="157" t="s">
        <v>1764</v>
      </c>
      <c r="D128" s="156">
        <f>$D$9*F801ENE!D127+$F$9*F801D!K127+$G$9*F801D!R127+$H$9*F801D!Y127</f>
        <v>38267.477267560804</v>
      </c>
      <c r="E128" s="156">
        <f>$D$9*F801ENE!E127+$F$9*F801D!L127+$G$9*F801D!S127+$H$9*F801D!Z127</f>
        <v>38403.917298852</v>
      </c>
      <c r="F128" s="156">
        <f>$D$9*F801ENE!F127+$F$9*F801D!M127+$G$9*F801D!T127+$H$9*F801D!AA127</f>
        <v>42355.028862938401</v>
      </c>
      <c r="G128" s="156">
        <f>$D$9*F801ENE!G127+$F$9*F801D!N127+$G$9*F801D!U127+$H$9*F801D!AB127</f>
        <v>43340.34151336614</v>
      </c>
      <c r="H128" s="156">
        <f>$D$9*F801ENE!H127+$F$9*F801D!O127+$G$9*F801D!V127+$H$9*F801D!AC127</f>
        <v>40723.167050080199</v>
      </c>
      <c r="I128" s="156">
        <f>$D$9*F801ENE!I127+$F$9*F801D!P127+$G$9*F801D!W127+$H$9*F801D!AD127</f>
        <v>45502.863814602599</v>
      </c>
      <c r="J128" s="154">
        <f>SUM(D128:I128)</f>
        <v>248592.79580740017</v>
      </c>
    </row>
    <row r="129" spans="1:10" s="37" customFormat="1" ht="13.5">
      <c r="B129" s="48" t="s">
        <v>873</v>
      </c>
      <c r="C129" s="153" t="s">
        <v>193</v>
      </c>
      <c r="D129" s="154">
        <f t="shared" ref="D129:I129" si="34">SUM(D130:D134)</f>
        <v>974313.64860699256</v>
      </c>
      <c r="E129" s="154">
        <f t="shared" si="34"/>
        <v>949047.97042557923</v>
      </c>
      <c r="F129" s="154">
        <f t="shared" si="34"/>
        <v>968104.75007622608</v>
      </c>
      <c r="G129" s="154">
        <f t="shared" si="34"/>
        <v>966923.39040918625</v>
      </c>
      <c r="H129" s="154">
        <f t="shared" si="34"/>
        <v>969878.45968647534</v>
      </c>
      <c r="I129" s="154">
        <f t="shared" si="34"/>
        <v>966482.97206701827</v>
      </c>
      <c r="J129" s="154">
        <f t="shared" si="31"/>
        <v>5794751.1912714774</v>
      </c>
    </row>
    <row r="130" spans="1:10" s="37" customFormat="1" ht="13.5">
      <c r="B130" s="48"/>
      <c r="C130" s="157" t="s">
        <v>944</v>
      </c>
      <c r="D130" s="156">
        <f>$D$10*F801ENE!D129+$E$10*F801D!D129</f>
        <v>0</v>
      </c>
      <c r="E130" s="156">
        <f>$D$10*F801ENE!E129+$E$10*F801D!E129</f>
        <v>0</v>
      </c>
      <c r="F130" s="156">
        <f>$D$10*F801ENE!F129+$E$10*F801D!F129</f>
        <v>0</v>
      </c>
      <c r="G130" s="156">
        <f>$D$10*F801ENE!G129+$E$10*F801D!G129</f>
        <v>0</v>
      </c>
      <c r="H130" s="156">
        <f>$D$10*F801ENE!H129+$E$10*F801D!H129</f>
        <v>0</v>
      </c>
      <c r="I130" s="156">
        <f>$D$10*F801ENE!I129+$E$10*F801D!I129</f>
        <v>0</v>
      </c>
      <c r="J130" s="154">
        <f t="shared" si="31"/>
        <v>0</v>
      </c>
    </row>
    <row r="131" spans="1:10" s="37" customFormat="1" ht="13.5">
      <c r="B131" s="48"/>
      <c r="C131" s="157" t="s">
        <v>943</v>
      </c>
      <c r="D131" s="156">
        <f>$D$10*F801ENE!D130+$E$10*F801D!D130</f>
        <v>653926.9427327282</v>
      </c>
      <c r="E131" s="156">
        <f>$D$10*F801ENE!E130+$E$10*F801D!E130</f>
        <v>630455.11402120802</v>
      </c>
      <c r="F131" s="156">
        <f>$D$10*F801ENE!F130+$E$10*F801D!F130</f>
        <v>588546.45241891802</v>
      </c>
      <c r="G131" s="156">
        <f>$D$10*F801ENE!G130+$E$10*F801D!G130</f>
        <v>597319.00922702427</v>
      </c>
      <c r="H131" s="156">
        <f>$D$10*F801ENE!H130+$E$10*F801D!H130</f>
        <v>594547.30058913049</v>
      </c>
      <c r="I131" s="156">
        <f>$D$10*F801ENE!I130+$E$10*F801D!I130</f>
        <v>577886.0803690803</v>
      </c>
      <c r="J131" s="154">
        <f>SUM(D131:I131)</f>
        <v>3642680.8993580891</v>
      </c>
    </row>
    <row r="132" spans="1:10" s="37" customFormat="1" ht="13.5">
      <c r="B132" s="48"/>
      <c r="C132" s="157" t="s">
        <v>1020</v>
      </c>
      <c r="D132" s="156">
        <f>$D$10*F801ENE!D131+$E$10*F801D!D131</f>
        <v>50848.968313583995</v>
      </c>
      <c r="E132" s="156">
        <f>$D$10*F801ENE!E131+$E$10*F801D!E131</f>
        <v>47863.641052332001</v>
      </c>
      <c r="F132" s="156">
        <f>$D$10*F801ENE!F131+$E$10*F801D!F131</f>
        <v>57575.111309772008</v>
      </c>
      <c r="G132" s="156">
        <f>$D$10*F801ENE!G131+$E$10*F801D!G131</f>
        <v>48399.462877835998</v>
      </c>
      <c r="H132" s="156">
        <f>$D$10*F801ENE!H131+$E$10*F801D!H131</f>
        <v>46574.295504928807</v>
      </c>
      <c r="I132" s="156">
        <f>$D$10*F801ENE!I131+$E$10*F801D!I131</f>
        <v>52712.915756256007</v>
      </c>
      <c r="J132" s="154">
        <f>SUM(D132:I132)</f>
        <v>303974.39481470879</v>
      </c>
    </row>
    <row r="133" spans="1:10" s="37" customFormat="1" ht="13.5">
      <c r="B133" s="48"/>
      <c r="C133" s="157" t="s">
        <v>1021</v>
      </c>
      <c r="D133" s="156">
        <f>$D$10*F801ENE!D132+$E$10*F801D!D132</f>
        <v>35898.137598960006</v>
      </c>
      <c r="E133" s="156">
        <f>$D$10*F801ENE!E132+$E$10*F801D!E132</f>
        <v>36252.938921640001</v>
      </c>
      <c r="F133" s="156">
        <f>$D$10*F801ENE!F132+$E$10*F801D!F132</f>
        <v>36476.371412880006</v>
      </c>
      <c r="G133" s="156">
        <f>$D$10*F801ENE!G132+$E$10*F801D!G132</f>
        <v>35545.306487880007</v>
      </c>
      <c r="H133" s="156">
        <f>$D$10*F801ENE!H132+$E$10*F801D!H132</f>
        <v>35534.426541599998</v>
      </c>
      <c r="I133" s="156">
        <f>$D$10*F801ENE!I132+$E$10*F801D!I132</f>
        <v>35032.394234880005</v>
      </c>
      <c r="J133" s="154">
        <f>SUM(D133:I133)</f>
        <v>214739.57519784005</v>
      </c>
    </row>
    <row r="134" spans="1:10" s="37" customFormat="1" ht="13.5">
      <c r="B134" s="48"/>
      <c r="C134" s="157" t="s">
        <v>1163</v>
      </c>
      <c r="D134" s="156">
        <f>$D$10*F801ENE!D133+$E$10*F801D!D133</f>
        <v>233639.59996172044</v>
      </c>
      <c r="E134" s="156">
        <f>$D$10*F801ENE!E133+$E$10*F801D!E133</f>
        <v>234476.27643039913</v>
      </c>
      <c r="F134" s="156">
        <f>$D$10*F801ENE!F133+$E$10*F801D!F133</f>
        <v>285506.81493465602</v>
      </c>
      <c r="G134" s="156">
        <f>$D$10*F801ENE!G133+$E$10*F801D!G133</f>
        <v>285659.61181644601</v>
      </c>
      <c r="H134" s="156">
        <f>$D$10*F801ENE!H133+$E$10*F801D!H133</f>
        <v>293222.43705081602</v>
      </c>
      <c r="I134" s="156">
        <f>$D$10*F801ENE!I133+$E$10*F801D!I133</f>
        <v>300851.58170680195</v>
      </c>
      <c r="J134" s="154">
        <f>SUM(D134:I134)</f>
        <v>1633356.3219008395</v>
      </c>
    </row>
    <row r="135" spans="1:10" s="37" customFormat="1" ht="13.5">
      <c r="B135" s="48"/>
      <c r="C135" s="153" t="s">
        <v>308</v>
      </c>
      <c r="D135" s="154">
        <f t="shared" ref="D135:I135" si="35">SUM(D136:D137)</f>
        <v>264052.96875849104</v>
      </c>
      <c r="E135" s="154">
        <f t="shared" si="35"/>
        <v>262731.11048475181</v>
      </c>
      <c r="F135" s="154">
        <f t="shared" si="35"/>
        <v>270804.76389993116</v>
      </c>
      <c r="G135" s="154">
        <f t="shared" si="35"/>
        <v>272839.25140162412</v>
      </c>
      <c r="H135" s="154">
        <f t="shared" si="35"/>
        <v>279557.56927136111</v>
      </c>
      <c r="I135" s="154">
        <f t="shared" si="35"/>
        <v>291981.98326486506</v>
      </c>
      <c r="J135" s="154">
        <f t="shared" si="31"/>
        <v>1641967.6470810242</v>
      </c>
    </row>
    <row r="136" spans="1:10" s="37" customFormat="1" ht="13.5">
      <c r="B136" s="48" t="s">
        <v>874</v>
      </c>
      <c r="C136" s="157" t="s">
        <v>1027</v>
      </c>
      <c r="D136" s="156">
        <f>$D$11*F801ENE!D137+$F$11*F801D!K137+$G$11*F801D!R137+$H$11*F801D!Y137</f>
        <v>8482.8389785704003</v>
      </c>
      <c r="E136" s="156">
        <f>$D$11*F801ENE!E137+$F$11*F801D!L137+$G$11*F801D!S137+$H$11*F801D!Z137</f>
        <v>8009.3599751016009</v>
      </c>
      <c r="F136" s="156">
        <f>$D$11*F801ENE!F137+$F$11*F801D!M137+$G$11*F801D!T137+$H$11*F801D!AA137</f>
        <v>8141.3029253736004</v>
      </c>
      <c r="G136" s="156">
        <f>$D$11*F801ENE!G137+$F$11*F801D!N137+$G$11*F801D!U137+$H$11*F801D!AB137</f>
        <v>8337.5046801647986</v>
      </c>
      <c r="H136" s="156">
        <f>$D$11*F801ENE!H137+$F$11*F801D!O137+$G$11*F801D!V137+$H$11*F801D!AC137</f>
        <v>8471.2495410575993</v>
      </c>
      <c r="I136" s="156">
        <f>$D$11*F801ENE!I137+$F$11*F801D!P137+$G$11*F801D!W137+$H$11*F801D!AD137</f>
        <v>8382.5978393160003</v>
      </c>
      <c r="J136" s="154">
        <f t="shared" si="31"/>
        <v>49824.853939584005</v>
      </c>
    </row>
    <row r="137" spans="1:10" s="37" customFormat="1" ht="13.5">
      <c r="B137" s="48" t="s">
        <v>875</v>
      </c>
      <c r="C137" s="153" t="s">
        <v>193</v>
      </c>
      <c r="D137" s="154">
        <f t="shared" ref="D137:I137" si="36">SUM(D138:D143)</f>
        <v>255570.12977992062</v>
      </c>
      <c r="E137" s="154">
        <f t="shared" si="36"/>
        <v>254721.75050965021</v>
      </c>
      <c r="F137" s="154">
        <f t="shared" si="36"/>
        <v>262663.46097455756</v>
      </c>
      <c r="G137" s="154">
        <f t="shared" si="36"/>
        <v>264501.74672145932</v>
      </c>
      <c r="H137" s="154">
        <f t="shared" si="36"/>
        <v>271086.31973030348</v>
      </c>
      <c r="I137" s="154">
        <f t="shared" si="36"/>
        <v>283599.38542554906</v>
      </c>
      <c r="J137" s="154">
        <f t="shared" si="31"/>
        <v>1592142.7931414403</v>
      </c>
    </row>
    <row r="138" spans="1:10" s="37" customFormat="1" ht="13.5">
      <c r="B138" s="48"/>
      <c r="C138" s="157" t="s">
        <v>1022</v>
      </c>
      <c r="D138" s="156">
        <f>$D$12*(F801ENE!D140)+$E$12*(F801D!D140)</f>
        <v>2026.1720917786802</v>
      </c>
      <c r="E138" s="156">
        <f>$D$12*(F801ENE!E140)+$E$12*(F801D!E140)</f>
        <v>2063.5933208441998</v>
      </c>
      <c r="F138" s="156">
        <f>$D$12*(F801ENE!F140)+$E$12*(F801D!F140)</f>
        <v>1987.3374000000001</v>
      </c>
      <c r="G138" s="156">
        <f>$D$12*(F801ENE!G140)+$E$12*(F801D!G140)</f>
        <v>2070.4877664358801</v>
      </c>
      <c r="H138" s="156">
        <f>$D$12*(F801ENE!H140)+$E$12*(F801D!H140)</f>
        <v>1975.4125857283202</v>
      </c>
      <c r="I138" s="156">
        <f>$D$12*(F801ENE!I140)+$E$12*(F801D!I140)</f>
        <v>2029.9664998866604</v>
      </c>
      <c r="J138" s="154">
        <f t="shared" si="31"/>
        <v>12152.969664673741</v>
      </c>
    </row>
    <row r="139" spans="1:10" s="37" customFormat="1" ht="13.5">
      <c r="B139" s="48"/>
      <c r="C139" s="157" t="s">
        <v>1023</v>
      </c>
      <c r="D139" s="156">
        <f>$D$12*(F801ENE!D141)+$E$12*(F801D!D141)</f>
        <v>168645.80837967119</v>
      </c>
      <c r="E139" s="156">
        <f>$D$12*(F801ENE!E141)+$E$12*(F801D!E141)</f>
        <v>166799.81152061999</v>
      </c>
      <c r="F139" s="156">
        <f>$D$12*(F801ENE!F141)+$E$12*(F801D!F141)</f>
        <v>164979.69481602477</v>
      </c>
      <c r="G139" s="156">
        <f>$D$12*(F801ENE!G141)+$E$12*(F801D!G141)</f>
        <v>163405.92625427264</v>
      </c>
      <c r="H139" s="156">
        <f>$D$12*(F801ENE!H141)+$E$12*(F801D!H141)</f>
        <v>163367.31038859481</v>
      </c>
      <c r="I139" s="156">
        <f>$D$12*(F801ENE!I141)+$E$12*(F801D!I141)</f>
        <v>167004.81868985639</v>
      </c>
      <c r="J139" s="154">
        <f t="shared" si="31"/>
        <v>994203.37004903983</v>
      </c>
    </row>
    <row r="140" spans="1:10" s="37" customFormat="1" ht="13.5">
      <c r="B140" s="48"/>
      <c r="C140" s="157" t="s">
        <v>1024</v>
      </c>
      <c r="D140" s="156">
        <f>$D$12*(F801ENE!D142)+$E$12*(F801D!D142)</f>
        <v>4401.0189506484003</v>
      </c>
      <c r="E140" s="156">
        <f>$D$12*(F801ENE!E142)+$E$12*(F801D!E142)</f>
        <v>4593.8746276307993</v>
      </c>
      <c r="F140" s="156">
        <f>$D$12*(F801ENE!F142)+$E$12*(F801D!F142)</f>
        <v>4293.0055933416006</v>
      </c>
      <c r="G140" s="156">
        <f>$D$12*(F801ENE!G142)+$E$12*(F801D!G142)</f>
        <v>4232.0792210508007</v>
      </c>
      <c r="H140" s="156">
        <f>$D$12*(F801ENE!H142)+$E$12*(F801D!H142)</f>
        <v>4338.2444305248</v>
      </c>
      <c r="I140" s="156">
        <f>$D$12*(F801ENE!I142)+$E$12*(F801D!I142)</f>
        <v>4071.4162833708001</v>
      </c>
      <c r="J140" s="154">
        <f>SUM(D140:I140)</f>
        <v>25929.6391065672</v>
      </c>
    </row>
    <row r="141" spans="1:10" s="37" customFormat="1" ht="13.5">
      <c r="B141" s="48"/>
      <c r="C141" s="157" t="s">
        <v>1025</v>
      </c>
      <c r="D141" s="156">
        <f>$D$12*(F801ENE!D143)+$E$12*(F801D!D143)</f>
        <v>31744.60115792634</v>
      </c>
      <c r="E141" s="156">
        <f>$D$12*(F801ENE!E143)+$E$12*(F801D!E143)</f>
        <v>32017.262118830411</v>
      </c>
      <c r="F141" s="156">
        <f>$D$12*(F801ENE!F143)+$E$12*(F801D!F143)</f>
        <v>31111.717376856002</v>
      </c>
      <c r="G141" s="156">
        <f>$D$12*(F801ENE!G143)+$E$12*(F801D!G143)</f>
        <v>30816.792962400006</v>
      </c>
      <c r="H141" s="156">
        <f>$D$12*(F801ENE!H143)+$E$12*(F801D!H143)</f>
        <v>31245.547715339992</v>
      </c>
      <c r="I141" s="156">
        <f>$D$12*(F801ENE!I143)+$E$12*(F801D!I143)</f>
        <v>30056.230255894796</v>
      </c>
      <c r="J141" s="154">
        <f>SUM(D141:I141)</f>
        <v>186992.15158724756</v>
      </c>
    </row>
    <row r="142" spans="1:10" s="37" customFormat="1" ht="13.5">
      <c r="B142" s="48"/>
      <c r="C142" s="157" t="s">
        <v>1162</v>
      </c>
      <c r="D142" s="156">
        <f>$D$12*(F801ENE!D144)+$E$12*(F801D!D144)</f>
        <v>48752.529199896002</v>
      </c>
      <c r="E142" s="156">
        <f>$D$12*(F801ENE!E144)+$E$12*(F801D!E144)</f>
        <v>49247.208921724807</v>
      </c>
      <c r="F142" s="156">
        <f>$D$12*(F801ENE!F144)+$E$12*(F801D!F144)</f>
        <v>60291.705788335203</v>
      </c>
      <c r="G142" s="156">
        <f>$D$12*(F801ENE!G144)+$E$12*(F801D!G144)</f>
        <v>63976.460517299987</v>
      </c>
      <c r="H142" s="156">
        <f>$D$12*(F801ENE!H144)+$E$12*(F801D!H144)</f>
        <v>70159.804610115607</v>
      </c>
      <c r="I142" s="156">
        <f>$D$12*(F801ENE!I144)+$E$12*(F801D!I144)</f>
        <v>80436.953696540397</v>
      </c>
      <c r="J142" s="154">
        <f>SUM(D142:I142)</f>
        <v>372864.662733912</v>
      </c>
    </row>
    <row r="143" spans="1:10">
      <c r="A143" s="37"/>
      <c r="C143" s="157"/>
      <c r="D143" s="156"/>
      <c r="E143" s="156"/>
      <c r="F143" s="156"/>
      <c r="G143" s="156"/>
      <c r="H143" s="156"/>
      <c r="I143" s="156"/>
      <c r="J143" s="154"/>
    </row>
    <row r="144" spans="1:10">
      <c r="A144" s="37"/>
      <c r="C144" s="153" t="s">
        <v>112</v>
      </c>
      <c r="D144" s="154">
        <f t="shared" ref="D144:I144" si="37">D116+D123+D135</f>
        <v>1536688.7494889202</v>
      </c>
      <c r="E144" s="154">
        <f t="shared" si="37"/>
        <v>1501880.8352547141</v>
      </c>
      <c r="F144" s="154">
        <f t="shared" si="37"/>
        <v>1541921.873098274</v>
      </c>
      <c r="G144" s="154">
        <f t="shared" si="37"/>
        <v>1544517.2213549509</v>
      </c>
      <c r="H144" s="154">
        <f t="shared" si="37"/>
        <v>1551028.2046086043</v>
      </c>
      <c r="I144" s="154">
        <f t="shared" si="37"/>
        <v>1562720.620159928</v>
      </c>
      <c r="J144" s="154">
        <f>SUM(D144:I144)</f>
        <v>9238757.5039653927</v>
      </c>
    </row>
    <row r="145" spans="2:10">
      <c r="C145" s="164"/>
      <c r="D145" s="164"/>
      <c r="E145" s="164"/>
      <c r="F145" s="164"/>
      <c r="G145" s="164"/>
      <c r="H145" s="164"/>
      <c r="I145" s="164"/>
      <c r="J145" s="164"/>
    </row>
    <row r="146" spans="2:10">
      <c r="C146" s="179" t="s">
        <v>111</v>
      </c>
      <c r="D146" s="180">
        <f t="shared" ref="D146:J146" si="38">D112+D144</f>
        <v>9795157.3812326305</v>
      </c>
      <c r="E146" s="180">
        <f t="shared" si="38"/>
        <v>9763796.0801070705</v>
      </c>
      <c r="F146" s="180">
        <f t="shared" si="38"/>
        <v>9773738.1506941002</v>
      </c>
      <c r="G146" s="180">
        <f t="shared" si="38"/>
        <v>9778111.8100875691</v>
      </c>
      <c r="H146" s="180">
        <f t="shared" si="38"/>
        <v>9550250.7285412494</v>
      </c>
      <c r="I146" s="180">
        <f t="shared" si="38"/>
        <v>9476465.3068891764</v>
      </c>
      <c r="J146" s="180">
        <f t="shared" si="38"/>
        <v>58137519.457551792</v>
      </c>
    </row>
    <row r="148" spans="2:10">
      <c r="C148" s="52" t="str">
        <f>'PORTADA PORTADA PORTADA'!$B$23</f>
        <v>1 DE JULIO DE 2026</v>
      </c>
    </row>
    <row r="150" spans="2:10">
      <c r="B150" s="48" t="s">
        <v>902</v>
      </c>
      <c r="D150" s="163">
        <f t="shared" ref="D150:J159" si="39">SUMIF($B$20:$B$146,$B150,D$20:D$146)</f>
        <v>425196.8800582487</v>
      </c>
      <c r="E150" s="163">
        <f t="shared" si="39"/>
        <v>425374.33296958404</v>
      </c>
      <c r="F150" s="163">
        <f t="shared" si="39"/>
        <v>417340.15810693655</v>
      </c>
      <c r="G150" s="163">
        <f t="shared" si="39"/>
        <v>423916.21083026711</v>
      </c>
      <c r="H150" s="163">
        <f t="shared" si="39"/>
        <v>405548.01882873662</v>
      </c>
      <c r="I150" s="163">
        <f t="shared" si="39"/>
        <v>407448.36413216713</v>
      </c>
      <c r="J150" s="163">
        <f t="shared" si="39"/>
        <v>2504823.9649259401</v>
      </c>
    </row>
    <row r="151" spans="2:10">
      <c r="B151" s="48" t="s">
        <v>751</v>
      </c>
      <c r="D151" s="163">
        <f t="shared" si="39"/>
        <v>2278539.449273081</v>
      </c>
      <c r="E151" s="163">
        <f t="shared" si="39"/>
        <v>2279490.3934616228</v>
      </c>
      <c r="F151" s="163">
        <f t="shared" si="39"/>
        <v>2236436.4258604445</v>
      </c>
      <c r="G151" s="163">
        <f t="shared" si="39"/>
        <v>2271676.5302562579</v>
      </c>
      <c r="H151" s="163">
        <f t="shared" si="39"/>
        <v>2173244.0767876604</v>
      </c>
      <c r="I151" s="163">
        <f t="shared" si="39"/>
        <v>2183427.74922742</v>
      </c>
      <c r="J151" s="163">
        <f t="shared" si="39"/>
        <v>13422814.624866486</v>
      </c>
    </row>
    <row r="152" spans="2:10">
      <c r="B152" s="48" t="s">
        <v>750</v>
      </c>
      <c r="D152" s="163">
        <f t="shared" si="39"/>
        <v>857235.79670364817</v>
      </c>
      <c r="E152" s="163">
        <f t="shared" si="39"/>
        <v>857593.55800190859</v>
      </c>
      <c r="F152" s="163">
        <f t="shared" si="39"/>
        <v>841395.9267109771</v>
      </c>
      <c r="G152" s="163">
        <f t="shared" si="39"/>
        <v>854653.85041605495</v>
      </c>
      <c r="H152" s="163">
        <f t="shared" si="39"/>
        <v>817621.89547254611</v>
      </c>
      <c r="I152" s="163">
        <f t="shared" si="39"/>
        <v>821453.16540090297</v>
      </c>
      <c r="J152" s="163">
        <f t="shared" si="39"/>
        <v>5049954.1927060382</v>
      </c>
    </row>
    <row r="153" spans="2:10">
      <c r="B153" s="48" t="s">
        <v>749</v>
      </c>
      <c r="D153" s="163">
        <f t="shared" si="39"/>
        <v>847944.88331816345</v>
      </c>
      <c r="E153" s="163">
        <f t="shared" si="39"/>
        <v>848298.76711941836</v>
      </c>
      <c r="F153" s="163">
        <f t="shared" si="39"/>
        <v>832276.68938090804</v>
      </c>
      <c r="G153" s="163">
        <f t="shared" si="39"/>
        <v>845390.92074218881</v>
      </c>
      <c r="H153" s="163">
        <f t="shared" si="39"/>
        <v>808760.32641287544</v>
      </c>
      <c r="I153" s="163">
        <f t="shared" si="39"/>
        <v>812550.07218043832</v>
      </c>
      <c r="J153" s="163">
        <f t="shared" si="39"/>
        <v>4995221.6591539923</v>
      </c>
    </row>
    <row r="154" spans="2:10">
      <c r="B154" s="48" t="s">
        <v>1176</v>
      </c>
      <c r="D154" s="163">
        <f t="shared" si="39"/>
        <v>28.42</v>
      </c>
      <c r="E154" s="163">
        <f t="shared" si="39"/>
        <v>28.42</v>
      </c>
      <c r="F154" s="163">
        <f t="shared" si="39"/>
        <v>28.42</v>
      </c>
      <c r="G154" s="163">
        <f t="shared" si="39"/>
        <v>28.42</v>
      </c>
      <c r="H154" s="163">
        <f t="shared" si="39"/>
        <v>28.42</v>
      </c>
      <c r="I154" s="163">
        <f t="shared" si="39"/>
        <v>28.42</v>
      </c>
      <c r="J154" s="163">
        <f t="shared" si="39"/>
        <v>170.52000000000004</v>
      </c>
    </row>
    <row r="155" spans="2:10">
      <c r="B155" s="48" t="s">
        <v>274</v>
      </c>
      <c r="D155" s="163">
        <f t="shared" si="39"/>
        <v>2828385.8853006046</v>
      </c>
      <c r="E155" s="163">
        <f t="shared" si="39"/>
        <v>2829566.2921503857</v>
      </c>
      <c r="F155" s="163">
        <f t="shared" si="39"/>
        <v>2868660.8569273739</v>
      </c>
      <c r="G155" s="163">
        <f t="shared" si="39"/>
        <v>2819866.9451624136</v>
      </c>
      <c r="H155" s="163">
        <f t="shared" si="39"/>
        <v>2787605.5170332906</v>
      </c>
      <c r="I155" s="163">
        <f t="shared" si="39"/>
        <v>2710323.7491826611</v>
      </c>
      <c r="J155" s="163">
        <f t="shared" si="39"/>
        <v>16844409.24575673</v>
      </c>
    </row>
    <row r="156" spans="2:10">
      <c r="B156" s="48" t="s">
        <v>275</v>
      </c>
      <c r="D156" s="163">
        <f t="shared" si="39"/>
        <v>78739.335961629156</v>
      </c>
      <c r="E156" s="163">
        <f t="shared" si="39"/>
        <v>78772.197266728763</v>
      </c>
      <c r="F156" s="163">
        <f t="shared" si="39"/>
        <v>79860.549491312777</v>
      </c>
      <c r="G156" s="163">
        <f t="shared" si="39"/>
        <v>78502.177484398679</v>
      </c>
      <c r="H156" s="163">
        <f t="shared" si="39"/>
        <v>77604.052712505698</v>
      </c>
      <c r="I156" s="163">
        <f t="shared" si="39"/>
        <v>75452.608274133847</v>
      </c>
      <c r="J156" s="163">
        <f t="shared" si="39"/>
        <v>468930.92119070888</v>
      </c>
    </row>
    <row r="157" spans="2:10">
      <c r="B157" s="48" t="s">
        <v>276</v>
      </c>
      <c r="D157" s="163">
        <f t="shared" si="39"/>
        <v>797789.34416884778</v>
      </c>
      <c r="E157" s="163">
        <f t="shared" si="39"/>
        <v>798122.29591048742</v>
      </c>
      <c r="F157" s="163">
        <f t="shared" si="39"/>
        <v>809149.51371555892</v>
      </c>
      <c r="G157" s="163">
        <f t="shared" si="39"/>
        <v>795386.44727235904</v>
      </c>
      <c r="H157" s="163">
        <f t="shared" si="39"/>
        <v>786286.6197973158</v>
      </c>
      <c r="I157" s="163">
        <f t="shared" si="39"/>
        <v>764488.11938399239</v>
      </c>
      <c r="J157" s="163">
        <f t="shared" si="39"/>
        <v>4751222.3402485615</v>
      </c>
    </row>
    <row r="158" spans="2:10">
      <c r="B158" s="48" t="s">
        <v>277</v>
      </c>
      <c r="D158" s="163">
        <f t="shared" si="39"/>
        <v>87196.340940544003</v>
      </c>
      <c r="E158" s="163">
        <f t="shared" si="39"/>
        <v>87232.73171687228</v>
      </c>
      <c r="F158" s="163">
        <f t="shared" si="39"/>
        <v>88437.978503363775</v>
      </c>
      <c r="G158" s="163">
        <f t="shared" si="39"/>
        <v>86933.710437187881</v>
      </c>
      <c r="H158" s="163">
        <f t="shared" si="39"/>
        <v>85939.122498888624</v>
      </c>
      <c r="I158" s="163">
        <f t="shared" si="39"/>
        <v>83556.601990278708</v>
      </c>
      <c r="J158" s="163">
        <f t="shared" si="39"/>
        <v>519296.48608713533</v>
      </c>
    </row>
    <row r="159" spans="2:10">
      <c r="B159" s="48" t="s">
        <v>278</v>
      </c>
      <c r="D159" s="163">
        <f t="shared" si="39"/>
        <v>2.41</v>
      </c>
      <c r="E159" s="163">
        <f t="shared" si="39"/>
        <v>2.41</v>
      </c>
      <c r="F159" s="163">
        <f t="shared" si="39"/>
        <v>2.41</v>
      </c>
      <c r="G159" s="163">
        <f t="shared" si="39"/>
        <v>2.41</v>
      </c>
      <c r="H159" s="163">
        <f t="shared" si="39"/>
        <v>2.41</v>
      </c>
      <c r="I159" s="163">
        <f t="shared" si="39"/>
        <v>2.41</v>
      </c>
      <c r="J159" s="163">
        <f t="shared" si="39"/>
        <v>14.46</v>
      </c>
    </row>
    <row r="160" spans="2:10">
      <c r="B160" s="48" t="s">
        <v>279</v>
      </c>
      <c r="D160" s="163">
        <f t="shared" ref="D160:J168" si="40">SUMIF($B$20:$B$146,$B160,D$20:D$146)</f>
        <v>57409.886018943136</v>
      </c>
      <c r="E160" s="163">
        <f t="shared" si="40"/>
        <v>57433.846255346187</v>
      </c>
      <c r="F160" s="163">
        <f t="shared" si="40"/>
        <v>58227.348898953118</v>
      </c>
      <c r="G160" s="163">
        <f t="shared" si="40"/>
        <v>57236.966131488785</v>
      </c>
      <c r="H160" s="163">
        <f t="shared" si="40"/>
        <v>56582.064388826897</v>
      </c>
      <c r="I160" s="163">
        <f t="shared" si="40"/>
        <v>55013.426957256466</v>
      </c>
      <c r="J160" s="163">
        <f t="shared" si="40"/>
        <v>341903.53865081462</v>
      </c>
    </row>
    <row r="161" spans="2:10">
      <c r="B161" s="48" t="s">
        <v>875</v>
      </c>
      <c r="D161" s="163">
        <f t="shared" si="40"/>
        <v>255570.12977992062</v>
      </c>
      <c r="E161" s="163">
        <f t="shared" si="40"/>
        <v>254721.75050965021</v>
      </c>
      <c r="F161" s="163">
        <f t="shared" si="40"/>
        <v>262663.46097455756</v>
      </c>
      <c r="G161" s="163">
        <f t="shared" si="40"/>
        <v>264501.74672145932</v>
      </c>
      <c r="H161" s="163">
        <f t="shared" si="40"/>
        <v>271086.31973030348</v>
      </c>
      <c r="I161" s="163">
        <f t="shared" si="40"/>
        <v>283599.38542554906</v>
      </c>
      <c r="J161" s="163">
        <f t="shared" si="40"/>
        <v>1592142.7931414403</v>
      </c>
    </row>
    <row r="162" spans="2:10">
      <c r="B162" s="48" t="s">
        <v>874</v>
      </c>
      <c r="D162" s="163">
        <f t="shared" si="40"/>
        <v>8482.8389785704003</v>
      </c>
      <c r="E162" s="163">
        <f t="shared" si="40"/>
        <v>8009.3599751016009</v>
      </c>
      <c r="F162" s="163">
        <f t="shared" si="40"/>
        <v>8141.3029253736004</v>
      </c>
      <c r="G162" s="163">
        <f t="shared" si="40"/>
        <v>8337.5046801647986</v>
      </c>
      <c r="H162" s="163">
        <f t="shared" si="40"/>
        <v>8471.2495410575993</v>
      </c>
      <c r="I162" s="163">
        <f t="shared" si="40"/>
        <v>8382.5978393160003</v>
      </c>
      <c r="J162" s="163">
        <f t="shared" si="40"/>
        <v>49824.853939584005</v>
      </c>
    </row>
    <row r="163" spans="2:10">
      <c r="B163" s="48" t="s">
        <v>873</v>
      </c>
      <c r="D163" s="163">
        <f t="shared" si="40"/>
        <v>974313.64860699256</v>
      </c>
      <c r="E163" s="163">
        <f t="shared" si="40"/>
        <v>949047.97042557923</v>
      </c>
      <c r="F163" s="163">
        <f t="shared" si="40"/>
        <v>968104.75007622608</v>
      </c>
      <c r="G163" s="163">
        <f t="shared" si="40"/>
        <v>966923.39040918625</v>
      </c>
      <c r="H163" s="163">
        <f t="shared" si="40"/>
        <v>969878.45968647534</v>
      </c>
      <c r="I163" s="163">
        <f t="shared" si="40"/>
        <v>966482.97206701827</v>
      </c>
      <c r="J163" s="163">
        <f t="shared" si="40"/>
        <v>5794751.1912714774</v>
      </c>
    </row>
    <row r="164" spans="2:10">
      <c r="B164" s="48" t="s">
        <v>872</v>
      </c>
      <c r="D164" s="163">
        <f t="shared" si="40"/>
        <v>235463.9432296913</v>
      </c>
      <c r="E164" s="163">
        <f t="shared" si="40"/>
        <v>229597.81433727182</v>
      </c>
      <c r="F164" s="163">
        <f t="shared" si="40"/>
        <v>235942.72562052359</v>
      </c>
      <c r="G164" s="163">
        <f t="shared" si="40"/>
        <v>236309.47475444019</v>
      </c>
      <c r="H164" s="163">
        <f t="shared" si="40"/>
        <v>232200.54826509659</v>
      </c>
      <c r="I164" s="163">
        <f t="shared" si="40"/>
        <v>236619.24526266605</v>
      </c>
      <c r="J164" s="163">
        <f t="shared" si="40"/>
        <v>1406133.7514696894</v>
      </c>
    </row>
    <row r="165" spans="2:10">
      <c r="B165" s="48" t="s">
        <v>871</v>
      </c>
      <c r="D165" s="163">
        <f t="shared" si="40"/>
        <v>21371.285871027176</v>
      </c>
      <c r="E165" s="163">
        <f t="shared" si="40"/>
        <v>20380.9362</v>
      </c>
      <c r="F165" s="163">
        <f t="shared" si="40"/>
        <v>22634.324734405527</v>
      </c>
      <c r="G165" s="163">
        <f t="shared" si="40"/>
        <v>26687.97752996107</v>
      </c>
      <c r="H165" s="163">
        <f t="shared" si="40"/>
        <v>24710.494753514256</v>
      </c>
      <c r="I165" s="163">
        <f t="shared" si="40"/>
        <v>27565.294651662007</v>
      </c>
      <c r="J165" s="163">
        <f t="shared" si="40"/>
        <v>143350.31374057004</v>
      </c>
    </row>
    <row r="166" spans="2:10">
      <c r="B166" s="48" t="s">
        <v>870</v>
      </c>
      <c r="D166" s="163">
        <f t="shared" si="40"/>
        <v>41486.903022717961</v>
      </c>
      <c r="E166" s="163">
        <f t="shared" si="40"/>
        <v>40123.003807111323</v>
      </c>
      <c r="F166" s="163">
        <f t="shared" si="40"/>
        <v>44435.308767187504</v>
      </c>
      <c r="G166" s="163">
        <f t="shared" si="40"/>
        <v>41757.127259739362</v>
      </c>
      <c r="H166" s="163">
        <f t="shared" si="40"/>
        <v>44681.13263215722</v>
      </c>
      <c r="I166" s="163">
        <f t="shared" si="40"/>
        <v>40071.1249137165</v>
      </c>
      <c r="J166" s="163">
        <f t="shared" si="40"/>
        <v>252554.60040262988</v>
      </c>
    </row>
    <row r="167" spans="2:10">
      <c r="B167" s="48" t="s">
        <v>893</v>
      </c>
      <c r="D167" s="163">
        <f t="shared" si="40"/>
        <v>0</v>
      </c>
      <c r="E167" s="163">
        <f t="shared" si="40"/>
        <v>0</v>
      </c>
      <c r="F167" s="163">
        <f t="shared" si="40"/>
        <v>0</v>
      </c>
      <c r="G167" s="163">
        <f t="shared" si="40"/>
        <v>0</v>
      </c>
      <c r="H167" s="163">
        <f t="shared" si="40"/>
        <v>0</v>
      </c>
      <c r="I167" s="163">
        <f t="shared" si="40"/>
        <v>0</v>
      </c>
      <c r="J167" s="163">
        <f t="shared" si="40"/>
        <v>0</v>
      </c>
    </row>
    <row r="168" spans="2:10">
      <c r="D168" s="163">
        <f t="shared" si="40"/>
        <v>0</v>
      </c>
      <c r="E168" s="163">
        <f t="shared" si="40"/>
        <v>0</v>
      </c>
      <c r="F168" s="163">
        <f t="shared" si="40"/>
        <v>0</v>
      </c>
      <c r="G168" s="163">
        <f t="shared" si="40"/>
        <v>0</v>
      </c>
      <c r="H168" s="163">
        <f t="shared" si="40"/>
        <v>0</v>
      </c>
      <c r="I168" s="163">
        <f t="shared" si="40"/>
        <v>0</v>
      </c>
      <c r="J168" s="163">
        <f t="shared" si="40"/>
        <v>0</v>
      </c>
    </row>
    <row r="169" spans="2:10">
      <c r="B169" s="48" t="s">
        <v>111</v>
      </c>
      <c r="C169" s="139"/>
      <c r="D169" s="165">
        <f>SUM(D150:D168)</f>
        <v>9795157.3812326305</v>
      </c>
      <c r="E169" s="165">
        <f t="shared" ref="E169:J169" si="41">SUM(E150:E168)</f>
        <v>9763796.0801070686</v>
      </c>
      <c r="F169" s="165">
        <f t="shared" si="41"/>
        <v>9773738.1506941039</v>
      </c>
      <c r="G169" s="165">
        <f t="shared" si="41"/>
        <v>9778111.8100875672</v>
      </c>
      <c r="H169" s="165">
        <f t="shared" si="41"/>
        <v>9550250.7285412475</v>
      </c>
      <c r="I169" s="165">
        <f t="shared" si="41"/>
        <v>9476465.3068891801</v>
      </c>
      <c r="J169" s="165">
        <f t="shared" si="41"/>
        <v>58137519.4575518</v>
      </c>
    </row>
    <row r="170" spans="2:10">
      <c r="D170" s="166">
        <f>D169-D146</f>
        <v>0</v>
      </c>
      <c r="E170" s="166">
        <f t="shared" ref="E170:J170" si="42">E169-E146</f>
        <v>0</v>
      </c>
      <c r="F170" s="166">
        <f t="shared" si="42"/>
        <v>0</v>
      </c>
      <c r="G170" s="166">
        <f t="shared" si="42"/>
        <v>0</v>
      </c>
      <c r="H170" s="166">
        <f t="shared" si="42"/>
        <v>0</v>
      </c>
      <c r="I170" s="166">
        <f t="shared" si="42"/>
        <v>0</v>
      </c>
      <c r="J170" s="166">
        <f t="shared" si="42"/>
        <v>0</v>
      </c>
    </row>
    <row r="202" spans="2:2">
      <c r="B202" s="48" t="s">
        <v>870</v>
      </c>
    </row>
    <row r="203" spans="2:2">
      <c r="B203" s="48" t="s">
        <v>871</v>
      </c>
    </row>
    <row r="209" spans="2:2">
      <c r="B209" s="48" t="s">
        <v>872</v>
      </c>
    </row>
    <row r="213" spans="2:2">
      <c r="B213" s="48" t="s">
        <v>873</v>
      </c>
    </row>
    <row r="220" spans="2:2">
      <c r="B220" s="48" t="s">
        <v>874</v>
      </c>
    </row>
    <row r="221" spans="2:2">
      <c r="B221" s="48" t="s">
        <v>875</v>
      </c>
    </row>
    <row r="234" spans="2:2">
      <c r="B234" s="48" t="s">
        <v>902</v>
      </c>
    </row>
    <row r="235" spans="2:2">
      <c r="B235" s="48" t="s">
        <v>751</v>
      </c>
    </row>
    <row r="236" spans="2:2">
      <c r="B236" s="48" t="s">
        <v>750</v>
      </c>
    </row>
    <row r="237" spans="2:2">
      <c r="B237" s="48" t="s">
        <v>749</v>
      </c>
    </row>
    <row r="238" spans="2:2">
      <c r="B238" s="48" t="s">
        <v>274</v>
      </c>
    </row>
    <row r="239" spans="2:2">
      <c r="B239" s="48" t="s">
        <v>275</v>
      </c>
    </row>
    <row r="240" spans="2:2">
      <c r="B240" s="48" t="s">
        <v>276</v>
      </c>
    </row>
    <row r="241" spans="2:2">
      <c r="B241" s="48" t="s">
        <v>277</v>
      </c>
    </row>
    <row r="242" spans="2:2">
      <c r="B242" s="48" t="s">
        <v>278</v>
      </c>
    </row>
    <row r="243" spans="2:2">
      <c r="B243" s="48" t="s">
        <v>279</v>
      </c>
    </row>
    <row r="244" spans="2:2">
      <c r="B244" s="48" t="s">
        <v>875</v>
      </c>
    </row>
    <row r="245" spans="2:2">
      <c r="B245" s="48" t="s">
        <v>874</v>
      </c>
    </row>
    <row r="246" spans="2:2">
      <c r="B246" s="48" t="s">
        <v>873</v>
      </c>
    </row>
    <row r="247" spans="2:2">
      <c r="B247" s="48" t="s">
        <v>872</v>
      </c>
    </row>
    <row r="248" spans="2:2">
      <c r="B248" s="48" t="s">
        <v>871</v>
      </c>
    </row>
    <row r="249" spans="2:2">
      <c r="B249" s="48" t="s">
        <v>870</v>
      </c>
    </row>
    <row r="250" spans="2:2">
      <c r="B250" s="48" t="s">
        <v>893</v>
      </c>
    </row>
    <row r="252" spans="2:2">
      <c r="B252" s="48" t="s">
        <v>111</v>
      </c>
    </row>
  </sheetData>
  <printOptions horizontalCentered="1" verticalCentered="1"/>
  <pageMargins left="0.51181102362204722" right="0.31496062992125984" top="0.78740157480314965" bottom="0.82677165354330717" header="0.31496062992125984" footer="0.23622047244094491"/>
  <pageSetup scale="30" orientation="portrait" horizontalDpi="300" r:id="rId1"/>
  <headerFooter alignWithMargins="0">
    <oddHeader>&amp;L
NOMBRE DE LA DISTRIBUIDORA: &amp;UELEKTRA NORESTE, S.A.&amp;R&amp;9&amp;A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2">
    <tabColor theme="7" tint="0.39997558519241921"/>
  </sheetPr>
  <dimension ref="B1:P41"/>
  <sheetViews>
    <sheetView view="pageBreakPreview" zoomScale="70" zoomScaleNormal="85" zoomScaleSheetLayoutView="70" workbookViewId="0">
      <selection activeCell="D13" sqref="D13"/>
    </sheetView>
  </sheetViews>
  <sheetFormatPr baseColWidth="10" defaultColWidth="11.25" defaultRowHeight="15.75"/>
  <cols>
    <col min="1" max="1" width="5.125" style="69" customWidth="1"/>
    <col min="2" max="2" width="5.375" style="69" customWidth="1"/>
    <col min="3" max="3" width="40.625" style="69" customWidth="1"/>
    <col min="4" max="7" width="12.875" style="69" customWidth="1"/>
    <col min="8" max="8" width="2.625" style="74" customWidth="1"/>
    <col min="9" max="12" width="5.25" style="74" bestFit="1" customWidth="1"/>
    <col min="13" max="13" width="4.5" style="74" bestFit="1" customWidth="1"/>
    <col min="14" max="16" width="11.25" style="74"/>
    <col min="17" max="16384" width="11.25" style="69"/>
  </cols>
  <sheetData>
    <row r="1" spans="3:4">
      <c r="C1" s="136" t="s">
        <v>151</v>
      </c>
    </row>
    <row r="2" spans="3:4">
      <c r="D2" s="137" t="s">
        <v>24</v>
      </c>
    </row>
    <row r="3" spans="3:4">
      <c r="D3" s="137" t="s">
        <v>185</v>
      </c>
    </row>
    <row r="5" spans="3:4">
      <c r="C5" s="181" t="s">
        <v>0</v>
      </c>
    </row>
    <row r="6" spans="3:4">
      <c r="C6" s="181"/>
    </row>
    <row r="7" spans="3:4">
      <c r="C7" s="73" t="s">
        <v>312</v>
      </c>
    </row>
    <row r="9" spans="3:4">
      <c r="C9" s="182" t="s">
        <v>314</v>
      </c>
    </row>
    <row r="11" spans="3:4">
      <c r="C11" s="181"/>
    </row>
    <row r="18" spans="2:7">
      <c r="B18" s="183"/>
      <c r="C18" s="184" t="s">
        <v>227</v>
      </c>
      <c r="D18" s="185" t="s">
        <v>158</v>
      </c>
    </row>
    <row r="19" spans="2:7" ht="45">
      <c r="B19" s="186">
        <v>1</v>
      </c>
      <c r="C19" s="187" t="s">
        <v>1408</v>
      </c>
      <c r="D19" s="188">
        <f>'G522'!N247</f>
        <v>512752.96716512466</v>
      </c>
    </row>
    <row r="20" spans="2:7" ht="30">
      <c r="B20" s="189">
        <v>2</v>
      </c>
      <c r="C20" s="187" t="s">
        <v>1409</v>
      </c>
      <c r="D20" s="188">
        <f>'G522'!N243</f>
        <v>1905545.5310089376</v>
      </c>
    </row>
    <row r="21" spans="2:7" ht="45">
      <c r="B21" s="189">
        <v>3</v>
      </c>
      <c r="C21" s="187" t="s">
        <v>1410</v>
      </c>
      <c r="D21" s="190">
        <f>D19/D20</f>
        <v>0.26908460533799738</v>
      </c>
    </row>
    <row r="22" spans="2:7" ht="43.5">
      <c r="B22" s="189">
        <v>4</v>
      </c>
      <c r="C22" s="187" t="s">
        <v>1411</v>
      </c>
      <c r="D22" s="188">
        <f>F821EVE!J109</f>
        <v>1666411048</v>
      </c>
    </row>
    <row r="23" spans="2:7" ht="30">
      <c r="B23" s="189">
        <v>5</v>
      </c>
      <c r="C23" s="187" t="s">
        <v>1412</v>
      </c>
      <c r="D23" s="188">
        <f>D21*D22</f>
        <v>448405559.18195862</v>
      </c>
    </row>
    <row r="24" spans="2:7" ht="58.5">
      <c r="B24" s="189">
        <v>6</v>
      </c>
      <c r="C24" s="187" t="s">
        <v>1413</v>
      </c>
      <c r="D24" s="188">
        <f>F821EVE!Q6+F821EVE!Q10+F821EVE!Q21</f>
        <v>35802013</v>
      </c>
    </row>
    <row r="25" spans="2:7" ht="58.5">
      <c r="B25" s="189">
        <v>7</v>
      </c>
      <c r="C25" s="187" t="s">
        <v>1414</v>
      </c>
      <c r="D25" s="188">
        <f>D23-D24</f>
        <v>412603546.18195862</v>
      </c>
    </row>
    <row r="26" spans="2:7" ht="58.5">
      <c r="B26" s="189">
        <v>8</v>
      </c>
      <c r="C26" s="187" t="s">
        <v>1415</v>
      </c>
      <c r="D26" s="188">
        <f>F821EVE!Q107-D24</f>
        <v>430026189.36170012</v>
      </c>
    </row>
    <row r="27" spans="2:7" ht="45">
      <c r="B27" s="189">
        <v>9</v>
      </c>
      <c r="C27" s="187" t="s">
        <v>1416</v>
      </c>
      <c r="D27" s="191">
        <f>D25/D26</f>
        <v>0.95948469276812554</v>
      </c>
    </row>
    <row r="28" spans="2:7" ht="45">
      <c r="B28" s="189">
        <v>10</v>
      </c>
      <c r="C28" s="187" t="s">
        <v>1417</v>
      </c>
      <c r="D28" s="192" t="s">
        <v>488</v>
      </c>
      <c r="E28" s="192" t="s">
        <v>1218</v>
      </c>
      <c r="F28" s="192" t="s">
        <v>1219</v>
      </c>
      <c r="G28" s="192" t="s">
        <v>1281</v>
      </c>
    </row>
    <row r="29" spans="2:7">
      <c r="B29" s="193"/>
      <c r="C29" s="193" t="s">
        <v>265</v>
      </c>
      <c r="D29" s="194">
        <f>D35*D$27</f>
        <v>0.23334667728120814</v>
      </c>
      <c r="E29" s="194">
        <v>0.29057094290570945</v>
      </c>
      <c r="F29" s="194">
        <f>1-SUM(D29:E29)</f>
        <v>0.47608237981308243</v>
      </c>
      <c r="G29" s="195">
        <f>1-D29</f>
        <v>0.76665332271879183</v>
      </c>
    </row>
    <row r="30" spans="2:7">
      <c r="B30" s="193"/>
      <c r="C30" s="193" t="s">
        <v>262</v>
      </c>
      <c r="D30" s="194">
        <f>D36*D$27</f>
        <v>0.31269606137313216</v>
      </c>
      <c r="E30" s="194">
        <v>0.26899999999999996</v>
      </c>
      <c r="F30" s="194">
        <f>1-SUM(D30:E30)</f>
        <v>0.41830393862686788</v>
      </c>
      <c r="G30" s="195">
        <f>1-D30</f>
        <v>0.68730393862686778</v>
      </c>
    </row>
    <row r="31" spans="2:7">
      <c r="B31" s="193"/>
      <c r="C31" s="193" t="s">
        <v>261</v>
      </c>
      <c r="D31" s="194">
        <f>D37*D$27</f>
        <v>0.39972132300720115</v>
      </c>
      <c r="E31" s="194">
        <v>0.24340000000000001</v>
      </c>
      <c r="F31" s="194">
        <f>1-SUM(D31:E31)</f>
        <v>0.35687867699279885</v>
      </c>
      <c r="G31" s="195">
        <f>1-D31</f>
        <v>0.6002786769927988</v>
      </c>
    </row>
    <row r="32" spans="2:7">
      <c r="B32" s="193"/>
      <c r="C32" s="193" t="s">
        <v>267</v>
      </c>
      <c r="D32" s="194">
        <f>D38*D$27</f>
        <v>0.23190745024205595</v>
      </c>
      <c r="E32" s="194">
        <v>0.30353035303530351</v>
      </c>
      <c r="F32" s="194">
        <f>1-SUM(D32:E32)</f>
        <v>0.46456219672264054</v>
      </c>
      <c r="G32" s="195">
        <f>1-D32</f>
        <v>0.76809254975794405</v>
      </c>
    </row>
    <row r="33" spans="2:8">
      <c r="B33" s="196"/>
      <c r="C33" s="184" t="s">
        <v>227</v>
      </c>
      <c r="D33" s="197"/>
      <c r="E33" s="197"/>
      <c r="F33" s="197"/>
    </row>
    <row r="34" spans="2:8" ht="27">
      <c r="B34" s="186">
        <v>1</v>
      </c>
      <c r="C34" s="198" t="s">
        <v>188</v>
      </c>
      <c r="D34" s="192" t="s">
        <v>488</v>
      </c>
      <c r="E34" s="192" t="s">
        <v>1218</v>
      </c>
      <c r="F34" s="192" t="s">
        <v>1219</v>
      </c>
      <c r="G34" s="192" t="s">
        <v>1281</v>
      </c>
    </row>
    <row r="35" spans="2:8" s="143" customFormat="1" ht="13.5">
      <c r="B35" s="193"/>
      <c r="C35" s="193" t="s">
        <v>265</v>
      </c>
      <c r="D35" s="194">
        <v>0.2432</v>
      </c>
      <c r="E35" s="194">
        <v>0.29057094290570945</v>
      </c>
      <c r="F35" s="194">
        <f>1-SUM(D35:E35)</f>
        <v>0.46622905709429052</v>
      </c>
      <c r="G35" s="195">
        <f>1-D35</f>
        <v>0.75680000000000003</v>
      </c>
      <c r="H35" s="199"/>
    </row>
    <row r="36" spans="2:8" s="143" customFormat="1" ht="13.5">
      <c r="B36" s="193"/>
      <c r="C36" s="193" t="s">
        <v>262</v>
      </c>
      <c r="D36" s="194">
        <v>0.32590000000000002</v>
      </c>
      <c r="E36" s="194">
        <v>0.26899999999999996</v>
      </c>
      <c r="F36" s="194">
        <f>1-SUM(D36:E36)</f>
        <v>0.40510000000000002</v>
      </c>
      <c r="G36" s="195">
        <f>1-D36</f>
        <v>0.67409999999999992</v>
      </c>
      <c r="H36" s="199"/>
    </row>
    <row r="37" spans="2:8" s="143" customFormat="1" ht="13.5">
      <c r="B37" s="193"/>
      <c r="C37" s="193" t="s">
        <v>261</v>
      </c>
      <c r="D37" s="194">
        <v>0.41660000000000003</v>
      </c>
      <c r="E37" s="194">
        <v>0.24340000000000001</v>
      </c>
      <c r="F37" s="194">
        <f>1-SUM(D37:E37)</f>
        <v>0.33999999999999997</v>
      </c>
      <c r="G37" s="195">
        <f>1-D37</f>
        <v>0.58339999999999992</v>
      </c>
      <c r="H37" s="199"/>
    </row>
    <row r="38" spans="2:8" s="143" customFormat="1" ht="13.5">
      <c r="B38" s="193"/>
      <c r="C38" s="193" t="s">
        <v>267</v>
      </c>
      <c r="D38" s="194">
        <v>0.2417</v>
      </c>
      <c r="E38" s="194">
        <v>0.30353035303530351</v>
      </c>
      <c r="F38" s="194">
        <f>1-SUM(D38:E38)</f>
        <v>0.45476964696469646</v>
      </c>
      <c r="G38" s="195">
        <f>1-D38</f>
        <v>0.75829999999999997</v>
      </c>
      <c r="H38" s="199"/>
    </row>
    <row r="41" spans="2:8">
      <c r="C41" s="52" t="str">
        <f>'PORTADA PORTADA PORTADA'!$B$23</f>
        <v>1 DE JULIO DE 2026</v>
      </c>
    </row>
  </sheetData>
  <phoneticPr fontId="0" type="noConversion"/>
  <printOptions horizontalCentered="1" verticalCentered="1"/>
  <pageMargins left="0.59055118110236227" right="0.59055118110236227" top="0.78740157480314965" bottom="0.59055118110236227" header="0.59055118110236227" footer="0.47244094488188981"/>
  <pageSetup scale="59" orientation="portrait" r:id="rId1"/>
  <headerFooter>
    <oddHeader>&amp;L&amp;"Times New Roman,Negrita"&amp;14Nombre de la Distribuidora: &amp;K06-048ENSA&amp;RASEP FORM: &amp;A</oddHeader>
    <oddFooter>&amp;R&amp;A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3335" r:id="rId4">
          <objectPr defaultSize="0" autoPict="0" r:id="rId5">
            <anchor moveWithCells="1" sizeWithCells="1">
              <from>
                <xdr:col>2</xdr:col>
                <xdr:colOff>1590675</xdr:colOff>
                <xdr:row>6</xdr:row>
                <xdr:rowOff>57150</xdr:rowOff>
              </from>
              <to>
                <xdr:col>3</xdr:col>
                <xdr:colOff>1104900</xdr:colOff>
                <xdr:row>7</xdr:row>
                <xdr:rowOff>142875</xdr:rowOff>
              </to>
            </anchor>
          </objectPr>
        </oleObject>
      </mc:Choice>
      <mc:Fallback>
        <oleObject progId="Equation.3" shapeId="13335" r:id="rId4"/>
      </mc:Fallback>
    </mc:AlternateContent>
    <mc:AlternateContent xmlns:mc="http://schemas.openxmlformats.org/markup-compatibility/2006">
      <mc:Choice Requires="x14">
        <oleObject progId="Equation.3" shapeId="13336" r:id="rId6">
          <objectPr defaultSize="0" autoPict="0" r:id="rId7">
            <anchor moveWithCells="1" sizeWithCells="1">
              <from>
                <xdr:col>2</xdr:col>
                <xdr:colOff>0</xdr:colOff>
                <xdr:row>9</xdr:row>
                <xdr:rowOff>0</xdr:rowOff>
              </from>
              <to>
                <xdr:col>4</xdr:col>
                <xdr:colOff>180975</xdr:colOff>
                <xdr:row>11</xdr:row>
                <xdr:rowOff>47625</xdr:rowOff>
              </to>
            </anchor>
          </objectPr>
        </oleObject>
      </mc:Choice>
      <mc:Fallback>
        <oleObject progId="Equation.3" shapeId="13336" r:id="rId6"/>
      </mc:Fallback>
    </mc:AlternateContent>
    <mc:AlternateContent xmlns:mc="http://schemas.openxmlformats.org/markup-compatibility/2006">
      <mc:Choice Requires="x14">
        <oleObject progId="Equation.3" shapeId="13337" r:id="rId8">
          <objectPr defaultSize="0" autoPict="0" r:id="rId9">
            <anchor moveWithCells="1" sizeWithCells="1">
              <from>
                <xdr:col>2</xdr:col>
                <xdr:colOff>0</xdr:colOff>
                <xdr:row>11</xdr:row>
                <xdr:rowOff>114300</xdr:rowOff>
              </from>
              <to>
                <xdr:col>3</xdr:col>
                <xdr:colOff>819150</xdr:colOff>
                <xdr:row>12</xdr:row>
                <xdr:rowOff>200025</xdr:rowOff>
              </to>
            </anchor>
          </objectPr>
        </oleObject>
      </mc:Choice>
      <mc:Fallback>
        <oleObject progId="Equation.3" shapeId="13337" r:id="rId8"/>
      </mc:Fallback>
    </mc:AlternateContent>
    <mc:AlternateContent xmlns:mc="http://schemas.openxmlformats.org/markup-compatibility/2006">
      <mc:Choice Requires="x14">
        <oleObject progId="Equation.3" shapeId="13338" r:id="rId10">
          <objectPr defaultSize="0" autoPict="0" r:id="rId11">
            <anchor moveWithCells="1" sizeWithCells="1">
              <from>
                <xdr:col>2</xdr:col>
                <xdr:colOff>0</xdr:colOff>
                <xdr:row>13</xdr:row>
                <xdr:rowOff>0</xdr:rowOff>
              </from>
              <to>
                <xdr:col>2</xdr:col>
                <xdr:colOff>2266950</xdr:colOff>
                <xdr:row>14</xdr:row>
                <xdr:rowOff>85725</xdr:rowOff>
              </to>
            </anchor>
          </objectPr>
        </oleObject>
      </mc:Choice>
      <mc:Fallback>
        <oleObject progId="Equation.3" shapeId="13338" r:id="rId10"/>
      </mc:Fallback>
    </mc:AlternateContent>
    <mc:AlternateContent xmlns:mc="http://schemas.openxmlformats.org/markup-compatibility/2006">
      <mc:Choice Requires="x14">
        <oleObject progId="Equation.3" shapeId="13339" r:id="rId12">
          <objectPr defaultSize="0" autoPict="0" r:id="rId13">
            <anchor moveWithCells="1" sizeWithCells="1">
              <from>
                <xdr:col>2</xdr:col>
                <xdr:colOff>0</xdr:colOff>
                <xdr:row>14</xdr:row>
                <xdr:rowOff>104775</xdr:rowOff>
              </from>
              <to>
                <xdr:col>2</xdr:col>
                <xdr:colOff>2181225</xdr:colOff>
                <xdr:row>16</xdr:row>
                <xdr:rowOff>180975</xdr:rowOff>
              </to>
            </anchor>
          </objectPr>
        </oleObject>
      </mc:Choice>
      <mc:Fallback>
        <oleObject progId="Equation.3" shapeId="13339" r:id="rId12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33">
    <tabColor theme="7" tint="0.79998168889431442"/>
  </sheetPr>
  <dimension ref="A1:J168"/>
  <sheetViews>
    <sheetView view="pageBreakPreview" topLeftCell="A82" zoomScale="70" zoomScaleNormal="85" zoomScaleSheetLayoutView="70" workbookViewId="0">
      <selection activeCell="H91" sqref="H91"/>
    </sheetView>
  </sheetViews>
  <sheetFormatPr baseColWidth="10" defaultColWidth="8" defaultRowHeight="15"/>
  <cols>
    <col min="1" max="1" width="2.375" style="63" bestFit="1" customWidth="1"/>
    <col min="2" max="2" width="5.625" style="48" bestFit="1" customWidth="1"/>
    <col min="3" max="3" width="33.25" style="63" customWidth="1"/>
    <col min="4" max="5" width="12.75" style="63" customWidth="1"/>
    <col min="6" max="6" width="13.25" style="63" customWidth="1"/>
    <col min="7" max="7" width="14" style="63" customWidth="1"/>
    <col min="8" max="8" width="11.75" style="63" customWidth="1"/>
    <col min="9" max="9" width="11.125" style="63" customWidth="1"/>
    <col min="10" max="10" width="11.5" style="63" customWidth="1"/>
    <col min="11" max="16384" width="8" style="63"/>
  </cols>
  <sheetData>
    <row r="1" spans="2:10" s="69" customFormat="1" ht="15.75">
      <c r="B1" s="48"/>
      <c r="C1" s="136" t="s">
        <v>151</v>
      </c>
    </row>
    <row r="2" spans="2:10" s="69" customFormat="1" ht="15.75">
      <c r="B2" s="48"/>
      <c r="D2" s="137" t="s">
        <v>24</v>
      </c>
    </row>
    <row r="3" spans="2:10" s="69" customFormat="1" ht="15.75">
      <c r="B3" s="48"/>
      <c r="D3" s="137"/>
    </row>
    <row r="4" spans="2:10" ht="47.25">
      <c r="C4" s="219" t="s">
        <v>270</v>
      </c>
      <c r="D4" s="219"/>
      <c r="E4" s="219"/>
      <c r="F4" s="219"/>
      <c r="G4" s="219"/>
      <c r="H4" s="219"/>
      <c r="I4" s="219"/>
      <c r="J4" s="878"/>
    </row>
    <row r="5" spans="2:10">
      <c r="C5" s="139"/>
    </row>
    <row r="6" spans="2:10" s="143" customFormat="1">
      <c r="B6" s="48"/>
      <c r="C6" s="140" t="s">
        <v>292</v>
      </c>
      <c r="D6" s="141" t="s">
        <v>1391</v>
      </c>
      <c r="E6" s="141" t="s">
        <v>1392</v>
      </c>
      <c r="F6" s="142" t="s">
        <v>1237</v>
      </c>
      <c r="G6" s="142" t="s">
        <v>1238</v>
      </c>
      <c r="H6" s="142" t="s">
        <v>1239</v>
      </c>
    </row>
    <row r="7" spans="2:10" s="143" customFormat="1" ht="13.5">
      <c r="B7" s="48"/>
      <c r="C7" s="144" t="s">
        <v>266</v>
      </c>
      <c r="D7" s="145">
        <f>RAT1000PT!$N$34</f>
        <v>7.0000000000000007E-2</v>
      </c>
      <c r="E7" s="144"/>
      <c r="F7" s="146">
        <f>RAT1000PT!$N$10</f>
        <v>1.7600000000000001E-3</v>
      </c>
      <c r="G7" s="146">
        <f>RAT1000PT!$N$15</f>
        <v>1.7600000000000001E-3</v>
      </c>
      <c r="H7" s="146">
        <f>RAT1000PT!$N$20</f>
        <v>1.7600000000000001E-3</v>
      </c>
    </row>
    <row r="8" spans="2:10" s="143" customFormat="1" ht="13.5">
      <c r="B8" s="48"/>
      <c r="C8" s="144" t="s">
        <v>265</v>
      </c>
      <c r="D8" s="145">
        <f>RAT1000PT!$N$33</f>
        <v>7.0000000000000007E-2</v>
      </c>
      <c r="E8" s="146">
        <f>RAT1000PT!$N$26</f>
        <v>1.7600000000000001E-3</v>
      </c>
      <c r="F8" s="146"/>
      <c r="G8" s="146"/>
      <c r="H8" s="146"/>
    </row>
    <row r="9" spans="2:10" s="143" customFormat="1" ht="13.5">
      <c r="B9" s="48"/>
      <c r="C9" s="144" t="s">
        <v>264</v>
      </c>
      <c r="D9" s="145">
        <f>RAT1000PT!$N$32</f>
        <v>0.45</v>
      </c>
      <c r="E9" s="146"/>
      <c r="F9" s="146">
        <f>RAT1000PT!$N$9</f>
        <v>1.188E-2</v>
      </c>
      <c r="G9" s="146">
        <f>RAT1000PT!$N$14</f>
        <v>1.188E-2</v>
      </c>
      <c r="H9" s="146">
        <f>RAT1000PT!$N$19</f>
        <v>1.188E-2</v>
      </c>
    </row>
    <row r="10" spans="2:10" s="143" customFormat="1" ht="13.5">
      <c r="B10" s="48"/>
      <c r="C10" s="144" t="s">
        <v>262</v>
      </c>
      <c r="D10" s="145">
        <f>RAT1000PT!$N$31</f>
        <v>0.42</v>
      </c>
      <c r="E10" s="146">
        <f>RAT1000PT!$N$25</f>
        <v>1.188E-2</v>
      </c>
      <c r="F10" s="146"/>
      <c r="G10" s="146"/>
      <c r="H10" s="146"/>
    </row>
    <row r="11" spans="2:10" s="143" customFormat="1" ht="13.5">
      <c r="B11" s="48"/>
      <c r="C11" s="144" t="s">
        <v>263</v>
      </c>
      <c r="D11" s="145">
        <f>RAT1000PT!$N$30</f>
        <v>0.56000000000000005</v>
      </c>
      <c r="E11" s="146"/>
      <c r="F11" s="146">
        <f>RAT1000PT!$N$8</f>
        <v>1.617E-2</v>
      </c>
      <c r="G11" s="146">
        <f>RAT1000PT!$N$13</f>
        <v>1.617E-2</v>
      </c>
      <c r="H11" s="146">
        <f>RAT1000PT!$N$18</f>
        <v>1.617E-2</v>
      </c>
    </row>
    <row r="12" spans="2:10" s="143" customFormat="1" ht="13.5">
      <c r="B12" s="48"/>
      <c r="C12" s="144" t="s">
        <v>261</v>
      </c>
      <c r="D12" s="145">
        <f>RAT1000PT!$N$29</f>
        <v>0.53</v>
      </c>
      <c r="E12" s="146">
        <f>RAT1000PT!$N$24</f>
        <v>1.617E-2</v>
      </c>
      <c r="F12" s="146"/>
      <c r="G12" s="146"/>
      <c r="H12" s="146"/>
    </row>
    <row r="13" spans="2:10" s="143" customFormat="1" ht="13.5">
      <c r="B13" s="48"/>
      <c r="C13" s="144" t="s">
        <v>1768</v>
      </c>
      <c r="D13" s="145"/>
      <c r="E13" s="146">
        <f>RAT1000PT!$N$22</f>
        <v>1.8319999999999999E-2</v>
      </c>
      <c r="F13" s="146"/>
      <c r="G13" s="146"/>
      <c r="H13" s="146"/>
    </row>
    <row r="14" spans="2:10" s="143" customFormat="1" ht="13.5">
      <c r="B14" s="48"/>
      <c r="C14" s="144" t="s">
        <v>2071</v>
      </c>
      <c r="D14" s="146"/>
      <c r="E14" s="146">
        <f>RAT1000PT!$N$23</f>
        <v>1.8769999999999998E-2</v>
      </c>
      <c r="F14" s="146"/>
      <c r="G14" s="146"/>
      <c r="H14" s="146"/>
    </row>
    <row r="15" spans="2:10" s="143" customFormat="1" ht="13.5">
      <c r="B15" s="48"/>
      <c r="C15" s="144" t="s">
        <v>1178</v>
      </c>
      <c r="D15" s="145"/>
      <c r="E15" s="146"/>
      <c r="F15" s="146">
        <f>RAT1000PT!$N$7</f>
        <v>1.8319999999999999E-2</v>
      </c>
      <c r="G15" s="146">
        <f>RAT1000PT!$N$12</f>
        <v>1.8319999999999999E-2</v>
      </c>
      <c r="H15" s="146">
        <f>RAT1000PT!$N$17</f>
        <v>1.8319999999999999E-2</v>
      </c>
    </row>
    <row r="16" spans="2:10" s="143" customFormat="1" ht="13.5">
      <c r="B16" s="48"/>
      <c r="C16" s="147"/>
      <c r="J16" s="148"/>
    </row>
    <row r="17" spans="2:10" s="143" customFormat="1" ht="36" customHeight="1">
      <c r="B17" s="48"/>
      <c r="C17" s="149" t="s">
        <v>1393</v>
      </c>
      <c r="D17" s="149"/>
      <c r="E17" s="149"/>
      <c r="F17" s="149"/>
      <c r="G17" s="149"/>
      <c r="H17" s="149"/>
      <c r="I17" s="149"/>
      <c r="J17" s="149"/>
    </row>
    <row r="18" spans="2:10" s="37" customFormat="1" ht="13.5">
      <c r="B18" s="48"/>
      <c r="C18" s="150" t="s">
        <v>310</v>
      </c>
      <c r="D18" s="151">
        <f>F801ENE!D4</f>
        <v>46204</v>
      </c>
      <c r="E18" s="151">
        <f>F801ENE!E4</f>
        <v>46235</v>
      </c>
      <c r="F18" s="151">
        <f>F801ENE!F4</f>
        <v>46266</v>
      </c>
      <c r="G18" s="151">
        <f>F801ENE!G4</f>
        <v>46296</v>
      </c>
      <c r="H18" s="151">
        <f>F801ENE!H4</f>
        <v>46327</v>
      </c>
      <c r="I18" s="151">
        <f>F801ENE!I4</f>
        <v>46357</v>
      </c>
      <c r="J18" s="152" t="s">
        <v>111</v>
      </c>
    </row>
    <row r="19" spans="2:10" s="37" customFormat="1" ht="13.5">
      <c r="B19" s="48"/>
      <c r="C19" s="153" t="s">
        <v>446</v>
      </c>
      <c r="D19" s="154">
        <f t="shared" ref="D19:H19" si="0">SUM(D20:D21)</f>
        <v>35647.174442330317</v>
      </c>
      <c r="E19" s="154">
        <f t="shared" si="0"/>
        <v>35662.051530994679</v>
      </c>
      <c r="F19" s="154">
        <f t="shared" si="0"/>
        <v>35053.514477953853</v>
      </c>
      <c r="G19" s="154">
        <f t="shared" si="0"/>
        <v>35539.807200446121</v>
      </c>
      <c r="H19" s="154">
        <f t="shared" si="0"/>
        <v>34063.061667267582</v>
      </c>
      <c r="I19" s="154">
        <f t="shared" ref="I19" si="1">SUM(I20:I21)</f>
        <v>34159.195219526213</v>
      </c>
      <c r="J19" s="154">
        <f>SUM(D19:I19)</f>
        <v>210124.80453851877</v>
      </c>
    </row>
    <row r="20" spans="2:10" s="37" customFormat="1" ht="13.5">
      <c r="B20" s="48" t="s">
        <v>279</v>
      </c>
      <c r="C20" s="155" t="s">
        <v>279</v>
      </c>
      <c r="D20" s="156">
        <f>$D$7*F801D!K6+$F$7*F801ENE!K6+$G$7*F801ENE!R6+$H$7*F801ENE!Y6</f>
        <v>35646.22444233032</v>
      </c>
      <c r="E20" s="156">
        <f>$D$7*F801D!L6+$F$7*F801ENE!L6+$G$7*F801ENE!S6+$H$7*F801ENE!Z6</f>
        <v>35661.101530994682</v>
      </c>
      <c r="F20" s="156">
        <f>$D$7*F801D!M6+$F$7*F801ENE!M6+$G$7*F801ENE!T6+$H$7*F801ENE!AA6</f>
        <v>35052.564477953856</v>
      </c>
      <c r="G20" s="156">
        <f>$D$7*F801D!N6+$F$7*F801ENE!N6+$G$7*F801ENE!U6+$H$7*F801ENE!AB6</f>
        <v>35538.857200446124</v>
      </c>
      <c r="H20" s="156">
        <f>$D$7*F801D!O6+$F$7*F801ENE!O6+$G$7*F801ENE!V6+$H$7*F801ENE!AC6</f>
        <v>34062.111667267585</v>
      </c>
      <c r="I20" s="156">
        <f>$D$7*F801D!P6+$F$7*F801ENE!P6+$G$7*F801ENE!W6+$H$7*F801ENE!AD6</f>
        <v>34158.245219526216</v>
      </c>
      <c r="J20" s="156">
        <f>SUM(D20:I20)</f>
        <v>210119.10453851882</v>
      </c>
    </row>
    <row r="21" spans="2:10" s="37" customFormat="1" ht="13.5">
      <c r="B21" s="48" t="s">
        <v>278</v>
      </c>
      <c r="C21" s="155" t="s">
        <v>278</v>
      </c>
      <c r="D21" s="156">
        <f>$D$8*F801D!D7+$E$8*F801ENE!D7</f>
        <v>0.95</v>
      </c>
      <c r="E21" s="156">
        <f>$D$8*F801D!E7+$E$8*F801ENE!E7</f>
        <v>0.95</v>
      </c>
      <c r="F21" s="156">
        <f>$D$8*F801D!F7+$E$8*F801ENE!F7</f>
        <v>0.95</v>
      </c>
      <c r="G21" s="156">
        <f>$D$8*F801D!G7+$E$8*F801ENE!G7</f>
        <v>0.95</v>
      </c>
      <c r="H21" s="156">
        <f>$D$8*F801D!H7+$E$8*F801ENE!H7</f>
        <v>0.95</v>
      </c>
      <c r="I21" s="156">
        <f>$D$8*F801D!I7+$E$8*F801ENE!I7</f>
        <v>0.95</v>
      </c>
      <c r="J21" s="156">
        <f>SUM(D21:I21)</f>
        <v>5.7</v>
      </c>
    </row>
    <row r="22" spans="2:10" s="37" customFormat="1" ht="13.5">
      <c r="B22" s="48"/>
      <c r="C22" s="157"/>
      <c r="D22" s="156"/>
      <c r="E22" s="156"/>
      <c r="F22" s="156"/>
      <c r="G22" s="156"/>
      <c r="H22" s="156"/>
      <c r="I22" s="156"/>
      <c r="J22" s="156"/>
    </row>
    <row r="23" spans="2:10" s="37" customFormat="1" ht="13.5">
      <c r="B23" s="48"/>
      <c r="C23" s="153" t="s">
        <v>630</v>
      </c>
      <c r="D23" s="154">
        <f t="shared" ref="D23:I23" si="2">SUBTOTAL(9,D24:D31)</f>
        <v>403647.60307712492</v>
      </c>
      <c r="E23" s="154">
        <f t="shared" si="2"/>
        <v>403816.0625500867</v>
      </c>
      <c r="F23" s="154">
        <f t="shared" si="2"/>
        <v>397495.48822246218</v>
      </c>
      <c r="G23" s="154">
        <f t="shared" si="2"/>
        <v>402431.83906648931</v>
      </c>
      <c r="H23" s="154">
        <f t="shared" si="2"/>
        <v>386264.06927433802</v>
      </c>
      <c r="I23" s="154">
        <f t="shared" si="2"/>
        <v>386798.5944231631</v>
      </c>
      <c r="J23" s="154">
        <f t="shared" ref="J23:J31" si="3">SUM(D23:I23)</f>
        <v>2380453.6566136642</v>
      </c>
    </row>
    <row r="24" spans="2:10" s="37" customFormat="1" ht="13.5">
      <c r="B24" s="48" t="s">
        <v>277</v>
      </c>
      <c r="C24" s="155" t="s">
        <v>277</v>
      </c>
      <c r="D24" s="154">
        <f t="shared" ref="D24:I24" si="4">SUBTOTAL(9,D25:D26)</f>
        <v>57771.372228921238</v>
      </c>
      <c r="E24" s="154">
        <f t="shared" si="4"/>
        <v>57795.482702620975</v>
      </c>
      <c r="F24" s="154">
        <f t="shared" si="4"/>
        <v>56891.664800783437</v>
      </c>
      <c r="G24" s="154">
        <f t="shared" si="4"/>
        <v>57597.368086036375</v>
      </c>
      <c r="H24" s="154">
        <f t="shared" si="4"/>
        <v>55284.164487028327</v>
      </c>
      <c r="I24" s="154">
        <f t="shared" si="4"/>
        <v>55359.886707352671</v>
      </c>
      <c r="J24" s="156">
        <f t="shared" si="3"/>
        <v>340699.93901274301</v>
      </c>
    </row>
    <row r="25" spans="2:10" s="37" customFormat="1" ht="13.5">
      <c r="B25" s="48"/>
      <c r="C25" s="160" t="s">
        <v>304</v>
      </c>
      <c r="D25" s="156">
        <f>$D$9*F801D!K11+$F$9*F801ENE!K11+$G$9*F801ENE!R11+$H$9*F801ENE!Y11</f>
        <v>50538.573154747071</v>
      </c>
      <c r="E25" s="156">
        <f>$D$9*F801D!L11+$F$9*F801ENE!L11+$G$9*F801ENE!S11+$H$9*F801ENE!Z11</f>
        <v>50559.665070896153</v>
      </c>
      <c r="F25" s="156">
        <f>$D$9*F801D!M11+$F$9*F801ENE!M11+$G$9*F801ENE!T11+$H$9*F801ENE!AA11</f>
        <v>49773.981518184359</v>
      </c>
      <c r="G25" s="156">
        <f>$D$9*F801D!N11+$F$9*F801ENE!N11+$G$9*F801ENE!U11+$H$9*F801ENE!AB11</f>
        <v>50386.353798253869</v>
      </c>
      <c r="H25" s="156">
        <f>$D$9*F801D!O11+$F$9*F801ENE!O11+$G$9*F801ENE!V11+$H$9*F801ENE!AC11</f>
        <v>48367.594639060713</v>
      </c>
      <c r="I25" s="156">
        <f>$D$9*F801D!P11+$F$9*F801ENE!P11+$G$9*F801ENE!W11+$H$9*F801ENE!AD11</f>
        <v>48428.998243483409</v>
      </c>
      <c r="J25" s="156">
        <f t="shared" si="3"/>
        <v>298055.16642462561</v>
      </c>
    </row>
    <row r="26" spans="2:10" s="37" customFormat="1" ht="13.5">
      <c r="B26" s="48"/>
      <c r="C26" s="160" t="s">
        <v>305</v>
      </c>
      <c r="D26" s="156">
        <f>($D$9*F801D!K12+$F$9*F801ENE!K12+$G$9*F801ENE!R12+$H$9*F801ENE!Y12)*95%</f>
        <v>7232.799074174166</v>
      </c>
      <c r="E26" s="156">
        <f>($D$9*F801D!L12+$F$9*F801ENE!L12+$G$9*F801ENE!S12+$H$9*F801ENE!Z12)*95%</f>
        <v>7235.8176317248235</v>
      </c>
      <c r="F26" s="156">
        <f>($D$9*F801D!M12+$F$9*F801ENE!M12+$G$9*F801ENE!T12+$H$9*F801ENE!AA12)*95%</f>
        <v>7117.6832825990805</v>
      </c>
      <c r="G26" s="156">
        <f>($D$9*F801D!N12+$F$9*F801ENE!N12+$G$9*F801ENE!U12+$H$9*F801ENE!AB12)*95%</f>
        <v>7211.0142877825083</v>
      </c>
      <c r="H26" s="156">
        <f>($D$9*F801D!O12+$F$9*F801ENE!O12+$G$9*F801ENE!V12+$H$9*F801ENE!AC12)*95%</f>
        <v>6916.5698479676157</v>
      </c>
      <c r="I26" s="156">
        <f>($D$9*F801D!P12+$F$9*F801ENE!P12+$G$9*F801ENE!W12+$H$9*F801ENE!AD12)*95%</f>
        <v>6930.8884638692598</v>
      </c>
      <c r="J26" s="156">
        <f t="shared" si="3"/>
        <v>42644.772588117456</v>
      </c>
    </row>
    <row r="27" spans="2:10" s="37" customFormat="1" ht="13.5">
      <c r="B27" s="48" t="s">
        <v>276</v>
      </c>
      <c r="C27" s="158" t="s">
        <v>276</v>
      </c>
      <c r="D27" s="154">
        <f t="shared" ref="D27:I27" si="5">SUBTOTAL(9,D28:D31)</f>
        <v>345876.2308482037</v>
      </c>
      <c r="E27" s="154">
        <f t="shared" si="5"/>
        <v>346020.57984746573</v>
      </c>
      <c r="F27" s="154">
        <f t="shared" si="5"/>
        <v>340603.82342167874</v>
      </c>
      <c r="G27" s="154">
        <f t="shared" si="5"/>
        <v>344834.47098045296</v>
      </c>
      <c r="H27" s="154">
        <f t="shared" si="5"/>
        <v>330979.9047873097</v>
      </c>
      <c r="I27" s="154">
        <f t="shared" si="5"/>
        <v>331438.70771581045</v>
      </c>
      <c r="J27" s="159">
        <f t="shared" si="3"/>
        <v>2039753.7176009212</v>
      </c>
    </row>
    <row r="28" spans="2:10" s="37" customFormat="1" ht="13.5">
      <c r="B28" s="48"/>
      <c r="C28" s="160" t="s">
        <v>304</v>
      </c>
      <c r="D28" s="156">
        <f>($D$10*F801D!D15+$E$10*F801ENE!D15)*1</f>
        <v>344441.64162811567</v>
      </c>
      <c r="E28" s="156">
        <f>($D$10*F801D!E15+$E$10*F801ENE!E15)*1</f>
        <v>344585.39191171061</v>
      </c>
      <c r="F28" s="156">
        <f>($D$10*F801D!F15+$E$10*F801ENE!F15)*1</f>
        <v>339188.56085019087</v>
      </c>
      <c r="G28" s="156">
        <f>($D$10*F801D!G15+$E$10*F801ENE!G15)*1</f>
        <v>343404.20266288117</v>
      </c>
      <c r="H28" s="156">
        <f>($D$10*F801D!H15+$E$10*F801ENE!H15)*1</f>
        <v>329604.63111464697</v>
      </c>
      <c r="I28" s="156">
        <f>($D$10*F801D!I15+$E$10*F801ENE!I15)*1</f>
        <v>330064.0009426882</v>
      </c>
      <c r="J28" s="156">
        <f t="shared" si="3"/>
        <v>2031288.4291102337</v>
      </c>
    </row>
    <row r="29" spans="2:10" s="37" customFormat="1" ht="13.5">
      <c r="B29" s="48"/>
      <c r="C29" s="161" t="s">
        <v>306</v>
      </c>
      <c r="D29" s="156">
        <f>($D$10*F801D!D16+$E$10*F801ENE!D16)*1</f>
        <v>0</v>
      </c>
      <c r="E29" s="156">
        <f>($D$10*F801D!E16+$E$10*F801ENE!E16)*1</f>
        <v>0</v>
      </c>
      <c r="F29" s="156">
        <f>($D$10*F801D!F16+$E$10*F801ENE!F16)*1</f>
        <v>0</v>
      </c>
      <c r="G29" s="156">
        <f>($D$10*F801D!G16+$E$10*F801ENE!G16)*1</f>
        <v>0</v>
      </c>
      <c r="H29" s="156">
        <f>($D$10*F801D!H16+$E$10*F801ENE!H16)*1</f>
        <v>0</v>
      </c>
      <c r="I29" s="156">
        <f>($D$10*F801D!I16+$E$10*F801ENE!I16)*1</f>
        <v>0</v>
      </c>
      <c r="J29" s="156">
        <f t="shared" si="3"/>
        <v>0</v>
      </c>
    </row>
    <row r="30" spans="2:10" s="37" customFormat="1" ht="13.5">
      <c r="B30" s="48"/>
      <c r="C30" s="160" t="s">
        <v>305</v>
      </c>
      <c r="D30" s="156">
        <f>($D$10*F801D!D17+$E$10*F801ENE!D17)*0.95</f>
        <v>1434.5892200880505</v>
      </c>
      <c r="E30" s="156">
        <f>($D$10*F801D!E17+$E$10*F801ENE!E17)*0.95</f>
        <v>1435.1879357551084</v>
      </c>
      <c r="F30" s="156">
        <f>($D$10*F801D!F17+$E$10*F801ENE!F17)*0.95</f>
        <v>1415.2625714878841</v>
      </c>
      <c r="G30" s="156">
        <f>($D$10*F801D!G17+$E$10*F801ENE!G17)*0.95</f>
        <v>1430.2683175717641</v>
      </c>
      <c r="H30" s="156">
        <f>($D$10*F801D!H17+$E$10*F801ENE!H17)*0.95</f>
        <v>1375.2736726627386</v>
      </c>
      <c r="I30" s="156">
        <f>($D$10*F801D!I17+$E$10*F801ENE!I17)*0.95</f>
        <v>1374.7067731222369</v>
      </c>
      <c r="J30" s="156">
        <f>SUM(D30:I30)</f>
        <v>8465.2884906877807</v>
      </c>
    </row>
    <row r="31" spans="2:10" s="37" customFormat="1" ht="13.5">
      <c r="B31" s="48"/>
      <c r="C31" s="160" t="s">
        <v>307</v>
      </c>
      <c r="D31" s="156">
        <f>($D$10*F801D!D18+$E$10*F801ENE!D18)*0.5</f>
        <v>0</v>
      </c>
      <c r="E31" s="156">
        <f>($D$10*F801D!E18+$E$10*F801ENE!E18)*0.5</f>
        <v>0</v>
      </c>
      <c r="F31" s="156">
        <f>($D$10*F801D!F18+$E$10*F801ENE!F18)*0.5</f>
        <v>0</v>
      </c>
      <c r="G31" s="156">
        <f>($D$10*F801D!G18+$E$10*F801ENE!G18)*0.5</f>
        <v>0</v>
      </c>
      <c r="H31" s="156">
        <f>($D$10*F801D!H18+$E$10*F801ENE!H18)*0.5</f>
        <v>0</v>
      </c>
      <c r="I31" s="156">
        <f>($D$10*F801D!I18+$E$10*F801ENE!I18)*0.5</f>
        <v>0</v>
      </c>
      <c r="J31" s="156">
        <f t="shared" si="3"/>
        <v>0</v>
      </c>
    </row>
    <row r="32" spans="2:10" s="37" customFormat="1" ht="13.5">
      <c r="B32" s="48"/>
      <c r="C32" s="157"/>
      <c r="D32" s="156"/>
      <c r="E32" s="156"/>
      <c r="F32" s="156"/>
      <c r="G32" s="156"/>
      <c r="H32" s="156"/>
      <c r="I32" s="156"/>
      <c r="J32" s="156"/>
    </row>
    <row r="33" spans="2:10" s="37" customFormat="1" ht="13.5">
      <c r="B33" s="48"/>
      <c r="C33" s="153" t="s">
        <v>443</v>
      </c>
      <c r="D33" s="154">
        <f t="shared" ref="D33:I33" si="6">SUBTOTAL(9,D34:D108)</f>
        <v>4059908.7702655578</v>
      </c>
      <c r="E33" s="154">
        <f t="shared" si="6"/>
        <v>4061603.1446711142</v>
      </c>
      <c r="F33" s="154">
        <f t="shared" si="6"/>
        <v>3989016.5272663883</v>
      </c>
      <c r="G33" s="154">
        <f t="shared" si="6"/>
        <v>4047680.5507027032</v>
      </c>
      <c r="H33" s="154">
        <f t="shared" si="6"/>
        <v>3876305.0067829536</v>
      </c>
      <c r="I33" s="154">
        <f t="shared" si="6"/>
        <v>3890440.5384091586</v>
      </c>
      <c r="J33" s="154">
        <f t="shared" ref="J33:J59" si="7">SUM(D33:I33)</f>
        <v>23924954.538097873</v>
      </c>
    </row>
    <row r="34" spans="2:10" s="37" customFormat="1" ht="13.5">
      <c r="B34" s="48" t="s">
        <v>275</v>
      </c>
      <c r="C34" s="155" t="s">
        <v>275</v>
      </c>
      <c r="D34" s="154">
        <f t="shared" ref="D34:I34" si="8">SUBTOTAL(9,D35:D37)</f>
        <v>52770.308870429006</v>
      </c>
      <c r="E34" s="154">
        <f t="shared" si="8"/>
        <v>52792.332185698491</v>
      </c>
      <c r="F34" s="154">
        <f t="shared" si="8"/>
        <v>51969.314235693273</v>
      </c>
      <c r="G34" s="154">
        <f t="shared" si="8"/>
        <v>52611.367650747001</v>
      </c>
      <c r="H34" s="154">
        <f t="shared" si="8"/>
        <v>50500.897214815996</v>
      </c>
      <c r="I34" s="154">
        <f t="shared" si="8"/>
        <v>50567.577121120914</v>
      </c>
      <c r="J34" s="156">
        <f t="shared" si="7"/>
        <v>311211.7972785047</v>
      </c>
    </row>
    <row r="35" spans="2:10" s="37" customFormat="1" ht="13.5">
      <c r="B35" s="48"/>
      <c r="C35" s="160" t="s">
        <v>304</v>
      </c>
      <c r="D35" s="156">
        <f>$D$11*F801D!K22+$F$11*F801ENE!K22+$G$11*F801ENE!R22+$H$11*F801ENE!Y22</f>
        <v>52187.338813422873</v>
      </c>
      <c r="E35" s="156">
        <f>$D$11*F801D!L22+$F$11*F801ENE!L22+$G$11*F801ENE!S22+$H$11*F801ENE!Z22</f>
        <v>52209.118830261228</v>
      </c>
      <c r="F35" s="156">
        <f>$D$11*F801D!M22+$F$11*F801ENE!M22+$G$11*F801ENE!T22+$H$11*F801ENE!AA22</f>
        <v>51391.067601861156</v>
      </c>
      <c r="G35" s="156">
        <f>$D$11*F801D!N22+$F$11*F801ENE!N22+$G$11*F801ENE!U22+$H$11*F801ENE!AB22</f>
        <v>52030.153466955977</v>
      </c>
      <c r="H35" s="156">
        <f>$D$11*F801D!O22+$F$11*F801ENE!O22+$G$11*F801ENE!V22+$H$11*F801ENE!AC22</f>
        <v>49938.989207188053</v>
      </c>
      <c r="I35" s="156">
        <f>$D$11*F801D!P22+$F$11*F801ENE!P22+$G$11*F801ENE!W22+$H$11*F801ENE!AD22</f>
        <v>50008.941328608402</v>
      </c>
      <c r="J35" s="156">
        <f t="shared" si="7"/>
        <v>307765.6092482977</v>
      </c>
    </row>
    <row r="36" spans="2:10" s="37" customFormat="1" ht="13.5">
      <c r="B36" s="48"/>
      <c r="C36" s="161" t="s">
        <v>306</v>
      </c>
      <c r="D36" s="156">
        <f>($D$11*F801D!K23+$F$11*F801ENE!K23+$G$11*F801ENE!R23+$H$11*F801ENE!Y23)*1</f>
        <v>398.33493635455517</v>
      </c>
      <c r="E36" s="156">
        <f>($D$11*F801D!L23+$F$11*F801ENE!L23+$G$11*F801ENE!S23+$H$11*F801ENE!Z23)*1</f>
        <v>398.501178623626</v>
      </c>
      <c r="F36" s="156">
        <f>($D$11*F801D!M23+$F$11*F801ENE!M23+$G$11*F801ENE!T23+$H$11*F801ENE!AA23)*1</f>
        <v>395.78621105354802</v>
      </c>
      <c r="G36" s="156">
        <f>($D$11*F801D!N23+$F$11*F801ENE!N23+$G$11*F801ENE!U23+$H$11*F801ENE!AB23)*1</f>
        <v>397.1351737990318</v>
      </c>
      <c r="H36" s="156">
        <f>($D$11*F801D!O23+$F$11*F801ENE!O23+$G$11*F801ENE!V23+$H$11*F801ENE!AC23)*1</f>
        <v>384.60308852274522</v>
      </c>
      <c r="I36" s="156">
        <f>($D$11*F801D!P23+$F$11*F801ENE!P23+$G$11*F801ENE!W23+$H$11*F801ENE!AD23)*1</f>
        <v>381.70768838219237</v>
      </c>
      <c r="J36" s="156">
        <f t="shared" si="7"/>
        <v>2356.0682767356984</v>
      </c>
    </row>
    <row r="37" spans="2:10" s="37" customFormat="1" ht="13.5">
      <c r="B37" s="48"/>
      <c r="C37" s="160" t="s">
        <v>305</v>
      </c>
      <c r="D37" s="156">
        <f>($D$11*F801D!K24+$F$11*F801ENE!K24+$G$11*F801ENE!R24+$H$11*F801ENE!Y24)*95%</f>
        <v>184.63512065157897</v>
      </c>
      <c r="E37" s="156">
        <f>($D$11*F801D!L24+$F$11*F801ENE!L24+$G$11*F801ENE!S24+$H$11*F801ENE!Z24)*95%</f>
        <v>184.7121768136324</v>
      </c>
      <c r="F37" s="156">
        <f>($D$11*F801D!M24+$F$11*F801ENE!M24+$G$11*F801ENE!T24+$H$11*F801ENE!AA24)*95%</f>
        <v>182.46042277856893</v>
      </c>
      <c r="G37" s="156">
        <f>($D$11*F801D!N24+$F$11*F801ENE!N24+$G$11*F801ENE!U24+$H$11*F801ENE!AB24)*95%</f>
        <v>184.07900999199288</v>
      </c>
      <c r="H37" s="156">
        <f>($D$11*F801D!O24+$F$11*F801ENE!O24+$G$11*F801ENE!V24+$H$11*F801ENE!AC24)*95%</f>
        <v>177.30491910520129</v>
      </c>
      <c r="I37" s="156">
        <f>($D$11*F801D!P24+$F$11*F801ENE!P24+$G$11*F801ENE!W24+$H$11*F801ENE!AD24)*95%</f>
        <v>176.92810413031563</v>
      </c>
      <c r="J37" s="156">
        <f t="shared" si="7"/>
        <v>1090.1197534712901</v>
      </c>
    </row>
    <row r="38" spans="2:10" s="37" customFormat="1" ht="13.5">
      <c r="B38" s="48" t="s">
        <v>274</v>
      </c>
      <c r="C38" s="158" t="s">
        <v>627</v>
      </c>
      <c r="D38" s="154">
        <f t="shared" ref="D38:I38" si="9">SUBTOTAL(9,D39:D44)</f>
        <v>622990.3896192523</v>
      </c>
      <c r="E38" s="154">
        <f t="shared" si="9"/>
        <v>623250.39025320986</v>
      </c>
      <c r="F38" s="154">
        <f t="shared" si="9"/>
        <v>613140.13833695592</v>
      </c>
      <c r="G38" s="154">
        <f t="shared" si="9"/>
        <v>621113.97740003688</v>
      </c>
      <c r="H38" s="154">
        <f t="shared" si="9"/>
        <v>595815.58001714142</v>
      </c>
      <c r="I38" s="154">
        <f t="shared" si="9"/>
        <v>596985.60131874005</v>
      </c>
      <c r="J38" s="159">
        <f t="shared" si="7"/>
        <v>3673296.0769453365</v>
      </c>
    </row>
    <row r="39" spans="2:10" s="37" customFormat="1" ht="13.5">
      <c r="B39" s="48"/>
      <c r="C39" s="160" t="s">
        <v>304</v>
      </c>
      <c r="D39" s="156">
        <f>($D$12*F801D!D28+$E$12*F801ENE!D28)*1</f>
        <v>621856.55172501819</v>
      </c>
      <c r="E39" s="156">
        <f>($D$12*F801D!E28+$E$12*F801ENE!E28)*1</f>
        <v>622116.07915974781</v>
      </c>
      <c r="F39" s="156">
        <f>($D$12*F801D!F28+$E$12*F801ENE!F28)*1</f>
        <v>612023.83655737771</v>
      </c>
      <c r="G39" s="156">
        <f>($D$12*F801D!G28+$E$12*F801ENE!G28)*1</f>
        <v>619983.55456214189</v>
      </c>
      <c r="H39" s="156">
        <f>($D$12*F801D!H28+$E$12*F801ENE!H28)*1</f>
        <v>594730.8198608784</v>
      </c>
      <c r="I39" s="156">
        <f>($D$12*F801D!I28+$E$12*F801ENE!I28)*1</f>
        <v>595899.0919465794</v>
      </c>
      <c r="J39" s="156">
        <f t="shared" si="7"/>
        <v>3666609.9338117437</v>
      </c>
    </row>
    <row r="40" spans="2:10" s="37" customFormat="1" ht="13.5">
      <c r="B40" s="48"/>
      <c r="C40" s="161" t="s">
        <v>628</v>
      </c>
      <c r="D40" s="156">
        <f>($D$12*F801D!D29+$E$12*F801ENE!D29)*0.75</f>
        <v>49.425077719895853</v>
      </c>
      <c r="E40" s="156">
        <f>($D$12*F801D!E29+$E$12*F801ENE!E29)*0.75</f>
        <v>49.445704926598708</v>
      </c>
      <c r="F40" s="156">
        <f>($D$12*F801D!F29+$E$12*F801ENE!F29)*0.75</f>
        <v>48.511808805471986</v>
      </c>
      <c r="G40" s="156">
        <f>($D$12*F801D!G29+$E$12*F801ENE!G29)*0.75</f>
        <v>49.276212149391682</v>
      </c>
      <c r="H40" s="156">
        <f>($D$12*F801D!H29+$E$12*F801ENE!H29)*0.75</f>
        <v>47.141085200376324</v>
      </c>
      <c r="I40" s="156">
        <f>($D$12*F801D!I29+$E$12*F801ENE!I29)*0.75</f>
        <v>47.361982198265466</v>
      </c>
      <c r="J40" s="156">
        <f>SUM(D40:I40)</f>
        <v>291.16187100000002</v>
      </c>
    </row>
    <row r="41" spans="2:10" s="37" customFormat="1" ht="13.5">
      <c r="B41" s="48"/>
      <c r="C41" s="161" t="s">
        <v>629</v>
      </c>
      <c r="D41" s="156">
        <f>($D$12*F801D!D30+$E$12*F801ENE!D30)*1</f>
        <v>320.25711891470507</v>
      </c>
      <c r="E41" s="156">
        <f>($D$12*F801D!E30+$E$12*F801ENE!E30)*1</f>
        <v>320.39077595875369</v>
      </c>
      <c r="F41" s="156">
        <f>($D$12*F801D!F30+$E$12*F801ENE!F30)*1</f>
        <v>316.22628840273126</v>
      </c>
      <c r="G41" s="156">
        <f>($D$12*F801D!G30+$E$12*F801ENE!G30)*1</f>
        <v>319.29252237961316</v>
      </c>
      <c r="H41" s="156">
        <f>($D$12*F801D!H30+$E$12*F801ENE!H30)*1</f>
        <v>307.29116830025185</v>
      </c>
      <c r="I41" s="156">
        <f>($D$12*F801D!I30+$E$12*F801ENE!I30)*1</f>
        <v>306.88898560497819</v>
      </c>
      <c r="J41" s="156">
        <f>SUM(D41:I41)</f>
        <v>1890.3468595610332</v>
      </c>
    </row>
    <row r="42" spans="2:10" s="37" customFormat="1" ht="13.5">
      <c r="B42" s="48"/>
      <c r="C42" s="160" t="s">
        <v>305</v>
      </c>
      <c r="D42" s="156">
        <f>($D$12*F801D!D31+$E$12*F801ENE!D31)*0.95</f>
        <v>704.11338096203406</v>
      </c>
      <c r="E42" s="156">
        <f>($D$12*F801D!E31+$E$12*F801ENE!E31)*0.95</f>
        <v>704.40723770280954</v>
      </c>
      <c r="F42" s="156">
        <f>($D$12*F801D!F31+$E$12*F801ENE!F31)*0.95</f>
        <v>692.63081833966328</v>
      </c>
      <c r="G42" s="156">
        <f>($D$12*F801D!G31+$E$12*F801ENE!G31)*0.95</f>
        <v>701.99263082886137</v>
      </c>
      <c r="H42" s="156">
        <f>($D$12*F801D!H31+$E$12*F801ENE!H31)*0.95</f>
        <v>673.06021407458763</v>
      </c>
      <c r="I42" s="156">
        <f>($D$12*F801D!I31+$E$12*F801ENE!I31)*0.95</f>
        <v>674.72236672397128</v>
      </c>
      <c r="J42" s="156">
        <f t="shared" si="7"/>
        <v>4150.9266486319275</v>
      </c>
    </row>
    <row r="43" spans="2:10" s="37" customFormat="1" ht="13.5">
      <c r="B43" s="48"/>
      <c r="C43" s="160" t="s">
        <v>307</v>
      </c>
      <c r="D43" s="156">
        <f>($D$12*F801D!D32+$E$12*F801ENE!D32)*0.5</f>
        <v>60.042316637503113</v>
      </c>
      <c r="E43" s="156">
        <f>($D$12*F801D!E32+$E$12*F801ENE!E32)*0.5</f>
        <v>60.067374873793987</v>
      </c>
      <c r="F43" s="156">
        <f>($D$12*F801D!F32+$E$12*F801ENE!F32)*0.5</f>
        <v>58.932864030351155</v>
      </c>
      <c r="G43" s="156">
        <f>($D$12*F801D!G32+$E$12*F801ENE!G32)*0.5</f>
        <v>59.861472537038779</v>
      </c>
      <c r="H43" s="156">
        <f>($D$12*F801D!H32+$E$12*F801ENE!H32)*0.5</f>
        <v>57.26768868786457</v>
      </c>
      <c r="I43" s="156">
        <f>($D$12*F801D!I32+$E$12*F801ENE!I32)*0.5</f>
        <v>57.536037633448402</v>
      </c>
      <c r="J43" s="156">
        <f t="shared" si="7"/>
        <v>353.7077544</v>
      </c>
    </row>
    <row r="44" spans="2:10" s="37" customFormat="1" ht="13.5">
      <c r="B44" s="48"/>
      <c r="C44" s="160" t="s">
        <v>624</v>
      </c>
      <c r="D44" s="156">
        <f>($D$12*F801D!D33+$E$12*F801ENE!D33)*0</f>
        <v>0</v>
      </c>
      <c r="E44" s="156">
        <f>($D$12*F801D!E33+$E$12*F801ENE!E33)*0</f>
        <v>0</v>
      </c>
      <c r="F44" s="156">
        <f>($D$12*F801D!F33+$E$12*F801ENE!F33)*0</f>
        <v>0</v>
      </c>
      <c r="G44" s="156">
        <f>($D$12*F801D!G33+$E$12*F801ENE!G33)*0</f>
        <v>0</v>
      </c>
      <c r="H44" s="156">
        <f>($D$12*F801D!H33+$E$12*F801ENE!H33)*0</f>
        <v>0</v>
      </c>
      <c r="I44" s="156">
        <f>($D$12*F801D!I33+$E$12*F801ENE!I33)*0</f>
        <v>0</v>
      </c>
      <c r="J44" s="156">
        <f t="shared" si="7"/>
        <v>0</v>
      </c>
    </row>
    <row r="45" spans="2:10" s="37" customFormat="1" ht="13.5">
      <c r="B45" s="48" t="s">
        <v>274</v>
      </c>
      <c r="C45" s="158" t="s">
        <v>631</v>
      </c>
      <c r="D45" s="154">
        <f t="shared" ref="D45:I45" si="10">SUBTOTAL(9,D46:D49)</f>
        <v>301149.10797798855</v>
      </c>
      <c r="E45" s="154">
        <f t="shared" si="10"/>
        <v>301274.79042878497</v>
      </c>
      <c r="F45" s="154">
        <f t="shared" si="10"/>
        <v>296891.22232056584</v>
      </c>
      <c r="G45" s="154">
        <f t="shared" si="10"/>
        <v>300242.06370341935</v>
      </c>
      <c r="H45" s="154">
        <f t="shared" si="10"/>
        <v>288502.42345692503</v>
      </c>
      <c r="I45" s="154">
        <f t="shared" si="10"/>
        <v>288578.57891309896</v>
      </c>
      <c r="J45" s="159">
        <f t="shared" si="7"/>
        <v>1776638.1868007826</v>
      </c>
    </row>
    <row r="46" spans="2:10" s="37" customFormat="1" ht="13.5">
      <c r="B46" s="48"/>
      <c r="C46" s="160" t="s">
        <v>304</v>
      </c>
      <c r="D46" s="156">
        <f>($D$12*F801D!D35+$E$12*F801ENE!D35)*1</f>
        <v>300904.07848500257</v>
      </c>
      <c r="E46" s="156">
        <f>($D$12*F801D!E35+$E$12*F801ENE!E35)*1</f>
        <v>301029.65867447271</v>
      </c>
      <c r="F46" s="156">
        <f>($D$12*F801D!F35+$E$12*F801ENE!F35)*1</f>
        <v>296648.71199267381</v>
      </c>
      <c r="G46" s="156">
        <f>($D$12*F801D!G35+$E$12*F801ENE!G35)*1</f>
        <v>299997.77222556551</v>
      </c>
      <c r="H46" s="156">
        <f>($D$12*F801D!H35+$E$12*F801ENE!H35)*1</f>
        <v>288266.76537056151</v>
      </c>
      <c r="I46" s="156">
        <f>($D$12*F801D!I35+$E$12*F801ENE!I35)*1</f>
        <v>288343.77741110395</v>
      </c>
      <c r="J46" s="156">
        <f t="shared" si="7"/>
        <v>1775190.76415938</v>
      </c>
    </row>
    <row r="47" spans="2:10" s="37" customFormat="1" ht="13.5">
      <c r="B47" s="48"/>
      <c r="C47" s="161" t="s">
        <v>306</v>
      </c>
      <c r="D47" s="156">
        <f>($D$12*F801D!D36+$E$12*F801ENE!D36)*1</f>
        <v>0</v>
      </c>
      <c r="E47" s="156">
        <f>($D$12*F801D!E36+$E$12*F801ENE!E36)*1</f>
        <v>0</v>
      </c>
      <c r="F47" s="156">
        <f>($D$12*F801D!F36+$E$12*F801ENE!F36)*1</f>
        <v>0</v>
      </c>
      <c r="G47" s="156">
        <f>($D$12*F801D!G36+$E$12*F801ENE!G36)*1</f>
        <v>0</v>
      </c>
      <c r="H47" s="156">
        <f>($D$12*F801D!H36+$E$12*F801ENE!H36)*1</f>
        <v>0</v>
      </c>
      <c r="I47" s="156">
        <f>($D$12*F801D!I36+$E$12*F801ENE!I36)*1</f>
        <v>0</v>
      </c>
      <c r="J47" s="156">
        <f>SUM(D47:I47)</f>
        <v>0</v>
      </c>
    </row>
    <row r="48" spans="2:10" s="37" customFormat="1" ht="13.5">
      <c r="B48" s="48"/>
      <c r="C48" s="160" t="s">
        <v>305</v>
      </c>
      <c r="D48" s="156">
        <f>($D$12*F801D!D37+$E$12*F801ENE!D37)*0.95</f>
        <v>245.02949298597156</v>
      </c>
      <c r="E48" s="156">
        <f>($D$12*F801D!E37+$E$12*F801ENE!E37)*0.95</f>
        <v>245.13175431227154</v>
      </c>
      <c r="F48" s="156">
        <f>($D$12*F801D!F37+$E$12*F801ENE!F37)*0.95</f>
        <v>242.51032789202546</v>
      </c>
      <c r="G48" s="156">
        <f>($D$12*F801D!G37+$E$12*F801ENE!G37)*0.95</f>
        <v>244.2914778538472</v>
      </c>
      <c r="H48" s="156">
        <f>($D$12*F801D!H37+$E$12*F801ENE!H37)*0.95</f>
        <v>235.65808636349291</v>
      </c>
      <c r="I48" s="156">
        <f>($D$12*F801D!I37+$E$12*F801ENE!I37)*0.95</f>
        <v>234.80150199500892</v>
      </c>
      <c r="J48" s="156">
        <f t="shared" si="7"/>
        <v>1447.4226414026175</v>
      </c>
    </row>
    <row r="49" spans="2:10" s="37" customFormat="1" ht="13.5">
      <c r="B49" s="48"/>
      <c r="C49" s="160" t="s">
        <v>307</v>
      </c>
      <c r="D49" s="156">
        <f>($D$12*F801D!D38+$E$12*F801ENE!D38)*0.5</f>
        <v>0</v>
      </c>
      <c r="E49" s="156">
        <f>($D$12*F801D!E38+$E$12*F801ENE!E38)*0.5</f>
        <v>0</v>
      </c>
      <c r="F49" s="156">
        <f>($D$12*F801D!F38+$E$12*F801ENE!F38)*0.5</f>
        <v>0</v>
      </c>
      <c r="G49" s="156">
        <f>($D$12*F801D!G38+$E$12*F801ENE!G38)*0.5</f>
        <v>0</v>
      </c>
      <c r="H49" s="156">
        <f>($D$12*F801D!H38+$E$12*F801ENE!H38)*0.5</f>
        <v>0</v>
      </c>
      <c r="I49" s="156">
        <f>($D$12*F801D!I38+$E$12*F801ENE!I38)*0.5</f>
        <v>0</v>
      </c>
      <c r="J49" s="156">
        <f t="shared" si="7"/>
        <v>0</v>
      </c>
    </row>
    <row r="50" spans="2:10" s="37" customFormat="1" ht="13.5">
      <c r="B50" s="48" t="s">
        <v>274</v>
      </c>
      <c r="C50" s="158" t="s">
        <v>632</v>
      </c>
      <c r="D50" s="154">
        <f t="shared" ref="D50:I50" si="11">SUBTOTAL(9,D51:D54)</f>
        <v>88019.657135488902</v>
      </c>
      <c r="E50" s="154">
        <f t="shared" si="11"/>
        <v>88056.391517009513</v>
      </c>
      <c r="F50" s="154">
        <f t="shared" si="11"/>
        <v>86868.656741532424</v>
      </c>
      <c r="G50" s="154">
        <f t="shared" si="11"/>
        <v>87754.546849789083</v>
      </c>
      <c r="H50" s="154">
        <f t="shared" si="11"/>
        <v>84414.14264959158</v>
      </c>
      <c r="I50" s="154">
        <f t="shared" si="11"/>
        <v>84345.551421769997</v>
      </c>
      <c r="J50" s="159">
        <f t="shared" si="7"/>
        <v>519458.94631518156</v>
      </c>
    </row>
    <row r="51" spans="2:10" s="37" customFormat="1" ht="13.5">
      <c r="B51" s="48"/>
      <c r="C51" s="160" t="s">
        <v>304</v>
      </c>
      <c r="D51" s="156">
        <f>($D$12*F801D!D40+$E$12*F801ENE!D40)*1</f>
        <v>88019.657135488902</v>
      </c>
      <c r="E51" s="156">
        <f>($D$12*F801D!E40+$E$12*F801ENE!E40)*1</f>
        <v>88056.391517009513</v>
      </c>
      <c r="F51" s="156">
        <f>($D$12*F801D!F40+$E$12*F801ENE!F40)*1</f>
        <v>86868.656741532424</v>
      </c>
      <c r="G51" s="156">
        <f>($D$12*F801D!G40+$E$12*F801ENE!G40)*1</f>
        <v>87754.546849789083</v>
      </c>
      <c r="H51" s="156">
        <f>($D$12*F801D!H40+$E$12*F801ENE!H40)*1</f>
        <v>84414.14264959158</v>
      </c>
      <c r="I51" s="156">
        <f>($D$12*F801D!I40+$E$12*F801ENE!I40)*1</f>
        <v>84345.551421769997</v>
      </c>
      <c r="J51" s="156">
        <f t="shared" si="7"/>
        <v>519458.94631518156</v>
      </c>
    </row>
    <row r="52" spans="2:10" s="37" customFormat="1" ht="13.5">
      <c r="B52" s="48"/>
      <c r="C52" s="161" t="s">
        <v>306</v>
      </c>
      <c r="D52" s="156">
        <f>($D$12*F801D!D41+$E$12*F801ENE!D41)*1</f>
        <v>0</v>
      </c>
      <c r="E52" s="156">
        <f>($D$12*F801D!E41+$E$12*F801ENE!E41)*1</f>
        <v>0</v>
      </c>
      <c r="F52" s="156">
        <f>($D$12*F801D!F41+$E$12*F801ENE!F41)*1</f>
        <v>0</v>
      </c>
      <c r="G52" s="156">
        <f>($D$12*F801D!G41+$E$12*F801ENE!G41)*1</f>
        <v>0</v>
      </c>
      <c r="H52" s="156">
        <f>($D$12*F801D!H41+$E$12*F801ENE!H41)*1</f>
        <v>0</v>
      </c>
      <c r="I52" s="156">
        <f>($D$12*F801D!I41+$E$12*F801ENE!I41)*1</f>
        <v>0</v>
      </c>
      <c r="J52" s="156">
        <f>SUM(D52:I52)</f>
        <v>0</v>
      </c>
    </row>
    <row r="53" spans="2:10" s="37" customFormat="1" ht="13.5">
      <c r="B53" s="48"/>
      <c r="C53" s="160" t="s">
        <v>305</v>
      </c>
      <c r="D53" s="156">
        <f>($D$12*F801D!D42+$E$12*F801ENE!D42)*0.95</f>
        <v>0</v>
      </c>
      <c r="E53" s="156">
        <f>($D$12*F801D!E42+$E$12*F801ENE!E42)*0.95</f>
        <v>0</v>
      </c>
      <c r="F53" s="156">
        <f>($D$12*F801D!F42+$E$12*F801ENE!F42)*0.95</f>
        <v>0</v>
      </c>
      <c r="G53" s="156">
        <f>($D$12*F801D!G42+$E$12*F801ENE!G42)*0.95</f>
        <v>0</v>
      </c>
      <c r="H53" s="156">
        <f>($D$12*F801D!H42+$E$12*F801ENE!H42)*0.95</f>
        <v>0</v>
      </c>
      <c r="I53" s="156">
        <f>($D$12*F801D!I42+$E$12*F801ENE!I42)*0.95</f>
        <v>0</v>
      </c>
      <c r="J53" s="156">
        <f t="shared" si="7"/>
        <v>0</v>
      </c>
    </row>
    <row r="54" spans="2:10" s="37" customFormat="1" ht="13.5">
      <c r="B54" s="48"/>
      <c r="C54" s="160" t="s">
        <v>307</v>
      </c>
      <c r="D54" s="156">
        <f>($D$12*F801D!D43+$E$12*F801ENE!D43)*0.5</f>
        <v>0</v>
      </c>
      <c r="E54" s="156">
        <f>($D$12*F801D!E43+$E$12*F801ENE!E43)*0.5</f>
        <v>0</v>
      </c>
      <c r="F54" s="156">
        <f>($D$12*F801D!F43+$E$12*F801ENE!F43)*0.5</f>
        <v>0</v>
      </c>
      <c r="G54" s="156">
        <f>($D$12*F801D!G43+$E$12*F801ENE!G43)*0.5</f>
        <v>0</v>
      </c>
      <c r="H54" s="156">
        <f>($D$12*F801D!H43+$E$12*F801ENE!H43)*0.5</f>
        <v>0</v>
      </c>
      <c r="I54" s="156">
        <f>($D$12*F801D!I43+$E$12*F801ENE!I43)*0.5</f>
        <v>0</v>
      </c>
      <c r="J54" s="156">
        <f t="shared" si="7"/>
        <v>0</v>
      </c>
    </row>
    <row r="55" spans="2:10" s="37" customFormat="1" ht="13.5">
      <c r="B55" s="48" t="s">
        <v>274</v>
      </c>
      <c r="C55" s="158" t="s">
        <v>633</v>
      </c>
      <c r="D55" s="154">
        <f t="shared" ref="D55:I55" si="12">SUBTOTAL(9,D56:D59)</f>
        <v>89822.574645077984</v>
      </c>
      <c r="E55" s="154">
        <f t="shared" si="12"/>
        <v>89860.061461472826</v>
      </c>
      <c r="F55" s="154">
        <f t="shared" si="12"/>
        <v>88671.507089616571</v>
      </c>
      <c r="G55" s="154">
        <f t="shared" si="12"/>
        <v>89552.034072648879</v>
      </c>
      <c r="H55" s="154">
        <f t="shared" si="12"/>
        <v>86166.052626878954</v>
      </c>
      <c r="I55" s="154">
        <f t="shared" si="12"/>
        <v>86073.211770187132</v>
      </c>
      <c r="J55" s="159">
        <f t="shared" si="7"/>
        <v>530145.44166588236</v>
      </c>
    </row>
    <row r="56" spans="2:10" s="37" customFormat="1" ht="13.5">
      <c r="B56" s="48"/>
      <c r="C56" s="160" t="s">
        <v>304</v>
      </c>
      <c r="D56" s="156">
        <f>($D$12*F801D!D45+$E$12*F801ENE!D45)*1</f>
        <v>89822.574645077984</v>
      </c>
      <c r="E56" s="156">
        <f>($D$12*F801D!E45+$E$12*F801ENE!E45)*1</f>
        <v>89860.061461472826</v>
      </c>
      <c r="F56" s="156">
        <f>($D$12*F801D!F45+$E$12*F801ENE!F45)*1</f>
        <v>88671.507089616571</v>
      </c>
      <c r="G56" s="156">
        <f>($D$12*F801D!G45+$E$12*F801ENE!G45)*1</f>
        <v>89552.034072648879</v>
      </c>
      <c r="H56" s="156">
        <f>($D$12*F801D!H45+$E$12*F801ENE!H45)*1</f>
        <v>86166.052626878954</v>
      </c>
      <c r="I56" s="156">
        <f>($D$12*F801D!I45+$E$12*F801ENE!I45)*1</f>
        <v>86073.211770187132</v>
      </c>
      <c r="J56" s="156">
        <f t="shared" si="7"/>
        <v>530145.44166588236</v>
      </c>
    </row>
    <row r="57" spans="2:10" s="37" customFormat="1" ht="13.5">
      <c r="B57" s="48"/>
      <c r="C57" s="161" t="s">
        <v>306</v>
      </c>
      <c r="D57" s="156">
        <f>($D$12*F801D!D46+$E$12*F801ENE!D46)*1</f>
        <v>0</v>
      </c>
      <c r="E57" s="156">
        <f>($D$12*F801D!E46+$E$12*F801ENE!E46)*1</f>
        <v>0</v>
      </c>
      <c r="F57" s="156">
        <f>($D$12*F801D!F46+$E$12*F801ENE!F46)*1</f>
        <v>0</v>
      </c>
      <c r="G57" s="156">
        <f>($D$12*F801D!G46+$E$12*F801ENE!G46)*1</f>
        <v>0</v>
      </c>
      <c r="H57" s="156">
        <f>($D$12*F801D!H46+$E$12*F801ENE!H46)*1</f>
        <v>0</v>
      </c>
      <c r="I57" s="156">
        <f>($D$12*F801D!I46+$E$12*F801ENE!I46)*1</f>
        <v>0</v>
      </c>
      <c r="J57" s="156">
        <f>SUM(D57:I57)</f>
        <v>0</v>
      </c>
    </row>
    <row r="58" spans="2:10" s="37" customFormat="1" ht="13.5">
      <c r="B58" s="48"/>
      <c r="C58" s="160" t="s">
        <v>305</v>
      </c>
      <c r="D58" s="156">
        <f>($D$12*F801D!D47+$E$12*F801ENE!D47)*0.95</f>
        <v>0</v>
      </c>
      <c r="E58" s="156">
        <f>($D$12*F801D!E47+$E$12*F801ENE!E47)*0.95</f>
        <v>0</v>
      </c>
      <c r="F58" s="156">
        <f>($D$12*F801D!F47+$E$12*F801ENE!F47)*0.95</f>
        <v>0</v>
      </c>
      <c r="G58" s="156">
        <f>($D$12*F801D!G47+$E$12*F801ENE!G47)*0.95</f>
        <v>0</v>
      </c>
      <c r="H58" s="156">
        <f>($D$12*F801D!H47+$E$12*F801ENE!H47)*0.95</f>
        <v>0</v>
      </c>
      <c r="I58" s="156">
        <f>($D$12*F801D!I47+$E$12*F801ENE!I47)*0.95</f>
        <v>0</v>
      </c>
      <c r="J58" s="156">
        <f t="shared" si="7"/>
        <v>0</v>
      </c>
    </row>
    <row r="59" spans="2:10" s="37" customFormat="1" ht="13.5">
      <c r="B59" s="48"/>
      <c r="C59" s="160" t="s">
        <v>307</v>
      </c>
      <c r="D59" s="156">
        <f>($D$12*F801D!D48+$E$12*F801ENE!D48)*0.5</f>
        <v>0</v>
      </c>
      <c r="E59" s="156">
        <f>($D$12*F801D!E48+$E$12*F801ENE!E48)*0.5</f>
        <v>0</v>
      </c>
      <c r="F59" s="156">
        <f>($D$12*F801D!F48+$E$12*F801ENE!F48)*0.5</f>
        <v>0</v>
      </c>
      <c r="G59" s="156">
        <f>($D$12*F801D!G48+$E$12*F801ENE!G48)*0.5</f>
        <v>0</v>
      </c>
      <c r="H59" s="156">
        <f>($D$12*F801D!H48+$E$12*F801ENE!H48)*0.5</f>
        <v>0</v>
      </c>
      <c r="I59" s="156">
        <f>($D$12*F801D!I48+$E$12*F801ENE!I48)*0.5</f>
        <v>0</v>
      </c>
      <c r="J59" s="156">
        <f t="shared" si="7"/>
        <v>0</v>
      </c>
    </row>
    <row r="60" spans="2:10" s="37" customFormat="1" ht="13.5">
      <c r="B60" s="48"/>
      <c r="C60" s="157"/>
      <c r="D60" s="156"/>
      <c r="E60" s="156"/>
      <c r="F60" s="156"/>
      <c r="G60" s="156"/>
      <c r="H60" s="156"/>
      <c r="I60" s="156"/>
      <c r="J60" s="156"/>
    </row>
    <row r="61" spans="2:10" s="37" customFormat="1" ht="13.5">
      <c r="B61" s="48" t="s">
        <v>1176</v>
      </c>
      <c r="C61" s="158" t="str">
        <f>F801ENE!C50</f>
        <v>BTSH</v>
      </c>
      <c r="D61" s="154">
        <f t="shared" ref="D61:I61" si="13">SUBTOTAL(9,D62:D67)</f>
        <v>18.32</v>
      </c>
      <c r="E61" s="154">
        <f t="shared" si="13"/>
        <v>18.32</v>
      </c>
      <c r="F61" s="154">
        <f t="shared" si="13"/>
        <v>18.32</v>
      </c>
      <c r="G61" s="154">
        <f t="shared" si="13"/>
        <v>18.32</v>
      </c>
      <c r="H61" s="154">
        <f t="shared" si="13"/>
        <v>18.32</v>
      </c>
      <c r="I61" s="154">
        <f t="shared" si="13"/>
        <v>18.32</v>
      </c>
      <c r="J61" s="154">
        <f>SUM(D61:I61)</f>
        <v>109.91999999999999</v>
      </c>
    </row>
    <row r="62" spans="2:10" s="37" customFormat="1" ht="13.5">
      <c r="B62" s="48"/>
      <c r="C62" s="160" t="str">
        <f>F801ENE!C51</f>
        <v xml:space="preserve">    - Regulares</v>
      </c>
      <c r="D62" s="156">
        <f>($F$15*F801ENE!K51+$G$15*F801ENE!R51+$H$15*F801ENE!Y51)*1</f>
        <v>18.32</v>
      </c>
      <c r="E62" s="156">
        <f>($F$15*F801ENE!L51+$G$15*F801ENE!S51+$H$15*F801ENE!Z51)*1</f>
        <v>18.32</v>
      </c>
      <c r="F62" s="156">
        <f>($F$15*F801ENE!M51+$G$15*F801ENE!T51+$H$15*F801ENE!AA51)*1</f>
        <v>18.32</v>
      </c>
      <c r="G62" s="156">
        <f>($F$15*F801ENE!N51+$G$15*F801ENE!U51+$H$15*F801ENE!AB51)*1</f>
        <v>18.32</v>
      </c>
      <c r="H62" s="156">
        <f>($F$15*F801ENE!O51+$G$15*F801ENE!V51+$H$15*F801ENE!AC51)*1</f>
        <v>18.32</v>
      </c>
      <c r="I62" s="156">
        <f>($F$15*F801ENE!P51+$G$15*F801ENE!W51+$H$15*F801ENE!AD51)*1</f>
        <v>18.32</v>
      </c>
      <c r="J62" s="156">
        <f t="shared" ref="J62:J67" si="14">SUM(D62:I62)</f>
        <v>109.91999999999999</v>
      </c>
    </row>
    <row r="63" spans="2:10" s="37" customFormat="1" ht="13.5">
      <c r="B63" s="48"/>
      <c r="C63" s="162" t="str">
        <f>F801ENE!C52</f>
        <v xml:space="preserve">    - Jubilados (0 a 600 KWh)</v>
      </c>
      <c r="D63" s="156">
        <f>($F$15*F801ENE!K52+$G$15*F801ENE!R52+$H$15*F801ENE!Y52)*0.75</f>
        <v>0</v>
      </c>
      <c r="E63" s="156">
        <f>($F$15*F801ENE!L52+$G$15*F801ENE!S52+$H$15*F801ENE!Z52)*0.75</f>
        <v>0</v>
      </c>
      <c r="F63" s="156">
        <f>($F$15*F801ENE!M52+$G$15*F801ENE!T52+$H$15*F801ENE!AA52)*0.75</f>
        <v>0</v>
      </c>
      <c r="G63" s="156">
        <f>($F$15*F801ENE!N52+$G$15*F801ENE!U52+$H$15*F801ENE!AB52)*0.75</f>
        <v>0</v>
      </c>
      <c r="H63" s="156">
        <f>($F$15*F801ENE!O52+$G$15*F801ENE!V52+$H$15*F801ENE!AC52)*0.75</f>
        <v>0</v>
      </c>
      <c r="I63" s="156">
        <f>($F$15*F801ENE!P52+$G$15*F801ENE!W52+$H$15*F801ENE!AD52)*0.75</f>
        <v>0</v>
      </c>
      <c r="J63" s="156">
        <f t="shared" si="14"/>
        <v>0</v>
      </c>
    </row>
    <row r="64" spans="2:10" s="37" customFormat="1" ht="13.5">
      <c r="B64" s="48"/>
      <c r="C64" s="162" t="str">
        <f>F801ENE!C53</f>
        <v xml:space="preserve">    - Jubilados (601 y Más KWh)</v>
      </c>
      <c r="D64" s="156">
        <f>($F$15*F801ENE!K53+$G$15*F801ENE!R53+$H$15*F801ENE!Y53)*1</f>
        <v>0</v>
      </c>
      <c r="E64" s="156">
        <f>($F$15*F801ENE!L53+$G$15*F801ENE!S53+$H$15*F801ENE!Z53)*1</f>
        <v>0</v>
      </c>
      <c r="F64" s="156">
        <f>($F$15*F801ENE!M53+$G$15*F801ENE!T53+$H$15*F801ENE!AA53)*1</f>
        <v>0</v>
      </c>
      <c r="G64" s="156">
        <f>($F$15*F801ENE!N53+$G$15*F801ENE!U53+$H$15*F801ENE!AB53)*1</f>
        <v>0</v>
      </c>
      <c r="H64" s="156">
        <f>($F$15*F801ENE!O53+$G$15*F801ENE!V53+$H$15*F801ENE!AC53)*1</f>
        <v>0</v>
      </c>
      <c r="I64" s="156">
        <f>($F$15*F801ENE!P53+$G$15*F801ENE!W53+$H$15*F801ENE!AD53)*1</f>
        <v>0</v>
      </c>
      <c r="J64" s="156">
        <f t="shared" si="14"/>
        <v>0</v>
      </c>
    </row>
    <row r="65" spans="2:10" s="37" customFormat="1" ht="13.5">
      <c r="B65" s="48"/>
      <c r="C65" s="160" t="str">
        <f>F801ENE!C54</f>
        <v xml:space="preserve">    - Agropecuarios</v>
      </c>
      <c r="D65" s="156">
        <f>($F$15*F801ENE!K54+$G$15*F801ENE!R54+$H$15*F801ENE!Y54)*0.95</f>
        <v>0</v>
      </c>
      <c r="E65" s="156">
        <f>($F$15*F801ENE!L54+$G$15*F801ENE!S54+$H$15*F801ENE!Z54)*0.95</f>
        <v>0</v>
      </c>
      <c r="F65" s="156">
        <f>($F$15*F801ENE!M54+$G$15*F801ENE!T54+$H$15*F801ENE!AA54)*0.95</f>
        <v>0</v>
      </c>
      <c r="G65" s="156">
        <f>($F$15*F801ENE!N54+$G$15*F801ENE!U54+$H$15*F801ENE!AB54)*0.95</f>
        <v>0</v>
      </c>
      <c r="H65" s="156">
        <f>($F$15*F801ENE!O54+$G$15*F801ENE!V54+$H$15*F801ENE!AC54)*0.95</f>
        <v>0</v>
      </c>
      <c r="I65" s="156">
        <f>($F$15*F801ENE!P54+$G$15*F801ENE!W54+$H$15*F801ENE!AD54)*0.95</f>
        <v>0</v>
      </c>
      <c r="J65" s="156">
        <f t="shared" si="14"/>
        <v>0</v>
      </c>
    </row>
    <row r="66" spans="2:10" s="37" customFormat="1" ht="13.5">
      <c r="B66" s="48"/>
      <c r="C66" s="160" t="str">
        <f>F801ENE!C55</f>
        <v xml:space="preserve">    - Partidos Políticos</v>
      </c>
      <c r="D66" s="156">
        <f>($F$15*F801ENE!K55+$G$15*F801ENE!R55+$H$15*F801ENE!Y55)*0.5</f>
        <v>0</v>
      </c>
      <c r="E66" s="156">
        <f>($F$15*F801ENE!L55+$G$15*F801ENE!S55+$H$15*F801ENE!Z55)*0.5</f>
        <v>0</v>
      </c>
      <c r="F66" s="156">
        <f>($F$15*F801ENE!M55+$G$15*F801ENE!T55+$H$15*F801ENE!AA55)*0.5</f>
        <v>0</v>
      </c>
      <c r="G66" s="156">
        <f>($F$15*F801ENE!N55+$G$15*F801ENE!U55+$H$15*F801ENE!AB55)*0.5</f>
        <v>0</v>
      </c>
      <c r="H66" s="156">
        <f>($F$15*F801ENE!O55+$G$15*F801ENE!V55+$H$15*F801ENE!AC55)*0.5</f>
        <v>0</v>
      </c>
      <c r="I66" s="156">
        <f>($F$15*F801ENE!P55+$G$15*F801ENE!W55+$H$15*F801ENE!AD55)*0.5</f>
        <v>0</v>
      </c>
      <c r="J66" s="156">
        <f t="shared" si="14"/>
        <v>0</v>
      </c>
    </row>
    <row r="67" spans="2:10" s="37" customFormat="1" ht="13.5">
      <c r="B67" s="48"/>
      <c r="C67" s="160" t="str">
        <f>F801ENE!C56</f>
        <v xml:space="preserve">    - Cruz Roja</v>
      </c>
      <c r="D67" s="156">
        <f>($F$15*F801ENE!K56+$G$15*F801ENE!R56+$H$15*F801ENE!Y56)*0</f>
        <v>0</v>
      </c>
      <c r="E67" s="156">
        <f>($F$15*F801ENE!L56+$G$15*F801ENE!S56+$H$15*F801ENE!Z56)*0</f>
        <v>0</v>
      </c>
      <c r="F67" s="156">
        <f>($F$15*F801ENE!M56+$G$15*F801ENE!T56+$H$15*F801ENE!AA56)*0</f>
        <v>0</v>
      </c>
      <c r="G67" s="156">
        <f>($F$15*F801ENE!N56+$G$15*F801ENE!U56+$H$15*F801ENE!AB56)*0</f>
        <v>0</v>
      </c>
      <c r="H67" s="156">
        <f>($F$15*F801ENE!O56+$G$15*F801ENE!V56+$H$15*F801ENE!AC56)*0</f>
        <v>0</v>
      </c>
      <c r="I67" s="156">
        <f>($F$15*F801ENE!P56+$G$15*F801ENE!W56+$H$15*F801ENE!AD56)*0</f>
        <v>0</v>
      </c>
      <c r="J67" s="156">
        <f t="shared" si="14"/>
        <v>0</v>
      </c>
    </row>
    <row r="68" spans="2:10" s="37" customFormat="1" ht="13.5">
      <c r="B68" s="48" t="s">
        <v>751</v>
      </c>
      <c r="C68" s="158" t="s">
        <v>634</v>
      </c>
      <c r="D68" s="154">
        <f t="shared" ref="D68:I68" si="15">SUBTOTAL(9,D69:D73)</f>
        <v>1504862.2611842263</v>
      </c>
      <c r="E68" s="154">
        <f t="shared" si="15"/>
        <v>1505490.3126416134</v>
      </c>
      <c r="F68" s="154">
        <f t="shared" si="15"/>
        <v>1477055.303075318</v>
      </c>
      <c r="G68" s="154">
        <f t="shared" si="15"/>
        <v>1500329.6436632634</v>
      </c>
      <c r="H68" s="154">
        <f t="shared" si="15"/>
        <v>1435319.8916715125</v>
      </c>
      <c r="I68" s="154">
        <f t="shared" si="15"/>
        <v>1442045.7020759559</v>
      </c>
      <c r="J68" s="159">
        <f t="shared" ref="J68:J87" si="16">SUM(D68:I68)</f>
        <v>8865103.1143118907</v>
      </c>
    </row>
    <row r="69" spans="2:10" s="37" customFormat="1" ht="13.5">
      <c r="B69" s="48"/>
      <c r="C69" s="160" t="s">
        <v>304</v>
      </c>
      <c r="D69" s="156">
        <f>$E$14*(F801ENE!D66)*1</f>
        <v>1063486.175180688</v>
      </c>
      <c r="E69" s="156">
        <f>$E$14*(F801ENE!E66)*1</f>
        <v>1063930.0214495412</v>
      </c>
      <c r="F69" s="156">
        <f>$E$14*(F801ENE!F66)*1</f>
        <v>1043834.8958792373</v>
      </c>
      <c r="G69" s="156">
        <f>$E$14*(F801ENE!G66)*1</f>
        <v>1060282.9577513586</v>
      </c>
      <c r="H69" s="156">
        <f>$E$14*(F801ENE!H66)*1</f>
        <v>1014340.3275397258</v>
      </c>
      <c r="I69" s="156">
        <f>$E$14*(F801ENE!I66)*1</f>
        <v>1019093.4824252283</v>
      </c>
      <c r="J69" s="156">
        <f t="shared" si="16"/>
        <v>6264967.8602257799</v>
      </c>
    </row>
    <row r="70" spans="2:10" s="37" customFormat="1" ht="13.5">
      <c r="B70" s="48"/>
      <c r="C70" s="162" t="s">
        <v>644</v>
      </c>
      <c r="D70" s="156">
        <f>$E$14*(F801ENE!D67)*0.75</f>
        <v>441282.10247038037</v>
      </c>
      <c r="E70" s="156">
        <f>$E$14*(F801ENE!E67)*0.75</f>
        <v>441466.26843555114</v>
      </c>
      <c r="F70" s="156">
        <f>$E$14*(F801ENE!F67)*0.75</f>
        <v>433128.16027606028</v>
      </c>
      <c r="G70" s="156">
        <f>$E$14*(F801ENE!G67)*0.75</f>
        <v>439952.98545189376</v>
      </c>
      <c r="H70" s="156">
        <f>$E$14*(F801ENE!H67)*0.75</f>
        <v>420889.92369117576</v>
      </c>
      <c r="I70" s="156">
        <f>$E$14*(F801ENE!I67)*0.75</f>
        <v>422862.15916666336</v>
      </c>
      <c r="J70" s="156">
        <f>SUM(D70:I70)</f>
        <v>2599581.5994917247</v>
      </c>
    </row>
    <row r="71" spans="2:10" s="37" customFormat="1" ht="13.5">
      <c r="B71" s="48"/>
      <c r="C71" s="160" t="s">
        <v>305</v>
      </c>
      <c r="D71" s="156">
        <f>$E$14*(F801ENE!D68)*0.95</f>
        <v>90.696481209348931</v>
      </c>
      <c r="E71" s="156">
        <f>$E$14*(F801ENE!E68)*0.95</f>
        <v>90.734332744469015</v>
      </c>
      <c r="F71" s="156">
        <f>$E$14*(F801ENE!F68)*0.95</f>
        <v>89.020605707330574</v>
      </c>
      <c r="G71" s="156">
        <f>$E$14*(F801ENE!G68)*0.95</f>
        <v>90.423308479212466</v>
      </c>
      <c r="H71" s="156">
        <f>$E$14*(F801ENE!H68)*0.95</f>
        <v>86.505287301615155</v>
      </c>
      <c r="I71" s="156">
        <f>$E$14*(F801ENE!I68)*0.95</f>
        <v>86.910639834023783</v>
      </c>
      <c r="J71" s="156">
        <f t="shared" si="16"/>
        <v>534.29065527599994</v>
      </c>
    </row>
    <row r="72" spans="2:10" s="37" customFormat="1" ht="13.5">
      <c r="B72" s="48"/>
      <c r="C72" s="160" t="s">
        <v>307</v>
      </c>
      <c r="D72" s="156">
        <f>$E$14*(F801ENE!D69)*0.5</f>
        <v>3.2870519487597365</v>
      </c>
      <c r="E72" s="156">
        <f>$E$14*(F801ENE!E69)*0.5</f>
        <v>3.2884237766478854</v>
      </c>
      <c r="F72" s="156">
        <f>$E$14*(F801ENE!F69)*0.5</f>
        <v>3.2263143130616898</v>
      </c>
      <c r="G72" s="156">
        <f>$E$14*(F801ENE!G69)*0.5</f>
        <v>3.2771515320845794</v>
      </c>
      <c r="H72" s="156">
        <f>$E$14*(F801ENE!H69)*0.5</f>
        <v>3.1351533092717667</v>
      </c>
      <c r="I72" s="156">
        <f>$E$14*(F801ENE!I69)*0.5</f>
        <v>3.1498442301743426</v>
      </c>
      <c r="J72" s="156">
        <f t="shared" si="16"/>
        <v>19.36393911</v>
      </c>
    </row>
    <row r="73" spans="2:10" s="37" customFormat="1" ht="13.5">
      <c r="B73" s="48"/>
      <c r="C73" s="160" t="s">
        <v>624</v>
      </c>
      <c r="D73" s="156">
        <f>$E$14*(F801ENE!D70)*0</f>
        <v>0</v>
      </c>
      <c r="E73" s="156">
        <f>$E$14*(F801ENE!E70)*0</f>
        <v>0</v>
      </c>
      <c r="F73" s="156">
        <f>$E$14*(F801ENE!F70)*0</f>
        <v>0</v>
      </c>
      <c r="G73" s="156">
        <f>$E$14*(F801ENE!G70)*0</f>
        <v>0</v>
      </c>
      <c r="H73" s="156">
        <f>$E$14*(F801ENE!H70)*0</f>
        <v>0</v>
      </c>
      <c r="I73" s="156">
        <f>$E$14*(F801ENE!I70)*0</f>
        <v>0</v>
      </c>
      <c r="J73" s="156">
        <f t="shared" si="16"/>
        <v>0</v>
      </c>
    </row>
    <row r="74" spans="2:10" s="37" customFormat="1" ht="13.5">
      <c r="B74" s="48" t="s">
        <v>750</v>
      </c>
      <c r="C74" s="158" t="s">
        <v>635</v>
      </c>
      <c r="D74" s="154">
        <f t="shared" ref="D74:I74" si="17">SUBTOTAL(9,D75:D80)</f>
        <v>566161.713727216</v>
      </c>
      <c r="E74" s="154">
        <f t="shared" si="17"/>
        <v>566397.99731512403</v>
      </c>
      <c r="F74" s="154">
        <f t="shared" si="17"/>
        <v>555700.26545971271</v>
      </c>
      <c r="G74" s="154">
        <f t="shared" si="17"/>
        <v>564456.46630222909</v>
      </c>
      <c r="H74" s="154">
        <f t="shared" si="17"/>
        <v>539998.69732651964</v>
      </c>
      <c r="I74" s="154">
        <f t="shared" si="17"/>
        <v>542529.06103360117</v>
      </c>
      <c r="J74" s="159">
        <f t="shared" si="16"/>
        <v>3335244.2011644021</v>
      </c>
    </row>
    <row r="75" spans="2:10" s="37" customFormat="1" ht="13.5">
      <c r="B75" s="48"/>
      <c r="C75" s="160" t="s">
        <v>304</v>
      </c>
      <c r="D75" s="156">
        <f>$E$14*(F801ENE!D72)*1</f>
        <v>407363.30190673727</v>
      </c>
      <c r="E75" s="156">
        <f>$E$14*(F801ENE!E72)*1</f>
        <v>407533.31210033188</v>
      </c>
      <c r="F75" s="156">
        <f>$E$14*(F801ENE!F72)*1</f>
        <v>399836.10604440828</v>
      </c>
      <c r="G75" s="156">
        <f>$E$14*(F801ENE!G72)*1</f>
        <v>406136.34641898901</v>
      </c>
      <c r="H75" s="156">
        <f>$E$14*(F801ENE!H72)*1</f>
        <v>388538.55185667862</v>
      </c>
      <c r="I75" s="156">
        <f>$E$14*(F801ENE!I72)*1</f>
        <v>390359.19300875469</v>
      </c>
      <c r="J75" s="156">
        <f t="shared" si="16"/>
        <v>2399766.8113358999</v>
      </c>
    </row>
    <row r="76" spans="2:10" s="37" customFormat="1" ht="13.5">
      <c r="B76" s="48"/>
      <c r="C76" s="162" t="s">
        <v>642</v>
      </c>
      <c r="D76" s="156">
        <f>$E$14*(F801ENE!D73)*0.75</f>
        <v>128197.26695052171</v>
      </c>
      <c r="E76" s="156">
        <f>$E$14*(F801ENE!E73)*0.75</f>
        <v>128250.76917340368</v>
      </c>
      <c r="F76" s="156">
        <f>$E$14*(F801ENE!F73)*0.75</f>
        <v>125828.45775039209</v>
      </c>
      <c r="G76" s="156">
        <f>$E$14*(F801ENE!G73)*0.75</f>
        <v>127811.1439505778</v>
      </c>
      <c r="H76" s="156">
        <f>$E$14*(F801ENE!H73)*0.75</f>
        <v>122273.11645353676</v>
      </c>
      <c r="I76" s="156">
        <f>$E$14*(F801ENE!I73)*0.75</f>
        <v>122846.072384278</v>
      </c>
      <c r="J76" s="156">
        <f>SUM(D76:I76)</f>
        <v>755206.82666271017</v>
      </c>
    </row>
    <row r="77" spans="2:10" s="37" customFormat="1" ht="13.5">
      <c r="B77" s="48"/>
      <c r="C77" s="162" t="s">
        <v>1177</v>
      </c>
      <c r="D77" s="156">
        <f>$E$14*(F801ENE!D74)*1</f>
        <v>30507.215766848502</v>
      </c>
      <c r="E77" s="156">
        <f>$E$14*(F801ENE!E74)*1</f>
        <v>30519.947737633007</v>
      </c>
      <c r="F77" s="156">
        <f>$E$14*(F801ENE!F74)*1</f>
        <v>29943.508169191675</v>
      </c>
      <c r="G77" s="156">
        <f>$E$14*(F801ENE!G74)*1</f>
        <v>30415.329738760422</v>
      </c>
      <c r="H77" s="156">
        <f>$E$14*(F801ENE!H74)*1</f>
        <v>29097.440490464836</v>
      </c>
      <c r="I77" s="156">
        <f>$E$14*(F801ENE!I74)*1</f>
        <v>29233.787314541558</v>
      </c>
      <c r="J77" s="156">
        <f>SUM(D77:I77)</f>
        <v>179717.22921743998</v>
      </c>
    </row>
    <row r="78" spans="2:10" s="37" customFormat="1" ht="13.5">
      <c r="B78" s="48"/>
      <c r="C78" s="160" t="s">
        <v>305</v>
      </c>
      <c r="D78" s="156">
        <f>$E$14*(F801ENE!D75)*0.95</f>
        <v>89.556719238254885</v>
      </c>
      <c r="E78" s="156">
        <f>$E$14*(F801ENE!E75)*0.95</f>
        <v>89.594095101775551</v>
      </c>
      <c r="F78" s="156">
        <f>$E$14*(F801ENE!F75)*0.95</f>
        <v>87.901904081026316</v>
      </c>
      <c r="G78" s="156">
        <f>$E$14*(F801ENE!G75)*0.95</f>
        <v>89.286979407445898</v>
      </c>
      <c r="H78" s="156">
        <f>$E$14*(F801ENE!H75)*0.95</f>
        <v>85.418195107405694</v>
      </c>
      <c r="I78" s="156">
        <f>$E$14*(F801ENE!I75)*0.95</f>
        <v>85.818453667091632</v>
      </c>
      <c r="J78" s="156">
        <f t="shared" si="16"/>
        <v>527.57634660299993</v>
      </c>
    </row>
    <row r="79" spans="2:10" s="37" customFormat="1" ht="13.5">
      <c r="B79" s="48"/>
      <c r="C79" s="160" t="s">
        <v>307</v>
      </c>
      <c r="D79" s="156">
        <f>$E$14*(F801ENE!D76)*0.5</f>
        <v>4.3723838701801565</v>
      </c>
      <c r="E79" s="156">
        <f>$E$14*(F801ENE!E76)*0.5</f>
        <v>4.3742086536713538</v>
      </c>
      <c r="F79" s="156">
        <f>$E$14*(F801ENE!F76)*0.5</f>
        <v>4.2915916397016511</v>
      </c>
      <c r="G79" s="156">
        <f>$E$14*(F801ENE!G76)*0.5</f>
        <v>4.3592144944436839</v>
      </c>
      <c r="H79" s="156">
        <f>$E$14*(F801ENE!H76)*0.5</f>
        <v>4.1703307321243042</v>
      </c>
      <c r="I79" s="156">
        <f>$E$14*(F801ENE!I76)*0.5</f>
        <v>4.1898723598788497</v>
      </c>
      <c r="J79" s="156">
        <f t="shared" si="16"/>
        <v>25.757601749999999</v>
      </c>
    </row>
    <row r="80" spans="2:10" s="37" customFormat="1" ht="13.5">
      <c r="B80" s="48"/>
      <c r="C80" s="160" t="s">
        <v>624</v>
      </c>
      <c r="D80" s="156">
        <f>$E$14*(F801ENE!D77)*0</f>
        <v>0</v>
      </c>
      <c r="E80" s="156">
        <f>$E$14*(F801ENE!E77)*0</f>
        <v>0</v>
      </c>
      <c r="F80" s="156">
        <f>$E$14*(F801ENE!F77)*0</f>
        <v>0</v>
      </c>
      <c r="G80" s="156">
        <f>$E$14*(F801ENE!G77)*0</f>
        <v>0</v>
      </c>
      <c r="H80" s="156">
        <f>$E$14*(F801ENE!H77)*0</f>
        <v>0</v>
      </c>
      <c r="I80" s="156">
        <f>$E$14*(F801ENE!I77)*0</f>
        <v>0</v>
      </c>
      <c r="J80" s="156">
        <f t="shared" si="16"/>
        <v>0</v>
      </c>
    </row>
    <row r="81" spans="2:10" s="37" customFormat="1" ht="13.5">
      <c r="B81" s="48" t="s">
        <v>749</v>
      </c>
      <c r="C81" s="158" t="s">
        <v>636</v>
      </c>
      <c r="D81" s="154">
        <f t="shared" ref="D81:I81" si="18">SUBTOTAL(9,D82:D87)</f>
        <v>560025.52638571174</v>
      </c>
      <c r="E81" s="154">
        <f t="shared" si="18"/>
        <v>560259.24907922174</v>
      </c>
      <c r="F81" s="154">
        <f t="shared" si="18"/>
        <v>549677.46163545549</v>
      </c>
      <c r="G81" s="154">
        <f t="shared" si="18"/>
        <v>558338.76081389457</v>
      </c>
      <c r="H81" s="154">
        <f t="shared" si="18"/>
        <v>534146.07061117783</v>
      </c>
      <c r="I81" s="154">
        <f t="shared" si="18"/>
        <v>536649.00967019098</v>
      </c>
      <c r="J81" s="159">
        <f t="shared" si="16"/>
        <v>3299096.0781956525</v>
      </c>
    </row>
    <row r="82" spans="2:10" s="37" customFormat="1" ht="13.5">
      <c r="B82" s="48"/>
      <c r="C82" s="160" t="s">
        <v>304</v>
      </c>
      <c r="D82" s="156">
        <f>$E$14*(F801ENE!D79)*1</f>
        <v>509892.68630895758</v>
      </c>
      <c r="E82" s="156">
        <f>$E$14*(F801ENE!E79)*1</f>
        <v>510105.48641614959</v>
      </c>
      <c r="F82" s="156">
        <f>$E$14*(F801ENE!F79)*1</f>
        <v>500470.96839609736</v>
      </c>
      <c r="G82" s="156">
        <f>$E$14*(F801ENE!G79)*1</f>
        <v>508356.91804828902</v>
      </c>
      <c r="H82" s="156">
        <f>$E$14*(F801ENE!H79)*1</f>
        <v>486329.92960703786</v>
      </c>
      <c r="I82" s="156">
        <f>$E$14*(F801ENE!I79)*1</f>
        <v>488608.80844440864</v>
      </c>
      <c r="J82" s="156">
        <f t="shared" si="16"/>
        <v>3003764.7972209402</v>
      </c>
    </row>
    <row r="83" spans="2:10" s="37" customFormat="1" ht="13.5">
      <c r="B83" s="48"/>
      <c r="C83" s="162" t="s">
        <v>642</v>
      </c>
      <c r="D83" s="156">
        <f>$E$14*(F801ENE!D80)*0.75</f>
        <v>0</v>
      </c>
      <c r="E83" s="156">
        <f>$E$14*(F801ENE!E80)*0.75</f>
        <v>0</v>
      </c>
      <c r="F83" s="156">
        <f>$E$14*(F801ENE!F80)*0.75</f>
        <v>0</v>
      </c>
      <c r="G83" s="156">
        <f>$E$14*(F801ENE!G80)*0.75</f>
        <v>0</v>
      </c>
      <c r="H83" s="156">
        <f>$E$14*(F801ENE!H80)*0.75</f>
        <v>0</v>
      </c>
      <c r="I83" s="156">
        <f>$E$14*(F801ENE!I80)*0.75</f>
        <v>0</v>
      </c>
      <c r="J83" s="156">
        <f>SUM(D83:I83)</f>
        <v>0</v>
      </c>
    </row>
    <row r="84" spans="2:10" s="37" customFormat="1" ht="13.5">
      <c r="B84" s="48"/>
      <c r="C84" s="162" t="s">
        <v>1177</v>
      </c>
      <c r="D84" s="156">
        <f>$E$14*(F801ENE!D81)*1</f>
        <v>49777.950922366763</v>
      </c>
      <c r="E84" s="156">
        <f>$E$14*(F801ENE!E81)*1</f>
        <v>49798.725398205519</v>
      </c>
      <c r="F84" s="156">
        <f>$E$14*(F801ENE!F81)*1</f>
        <v>48858.161671680071</v>
      </c>
      <c r="G84" s="156">
        <f>$E$14*(F801ENE!G81)*1</f>
        <v>49628.022517507547</v>
      </c>
      <c r="H84" s="156">
        <f>$E$14*(F801ENE!H81)*1</f>
        <v>47477.651706085926</v>
      </c>
      <c r="I84" s="156">
        <f>$E$14*(F801ENE!I81)*1</f>
        <v>47700.125810874175</v>
      </c>
      <c r="J84" s="156">
        <f>SUM(D84:I84)</f>
        <v>293240.63802671997</v>
      </c>
    </row>
    <row r="85" spans="2:10" s="37" customFormat="1" ht="13.5">
      <c r="B85" s="48"/>
      <c r="C85" s="160" t="s">
        <v>305</v>
      </c>
      <c r="D85" s="156">
        <f>$E$14*(F801ENE!D82)*0.95</f>
        <v>353.41316835575577</v>
      </c>
      <c r="E85" s="156">
        <f>$E$14*(F801ENE!E82)*0.95</f>
        <v>353.56066284259293</v>
      </c>
      <c r="F85" s="156">
        <f>$E$14*(F801ENE!F82)*0.95</f>
        <v>346.88285468712525</v>
      </c>
      <c r="G85" s="156">
        <f>$E$14*(F801ENE!G82)*0.95</f>
        <v>352.3487076536577</v>
      </c>
      <c r="H85" s="156">
        <f>$E$14*(F801ENE!H82)*0.95</f>
        <v>337.0815191189289</v>
      </c>
      <c r="I85" s="156">
        <f>$E$14*(F801ENE!I82)*0.95</f>
        <v>338.66103930393911</v>
      </c>
      <c r="J85" s="156">
        <f t="shared" si="16"/>
        <v>2081.9479519619999</v>
      </c>
    </row>
    <row r="86" spans="2:10" s="37" customFormat="1" ht="13.5">
      <c r="B86" s="48"/>
      <c r="C86" s="160" t="s">
        <v>307</v>
      </c>
      <c r="D86" s="156">
        <f>$E$14*(F801ENE!D83)*0.5</f>
        <v>1.4759860316907218</v>
      </c>
      <c r="E86" s="156">
        <f>$E$14*(F801ENE!E83)*0.5</f>
        <v>1.476602024024386</v>
      </c>
      <c r="F86" s="156">
        <f>$E$14*(F801ENE!F83)*0.5</f>
        <v>1.448712990897417</v>
      </c>
      <c r="G86" s="156">
        <f>$E$14*(F801ENE!G83)*0.5</f>
        <v>1.4715404442925781</v>
      </c>
      <c r="H86" s="156">
        <f>$E$14*(F801ENE!H83)*0.5</f>
        <v>1.4077789349937371</v>
      </c>
      <c r="I86" s="156">
        <f>$E$14*(F801ENE!I83)*0.5</f>
        <v>1.4143756041011593</v>
      </c>
      <c r="J86" s="156">
        <f t="shared" si="16"/>
        <v>8.6949960299999987</v>
      </c>
    </row>
    <row r="87" spans="2:10" s="37" customFormat="1" ht="13.5">
      <c r="B87" s="48"/>
      <c r="C87" s="160" t="s">
        <v>624</v>
      </c>
      <c r="D87" s="156">
        <f>$E$14*(F801ENE!D84)*0</f>
        <v>0</v>
      </c>
      <c r="E87" s="156">
        <f>$E$14*(F801ENE!E84)*0</f>
        <v>0</v>
      </c>
      <c r="F87" s="156">
        <f>$E$14*(F801ENE!F84)*0</f>
        <v>0</v>
      </c>
      <c r="G87" s="156">
        <f>$E$14*(F801ENE!G84)*0</f>
        <v>0</v>
      </c>
      <c r="H87" s="156">
        <f>$E$14*(F801ENE!H84)*0</f>
        <v>0</v>
      </c>
      <c r="I87" s="156">
        <f>$E$14*(F801ENE!I84)*0</f>
        <v>0</v>
      </c>
      <c r="J87" s="156">
        <f t="shared" si="16"/>
        <v>0</v>
      </c>
    </row>
    <row r="88" spans="2:10" s="37" customFormat="1" ht="13.5">
      <c r="B88" s="48"/>
      <c r="C88" s="157"/>
      <c r="D88" s="156"/>
      <c r="E88" s="156"/>
      <c r="F88" s="156"/>
      <c r="G88" s="156"/>
      <c r="H88" s="156"/>
      <c r="I88" s="156"/>
      <c r="J88" s="156"/>
    </row>
    <row r="89" spans="2:10" s="37" customFormat="1" ht="13.5">
      <c r="B89" s="48" t="s">
        <v>902</v>
      </c>
      <c r="C89" s="158" t="s">
        <v>898</v>
      </c>
      <c r="D89" s="154">
        <f t="shared" ref="D89:I89" si="19">SUBTOTAL(9,D90:D94)</f>
        <v>251942.63220441077</v>
      </c>
      <c r="E89" s="154">
        <f t="shared" si="19"/>
        <v>252047.77868048096</v>
      </c>
      <c r="F89" s="154">
        <f t="shared" si="19"/>
        <v>247287.27535268461</v>
      </c>
      <c r="G89" s="154">
        <f t="shared" si="19"/>
        <v>251183.7950835065</v>
      </c>
      <c r="H89" s="154">
        <f t="shared" si="19"/>
        <v>240300.05896327057</v>
      </c>
      <c r="I89" s="154">
        <f t="shared" si="19"/>
        <v>241426.07380556664</v>
      </c>
      <c r="J89" s="159">
        <f t="shared" ref="J89:J98" si="20">SUM(D89:I89)</f>
        <v>1484187.6140899202</v>
      </c>
    </row>
    <row r="90" spans="2:10" s="37" customFormat="1" ht="13.5">
      <c r="B90" s="48"/>
      <c r="C90" s="160" t="s">
        <v>304</v>
      </c>
      <c r="D90" s="156">
        <f>$E$13*F801ENE!D87*1</f>
        <v>242321.40488025339</v>
      </c>
      <c r="E90" s="156">
        <f>$E$13*F801ENE!E87*1</f>
        <v>242422.53600513132</v>
      </c>
      <c r="F90" s="156">
        <f>$E$13*F801ENE!F87*1</f>
        <v>237843.82757363096</v>
      </c>
      <c r="G90" s="156">
        <f>$E$13*F801ENE!G87*1</f>
        <v>241591.54635808151</v>
      </c>
      <c r="H90" s="156">
        <f>$E$13*F801ENE!H87*1</f>
        <v>231123.44017086926</v>
      </c>
      <c r="I90" s="156">
        <f>$E$13*F801ENE!I87*1</f>
        <v>232206.45457027358</v>
      </c>
      <c r="J90" s="156">
        <f t="shared" si="20"/>
        <v>1427509.2095582401</v>
      </c>
    </row>
    <row r="91" spans="2:10" s="37" customFormat="1" ht="13.5">
      <c r="B91" s="48"/>
      <c r="C91" s="162" t="s">
        <v>644</v>
      </c>
      <c r="D91" s="156">
        <f>$E$13*F801ENE!D88*0.75</f>
        <v>9621.2273241573639</v>
      </c>
      <c r="E91" s="156">
        <f>$E$13*F801ENE!E88*0.75</f>
        <v>9625.2426753496329</v>
      </c>
      <c r="F91" s="156">
        <f>$E$13*F801ENE!F88*0.75</f>
        <v>9443.4477790536548</v>
      </c>
      <c r="G91" s="156">
        <f>$E$13*F801ENE!G88*0.75</f>
        <v>9592.2487254249936</v>
      </c>
      <c r="H91" s="156">
        <f>$E$13*F801ENE!H88*0.75</f>
        <v>9176.6187924012957</v>
      </c>
      <c r="I91" s="156">
        <f>$E$13*F801ENE!I88*0.75</f>
        <v>9219.6192352930575</v>
      </c>
      <c r="J91" s="156">
        <f t="shared" si="20"/>
        <v>56678.404531679997</v>
      </c>
    </row>
    <row r="92" spans="2:10" s="37" customFormat="1" ht="13.5">
      <c r="B92" s="48"/>
      <c r="C92" s="160" t="s">
        <v>305</v>
      </c>
      <c r="D92" s="156">
        <f>$E$13*F801ENE!D89*0.95</f>
        <v>0</v>
      </c>
      <c r="E92" s="156">
        <f>$E$13*F801ENE!E89*0.95</f>
        <v>0</v>
      </c>
      <c r="F92" s="156">
        <f>$E$13*F801ENE!F89*0.95</f>
        <v>0</v>
      </c>
      <c r="G92" s="156">
        <f>$E$13*F801ENE!G89*0.95</f>
        <v>0</v>
      </c>
      <c r="H92" s="156">
        <f>$E$13*F801ENE!H89*0.95</f>
        <v>0</v>
      </c>
      <c r="I92" s="156">
        <f>$E$13*F801ENE!I89*0.95</f>
        <v>0</v>
      </c>
      <c r="J92" s="156">
        <f t="shared" si="20"/>
        <v>0</v>
      </c>
    </row>
    <row r="93" spans="2:10" s="37" customFormat="1" ht="13.5">
      <c r="B93" s="48"/>
      <c r="C93" s="160" t="s">
        <v>307</v>
      </c>
      <c r="D93" s="156">
        <f>$E$13*F801ENE!D90*0.5</f>
        <v>0</v>
      </c>
      <c r="E93" s="156">
        <f>$E$13*F801ENE!E90*0.5</f>
        <v>0</v>
      </c>
      <c r="F93" s="156">
        <f>$E$13*F801ENE!F90*0.5</f>
        <v>0</v>
      </c>
      <c r="G93" s="156">
        <f>$E$13*F801ENE!G90*0.5</f>
        <v>0</v>
      </c>
      <c r="H93" s="156">
        <f>$E$13*F801ENE!H90*0.5</f>
        <v>0</v>
      </c>
      <c r="I93" s="156">
        <f>$E$13*F801ENE!I90*0.5</f>
        <v>0</v>
      </c>
      <c r="J93" s="156">
        <f t="shared" si="20"/>
        <v>0</v>
      </c>
    </row>
    <row r="94" spans="2:10" s="37" customFormat="1" ht="13.5">
      <c r="B94" s="48"/>
      <c r="C94" s="160" t="s">
        <v>624</v>
      </c>
      <c r="D94" s="156">
        <f>$E$13*F801ENE!D91*0</f>
        <v>0</v>
      </c>
      <c r="E94" s="156">
        <f>$E$13*F801ENE!E91*0</f>
        <v>0</v>
      </c>
      <c r="F94" s="156">
        <f>$E$13*F801ENE!F91*0</f>
        <v>0</v>
      </c>
      <c r="G94" s="156">
        <f>$E$13*F801ENE!G91*0</f>
        <v>0</v>
      </c>
      <c r="H94" s="156">
        <f>$E$13*F801ENE!H91*0</f>
        <v>0</v>
      </c>
      <c r="I94" s="156">
        <f>$E$13*F801ENE!I91*0</f>
        <v>0</v>
      </c>
      <c r="J94" s="156">
        <f t="shared" si="20"/>
        <v>0</v>
      </c>
    </row>
    <row r="95" spans="2:10" s="37" customFormat="1" ht="13.5">
      <c r="B95" s="48" t="s">
        <v>902</v>
      </c>
      <c r="C95" s="158" t="s">
        <v>899</v>
      </c>
      <c r="D95" s="154">
        <f t="shared" ref="D95:I95" si="21">SUBTOTAL(9,D96:D101)</f>
        <v>19941.090663052517</v>
      </c>
      <c r="E95" s="154">
        <f t="shared" si="21"/>
        <v>19949.412936237768</v>
      </c>
      <c r="F95" s="154">
        <f t="shared" si="21"/>
        <v>19572.622285005986</v>
      </c>
      <c r="G95" s="154">
        <f t="shared" si="21"/>
        <v>19881.029212975409</v>
      </c>
      <c r="H95" s="154">
        <f t="shared" si="21"/>
        <v>19019.588785734508</v>
      </c>
      <c r="I95" s="154">
        <f t="shared" si="21"/>
        <v>19108.712106633808</v>
      </c>
      <c r="J95" s="159">
        <f t="shared" si="20"/>
        <v>117472.45598964</v>
      </c>
    </row>
    <row r="96" spans="2:10" s="37" customFormat="1" ht="13.5">
      <c r="B96" s="48"/>
      <c r="C96" s="160" t="s">
        <v>304</v>
      </c>
      <c r="D96" s="156">
        <f>$E$13*F801ENE!D93*1</f>
        <v>18113.911174598707</v>
      </c>
      <c r="E96" s="156">
        <f>$E$13*F801ENE!E93*1</f>
        <v>18121.470887344392</v>
      </c>
      <c r="F96" s="156">
        <f>$E$13*F801ENE!F93*1</f>
        <v>17779.205135527838</v>
      </c>
      <c r="G96" s="156">
        <f>$E$13*F801ENE!G93*1</f>
        <v>18059.353086974636</v>
      </c>
      <c r="H96" s="156">
        <f>$E$13*F801ENE!H93*1</f>
        <v>17276.845467661627</v>
      </c>
      <c r="I96" s="156">
        <f>$E$13*F801ENE!I93*1</f>
        <v>17357.802519892797</v>
      </c>
      <c r="J96" s="156">
        <f t="shared" si="20"/>
        <v>106708.58827199999</v>
      </c>
    </row>
    <row r="97" spans="2:10" s="37" customFormat="1" ht="13.5">
      <c r="B97" s="48"/>
      <c r="C97" s="162" t="s">
        <v>642</v>
      </c>
      <c r="D97" s="156">
        <f>$E$13*F801ENE!D94*0.75</f>
        <v>1656.8983217373582</v>
      </c>
      <c r="E97" s="156">
        <f>$E$13*F801ENE!E94*0.75</f>
        <v>1657.5898165360468</v>
      </c>
      <c r="F97" s="156">
        <f>$E$13*F801ENE!F94*0.75</f>
        <v>1626.2824117294981</v>
      </c>
      <c r="G97" s="156">
        <f>$E$13*F801ENE!G94*0.75</f>
        <v>1651.9078366372496</v>
      </c>
      <c r="H97" s="156">
        <f>$E$13*F801ENE!H94*0.75</f>
        <v>1580.3310496756044</v>
      </c>
      <c r="I97" s="156">
        <f>$E$13*F801ENE!I94*0.75</f>
        <v>1587.7362755642425</v>
      </c>
      <c r="J97" s="156">
        <f t="shared" si="20"/>
        <v>9760.7457118799994</v>
      </c>
    </row>
    <row r="98" spans="2:10" s="37" customFormat="1" ht="13.5">
      <c r="B98" s="48"/>
      <c r="C98" s="162" t="s">
        <v>1177</v>
      </c>
      <c r="D98" s="156">
        <f>$E$13*F801ENE!D95*1</f>
        <v>170.28116671645446</v>
      </c>
      <c r="E98" s="156">
        <f>$E$13*F801ENE!E95*1</f>
        <v>170.35223235732954</v>
      </c>
      <c r="F98" s="156">
        <f>$E$13*F801ENE!F95*1</f>
        <v>167.13473774864801</v>
      </c>
      <c r="G98" s="156">
        <f>$E$13*F801ENE!G95*1</f>
        <v>169.76828936352402</v>
      </c>
      <c r="H98" s="156">
        <f>$E$13*F801ENE!H95*1</f>
        <v>162.41226839727426</v>
      </c>
      <c r="I98" s="156">
        <f>$E$13*F801ENE!I95*1</f>
        <v>163.17331117676963</v>
      </c>
      <c r="J98" s="156">
        <f t="shared" si="20"/>
        <v>1003.1220057599999</v>
      </c>
    </row>
    <row r="99" spans="2:10" s="37" customFormat="1" ht="13.5">
      <c r="B99" s="48"/>
      <c r="C99" s="160" t="s">
        <v>305</v>
      </c>
      <c r="D99" s="156">
        <f>$E$13*F801ENE!D96*0.95</f>
        <v>0</v>
      </c>
      <c r="E99" s="156">
        <f>$E$13*F801ENE!E96*0.95</f>
        <v>0</v>
      </c>
      <c r="F99" s="156">
        <f>$E$13*F801ENE!F96*0.95</f>
        <v>0</v>
      </c>
      <c r="G99" s="156">
        <f>$E$13*F801ENE!G96*0.95</f>
        <v>0</v>
      </c>
      <c r="H99" s="156">
        <f>$E$13*F801ENE!H96*0.95</f>
        <v>0</v>
      </c>
      <c r="I99" s="156">
        <f>$E$13*F801ENE!I96*0.95</f>
        <v>0</v>
      </c>
      <c r="J99" s="156">
        <f t="shared" ref="J99:J108" si="22">SUM(D99:I99)</f>
        <v>0</v>
      </c>
    </row>
    <row r="100" spans="2:10" s="37" customFormat="1" ht="13.5">
      <c r="B100" s="48"/>
      <c r="C100" s="160" t="s">
        <v>307</v>
      </c>
      <c r="D100" s="156">
        <f>$E$13*F801ENE!D97*0.5</f>
        <v>0</v>
      </c>
      <c r="E100" s="156">
        <f>$E$13*F801ENE!E97*0.5</f>
        <v>0</v>
      </c>
      <c r="F100" s="156">
        <f>$E$13*F801ENE!F97*0.5</f>
        <v>0</v>
      </c>
      <c r="G100" s="156">
        <f>$E$13*F801ENE!G97*0.5</f>
        <v>0</v>
      </c>
      <c r="H100" s="156">
        <f>$E$13*F801ENE!H97*0.5</f>
        <v>0</v>
      </c>
      <c r="I100" s="156">
        <f>$E$13*F801ENE!I97*0.5</f>
        <v>0</v>
      </c>
      <c r="J100" s="156">
        <f t="shared" si="22"/>
        <v>0</v>
      </c>
    </row>
    <row r="101" spans="2:10" s="37" customFormat="1" ht="13.5">
      <c r="B101" s="48"/>
      <c r="C101" s="160" t="s">
        <v>624</v>
      </c>
      <c r="D101" s="156">
        <f>$E$13*F801ENE!D98*0</f>
        <v>0</v>
      </c>
      <c r="E101" s="156">
        <f>$E$13*F801ENE!E98*0</f>
        <v>0</v>
      </c>
      <c r="F101" s="156">
        <f>$E$13*F801ENE!F98*0</f>
        <v>0</v>
      </c>
      <c r="G101" s="156">
        <f>$E$13*F801ENE!G98*0</f>
        <v>0</v>
      </c>
      <c r="H101" s="156">
        <f>$E$13*F801ENE!H98*0</f>
        <v>0</v>
      </c>
      <c r="I101" s="156">
        <f>$E$13*F801ENE!I98*0</f>
        <v>0</v>
      </c>
      <c r="J101" s="156">
        <f t="shared" si="22"/>
        <v>0</v>
      </c>
    </row>
    <row r="102" spans="2:10" s="37" customFormat="1" ht="13.5">
      <c r="B102" s="48" t="s">
        <v>902</v>
      </c>
      <c r="C102" s="158" t="s">
        <v>900</v>
      </c>
      <c r="D102" s="154">
        <f t="shared" ref="D102:I102" si="23">SUBTOTAL(9,D103:D108)</f>
        <v>2205.1878527026474</v>
      </c>
      <c r="E102" s="154">
        <f t="shared" si="23"/>
        <v>2206.1081722601425</v>
      </c>
      <c r="F102" s="154">
        <f t="shared" si="23"/>
        <v>2164.4407338462665</v>
      </c>
      <c r="G102" s="154">
        <f t="shared" si="23"/>
        <v>2198.545950192713</v>
      </c>
      <c r="H102" s="154">
        <f t="shared" si="23"/>
        <v>2103.2834593853108</v>
      </c>
      <c r="I102" s="154">
        <f t="shared" si="23"/>
        <v>2113.1391722929206</v>
      </c>
      <c r="J102" s="159">
        <f t="shared" si="22"/>
        <v>12990.705340680001</v>
      </c>
    </row>
    <row r="103" spans="2:10" s="37" customFormat="1" ht="13.5">
      <c r="B103" s="48"/>
      <c r="C103" s="160" t="s">
        <v>304</v>
      </c>
      <c r="D103" s="156">
        <f>$E$13*F801ENE!D100*1</f>
        <v>2142.3494501467048</v>
      </c>
      <c r="E103" s="156">
        <f>$E$13*F801ENE!E100*1</f>
        <v>2143.243544541222</v>
      </c>
      <c r="F103" s="156">
        <f>$E$13*F801ENE!F100*1</f>
        <v>2102.763449539073</v>
      </c>
      <c r="G103" s="156">
        <f>$E$13*F801ENE!G100*1</f>
        <v>2135.8968133916792</v>
      </c>
      <c r="H103" s="156">
        <f>$E$13*F801ENE!H100*1</f>
        <v>2043.3488952854193</v>
      </c>
      <c r="I103" s="156">
        <f>$E$13*F801ENE!I100*1</f>
        <v>2052.9237626159029</v>
      </c>
      <c r="J103" s="156">
        <f t="shared" si="22"/>
        <v>12620.52591552</v>
      </c>
    </row>
    <row r="104" spans="2:10" s="37" customFormat="1" ht="13.5">
      <c r="B104" s="48"/>
      <c r="C104" s="162" t="s">
        <v>642</v>
      </c>
      <c r="D104" s="156">
        <f>$E$13*F801ENE!D101*0.75</f>
        <v>62.838402555942395</v>
      </c>
      <c r="E104" s="156">
        <f>$E$13*F801ENE!E101*0.75</f>
        <v>62.864627718920275</v>
      </c>
      <c r="F104" s="156">
        <f>$E$13*F801ENE!F101*0.75</f>
        <v>61.677284307193652</v>
      </c>
      <c r="G104" s="156">
        <f>$E$13*F801ENE!G101*0.75</f>
        <v>62.649136801034018</v>
      </c>
      <c r="H104" s="156">
        <f>$E$13*F801ENE!H101*0.75</f>
        <v>59.934564099891666</v>
      </c>
      <c r="I104" s="156">
        <f>$E$13*F801ENE!I101*0.75</f>
        <v>60.215409677017973</v>
      </c>
      <c r="J104" s="156">
        <f t="shared" si="22"/>
        <v>370.17942515999999</v>
      </c>
    </row>
    <row r="105" spans="2:10" s="37" customFormat="1" ht="13.5">
      <c r="B105" s="48"/>
      <c r="C105" s="162" t="s">
        <v>1177</v>
      </c>
      <c r="D105" s="156">
        <f>$E$13*F801ENE!D102*1</f>
        <v>0</v>
      </c>
      <c r="E105" s="156">
        <f>$E$13*F801ENE!E102*1</f>
        <v>0</v>
      </c>
      <c r="F105" s="156">
        <f>$E$13*F801ENE!F102*1</f>
        <v>0</v>
      </c>
      <c r="G105" s="156">
        <f>$E$13*F801ENE!G102*1</f>
        <v>0</v>
      </c>
      <c r="H105" s="156">
        <f>$E$13*F801ENE!H102*1</f>
        <v>0</v>
      </c>
      <c r="I105" s="156">
        <f>$E$13*F801ENE!I102*1</f>
        <v>0</v>
      </c>
      <c r="J105" s="156">
        <f t="shared" si="22"/>
        <v>0</v>
      </c>
    </row>
    <row r="106" spans="2:10" s="37" customFormat="1" ht="13.5">
      <c r="B106" s="48"/>
      <c r="C106" s="160" t="s">
        <v>305</v>
      </c>
      <c r="D106" s="156">
        <f>$E$13*F801ENE!D103*0.95</f>
        <v>0</v>
      </c>
      <c r="E106" s="156">
        <f>$E$13*F801ENE!E103*0.95</f>
        <v>0</v>
      </c>
      <c r="F106" s="156">
        <f>$E$13*F801ENE!F103*0.95</f>
        <v>0</v>
      </c>
      <c r="G106" s="156">
        <f>$E$13*F801ENE!G103*0.95</f>
        <v>0</v>
      </c>
      <c r="H106" s="156">
        <f>$E$13*F801ENE!H103*0.95</f>
        <v>0</v>
      </c>
      <c r="I106" s="156">
        <f>$E$13*F801ENE!I103*0.95</f>
        <v>0</v>
      </c>
      <c r="J106" s="156">
        <f t="shared" si="22"/>
        <v>0</v>
      </c>
    </row>
    <row r="107" spans="2:10" s="37" customFormat="1" ht="13.5">
      <c r="B107" s="48"/>
      <c r="C107" s="160" t="s">
        <v>307</v>
      </c>
      <c r="D107" s="156">
        <f>$E$13*F801ENE!D104*0.5</f>
        <v>0</v>
      </c>
      <c r="E107" s="156">
        <f>$E$13*F801ENE!E104*0.5</f>
        <v>0</v>
      </c>
      <c r="F107" s="156">
        <f>$E$13*F801ENE!F104*0.5</f>
        <v>0</v>
      </c>
      <c r="G107" s="156">
        <f>$E$13*F801ENE!G104*0.5</f>
        <v>0</v>
      </c>
      <c r="H107" s="156">
        <f>$E$13*F801ENE!H104*0.5</f>
        <v>0</v>
      </c>
      <c r="I107" s="156">
        <f>$E$13*F801ENE!I104*0.5</f>
        <v>0</v>
      </c>
      <c r="J107" s="156">
        <f t="shared" si="22"/>
        <v>0</v>
      </c>
    </row>
    <row r="108" spans="2:10" s="37" customFormat="1" ht="13.5">
      <c r="B108" s="48"/>
      <c r="C108" s="160" t="s">
        <v>624</v>
      </c>
      <c r="D108" s="156">
        <f>$E$13*F801ENE!D105*0</f>
        <v>0</v>
      </c>
      <c r="E108" s="156">
        <f>$E$13*F801ENE!E105*0</f>
        <v>0</v>
      </c>
      <c r="F108" s="156">
        <f>$E$13*F801ENE!F105*0</f>
        <v>0</v>
      </c>
      <c r="G108" s="156">
        <f>$E$13*F801ENE!G105*0</f>
        <v>0</v>
      </c>
      <c r="H108" s="156">
        <f>$E$13*F801ENE!H105*0</f>
        <v>0</v>
      </c>
      <c r="I108" s="156">
        <f>$E$13*F801ENE!I105*0</f>
        <v>0</v>
      </c>
      <c r="J108" s="156">
        <f t="shared" si="22"/>
        <v>0</v>
      </c>
    </row>
    <row r="109" spans="2:10" s="37" customFormat="1" ht="13.5">
      <c r="B109" s="48"/>
      <c r="C109" s="157"/>
      <c r="D109" s="156"/>
      <c r="E109" s="156"/>
      <c r="F109" s="156"/>
      <c r="G109" s="156"/>
      <c r="H109" s="156"/>
      <c r="I109" s="156"/>
      <c r="J109" s="156"/>
    </row>
    <row r="110" spans="2:10" s="37" customFormat="1" ht="13.5">
      <c r="B110" s="48"/>
      <c r="C110" s="153" t="s">
        <v>112</v>
      </c>
      <c r="D110" s="154">
        <f t="shared" ref="D110:I110" si="24">SUM(D33,D23,D19)</f>
        <v>4499203.547785013</v>
      </c>
      <c r="E110" s="154">
        <f t="shared" si="24"/>
        <v>4501081.2587521952</v>
      </c>
      <c r="F110" s="154">
        <f t="shared" si="24"/>
        <v>4421565.5299668051</v>
      </c>
      <c r="G110" s="154">
        <f t="shared" si="24"/>
        <v>4485652.1969696386</v>
      </c>
      <c r="H110" s="154">
        <f t="shared" si="24"/>
        <v>4296632.1377245588</v>
      </c>
      <c r="I110" s="154">
        <f t="shared" si="24"/>
        <v>4311398.3280518474</v>
      </c>
      <c r="J110" s="154">
        <f>SUM(D110:I110)</f>
        <v>26515532.999250058</v>
      </c>
    </row>
    <row r="111" spans="2:10" s="37" customFormat="1">
      <c r="B111" s="48"/>
      <c r="C111" s="63"/>
      <c r="D111" s="63"/>
      <c r="E111" s="63"/>
      <c r="F111" s="63"/>
      <c r="G111" s="63"/>
      <c r="H111" s="63"/>
      <c r="I111" s="63"/>
      <c r="J111" s="163"/>
    </row>
    <row r="112" spans="2:10" s="37" customFormat="1" ht="51" customHeight="1">
      <c r="B112" s="48"/>
      <c r="C112" s="149" t="s">
        <v>1394</v>
      </c>
      <c r="D112" s="149"/>
      <c r="E112" s="149"/>
      <c r="F112" s="149"/>
      <c r="G112" s="149"/>
      <c r="H112" s="149"/>
      <c r="I112" s="149"/>
      <c r="J112" s="149"/>
    </row>
    <row r="113" spans="1:10" s="37" customFormat="1" ht="13.5">
      <c r="B113" s="48"/>
      <c r="C113" s="150" t="s">
        <v>310</v>
      </c>
      <c r="D113" s="151">
        <f t="shared" ref="D113:I113" si="25">D18</f>
        <v>46204</v>
      </c>
      <c r="E113" s="151">
        <f t="shared" si="25"/>
        <v>46235</v>
      </c>
      <c r="F113" s="151">
        <f t="shared" si="25"/>
        <v>46266</v>
      </c>
      <c r="G113" s="151">
        <f t="shared" si="25"/>
        <v>46296</v>
      </c>
      <c r="H113" s="151">
        <f t="shared" si="25"/>
        <v>46327</v>
      </c>
      <c r="I113" s="151">
        <f t="shared" si="25"/>
        <v>46357</v>
      </c>
      <c r="J113" s="152" t="s">
        <v>111</v>
      </c>
    </row>
    <row r="114" spans="1:10">
      <c r="A114" s="37"/>
      <c r="C114" s="153" t="s">
        <v>230</v>
      </c>
      <c r="D114" s="154">
        <f t="shared" ref="D114:I114" si="26">SUM(D115:D116)</f>
        <v>27763.412651735031</v>
      </c>
      <c r="E114" s="154">
        <f t="shared" si="26"/>
        <v>25864.330401910676</v>
      </c>
      <c r="F114" s="154">
        <f t="shared" si="26"/>
        <v>26502.993228209976</v>
      </c>
      <c r="G114" s="154">
        <f t="shared" si="26"/>
        <v>30623.123641757746</v>
      </c>
      <c r="H114" s="154">
        <f t="shared" si="26"/>
        <v>24632.800851389675</v>
      </c>
      <c r="I114" s="154">
        <f t="shared" si="26"/>
        <v>28807.490855511369</v>
      </c>
      <c r="J114" s="154">
        <f>SUM(D114:I114)</f>
        <v>164194.15163051448</v>
      </c>
    </row>
    <row r="115" spans="1:10">
      <c r="A115" s="37"/>
      <c r="B115" s="48" t="s">
        <v>870</v>
      </c>
      <c r="C115" s="157" t="s">
        <v>1026</v>
      </c>
      <c r="D115" s="156">
        <f>$D$7*F801D!D116+$F$7*F801ENE!K116+$G$7*F801ENE!R116+$H$7*F801ENE!Y116</f>
        <v>18752.752442813642</v>
      </c>
      <c r="E115" s="156">
        <f>$D$7*F801D!E116+$F$7*F801ENE!L116+$G$7*F801ENE!S116+$H$7*F801ENE!Z116</f>
        <v>17043.569927630997</v>
      </c>
      <c r="F115" s="156">
        <f>$D$7*F801D!F116+$F$7*F801ENE!M116+$G$7*F801ENE!T116+$H$7*F801ENE!AA116</f>
        <v>17337.930797920424</v>
      </c>
      <c r="G115" s="156">
        <f>$D$7*F801D!G116+$F$7*F801ENE!N116+$G$7*F801ENE!U116+$H$7*F801ENE!AB116</f>
        <v>19619.118240589822</v>
      </c>
      <c r="H115" s="156">
        <f>$D$7*F801D!H116+$F$7*F801ENE!O116+$G$7*F801ENE!V116+$H$7*F801ENE!AC116</f>
        <v>14066.123579017858</v>
      </c>
      <c r="I115" s="156">
        <f>$D$7*F801D!I116+$F$7*F801ENE!P116+$G$7*F801ENE!W116+$H$7*F801ENE!AD116</f>
        <v>17652.219620082036</v>
      </c>
      <c r="J115" s="154">
        <f>SUM(D115:I115)</f>
        <v>104471.71460805478</v>
      </c>
    </row>
    <row r="116" spans="1:10">
      <c r="A116" s="37"/>
      <c r="B116" s="48" t="s">
        <v>871</v>
      </c>
      <c r="C116" s="153" t="s">
        <v>193</v>
      </c>
      <c r="D116" s="154">
        <f t="shared" ref="D116:I116" si="27">SUM(D117:D118)</f>
        <v>9010.6602089213884</v>
      </c>
      <c r="E116" s="154">
        <f t="shared" si="27"/>
        <v>8820.7604742796793</v>
      </c>
      <c r="F116" s="154">
        <f t="shared" si="27"/>
        <v>9165.0624302895503</v>
      </c>
      <c r="G116" s="154">
        <f t="shared" si="27"/>
        <v>11004.005401167924</v>
      </c>
      <c r="H116" s="154">
        <f t="shared" si="27"/>
        <v>10566.677272371817</v>
      </c>
      <c r="I116" s="154">
        <f t="shared" si="27"/>
        <v>11155.271235429333</v>
      </c>
      <c r="J116" s="154">
        <f>SUM(D116:I116)</f>
        <v>59722.437022459693</v>
      </c>
    </row>
    <row r="117" spans="1:10">
      <c r="A117" s="37"/>
      <c r="C117" s="157" t="s">
        <v>1074</v>
      </c>
      <c r="D117" s="156">
        <f>$D$8*F801D!D118+$E$8*F801ENE!D118</f>
        <v>0</v>
      </c>
      <c r="E117" s="156">
        <f>$D$8*F801D!E118+$E$8*F801ENE!E118</f>
        <v>0</v>
      </c>
      <c r="F117" s="156">
        <f>$D$8*F801D!F118+$E$8*F801ENE!F118</f>
        <v>0</v>
      </c>
      <c r="G117" s="156">
        <f>$D$8*F801D!G118+$E$8*F801ENE!G118</f>
        <v>0</v>
      </c>
      <c r="H117" s="156">
        <f>$D$8*F801D!H118+$E$8*F801ENE!H118</f>
        <v>0</v>
      </c>
      <c r="I117" s="156">
        <f>$D$8*F801D!I118+$E$8*F801ENE!I118</f>
        <v>0</v>
      </c>
      <c r="J117" s="154">
        <f t="shared" ref="J117:J143" si="28">SUM(D117:I117)</f>
        <v>0</v>
      </c>
    </row>
    <row r="118" spans="1:10">
      <c r="A118" s="37"/>
      <c r="C118" s="157" t="s">
        <v>1075</v>
      </c>
      <c r="D118" s="156">
        <f>$D$8*F801D!D119+$E$8*F801ENE!D119</f>
        <v>9010.6602089213884</v>
      </c>
      <c r="E118" s="156">
        <f>$D$8*F801D!E119+$E$8*F801ENE!E119</f>
        <v>8820.7604742796793</v>
      </c>
      <c r="F118" s="156">
        <f>$D$8*F801D!F119+$E$8*F801ENE!F119</f>
        <v>9165.0624302895503</v>
      </c>
      <c r="G118" s="156">
        <f>$D$8*F801D!G119+$E$8*F801ENE!G119</f>
        <v>11004.005401167924</v>
      </c>
      <c r="H118" s="156">
        <f>$D$8*F801D!H119+$E$8*F801ENE!H119</f>
        <v>10566.677272371817</v>
      </c>
      <c r="I118" s="156">
        <f>$D$8*F801D!I119+$E$8*F801ENE!I119</f>
        <v>11155.271235429333</v>
      </c>
      <c r="J118" s="154">
        <f t="shared" si="28"/>
        <v>59722.437022459693</v>
      </c>
    </row>
    <row r="119" spans="1:10">
      <c r="A119" s="37"/>
      <c r="C119" s="153" t="s">
        <v>893</v>
      </c>
      <c r="D119" s="156"/>
      <c r="E119" s="156"/>
      <c r="F119" s="156"/>
      <c r="G119" s="156"/>
      <c r="H119" s="156"/>
      <c r="I119" s="156"/>
      <c r="J119" s="154">
        <f t="shared" si="28"/>
        <v>0</v>
      </c>
    </row>
    <row r="120" spans="1:10">
      <c r="A120" s="37"/>
      <c r="C120" s="157"/>
      <c r="D120" s="156"/>
      <c r="E120" s="156"/>
      <c r="F120" s="156"/>
      <c r="G120" s="156"/>
      <c r="H120" s="156"/>
      <c r="I120" s="156"/>
      <c r="J120" s="154">
        <f t="shared" si="28"/>
        <v>0</v>
      </c>
    </row>
    <row r="121" spans="1:10">
      <c r="A121" s="37"/>
      <c r="C121" s="153" t="s">
        <v>194</v>
      </c>
      <c r="D121" s="154">
        <f t="shared" ref="D121:I121" si="29">D122+D127</f>
        <v>696902.89411210455</v>
      </c>
      <c r="E121" s="154">
        <f t="shared" si="29"/>
        <v>691379.93626807735</v>
      </c>
      <c r="F121" s="154">
        <f t="shared" si="29"/>
        <v>674512.70721486676</v>
      </c>
      <c r="G121" s="154">
        <f t="shared" si="29"/>
        <v>703479.70987636712</v>
      </c>
      <c r="H121" s="154">
        <f t="shared" si="29"/>
        <v>654535.13813177368</v>
      </c>
      <c r="I121" s="154">
        <f t="shared" si="29"/>
        <v>688680.25032054284</v>
      </c>
      <c r="J121" s="154">
        <f t="shared" si="28"/>
        <v>4109490.6359237321</v>
      </c>
    </row>
    <row r="122" spans="1:10">
      <c r="A122" s="37"/>
      <c r="B122" s="48" t="s">
        <v>872</v>
      </c>
      <c r="C122" s="153" t="s">
        <v>277</v>
      </c>
      <c r="D122" s="154">
        <f t="shared" ref="D122:I122" si="30">SUM(D123:D126)</f>
        <v>134621.31901196067</v>
      </c>
      <c r="E122" s="154">
        <f t="shared" si="30"/>
        <v>135443.12234350573</v>
      </c>
      <c r="F122" s="154">
        <f t="shared" si="30"/>
        <v>132387.36667744786</v>
      </c>
      <c r="G122" s="154">
        <f t="shared" si="30"/>
        <v>141198.95312145972</v>
      </c>
      <c r="H122" s="154">
        <f t="shared" si="30"/>
        <v>132740.39368844894</v>
      </c>
      <c r="I122" s="154">
        <f t="shared" si="30"/>
        <v>132322.29311031656</v>
      </c>
      <c r="J122" s="154">
        <f>SUM(D122:I122)</f>
        <v>808713.44795313943</v>
      </c>
    </row>
    <row r="123" spans="1:10">
      <c r="A123" s="37"/>
      <c r="C123" s="157" t="s">
        <v>980</v>
      </c>
      <c r="D123" s="156">
        <f>$D$9*F801D!D124+$F$9*F801ENE!K124+$G$9*F801ENE!R124+$H$9*F801ENE!Y124</f>
        <v>89446.413299049382</v>
      </c>
      <c r="E123" s="156">
        <f>$D$9*F801D!E124+$F$9*F801ENE!L124+$G$9*F801ENE!S124+$H$9*F801ENE!Z124</f>
        <v>88832.887422661894</v>
      </c>
      <c r="F123" s="156">
        <f>$D$9*F801D!F124+$F$9*F801ENE!M124+$G$9*F801ENE!T124+$H$9*F801ENE!AA124</f>
        <v>84990.232811537368</v>
      </c>
      <c r="G123" s="156">
        <f>$D$9*F801D!G124+$F$9*F801ENE!N124+$G$9*F801ENE!U124+$H$9*F801ENE!AB124</f>
        <v>87793.347411968163</v>
      </c>
      <c r="H123" s="156">
        <f>$D$9*F801D!H124+$F$9*F801ENE!O124+$G$9*F801ENE!V124+$H$9*F801ENE!AC124</f>
        <v>81499.161265244809</v>
      </c>
      <c r="I123" s="156">
        <f>$D$9*F801D!I124+$F$9*F801ENE!P124+$G$9*F801ENE!W124+$H$9*F801ENE!AD124</f>
        <v>80889.277924882394</v>
      </c>
      <c r="J123" s="154">
        <f t="shared" si="28"/>
        <v>513451.32013534405</v>
      </c>
    </row>
    <row r="124" spans="1:10">
      <c r="A124" s="37"/>
      <c r="C124" s="157" t="s">
        <v>981</v>
      </c>
      <c r="D124" s="156">
        <f>$D$9*F801D!D125+$F$9*F801ENE!K125+$G$9*F801ENE!R125+$H$9*F801ENE!Y125</f>
        <v>4530.7213647174276</v>
      </c>
      <c r="E124" s="156">
        <f>$D$9*F801D!E125+$F$9*F801ENE!L125+$G$9*F801ENE!S125+$H$9*F801ENE!Z125</f>
        <v>4637.6127179622872</v>
      </c>
      <c r="F124" s="156">
        <f>$D$9*F801D!F125+$F$9*F801ENE!M125+$G$9*F801ENE!T125+$H$9*F801ENE!AA125</f>
        <v>4851.5060406266002</v>
      </c>
      <c r="G124" s="156">
        <f>$D$9*F801D!G125+$F$9*F801ENE!N125+$G$9*F801ENE!U125+$H$9*F801ENE!AB125</f>
        <v>5234.6547410126414</v>
      </c>
      <c r="H124" s="156">
        <f>$D$9*F801D!H125+$F$9*F801ENE!O125+$G$9*F801ENE!V125+$H$9*F801ENE!AC125</f>
        <v>5584.9658621181825</v>
      </c>
      <c r="I124" s="156">
        <f>$D$9*F801D!I125+$F$9*F801ENE!P125+$G$9*F801ENE!W125+$H$9*F801ENE!AD125</f>
        <v>3333.041372673124</v>
      </c>
      <c r="J124" s="154">
        <f t="shared" si="28"/>
        <v>28172.502099110261</v>
      </c>
    </row>
    <row r="125" spans="1:10">
      <c r="A125" s="37"/>
      <c r="C125" s="157" t="s">
        <v>1019</v>
      </c>
      <c r="D125" s="156">
        <f>$D$9*F801D!D126+$F$9*F801ENE!K126+$G$9*F801ENE!R126+$H$9*F801ENE!Y126</f>
        <v>1607.1564402557105</v>
      </c>
      <c r="E125" s="156">
        <f>$D$9*F801D!E126+$F$9*F801ENE!L126+$G$9*F801ENE!S126+$H$9*F801ENE!Z126</f>
        <v>1572.50225001845</v>
      </c>
      <c r="F125" s="156">
        <f>$D$9*F801D!F126+$F$9*F801ENE!M126+$G$9*F801ENE!T126+$H$9*F801ENE!AA126</f>
        <v>1520.3090449333727</v>
      </c>
      <c r="G125" s="156">
        <f>$D$9*F801D!G126+$F$9*F801ENE!N126+$G$9*F801ENE!U126+$H$9*F801ENE!AB126</f>
        <v>1623.0746140809499</v>
      </c>
      <c r="H125" s="156">
        <f>$D$9*F801D!H126+$F$9*F801ENE!O126+$G$9*F801ENE!V126+$H$9*F801ENE!AC126</f>
        <v>1568.3106462045255</v>
      </c>
      <c r="I125" s="156">
        <f>$D$9*F801D!I126+$F$9*F801ENE!P126+$G$9*F801ENE!W126+$H$9*F801ENE!AD126</f>
        <v>1506.6669087379869</v>
      </c>
      <c r="J125" s="154">
        <f>SUM(D125:I125)</f>
        <v>9398.0199042309941</v>
      </c>
    </row>
    <row r="126" spans="1:10">
      <c r="A126" s="37"/>
      <c r="C126" s="157" t="s">
        <v>1766</v>
      </c>
      <c r="D126" s="156">
        <f>$D$9*F801D!D127+$F$9*F801ENE!K127+$G$9*F801ENE!R127+$H$9*F801ENE!Y127</f>
        <v>39037.027907938158</v>
      </c>
      <c r="E126" s="156">
        <f>$D$9*F801D!E127+$F$9*F801ENE!L127+$G$9*F801ENE!S127+$H$9*F801ENE!Z127</f>
        <v>40400.119952863104</v>
      </c>
      <c r="F126" s="156">
        <f>$D$9*F801D!F127+$F$9*F801ENE!M127+$G$9*F801ENE!T127+$H$9*F801ENE!AA127</f>
        <v>41025.318780350528</v>
      </c>
      <c r="G126" s="156">
        <f>$D$9*F801D!G127+$F$9*F801ENE!N127+$G$9*F801ENE!U127+$H$9*F801ENE!AB127</f>
        <v>46547.876354397973</v>
      </c>
      <c r="H126" s="156">
        <f>$D$9*F801D!H127+$F$9*F801ENE!O127+$G$9*F801ENE!V127+$H$9*F801ENE!AC127</f>
        <v>44087.955914881415</v>
      </c>
      <c r="I126" s="156">
        <f>$D$9*F801D!I127+$F$9*F801ENE!P127+$G$9*F801ENE!W127+$H$9*F801ENE!AD127</f>
        <v>46593.306904023069</v>
      </c>
      <c r="J126" s="154">
        <f>SUM(D126:I126)</f>
        <v>257691.60581445423</v>
      </c>
    </row>
    <row r="127" spans="1:10">
      <c r="A127" s="37"/>
      <c r="B127" s="48" t="s">
        <v>873</v>
      </c>
      <c r="C127" s="153" t="s">
        <v>193</v>
      </c>
      <c r="D127" s="154">
        <f t="shared" ref="D127:H127" si="31">SUM(D128:D133)</f>
        <v>562281.57510014391</v>
      </c>
      <c r="E127" s="154">
        <f t="shared" si="31"/>
        <v>555936.81392457162</v>
      </c>
      <c r="F127" s="154">
        <f t="shared" si="31"/>
        <v>542125.34053741884</v>
      </c>
      <c r="G127" s="154">
        <f t="shared" si="31"/>
        <v>562280.75675490743</v>
      </c>
      <c r="H127" s="154">
        <f t="shared" si="31"/>
        <v>521794.74444332474</v>
      </c>
      <c r="I127" s="154">
        <f t="shared" ref="I127" si="32">SUM(I128:I133)</f>
        <v>556357.95721022633</v>
      </c>
      <c r="J127" s="154">
        <f t="shared" si="28"/>
        <v>3300777.1879705931</v>
      </c>
    </row>
    <row r="128" spans="1:10">
      <c r="A128" s="37"/>
      <c r="C128" s="157" t="s">
        <v>944</v>
      </c>
      <c r="D128" s="156">
        <f>$D$10*F801D!D129+$E$10*F801ENE!D129</f>
        <v>0</v>
      </c>
      <c r="E128" s="156">
        <f>$D$10*F801D!E129+$E$10*F801ENE!E129</f>
        <v>0</v>
      </c>
      <c r="F128" s="156">
        <f>$D$10*F801D!F129+$E$10*F801ENE!F129</f>
        <v>0</v>
      </c>
      <c r="G128" s="156">
        <f>$D$10*F801D!G129+$E$10*F801ENE!G129</f>
        <v>0</v>
      </c>
      <c r="H128" s="156">
        <f>$D$10*F801D!H129+$E$10*F801ENE!H129</f>
        <v>0</v>
      </c>
      <c r="I128" s="156">
        <f>$D$10*F801D!I129+$E$10*F801ENE!I129</f>
        <v>0</v>
      </c>
      <c r="J128" s="154">
        <f t="shared" si="28"/>
        <v>0</v>
      </c>
    </row>
    <row r="129" spans="1:10">
      <c r="A129" s="37"/>
      <c r="C129" s="157" t="s">
        <v>943</v>
      </c>
      <c r="D129" s="156">
        <f>$D$10*F801D!D130+$E$10*F801ENE!D130</f>
        <v>367337.84581741167</v>
      </c>
      <c r="E129" s="156">
        <f>$D$10*F801D!E130+$E$10*F801ENE!E130</f>
        <v>365489.27149173414</v>
      </c>
      <c r="F129" s="156">
        <f>$D$10*F801D!F130+$E$10*F801ENE!F130</f>
        <v>333536.10652919865</v>
      </c>
      <c r="G129" s="156">
        <f>$D$10*F801D!G130+$E$10*F801ENE!G130</f>
        <v>345207.10325250728</v>
      </c>
      <c r="H129" s="156">
        <f>$D$10*F801D!H130+$E$10*F801ENE!H130</f>
        <v>317393.59166986536</v>
      </c>
      <c r="I129" s="156">
        <f>$D$10*F801D!I130+$E$10*F801ENE!I130</f>
        <v>333949.65568838513</v>
      </c>
      <c r="J129" s="154">
        <f>SUM(D129:I129)</f>
        <v>2062913.5744491024</v>
      </c>
    </row>
    <row r="130" spans="1:10">
      <c r="A130" s="37"/>
      <c r="C130" s="157" t="s">
        <v>1020</v>
      </c>
      <c r="D130" s="156">
        <f>$D$10*F801D!D131+$E$10*F801ENE!D131</f>
        <v>26082.258033359372</v>
      </c>
      <c r="E130" s="156">
        <f>$D$10*F801D!E131+$E$10*F801ENE!E131</f>
        <v>23258.877051754225</v>
      </c>
      <c r="F130" s="156">
        <f>$D$10*F801D!F131+$E$10*F801ENE!F131</f>
        <v>26020.266513526582</v>
      </c>
      <c r="G130" s="156">
        <f>$D$10*F801D!G131+$E$10*F801ENE!G131</f>
        <v>22689.257929190786</v>
      </c>
      <c r="H130" s="156">
        <f>$D$10*F801D!H131+$E$10*F801ENE!H131</f>
        <v>21691.815441969462</v>
      </c>
      <c r="I130" s="156">
        <f>$D$10*F801D!I131+$E$10*F801ENE!I131</f>
        <v>24323.988603146259</v>
      </c>
      <c r="J130" s="154">
        <f>SUM(D130:I130)</f>
        <v>144066.4635729467</v>
      </c>
    </row>
    <row r="131" spans="1:10">
      <c r="A131" s="37"/>
      <c r="C131" s="157" t="s">
        <v>1021</v>
      </c>
      <c r="D131" s="156">
        <f>$D$10*F801D!D132+$E$10*F801ENE!D132</f>
        <v>24093.713256641135</v>
      </c>
      <c r="E131" s="156">
        <f>$D$10*F801D!E132+$E$10*F801ENE!E132</f>
        <v>24854.316796863866</v>
      </c>
      <c r="F131" s="156">
        <f>$D$10*F801D!F132+$E$10*F801ENE!F132</f>
        <v>23918.189049832254</v>
      </c>
      <c r="G131" s="156">
        <f>$D$10*F801D!G132+$E$10*F801ENE!G132</f>
        <v>24941.668877580891</v>
      </c>
      <c r="H131" s="156">
        <f>$D$10*F801D!H132+$E$10*F801ENE!H132</f>
        <v>22245.437342717356</v>
      </c>
      <c r="I131" s="156">
        <f>$D$10*F801D!I132+$E$10*F801ENE!I132</f>
        <v>24925.091713759477</v>
      </c>
      <c r="J131" s="154">
        <f>SUM(D131:I131)</f>
        <v>144978.41703739497</v>
      </c>
    </row>
    <row r="132" spans="1:10">
      <c r="A132" s="37"/>
      <c r="C132" s="157" t="s">
        <v>1163</v>
      </c>
      <c r="D132" s="156">
        <f>$D$10*F801D!D133+$E$10*F801ENE!D133</f>
        <v>144767.7579927317</v>
      </c>
      <c r="E132" s="156">
        <f>$D$10*F801D!E133+$E$10*F801ENE!E133</f>
        <v>142334.34858421938</v>
      </c>
      <c r="F132" s="156">
        <f>$D$10*F801D!F133+$E$10*F801ENE!F133</f>
        <v>158650.77844486135</v>
      </c>
      <c r="G132" s="156">
        <f>$D$10*F801D!G133+$E$10*F801ENE!G133</f>
        <v>169442.72669562846</v>
      </c>
      <c r="H132" s="156">
        <f>$D$10*F801D!H133+$E$10*F801ENE!H133</f>
        <v>160463.89998877252</v>
      </c>
      <c r="I132" s="156">
        <f>$D$10*F801D!I133+$E$10*F801ENE!I133</f>
        <v>173159.22120493549</v>
      </c>
      <c r="J132" s="154">
        <f>SUM(D132:I132)</f>
        <v>948818.73291114892</v>
      </c>
    </row>
    <row r="133" spans="1:10">
      <c r="A133" s="37"/>
      <c r="C133" s="157"/>
      <c r="D133" s="156"/>
      <c r="E133" s="156"/>
      <c r="F133" s="156"/>
      <c r="G133" s="156"/>
      <c r="H133" s="156"/>
      <c r="I133" s="156"/>
      <c r="J133" s="154">
        <f t="shared" si="28"/>
        <v>0</v>
      </c>
    </row>
    <row r="134" spans="1:10">
      <c r="A134" s="37"/>
      <c r="C134" s="153" t="s">
        <v>308</v>
      </c>
      <c r="D134" s="154">
        <f t="shared" ref="D134:I134" si="33">SUM(D135:D136)</f>
        <v>153501.62442041677</v>
      </c>
      <c r="E134" s="154">
        <f t="shared" si="33"/>
        <v>150845.44463965276</v>
      </c>
      <c r="F134" s="154">
        <f t="shared" si="33"/>
        <v>153094.64544223022</v>
      </c>
      <c r="G134" s="154">
        <f t="shared" si="33"/>
        <v>160725.30127133837</v>
      </c>
      <c r="H134" s="154">
        <f t="shared" si="33"/>
        <v>149357.49881697269</v>
      </c>
      <c r="I134" s="154">
        <f t="shared" si="33"/>
        <v>166526.84130070082</v>
      </c>
      <c r="J134" s="154">
        <f t="shared" si="28"/>
        <v>934051.35589131166</v>
      </c>
    </row>
    <row r="135" spans="1:10">
      <c r="A135" s="37"/>
      <c r="B135" s="48" t="s">
        <v>874</v>
      </c>
      <c r="C135" s="157" t="s">
        <v>1027</v>
      </c>
      <c r="D135" s="156">
        <f>$D$11*F801D!D137+$F$11*F801ENE!K137+$G$11*F801ENE!R137+$H$11*F801ENE!Y137</f>
        <v>4973.9343151903013</v>
      </c>
      <c r="E135" s="156">
        <f>$D$11*F801D!E137+$F$11*F801ENE!L137+$G$11*F801ENE!S137+$H$11*F801ENE!Z137</f>
        <v>4907.4022310421769</v>
      </c>
      <c r="F135" s="156">
        <f>$D$11*F801D!F137+$F$11*F801ENE!M137+$G$11*F801ENE!T137+$H$11*F801ENE!AA137</f>
        <v>4725.6993479908797</v>
      </c>
      <c r="G135" s="156">
        <f>$D$11*F801D!G137+$F$11*F801ENE!N137+$G$11*F801ENE!U137+$H$11*F801ENE!AB137</f>
        <v>4887.1685408489993</v>
      </c>
      <c r="H135" s="156">
        <f>$D$11*F801D!H137+$F$11*F801ENE!O137+$G$11*F801ENE!V137+$H$11*F801ENE!AC137</f>
        <v>4755.2940048780183</v>
      </c>
      <c r="I135" s="156">
        <f>$D$11*F801D!I137+$F$11*F801ENE!P137+$G$11*F801ENE!W137+$H$11*F801ENE!AD137</f>
        <v>4910.6160671022044</v>
      </c>
      <c r="J135" s="154">
        <f t="shared" si="28"/>
        <v>29160.114507052582</v>
      </c>
    </row>
    <row r="136" spans="1:10">
      <c r="A136" s="37"/>
      <c r="B136" s="48" t="s">
        <v>875</v>
      </c>
      <c r="C136" s="153" t="s">
        <v>193</v>
      </c>
      <c r="D136" s="154">
        <f t="shared" ref="D136:H136" si="34">SUM(D137:D142)</f>
        <v>148527.69010522647</v>
      </c>
      <c r="E136" s="154">
        <f t="shared" si="34"/>
        <v>145938.04240861058</v>
      </c>
      <c r="F136" s="154">
        <f t="shared" si="34"/>
        <v>148368.94609423933</v>
      </c>
      <c r="G136" s="154">
        <f t="shared" si="34"/>
        <v>155838.13273048936</v>
      </c>
      <c r="H136" s="154">
        <f t="shared" si="34"/>
        <v>144602.20481209466</v>
      </c>
      <c r="I136" s="154">
        <f t="shared" ref="I136" si="35">SUM(I137:I142)</f>
        <v>161616.22523359861</v>
      </c>
      <c r="J136" s="154">
        <f t="shared" si="28"/>
        <v>904891.24138425908</v>
      </c>
    </row>
    <row r="137" spans="1:10">
      <c r="A137" s="37"/>
      <c r="C137" s="157" t="s">
        <v>1022</v>
      </c>
      <c r="D137" s="156">
        <f>$D$12*(F801D!D140)+$E$12*(F801ENE!D140)</f>
        <v>1505.1606583712705</v>
      </c>
      <c r="E137" s="156">
        <f>$D$12*(F801D!E140)+$E$12*(F801ENE!E140)</f>
        <v>1469.5157662000443</v>
      </c>
      <c r="F137" s="156">
        <f>$D$12*(F801D!F140)+$E$12*(F801ENE!F140)</f>
        <v>1494.9105663114958</v>
      </c>
      <c r="G137" s="156">
        <f>$D$12*(F801D!G140)+$E$12*(F801ENE!G140)</f>
        <v>1564.3650813900781</v>
      </c>
      <c r="H137" s="156">
        <f>$D$12*(F801D!H140)+$E$12*(F801ENE!H140)</f>
        <v>1444.8778749805201</v>
      </c>
      <c r="I137" s="156">
        <f>$D$12*(F801D!I140)+$E$12*(F801ENE!I140)</f>
        <v>1527.1027673585581</v>
      </c>
      <c r="J137" s="154">
        <f t="shared" si="28"/>
        <v>9005.9327146119667</v>
      </c>
    </row>
    <row r="138" spans="1:10">
      <c r="A138" s="37"/>
      <c r="C138" s="157" t="s">
        <v>1023</v>
      </c>
      <c r="D138" s="156">
        <f>$D$12*(F801D!D141)+$E$12*(F801ENE!D141)</f>
        <v>98522.126797011253</v>
      </c>
      <c r="E138" s="156">
        <f>$D$12*(F801D!E141)+$E$12*(F801ENE!E141)</f>
        <v>96259.618373186066</v>
      </c>
      <c r="F138" s="156">
        <f>$D$12*(F801D!F141)+$E$12*(F801ENE!F141)</f>
        <v>93867.667606577539</v>
      </c>
      <c r="G138" s="156">
        <f>$D$12*(F801D!G141)+$E$12*(F801ENE!G141)</f>
        <v>97078.116056127168</v>
      </c>
      <c r="H138" s="156">
        <f>$D$12*(F801D!H141)+$E$12*(F801ENE!H141)</f>
        <v>89504.734623806929</v>
      </c>
      <c r="I138" s="156">
        <f>$D$12*(F801D!I141)+$E$12*(F801ENE!I141)</f>
        <v>96190.164833030241</v>
      </c>
      <c r="J138" s="154">
        <f t="shared" si="28"/>
        <v>571422.42828973918</v>
      </c>
    </row>
    <row r="139" spans="1:10">
      <c r="A139" s="37"/>
      <c r="C139" s="157" t="s">
        <v>1024</v>
      </c>
      <c r="D139" s="156">
        <f>$D$12*(F801D!D142)+$E$12*(F801ENE!D142)</f>
        <v>1981.9835624702885</v>
      </c>
      <c r="E139" s="156">
        <f>$D$12*(F801D!E142)+$E$12*(F801ENE!E142)</f>
        <v>1947.4666965771662</v>
      </c>
      <c r="F139" s="156">
        <f>$D$12*(F801D!F142)+$E$12*(F801ENE!F142)</f>
        <v>1904.5658853126536</v>
      </c>
      <c r="G139" s="156">
        <f>$D$12*(F801D!G142)+$E$12*(F801ENE!G142)</f>
        <v>1930.8262661272627</v>
      </c>
      <c r="H139" s="156">
        <f>$D$12*(F801D!H142)+$E$12*(F801ENE!H142)</f>
        <v>1697.5631038710781</v>
      </c>
      <c r="I139" s="156">
        <f>$D$12*(F801D!I142)+$E$12*(F801ENE!I142)</f>
        <v>1867.9556388144349</v>
      </c>
      <c r="J139" s="154">
        <f>SUM(D139:I139)</f>
        <v>11330.361153172884</v>
      </c>
    </row>
    <row r="140" spans="1:10">
      <c r="A140" s="37"/>
      <c r="C140" s="157" t="s">
        <v>1025</v>
      </c>
      <c r="D140" s="156">
        <f>$D$12*(F801D!D143)+$E$12*(F801ENE!D143)</f>
        <v>19854.427362520695</v>
      </c>
      <c r="E140" s="156">
        <f>$D$12*(F801D!E143)+$E$12*(F801ENE!E143)</f>
        <v>19172.703945551701</v>
      </c>
      <c r="F140" s="156">
        <f>$D$12*(F801D!F143)+$E$12*(F801ENE!F143)</f>
        <v>18884.506799083258</v>
      </c>
      <c r="G140" s="156">
        <f>$D$12*(F801D!G143)+$E$12*(F801ENE!G143)</f>
        <v>19645.06234628554</v>
      </c>
      <c r="H140" s="156">
        <f>$D$12*(F801D!H143)+$E$12*(F801ENE!H143)</f>
        <v>17544.657547819752</v>
      </c>
      <c r="I140" s="156">
        <f>$D$12*(F801D!I143)+$E$12*(F801ENE!I143)</f>
        <v>17738.849902626695</v>
      </c>
      <c r="J140" s="154">
        <f>SUM(D140:I140)</f>
        <v>112840.20790388764</v>
      </c>
    </row>
    <row r="141" spans="1:10">
      <c r="A141" s="37"/>
      <c r="C141" s="157" t="s">
        <v>1162</v>
      </c>
      <c r="D141" s="156">
        <f>$D$12*(F801D!D144)+$E$12*(F801ENE!D144)</f>
        <v>26663.991724852953</v>
      </c>
      <c r="E141" s="156">
        <f>$D$12*(F801D!E144)+$E$12*(F801ENE!E144)</f>
        <v>27088.737627095587</v>
      </c>
      <c r="F141" s="156">
        <f>$D$12*(F801D!F144)+$E$12*(F801ENE!F144)</f>
        <v>32217.295236954404</v>
      </c>
      <c r="G141" s="156">
        <f>$D$12*(F801D!G144)+$E$12*(F801ENE!G144)</f>
        <v>35619.76298055931</v>
      </c>
      <c r="H141" s="156">
        <f>$D$12*(F801D!H144)+$E$12*(F801ENE!H144)</f>
        <v>34410.371661616373</v>
      </c>
      <c r="I141" s="156">
        <f>$D$12*(F801D!I144)+$E$12*(F801ENE!I144)</f>
        <v>44292.152091768665</v>
      </c>
      <c r="J141" s="154">
        <f>SUM(D141:I141)</f>
        <v>200292.31132284729</v>
      </c>
    </row>
    <row r="142" spans="1:10">
      <c r="A142" s="37"/>
      <c r="C142" s="157"/>
      <c r="D142" s="156"/>
      <c r="E142" s="156"/>
      <c r="F142" s="156"/>
      <c r="G142" s="156"/>
      <c r="H142" s="156"/>
      <c r="I142" s="156"/>
      <c r="J142" s="154"/>
    </row>
    <row r="143" spans="1:10">
      <c r="A143" s="37"/>
      <c r="C143" s="153" t="s">
        <v>112</v>
      </c>
      <c r="D143" s="154">
        <f t="shared" ref="D143:I143" si="36">D114+D121+D134</f>
        <v>878167.93118425633</v>
      </c>
      <c r="E143" s="154">
        <f t="shared" si="36"/>
        <v>868089.71130964078</v>
      </c>
      <c r="F143" s="154">
        <f t="shared" si="36"/>
        <v>854110.34588530706</v>
      </c>
      <c r="G143" s="154">
        <f t="shared" si="36"/>
        <v>894828.13478946325</v>
      </c>
      <c r="H143" s="154">
        <f t="shared" si="36"/>
        <v>828525.43780013605</v>
      </c>
      <c r="I143" s="154">
        <f t="shared" si="36"/>
        <v>884014.58247675502</v>
      </c>
      <c r="J143" s="154">
        <f t="shared" si="28"/>
        <v>5207736.1434455579</v>
      </c>
    </row>
    <row r="144" spans="1:10">
      <c r="C144" s="164"/>
      <c r="D144" s="164"/>
      <c r="E144" s="164"/>
      <c r="F144" s="164"/>
      <c r="G144" s="164"/>
      <c r="H144" s="164"/>
      <c r="I144" s="164"/>
      <c r="J144" s="164"/>
    </row>
    <row r="145" spans="2:10">
      <c r="C145" s="153" t="s">
        <v>111</v>
      </c>
      <c r="D145" s="154">
        <f t="shared" ref="D145:J145" si="37">D110+D143</f>
        <v>5377371.4789692694</v>
      </c>
      <c r="E145" s="154">
        <f t="shared" si="37"/>
        <v>5369170.9700618358</v>
      </c>
      <c r="F145" s="154">
        <f t="shared" si="37"/>
        <v>5275675.8758521117</v>
      </c>
      <c r="G145" s="154">
        <f t="shared" si="37"/>
        <v>5380480.3317591017</v>
      </c>
      <c r="H145" s="154">
        <f t="shared" si="37"/>
        <v>5125157.5755246952</v>
      </c>
      <c r="I145" s="154">
        <f t="shared" si="37"/>
        <v>5195412.9105286021</v>
      </c>
      <c r="J145" s="154">
        <f t="shared" si="37"/>
        <v>31723269.142695617</v>
      </c>
    </row>
    <row r="147" spans="2:10">
      <c r="C147" s="52" t="str">
        <f>'PORTADA PORTADA PORTADA'!$B$23</f>
        <v>1 DE JULIO DE 2026</v>
      </c>
      <c r="J147" s="163"/>
    </row>
    <row r="148" spans="2:10">
      <c r="B148" s="48" t="s">
        <v>902</v>
      </c>
      <c r="D148" s="163">
        <f t="shared" ref="D148:J157" si="38">SUMIF($B$17:$B$144,$B148,D$17:D$144)</f>
        <v>274088.91072016594</v>
      </c>
      <c r="E148" s="163">
        <f t="shared" si="38"/>
        <v>274203.29978897888</v>
      </c>
      <c r="F148" s="163">
        <f t="shared" si="38"/>
        <v>269024.33837153687</v>
      </c>
      <c r="G148" s="163">
        <f t="shared" si="38"/>
        <v>273263.37024667463</v>
      </c>
      <c r="H148" s="163">
        <f t="shared" si="38"/>
        <v>261422.93120839036</v>
      </c>
      <c r="I148" s="163">
        <f t="shared" si="38"/>
        <v>262647.92508449336</v>
      </c>
      <c r="J148" s="163">
        <f t="shared" si="38"/>
        <v>1614650.7754202401</v>
      </c>
    </row>
    <row r="149" spans="2:10">
      <c r="B149" s="48" t="s">
        <v>751</v>
      </c>
      <c r="D149" s="163">
        <f t="shared" si="38"/>
        <v>1504862.2611842263</v>
      </c>
      <c r="E149" s="163">
        <f t="shared" si="38"/>
        <v>1505490.3126416134</v>
      </c>
      <c r="F149" s="163">
        <f t="shared" si="38"/>
        <v>1477055.303075318</v>
      </c>
      <c r="G149" s="163">
        <f t="shared" si="38"/>
        <v>1500329.6436632634</v>
      </c>
      <c r="H149" s="163">
        <f t="shared" si="38"/>
        <v>1435319.8916715125</v>
      </c>
      <c r="I149" s="163">
        <f t="shared" si="38"/>
        <v>1442045.7020759559</v>
      </c>
      <c r="J149" s="163">
        <f t="shared" si="38"/>
        <v>8865103.1143118907</v>
      </c>
    </row>
    <row r="150" spans="2:10">
      <c r="B150" s="48" t="s">
        <v>750</v>
      </c>
      <c r="D150" s="163">
        <f t="shared" si="38"/>
        <v>566161.713727216</v>
      </c>
      <c r="E150" s="163">
        <f t="shared" si="38"/>
        <v>566397.99731512403</v>
      </c>
      <c r="F150" s="163">
        <f t="shared" si="38"/>
        <v>555700.26545971271</v>
      </c>
      <c r="G150" s="163">
        <f t="shared" si="38"/>
        <v>564456.46630222909</v>
      </c>
      <c r="H150" s="163">
        <f t="shared" si="38"/>
        <v>539998.69732651964</v>
      </c>
      <c r="I150" s="163">
        <f t="shared" si="38"/>
        <v>542529.06103360117</v>
      </c>
      <c r="J150" s="163">
        <f t="shared" si="38"/>
        <v>3335244.2011644021</v>
      </c>
    </row>
    <row r="151" spans="2:10">
      <c r="B151" s="48" t="s">
        <v>749</v>
      </c>
      <c r="D151" s="163">
        <f t="shared" si="38"/>
        <v>560025.52638571174</v>
      </c>
      <c r="E151" s="163">
        <f t="shared" si="38"/>
        <v>560259.24907922174</v>
      </c>
      <c r="F151" s="163">
        <f t="shared" si="38"/>
        <v>549677.46163545549</v>
      </c>
      <c r="G151" s="163">
        <f t="shared" si="38"/>
        <v>558338.76081389457</v>
      </c>
      <c r="H151" s="163">
        <f t="shared" si="38"/>
        <v>534146.07061117783</v>
      </c>
      <c r="I151" s="163">
        <f t="shared" si="38"/>
        <v>536649.00967019098</v>
      </c>
      <c r="J151" s="163">
        <f t="shared" si="38"/>
        <v>3299096.0781956525</v>
      </c>
    </row>
    <row r="152" spans="2:10">
      <c r="B152" s="48" t="s">
        <v>1176</v>
      </c>
      <c r="D152" s="163">
        <f t="shared" si="38"/>
        <v>18.32</v>
      </c>
      <c r="E152" s="163">
        <f t="shared" si="38"/>
        <v>18.32</v>
      </c>
      <c r="F152" s="163">
        <f t="shared" si="38"/>
        <v>18.32</v>
      </c>
      <c r="G152" s="163">
        <f t="shared" si="38"/>
        <v>18.32</v>
      </c>
      <c r="H152" s="163">
        <f t="shared" si="38"/>
        <v>18.32</v>
      </c>
      <c r="I152" s="163">
        <f t="shared" si="38"/>
        <v>18.32</v>
      </c>
      <c r="J152" s="163">
        <f t="shared" si="38"/>
        <v>109.91999999999999</v>
      </c>
    </row>
    <row r="153" spans="2:10">
      <c r="B153" s="48" t="s">
        <v>274</v>
      </c>
      <c r="D153" s="163">
        <f t="shared" si="38"/>
        <v>1101981.7293778078</v>
      </c>
      <c r="E153" s="163">
        <f t="shared" si="38"/>
        <v>1102441.6336604771</v>
      </c>
      <c r="F153" s="163">
        <f t="shared" si="38"/>
        <v>1085571.5244886708</v>
      </c>
      <c r="G153" s="163">
        <f t="shared" si="38"/>
        <v>1098662.6220258942</v>
      </c>
      <c r="H153" s="163">
        <f t="shared" si="38"/>
        <v>1054898.1987505369</v>
      </c>
      <c r="I153" s="163">
        <f t="shared" si="38"/>
        <v>1055982.943423796</v>
      </c>
      <c r="J153" s="163">
        <f t="shared" si="38"/>
        <v>6499538.6517271828</v>
      </c>
    </row>
    <row r="154" spans="2:10">
      <c r="B154" s="48" t="s">
        <v>275</v>
      </c>
      <c r="D154" s="163">
        <f t="shared" si="38"/>
        <v>52770.308870429006</v>
      </c>
      <c r="E154" s="163">
        <f t="shared" si="38"/>
        <v>52792.332185698491</v>
      </c>
      <c r="F154" s="163">
        <f t="shared" si="38"/>
        <v>51969.314235693273</v>
      </c>
      <c r="G154" s="163">
        <f t="shared" si="38"/>
        <v>52611.367650747001</v>
      </c>
      <c r="H154" s="163">
        <f t="shared" si="38"/>
        <v>50500.897214815996</v>
      </c>
      <c r="I154" s="163">
        <f t="shared" si="38"/>
        <v>50567.577121120914</v>
      </c>
      <c r="J154" s="163">
        <f t="shared" si="38"/>
        <v>311211.7972785047</v>
      </c>
    </row>
    <row r="155" spans="2:10">
      <c r="B155" s="48" t="s">
        <v>276</v>
      </c>
      <c r="D155" s="163">
        <f t="shared" si="38"/>
        <v>345876.2308482037</v>
      </c>
      <c r="E155" s="163">
        <f t="shared" si="38"/>
        <v>346020.57984746573</v>
      </c>
      <c r="F155" s="163">
        <f t="shared" si="38"/>
        <v>340603.82342167874</v>
      </c>
      <c r="G155" s="163">
        <f t="shared" si="38"/>
        <v>344834.47098045296</v>
      </c>
      <c r="H155" s="163">
        <f t="shared" si="38"/>
        <v>330979.9047873097</v>
      </c>
      <c r="I155" s="163">
        <f t="shared" si="38"/>
        <v>331438.70771581045</v>
      </c>
      <c r="J155" s="163">
        <f t="shared" si="38"/>
        <v>2039753.7176009212</v>
      </c>
    </row>
    <row r="156" spans="2:10">
      <c r="B156" s="48" t="s">
        <v>277</v>
      </c>
      <c r="D156" s="163">
        <f t="shared" si="38"/>
        <v>57771.372228921238</v>
      </c>
      <c r="E156" s="163">
        <f t="shared" si="38"/>
        <v>57795.482702620975</v>
      </c>
      <c r="F156" s="163">
        <f t="shared" si="38"/>
        <v>56891.664800783437</v>
      </c>
      <c r="G156" s="163">
        <f t="shared" si="38"/>
        <v>57597.368086036375</v>
      </c>
      <c r="H156" s="163">
        <f t="shared" si="38"/>
        <v>55284.164487028327</v>
      </c>
      <c r="I156" s="163">
        <f t="shared" si="38"/>
        <v>55359.886707352671</v>
      </c>
      <c r="J156" s="163">
        <f t="shared" si="38"/>
        <v>340699.93901274301</v>
      </c>
    </row>
    <row r="157" spans="2:10">
      <c r="B157" s="48" t="s">
        <v>278</v>
      </c>
      <c r="D157" s="163">
        <f t="shared" si="38"/>
        <v>0.95</v>
      </c>
      <c r="E157" s="163">
        <f t="shared" si="38"/>
        <v>0.95</v>
      </c>
      <c r="F157" s="163">
        <f t="shared" si="38"/>
        <v>0.95</v>
      </c>
      <c r="G157" s="163">
        <f t="shared" si="38"/>
        <v>0.95</v>
      </c>
      <c r="H157" s="163">
        <f t="shared" si="38"/>
        <v>0.95</v>
      </c>
      <c r="I157" s="163">
        <f t="shared" si="38"/>
        <v>0.95</v>
      </c>
      <c r="J157" s="163">
        <f t="shared" si="38"/>
        <v>5.7</v>
      </c>
    </row>
    <row r="158" spans="2:10">
      <c r="B158" s="48" t="s">
        <v>279</v>
      </c>
      <c r="D158" s="163">
        <f t="shared" ref="D158:J166" si="39">SUMIF($B$17:$B$144,$B158,D$17:D$144)</f>
        <v>35646.22444233032</v>
      </c>
      <c r="E158" s="163">
        <f t="shared" si="39"/>
        <v>35661.101530994682</v>
      </c>
      <c r="F158" s="163">
        <f t="shared" si="39"/>
        <v>35052.564477953856</v>
      </c>
      <c r="G158" s="163">
        <f t="shared" si="39"/>
        <v>35538.857200446124</v>
      </c>
      <c r="H158" s="163">
        <f t="shared" si="39"/>
        <v>34062.111667267585</v>
      </c>
      <c r="I158" s="163">
        <f t="shared" si="39"/>
        <v>34158.245219526216</v>
      </c>
      <c r="J158" s="163">
        <f t="shared" si="39"/>
        <v>210119.10453851882</v>
      </c>
    </row>
    <row r="159" spans="2:10">
      <c r="B159" s="48" t="s">
        <v>875</v>
      </c>
      <c r="D159" s="163">
        <f t="shared" si="39"/>
        <v>148527.69010522647</v>
      </c>
      <c r="E159" s="163">
        <f t="shared" si="39"/>
        <v>145938.04240861058</v>
      </c>
      <c r="F159" s="163">
        <f t="shared" si="39"/>
        <v>148368.94609423933</v>
      </c>
      <c r="G159" s="163">
        <f t="shared" si="39"/>
        <v>155838.13273048936</v>
      </c>
      <c r="H159" s="163">
        <f t="shared" si="39"/>
        <v>144602.20481209466</v>
      </c>
      <c r="I159" s="163">
        <f t="shared" si="39"/>
        <v>161616.22523359861</v>
      </c>
      <c r="J159" s="163">
        <f t="shared" si="39"/>
        <v>904891.24138425908</v>
      </c>
    </row>
    <row r="160" spans="2:10">
      <c r="B160" s="48" t="s">
        <v>874</v>
      </c>
      <c r="D160" s="163">
        <f t="shared" si="39"/>
        <v>4973.9343151903013</v>
      </c>
      <c r="E160" s="163">
        <f t="shared" si="39"/>
        <v>4907.4022310421769</v>
      </c>
      <c r="F160" s="163">
        <f t="shared" si="39"/>
        <v>4725.6993479908797</v>
      </c>
      <c r="G160" s="163">
        <f t="shared" si="39"/>
        <v>4887.1685408489993</v>
      </c>
      <c r="H160" s="163">
        <f t="shared" si="39"/>
        <v>4755.2940048780183</v>
      </c>
      <c r="I160" s="163">
        <f t="shared" si="39"/>
        <v>4910.6160671022044</v>
      </c>
      <c r="J160" s="163">
        <f t="shared" si="39"/>
        <v>29160.114507052582</v>
      </c>
    </row>
    <row r="161" spans="2:10">
      <c r="B161" s="48" t="s">
        <v>873</v>
      </c>
      <c r="D161" s="163">
        <f t="shared" si="39"/>
        <v>562281.57510014391</v>
      </c>
      <c r="E161" s="163">
        <f t="shared" si="39"/>
        <v>555936.81392457162</v>
      </c>
      <c r="F161" s="163">
        <f t="shared" si="39"/>
        <v>542125.34053741884</v>
      </c>
      <c r="G161" s="163">
        <f t="shared" si="39"/>
        <v>562280.75675490743</v>
      </c>
      <c r="H161" s="163">
        <f t="shared" si="39"/>
        <v>521794.74444332474</v>
      </c>
      <c r="I161" s="163">
        <f t="shared" si="39"/>
        <v>556357.95721022633</v>
      </c>
      <c r="J161" s="163">
        <f t="shared" si="39"/>
        <v>3300777.1879705931</v>
      </c>
    </row>
    <row r="162" spans="2:10">
      <c r="B162" s="48" t="s">
        <v>872</v>
      </c>
      <c r="D162" s="163">
        <f t="shared" si="39"/>
        <v>134621.31901196067</v>
      </c>
      <c r="E162" s="163">
        <f t="shared" si="39"/>
        <v>135443.12234350573</v>
      </c>
      <c r="F162" s="163">
        <f t="shared" si="39"/>
        <v>132387.36667744786</v>
      </c>
      <c r="G162" s="163">
        <f t="shared" si="39"/>
        <v>141198.95312145972</v>
      </c>
      <c r="H162" s="163">
        <f t="shared" si="39"/>
        <v>132740.39368844894</v>
      </c>
      <c r="I162" s="163">
        <f t="shared" si="39"/>
        <v>132322.29311031656</v>
      </c>
      <c r="J162" s="163">
        <f t="shared" si="39"/>
        <v>808713.44795313943</v>
      </c>
    </row>
    <row r="163" spans="2:10">
      <c r="B163" s="48" t="s">
        <v>871</v>
      </c>
      <c r="D163" s="163">
        <f t="shared" si="39"/>
        <v>9010.6602089213884</v>
      </c>
      <c r="E163" s="163">
        <f t="shared" si="39"/>
        <v>8820.7604742796793</v>
      </c>
      <c r="F163" s="163">
        <f t="shared" si="39"/>
        <v>9165.0624302895503</v>
      </c>
      <c r="G163" s="163">
        <f t="shared" si="39"/>
        <v>11004.005401167924</v>
      </c>
      <c r="H163" s="163">
        <f t="shared" si="39"/>
        <v>10566.677272371817</v>
      </c>
      <c r="I163" s="163">
        <f t="shared" si="39"/>
        <v>11155.271235429333</v>
      </c>
      <c r="J163" s="163">
        <f t="shared" si="39"/>
        <v>59722.437022459693</v>
      </c>
    </row>
    <row r="164" spans="2:10">
      <c r="B164" s="48" t="s">
        <v>870</v>
      </c>
      <c r="D164" s="163">
        <f t="shared" si="39"/>
        <v>18752.752442813642</v>
      </c>
      <c r="E164" s="163">
        <f t="shared" si="39"/>
        <v>17043.569927630997</v>
      </c>
      <c r="F164" s="163">
        <f t="shared" si="39"/>
        <v>17337.930797920424</v>
      </c>
      <c r="G164" s="163">
        <f t="shared" si="39"/>
        <v>19619.118240589822</v>
      </c>
      <c r="H164" s="163">
        <f t="shared" si="39"/>
        <v>14066.123579017858</v>
      </c>
      <c r="I164" s="163">
        <f t="shared" si="39"/>
        <v>17652.219620082036</v>
      </c>
      <c r="J164" s="163">
        <f t="shared" si="39"/>
        <v>104471.71460805478</v>
      </c>
    </row>
    <row r="165" spans="2:10">
      <c r="B165" s="48" t="s">
        <v>893</v>
      </c>
      <c r="D165" s="163">
        <f t="shared" si="39"/>
        <v>0</v>
      </c>
      <c r="E165" s="163">
        <f t="shared" si="39"/>
        <v>0</v>
      </c>
      <c r="F165" s="163">
        <f t="shared" si="39"/>
        <v>0</v>
      </c>
      <c r="G165" s="163">
        <f t="shared" si="39"/>
        <v>0</v>
      </c>
      <c r="H165" s="163">
        <f t="shared" si="39"/>
        <v>0</v>
      </c>
      <c r="I165" s="163">
        <f t="shared" si="39"/>
        <v>0</v>
      </c>
      <c r="J165" s="163">
        <f t="shared" si="39"/>
        <v>0</v>
      </c>
    </row>
    <row r="166" spans="2:10">
      <c r="D166" s="163">
        <f t="shared" si="39"/>
        <v>0</v>
      </c>
      <c r="E166" s="163">
        <f t="shared" si="39"/>
        <v>0</v>
      </c>
      <c r="F166" s="163">
        <f t="shared" si="39"/>
        <v>0</v>
      </c>
      <c r="G166" s="163">
        <f t="shared" si="39"/>
        <v>0</v>
      </c>
      <c r="H166" s="163">
        <f t="shared" si="39"/>
        <v>0</v>
      </c>
      <c r="I166" s="163">
        <f t="shared" si="39"/>
        <v>0</v>
      </c>
      <c r="J166" s="163">
        <f t="shared" si="39"/>
        <v>0</v>
      </c>
    </row>
    <row r="167" spans="2:10">
      <c r="B167" s="48" t="s">
        <v>111</v>
      </c>
      <c r="C167" s="139"/>
      <c r="D167" s="165">
        <f t="shared" ref="D167:J167" si="40">SUM(D148:D166)</f>
        <v>5377371.4789692676</v>
      </c>
      <c r="E167" s="165">
        <f t="shared" si="40"/>
        <v>5369170.9700618358</v>
      </c>
      <c r="F167" s="165">
        <f t="shared" si="40"/>
        <v>5275675.8758521099</v>
      </c>
      <c r="G167" s="165">
        <f t="shared" si="40"/>
        <v>5380480.3317591036</v>
      </c>
      <c r="H167" s="165">
        <f t="shared" si="40"/>
        <v>5125157.5755246952</v>
      </c>
      <c r="I167" s="165">
        <f t="shared" si="40"/>
        <v>5195412.9105286021</v>
      </c>
      <c r="J167" s="165">
        <f t="shared" si="40"/>
        <v>31723269.142695621</v>
      </c>
    </row>
    <row r="168" spans="2:10">
      <c r="D168" s="166">
        <f t="shared" ref="D168:J168" si="41">D167-D145</f>
        <v>0</v>
      </c>
      <c r="E168" s="166">
        <f t="shared" si="41"/>
        <v>0</v>
      </c>
      <c r="F168" s="166">
        <f t="shared" si="41"/>
        <v>0</v>
      </c>
      <c r="G168" s="166">
        <f t="shared" si="41"/>
        <v>0</v>
      </c>
      <c r="H168" s="166">
        <f t="shared" si="41"/>
        <v>0</v>
      </c>
      <c r="I168" s="166">
        <f t="shared" si="41"/>
        <v>0</v>
      </c>
      <c r="J168" s="166">
        <f t="shared" si="41"/>
        <v>0</v>
      </c>
    </row>
  </sheetData>
  <printOptions horizontalCentered="1" verticalCentered="1"/>
  <pageMargins left="0.51181102362204722" right="0.31496062992125984" top="0.78740157480314965" bottom="0.82677165354330717" header="0.31496062992125984" footer="0.23622047244094491"/>
  <pageSetup scale="31" orientation="portrait" horizontalDpi="300" r:id="rId1"/>
  <headerFooter alignWithMargins="0">
    <oddHeader>&amp;L
NOMBRE DE LA DISTRIBUIDORA: &amp;UELEKTRA NORESTE, S.A.&amp;R&amp;9&amp;A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9125D-393B-4521-8141-A6282BC2A552}">
  <sheetPr codeName="Hoja1">
    <tabColor theme="7" tint="0.79998168889431442"/>
  </sheetPr>
  <dimension ref="B2:O10"/>
  <sheetViews>
    <sheetView zoomScale="115" zoomScaleNormal="115" workbookViewId="0">
      <selection activeCell="L17" sqref="L17"/>
    </sheetView>
  </sheetViews>
  <sheetFormatPr baseColWidth="10" defaultColWidth="11" defaultRowHeight="12"/>
  <cols>
    <col min="1" max="1" width="0.875" style="337" customWidth="1"/>
    <col min="2" max="2" width="16.875" style="337" customWidth="1"/>
    <col min="3" max="14" width="6" style="337" customWidth="1"/>
    <col min="15" max="15" width="4.625" style="337" customWidth="1"/>
    <col min="16" max="16384" width="11" style="337"/>
  </cols>
  <sheetData>
    <row r="2" spans="2:15">
      <c r="B2" s="998" t="s">
        <v>1527</v>
      </c>
      <c r="C2" s="999" t="s">
        <v>991</v>
      </c>
      <c r="D2" s="999" t="s">
        <v>992</v>
      </c>
      <c r="E2" s="999" t="s">
        <v>993</v>
      </c>
      <c r="F2" s="999" t="s">
        <v>994</v>
      </c>
      <c r="G2" s="999" t="s">
        <v>995</v>
      </c>
      <c r="H2" s="999" t="s">
        <v>996</v>
      </c>
    </row>
    <row r="3" spans="2:15">
      <c r="B3" s="687" t="s">
        <v>1609</v>
      </c>
      <c r="C3" s="1001">
        <v>7.3800000000000004E-2</v>
      </c>
      <c r="D3" s="689"/>
      <c r="E3" s="689"/>
      <c r="F3" s="689"/>
      <c r="G3" s="689"/>
      <c r="H3" s="689"/>
    </row>
    <row r="4" spans="2:15">
      <c r="B4" s="1000" t="s">
        <v>1610</v>
      </c>
      <c r="C4" s="952">
        <v>5.7599999999999998E-2</v>
      </c>
      <c r="D4" s="1430">
        <v>5.7599999999999998E-2</v>
      </c>
      <c r="E4" s="952">
        <v>5.7599999999999998E-2</v>
      </c>
      <c r="F4" s="952">
        <v>5.7599999999999998E-2</v>
      </c>
      <c r="G4" s="952">
        <v>5.7599999999999998E-2</v>
      </c>
      <c r="H4" s="1430">
        <v>5.7599999999999998E-2</v>
      </c>
    </row>
    <row r="5" spans="2:15">
      <c r="B5" s="1000" t="s">
        <v>1708</v>
      </c>
      <c r="C5" s="952">
        <v>6.7900000000000002E-2</v>
      </c>
      <c r="D5" s="952">
        <v>6.7900000000000002E-2</v>
      </c>
      <c r="E5" s="952">
        <v>6.7900000000000002E-2</v>
      </c>
      <c r="F5" s="952">
        <v>7.1199999999999999E-2</v>
      </c>
      <c r="G5" s="952">
        <v>7.1199999999999999E-2</v>
      </c>
      <c r="H5" s="952">
        <v>7.1199999999999999E-2</v>
      </c>
    </row>
    <row r="6" spans="2:15" s="1374" customFormat="1" ht="9"/>
    <row r="7" spans="2:15" s="1374" customFormat="1" ht="11.25" customHeight="1">
      <c r="B7" s="1615"/>
      <c r="C7" s="1616" t="s">
        <v>985</v>
      </c>
      <c r="D7" s="1616" t="s">
        <v>986</v>
      </c>
      <c r="E7" s="1616" t="s">
        <v>987</v>
      </c>
      <c r="F7" s="1616" t="s">
        <v>988</v>
      </c>
      <c r="G7" s="1616" t="s">
        <v>989</v>
      </c>
      <c r="H7" s="1616" t="s">
        <v>990</v>
      </c>
      <c r="I7" s="1617" t="s">
        <v>991</v>
      </c>
      <c r="J7" s="1617" t="s">
        <v>992</v>
      </c>
      <c r="K7" s="1617" t="s">
        <v>993</v>
      </c>
      <c r="L7" s="1617" t="s">
        <v>994</v>
      </c>
      <c r="M7" s="1617" t="s">
        <v>995</v>
      </c>
      <c r="N7" s="1617" t="s">
        <v>996</v>
      </c>
    </row>
    <row r="8" spans="2:15" s="1374" customFormat="1" ht="9">
      <c r="B8" s="1618" t="s">
        <v>1610</v>
      </c>
      <c r="C8" s="1619">
        <v>5.7599999999999998E-2</v>
      </c>
      <c r="D8" s="1620">
        <v>1.49E-2</v>
      </c>
      <c r="E8" s="1619">
        <v>1.34E-2</v>
      </c>
      <c r="F8" s="1619">
        <v>1.34E-2</v>
      </c>
      <c r="G8" s="1619">
        <v>1.34E-2</v>
      </c>
      <c r="H8" s="1620">
        <v>1.3900000000000023E-2</v>
      </c>
      <c r="I8" s="1619">
        <v>5.7599999999999998E-2</v>
      </c>
      <c r="J8" s="1619">
        <v>5.7599999999999998E-2</v>
      </c>
      <c r="K8" s="1619">
        <v>5.7599999999999998E-2</v>
      </c>
      <c r="L8" s="1619">
        <v>5.7599999999999998E-2</v>
      </c>
      <c r="M8" s="1619">
        <v>5.7599999999999998E-2</v>
      </c>
      <c r="N8" s="1619">
        <v>5.7599999999999998E-2</v>
      </c>
      <c r="O8" s="2107"/>
    </row>
    <row r="9" spans="2:15" s="1374" customFormat="1" ht="9">
      <c r="B9" s="1618" t="s">
        <v>1708</v>
      </c>
      <c r="C9" s="1619">
        <v>3.9199999999999999E-2</v>
      </c>
      <c r="D9" s="1619">
        <v>3.9199999999999999E-2</v>
      </c>
      <c r="E9" s="1619">
        <v>3.0599999999999999E-2</v>
      </c>
      <c r="F9" s="1619">
        <v>3.0599999999999999E-2</v>
      </c>
      <c r="G9" s="1619">
        <v>3.0599999999999999E-2</v>
      </c>
      <c r="H9" s="1619">
        <v>6.4299999999999996E-2</v>
      </c>
      <c r="I9" s="1619">
        <v>6.7900000000000002E-2</v>
      </c>
      <c r="J9" s="1619">
        <v>6.7900000000000002E-2</v>
      </c>
      <c r="K9" s="1619">
        <v>6.7900000000000002E-2</v>
      </c>
      <c r="L9" s="1619">
        <v>7.1199999999999999E-2</v>
      </c>
      <c r="M9" s="1619">
        <v>7.1199999999999999E-2</v>
      </c>
      <c r="N9" s="1619">
        <v>7.1199999999999999E-2</v>
      </c>
      <c r="O9" s="2107"/>
    </row>
    <row r="10" spans="2:15" s="1374" customFormat="1" ht="9"/>
  </sheetData>
  <phoneticPr fontId="29" type="noConversion"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34">
    <tabColor theme="7" tint="0.79998168889431442"/>
  </sheetPr>
  <dimension ref="A1:J168"/>
  <sheetViews>
    <sheetView view="pageBreakPreview" topLeftCell="A90" zoomScale="70" zoomScaleNormal="85" zoomScaleSheetLayoutView="70" workbookViewId="0">
      <selection activeCell="A90" sqref="A1:XFD1048576"/>
    </sheetView>
  </sheetViews>
  <sheetFormatPr baseColWidth="10" defaultColWidth="8" defaultRowHeight="15"/>
  <cols>
    <col min="1" max="1" width="2.375" style="63" bestFit="1" customWidth="1"/>
    <col min="2" max="2" width="5.625" style="48" bestFit="1" customWidth="1"/>
    <col min="3" max="3" width="33.25" style="63" customWidth="1"/>
    <col min="4" max="5" width="12.75" style="63" customWidth="1"/>
    <col min="6" max="6" width="13.25" style="63" customWidth="1"/>
    <col min="7" max="7" width="14" style="63" customWidth="1"/>
    <col min="8" max="8" width="11.75" style="63" customWidth="1"/>
    <col min="9" max="9" width="11.125" style="63" customWidth="1"/>
    <col min="10" max="10" width="11.5" style="63" customWidth="1"/>
    <col min="11" max="16384" width="8" style="63"/>
  </cols>
  <sheetData>
    <row r="1" spans="2:10" s="69" customFormat="1" ht="15.75">
      <c r="B1" s="48"/>
      <c r="C1" s="136" t="s">
        <v>151</v>
      </c>
    </row>
    <row r="2" spans="2:10" s="69" customFormat="1" ht="15.75">
      <c r="B2" s="48"/>
      <c r="D2" s="137" t="s">
        <v>24</v>
      </c>
    </row>
    <row r="3" spans="2:10" s="69" customFormat="1" ht="15.75">
      <c r="B3" s="48"/>
      <c r="D3" s="137"/>
    </row>
    <row r="4" spans="2:10" ht="47.25">
      <c r="C4" s="219" t="s">
        <v>173</v>
      </c>
      <c r="D4" s="219"/>
      <c r="E4" s="219"/>
      <c r="F4" s="219"/>
      <c r="G4" s="219"/>
      <c r="H4" s="219"/>
      <c r="I4" s="219"/>
      <c r="J4" s="878"/>
    </row>
    <row r="5" spans="2:10">
      <c r="C5" s="139"/>
    </row>
    <row r="6" spans="2:10" s="143" customFormat="1">
      <c r="B6" s="48"/>
      <c r="C6" s="140" t="s">
        <v>292</v>
      </c>
      <c r="D6" s="141" t="s">
        <v>1391</v>
      </c>
      <c r="E6" s="141" t="s">
        <v>1392</v>
      </c>
      <c r="F6" s="142" t="s">
        <v>1237</v>
      </c>
      <c r="G6" s="142" t="s">
        <v>1238</v>
      </c>
      <c r="H6" s="142" t="s">
        <v>1239</v>
      </c>
    </row>
    <row r="7" spans="2:10" s="143" customFormat="1" ht="13.5">
      <c r="B7" s="48"/>
      <c r="C7" s="144" t="s">
        <v>266</v>
      </c>
      <c r="D7" s="145">
        <f>RAT1000PT!$H$34</f>
        <v>0.03</v>
      </c>
      <c r="E7" s="144"/>
      <c r="F7" s="146">
        <f>RAT1000PT!$H$10</f>
        <v>1.2999999999999999E-3</v>
      </c>
      <c r="G7" s="146">
        <f>RAT1000PT!$H$15</f>
        <v>1.2999999999999999E-3</v>
      </c>
      <c r="H7" s="146">
        <f>RAT1000PT!$H$20</f>
        <v>1.2999999999999999E-3</v>
      </c>
    </row>
    <row r="8" spans="2:10" s="143" customFormat="1" ht="13.5">
      <c r="B8" s="48"/>
      <c r="C8" s="144" t="s">
        <v>265</v>
      </c>
      <c r="D8" s="145">
        <f>RAT1000PT!$H$33</f>
        <v>0.03</v>
      </c>
      <c r="E8" s="146">
        <f>RAT1000PT!$H$26</f>
        <v>1.2999999999999999E-3</v>
      </c>
      <c r="F8" s="146"/>
      <c r="G8" s="146"/>
      <c r="H8" s="146"/>
    </row>
    <row r="9" spans="2:10" s="143" customFormat="1" ht="13.5">
      <c r="B9" s="48"/>
      <c r="C9" s="144" t="s">
        <v>264</v>
      </c>
      <c r="D9" s="145">
        <f>RAT1000PT!$H$32</f>
        <v>0.34</v>
      </c>
      <c r="E9" s="146"/>
      <c r="F9" s="146">
        <f>RAT1000PT!$H$9</f>
        <v>9.1800000000000007E-3</v>
      </c>
      <c r="G9" s="146">
        <f>RAT1000PT!$H$14</f>
        <v>9.1800000000000007E-3</v>
      </c>
      <c r="H9" s="146">
        <f>RAT1000PT!$H$19</f>
        <v>9.1800000000000007E-3</v>
      </c>
    </row>
    <row r="10" spans="2:10" s="143" customFormat="1" ht="13.5">
      <c r="B10" s="48"/>
      <c r="C10" s="144" t="s">
        <v>262</v>
      </c>
      <c r="D10" s="145">
        <f>RAT1000PT!$H$31</f>
        <v>0.31</v>
      </c>
      <c r="E10" s="146">
        <f>RAT1000PT!$H$25</f>
        <v>9.1800000000000007E-3</v>
      </c>
      <c r="F10" s="146"/>
      <c r="G10" s="146"/>
      <c r="H10" s="146"/>
    </row>
    <row r="11" spans="2:10" s="143" customFormat="1" ht="13.5">
      <c r="B11" s="48"/>
      <c r="C11" s="144" t="s">
        <v>263</v>
      </c>
      <c r="D11" s="145">
        <f>RAT1000PT!$H$30</f>
        <v>0.45</v>
      </c>
      <c r="E11" s="146"/>
      <c r="F11" s="146">
        <f>RAT1000PT!$H$8</f>
        <v>1.2319999999999999E-2</v>
      </c>
      <c r="G11" s="146">
        <f>RAT1000PT!$H$13</f>
        <v>1.2319999999999999E-2</v>
      </c>
      <c r="H11" s="146">
        <f>RAT1000PT!$H$18</f>
        <v>1.2319999999999999E-2</v>
      </c>
    </row>
    <row r="12" spans="2:10" s="143" customFormat="1" ht="13.5">
      <c r="B12" s="48"/>
      <c r="C12" s="144" t="s">
        <v>261</v>
      </c>
      <c r="D12" s="145">
        <f>RAT1000PT!$H$29</f>
        <v>0.41</v>
      </c>
      <c r="E12" s="146">
        <f>RAT1000PT!$H$24</f>
        <v>1.2319999999999999E-2</v>
      </c>
      <c r="F12" s="146"/>
      <c r="G12" s="146"/>
      <c r="H12" s="146"/>
    </row>
    <row r="13" spans="2:10" s="143" customFormat="1" ht="13.5">
      <c r="B13" s="48"/>
      <c r="C13" s="144" t="s">
        <v>1768</v>
      </c>
      <c r="D13" s="145"/>
      <c r="E13" s="146">
        <f>RAT1000PT!$H$22</f>
        <v>1.357E-2</v>
      </c>
      <c r="F13" s="146"/>
      <c r="G13" s="146"/>
      <c r="H13" s="146"/>
    </row>
    <row r="14" spans="2:10" s="143" customFormat="1" ht="13.5">
      <c r="B14" s="48"/>
      <c r="C14" s="144" t="s">
        <v>2071</v>
      </c>
      <c r="D14" s="146"/>
      <c r="E14" s="146">
        <f>RAT1000PT!$H$23</f>
        <v>1.357E-2</v>
      </c>
      <c r="F14" s="146"/>
      <c r="G14" s="146"/>
      <c r="H14" s="146"/>
    </row>
    <row r="15" spans="2:10" s="143" customFormat="1" ht="13.5">
      <c r="B15" s="48"/>
      <c r="C15" s="144" t="s">
        <v>1178</v>
      </c>
      <c r="D15" s="145"/>
      <c r="E15" s="146"/>
      <c r="F15" s="146">
        <f>RAT1000PT!$H$7</f>
        <v>1.357E-2</v>
      </c>
      <c r="G15" s="146">
        <f>RAT1000PT!$H$12</f>
        <v>1.357E-2</v>
      </c>
      <c r="H15" s="146">
        <f>RAT1000PT!$H$17</f>
        <v>1.357E-2</v>
      </c>
    </row>
    <row r="16" spans="2:10" s="143" customFormat="1" ht="13.5">
      <c r="B16" s="48"/>
      <c r="C16" s="147"/>
      <c r="J16" s="148"/>
    </row>
    <row r="17" spans="2:10" s="143" customFormat="1" ht="36" customHeight="1">
      <c r="B17" s="48"/>
      <c r="C17" s="149" t="s">
        <v>1418</v>
      </c>
      <c r="D17" s="149"/>
      <c r="E17" s="149"/>
      <c r="F17" s="149"/>
      <c r="G17" s="149"/>
      <c r="H17" s="149"/>
      <c r="I17" s="149"/>
      <c r="J17" s="149"/>
    </row>
    <row r="18" spans="2:10" s="37" customFormat="1" ht="13.5">
      <c r="B18" s="48"/>
      <c r="C18" s="150" t="s">
        <v>310</v>
      </c>
      <c r="D18" s="151">
        <f>F801ENE!D4</f>
        <v>46204</v>
      </c>
      <c r="E18" s="151">
        <f>F801ENE!E4</f>
        <v>46235</v>
      </c>
      <c r="F18" s="151">
        <f>F801ENE!F4</f>
        <v>46266</v>
      </c>
      <c r="G18" s="151">
        <f>F801ENE!G4</f>
        <v>46296</v>
      </c>
      <c r="H18" s="151">
        <f>F801ENE!H4</f>
        <v>46327</v>
      </c>
      <c r="I18" s="151">
        <f>F801ENE!I4</f>
        <v>46357</v>
      </c>
      <c r="J18" s="152" t="s">
        <v>111</v>
      </c>
    </row>
    <row r="19" spans="2:10" s="37" customFormat="1" ht="13.5">
      <c r="B19" s="48"/>
      <c r="C19" s="153" t="s">
        <v>446</v>
      </c>
      <c r="D19" s="154">
        <f t="shared" ref="D19:H19" si="0">SUM(D20:D21)</f>
        <v>25714.053415070106</v>
      </c>
      <c r="E19" s="154">
        <f t="shared" si="0"/>
        <v>25724.784990212793</v>
      </c>
      <c r="F19" s="154">
        <f t="shared" si="0"/>
        <v>25266.780123877652</v>
      </c>
      <c r="G19" s="154">
        <f t="shared" si="0"/>
        <v>25636.60414726389</v>
      </c>
      <c r="H19" s="154">
        <f t="shared" si="0"/>
        <v>24552.855757558755</v>
      </c>
      <c r="I19" s="154">
        <f t="shared" ref="I19" si="1">SUM(I20:I21)</f>
        <v>24640.700879467702</v>
      </c>
      <c r="J19" s="154">
        <f>SUM(D19:I19)</f>
        <v>151535.77931345091</v>
      </c>
    </row>
    <row r="20" spans="2:10" s="37" customFormat="1" ht="13.5">
      <c r="B20" s="48" t="s">
        <v>279</v>
      </c>
      <c r="C20" s="155" t="s">
        <v>279</v>
      </c>
      <c r="D20" s="156">
        <f>$D$7*F801D!K6+$F$7*F801ENE!K6+$G$7*F801ENE!R6+$H$7*F801ENE!Y6</f>
        <v>25713.373415070106</v>
      </c>
      <c r="E20" s="156">
        <f>$D$7*F801D!L6+$F$7*F801ENE!L6+$G$7*F801ENE!S6+$H$7*F801ENE!Z6</f>
        <v>25724.104990212792</v>
      </c>
      <c r="F20" s="156">
        <f>$D$7*F801D!M6+$F$7*F801ENE!M6+$G$7*F801ENE!T6+$H$7*F801ENE!AA6</f>
        <v>25266.100123877652</v>
      </c>
      <c r="G20" s="156">
        <f>$D$7*F801D!N6+$F$7*F801ENE!N6+$G$7*F801ENE!U6+$H$7*F801ENE!AB6</f>
        <v>25635.92414726389</v>
      </c>
      <c r="H20" s="156">
        <f>$D$7*F801D!O6+$F$7*F801ENE!O6+$G$7*F801ENE!V6+$H$7*F801ENE!AC6</f>
        <v>24552.175757558754</v>
      </c>
      <c r="I20" s="156">
        <f>$D$7*F801D!P6+$F$7*F801ENE!P6+$G$7*F801ENE!W6+$H$7*F801ENE!AD6</f>
        <v>24640.020879467702</v>
      </c>
      <c r="J20" s="156">
        <f>SUM(D20:I20)</f>
        <v>151531.6993134509</v>
      </c>
    </row>
    <row r="21" spans="2:10" s="37" customFormat="1" ht="13.5">
      <c r="B21" s="48" t="s">
        <v>278</v>
      </c>
      <c r="C21" s="155" t="s">
        <v>278</v>
      </c>
      <c r="D21" s="156">
        <f>$D$8*F801D!D7+$E$8*F801ENE!D7</f>
        <v>0.68</v>
      </c>
      <c r="E21" s="156">
        <f>$D$8*F801D!E7+$E$8*F801ENE!E7</f>
        <v>0.68</v>
      </c>
      <c r="F21" s="156">
        <f>$D$8*F801D!F7+$E$8*F801ENE!F7</f>
        <v>0.68</v>
      </c>
      <c r="G21" s="156">
        <f>$D$8*F801D!G7+$E$8*F801ENE!G7</f>
        <v>0.68</v>
      </c>
      <c r="H21" s="156">
        <f>$D$8*F801D!H7+$E$8*F801ENE!H7</f>
        <v>0.68</v>
      </c>
      <c r="I21" s="156">
        <f>$D$8*F801D!I7+$E$8*F801ENE!I7</f>
        <v>0.68</v>
      </c>
      <c r="J21" s="156">
        <f>SUM(D21:I21)</f>
        <v>4.08</v>
      </c>
    </row>
    <row r="22" spans="2:10" s="37" customFormat="1" ht="13.5">
      <c r="B22" s="48"/>
      <c r="C22" s="157"/>
      <c r="D22" s="156"/>
      <c r="E22" s="156"/>
      <c r="F22" s="156"/>
      <c r="G22" s="156"/>
      <c r="H22" s="156"/>
      <c r="I22" s="156"/>
      <c r="J22" s="156"/>
    </row>
    <row r="23" spans="2:10" s="37" customFormat="1" ht="13.5">
      <c r="B23" s="48"/>
      <c r="C23" s="153" t="s">
        <v>630</v>
      </c>
      <c r="D23" s="154">
        <f t="shared" ref="D23:I23" si="2">SUBTOTAL(9,D24:D31)</f>
        <v>310626.85070179473</v>
      </c>
      <c r="E23" s="154">
        <f t="shared" si="2"/>
        <v>310756.4886215002</v>
      </c>
      <c r="F23" s="154">
        <f t="shared" si="2"/>
        <v>305854.67924319307</v>
      </c>
      <c r="G23" s="154">
        <f t="shared" si="2"/>
        <v>309691.25999608659</v>
      </c>
      <c r="H23" s="154">
        <f t="shared" si="2"/>
        <v>297212.61375664873</v>
      </c>
      <c r="I23" s="154">
        <f t="shared" si="2"/>
        <v>297660.70286459965</v>
      </c>
      <c r="J23" s="154">
        <f t="shared" ref="J23:J31" si="3">SUM(D23:I23)</f>
        <v>1831802.595183823</v>
      </c>
    </row>
    <row r="24" spans="2:10" s="37" customFormat="1" ht="13.5">
      <c r="B24" s="48" t="s">
        <v>277</v>
      </c>
      <c r="C24" s="155" t="s">
        <v>277</v>
      </c>
      <c r="D24" s="154">
        <f t="shared" ref="D24:I24" si="4">SUBTOTAL(9,D25:D26)</f>
        <v>44542.957059973254</v>
      </c>
      <c r="E24" s="154">
        <f t="shared" si="4"/>
        <v>44561.546748140048</v>
      </c>
      <c r="F24" s="154">
        <f t="shared" si="4"/>
        <v>43861.779717855883</v>
      </c>
      <c r="G24" s="154">
        <f t="shared" si="4"/>
        <v>44408.796163914478</v>
      </c>
      <c r="H24" s="154">
        <f t="shared" si="4"/>
        <v>42622.444836283918</v>
      </c>
      <c r="I24" s="154">
        <f t="shared" si="4"/>
        <v>42683.650419093392</v>
      </c>
      <c r="J24" s="156">
        <f t="shared" si="3"/>
        <v>262681.17494526098</v>
      </c>
    </row>
    <row r="25" spans="2:10" s="37" customFormat="1" ht="13.5">
      <c r="B25" s="48"/>
      <c r="C25" s="160" t="s">
        <v>304</v>
      </c>
      <c r="D25" s="156">
        <f>$D$9*F801D!K11+$F$9*F801ENE!K11+$G$9*F801ENE!R11+$H$9*F801ENE!Y11</f>
        <v>38963.701812467814</v>
      </c>
      <c r="E25" s="156">
        <f>$D$9*F801D!L11+$F$9*F801ENE!L11+$G$9*F801ENE!S11+$H$9*F801ENE!Z11</f>
        <v>38979.963037907844</v>
      </c>
      <c r="F25" s="156">
        <f>$D$9*F801D!M11+$F$9*F801ENE!M11+$G$9*F801ENE!T11+$H$9*F801ENE!AA11</f>
        <v>38371.616073925521</v>
      </c>
      <c r="G25" s="156">
        <f>$D$9*F801D!N11+$F$9*F801ENE!N11+$G$9*F801ENE!U11+$H$9*F801ENE!AB11</f>
        <v>38846.345321252164</v>
      </c>
      <c r="H25" s="156">
        <f>$D$9*F801D!O11+$F$9*F801ENE!O11+$G$9*F801ENE!V11+$H$9*F801ENE!AC11</f>
        <v>37287.408306511468</v>
      </c>
      <c r="I25" s="156">
        <f>$D$9*F801D!P11+$F$9*F801ENE!P11+$G$9*F801ENE!W11+$H$9*F801ENE!AD11</f>
        <v>37337.283758640748</v>
      </c>
      <c r="J25" s="156">
        <f t="shared" si="3"/>
        <v>229786.31831070557</v>
      </c>
    </row>
    <row r="26" spans="2:10" s="37" customFormat="1" ht="13.5">
      <c r="B26" s="48"/>
      <c r="C26" s="160" t="s">
        <v>305</v>
      </c>
      <c r="D26" s="156">
        <f>($D$9*F801D!K12+$F$9*F801ENE!K12+$G$9*F801ENE!R12+$H$9*F801ENE!Y12)*95%</f>
        <v>5579.2552475054417</v>
      </c>
      <c r="E26" s="156">
        <f>($D$9*F801D!L12+$F$9*F801ENE!L12+$G$9*F801ENE!S12+$H$9*F801ENE!Z12)*95%</f>
        <v>5581.5837102322066</v>
      </c>
      <c r="F26" s="156">
        <f>($D$9*F801D!M12+$F$9*F801ENE!M12+$G$9*F801ENE!T12+$H$9*F801ENE!AA12)*95%</f>
        <v>5490.1636439303629</v>
      </c>
      <c r="G26" s="156">
        <f>($D$9*F801D!N12+$F$9*F801ENE!N12+$G$9*F801ENE!U12+$H$9*F801ENE!AB12)*95%</f>
        <v>5562.4508426623106</v>
      </c>
      <c r="H26" s="156">
        <f>($D$9*F801D!O12+$F$9*F801ENE!O12+$G$9*F801ENE!V12+$H$9*F801ENE!AC12)*95%</f>
        <v>5335.0365297724475</v>
      </c>
      <c r="I26" s="156">
        <f>($D$9*F801D!P12+$F$9*F801ENE!P12+$G$9*F801ENE!W12+$H$9*F801ENE!AD12)*95%</f>
        <v>5346.3666604526416</v>
      </c>
      <c r="J26" s="156">
        <f t="shared" si="3"/>
        <v>32894.856634555414</v>
      </c>
    </row>
    <row r="27" spans="2:10" s="37" customFormat="1" ht="13.5">
      <c r="B27" s="48" t="s">
        <v>276</v>
      </c>
      <c r="C27" s="158" t="s">
        <v>276</v>
      </c>
      <c r="D27" s="154">
        <f t="shared" ref="D27:I27" si="5">SUBTOTAL(9,D28:D31)</f>
        <v>266083.89364182146</v>
      </c>
      <c r="E27" s="154">
        <f t="shared" si="5"/>
        <v>266194.94187336013</v>
      </c>
      <c r="F27" s="154">
        <f t="shared" si="5"/>
        <v>261992.89952533721</v>
      </c>
      <c r="G27" s="154">
        <f t="shared" si="5"/>
        <v>265282.4638321721</v>
      </c>
      <c r="H27" s="154">
        <f t="shared" si="5"/>
        <v>254590.16892036484</v>
      </c>
      <c r="I27" s="154">
        <f t="shared" si="5"/>
        <v>254977.0524455063</v>
      </c>
      <c r="J27" s="159">
        <f t="shared" si="3"/>
        <v>1569121.4202385619</v>
      </c>
    </row>
    <row r="28" spans="2:10" s="37" customFormat="1" ht="13.5">
      <c r="B28" s="48"/>
      <c r="C28" s="160" t="s">
        <v>304</v>
      </c>
      <c r="D28" s="156">
        <f>($D$10*F801D!D15+$E$10*F801ENE!D15)*1</f>
        <v>264982.94915567583</v>
      </c>
      <c r="E28" s="156">
        <f>($D$10*F801D!E15+$E$10*F801ENE!E15)*1</f>
        <v>265093.53791581793</v>
      </c>
      <c r="F28" s="156">
        <f>($D$10*F801D!F15+$E$10*F801ENE!F15)*1</f>
        <v>260906.99751293988</v>
      </c>
      <c r="G28" s="156">
        <f>($D$10*F801D!G15+$E$10*F801ENE!G15)*1</f>
        <v>264184.83532925975</v>
      </c>
      <c r="H28" s="156">
        <f>($D$10*F801D!H15+$E$10*F801ENE!H15)*1</f>
        <v>253534.94957179442</v>
      </c>
      <c r="I28" s="156">
        <f>($D$10*F801D!I15+$E$10*F801ENE!I15)*1</f>
        <v>253922.06344883511</v>
      </c>
      <c r="J28" s="156">
        <f t="shared" si="3"/>
        <v>1562625.3329343228</v>
      </c>
    </row>
    <row r="29" spans="2:10" s="37" customFormat="1" ht="13.5">
      <c r="B29" s="48"/>
      <c r="C29" s="161" t="s">
        <v>306</v>
      </c>
      <c r="D29" s="156">
        <f>($D$10*F801D!D16+$E$10*F801ENE!D16)*1</f>
        <v>0</v>
      </c>
      <c r="E29" s="156">
        <f>($D$10*F801D!E16+$E$10*F801ENE!E16)*1</f>
        <v>0</v>
      </c>
      <c r="F29" s="156">
        <f>($D$10*F801D!F16+$E$10*F801ENE!F16)*1</f>
        <v>0</v>
      </c>
      <c r="G29" s="156">
        <f>($D$10*F801D!G16+$E$10*F801ENE!G16)*1</f>
        <v>0</v>
      </c>
      <c r="H29" s="156">
        <f>($D$10*F801D!H16+$E$10*F801ENE!H16)*1</f>
        <v>0</v>
      </c>
      <c r="I29" s="156">
        <f>($D$10*F801D!I16+$E$10*F801ENE!I16)*1</f>
        <v>0</v>
      </c>
      <c r="J29" s="156">
        <f t="shared" si="3"/>
        <v>0</v>
      </c>
    </row>
    <row r="30" spans="2:10" s="37" customFormat="1" ht="13.5">
      <c r="B30" s="48"/>
      <c r="C30" s="160" t="s">
        <v>305</v>
      </c>
      <c r="D30" s="156">
        <f>($D$10*F801D!D17+$E$10*F801ENE!D17)*0.95</f>
        <v>1100.9444861456386</v>
      </c>
      <c r="E30" s="156">
        <f>($D$10*F801D!E17+$E$10*F801ENE!E17)*0.95</f>
        <v>1101.4039575421793</v>
      </c>
      <c r="F30" s="156">
        <f>($D$10*F801D!F17+$E$10*F801ENE!F17)*0.95</f>
        <v>1085.9020123973237</v>
      </c>
      <c r="G30" s="156">
        <f>($D$10*F801D!G17+$E$10*F801ENE!G17)*0.95</f>
        <v>1097.6285029123433</v>
      </c>
      <c r="H30" s="156">
        <f>($D$10*F801D!H17+$E$10*F801ENE!H17)*0.95</f>
        <v>1055.2193485704083</v>
      </c>
      <c r="I30" s="156">
        <f>($D$10*F801D!I17+$E$10*F801ENE!I17)*0.95</f>
        <v>1054.9889966711846</v>
      </c>
      <c r="J30" s="156">
        <f>SUM(D30:I30)</f>
        <v>6496.0873042390776</v>
      </c>
    </row>
    <row r="31" spans="2:10" s="37" customFormat="1" ht="13.5">
      <c r="B31" s="48"/>
      <c r="C31" s="160" t="s">
        <v>307</v>
      </c>
      <c r="D31" s="156">
        <f>($D$10*F801D!D18+$E$10*F801ENE!D18)*0.5</f>
        <v>0</v>
      </c>
      <c r="E31" s="156">
        <f>($D$10*F801D!E18+$E$10*F801ENE!E18)*0.5</f>
        <v>0</v>
      </c>
      <c r="F31" s="156">
        <f>($D$10*F801D!F18+$E$10*F801ENE!F18)*0.5</f>
        <v>0</v>
      </c>
      <c r="G31" s="156">
        <f>($D$10*F801D!G18+$E$10*F801ENE!G18)*0.5</f>
        <v>0</v>
      </c>
      <c r="H31" s="156">
        <f>($D$10*F801D!H18+$E$10*F801ENE!H18)*0.5</f>
        <v>0</v>
      </c>
      <c r="I31" s="156">
        <f>($D$10*F801D!I18+$E$10*F801ENE!I18)*0.5</f>
        <v>0</v>
      </c>
      <c r="J31" s="156">
        <f t="shared" si="3"/>
        <v>0</v>
      </c>
    </row>
    <row r="32" spans="2:10" s="37" customFormat="1" ht="13.5">
      <c r="B32" s="48"/>
      <c r="C32" s="157"/>
      <c r="D32" s="156"/>
      <c r="E32" s="156"/>
      <c r="F32" s="156"/>
      <c r="G32" s="156"/>
      <c r="H32" s="156"/>
      <c r="I32" s="156"/>
      <c r="J32" s="156"/>
    </row>
    <row r="33" spans="2:10" s="37" customFormat="1" ht="13.5">
      <c r="B33" s="48"/>
      <c r="C33" s="153" t="s">
        <v>443</v>
      </c>
      <c r="D33" s="154">
        <f t="shared" ref="D33:I33" si="6">SUBTOTAL(9,D34:D108)</f>
        <v>2986629.7829657327</v>
      </c>
      <c r="E33" s="154">
        <f t="shared" si="6"/>
        <v>2987876.2317872657</v>
      </c>
      <c r="F33" s="154">
        <f t="shared" si="6"/>
        <v>2934640.4331009034</v>
      </c>
      <c r="G33" s="154">
        <f t="shared" si="6"/>
        <v>2977634.2210559333</v>
      </c>
      <c r="H33" s="154">
        <f t="shared" si="6"/>
        <v>2851720.8097520876</v>
      </c>
      <c r="I33" s="154">
        <f t="shared" si="6"/>
        <v>2861962.2495139008</v>
      </c>
      <c r="J33" s="154">
        <f t="shared" ref="J33:J59" si="7">SUM(D33:I33)</f>
        <v>17600463.728175826</v>
      </c>
    </row>
    <row r="34" spans="2:10" s="37" customFormat="1" ht="13.5">
      <c r="B34" s="48" t="s">
        <v>275</v>
      </c>
      <c r="C34" s="155" t="s">
        <v>275</v>
      </c>
      <c r="D34" s="154">
        <f t="shared" ref="D34:I34" si="8">SUBTOTAL(9,D35:D37)</f>
        <v>40427.654928991265</v>
      </c>
      <c r="E34" s="154">
        <f t="shared" si="8"/>
        <v>40444.5271249129</v>
      </c>
      <c r="F34" s="154">
        <f t="shared" si="8"/>
        <v>39820.530288725793</v>
      </c>
      <c r="G34" s="154">
        <f t="shared" si="8"/>
        <v>40305.889092845129</v>
      </c>
      <c r="H34" s="154">
        <f t="shared" si="8"/>
        <v>38695.382779733583</v>
      </c>
      <c r="I34" s="154">
        <f t="shared" si="8"/>
        <v>38740.128724041148</v>
      </c>
      <c r="J34" s="156">
        <f t="shared" si="7"/>
        <v>238434.11293924984</v>
      </c>
    </row>
    <row r="35" spans="2:10" s="37" customFormat="1" ht="13.5">
      <c r="B35" s="48"/>
      <c r="C35" s="160" t="s">
        <v>304</v>
      </c>
      <c r="D35" s="156">
        <f>$D$11*F801D!K22+$F$11*F801ENE!K22+$G$11*F801ENE!R22+$H$11*F801ENE!Y22</f>
        <v>39975.784171094434</v>
      </c>
      <c r="E35" s="156">
        <f>$D$11*F801D!L22+$F$11*F801ENE!L22+$G$11*F801ENE!S22+$H$11*F801ENE!Z22</f>
        <v>39992.467781950429</v>
      </c>
      <c r="F35" s="156">
        <f>$D$11*F801D!M22+$F$11*F801ENE!M22+$G$11*F801ENE!T22+$H$11*F801ENE!AA22</f>
        <v>39372.148640745349</v>
      </c>
      <c r="G35" s="156">
        <f>$D$11*F801D!N22+$F$11*F801ENE!N22+$G$11*F801ENE!U22+$H$11*F801ENE!AB22</f>
        <v>39855.379344404872</v>
      </c>
      <c r="H35" s="156">
        <f>$D$11*F801D!O22+$F$11*F801ENE!O22+$G$11*F801ENE!V22+$H$11*F801ENE!AC22</f>
        <v>38259.670362691177</v>
      </c>
      <c r="I35" s="156">
        <f>$D$11*F801D!P22+$F$11*F801ENE!P22+$G$11*F801ENE!W22+$H$11*F801ENE!AD22</f>
        <v>38307.119899801874</v>
      </c>
      <c r="J35" s="156">
        <f t="shared" si="7"/>
        <v>235762.57020068812</v>
      </c>
    </row>
    <row r="36" spans="2:10" s="37" customFormat="1" ht="13.5">
      <c r="B36" s="48"/>
      <c r="C36" s="161" t="s">
        <v>306</v>
      </c>
      <c r="D36" s="156">
        <f>($D$11*F801D!K23+$F$11*F801ENE!K23+$G$11*F801ENE!R23+$H$11*F801ENE!Y23)*1</f>
        <v>309.62107039184036</v>
      </c>
      <c r="E36" s="156">
        <f>($D$11*F801D!L23+$F$11*F801ENE!L23+$G$11*F801ENE!S23+$H$11*F801ENE!Z23)*1</f>
        <v>309.75028855624521</v>
      </c>
      <c r="F36" s="156">
        <f>($D$11*F801D!M23+$F$11*F801ENE!M23+$G$11*F801ENE!T23+$H$11*F801ENE!AA23)*1</f>
        <v>307.76644142063066</v>
      </c>
      <c r="G36" s="156">
        <f>($D$11*F801D!N23+$F$11*F801ENE!N23+$G$11*F801ENE!U23+$H$11*F801ENE!AB23)*1</f>
        <v>308.68850904018785</v>
      </c>
      <c r="H36" s="156">
        <f>($D$11*F801D!O23+$F$11*F801ENE!O23+$G$11*F801ENE!V23+$H$11*F801ENE!AC23)*1</f>
        <v>299.0703582091557</v>
      </c>
      <c r="I36" s="156">
        <f>($D$11*F801D!P23+$F$11*F801ENE!P23+$G$11*F801ENE!W23+$H$11*F801ENE!AD23)*1</f>
        <v>296.69690571276931</v>
      </c>
      <c r="J36" s="156">
        <f t="shared" si="7"/>
        <v>1831.5935733308293</v>
      </c>
    </row>
    <row r="37" spans="2:10" s="37" customFormat="1" ht="13.5">
      <c r="B37" s="48"/>
      <c r="C37" s="160" t="s">
        <v>305</v>
      </c>
      <c r="D37" s="156">
        <f>($D$11*F801D!K24+$F$11*F801ENE!K24+$G$11*F801ENE!R24+$H$11*F801ENE!Y24)*95%</f>
        <v>142.24968750499323</v>
      </c>
      <c r="E37" s="156">
        <f>($D$11*F801D!L24+$F$11*F801ENE!L24+$G$11*F801ENE!S24+$H$11*F801ENE!Z24)*95%</f>
        <v>142.30905440622931</v>
      </c>
      <c r="F37" s="156">
        <f>($D$11*F801D!M24+$F$11*F801ENE!M24+$G$11*F801ENE!T24+$H$11*F801ENE!AA24)*95%</f>
        <v>140.61520655981204</v>
      </c>
      <c r="G37" s="156">
        <f>($D$11*F801D!N24+$F$11*F801ENE!N24+$G$11*F801ENE!U24+$H$11*F801ENE!AB24)*95%</f>
        <v>141.82123940007608</v>
      </c>
      <c r="H37" s="156">
        <f>($D$11*F801D!O24+$F$11*F801ENE!O24+$G$11*F801ENE!V24+$H$11*F801ENE!AC24)*95%</f>
        <v>136.64205883324868</v>
      </c>
      <c r="I37" s="156">
        <f>($D$11*F801D!P24+$F$11*F801ENE!P24+$G$11*F801ENE!W24+$H$11*F801ENE!AD24)*95%</f>
        <v>136.31191852649877</v>
      </c>
      <c r="J37" s="156">
        <f t="shared" si="7"/>
        <v>839.94916523085806</v>
      </c>
    </row>
    <row r="38" spans="2:10" s="37" customFormat="1" ht="13.5">
      <c r="B38" s="48" t="s">
        <v>274</v>
      </c>
      <c r="C38" s="158" t="s">
        <v>627</v>
      </c>
      <c r="D38" s="154">
        <f t="shared" ref="D38:I38" si="9">SUBTOTAL(9,D39:D44)</f>
        <v>475252.41883279051</v>
      </c>
      <c r="E38" s="154">
        <f t="shared" si="9"/>
        <v>475450.76206929178</v>
      </c>
      <c r="F38" s="154">
        <f t="shared" si="9"/>
        <v>467755.91059303074</v>
      </c>
      <c r="G38" s="154">
        <f t="shared" si="9"/>
        <v>473820.98512086022</v>
      </c>
      <c r="H38" s="154">
        <f t="shared" si="9"/>
        <v>454539.25090004981</v>
      </c>
      <c r="I38" s="154">
        <f t="shared" si="9"/>
        <v>455414.49075719627</v>
      </c>
      <c r="J38" s="159">
        <f t="shared" si="7"/>
        <v>2802233.8182732193</v>
      </c>
    </row>
    <row r="39" spans="2:10" s="37" customFormat="1" ht="13.5">
      <c r="B39" s="48"/>
      <c r="C39" s="160" t="s">
        <v>304</v>
      </c>
      <c r="D39" s="156">
        <f>($D$12*F801D!D28+$E$12*F801ENE!D28)*1</f>
        <v>474387.3232673548</v>
      </c>
      <c r="E39" s="156">
        <f>($D$12*F801D!E28+$E$12*F801ENE!E28)*1</f>
        <v>474585.30546233896</v>
      </c>
      <c r="F39" s="156">
        <f>($D$12*F801D!F28+$E$12*F801ENE!F28)*1</f>
        <v>466904.15851777047</v>
      </c>
      <c r="G39" s="156">
        <f>($D$12*F801D!G28+$E$12*F801ENE!G28)*1</f>
        <v>472958.49517489609</v>
      </c>
      <c r="H39" s="156">
        <f>($D$12*F801D!H28+$E$12*F801ENE!H28)*1</f>
        <v>453711.56547379715</v>
      </c>
      <c r="I39" s="156">
        <f>($D$12*F801D!I28+$E$12*F801ENE!I28)*1</f>
        <v>454585.50590456411</v>
      </c>
      <c r="J39" s="156">
        <f t="shared" si="7"/>
        <v>2797132.3538007219</v>
      </c>
    </row>
    <row r="40" spans="2:10" s="37" customFormat="1" ht="13.5">
      <c r="B40" s="48"/>
      <c r="C40" s="161" t="s">
        <v>628</v>
      </c>
      <c r="D40" s="156">
        <f>($D$12*F801D!D29+$E$12*F801ENE!D29)*0.75</f>
        <v>37.657202072301608</v>
      </c>
      <c r="E40" s="156">
        <f>($D$12*F801D!E29+$E$12*F801ENE!E29)*0.75</f>
        <v>37.672918039313309</v>
      </c>
      <c r="F40" s="156">
        <f>($D$12*F801D!F29+$E$12*F801ENE!F29)*0.75</f>
        <v>36.961378137502464</v>
      </c>
      <c r="G40" s="156">
        <f>($D$12*F801D!G29+$E$12*F801ENE!G29)*0.75</f>
        <v>37.543780685250802</v>
      </c>
      <c r="H40" s="156">
        <f>($D$12*F801D!H29+$E$12*F801ENE!H29)*0.75</f>
        <v>35.917017295524815</v>
      </c>
      <c r="I40" s="156">
        <f>($D$12*F801D!I29+$E$12*F801ENE!I29)*0.75</f>
        <v>36.085319770107013</v>
      </c>
      <c r="J40" s="156">
        <f>SUM(D40:I40)</f>
        <v>221.837616</v>
      </c>
    </row>
    <row r="41" spans="2:10" s="37" customFormat="1" ht="13.5">
      <c r="B41" s="48"/>
      <c r="C41" s="161" t="s">
        <v>629</v>
      </c>
      <c r="D41" s="156">
        <f>($D$12*F801D!D30+$E$12*F801ENE!D30)*1</f>
        <v>244.6790242746693</v>
      </c>
      <c r="E41" s="156">
        <f>($D$12*F801D!E30+$E$12*F801ENE!E30)*1</f>
        <v>244.78113933533078</v>
      </c>
      <c r="F41" s="156">
        <f>($D$12*F801D!F30+$E$12*F801ENE!F30)*1</f>
        <v>241.61750708588229</v>
      </c>
      <c r="G41" s="156">
        <f>($D$12*F801D!G30+$E$12*F801ENE!G30)*1</f>
        <v>243.942064734707</v>
      </c>
      <c r="H41" s="156">
        <f>($D$12*F801D!H30+$E$12*F801ENE!H30)*1</f>
        <v>234.79049262235176</v>
      </c>
      <c r="I41" s="156">
        <f>($D$12*F801D!I30+$E$12*F801ENE!I30)*1</f>
        <v>234.46566250559388</v>
      </c>
      <c r="J41" s="156">
        <f>SUM(D41:I41)</f>
        <v>1444.2758905585351</v>
      </c>
    </row>
    <row r="42" spans="2:10" s="37" customFormat="1" ht="13.5">
      <c r="B42" s="48"/>
      <c r="C42" s="160" t="s">
        <v>305</v>
      </c>
      <c r="D42" s="156">
        <f>($D$12*F801D!D31+$E$12*F801ENE!D31)*0.95</f>
        <v>537.01281212678873</v>
      </c>
      <c r="E42" s="156">
        <f>($D$12*F801D!E31+$E$12*F801ENE!E31)*0.95</f>
        <v>537.23693062672487</v>
      </c>
      <c r="F42" s="156">
        <f>($D$12*F801D!F31+$E$12*F801ENE!F31)*0.95</f>
        <v>528.27196029947368</v>
      </c>
      <c r="G42" s="156">
        <f>($D$12*F801D!G31+$E$12*F801ENE!G31)*0.95</f>
        <v>535.39535956357042</v>
      </c>
      <c r="H42" s="156">
        <f>($D$12*F801D!H31+$E$12*F801ENE!H31)*0.95</f>
        <v>513.34539162015938</v>
      </c>
      <c r="I42" s="156">
        <f>($D$12*F801D!I31+$E$12*F801ENE!I31)*0.95</f>
        <v>514.59688930243385</v>
      </c>
      <c r="J42" s="156">
        <f t="shared" si="7"/>
        <v>3165.8593435391508</v>
      </c>
    </row>
    <row r="43" spans="2:10" s="37" customFormat="1" ht="13.5">
      <c r="B43" s="48"/>
      <c r="C43" s="160" t="s">
        <v>307</v>
      </c>
      <c r="D43" s="156">
        <f>($D$12*F801D!D32+$E$12*F801ENE!D32)*0.5</f>
        <v>45.746526961907129</v>
      </c>
      <c r="E43" s="156">
        <f>($D$12*F801D!E32+$E$12*F801ENE!E32)*0.5</f>
        <v>45.765618951462081</v>
      </c>
      <c r="F43" s="156">
        <f>($D$12*F801D!F32+$E$12*F801ENE!F32)*0.5</f>
        <v>44.901229737410397</v>
      </c>
      <c r="G43" s="156">
        <f>($D$12*F801D!G32+$E$12*F801ENE!G32)*0.5</f>
        <v>45.60874098060097</v>
      </c>
      <c r="H43" s="156">
        <f>($D$12*F801D!H32+$E$12*F801ENE!H32)*0.5</f>
        <v>43.63252471456348</v>
      </c>
      <c r="I43" s="156">
        <f>($D$12*F801D!I32+$E$12*F801ENE!I32)*0.5</f>
        <v>43.836981054055926</v>
      </c>
      <c r="J43" s="156">
        <f t="shared" si="7"/>
        <v>269.49162239999998</v>
      </c>
    </row>
    <row r="44" spans="2:10" s="37" customFormat="1" ht="13.5">
      <c r="B44" s="48"/>
      <c r="C44" s="160" t="s">
        <v>624</v>
      </c>
      <c r="D44" s="156">
        <f>($D$12*F801D!D33+$E$12*F801ENE!D33)*0</f>
        <v>0</v>
      </c>
      <c r="E44" s="156">
        <f>($D$12*F801D!E33+$E$12*F801ENE!E33)*0</f>
        <v>0</v>
      </c>
      <c r="F44" s="156">
        <f>($D$12*F801D!F33+$E$12*F801ENE!F33)*0</f>
        <v>0</v>
      </c>
      <c r="G44" s="156">
        <f>($D$12*F801D!G33+$E$12*F801ENE!G33)*0</f>
        <v>0</v>
      </c>
      <c r="H44" s="156">
        <f>($D$12*F801D!H33+$E$12*F801ENE!H33)*0</f>
        <v>0</v>
      </c>
      <c r="I44" s="156">
        <f>($D$12*F801D!I33+$E$12*F801ENE!I33)*0</f>
        <v>0</v>
      </c>
      <c r="J44" s="156">
        <f t="shared" si="7"/>
        <v>0</v>
      </c>
    </row>
    <row r="45" spans="2:10" s="37" customFormat="1" ht="13.5">
      <c r="B45" s="48" t="s">
        <v>274</v>
      </c>
      <c r="C45" s="158" t="s">
        <v>631</v>
      </c>
      <c r="D45" s="154">
        <f t="shared" ref="D45:I45" si="10">SUBTOTAL(9,D46:D49)</f>
        <v>229913.43280557942</v>
      </c>
      <c r="E45" s="154">
        <f t="shared" si="10"/>
        <v>230009.38555104841</v>
      </c>
      <c r="F45" s="154">
        <f t="shared" si="10"/>
        <v>226675.97210839644</v>
      </c>
      <c r="G45" s="154">
        <f t="shared" si="10"/>
        <v>229220.9464015085</v>
      </c>
      <c r="H45" s="154">
        <f t="shared" si="10"/>
        <v>220271.13762937492</v>
      </c>
      <c r="I45" s="154">
        <f t="shared" si="10"/>
        <v>220316.41454144989</v>
      </c>
      <c r="J45" s="159">
        <f t="shared" si="7"/>
        <v>1356407.2890373576</v>
      </c>
    </row>
    <row r="46" spans="2:10" s="37" customFormat="1" ht="13.5">
      <c r="B46" s="48"/>
      <c r="C46" s="160" t="s">
        <v>304</v>
      </c>
      <c r="D46" s="156">
        <f>($D$12*F801D!D35+$E$12*F801ENE!D35)*1</f>
        <v>229726.02664890955</v>
      </c>
      <c r="E46" s="156">
        <f>($D$12*F801D!E35+$E$12*F801ENE!E35)*1</f>
        <v>229821.90118174421</v>
      </c>
      <c r="F46" s="156">
        <f>($D$12*F801D!F35+$E$12*F801ENE!F35)*1</f>
        <v>226490.47510557011</v>
      </c>
      <c r="G46" s="156">
        <f>($D$12*F801D!G35+$E$12*F801ENE!G35)*1</f>
        <v>229034.10470170376</v>
      </c>
      <c r="H46" s="156">
        <f>($D$12*F801D!H35+$E$12*F801ENE!H35)*1</f>
        <v>220090.88193019628</v>
      </c>
      <c r="I46" s="156">
        <f>($D$12*F801D!I35+$E$12*F801ENE!I35)*1</f>
        <v>220136.83106954632</v>
      </c>
      <c r="J46" s="156">
        <f t="shared" si="7"/>
        <v>1355300.2206376703</v>
      </c>
    </row>
    <row r="47" spans="2:10" s="37" customFormat="1" ht="13.5">
      <c r="B47" s="48"/>
      <c r="C47" s="161" t="s">
        <v>306</v>
      </c>
      <c r="D47" s="156">
        <f>($D$12*F801D!D36+$E$12*F801ENE!D36)*1</f>
        <v>0</v>
      </c>
      <c r="E47" s="156">
        <f>($D$12*F801D!E36+$E$12*F801ENE!E36)*1</f>
        <v>0</v>
      </c>
      <c r="F47" s="156">
        <f>($D$12*F801D!F36+$E$12*F801ENE!F36)*1</f>
        <v>0</v>
      </c>
      <c r="G47" s="156">
        <f>($D$12*F801D!G36+$E$12*F801ENE!G36)*1</f>
        <v>0</v>
      </c>
      <c r="H47" s="156">
        <f>($D$12*F801D!H36+$E$12*F801ENE!H36)*1</f>
        <v>0</v>
      </c>
      <c r="I47" s="156">
        <f>($D$12*F801D!I36+$E$12*F801ENE!I36)*1</f>
        <v>0</v>
      </c>
      <c r="J47" s="156">
        <f>SUM(D47:I47)</f>
        <v>0</v>
      </c>
    </row>
    <row r="48" spans="2:10" s="37" customFormat="1" ht="13.5">
      <c r="B48" s="48"/>
      <c r="C48" s="160" t="s">
        <v>305</v>
      </c>
      <c r="D48" s="156">
        <f>($D$12*F801D!D37+$E$12*F801ENE!D37)*0.95</f>
        <v>187.4061566698513</v>
      </c>
      <c r="E48" s="156">
        <f>($D$12*F801D!E37+$E$12*F801ENE!E37)*0.95</f>
        <v>187.48436930419297</v>
      </c>
      <c r="F48" s="156">
        <f>($D$12*F801D!F37+$E$12*F801ENE!F37)*0.95</f>
        <v>185.49700282633427</v>
      </c>
      <c r="G48" s="156">
        <f>($D$12*F801D!G37+$E$12*F801ENE!G37)*0.95</f>
        <v>186.84169980471981</v>
      </c>
      <c r="H48" s="156">
        <f>($D$12*F801D!H37+$E$12*F801ENE!H37)*0.95</f>
        <v>180.25569917863621</v>
      </c>
      <c r="I48" s="156">
        <f>($D$12*F801D!I37+$E$12*F801ENE!I37)*0.95</f>
        <v>179.58347190357333</v>
      </c>
      <c r="J48" s="156">
        <f t="shared" si="7"/>
        <v>1107.0683996873079</v>
      </c>
    </row>
    <row r="49" spans="2:10" s="37" customFormat="1" ht="13.5">
      <c r="B49" s="48"/>
      <c r="C49" s="160" t="s">
        <v>307</v>
      </c>
      <c r="D49" s="156">
        <f>($D$12*F801D!D38+$E$12*F801ENE!D38)*0.5</f>
        <v>0</v>
      </c>
      <c r="E49" s="156">
        <f>($D$12*F801D!E38+$E$12*F801ENE!E38)*0.5</f>
        <v>0</v>
      </c>
      <c r="F49" s="156">
        <f>($D$12*F801D!F38+$E$12*F801ENE!F38)*0.5</f>
        <v>0</v>
      </c>
      <c r="G49" s="156">
        <f>($D$12*F801D!G38+$E$12*F801ENE!G38)*0.5</f>
        <v>0</v>
      </c>
      <c r="H49" s="156">
        <f>($D$12*F801D!H38+$E$12*F801ENE!H38)*0.5</f>
        <v>0</v>
      </c>
      <c r="I49" s="156">
        <f>($D$12*F801D!I38+$E$12*F801ENE!I38)*0.5</f>
        <v>0</v>
      </c>
      <c r="J49" s="156">
        <f t="shared" si="7"/>
        <v>0</v>
      </c>
    </row>
    <row r="50" spans="2:10" s="37" customFormat="1" ht="13.5">
      <c r="B50" s="48" t="s">
        <v>274</v>
      </c>
      <c r="C50" s="158" t="s">
        <v>632</v>
      </c>
      <c r="D50" s="154">
        <f t="shared" ref="D50:I50" si="11">SUBTOTAL(9,D51:D54)</f>
        <v>67232.318851346499</v>
      </c>
      <c r="E50" s="154">
        <f t="shared" si="11"/>
        <v>67260.377784220997</v>
      </c>
      <c r="F50" s="154">
        <f t="shared" si="11"/>
        <v>66357.782950270877</v>
      </c>
      <c r="G50" s="154">
        <f t="shared" si="11"/>
        <v>67029.81886624085</v>
      </c>
      <c r="H50" s="154">
        <f t="shared" si="11"/>
        <v>64482.813088056821</v>
      </c>
      <c r="I50" s="154">
        <f t="shared" si="11"/>
        <v>64425.915658272628</v>
      </c>
      <c r="J50" s="159">
        <f t="shared" si="7"/>
        <v>396789.02719840867</v>
      </c>
    </row>
    <row r="51" spans="2:10" s="37" customFormat="1" ht="13.5">
      <c r="B51" s="48"/>
      <c r="C51" s="160" t="s">
        <v>304</v>
      </c>
      <c r="D51" s="156">
        <f>($D$12*F801D!D40+$E$12*F801ENE!D40)*1</f>
        <v>67232.318851346499</v>
      </c>
      <c r="E51" s="156">
        <f>($D$12*F801D!E40+$E$12*F801ENE!E40)*1</f>
        <v>67260.377784220997</v>
      </c>
      <c r="F51" s="156">
        <f>($D$12*F801D!F40+$E$12*F801ENE!F40)*1</f>
        <v>66357.782950270877</v>
      </c>
      <c r="G51" s="156">
        <f>($D$12*F801D!G40+$E$12*F801ENE!G40)*1</f>
        <v>67029.81886624085</v>
      </c>
      <c r="H51" s="156">
        <f>($D$12*F801D!H40+$E$12*F801ENE!H40)*1</f>
        <v>64482.813088056821</v>
      </c>
      <c r="I51" s="156">
        <f>($D$12*F801D!I40+$E$12*F801ENE!I40)*1</f>
        <v>64425.915658272628</v>
      </c>
      <c r="J51" s="156">
        <f t="shared" si="7"/>
        <v>396789.02719840867</v>
      </c>
    </row>
    <row r="52" spans="2:10" s="37" customFormat="1" ht="13.5">
      <c r="B52" s="48"/>
      <c r="C52" s="161" t="s">
        <v>306</v>
      </c>
      <c r="D52" s="156">
        <f>($D$12*F801D!D41+$E$12*F801ENE!D41)*1</f>
        <v>0</v>
      </c>
      <c r="E52" s="156">
        <f>($D$12*F801D!E41+$E$12*F801ENE!E41)*1</f>
        <v>0</v>
      </c>
      <c r="F52" s="156">
        <f>($D$12*F801D!F41+$E$12*F801ENE!F41)*1</f>
        <v>0</v>
      </c>
      <c r="G52" s="156">
        <f>($D$12*F801D!G41+$E$12*F801ENE!G41)*1</f>
        <v>0</v>
      </c>
      <c r="H52" s="156">
        <f>($D$12*F801D!H41+$E$12*F801ENE!H41)*1</f>
        <v>0</v>
      </c>
      <c r="I52" s="156">
        <f>($D$12*F801D!I41+$E$12*F801ENE!I41)*1</f>
        <v>0</v>
      </c>
      <c r="J52" s="156">
        <f>SUM(D52:I52)</f>
        <v>0</v>
      </c>
    </row>
    <row r="53" spans="2:10" s="37" customFormat="1" ht="13.5">
      <c r="B53" s="48"/>
      <c r="C53" s="160" t="s">
        <v>305</v>
      </c>
      <c r="D53" s="156">
        <f>($D$12*F801D!D42+$E$12*F801ENE!D42)*0.95</f>
        <v>0</v>
      </c>
      <c r="E53" s="156">
        <f>($D$12*F801D!E42+$E$12*F801ENE!E42)*0.95</f>
        <v>0</v>
      </c>
      <c r="F53" s="156">
        <f>($D$12*F801D!F42+$E$12*F801ENE!F42)*0.95</f>
        <v>0</v>
      </c>
      <c r="G53" s="156">
        <f>($D$12*F801D!G42+$E$12*F801ENE!G42)*0.95</f>
        <v>0</v>
      </c>
      <c r="H53" s="156">
        <f>($D$12*F801D!H42+$E$12*F801ENE!H42)*0.95</f>
        <v>0</v>
      </c>
      <c r="I53" s="156">
        <f>($D$12*F801D!I42+$E$12*F801ENE!I42)*0.95</f>
        <v>0</v>
      </c>
      <c r="J53" s="156">
        <f t="shared" si="7"/>
        <v>0</v>
      </c>
    </row>
    <row r="54" spans="2:10" s="37" customFormat="1" ht="13.5">
      <c r="B54" s="48"/>
      <c r="C54" s="160" t="s">
        <v>307</v>
      </c>
      <c r="D54" s="156">
        <f>($D$12*F801D!D43+$E$12*F801ENE!D43)*0.5</f>
        <v>0</v>
      </c>
      <c r="E54" s="156">
        <f>($D$12*F801D!E43+$E$12*F801ENE!E43)*0.5</f>
        <v>0</v>
      </c>
      <c r="F54" s="156">
        <f>($D$12*F801D!F43+$E$12*F801ENE!F43)*0.5</f>
        <v>0</v>
      </c>
      <c r="G54" s="156">
        <f>($D$12*F801D!G43+$E$12*F801ENE!G43)*0.5</f>
        <v>0</v>
      </c>
      <c r="H54" s="156">
        <f>($D$12*F801D!H43+$E$12*F801ENE!H43)*0.5</f>
        <v>0</v>
      </c>
      <c r="I54" s="156">
        <f>($D$12*F801D!I43+$E$12*F801ENE!I43)*0.5</f>
        <v>0</v>
      </c>
      <c r="J54" s="156">
        <f t="shared" si="7"/>
        <v>0</v>
      </c>
    </row>
    <row r="55" spans="2:10" s="37" customFormat="1" ht="13.5">
      <c r="B55" s="48" t="s">
        <v>274</v>
      </c>
      <c r="C55" s="158" t="s">
        <v>633</v>
      </c>
      <c r="D55" s="154">
        <f t="shared" ref="D55:I55" si="12">SUBTOTAL(9,D56:D59)</f>
        <v>68617.839449835301</v>
      </c>
      <c r="E55" s="154">
        <f t="shared" si="12"/>
        <v>68646.47661993459</v>
      </c>
      <c r="F55" s="154">
        <f t="shared" si="12"/>
        <v>67743.421389747076</v>
      </c>
      <c r="G55" s="154">
        <f t="shared" si="12"/>
        <v>68411.166354157976</v>
      </c>
      <c r="H55" s="154">
        <f t="shared" si="12"/>
        <v>65829.299672265479</v>
      </c>
      <c r="I55" s="154">
        <f t="shared" si="12"/>
        <v>65753.602026169654</v>
      </c>
      <c r="J55" s="159">
        <f t="shared" si="7"/>
        <v>405001.80551211006</v>
      </c>
    </row>
    <row r="56" spans="2:10" s="37" customFormat="1" ht="13.5">
      <c r="B56" s="48"/>
      <c r="C56" s="160" t="s">
        <v>304</v>
      </c>
      <c r="D56" s="156">
        <f>($D$12*F801D!D45+$E$12*F801ENE!D45)*1</f>
        <v>68617.839449835301</v>
      </c>
      <c r="E56" s="156">
        <f>($D$12*F801D!E45+$E$12*F801ENE!E45)*1</f>
        <v>68646.47661993459</v>
      </c>
      <c r="F56" s="156">
        <f>($D$12*F801D!F45+$E$12*F801ENE!F45)*1</f>
        <v>67743.421389747076</v>
      </c>
      <c r="G56" s="156">
        <f>($D$12*F801D!G45+$E$12*F801ENE!G45)*1</f>
        <v>68411.166354157976</v>
      </c>
      <c r="H56" s="156">
        <f>($D$12*F801D!H45+$E$12*F801ENE!H45)*1</f>
        <v>65829.299672265479</v>
      </c>
      <c r="I56" s="156">
        <f>($D$12*F801D!I45+$E$12*F801ENE!I45)*1</f>
        <v>65753.602026169654</v>
      </c>
      <c r="J56" s="156">
        <f t="shared" si="7"/>
        <v>405001.80551211006</v>
      </c>
    </row>
    <row r="57" spans="2:10" s="37" customFormat="1" ht="13.5">
      <c r="B57" s="48"/>
      <c r="C57" s="161" t="s">
        <v>306</v>
      </c>
      <c r="D57" s="156">
        <f>($D$12*F801D!D46+$E$12*F801ENE!D46)*1</f>
        <v>0</v>
      </c>
      <c r="E57" s="156">
        <f>($D$12*F801D!E46+$E$12*F801ENE!E46)*1</f>
        <v>0</v>
      </c>
      <c r="F57" s="156">
        <f>($D$12*F801D!F46+$E$12*F801ENE!F46)*1</f>
        <v>0</v>
      </c>
      <c r="G57" s="156">
        <f>($D$12*F801D!G46+$E$12*F801ENE!G46)*1</f>
        <v>0</v>
      </c>
      <c r="H57" s="156">
        <f>($D$12*F801D!H46+$E$12*F801ENE!H46)*1</f>
        <v>0</v>
      </c>
      <c r="I57" s="156">
        <f>($D$12*F801D!I46+$E$12*F801ENE!I46)*1</f>
        <v>0</v>
      </c>
      <c r="J57" s="156">
        <f>SUM(D57:I57)</f>
        <v>0</v>
      </c>
    </row>
    <row r="58" spans="2:10" s="37" customFormat="1" ht="13.5">
      <c r="B58" s="48"/>
      <c r="C58" s="160" t="s">
        <v>305</v>
      </c>
      <c r="D58" s="156">
        <f>($D$12*F801D!D47+$E$12*F801ENE!D47)*0.95</f>
        <v>0</v>
      </c>
      <c r="E58" s="156">
        <f>($D$12*F801D!E47+$E$12*F801ENE!E47)*0.95</f>
        <v>0</v>
      </c>
      <c r="F58" s="156">
        <f>($D$12*F801D!F47+$E$12*F801ENE!F47)*0.95</f>
        <v>0</v>
      </c>
      <c r="G58" s="156">
        <f>($D$12*F801D!G47+$E$12*F801ENE!G47)*0.95</f>
        <v>0</v>
      </c>
      <c r="H58" s="156">
        <f>($D$12*F801D!H47+$E$12*F801ENE!H47)*0.95</f>
        <v>0</v>
      </c>
      <c r="I58" s="156">
        <f>($D$12*F801D!I47+$E$12*F801ENE!I47)*0.95</f>
        <v>0</v>
      </c>
      <c r="J58" s="156">
        <f t="shared" si="7"/>
        <v>0</v>
      </c>
    </row>
    <row r="59" spans="2:10" s="37" customFormat="1" ht="13.5">
      <c r="B59" s="48"/>
      <c r="C59" s="160" t="s">
        <v>307</v>
      </c>
      <c r="D59" s="156">
        <f>($D$12*F801D!D48+$E$12*F801ENE!D48)*0.5</f>
        <v>0</v>
      </c>
      <c r="E59" s="156">
        <f>($D$12*F801D!E48+$E$12*F801ENE!E48)*0.5</f>
        <v>0</v>
      </c>
      <c r="F59" s="156">
        <f>($D$12*F801D!F48+$E$12*F801ENE!F48)*0.5</f>
        <v>0</v>
      </c>
      <c r="G59" s="156">
        <f>($D$12*F801D!G48+$E$12*F801ENE!G48)*0.5</f>
        <v>0</v>
      </c>
      <c r="H59" s="156">
        <f>($D$12*F801D!H48+$E$12*F801ENE!H48)*0.5</f>
        <v>0</v>
      </c>
      <c r="I59" s="156">
        <f>($D$12*F801D!I48+$E$12*F801ENE!I48)*0.5</f>
        <v>0</v>
      </c>
      <c r="J59" s="156">
        <f t="shared" si="7"/>
        <v>0</v>
      </c>
    </row>
    <row r="60" spans="2:10" s="37" customFormat="1" ht="13.5">
      <c r="B60" s="48"/>
      <c r="C60" s="157"/>
      <c r="D60" s="156"/>
      <c r="E60" s="156"/>
      <c r="F60" s="156"/>
      <c r="G60" s="156"/>
      <c r="H60" s="156"/>
      <c r="I60" s="156"/>
      <c r="J60" s="156"/>
    </row>
    <row r="61" spans="2:10" s="37" customFormat="1" ht="13.5">
      <c r="B61" s="48" t="s">
        <v>1176</v>
      </c>
      <c r="C61" s="158" t="str">
        <f>F801ENE!C50</f>
        <v>BTSH</v>
      </c>
      <c r="D61" s="154">
        <f t="shared" ref="D61:I61" si="13">SUBTOTAL(9,D62:D67)</f>
        <v>13.57</v>
      </c>
      <c r="E61" s="154">
        <f t="shared" si="13"/>
        <v>13.57</v>
      </c>
      <c r="F61" s="154">
        <f t="shared" si="13"/>
        <v>13.57</v>
      </c>
      <c r="G61" s="154">
        <f t="shared" si="13"/>
        <v>13.57</v>
      </c>
      <c r="H61" s="154">
        <f t="shared" si="13"/>
        <v>13.57</v>
      </c>
      <c r="I61" s="154">
        <f t="shared" si="13"/>
        <v>13.57</v>
      </c>
      <c r="J61" s="154">
        <f>SUM(D61:I61)</f>
        <v>81.419999999999987</v>
      </c>
    </row>
    <row r="62" spans="2:10" s="37" customFormat="1" ht="13.5">
      <c r="B62" s="48"/>
      <c r="C62" s="160" t="str">
        <f>F801ENE!C51</f>
        <v xml:space="preserve">    - Regulares</v>
      </c>
      <c r="D62" s="156">
        <f>($F$15*F801ENE!K51+$G$15*F801ENE!R51+$H$15*F801ENE!Y51)*1</f>
        <v>13.57</v>
      </c>
      <c r="E62" s="156">
        <f>($F$15*F801ENE!L51+$G$15*F801ENE!S51+$H$15*F801ENE!Z51)*1</f>
        <v>13.57</v>
      </c>
      <c r="F62" s="156">
        <f>($F$15*F801ENE!M51+$G$15*F801ENE!T51+$H$15*F801ENE!AA51)*1</f>
        <v>13.57</v>
      </c>
      <c r="G62" s="156">
        <f>($F$15*F801ENE!N51+$G$15*F801ENE!U51+$H$15*F801ENE!AB51)*1</f>
        <v>13.57</v>
      </c>
      <c r="H62" s="156">
        <f>($F$15*F801ENE!O51+$G$15*F801ENE!V51+$H$15*F801ENE!AC51)*1</f>
        <v>13.57</v>
      </c>
      <c r="I62" s="156">
        <f>($F$15*F801ENE!P51+$G$15*F801ENE!W51+$H$15*F801ENE!AD51)*1</f>
        <v>13.57</v>
      </c>
      <c r="J62" s="156">
        <f t="shared" ref="J62:J67" si="14">SUM(D62:I62)</f>
        <v>81.419999999999987</v>
      </c>
    </row>
    <row r="63" spans="2:10" s="37" customFormat="1" ht="13.5">
      <c r="B63" s="48"/>
      <c r="C63" s="162" t="str">
        <f>F801ENE!C52</f>
        <v xml:space="preserve">    - Jubilados (0 a 600 KWh)</v>
      </c>
      <c r="D63" s="156">
        <f>($F$15*F801ENE!K52+$G$15*F801ENE!R52+$H$15*F801ENE!Y52)*0.75</f>
        <v>0</v>
      </c>
      <c r="E63" s="156">
        <f>($F$15*F801ENE!L52+$G$15*F801ENE!S52+$H$15*F801ENE!Z52)*0.75</f>
        <v>0</v>
      </c>
      <c r="F63" s="156">
        <f>($F$15*F801ENE!M52+$G$15*F801ENE!T52+$H$15*F801ENE!AA52)*0.75</f>
        <v>0</v>
      </c>
      <c r="G63" s="156">
        <f>($F$15*F801ENE!N52+$G$15*F801ENE!U52+$H$15*F801ENE!AB52)*0.75</f>
        <v>0</v>
      </c>
      <c r="H63" s="156">
        <f>($F$15*F801ENE!O52+$G$15*F801ENE!V52+$H$15*F801ENE!AC52)*0.75</f>
        <v>0</v>
      </c>
      <c r="I63" s="156">
        <f>($F$15*F801ENE!P52+$G$15*F801ENE!W52+$H$15*F801ENE!AD52)*0.75</f>
        <v>0</v>
      </c>
      <c r="J63" s="156">
        <f t="shared" si="14"/>
        <v>0</v>
      </c>
    </row>
    <row r="64" spans="2:10" s="37" customFormat="1" ht="13.5">
      <c r="B64" s="48"/>
      <c r="C64" s="162" t="str">
        <f>F801ENE!C53</f>
        <v xml:space="preserve">    - Jubilados (601 y Más KWh)</v>
      </c>
      <c r="D64" s="156">
        <f>($F$15*F801ENE!K53+$G$15*F801ENE!R53+$H$15*F801ENE!Y53)*1</f>
        <v>0</v>
      </c>
      <c r="E64" s="156">
        <f>($F$15*F801ENE!L53+$G$15*F801ENE!S53+$H$15*F801ENE!Z53)*1</f>
        <v>0</v>
      </c>
      <c r="F64" s="156">
        <f>($F$15*F801ENE!M53+$G$15*F801ENE!T53+$H$15*F801ENE!AA53)*1</f>
        <v>0</v>
      </c>
      <c r="G64" s="156">
        <f>($F$15*F801ENE!N53+$G$15*F801ENE!U53+$H$15*F801ENE!AB53)*1</f>
        <v>0</v>
      </c>
      <c r="H64" s="156">
        <f>($F$15*F801ENE!O53+$G$15*F801ENE!V53+$H$15*F801ENE!AC53)*1</f>
        <v>0</v>
      </c>
      <c r="I64" s="156">
        <f>($F$15*F801ENE!P53+$G$15*F801ENE!W53+$H$15*F801ENE!AD53)*1</f>
        <v>0</v>
      </c>
      <c r="J64" s="156">
        <f t="shared" si="14"/>
        <v>0</v>
      </c>
    </row>
    <row r="65" spans="2:10" s="37" customFormat="1" ht="13.5">
      <c r="B65" s="48"/>
      <c r="C65" s="160" t="str">
        <f>F801ENE!C54</f>
        <v xml:space="preserve">    - Agropecuarios</v>
      </c>
      <c r="D65" s="156">
        <f>($F$15*F801ENE!K54+$G$15*F801ENE!R54+$H$15*F801ENE!Y54)*0.95</f>
        <v>0</v>
      </c>
      <c r="E65" s="156">
        <f>($F$15*F801ENE!L54+$G$15*F801ENE!S54+$H$15*F801ENE!Z54)*0.95</f>
        <v>0</v>
      </c>
      <c r="F65" s="156">
        <f>($F$15*F801ENE!M54+$G$15*F801ENE!T54+$H$15*F801ENE!AA54)*0.95</f>
        <v>0</v>
      </c>
      <c r="G65" s="156">
        <f>($F$15*F801ENE!N54+$G$15*F801ENE!U54+$H$15*F801ENE!AB54)*0.95</f>
        <v>0</v>
      </c>
      <c r="H65" s="156">
        <f>($F$15*F801ENE!O54+$G$15*F801ENE!V54+$H$15*F801ENE!AC54)*0.95</f>
        <v>0</v>
      </c>
      <c r="I65" s="156">
        <f>($F$15*F801ENE!P54+$G$15*F801ENE!W54+$H$15*F801ENE!AD54)*0.95</f>
        <v>0</v>
      </c>
      <c r="J65" s="156">
        <f t="shared" si="14"/>
        <v>0</v>
      </c>
    </row>
    <row r="66" spans="2:10" s="37" customFormat="1" ht="13.5">
      <c r="B66" s="48"/>
      <c r="C66" s="160" t="str">
        <f>F801ENE!C55</f>
        <v xml:space="preserve">    - Partidos Políticos</v>
      </c>
      <c r="D66" s="156">
        <f>($F$15*F801ENE!K55+$G$15*F801ENE!R55+$H$15*F801ENE!Y55)*0.5</f>
        <v>0</v>
      </c>
      <c r="E66" s="156">
        <f>($F$15*F801ENE!L55+$G$15*F801ENE!S55+$H$15*F801ENE!Z55)*0.5</f>
        <v>0</v>
      </c>
      <c r="F66" s="156">
        <f>($F$15*F801ENE!M55+$G$15*F801ENE!T55+$H$15*F801ENE!AA55)*0.5</f>
        <v>0</v>
      </c>
      <c r="G66" s="156">
        <f>($F$15*F801ENE!N55+$G$15*F801ENE!U55+$H$15*F801ENE!AB55)*0.5</f>
        <v>0</v>
      </c>
      <c r="H66" s="156">
        <f>($F$15*F801ENE!O55+$G$15*F801ENE!V55+$H$15*F801ENE!AC55)*0.5</f>
        <v>0</v>
      </c>
      <c r="I66" s="156">
        <f>($F$15*F801ENE!P55+$G$15*F801ENE!W55+$H$15*F801ENE!AD55)*0.5</f>
        <v>0</v>
      </c>
      <c r="J66" s="156">
        <f t="shared" si="14"/>
        <v>0</v>
      </c>
    </row>
    <row r="67" spans="2:10" s="37" customFormat="1" ht="13.5">
      <c r="B67" s="48"/>
      <c r="C67" s="160" t="str">
        <f>F801ENE!C56</f>
        <v xml:space="preserve">    - Cruz Roja</v>
      </c>
      <c r="D67" s="156">
        <f>($F$15*F801ENE!K56+$G$15*F801ENE!R56+$H$15*F801ENE!Y56)*0</f>
        <v>0</v>
      </c>
      <c r="E67" s="156">
        <f>($F$15*F801ENE!L56+$G$15*F801ENE!S56+$H$15*F801ENE!Z56)*0</f>
        <v>0</v>
      </c>
      <c r="F67" s="156">
        <f>($F$15*F801ENE!M56+$G$15*F801ENE!T56+$H$15*F801ENE!AA56)*0</f>
        <v>0</v>
      </c>
      <c r="G67" s="156">
        <f>($F$15*F801ENE!N56+$G$15*F801ENE!U56+$H$15*F801ENE!AB56)*0</f>
        <v>0</v>
      </c>
      <c r="H67" s="156">
        <f>($F$15*F801ENE!O56+$G$15*F801ENE!V56+$H$15*F801ENE!AC56)*0</f>
        <v>0</v>
      </c>
      <c r="I67" s="156">
        <f>($F$15*F801ENE!P56+$G$15*F801ENE!W56+$H$15*F801ENE!AD56)*0</f>
        <v>0</v>
      </c>
      <c r="J67" s="156">
        <f t="shared" si="14"/>
        <v>0</v>
      </c>
    </row>
    <row r="68" spans="2:10" s="37" customFormat="1" ht="13.5">
      <c r="B68" s="48" t="s">
        <v>751</v>
      </c>
      <c r="C68" s="158" t="s">
        <v>634</v>
      </c>
      <c r="D68" s="154">
        <f t="shared" ref="D68:I68" si="15">SUBTOTAL(9,D69:D73)</f>
        <v>1087958.4914368649</v>
      </c>
      <c r="E68" s="154">
        <f t="shared" si="15"/>
        <v>1088412.5488836812</v>
      </c>
      <c r="F68" s="154">
        <f t="shared" si="15"/>
        <v>1067855.1125589805</v>
      </c>
      <c r="G68" s="154">
        <f t="shared" si="15"/>
        <v>1084681.5804214431</v>
      </c>
      <c r="H68" s="154">
        <f t="shared" si="15"/>
        <v>1037681.9888109978</v>
      </c>
      <c r="I68" s="154">
        <f t="shared" si="15"/>
        <v>1042544.495320763</v>
      </c>
      <c r="J68" s="159">
        <f t="shared" ref="J68:J87" si="16">SUM(D68:I68)</f>
        <v>6409134.2174327299</v>
      </c>
    </row>
    <row r="69" spans="2:10" s="37" customFormat="1" ht="13.5">
      <c r="B69" s="48"/>
      <c r="C69" s="160" t="s">
        <v>304</v>
      </c>
      <c r="D69" s="156">
        <f>$E$14*(F801ENE!D66)*1</f>
        <v>768860.27688875538</v>
      </c>
      <c r="E69" s="156">
        <f>$E$14*(F801ENE!E66)*1</f>
        <v>769181.16095206584</v>
      </c>
      <c r="F69" s="156">
        <f>$E$14*(F801ENE!F66)*1</f>
        <v>754653.14528935822</v>
      </c>
      <c r="G69" s="156">
        <f>$E$14*(F801ENE!G66)*1</f>
        <v>766544.47185327322</v>
      </c>
      <c r="H69" s="156">
        <f>$E$14*(F801ENE!H66)*1</f>
        <v>733329.68805083015</v>
      </c>
      <c r="I69" s="156">
        <f>$E$14*(F801ENE!I66)*1</f>
        <v>736766.03923869738</v>
      </c>
      <c r="J69" s="156">
        <f t="shared" si="16"/>
        <v>4529334.7822729805</v>
      </c>
    </row>
    <row r="70" spans="2:10" s="37" customFormat="1" ht="13.5">
      <c r="B70" s="48"/>
      <c r="C70" s="162" t="s">
        <v>644</v>
      </c>
      <c r="D70" s="156">
        <f>$E$14*(F801ENE!D67)*0.75</f>
        <v>319030.26800868742</v>
      </c>
      <c r="E70" s="156">
        <f>$E$14*(F801ENE!E67)*0.75</f>
        <v>319163.41303518543</v>
      </c>
      <c r="F70" s="156">
        <f>$E$14*(F801ENE!F67)*0.75</f>
        <v>313135.2762358092</v>
      </c>
      <c r="G70" s="156">
        <f>$E$14*(F801ENE!G67)*0.75</f>
        <v>318069.36667992536</v>
      </c>
      <c r="H70" s="156">
        <f>$E$14*(F801ENE!H67)*0.75</f>
        <v>304287.4941123738</v>
      </c>
      <c r="I70" s="156">
        <f>$E$14*(F801ENE!I67)*0.75</f>
        <v>305713.34575874388</v>
      </c>
      <c r="J70" s="156">
        <f>SUM(D70:I70)</f>
        <v>1879399.163830725</v>
      </c>
    </row>
    <row r="71" spans="2:10" s="37" customFormat="1" ht="13.5">
      <c r="B71" s="48"/>
      <c r="C71" s="160" t="s">
        <v>305</v>
      </c>
      <c r="D71" s="156">
        <f>$E$14*(F801ENE!D68)*0.95</f>
        <v>65.570125200365752</v>
      </c>
      <c r="E71" s="156">
        <f>$E$14*(F801ENE!E68)*0.95</f>
        <v>65.597490428473336</v>
      </c>
      <c r="F71" s="156">
        <f>$E$14*(F801ENE!F68)*0.95</f>
        <v>64.358530604607139</v>
      </c>
      <c r="G71" s="156">
        <f>$E$14*(F801ENE!G68)*0.95</f>
        <v>65.372631649595803</v>
      </c>
      <c r="H71" s="156">
        <f>$E$14*(F801ENE!H68)*0.95</f>
        <v>62.540050542510258</v>
      </c>
      <c r="I71" s="156">
        <f>$E$14*(F801ENE!I68)*0.95</f>
        <v>62.833105090447674</v>
      </c>
      <c r="J71" s="156">
        <f t="shared" si="16"/>
        <v>386.27193351599999</v>
      </c>
    </row>
    <row r="72" spans="2:10" s="37" customFormat="1" ht="13.5">
      <c r="B72" s="48"/>
      <c r="C72" s="160" t="s">
        <v>307</v>
      </c>
      <c r="D72" s="156">
        <f>$E$14*(F801ENE!D69)*0.5</f>
        <v>2.3764142218790423</v>
      </c>
      <c r="E72" s="156">
        <f>$E$14*(F801ENE!E69)*0.5</f>
        <v>2.3774060015509755</v>
      </c>
      <c r="F72" s="156">
        <f>$E$14*(F801ENE!F69)*0.5</f>
        <v>2.3325032087505133</v>
      </c>
      <c r="G72" s="156">
        <f>$E$14*(F801ENE!G69)*0.5</f>
        <v>2.3692565951192193</v>
      </c>
      <c r="H72" s="156">
        <f>$E$14*(F801ENE!H69)*0.5</f>
        <v>2.2665972512955714</v>
      </c>
      <c r="I72" s="156">
        <f>$E$14*(F801ENE!I69)*0.5</f>
        <v>2.2772182314046794</v>
      </c>
      <c r="J72" s="156">
        <f t="shared" si="16"/>
        <v>13.999395510000003</v>
      </c>
    </row>
    <row r="73" spans="2:10" s="37" customFormat="1" ht="13.5">
      <c r="B73" s="48"/>
      <c r="C73" s="160" t="s">
        <v>624</v>
      </c>
      <c r="D73" s="156">
        <f>$E$14*(F801ENE!D70)*0</f>
        <v>0</v>
      </c>
      <c r="E73" s="156">
        <f>$E$14*(F801ENE!E70)*0</f>
        <v>0</v>
      </c>
      <c r="F73" s="156">
        <f>$E$14*(F801ENE!F70)*0</f>
        <v>0</v>
      </c>
      <c r="G73" s="156">
        <f>$E$14*(F801ENE!G70)*0</f>
        <v>0</v>
      </c>
      <c r="H73" s="156">
        <f>$E$14*(F801ENE!H70)*0</f>
        <v>0</v>
      </c>
      <c r="I73" s="156">
        <f>$E$14*(F801ENE!I70)*0</f>
        <v>0</v>
      </c>
      <c r="J73" s="156">
        <f t="shared" si="16"/>
        <v>0</v>
      </c>
    </row>
    <row r="74" spans="2:10" s="37" customFormat="1" ht="13.5">
      <c r="B74" s="48" t="s">
        <v>750</v>
      </c>
      <c r="C74" s="158" t="s">
        <v>635</v>
      </c>
      <c r="D74" s="154">
        <f t="shared" ref="D74:I74" si="17">SUBTOTAL(9,D75:D80)</f>
        <v>409313.50321141822</v>
      </c>
      <c r="E74" s="154">
        <f t="shared" si="17"/>
        <v>409484.32730773755</v>
      </c>
      <c r="F74" s="154">
        <f t="shared" si="17"/>
        <v>401750.27183208865</v>
      </c>
      <c r="G74" s="154">
        <f t="shared" si="17"/>
        <v>408080.67382638517</v>
      </c>
      <c r="H74" s="154">
        <f t="shared" si="17"/>
        <v>390398.63200430857</v>
      </c>
      <c r="I74" s="154">
        <f t="shared" si="17"/>
        <v>392227.98925018485</v>
      </c>
      <c r="J74" s="159">
        <f t="shared" si="16"/>
        <v>2411255.3974321233</v>
      </c>
    </row>
    <row r="75" spans="2:10" s="37" customFormat="1" ht="13.5">
      <c r="B75" s="48"/>
      <c r="C75" s="160" t="s">
        <v>304</v>
      </c>
      <c r="D75" s="156">
        <f>$E$14*(F801ENE!D72)*1</f>
        <v>294508.25822452985</v>
      </c>
      <c r="E75" s="156">
        <f>$E$14*(F801ENE!E72)*1</f>
        <v>294631.16916363902</v>
      </c>
      <c r="F75" s="156">
        <f>$E$14*(F801ENE!F72)*1</f>
        <v>289066.38034217485</v>
      </c>
      <c r="G75" s="156">
        <f>$E$14*(F801ENE!G72)*1</f>
        <v>293621.215818097</v>
      </c>
      <c r="H75" s="156">
        <f>$E$14*(F801ENE!H72)*1</f>
        <v>280898.67600933026</v>
      </c>
      <c r="I75" s="156">
        <f>$E$14*(F801ENE!I72)*1</f>
        <v>282214.93069412903</v>
      </c>
      <c r="J75" s="156">
        <f t="shared" si="16"/>
        <v>1734940.6302518998</v>
      </c>
    </row>
    <row r="76" spans="2:10" s="37" customFormat="1" ht="13.5">
      <c r="B76" s="48"/>
      <c r="C76" s="162" t="s">
        <v>642</v>
      </c>
      <c r="D76" s="156">
        <f>$E$14*(F801ENE!D73)*0.75</f>
        <v>92681.774774564707</v>
      </c>
      <c r="E76" s="156">
        <f>$E$14*(F801ENE!E73)*0.75</f>
        <v>92720.454857916251</v>
      </c>
      <c r="F76" s="156">
        <f>$E$14*(F801ENE!F73)*0.75</f>
        <v>90969.215326202495</v>
      </c>
      <c r="G76" s="156">
        <f>$E$14*(F801ENE!G73)*0.75</f>
        <v>92402.622451216885</v>
      </c>
      <c r="H76" s="156">
        <f>$E$14*(F801ENE!H73)*0.75</f>
        <v>88398.838054048683</v>
      </c>
      <c r="I76" s="156">
        <f>$E$14*(F801ENE!I73)*0.75</f>
        <v>88813.063519161034</v>
      </c>
      <c r="J76" s="156">
        <f>SUM(D76:I76)</f>
        <v>545985.96898311016</v>
      </c>
    </row>
    <row r="77" spans="2:10" s="37" customFormat="1" ht="13.5">
      <c r="B77" s="48"/>
      <c r="C77" s="162" t="s">
        <v>1177</v>
      </c>
      <c r="D77" s="156">
        <f>$E$14*(F801ENE!D74)*1</f>
        <v>22055.563023768471</v>
      </c>
      <c r="E77" s="156">
        <f>$E$14*(F801ENE!E74)*1</f>
        <v>22064.767757042086</v>
      </c>
      <c r="F77" s="156">
        <f>$E$14*(F801ENE!F74)*1</f>
        <v>21648.023753645768</v>
      </c>
      <c r="G77" s="156">
        <f>$E$14*(F801ENE!G74)*1</f>
        <v>21989.132901170964</v>
      </c>
      <c r="H77" s="156">
        <f>$E$14*(F801ENE!H74)*1</f>
        <v>21036.348825551831</v>
      </c>
      <c r="I77" s="156">
        <f>$E$14*(F801ENE!I74)*1</f>
        <v>21134.922421860894</v>
      </c>
      <c r="J77" s="156">
        <f>SUM(D77:I77)</f>
        <v>129928.75868304001</v>
      </c>
    </row>
    <row r="78" spans="2:10" s="37" customFormat="1" ht="13.5">
      <c r="B78" s="48"/>
      <c r="C78" s="160" t="s">
        <v>305</v>
      </c>
      <c r="D78" s="156">
        <f>$E$14*(F801ENE!D75)*0.95</f>
        <v>64.74612040826419</v>
      </c>
      <c r="E78" s="156">
        <f>$E$14*(F801ENE!E75)*0.95</f>
        <v>64.773141743798305</v>
      </c>
      <c r="F78" s="156">
        <f>$E$14*(F801ENE!F75)*0.95</f>
        <v>63.549751645153279</v>
      </c>
      <c r="G78" s="156">
        <f>$E$14*(F801ENE!G75)*0.95</f>
        <v>64.551108713854077</v>
      </c>
      <c r="H78" s="156">
        <f>$E$14*(F801ENE!H75)*0.95</f>
        <v>61.754124006792509</v>
      </c>
      <c r="I78" s="156">
        <f>$E$14*(F801ENE!I75)*0.95</f>
        <v>62.043495805137653</v>
      </c>
      <c r="J78" s="156">
        <f t="shared" si="16"/>
        <v>381.41774232299997</v>
      </c>
    </row>
    <row r="79" spans="2:10" s="37" customFormat="1" ht="13.5">
      <c r="B79" s="48"/>
      <c r="C79" s="160" t="s">
        <v>307</v>
      </c>
      <c r="D79" s="156">
        <f>$E$14*(F801ENE!D76)*0.5</f>
        <v>3.1610681469549666</v>
      </c>
      <c r="E79" s="156">
        <f>$E$14*(F801ENE!E76)*0.5</f>
        <v>3.1623873963942613</v>
      </c>
      <c r="F79" s="156">
        <f>$E$14*(F801ENE!F76)*0.5</f>
        <v>3.1026584203916574</v>
      </c>
      <c r="G79" s="156">
        <f>$E$14*(F801ENE!G76)*0.5</f>
        <v>3.1515471864464999</v>
      </c>
      <c r="H79" s="156">
        <f>$E$14*(F801ENE!H76)*0.5</f>
        <v>3.0149913710669587</v>
      </c>
      <c r="I79" s="156">
        <f>$E$14*(F801ENE!I76)*0.5</f>
        <v>3.0291192287456576</v>
      </c>
      <c r="J79" s="156">
        <f t="shared" si="16"/>
        <v>18.621771750000001</v>
      </c>
    </row>
    <row r="80" spans="2:10" s="37" customFormat="1" ht="13.5">
      <c r="B80" s="48"/>
      <c r="C80" s="160" t="s">
        <v>624</v>
      </c>
      <c r="D80" s="156">
        <f>$E$14*(F801ENE!D77)*0</f>
        <v>0</v>
      </c>
      <c r="E80" s="156">
        <f>$E$14*(F801ENE!E77)*0</f>
        <v>0</v>
      </c>
      <c r="F80" s="156">
        <f>$E$14*(F801ENE!F77)*0</f>
        <v>0</v>
      </c>
      <c r="G80" s="156">
        <f>$E$14*(F801ENE!G77)*0</f>
        <v>0</v>
      </c>
      <c r="H80" s="156">
        <f>$E$14*(F801ENE!H77)*0</f>
        <v>0</v>
      </c>
      <c r="I80" s="156">
        <f>$E$14*(F801ENE!I77)*0</f>
        <v>0</v>
      </c>
      <c r="J80" s="156">
        <f t="shared" si="16"/>
        <v>0</v>
      </c>
    </row>
    <row r="81" spans="2:10" s="37" customFormat="1" ht="13.5">
      <c r="B81" s="48" t="s">
        <v>749</v>
      </c>
      <c r="C81" s="158" t="s">
        <v>636</v>
      </c>
      <c r="D81" s="154">
        <f t="shared" ref="D81:I81" si="18">SUBTOTAL(9,D82:D87)</f>
        <v>404877.27187288814</v>
      </c>
      <c r="E81" s="154">
        <f t="shared" si="18"/>
        <v>405046.24453942676</v>
      </c>
      <c r="F81" s="154">
        <f t="shared" si="18"/>
        <v>397396.01248764683</v>
      </c>
      <c r="G81" s="154">
        <f t="shared" si="18"/>
        <v>403657.80416859617</v>
      </c>
      <c r="H81" s="154">
        <f t="shared" si="18"/>
        <v>386167.40427243913</v>
      </c>
      <c r="I81" s="154">
        <f t="shared" si="18"/>
        <v>387976.9345351354</v>
      </c>
      <c r="J81" s="159">
        <f t="shared" si="16"/>
        <v>2385121.6718761325</v>
      </c>
    </row>
    <row r="82" spans="2:10" s="37" customFormat="1" ht="13.5">
      <c r="B82" s="48"/>
      <c r="C82" s="160" t="s">
        <v>304</v>
      </c>
      <c r="D82" s="156">
        <f>$E$14*(F801ENE!D79)*1</f>
        <v>368633.12483817554</v>
      </c>
      <c r="E82" s="156">
        <f>$E$14*(F801ENE!E79)*1</f>
        <v>368786.97126623074</v>
      </c>
      <c r="F82" s="156">
        <f>$E$14*(F801ENE!F79)*1</f>
        <v>361821.57917608105</v>
      </c>
      <c r="G82" s="156">
        <f>$E$14*(F801ENE!G79)*1</f>
        <v>367522.82247817173</v>
      </c>
      <c r="H82" s="156">
        <f>$E$14*(F801ENE!H79)*1</f>
        <v>351598.14303502959</v>
      </c>
      <c r="I82" s="156">
        <f>$E$14*(F801ENE!I79)*1</f>
        <v>353245.6862328517</v>
      </c>
      <c r="J82" s="156">
        <f t="shared" si="16"/>
        <v>2171608.3270265404</v>
      </c>
    </row>
    <row r="83" spans="2:10" s="37" customFormat="1" ht="13.5">
      <c r="B83" s="48"/>
      <c r="C83" s="162" t="s">
        <v>642</v>
      </c>
      <c r="D83" s="156">
        <f>$E$14*(F801ENE!D80)*0.75</f>
        <v>0</v>
      </c>
      <c r="E83" s="156">
        <f>$E$14*(F801ENE!E80)*0.75</f>
        <v>0</v>
      </c>
      <c r="F83" s="156">
        <f>$E$14*(F801ENE!F80)*0.75</f>
        <v>0</v>
      </c>
      <c r="G83" s="156">
        <f>$E$14*(F801ENE!G80)*0.75</f>
        <v>0</v>
      </c>
      <c r="H83" s="156">
        <f>$E$14*(F801ENE!H80)*0.75</f>
        <v>0</v>
      </c>
      <c r="I83" s="156">
        <f>$E$14*(F801ENE!I80)*0.75</f>
        <v>0</v>
      </c>
      <c r="J83" s="156">
        <f>SUM(D83:I83)</f>
        <v>0</v>
      </c>
    </row>
    <row r="84" spans="2:10" s="37" customFormat="1" ht="13.5">
      <c r="B84" s="48"/>
      <c r="C84" s="162" t="s">
        <v>1177</v>
      </c>
      <c r="D84" s="156">
        <f>$E$14*(F801ENE!D81)*1</f>
        <v>35987.575600240656</v>
      </c>
      <c r="E84" s="156">
        <f>$E$14*(F801ENE!E81)*1</f>
        <v>36002.594760450127</v>
      </c>
      <c r="F84" s="156">
        <f>$E$14*(F801ENE!F81)*1</f>
        <v>35322.602764235409</v>
      </c>
      <c r="G84" s="156">
        <f>$E$14*(F801ENE!G81)*1</f>
        <v>35879.183034767048</v>
      </c>
      <c r="H84" s="156">
        <f>$E$14*(F801ENE!H81)*1</f>
        <v>34324.54627872062</v>
      </c>
      <c r="I84" s="156">
        <f>$E$14*(F801ENE!I81)*1</f>
        <v>34485.386641106161</v>
      </c>
      <c r="J84" s="156">
        <f>SUM(D84:I84)</f>
        <v>212001.88907952001</v>
      </c>
    </row>
    <row r="85" spans="2:10" s="37" customFormat="1" ht="13.5">
      <c r="B85" s="48"/>
      <c r="C85" s="160" t="s">
        <v>305</v>
      </c>
      <c r="D85" s="156">
        <f>$E$14*(F801ENE!D82)*0.95</f>
        <v>255.50435240211004</v>
      </c>
      <c r="E85" s="156">
        <f>$E$14*(F801ENE!E82)*0.95</f>
        <v>255.6109853369199</v>
      </c>
      <c r="F85" s="156">
        <f>$E$14*(F801ENE!F82)*0.95</f>
        <v>250.78318263741554</v>
      </c>
      <c r="G85" s="156">
        <f>$E$14*(F801ENE!G82)*0.95</f>
        <v>254.73478757912287</v>
      </c>
      <c r="H85" s="156">
        <f>$E$14*(F801ENE!H82)*0.95</f>
        <v>243.69718777005141</v>
      </c>
      <c r="I85" s="156">
        <f>$E$14*(F801ENE!I82)*0.95</f>
        <v>244.83912111638011</v>
      </c>
      <c r="J85" s="156">
        <f t="shared" si="16"/>
        <v>1505.1696168419999</v>
      </c>
    </row>
    <row r="86" spans="2:10" s="37" customFormat="1" ht="13.5">
      <c r="B86" s="48"/>
      <c r="C86" s="160" t="s">
        <v>307</v>
      </c>
      <c r="D86" s="156">
        <f>$E$14*(F801ENE!D83)*0.5</f>
        <v>1.0670820697945176</v>
      </c>
      <c r="E86" s="156">
        <f>$E$14*(F801ENE!E83)*0.5</f>
        <v>1.0675274089510347</v>
      </c>
      <c r="F86" s="156">
        <f>$E$14*(F801ENE!F83)*0.5</f>
        <v>1.0473646929396883</v>
      </c>
      <c r="G86" s="156">
        <f>$E$14*(F801ENE!G83)*0.5</f>
        <v>1.0638680782658652</v>
      </c>
      <c r="H86" s="156">
        <f>$E$14*(F801ENE!H83)*0.5</f>
        <v>1.0177709189059676</v>
      </c>
      <c r="I86" s="156">
        <f>$E$14*(F801ENE!I83)*0.5</f>
        <v>1.0225400611429265</v>
      </c>
      <c r="J86" s="156">
        <f t="shared" si="16"/>
        <v>6.28615323</v>
      </c>
    </row>
    <row r="87" spans="2:10" s="37" customFormat="1" ht="13.5">
      <c r="B87" s="48"/>
      <c r="C87" s="160" t="s">
        <v>624</v>
      </c>
      <c r="D87" s="156">
        <f>$E$14*(F801ENE!D84)*0</f>
        <v>0</v>
      </c>
      <c r="E87" s="156">
        <f>$E$14*(F801ENE!E84)*0</f>
        <v>0</v>
      </c>
      <c r="F87" s="156">
        <f>$E$14*(F801ENE!F84)*0</f>
        <v>0</v>
      </c>
      <c r="G87" s="156">
        <f>$E$14*(F801ENE!G84)*0</f>
        <v>0</v>
      </c>
      <c r="H87" s="156">
        <f>$E$14*(F801ENE!H84)*0</f>
        <v>0</v>
      </c>
      <c r="I87" s="156">
        <f>$E$14*(F801ENE!I84)*0</f>
        <v>0</v>
      </c>
      <c r="J87" s="156">
        <f t="shared" si="16"/>
        <v>0</v>
      </c>
    </row>
    <row r="88" spans="2:10" s="37" customFormat="1" ht="13.5">
      <c r="B88" s="48"/>
      <c r="C88" s="157"/>
      <c r="D88" s="156"/>
      <c r="E88" s="156"/>
      <c r="F88" s="156"/>
      <c r="G88" s="156"/>
      <c r="H88" s="156"/>
      <c r="I88" s="156"/>
      <c r="J88" s="156"/>
    </row>
    <row r="89" spans="2:10" s="37" customFormat="1" ht="13.5">
      <c r="B89" s="48" t="s">
        <v>902</v>
      </c>
      <c r="C89" s="158" t="s">
        <v>898</v>
      </c>
      <c r="D89" s="154">
        <f t="shared" ref="D89:I89" si="19">SUBTOTAL(9,D90:D94)</f>
        <v>186619.07854879118</v>
      </c>
      <c r="E89" s="154">
        <f t="shared" si="19"/>
        <v>186696.96270164446</v>
      </c>
      <c r="F89" s="154">
        <f t="shared" si="19"/>
        <v>183170.76018209229</v>
      </c>
      <c r="G89" s="154">
        <f t="shared" si="19"/>
        <v>186056.99231895106</v>
      </c>
      <c r="H89" s="154">
        <f t="shared" si="19"/>
        <v>177995.18559670204</v>
      </c>
      <c r="I89" s="154">
        <f t="shared" si="19"/>
        <v>178829.24790073905</v>
      </c>
      <c r="J89" s="159">
        <f t="shared" ref="J89:J98" si="20">SUM(D89:I89)</f>
        <v>1099368.2272489201</v>
      </c>
    </row>
    <row r="90" spans="2:10" s="37" customFormat="1" ht="13.5">
      <c r="B90" s="48"/>
      <c r="C90" s="160" t="s">
        <v>304</v>
      </c>
      <c r="D90" s="156">
        <f>$E$13*F801ENE!D87*1</f>
        <v>179492.43800355017</v>
      </c>
      <c r="E90" s="156">
        <f>$E$13*F801ENE!E87*1</f>
        <v>179567.34790336419</v>
      </c>
      <c r="F90" s="156">
        <f>$E$13*F801ENE!F87*1</f>
        <v>176175.80459466006</v>
      </c>
      <c r="G90" s="156">
        <f>$E$13*F801ENE!G87*1</f>
        <v>178951.81681654838</v>
      </c>
      <c r="H90" s="156">
        <f>$E$13*F801ENE!H87*1</f>
        <v>171197.87571608601</v>
      </c>
      <c r="I90" s="156">
        <f>$E$13*F801ENE!I87*1</f>
        <v>172000.08670953126</v>
      </c>
      <c r="J90" s="156">
        <f t="shared" si="20"/>
        <v>1057385.3697437402</v>
      </c>
    </row>
    <row r="91" spans="2:10" s="37" customFormat="1" ht="13.5">
      <c r="B91" s="48"/>
      <c r="C91" s="162" t="s">
        <v>644</v>
      </c>
      <c r="D91" s="156">
        <f>$E$13*F801ENE!D88*0.75</f>
        <v>7126.6405452410163</v>
      </c>
      <c r="E91" s="156">
        <f>$E$13*F801ENE!E88*0.75</f>
        <v>7129.6147982802668</v>
      </c>
      <c r="F91" s="156">
        <f>$E$13*F801ENE!F88*0.75</f>
        <v>6994.9555874322123</v>
      </c>
      <c r="G91" s="156">
        <f>$E$13*F801ENE!G88*0.75</f>
        <v>7105.1755024026834</v>
      </c>
      <c r="H91" s="156">
        <f>$E$13*F801ENE!H88*0.75</f>
        <v>6797.3098806160269</v>
      </c>
      <c r="I91" s="156">
        <f>$E$13*F801ENE!I88*0.75</f>
        <v>6829.1611912077951</v>
      </c>
      <c r="J91" s="156">
        <f t="shared" si="20"/>
        <v>41982.85750518</v>
      </c>
    </row>
    <row r="92" spans="2:10" s="37" customFormat="1" ht="13.5">
      <c r="B92" s="48"/>
      <c r="C92" s="160" t="s">
        <v>305</v>
      </c>
      <c r="D92" s="156">
        <f>$E$13*F801ENE!D89*0.95</f>
        <v>0</v>
      </c>
      <c r="E92" s="156">
        <f>$E$13*F801ENE!E89*0.95</f>
        <v>0</v>
      </c>
      <c r="F92" s="156">
        <f>$E$13*F801ENE!F89*0.95</f>
        <v>0</v>
      </c>
      <c r="G92" s="156">
        <f>$E$13*F801ENE!G89*0.95</f>
        <v>0</v>
      </c>
      <c r="H92" s="156">
        <f>$E$13*F801ENE!H89*0.95</f>
        <v>0</v>
      </c>
      <c r="I92" s="156">
        <f>$E$13*F801ENE!I89*0.95</f>
        <v>0</v>
      </c>
      <c r="J92" s="156">
        <f t="shared" si="20"/>
        <v>0</v>
      </c>
    </row>
    <row r="93" spans="2:10" s="37" customFormat="1" ht="13.5">
      <c r="B93" s="48"/>
      <c r="C93" s="160" t="s">
        <v>307</v>
      </c>
      <c r="D93" s="156">
        <f>$E$13*F801ENE!D90*0.5</f>
        <v>0</v>
      </c>
      <c r="E93" s="156">
        <f>$E$13*F801ENE!E90*0.5</f>
        <v>0</v>
      </c>
      <c r="F93" s="156">
        <f>$E$13*F801ENE!F90*0.5</f>
        <v>0</v>
      </c>
      <c r="G93" s="156">
        <f>$E$13*F801ENE!G90*0.5</f>
        <v>0</v>
      </c>
      <c r="H93" s="156">
        <f>$E$13*F801ENE!H90*0.5</f>
        <v>0</v>
      </c>
      <c r="I93" s="156">
        <f>$E$13*F801ENE!I90*0.5</f>
        <v>0</v>
      </c>
      <c r="J93" s="156">
        <f t="shared" si="20"/>
        <v>0</v>
      </c>
    </row>
    <row r="94" spans="2:10" s="37" customFormat="1" ht="13.5">
      <c r="B94" s="48"/>
      <c r="C94" s="160" t="s">
        <v>624</v>
      </c>
      <c r="D94" s="156">
        <f>$E$13*F801ENE!D91*0</f>
        <v>0</v>
      </c>
      <c r="E94" s="156">
        <f>$E$13*F801ENE!E91*0</f>
        <v>0</v>
      </c>
      <c r="F94" s="156">
        <f>$E$13*F801ENE!F91*0</f>
        <v>0</v>
      </c>
      <c r="G94" s="156">
        <f>$E$13*F801ENE!G91*0</f>
        <v>0</v>
      </c>
      <c r="H94" s="156">
        <f>$E$13*F801ENE!H91*0</f>
        <v>0</v>
      </c>
      <c r="I94" s="156">
        <f>$E$13*F801ENE!I91*0</f>
        <v>0</v>
      </c>
      <c r="J94" s="156">
        <f t="shared" si="20"/>
        <v>0</v>
      </c>
    </row>
    <row r="95" spans="2:10" s="37" customFormat="1" ht="13.5">
      <c r="B95" s="48" t="s">
        <v>902</v>
      </c>
      <c r="C95" s="158" t="s">
        <v>899</v>
      </c>
      <c r="D95" s="154">
        <f t="shared" ref="D95:I95" si="21">SUBTOTAL(9,D96:D101)</f>
        <v>14770.775125416087</v>
      </c>
      <c r="E95" s="154">
        <f t="shared" si="21"/>
        <v>14776.939603970881</v>
      </c>
      <c r="F95" s="154">
        <f t="shared" si="21"/>
        <v>14497.843035345593</v>
      </c>
      <c r="G95" s="154">
        <f t="shared" si="21"/>
        <v>14726.286376641721</v>
      </c>
      <c r="H95" s="154">
        <f t="shared" si="21"/>
        <v>14088.199771966007</v>
      </c>
      <c r="I95" s="154">
        <f t="shared" si="21"/>
        <v>14154.215244924719</v>
      </c>
      <c r="J95" s="159">
        <f t="shared" si="20"/>
        <v>87014.259158265006</v>
      </c>
    </row>
    <row r="96" spans="2:10" s="37" customFormat="1" ht="13.5">
      <c r="B96" s="48"/>
      <c r="C96" s="160" t="s">
        <v>304</v>
      </c>
      <c r="D96" s="156">
        <f>$E$13*F801ENE!D93*1</f>
        <v>13417.34577725461</v>
      </c>
      <c r="E96" s="156">
        <f>$E$13*F801ENE!E93*1</f>
        <v>13422.945411641016</v>
      </c>
      <c r="F96" s="156">
        <f>$E$13*F801ENE!F93*1</f>
        <v>13169.422144602227</v>
      </c>
      <c r="G96" s="156">
        <f>$E$13*F801ENE!G93*1</f>
        <v>13376.933482000317</v>
      </c>
      <c r="H96" s="156">
        <f>$E$13*F801ENE!H93*1</f>
        <v>12797.314028175126</v>
      </c>
      <c r="I96" s="156">
        <f>$E$13*F801ENE!I93*1</f>
        <v>12857.280578326709</v>
      </c>
      <c r="J96" s="156">
        <f t="shared" si="20"/>
        <v>79041.241422000006</v>
      </c>
    </row>
    <row r="97" spans="2:10" s="37" customFormat="1" ht="13.5">
      <c r="B97" s="48"/>
      <c r="C97" s="162" t="s">
        <v>642</v>
      </c>
      <c r="D97" s="156">
        <f>$E$13*F801ENE!D94*0.75</f>
        <v>1227.2985931209582</v>
      </c>
      <c r="E97" s="156">
        <f>$E$13*F801ENE!E94*0.75</f>
        <v>1227.8107975105981</v>
      </c>
      <c r="F97" s="156">
        <f>$E$13*F801ENE!F94*0.75</f>
        <v>1204.6207602166646</v>
      </c>
      <c r="G97" s="156">
        <f>$E$13*F801ENE!G94*0.75</f>
        <v>1223.6020383825044</v>
      </c>
      <c r="H97" s="156">
        <f>$E$13*F801ENE!H94*0.75</f>
        <v>1170.5836432367878</v>
      </c>
      <c r="I97" s="156">
        <f>$E$13*F801ENE!I94*0.75</f>
        <v>1176.0688460374877</v>
      </c>
      <c r="J97" s="156">
        <f t="shared" si="20"/>
        <v>7229.9846785050004</v>
      </c>
    </row>
    <row r="98" spans="2:10" s="37" customFormat="1" ht="13.5">
      <c r="B98" s="48"/>
      <c r="C98" s="162" t="s">
        <v>1177</v>
      </c>
      <c r="D98" s="156">
        <f>$E$13*F801ENE!D95*1</f>
        <v>126.13075504051787</v>
      </c>
      <c r="E98" s="156">
        <f>$E$13*F801ENE!E95*1</f>
        <v>126.18339481926648</v>
      </c>
      <c r="F98" s="156">
        <f>$E$13*F801ENE!F95*1</f>
        <v>123.80013052670053</v>
      </c>
      <c r="G98" s="156">
        <f>$E$13*F801ENE!G95*1</f>
        <v>125.75085625889854</v>
      </c>
      <c r="H98" s="156">
        <f>$E$13*F801ENE!H95*1</f>
        <v>120.30210055409454</v>
      </c>
      <c r="I98" s="156">
        <f>$E$13*F801ENE!I95*1</f>
        <v>120.86582056052207</v>
      </c>
      <c r="J98" s="156">
        <f t="shared" si="20"/>
        <v>743.03305776000002</v>
      </c>
    </row>
    <row r="99" spans="2:10" s="37" customFormat="1" ht="13.5">
      <c r="B99" s="48"/>
      <c r="C99" s="160" t="s">
        <v>305</v>
      </c>
      <c r="D99" s="156">
        <f>$E$13*F801ENE!D96*0.95</f>
        <v>0</v>
      </c>
      <c r="E99" s="156">
        <f>$E$13*F801ENE!E96*0.95</f>
        <v>0</v>
      </c>
      <c r="F99" s="156">
        <f>$E$13*F801ENE!F96*0.95</f>
        <v>0</v>
      </c>
      <c r="G99" s="156">
        <f>$E$13*F801ENE!G96*0.95</f>
        <v>0</v>
      </c>
      <c r="H99" s="156">
        <f>$E$13*F801ENE!H96*0.95</f>
        <v>0</v>
      </c>
      <c r="I99" s="156">
        <f>$E$13*F801ENE!I96*0.95</f>
        <v>0</v>
      </c>
      <c r="J99" s="156">
        <f t="shared" ref="J99:J108" si="22">SUM(D99:I99)</f>
        <v>0</v>
      </c>
    </row>
    <row r="100" spans="2:10" s="37" customFormat="1" ht="13.5">
      <c r="B100" s="48"/>
      <c r="C100" s="160" t="s">
        <v>307</v>
      </c>
      <c r="D100" s="156">
        <f>$E$13*F801ENE!D97*0.5</f>
        <v>0</v>
      </c>
      <c r="E100" s="156">
        <f>$E$13*F801ENE!E97*0.5</f>
        <v>0</v>
      </c>
      <c r="F100" s="156">
        <f>$E$13*F801ENE!F97*0.5</f>
        <v>0</v>
      </c>
      <c r="G100" s="156">
        <f>$E$13*F801ENE!G97*0.5</f>
        <v>0</v>
      </c>
      <c r="H100" s="156">
        <f>$E$13*F801ENE!H97*0.5</f>
        <v>0</v>
      </c>
      <c r="I100" s="156">
        <f>$E$13*F801ENE!I97*0.5</f>
        <v>0</v>
      </c>
      <c r="J100" s="156">
        <f t="shared" si="22"/>
        <v>0</v>
      </c>
    </row>
    <row r="101" spans="2:10" s="37" customFormat="1" ht="13.5">
      <c r="B101" s="48"/>
      <c r="C101" s="160" t="s">
        <v>624</v>
      </c>
      <c r="D101" s="156">
        <f>$E$13*F801ENE!D98*0</f>
        <v>0</v>
      </c>
      <c r="E101" s="156">
        <f>$E$13*F801ENE!E98*0</f>
        <v>0</v>
      </c>
      <c r="F101" s="156">
        <f>$E$13*F801ENE!F98*0</f>
        <v>0</v>
      </c>
      <c r="G101" s="156">
        <f>$E$13*F801ENE!G98*0</f>
        <v>0</v>
      </c>
      <c r="H101" s="156">
        <f>$E$13*F801ENE!H98*0</f>
        <v>0</v>
      </c>
      <c r="I101" s="156">
        <f>$E$13*F801ENE!I98*0</f>
        <v>0</v>
      </c>
      <c r="J101" s="156">
        <f t="shared" si="22"/>
        <v>0</v>
      </c>
    </row>
    <row r="102" spans="2:10" s="37" customFormat="1" ht="13.5">
      <c r="B102" s="48" t="s">
        <v>902</v>
      </c>
      <c r="C102" s="158" t="s">
        <v>900</v>
      </c>
      <c r="D102" s="154">
        <f t="shared" ref="D102:I102" si="23">SUBTOTAL(9,D103:D108)</f>
        <v>1633.4279018108584</v>
      </c>
      <c r="E102" s="154">
        <f t="shared" si="23"/>
        <v>1634.1096013957495</v>
      </c>
      <c r="F102" s="154">
        <f t="shared" si="23"/>
        <v>1603.2456745793579</v>
      </c>
      <c r="G102" s="154">
        <f t="shared" si="23"/>
        <v>1628.5081083032271</v>
      </c>
      <c r="H102" s="154">
        <f t="shared" si="23"/>
        <v>1557.9452261931588</v>
      </c>
      <c r="I102" s="154">
        <f t="shared" si="23"/>
        <v>1565.2455550226496</v>
      </c>
      <c r="J102" s="159">
        <f t="shared" si="22"/>
        <v>9622.4820673050017</v>
      </c>
    </row>
    <row r="103" spans="2:10" s="37" customFormat="1" ht="13.5">
      <c r="B103" s="48"/>
      <c r="C103" s="160" t="s">
        <v>304</v>
      </c>
      <c r="D103" s="156">
        <f>$E$13*F801ENE!D100*1</f>
        <v>1586.8822073412002</v>
      </c>
      <c r="E103" s="156">
        <f>$E$13*F801ENE!E100*1</f>
        <v>1587.5444814096279</v>
      </c>
      <c r="F103" s="156">
        <f>$E$13*F801ENE!F100*1</f>
        <v>1557.5600442273592</v>
      </c>
      <c r="G103" s="156">
        <f>$E$13*F801ENE!G100*1</f>
        <v>1582.1026068627232</v>
      </c>
      <c r="H103" s="156">
        <f>$E$13*F801ENE!H100*1</f>
        <v>1513.5504644663285</v>
      </c>
      <c r="I103" s="156">
        <f>$E$13*F801ENE!I100*1</f>
        <v>1520.6427652127622</v>
      </c>
      <c r="J103" s="156">
        <f t="shared" si="22"/>
        <v>9348.2825695200008</v>
      </c>
    </row>
    <row r="104" spans="2:10" s="37" customFormat="1" ht="13.5">
      <c r="B104" s="48"/>
      <c r="C104" s="162" t="s">
        <v>642</v>
      </c>
      <c r="D104" s="156">
        <f>$E$13*F801ENE!D101*0.75</f>
        <v>46.545694469658208</v>
      </c>
      <c r="E104" s="156">
        <f>$E$13*F801ENE!E101*0.75</f>
        <v>46.565119986121623</v>
      </c>
      <c r="F104" s="156">
        <f>$E$13*F801ENE!F101*0.75</f>
        <v>45.685630351998796</v>
      </c>
      <c r="G104" s="156">
        <f>$E$13*F801ENE!G101*0.75</f>
        <v>46.405501440503912</v>
      </c>
      <c r="H104" s="156">
        <f>$E$13*F801ENE!H101*0.75</f>
        <v>44.394761726830239</v>
      </c>
      <c r="I104" s="156">
        <f>$E$13*F801ENE!I101*0.75</f>
        <v>44.602789809887227</v>
      </c>
      <c r="J104" s="156">
        <f t="shared" si="22"/>
        <v>274.19949778500001</v>
      </c>
    </row>
    <row r="105" spans="2:10" s="37" customFormat="1" ht="13.5">
      <c r="B105" s="48"/>
      <c r="C105" s="162" t="s">
        <v>1177</v>
      </c>
      <c r="D105" s="156">
        <f>$E$13*F801ENE!D102*1</f>
        <v>0</v>
      </c>
      <c r="E105" s="156">
        <f>$E$13*F801ENE!E102*1</f>
        <v>0</v>
      </c>
      <c r="F105" s="156">
        <f>$E$13*F801ENE!F102*1</f>
        <v>0</v>
      </c>
      <c r="G105" s="156">
        <f>$E$13*F801ENE!G102*1</f>
        <v>0</v>
      </c>
      <c r="H105" s="156">
        <f>$E$13*F801ENE!H102*1</f>
        <v>0</v>
      </c>
      <c r="I105" s="156">
        <f>$E$13*F801ENE!I102*1</f>
        <v>0</v>
      </c>
      <c r="J105" s="156">
        <f t="shared" si="22"/>
        <v>0</v>
      </c>
    </row>
    <row r="106" spans="2:10" s="37" customFormat="1" ht="13.5">
      <c r="B106" s="48"/>
      <c r="C106" s="160" t="s">
        <v>305</v>
      </c>
      <c r="D106" s="156">
        <f>$E$13*F801ENE!D103*0.95</f>
        <v>0</v>
      </c>
      <c r="E106" s="156">
        <f>$E$13*F801ENE!E103*0.95</f>
        <v>0</v>
      </c>
      <c r="F106" s="156">
        <f>$E$13*F801ENE!F103*0.95</f>
        <v>0</v>
      </c>
      <c r="G106" s="156">
        <f>$E$13*F801ENE!G103*0.95</f>
        <v>0</v>
      </c>
      <c r="H106" s="156">
        <f>$E$13*F801ENE!H103*0.95</f>
        <v>0</v>
      </c>
      <c r="I106" s="156">
        <f>$E$13*F801ENE!I103*0.95</f>
        <v>0</v>
      </c>
      <c r="J106" s="156">
        <f t="shared" si="22"/>
        <v>0</v>
      </c>
    </row>
    <row r="107" spans="2:10" s="37" customFormat="1" ht="13.5">
      <c r="B107" s="48"/>
      <c r="C107" s="160" t="s">
        <v>307</v>
      </c>
      <c r="D107" s="156">
        <f>$E$13*F801ENE!D104*0.5</f>
        <v>0</v>
      </c>
      <c r="E107" s="156">
        <f>$E$13*F801ENE!E104*0.5</f>
        <v>0</v>
      </c>
      <c r="F107" s="156">
        <f>$E$13*F801ENE!F104*0.5</f>
        <v>0</v>
      </c>
      <c r="G107" s="156">
        <f>$E$13*F801ENE!G104*0.5</f>
        <v>0</v>
      </c>
      <c r="H107" s="156">
        <f>$E$13*F801ENE!H104*0.5</f>
        <v>0</v>
      </c>
      <c r="I107" s="156">
        <f>$E$13*F801ENE!I104*0.5</f>
        <v>0</v>
      </c>
      <c r="J107" s="156">
        <f t="shared" si="22"/>
        <v>0</v>
      </c>
    </row>
    <row r="108" spans="2:10" s="37" customFormat="1" ht="13.5">
      <c r="B108" s="48"/>
      <c r="C108" s="160" t="s">
        <v>624</v>
      </c>
      <c r="D108" s="156">
        <f>$E$13*F801ENE!D105*0</f>
        <v>0</v>
      </c>
      <c r="E108" s="156">
        <f>$E$13*F801ENE!E105*0</f>
        <v>0</v>
      </c>
      <c r="F108" s="156">
        <f>$E$13*F801ENE!F105*0</f>
        <v>0</v>
      </c>
      <c r="G108" s="156">
        <f>$E$13*F801ENE!G105*0</f>
        <v>0</v>
      </c>
      <c r="H108" s="156">
        <f>$E$13*F801ENE!H105*0</f>
        <v>0</v>
      </c>
      <c r="I108" s="156">
        <f>$E$13*F801ENE!I105*0</f>
        <v>0</v>
      </c>
      <c r="J108" s="156">
        <f t="shared" si="22"/>
        <v>0</v>
      </c>
    </row>
    <row r="109" spans="2:10" s="37" customFormat="1" ht="13.5">
      <c r="B109" s="48"/>
      <c r="C109" s="157"/>
      <c r="D109" s="156"/>
      <c r="E109" s="156"/>
      <c r="F109" s="156"/>
      <c r="G109" s="156"/>
      <c r="H109" s="156"/>
      <c r="I109" s="156"/>
      <c r="J109" s="156"/>
    </row>
    <row r="110" spans="2:10" s="37" customFormat="1" ht="13.5">
      <c r="B110" s="48"/>
      <c r="C110" s="153" t="s">
        <v>112</v>
      </c>
      <c r="D110" s="154">
        <f t="shared" ref="D110:I110" si="24">SUM(D33,D23,D19)</f>
        <v>3322970.687082598</v>
      </c>
      <c r="E110" s="154">
        <f t="shared" si="24"/>
        <v>3324357.5053989789</v>
      </c>
      <c r="F110" s="154">
        <f t="shared" si="24"/>
        <v>3265761.8924679742</v>
      </c>
      <c r="G110" s="154">
        <f t="shared" si="24"/>
        <v>3312962.0851992834</v>
      </c>
      <c r="H110" s="154">
        <f t="shared" si="24"/>
        <v>3173486.279266295</v>
      </c>
      <c r="I110" s="154">
        <f t="shared" si="24"/>
        <v>3184263.6532579679</v>
      </c>
      <c r="J110" s="154">
        <f>SUM(D110:I110)</f>
        <v>19583802.102673098</v>
      </c>
    </row>
    <row r="111" spans="2:10" s="37" customFormat="1">
      <c r="B111" s="48"/>
      <c r="C111" s="63"/>
      <c r="D111" s="63"/>
      <c r="E111" s="63"/>
      <c r="F111" s="63"/>
      <c r="G111" s="63"/>
      <c r="H111" s="63"/>
      <c r="I111" s="63"/>
      <c r="J111" s="163"/>
    </row>
    <row r="112" spans="2:10" s="37" customFormat="1" ht="51" customHeight="1">
      <c r="B112" s="48"/>
      <c r="C112" s="149" t="s">
        <v>1419</v>
      </c>
      <c r="D112" s="149"/>
      <c r="E112" s="149"/>
      <c r="F112" s="149"/>
      <c r="G112" s="149"/>
      <c r="H112" s="149"/>
      <c r="I112" s="149"/>
      <c r="J112" s="149"/>
    </row>
    <row r="113" spans="1:10" s="37" customFormat="1" ht="13.5">
      <c r="B113" s="48"/>
      <c r="C113" s="150" t="s">
        <v>310</v>
      </c>
      <c r="D113" s="151">
        <f t="shared" ref="D113:I113" si="25">D18</f>
        <v>46204</v>
      </c>
      <c r="E113" s="151">
        <f t="shared" si="25"/>
        <v>46235</v>
      </c>
      <c r="F113" s="151">
        <f t="shared" si="25"/>
        <v>46266</v>
      </c>
      <c r="G113" s="151">
        <f t="shared" si="25"/>
        <v>46296</v>
      </c>
      <c r="H113" s="151">
        <f t="shared" si="25"/>
        <v>46327</v>
      </c>
      <c r="I113" s="151">
        <f t="shared" si="25"/>
        <v>46357</v>
      </c>
      <c r="J113" s="152" t="s">
        <v>111</v>
      </c>
    </row>
    <row r="114" spans="1:10">
      <c r="A114" s="37"/>
      <c r="C114" s="153" t="s">
        <v>230</v>
      </c>
      <c r="D114" s="154">
        <f t="shared" ref="D114:I114" si="26">SUM(D115:D116)</f>
        <v>19949.103408960636</v>
      </c>
      <c r="E114" s="154">
        <f t="shared" si="26"/>
        <v>18568.550293642074</v>
      </c>
      <c r="F114" s="154">
        <f t="shared" si="26"/>
        <v>18981.854459394832</v>
      </c>
      <c r="G114" s="154">
        <f t="shared" si="26"/>
        <v>22012.356110314744</v>
      </c>
      <c r="H114" s="154">
        <f t="shared" si="26"/>
        <v>17582.277036346484</v>
      </c>
      <c r="I114" s="154">
        <f t="shared" si="26"/>
        <v>20677.865012195525</v>
      </c>
      <c r="J114" s="154">
        <f>SUM(D114:I114)</f>
        <v>117772.0063208543</v>
      </c>
    </row>
    <row r="115" spans="1:10">
      <c r="A115" s="37"/>
      <c r="B115" s="48" t="s">
        <v>870</v>
      </c>
      <c r="C115" s="157" t="s">
        <v>1026</v>
      </c>
      <c r="D115" s="156">
        <f>$D$7*F801D!D116+$F$7*F801ENE!K116+$G$7*F801ENE!R116+$H$7*F801ENE!Y116</f>
        <v>13485.97267662438</v>
      </c>
      <c r="E115" s="156">
        <f>$D$7*F801D!E116+$F$7*F801ENE!L116+$G$7*F801ENE!S116+$H$7*F801ENE!Z116</f>
        <v>12236.767286503677</v>
      </c>
      <c r="F115" s="156">
        <f>$D$7*F801D!F116+$F$7*F801ENE!M116+$G$7*F801ENE!T116+$H$7*F801ENE!AA116</f>
        <v>12416.051604518638</v>
      </c>
      <c r="G115" s="156">
        <f>$D$7*F801D!G116+$F$7*F801ENE!N116+$G$7*F801ENE!U116+$H$7*F801ENE!AB116</f>
        <v>14124.750447306777</v>
      </c>
      <c r="H115" s="156">
        <f>$D$7*F801D!H116+$F$7*F801ENE!O116+$G$7*F801ENE!V116+$H$7*F801ENE!AC116</f>
        <v>9999.8885521054781</v>
      </c>
      <c r="I115" s="156">
        <f>$D$7*F801D!I116+$F$7*F801ENE!P116+$G$7*F801ENE!W116+$H$7*F801ENE!AD116</f>
        <v>12686.43005253252</v>
      </c>
      <c r="J115" s="154">
        <f>SUM(D115:I115)</f>
        <v>74949.860619591462</v>
      </c>
    </row>
    <row r="116" spans="1:10">
      <c r="A116" s="37"/>
      <c r="B116" s="48" t="s">
        <v>871</v>
      </c>
      <c r="C116" s="153" t="s">
        <v>193</v>
      </c>
      <c r="D116" s="154">
        <f t="shared" ref="D116:I116" si="27">SUM(D117:D118)</f>
        <v>6463.1307323362571</v>
      </c>
      <c r="E116" s="154">
        <f t="shared" si="27"/>
        <v>6331.7830071383996</v>
      </c>
      <c r="F116" s="154">
        <f t="shared" si="27"/>
        <v>6565.8028548761949</v>
      </c>
      <c r="G116" s="154">
        <f t="shared" si="27"/>
        <v>7887.6056630079656</v>
      </c>
      <c r="H116" s="154">
        <f t="shared" si="27"/>
        <v>7582.3884842410071</v>
      </c>
      <c r="I116" s="154">
        <f t="shared" si="27"/>
        <v>7991.4349596630063</v>
      </c>
      <c r="J116" s="154">
        <f>SUM(D116:I116)</f>
        <v>42822.145701262831</v>
      </c>
    </row>
    <row r="117" spans="1:10">
      <c r="A117" s="37"/>
      <c r="C117" s="157" t="s">
        <v>1074</v>
      </c>
      <c r="D117" s="156">
        <f>$D$8*F801D!D118+$E$8*F801ENE!D118</f>
        <v>0</v>
      </c>
      <c r="E117" s="156">
        <f>$D$8*F801D!E118+$E$8*F801ENE!E118</f>
        <v>0</v>
      </c>
      <c r="F117" s="156">
        <f>$D$8*F801D!F118+$E$8*F801ENE!F118</f>
        <v>0</v>
      </c>
      <c r="G117" s="156">
        <f>$D$8*F801D!G118+$E$8*F801ENE!G118</f>
        <v>0</v>
      </c>
      <c r="H117" s="156">
        <f>$D$8*F801D!H118+$E$8*F801ENE!H118</f>
        <v>0</v>
      </c>
      <c r="I117" s="156">
        <f>$D$8*F801D!I118+$E$8*F801ENE!I118</f>
        <v>0</v>
      </c>
      <c r="J117" s="154">
        <f t="shared" ref="J117:J143" si="28">SUM(D117:I117)</f>
        <v>0</v>
      </c>
    </row>
    <row r="118" spans="1:10">
      <c r="A118" s="37"/>
      <c r="C118" s="157" t="s">
        <v>1075</v>
      </c>
      <c r="D118" s="156">
        <f>$D$8*F801D!D119+$E$8*F801ENE!D119</f>
        <v>6463.1307323362571</v>
      </c>
      <c r="E118" s="156">
        <f>$D$8*F801D!E119+$E$8*F801ENE!E119</f>
        <v>6331.7830071383996</v>
      </c>
      <c r="F118" s="156">
        <f>$D$8*F801D!F119+$E$8*F801ENE!F119</f>
        <v>6565.8028548761949</v>
      </c>
      <c r="G118" s="156">
        <f>$D$8*F801D!G119+$E$8*F801ENE!G119</f>
        <v>7887.6056630079656</v>
      </c>
      <c r="H118" s="156">
        <f>$D$8*F801D!H119+$E$8*F801ENE!H119</f>
        <v>7582.3884842410071</v>
      </c>
      <c r="I118" s="156">
        <f>$D$8*F801D!I119+$E$8*F801ENE!I119</f>
        <v>7991.4349596630063</v>
      </c>
      <c r="J118" s="154">
        <f t="shared" si="28"/>
        <v>42822.145701262831</v>
      </c>
    </row>
    <row r="119" spans="1:10">
      <c r="A119" s="37"/>
      <c r="C119" s="153" t="s">
        <v>893</v>
      </c>
      <c r="D119" s="156"/>
      <c r="E119" s="156"/>
      <c r="F119" s="156"/>
      <c r="G119" s="156"/>
      <c r="H119" s="156"/>
      <c r="I119" s="156"/>
      <c r="J119" s="154">
        <f t="shared" si="28"/>
        <v>0</v>
      </c>
    </row>
    <row r="120" spans="1:10">
      <c r="A120" s="37"/>
      <c r="C120" s="157"/>
      <c r="D120" s="156"/>
      <c r="E120" s="156"/>
      <c r="F120" s="156"/>
      <c r="G120" s="156"/>
      <c r="H120" s="156"/>
      <c r="I120" s="156"/>
      <c r="J120" s="154">
        <f t="shared" si="28"/>
        <v>0</v>
      </c>
    </row>
    <row r="121" spans="1:10">
      <c r="A121" s="37"/>
      <c r="C121" s="153" t="s">
        <v>194</v>
      </c>
      <c r="D121" s="154">
        <f t="shared" ref="D121:I121" si="29">D122+D127</f>
        <v>536890.47678448108</v>
      </c>
      <c r="E121" s="154">
        <f t="shared" si="29"/>
        <v>532666.15376598423</v>
      </c>
      <c r="F121" s="154">
        <f t="shared" si="29"/>
        <v>519597.95673667325</v>
      </c>
      <c r="G121" s="154">
        <f t="shared" si="29"/>
        <v>541982.35521284188</v>
      </c>
      <c r="H121" s="154">
        <f t="shared" si="29"/>
        <v>504162.48112278339</v>
      </c>
      <c r="I121" s="154">
        <f t="shared" si="29"/>
        <v>530548.22302929452</v>
      </c>
      <c r="J121" s="154">
        <f t="shared" si="28"/>
        <v>3165847.6466520582</v>
      </c>
    </row>
    <row r="122" spans="1:10">
      <c r="A122" s="37"/>
      <c r="B122" s="48" t="s">
        <v>872</v>
      </c>
      <c r="C122" s="153" t="s">
        <v>277</v>
      </c>
      <c r="D122" s="154">
        <f t="shared" ref="D122:I122" si="30">SUM(D123:D126)</f>
        <v>103846.27435345259</v>
      </c>
      <c r="E122" s="154">
        <f t="shared" si="30"/>
        <v>104487.22125532814</v>
      </c>
      <c r="F122" s="154">
        <f t="shared" si="30"/>
        <v>102119.81103393857</v>
      </c>
      <c r="G122" s="154">
        <f t="shared" si="30"/>
        <v>108927.81629615981</v>
      </c>
      <c r="H122" s="154">
        <f t="shared" si="30"/>
        <v>102396.97408587135</v>
      </c>
      <c r="I122" s="154">
        <f t="shared" si="30"/>
        <v>102069.73916954374</v>
      </c>
      <c r="J122" s="154">
        <f>SUM(D122:I122)</f>
        <v>623847.83619429427</v>
      </c>
    </row>
    <row r="123" spans="1:10">
      <c r="A123" s="37"/>
      <c r="C123" s="157" t="s">
        <v>980</v>
      </c>
      <c r="D123" s="156">
        <f>$D$9*F801D!D124+$F$9*F801ENE!K124+$G$9*F801ENE!R124+$H$9*F801ENE!Y124</f>
        <v>69003.37051688286</v>
      </c>
      <c r="E123" s="156">
        <f>$D$9*F801D!E124+$F$9*F801ENE!L124+$G$9*F801ENE!S124+$H$9*F801ENE!Z124</f>
        <v>68535.89973012259</v>
      </c>
      <c r="F123" s="156">
        <f>$D$9*F801D!F124+$F$9*F801ENE!M124+$G$9*F801ENE!T124+$H$9*F801ENE!AA124</f>
        <v>65565.830764037295</v>
      </c>
      <c r="G123" s="156">
        <f>$D$9*F801D!G124+$F$9*F801ENE!N124+$G$9*F801ENE!U124+$H$9*F801ENE!AB124</f>
        <v>67733.1916043901</v>
      </c>
      <c r="H123" s="156">
        <f>$D$9*F801D!H124+$F$9*F801ENE!O124+$G$9*F801ENE!V124+$H$9*F801ENE!AC124</f>
        <v>62870.710696631228</v>
      </c>
      <c r="I123" s="156">
        <f>$D$9*F801D!I124+$F$9*F801ENE!P124+$G$9*F801ENE!W124+$H$9*F801ENE!AD124</f>
        <v>62401.365430437974</v>
      </c>
      <c r="J123" s="154">
        <f t="shared" si="28"/>
        <v>396110.36874250206</v>
      </c>
    </row>
    <row r="124" spans="1:10">
      <c r="A124" s="37"/>
      <c r="C124" s="157" t="s">
        <v>981</v>
      </c>
      <c r="D124" s="156">
        <f>$D$9*F801D!D125+$F$9*F801ENE!K125+$G$9*F801ENE!R125+$H$9*F801ENE!Y125</f>
        <v>3491.9533808660126</v>
      </c>
      <c r="E124" s="156">
        <f>$D$9*F801D!E125+$F$9*F801ENE!L125+$G$9*F801ENE!S125+$H$9*F801ENE!Z125</f>
        <v>3574.0330558617675</v>
      </c>
      <c r="F124" s="156">
        <f>$D$9*F801D!F125+$F$9*F801ENE!M125+$G$9*F801ENE!T125+$H$9*F801ENE!AA125</f>
        <v>3739.4672139871</v>
      </c>
      <c r="G124" s="156">
        <f>$D$9*F801D!G125+$F$9*F801ENE!N125+$G$9*F801ENE!U125+$H$9*F801ENE!AB125</f>
        <v>4034.6752370461327</v>
      </c>
      <c r="H124" s="156">
        <f>$D$9*F801D!H125+$F$9*F801ENE!O125+$G$9*F801ENE!V125+$H$9*F801ENE!AC125</f>
        <v>4305.7494096600512</v>
      </c>
      <c r="I124" s="156">
        <f>$D$9*F801D!I125+$F$9*F801ENE!P125+$G$9*F801ENE!W125+$H$9*F801ENE!AD125</f>
        <v>2566.2782697670509</v>
      </c>
      <c r="J124" s="154">
        <f t="shared" si="28"/>
        <v>21712.156567188114</v>
      </c>
    </row>
    <row r="125" spans="1:10">
      <c r="A125" s="37"/>
      <c r="C125" s="157" t="s">
        <v>1019</v>
      </c>
      <c r="D125" s="156">
        <f>$D$9*F801D!D126+$F$9*F801ENE!K126+$G$9*F801ENE!R126+$H$9*F801ENE!Y126</f>
        <v>1240.0334370591947</v>
      </c>
      <c r="E125" s="156">
        <f>$D$9*F801D!E126+$F$9*F801ENE!L126+$G$9*F801ENE!S126+$H$9*F801ENE!Z126</f>
        <v>1213.265796284657</v>
      </c>
      <c r="F125" s="156">
        <f>$D$9*F801D!F126+$F$9*F801ENE!M126+$G$9*F801ENE!T126+$H$9*F801ENE!AA126</f>
        <v>1172.9637915125152</v>
      </c>
      <c r="G125" s="156">
        <f>$D$9*F801D!G126+$F$9*F801ENE!N126+$G$9*F801ENE!U126+$H$9*F801ENE!AB126</f>
        <v>1252.3612534754977</v>
      </c>
      <c r="H125" s="156">
        <f>$D$9*F801D!H126+$F$9*F801ENE!O126+$G$9*F801ENE!V126+$H$9*F801ENE!AC126</f>
        <v>1210.0762022299698</v>
      </c>
      <c r="I125" s="156">
        <f>$D$9*F801D!I126+$F$9*F801ENE!P126+$G$9*F801ENE!W126+$H$9*F801ENE!AD126</f>
        <v>1162.4567610403719</v>
      </c>
      <c r="J125" s="154">
        <f>SUM(D125:I125)</f>
        <v>7251.1572416022054</v>
      </c>
    </row>
    <row r="126" spans="1:10">
      <c r="A126" s="37"/>
      <c r="C126" s="157" t="s">
        <v>1766</v>
      </c>
      <c r="D126" s="156">
        <f>$D$9*F801D!D127+$F$9*F801ENE!K127+$G$9*F801ENE!R127+$H$9*F801ENE!Y127</f>
        <v>30110.917018644544</v>
      </c>
      <c r="E126" s="156">
        <f>$D$9*F801D!E127+$F$9*F801ENE!L127+$G$9*F801ENE!S127+$H$9*F801ENE!Z127</f>
        <v>31164.022673059128</v>
      </c>
      <c r="F126" s="156">
        <f>$D$9*F801D!F127+$F$9*F801ENE!M127+$G$9*F801ENE!T127+$H$9*F801ENE!AA127</f>
        <v>31641.549264401663</v>
      </c>
      <c r="G126" s="156">
        <f>$D$9*F801D!G127+$F$9*F801ENE!N127+$G$9*F801ENE!U127+$H$9*F801ENE!AB127</f>
        <v>35907.588201248087</v>
      </c>
      <c r="H126" s="156">
        <f>$D$9*F801D!H127+$F$9*F801ENE!O127+$G$9*F801ENE!V127+$H$9*F801ENE!AC127</f>
        <v>34010.437777350089</v>
      </c>
      <c r="I126" s="156">
        <f>$D$9*F801D!I127+$F$9*F801ENE!P127+$G$9*F801ENE!W127+$H$9*F801ENE!AD127</f>
        <v>35939.638708298342</v>
      </c>
      <c r="J126" s="154">
        <f>SUM(D126:I126)</f>
        <v>198774.15364300186</v>
      </c>
    </row>
    <row r="127" spans="1:10">
      <c r="A127" s="37"/>
      <c r="B127" s="48" t="s">
        <v>873</v>
      </c>
      <c r="C127" s="153" t="s">
        <v>193</v>
      </c>
      <c r="D127" s="154">
        <f t="shared" ref="D127:H127" si="31">SUM(D128:D133)</f>
        <v>433044.20243102853</v>
      </c>
      <c r="E127" s="154">
        <f t="shared" si="31"/>
        <v>428178.93251065613</v>
      </c>
      <c r="F127" s="154">
        <f t="shared" si="31"/>
        <v>417478.14570273471</v>
      </c>
      <c r="G127" s="154">
        <f t="shared" si="31"/>
        <v>433054.53891668213</v>
      </c>
      <c r="H127" s="154">
        <f t="shared" si="31"/>
        <v>401765.50703691202</v>
      </c>
      <c r="I127" s="154">
        <f t="shared" ref="I127" si="32">SUM(I128:I133)</f>
        <v>428478.48385975079</v>
      </c>
      <c r="J127" s="154">
        <f t="shared" si="28"/>
        <v>2541999.8104577647</v>
      </c>
    </row>
    <row r="128" spans="1:10">
      <c r="A128" s="37"/>
      <c r="C128" s="157" t="s">
        <v>944</v>
      </c>
      <c r="D128" s="156">
        <f>$D$10*F801D!D129+$E$10*F801ENE!D129</f>
        <v>0</v>
      </c>
      <c r="E128" s="156">
        <f>$D$10*F801D!E129+$E$10*F801ENE!E129</f>
        <v>0</v>
      </c>
      <c r="F128" s="156">
        <f>$D$10*F801D!F129+$E$10*F801ENE!F129</f>
        <v>0</v>
      </c>
      <c r="G128" s="156">
        <f>$D$10*F801D!G129+$E$10*F801ENE!G129</f>
        <v>0</v>
      </c>
      <c r="H128" s="156">
        <f>$D$10*F801D!H129+$E$10*F801ENE!H129</f>
        <v>0</v>
      </c>
      <c r="I128" s="156">
        <f>$D$10*F801D!I129+$E$10*F801ENE!I129</f>
        <v>0</v>
      </c>
      <c r="J128" s="154">
        <f t="shared" si="28"/>
        <v>0</v>
      </c>
    </row>
    <row r="129" spans="1:10">
      <c r="A129" s="37"/>
      <c r="C129" s="157" t="s">
        <v>943</v>
      </c>
      <c r="D129" s="156">
        <f>$D$10*F801D!D130+$E$10*F801ENE!D130</f>
        <v>282881.39374539111</v>
      </c>
      <c r="E129" s="156">
        <f>$D$10*F801D!E130+$E$10*F801ENE!E130</f>
        <v>281487.78754191159</v>
      </c>
      <c r="F129" s="156">
        <f>$D$10*F801D!F130+$E$10*F801ENE!F130</f>
        <v>256858.90762054938</v>
      </c>
      <c r="G129" s="156">
        <f>$D$10*F801D!G130+$E$10*F801ENE!G130</f>
        <v>265864.3845960811</v>
      </c>
      <c r="H129" s="156">
        <f>$D$10*F801D!H130+$E$10*F801ENE!H130</f>
        <v>244376.23949912362</v>
      </c>
      <c r="I129" s="156">
        <f>$D$10*F801D!I130+$E$10*F801ENE!I130</f>
        <v>257194.29077906706</v>
      </c>
      <c r="J129" s="154">
        <f>SUM(D129:I129)</f>
        <v>1588663.0037821238</v>
      </c>
    </row>
    <row r="130" spans="1:10">
      <c r="A130" s="37"/>
      <c r="C130" s="157" t="s">
        <v>1020</v>
      </c>
      <c r="D130" s="156">
        <f>$D$10*F801D!D131+$E$10*F801ENE!D131</f>
        <v>20079.000549616532</v>
      </c>
      <c r="E130" s="156">
        <f>$D$10*F801D!E131+$E$10*F801ENE!E131</f>
        <v>17901.727976277863</v>
      </c>
      <c r="F130" s="156">
        <f>$D$10*F801D!F131+$E$10*F801ENE!F131</f>
        <v>20021.114867970326</v>
      </c>
      <c r="G130" s="156">
        <f>$D$10*F801D!G131+$E$10*F801ENE!G131</f>
        <v>17460.772462348228</v>
      </c>
      <c r="H130" s="156">
        <f>$D$10*F801D!H131+$E$10*F801ENE!H131</f>
        <v>16692.730417766863</v>
      </c>
      <c r="I130" s="156">
        <f>$D$10*F801D!I131+$E$10*F801ENE!I131</f>
        <v>18717.571281271637</v>
      </c>
      <c r="J130" s="154">
        <f>SUM(D130:I130)</f>
        <v>110872.91755525145</v>
      </c>
    </row>
    <row r="131" spans="1:10">
      <c r="A131" s="37"/>
      <c r="C131" s="157" t="s">
        <v>1021</v>
      </c>
      <c r="D131" s="156">
        <f>$D$10*F801D!D132+$E$10*F801ENE!D132</f>
        <v>18564.588239910696</v>
      </c>
      <c r="E131" s="156">
        <f>$D$10*F801D!E132+$E$10*F801ENE!E132</f>
        <v>19151.800732386804</v>
      </c>
      <c r="F131" s="156">
        <f>$D$10*F801D!F132+$E$10*F801ENE!F132</f>
        <v>18428.097666279831</v>
      </c>
      <c r="G131" s="156">
        <f>$D$10*F801D!G132+$E$10*F801ENE!G132</f>
        <v>19220.350356812873</v>
      </c>
      <c r="H131" s="156">
        <f>$D$10*F801D!H132+$E$10*F801ENE!H132</f>
        <v>17136.914864579776</v>
      </c>
      <c r="I131" s="156">
        <f>$D$10*F801D!I132+$E$10*F801ENE!I132</f>
        <v>19208.302010005416</v>
      </c>
      <c r="J131" s="154">
        <f>SUM(D131:I131)</f>
        <v>111710.0538699754</v>
      </c>
    </row>
    <row r="132" spans="1:10">
      <c r="A132" s="37"/>
      <c r="C132" s="157" t="s">
        <v>1163</v>
      </c>
      <c r="D132" s="156">
        <f>$D$10*F801D!D133+$E$10*F801ENE!D133</f>
        <v>111519.21989611018</v>
      </c>
      <c r="E132" s="156">
        <f>$D$10*F801D!E133+$E$10*F801ENE!E133</f>
        <v>109637.61626007986</v>
      </c>
      <c r="F132" s="156">
        <f>$D$10*F801D!F133+$E$10*F801ENE!F133</f>
        <v>122170.02554793515</v>
      </c>
      <c r="G132" s="156">
        <f>$D$10*F801D!G133+$E$10*F801ENE!G133</f>
        <v>130509.03150143989</v>
      </c>
      <c r="H132" s="156">
        <f>$D$10*F801D!H133+$E$10*F801ENE!H133</f>
        <v>123559.62225544176</v>
      </c>
      <c r="I132" s="156">
        <f>$D$10*F801D!I133+$E$10*F801ENE!I133</f>
        <v>133358.31978940667</v>
      </c>
      <c r="J132" s="154">
        <f>SUM(D132:I132)</f>
        <v>730753.83525041351</v>
      </c>
    </row>
    <row r="133" spans="1:10">
      <c r="A133" s="37"/>
      <c r="C133" s="157"/>
      <c r="D133" s="156"/>
      <c r="E133" s="156"/>
      <c r="F133" s="156"/>
      <c r="G133" s="156"/>
      <c r="H133" s="156"/>
      <c r="I133" s="156"/>
      <c r="J133" s="154">
        <f t="shared" si="28"/>
        <v>0</v>
      </c>
    </row>
    <row r="134" spans="1:10">
      <c r="A134" s="37"/>
      <c r="C134" s="153" t="s">
        <v>308</v>
      </c>
      <c r="D134" s="154">
        <f t="shared" ref="D134:I134" si="33">SUM(D135:D136)</f>
        <v>117096.52155968925</v>
      </c>
      <c r="E134" s="154">
        <f t="shared" si="33"/>
        <v>115071.27482267715</v>
      </c>
      <c r="F134" s="154">
        <f t="shared" si="33"/>
        <v>116789.37326505109</v>
      </c>
      <c r="G134" s="154">
        <f t="shared" si="33"/>
        <v>122604.11044659211</v>
      </c>
      <c r="H134" s="154">
        <f t="shared" si="33"/>
        <v>113946.68113323099</v>
      </c>
      <c r="I134" s="154">
        <f t="shared" si="33"/>
        <v>127034.20066011508</v>
      </c>
      <c r="J134" s="154">
        <f t="shared" si="28"/>
        <v>712542.16188735573</v>
      </c>
    </row>
    <row r="135" spans="1:10">
      <c r="A135" s="37"/>
      <c r="B135" s="48" t="s">
        <v>874</v>
      </c>
      <c r="C135" s="157" t="s">
        <v>1027</v>
      </c>
      <c r="D135" s="156">
        <f>$D$11*F801D!D137+$F$11*F801ENE!K137+$G$11*F801ENE!R137+$H$11*F801ENE!Y137</f>
        <v>3805.0812305953909</v>
      </c>
      <c r="E135" s="156">
        <f>$D$11*F801D!E137+$F$11*F801ENE!L137+$G$11*F801ENE!S137+$H$11*F801ENE!Z137</f>
        <v>3753.3226020410871</v>
      </c>
      <c r="F135" s="156">
        <f>$D$11*F801D!F137+$F$11*F801ENE!M137+$G$11*F801ENE!T137+$H$11*F801ENE!AA137</f>
        <v>3615.3423898012798</v>
      </c>
      <c r="G135" s="156">
        <f>$D$11*F801D!G137+$F$11*F801ENE!N137+$G$11*F801ENE!U137+$H$11*F801ENE!AB137</f>
        <v>3738.3537141575989</v>
      </c>
      <c r="H135" s="156">
        <f>$D$11*F801D!H137+$F$11*F801ENE!O137+$G$11*F801ENE!V137+$H$11*F801ENE!AC137</f>
        <v>3638.3468058665285</v>
      </c>
      <c r="I135" s="156">
        <f>$D$11*F801D!I137+$F$11*F801ENE!P137+$G$11*F801ENE!W137+$H$11*F801ENE!AD137</f>
        <v>3756.5612660448037</v>
      </c>
      <c r="J135" s="154">
        <f t="shared" si="28"/>
        <v>22307.008008506687</v>
      </c>
    </row>
    <row r="136" spans="1:10">
      <c r="A136" s="37"/>
      <c r="B136" s="48" t="s">
        <v>875</v>
      </c>
      <c r="C136" s="153" t="s">
        <v>193</v>
      </c>
      <c r="D136" s="154">
        <f t="shared" ref="D136:H136" si="34">SUM(D137:D142)</f>
        <v>113291.44032909386</v>
      </c>
      <c r="E136" s="154">
        <f t="shared" si="34"/>
        <v>111317.95222063607</v>
      </c>
      <c r="F136" s="154">
        <f t="shared" si="34"/>
        <v>113174.03087524981</v>
      </c>
      <c r="G136" s="154">
        <f t="shared" si="34"/>
        <v>118865.75673243451</v>
      </c>
      <c r="H136" s="154">
        <f t="shared" si="34"/>
        <v>110308.33432736446</v>
      </c>
      <c r="I136" s="154">
        <f t="shared" ref="I136" si="35">SUM(I137:I142)</f>
        <v>123277.63939407027</v>
      </c>
      <c r="J136" s="154">
        <f t="shared" si="28"/>
        <v>690235.153878849</v>
      </c>
    </row>
    <row r="137" spans="1:10">
      <c r="A137" s="37"/>
      <c r="C137" s="157" t="s">
        <v>1022</v>
      </c>
      <c r="D137" s="156">
        <f>$D$12*(F801D!D140)+$E$12*(F801ENE!D140)</f>
        <v>1147.7997877983603</v>
      </c>
      <c r="E137" s="156">
        <f>$D$12*(F801D!E140)+$E$12*(F801ENE!E140)</f>
        <v>1120.660441534824</v>
      </c>
      <c r="F137" s="156">
        <f>$D$12*(F801D!F140)+$E$12*(F801ENE!F140)</f>
        <v>1139.9708219516158</v>
      </c>
      <c r="G137" s="156">
        <f>$D$12*(F801D!G140)+$E$12*(F801ENE!G140)</f>
        <v>1192.9300255955282</v>
      </c>
      <c r="H137" s="156">
        <f>$D$12*(F801D!H140)+$E$12*(F801ENE!H140)</f>
        <v>1101.84472772448</v>
      </c>
      <c r="I137" s="156">
        <f>$D$12*(F801D!I140)+$E$12*(F801ENE!I140)</f>
        <v>1164.5194778853479</v>
      </c>
      <c r="J137" s="154">
        <f t="shared" si="28"/>
        <v>6867.7252824901552</v>
      </c>
    </row>
    <row r="138" spans="1:10">
      <c r="A138" s="37"/>
      <c r="C138" s="157" t="s">
        <v>1023</v>
      </c>
      <c r="D138" s="156">
        <f>$D$12*(F801D!D141)+$E$12*(F801ENE!D141)</f>
        <v>75148.603092375241</v>
      </c>
      <c r="E138" s="156">
        <f>$D$12*(F801D!E141)+$E$12*(F801ENE!E141)</f>
        <v>73423.866312411279</v>
      </c>
      <c r="F138" s="156">
        <f>$D$12*(F801D!F141)+$E$12*(F801ENE!F141)</f>
        <v>71600.519704877457</v>
      </c>
      <c r="G138" s="156">
        <f>$D$12*(F801D!G141)+$E$12*(F801ENE!G141)</f>
        <v>74045.790623988592</v>
      </c>
      <c r="H138" s="156">
        <f>$D$12*(F801D!H141)+$E$12*(F801ENE!H141)</f>
        <v>68275.575984243202</v>
      </c>
      <c r="I138" s="156">
        <f>$D$12*(F801D!I141)+$E$12*(F801ENE!I141)</f>
        <v>73371.051593093754</v>
      </c>
      <c r="J138" s="154">
        <f t="shared" si="28"/>
        <v>435865.40731098957</v>
      </c>
    </row>
    <row r="139" spans="1:10">
      <c r="A139" s="37"/>
      <c r="C139" s="157" t="s">
        <v>1024</v>
      </c>
      <c r="D139" s="156">
        <f>$D$12*(F801D!D142)+$E$12*(F801ENE!D142)</f>
        <v>1512.278073088848</v>
      </c>
      <c r="E139" s="156">
        <f>$D$12*(F801D!E142)+$E$12*(F801ENE!E142)</f>
        <v>1486.0757107323361</v>
      </c>
      <c r="F139" s="156">
        <f>$D$12*(F801D!F142)+$E$12*(F801ENE!F142)</f>
        <v>1453.2392959395836</v>
      </c>
      <c r="G139" s="156">
        <f>$D$12*(F801D!G142)+$E$12*(F801ENE!G142)</f>
        <v>1473.2168132495524</v>
      </c>
      <c r="H139" s="156">
        <f>$D$12*(F801D!H142)+$E$12*(F801ENE!H142)</f>
        <v>1295.545457505888</v>
      </c>
      <c r="I139" s="156">
        <f>$D$12*(F801D!I142)+$E$12*(F801ENE!I142)</f>
        <v>1425.2352394759696</v>
      </c>
      <c r="J139" s="154">
        <f>SUM(D139:I139)</f>
        <v>8645.5905899921781</v>
      </c>
    </row>
    <row r="140" spans="1:10">
      <c r="A140" s="37"/>
      <c r="C140" s="157" t="s">
        <v>1025</v>
      </c>
      <c r="D140" s="156">
        <f>$D$12*(F801D!D143)+$E$12*(F801ENE!D143)</f>
        <v>15143.017901280225</v>
      </c>
      <c r="E140" s="156">
        <f>$D$12*(F801D!E143)+$E$12*(F801ENE!E143)</f>
        <v>14623.745594966402</v>
      </c>
      <c r="F140" s="156">
        <f>$D$12*(F801D!F143)+$E$12*(F801ENE!F143)</f>
        <v>14403.71510412096</v>
      </c>
      <c r="G140" s="156">
        <f>$D$12*(F801D!G143)+$E$12*(F801ENE!G143)</f>
        <v>14983.038880179456</v>
      </c>
      <c r="H140" s="156">
        <f>$D$12*(F801D!H143)+$E$12*(F801ENE!H143)</f>
        <v>13382.94433789219</v>
      </c>
      <c r="I140" s="156">
        <f>$D$12*(F801D!I143)+$E$12*(F801ENE!I143)</f>
        <v>13530.307150910641</v>
      </c>
      <c r="J140" s="154">
        <f>SUM(D140:I140)</f>
        <v>86066.768969349869</v>
      </c>
    </row>
    <row r="141" spans="1:10">
      <c r="A141" s="37"/>
      <c r="C141" s="157" t="s">
        <v>1162</v>
      </c>
      <c r="D141" s="156">
        <f>$D$12*(F801D!D144)+$E$12*(F801ENE!D144)</f>
        <v>20339.7414745512</v>
      </c>
      <c r="E141" s="156">
        <f>$D$12*(F801D!E144)+$E$12*(F801ENE!E144)</f>
        <v>20663.604160991228</v>
      </c>
      <c r="F141" s="156">
        <f>$D$12*(F801D!F144)+$E$12*(F801ENE!F144)</f>
        <v>24576.585948360193</v>
      </c>
      <c r="G141" s="156">
        <f>$D$12*(F801D!G144)+$E$12*(F801ENE!G144)</f>
        <v>27170.780389421376</v>
      </c>
      <c r="H141" s="156">
        <f>$D$12*(F801D!H144)+$E$12*(F801ENE!H144)</f>
        <v>26252.423819998701</v>
      </c>
      <c r="I141" s="156">
        <f>$D$12*(F801D!I144)+$E$12*(F801ENE!I144)</f>
        <v>33786.525932704564</v>
      </c>
      <c r="J141" s="154">
        <f>SUM(D141:I141)</f>
        <v>152789.66172602726</v>
      </c>
    </row>
    <row r="142" spans="1:10">
      <c r="A142" s="37"/>
      <c r="C142" s="157"/>
      <c r="D142" s="156"/>
      <c r="E142" s="156"/>
      <c r="F142" s="156"/>
      <c r="G142" s="156"/>
      <c r="H142" s="156"/>
      <c r="I142" s="156"/>
      <c r="J142" s="154"/>
    </row>
    <row r="143" spans="1:10">
      <c r="A143" s="37"/>
      <c r="C143" s="153" t="s">
        <v>112</v>
      </c>
      <c r="D143" s="154">
        <f t="shared" ref="D143:I143" si="36">D114+D121+D134</f>
        <v>673936.10175313102</v>
      </c>
      <c r="E143" s="154">
        <f t="shared" si="36"/>
        <v>666305.97888230346</v>
      </c>
      <c r="F143" s="154">
        <f t="shared" si="36"/>
        <v>655369.18446111912</v>
      </c>
      <c r="G143" s="154">
        <f t="shared" si="36"/>
        <v>686598.8217697487</v>
      </c>
      <c r="H143" s="154">
        <f t="shared" si="36"/>
        <v>635691.43929236091</v>
      </c>
      <c r="I143" s="154">
        <f t="shared" si="36"/>
        <v>678260.28870160517</v>
      </c>
      <c r="J143" s="154">
        <f t="shared" si="28"/>
        <v>3996161.8148602685</v>
      </c>
    </row>
    <row r="144" spans="1:10">
      <c r="C144" s="164"/>
      <c r="D144" s="164"/>
      <c r="E144" s="164"/>
      <c r="F144" s="164"/>
      <c r="G144" s="164"/>
      <c r="H144" s="164"/>
      <c r="I144" s="164"/>
      <c r="J144" s="164"/>
    </row>
    <row r="145" spans="2:10">
      <c r="C145" s="153" t="s">
        <v>111</v>
      </c>
      <c r="D145" s="154">
        <f t="shared" ref="D145:J145" si="37">D110+D143</f>
        <v>3996906.788835729</v>
      </c>
      <c r="E145" s="154">
        <f t="shared" si="37"/>
        <v>3990663.4842812824</v>
      </c>
      <c r="F145" s="154">
        <f t="shared" si="37"/>
        <v>3921131.0769290933</v>
      </c>
      <c r="G145" s="154">
        <f t="shared" si="37"/>
        <v>3999560.9069690323</v>
      </c>
      <c r="H145" s="154">
        <f t="shared" si="37"/>
        <v>3809177.7185586561</v>
      </c>
      <c r="I145" s="154">
        <f t="shared" si="37"/>
        <v>3862523.941959573</v>
      </c>
      <c r="J145" s="154">
        <f t="shared" si="37"/>
        <v>23579963.917533368</v>
      </c>
    </row>
    <row r="147" spans="2:10">
      <c r="C147" s="52" t="str">
        <f>'PORTADA PORTADA PORTADA'!$B$23</f>
        <v>1 DE JULIO DE 2026</v>
      </c>
      <c r="J147" s="163"/>
    </row>
    <row r="148" spans="2:10">
      <c r="B148" s="48" t="s">
        <v>902</v>
      </c>
      <c r="D148" s="163">
        <f t="shared" ref="D148:J157" si="38">SUMIF($B$17:$B$144,$B148,D$17:D$144)</f>
        <v>203023.28157601811</v>
      </c>
      <c r="E148" s="163">
        <f t="shared" si="38"/>
        <v>203108.0119070111</v>
      </c>
      <c r="F148" s="163">
        <f t="shared" si="38"/>
        <v>199271.84889201724</v>
      </c>
      <c r="G148" s="163">
        <f t="shared" si="38"/>
        <v>202411.78680389599</v>
      </c>
      <c r="H148" s="163">
        <f t="shared" si="38"/>
        <v>193641.33059486121</v>
      </c>
      <c r="I148" s="163">
        <f t="shared" si="38"/>
        <v>194548.7087006864</v>
      </c>
      <c r="J148" s="163">
        <f t="shared" si="38"/>
        <v>1196004.9684744901</v>
      </c>
    </row>
    <row r="149" spans="2:10">
      <c r="B149" s="48" t="s">
        <v>751</v>
      </c>
      <c r="D149" s="163">
        <f t="shared" si="38"/>
        <v>1087958.4914368649</v>
      </c>
      <c r="E149" s="163">
        <f t="shared" si="38"/>
        <v>1088412.5488836812</v>
      </c>
      <c r="F149" s="163">
        <f t="shared" si="38"/>
        <v>1067855.1125589805</v>
      </c>
      <c r="G149" s="163">
        <f t="shared" si="38"/>
        <v>1084681.5804214431</v>
      </c>
      <c r="H149" s="163">
        <f t="shared" si="38"/>
        <v>1037681.9888109978</v>
      </c>
      <c r="I149" s="163">
        <f t="shared" si="38"/>
        <v>1042544.495320763</v>
      </c>
      <c r="J149" s="163">
        <f t="shared" si="38"/>
        <v>6409134.2174327299</v>
      </c>
    </row>
    <row r="150" spans="2:10">
      <c r="B150" s="48" t="s">
        <v>750</v>
      </c>
      <c r="D150" s="163">
        <f t="shared" si="38"/>
        <v>409313.50321141822</v>
      </c>
      <c r="E150" s="163">
        <f t="shared" si="38"/>
        <v>409484.32730773755</v>
      </c>
      <c r="F150" s="163">
        <f t="shared" si="38"/>
        <v>401750.27183208865</v>
      </c>
      <c r="G150" s="163">
        <f t="shared" si="38"/>
        <v>408080.67382638517</v>
      </c>
      <c r="H150" s="163">
        <f t="shared" si="38"/>
        <v>390398.63200430857</v>
      </c>
      <c r="I150" s="163">
        <f t="shared" si="38"/>
        <v>392227.98925018485</v>
      </c>
      <c r="J150" s="163">
        <f t="shared" si="38"/>
        <v>2411255.3974321233</v>
      </c>
    </row>
    <row r="151" spans="2:10">
      <c r="B151" s="48" t="s">
        <v>749</v>
      </c>
      <c r="D151" s="163">
        <f t="shared" si="38"/>
        <v>404877.27187288814</v>
      </c>
      <c r="E151" s="163">
        <f t="shared" si="38"/>
        <v>405046.24453942676</v>
      </c>
      <c r="F151" s="163">
        <f t="shared" si="38"/>
        <v>397396.01248764683</v>
      </c>
      <c r="G151" s="163">
        <f t="shared" si="38"/>
        <v>403657.80416859617</v>
      </c>
      <c r="H151" s="163">
        <f t="shared" si="38"/>
        <v>386167.40427243913</v>
      </c>
      <c r="I151" s="163">
        <f t="shared" si="38"/>
        <v>387976.9345351354</v>
      </c>
      <c r="J151" s="163">
        <f t="shared" si="38"/>
        <v>2385121.6718761325</v>
      </c>
    </row>
    <row r="152" spans="2:10">
      <c r="B152" s="48" t="s">
        <v>1176</v>
      </c>
      <c r="D152" s="163">
        <f t="shared" si="38"/>
        <v>13.57</v>
      </c>
      <c r="E152" s="163">
        <f t="shared" si="38"/>
        <v>13.57</v>
      </c>
      <c r="F152" s="163">
        <f t="shared" si="38"/>
        <v>13.57</v>
      </c>
      <c r="G152" s="163">
        <f t="shared" si="38"/>
        <v>13.57</v>
      </c>
      <c r="H152" s="163">
        <f t="shared" si="38"/>
        <v>13.57</v>
      </c>
      <c r="I152" s="163">
        <f t="shared" si="38"/>
        <v>13.57</v>
      </c>
      <c r="J152" s="163">
        <f t="shared" si="38"/>
        <v>81.419999999999987</v>
      </c>
    </row>
    <row r="153" spans="2:10">
      <c r="B153" s="48" t="s">
        <v>274</v>
      </c>
      <c r="D153" s="163">
        <f t="shared" si="38"/>
        <v>841016.00993955182</v>
      </c>
      <c r="E153" s="163">
        <f t="shared" si="38"/>
        <v>841367.00202449574</v>
      </c>
      <c r="F153" s="163">
        <f t="shared" si="38"/>
        <v>828533.08704144519</v>
      </c>
      <c r="G153" s="163">
        <f t="shared" si="38"/>
        <v>838482.91674276744</v>
      </c>
      <c r="H153" s="163">
        <f t="shared" si="38"/>
        <v>805122.50128974719</v>
      </c>
      <c r="I153" s="163">
        <f t="shared" si="38"/>
        <v>805910.42298308853</v>
      </c>
      <c r="J153" s="163">
        <f t="shared" si="38"/>
        <v>4960431.9400210949</v>
      </c>
    </row>
    <row r="154" spans="2:10">
      <c r="B154" s="48" t="s">
        <v>275</v>
      </c>
      <c r="D154" s="163">
        <f t="shared" si="38"/>
        <v>40427.654928991265</v>
      </c>
      <c r="E154" s="163">
        <f t="shared" si="38"/>
        <v>40444.5271249129</v>
      </c>
      <c r="F154" s="163">
        <f t="shared" si="38"/>
        <v>39820.530288725793</v>
      </c>
      <c r="G154" s="163">
        <f t="shared" si="38"/>
        <v>40305.889092845129</v>
      </c>
      <c r="H154" s="163">
        <f t="shared" si="38"/>
        <v>38695.382779733583</v>
      </c>
      <c r="I154" s="163">
        <f t="shared" si="38"/>
        <v>38740.128724041148</v>
      </c>
      <c r="J154" s="163">
        <f t="shared" si="38"/>
        <v>238434.11293924984</v>
      </c>
    </row>
    <row r="155" spans="2:10">
      <c r="B155" s="48" t="s">
        <v>276</v>
      </c>
      <c r="D155" s="163">
        <f t="shared" si="38"/>
        <v>266083.89364182146</v>
      </c>
      <c r="E155" s="163">
        <f t="shared" si="38"/>
        <v>266194.94187336013</v>
      </c>
      <c r="F155" s="163">
        <f t="shared" si="38"/>
        <v>261992.89952533721</v>
      </c>
      <c r="G155" s="163">
        <f t="shared" si="38"/>
        <v>265282.4638321721</v>
      </c>
      <c r="H155" s="163">
        <f t="shared" si="38"/>
        <v>254590.16892036484</v>
      </c>
      <c r="I155" s="163">
        <f t="shared" si="38"/>
        <v>254977.0524455063</v>
      </c>
      <c r="J155" s="163">
        <f t="shared" si="38"/>
        <v>1569121.4202385619</v>
      </c>
    </row>
    <row r="156" spans="2:10">
      <c r="B156" s="48" t="s">
        <v>277</v>
      </c>
      <c r="D156" s="163">
        <f t="shared" si="38"/>
        <v>44542.957059973254</v>
      </c>
      <c r="E156" s="163">
        <f t="shared" si="38"/>
        <v>44561.546748140048</v>
      </c>
      <c r="F156" s="163">
        <f t="shared" si="38"/>
        <v>43861.779717855883</v>
      </c>
      <c r="G156" s="163">
        <f t="shared" si="38"/>
        <v>44408.796163914478</v>
      </c>
      <c r="H156" s="163">
        <f t="shared" si="38"/>
        <v>42622.444836283918</v>
      </c>
      <c r="I156" s="163">
        <f t="shared" si="38"/>
        <v>42683.650419093392</v>
      </c>
      <c r="J156" s="163">
        <f t="shared" si="38"/>
        <v>262681.17494526098</v>
      </c>
    </row>
    <row r="157" spans="2:10">
      <c r="B157" s="48" t="s">
        <v>278</v>
      </c>
      <c r="D157" s="163">
        <f t="shared" si="38"/>
        <v>0.68</v>
      </c>
      <c r="E157" s="163">
        <f t="shared" si="38"/>
        <v>0.68</v>
      </c>
      <c r="F157" s="163">
        <f t="shared" si="38"/>
        <v>0.68</v>
      </c>
      <c r="G157" s="163">
        <f t="shared" si="38"/>
        <v>0.68</v>
      </c>
      <c r="H157" s="163">
        <f t="shared" si="38"/>
        <v>0.68</v>
      </c>
      <c r="I157" s="163">
        <f t="shared" si="38"/>
        <v>0.68</v>
      </c>
      <c r="J157" s="163">
        <f t="shared" si="38"/>
        <v>4.08</v>
      </c>
    </row>
    <row r="158" spans="2:10">
      <c r="B158" s="48" t="s">
        <v>279</v>
      </c>
      <c r="D158" s="163">
        <f t="shared" ref="D158:J166" si="39">SUMIF($B$17:$B$144,$B158,D$17:D$144)</f>
        <v>25713.373415070106</v>
      </c>
      <c r="E158" s="163">
        <f t="shared" si="39"/>
        <v>25724.104990212792</v>
      </c>
      <c r="F158" s="163">
        <f t="shared" si="39"/>
        <v>25266.100123877652</v>
      </c>
      <c r="G158" s="163">
        <f t="shared" si="39"/>
        <v>25635.92414726389</v>
      </c>
      <c r="H158" s="163">
        <f t="shared" si="39"/>
        <v>24552.175757558754</v>
      </c>
      <c r="I158" s="163">
        <f t="shared" si="39"/>
        <v>24640.020879467702</v>
      </c>
      <c r="J158" s="163">
        <f t="shared" si="39"/>
        <v>151531.6993134509</v>
      </c>
    </row>
    <row r="159" spans="2:10">
      <c r="B159" s="48" t="s">
        <v>875</v>
      </c>
      <c r="D159" s="163">
        <f t="shared" si="39"/>
        <v>113291.44032909386</v>
      </c>
      <c r="E159" s="163">
        <f t="shared" si="39"/>
        <v>111317.95222063607</v>
      </c>
      <c r="F159" s="163">
        <f t="shared" si="39"/>
        <v>113174.03087524981</v>
      </c>
      <c r="G159" s="163">
        <f t="shared" si="39"/>
        <v>118865.75673243451</v>
      </c>
      <c r="H159" s="163">
        <f t="shared" si="39"/>
        <v>110308.33432736446</v>
      </c>
      <c r="I159" s="163">
        <f t="shared" si="39"/>
        <v>123277.63939407027</v>
      </c>
      <c r="J159" s="163">
        <f t="shared" si="39"/>
        <v>690235.153878849</v>
      </c>
    </row>
    <row r="160" spans="2:10">
      <c r="B160" s="48" t="s">
        <v>874</v>
      </c>
      <c r="D160" s="163">
        <f t="shared" si="39"/>
        <v>3805.0812305953909</v>
      </c>
      <c r="E160" s="163">
        <f t="shared" si="39"/>
        <v>3753.3226020410871</v>
      </c>
      <c r="F160" s="163">
        <f t="shared" si="39"/>
        <v>3615.3423898012798</v>
      </c>
      <c r="G160" s="163">
        <f t="shared" si="39"/>
        <v>3738.3537141575989</v>
      </c>
      <c r="H160" s="163">
        <f t="shared" si="39"/>
        <v>3638.3468058665285</v>
      </c>
      <c r="I160" s="163">
        <f t="shared" si="39"/>
        <v>3756.5612660448037</v>
      </c>
      <c r="J160" s="163">
        <f t="shared" si="39"/>
        <v>22307.008008506687</v>
      </c>
    </row>
    <row r="161" spans="2:10">
      <c r="B161" s="48" t="s">
        <v>873</v>
      </c>
      <c r="D161" s="163">
        <f t="shared" si="39"/>
        <v>433044.20243102853</v>
      </c>
      <c r="E161" s="163">
        <f t="shared" si="39"/>
        <v>428178.93251065613</v>
      </c>
      <c r="F161" s="163">
        <f t="shared" si="39"/>
        <v>417478.14570273471</v>
      </c>
      <c r="G161" s="163">
        <f t="shared" si="39"/>
        <v>433054.53891668213</v>
      </c>
      <c r="H161" s="163">
        <f t="shared" si="39"/>
        <v>401765.50703691202</v>
      </c>
      <c r="I161" s="163">
        <f t="shared" si="39"/>
        <v>428478.48385975079</v>
      </c>
      <c r="J161" s="163">
        <f t="shared" si="39"/>
        <v>2541999.8104577647</v>
      </c>
    </row>
    <row r="162" spans="2:10">
      <c r="B162" s="48" t="s">
        <v>872</v>
      </c>
      <c r="D162" s="163">
        <f t="shared" si="39"/>
        <v>103846.27435345259</v>
      </c>
      <c r="E162" s="163">
        <f t="shared" si="39"/>
        <v>104487.22125532814</v>
      </c>
      <c r="F162" s="163">
        <f t="shared" si="39"/>
        <v>102119.81103393857</v>
      </c>
      <c r="G162" s="163">
        <f t="shared" si="39"/>
        <v>108927.81629615981</v>
      </c>
      <c r="H162" s="163">
        <f t="shared" si="39"/>
        <v>102396.97408587135</v>
      </c>
      <c r="I162" s="163">
        <f t="shared" si="39"/>
        <v>102069.73916954374</v>
      </c>
      <c r="J162" s="163">
        <f t="shared" si="39"/>
        <v>623847.83619429427</v>
      </c>
    </row>
    <row r="163" spans="2:10">
      <c r="B163" s="48" t="s">
        <v>871</v>
      </c>
      <c r="D163" s="163">
        <f t="shared" si="39"/>
        <v>6463.1307323362571</v>
      </c>
      <c r="E163" s="163">
        <f t="shared" si="39"/>
        <v>6331.7830071383996</v>
      </c>
      <c r="F163" s="163">
        <f t="shared" si="39"/>
        <v>6565.8028548761949</v>
      </c>
      <c r="G163" s="163">
        <f t="shared" si="39"/>
        <v>7887.6056630079656</v>
      </c>
      <c r="H163" s="163">
        <f t="shared" si="39"/>
        <v>7582.3884842410071</v>
      </c>
      <c r="I163" s="163">
        <f t="shared" si="39"/>
        <v>7991.4349596630063</v>
      </c>
      <c r="J163" s="163">
        <f t="shared" si="39"/>
        <v>42822.145701262831</v>
      </c>
    </row>
    <row r="164" spans="2:10">
      <c r="B164" s="48" t="s">
        <v>870</v>
      </c>
      <c r="D164" s="163">
        <f t="shared" si="39"/>
        <v>13485.97267662438</v>
      </c>
      <c r="E164" s="163">
        <f t="shared" si="39"/>
        <v>12236.767286503677</v>
      </c>
      <c r="F164" s="163">
        <f t="shared" si="39"/>
        <v>12416.051604518638</v>
      </c>
      <c r="G164" s="163">
        <f t="shared" si="39"/>
        <v>14124.750447306777</v>
      </c>
      <c r="H164" s="163">
        <f t="shared" si="39"/>
        <v>9999.8885521054781</v>
      </c>
      <c r="I164" s="163">
        <f t="shared" si="39"/>
        <v>12686.43005253252</v>
      </c>
      <c r="J164" s="163">
        <f t="shared" si="39"/>
        <v>74949.860619591462</v>
      </c>
    </row>
    <row r="165" spans="2:10">
      <c r="B165" s="48" t="s">
        <v>893</v>
      </c>
      <c r="D165" s="163">
        <f t="shared" si="39"/>
        <v>0</v>
      </c>
      <c r="E165" s="163">
        <f t="shared" si="39"/>
        <v>0</v>
      </c>
      <c r="F165" s="163">
        <f t="shared" si="39"/>
        <v>0</v>
      </c>
      <c r="G165" s="163">
        <f t="shared" si="39"/>
        <v>0</v>
      </c>
      <c r="H165" s="163">
        <f t="shared" si="39"/>
        <v>0</v>
      </c>
      <c r="I165" s="163">
        <f t="shared" si="39"/>
        <v>0</v>
      </c>
      <c r="J165" s="163">
        <f t="shared" si="39"/>
        <v>0</v>
      </c>
    </row>
    <row r="166" spans="2:10">
      <c r="D166" s="163">
        <f t="shared" si="39"/>
        <v>0</v>
      </c>
      <c r="E166" s="163">
        <f t="shared" si="39"/>
        <v>0</v>
      </c>
      <c r="F166" s="163">
        <f t="shared" si="39"/>
        <v>0</v>
      </c>
      <c r="G166" s="163">
        <f t="shared" si="39"/>
        <v>0</v>
      </c>
      <c r="H166" s="163">
        <f t="shared" si="39"/>
        <v>0</v>
      </c>
      <c r="I166" s="163">
        <f t="shared" si="39"/>
        <v>0</v>
      </c>
      <c r="J166" s="163">
        <f t="shared" si="39"/>
        <v>0</v>
      </c>
    </row>
    <row r="167" spans="2:10">
      <c r="B167" s="48" t="s">
        <v>111</v>
      </c>
      <c r="C167" s="139"/>
      <c r="D167" s="165">
        <f t="shared" ref="D167:J167" si="40">SUM(D148:D166)</f>
        <v>3996906.7888357285</v>
      </c>
      <c r="E167" s="165">
        <f t="shared" si="40"/>
        <v>3990663.484281281</v>
      </c>
      <c r="F167" s="165">
        <f t="shared" si="40"/>
        <v>3921131.0769290943</v>
      </c>
      <c r="G167" s="165">
        <f t="shared" si="40"/>
        <v>3999560.9069690327</v>
      </c>
      <c r="H167" s="165">
        <f t="shared" si="40"/>
        <v>3809177.7185586551</v>
      </c>
      <c r="I167" s="165">
        <f t="shared" si="40"/>
        <v>3862523.9419595716</v>
      </c>
      <c r="J167" s="165">
        <f t="shared" si="40"/>
        <v>23579963.917533364</v>
      </c>
    </row>
    <row r="168" spans="2:10">
      <c r="D168" s="166">
        <f t="shared" ref="D168:J168" si="41">D167-D145</f>
        <v>0</v>
      </c>
      <c r="E168" s="166">
        <f t="shared" si="41"/>
        <v>0</v>
      </c>
      <c r="F168" s="166">
        <f t="shared" si="41"/>
        <v>0</v>
      </c>
      <c r="G168" s="166">
        <f t="shared" si="41"/>
        <v>0</v>
      </c>
      <c r="H168" s="166">
        <f t="shared" si="41"/>
        <v>0</v>
      </c>
      <c r="I168" s="166">
        <f t="shared" si="41"/>
        <v>0</v>
      </c>
      <c r="J168" s="166">
        <f t="shared" si="41"/>
        <v>0</v>
      </c>
    </row>
  </sheetData>
  <printOptions horizontalCentered="1" verticalCentered="1"/>
  <pageMargins left="0.51181102362204722" right="0.31496062992125984" top="0.78740157480314965" bottom="0.82677165354330717" header="0.31496062992125984" footer="0.23622047244094491"/>
  <pageSetup scale="31" orientation="portrait" horizontalDpi="300" r:id="rId1"/>
  <headerFooter alignWithMargins="0">
    <oddHeader>&amp;L
NOMBRE DE LA DISTRIBUIDORA: &amp;UELEKTRA NORESTE, S.A.&amp;R&amp;9&amp;A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1FDE1-1C61-4D43-BC69-047355DE2694}">
  <sheetPr>
    <tabColor rgb="FFC00000"/>
  </sheetPr>
  <dimension ref="B2:I31"/>
  <sheetViews>
    <sheetView zoomScale="85" zoomScaleNormal="85" workbookViewId="0">
      <selection activeCell="C10" sqref="C10"/>
    </sheetView>
  </sheetViews>
  <sheetFormatPr baseColWidth="10" defaultColWidth="11.25" defaultRowHeight="12"/>
  <cols>
    <col min="1" max="1" width="2.25" style="337" customWidth="1"/>
    <col min="2" max="2" width="24.375" style="337" customWidth="1"/>
    <col min="3" max="3" width="9" style="337" bestFit="1" customWidth="1"/>
    <col min="4" max="4" width="3" style="337" customWidth="1"/>
    <col min="5" max="5" width="12.125" style="337" bestFit="1" customWidth="1"/>
    <col min="6" max="16384" width="11.25" style="337"/>
  </cols>
  <sheetData>
    <row r="2" spans="2:9" ht="13.9" customHeight="1">
      <c r="E2" s="2040" t="s">
        <v>1911</v>
      </c>
      <c r="F2" s="2041"/>
      <c r="G2" s="2041"/>
      <c r="H2" s="2041"/>
      <c r="I2" s="2041"/>
    </row>
    <row r="3" spans="2:9" ht="13.9" customHeight="1">
      <c r="E3" s="2040" t="s">
        <v>1912</v>
      </c>
      <c r="F3" s="2041"/>
      <c r="G3" s="2041"/>
      <c r="H3" s="2041"/>
      <c r="I3" s="2041"/>
    </row>
    <row r="4" spans="2:9" ht="13.9" customHeight="1">
      <c r="E4" s="2040" t="s">
        <v>1913</v>
      </c>
      <c r="F4" s="2041"/>
      <c r="G4" s="2041"/>
      <c r="H4" s="2041"/>
      <c r="I4" s="2041"/>
    </row>
    <row r="5" spans="2:9" ht="13.9" customHeight="1"/>
    <row r="6" spans="2:9">
      <c r="E6" s="2040" t="s">
        <v>1909</v>
      </c>
      <c r="F6" s="2041"/>
      <c r="G6" s="2041"/>
      <c r="H6" s="2041"/>
      <c r="I6" s="2041"/>
    </row>
    <row r="7" spans="2:9" ht="24">
      <c r="E7" s="2042" t="s">
        <v>1910</v>
      </c>
      <c r="F7" s="2041"/>
      <c r="G7" s="2041"/>
      <c r="H7" s="2041"/>
      <c r="I7" s="2041"/>
    </row>
    <row r="8" spans="2:9" ht="24">
      <c r="B8" s="2295"/>
      <c r="C8" s="2457">
        <f>'T302'!D9</f>
        <v>46214</v>
      </c>
      <c r="F8" s="2039" t="s">
        <v>1905</v>
      </c>
      <c r="G8" s="2039" t="s">
        <v>1906</v>
      </c>
      <c r="H8" s="2039" t="s">
        <v>1907</v>
      </c>
      <c r="I8" s="2039" t="s">
        <v>1908</v>
      </c>
    </row>
    <row r="9" spans="2:9" ht="13.9" customHeight="1">
      <c r="B9" s="2295"/>
      <c r="C9" s="2457" t="str">
        <f>$G$9</f>
        <v>Jul26-Jun27</v>
      </c>
      <c r="E9" s="1587" t="s">
        <v>1900</v>
      </c>
      <c r="F9" s="1369" t="s">
        <v>1901</v>
      </c>
      <c r="G9" s="1369" t="s">
        <v>1902</v>
      </c>
      <c r="H9" s="1369" t="s">
        <v>1903</v>
      </c>
      <c r="I9" s="1369" t="s">
        <v>1904</v>
      </c>
    </row>
    <row r="10" spans="2:9" ht="13.9" customHeight="1">
      <c r="B10" s="2046" t="s">
        <v>830</v>
      </c>
      <c r="C10" s="2047">
        <f>$G$14</f>
        <v>1.556</v>
      </c>
      <c r="E10" s="1587">
        <v>1</v>
      </c>
      <c r="F10" s="818">
        <v>1.4E-2</v>
      </c>
      <c r="G10" s="818">
        <v>0</v>
      </c>
      <c r="H10" s="818">
        <v>0</v>
      </c>
      <c r="I10" s="818">
        <v>1.0999999999999999E-2</v>
      </c>
    </row>
    <row r="11" spans="2:9" ht="13.9" customHeight="1">
      <c r="B11" s="2046" t="s">
        <v>408</v>
      </c>
      <c r="C11" s="2047">
        <f>$G$16</f>
        <v>2.6560000000000001</v>
      </c>
      <c r="E11" s="1587">
        <f>E10+1</f>
        <v>2</v>
      </c>
      <c r="F11" s="818">
        <v>0</v>
      </c>
      <c r="G11" s="818">
        <v>0</v>
      </c>
      <c r="H11" s="818">
        <v>0</v>
      </c>
      <c r="I11" s="818">
        <v>0</v>
      </c>
    </row>
    <row r="12" spans="2:9" ht="13.9" customHeight="1">
      <c r="B12" s="2046" t="s">
        <v>409</v>
      </c>
      <c r="C12" s="2047">
        <f>$G$17</f>
        <v>0</v>
      </c>
      <c r="E12" s="1587">
        <f t="shared" ref="E12:E19" si="0">E11+1</f>
        <v>3</v>
      </c>
      <c r="F12" s="818">
        <v>0</v>
      </c>
      <c r="G12" s="818">
        <v>0</v>
      </c>
      <c r="H12" s="818">
        <v>0</v>
      </c>
      <c r="I12" s="818">
        <v>2.1589999999999998</v>
      </c>
    </row>
    <row r="13" spans="2:9" ht="13.9" customHeight="1">
      <c r="B13" s="2046" t="s">
        <v>411</v>
      </c>
      <c r="C13" s="2047">
        <f>$G$18</f>
        <v>2.7410000000000001</v>
      </c>
      <c r="E13" s="1587">
        <f t="shared" si="0"/>
        <v>4</v>
      </c>
      <c r="F13" s="818">
        <v>2.085</v>
      </c>
      <c r="G13" s="818">
        <v>0.57699999999999996</v>
      </c>
      <c r="H13" s="818">
        <v>1.1879999999999999</v>
      </c>
      <c r="I13" s="818">
        <v>1.339</v>
      </c>
    </row>
    <row r="14" spans="2:9" ht="13.9" customHeight="1">
      <c r="B14" s="2046" t="s">
        <v>492</v>
      </c>
      <c r="C14" s="2047">
        <f>$G$26</f>
        <v>1.7221666666666666</v>
      </c>
      <c r="E14" s="1587">
        <f t="shared" si="0"/>
        <v>5</v>
      </c>
      <c r="F14" s="818">
        <v>3.456</v>
      </c>
      <c r="G14" s="818">
        <v>1.556</v>
      </c>
      <c r="H14" s="818">
        <v>2.169</v>
      </c>
      <c r="I14" s="818">
        <v>2.3610000000000002</v>
      </c>
    </row>
    <row r="15" spans="2:9" ht="13.9" customHeight="1">
      <c r="B15" s="2046" t="s">
        <v>454</v>
      </c>
      <c r="C15" s="2047">
        <f>$G$31</f>
        <v>0.26519999999999999</v>
      </c>
      <c r="E15" s="1587">
        <f t="shared" si="0"/>
        <v>6</v>
      </c>
      <c r="F15" s="818">
        <v>4.3090000000000002</v>
      </c>
      <c r="G15" s="818">
        <v>2.3620000000000001</v>
      </c>
      <c r="H15" s="818">
        <v>2.0070000000000001</v>
      </c>
      <c r="I15" s="818">
        <v>2.101</v>
      </c>
    </row>
    <row r="16" spans="2:9" ht="13.9" customHeight="1">
      <c r="E16" s="1587">
        <f t="shared" si="0"/>
        <v>7</v>
      </c>
      <c r="F16" s="818">
        <v>3.0609999999999999</v>
      </c>
      <c r="G16" s="818">
        <v>2.6560000000000001</v>
      </c>
      <c r="H16" s="818">
        <v>2.0339999999999998</v>
      </c>
      <c r="I16" s="818">
        <v>2.0609999999999999</v>
      </c>
    </row>
    <row r="17" spans="5:9" ht="13.9" customHeight="1">
      <c r="E17" s="1587">
        <f t="shared" si="0"/>
        <v>8</v>
      </c>
      <c r="F17" s="818">
        <v>0</v>
      </c>
      <c r="G17" s="818">
        <v>0</v>
      </c>
      <c r="H17" s="818">
        <v>0</v>
      </c>
      <c r="I17" s="818">
        <v>0.84899999999999998</v>
      </c>
    </row>
    <row r="18" spans="5:9" ht="13.9" customHeight="1">
      <c r="E18" s="1587">
        <f t="shared" si="0"/>
        <v>9</v>
      </c>
      <c r="F18" s="818">
        <v>6.5620000000000003</v>
      </c>
      <c r="G18" s="818">
        <v>2.7410000000000001</v>
      </c>
      <c r="H18" s="818">
        <v>2.0350000000000001</v>
      </c>
      <c r="I18" s="818">
        <v>2.0070000000000001</v>
      </c>
    </row>
    <row r="19" spans="5:9" ht="13.9" customHeight="1">
      <c r="E19" s="1587">
        <f t="shared" si="0"/>
        <v>10</v>
      </c>
      <c r="F19" s="818">
        <v>0.61699999999999999</v>
      </c>
      <c r="G19" s="818">
        <v>0.49299999999999999</v>
      </c>
      <c r="H19" s="818">
        <v>0.56399999999999995</v>
      </c>
      <c r="I19" s="818">
        <v>0.59</v>
      </c>
    </row>
    <row r="20" spans="5:9" ht="13.9" customHeight="1">
      <c r="E20" s="1587"/>
    </row>
    <row r="21" spans="5:9" ht="13.9" customHeight="1">
      <c r="E21" s="2040" t="s">
        <v>1914</v>
      </c>
      <c r="F21" s="2041"/>
      <c r="G21" s="2041"/>
      <c r="H21" s="2041"/>
      <c r="I21" s="2041"/>
    </row>
    <row r="22" spans="5:9" ht="24">
      <c r="E22" s="2042" t="s">
        <v>1915</v>
      </c>
      <c r="F22" s="2041"/>
      <c r="G22" s="2041"/>
      <c r="H22" s="2041"/>
      <c r="I22" s="2041"/>
    </row>
    <row r="23" spans="5:9" ht="24">
      <c r="F23" s="2039" t="s">
        <v>1905</v>
      </c>
      <c r="G23" s="2039" t="s">
        <v>1906</v>
      </c>
      <c r="H23" s="2039" t="s">
        <v>1907</v>
      </c>
      <c r="I23" s="2039" t="s">
        <v>1908</v>
      </c>
    </row>
    <row r="24" spans="5:9" ht="13.9" customHeight="1">
      <c r="E24" s="1587"/>
      <c r="F24" s="1369" t="s">
        <v>1901</v>
      </c>
      <c r="G24" s="1369" t="s">
        <v>1902</v>
      </c>
      <c r="H24" s="1369" t="s">
        <v>1903</v>
      </c>
      <c r="I24" s="1369" t="s">
        <v>1904</v>
      </c>
    </row>
    <row r="25" spans="5:9" ht="13.9" customHeight="1">
      <c r="E25" s="2044" t="s">
        <v>1920</v>
      </c>
      <c r="F25" s="818">
        <v>18.027000000000001</v>
      </c>
      <c r="G25" s="818">
        <v>20.666</v>
      </c>
      <c r="H25" s="818">
        <v>21.154</v>
      </c>
      <c r="I25" s="818">
        <v>18.510999999999999</v>
      </c>
    </row>
    <row r="26" spans="5:9" ht="13.9" customHeight="1">
      <c r="E26" s="2044" t="s">
        <v>1917</v>
      </c>
      <c r="F26" s="818">
        <f>F25/12</f>
        <v>1.5022500000000001</v>
      </c>
      <c r="G26" s="818">
        <f t="shared" ref="G26:I26" si="1">G25/12</f>
        <v>1.7221666666666666</v>
      </c>
      <c r="H26" s="818">
        <f t="shared" si="1"/>
        <v>1.7628333333333333</v>
      </c>
      <c r="I26" s="818">
        <f t="shared" si="1"/>
        <v>1.5425833333333332</v>
      </c>
    </row>
    <row r="27" spans="5:9" ht="13.9" customHeight="1">
      <c r="G27" s="2043"/>
    </row>
    <row r="28" spans="5:9" ht="24">
      <c r="E28" s="2042" t="s">
        <v>1916</v>
      </c>
      <c r="F28" s="2041"/>
      <c r="G28" s="2041"/>
      <c r="H28" s="2041"/>
      <c r="I28" s="2041"/>
    </row>
    <row r="29" spans="5:9" ht="24">
      <c r="F29" s="2039" t="s">
        <v>1905</v>
      </c>
      <c r="G29" s="2039" t="s">
        <v>1906</v>
      </c>
      <c r="H29" s="2039" t="s">
        <v>1907</v>
      </c>
      <c r="I29" s="2039" t="s">
        <v>1908</v>
      </c>
    </row>
    <row r="30" spans="5:9" ht="13.9" customHeight="1">
      <c r="E30" s="1587" t="s">
        <v>1918</v>
      </c>
      <c r="F30" s="1369" t="s">
        <v>1901</v>
      </c>
      <c r="G30" s="1369" t="s">
        <v>1902</v>
      </c>
      <c r="H30" s="1369" t="s">
        <v>1903</v>
      </c>
      <c r="I30" s="1369" t="s">
        <v>1904</v>
      </c>
    </row>
    <row r="31" spans="5:9" ht="13.9" customHeight="1">
      <c r="E31" s="2044" t="s">
        <v>1919</v>
      </c>
      <c r="F31" s="2045">
        <v>0.2175</v>
      </c>
      <c r="G31" s="2045">
        <v>0.26519999999999999</v>
      </c>
      <c r="H31" s="2045">
        <v>0.28749999999999998</v>
      </c>
      <c r="I31" s="2045">
        <v>0.24260000000000001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36">
    <tabColor theme="5" tint="0.59999389629810485"/>
    <pageSetUpPr fitToPage="1"/>
  </sheetPr>
  <dimension ref="B1:S87"/>
  <sheetViews>
    <sheetView view="pageBreakPreview" zoomScale="70" zoomScaleNormal="100" zoomScaleSheetLayoutView="70" workbookViewId="0">
      <selection activeCell="D21" sqref="D21"/>
    </sheetView>
  </sheetViews>
  <sheetFormatPr baseColWidth="10" defaultColWidth="11.25" defaultRowHeight="15.75"/>
  <cols>
    <col min="1" max="1" width="1.375" style="69" customWidth="1"/>
    <col min="2" max="2" width="70" style="69" bestFit="1" customWidth="1"/>
    <col min="3" max="3" width="1" style="69" customWidth="1"/>
    <col min="4" max="9" width="12.25" style="69" customWidth="1"/>
    <col min="10" max="10" width="1" style="69" customWidth="1"/>
    <col min="11" max="11" width="13.75" style="69" customWidth="1"/>
    <col min="12" max="12" width="2.375" style="69" customWidth="1"/>
    <col min="13" max="14" width="13.75" style="69" customWidth="1"/>
    <col min="15" max="16384" width="11.25" style="69"/>
  </cols>
  <sheetData>
    <row r="1" spans="2:11" ht="16.5" thickBot="1">
      <c r="B1" s="136" t="s">
        <v>151</v>
      </c>
      <c r="K1" s="41" t="s">
        <v>76</v>
      </c>
    </row>
    <row r="2" spans="2:11" ht="16.5" thickBot="1">
      <c r="B2" s="200" t="s">
        <v>113</v>
      </c>
      <c r="C2" s="41"/>
      <c r="J2" s="41"/>
      <c r="K2" s="201" t="s">
        <v>258</v>
      </c>
    </row>
    <row r="3" spans="2:11">
      <c r="D3" s="137"/>
    </row>
    <row r="4" spans="2:11" ht="31.5">
      <c r="B4" s="202" t="s">
        <v>296</v>
      </c>
      <c r="C4" s="203"/>
      <c r="D4" s="204" t="s">
        <v>541</v>
      </c>
      <c r="E4" s="203"/>
      <c r="F4" s="203"/>
      <c r="G4" s="203"/>
      <c r="H4" s="203"/>
      <c r="I4" s="203"/>
      <c r="J4" s="203"/>
    </row>
    <row r="5" spans="2:11">
      <c r="B5" s="205" t="s">
        <v>152</v>
      </c>
      <c r="C5" s="206"/>
      <c r="D5" s="206">
        <f>'T322'!D5+365+10</f>
        <v>46214</v>
      </c>
      <c r="E5" s="206">
        <f>'T322'!E5+365+10</f>
        <v>46245</v>
      </c>
      <c r="F5" s="206">
        <f>'T322'!F5+365+10</f>
        <v>46276</v>
      </c>
      <c r="G5" s="206">
        <f>'T322'!G5+365+10</f>
        <v>46306</v>
      </c>
      <c r="H5" s="206">
        <f>'T322'!H5+365+10</f>
        <v>46337</v>
      </c>
      <c r="I5" s="206">
        <f>'T322'!I5+365+10</f>
        <v>46367</v>
      </c>
      <c r="J5" s="206"/>
    </row>
    <row r="6" spans="2:11">
      <c r="B6" s="234" t="s">
        <v>112</v>
      </c>
      <c r="C6" s="235"/>
      <c r="D6" s="235">
        <f>'T322'!D6*1.015</f>
        <v>833.35559999999987</v>
      </c>
      <c r="E6" s="235">
        <f>'T322'!E6*1.015</f>
        <v>731.90634999999997</v>
      </c>
      <c r="F6" s="235">
        <f>'T322'!F6*1.015</f>
        <v>734.80925000000002</v>
      </c>
      <c r="G6" s="235">
        <f>'T322'!G6*1.015</f>
        <v>726.13099999999986</v>
      </c>
      <c r="H6" s="235">
        <f>'T322'!H6*1.015</f>
        <v>703.40514999999994</v>
      </c>
      <c r="I6" s="235">
        <f>'T322'!I6*1.015</f>
        <v>706.07459999999992</v>
      </c>
      <c r="J6" s="235"/>
    </row>
    <row r="8" spans="2:11" ht="31.5">
      <c r="B8" s="202" t="s">
        <v>491</v>
      </c>
      <c r="C8" s="203"/>
      <c r="D8" s="204" t="s">
        <v>1107</v>
      </c>
      <c r="E8" s="203"/>
      <c r="F8" s="203"/>
      <c r="G8" s="203"/>
      <c r="H8" s="203"/>
      <c r="I8" s="203"/>
      <c r="J8" s="203"/>
      <c r="K8" s="203"/>
    </row>
    <row r="9" spans="2:11">
      <c r="B9" s="205" t="s">
        <v>152</v>
      </c>
      <c r="C9" s="206"/>
      <c r="D9" s="206">
        <f t="shared" ref="D9:I9" si="0">D$5</f>
        <v>46214</v>
      </c>
      <c r="E9" s="206">
        <f t="shared" si="0"/>
        <v>46245</v>
      </c>
      <c r="F9" s="206">
        <f t="shared" si="0"/>
        <v>46276</v>
      </c>
      <c r="G9" s="206">
        <f t="shared" si="0"/>
        <v>46306</v>
      </c>
      <c r="H9" s="206">
        <f t="shared" si="0"/>
        <v>46337</v>
      </c>
      <c r="I9" s="206">
        <f t="shared" si="0"/>
        <v>46367</v>
      </c>
      <c r="J9" s="206"/>
      <c r="K9" s="206" t="s">
        <v>112</v>
      </c>
    </row>
    <row r="10" spans="2:11">
      <c r="B10" s="207" t="s">
        <v>816</v>
      </c>
      <c r="C10" s="208"/>
      <c r="D10" s="208">
        <f>'T322'!D10/'T322'!D$14*D$14</f>
        <v>85.569703409300701</v>
      </c>
      <c r="E10" s="208">
        <f>'T322'!E10/'T322'!E$14*E$14</f>
        <v>89.305665682570265</v>
      </c>
      <c r="F10" s="208">
        <f>'T322'!F10/'T322'!F$14*F$14</f>
        <v>84.664655878518161</v>
      </c>
      <c r="G10" s="208">
        <f>'T322'!G10/'T322'!G$14*G$14</f>
        <v>86.502319446413964</v>
      </c>
      <c r="H10" s="208">
        <f>'T322'!H10/'T322'!H$14*H$14</f>
        <v>80.224644377687284</v>
      </c>
      <c r="I10" s="208">
        <f>'T322'!I10/'T322'!I$14*I$14</f>
        <v>80.129466111751995</v>
      </c>
      <c r="J10" s="208"/>
      <c r="K10" s="208">
        <f>SUM(D10:I10)</f>
        <v>506.39645490624235</v>
      </c>
    </row>
    <row r="11" spans="2:11">
      <c r="B11" s="207" t="s">
        <v>408</v>
      </c>
      <c r="C11" s="208"/>
      <c r="D11" s="208">
        <f>'T322'!D11/'T322'!D$14*D$14</f>
        <v>350162.89494677796</v>
      </c>
      <c r="E11" s="208">
        <f>'T322'!E11/'T322'!E$14*E$14</f>
        <v>341494.37250929512</v>
      </c>
      <c r="F11" s="208">
        <f>'T322'!F11/'T322'!F$14*F$14</f>
        <v>330673.18349153624</v>
      </c>
      <c r="G11" s="208">
        <f>'T322'!G11/'T322'!G$14*G$14</f>
        <v>343429.04768831073</v>
      </c>
      <c r="H11" s="208">
        <f>'T322'!H11/'T322'!H$14*H$14</f>
        <v>318335.13582099724</v>
      </c>
      <c r="I11" s="208">
        <f>'T322'!I11/'T322'!I$14*I$14</f>
        <v>339180.96875332546</v>
      </c>
      <c r="J11" s="208"/>
      <c r="K11" s="208">
        <f>SUM(D11:I11)</f>
        <v>2023275.6032102427</v>
      </c>
    </row>
    <row r="12" spans="2:11">
      <c r="B12" s="207" t="s">
        <v>409</v>
      </c>
      <c r="C12" s="208"/>
      <c r="D12" s="208">
        <f>'T322'!D12/'T322'!D$14*D$14</f>
        <v>927.56789137709245</v>
      </c>
      <c r="E12" s="208">
        <f>'T322'!E12/'T322'!E$14*E$14</f>
        <v>966.49716390248068</v>
      </c>
      <c r="F12" s="208">
        <f>'T322'!F12/'T322'!F$14*F$14</f>
        <v>911.70910627760964</v>
      </c>
      <c r="G12" s="208">
        <f>'T322'!G12/'T322'!G$14*G$14</f>
        <v>897.93088535141385</v>
      </c>
      <c r="H12" s="208">
        <f>'T322'!H12/'T322'!H$14*H$14</f>
        <v>909.79289744645848</v>
      </c>
      <c r="I12" s="208">
        <f>'T322'!I12/'T322'!I$14*I$14</f>
        <v>898.4530814651464</v>
      </c>
      <c r="J12" s="208"/>
      <c r="K12" s="208">
        <f>SUM(D12:I12)</f>
        <v>5511.9510258202017</v>
      </c>
    </row>
    <row r="13" spans="2:11">
      <c r="B13" s="207" t="s">
        <v>411</v>
      </c>
      <c r="C13" s="208"/>
      <c r="D13" s="208">
        <f>'T322'!D13/'T322'!D$14*D$14</f>
        <v>61846.870886579127</v>
      </c>
      <c r="E13" s="208">
        <f>'T322'!E13/'T322'!E$14*E$14</f>
        <v>61936.072389106703</v>
      </c>
      <c r="F13" s="208">
        <f>'T322'!F13/'T322'!F$14*F$14</f>
        <v>60433.538280425237</v>
      </c>
      <c r="G13" s="208">
        <f>'T322'!G13/'T322'!G$14*G$14</f>
        <v>60897.727543269357</v>
      </c>
      <c r="H13" s="208">
        <f>'T322'!H13/'T322'!H$14*H$14</f>
        <v>54256.124422953471</v>
      </c>
      <c r="I13" s="208">
        <f>'T322'!I13/'T322'!I$14*I$14</f>
        <v>57831.82897964205</v>
      </c>
      <c r="J13" s="208"/>
      <c r="K13" s="208">
        <f>SUM(D13:I13)</f>
        <v>357202.16250197595</v>
      </c>
    </row>
    <row r="14" spans="2:11">
      <c r="B14" s="234" t="s">
        <v>112</v>
      </c>
      <c r="C14" s="244"/>
      <c r="D14" s="244">
        <f t="shared" ref="D14:I14" si="1">D18</f>
        <v>413022.90342814347</v>
      </c>
      <c r="E14" s="244">
        <f t="shared" si="1"/>
        <v>404486.24772798683</v>
      </c>
      <c r="F14" s="244">
        <f t="shared" si="1"/>
        <v>392103.09553411754</v>
      </c>
      <c r="G14" s="244">
        <f t="shared" si="1"/>
        <v>405311.20843637793</v>
      </c>
      <c r="H14" s="244">
        <f t="shared" si="1"/>
        <v>373581.2777857749</v>
      </c>
      <c r="I14" s="244">
        <f t="shared" si="1"/>
        <v>397991.3802805444</v>
      </c>
      <c r="J14" s="244"/>
      <c r="K14" s="244">
        <f>SUM(K10:K13)</f>
        <v>2386496.1131929453</v>
      </c>
    </row>
    <row r="15" spans="2:11">
      <c r="B15" s="207" t="s">
        <v>763</v>
      </c>
      <c r="C15" s="208"/>
      <c r="D15" s="208">
        <f>'G502'!G203</f>
        <v>0</v>
      </c>
      <c r="E15" s="208">
        <f>'G502'!H203</f>
        <v>0</v>
      </c>
      <c r="F15" s="208">
        <f>'G502'!I203</f>
        <v>0</v>
      </c>
      <c r="G15" s="208">
        <f>'G502'!J203</f>
        <v>0</v>
      </c>
      <c r="H15" s="208">
        <f>'G502'!K203</f>
        <v>0</v>
      </c>
      <c r="I15" s="208">
        <f>'G502'!L203</f>
        <v>0</v>
      </c>
      <c r="J15" s="208"/>
      <c r="K15" s="208">
        <f>SUM(D15:I15)</f>
        <v>0</v>
      </c>
    </row>
    <row r="16" spans="2:11">
      <c r="B16" s="2049" t="s">
        <v>542</v>
      </c>
      <c r="C16" s="209"/>
      <c r="D16" s="209">
        <f>'G502'!G191+'G502'!G198</f>
        <v>332691.31976055889</v>
      </c>
      <c r="E16" s="209">
        <f>'G502'!H191+'G502'!H198</f>
        <v>325698.23259751796</v>
      </c>
      <c r="F16" s="209">
        <f>'G502'!I191+'G502'!I198</f>
        <v>314460.5132556035</v>
      </c>
      <c r="G16" s="209">
        <f>'G502'!J191+'G502'!J198</f>
        <v>322446.07444967912</v>
      </c>
      <c r="H16" s="209">
        <f>'G502'!K191+'G502'!K198</f>
        <v>298955.2611541347</v>
      </c>
      <c r="I16" s="209">
        <f>'G502'!L191+'G502'!L198</f>
        <v>317076.39354133228</v>
      </c>
      <c r="J16" s="209"/>
      <c r="K16" s="209">
        <f>SUM(D16:I16)</f>
        <v>1911327.7947588265</v>
      </c>
    </row>
    <row r="17" spans="2:14">
      <c r="B17" s="196" t="s">
        <v>1083</v>
      </c>
      <c r="C17" s="208"/>
      <c r="D17" s="208">
        <f>'G502'!G205</f>
        <v>332691.31976055889</v>
      </c>
      <c r="E17" s="208">
        <f>'G502'!H205</f>
        <v>325698.23259751796</v>
      </c>
      <c r="F17" s="208">
        <f>'G502'!I205</f>
        <v>314460.5132556035</v>
      </c>
      <c r="G17" s="208">
        <f>'G502'!J205</f>
        <v>322446.07444967912</v>
      </c>
      <c r="H17" s="208">
        <f>'G502'!K205</f>
        <v>298955.2611541347</v>
      </c>
      <c r="I17" s="208">
        <f>'G502'!L205</f>
        <v>317076.39354133228</v>
      </c>
      <c r="J17" s="208"/>
      <c r="K17" s="208">
        <f>'G502'!M205</f>
        <v>1911327.7947588265</v>
      </c>
      <c r="M17" s="41"/>
      <c r="N17" s="41"/>
    </row>
    <row r="18" spans="2:14">
      <c r="B18" s="196" t="s">
        <v>1082</v>
      </c>
      <c r="C18" s="208"/>
      <c r="D18" s="244">
        <f>D17+(F801ENE!D146/1000)</f>
        <v>413022.90342814347</v>
      </c>
      <c r="E18" s="244">
        <f>E17+(F801ENE!E146/1000)</f>
        <v>404486.24772798683</v>
      </c>
      <c r="F18" s="244">
        <f>F17+(F801ENE!F146/1000)</f>
        <v>392103.09553411754</v>
      </c>
      <c r="G18" s="244">
        <f>G17+(F801ENE!G146/1000)</f>
        <v>405311.20843637793</v>
      </c>
      <c r="H18" s="244">
        <f>H17+(F801ENE!H146/1000)</f>
        <v>373581.2777857749</v>
      </c>
      <c r="I18" s="244">
        <f>I17+(F801ENE!I146/1000)</f>
        <v>397991.3802805444</v>
      </c>
      <c r="J18" s="244"/>
      <c r="K18" s="244">
        <f>SUM(D18:I18)</f>
        <v>2386496.1131929448</v>
      </c>
      <c r="M18" s="41"/>
      <c r="N18" s="41"/>
    </row>
    <row r="19" spans="2:14">
      <c r="C19" s="72"/>
      <c r="D19" s="72"/>
      <c r="E19" s="72"/>
      <c r="F19" s="72"/>
      <c r="G19" s="72"/>
      <c r="H19" s="72"/>
      <c r="I19" s="72"/>
      <c r="J19" s="72"/>
      <c r="M19" s="41"/>
      <c r="N19" s="41"/>
    </row>
    <row r="20" spans="2:14">
      <c r="B20" s="202" t="s">
        <v>453</v>
      </c>
      <c r="C20" s="206"/>
      <c r="D20" s="206">
        <f t="shared" ref="D20:I20" si="2">D$29</f>
        <v>46214</v>
      </c>
      <c r="E20" s="206">
        <f t="shared" si="2"/>
        <v>46245</v>
      </c>
      <c r="F20" s="206">
        <f t="shared" si="2"/>
        <v>46276</v>
      </c>
      <c r="G20" s="206">
        <f t="shared" si="2"/>
        <v>46306</v>
      </c>
      <c r="H20" s="206">
        <f t="shared" si="2"/>
        <v>46337</v>
      </c>
      <c r="I20" s="206">
        <f t="shared" si="2"/>
        <v>46367</v>
      </c>
      <c r="J20" s="206"/>
      <c r="M20" s="41"/>
      <c r="N20" s="41"/>
    </row>
    <row r="21" spans="2:14">
      <c r="B21" s="207" t="s">
        <v>830</v>
      </c>
      <c r="C21" s="196"/>
      <c r="D21" s="2048">
        <f>'Pliego ETESA'!C10</f>
        <v>1.556</v>
      </c>
      <c r="E21" s="2048">
        <f>D21</f>
        <v>1.556</v>
      </c>
      <c r="F21" s="2048">
        <f t="shared" ref="F21:I21" si="3">E21</f>
        <v>1.556</v>
      </c>
      <c r="G21" s="2048">
        <f t="shared" si="3"/>
        <v>1.556</v>
      </c>
      <c r="H21" s="2048">
        <f t="shared" si="3"/>
        <v>1.556</v>
      </c>
      <c r="I21" s="2048">
        <f t="shared" si="3"/>
        <v>1.556</v>
      </c>
      <c r="J21" s="196"/>
      <c r="M21" s="41"/>
      <c r="N21" s="41"/>
    </row>
    <row r="22" spans="2:14">
      <c r="B22" s="207" t="s">
        <v>408</v>
      </c>
      <c r="C22" s="196"/>
      <c r="D22" s="2048">
        <f>'Pliego ETESA'!C11</f>
        <v>2.6560000000000001</v>
      </c>
      <c r="E22" s="2048">
        <f t="shared" ref="E22:I22" si="4">D22</f>
        <v>2.6560000000000001</v>
      </c>
      <c r="F22" s="2048">
        <f t="shared" si="4"/>
        <v>2.6560000000000001</v>
      </c>
      <c r="G22" s="2048">
        <f t="shared" si="4"/>
        <v>2.6560000000000001</v>
      </c>
      <c r="H22" s="2048">
        <f t="shared" si="4"/>
        <v>2.6560000000000001</v>
      </c>
      <c r="I22" s="2048">
        <f t="shared" si="4"/>
        <v>2.6560000000000001</v>
      </c>
      <c r="J22" s="196"/>
      <c r="M22" s="41"/>
      <c r="N22" s="41"/>
    </row>
    <row r="23" spans="2:14">
      <c r="B23" s="207" t="s">
        <v>409</v>
      </c>
      <c r="C23" s="196"/>
      <c r="D23" s="2048">
        <f>'Pliego ETESA'!C12</f>
        <v>0</v>
      </c>
      <c r="E23" s="2048">
        <f t="shared" ref="E23:I23" si="5">D23</f>
        <v>0</v>
      </c>
      <c r="F23" s="2048">
        <f t="shared" si="5"/>
        <v>0</v>
      </c>
      <c r="G23" s="2048">
        <f t="shared" si="5"/>
        <v>0</v>
      </c>
      <c r="H23" s="2048">
        <f t="shared" si="5"/>
        <v>0</v>
      </c>
      <c r="I23" s="2048">
        <f t="shared" si="5"/>
        <v>0</v>
      </c>
      <c r="J23" s="196"/>
      <c r="M23" s="41"/>
      <c r="N23" s="41"/>
    </row>
    <row r="24" spans="2:14">
      <c r="B24" s="207" t="s">
        <v>411</v>
      </c>
      <c r="C24" s="196"/>
      <c r="D24" s="2048">
        <f>'Pliego ETESA'!C13</f>
        <v>2.7410000000000001</v>
      </c>
      <c r="E24" s="2048">
        <f t="shared" ref="E24:I24" si="6">D24</f>
        <v>2.7410000000000001</v>
      </c>
      <c r="F24" s="2048">
        <f t="shared" si="6"/>
        <v>2.7410000000000001</v>
      </c>
      <c r="G24" s="2048">
        <f t="shared" si="6"/>
        <v>2.7410000000000001</v>
      </c>
      <c r="H24" s="2048">
        <f t="shared" si="6"/>
        <v>2.7410000000000001</v>
      </c>
      <c r="I24" s="2048">
        <f t="shared" si="6"/>
        <v>2.7410000000000001</v>
      </c>
      <c r="J24" s="196"/>
      <c r="M24" s="41"/>
      <c r="N24" s="41"/>
    </row>
    <row r="25" spans="2:14">
      <c r="B25" s="207" t="s">
        <v>492</v>
      </c>
      <c r="C25" s="196"/>
      <c r="D25" s="2048">
        <f>'Pliego ETESA'!C14</f>
        <v>1.7221666666666666</v>
      </c>
      <c r="E25" s="2048">
        <f t="shared" ref="E25:I25" si="7">D25</f>
        <v>1.7221666666666666</v>
      </c>
      <c r="F25" s="2048">
        <f t="shared" si="7"/>
        <v>1.7221666666666666</v>
      </c>
      <c r="G25" s="2048">
        <f t="shared" si="7"/>
        <v>1.7221666666666666</v>
      </c>
      <c r="H25" s="2048">
        <f t="shared" si="7"/>
        <v>1.7221666666666666</v>
      </c>
      <c r="I25" s="2048">
        <f t="shared" si="7"/>
        <v>1.7221666666666666</v>
      </c>
      <c r="J25" s="196"/>
      <c r="M25" s="41"/>
      <c r="N25" s="41"/>
    </row>
    <row r="26" spans="2:14">
      <c r="B26" s="207" t="s">
        <v>454</v>
      </c>
      <c r="C26" s="196"/>
      <c r="D26" s="2048">
        <f>'Pliego ETESA'!C15</f>
        <v>0.26519999999999999</v>
      </c>
      <c r="E26" s="2048">
        <f t="shared" ref="E26:I26" si="8">D26</f>
        <v>0.26519999999999999</v>
      </c>
      <c r="F26" s="2048">
        <f t="shared" si="8"/>
        <v>0.26519999999999999</v>
      </c>
      <c r="G26" s="2048">
        <f t="shared" si="8"/>
        <v>0.26519999999999999</v>
      </c>
      <c r="H26" s="2048">
        <f t="shared" si="8"/>
        <v>0.26519999999999999</v>
      </c>
      <c r="I26" s="2048">
        <f t="shared" si="8"/>
        <v>0.26519999999999999</v>
      </c>
      <c r="J26" s="196"/>
      <c r="M26" s="41"/>
      <c r="N26" s="41"/>
    </row>
    <row r="27" spans="2:14">
      <c r="C27" s="72"/>
      <c r="D27" s="72"/>
      <c r="E27" s="72"/>
      <c r="F27" s="72"/>
      <c r="G27" s="72"/>
      <c r="H27" s="72"/>
      <c r="I27" s="72"/>
      <c r="J27" s="72"/>
      <c r="M27" s="41"/>
      <c r="N27" s="41"/>
    </row>
    <row r="28" spans="2:14">
      <c r="B28" s="210"/>
      <c r="C28" s="203"/>
      <c r="D28" s="204" t="s">
        <v>257</v>
      </c>
      <c r="E28" s="203"/>
      <c r="F28" s="203"/>
      <c r="G28" s="203"/>
      <c r="H28" s="203"/>
      <c r="I28" s="203"/>
      <c r="J28" s="203"/>
      <c r="K28" s="203"/>
      <c r="M28" s="1900"/>
      <c r="N28" s="1900"/>
    </row>
    <row r="29" spans="2:14">
      <c r="B29" s="76" t="s">
        <v>295</v>
      </c>
      <c r="C29" s="206"/>
      <c r="D29" s="206">
        <f t="shared" ref="D29:I29" si="9">D$5</f>
        <v>46214</v>
      </c>
      <c r="E29" s="206">
        <f t="shared" si="9"/>
        <v>46245</v>
      </c>
      <c r="F29" s="206">
        <f t="shared" si="9"/>
        <v>46276</v>
      </c>
      <c r="G29" s="206">
        <f t="shared" si="9"/>
        <v>46306</v>
      </c>
      <c r="H29" s="206">
        <f t="shared" si="9"/>
        <v>46337</v>
      </c>
      <c r="I29" s="206">
        <f t="shared" si="9"/>
        <v>46367</v>
      </c>
      <c r="J29" s="206"/>
      <c r="K29" s="206" t="s">
        <v>112</v>
      </c>
      <c r="M29" s="1901"/>
      <c r="N29" s="1901"/>
    </row>
    <row r="30" spans="2:14">
      <c r="B30" s="1959"/>
      <c r="C30" s="208"/>
      <c r="D30" s="208"/>
      <c r="E30" s="208"/>
      <c r="F30" s="208"/>
      <c r="G30" s="208"/>
      <c r="H30" s="208"/>
      <c r="I30" s="208"/>
      <c r="J30" s="208"/>
      <c r="K30" s="208"/>
      <c r="M30" s="72"/>
      <c r="N30" s="72"/>
    </row>
    <row r="31" spans="2:14">
      <c r="B31" s="1899" t="str">
        <f>'T322'!B31</f>
        <v>ETESA - Cargos por Uso del Sistem Principal (MWh)</v>
      </c>
      <c r="C31" s="243"/>
      <c r="D31" s="243">
        <f t="shared" ref="D31:I31" si="10">SUBTOTAL(9, D32:D36)</f>
        <v>1099688.07</v>
      </c>
      <c r="E31" s="243">
        <f t="shared" si="10"/>
        <v>1076914.78</v>
      </c>
      <c r="F31" s="243">
        <f t="shared" si="10"/>
        <v>1044048.0499999999</v>
      </c>
      <c r="G31" s="243">
        <f t="shared" si="10"/>
        <v>1079202.82</v>
      </c>
      <c r="H31" s="243">
        <f t="shared" si="10"/>
        <v>994338.99</v>
      </c>
      <c r="I31" s="243">
        <f t="shared" si="10"/>
        <v>1059506.3700000001</v>
      </c>
      <c r="J31" s="243"/>
      <c r="K31" s="243">
        <f>SUM(D31:I31)</f>
        <v>6353699.0800000001</v>
      </c>
      <c r="M31" s="1902">
        <f>'T322'!K31</f>
        <v>4763471</v>
      </c>
      <c r="N31" s="1902">
        <f>K31-M31</f>
        <v>1590228.08</v>
      </c>
    </row>
    <row r="32" spans="2:14">
      <c r="B32" s="1959" t="str">
        <f>'T322'!B32</f>
        <v>Zona 5 (Llano Sánchez)</v>
      </c>
      <c r="C32" s="208"/>
      <c r="D32" s="208">
        <f>ROUND(D10*D21,2)</f>
        <v>133.15</v>
      </c>
      <c r="E32" s="208">
        <f t="shared" ref="E32:I35" si="11">ROUND(E10*E21,2)</f>
        <v>138.96</v>
      </c>
      <c r="F32" s="208">
        <f t="shared" si="11"/>
        <v>131.74</v>
      </c>
      <c r="G32" s="208">
        <f t="shared" si="11"/>
        <v>134.6</v>
      </c>
      <c r="H32" s="208">
        <f t="shared" si="11"/>
        <v>124.83</v>
      </c>
      <c r="I32" s="208">
        <f t="shared" si="11"/>
        <v>124.68</v>
      </c>
      <c r="J32" s="208"/>
      <c r="K32" s="208">
        <f>SUM(D32:I32)</f>
        <v>787.96</v>
      </c>
      <c r="M32" s="72">
        <f>'T322'!K32</f>
        <v>822.0200000000001</v>
      </c>
      <c r="N32" s="72">
        <f>K32-M32</f>
        <v>-34.060000000000059</v>
      </c>
    </row>
    <row r="33" spans="2:14">
      <c r="B33" s="1959" t="str">
        <f>'T322'!B33</f>
        <v>Zona 7 (Panamá)</v>
      </c>
      <c r="C33" s="208"/>
      <c r="D33" s="208">
        <f>ROUND(D11*D22,2)</f>
        <v>930032.65</v>
      </c>
      <c r="E33" s="208">
        <f t="shared" si="11"/>
        <v>907009.05</v>
      </c>
      <c r="F33" s="208">
        <f t="shared" si="11"/>
        <v>878267.98</v>
      </c>
      <c r="G33" s="208">
        <f t="shared" si="11"/>
        <v>912147.55</v>
      </c>
      <c r="H33" s="208">
        <f t="shared" si="11"/>
        <v>845498.12</v>
      </c>
      <c r="I33" s="208">
        <f t="shared" si="11"/>
        <v>900864.65</v>
      </c>
      <c r="J33" s="208"/>
      <c r="K33" s="208">
        <f>SUM(D33:I33)</f>
        <v>5373820.0000000009</v>
      </c>
      <c r="M33" s="72">
        <f>'T322'!K33</f>
        <v>3622559.3499999996</v>
      </c>
      <c r="N33" s="72">
        <f>K33-M33</f>
        <v>1751260.6500000013</v>
      </c>
    </row>
    <row r="34" spans="2:14">
      <c r="B34" s="1959" t="str">
        <f>'T322'!B34</f>
        <v>Zona 8 (S/E Bayano)</v>
      </c>
      <c r="C34" s="208"/>
      <c r="D34" s="208">
        <f>ROUND(D12*D23,2)</f>
        <v>0</v>
      </c>
      <c r="E34" s="208">
        <f t="shared" si="11"/>
        <v>0</v>
      </c>
      <c r="F34" s="208">
        <f t="shared" si="11"/>
        <v>0</v>
      </c>
      <c r="G34" s="208">
        <f t="shared" si="11"/>
        <v>0</v>
      </c>
      <c r="H34" s="208">
        <f t="shared" si="11"/>
        <v>0</v>
      </c>
      <c r="I34" s="208">
        <f t="shared" si="11"/>
        <v>0</v>
      </c>
      <c r="J34" s="208"/>
      <c r="K34" s="208">
        <f>SUM(D34:I34)</f>
        <v>0</v>
      </c>
      <c r="M34" s="72">
        <f>'T322'!K34</f>
        <v>0</v>
      </c>
      <c r="N34" s="72">
        <f>K34-M34</f>
        <v>0</v>
      </c>
    </row>
    <row r="35" spans="2:14">
      <c r="B35" s="1959" t="str">
        <f>'T322'!B35</f>
        <v>Zona 9 (S/E Bahía las Minas)</v>
      </c>
      <c r="C35" s="208"/>
      <c r="D35" s="208">
        <f>ROUND(D13*D24,2)</f>
        <v>169522.27</v>
      </c>
      <c r="E35" s="208">
        <f t="shared" si="11"/>
        <v>169766.77</v>
      </c>
      <c r="F35" s="208">
        <f t="shared" si="11"/>
        <v>165648.32999999999</v>
      </c>
      <c r="G35" s="208">
        <f t="shared" si="11"/>
        <v>166920.67000000001</v>
      </c>
      <c r="H35" s="208">
        <f t="shared" si="11"/>
        <v>148716.04</v>
      </c>
      <c r="I35" s="208">
        <f t="shared" si="11"/>
        <v>158517.04</v>
      </c>
      <c r="J35" s="208"/>
      <c r="K35" s="208">
        <f>SUM(D35:I35)</f>
        <v>979091.12000000011</v>
      </c>
      <c r="M35" s="72">
        <f>'T322'!K35</f>
        <v>1140089.6300000001</v>
      </c>
      <c r="N35" s="72">
        <f>K35-M35</f>
        <v>-160998.51</v>
      </c>
    </row>
    <row r="36" spans="2:14">
      <c r="B36" s="1959"/>
      <c r="C36" s="208"/>
      <c r="D36" s="208"/>
      <c r="E36" s="208"/>
      <c r="F36" s="208"/>
      <c r="G36" s="208"/>
      <c r="H36" s="208"/>
      <c r="I36" s="208"/>
      <c r="J36" s="208"/>
      <c r="K36" s="208"/>
      <c r="M36" s="72"/>
      <c r="N36" s="72"/>
    </row>
    <row r="37" spans="2:14">
      <c r="B37" s="1899" t="str">
        <f>'T322'!B37</f>
        <v>ETESA - Cargos por Uso del Sistem Principal (MW)</v>
      </c>
      <c r="C37" s="243"/>
      <c r="D37" s="243">
        <f t="shared" ref="D37:I37" si="12">D6*D$25*1000</f>
        <v>1435177.2357999999</v>
      </c>
      <c r="E37" s="243">
        <f t="shared" si="12"/>
        <v>1260464.7190916666</v>
      </c>
      <c r="F37" s="243">
        <f t="shared" si="12"/>
        <v>1265463.9967083333</v>
      </c>
      <c r="G37" s="243">
        <f t="shared" si="12"/>
        <v>1250518.6038333331</v>
      </c>
      <c r="H37" s="243">
        <f t="shared" si="12"/>
        <v>1211380.9024916666</v>
      </c>
      <c r="I37" s="243">
        <f t="shared" si="12"/>
        <v>1215978.1402999996</v>
      </c>
      <c r="J37" s="244"/>
      <c r="K37" s="243">
        <f>SUM(D37:I37)</f>
        <v>7638983.5982249994</v>
      </c>
      <c r="M37" s="1902">
        <f>'T322'!K37</f>
        <v>6665948.6899999995</v>
      </c>
      <c r="N37" s="1902">
        <f>K37-M37</f>
        <v>973034.9082249999</v>
      </c>
    </row>
    <row r="38" spans="2:14">
      <c r="B38" s="1959"/>
      <c r="C38" s="208"/>
      <c r="D38" s="208"/>
      <c r="E38" s="208"/>
      <c r="F38" s="208"/>
      <c r="G38" s="208"/>
      <c r="H38" s="208"/>
      <c r="I38" s="208"/>
      <c r="J38" s="208"/>
      <c r="K38" s="208"/>
      <c r="M38" s="72"/>
      <c r="N38" s="72"/>
    </row>
    <row r="39" spans="2:14">
      <c r="B39" s="1899" t="str">
        <f>'T322'!B39</f>
        <v>ETESA - Cargos por Operación Integrada</v>
      </c>
      <c r="C39" s="244"/>
      <c r="D39" s="243">
        <f t="shared" ref="D39:I39" si="13">D6*D26*1000</f>
        <v>221005.90511999995</v>
      </c>
      <c r="E39" s="243">
        <f t="shared" si="13"/>
        <v>194101.56401999999</v>
      </c>
      <c r="F39" s="243">
        <f t="shared" si="13"/>
        <v>194871.41310000001</v>
      </c>
      <c r="G39" s="243">
        <f t="shared" si="13"/>
        <v>192569.94119999997</v>
      </c>
      <c r="H39" s="243">
        <f t="shared" si="13"/>
        <v>186543.04577999999</v>
      </c>
      <c r="I39" s="243">
        <f t="shared" si="13"/>
        <v>187250.98391999997</v>
      </c>
      <c r="J39" s="244"/>
      <c r="K39" s="243">
        <f>SUM(D39:I39)</f>
        <v>1176342.85314</v>
      </c>
      <c r="M39" s="1902">
        <f>'T322'!K39</f>
        <v>1054949.3899999999</v>
      </c>
      <c r="N39" s="1902">
        <f>K39-M39</f>
        <v>121393.46314000012</v>
      </c>
    </row>
    <row r="40" spans="2:14">
      <c r="B40" s="1959"/>
      <c r="C40" s="208"/>
      <c r="D40" s="208"/>
      <c r="E40" s="208"/>
      <c r="F40" s="208"/>
      <c r="G40" s="208"/>
      <c r="H40" s="208"/>
      <c r="I40" s="208"/>
      <c r="J40" s="208"/>
      <c r="K40" s="208"/>
      <c r="M40" s="72"/>
      <c r="N40" s="72"/>
    </row>
    <row r="41" spans="2:14">
      <c r="B41" s="1899" t="str">
        <f>'T322'!B41</f>
        <v>ETESA - CUSPT</v>
      </c>
      <c r="C41" s="243"/>
      <c r="D41" s="243">
        <f t="shared" ref="D41:I41" si="14">SUBTOTAL(9, D42:D44)</f>
        <v>0</v>
      </c>
      <c r="E41" s="243">
        <f t="shared" si="14"/>
        <v>0</v>
      </c>
      <c r="F41" s="243">
        <f t="shared" si="14"/>
        <v>0</v>
      </c>
      <c r="G41" s="243">
        <f t="shared" si="14"/>
        <v>0</v>
      </c>
      <c r="H41" s="243">
        <f t="shared" si="14"/>
        <v>0</v>
      </c>
      <c r="I41" s="243">
        <f t="shared" si="14"/>
        <v>0</v>
      </c>
      <c r="J41" s="243"/>
      <c r="K41" s="243">
        <f>SUM(D41:I41)</f>
        <v>0</v>
      </c>
      <c r="M41" s="1902">
        <f>'T322'!K41</f>
        <v>0</v>
      </c>
      <c r="N41" s="1902">
        <f>K41-M41</f>
        <v>0</v>
      </c>
    </row>
    <row r="42" spans="2:14">
      <c r="B42" s="1959" t="str">
        <f>'T322'!B42</f>
        <v>CUSPT del Sist. de Trans.</v>
      </c>
      <c r="C42" s="208"/>
      <c r="D42" s="208"/>
      <c r="E42" s="208"/>
      <c r="F42" s="208"/>
      <c r="G42" s="208"/>
      <c r="H42" s="208"/>
      <c r="I42" s="208"/>
      <c r="J42" s="208"/>
      <c r="K42" s="208">
        <f>SUM(D42:I42)</f>
        <v>0</v>
      </c>
      <c r="M42" s="72">
        <f>'T322'!K42</f>
        <v>0</v>
      </c>
      <c r="N42" s="72">
        <f>K42-M42</f>
        <v>0</v>
      </c>
    </row>
    <row r="43" spans="2:14">
      <c r="B43" s="1959" t="str">
        <f>'T322'!B43</f>
        <v>CUSPT del Ser. de Oper. Int.</v>
      </c>
      <c r="C43" s="208"/>
      <c r="D43" s="208"/>
      <c r="E43" s="208"/>
      <c r="F43" s="208"/>
      <c r="G43" s="208"/>
      <c r="H43" s="208"/>
      <c r="I43" s="208"/>
      <c r="J43" s="208"/>
      <c r="K43" s="208">
        <f>SUM(D43:I43)</f>
        <v>0</v>
      </c>
      <c r="M43" s="72">
        <f>'T322'!K43</f>
        <v>0</v>
      </c>
      <c r="N43" s="72">
        <f>K43-M43</f>
        <v>0</v>
      </c>
    </row>
    <row r="44" spans="2:14">
      <c r="B44" s="1959" t="str">
        <f>'T322'!B44</f>
        <v>CUSPT del Sist. de Trans. por Exportación</v>
      </c>
      <c r="C44" s="208"/>
      <c r="D44" s="208"/>
      <c r="E44" s="208"/>
      <c r="F44" s="208"/>
      <c r="G44" s="208"/>
      <c r="H44" s="208"/>
      <c r="I44" s="208"/>
      <c r="J44" s="208"/>
      <c r="K44" s="208">
        <f>SUM(D44:I44)</f>
        <v>0</v>
      </c>
      <c r="M44" s="72">
        <f>'T322'!K44</f>
        <v>0</v>
      </c>
      <c r="N44" s="72">
        <f>K44-M44</f>
        <v>0</v>
      </c>
    </row>
    <row r="45" spans="2:14">
      <c r="B45" s="1959" t="str">
        <f>'T322'!B45</f>
        <v>CUSPT del Ser. de Oper. Int. Por Exportación</v>
      </c>
      <c r="C45" s="208"/>
      <c r="D45" s="208"/>
      <c r="E45" s="208"/>
      <c r="F45" s="208"/>
      <c r="G45" s="208"/>
      <c r="H45" s="208"/>
      <c r="I45" s="208"/>
      <c r="J45" s="208"/>
      <c r="K45" s="208"/>
      <c r="M45" s="72"/>
      <c r="N45" s="72"/>
    </row>
    <row r="46" spans="2:14">
      <c r="B46" s="1959" t="str">
        <f>'T322'!B46</f>
        <v>Ajustes</v>
      </c>
      <c r="C46" s="208"/>
      <c r="D46" s="208"/>
      <c r="E46" s="208"/>
      <c r="F46" s="208"/>
      <c r="G46" s="208"/>
      <c r="H46" s="208"/>
      <c r="I46" s="208"/>
      <c r="J46" s="208"/>
      <c r="K46" s="208"/>
      <c r="M46" s="72"/>
      <c r="N46" s="72"/>
    </row>
    <row r="47" spans="2:14">
      <c r="B47" s="1959"/>
      <c r="C47" s="208"/>
      <c r="D47" s="208"/>
      <c r="E47" s="208"/>
      <c r="F47" s="208"/>
      <c r="G47" s="208"/>
      <c r="H47" s="208"/>
      <c r="I47" s="208"/>
      <c r="J47" s="208"/>
      <c r="K47" s="208"/>
      <c r="M47" s="72"/>
      <c r="N47" s="72"/>
    </row>
    <row r="48" spans="2:14">
      <c r="B48" s="1899" t="str">
        <f>'T322'!B48</f>
        <v>ETESA - CUSPT (Créditos)</v>
      </c>
      <c r="C48" s="243"/>
      <c r="D48" s="243">
        <f t="shared" ref="D48:I48" si="15">SUBTOTAL(9, D49:D51)</f>
        <v>0</v>
      </c>
      <c r="E48" s="243">
        <f t="shared" si="15"/>
        <v>0</v>
      </c>
      <c r="F48" s="243">
        <f t="shared" si="15"/>
        <v>0</v>
      </c>
      <c r="G48" s="243">
        <f t="shared" si="15"/>
        <v>0</v>
      </c>
      <c r="H48" s="243">
        <f t="shared" si="15"/>
        <v>0</v>
      </c>
      <c r="I48" s="243">
        <f t="shared" si="15"/>
        <v>0</v>
      </c>
      <c r="J48" s="243"/>
      <c r="K48" s="243">
        <f>SUM(D48:I48)</f>
        <v>0</v>
      </c>
      <c r="M48" s="1902">
        <f>'T322'!K48</f>
        <v>0</v>
      </c>
      <c r="N48" s="1902">
        <f>K48-M48</f>
        <v>0</v>
      </c>
    </row>
    <row r="49" spans="2:14">
      <c r="B49" s="1959" t="str">
        <f>'T322'!B49</f>
        <v>CUSPT del Sist. de Trans.</v>
      </c>
      <c r="C49" s="243"/>
      <c r="D49" s="208"/>
      <c r="E49" s="208"/>
      <c r="F49" s="208"/>
      <c r="G49" s="208"/>
      <c r="H49" s="208"/>
      <c r="I49" s="208"/>
      <c r="J49" s="208"/>
      <c r="K49" s="208">
        <f>SUM(D49:I49)</f>
        <v>0</v>
      </c>
      <c r="M49" s="72">
        <f>'T322'!K49</f>
        <v>0</v>
      </c>
      <c r="N49" s="72">
        <f>K49-M49</f>
        <v>0</v>
      </c>
    </row>
    <row r="50" spans="2:14">
      <c r="B50" s="1959" t="str">
        <f>'T322'!B50</f>
        <v>CUSPT del Ser. de Oper. Int.</v>
      </c>
      <c r="C50" s="243"/>
      <c r="D50" s="208"/>
      <c r="E50" s="208"/>
      <c r="F50" s="208"/>
      <c r="G50" s="208"/>
      <c r="H50" s="208"/>
      <c r="I50" s="208"/>
      <c r="J50" s="208"/>
      <c r="K50" s="208">
        <f>SUM(D50:I50)</f>
        <v>0</v>
      </c>
      <c r="M50" s="72">
        <f>'T322'!K50</f>
        <v>0</v>
      </c>
      <c r="N50" s="72">
        <f>K50-M50</f>
        <v>0</v>
      </c>
    </row>
    <row r="51" spans="2:14">
      <c r="B51" s="1959" t="str">
        <f>'T322'!B51</f>
        <v>CUSPT del Sist. de Trans. por Exportación</v>
      </c>
      <c r="C51" s="243"/>
      <c r="D51" s="208"/>
      <c r="E51" s="208"/>
      <c r="F51" s="208"/>
      <c r="G51" s="208"/>
      <c r="H51" s="208"/>
      <c r="I51" s="208"/>
      <c r="J51" s="208"/>
      <c r="K51" s="208">
        <f>SUM(D51:I51)</f>
        <v>0</v>
      </c>
      <c r="M51" s="72">
        <f>'T322'!K51</f>
        <v>0</v>
      </c>
      <c r="N51" s="72">
        <f>K51-M51</f>
        <v>0</v>
      </c>
    </row>
    <row r="52" spans="2:14">
      <c r="B52" s="1959" t="str">
        <f>'T322'!B52</f>
        <v>CUSPT del Ser. de Oper. Int. Por Exportación</v>
      </c>
      <c r="C52" s="243"/>
      <c r="D52" s="208"/>
      <c r="E52" s="208"/>
      <c r="F52" s="208"/>
      <c r="G52" s="208"/>
      <c r="H52" s="208"/>
      <c r="I52" s="208"/>
      <c r="J52" s="208"/>
      <c r="K52" s="208"/>
      <c r="M52" s="72"/>
      <c r="N52" s="72"/>
    </row>
    <row r="53" spans="2:14">
      <c r="B53" s="1959" t="str">
        <f>'T322'!B53</f>
        <v>Ajustes</v>
      </c>
      <c r="C53" s="243"/>
      <c r="D53" s="208"/>
      <c r="E53" s="208"/>
      <c r="F53" s="208"/>
      <c r="G53" s="208"/>
      <c r="H53" s="208"/>
      <c r="I53" s="208"/>
      <c r="J53" s="208"/>
      <c r="K53" s="208"/>
      <c r="M53" s="72"/>
      <c r="N53" s="72"/>
    </row>
    <row r="54" spans="2:14">
      <c r="B54" s="1959"/>
      <c r="C54" s="243"/>
      <c r="D54" s="208"/>
      <c r="E54" s="208"/>
      <c r="F54" s="208"/>
      <c r="G54" s="208"/>
      <c r="H54" s="208"/>
      <c r="I54" s="208"/>
      <c r="J54" s="208"/>
      <c r="K54" s="208"/>
      <c r="M54" s="72"/>
      <c r="N54" s="72"/>
    </row>
    <row r="55" spans="2:14">
      <c r="B55" s="1899" t="str">
        <f>'T322'!B55</f>
        <v>ETESA - Otras Facturaciones</v>
      </c>
      <c r="C55" s="243"/>
      <c r="D55" s="243">
        <f t="shared" ref="D55:I55" si="16">SUBTOTAL(9, D56:D61)</f>
        <v>0</v>
      </c>
      <c r="E55" s="243">
        <f t="shared" si="16"/>
        <v>0</v>
      </c>
      <c r="F55" s="243">
        <f t="shared" si="16"/>
        <v>0</v>
      </c>
      <c r="G55" s="243">
        <f t="shared" si="16"/>
        <v>0</v>
      </c>
      <c r="H55" s="243">
        <f t="shared" si="16"/>
        <v>0</v>
      </c>
      <c r="I55" s="243">
        <f t="shared" si="16"/>
        <v>0</v>
      </c>
      <c r="J55" s="243"/>
      <c r="K55" s="243">
        <f>SUM(D55:I55)</f>
        <v>0</v>
      </c>
      <c r="M55" s="1902">
        <f>'T322'!K55</f>
        <v>-62789.07</v>
      </c>
      <c r="N55" s="1902">
        <f t="shared" ref="N55:N62" si="17">K55-M55</f>
        <v>62789.07</v>
      </c>
    </row>
    <row r="56" spans="2:14">
      <c r="B56" s="1959" t="str">
        <f>'T322'!B56</f>
        <v>Res. AN No. 19355-Elec</v>
      </c>
      <c r="C56" s="243"/>
      <c r="D56" s="208"/>
      <c r="E56" s="208"/>
      <c r="F56" s="208"/>
      <c r="G56" s="208"/>
      <c r="H56" s="208"/>
      <c r="I56" s="208"/>
      <c r="J56" s="208"/>
      <c r="K56" s="208">
        <f>SUM(D56:I56)</f>
        <v>0</v>
      </c>
      <c r="M56" s="72">
        <f>'T322'!K56</f>
        <v>-14568.83</v>
      </c>
      <c r="N56" s="72">
        <f t="shared" si="17"/>
        <v>14568.83</v>
      </c>
    </row>
    <row r="57" spans="2:14">
      <c r="B57" s="1959" t="str">
        <f>'T322'!B57</f>
        <v>Res. AN No. 19355-Elec</v>
      </c>
      <c r="C57" s="243"/>
      <c r="D57" s="208"/>
      <c r="E57" s="208"/>
      <c r="F57" s="208"/>
      <c r="G57" s="208"/>
      <c r="H57" s="208"/>
      <c r="I57" s="208"/>
      <c r="J57" s="208"/>
      <c r="K57" s="208">
        <f>SUM(D57:I57)</f>
        <v>0</v>
      </c>
      <c r="M57" s="72">
        <f>'T322'!K57</f>
        <v>-48220.24</v>
      </c>
      <c r="N57" s="72">
        <f t="shared" si="17"/>
        <v>48220.24</v>
      </c>
    </row>
    <row r="58" spans="2:14">
      <c r="B58" s="1959" t="str">
        <f>'T322'!B58</f>
        <v>Ajustes</v>
      </c>
      <c r="C58" s="243"/>
      <c r="D58" s="208"/>
      <c r="E58" s="208"/>
      <c r="F58" s="208"/>
      <c r="G58" s="208"/>
      <c r="H58" s="208"/>
      <c r="I58" s="208"/>
      <c r="J58" s="208"/>
      <c r="K58" s="208">
        <f>SUM(D58:I58)</f>
        <v>0</v>
      </c>
      <c r="M58" s="72">
        <f>'T322'!K58</f>
        <v>0</v>
      </c>
      <c r="N58" s="72">
        <f t="shared" si="17"/>
        <v>0</v>
      </c>
    </row>
    <row r="59" spans="2:14">
      <c r="B59" s="1959" t="str">
        <f>'T322'!B59</f>
        <v>Intereses por Morosidad</v>
      </c>
      <c r="C59" s="243"/>
      <c r="D59" s="208"/>
      <c r="E59" s="208"/>
      <c r="F59" s="208"/>
      <c r="G59" s="208"/>
      <c r="H59" s="208"/>
      <c r="I59" s="208"/>
      <c r="J59" s="208"/>
      <c r="K59" s="208">
        <f>SUM(D59:I59)</f>
        <v>0</v>
      </c>
      <c r="M59" s="72">
        <f>'T322'!K59</f>
        <v>0</v>
      </c>
      <c r="N59" s="72">
        <f t="shared" si="17"/>
        <v>0</v>
      </c>
    </row>
    <row r="60" spans="2:14">
      <c r="B60" s="1959"/>
      <c r="C60" s="243"/>
      <c r="D60" s="208"/>
      <c r="E60" s="208"/>
      <c r="F60" s="208"/>
      <c r="G60" s="208"/>
      <c r="H60" s="208"/>
      <c r="I60" s="208"/>
      <c r="J60" s="208"/>
      <c r="K60" s="208"/>
      <c r="M60" s="72">
        <f>'T322'!K60</f>
        <v>0</v>
      </c>
      <c r="N60" s="72">
        <f>K60-M60</f>
        <v>0</v>
      </c>
    </row>
    <row r="61" spans="2:14">
      <c r="B61" s="1959"/>
      <c r="C61" s="243"/>
      <c r="D61" s="208"/>
      <c r="E61" s="208"/>
      <c r="F61" s="208"/>
      <c r="G61" s="208"/>
      <c r="H61" s="208"/>
      <c r="I61" s="208"/>
      <c r="J61" s="208"/>
      <c r="K61" s="208">
        <f>SUM(D61:I61)</f>
        <v>0</v>
      </c>
      <c r="M61" s="72">
        <f>'T322'!K60</f>
        <v>0</v>
      </c>
      <c r="N61" s="72">
        <f t="shared" si="17"/>
        <v>0</v>
      </c>
    </row>
    <row r="62" spans="2:14">
      <c r="B62" s="1959"/>
      <c r="C62" s="243"/>
      <c r="D62" s="208"/>
      <c r="E62" s="208"/>
      <c r="F62" s="208"/>
      <c r="G62" s="208"/>
      <c r="H62" s="208"/>
      <c r="I62" s="208"/>
      <c r="J62" s="208"/>
      <c r="K62" s="208"/>
      <c r="M62" s="72">
        <f>'T322'!K62</f>
        <v>0</v>
      </c>
      <c r="N62" s="72">
        <f t="shared" si="17"/>
        <v>0</v>
      </c>
    </row>
    <row r="63" spans="2:14" ht="6.75" customHeight="1">
      <c r="B63" s="1959"/>
      <c r="C63" s="208"/>
      <c r="D63" s="208"/>
      <c r="E63" s="208"/>
      <c r="F63" s="208"/>
      <c r="G63" s="208"/>
      <c r="H63" s="208"/>
      <c r="I63" s="208"/>
      <c r="J63" s="208"/>
      <c r="K63" s="208"/>
      <c r="M63" s="72"/>
      <c r="N63" s="72"/>
    </row>
    <row r="64" spans="2:14" ht="24" customHeight="1">
      <c r="B64" s="1531" t="str">
        <f>'T322'!B64</f>
        <v>ETESA - Facturación Total</v>
      </c>
      <c r="C64" s="244"/>
      <c r="D64" s="244">
        <f t="shared" ref="D64:I64" si="18">SUBTOTAL(9, D31:D63)</f>
        <v>2755871.21092</v>
      </c>
      <c r="E64" s="244">
        <f t="shared" si="18"/>
        <v>2531481.0631116666</v>
      </c>
      <c r="F64" s="244">
        <f t="shared" si="18"/>
        <v>2504383.4598083333</v>
      </c>
      <c r="G64" s="244">
        <f t="shared" si="18"/>
        <v>2522291.3650333327</v>
      </c>
      <c r="H64" s="244">
        <f t="shared" si="18"/>
        <v>2392262.9382716664</v>
      </c>
      <c r="I64" s="244">
        <f t="shared" si="18"/>
        <v>2462735.4942199998</v>
      </c>
      <c r="J64" s="244"/>
      <c r="K64" s="244">
        <f t="shared" ref="K64:K73" si="19">SUM(D64:I64)</f>
        <v>15169025.531364998</v>
      </c>
      <c r="M64" s="71">
        <f>'T322'!K64</f>
        <v>12421580.010000002</v>
      </c>
      <c r="N64" s="71">
        <f>K64-M64</f>
        <v>2747445.5213649962</v>
      </c>
    </row>
    <row r="65" spans="2:19" ht="24" customHeight="1">
      <c r="B65" s="1966" t="str">
        <f>'T322'!B65</f>
        <v>DTER - Documento de Transacciones Económicas Regional</v>
      </c>
      <c r="C65" s="208"/>
      <c r="D65" s="208">
        <f>'T322'!D65</f>
        <v>216340.3</v>
      </c>
      <c r="E65" s="208">
        <f>'T322'!E65</f>
        <v>190510.73</v>
      </c>
      <c r="F65" s="208">
        <f>'T322'!F65</f>
        <v>189049.06</v>
      </c>
      <c r="G65" s="208">
        <f>'T322'!G65</f>
        <v>193399.62000000002</v>
      </c>
      <c r="H65" s="208">
        <f>'T322'!H65</f>
        <v>193867.99999999997</v>
      </c>
      <c r="I65" s="208">
        <f>'T322'!I65</f>
        <v>187294.3</v>
      </c>
      <c r="J65" s="208"/>
      <c r="K65" s="208">
        <f>SUM(D65:I65)</f>
        <v>1170462.01</v>
      </c>
      <c r="M65" s="71">
        <f>'T322'!K65</f>
        <v>1170462.01</v>
      </c>
      <c r="N65" s="71">
        <f>K65-M65</f>
        <v>0</v>
      </c>
    </row>
    <row r="66" spans="2:19" ht="24" customHeight="1">
      <c r="B66" s="1965" t="str">
        <f>'T322'!B66</f>
        <v>Instituto Meteorología e Hidrología de Panamá</v>
      </c>
      <c r="C66" s="208"/>
      <c r="D66" s="208">
        <f>'T322'!D66</f>
        <v>101396.28</v>
      </c>
      <c r="E66" s="208">
        <f>'T322'!E66</f>
        <v>101396.28</v>
      </c>
      <c r="F66" s="208">
        <f>'T322'!F66</f>
        <v>188865.94</v>
      </c>
      <c r="G66" s="208">
        <f>'T322'!G66</f>
        <v>188865.94</v>
      </c>
      <c r="H66" s="208">
        <f>'T322'!H66</f>
        <v>188865.94</v>
      </c>
      <c r="I66" s="208">
        <f>'T322'!I66</f>
        <v>188865.94</v>
      </c>
      <c r="J66" s="208"/>
      <c r="K66" s="208">
        <f t="shared" si="19"/>
        <v>958256.31999999983</v>
      </c>
      <c r="M66" s="71">
        <f>'T322'!K66</f>
        <v>958256.31999999983</v>
      </c>
      <c r="N66" s="71">
        <f t="shared" ref="N66:N73" si="20">K66-M66</f>
        <v>0</v>
      </c>
    </row>
    <row r="67" spans="2:19" ht="24" customHeight="1">
      <c r="B67" s="1965" t="str">
        <f>'T322'!B67</f>
        <v>AES - Aserradero Cañitas</v>
      </c>
      <c r="C67" s="208"/>
      <c r="D67" s="208">
        <f>'T322'!D67</f>
        <v>1999.77</v>
      </c>
      <c r="E67" s="208">
        <f>'T322'!E67</f>
        <v>1999.77</v>
      </c>
      <c r="F67" s="208">
        <f>'T322'!F67</f>
        <v>1999.77</v>
      </c>
      <c r="G67" s="208">
        <f>'T322'!G67</f>
        <v>1999.77</v>
      </c>
      <c r="H67" s="208">
        <f>'T322'!H67</f>
        <v>1999.77</v>
      </c>
      <c r="I67" s="208">
        <f>'T322'!I67</f>
        <v>1999.77</v>
      </c>
      <c r="J67" s="208"/>
      <c r="K67" s="208">
        <f t="shared" si="19"/>
        <v>11998.62</v>
      </c>
      <c r="M67" s="71">
        <f>'T322'!K67</f>
        <v>11998.62</v>
      </c>
      <c r="N67" s="71">
        <f t="shared" si="20"/>
        <v>0</v>
      </c>
    </row>
    <row r="68" spans="2:19" ht="24" customHeight="1">
      <c r="B68" s="1965" t="str">
        <f>'T322'!B68</f>
        <v>BLM - Línea 115-20, 23 Y 26 y Subestaciones</v>
      </c>
      <c r="C68" s="208"/>
      <c r="D68" s="208">
        <f>'T322'!D68</f>
        <v>17340.66</v>
      </c>
      <c r="E68" s="208">
        <f>'T322'!E68</f>
        <v>17340.66</v>
      </c>
      <c r="F68" s="208">
        <f>'T322'!F68</f>
        <v>17340.66</v>
      </c>
      <c r="G68" s="208">
        <f>'T322'!G68</f>
        <v>17340.66</v>
      </c>
      <c r="H68" s="208">
        <f>'T322'!H68</f>
        <v>17340.66</v>
      </c>
      <c r="I68" s="208">
        <f>'T322'!I68</f>
        <v>17340.66</v>
      </c>
      <c r="J68" s="208"/>
      <c r="K68" s="208">
        <f t="shared" si="19"/>
        <v>104043.96</v>
      </c>
      <c r="M68" s="71">
        <f>'T322'!K68</f>
        <v>104043.96</v>
      </c>
      <c r="N68" s="71">
        <f t="shared" si="20"/>
        <v>0</v>
      </c>
    </row>
    <row r="69" spans="2:19" ht="24" customHeight="1">
      <c r="B69" s="1965" t="str">
        <f>'T322'!B69</f>
        <v>PEDREGAL - Acceso y Arrendamiento GEEHAN</v>
      </c>
      <c r="C69" s="208"/>
      <c r="D69" s="208">
        <f>'T322'!D69</f>
        <v>23780.480000000003</v>
      </c>
      <c r="E69" s="208">
        <f>'T322'!E69</f>
        <v>23780.480000000003</v>
      </c>
      <c r="F69" s="208">
        <f>'T322'!F69</f>
        <v>23780.480000000003</v>
      </c>
      <c r="G69" s="208">
        <f>'T322'!G69</f>
        <v>23780.480000000003</v>
      </c>
      <c r="H69" s="208">
        <f>'T322'!H69</f>
        <v>23780.480000000003</v>
      </c>
      <c r="I69" s="208">
        <f>'T322'!I69</f>
        <v>23780.480000000003</v>
      </c>
      <c r="J69" s="208"/>
      <c r="K69" s="208">
        <f t="shared" si="19"/>
        <v>142682.88000000003</v>
      </c>
      <c r="M69" s="71">
        <f>'T322'!K69</f>
        <v>142682.88000000003</v>
      </c>
      <c r="N69" s="71">
        <f t="shared" si="20"/>
        <v>0</v>
      </c>
    </row>
    <row r="70" spans="2:19" ht="24" customHeight="1">
      <c r="B70" s="1965" t="str">
        <f>'T322'!B70</f>
        <v>ACP - Intercambio en Servicio B</v>
      </c>
      <c r="C70" s="208"/>
      <c r="D70" s="208">
        <f>'T322'!D70</f>
        <v>53343.92</v>
      </c>
      <c r="E70" s="208">
        <f>'T322'!E70</f>
        <v>53059.209999999992</v>
      </c>
      <c r="F70" s="208">
        <f>'T322'!F70</f>
        <v>49595.06</v>
      </c>
      <c r="G70" s="208">
        <f>'T322'!G70</f>
        <v>52904.13</v>
      </c>
      <c r="H70" s="208">
        <f>'T322'!H70</f>
        <v>44618.139999999992</v>
      </c>
      <c r="I70" s="208">
        <f>'T322'!I70</f>
        <v>50135.479999999996</v>
      </c>
      <c r="J70" s="208"/>
      <c r="K70" s="208">
        <f t="shared" si="19"/>
        <v>303655.94</v>
      </c>
      <c r="M70" s="71">
        <f>'T322'!K70</f>
        <v>303655.94</v>
      </c>
      <c r="N70" s="71">
        <f t="shared" si="20"/>
        <v>0</v>
      </c>
    </row>
    <row r="71" spans="2:19" ht="24" customHeight="1">
      <c r="B71" s="1965" t="str">
        <f>'T322'!B71</f>
        <v>TROPITERMICA</v>
      </c>
      <c r="C71" s="208"/>
      <c r="D71" s="208">
        <f>'T322'!D71</f>
        <v>-4058.94</v>
      </c>
      <c r="E71" s="208">
        <f>'T322'!E71</f>
        <v>-4058.94</v>
      </c>
      <c r="F71" s="208">
        <f>'T322'!F71</f>
        <v>-4058.94</v>
      </c>
      <c r="G71" s="208">
        <f>'T322'!G71</f>
        <v>-4058.94</v>
      </c>
      <c r="H71" s="208">
        <f>'T322'!H71</f>
        <v>-4058.94</v>
      </c>
      <c r="I71" s="208">
        <f>'T322'!I71</f>
        <v>-4058.94</v>
      </c>
      <c r="J71" s="208"/>
      <c r="K71" s="208">
        <f t="shared" si="19"/>
        <v>-24353.64</v>
      </c>
      <c r="M71" s="71">
        <f>'T322'!K71</f>
        <v>-24353.64</v>
      </c>
      <c r="N71" s="71">
        <f t="shared" si="20"/>
        <v>0</v>
      </c>
    </row>
    <row r="72" spans="2:19" ht="24" customHeight="1">
      <c r="B72" s="1965" t="str">
        <f>'T322'!B72</f>
        <v>EDEMET - Uso de la Red de Otro Distribuidor</v>
      </c>
      <c r="C72" s="208"/>
      <c r="D72" s="208">
        <f>'T322'!D72</f>
        <v>7767.251925999999</v>
      </c>
      <c r="E72" s="208">
        <f>'T322'!E72</f>
        <v>7.15</v>
      </c>
      <c r="F72" s="208">
        <f>'T322'!F72</f>
        <v>66.399309999999986</v>
      </c>
      <c r="G72" s="208">
        <f>'T322'!G72</f>
        <v>4174.1306679999998</v>
      </c>
      <c r="H72" s="208">
        <f>'T322'!H72</f>
        <v>7.15</v>
      </c>
      <c r="I72" s="208">
        <f>'T322'!I72</f>
        <v>7.15</v>
      </c>
      <c r="J72" s="208"/>
      <c r="K72" s="208">
        <f t="shared" si="19"/>
        <v>12029.231903999997</v>
      </c>
      <c r="M72" s="71">
        <f>'T322'!K72</f>
        <v>12029.231903999997</v>
      </c>
      <c r="N72" s="71">
        <f t="shared" si="20"/>
        <v>0</v>
      </c>
    </row>
    <row r="73" spans="2:19" ht="24" customHeight="1">
      <c r="B73" s="1965" t="str">
        <f>'T322'!B73</f>
        <v>EDEMET - Uso de la Red de Coclesito</v>
      </c>
      <c r="C73" s="208"/>
      <c r="D73" s="208">
        <f>'T322'!D73</f>
        <v>2740.32</v>
      </c>
      <c r="E73" s="208">
        <f>'T322'!E73</f>
        <v>4231.17</v>
      </c>
      <c r="F73" s="208">
        <f>'T322'!F73</f>
        <v>105.31</v>
      </c>
      <c r="G73" s="208">
        <f>'T322'!G73</f>
        <v>2649.09</v>
      </c>
      <c r="H73" s="208">
        <f>'T322'!H73</f>
        <v>2563.9</v>
      </c>
      <c r="I73" s="208">
        <f>'T322'!I73</f>
        <v>2561.25</v>
      </c>
      <c r="J73" s="208"/>
      <c r="K73" s="208">
        <f t="shared" si="19"/>
        <v>14851.039999999999</v>
      </c>
      <c r="M73" s="71">
        <f>'T322'!K73</f>
        <v>14851.039999999999</v>
      </c>
      <c r="N73" s="71">
        <f t="shared" si="20"/>
        <v>0</v>
      </c>
    </row>
    <row r="74" spans="2:19">
      <c r="B74" s="211"/>
      <c r="C74" s="212"/>
      <c r="D74" s="212"/>
      <c r="E74" s="212"/>
      <c r="F74" s="212"/>
      <c r="G74" s="212"/>
      <c r="H74" s="212"/>
      <c r="I74" s="212"/>
      <c r="J74" s="212"/>
      <c r="K74" s="212"/>
      <c r="M74" s="1903"/>
      <c r="N74" s="1903"/>
    </row>
    <row r="75" spans="2:19">
      <c r="B75" s="213" t="s">
        <v>540</v>
      </c>
      <c r="C75" s="209"/>
      <c r="D75" s="209">
        <f t="shared" ref="D75:I75" si="21">SUBTOTAL(9, D30:D74)</f>
        <v>3176521.2528459998</v>
      </c>
      <c r="E75" s="209">
        <f t="shared" si="21"/>
        <v>2919747.5731116664</v>
      </c>
      <c r="F75" s="209">
        <f t="shared" si="21"/>
        <v>2971127.1991183334</v>
      </c>
      <c r="G75" s="209">
        <f t="shared" si="21"/>
        <v>3003346.2457013326</v>
      </c>
      <c r="H75" s="209">
        <f t="shared" si="21"/>
        <v>2861248.0382716665</v>
      </c>
      <c r="I75" s="209">
        <f t="shared" si="21"/>
        <v>2930661.5842199996</v>
      </c>
      <c r="J75" s="209"/>
      <c r="K75" s="209">
        <f>SUM(D75:I75)</f>
        <v>17862651.893268999</v>
      </c>
      <c r="M75" s="71">
        <f>'T322'!K75</f>
        <v>15115206.371904001</v>
      </c>
      <c r="N75" s="71">
        <f>K75-M75</f>
        <v>2747445.5213649981</v>
      </c>
    </row>
    <row r="76" spans="2:19">
      <c r="K76" s="72"/>
      <c r="M76" s="72"/>
      <c r="N76" s="72"/>
    </row>
    <row r="78" spans="2:19">
      <c r="B78" s="52" t="str">
        <f>'PORTADA PORTADA PORTADA'!$B$23</f>
        <v>1 DE JULIO DE 2026</v>
      </c>
      <c r="S78" s="73"/>
    </row>
    <row r="79" spans="2:19">
      <c r="L79" s="72"/>
      <c r="S79" s="73"/>
    </row>
    <row r="80" spans="2:19" s="73" customFormat="1" ht="15">
      <c r="B80" s="214" t="s">
        <v>1420</v>
      </c>
      <c r="K80" s="215"/>
      <c r="L80" s="215"/>
      <c r="M80" s="215"/>
      <c r="N80" s="215"/>
    </row>
    <row r="81" spans="2:19" s="73" customFormat="1" ht="30">
      <c r="B81" s="214" t="s">
        <v>1421</v>
      </c>
      <c r="K81" s="215">
        <f>K64-K82</f>
        <v>13992682.678224998</v>
      </c>
      <c r="M81" s="215"/>
      <c r="N81" s="215"/>
    </row>
    <row r="82" spans="2:19" s="73" customFormat="1" ht="30">
      <c r="B82" s="214" t="s">
        <v>1422</v>
      </c>
      <c r="K82" s="215">
        <f>K39</f>
        <v>1176342.85314</v>
      </c>
      <c r="M82" s="215"/>
      <c r="N82" s="215"/>
    </row>
    <row r="83" spans="2:19" s="73" customFormat="1" ht="30">
      <c r="B83" s="214" t="s">
        <v>1423</v>
      </c>
      <c r="K83" s="215">
        <f>K70</f>
        <v>303655.94</v>
      </c>
    </row>
    <row r="84" spans="2:19" s="73" customFormat="1" ht="30">
      <c r="B84" s="214" t="s">
        <v>1424</v>
      </c>
      <c r="K84" s="215">
        <f>K75-SUM(K80:K83,K85)</f>
        <v>1219508.4119040016</v>
      </c>
    </row>
    <row r="85" spans="2:19" s="73" customFormat="1" ht="30">
      <c r="B85" s="214" t="s">
        <v>1425</v>
      </c>
      <c r="K85" s="215">
        <f>K65</f>
        <v>1170462.01</v>
      </c>
    </row>
    <row r="86" spans="2:19" s="73" customFormat="1">
      <c r="B86" s="214" t="s">
        <v>1426</v>
      </c>
      <c r="K86" s="216">
        <f>SUM(K80:K85)</f>
        <v>17862651.893268999</v>
      </c>
      <c r="S86" s="69"/>
    </row>
    <row r="87" spans="2:19" s="73" customFormat="1">
      <c r="K87" s="217">
        <f>K86-K75</f>
        <v>0</v>
      </c>
      <c r="S87" s="69"/>
    </row>
  </sheetData>
  <phoneticPr fontId="0" type="noConversion"/>
  <printOptions horizontalCentered="1" verticalCentered="1"/>
  <pageMargins left="0.59055118100000004" right="0.59055118110236204" top="0.78740157480314998" bottom="0.59055118110236204" header="0.59055118110236204" footer="0.47244094488188998"/>
  <pageSetup scale="53" orientation="portrait" r:id="rId1"/>
  <headerFooter>
    <oddHeader>&amp;L&amp;"Times New Roman,Negrita"&amp;14Nombre de la Distribuidora: &amp;K06-048ENSA&amp;RASEP FORM: &amp;A</oddHeader>
    <oddFooter>&amp;R&amp;A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9F1A4-8399-4357-814E-CA23DB42D869}">
  <sheetPr codeName="Hoja29">
    <tabColor theme="5" tint="0.79998168889431442"/>
  </sheetPr>
  <dimension ref="A1:J169"/>
  <sheetViews>
    <sheetView view="pageBreakPreview" topLeftCell="A3" zoomScale="85" zoomScaleNormal="85" zoomScaleSheetLayoutView="85" workbookViewId="0">
      <selection activeCell="F27" sqref="F27"/>
    </sheetView>
  </sheetViews>
  <sheetFormatPr baseColWidth="10" defaultColWidth="8" defaultRowHeight="15"/>
  <cols>
    <col min="1" max="1" width="3.375" style="63" customWidth="1"/>
    <col min="2" max="2" width="5.625" style="48" bestFit="1" customWidth="1"/>
    <col min="3" max="3" width="30.375" style="63" customWidth="1"/>
    <col min="4" max="4" width="11" style="63" customWidth="1"/>
    <col min="5" max="5" width="11.75" style="63" customWidth="1"/>
    <col min="6" max="9" width="10.625" style="63" customWidth="1"/>
    <col min="10" max="10" width="11.625" style="63" customWidth="1"/>
    <col min="11" max="11" width="2.875" style="63" customWidth="1"/>
    <col min="12" max="16384" width="8" style="63"/>
  </cols>
  <sheetData>
    <row r="1" spans="2:10" s="69" customFormat="1" ht="15.75">
      <c r="B1" s="48"/>
      <c r="C1" s="136" t="s">
        <v>151</v>
      </c>
    </row>
    <row r="2" spans="2:10" s="69" customFormat="1" ht="15.75">
      <c r="B2" s="48"/>
      <c r="D2" s="137" t="s">
        <v>113</v>
      </c>
      <c r="I2" s="218"/>
    </row>
    <row r="3" spans="2:10" s="69" customFormat="1" ht="15.75">
      <c r="B3" s="48"/>
      <c r="D3" s="137"/>
    </row>
    <row r="4" spans="2:10" ht="15.75">
      <c r="C4" s="219" t="s">
        <v>1528</v>
      </c>
      <c r="D4" s="219"/>
      <c r="E4" s="219"/>
      <c r="F4" s="219"/>
      <c r="G4" s="219"/>
      <c r="H4" s="219"/>
      <c r="I4" s="219"/>
      <c r="J4" s="219"/>
    </row>
    <row r="5" spans="2:10">
      <c r="C5" s="139"/>
    </row>
    <row r="6" spans="2:10" s="143" customFormat="1" ht="33.75">
      <c r="B6" s="48"/>
      <c r="C6" s="220" t="s">
        <v>1427</v>
      </c>
      <c r="D6" s="220" t="s">
        <v>259</v>
      </c>
      <c r="E6" s="220" t="s">
        <v>260</v>
      </c>
      <c r="F6" s="221"/>
      <c r="G6" s="69"/>
    </row>
    <row r="7" spans="2:10" s="143" customFormat="1" ht="13.5">
      <c r="B7" s="48"/>
      <c r="C7" s="222" t="s">
        <v>266</v>
      </c>
      <c r="D7" s="223">
        <f>RAT1000PT!$I$56</f>
        <v>3.8800000000000002E-3</v>
      </c>
      <c r="E7" s="224">
        <f>RAT1000PT!$I$63</f>
        <v>0.74</v>
      </c>
    </row>
    <row r="8" spans="2:10" s="143" customFormat="1" ht="13.5">
      <c r="B8" s="48"/>
      <c r="C8" s="225" t="s">
        <v>265</v>
      </c>
      <c r="D8" s="223">
        <f>RAT1000PT!$I$55</f>
        <v>3.7100000000000002E-3</v>
      </c>
      <c r="E8" s="224">
        <f>RAT1000PT!$I$62</f>
        <v>0.72</v>
      </c>
    </row>
    <row r="9" spans="2:10" s="143" customFormat="1" ht="13.5">
      <c r="B9" s="48"/>
      <c r="C9" s="225" t="s">
        <v>264</v>
      </c>
      <c r="D9" s="223">
        <f>RAT1000PT!$I$54</f>
        <v>4.3299999999999996E-3</v>
      </c>
      <c r="E9" s="224">
        <f>RAT1000PT!$I$61</f>
        <v>0.67</v>
      </c>
    </row>
    <row r="10" spans="2:10" s="143" customFormat="1" ht="13.5">
      <c r="B10" s="48"/>
      <c r="C10" s="225" t="s">
        <v>262</v>
      </c>
      <c r="D10" s="223">
        <f>RAT1000PT!$I$53</f>
        <v>5.1599999999999997E-3</v>
      </c>
      <c r="E10" s="224">
        <f>RAT1000PT!$I$60</f>
        <v>0.64</v>
      </c>
    </row>
    <row r="11" spans="2:10" s="143" customFormat="1" ht="13.5">
      <c r="B11" s="48"/>
      <c r="C11" s="225" t="s">
        <v>263</v>
      </c>
      <c r="D11" s="223">
        <f>RAT1000PT!$I$52</f>
        <v>5.2199999999999998E-3</v>
      </c>
      <c r="E11" s="224">
        <f>RAT1000PT!$I$59</f>
        <v>0.67</v>
      </c>
    </row>
    <row r="12" spans="2:10" s="143" customFormat="1" ht="13.5">
      <c r="B12" s="48"/>
      <c r="C12" s="225" t="s">
        <v>261</v>
      </c>
      <c r="D12" s="223">
        <f>RAT1000PT!$I$51</f>
        <v>8.3400000000000002E-3</v>
      </c>
      <c r="E12" s="224">
        <f>RAT1000PT!$I$58</f>
        <v>0.61</v>
      </c>
    </row>
    <row r="13" spans="2:10" s="143" customFormat="1" ht="13.5">
      <c r="B13" s="48"/>
      <c r="C13" s="225" t="s">
        <v>1768</v>
      </c>
      <c r="D13" s="223">
        <f>RAT1000PT!$I$48</f>
        <v>5.2199999999999998E-3</v>
      </c>
      <c r="E13" s="224"/>
    </row>
    <row r="14" spans="2:10" s="143" customFormat="1" ht="13.5">
      <c r="B14" s="48"/>
      <c r="C14" s="225" t="s">
        <v>2071</v>
      </c>
      <c r="D14" s="223">
        <f>RAT1000PT!$I$49</f>
        <v>5.2199999999999998E-3</v>
      </c>
      <c r="E14" s="223"/>
    </row>
    <row r="15" spans="2:10" s="143" customFormat="1" ht="13.5">
      <c r="B15" s="48"/>
      <c r="C15" s="225" t="s">
        <v>1178</v>
      </c>
      <c r="D15" s="223">
        <f>RAT1000PT!$I$50</f>
        <v>5.2199999999999998E-3</v>
      </c>
      <c r="E15" s="223"/>
    </row>
    <row r="16" spans="2:10" s="143" customFormat="1" ht="15.75">
      <c r="B16" s="48"/>
      <c r="D16" s="226"/>
      <c r="E16" s="226"/>
      <c r="F16" s="69"/>
      <c r="G16" s="69"/>
    </row>
    <row r="17" spans="2:10" s="143" customFormat="1" ht="33.75">
      <c r="B17" s="48"/>
      <c r="C17" s="138" t="s">
        <v>1428</v>
      </c>
      <c r="D17" s="138"/>
      <c r="E17" s="138"/>
      <c r="F17" s="138"/>
      <c r="G17" s="138"/>
      <c r="H17" s="138"/>
      <c r="I17" s="138"/>
      <c r="J17" s="138"/>
    </row>
    <row r="18" spans="2:10" s="37" customFormat="1" ht="13.5">
      <c r="B18" s="48"/>
      <c r="C18" s="150" t="s">
        <v>310</v>
      </c>
      <c r="D18" s="151">
        <f>F801ENE!D4</f>
        <v>46204</v>
      </c>
      <c r="E18" s="151">
        <f>F801ENE!E4</f>
        <v>46235</v>
      </c>
      <c r="F18" s="151">
        <f>F801ENE!F4</f>
        <v>46266</v>
      </c>
      <c r="G18" s="151">
        <f>F801ENE!G4</f>
        <v>46296</v>
      </c>
      <c r="H18" s="151">
        <f>F801ENE!H4</f>
        <v>46327</v>
      </c>
      <c r="I18" s="151">
        <f>F801ENE!I4</f>
        <v>46357</v>
      </c>
      <c r="J18" s="151" t="str">
        <f>F801ENE!J4</f>
        <v>TOTAL</v>
      </c>
    </row>
    <row r="19" spans="2:10" s="37" customFormat="1" ht="13.5">
      <c r="B19" s="48"/>
      <c r="C19" s="153" t="s">
        <v>446</v>
      </c>
      <c r="D19" s="154">
        <f>SUBTOTAL(9,D20:D21)</f>
        <v>95214.67113037307</v>
      </c>
      <c r="E19" s="154">
        <f t="shared" ref="E19:I19" si="0">SUBTOTAL(9,E20:E21)</f>
        <v>95254.408264339203</v>
      </c>
      <c r="F19" s="154">
        <f t="shared" si="0"/>
        <v>94142.693190175298</v>
      </c>
      <c r="G19" s="154">
        <f t="shared" si="0"/>
        <v>94927.890122974393</v>
      </c>
      <c r="H19" s="154">
        <f t="shared" si="0"/>
        <v>91482.649736908395</v>
      </c>
      <c r="I19" s="154">
        <f t="shared" si="0"/>
        <v>91240.235604085392</v>
      </c>
      <c r="J19" s="154">
        <f>SUM(D19:I19)</f>
        <v>562262.54804885574</v>
      </c>
    </row>
    <row r="20" spans="2:10" s="37" customFormat="1" ht="13.5">
      <c r="B20" s="48" t="s">
        <v>279</v>
      </c>
      <c r="C20" s="155" t="s">
        <v>279</v>
      </c>
      <c r="D20" s="156">
        <f>$E$7*F801D!K6+$D$7*F801ENE!D6</f>
        <v>95212.096130373073</v>
      </c>
      <c r="E20" s="156">
        <f>$E$7*F801D!L6+$D$7*F801ENE!E6</f>
        <v>95251.833264339206</v>
      </c>
      <c r="F20" s="156">
        <f>$E$7*F801D!M6+$D$7*F801ENE!F6</f>
        <v>94140.118190175301</v>
      </c>
      <c r="G20" s="156">
        <f>$E$7*F801D!N6+$D$7*F801ENE!G6</f>
        <v>94925.315122974396</v>
      </c>
      <c r="H20" s="156">
        <f>$E$7*F801D!O6+$D$7*F801ENE!H6</f>
        <v>91480.074736908398</v>
      </c>
      <c r="I20" s="156">
        <f>$E$7*F801D!P6+$D$7*F801ENE!I6</f>
        <v>91237.660604085395</v>
      </c>
      <c r="J20" s="156">
        <f>SUM(D20:I20)</f>
        <v>562247.09804885578</v>
      </c>
    </row>
    <row r="21" spans="2:10" s="37" customFormat="1" ht="13.5">
      <c r="B21" s="48" t="s">
        <v>278</v>
      </c>
      <c r="C21" s="155" t="s">
        <v>278</v>
      </c>
      <c r="D21" s="156">
        <f>$E$8*F801D!K7+$D$8*F801ENE!D7</f>
        <v>2.5750000000000002</v>
      </c>
      <c r="E21" s="156">
        <f>$E$8*F801D!L7+$D$8*F801ENE!E7</f>
        <v>2.5750000000000002</v>
      </c>
      <c r="F21" s="156">
        <f>$E$8*F801D!M7+$D$8*F801ENE!F7</f>
        <v>2.5750000000000002</v>
      </c>
      <c r="G21" s="156">
        <f>$E$8*F801D!N7+$D$8*F801ENE!G7</f>
        <v>2.5750000000000002</v>
      </c>
      <c r="H21" s="156">
        <f>$E$8*F801D!O7+$D$8*F801ENE!H7</f>
        <v>2.5750000000000002</v>
      </c>
      <c r="I21" s="156">
        <f>$E$8*F801D!P7+$D$8*F801ENE!I7</f>
        <v>2.5750000000000002</v>
      </c>
      <c r="J21" s="156">
        <f>SUM(D21:I21)</f>
        <v>15.45</v>
      </c>
    </row>
    <row r="22" spans="2:10" s="37" customFormat="1" ht="13.5">
      <c r="B22" s="48"/>
      <c r="C22" s="157"/>
      <c r="D22" s="156"/>
      <c r="E22" s="156"/>
      <c r="F22" s="156"/>
      <c r="G22" s="156"/>
      <c r="H22" s="156"/>
      <c r="I22" s="156"/>
      <c r="J22" s="156"/>
    </row>
    <row r="23" spans="2:10" s="37" customFormat="1" ht="13.5">
      <c r="B23" s="48"/>
      <c r="C23" s="153" t="s">
        <v>630</v>
      </c>
      <c r="D23" s="154">
        <f>SUBTOTAL(9,D24:D31)</f>
        <v>214988.98151634244</v>
      </c>
      <c r="E23" s="154">
        <f t="shared" ref="E23:I23" si="1">SUBTOTAL(9,E24:E31)</f>
        <v>215078.70564759633</v>
      </c>
      <c r="F23" s="154">
        <f t="shared" si="1"/>
        <v>213000.63064316424</v>
      </c>
      <c r="G23" s="154">
        <f t="shared" si="1"/>
        <v>214341.44672505854</v>
      </c>
      <c r="H23" s="154">
        <f t="shared" si="1"/>
        <v>206982.19926507236</v>
      </c>
      <c r="I23" s="154">
        <f t="shared" si="1"/>
        <v>206014.93786425324</v>
      </c>
      <c r="J23" s="154">
        <f t="shared" ref="J23:J31" si="2">SUM(D23:I23)</f>
        <v>1270406.9016614873</v>
      </c>
    </row>
    <row r="24" spans="2:10" s="37" customFormat="1" ht="13.5">
      <c r="B24" s="48" t="s">
        <v>277</v>
      </c>
      <c r="C24" s="155" t="s">
        <v>277</v>
      </c>
      <c r="D24" s="154">
        <f>SUBTOTAL(9,D25:D26)</f>
        <v>27510.00710871322</v>
      </c>
      <c r="E24" s="154">
        <f t="shared" ref="E24:I24" si="3">SUBTOTAL(9,E25:E26)</f>
        <v>27521.488215657435</v>
      </c>
      <c r="F24" s="154">
        <f t="shared" si="3"/>
        <v>27281.269520498568</v>
      </c>
      <c r="G24" s="154">
        <f t="shared" si="3"/>
        <v>27427.14850551543</v>
      </c>
      <c r="H24" s="154">
        <f t="shared" si="3"/>
        <v>26510.424626656844</v>
      </c>
      <c r="I24" s="154">
        <f t="shared" si="3"/>
        <v>26361.687771965677</v>
      </c>
      <c r="J24" s="154">
        <f t="shared" si="2"/>
        <v>162612.02574900718</v>
      </c>
    </row>
    <row r="25" spans="2:10" s="37" customFormat="1" ht="13.5">
      <c r="B25" s="48"/>
      <c r="C25" s="160" t="s">
        <v>304</v>
      </c>
      <c r="D25" s="156">
        <f>($E$9*F801D!K11+$D$9*F801ENE!D11)</f>
        <v>24236.957322912967</v>
      </c>
      <c r="E25" s="156">
        <f>($E$9*F801D!L11+$D$9*F801ENE!E11)</f>
        <v>24247.072445672737</v>
      </c>
      <c r="F25" s="156">
        <f>($E$9*F801D!M11+$D$9*F801ENE!F11)</f>
        <v>24041.108417211704</v>
      </c>
      <c r="G25" s="156">
        <f>($E$9*F801D!N11+$D$9*F801ENE!G11)</f>
        <v>24163.956962658427</v>
      </c>
      <c r="H25" s="156">
        <f>($E$9*F801D!O11+$D$9*F801ENE!H11)</f>
        <v>23361.815774624876</v>
      </c>
      <c r="I25" s="156">
        <f>($E$9*F801D!P11+$D$9*F801ENE!I11)</f>
        <v>23225.261228184921</v>
      </c>
      <c r="J25" s="156">
        <f t="shared" ref="J25" si="4">SUM(D25:I25)</f>
        <v>143276.17215126564</v>
      </c>
    </row>
    <row r="26" spans="2:10" s="37" customFormat="1" ht="13.5">
      <c r="B26" s="48"/>
      <c r="C26" s="160" t="s">
        <v>305</v>
      </c>
      <c r="D26" s="156">
        <f>($E$9*F801D!K12+$D$9*F801ENE!D12)*0.95</f>
        <v>3273.0497858002518</v>
      </c>
      <c r="E26" s="156">
        <f>($E$9*F801D!L12+$D$9*F801ENE!E12)*0.95</f>
        <v>3274.4157699846987</v>
      </c>
      <c r="F26" s="156">
        <f>($E$9*F801D!M12+$D$9*F801ENE!F12)*0.95</f>
        <v>3240.161103286865</v>
      </c>
      <c r="G26" s="156">
        <f>($E$9*F801D!N12+$D$9*F801ENE!G12)*0.95</f>
        <v>3263.1915428570019</v>
      </c>
      <c r="H26" s="156">
        <f>($E$9*F801D!O12+$D$9*F801ENE!H12)*0.95</f>
        <v>3148.6088520319672</v>
      </c>
      <c r="I26" s="156">
        <f>($E$9*F801D!P12+$D$9*F801ENE!I12)*0.95</f>
        <v>3136.4265437807539</v>
      </c>
      <c r="J26" s="156">
        <f>SUM(D26:I26)</f>
        <v>19335.853597741541</v>
      </c>
    </row>
    <row r="27" spans="2:10" s="37" customFormat="1" ht="13.5">
      <c r="B27" s="48" t="s">
        <v>276</v>
      </c>
      <c r="C27" s="158" t="s">
        <v>276</v>
      </c>
      <c r="D27" s="154">
        <f>SUBTOTAL(9,D28:D31)</f>
        <v>187478.97440762923</v>
      </c>
      <c r="E27" s="154">
        <f t="shared" ref="E27:I27" si="5">SUBTOTAL(9,E28:E31)</f>
        <v>187557.21743193889</v>
      </c>
      <c r="F27" s="154">
        <f t="shared" si="5"/>
        <v>185719.36112266566</v>
      </c>
      <c r="G27" s="154">
        <f t="shared" si="5"/>
        <v>186914.29821954313</v>
      </c>
      <c r="H27" s="154">
        <f t="shared" si="5"/>
        <v>180471.77463841552</v>
      </c>
      <c r="I27" s="154">
        <f t="shared" si="5"/>
        <v>179653.25009228755</v>
      </c>
      <c r="J27" s="159">
        <f t="shared" si="2"/>
        <v>1107794.8759124801</v>
      </c>
    </row>
    <row r="28" spans="2:10" s="37" customFormat="1" ht="13.5">
      <c r="B28" s="48"/>
      <c r="C28" s="160" t="s">
        <v>304</v>
      </c>
      <c r="D28" s="156">
        <f>$E$10*F801D!K15+$D$10*F801ENE!D15</f>
        <v>186616.73226225434</v>
      </c>
      <c r="E28" s="156">
        <f>$E$10*F801D!L15+$D$10*F801ENE!E15</f>
        <v>186694.61543590153</v>
      </c>
      <c r="F28" s="156">
        <f>$E$10*F801D!M15+$D$10*F801ENE!F15</f>
        <v>184862.108163975</v>
      </c>
      <c r="G28" s="156">
        <f>$E$10*F801D!N15+$D$10*F801ENE!G15</f>
        <v>186054.6530992981</v>
      </c>
      <c r="H28" s="156">
        <f>$E$10*F801D!O15+$D$10*F801ENE!H15</f>
        <v>179638.74375873921</v>
      </c>
      <c r="I28" s="156">
        <f>$E$10*F801D!P15+$D$10*F801ENE!I15</f>
        <v>178826.99955260655</v>
      </c>
      <c r="J28" s="156">
        <f t="shared" si="2"/>
        <v>1102693.8522727748</v>
      </c>
    </row>
    <row r="29" spans="2:10" s="37" customFormat="1" ht="13.5">
      <c r="B29" s="48"/>
      <c r="C29" s="161" t="s">
        <v>306</v>
      </c>
      <c r="D29" s="156">
        <f>($E$10*F801D!K16+$D$10*F801ENE!D16)*0.75</f>
        <v>0</v>
      </c>
      <c r="E29" s="156">
        <f>($E$10*F801D!L16+$D$10*F801ENE!E16)*0.75</f>
        <v>0</v>
      </c>
      <c r="F29" s="156">
        <f>($E$10*F801D!M16+$D$10*F801ENE!F16)*0.75</f>
        <v>0</v>
      </c>
      <c r="G29" s="156">
        <f>($E$10*F801D!N16+$D$10*F801ENE!G16)*0.75</f>
        <v>0</v>
      </c>
      <c r="H29" s="156">
        <f>($E$10*F801D!O16+$D$10*F801ENE!H16)*0.75</f>
        <v>0</v>
      </c>
      <c r="I29" s="156">
        <f>($E$10*F801D!P16+$D$10*F801ENE!I16)*0.75</f>
        <v>0</v>
      </c>
      <c r="J29" s="156">
        <f t="shared" si="2"/>
        <v>0</v>
      </c>
    </row>
    <row r="30" spans="2:10" s="37" customFormat="1" ht="13.5">
      <c r="B30" s="48"/>
      <c r="C30" s="160" t="s">
        <v>305</v>
      </c>
      <c r="D30" s="156">
        <f>($E$10*F801D!K17+$D$10*F801ENE!D17)*0.95</f>
        <v>862.24214537487433</v>
      </c>
      <c r="E30" s="156">
        <f>($E$10*F801D!L17+$D$10*F801ENE!E17)*0.95</f>
        <v>862.60199603735305</v>
      </c>
      <c r="F30" s="156">
        <f>($E$10*F801D!M17+$D$10*F801ENE!F17)*0.95</f>
        <v>857.2529586906569</v>
      </c>
      <c r="G30" s="156">
        <f>($E$10*F801D!N17+$D$10*F801ENE!G17)*0.95</f>
        <v>859.64512024501175</v>
      </c>
      <c r="H30" s="156">
        <f>($E$10*F801D!O17+$D$10*F801ENE!H17)*0.95</f>
        <v>833.0308796763029</v>
      </c>
      <c r="I30" s="156">
        <f>($E$10*F801D!P17+$D$10*F801ENE!I17)*0.95</f>
        <v>826.25053968099394</v>
      </c>
      <c r="J30" s="156">
        <f>SUM(D30:I30)</f>
        <v>5101.0236397051922</v>
      </c>
    </row>
    <row r="31" spans="2:10" s="37" customFormat="1" ht="13.5">
      <c r="B31" s="48"/>
      <c r="C31" s="160" t="s">
        <v>307</v>
      </c>
      <c r="D31" s="156">
        <f>($E$10*F801D!K18+$D$10*F801ENE!D18)*0.5</f>
        <v>0</v>
      </c>
      <c r="E31" s="156">
        <f>($E$10*F801D!L18+$D$10*F801ENE!E18)*0.5</f>
        <v>0</v>
      </c>
      <c r="F31" s="156">
        <f>($E$10*F801D!M18+$D$10*F801ENE!F18)*0.5</f>
        <v>0</v>
      </c>
      <c r="G31" s="156">
        <f>($E$10*F801D!N18+$D$10*F801ENE!G18)*0.5</f>
        <v>0</v>
      </c>
      <c r="H31" s="156">
        <f>($E$10*F801D!O18+$D$10*F801ENE!H18)*0.5</f>
        <v>0</v>
      </c>
      <c r="I31" s="156">
        <f>($E$10*F801D!P18+$D$10*F801ENE!I18)*0.5</f>
        <v>0</v>
      </c>
      <c r="J31" s="156">
        <f t="shared" si="2"/>
        <v>0</v>
      </c>
    </row>
    <row r="32" spans="2:10" s="37" customFormat="1" ht="13.5">
      <c r="B32" s="48"/>
      <c r="C32" s="157"/>
      <c r="D32" s="156"/>
      <c r="E32" s="156"/>
      <c r="F32" s="156"/>
      <c r="G32" s="156"/>
      <c r="H32" s="156"/>
      <c r="I32" s="156"/>
      <c r="J32" s="156"/>
    </row>
    <row r="33" spans="2:10" s="37" customFormat="1" ht="13.5">
      <c r="B33" s="48"/>
      <c r="C33" s="153" t="s">
        <v>443</v>
      </c>
      <c r="D33" s="154">
        <f t="shared" ref="D33" si="6">SUBTOTAL(9,D34:D108)</f>
        <v>1476583.7595799277</v>
      </c>
      <c r="E33" s="154">
        <f t="shared" ref="E33:I33" si="7">SUBTOTAL(9,E34:E108)</f>
        <v>1477200.0013710998</v>
      </c>
      <c r="F33" s="154">
        <f t="shared" si="7"/>
        <v>1454056.5338234657</v>
      </c>
      <c r="G33" s="154">
        <f t="shared" si="7"/>
        <v>1472136.371858804</v>
      </c>
      <c r="H33" s="154">
        <f t="shared" si="7"/>
        <v>1412971.4936418564</v>
      </c>
      <c r="I33" s="154">
        <f t="shared" si="7"/>
        <v>1414948.3817062536</v>
      </c>
      <c r="J33" s="154">
        <f>SUM(D33:I33)</f>
        <v>8707896.5419814065</v>
      </c>
    </row>
    <row r="34" spans="2:10" s="37" customFormat="1" ht="13.5">
      <c r="B34" s="48" t="s">
        <v>275</v>
      </c>
      <c r="C34" s="155" t="s">
        <v>275</v>
      </c>
      <c r="D34" s="154">
        <f>SUBTOTAL(9,D35:D37)</f>
        <v>21683.720761568409</v>
      </c>
      <c r="E34" s="154">
        <f t="shared" ref="E34:I34" si="8">SUBTOTAL(9,E35:E37)</f>
        <v>21692.770309103176</v>
      </c>
      <c r="F34" s="154">
        <f t="shared" si="8"/>
        <v>21491.33492594782</v>
      </c>
      <c r="G34" s="154">
        <f t="shared" si="8"/>
        <v>21618.410607073198</v>
      </c>
      <c r="H34" s="154">
        <f t="shared" si="8"/>
        <v>20884.087313183263</v>
      </c>
      <c r="I34" s="154">
        <f t="shared" si="8"/>
        <v>20778.601553683631</v>
      </c>
      <c r="J34" s="154">
        <f t="shared" ref="J34:J87" si="9">SUM(D34:I34)</f>
        <v>128148.92547055951</v>
      </c>
    </row>
    <row r="35" spans="2:10" s="37" customFormat="1" ht="13.5">
      <c r="B35" s="48"/>
      <c r="C35" s="160" t="s">
        <v>304</v>
      </c>
      <c r="D35" s="156">
        <f>($E$11*F801D!K22+$D$11*F801ENE!D22)</f>
        <v>21334.018588627892</v>
      </c>
      <c r="E35" s="156">
        <f>($E$11*F801D!L22+$D$11*F801ENE!E22)</f>
        <v>21342.922190433521</v>
      </c>
      <c r="F35" s="156">
        <f>($E$11*F801D!M22+$D$11*F801ENE!F22)</f>
        <v>21140.857769184753</v>
      </c>
      <c r="G35" s="156">
        <f>($E$11*F801D!N22+$D$11*F801ENE!G22)</f>
        <v>21269.761717524088</v>
      </c>
      <c r="H35" s="156">
        <f>($E$11*F801D!O22+$D$11*F801ENE!H22)</f>
        <v>20543.513050656697</v>
      </c>
      <c r="I35" s="156">
        <f>($E$11*F801D!P22+$D$11*F801ENE!I22)</f>
        <v>20443.496605880253</v>
      </c>
      <c r="J35" s="156">
        <f t="shared" ref="J35" si="10">SUM(D35:I35)</f>
        <v>126074.5699223072</v>
      </c>
    </row>
    <row r="36" spans="2:10" s="37" customFormat="1" ht="13.5">
      <c r="B36" s="48"/>
      <c r="C36" s="161" t="s">
        <v>306</v>
      </c>
      <c r="D36" s="156">
        <f>($E$11*F801D!K23+$D$11*F801ENE!D23)</f>
        <v>257.0693570117711</v>
      </c>
      <c r="E36" s="156">
        <f>($E$11*F801D!L23+$D$11*F801ENE!E23)</f>
        <v>257.17664309018869</v>
      </c>
      <c r="F36" s="156">
        <f>($E$11*F801D!M23+$D$11*F801ENE!F23)</f>
        <v>258.07605987426643</v>
      </c>
      <c r="G36" s="156">
        <f>($E$11*F801D!N23+$D$11*F801ENE!G23)</f>
        <v>256.29507848240632</v>
      </c>
      <c r="H36" s="156">
        <f>($E$11*F801D!O23+$D$11*F801ENE!H23)</f>
        <v>250.78400138602808</v>
      </c>
      <c r="I36" s="156">
        <f>($E$11*F801D!P23+$D$11*F801ENE!I23)</f>
        <v>246.33879949590704</v>
      </c>
      <c r="J36" s="156">
        <f>SUM(D36:I36)</f>
        <v>1525.7399393405676</v>
      </c>
    </row>
    <row r="37" spans="2:10" s="37" customFormat="1" ht="13.5">
      <c r="B37" s="48"/>
      <c r="C37" s="160" t="s">
        <v>305</v>
      </c>
      <c r="D37" s="156">
        <f>($E$11*F801D!K24+$D$11*F801ENE!D24)*95%</f>
        <v>92.63281592874506</v>
      </c>
      <c r="E37" s="156">
        <f>($E$11*F801D!L24+$D$11*F801ENE!E24)*95%</f>
        <v>92.671475579468492</v>
      </c>
      <c r="F37" s="156">
        <f>($E$11*F801D!M24+$D$11*F801ENE!F24)*95%</f>
        <v>92.401096888799813</v>
      </c>
      <c r="G37" s="156">
        <f>($E$11*F801D!N24+$D$11*F801ENE!G24)*95%</f>
        <v>92.353811066703315</v>
      </c>
      <c r="H37" s="156">
        <f>($E$11*F801D!O24+$D$11*F801ENE!H24)*95%</f>
        <v>89.79026114053714</v>
      </c>
      <c r="I37" s="156">
        <f>($E$11*F801D!P24+$D$11*F801ENE!I24)*95%</f>
        <v>88.766148307468328</v>
      </c>
      <c r="J37" s="156">
        <f>SUM(D37:I37)</f>
        <v>548.61560891172223</v>
      </c>
    </row>
    <row r="38" spans="2:10" s="37" customFormat="1" ht="13.5">
      <c r="B38" s="48" t="s">
        <v>274</v>
      </c>
      <c r="C38" s="158" t="s">
        <v>627</v>
      </c>
      <c r="D38" s="154">
        <f t="shared" ref="D38:I38" si="11">SUBTOTAL(9,D39:D44)</f>
        <v>353571.46966794791</v>
      </c>
      <c r="E38" s="154">
        <f t="shared" si="11"/>
        <v>353719.03022071841</v>
      </c>
      <c r="F38" s="154">
        <f t="shared" si="11"/>
        <v>348950.25686971954</v>
      </c>
      <c r="G38" s="154">
        <f t="shared" si="11"/>
        <v>352506.53217114904</v>
      </c>
      <c r="H38" s="154">
        <f t="shared" si="11"/>
        <v>339090.50589622941</v>
      </c>
      <c r="I38" s="154">
        <f t="shared" si="11"/>
        <v>338812.73282220733</v>
      </c>
      <c r="J38" s="159">
        <f t="shared" si="9"/>
        <v>2086650.5276479716</v>
      </c>
    </row>
    <row r="39" spans="2:10" s="37" customFormat="1" ht="13.5">
      <c r="B39" s="48"/>
      <c r="C39" s="160" t="s">
        <v>304</v>
      </c>
      <c r="D39" s="156">
        <f>($E$12*F801D!K28+$D$12*F801ENE!D28)*1</f>
        <v>352920.37612903817</v>
      </c>
      <c r="E39" s="156">
        <f>($E$12*F801D!L28+$D$12*F801ENE!E28)*1</f>
        <v>353067.66495252406</v>
      </c>
      <c r="F39" s="156">
        <f>($E$12*F801D!M28+$D$12*F801ENE!F28)*1</f>
        <v>348307.26393382734</v>
      </c>
      <c r="G39" s="156">
        <f>($E$12*F801D!N28+$D$12*F801ENE!G28)*1</f>
        <v>351857.39968957275</v>
      </c>
      <c r="H39" s="156">
        <f>($E$12*F801D!O28+$D$12*F801ENE!H28)*1</f>
        <v>338465.68102326535</v>
      </c>
      <c r="I39" s="156">
        <f>($E$12*F801D!P28+$D$12*F801ENE!I28)*1</f>
        <v>338188.81714980287</v>
      </c>
      <c r="J39" s="156">
        <f t="shared" si="9"/>
        <v>2082807.2028780302</v>
      </c>
    </row>
    <row r="40" spans="2:10" s="37" customFormat="1" ht="13.5">
      <c r="B40" s="48"/>
      <c r="C40" s="161" t="s">
        <v>628</v>
      </c>
      <c r="D40" s="156">
        <f>($E$12*F801D!K29+$D$12*F801ENE!D29)*0.75</f>
        <v>25.491969584658719</v>
      </c>
      <c r="E40" s="156">
        <f>($E$12*F801D!L29+$D$12*F801ENE!E29)*0.75</f>
        <v>25.502608477911771</v>
      </c>
      <c r="F40" s="156">
        <f>($E$12*F801D!M29+$D$12*F801ENE!F29)*0.75</f>
        <v>25.020932927497611</v>
      </c>
      <c r="G40" s="156">
        <f>($E$12*F801D!N29+$D$12*F801ENE!G29)*0.75</f>
        <v>25.415189197645432</v>
      </c>
      <c r="H40" s="156">
        <f>($E$12*F801D!O29+$D$12*F801ENE!H29)*0.75</f>
        <v>24.313954889990015</v>
      </c>
      <c r="I40" s="156">
        <f>($E$12*F801D!P29+$D$12*F801ENE!I29)*0.75</f>
        <v>24.427886922296473</v>
      </c>
      <c r="J40" s="156">
        <f>SUM(D40:I40)</f>
        <v>150.17254200000002</v>
      </c>
    </row>
    <row r="41" spans="2:10" s="37" customFormat="1" ht="13.5">
      <c r="B41" s="48"/>
      <c r="C41" s="161" t="s">
        <v>629</v>
      </c>
      <c r="D41" s="156">
        <f>($E$12*F801D!K30+$D$12*F801ENE!D30)*1</f>
        <v>201.80980008304974</v>
      </c>
      <c r="E41" s="156">
        <f>($E$12*F801D!L30+$D$12*F801ENE!E30)*1</f>
        <v>201.89402397612213</v>
      </c>
      <c r="F41" s="156">
        <f>($E$12*F801D!M30+$D$12*F801ENE!F30)*1</f>
        <v>200.25242539554131</v>
      </c>
      <c r="G41" s="156">
        <f>($E$12*F801D!N30+$D$12*F801ENE!G30)*1</f>
        <v>201.20196024933298</v>
      </c>
      <c r="H41" s="156">
        <f>($E$12*F801D!O30+$D$12*F801ENE!H30)*1</f>
        <v>194.59420045554768</v>
      </c>
      <c r="I41" s="156">
        <f>($E$12*F801D!P30+$D$12*F801ENE!I30)*1</f>
        <v>193.38588020310459</v>
      </c>
      <c r="J41" s="156">
        <f>SUM(D41:I41)</f>
        <v>1193.1382903626984</v>
      </c>
    </row>
    <row r="42" spans="2:10" s="37" customFormat="1" ht="13.5">
      <c r="B42" s="48"/>
      <c r="C42" s="160" t="s">
        <v>305</v>
      </c>
      <c r="D42" s="156">
        <f>($E$12*F801D!K31+$D$12*F801ENE!D31)*0.95</f>
        <v>392.82374693182328</v>
      </c>
      <c r="E42" s="156">
        <f>($E$12*F801D!L31+$D$12*F801ENE!E31)*0.95</f>
        <v>392.98768914495793</v>
      </c>
      <c r="F42" s="156">
        <f>($E$12*F801D!M31+$D$12*F801ENE!F31)*0.95</f>
        <v>387.32377756835842</v>
      </c>
      <c r="G42" s="156">
        <f>($E$12*F801D!N31+$D$12*F801ENE!G31)*0.95</f>
        <v>391.64058377068471</v>
      </c>
      <c r="H42" s="156">
        <f>($E$12*F801D!O31+$D$12*F801ENE!H31)*0.95</f>
        <v>376.37976501140173</v>
      </c>
      <c r="I42" s="156">
        <f>($E$12*F801D!P31+$D$12*F801ENE!I31)*0.95</f>
        <v>376.42654635121835</v>
      </c>
      <c r="J42" s="156">
        <f t="shared" si="9"/>
        <v>2317.5821087784443</v>
      </c>
    </row>
    <row r="43" spans="2:10" s="37" customFormat="1" ht="13.5">
      <c r="B43" s="48"/>
      <c r="C43" s="160" t="s">
        <v>307</v>
      </c>
      <c r="D43" s="156">
        <f>($E$12*F801D!K32+$D$12*F801ENE!D32)*0.5</f>
        <v>30.968022310252067</v>
      </c>
      <c r="E43" s="156">
        <f>($E$12*F801D!L32+$D$12*F801ENE!E32)*0.5</f>
        <v>30.980946595389106</v>
      </c>
      <c r="F43" s="156">
        <f>($E$12*F801D!M32+$D$12*F801ENE!F32)*0.5</f>
        <v>30.39580000081191</v>
      </c>
      <c r="G43" s="156">
        <f>($E$12*F801D!N32+$D$12*F801ENE!G32)*0.5</f>
        <v>30.874748358621115</v>
      </c>
      <c r="H43" s="156">
        <f>($E$12*F801D!O32+$D$12*F801ENE!H32)*0.5</f>
        <v>29.536952607098982</v>
      </c>
      <c r="I43" s="156">
        <f>($E$12*F801D!P32+$D$12*F801ENE!I32)*0.5</f>
        <v>29.675358927826821</v>
      </c>
      <c r="J43" s="156">
        <f t="shared" si="9"/>
        <v>182.43182880000001</v>
      </c>
    </row>
    <row r="44" spans="2:10" s="37" customFormat="1" ht="13.5">
      <c r="B44" s="48"/>
      <c r="C44" s="160" t="s">
        <v>624</v>
      </c>
      <c r="D44" s="156">
        <f>($E$12*F801D!K33+$D$12*F801ENE!D33)*0</f>
        <v>0</v>
      </c>
      <c r="E44" s="156">
        <f>($E$12*F801D!L33+$D$12*F801ENE!E33)*0</f>
        <v>0</v>
      </c>
      <c r="F44" s="156">
        <f>($E$12*F801D!M33+$D$12*F801ENE!F33)*0</f>
        <v>0</v>
      </c>
      <c r="G44" s="156">
        <f>($E$12*F801D!N33+$D$12*F801ENE!G33)*0</f>
        <v>0</v>
      </c>
      <c r="H44" s="156">
        <f>($E$12*F801D!O33+$D$12*F801ENE!H33)*0</f>
        <v>0</v>
      </c>
      <c r="I44" s="156">
        <f>($E$12*F801D!P33+$D$12*F801ENE!I33)*0</f>
        <v>0</v>
      </c>
      <c r="J44" s="156">
        <f t="shared" si="9"/>
        <v>0</v>
      </c>
    </row>
    <row r="45" spans="2:10" s="37" customFormat="1" ht="13.5">
      <c r="B45" s="48" t="s">
        <v>274</v>
      </c>
      <c r="C45" s="158" t="s">
        <v>631</v>
      </c>
      <c r="D45" s="154">
        <f t="shared" ref="D45:I45" si="12">SUBTOTAL(9,D46:D49)</f>
        <v>180691.85835090972</v>
      </c>
      <c r="E45" s="154">
        <f t="shared" si="12"/>
        <v>180767.26882032465</v>
      </c>
      <c r="F45" s="154">
        <f t="shared" si="12"/>
        <v>178857.00091391051</v>
      </c>
      <c r="G45" s="154">
        <f t="shared" si="12"/>
        <v>180147.62457688691</v>
      </c>
      <c r="H45" s="154">
        <f t="shared" si="12"/>
        <v>173803.31359269767</v>
      </c>
      <c r="I45" s="154">
        <f t="shared" si="12"/>
        <v>173149.4410001167</v>
      </c>
      <c r="J45" s="159">
        <f t="shared" si="9"/>
        <v>1067416.5072548462</v>
      </c>
    </row>
    <row r="46" spans="2:10" s="37" customFormat="1" ht="13.5">
      <c r="B46" s="48"/>
      <c r="C46" s="160" t="s">
        <v>304</v>
      </c>
      <c r="D46" s="156">
        <f>($E$12*F801D!K35+$D$12*F801ENE!D35)*1</f>
        <v>180526.48755709961</v>
      </c>
      <c r="E46" s="156">
        <f>($E$12*F801D!L35+$D$12*F801ENE!E35)*1</f>
        <v>180601.82901018308</v>
      </c>
      <c r="F46" s="156">
        <f>($E$12*F801D!M35+$D$12*F801ENE!F35)*1</f>
        <v>178692.37420157291</v>
      </c>
      <c r="G46" s="156">
        <f>($E$12*F801D!N35+$D$12*F801ENE!G35)*1</f>
        <v>179982.7518706611</v>
      </c>
      <c r="H46" s="156">
        <f>($E$12*F801D!O35+$D$12*F801ENE!H35)*1</f>
        <v>173643.33848429297</v>
      </c>
      <c r="I46" s="156">
        <f>($E$12*F801D!P35+$D$12*F801ENE!I35)*1</f>
        <v>172990.97309366372</v>
      </c>
      <c r="J46" s="156">
        <f t="shared" si="9"/>
        <v>1066437.7542174733</v>
      </c>
    </row>
    <row r="47" spans="2:10" s="37" customFormat="1" ht="13.5">
      <c r="B47" s="48"/>
      <c r="C47" s="161" t="s">
        <v>306</v>
      </c>
      <c r="D47" s="156">
        <f>($E$12*F801D!K36+$D$12*F801ENE!D36)*1</f>
        <v>0</v>
      </c>
      <c r="E47" s="156">
        <f>($E$12*F801D!L36+$D$12*F801ENE!E36)*1</f>
        <v>0</v>
      </c>
      <c r="F47" s="156">
        <f>($E$12*F801D!M36+$D$12*F801ENE!F36)*1</f>
        <v>0</v>
      </c>
      <c r="G47" s="156">
        <f>($E$12*F801D!N36+$D$12*F801ENE!G36)*1</f>
        <v>0</v>
      </c>
      <c r="H47" s="156">
        <f>($E$12*F801D!O36+$D$12*F801ENE!H36)*1</f>
        <v>0</v>
      </c>
      <c r="I47" s="156">
        <f>($E$12*F801D!P36+$D$12*F801ENE!I36)*1</f>
        <v>0</v>
      </c>
      <c r="J47" s="156">
        <f>SUM(D47:I47)</f>
        <v>0</v>
      </c>
    </row>
    <row r="48" spans="2:10" s="37" customFormat="1" ht="13.5">
      <c r="B48" s="48"/>
      <c r="C48" s="160" t="s">
        <v>305</v>
      </c>
      <c r="D48" s="156">
        <f>($E$12*F801D!K37+$D$12*F801ENE!D37)*0.95</f>
        <v>165.37079381012234</v>
      </c>
      <c r="E48" s="156">
        <f>($E$12*F801D!L37+$D$12*F801ENE!E37)*0.95</f>
        <v>165.43981014158607</v>
      </c>
      <c r="F48" s="156">
        <f>($E$12*F801D!M37+$D$12*F801ENE!F37)*0.95</f>
        <v>164.62671233759031</v>
      </c>
      <c r="G48" s="156">
        <f>($E$12*F801D!N37+$D$12*F801ENE!G37)*0.95</f>
        <v>164.87270622582378</v>
      </c>
      <c r="H48" s="156">
        <f>($E$12*F801D!O37+$D$12*F801ENE!H37)*0.95</f>
        <v>159.975108404715</v>
      </c>
      <c r="I48" s="156">
        <f>($E$12*F801D!P37+$D$12*F801ENE!I37)*0.95</f>
        <v>158.46790645298645</v>
      </c>
      <c r="J48" s="156">
        <f t="shared" si="9"/>
        <v>978.75303737282388</v>
      </c>
    </row>
    <row r="49" spans="2:10" s="37" customFormat="1" ht="13.5">
      <c r="B49" s="48"/>
      <c r="C49" s="160" t="s">
        <v>307</v>
      </c>
      <c r="D49" s="156">
        <f>($E$12*F801D!K38+$D$12*F801ENE!D38)*0.5</f>
        <v>0</v>
      </c>
      <c r="E49" s="156">
        <f>($E$12*F801D!L38+$D$12*F801ENE!E38)*0.5</f>
        <v>0</v>
      </c>
      <c r="F49" s="156">
        <f>($E$12*F801D!M38+$D$12*F801ENE!F38)*0.5</f>
        <v>0</v>
      </c>
      <c r="G49" s="156">
        <f>($E$12*F801D!N38+$D$12*F801ENE!G38)*0.5</f>
        <v>0</v>
      </c>
      <c r="H49" s="156">
        <f>($E$12*F801D!O38+$D$12*F801ENE!H38)*0.5</f>
        <v>0</v>
      </c>
      <c r="I49" s="156">
        <f>($E$12*F801D!P38+$D$12*F801ENE!I38)*0.5</f>
        <v>0</v>
      </c>
      <c r="J49" s="156">
        <f t="shared" si="9"/>
        <v>0</v>
      </c>
    </row>
    <row r="50" spans="2:10" s="37" customFormat="1" ht="13.5">
      <c r="B50" s="48" t="s">
        <v>274</v>
      </c>
      <c r="C50" s="158" t="s">
        <v>632</v>
      </c>
      <c r="D50" s="154">
        <f t="shared" ref="D50:I50" si="13">SUBTOTAL(9,D51:D54)</f>
        <v>54627.532185507276</v>
      </c>
      <c r="E50" s="154">
        <f t="shared" si="13"/>
        <v>54650.330599794928</v>
      </c>
      <c r="F50" s="154">
        <f t="shared" si="13"/>
        <v>54165.306771539035</v>
      </c>
      <c r="G50" s="154">
        <f t="shared" si="13"/>
        <v>54462.997113046331</v>
      </c>
      <c r="H50" s="154">
        <f t="shared" si="13"/>
        <v>52634.840965435724</v>
      </c>
      <c r="I50" s="154">
        <f t="shared" si="13"/>
        <v>52347.276448766715</v>
      </c>
      <c r="J50" s="159">
        <f t="shared" si="9"/>
        <v>322888.28408409003</v>
      </c>
    </row>
    <row r="51" spans="2:10" s="37" customFormat="1" ht="13.5">
      <c r="B51" s="48"/>
      <c r="C51" s="160" t="s">
        <v>304</v>
      </c>
      <c r="D51" s="156">
        <f>($E$12*F801D!K40+$D$12*F801ENE!D40)*1</f>
        <v>54627.532185507276</v>
      </c>
      <c r="E51" s="156">
        <f>($E$12*F801D!L40+$D$12*F801ENE!E40)*1</f>
        <v>54650.330599794928</v>
      </c>
      <c r="F51" s="156">
        <f>($E$12*F801D!M40+$D$12*F801ENE!F40)*1</f>
        <v>54165.306771539035</v>
      </c>
      <c r="G51" s="156">
        <f>($E$12*F801D!N40+$D$12*F801ENE!G40)*1</f>
        <v>54462.997113046331</v>
      </c>
      <c r="H51" s="156">
        <f>($E$12*F801D!O40+$D$12*F801ENE!H40)*1</f>
        <v>52634.840965435724</v>
      </c>
      <c r="I51" s="156">
        <f>($E$12*F801D!P40+$D$12*F801ENE!I40)*1</f>
        <v>52347.276448766715</v>
      </c>
      <c r="J51" s="156">
        <f t="shared" si="9"/>
        <v>322888.28408409003</v>
      </c>
    </row>
    <row r="52" spans="2:10" s="37" customFormat="1" ht="13.5">
      <c r="B52" s="48"/>
      <c r="C52" s="161" t="s">
        <v>306</v>
      </c>
      <c r="D52" s="156">
        <f>($E$12*F801D!K41+$D$12*F801ENE!D41)*1</f>
        <v>0</v>
      </c>
      <c r="E52" s="156">
        <f>($E$12*F801D!L41+$D$12*F801ENE!E41)*1</f>
        <v>0</v>
      </c>
      <c r="F52" s="156">
        <f>($E$12*F801D!M41+$D$12*F801ENE!F41)*1</f>
        <v>0</v>
      </c>
      <c r="G52" s="156">
        <f>($E$12*F801D!N41+$D$12*F801ENE!G41)*1</f>
        <v>0</v>
      </c>
      <c r="H52" s="156">
        <f>($E$12*F801D!O41+$D$12*F801ENE!H41)*1</f>
        <v>0</v>
      </c>
      <c r="I52" s="156">
        <f>($E$12*F801D!P41+$D$12*F801ENE!I41)*1</f>
        <v>0</v>
      </c>
      <c r="J52" s="156">
        <f>SUM(D52:I52)</f>
        <v>0</v>
      </c>
    </row>
    <row r="53" spans="2:10" s="37" customFormat="1" ht="13.5">
      <c r="B53" s="48"/>
      <c r="C53" s="160" t="s">
        <v>305</v>
      </c>
      <c r="D53" s="156">
        <f>($E$12*F801D!K42+$D$12*F801ENE!D42)*0.95</f>
        <v>0</v>
      </c>
      <c r="E53" s="156">
        <f>($E$12*F801D!L42+$D$12*F801ENE!E42)*0.95</f>
        <v>0</v>
      </c>
      <c r="F53" s="156">
        <f>($E$12*F801D!M42+$D$12*F801ENE!F42)*0.95</f>
        <v>0</v>
      </c>
      <c r="G53" s="156">
        <f>($E$12*F801D!N42+$D$12*F801ENE!G42)*0.95</f>
        <v>0</v>
      </c>
      <c r="H53" s="156">
        <f>($E$12*F801D!O42+$D$12*F801ENE!H42)*0.95</f>
        <v>0</v>
      </c>
      <c r="I53" s="156">
        <f>($E$12*F801D!P42+$D$12*F801ENE!I42)*0.95</f>
        <v>0</v>
      </c>
      <c r="J53" s="156">
        <f t="shared" si="9"/>
        <v>0</v>
      </c>
    </row>
    <row r="54" spans="2:10" s="37" customFormat="1" ht="13.5">
      <c r="B54" s="48"/>
      <c r="C54" s="160" t="s">
        <v>307</v>
      </c>
      <c r="D54" s="156">
        <f>($E$12*F801D!K43+$D$12*F801ENE!D43)*0.5</f>
        <v>0</v>
      </c>
      <c r="E54" s="156">
        <f>($E$12*F801D!L43+$D$12*F801ENE!E43)*0.5</f>
        <v>0</v>
      </c>
      <c r="F54" s="156">
        <f>($E$12*F801D!M43+$D$12*F801ENE!F43)*0.5</f>
        <v>0</v>
      </c>
      <c r="G54" s="156">
        <f>($E$12*F801D!N43+$D$12*F801ENE!G43)*0.5</f>
        <v>0</v>
      </c>
      <c r="H54" s="156">
        <f>($E$12*F801D!O43+$D$12*F801ENE!H43)*0.5</f>
        <v>0</v>
      </c>
      <c r="I54" s="156">
        <f>($E$12*F801D!P43+$D$12*F801ENE!I43)*0.5</f>
        <v>0</v>
      </c>
      <c r="J54" s="156">
        <f t="shared" si="9"/>
        <v>0</v>
      </c>
    </row>
    <row r="55" spans="2:10" s="37" customFormat="1" ht="13.5">
      <c r="B55" s="48" t="s">
        <v>274</v>
      </c>
      <c r="C55" s="158" t="s">
        <v>633</v>
      </c>
      <c r="D55" s="154">
        <f t="shared" ref="D55:I55" si="14">SUBTOTAL(9,D56:D59)</f>
        <v>56202.875263417722</v>
      </c>
      <c r="E55" s="154">
        <f t="shared" si="14"/>
        <v>56226.331135999717</v>
      </c>
      <c r="F55" s="154">
        <f t="shared" si="14"/>
        <v>55749.8061681982</v>
      </c>
      <c r="G55" s="154">
        <f t="shared" si="14"/>
        <v>56033.595345690934</v>
      </c>
      <c r="H55" s="154">
        <f t="shared" si="14"/>
        <v>54174.569598465561</v>
      </c>
      <c r="I55" s="154">
        <f t="shared" si="14"/>
        <v>53856.861749471675</v>
      </c>
      <c r="J55" s="159">
        <f t="shared" si="9"/>
        <v>332244.03926124383</v>
      </c>
    </row>
    <row r="56" spans="2:10" s="37" customFormat="1" ht="13.5">
      <c r="B56" s="48"/>
      <c r="C56" s="160" t="s">
        <v>304</v>
      </c>
      <c r="D56" s="156">
        <f>($E$12*F801D!K45+$D$12*F801ENE!D45)*1</f>
        <v>56202.875263417722</v>
      </c>
      <c r="E56" s="156">
        <f>($E$12*F801D!L45+$D$12*F801ENE!E45)*1</f>
        <v>56226.331135999717</v>
      </c>
      <c r="F56" s="156">
        <f>($E$12*F801D!M45+$D$12*F801ENE!F45)*1</f>
        <v>55749.8061681982</v>
      </c>
      <c r="G56" s="156">
        <f>($E$12*F801D!N45+$D$12*F801ENE!G45)*1</f>
        <v>56033.595345690934</v>
      </c>
      <c r="H56" s="156">
        <f>($E$12*F801D!O45+$D$12*F801ENE!H45)*1</f>
        <v>54174.569598465561</v>
      </c>
      <c r="I56" s="156">
        <f>($E$12*F801D!P45+$D$12*F801ENE!I45)*1</f>
        <v>53856.861749471675</v>
      </c>
      <c r="J56" s="156">
        <f t="shared" si="9"/>
        <v>332244.03926124383</v>
      </c>
    </row>
    <row r="57" spans="2:10" s="37" customFormat="1" ht="13.5">
      <c r="B57" s="48"/>
      <c r="C57" s="161" t="s">
        <v>306</v>
      </c>
      <c r="D57" s="156">
        <f>($E$12*F801D!K46+$D$12*F801ENE!D46)*1</f>
        <v>0</v>
      </c>
      <c r="E57" s="156">
        <f>($E$12*F801D!L46+$D$12*F801ENE!E46)*1</f>
        <v>0</v>
      </c>
      <c r="F57" s="156">
        <f>($E$12*F801D!M46+$D$12*F801ENE!F46)*1</f>
        <v>0</v>
      </c>
      <c r="G57" s="156">
        <f>($E$12*F801D!N46+$D$12*F801ENE!G46)*1</f>
        <v>0</v>
      </c>
      <c r="H57" s="156">
        <f>($E$12*F801D!O46+$D$12*F801ENE!H46)*1</f>
        <v>0</v>
      </c>
      <c r="I57" s="156">
        <f>($E$12*F801D!P46+$D$12*F801ENE!I46)*1</f>
        <v>0</v>
      </c>
      <c r="J57" s="156">
        <f>SUM(D57:I57)</f>
        <v>0</v>
      </c>
    </row>
    <row r="58" spans="2:10" s="37" customFormat="1" ht="13.5">
      <c r="B58" s="48"/>
      <c r="C58" s="160" t="s">
        <v>305</v>
      </c>
      <c r="D58" s="156">
        <f>($E$12*F801D!K47+$D$12*F801ENE!D47)*0.95</f>
        <v>0</v>
      </c>
      <c r="E58" s="156">
        <f>($E$12*F801D!L47+$D$12*F801ENE!E47)*0.95</f>
        <v>0</v>
      </c>
      <c r="F58" s="156">
        <f>($E$12*F801D!M47+$D$12*F801ENE!F47)*0.95</f>
        <v>0</v>
      </c>
      <c r="G58" s="156">
        <f>($E$12*F801D!N47+$D$12*F801ENE!G47)*0.95</f>
        <v>0</v>
      </c>
      <c r="H58" s="156">
        <f>($E$12*F801D!O47+$D$12*F801ENE!H47)*0.95</f>
        <v>0</v>
      </c>
      <c r="I58" s="156">
        <f>($E$12*F801D!P47+$D$12*F801ENE!I47)*0.95</f>
        <v>0</v>
      </c>
      <c r="J58" s="156">
        <f t="shared" si="9"/>
        <v>0</v>
      </c>
    </row>
    <row r="59" spans="2:10" s="37" customFormat="1" ht="13.5">
      <c r="B59" s="48"/>
      <c r="C59" s="160" t="s">
        <v>307</v>
      </c>
      <c r="D59" s="156">
        <f>($E$12*F801D!K48+$D$12*F801ENE!D48)*0.5</f>
        <v>0</v>
      </c>
      <c r="E59" s="156">
        <f>($E$12*F801D!L48+$D$12*F801ENE!E48)*0.5</f>
        <v>0</v>
      </c>
      <c r="F59" s="156">
        <f>($E$12*F801D!M48+$D$12*F801ENE!F48)*0.5</f>
        <v>0</v>
      </c>
      <c r="G59" s="156">
        <f>($E$12*F801D!N48+$D$12*F801ENE!G48)*0.5</f>
        <v>0</v>
      </c>
      <c r="H59" s="156">
        <f>($E$12*F801D!O48+$D$12*F801ENE!H48)*0.5</f>
        <v>0</v>
      </c>
      <c r="I59" s="156">
        <f>($E$12*F801D!P48+$D$12*F801ENE!I48)*0.5</f>
        <v>0</v>
      </c>
      <c r="J59" s="156">
        <f t="shared" si="9"/>
        <v>0</v>
      </c>
    </row>
    <row r="60" spans="2:10" s="37" customFormat="1" ht="13.5">
      <c r="B60" s="48"/>
      <c r="C60" s="157"/>
      <c r="D60" s="156"/>
      <c r="E60" s="156"/>
      <c r="F60" s="156"/>
      <c r="G60" s="156"/>
      <c r="H60" s="156"/>
      <c r="I60" s="156"/>
      <c r="J60" s="156"/>
    </row>
    <row r="61" spans="2:10" s="37" customFormat="1" ht="13.5">
      <c r="B61" s="48" t="s">
        <v>1176</v>
      </c>
      <c r="C61" s="158" t="s">
        <v>1176</v>
      </c>
      <c r="D61" s="154">
        <f t="shared" ref="D61:I61" si="15">SUBTOTAL(9,D62:D67)</f>
        <v>5.22</v>
      </c>
      <c r="E61" s="154">
        <f t="shared" si="15"/>
        <v>5.22</v>
      </c>
      <c r="F61" s="154">
        <f t="shared" si="15"/>
        <v>5.22</v>
      </c>
      <c r="G61" s="154">
        <f t="shared" si="15"/>
        <v>5.22</v>
      </c>
      <c r="H61" s="154">
        <f t="shared" si="15"/>
        <v>5.22</v>
      </c>
      <c r="I61" s="154">
        <f t="shared" si="15"/>
        <v>5.22</v>
      </c>
      <c r="J61" s="159">
        <f>SUM(D61:I61)</f>
        <v>31.319999999999997</v>
      </c>
    </row>
    <row r="62" spans="2:10" s="37" customFormat="1" ht="13.5">
      <c r="B62" s="48"/>
      <c r="C62" s="160" t="s">
        <v>304</v>
      </c>
      <c r="D62" s="156">
        <f>($D$15*(F801ENE!D51))*1</f>
        <v>5.22</v>
      </c>
      <c r="E62" s="156">
        <f>($D$15*(F801ENE!E51))*1</f>
        <v>5.22</v>
      </c>
      <c r="F62" s="156">
        <f>($D$15*(F801ENE!F51))*1</f>
        <v>5.22</v>
      </c>
      <c r="G62" s="156">
        <f>($D$15*(F801ENE!G51))*1</f>
        <v>5.22</v>
      </c>
      <c r="H62" s="156">
        <f>($D$15*(F801ENE!H51))*1</f>
        <v>5.22</v>
      </c>
      <c r="I62" s="156">
        <f>($D$15*(F801ENE!I51))*1</f>
        <v>5.22</v>
      </c>
      <c r="J62" s="156">
        <f t="shared" si="9"/>
        <v>31.319999999999997</v>
      </c>
    </row>
    <row r="63" spans="2:10" s="37" customFormat="1" ht="13.5">
      <c r="B63" s="48"/>
      <c r="C63" s="162" t="s">
        <v>642</v>
      </c>
      <c r="D63" s="156">
        <f>($D$15*(F801ENE!D52))*0.75</f>
        <v>0</v>
      </c>
      <c r="E63" s="156">
        <f>($D$15*(F801ENE!E52))*0.75</f>
        <v>0</v>
      </c>
      <c r="F63" s="156">
        <f>($D$15*(F801ENE!F52))*0.75</f>
        <v>0</v>
      </c>
      <c r="G63" s="156">
        <f>($D$15*(F801ENE!G52))*0.75</f>
        <v>0</v>
      </c>
      <c r="H63" s="156">
        <f>($D$15*(F801ENE!H52))*0.75</f>
        <v>0</v>
      </c>
      <c r="I63" s="156">
        <f>($D$15*(F801ENE!I52))*0.75</f>
        <v>0</v>
      </c>
      <c r="J63" s="156">
        <f t="shared" si="9"/>
        <v>0</v>
      </c>
    </row>
    <row r="64" spans="2:10" s="37" customFormat="1" ht="13.5">
      <c r="B64" s="48"/>
      <c r="C64" s="162" t="s">
        <v>1177</v>
      </c>
      <c r="D64" s="156">
        <f>($D$15*(F801ENE!D53))*1</f>
        <v>0</v>
      </c>
      <c r="E64" s="156">
        <f>($D$15*(F801ENE!E53))*1</f>
        <v>0</v>
      </c>
      <c r="F64" s="156">
        <f>($D$15*(F801ENE!F53))*1</f>
        <v>0</v>
      </c>
      <c r="G64" s="156">
        <f>($D$15*(F801ENE!G53))*1</f>
        <v>0</v>
      </c>
      <c r="H64" s="156">
        <f>($D$15*(F801ENE!H53))*1</f>
        <v>0</v>
      </c>
      <c r="I64" s="156">
        <f>($D$15*(F801ENE!I53))*1</f>
        <v>0</v>
      </c>
      <c r="J64" s="156">
        <f t="shared" si="9"/>
        <v>0</v>
      </c>
    </row>
    <row r="65" spans="2:10" s="37" customFormat="1" ht="13.5">
      <c r="B65" s="48"/>
      <c r="C65" s="160" t="s">
        <v>305</v>
      </c>
      <c r="D65" s="156">
        <f>($D$15*(F801ENE!D54))*0.95</f>
        <v>0</v>
      </c>
      <c r="E65" s="156">
        <f>($D$15*(F801ENE!E54))*0.95</f>
        <v>0</v>
      </c>
      <c r="F65" s="156">
        <f>($D$15*(F801ENE!F54))*0.95</f>
        <v>0</v>
      </c>
      <c r="G65" s="156">
        <f>($D$15*(F801ENE!G54))*0.95</f>
        <v>0</v>
      </c>
      <c r="H65" s="156">
        <f>($D$15*(F801ENE!H54))*0.95</f>
        <v>0</v>
      </c>
      <c r="I65" s="156">
        <f>($D$15*(F801ENE!I54))*0.95</f>
        <v>0</v>
      </c>
      <c r="J65" s="156">
        <f t="shared" si="9"/>
        <v>0</v>
      </c>
    </row>
    <row r="66" spans="2:10" s="37" customFormat="1" ht="13.5">
      <c r="B66" s="48"/>
      <c r="C66" s="160" t="s">
        <v>307</v>
      </c>
      <c r="D66" s="156">
        <f>($D$15*(F801ENE!D55))*0.5</f>
        <v>0</v>
      </c>
      <c r="E66" s="156">
        <f>($D$15*(F801ENE!E55))*0.5</f>
        <v>0</v>
      </c>
      <c r="F66" s="156">
        <f>($D$15*(F801ENE!F55))*0.5</f>
        <v>0</v>
      </c>
      <c r="G66" s="156">
        <f>($D$15*(F801ENE!G55))*0.5</f>
        <v>0</v>
      </c>
      <c r="H66" s="156">
        <f>($D$15*(F801ENE!H55))*0.5</f>
        <v>0</v>
      </c>
      <c r="I66" s="156">
        <f>($D$15*(F801ENE!I55))*0.5</f>
        <v>0</v>
      </c>
      <c r="J66" s="156">
        <f t="shared" si="9"/>
        <v>0</v>
      </c>
    </row>
    <row r="67" spans="2:10" s="37" customFormat="1" ht="13.5">
      <c r="B67" s="48"/>
      <c r="C67" s="160" t="s">
        <v>624</v>
      </c>
      <c r="D67" s="156">
        <f>($D$15*(F801ENE!D56))*0</f>
        <v>0</v>
      </c>
      <c r="E67" s="156">
        <f>($D$15*(F801ENE!E56))*0</f>
        <v>0</v>
      </c>
      <c r="F67" s="156">
        <f>($D$15*(F801ENE!F56))*0</f>
        <v>0</v>
      </c>
      <c r="G67" s="156">
        <f>($D$15*(F801ENE!G56))*0</f>
        <v>0</v>
      </c>
      <c r="H67" s="156">
        <f>($D$15*(F801ENE!H56))*0</f>
        <v>0</v>
      </c>
      <c r="I67" s="156">
        <f>($D$15*(F801ENE!I56))*0</f>
        <v>0</v>
      </c>
      <c r="J67" s="156">
        <f t="shared" si="9"/>
        <v>0</v>
      </c>
    </row>
    <row r="68" spans="2:10" s="37" customFormat="1" ht="13.5">
      <c r="B68" s="48" t="s">
        <v>751</v>
      </c>
      <c r="C68" s="158" t="s">
        <v>634</v>
      </c>
      <c r="D68" s="154">
        <f t="shared" ref="D68" si="16">SUBTOTAL(9,D69:D73)</f>
        <v>418507.24578485149</v>
      </c>
      <c r="E68" s="154">
        <f t="shared" ref="E68:I68" si="17">SUBTOTAL(9,E69:E73)</f>
        <v>418681.90900315519</v>
      </c>
      <c r="F68" s="154">
        <f t="shared" si="17"/>
        <v>410774.03740293876</v>
      </c>
      <c r="G68" s="154">
        <f t="shared" si="17"/>
        <v>417246.70963890443</v>
      </c>
      <c r="H68" s="154">
        <f t="shared" si="17"/>
        <v>399167.27940997848</v>
      </c>
      <c r="I68" s="154">
        <f t="shared" si="17"/>
        <v>401037.74985809752</v>
      </c>
      <c r="J68" s="159">
        <f t="shared" si="9"/>
        <v>2465414.9310979261</v>
      </c>
    </row>
    <row r="69" spans="2:10" s="37" customFormat="1" ht="13.5">
      <c r="B69" s="48"/>
      <c r="C69" s="160" t="s">
        <v>304</v>
      </c>
      <c r="D69" s="156">
        <f>($D$14*(F801ENE!D66))*1</f>
        <v>295759.07482382481</v>
      </c>
      <c r="E69" s="156">
        <f>($D$14*(F801ENE!E66))*1</f>
        <v>295882.5099609273</v>
      </c>
      <c r="F69" s="156">
        <f>($D$14*(F801ENE!F66))*1</f>
        <v>290293.98809214809</v>
      </c>
      <c r="G69" s="156">
        <f>($D$14*(F801ENE!G66))*1</f>
        <v>294868.24930538586</v>
      </c>
      <c r="H69" s="156">
        <f>($D$14*(F801ENE!H66))*1</f>
        <v>282091.44964077621</v>
      </c>
      <c r="I69" s="156">
        <f>($D$14*(F801ENE!I66))*1</f>
        <v>283413.31796801771</v>
      </c>
      <c r="J69" s="156">
        <f t="shared" si="9"/>
        <v>1742308.58979108</v>
      </c>
    </row>
    <row r="70" spans="2:10" s="37" customFormat="1" ht="13.5">
      <c r="B70" s="48"/>
      <c r="C70" s="162" t="s">
        <v>644</v>
      </c>
      <c r="D70" s="156">
        <f>($D$14*(F801ENE!D67))*0.75</f>
        <v>122722.03382500722</v>
      </c>
      <c r="E70" s="156">
        <f>($D$14*(F801ENE!E67))*0.75</f>
        <v>122773.25099805952</v>
      </c>
      <c r="F70" s="156">
        <f>($D$14*(F801ENE!F67))*0.75</f>
        <v>120454.39513271363</v>
      </c>
      <c r="G70" s="156">
        <f>($D$14*(F801ENE!G67))*0.75</f>
        <v>122352.4019210914</v>
      </c>
      <c r="H70" s="156">
        <f>($D$14*(F801ENE!H67))*0.75</f>
        <v>117050.90046179743</v>
      </c>
      <c r="I70" s="156">
        <f>($D$14*(F801ENE!I67))*0.75</f>
        <v>117599.38576718076</v>
      </c>
      <c r="J70" s="156">
        <f>SUM(D70:I70)</f>
        <v>722952.36810584995</v>
      </c>
    </row>
    <row r="71" spans="2:10" s="37" customFormat="1" ht="13.5">
      <c r="B71" s="48"/>
      <c r="C71" s="160" t="s">
        <v>305</v>
      </c>
      <c r="D71" s="156">
        <f>($D$14*(F801ENE!D68))*0.95</f>
        <v>25.222995839786972</v>
      </c>
      <c r="E71" s="156">
        <f>($D$14*(F801ENE!E68))*0.95</f>
        <v>25.233522478749506</v>
      </c>
      <c r="F71" s="156">
        <f>($D$14*(F801ENE!F68))*0.95</f>
        <v>24.756929237733917</v>
      </c>
      <c r="G71" s="156">
        <f>($D$14*(F801ENE!G68))*0.95</f>
        <v>25.147025586653655</v>
      </c>
      <c r="H71" s="156">
        <f>($D$14*(F801ENE!H68))*0.95</f>
        <v>24.057410746639906</v>
      </c>
      <c r="I71" s="156">
        <f>($D$14*(F801ENE!I68))*0.95</f>
        <v>24.170140646436025</v>
      </c>
      <c r="J71" s="156">
        <f t="shared" si="9"/>
        <v>148.58802453599998</v>
      </c>
    </row>
    <row r="72" spans="2:10" s="37" customFormat="1" ht="13.5">
      <c r="B72" s="48"/>
      <c r="C72" s="160" t="s">
        <v>307</v>
      </c>
      <c r="D72" s="156">
        <f>($D$14*(F801ENE!D69))*0.5</f>
        <v>0.91414017967638916</v>
      </c>
      <c r="E72" s="156">
        <f>($D$14*(F801ENE!E69))*0.5</f>
        <v>0.9145216896165137</v>
      </c>
      <c r="F72" s="156">
        <f>($D$14*(F801ENE!F69))*0.5</f>
        <v>0.89724883932775823</v>
      </c>
      <c r="G72" s="156">
        <f>($D$14*(F801ENE!G69))*0.5</f>
        <v>0.91138684056907326</v>
      </c>
      <c r="H72" s="156">
        <f>($D$14*(F801ENE!H69))*0.5</f>
        <v>0.87189665819918072</v>
      </c>
      <c r="I72" s="156">
        <f>($D$14*(F801ENE!I69))*0.5</f>
        <v>0.8759822526110852</v>
      </c>
      <c r="J72" s="156">
        <f t="shared" si="9"/>
        <v>5.3851764600000003</v>
      </c>
    </row>
    <row r="73" spans="2:10" s="37" customFormat="1" ht="13.5">
      <c r="B73" s="48"/>
      <c r="C73" s="160" t="s">
        <v>624</v>
      </c>
      <c r="D73" s="156">
        <f>($D$14*(F801ENE!D70))*0</f>
        <v>0</v>
      </c>
      <c r="E73" s="156">
        <f>($D$14*(F801ENE!E70))*0</f>
        <v>0</v>
      </c>
      <c r="F73" s="156">
        <f>($D$14*(F801ENE!F70))*0</f>
        <v>0</v>
      </c>
      <c r="G73" s="156">
        <f>($D$14*(F801ENE!G70))*0</f>
        <v>0</v>
      </c>
      <c r="H73" s="156">
        <f>($D$14*(F801ENE!H70))*0</f>
        <v>0</v>
      </c>
      <c r="I73" s="156">
        <f>($D$14*(F801ENE!I70))*0</f>
        <v>0</v>
      </c>
      <c r="J73" s="156">
        <f t="shared" si="9"/>
        <v>0</v>
      </c>
    </row>
    <row r="74" spans="2:10" s="37" customFormat="1" ht="13.5">
      <c r="B74" s="48" t="s">
        <v>750</v>
      </c>
      <c r="C74" s="158" t="s">
        <v>635</v>
      </c>
      <c r="D74" s="154">
        <f t="shared" ref="D74" si="18">SUBTOTAL(9,D75:D80)</f>
        <v>157451.47286393537</v>
      </c>
      <c r="E74" s="154">
        <f t="shared" ref="E74:I74" si="19">SUBTOTAL(9,E75:E80)</f>
        <v>157517.18412279952</v>
      </c>
      <c r="F74" s="154">
        <f t="shared" si="19"/>
        <v>154542.10898773049</v>
      </c>
      <c r="G74" s="154">
        <f t="shared" si="19"/>
        <v>156977.23783152027</v>
      </c>
      <c r="H74" s="154">
        <f t="shared" si="19"/>
        <v>150175.45018883501</v>
      </c>
      <c r="I74" s="154">
        <f t="shared" si="19"/>
        <v>150879.15282873725</v>
      </c>
      <c r="J74" s="159">
        <f t="shared" si="9"/>
        <v>927542.60682355799</v>
      </c>
    </row>
    <row r="75" spans="2:10" s="37" customFormat="1" ht="13.5">
      <c r="B75" s="48"/>
      <c r="C75" s="160" t="s">
        <v>304</v>
      </c>
      <c r="D75" s="156">
        <f>($D$14*(F801ENE!D72))*1</f>
        <v>113289.10154252364</v>
      </c>
      <c r="E75" s="156">
        <f>($D$14*(F801ENE!E72))*1</f>
        <v>113336.38194798789</v>
      </c>
      <c r="F75" s="156">
        <f>($D$14*(F801ENE!F72))*1</f>
        <v>111195.76310878058</v>
      </c>
      <c r="G75" s="156">
        <f>($D$14*(F801ENE!G72))*1</f>
        <v>112947.88110320312</v>
      </c>
      <c r="H75" s="156">
        <f>($D$14*(F801ENE!H72))*1</f>
        <v>108053.87536983816</v>
      </c>
      <c r="I75" s="156">
        <f>($D$14*(F801ENE!I72))*1</f>
        <v>108560.20178506659</v>
      </c>
      <c r="J75" s="156">
        <f t="shared" si="9"/>
        <v>667383.20485740004</v>
      </c>
    </row>
    <row r="76" spans="2:10" s="37" customFormat="1" ht="13.5">
      <c r="B76" s="48"/>
      <c r="C76" s="162" t="s">
        <v>642</v>
      </c>
      <c r="D76" s="156">
        <f>($D$14*(F801ENE!D73))*0.75</f>
        <v>35652.090222787599</v>
      </c>
      <c r="E76" s="156">
        <f>($D$14*(F801ENE!E73))*0.75</f>
        <v>35666.969370546998</v>
      </c>
      <c r="F76" s="156">
        <f>($D$14*(F801ENE!F73))*0.75</f>
        <v>34993.316433513413</v>
      </c>
      <c r="G76" s="156">
        <f>($D$14*(F801ENE!G73))*0.75</f>
        <v>35544.70812051231</v>
      </c>
      <c r="H76" s="156">
        <f>($D$14*(F801ENE!H73))*0.75</f>
        <v>34004.564085639948</v>
      </c>
      <c r="I76" s="156">
        <f>($D$14*(F801ENE!I73))*0.75</f>
        <v>34163.905053059738</v>
      </c>
      <c r="J76" s="156">
        <f>SUM(D76:I76)</f>
        <v>210025.55328606002</v>
      </c>
    </row>
    <row r="77" spans="2:10" s="37" customFormat="1" ht="13.5">
      <c r="B77" s="48"/>
      <c r="C77" s="162" t="s">
        <v>1177</v>
      </c>
      <c r="D77" s="156">
        <f>($D$14*(F801ENE!D74))*1</f>
        <v>8484.1590997841868</v>
      </c>
      <c r="E77" s="156">
        <f>($D$14*(F801ENE!E74))*1</f>
        <v>8487.6999035931967</v>
      </c>
      <c r="F77" s="156">
        <f>($D$14*(F801ENE!F74))*1</f>
        <v>8327.3901248364709</v>
      </c>
      <c r="G77" s="156">
        <f>($D$14*(F801ENE!G74))*1</f>
        <v>8458.6052869648065</v>
      </c>
      <c r="H77" s="156">
        <f>($D$14*(F801ENE!H74))*1</f>
        <v>8092.0958636242112</v>
      </c>
      <c r="I77" s="156">
        <f>($D$14*(F801ENE!I74))*1</f>
        <v>8130.0143730371301</v>
      </c>
      <c r="J77" s="156">
        <f>SUM(D77:I77)</f>
        <v>49979.964651840004</v>
      </c>
    </row>
    <row r="78" spans="2:10" s="37" customFormat="1" ht="13.5">
      <c r="B78" s="48"/>
      <c r="C78" s="160" t="s">
        <v>305</v>
      </c>
      <c r="D78" s="156">
        <f>($D$14*(F801ENE!D75))*0.95</f>
        <v>24.90602421010605</v>
      </c>
      <c r="E78" s="156">
        <f>($D$14*(F801ENE!E75))*0.95</f>
        <v>24.916418563200232</v>
      </c>
      <c r="F78" s="156">
        <f>($D$14*(F801ENE!F75))*0.95</f>
        <v>24.445814560626392</v>
      </c>
      <c r="G78" s="156">
        <f>($D$14*(F801ENE!G75))*0.95</f>
        <v>24.831008657797955</v>
      </c>
      <c r="H78" s="156">
        <f>($D$14*(F801ENE!H75))*0.95</f>
        <v>23.755086758692475</v>
      </c>
      <c r="I78" s="156">
        <f>($D$14*(F801ENE!I75))*0.95</f>
        <v>23.866400007576896</v>
      </c>
      <c r="J78" s="156">
        <f t="shared" si="9"/>
        <v>146.72075275799997</v>
      </c>
    </row>
    <row r="79" spans="2:10" s="37" customFormat="1" ht="13.5">
      <c r="B79" s="48"/>
      <c r="C79" s="160" t="s">
        <v>307</v>
      </c>
      <c r="D79" s="156">
        <f>($D$14*(F801ENE!D76))*0.5</f>
        <v>1.215974629852979</v>
      </c>
      <c r="E79" s="156">
        <f>($D$14*(F801ENE!E76))*0.5</f>
        <v>1.2164821082666206</v>
      </c>
      <c r="F79" s="156">
        <f>($D$14*(F801ENE!F76))*0.5</f>
        <v>1.1935060393842631</v>
      </c>
      <c r="G79" s="156">
        <f>($D$14*(F801ENE!G76))*0.5</f>
        <v>1.2123121822587124</v>
      </c>
      <c r="H79" s="156">
        <f>($D$14*(F801ENE!H76))*0.5</f>
        <v>1.1597829739844896</v>
      </c>
      <c r="I79" s="156">
        <f>($D$14*(F801ENE!I76))*0.5</f>
        <v>1.1652175662529354</v>
      </c>
      <c r="J79" s="156">
        <f t="shared" si="9"/>
        <v>7.1632755000000001</v>
      </c>
    </row>
    <row r="80" spans="2:10" s="37" customFormat="1" ht="13.5">
      <c r="B80" s="48"/>
      <c r="C80" s="160" t="s">
        <v>624</v>
      </c>
      <c r="D80" s="156">
        <f>($D$14*(F801ENE!D77))*0</f>
        <v>0</v>
      </c>
      <c r="E80" s="156">
        <f>($D$14*(F801ENE!E77))*0</f>
        <v>0</v>
      </c>
      <c r="F80" s="156">
        <f>($D$14*(F801ENE!F77))*0</f>
        <v>0</v>
      </c>
      <c r="G80" s="156">
        <f>($D$14*(F801ENE!G77))*0</f>
        <v>0</v>
      </c>
      <c r="H80" s="156">
        <f>($D$14*(F801ENE!H77))*0</f>
        <v>0</v>
      </c>
      <c r="I80" s="156">
        <f>($D$14*(F801ENE!I77))*0</f>
        <v>0</v>
      </c>
      <c r="J80" s="156">
        <f t="shared" si="9"/>
        <v>0</v>
      </c>
    </row>
    <row r="81" spans="2:10" s="37" customFormat="1" ht="13.5">
      <c r="B81" s="48" t="s">
        <v>749</v>
      </c>
      <c r="C81" s="158" t="s">
        <v>636</v>
      </c>
      <c r="D81" s="154">
        <f t="shared" ref="D81" si="20">SUBTOTAL(9,D82:D87)</f>
        <v>155744.97856864228</v>
      </c>
      <c r="E81" s="154">
        <f t="shared" ref="E81:I81" si="21">SUBTOTAL(9,E82:E87)</f>
        <v>155809.97763417888</v>
      </c>
      <c r="F81" s="154">
        <f t="shared" si="21"/>
        <v>152867.14702914638</v>
      </c>
      <c r="G81" s="154">
        <f t="shared" si="21"/>
        <v>155275.88340162649</v>
      </c>
      <c r="H81" s="154">
        <f t="shared" si="21"/>
        <v>148547.81505542612</v>
      </c>
      <c r="I81" s="154">
        <f t="shared" si="21"/>
        <v>149243.89080865192</v>
      </c>
      <c r="J81" s="159">
        <f t="shared" si="9"/>
        <v>917489.69249767205</v>
      </c>
    </row>
    <row r="82" spans="2:10" s="37" customFormat="1" ht="13.5">
      <c r="B82" s="48"/>
      <c r="C82" s="160" t="s">
        <v>304</v>
      </c>
      <c r="D82" s="156">
        <f>($D$14*(F801ENE!D79))*1</f>
        <v>141802.86747643893</v>
      </c>
      <c r="E82" s="156">
        <f>($D$14*(F801ENE!E79))*1</f>
        <v>141862.04790049553</v>
      </c>
      <c r="F82" s="156">
        <f>($D$14*(F801ENE!F79))*1</f>
        <v>139182.65610163176</v>
      </c>
      <c r="G82" s="156">
        <f>($D$14*(F801ENE!G79))*1</f>
        <v>141375.76516846399</v>
      </c>
      <c r="H82" s="156">
        <f>($D$14*(F801ENE!H79))*1</f>
        <v>135249.98575113149</v>
      </c>
      <c r="I82" s="156">
        <f>($D$14*(F801ENE!I79))*1</f>
        <v>135883.74960467839</v>
      </c>
      <c r="J82" s="156">
        <f t="shared" si="9"/>
        <v>835357.07200284011</v>
      </c>
    </row>
    <row r="83" spans="2:10" s="37" customFormat="1" ht="13.5">
      <c r="B83" s="48"/>
      <c r="C83" s="162" t="s">
        <v>642</v>
      </c>
      <c r="D83" s="156">
        <f>($D$14*(F801ENE!D80))*0.75</f>
        <v>0</v>
      </c>
      <c r="E83" s="156">
        <f>($D$14*(F801ENE!E80))*0.75</f>
        <v>0</v>
      </c>
      <c r="F83" s="156">
        <f>($D$14*(F801ENE!F80))*0.75</f>
        <v>0</v>
      </c>
      <c r="G83" s="156">
        <f>($D$14*(F801ENE!G80))*0.75</f>
        <v>0</v>
      </c>
      <c r="H83" s="156">
        <f>($D$14*(F801ENE!H80))*0.75</f>
        <v>0</v>
      </c>
      <c r="I83" s="156">
        <f>($D$14*(F801ENE!I80))*0.75</f>
        <v>0</v>
      </c>
      <c r="J83" s="156">
        <f>SUM(D83:I83)</f>
        <v>0</v>
      </c>
    </row>
    <row r="84" spans="2:10" s="37" customFormat="1" ht="13.5">
      <c r="B84" s="48"/>
      <c r="C84" s="162" t="s">
        <v>1177</v>
      </c>
      <c r="D84" s="156">
        <f>($D$14*(F801ENE!D81))*1</f>
        <v>13843.415227211217</v>
      </c>
      <c r="E84" s="156">
        <f>($D$14*(F801ENE!E81))*1</f>
        <v>13849.192678669835</v>
      </c>
      <c r="F84" s="156">
        <f>($D$14*(F801ENE!F81))*1</f>
        <v>13587.618749396377</v>
      </c>
      <c r="G84" s="156">
        <f>($D$14*(F801ENE!G81))*1</f>
        <v>13801.719634597199</v>
      </c>
      <c r="H84" s="156">
        <f>($D$14*(F801ENE!H81))*1</f>
        <v>13203.694294393636</v>
      </c>
      <c r="I84" s="156">
        <f>($D$14*(F801ENE!I81))*1</f>
        <v>13265.565089651744</v>
      </c>
      <c r="J84" s="156">
        <f>SUM(D84:I84)</f>
        <v>81551.205673920005</v>
      </c>
    </row>
    <row r="85" spans="2:10" s="37" customFormat="1" ht="13.5">
      <c r="B85" s="48"/>
      <c r="C85" s="160" t="s">
        <v>305</v>
      </c>
      <c r="D85" s="156">
        <f>($D$14*(F801ENE!D82))*0.95</f>
        <v>98.285388322698196</v>
      </c>
      <c r="E85" s="156">
        <f>($D$14*(F801ENE!E82))*0.95</f>
        <v>98.32640703454102</v>
      </c>
      <c r="F85" s="156">
        <f>($D$14*(F801ENE!F82))*0.95</f>
        <v>96.469286172977817</v>
      </c>
      <c r="G85" s="156">
        <f>($D$14*(F801ENE!G82))*0.95</f>
        <v>97.989358228667726</v>
      </c>
      <c r="H85" s="156">
        <f>($D$14*(F801ENE!H82))*0.95</f>
        <v>93.743501854065485</v>
      </c>
      <c r="I85" s="156">
        <f>($D$14*(F801ENE!I82))*0.95</f>
        <v>94.182771719049668</v>
      </c>
      <c r="J85" s="156">
        <f t="shared" si="9"/>
        <v>578.9967133319999</v>
      </c>
    </row>
    <row r="86" spans="2:10" s="37" customFormat="1" ht="13.5">
      <c r="B86" s="48"/>
      <c r="C86" s="160" t="s">
        <v>307</v>
      </c>
      <c r="D86" s="156">
        <f>($D$14*(F801ENE!D83))*0.5</f>
        <v>0.41047666944195887</v>
      </c>
      <c r="E86" s="156">
        <f>($D$14*(F801ENE!E83))*0.5</f>
        <v>0.41064797897747979</v>
      </c>
      <c r="F86" s="156">
        <f>($D$14*(F801ENE!F83))*0.5</f>
        <v>0.40289194525756616</v>
      </c>
      <c r="G86" s="156">
        <f>($D$14*(F801ENE!G83))*0.5</f>
        <v>0.40924033666527748</v>
      </c>
      <c r="H86" s="156">
        <f>($D$14*(F801ENE!H83))*0.5</f>
        <v>0.39150804691887625</v>
      </c>
      <c r="I86" s="156">
        <f>($D$14*(F801ENE!I83))*0.5</f>
        <v>0.39334260273884131</v>
      </c>
      <c r="J86" s="156">
        <f t="shared" si="9"/>
        <v>2.4181075799999996</v>
      </c>
    </row>
    <row r="87" spans="2:10" s="37" customFormat="1" ht="13.5">
      <c r="B87" s="48"/>
      <c r="C87" s="160" t="s">
        <v>624</v>
      </c>
      <c r="D87" s="156">
        <f>($D$14*(F801ENE!D84))*0</f>
        <v>0</v>
      </c>
      <c r="E87" s="156">
        <f>($D$14*(F801ENE!E84))*0</f>
        <v>0</v>
      </c>
      <c r="F87" s="156">
        <f>($D$14*(F801ENE!F84))*0</f>
        <v>0</v>
      </c>
      <c r="G87" s="156">
        <f>($D$14*(F801ENE!G84))*0</f>
        <v>0</v>
      </c>
      <c r="H87" s="156">
        <f>($D$14*(F801ENE!H84))*0</f>
        <v>0</v>
      </c>
      <c r="I87" s="156">
        <f>($D$14*(F801ENE!I84))*0</f>
        <v>0</v>
      </c>
      <c r="J87" s="156">
        <f t="shared" si="9"/>
        <v>0</v>
      </c>
    </row>
    <row r="88" spans="2:10" s="37" customFormat="1" ht="13.5">
      <c r="B88" s="48"/>
      <c r="C88" s="157"/>
      <c r="D88" s="156"/>
      <c r="E88" s="156"/>
      <c r="F88" s="156"/>
      <c r="G88" s="156"/>
      <c r="H88" s="156"/>
      <c r="I88" s="156"/>
      <c r="J88" s="156"/>
    </row>
    <row r="89" spans="2:10" s="37" customFormat="1" ht="13.5">
      <c r="B89" s="48" t="s">
        <v>902</v>
      </c>
      <c r="C89" s="158" t="s">
        <v>898</v>
      </c>
      <c r="D89" s="154">
        <f t="shared" ref="D89:I89" si="22">SUBTOTAL(9,D90:D94)</f>
        <v>71787.147385754593</v>
      </c>
      <c r="E89" s="154">
        <f t="shared" si="22"/>
        <v>71817.107244110841</v>
      </c>
      <c r="F89" s="154">
        <f t="shared" si="22"/>
        <v>70460.675619050962</v>
      </c>
      <c r="G89" s="154">
        <f t="shared" si="22"/>
        <v>71570.928511785154</v>
      </c>
      <c r="H89" s="154">
        <f t="shared" si="22"/>
        <v>68469.776625997401</v>
      </c>
      <c r="I89" s="154">
        <f t="shared" si="22"/>
        <v>68790.617099621057</v>
      </c>
      <c r="J89" s="159">
        <f t="shared" ref="J89:J98" si="23">SUM(D89:I89)</f>
        <v>422896.25248631998</v>
      </c>
    </row>
    <row r="90" spans="2:10" s="37" customFormat="1" ht="13.5">
      <c r="B90" s="48"/>
      <c r="C90" s="160" t="s">
        <v>304</v>
      </c>
      <c r="D90" s="156">
        <f>$D$13*F801ENE!D87*1</f>
        <v>69045.727809766526</v>
      </c>
      <c r="E90" s="156">
        <f>$D$13*F801ENE!E87*1</f>
        <v>69074.54355604724</v>
      </c>
      <c r="F90" s="156">
        <f>$D$13*F801ENE!F87*1</f>
        <v>67769.911568469077</v>
      </c>
      <c r="G90" s="156">
        <f>$D$13*F801ENE!G87*1</f>
        <v>68837.765938274315</v>
      </c>
      <c r="H90" s="156">
        <f>$D$13*F801ENE!H87*1</f>
        <v>65855.041358730217</v>
      </c>
      <c r="I90" s="156">
        <f>$D$13*F801ENE!I87*1</f>
        <v>66163.629522752613</v>
      </c>
      <c r="J90" s="156">
        <f t="shared" si="23"/>
        <v>406746.61975403997</v>
      </c>
    </row>
    <row r="91" spans="2:10" s="37" customFormat="1" ht="13.5">
      <c r="B91" s="48"/>
      <c r="C91" s="162" t="s">
        <v>644</v>
      </c>
      <c r="D91" s="156">
        <f>$D$13*F801ENE!D88*0.75</f>
        <v>2741.4195759880695</v>
      </c>
      <c r="E91" s="156">
        <f>$D$13*F801ENE!E88*0.75</f>
        <v>2742.5636880635957</v>
      </c>
      <c r="F91" s="156">
        <f>$D$13*F801ENE!F88*0.75</f>
        <v>2690.7640505818822</v>
      </c>
      <c r="G91" s="156">
        <f>$D$13*F801ENE!G88*0.75</f>
        <v>2733.1625735108332</v>
      </c>
      <c r="H91" s="156">
        <f>$D$13*F801ENE!H88*0.75</f>
        <v>2614.7352672671818</v>
      </c>
      <c r="I91" s="156">
        <f>$D$13*F801ENE!I88*0.75</f>
        <v>2626.9875768684369</v>
      </c>
      <c r="J91" s="156">
        <f t="shared" si="23"/>
        <v>16149.632732279999</v>
      </c>
    </row>
    <row r="92" spans="2:10" s="37" customFormat="1" ht="13.5">
      <c r="B92" s="48"/>
      <c r="C92" s="160" t="s">
        <v>305</v>
      </c>
      <c r="D92" s="156">
        <f>$D$13*F801ENE!D89*0.95</f>
        <v>0</v>
      </c>
      <c r="E92" s="156">
        <f>$D$13*F801ENE!E89*0.95</f>
        <v>0</v>
      </c>
      <c r="F92" s="156">
        <f>$D$13*F801ENE!F89*0.95</f>
        <v>0</v>
      </c>
      <c r="G92" s="156">
        <f>$D$13*F801ENE!G89*0.95</f>
        <v>0</v>
      </c>
      <c r="H92" s="156">
        <f>$D$13*F801ENE!H89*0.95</f>
        <v>0</v>
      </c>
      <c r="I92" s="156">
        <f>$D$13*F801ENE!I89*0.95</f>
        <v>0</v>
      </c>
      <c r="J92" s="156">
        <f t="shared" si="23"/>
        <v>0</v>
      </c>
    </row>
    <row r="93" spans="2:10" s="37" customFormat="1" ht="13.5">
      <c r="B93" s="48"/>
      <c r="C93" s="160" t="s">
        <v>307</v>
      </c>
      <c r="D93" s="156">
        <f>$D$13*F801ENE!D90*0.5</f>
        <v>0</v>
      </c>
      <c r="E93" s="156">
        <f>$D$13*F801ENE!E90*0.5</f>
        <v>0</v>
      </c>
      <c r="F93" s="156">
        <f>$D$13*F801ENE!F90*0.5</f>
        <v>0</v>
      </c>
      <c r="G93" s="156">
        <f>$D$13*F801ENE!G90*0.5</f>
        <v>0</v>
      </c>
      <c r="H93" s="156">
        <f>$D$13*F801ENE!H90*0.5</f>
        <v>0</v>
      </c>
      <c r="I93" s="156">
        <f>$D$13*F801ENE!I90*0.5</f>
        <v>0</v>
      </c>
      <c r="J93" s="156">
        <f t="shared" si="23"/>
        <v>0</v>
      </c>
    </row>
    <row r="94" spans="2:10" s="37" customFormat="1" ht="13.5">
      <c r="B94" s="48"/>
      <c r="C94" s="160" t="s">
        <v>624</v>
      </c>
      <c r="D94" s="156">
        <f>$D$13*F801ENE!D91*0</f>
        <v>0</v>
      </c>
      <c r="E94" s="156">
        <f>$D$13*F801ENE!E91*0</f>
        <v>0</v>
      </c>
      <c r="F94" s="156">
        <f>$D$13*F801ENE!F91*0</f>
        <v>0</v>
      </c>
      <c r="G94" s="156">
        <f>$D$13*F801ENE!G91*0</f>
        <v>0</v>
      </c>
      <c r="H94" s="156">
        <f>$D$13*F801ENE!H91*0</f>
        <v>0</v>
      </c>
      <c r="I94" s="156">
        <f>$D$13*F801ENE!I91*0</f>
        <v>0</v>
      </c>
      <c r="J94" s="156">
        <f t="shared" si="23"/>
        <v>0</v>
      </c>
    </row>
    <row r="95" spans="2:10" s="37" customFormat="1" ht="13.5">
      <c r="B95" s="48" t="s">
        <v>902</v>
      </c>
      <c r="C95" s="158" t="s">
        <v>899</v>
      </c>
      <c r="D95" s="154">
        <f t="shared" ref="D95:I95" si="24">SUBTOTAL(9,D96:D101)</f>
        <v>5681.9046539920391</v>
      </c>
      <c r="E95" s="154">
        <f t="shared" si="24"/>
        <v>5684.2759567227704</v>
      </c>
      <c r="F95" s="154">
        <f t="shared" si="24"/>
        <v>5576.915301732055</v>
      </c>
      <c r="G95" s="154">
        <f t="shared" si="24"/>
        <v>5664.7910748761815</v>
      </c>
      <c r="H95" s="154">
        <f t="shared" si="24"/>
        <v>5419.3369793413813</v>
      </c>
      <c r="I95" s="154">
        <f t="shared" si="24"/>
        <v>5444.7312880255722</v>
      </c>
      <c r="J95" s="159">
        <f t="shared" si="23"/>
        <v>33471.955254690001</v>
      </c>
    </row>
    <row r="96" spans="2:10" s="37" customFormat="1" ht="13.5">
      <c r="B96" s="48"/>
      <c r="C96" s="160" t="s">
        <v>304</v>
      </c>
      <c r="D96" s="156">
        <f>$D$13*F801ENE!D93*1</f>
        <v>5161.2781840286707</v>
      </c>
      <c r="E96" s="156">
        <f>$D$13*F801ENE!E93*1</f>
        <v>5163.4322069835007</v>
      </c>
      <c r="F96" s="156">
        <f>$D$13*F801ENE!F93*1</f>
        <v>5065.9088868698318</v>
      </c>
      <c r="G96" s="156">
        <f>$D$13*F801ENE!G93*1</f>
        <v>5145.7327027296724</v>
      </c>
      <c r="H96" s="156">
        <f>$D$13*F801ENE!H93*1</f>
        <v>4922.7692871830614</v>
      </c>
      <c r="I96" s="156">
        <f>$D$13*F801ENE!I93*1</f>
        <v>4945.8367442052622</v>
      </c>
      <c r="J96" s="156">
        <f t="shared" si="23"/>
        <v>30404.958011999999</v>
      </c>
    </row>
    <row r="97" spans="2:10" s="37" customFormat="1" ht="13.5">
      <c r="B97" s="48"/>
      <c r="C97" s="162" t="s">
        <v>642</v>
      </c>
      <c r="D97" s="156">
        <f>$D$13*F801ENE!D94*0.75</f>
        <v>472.1074912373914</v>
      </c>
      <c r="E97" s="156">
        <f>$D$13*F801ENE!E94*0.75</f>
        <v>472.30452196059849</v>
      </c>
      <c r="F97" s="156">
        <f>$D$13*F801ENE!F94*0.75</f>
        <v>463.38396229410381</v>
      </c>
      <c r="G97" s="156">
        <f>$D$13*F801ENE!G94*0.75</f>
        <v>470.68552987153078</v>
      </c>
      <c r="H97" s="156">
        <f>$D$13*F801ENE!H94*0.75</f>
        <v>450.29083402328911</v>
      </c>
      <c r="I97" s="156">
        <f>$D$13*F801ENE!I94*0.75</f>
        <v>452.40083834308666</v>
      </c>
      <c r="J97" s="156">
        <f t="shared" si="23"/>
        <v>2781.1731777300001</v>
      </c>
    </row>
    <row r="98" spans="2:10" s="37" customFormat="1" ht="13.5">
      <c r="B98" s="48"/>
      <c r="C98" s="162" t="s">
        <v>1177</v>
      </c>
      <c r="D98" s="156">
        <f>$D$13*F801ENE!D95*1</f>
        <v>48.518978725976659</v>
      </c>
      <c r="E98" s="156">
        <f>$D$13*F801ENE!E95*1</f>
        <v>48.53922777867141</v>
      </c>
      <c r="F98" s="156">
        <f>$D$13*F801ENE!F95*1</f>
        <v>47.622452568119137</v>
      </c>
      <c r="G98" s="156">
        <f>$D$13*F801ENE!G95*1</f>
        <v>48.372842274977913</v>
      </c>
      <c r="H98" s="156">
        <f>$D$13*F801ENE!H95*1</f>
        <v>46.276858135031205</v>
      </c>
      <c r="I98" s="156">
        <f>$D$13*F801ENE!I95*1</f>
        <v>46.493705477223664</v>
      </c>
      <c r="J98" s="156">
        <f t="shared" si="23"/>
        <v>285.82406495999999</v>
      </c>
    </row>
    <row r="99" spans="2:10" s="37" customFormat="1" ht="13.5">
      <c r="B99" s="48"/>
      <c r="C99" s="160" t="s">
        <v>305</v>
      </c>
      <c r="D99" s="156">
        <f>$D$13*F801ENE!D96*0.95</f>
        <v>0</v>
      </c>
      <c r="E99" s="156">
        <f>$D$13*F801ENE!E96*0.95</f>
        <v>0</v>
      </c>
      <c r="F99" s="156">
        <f>$D$13*F801ENE!F96*0.95</f>
        <v>0</v>
      </c>
      <c r="G99" s="156">
        <f>$D$13*F801ENE!G96*0.95</f>
        <v>0</v>
      </c>
      <c r="H99" s="156">
        <f>$D$13*F801ENE!H96*0.95</f>
        <v>0</v>
      </c>
      <c r="I99" s="156">
        <f>$D$13*F801ENE!I96*0.95</f>
        <v>0</v>
      </c>
      <c r="J99" s="156">
        <f t="shared" ref="J99:J108" si="25">SUM(D99:I99)</f>
        <v>0</v>
      </c>
    </row>
    <row r="100" spans="2:10" s="37" customFormat="1" ht="13.5">
      <c r="B100" s="48"/>
      <c r="C100" s="160" t="s">
        <v>307</v>
      </c>
      <c r="D100" s="156">
        <f>$D$13*F801ENE!D97*0.5</f>
        <v>0</v>
      </c>
      <c r="E100" s="156">
        <f>$D$13*F801ENE!E97*0.5</f>
        <v>0</v>
      </c>
      <c r="F100" s="156">
        <f>$D$13*F801ENE!F97*0.5</f>
        <v>0</v>
      </c>
      <c r="G100" s="156">
        <f>$D$13*F801ENE!G97*0.5</f>
        <v>0</v>
      </c>
      <c r="H100" s="156">
        <f>$D$13*F801ENE!H97*0.5</f>
        <v>0</v>
      </c>
      <c r="I100" s="156">
        <f>$D$13*F801ENE!I97*0.5</f>
        <v>0</v>
      </c>
      <c r="J100" s="156">
        <f t="shared" si="25"/>
        <v>0</v>
      </c>
    </row>
    <row r="101" spans="2:10" s="37" customFormat="1" ht="13.5">
      <c r="B101" s="48"/>
      <c r="C101" s="160" t="s">
        <v>624</v>
      </c>
      <c r="D101" s="156">
        <f>$D$13*F801ENE!D98*0</f>
        <v>0</v>
      </c>
      <c r="E101" s="156">
        <f>$D$13*F801ENE!E98*0</f>
        <v>0</v>
      </c>
      <c r="F101" s="156">
        <f>$D$13*F801ENE!F98*0</f>
        <v>0</v>
      </c>
      <c r="G101" s="156">
        <f>$D$13*F801ENE!G98*0</f>
        <v>0</v>
      </c>
      <c r="H101" s="156">
        <f>$D$13*F801ENE!H98*0</f>
        <v>0</v>
      </c>
      <c r="I101" s="156">
        <f>$D$13*F801ENE!I98*0</f>
        <v>0</v>
      </c>
      <c r="J101" s="156">
        <f t="shared" si="25"/>
        <v>0</v>
      </c>
    </row>
    <row r="102" spans="2:10" s="37" customFormat="1" ht="13.5">
      <c r="B102" s="48" t="s">
        <v>902</v>
      </c>
      <c r="C102" s="158" t="s">
        <v>900</v>
      </c>
      <c r="D102" s="154">
        <f t="shared" ref="D102:I102" si="26">SUBTOTAL(9,D103:D108)</f>
        <v>628.33409340108187</v>
      </c>
      <c r="E102" s="154">
        <f t="shared" si="26"/>
        <v>628.5963241920274</v>
      </c>
      <c r="F102" s="154">
        <f t="shared" si="26"/>
        <v>616.72383355226589</v>
      </c>
      <c r="G102" s="154">
        <f t="shared" si="26"/>
        <v>626.44158624486704</v>
      </c>
      <c r="H102" s="154">
        <f t="shared" si="26"/>
        <v>599.29801626590188</v>
      </c>
      <c r="I102" s="154">
        <f t="shared" si="26"/>
        <v>602.1062488738562</v>
      </c>
      <c r="J102" s="159">
        <f t="shared" si="25"/>
        <v>3701.5001025300003</v>
      </c>
    </row>
    <row r="103" spans="2:10" s="37" customFormat="1" ht="13.5">
      <c r="B103" s="48"/>
      <c r="C103" s="160" t="s">
        <v>304</v>
      </c>
      <c r="D103" s="156">
        <f>$D$13*F801ENE!D100*1</f>
        <v>610.42926472520742</v>
      </c>
      <c r="E103" s="156">
        <f>$D$13*F801ENE!E100*1</f>
        <v>610.68402306250971</v>
      </c>
      <c r="F103" s="156">
        <f>$D$13*F801ENE!F100*1</f>
        <v>599.1498475215044</v>
      </c>
      <c r="G103" s="156">
        <f>$D$13*F801ENE!G100*1</f>
        <v>608.59068591182131</v>
      </c>
      <c r="H103" s="156">
        <f>$D$13*F801ENE!H100*1</f>
        <v>582.22059134224276</v>
      </c>
      <c r="I103" s="156">
        <f>$D$13*F801ENE!I100*1</f>
        <v>584.94880135671463</v>
      </c>
      <c r="J103" s="156">
        <f t="shared" si="25"/>
        <v>3596.0232139200002</v>
      </c>
    </row>
    <row r="104" spans="2:10" s="37" customFormat="1" ht="13.5">
      <c r="B104" s="48"/>
      <c r="C104" s="162" t="s">
        <v>642</v>
      </c>
      <c r="D104" s="156">
        <f>$D$13*F801ENE!D101*0.75</f>
        <v>17.904828675874416</v>
      </c>
      <c r="E104" s="156">
        <f>$D$13*F801ENE!E101*0.75</f>
        <v>17.912301129517679</v>
      </c>
      <c r="F104" s="156">
        <f>$D$13*F801ENE!F101*0.75</f>
        <v>17.57398603076151</v>
      </c>
      <c r="G104" s="156">
        <f>$D$13*F801ENE!G101*0.75</f>
        <v>17.850900333045718</v>
      </c>
      <c r="H104" s="156">
        <f>$D$13*F801ENE!H101*0.75</f>
        <v>17.077424923659088</v>
      </c>
      <c r="I104" s="156">
        <f>$D$13*F801ENE!I101*0.75</f>
        <v>17.157447517141584</v>
      </c>
      <c r="J104" s="156">
        <f t="shared" si="25"/>
        <v>105.47688861</v>
      </c>
    </row>
    <row r="105" spans="2:10" s="37" customFormat="1" ht="13.5">
      <c r="B105" s="48"/>
      <c r="C105" s="162" t="s">
        <v>1177</v>
      </c>
      <c r="D105" s="156">
        <f>$D$13*F801ENE!D102*1</f>
        <v>0</v>
      </c>
      <c r="E105" s="156">
        <f>$D$13*F801ENE!E102*1</f>
        <v>0</v>
      </c>
      <c r="F105" s="156">
        <f>$D$13*F801ENE!F102*1</f>
        <v>0</v>
      </c>
      <c r="G105" s="156">
        <f>$D$13*F801ENE!G102*1</f>
        <v>0</v>
      </c>
      <c r="H105" s="156">
        <f>$D$13*F801ENE!H102*1</f>
        <v>0</v>
      </c>
      <c r="I105" s="156">
        <f>$D$13*F801ENE!I102*1</f>
        <v>0</v>
      </c>
      <c r="J105" s="156">
        <f t="shared" si="25"/>
        <v>0</v>
      </c>
    </row>
    <row r="106" spans="2:10" s="37" customFormat="1" ht="13.5">
      <c r="B106" s="48"/>
      <c r="C106" s="160" t="s">
        <v>305</v>
      </c>
      <c r="D106" s="156">
        <f>$D$13*F801ENE!D103*0.95</f>
        <v>0</v>
      </c>
      <c r="E106" s="156">
        <f>$D$13*F801ENE!E103*0.95</f>
        <v>0</v>
      </c>
      <c r="F106" s="156">
        <f>$D$13*F801ENE!F103*0.95</f>
        <v>0</v>
      </c>
      <c r="G106" s="156">
        <f>$D$13*F801ENE!G103*0.95</f>
        <v>0</v>
      </c>
      <c r="H106" s="156">
        <f>$D$13*F801ENE!H103*0.95</f>
        <v>0</v>
      </c>
      <c r="I106" s="156">
        <f>$D$13*F801ENE!I103*0.95</f>
        <v>0</v>
      </c>
      <c r="J106" s="156">
        <f t="shared" si="25"/>
        <v>0</v>
      </c>
    </row>
    <row r="107" spans="2:10" s="37" customFormat="1" ht="13.5">
      <c r="B107" s="48"/>
      <c r="C107" s="160" t="s">
        <v>307</v>
      </c>
      <c r="D107" s="156">
        <f>$D$13*F801ENE!D104*0.5</f>
        <v>0</v>
      </c>
      <c r="E107" s="156">
        <f>$D$13*F801ENE!E104*0.5</f>
        <v>0</v>
      </c>
      <c r="F107" s="156">
        <f>$D$13*F801ENE!F104*0.5</f>
        <v>0</v>
      </c>
      <c r="G107" s="156">
        <f>$D$13*F801ENE!G104*0.5</f>
        <v>0</v>
      </c>
      <c r="H107" s="156">
        <f>$D$13*F801ENE!H104*0.5</f>
        <v>0</v>
      </c>
      <c r="I107" s="156">
        <f>$D$13*F801ENE!I104*0.5</f>
        <v>0</v>
      </c>
      <c r="J107" s="156">
        <f t="shared" si="25"/>
        <v>0</v>
      </c>
    </row>
    <row r="108" spans="2:10" s="37" customFormat="1" ht="13.5">
      <c r="B108" s="48"/>
      <c r="C108" s="160" t="s">
        <v>624</v>
      </c>
      <c r="D108" s="156">
        <f>$D$13*F801ENE!D105*0</f>
        <v>0</v>
      </c>
      <c r="E108" s="156">
        <f>$D$13*F801ENE!E105*0</f>
        <v>0</v>
      </c>
      <c r="F108" s="156">
        <f>$D$13*F801ENE!F105*0</f>
        <v>0</v>
      </c>
      <c r="G108" s="156">
        <f>$D$13*F801ENE!G105*0</f>
        <v>0</v>
      </c>
      <c r="H108" s="156">
        <f>$D$13*F801ENE!H105*0</f>
        <v>0</v>
      </c>
      <c r="I108" s="156">
        <f>$D$13*F801ENE!I105*0</f>
        <v>0</v>
      </c>
      <c r="J108" s="156">
        <f t="shared" si="25"/>
        <v>0</v>
      </c>
    </row>
    <row r="109" spans="2:10" s="37" customFormat="1" ht="13.5">
      <c r="B109" s="48"/>
      <c r="C109" s="157"/>
      <c r="D109" s="156"/>
      <c r="E109" s="156"/>
      <c r="F109" s="156"/>
      <c r="G109" s="156"/>
      <c r="H109" s="156"/>
      <c r="I109" s="156"/>
      <c r="J109" s="156"/>
    </row>
    <row r="110" spans="2:10" s="37" customFormat="1" ht="13.5">
      <c r="B110" s="48"/>
      <c r="C110" s="153" t="s">
        <v>112</v>
      </c>
      <c r="D110" s="154">
        <f t="shared" ref="D110:I110" si="27">D33+D23+D19</f>
        <v>1786787.4122266432</v>
      </c>
      <c r="E110" s="154">
        <f t="shared" si="27"/>
        <v>1787533.1152830354</v>
      </c>
      <c r="F110" s="154">
        <f t="shared" si="27"/>
        <v>1761199.8576568053</v>
      </c>
      <c r="G110" s="154">
        <f t="shared" si="27"/>
        <v>1781405.7087068369</v>
      </c>
      <c r="H110" s="154">
        <f t="shared" si="27"/>
        <v>1711436.3426438372</v>
      </c>
      <c r="I110" s="154">
        <f t="shared" si="27"/>
        <v>1712203.5551745924</v>
      </c>
      <c r="J110" s="154">
        <f>SUM(D110:I110)</f>
        <v>10540565.991691751</v>
      </c>
    </row>
    <row r="111" spans="2:10" s="37" customFormat="1" ht="13.5">
      <c r="B111" s="48"/>
      <c r="C111" s="48"/>
      <c r="D111" s="48"/>
      <c r="E111" s="48"/>
      <c r="F111" s="48"/>
      <c r="G111" s="48"/>
      <c r="H111" s="48"/>
      <c r="I111" s="48"/>
      <c r="J111" s="48"/>
    </row>
    <row r="112" spans="2:10" s="37" customFormat="1" ht="33.75">
      <c r="B112" s="48"/>
      <c r="C112" s="138" t="s">
        <v>1429</v>
      </c>
      <c r="D112" s="138"/>
      <c r="E112" s="138"/>
      <c r="F112" s="138"/>
      <c r="G112" s="138"/>
      <c r="H112" s="138"/>
      <c r="I112" s="138"/>
      <c r="J112" s="138"/>
    </row>
    <row r="113" spans="1:10" s="37" customFormat="1" ht="13.5">
      <c r="B113" s="48"/>
      <c r="C113" s="150" t="s">
        <v>310</v>
      </c>
      <c r="D113" s="151">
        <f t="shared" ref="D113:I113" si="28">D18</f>
        <v>46204</v>
      </c>
      <c r="E113" s="151">
        <f t="shared" si="28"/>
        <v>46235</v>
      </c>
      <c r="F113" s="151">
        <f t="shared" si="28"/>
        <v>46266</v>
      </c>
      <c r="G113" s="151">
        <f t="shared" si="28"/>
        <v>46296</v>
      </c>
      <c r="H113" s="151">
        <f t="shared" si="28"/>
        <v>46327</v>
      </c>
      <c r="I113" s="151">
        <f t="shared" si="28"/>
        <v>46357</v>
      </c>
      <c r="J113" s="152" t="s">
        <v>111</v>
      </c>
    </row>
    <row r="114" spans="1:10">
      <c r="A114" s="37"/>
      <c r="C114" s="153" t="s">
        <v>230</v>
      </c>
      <c r="D114" s="154">
        <f t="shared" ref="D114:I114" si="29">SUM(D115:D116)</f>
        <v>75274.190891295613</v>
      </c>
      <c r="E114" s="154">
        <f t="shared" si="29"/>
        <v>70512.900401133345</v>
      </c>
      <c r="F114" s="154">
        <f t="shared" si="29"/>
        <v>73452.065412453536</v>
      </c>
      <c r="G114" s="154">
        <f t="shared" si="29"/>
        <v>82679.952147161937</v>
      </c>
      <c r="H114" s="154">
        <f t="shared" si="29"/>
        <v>69673.071402078436</v>
      </c>
      <c r="I114" s="154">
        <f t="shared" si="29"/>
        <v>78479.745512799447</v>
      </c>
      <c r="J114" s="154">
        <f>SUM(D114:I114)</f>
        <v>450071.9257669223</v>
      </c>
    </row>
    <row r="115" spans="1:10">
      <c r="A115" s="37"/>
      <c r="B115" s="48" t="s">
        <v>870</v>
      </c>
      <c r="C115" s="157" t="s">
        <v>1028</v>
      </c>
      <c r="D115" s="156">
        <f>$E$7*F801D!K116+$D$7*F801ENE!D116</f>
        <v>51203.843732429406</v>
      </c>
      <c r="E115" s="156">
        <f>$E$7*F801D!L116+$D$7*F801ENE!E116</f>
        <v>47078.08931614607</v>
      </c>
      <c r="F115" s="156">
        <f>$E$7*F801D!M116+$D$7*F801ENE!F116</f>
        <v>48756.237926274858</v>
      </c>
      <c r="G115" s="156">
        <f>$E$7*F801D!N116+$D$7*F801ENE!G116</f>
        <v>53144.859244998064</v>
      </c>
      <c r="H115" s="156">
        <f>$E$7*F801D!O116+$D$7*F801ENE!H116</f>
        <v>41529.55442165376</v>
      </c>
      <c r="I115" s="156">
        <f>$E$7*F801D!P116+$D$7*F801ENE!I116</f>
        <v>48417.403470964608</v>
      </c>
      <c r="J115" s="154">
        <f>SUM(D115:I115)</f>
        <v>290129.98811246676</v>
      </c>
    </row>
    <row r="116" spans="1:10">
      <c r="A116" s="37"/>
      <c r="B116" s="48" t="s">
        <v>871</v>
      </c>
      <c r="C116" s="153" t="s">
        <v>193</v>
      </c>
      <c r="D116" s="154">
        <f t="shared" ref="D116:I116" si="30">SUM(D117:D118)</f>
        <v>24070.347158866207</v>
      </c>
      <c r="E116" s="154">
        <f t="shared" si="30"/>
        <v>23434.811084987283</v>
      </c>
      <c r="F116" s="154">
        <f t="shared" si="30"/>
        <v>24695.827486178678</v>
      </c>
      <c r="G116" s="154">
        <f t="shared" si="30"/>
        <v>29535.092902163877</v>
      </c>
      <c r="H116" s="154">
        <f t="shared" si="30"/>
        <v>28143.516980424669</v>
      </c>
      <c r="I116" s="154">
        <f t="shared" si="30"/>
        <v>30062.342041834843</v>
      </c>
      <c r="J116" s="154">
        <f>SUM(D116:I116)</f>
        <v>159941.93765445557</v>
      </c>
    </row>
    <row r="117" spans="1:10">
      <c r="A117" s="37"/>
      <c r="C117" s="157" t="s">
        <v>1074</v>
      </c>
      <c r="D117" s="156">
        <f>$E$8*F801D!K118+$D$8*F801ENE!D118</f>
        <v>0</v>
      </c>
      <c r="E117" s="156">
        <f>$E$8*F801D!L118+$D$8*F801ENE!E118</f>
        <v>0</v>
      </c>
      <c r="F117" s="156">
        <f>$E$8*F801D!M118+$D$8*F801ENE!F118</f>
        <v>0</v>
      </c>
      <c r="G117" s="156">
        <f>$E$8*F801D!N118+$D$8*F801ENE!G118</f>
        <v>0</v>
      </c>
      <c r="H117" s="156">
        <f>$E$8*F801D!O118+$D$8*F801ENE!H118</f>
        <v>0</v>
      </c>
      <c r="I117" s="156">
        <f>$E$8*F801D!P118+$D$8*F801ENE!I118</f>
        <v>0</v>
      </c>
      <c r="J117" s="154">
        <f t="shared" ref="J117:J143" si="31">SUM(D117:I117)</f>
        <v>0</v>
      </c>
    </row>
    <row r="118" spans="1:10">
      <c r="A118" s="37"/>
      <c r="C118" s="157" t="s">
        <v>1075</v>
      </c>
      <c r="D118" s="156">
        <f>$E$8*F801D!K119+$D$8*F801ENE!D119</f>
        <v>24070.347158866207</v>
      </c>
      <c r="E118" s="156">
        <f>$E$8*F801D!L119+$D$8*F801ENE!E119</f>
        <v>23434.811084987283</v>
      </c>
      <c r="F118" s="156">
        <f>$E$8*F801D!M119+$D$8*F801ENE!F119</f>
        <v>24695.827486178678</v>
      </c>
      <c r="G118" s="156">
        <f>$E$8*F801D!N119+$D$8*F801ENE!G119</f>
        <v>29535.092902163877</v>
      </c>
      <c r="H118" s="156">
        <f>$E$8*F801D!O119+$D$8*F801ENE!H119</f>
        <v>28143.516980424669</v>
      </c>
      <c r="I118" s="156">
        <f>$E$8*F801D!P119+$D$8*F801ENE!I119</f>
        <v>30062.342041834843</v>
      </c>
      <c r="J118" s="154">
        <f t="shared" si="31"/>
        <v>159941.93765445557</v>
      </c>
    </row>
    <row r="119" spans="1:10">
      <c r="A119" s="37"/>
      <c r="C119" s="153" t="s">
        <v>893</v>
      </c>
      <c r="D119" s="156"/>
      <c r="E119" s="156"/>
      <c r="F119" s="156"/>
      <c r="G119" s="156"/>
      <c r="H119" s="156"/>
      <c r="I119" s="156"/>
      <c r="J119" s="154">
        <f t="shared" si="31"/>
        <v>0</v>
      </c>
    </row>
    <row r="120" spans="1:10">
      <c r="A120" s="37"/>
      <c r="C120" s="157"/>
      <c r="D120" s="156"/>
      <c r="E120" s="156"/>
      <c r="F120" s="156"/>
      <c r="G120" s="156"/>
      <c r="H120" s="156"/>
      <c r="I120" s="156"/>
      <c r="J120" s="154">
        <f t="shared" si="31"/>
        <v>0</v>
      </c>
    </row>
    <row r="121" spans="1:10">
      <c r="A121" s="37"/>
      <c r="C121" s="153" t="s">
        <v>194</v>
      </c>
      <c r="D121" s="154">
        <f t="shared" ref="D121:I121" si="32">D122+D127</f>
        <v>350521.90856391343</v>
      </c>
      <c r="E121" s="154">
        <f t="shared" si="32"/>
        <v>346498.4914835454</v>
      </c>
      <c r="F121" s="154">
        <f t="shared" si="32"/>
        <v>340677.94335325778</v>
      </c>
      <c r="G121" s="154">
        <f t="shared" si="32"/>
        <v>352650.8559273858</v>
      </c>
      <c r="H121" s="154">
        <f t="shared" si="32"/>
        <v>331772.85656981939</v>
      </c>
      <c r="I121" s="154">
        <f t="shared" si="32"/>
        <v>346746.44739168027</v>
      </c>
      <c r="J121" s="154">
        <f t="shared" si="31"/>
        <v>2068868.503289602</v>
      </c>
    </row>
    <row r="122" spans="1:10">
      <c r="A122" s="37"/>
      <c r="B122" s="48" t="s">
        <v>872</v>
      </c>
      <c r="C122" s="153" t="s">
        <v>277</v>
      </c>
      <c r="D122" s="154">
        <f t="shared" ref="D122:I122" si="33">SUM(D123:D126)</f>
        <v>60806.526138539921</v>
      </c>
      <c r="E122" s="154">
        <f t="shared" si="33"/>
        <v>60718.604400373617</v>
      </c>
      <c r="F122" s="154">
        <f t="shared" si="33"/>
        <v>60007.191259956031</v>
      </c>
      <c r="G122" s="154">
        <f t="shared" si="33"/>
        <v>63280.890474845961</v>
      </c>
      <c r="H122" s="154">
        <f t="shared" si="33"/>
        <v>59849.748414578818</v>
      </c>
      <c r="I122" s="154">
        <f t="shared" si="33"/>
        <v>59969.574784975142</v>
      </c>
      <c r="J122" s="154">
        <f>SUM(D122:I122)</f>
        <v>364632.53547326953</v>
      </c>
    </row>
    <row r="123" spans="1:10">
      <c r="A123" s="37"/>
      <c r="C123" s="157" t="s">
        <v>980</v>
      </c>
      <c r="D123" s="156">
        <f>$E$9*F801D!K124+$D$9*F801ENE!D124</f>
        <v>40086.486538542085</v>
      </c>
      <c r="E123" s="156">
        <f>$E$9*F801D!L124+$D$9*F801ENE!E124</f>
        <v>39429.560462326292</v>
      </c>
      <c r="F123" s="156">
        <f>$E$9*F801D!M124+$D$9*F801ENE!F124</f>
        <v>38077.776468320786</v>
      </c>
      <c r="G123" s="156">
        <f>$E$9*F801D!N124+$D$9*F801ENE!G124</f>
        <v>39013.164259286415</v>
      </c>
      <c r="H123" s="156">
        <f>$E$9*F801D!O124+$D$9*F801ENE!H124</f>
        <v>36639.945477138957</v>
      </c>
      <c r="I123" s="156">
        <f>$E$9*F801D!P124+$D$9*F801ENE!I124</f>
        <v>36291.395477822683</v>
      </c>
      <c r="J123" s="154">
        <f t="shared" si="31"/>
        <v>229538.32868343726</v>
      </c>
    </row>
    <row r="124" spans="1:10">
      <c r="A124" s="37"/>
      <c r="C124" s="157" t="s">
        <v>981</v>
      </c>
      <c r="D124" s="156">
        <f>$E$9*F801D!K125+$D$9*F801ENE!D125</f>
        <v>2244.5083330100992</v>
      </c>
      <c r="E124" s="156">
        <f>$E$9*F801D!L125+$D$9*F801ENE!E125</f>
        <v>2317.399102658982</v>
      </c>
      <c r="F124" s="156">
        <f>$E$9*F801D!M125+$D$9*F801ENE!F125</f>
        <v>2385.3430334382206</v>
      </c>
      <c r="G124" s="156">
        <f>$E$9*F801D!N125+$D$9*F801ENE!G125</f>
        <v>2581.3989427618467</v>
      </c>
      <c r="H124" s="156">
        <f>$E$9*F801D!O125+$D$9*F801ENE!H125</f>
        <v>2684.248506821109</v>
      </c>
      <c r="I124" s="156">
        <f>$E$9*F801D!P125+$D$9*F801ENE!I125</f>
        <v>1820.7565415819922</v>
      </c>
      <c r="J124" s="154">
        <f t="shared" si="31"/>
        <v>14033.65446027225</v>
      </c>
    </row>
    <row r="125" spans="1:10">
      <c r="A125" s="37"/>
      <c r="C125" s="157" t="s">
        <v>1019</v>
      </c>
      <c r="D125" s="156">
        <f>$E$9*F801D!K126+$D$9*F801ENE!D126</f>
        <v>707.57839418074161</v>
      </c>
      <c r="E125" s="156">
        <f>$E$9*F801D!L126+$D$9*F801ENE!E126</f>
        <v>694.2537956385172</v>
      </c>
      <c r="F125" s="156">
        <f>$E$9*F801D!M126+$D$9*F801ENE!F126</f>
        <v>673.32449515697499</v>
      </c>
      <c r="G125" s="156">
        <f>$E$9*F801D!N126+$D$9*F801ENE!G126</f>
        <v>711.58544389708152</v>
      </c>
      <c r="H125" s="156">
        <f>$E$9*F801D!O126+$D$9*F801ENE!H126</f>
        <v>689.49311523617871</v>
      </c>
      <c r="I125" s="156">
        <f>$E$9*F801D!P126+$D$9*F801ENE!I126</f>
        <v>666.08528921589993</v>
      </c>
      <c r="J125" s="154">
        <f>SUM(D125:I125)</f>
        <v>4142.3205333253936</v>
      </c>
    </row>
    <row r="126" spans="1:10">
      <c r="A126" s="37"/>
      <c r="C126" s="157" t="s">
        <v>1766</v>
      </c>
      <c r="D126" s="156">
        <f>$E$9*F801D!K127+$D$9*F801ENE!D127</f>
        <v>17767.952872807</v>
      </c>
      <c r="E126" s="156">
        <f>$E$9*F801D!L127+$D$9*F801ENE!E127</f>
        <v>18277.391039749829</v>
      </c>
      <c r="F126" s="156">
        <f>$E$9*F801D!M127+$D$9*F801ENE!F127</f>
        <v>18870.747263040052</v>
      </c>
      <c r="G126" s="156">
        <f>$E$9*F801D!N127+$D$9*F801ENE!G127</f>
        <v>20974.741828900624</v>
      </c>
      <c r="H126" s="156">
        <f>$E$9*F801D!O127+$D$9*F801ENE!H127</f>
        <v>19836.061315382569</v>
      </c>
      <c r="I126" s="156">
        <f>$E$9*F801D!P127+$D$9*F801ENE!I127</f>
        <v>21191.337476354565</v>
      </c>
      <c r="J126" s="154">
        <f>SUM(D126:I126)</f>
        <v>116918.23179623464</v>
      </c>
    </row>
    <row r="127" spans="1:10">
      <c r="A127" s="37"/>
      <c r="B127" s="48" t="s">
        <v>873</v>
      </c>
      <c r="C127" s="153" t="s">
        <v>193</v>
      </c>
      <c r="D127" s="154">
        <f t="shared" ref="D127:I127" si="34">SUM(D128:D132)</f>
        <v>289715.38242537354</v>
      </c>
      <c r="E127" s="154">
        <f t="shared" si="34"/>
        <v>285779.88708317175</v>
      </c>
      <c r="F127" s="154">
        <f t="shared" si="34"/>
        <v>280670.75209330174</v>
      </c>
      <c r="G127" s="154">
        <f t="shared" si="34"/>
        <v>289369.96545253985</v>
      </c>
      <c r="H127" s="154">
        <f t="shared" si="34"/>
        <v>271923.10815524054</v>
      </c>
      <c r="I127" s="154">
        <f t="shared" si="34"/>
        <v>286776.87260670512</v>
      </c>
      <c r="J127" s="154">
        <f t="shared" si="31"/>
        <v>1704235.9678163326</v>
      </c>
    </row>
    <row r="128" spans="1:10">
      <c r="A128" s="37"/>
      <c r="C128" s="157" t="s">
        <v>944</v>
      </c>
      <c r="D128" s="156">
        <f>$E$10*F801D!K129+$D$10*F801ENE!D129</f>
        <v>0</v>
      </c>
      <c r="E128" s="156">
        <f>$E$10*F801D!L129+$D$10*F801ENE!E129</f>
        <v>0</v>
      </c>
      <c r="F128" s="156">
        <f>$E$10*F801D!M129+$D$10*F801ENE!F129</f>
        <v>0</v>
      </c>
      <c r="G128" s="156">
        <f>$E$10*F801D!N129+$D$10*F801ENE!G129</f>
        <v>0</v>
      </c>
      <c r="H128" s="156">
        <f>$E$10*F801D!O129+$D$10*F801ENE!H129</f>
        <v>0</v>
      </c>
      <c r="I128" s="156">
        <f>$E$10*F801D!P129+$D$10*F801ENE!I129</f>
        <v>0</v>
      </c>
      <c r="J128" s="154">
        <f t="shared" si="31"/>
        <v>0</v>
      </c>
    </row>
    <row r="129" spans="1:10">
      <c r="A129" s="37"/>
      <c r="C129" s="157" t="s">
        <v>943</v>
      </c>
      <c r="D129" s="156">
        <f>$E$10*F801D!K130+$D$10*F801ENE!D130</f>
        <v>190083.54847789102</v>
      </c>
      <c r="E129" s="156">
        <f>$E$10*F801D!L130+$D$10*F801ENE!E130</f>
        <v>188184.69972353897</v>
      </c>
      <c r="F129" s="156">
        <f>$E$10*F801D!M130+$D$10*F801ENE!F130</f>
        <v>172349.27807254309</v>
      </c>
      <c r="G129" s="156">
        <f>$E$10*F801D!N130+$D$10*F801ENE!G130</f>
        <v>177828.10186414223</v>
      </c>
      <c r="H129" s="156">
        <f>$E$10*F801D!O130+$D$10*F801ENE!H130</f>
        <v>165618.07075486382</v>
      </c>
      <c r="I129" s="156">
        <f>$E$10*F801D!P130+$D$10*F801ENE!I130</f>
        <v>172031.15269821152</v>
      </c>
      <c r="J129" s="154">
        <f t="shared" si="31"/>
        <v>1066094.8515911906</v>
      </c>
    </row>
    <row r="130" spans="1:10">
      <c r="A130" s="37"/>
      <c r="C130" s="157" t="s">
        <v>1020</v>
      </c>
      <c r="D130" s="156">
        <f>$E$10*F801D!K131+$D$10*F801ENE!D131</f>
        <v>13702.86724372603</v>
      </c>
      <c r="E130" s="156">
        <f>$E$10*F801D!L131+$D$10*F801ENE!E131</f>
        <v>12337.161130983168</v>
      </c>
      <c r="F130" s="156">
        <f>$E$10*F801D!M131+$D$10*F801ENE!F131</f>
        <v>13989.994692983686</v>
      </c>
      <c r="G130" s="156">
        <f>$E$10*F801D!N131+$D$10*F801ENE!G131</f>
        <v>12114.769078259089</v>
      </c>
      <c r="H130" s="156">
        <f>$E$10*F801D!O131+$D$10*F801ENE!H131</f>
        <v>11596.316855925794</v>
      </c>
      <c r="I130" s="156">
        <f>$E$10*F801D!P131+$D$10*F801ENE!I131</f>
        <v>13026.204783677829</v>
      </c>
      <c r="J130" s="154">
        <f t="shared" si="31"/>
        <v>76767.313785555598</v>
      </c>
    </row>
    <row r="131" spans="1:10">
      <c r="A131" s="37"/>
      <c r="C131" s="157" t="s">
        <v>1021</v>
      </c>
      <c r="D131" s="156">
        <f>$E$10*F801D!K132+$D$10*F801ENE!D132</f>
        <v>12141.080601506352</v>
      </c>
      <c r="E131" s="156">
        <f>$E$10*F801D!L132+$D$10*F801ENE!E132</f>
        <v>12488.009927178648</v>
      </c>
      <c r="F131" s="156">
        <f>$E$10*F801D!M132+$D$10*F801ENE!F132</f>
        <v>12091.841363226937</v>
      </c>
      <c r="G131" s="156">
        <f>$E$10*F801D!N132+$D$10*F801ENE!G132</f>
        <v>12492.910378183418</v>
      </c>
      <c r="H131" s="156">
        <f>$E$10*F801D!O132+$D$10*F801ENE!H132</f>
        <v>11321.311913580264</v>
      </c>
      <c r="I131" s="156">
        <f>$E$10*F801D!P132+$D$10*F801ENE!I132</f>
        <v>12461.761602781187</v>
      </c>
      <c r="J131" s="154">
        <f>SUM(D131:I131)</f>
        <v>72996.915786456811</v>
      </c>
    </row>
    <row r="132" spans="1:10">
      <c r="A132" s="37"/>
      <c r="C132" s="157" t="s">
        <v>1163</v>
      </c>
      <c r="D132" s="156">
        <f>$E$10*F801D!K133+$D$10*F801ENE!D133</f>
        <v>73787.886102250122</v>
      </c>
      <c r="E132" s="156">
        <f>$E$10*F801D!L133+$D$10*F801ENE!E133</f>
        <v>72770.016301470954</v>
      </c>
      <c r="F132" s="156">
        <f>$E$10*F801D!M133+$D$10*F801ENE!F133</f>
        <v>82239.637964548034</v>
      </c>
      <c r="G132" s="156">
        <f>$E$10*F801D!N133+$D$10*F801ENE!G133</f>
        <v>86934.184131955088</v>
      </c>
      <c r="H132" s="156">
        <f>$E$10*F801D!O133+$D$10*F801ENE!H133</f>
        <v>83387.408630870646</v>
      </c>
      <c r="I132" s="156">
        <f>$E$10*F801D!P133+$D$10*F801ENE!I133</f>
        <v>89257.753522034574</v>
      </c>
      <c r="J132" s="154">
        <f>SUM(D132:I132)</f>
        <v>488376.88665312936</v>
      </c>
    </row>
    <row r="133" spans="1:10">
      <c r="A133" s="37"/>
      <c r="C133" s="157"/>
      <c r="D133" s="156"/>
      <c r="E133" s="156"/>
      <c r="F133" s="156"/>
      <c r="G133" s="156"/>
      <c r="H133" s="156"/>
      <c r="I133" s="156"/>
      <c r="J133" s="154"/>
    </row>
    <row r="134" spans="1:10">
      <c r="A134" s="37"/>
      <c r="C134" s="153" t="s">
        <v>308</v>
      </c>
      <c r="D134" s="154">
        <f t="shared" ref="D134:I134" si="35">SUM(D135:D136)</f>
        <v>85467.811706795983</v>
      </c>
      <c r="E134" s="154">
        <f t="shared" si="35"/>
        <v>84065.275463807833</v>
      </c>
      <c r="F134" s="154">
        <f t="shared" si="35"/>
        <v>85485.48362843116</v>
      </c>
      <c r="G134" s="154">
        <f t="shared" si="35"/>
        <v>89439.588813006601</v>
      </c>
      <c r="H134" s="154">
        <f t="shared" si="35"/>
        <v>83790.312509904528</v>
      </c>
      <c r="I134" s="154">
        <f t="shared" si="35"/>
        <v>92952.566589091526</v>
      </c>
      <c r="J134" s="154">
        <f t="shared" si="31"/>
        <v>521201.0387110376</v>
      </c>
    </row>
    <row r="135" spans="1:10">
      <c r="A135" s="37"/>
      <c r="B135" s="48" t="s">
        <v>874</v>
      </c>
      <c r="C135" s="157" t="s">
        <v>1027</v>
      </c>
      <c r="D135" s="156">
        <f>$E$11*F801D!K137+$D$11*F801ENE!D137</f>
        <v>1928.9276065363317</v>
      </c>
      <c r="E135" s="156">
        <f>$E$11*F801D!L137+$D$11*F801ENE!E137</f>
        <v>1885.0675133049479</v>
      </c>
      <c r="F135" s="156">
        <f>$E$11*F801D!M137+$D$11*F801ENE!F137</f>
        <v>1836.0564892012801</v>
      </c>
      <c r="G135" s="156">
        <f>$E$11*F801D!N137+$D$11*F801ENE!G137</f>
        <v>1887.9131339963997</v>
      </c>
      <c r="H135" s="156">
        <f>$E$11*F801D!O137+$D$11*F801ENE!H137</f>
        <v>1855.1732328695882</v>
      </c>
      <c r="I135" s="156">
        <f>$E$11*F801D!P137+$D$11*F801ENE!I137</f>
        <v>1902.6691880076014</v>
      </c>
      <c r="J135" s="154">
        <f t="shared" si="31"/>
        <v>11295.80716391615</v>
      </c>
    </row>
    <row r="136" spans="1:10">
      <c r="A136" s="37"/>
      <c r="B136" s="48" t="s">
        <v>875</v>
      </c>
      <c r="C136" s="153" t="s">
        <v>193</v>
      </c>
      <c r="D136" s="154">
        <f t="shared" ref="D136:I136" si="36">SUM(D137:D141)</f>
        <v>83538.884100259645</v>
      </c>
      <c r="E136" s="154">
        <f t="shared" si="36"/>
        <v>82180.207950502881</v>
      </c>
      <c r="F136" s="154">
        <f t="shared" si="36"/>
        <v>83649.427139229883</v>
      </c>
      <c r="G136" s="154">
        <f t="shared" si="36"/>
        <v>87551.675679010208</v>
      </c>
      <c r="H136" s="154">
        <f t="shared" si="36"/>
        <v>81935.139277034934</v>
      </c>
      <c r="I136" s="154">
        <f t="shared" si="36"/>
        <v>91049.89740108393</v>
      </c>
      <c r="J136" s="154">
        <f t="shared" si="31"/>
        <v>509905.23154712154</v>
      </c>
    </row>
    <row r="137" spans="1:10">
      <c r="A137" s="37"/>
      <c r="C137" s="157" t="s">
        <v>1022</v>
      </c>
      <c r="D137" s="156">
        <f>$E$12*F801D!K140+$D$12*F801ENE!D140</f>
        <v>831.27992330994027</v>
      </c>
      <c r="E137" s="156">
        <f>$E$12*F801D!L140+$D$12*F801ENE!E140</f>
        <v>813.91047245428797</v>
      </c>
      <c r="F137" s="156">
        <f>$E$12*F801D!M140+$D$12*F801ENE!F140</f>
        <v>824.93977817179189</v>
      </c>
      <c r="G137" s="156">
        <f>$E$12*F801D!N140+$D$12*F801ENE!G140</f>
        <v>863.017921795956</v>
      </c>
      <c r="H137" s="156">
        <f>$E$12*F801D!O140+$D$12*F801ENE!H140</f>
        <v>798.81093929064002</v>
      </c>
      <c r="I137" s="156">
        <f>$E$12*F801D!P140+$D$12*F801ENE!I140</f>
        <v>842.69993328381599</v>
      </c>
      <c r="J137" s="154">
        <f t="shared" si="31"/>
        <v>4974.6589683064321</v>
      </c>
    </row>
    <row r="138" spans="1:10">
      <c r="A138" s="37"/>
      <c r="C138" s="157" t="s">
        <v>1023</v>
      </c>
      <c r="D138" s="156">
        <f>$E$12*F801D!K141+$D$12*F801ENE!D141</f>
        <v>55389.550431028329</v>
      </c>
      <c r="E138" s="156">
        <f>$E$12*F801D!L141+$D$12*F801ENE!E141</f>
        <v>54172.540846307282</v>
      </c>
      <c r="F138" s="156">
        <f>$E$12*F801D!M141+$D$12*F801ENE!F141</f>
        <v>52889.470833968662</v>
      </c>
      <c r="G138" s="156">
        <f>$E$12*F801D!N141+$D$12*F801ENE!G141</f>
        <v>54502.632557404839</v>
      </c>
      <c r="H138" s="156">
        <f>$E$12*F801D!O141+$D$12*F801ENE!H141</f>
        <v>50595.462517876687</v>
      </c>
      <c r="I138" s="156">
        <f>$E$12*F801D!P141+$D$12*F801ENE!I141</f>
        <v>54142.279958847619</v>
      </c>
      <c r="J138" s="154">
        <f t="shared" si="31"/>
        <v>321691.93714543339</v>
      </c>
    </row>
    <row r="139" spans="1:10">
      <c r="A139" s="37"/>
      <c r="C139" s="157" t="s">
        <v>1024</v>
      </c>
      <c r="D139" s="156">
        <f>$E$12*F801D!K142+$D$12*F801ENE!D142</f>
        <v>1141.6325244089762</v>
      </c>
      <c r="E139" s="156">
        <f>$E$12*F801D!L142+$D$12*F801ENE!E142</f>
        <v>1129.0612940131321</v>
      </c>
      <c r="F139" s="156">
        <f>$E$12*F801D!M142+$D$12*F801ENE!F142</f>
        <v>1098.7727710645079</v>
      </c>
      <c r="G139" s="156">
        <f>$E$12*F801D!N142+$D$12*F801ENE!G142</f>
        <v>1110.6643568421243</v>
      </c>
      <c r="H139" s="156">
        <f>$E$12*F801D!O142+$D$12*F801ENE!H142</f>
        <v>993.23413684455602</v>
      </c>
      <c r="I139" s="156">
        <f>$E$12*F801D!P142+$D$12*F801ENE!I142</f>
        <v>1073.8793269857865</v>
      </c>
      <c r="J139" s="154">
        <f t="shared" si="31"/>
        <v>6547.2444101590827</v>
      </c>
    </row>
    <row r="140" spans="1:10">
      <c r="A140" s="37"/>
      <c r="C140" s="157" t="s">
        <v>1025</v>
      </c>
      <c r="D140" s="156">
        <f>$E$12*F801D!K143+$D$12*F801ENE!D143</f>
        <v>11101.442099966494</v>
      </c>
      <c r="E140" s="156">
        <f>$E$12*F801D!L143+$D$12*F801ENE!E143</f>
        <v>10757.226034055402</v>
      </c>
      <c r="F140" s="156">
        <f>$E$12*F801D!M143+$D$12*F801ENE!F143</f>
        <v>10584.01819777452</v>
      </c>
      <c r="G140" s="156">
        <f>$E$12*F801D!N143+$D$12*F801ENE!G143</f>
        <v>10968.289573831873</v>
      </c>
      <c r="H140" s="156">
        <f>$E$12*F801D!O143+$D$12*F801ENE!H143</f>
        <v>9896.5945949651032</v>
      </c>
      <c r="I140" s="156">
        <f>$E$12*F801D!P143+$D$12*F801ENE!I143</f>
        <v>9964.4909570796426</v>
      </c>
      <c r="J140" s="154">
        <f t="shared" si="31"/>
        <v>63272.061457673044</v>
      </c>
    </row>
    <row r="141" spans="1:10">
      <c r="A141" s="37"/>
      <c r="C141" s="157" t="s">
        <v>1162</v>
      </c>
      <c r="D141" s="156">
        <f>$E$12*F801D!K144+$D$12*F801ENE!D144</f>
        <v>15074.979121545901</v>
      </c>
      <c r="E141" s="156">
        <f>$E$12*F801D!L144+$D$12*F801ENE!E144</f>
        <v>15307.46930367278</v>
      </c>
      <c r="F141" s="156">
        <f>$E$12*F801D!M144+$D$12*F801ENE!F144</f>
        <v>18252.225558250404</v>
      </c>
      <c r="G141" s="156">
        <f>$E$12*F801D!N144+$D$12*F801ENE!G144</f>
        <v>20107.071269135413</v>
      </c>
      <c r="H141" s="156">
        <f>$E$12*F801D!O144+$D$12*F801ENE!H144</f>
        <v>19651.037088057947</v>
      </c>
      <c r="I141" s="156">
        <f>$E$12*F801D!P144+$D$12*F801ENE!I144</f>
        <v>25026.547224887061</v>
      </c>
      <c r="J141" s="154">
        <f t="shared" si="31"/>
        <v>113419.3295655495</v>
      </c>
    </row>
    <row r="142" spans="1:10">
      <c r="A142" s="37"/>
      <c r="C142" s="157"/>
      <c r="D142" s="156"/>
      <c r="E142" s="156"/>
      <c r="F142" s="156"/>
      <c r="G142" s="156"/>
      <c r="H142" s="156"/>
      <c r="I142" s="156"/>
      <c r="J142" s="154">
        <f t="shared" si="31"/>
        <v>0</v>
      </c>
    </row>
    <row r="143" spans="1:10">
      <c r="A143" s="37"/>
      <c r="C143" s="153" t="s">
        <v>112</v>
      </c>
      <c r="D143" s="154">
        <f t="shared" ref="D143:I143" si="37">D114+D121+D134</f>
        <v>511263.91116200504</v>
      </c>
      <c r="E143" s="154">
        <f t="shared" si="37"/>
        <v>501076.6673484866</v>
      </c>
      <c r="F143" s="154">
        <f t="shared" si="37"/>
        <v>499615.49239414249</v>
      </c>
      <c r="G143" s="154">
        <f t="shared" si="37"/>
        <v>524770.39688755432</v>
      </c>
      <c r="H143" s="154">
        <f t="shared" si="37"/>
        <v>485236.24048180238</v>
      </c>
      <c r="I143" s="154">
        <f t="shared" si="37"/>
        <v>518178.75949357124</v>
      </c>
      <c r="J143" s="154">
        <f t="shared" si="31"/>
        <v>3040141.4677675623</v>
      </c>
    </row>
    <row r="144" spans="1:10">
      <c r="C144" s="164"/>
      <c r="D144" s="164"/>
      <c r="E144" s="164"/>
      <c r="F144" s="164"/>
      <c r="G144" s="164"/>
      <c r="H144" s="164"/>
      <c r="I144" s="164"/>
      <c r="J144" s="164"/>
    </row>
    <row r="145" spans="2:10">
      <c r="C145" s="179" t="s">
        <v>111</v>
      </c>
      <c r="D145" s="180">
        <f t="shared" ref="D145:J145" si="38">D110+D143</f>
        <v>2298051.3233886482</v>
      </c>
      <c r="E145" s="180">
        <f t="shared" si="38"/>
        <v>2288609.782631522</v>
      </c>
      <c r="F145" s="180">
        <f t="shared" si="38"/>
        <v>2260815.3500509476</v>
      </c>
      <c r="G145" s="180">
        <f t="shared" si="38"/>
        <v>2306176.105594391</v>
      </c>
      <c r="H145" s="180">
        <f t="shared" si="38"/>
        <v>2196672.5831256397</v>
      </c>
      <c r="I145" s="180">
        <f t="shared" si="38"/>
        <v>2230382.3146681637</v>
      </c>
      <c r="J145" s="180">
        <f t="shared" si="38"/>
        <v>13580707.459459314</v>
      </c>
    </row>
    <row r="147" spans="2:10">
      <c r="C147" s="52" t="str">
        <f>'PORTADA PORTADA PORTADA'!$B$23</f>
        <v>1 DE JULIO DE 2026</v>
      </c>
    </row>
    <row r="149" spans="2:10">
      <c r="B149" s="1166" t="s">
        <v>902</v>
      </c>
      <c r="C149" s="58"/>
      <c r="D149" s="1167">
        <f t="shared" ref="D149:J158" si="39">SUMIF($B$18:$B$145,$B149,D$18:D$145)</f>
        <v>78097.386133147709</v>
      </c>
      <c r="E149" s="1167">
        <f t="shared" si="39"/>
        <v>78129.979525025643</v>
      </c>
      <c r="F149" s="1167">
        <f t="shared" si="39"/>
        <v>76654.314754335282</v>
      </c>
      <c r="G149" s="1167">
        <f t="shared" si="39"/>
        <v>77862.161172906199</v>
      </c>
      <c r="H149" s="1167">
        <f t="shared" si="39"/>
        <v>74488.411621604697</v>
      </c>
      <c r="I149" s="1167">
        <f t="shared" si="39"/>
        <v>74837.454636520488</v>
      </c>
      <c r="J149" s="1167">
        <f t="shared" si="39"/>
        <v>460069.70784354</v>
      </c>
    </row>
    <row r="150" spans="2:10">
      <c r="B150" s="1166" t="s">
        <v>751</v>
      </c>
      <c r="C150" s="58"/>
      <c r="D150" s="1167">
        <f t="shared" si="39"/>
        <v>418507.24578485149</v>
      </c>
      <c r="E150" s="1167">
        <f t="shared" si="39"/>
        <v>418681.90900315519</v>
      </c>
      <c r="F150" s="1167">
        <f t="shared" si="39"/>
        <v>410774.03740293876</v>
      </c>
      <c r="G150" s="1167">
        <f t="shared" si="39"/>
        <v>417246.70963890443</v>
      </c>
      <c r="H150" s="1167">
        <f t="shared" si="39"/>
        <v>399167.27940997848</v>
      </c>
      <c r="I150" s="1167">
        <f t="shared" si="39"/>
        <v>401037.74985809752</v>
      </c>
      <c r="J150" s="1167">
        <f t="shared" si="39"/>
        <v>2465414.9310979261</v>
      </c>
    </row>
    <row r="151" spans="2:10">
      <c r="B151" s="1166" t="s">
        <v>750</v>
      </c>
      <c r="C151" s="58"/>
      <c r="D151" s="1167">
        <f t="shared" si="39"/>
        <v>157451.47286393537</v>
      </c>
      <c r="E151" s="1167">
        <f t="shared" si="39"/>
        <v>157517.18412279952</v>
      </c>
      <c r="F151" s="1167">
        <f t="shared" si="39"/>
        <v>154542.10898773049</v>
      </c>
      <c r="G151" s="1167">
        <f t="shared" si="39"/>
        <v>156977.23783152027</v>
      </c>
      <c r="H151" s="1167">
        <f t="shared" si="39"/>
        <v>150175.45018883501</v>
      </c>
      <c r="I151" s="1167">
        <f t="shared" si="39"/>
        <v>150879.15282873725</v>
      </c>
      <c r="J151" s="1167">
        <f t="shared" si="39"/>
        <v>927542.60682355799</v>
      </c>
    </row>
    <row r="152" spans="2:10">
      <c r="B152" s="1166" t="s">
        <v>749</v>
      </c>
      <c r="C152" s="58"/>
      <c r="D152" s="1167">
        <f t="shared" si="39"/>
        <v>155744.97856864228</v>
      </c>
      <c r="E152" s="1167">
        <f t="shared" si="39"/>
        <v>155809.97763417888</v>
      </c>
      <c r="F152" s="1167">
        <f t="shared" si="39"/>
        <v>152867.14702914638</v>
      </c>
      <c r="G152" s="1167">
        <f t="shared" si="39"/>
        <v>155275.88340162649</v>
      </c>
      <c r="H152" s="1167">
        <f t="shared" si="39"/>
        <v>148547.81505542612</v>
      </c>
      <c r="I152" s="1167">
        <f t="shared" si="39"/>
        <v>149243.89080865192</v>
      </c>
      <c r="J152" s="1167">
        <f t="shared" si="39"/>
        <v>917489.69249767205</v>
      </c>
    </row>
    <row r="153" spans="2:10">
      <c r="B153" s="1166" t="s">
        <v>1176</v>
      </c>
      <c r="C153" s="58"/>
      <c r="D153" s="1167">
        <f t="shared" si="39"/>
        <v>5.22</v>
      </c>
      <c r="E153" s="1167">
        <f t="shared" si="39"/>
        <v>5.22</v>
      </c>
      <c r="F153" s="1167">
        <f t="shared" si="39"/>
        <v>5.22</v>
      </c>
      <c r="G153" s="1167">
        <f t="shared" si="39"/>
        <v>5.22</v>
      </c>
      <c r="H153" s="1167">
        <f t="shared" si="39"/>
        <v>5.22</v>
      </c>
      <c r="I153" s="1167">
        <f t="shared" si="39"/>
        <v>5.22</v>
      </c>
      <c r="J153" s="1167">
        <f t="shared" si="39"/>
        <v>31.319999999999997</v>
      </c>
    </row>
    <row r="154" spans="2:10">
      <c r="B154" s="1166" t="s">
        <v>274</v>
      </c>
      <c r="C154" s="58"/>
      <c r="D154" s="1167">
        <f t="shared" si="39"/>
        <v>645093.73546778259</v>
      </c>
      <c r="E154" s="1167">
        <f t="shared" si="39"/>
        <v>645362.96077683778</v>
      </c>
      <c r="F154" s="1167">
        <f t="shared" si="39"/>
        <v>637722.37072336732</v>
      </c>
      <c r="G154" s="1167">
        <f t="shared" si="39"/>
        <v>643150.74920677324</v>
      </c>
      <c r="H154" s="1167">
        <f t="shared" si="39"/>
        <v>619703.23005282844</v>
      </c>
      <c r="I154" s="1167">
        <f t="shared" si="39"/>
        <v>618166.31202056236</v>
      </c>
      <c r="J154" s="1167">
        <f t="shared" si="39"/>
        <v>3809199.3582481514</v>
      </c>
    </row>
    <row r="155" spans="2:10">
      <c r="B155" s="1166" t="s">
        <v>275</v>
      </c>
      <c r="C155" s="58"/>
      <c r="D155" s="1167">
        <f t="shared" si="39"/>
        <v>21683.720761568409</v>
      </c>
      <c r="E155" s="1167">
        <f t="shared" si="39"/>
        <v>21692.770309103176</v>
      </c>
      <c r="F155" s="1167">
        <f t="shared" si="39"/>
        <v>21491.33492594782</v>
      </c>
      <c r="G155" s="1167">
        <f t="shared" si="39"/>
        <v>21618.410607073198</v>
      </c>
      <c r="H155" s="1167">
        <f t="shared" si="39"/>
        <v>20884.087313183263</v>
      </c>
      <c r="I155" s="1167">
        <f t="shared" si="39"/>
        <v>20778.601553683631</v>
      </c>
      <c r="J155" s="1167">
        <f t="shared" si="39"/>
        <v>128148.92547055951</v>
      </c>
    </row>
    <row r="156" spans="2:10">
      <c r="B156" s="1166" t="s">
        <v>276</v>
      </c>
      <c r="C156" s="58"/>
      <c r="D156" s="1167">
        <f t="shared" si="39"/>
        <v>187478.97440762923</v>
      </c>
      <c r="E156" s="1167">
        <f t="shared" si="39"/>
        <v>187557.21743193889</v>
      </c>
      <c r="F156" s="1167">
        <f t="shared" si="39"/>
        <v>185719.36112266566</v>
      </c>
      <c r="G156" s="1167">
        <f t="shared" si="39"/>
        <v>186914.29821954313</v>
      </c>
      <c r="H156" s="1167">
        <f t="shared" si="39"/>
        <v>180471.77463841552</v>
      </c>
      <c r="I156" s="1167">
        <f t="shared" si="39"/>
        <v>179653.25009228755</v>
      </c>
      <c r="J156" s="1167">
        <f t="shared" si="39"/>
        <v>1107794.8759124801</v>
      </c>
    </row>
    <row r="157" spans="2:10">
      <c r="B157" s="1166" t="s">
        <v>277</v>
      </c>
      <c r="C157" s="58"/>
      <c r="D157" s="1167">
        <f t="shared" si="39"/>
        <v>27510.00710871322</v>
      </c>
      <c r="E157" s="1167">
        <f t="shared" si="39"/>
        <v>27521.488215657435</v>
      </c>
      <c r="F157" s="1167">
        <f t="shared" si="39"/>
        <v>27281.269520498568</v>
      </c>
      <c r="G157" s="1167">
        <f t="shared" si="39"/>
        <v>27427.14850551543</v>
      </c>
      <c r="H157" s="1167">
        <f t="shared" si="39"/>
        <v>26510.424626656844</v>
      </c>
      <c r="I157" s="1167">
        <f t="shared" si="39"/>
        <v>26361.687771965677</v>
      </c>
      <c r="J157" s="1167">
        <f t="shared" si="39"/>
        <v>162612.02574900718</v>
      </c>
    </row>
    <row r="158" spans="2:10">
      <c r="B158" s="1166" t="s">
        <v>278</v>
      </c>
      <c r="C158" s="58"/>
      <c r="D158" s="1167">
        <f t="shared" si="39"/>
        <v>2.5750000000000002</v>
      </c>
      <c r="E158" s="1167">
        <f t="shared" si="39"/>
        <v>2.5750000000000002</v>
      </c>
      <c r="F158" s="1167">
        <f t="shared" si="39"/>
        <v>2.5750000000000002</v>
      </c>
      <c r="G158" s="1167">
        <f t="shared" si="39"/>
        <v>2.5750000000000002</v>
      </c>
      <c r="H158" s="1167">
        <f t="shared" si="39"/>
        <v>2.5750000000000002</v>
      </c>
      <c r="I158" s="1167">
        <f t="shared" si="39"/>
        <v>2.5750000000000002</v>
      </c>
      <c r="J158" s="1167">
        <f t="shared" si="39"/>
        <v>15.45</v>
      </c>
    </row>
    <row r="159" spans="2:10">
      <c r="B159" s="1166" t="s">
        <v>279</v>
      </c>
      <c r="C159" s="58"/>
      <c r="D159" s="1167">
        <f t="shared" ref="D159:J167" si="40">SUMIF($B$18:$B$145,$B159,D$18:D$145)</f>
        <v>95212.096130373073</v>
      </c>
      <c r="E159" s="1167">
        <f t="shared" si="40"/>
        <v>95251.833264339206</v>
      </c>
      <c r="F159" s="1167">
        <f t="shared" si="40"/>
        <v>94140.118190175301</v>
      </c>
      <c r="G159" s="1167">
        <f t="shared" si="40"/>
        <v>94925.315122974396</v>
      </c>
      <c r="H159" s="1167">
        <f t="shared" si="40"/>
        <v>91480.074736908398</v>
      </c>
      <c r="I159" s="1167">
        <f t="shared" si="40"/>
        <v>91237.660604085395</v>
      </c>
      <c r="J159" s="1167">
        <f t="shared" si="40"/>
        <v>562247.09804885578</v>
      </c>
    </row>
    <row r="160" spans="2:10">
      <c r="B160" s="1166" t="s">
        <v>875</v>
      </c>
      <c r="C160" s="58"/>
      <c r="D160" s="1167">
        <f t="shared" si="40"/>
        <v>83538.884100259645</v>
      </c>
      <c r="E160" s="1167">
        <f t="shared" si="40"/>
        <v>82180.207950502881</v>
      </c>
      <c r="F160" s="1167">
        <f t="shared" si="40"/>
        <v>83649.427139229883</v>
      </c>
      <c r="G160" s="1167">
        <f t="shared" si="40"/>
        <v>87551.675679010208</v>
      </c>
      <c r="H160" s="1167">
        <f t="shared" si="40"/>
        <v>81935.139277034934</v>
      </c>
      <c r="I160" s="1167">
        <f t="shared" si="40"/>
        <v>91049.89740108393</v>
      </c>
      <c r="J160" s="1167">
        <f t="shared" si="40"/>
        <v>509905.23154712154</v>
      </c>
    </row>
    <row r="161" spans="2:10">
      <c r="B161" s="1166" t="s">
        <v>874</v>
      </c>
      <c r="C161" s="58"/>
      <c r="D161" s="1167">
        <f t="shared" si="40"/>
        <v>1928.9276065363317</v>
      </c>
      <c r="E161" s="1167">
        <f t="shared" si="40"/>
        <v>1885.0675133049479</v>
      </c>
      <c r="F161" s="1167">
        <f t="shared" si="40"/>
        <v>1836.0564892012801</v>
      </c>
      <c r="G161" s="1167">
        <f t="shared" si="40"/>
        <v>1887.9131339963997</v>
      </c>
      <c r="H161" s="1167">
        <f t="shared" si="40"/>
        <v>1855.1732328695882</v>
      </c>
      <c r="I161" s="1167">
        <f t="shared" si="40"/>
        <v>1902.6691880076014</v>
      </c>
      <c r="J161" s="1167">
        <f t="shared" si="40"/>
        <v>11295.80716391615</v>
      </c>
    </row>
    <row r="162" spans="2:10">
      <c r="B162" s="1166" t="s">
        <v>873</v>
      </c>
      <c r="C162" s="58"/>
      <c r="D162" s="1167">
        <f t="shared" si="40"/>
        <v>289715.38242537354</v>
      </c>
      <c r="E162" s="1167">
        <f t="shared" si="40"/>
        <v>285779.88708317175</v>
      </c>
      <c r="F162" s="1167">
        <f t="shared" si="40"/>
        <v>280670.75209330174</v>
      </c>
      <c r="G162" s="1167">
        <f t="shared" si="40"/>
        <v>289369.96545253985</v>
      </c>
      <c r="H162" s="1167">
        <f t="shared" si="40"/>
        <v>271923.10815524054</v>
      </c>
      <c r="I162" s="1167">
        <f t="shared" si="40"/>
        <v>286776.87260670512</v>
      </c>
      <c r="J162" s="1167">
        <f t="shared" si="40"/>
        <v>1704235.9678163326</v>
      </c>
    </row>
    <row r="163" spans="2:10">
      <c r="B163" s="1166" t="s">
        <v>872</v>
      </c>
      <c r="C163" s="58"/>
      <c r="D163" s="1167">
        <f t="shared" si="40"/>
        <v>60806.526138539921</v>
      </c>
      <c r="E163" s="1167">
        <f t="shared" si="40"/>
        <v>60718.604400373617</v>
      </c>
      <c r="F163" s="1167">
        <f t="shared" si="40"/>
        <v>60007.191259956031</v>
      </c>
      <c r="G163" s="1167">
        <f t="shared" si="40"/>
        <v>63280.890474845961</v>
      </c>
      <c r="H163" s="1167">
        <f t="shared" si="40"/>
        <v>59849.748414578818</v>
      </c>
      <c r="I163" s="1167">
        <f t="shared" si="40"/>
        <v>59969.574784975142</v>
      </c>
      <c r="J163" s="1167">
        <f t="shared" si="40"/>
        <v>364632.53547326953</v>
      </c>
    </row>
    <row r="164" spans="2:10">
      <c r="B164" s="1166" t="s">
        <v>871</v>
      </c>
      <c r="C164" s="58"/>
      <c r="D164" s="1167">
        <f t="shared" si="40"/>
        <v>24070.347158866207</v>
      </c>
      <c r="E164" s="1167">
        <f t="shared" si="40"/>
        <v>23434.811084987283</v>
      </c>
      <c r="F164" s="1167">
        <f t="shared" si="40"/>
        <v>24695.827486178678</v>
      </c>
      <c r="G164" s="1167">
        <f t="shared" si="40"/>
        <v>29535.092902163877</v>
      </c>
      <c r="H164" s="1167">
        <f t="shared" si="40"/>
        <v>28143.516980424669</v>
      </c>
      <c r="I164" s="1167">
        <f t="shared" si="40"/>
        <v>30062.342041834843</v>
      </c>
      <c r="J164" s="1167">
        <f t="shared" si="40"/>
        <v>159941.93765445557</v>
      </c>
    </row>
    <row r="165" spans="2:10">
      <c r="B165" s="1166" t="s">
        <v>870</v>
      </c>
      <c r="C165" s="58"/>
      <c r="D165" s="1167">
        <f t="shared" si="40"/>
        <v>51203.843732429406</v>
      </c>
      <c r="E165" s="1167">
        <f t="shared" si="40"/>
        <v>47078.08931614607</v>
      </c>
      <c r="F165" s="1167">
        <f t="shared" si="40"/>
        <v>48756.237926274858</v>
      </c>
      <c r="G165" s="1167">
        <f t="shared" si="40"/>
        <v>53144.859244998064</v>
      </c>
      <c r="H165" s="1167">
        <f t="shared" si="40"/>
        <v>41529.55442165376</v>
      </c>
      <c r="I165" s="1167">
        <f t="shared" si="40"/>
        <v>48417.403470964608</v>
      </c>
      <c r="J165" s="1167">
        <f t="shared" si="40"/>
        <v>290129.98811246676</v>
      </c>
    </row>
    <row r="166" spans="2:10">
      <c r="B166" s="1166" t="s">
        <v>893</v>
      </c>
      <c r="C166" s="58"/>
      <c r="D166" s="1167">
        <f t="shared" si="40"/>
        <v>0</v>
      </c>
      <c r="E166" s="1167">
        <f t="shared" si="40"/>
        <v>0</v>
      </c>
      <c r="F166" s="1167">
        <f t="shared" si="40"/>
        <v>0</v>
      </c>
      <c r="G166" s="1167">
        <f t="shared" si="40"/>
        <v>0</v>
      </c>
      <c r="H166" s="1167">
        <f t="shared" si="40"/>
        <v>0</v>
      </c>
      <c r="I166" s="1167">
        <f t="shared" si="40"/>
        <v>0</v>
      </c>
      <c r="J166" s="1167">
        <f t="shared" si="40"/>
        <v>0</v>
      </c>
    </row>
    <row r="167" spans="2:10">
      <c r="B167" s="1166"/>
      <c r="C167" s="58"/>
      <c r="D167" s="1167">
        <f t="shared" si="40"/>
        <v>0</v>
      </c>
      <c r="E167" s="1167">
        <f t="shared" si="40"/>
        <v>0</v>
      </c>
      <c r="F167" s="1167">
        <f t="shared" si="40"/>
        <v>0</v>
      </c>
      <c r="G167" s="1167">
        <f t="shared" si="40"/>
        <v>0</v>
      </c>
      <c r="H167" s="1167">
        <f t="shared" si="40"/>
        <v>0</v>
      </c>
      <c r="I167" s="1167">
        <f t="shared" si="40"/>
        <v>0</v>
      </c>
      <c r="J167" s="1167">
        <f t="shared" si="40"/>
        <v>0</v>
      </c>
    </row>
    <row r="168" spans="2:10">
      <c r="B168" s="1166" t="s">
        <v>111</v>
      </c>
      <c r="C168" s="1168"/>
      <c r="D168" s="1169">
        <f>SUM(D149:D167)</f>
        <v>2298051.3233886482</v>
      </c>
      <c r="E168" s="1169">
        <f t="shared" ref="E168:J168" si="41">SUM(E149:E167)</f>
        <v>2288609.782631522</v>
      </c>
      <c r="F168" s="1169">
        <f t="shared" si="41"/>
        <v>2260815.3500509481</v>
      </c>
      <c r="G168" s="1169">
        <f t="shared" si="41"/>
        <v>2306176.105594391</v>
      </c>
      <c r="H168" s="1169">
        <f t="shared" si="41"/>
        <v>2196672.5831256388</v>
      </c>
      <c r="I168" s="1169">
        <f t="shared" si="41"/>
        <v>2230382.3146681632</v>
      </c>
      <c r="J168" s="1169">
        <f t="shared" si="41"/>
        <v>13580707.459459312</v>
      </c>
    </row>
    <row r="169" spans="2:10">
      <c r="B169" s="1166"/>
      <c r="C169" s="58"/>
      <c r="D169" s="166">
        <f>D168-D145</f>
        <v>0</v>
      </c>
      <c r="E169" s="166">
        <f t="shared" ref="E169:J169" si="42">E168-E145</f>
        <v>0</v>
      </c>
      <c r="F169" s="166">
        <f t="shared" si="42"/>
        <v>0</v>
      </c>
      <c r="G169" s="166">
        <f t="shared" si="42"/>
        <v>0</v>
      </c>
      <c r="H169" s="166">
        <f t="shared" si="42"/>
        <v>0</v>
      </c>
      <c r="I169" s="166">
        <f t="shared" si="42"/>
        <v>0</v>
      </c>
      <c r="J169" s="166">
        <f t="shared" si="42"/>
        <v>0</v>
      </c>
    </row>
  </sheetData>
  <printOptions horizontalCentered="1" verticalCentered="1"/>
  <pageMargins left="0.51181102362204722" right="0.31496062992125984" top="0.78740157480314965" bottom="0.82677165354330717" header="0.31496062992125984" footer="0.23622047244094491"/>
  <pageSetup scale="31" orientation="portrait" horizontalDpi="300" r:id="rId1"/>
  <headerFooter alignWithMargins="0">
    <oddHeader>&amp;L
NOMBRE DE LA DISTRIBUIDORA: ENSA&amp;R&amp;9&amp;A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38">
    <tabColor theme="5" tint="0.79998168889431442"/>
  </sheetPr>
  <dimension ref="A1:J176"/>
  <sheetViews>
    <sheetView view="pageBreakPreview" topLeftCell="A85" zoomScale="85" zoomScaleNormal="85" zoomScaleSheetLayoutView="85" workbookViewId="0">
      <selection activeCell="G90" sqref="G90"/>
    </sheetView>
  </sheetViews>
  <sheetFormatPr baseColWidth="10" defaultColWidth="8" defaultRowHeight="15"/>
  <cols>
    <col min="1" max="1" width="3.375" style="63" customWidth="1"/>
    <col min="2" max="2" width="5.625" style="48" bestFit="1" customWidth="1"/>
    <col min="3" max="3" width="30.375" style="63" customWidth="1"/>
    <col min="4" max="4" width="11" style="63" customWidth="1"/>
    <col min="5" max="5" width="11.75" style="63" customWidth="1"/>
    <col min="6" max="9" width="10.625" style="63" customWidth="1"/>
    <col min="10" max="10" width="11.625" style="63" customWidth="1"/>
    <col min="11" max="11" width="2.875" style="63" customWidth="1"/>
    <col min="12" max="16384" width="8" style="63"/>
  </cols>
  <sheetData>
    <row r="1" spans="2:10" s="69" customFormat="1" ht="15.75">
      <c r="B1" s="48"/>
      <c r="C1" s="136" t="s">
        <v>151</v>
      </c>
    </row>
    <row r="2" spans="2:10" s="69" customFormat="1" ht="15.75">
      <c r="B2" s="48"/>
      <c r="D2" s="137" t="s">
        <v>113</v>
      </c>
      <c r="I2" s="218"/>
    </row>
    <row r="3" spans="2:10" s="69" customFormat="1" ht="15.75">
      <c r="B3" s="48"/>
      <c r="D3" s="137"/>
    </row>
    <row r="4" spans="2:10" ht="15.75">
      <c r="C4" s="219" t="s">
        <v>1529</v>
      </c>
      <c r="D4" s="219"/>
      <c r="E4" s="219"/>
      <c r="F4" s="219"/>
      <c r="G4" s="219"/>
      <c r="H4" s="219"/>
      <c r="I4" s="219"/>
      <c r="J4" s="219"/>
    </row>
    <row r="5" spans="2:10">
      <c r="C5" s="139"/>
    </row>
    <row r="6" spans="2:10" s="143" customFormat="1" ht="33">
      <c r="B6" s="48"/>
      <c r="C6" s="220" t="s">
        <v>1430</v>
      </c>
      <c r="D6" s="220" t="s">
        <v>259</v>
      </c>
      <c r="E6" s="220" t="s">
        <v>260</v>
      </c>
      <c r="F6" s="221"/>
      <c r="G6" s="69"/>
    </row>
    <row r="7" spans="2:10" s="143" customFormat="1" ht="13.5">
      <c r="B7" s="48"/>
      <c r="C7" s="222" t="s">
        <v>266</v>
      </c>
      <c r="D7" s="223">
        <f>RAT1000PT!$N$56</f>
        <v>2.7299999999999998E-3</v>
      </c>
      <c r="E7" s="224">
        <f>RAT1000PT!$N$63</f>
        <v>1.82</v>
      </c>
    </row>
    <row r="8" spans="2:10" s="143" customFormat="1" ht="13.5">
      <c r="B8" s="48"/>
      <c r="C8" s="225" t="s">
        <v>265</v>
      </c>
      <c r="D8" s="223">
        <f>RAT1000PT!$N$55</f>
        <v>3.1700000000000001E-3</v>
      </c>
      <c r="E8" s="224">
        <f>RAT1000PT!$N$62</f>
        <v>1.8</v>
      </c>
    </row>
    <row r="9" spans="2:10" s="143" customFormat="1" ht="13.5">
      <c r="B9" s="48"/>
      <c r="C9" s="225" t="s">
        <v>264</v>
      </c>
      <c r="D9" s="223">
        <f>RAT1000PT!$N$54</f>
        <v>3.6800000000000001E-3</v>
      </c>
      <c r="E9" s="224">
        <f>RAT1000PT!$N$61</f>
        <v>1.58</v>
      </c>
    </row>
    <row r="10" spans="2:10" s="143" customFormat="1" ht="13.5">
      <c r="B10" s="48"/>
      <c r="C10" s="225" t="s">
        <v>262</v>
      </c>
      <c r="D10" s="223">
        <f>RAT1000PT!$N$53</f>
        <v>3.79E-3</v>
      </c>
      <c r="E10" s="224">
        <f>RAT1000PT!$N$60</f>
        <v>1.52</v>
      </c>
    </row>
    <row r="11" spans="2:10" s="143" customFormat="1" ht="13.5">
      <c r="B11" s="48"/>
      <c r="C11" s="225" t="s">
        <v>263</v>
      </c>
      <c r="D11" s="223">
        <f>RAT1000PT!$N$52</f>
        <v>1.9400000000000001E-3</v>
      </c>
      <c r="E11" s="224">
        <f>RAT1000PT!$N$59</f>
        <v>1.45</v>
      </c>
    </row>
    <row r="12" spans="2:10" s="143" customFormat="1" ht="13.5">
      <c r="B12" s="48"/>
      <c r="C12" s="225" t="s">
        <v>261</v>
      </c>
      <c r="D12" s="223">
        <f>RAT1000PT!$N$51</f>
        <v>4.7099999999999998E-3</v>
      </c>
      <c r="E12" s="224">
        <f>RAT1000PT!$N$58</f>
        <v>1.39</v>
      </c>
    </row>
    <row r="13" spans="2:10" s="143" customFormat="1" ht="13.5">
      <c r="B13" s="48"/>
      <c r="C13" s="225" t="s">
        <v>1768</v>
      </c>
      <c r="D13" s="223">
        <f>RAT1000PT!$N$48</f>
        <v>6.3299999999999997E-3</v>
      </c>
      <c r="E13" s="224"/>
    </row>
    <row r="14" spans="2:10" s="143" customFormat="1" ht="13.5">
      <c r="B14" s="48"/>
      <c r="C14" s="225" t="s">
        <v>2071</v>
      </c>
      <c r="D14" s="223">
        <f>RAT1000PT!$N$49</f>
        <v>6.4999999999999997E-3</v>
      </c>
      <c r="E14" s="223"/>
    </row>
    <row r="15" spans="2:10" s="143" customFormat="1" ht="13.5">
      <c r="B15" s="48"/>
      <c r="C15" s="225" t="s">
        <v>1178</v>
      </c>
      <c r="D15" s="223">
        <f>RAT1000PT!$N$50</f>
        <v>6.3299999999999997E-3</v>
      </c>
      <c r="E15" s="223"/>
    </row>
    <row r="16" spans="2:10" s="143" customFormat="1" ht="15.75">
      <c r="B16" s="48"/>
      <c r="D16" s="226"/>
      <c r="E16" s="226"/>
      <c r="F16" s="69"/>
      <c r="G16" s="69"/>
    </row>
    <row r="17" spans="2:10" s="143" customFormat="1" ht="33.75">
      <c r="B17" s="48"/>
      <c r="C17" s="138" t="s">
        <v>1431</v>
      </c>
      <c r="D17" s="138"/>
      <c r="E17" s="138"/>
      <c r="F17" s="138"/>
      <c r="G17" s="138"/>
      <c r="H17" s="138"/>
      <c r="I17" s="138"/>
      <c r="J17" s="138"/>
    </row>
    <row r="18" spans="2:10" s="37" customFormat="1" ht="13.5">
      <c r="B18" s="48"/>
      <c r="C18" s="150" t="s">
        <v>310</v>
      </c>
      <c r="D18" s="151">
        <f>F801ENE!D4</f>
        <v>46204</v>
      </c>
      <c r="E18" s="151">
        <f>F801ENE!E4</f>
        <v>46235</v>
      </c>
      <c r="F18" s="151">
        <f>F801ENE!F4</f>
        <v>46266</v>
      </c>
      <c r="G18" s="151">
        <f>F801ENE!G4</f>
        <v>46296</v>
      </c>
      <c r="H18" s="151">
        <f>F801ENE!H4</f>
        <v>46327</v>
      </c>
      <c r="I18" s="151">
        <f>F801ENE!I4</f>
        <v>46357</v>
      </c>
      <c r="J18" s="151" t="str">
        <f>F801ENE!J4</f>
        <v>TOTAL</v>
      </c>
    </row>
    <row r="19" spans="2:10" s="37" customFormat="1" ht="13.5">
      <c r="B19" s="48"/>
      <c r="C19" s="153" t="s">
        <v>446</v>
      </c>
      <c r="D19" s="154">
        <f>SUBTOTAL(9,D20:D21)</f>
        <v>103885.30084277518</v>
      </c>
      <c r="E19" s="154">
        <f t="shared" ref="E19:I19" si="0">SUBTOTAL(9,E20:E21)</f>
        <v>103928.65635929325</v>
      </c>
      <c r="F19" s="154">
        <f t="shared" si="0"/>
        <v>103656.32586289333</v>
      </c>
      <c r="G19" s="154">
        <f t="shared" si="0"/>
        <v>103572.40614045601</v>
      </c>
      <c r="H19" s="154">
        <f t="shared" si="0"/>
        <v>100727.48604353801</v>
      </c>
      <c r="I19" s="154">
        <f t="shared" si="0"/>
        <v>99548.961305632634</v>
      </c>
      <c r="J19" s="154">
        <f>SUM(D19:I19)</f>
        <v>615319.13655458845</v>
      </c>
    </row>
    <row r="20" spans="2:10" s="37" customFormat="1" ht="13.5">
      <c r="B20" s="48" t="s">
        <v>279</v>
      </c>
      <c r="C20" s="155" t="s">
        <v>279</v>
      </c>
      <c r="D20" s="156">
        <f>$E$7*F801D!K6+$D$7*F801ENE!D6</f>
        <v>103881.91584277518</v>
      </c>
      <c r="E20" s="156">
        <f>$E$7*F801D!L6+$D$7*F801ENE!E6</f>
        <v>103925.27135929326</v>
      </c>
      <c r="F20" s="156">
        <f>$E$7*F801D!M6+$D$7*F801ENE!F6</f>
        <v>103652.94086289333</v>
      </c>
      <c r="G20" s="156">
        <f>$E$7*F801D!N6+$D$7*F801ENE!G6</f>
        <v>103569.02114045601</v>
      </c>
      <c r="H20" s="156">
        <f>$E$7*F801D!O6+$D$7*F801ENE!H6</f>
        <v>100724.10104353802</v>
      </c>
      <c r="I20" s="156">
        <f>$E$7*F801D!P6+$D$7*F801ENE!I6</f>
        <v>99545.57630563264</v>
      </c>
      <c r="J20" s="156">
        <f>SUM(D20:I20)</f>
        <v>615298.82655458839</v>
      </c>
    </row>
    <row r="21" spans="2:10" s="37" customFormat="1" ht="13.5">
      <c r="B21" s="48" t="s">
        <v>278</v>
      </c>
      <c r="C21" s="155" t="s">
        <v>278</v>
      </c>
      <c r="D21" s="156">
        <f>$E$8*F801D!K7+$D$8*F801ENE!D7</f>
        <v>3.3849999999999998</v>
      </c>
      <c r="E21" s="156">
        <f>$E$8*F801D!L7+$D$8*F801ENE!E7</f>
        <v>3.3849999999999998</v>
      </c>
      <c r="F21" s="156">
        <f>$E$8*F801D!M7+$D$8*F801ENE!F7</f>
        <v>3.3849999999999998</v>
      </c>
      <c r="G21" s="156">
        <f>$E$8*F801D!N7+$D$8*F801ENE!G7</f>
        <v>3.3849999999999998</v>
      </c>
      <c r="H21" s="156">
        <f>$E$8*F801D!O7+$D$8*F801ENE!H7</f>
        <v>3.3849999999999998</v>
      </c>
      <c r="I21" s="156">
        <f>$E$8*F801D!P7+$D$8*F801ENE!I7</f>
        <v>3.3849999999999998</v>
      </c>
      <c r="J21" s="156">
        <f>SUM(D21:I21)</f>
        <v>20.309999999999995</v>
      </c>
    </row>
    <row r="22" spans="2:10" s="37" customFormat="1" ht="13.5">
      <c r="B22" s="48"/>
      <c r="C22" s="157"/>
      <c r="D22" s="156"/>
      <c r="E22" s="156"/>
      <c r="F22" s="156"/>
      <c r="G22" s="156"/>
      <c r="H22" s="156"/>
      <c r="I22" s="156"/>
      <c r="J22" s="156"/>
    </row>
    <row r="23" spans="2:10" s="37" customFormat="1" ht="13.5">
      <c r="B23" s="48"/>
      <c r="C23" s="153" t="s">
        <v>630</v>
      </c>
      <c r="D23" s="154">
        <f>SUBTOTAL(9,D24:D31)</f>
        <v>259443.4825570781</v>
      </c>
      <c r="E23" s="154">
        <f t="shared" ref="E23:I23" si="1">SUBTOTAL(9,E24:E31)</f>
        <v>259551.75946000469</v>
      </c>
      <c r="F23" s="154">
        <f t="shared" si="1"/>
        <v>259357.26420421613</v>
      </c>
      <c r="G23" s="154">
        <f t="shared" si="1"/>
        <v>258662.05329431937</v>
      </c>
      <c r="H23" s="154">
        <f t="shared" si="1"/>
        <v>252029.0046947985</v>
      </c>
      <c r="I23" s="154">
        <f t="shared" si="1"/>
        <v>248613.824584396</v>
      </c>
      <c r="J23" s="154">
        <f t="shared" ref="J23:J31" si="2">SUM(D23:I23)</f>
        <v>1537657.3887948128</v>
      </c>
    </row>
    <row r="24" spans="2:10" s="37" customFormat="1" ht="13.5">
      <c r="B24" s="48" t="s">
        <v>277</v>
      </c>
      <c r="C24" s="155" t="s">
        <v>277</v>
      </c>
      <c r="D24" s="154">
        <f>SUBTOTAL(9,D25:D26)</f>
        <v>36269.783411030927</v>
      </c>
      <c r="E24" s="154">
        <f t="shared" ref="E24:I24" si="3">SUBTOTAL(9,E25:E26)</f>
        <v>36284.920348674743</v>
      </c>
      <c r="F24" s="154">
        <f t="shared" si="3"/>
        <v>36258.923033446888</v>
      </c>
      <c r="G24" s="154">
        <f t="shared" si="3"/>
        <v>36160.540851410777</v>
      </c>
      <c r="H24" s="154">
        <f t="shared" si="3"/>
        <v>35234.410385473093</v>
      </c>
      <c r="I24" s="154">
        <f t="shared" si="3"/>
        <v>34755.814568131551</v>
      </c>
      <c r="J24" s="154">
        <f t="shared" si="2"/>
        <v>214964.39259816796</v>
      </c>
    </row>
    <row r="25" spans="2:10" s="37" customFormat="1" ht="13.5">
      <c r="B25" s="48"/>
      <c r="C25" s="160" t="s">
        <v>304</v>
      </c>
      <c r="D25" s="156">
        <f>($E$9*F801D!K11+$D$9*F801ENE!D11)</f>
        <v>32216.115851794093</v>
      </c>
      <c r="E25" s="156">
        <f>($E$9*F801D!L11+$D$9*F801ENE!E11)</f>
        <v>32229.561019945453</v>
      </c>
      <c r="F25" s="156">
        <f>($E$9*F801D!M11+$D$9*F801ENE!F11)</f>
        <v>32215.095002288588</v>
      </c>
      <c r="G25" s="156">
        <f>($E$9*F801D!N11+$D$9*F801ENE!G11)</f>
        <v>32119.08271220278</v>
      </c>
      <c r="H25" s="156">
        <f>($E$9*F801D!O11+$D$9*F801ENE!H11)</f>
        <v>31304.842586488012</v>
      </c>
      <c r="I25" s="156">
        <f>($E$9*F801D!P11+$D$9*F801ENE!I11)</f>
        <v>30871.35470210333</v>
      </c>
      <c r="J25" s="156">
        <f t="shared" si="2"/>
        <v>190956.05187482227</v>
      </c>
    </row>
    <row r="26" spans="2:10" s="37" customFormat="1" ht="13.5">
      <c r="B26" s="48"/>
      <c r="C26" s="160" t="s">
        <v>305</v>
      </c>
      <c r="D26" s="156">
        <f>($E$9*F801D!K12+$D$9*F801ENE!D12)*0.95</f>
        <v>4053.667559236831</v>
      </c>
      <c r="E26" s="156">
        <f>($E$9*F801D!L12+$D$9*F801ENE!E12)*0.95</f>
        <v>4055.3593287292924</v>
      </c>
      <c r="F26" s="156">
        <f>($E$9*F801D!M12+$D$9*F801ENE!F12)*0.95</f>
        <v>4043.8280311583017</v>
      </c>
      <c r="G26" s="156">
        <f>($E$9*F801D!N12+$D$9*F801ENE!G12)*0.95</f>
        <v>4041.4581392079945</v>
      </c>
      <c r="H26" s="156">
        <f>($E$9*F801D!O12+$D$9*F801ENE!H12)*0.95</f>
        <v>3929.5677989850801</v>
      </c>
      <c r="I26" s="156">
        <f>($E$9*F801D!P12+$D$9*F801ENE!I12)*0.95</f>
        <v>3884.4598660282195</v>
      </c>
      <c r="J26" s="156">
        <f>SUM(D26:I26)</f>
        <v>24008.340723345722</v>
      </c>
    </row>
    <row r="27" spans="2:10" s="37" customFormat="1" ht="13.5">
      <c r="B27" s="48" t="s">
        <v>276</v>
      </c>
      <c r="C27" s="158" t="s">
        <v>276</v>
      </c>
      <c r="D27" s="154">
        <f>SUBTOTAL(9,D28:D31)</f>
        <v>223173.69914604718</v>
      </c>
      <c r="E27" s="154">
        <f t="shared" ref="E27:I27" si="4">SUBTOTAL(9,E28:E31)</f>
        <v>223266.83911132993</v>
      </c>
      <c r="F27" s="154">
        <f t="shared" si="4"/>
        <v>223098.34117076924</v>
      </c>
      <c r="G27" s="154">
        <f t="shared" si="4"/>
        <v>222501.5124429086</v>
      </c>
      <c r="H27" s="154">
        <f t="shared" si="4"/>
        <v>216794.59430932539</v>
      </c>
      <c r="I27" s="154">
        <f t="shared" si="4"/>
        <v>213858.01001626445</v>
      </c>
      <c r="J27" s="159">
        <f t="shared" si="2"/>
        <v>1322692.9961966448</v>
      </c>
    </row>
    <row r="28" spans="2:10" s="37" customFormat="1" ht="13.5">
      <c r="B28" s="48"/>
      <c r="C28" s="160" t="s">
        <v>304</v>
      </c>
      <c r="D28" s="156">
        <f>$E$10*F801D!K15+$D$10*F801ENE!D15</f>
        <v>221991.67630598746</v>
      </c>
      <c r="E28" s="156">
        <f>$E$10*F801D!L15+$D$10*F801ENE!E15</f>
        <v>222084.32296239596</v>
      </c>
      <c r="F28" s="156">
        <f>$E$10*F801D!M15+$D$10*F801ENE!F15</f>
        <v>221912.16948940136</v>
      </c>
      <c r="G28" s="156">
        <f>$E$10*F801D!N15+$D$10*F801ENE!G15</f>
        <v>221323.04978955071</v>
      </c>
      <c r="H28" s="156">
        <f>$E$10*F801D!O15+$D$10*F801ENE!H15</f>
        <v>215641.93845767778</v>
      </c>
      <c r="I28" s="156">
        <f>$E$10*F801D!P15+$D$10*F801ENE!I15</f>
        <v>212725.32702836668</v>
      </c>
      <c r="J28" s="156">
        <f t="shared" si="2"/>
        <v>1315678.4840333799</v>
      </c>
    </row>
    <row r="29" spans="2:10" s="37" customFormat="1" ht="13.5">
      <c r="B29" s="48"/>
      <c r="C29" s="161" t="s">
        <v>306</v>
      </c>
      <c r="D29" s="156">
        <f>($E$10*F801D!K16+$D$10*F801ENE!D16)*0.75</f>
        <v>0</v>
      </c>
      <c r="E29" s="156">
        <f>($E$10*F801D!L16+$D$10*F801ENE!E16)*0.75</f>
        <v>0</v>
      </c>
      <c r="F29" s="156">
        <f>($E$10*F801D!M16+$D$10*F801ENE!F16)*0.75</f>
        <v>0</v>
      </c>
      <c r="G29" s="156">
        <f>($E$10*F801D!N16+$D$10*F801ENE!G16)*0.75</f>
        <v>0</v>
      </c>
      <c r="H29" s="156">
        <f>($E$10*F801D!O16+$D$10*F801ENE!H16)*0.75</f>
        <v>0</v>
      </c>
      <c r="I29" s="156">
        <f>($E$10*F801D!P16+$D$10*F801ENE!I16)*0.75</f>
        <v>0</v>
      </c>
      <c r="J29" s="156">
        <f t="shared" si="2"/>
        <v>0</v>
      </c>
    </row>
    <row r="30" spans="2:10" s="37" customFormat="1" ht="13.5">
      <c r="B30" s="48"/>
      <c r="C30" s="160" t="s">
        <v>305</v>
      </c>
      <c r="D30" s="156">
        <f>($E$10*F801D!K17+$D$10*F801ENE!D17)*0.95</f>
        <v>1182.0228400597096</v>
      </c>
      <c r="E30" s="156">
        <f>($E$10*F801D!L17+$D$10*F801ENE!E17)*0.95</f>
        <v>1182.5161489339534</v>
      </c>
      <c r="F30" s="156">
        <f>($E$10*F801D!M17+$D$10*F801ENE!F17)*0.95</f>
        <v>1186.171681367892</v>
      </c>
      <c r="G30" s="156">
        <f>($E$10*F801D!N17+$D$10*F801ENE!G17)*0.95</f>
        <v>1178.4626533578964</v>
      </c>
      <c r="H30" s="156">
        <f>($E$10*F801D!O17+$D$10*F801ENE!H17)*0.95</f>
        <v>1152.6558516476118</v>
      </c>
      <c r="I30" s="156">
        <f>($E$10*F801D!P17+$D$10*F801ENE!I17)*0.95</f>
        <v>1132.6829878977703</v>
      </c>
      <c r="J30" s="156">
        <f>SUM(D30:I30)</f>
        <v>7014.5121632648343</v>
      </c>
    </row>
    <row r="31" spans="2:10" s="37" customFormat="1" ht="13.5">
      <c r="B31" s="48"/>
      <c r="C31" s="160" t="s">
        <v>307</v>
      </c>
      <c r="D31" s="156">
        <f>($E$10*F801D!K18+$D$10*F801ENE!D18)*0.5</f>
        <v>0</v>
      </c>
      <c r="E31" s="156">
        <f>($E$10*F801D!L18+$D$10*F801ENE!E18)*0.5</f>
        <v>0</v>
      </c>
      <c r="F31" s="156">
        <f>($E$10*F801D!M18+$D$10*F801ENE!F18)*0.5</f>
        <v>0</v>
      </c>
      <c r="G31" s="156">
        <f>($E$10*F801D!N18+$D$10*F801ENE!G18)*0.5</f>
        <v>0</v>
      </c>
      <c r="H31" s="156">
        <f>($E$10*F801D!O18+$D$10*F801ENE!H18)*0.5</f>
        <v>0</v>
      </c>
      <c r="I31" s="156">
        <f>($E$10*F801D!P18+$D$10*F801ENE!I18)*0.5</f>
        <v>0</v>
      </c>
      <c r="J31" s="156">
        <f t="shared" si="2"/>
        <v>0</v>
      </c>
    </row>
    <row r="32" spans="2:10" s="37" customFormat="1" ht="13.5">
      <c r="B32" s="48"/>
      <c r="C32" s="157"/>
      <c r="D32" s="156"/>
      <c r="E32" s="156"/>
      <c r="F32" s="156"/>
      <c r="G32" s="156"/>
      <c r="H32" s="156"/>
      <c r="I32" s="156"/>
      <c r="J32" s="156"/>
    </row>
    <row r="33" spans="2:10" s="37" customFormat="1" ht="13.5">
      <c r="B33" s="48"/>
      <c r="C33" s="153" t="s">
        <v>443</v>
      </c>
      <c r="D33" s="154">
        <f t="shared" ref="D33:I33" si="5">SUBTOTAL(9,D34:D108)</f>
        <v>1627904.2499389723</v>
      </c>
      <c r="E33" s="154">
        <f t="shared" si="5"/>
        <v>1628583.6443377614</v>
      </c>
      <c r="F33" s="154">
        <f t="shared" si="5"/>
        <v>1608639.6361776509</v>
      </c>
      <c r="G33" s="154">
        <f t="shared" si="5"/>
        <v>1623001.0928498951</v>
      </c>
      <c r="H33" s="154">
        <f t="shared" si="5"/>
        <v>1563186.7741071791</v>
      </c>
      <c r="I33" s="154">
        <f t="shared" si="5"/>
        <v>1559952.4636524238</v>
      </c>
      <c r="J33" s="154">
        <f>SUM(D33:I33)</f>
        <v>9611267.8610638827</v>
      </c>
    </row>
    <row r="34" spans="2:10" s="37" customFormat="1" ht="13.5">
      <c r="B34" s="48" t="s">
        <v>275</v>
      </c>
      <c r="C34" s="155" t="s">
        <v>275</v>
      </c>
      <c r="D34" s="154">
        <f>SUBTOTAL(9,D35:D37)</f>
        <v>19470.153618548582</v>
      </c>
      <c r="E34" s="154">
        <f t="shared" ref="E34:I34" si="6">SUBTOTAL(9,E35:E37)</f>
        <v>19478.279349488294</v>
      </c>
      <c r="F34" s="154">
        <f t="shared" si="6"/>
        <v>19561.147973160103</v>
      </c>
      <c r="G34" s="154">
        <f t="shared" si="6"/>
        <v>19411.510604517214</v>
      </c>
      <c r="H34" s="154">
        <f t="shared" si="6"/>
        <v>19008.438685879202</v>
      </c>
      <c r="I34" s="154">
        <f t="shared" si="6"/>
        <v>18657.432858380434</v>
      </c>
      <c r="J34" s="154">
        <f t="shared" ref="J34" si="7">SUM(D34:I34)</f>
        <v>115586.96308997383</v>
      </c>
    </row>
    <row r="35" spans="2:10" s="37" customFormat="1" ht="13.5">
      <c r="B35" s="48"/>
      <c r="C35" s="160" t="s">
        <v>304</v>
      </c>
      <c r="D35" s="156">
        <f>($E$11*F801D!K22+$D$11*F801ENE!D22)</f>
        <v>18943.699616275157</v>
      </c>
      <c r="E35" s="156">
        <f>($E$11*F801D!L22+$D$11*F801ENE!E22)</f>
        <v>18951.605635359563</v>
      </c>
      <c r="F35" s="156">
        <f>($E$11*F801D!M22+$D$11*F801ENE!F22)</f>
        <v>19028.760134395197</v>
      </c>
      <c r="G35" s="156">
        <f>($E$11*F801D!N22+$D$11*F801ENE!G22)</f>
        <v>18886.642252262121</v>
      </c>
      <c r="H35" s="156">
        <f>($E$11*F801D!O22+$D$11*F801ENE!H22)</f>
        <v>18491.093711844143</v>
      </c>
      <c r="I35" s="156">
        <f>($E$11*F801D!P22+$D$11*F801ENE!I22)</f>
        <v>18152.95403438776</v>
      </c>
      <c r="J35" s="156">
        <f t="shared" ref="J35" si="8">SUM(D35:I35)</f>
        <v>112454.75538452396</v>
      </c>
    </row>
    <row r="36" spans="2:10" s="37" customFormat="1" ht="13.5">
      <c r="B36" s="48"/>
      <c r="C36" s="161" t="s">
        <v>306</v>
      </c>
      <c r="D36" s="156">
        <f>($E$11*F801D!K23+$D$11*F801ENE!D23)</f>
        <v>410.94405636984396</v>
      </c>
      <c r="E36" s="156">
        <f>($E$11*F801D!L23+$D$11*F801ENE!E23)</f>
        <v>411.1155609659944</v>
      </c>
      <c r="F36" s="156">
        <f>($E$11*F801D!M23+$D$11*F801ENE!F23)</f>
        <v>415.8094216766761</v>
      </c>
      <c r="G36" s="156">
        <f>($E$11*F801D!N23+$D$11*F801ENE!G23)</f>
        <v>409.70631584986967</v>
      </c>
      <c r="H36" s="156">
        <f>($E$11*F801D!O23+$D$11*F801ENE!H23)</f>
        <v>404.06053406461274</v>
      </c>
      <c r="I36" s="156">
        <f>($E$11*F801D!P23+$D$11*F801ENE!I23)</f>
        <v>393.79048005900756</v>
      </c>
      <c r="J36" s="156">
        <f>SUM(D36:I36)</f>
        <v>2445.4263689860045</v>
      </c>
    </row>
    <row r="37" spans="2:10" s="37" customFormat="1" ht="13.5">
      <c r="B37" s="48"/>
      <c r="C37" s="160" t="s">
        <v>305</v>
      </c>
      <c r="D37" s="156">
        <f>($E$11*F801D!K24+$D$11*F801ENE!D24)*95%</f>
        <v>115.50994590358039</v>
      </c>
      <c r="E37" s="156">
        <f>($E$11*F801D!L24+$D$11*F801ENE!E24)*95%</f>
        <v>115.55815316273519</v>
      </c>
      <c r="F37" s="156">
        <f>($E$11*F801D!M24+$D$11*F801ENE!F24)*95%</f>
        <v>116.57841708822836</v>
      </c>
      <c r="G37" s="156">
        <f>($E$11*F801D!N24+$D$11*F801ENE!G24)*95%</f>
        <v>115.16203640522221</v>
      </c>
      <c r="H37" s="156">
        <f>($E$11*F801D!O24+$D$11*F801ENE!H24)*95%</f>
        <v>113.28443997044468</v>
      </c>
      <c r="I37" s="156">
        <f>($E$11*F801D!P24+$D$11*F801ENE!I24)*95%</f>
        <v>110.68834393366551</v>
      </c>
      <c r="J37" s="156">
        <f>SUM(D37:I37)</f>
        <v>686.78133646387641</v>
      </c>
    </row>
    <row r="38" spans="2:10" s="37" customFormat="1" ht="13.5">
      <c r="B38" s="48" t="s">
        <v>274</v>
      </c>
      <c r="C38" s="158" t="s">
        <v>627</v>
      </c>
      <c r="D38" s="154">
        <f t="shared" ref="D38:I38" si="9">SUBTOTAL(9,D39:D44)</f>
        <v>299842.61259860941</v>
      </c>
      <c r="E38" s="154">
        <f t="shared" si="9"/>
        <v>299967.74979279755</v>
      </c>
      <c r="F38" s="154">
        <f t="shared" si="9"/>
        <v>298659.07890656911</v>
      </c>
      <c r="G38" s="154">
        <f t="shared" si="9"/>
        <v>298939.50341507059</v>
      </c>
      <c r="H38" s="154">
        <f t="shared" si="9"/>
        <v>290220.32843707135</v>
      </c>
      <c r="I38" s="154">
        <f t="shared" si="9"/>
        <v>287326.61910332483</v>
      </c>
      <c r="J38" s="159">
        <f t="shared" ref="J38:J87" si="10">SUM(D38:I38)</f>
        <v>1774955.8922534429</v>
      </c>
    </row>
    <row r="39" spans="2:10" s="37" customFormat="1" ht="13.5">
      <c r="B39" s="48"/>
      <c r="C39" s="160" t="s">
        <v>304</v>
      </c>
      <c r="D39" s="156">
        <f>($E$12*F801D!K28+$D$12*F801ENE!D28)*1</f>
        <v>299269.02035306097</v>
      </c>
      <c r="E39" s="156">
        <f>($E$12*F801D!L28+$D$12*F801ENE!E28)*1</f>
        <v>299393.91816258128</v>
      </c>
      <c r="F39" s="156">
        <f>($E$12*F801D!M28+$D$12*F801ENE!F28)*1</f>
        <v>298087.12970254698</v>
      </c>
      <c r="G39" s="156">
        <f>($E$12*F801D!N28+$D$12*F801ENE!G28)*1</f>
        <v>298367.63879729353</v>
      </c>
      <c r="H39" s="156">
        <f>($E$12*F801D!O28+$D$12*F801ENE!H28)*1</f>
        <v>289664.53992246022</v>
      </c>
      <c r="I39" s="156">
        <f>($E$12*F801D!P28+$D$12*F801ENE!I28)*1</f>
        <v>286776.96967481636</v>
      </c>
      <c r="J39" s="156">
        <f t="shared" si="10"/>
        <v>1771559.2166127593</v>
      </c>
    </row>
    <row r="40" spans="2:10" s="37" customFormat="1" ht="13.5">
      <c r="B40" s="48"/>
      <c r="C40" s="161" t="s">
        <v>628</v>
      </c>
      <c r="D40" s="156">
        <f>($E$12*F801D!K29+$D$12*F801ENE!D29)*0.75</f>
        <v>14.39654397406985</v>
      </c>
      <c r="E40" s="156">
        <f>($E$12*F801D!L29+$D$12*F801ENE!E29)*0.75</f>
        <v>14.402552269899811</v>
      </c>
      <c r="F40" s="156">
        <f>($E$12*F801D!M29+$D$12*F801ENE!F29)*0.75</f>
        <v>14.130526869126349</v>
      </c>
      <c r="G40" s="156">
        <f>($E$12*F801D!N29+$D$12*F801ENE!G29)*0.75</f>
        <v>14.353182388598318</v>
      </c>
      <c r="H40" s="156">
        <f>($E$12*F801D!O29+$D$12*F801ENE!H29)*0.75</f>
        <v>13.731262293987168</v>
      </c>
      <c r="I40" s="156">
        <f>($E$12*F801D!P29+$D$12*F801ENE!I29)*0.75</f>
        <v>13.795605204318512</v>
      </c>
      <c r="J40" s="156">
        <f>SUM(D40:I40)</f>
        <v>84.809673000000004</v>
      </c>
    </row>
    <row r="41" spans="2:10" s="37" customFormat="1" ht="13.5">
      <c r="B41" s="48"/>
      <c r="C41" s="161" t="s">
        <v>629</v>
      </c>
      <c r="D41" s="156">
        <f>($E$12*F801D!K30+$D$12*F801ENE!D30)*1</f>
        <v>227.73543809728349</v>
      </c>
      <c r="E41" s="156">
        <f>($E$12*F801D!L30+$D$12*F801ENE!E30)*1</f>
        <v>227.83048187206151</v>
      </c>
      <c r="F41" s="156">
        <f>($E$12*F801D!M30+$D$12*F801ENE!F30)*1</f>
        <v>228.47585885465242</v>
      </c>
      <c r="G41" s="156">
        <f>($E$12*F801D!N30+$D$12*F801ENE!G30)*1</f>
        <v>227.049511691492</v>
      </c>
      <c r="H41" s="156">
        <f>($E$12*F801D!O30+$D$12*F801ENE!H30)*1</f>
        <v>222.02016774277513</v>
      </c>
      <c r="I41" s="156">
        <f>($E$12*F801D!P30+$D$12*F801ENE!I30)*1</f>
        <v>218.22933342067091</v>
      </c>
      <c r="J41" s="156">
        <f>SUM(D41:I41)</f>
        <v>1351.3407916789354</v>
      </c>
    </row>
    <row r="42" spans="2:10" s="37" customFormat="1" ht="13.5">
      <c r="B42" s="48"/>
      <c r="C42" s="160" t="s">
        <v>305</v>
      </c>
      <c r="D42" s="156">
        <f>($E$12*F801D!K31+$D$12*F801ENE!D31)*0.95</f>
        <v>313.97112857524996</v>
      </c>
      <c r="E42" s="156">
        <f>($E$12*F801D!L31+$D$12*F801ENE!E31)*0.95</f>
        <v>314.10216220567838</v>
      </c>
      <c r="F42" s="156">
        <f>($E$12*F801D!M31+$D$12*F801ENE!F31)*0.95</f>
        <v>312.17684491652579</v>
      </c>
      <c r="G42" s="156">
        <f>($E$12*F801D!N31+$D$12*F801ENE!G31)*0.95</f>
        <v>313.02546509158122</v>
      </c>
      <c r="H42" s="156">
        <f>($E$12*F801D!O31+$D$12*F801ENE!H31)*0.95</f>
        <v>303.35614371350027</v>
      </c>
      <c r="I42" s="156">
        <f>($E$12*F801D!P31+$D$12*F801ENE!I31)*0.95</f>
        <v>300.86538430195179</v>
      </c>
      <c r="J42" s="156">
        <f t="shared" si="10"/>
        <v>1857.4971288044874</v>
      </c>
    </row>
    <row r="43" spans="2:10" s="37" customFormat="1" ht="13.5">
      <c r="B43" s="48"/>
      <c r="C43" s="160" t="s">
        <v>307</v>
      </c>
      <c r="D43" s="156">
        <f>($E$12*F801D!K32+$D$12*F801ENE!D32)*0.5</f>
        <v>17.489134901833001</v>
      </c>
      <c r="E43" s="156">
        <f>($E$12*F801D!L32+$D$12*F801ENE!E32)*0.5</f>
        <v>17.496433868619025</v>
      </c>
      <c r="F43" s="156">
        <f>($E$12*F801D!M32+$D$12*F801ENE!F32)*0.5</f>
        <v>17.165973381753489</v>
      </c>
      <c r="G43" s="156">
        <f>($E$12*F801D!N32+$D$12*F801ENE!G32)*0.5</f>
        <v>17.436458605408326</v>
      </c>
      <c r="H43" s="156">
        <f>($E$12*F801D!O32+$D$12*F801ENE!H32)*0.5</f>
        <v>16.68094086084367</v>
      </c>
      <c r="I43" s="156">
        <f>($E$12*F801D!P32+$D$12*F801ENE!I32)*0.5</f>
        <v>16.759105581542485</v>
      </c>
      <c r="J43" s="156">
        <f t="shared" si="10"/>
        <v>103.0280472</v>
      </c>
    </row>
    <row r="44" spans="2:10" s="37" customFormat="1" ht="13.5">
      <c r="B44" s="48"/>
      <c r="C44" s="160" t="s">
        <v>624</v>
      </c>
      <c r="D44" s="156">
        <f>($E$12*F801D!K33+$D$12*F801ENE!D33)*0</f>
        <v>0</v>
      </c>
      <c r="E44" s="156">
        <f>($E$12*F801D!L33+$D$12*F801ENE!E33)*0</f>
        <v>0</v>
      </c>
      <c r="F44" s="156">
        <f>($E$12*F801D!M33+$D$12*F801ENE!F33)*0</f>
        <v>0</v>
      </c>
      <c r="G44" s="156">
        <f>($E$12*F801D!N33+$D$12*F801ENE!G33)*0</f>
        <v>0</v>
      </c>
      <c r="H44" s="156">
        <f>($E$12*F801D!O33+$D$12*F801ENE!H33)*0</f>
        <v>0</v>
      </c>
      <c r="I44" s="156">
        <f>($E$12*F801D!P33+$D$12*F801ENE!I33)*0</f>
        <v>0</v>
      </c>
      <c r="J44" s="156">
        <f t="shared" si="10"/>
        <v>0</v>
      </c>
    </row>
    <row r="45" spans="2:10" s="37" customFormat="1" ht="13.5">
      <c r="B45" s="48" t="s">
        <v>274</v>
      </c>
      <c r="C45" s="158" t="s">
        <v>631</v>
      </c>
      <c r="D45" s="154">
        <f t="shared" ref="D45:I45" si="11">SUBTOTAL(9,D46:D49)</f>
        <v>180831.02467844309</v>
      </c>
      <c r="E45" s="154">
        <f t="shared" si="11"/>
        <v>180906.49322794075</v>
      </c>
      <c r="F45" s="154">
        <f t="shared" si="11"/>
        <v>180916.66487292328</v>
      </c>
      <c r="G45" s="154">
        <f t="shared" si="11"/>
        <v>180286.37174322316</v>
      </c>
      <c r="H45" s="154">
        <f t="shared" si="11"/>
        <v>175804.78079350456</v>
      </c>
      <c r="I45" s="154">
        <f t="shared" si="11"/>
        <v>173282.79826390464</v>
      </c>
      <c r="J45" s="159">
        <f t="shared" si="10"/>
        <v>1072028.1335799396</v>
      </c>
    </row>
    <row r="46" spans="2:10" s="37" customFormat="1" ht="13.5">
      <c r="B46" s="48"/>
      <c r="C46" s="160" t="s">
        <v>304</v>
      </c>
      <c r="D46" s="156">
        <f>($E$12*F801D!K35+$D$12*F801ENE!D35)*1</f>
        <v>180616.53514115364</v>
      </c>
      <c r="E46" s="156">
        <f>($E$12*F801D!L35+$D$12*F801ENE!E35)*1</f>
        <v>180691.91417495959</v>
      </c>
      <c r="F46" s="156">
        <f>($E$12*F801D!M35+$D$12*F801ENE!F35)*1</f>
        <v>180700.87119083444</v>
      </c>
      <c r="G46" s="156">
        <f>($E$12*F801D!N35+$D$12*F801ENE!G35)*1</f>
        <v>180072.52823642694</v>
      </c>
      <c r="H46" s="156">
        <f>($E$12*F801D!O35+$D$12*F801ENE!H35)*1</f>
        <v>175595.0844617548</v>
      </c>
      <c r="I46" s="156">
        <f>($E$12*F801D!P35+$D$12*F801ENE!I35)*1</f>
        <v>173077.26192252774</v>
      </c>
      <c r="J46" s="156">
        <f t="shared" si="10"/>
        <v>1070754.1951276571</v>
      </c>
    </row>
    <row r="47" spans="2:10" s="37" customFormat="1" ht="13.5">
      <c r="B47" s="48"/>
      <c r="C47" s="161" t="s">
        <v>306</v>
      </c>
      <c r="D47" s="156">
        <f>($E$12*F801D!K36+$D$12*F801ENE!D36)*1</f>
        <v>0</v>
      </c>
      <c r="E47" s="156">
        <f>($E$12*F801D!L36+$D$12*F801ENE!E36)*1</f>
        <v>0</v>
      </c>
      <c r="F47" s="156">
        <f>($E$12*F801D!M36+$D$12*F801ENE!F36)*1</f>
        <v>0</v>
      </c>
      <c r="G47" s="156">
        <f>($E$12*F801D!N36+$D$12*F801ENE!G36)*1</f>
        <v>0</v>
      </c>
      <c r="H47" s="156">
        <f>($E$12*F801D!O36+$D$12*F801ENE!H36)*1</f>
        <v>0</v>
      </c>
      <c r="I47" s="156">
        <f>($E$12*F801D!P36+$D$12*F801ENE!I36)*1</f>
        <v>0</v>
      </c>
      <c r="J47" s="156">
        <f>SUM(D47:I47)</f>
        <v>0</v>
      </c>
    </row>
    <row r="48" spans="2:10" s="37" customFormat="1" ht="13.5">
      <c r="B48" s="48"/>
      <c r="C48" s="160" t="s">
        <v>305</v>
      </c>
      <c r="D48" s="156">
        <f>($E$12*F801D!K37+$D$12*F801ENE!D37)*0.95</f>
        <v>214.48953728943977</v>
      </c>
      <c r="E48" s="156">
        <f>($E$12*F801D!L37+$D$12*F801ENE!E37)*0.95</f>
        <v>214.57905298117711</v>
      </c>
      <c r="F48" s="156">
        <f>($E$12*F801D!M37+$D$12*F801ENE!F37)*0.95</f>
        <v>215.79368208882855</v>
      </c>
      <c r="G48" s="156">
        <f>($E$12*F801D!N37+$D$12*F801ENE!G37)*0.95</f>
        <v>213.84350679624103</v>
      </c>
      <c r="H48" s="156">
        <f>($E$12*F801D!O37+$D$12*F801ENE!H37)*0.95</f>
        <v>209.69633174974365</v>
      </c>
      <c r="I48" s="156">
        <f>($E$12*F801D!P37+$D$12*F801ENE!I37)*0.95</f>
        <v>205.53634137690631</v>
      </c>
      <c r="J48" s="156">
        <f t="shared" si="10"/>
        <v>1273.9384522823366</v>
      </c>
    </row>
    <row r="49" spans="2:10" s="37" customFormat="1" ht="13.5">
      <c r="B49" s="48"/>
      <c r="C49" s="160" t="s">
        <v>307</v>
      </c>
      <c r="D49" s="156">
        <f>($E$12*F801D!K38+$D$12*F801ENE!D38)*0.5</f>
        <v>0</v>
      </c>
      <c r="E49" s="156">
        <f>($E$12*F801D!L38+$D$12*F801ENE!E38)*0.5</f>
        <v>0</v>
      </c>
      <c r="F49" s="156">
        <f>($E$12*F801D!M38+$D$12*F801ENE!F38)*0.5</f>
        <v>0</v>
      </c>
      <c r="G49" s="156">
        <f>($E$12*F801D!N38+$D$12*F801ENE!G38)*0.5</f>
        <v>0</v>
      </c>
      <c r="H49" s="156">
        <f>($E$12*F801D!O38+$D$12*F801ENE!H38)*0.5</f>
        <v>0</v>
      </c>
      <c r="I49" s="156">
        <f>($E$12*F801D!P38+$D$12*F801ENE!I38)*0.5</f>
        <v>0</v>
      </c>
      <c r="J49" s="156">
        <f t="shared" si="10"/>
        <v>0</v>
      </c>
    </row>
    <row r="50" spans="2:10" s="37" customFormat="1" ht="13.5">
      <c r="B50" s="48" t="s">
        <v>274</v>
      </c>
      <c r="C50" s="158" t="s">
        <v>632</v>
      </c>
      <c r="D50" s="154">
        <f t="shared" ref="D50:I50" si="12">SUBTOTAL(9,D51:D54)</f>
        <v>59515.145159096151</v>
      </c>
      <c r="E50" s="154">
        <f t="shared" si="12"/>
        <v>59539.983384098145</v>
      </c>
      <c r="F50" s="154">
        <f t="shared" si="12"/>
        <v>59662.271854056744</v>
      </c>
      <c r="G50" s="154">
        <f t="shared" si="12"/>
        <v>59335.888869648144</v>
      </c>
      <c r="H50" s="154">
        <f t="shared" si="12"/>
        <v>57976.486756001083</v>
      </c>
      <c r="I50" s="154">
        <f t="shared" si="12"/>
        <v>57030.871282122811</v>
      </c>
      <c r="J50" s="159">
        <f t="shared" si="10"/>
        <v>353060.64730502304</v>
      </c>
    </row>
    <row r="51" spans="2:10" s="37" customFormat="1" ht="13.5">
      <c r="B51" s="48"/>
      <c r="C51" s="160" t="s">
        <v>304</v>
      </c>
      <c r="D51" s="156">
        <f>($E$12*F801D!K40+$D$12*F801ENE!D40)*1</f>
        <v>59515.145159096151</v>
      </c>
      <c r="E51" s="156">
        <f>($E$12*F801D!L40+$D$12*F801ENE!E40)*1</f>
        <v>59539.983384098145</v>
      </c>
      <c r="F51" s="156">
        <f>($E$12*F801D!M40+$D$12*F801ENE!F40)*1</f>
        <v>59662.271854056744</v>
      </c>
      <c r="G51" s="156">
        <f>($E$12*F801D!N40+$D$12*F801ENE!G40)*1</f>
        <v>59335.888869648144</v>
      </c>
      <c r="H51" s="156">
        <f>($E$12*F801D!O40+$D$12*F801ENE!H40)*1</f>
        <v>57976.486756001083</v>
      </c>
      <c r="I51" s="156">
        <f>($E$12*F801D!P40+$D$12*F801ENE!I40)*1</f>
        <v>57030.871282122811</v>
      </c>
      <c r="J51" s="156">
        <f t="shared" si="10"/>
        <v>353060.64730502304</v>
      </c>
    </row>
    <row r="52" spans="2:10" s="37" customFormat="1" ht="13.5">
      <c r="B52" s="48"/>
      <c r="C52" s="161" t="s">
        <v>306</v>
      </c>
      <c r="D52" s="156">
        <f>($E$12*F801D!K41+$D$12*F801ENE!D41)*1</f>
        <v>0</v>
      </c>
      <c r="E52" s="156">
        <f>($E$12*F801D!L41+$D$12*F801ENE!E41)*1</f>
        <v>0</v>
      </c>
      <c r="F52" s="156">
        <f>($E$12*F801D!M41+$D$12*F801ENE!F41)*1</f>
        <v>0</v>
      </c>
      <c r="G52" s="156">
        <f>($E$12*F801D!N41+$D$12*F801ENE!G41)*1</f>
        <v>0</v>
      </c>
      <c r="H52" s="156">
        <f>($E$12*F801D!O41+$D$12*F801ENE!H41)*1</f>
        <v>0</v>
      </c>
      <c r="I52" s="156">
        <f>($E$12*F801D!P41+$D$12*F801ENE!I41)*1</f>
        <v>0</v>
      </c>
      <c r="J52" s="156">
        <f>SUM(D52:I52)</f>
        <v>0</v>
      </c>
    </row>
    <row r="53" spans="2:10" s="37" customFormat="1" ht="13.5">
      <c r="B53" s="48"/>
      <c r="C53" s="160" t="s">
        <v>305</v>
      </c>
      <c r="D53" s="156">
        <f>($E$12*F801D!K42+$D$12*F801ENE!D42)*0.95</f>
        <v>0</v>
      </c>
      <c r="E53" s="156">
        <f>($E$12*F801D!L42+$D$12*F801ENE!E42)*0.95</f>
        <v>0</v>
      </c>
      <c r="F53" s="156">
        <f>($E$12*F801D!M42+$D$12*F801ENE!F42)*0.95</f>
        <v>0</v>
      </c>
      <c r="G53" s="156">
        <f>($E$12*F801D!N42+$D$12*F801ENE!G42)*0.95</f>
        <v>0</v>
      </c>
      <c r="H53" s="156">
        <f>($E$12*F801D!O42+$D$12*F801ENE!H42)*0.95</f>
        <v>0</v>
      </c>
      <c r="I53" s="156">
        <f>($E$12*F801D!P42+$D$12*F801ENE!I42)*0.95</f>
        <v>0</v>
      </c>
      <c r="J53" s="156">
        <f t="shared" si="10"/>
        <v>0</v>
      </c>
    </row>
    <row r="54" spans="2:10" s="37" customFormat="1" ht="13.5">
      <c r="B54" s="48"/>
      <c r="C54" s="160" t="s">
        <v>307</v>
      </c>
      <c r="D54" s="156">
        <f>($E$12*F801D!K43+$D$12*F801ENE!D43)*0.5</f>
        <v>0</v>
      </c>
      <c r="E54" s="156">
        <f>($E$12*F801D!L43+$D$12*F801ENE!E43)*0.5</f>
        <v>0</v>
      </c>
      <c r="F54" s="156">
        <f>($E$12*F801D!M43+$D$12*F801ENE!F43)*0.5</f>
        <v>0</v>
      </c>
      <c r="G54" s="156">
        <f>($E$12*F801D!N43+$D$12*F801ENE!G43)*0.5</f>
        <v>0</v>
      </c>
      <c r="H54" s="156">
        <f>($E$12*F801D!O43+$D$12*F801ENE!H43)*0.5</f>
        <v>0</v>
      </c>
      <c r="I54" s="156">
        <f>($E$12*F801D!P43+$D$12*F801ENE!I43)*0.5</f>
        <v>0</v>
      </c>
      <c r="J54" s="156">
        <f t="shared" si="10"/>
        <v>0</v>
      </c>
    </row>
    <row r="55" spans="2:10" s="37" customFormat="1" ht="13.5">
      <c r="B55" s="48" t="s">
        <v>274</v>
      </c>
      <c r="C55" s="158" t="s">
        <v>633</v>
      </c>
      <c r="D55" s="154">
        <f t="shared" ref="D55:I55" si="13">SUBTOTAL(9,D56:D59)</f>
        <v>62409.388839042622</v>
      </c>
      <c r="E55" s="154">
        <f t="shared" si="13"/>
        <v>62435.434956179291</v>
      </c>
      <c r="F55" s="154">
        <f t="shared" si="13"/>
        <v>62590.230765626577</v>
      </c>
      <c r="G55" s="154">
        <f t="shared" si="13"/>
        <v>62221.415249461366</v>
      </c>
      <c r="H55" s="154">
        <f t="shared" si="13"/>
        <v>60821.714833704609</v>
      </c>
      <c r="I55" s="154">
        <f t="shared" si="13"/>
        <v>59804.303797978762</v>
      </c>
      <c r="J55" s="159">
        <f t="shared" si="10"/>
        <v>370282.48844199325</v>
      </c>
    </row>
    <row r="56" spans="2:10" s="37" customFormat="1" ht="13.5">
      <c r="B56" s="48"/>
      <c r="C56" s="160" t="s">
        <v>304</v>
      </c>
      <c r="D56" s="156">
        <f>($E$12*F801D!K45+$D$12*F801ENE!D45)*1</f>
        <v>62409.388839042622</v>
      </c>
      <c r="E56" s="156">
        <f>($E$12*F801D!L45+$D$12*F801ENE!E45)*1</f>
        <v>62435.434956179291</v>
      </c>
      <c r="F56" s="156">
        <f>($E$12*F801D!M45+$D$12*F801ENE!F45)*1</f>
        <v>62590.230765626577</v>
      </c>
      <c r="G56" s="156">
        <f>($E$12*F801D!N45+$D$12*F801ENE!G45)*1</f>
        <v>62221.415249461366</v>
      </c>
      <c r="H56" s="156">
        <f>($E$12*F801D!O45+$D$12*F801ENE!H45)*1</f>
        <v>60821.714833704609</v>
      </c>
      <c r="I56" s="156">
        <f>($E$12*F801D!P45+$D$12*F801ENE!I45)*1</f>
        <v>59804.303797978762</v>
      </c>
      <c r="J56" s="156">
        <f t="shared" si="10"/>
        <v>370282.48844199325</v>
      </c>
    </row>
    <row r="57" spans="2:10" s="37" customFormat="1" ht="13.5">
      <c r="B57" s="48"/>
      <c r="C57" s="161" t="s">
        <v>306</v>
      </c>
      <c r="D57" s="156">
        <f>($E$12*F801D!K46+$D$12*F801ENE!D46)*1</f>
        <v>0</v>
      </c>
      <c r="E57" s="156">
        <f>($E$12*F801D!L46+$D$12*F801ENE!E46)*1</f>
        <v>0</v>
      </c>
      <c r="F57" s="156">
        <f>($E$12*F801D!M46+$D$12*F801ENE!F46)*1</f>
        <v>0</v>
      </c>
      <c r="G57" s="156">
        <f>($E$12*F801D!N46+$D$12*F801ENE!G46)*1</f>
        <v>0</v>
      </c>
      <c r="H57" s="156">
        <f>($E$12*F801D!O46+$D$12*F801ENE!H46)*1</f>
        <v>0</v>
      </c>
      <c r="I57" s="156">
        <f>($E$12*F801D!P46+$D$12*F801ENE!I46)*1</f>
        <v>0</v>
      </c>
      <c r="J57" s="156">
        <f>SUM(D57:I57)</f>
        <v>0</v>
      </c>
    </row>
    <row r="58" spans="2:10" s="37" customFormat="1" ht="13.5">
      <c r="B58" s="48"/>
      <c r="C58" s="160" t="s">
        <v>305</v>
      </c>
      <c r="D58" s="156">
        <f>($E$12*F801D!K47+$D$12*F801ENE!D47)*0.95</f>
        <v>0</v>
      </c>
      <c r="E58" s="156">
        <f>($E$12*F801D!L47+$D$12*F801ENE!E47)*0.95</f>
        <v>0</v>
      </c>
      <c r="F58" s="156">
        <f>($E$12*F801D!M47+$D$12*F801ENE!F47)*0.95</f>
        <v>0</v>
      </c>
      <c r="G58" s="156">
        <f>($E$12*F801D!N47+$D$12*F801ENE!G47)*0.95</f>
        <v>0</v>
      </c>
      <c r="H58" s="156">
        <f>($E$12*F801D!O47+$D$12*F801ENE!H47)*0.95</f>
        <v>0</v>
      </c>
      <c r="I58" s="156">
        <f>($E$12*F801D!P47+$D$12*F801ENE!I47)*0.95</f>
        <v>0</v>
      </c>
      <c r="J58" s="156">
        <f t="shared" si="10"/>
        <v>0</v>
      </c>
    </row>
    <row r="59" spans="2:10" s="37" customFormat="1" ht="13.5">
      <c r="B59" s="48"/>
      <c r="C59" s="160" t="s">
        <v>307</v>
      </c>
      <c r="D59" s="156">
        <f>($E$12*F801D!K48+$D$12*F801ENE!D48)*0.5</f>
        <v>0</v>
      </c>
      <c r="E59" s="156">
        <f>($E$12*F801D!L48+$D$12*F801ENE!E48)*0.5</f>
        <v>0</v>
      </c>
      <c r="F59" s="156">
        <f>($E$12*F801D!M48+$D$12*F801ENE!F48)*0.5</f>
        <v>0</v>
      </c>
      <c r="G59" s="156">
        <f>($E$12*F801D!N48+$D$12*F801ENE!G48)*0.5</f>
        <v>0</v>
      </c>
      <c r="H59" s="156">
        <f>($E$12*F801D!O48+$D$12*F801ENE!H48)*0.5</f>
        <v>0</v>
      </c>
      <c r="I59" s="156">
        <f>($E$12*F801D!P48+$D$12*F801ENE!I48)*0.5</f>
        <v>0</v>
      </c>
      <c r="J59" s="156">
        <f t="shared" si="10"/>
        <v>0</v>
      </c>
    </row>
    <row r="60" spans="2:10" s="37" customFormat="1" ht="13.5">
      <c r="B60" s="48"/>
      <c r="C60" s="157"/>
      <c r="D60" s="156"/>
      <c r="E60" s="156"/>
      <c r="F60" s="156"/>
      <c r="G60" s="156"/>
      <c r="H60" s="156"/>
      <c r="I60" s="156"/>
      <c r="J60" s="156"/>
    </row>
    <row r="61" spans="2:10" s="37" customFormat="1" ht="13.5">
      <c r="B61" s="48" t="s">
        <v>1176</v>
      </c>
      <c r="C61" s="158" t="s">
        <v>1176</v>
      </c>
      <c r="D61" s="154">
        <f t="shared" ref="D61:I61" si="14">SUBTOTAL(9,D62:D67)</f>
        <v>6.33</v>
      </c>
      <c r="E61" s="154">
        <f t="shared" si="14"/>
        <v>6.33</v>
      </c>
      <c r="F61" s="154">
        <f t="shared" si="14"/>
        <v>6.33</v>
      </c>
      <c r="G61" s="154">
        <f t="shared" si="14"/>
        <v>6.33</v>
      </c>
      <c r="H61" s="154">
        <f t="shared" si="14"/>
        <v>6.33</v>
      </c>
      <c r="I61" s="154">
        <f t="shared" si="14"/>
        <v>6.33</v>
      </c>
      <c r="J61" s="159">
        <f>SUM(D61:I61)</f>
        <v>37.979999999999997</v>
      </c>
    </row>
    <row r="62" spans="2:10" s="37" customFormat="1" ht="13.5">
      <c r="B62" s="48"/>
      <c r="C62" s="160" t="s">
        <v>304</v>
      </c>
      <c r="D62" s="156">
        <f>($D$15*(F801ENE!D51))*1</f>
        <v>6.33</v>
      </c>
      <c r="E62" s="156">
        <f>($D$15*(F801ENE!E51))*1</f>
        <v>6.33</v>
      </c>
      <c r="F62" s="156">
        <f>($D$15*(F801ENE!F51))*1</f>
        <v>6.33</v>
      </c>
      <c r="G62" s="156">
        <f>($D$15*(F801ENE!G51))*1</f>
        <v>6.33</v>
      </c>
      <c r="H62" s="156">
        <f>($D$15*(F801ENE!H51))*1</f>
        <v>6.33</v>
      </c>
      <c r="I62" s="156">
        <f>($D$15*(F801ENE!I51))*1</f>
        <v>6.33</v>
      </c>
      <c r="J62" s="156">
        <f t="shared" si="10"/>
        <v>37.979999999999997</v>
      </c>
    </row>
    <row r="63" spans="2:10" s="37" customFormat="1" ht="13.5">
      <c r="B63" s="48"/>
      <c r="C63" s="162" t="s">
        <v>642</v>
      </c>
      <c r="D63" s="156">
        <f>($D$15*(F801ENE!D52))*0.75</f>
        <v>0</v>
      </c>
      <c r="E63" s="156">
        <f>($D$15*(F801ENE!E52))*0.75</f>
        <v>0</v>
      </c>
      <c r="F63" s="156">
        <f>($D$15*(F801ENE!F52))*0.75</f>
        <v>0</v>
      </c>
      <c r="G63" s="156">
        <f>($D$15*(F801ENE!G52))*0.75</f>
        <v>0</v>
      </c>
      <c r="H63" s="156">
        <f>($D$15*(F801ENE!H52))*0.75</f>
        <v>0</v>
      </c>
      <c r="I63" s="156">
        <f>($D$15*(F801ENE!I52))*0.75</f>
        <v>0</v>
      </c>
      <c r="J63" s="156">
        <f t="shared" si="10"/>
        <v>0</v>
      </c>
    </row>
    <row r="64" spans="2:10" s="37" customFormat="1" ht="13.5">
      <c r="B64" s="48"/>
      <c r="C64" s="162" t="s">
        <v>1177</v>
      </c>
      <c r="D64" s="156">
        <f>($D$15*(F801ENE!D53))*1</f>
        <v>0</v>
      </c>
      <c r="E64" s="156">
        <f>($D$15*(F801ENE!E53))*1</f>
        <v>0</v>
      </c>
      <c r="F64" s="156">
        <f>($D$15*(F801ENE!F53))*1</f>
        <v>0</v>
      </c>
      <c r="G64" s="156">
        <f>($D$15*(F801ENE!G53))*1</f>
        <v>0</v>
      </c>
      <c r="H64" s="156">
        <f>($D$15*(F801ENE!H53))*1</f>
        <v>0</v>
      </c>
      <c r="I64" s="156">
        <f>($D$15*(F801ENE!I53))*1</f>
        <v>0</v>
      </c>
      <c r="J64" s="156">
        <f t="shared" si="10"/>
        <v>0</v>
      </c>
    </row>
    <row r="65" spans="2:10" s="37" customFormat="1" ht="13.5">
      <c r="B65" s="48"/>
      <c r="C65" s="160" t="s">
        <v>305</v>
      </c>
      <c r="D65" s="156">
        <f>($D$15*(F801ENE!D54))*0.95</f>
        <v>0</v>
      </c>
      <c r="E65" s="156">
        <f>($D$15*(F801ENE!E54))*0.95</f>
        <v>0</v>
      </c>
      <c r="F65" s="156">
        <f>($D$15*(F801ENE!F54))*0.95</f>
        <v>0</v>
      </c>
      <c r="G65" s="156">
        <f>($D$15*(F801ENE!G54))*0.95</f>
        <v>0</v>
      </c>
      <c r="H65" s="156">
        <f>($D$15*(F801ENE!H54))*0.95</f>
        <v>0</v>
      </c>
      <c r="I65" s="156">
        <f>($D$15*(F801ENE!I54))*0.95</f>
        <v>0</v>
      </c>
      <c r="J65" s="156">
        <f t="shared" si="10"/>
        <v>0</v>
      </c>
    </row>
    <row r="66" spans="2:10" s="37" customFormat="1" ht="13.5">
      <c r="B66" s="48"/>
      <c r="C66" s="160" t="s">
        <v>307</v>
      </c>
      <c r="D66" s="156">
        <f>($D$15*(F801ENE!D55))*0.5</f>
        <v>0</v>
      </c>
      <c r="E66" s="156">
        <f>($D$15*(F801ENE!E55))*0.5</f>
        <v>0</v>
      </c>
      <c r="F66" s="156">
        <f>($D$15*(F801ENE!F55))*0.5</f>
        <v>0</v>
      </c>
      <c r="G66" s="156">
        <f>($D$15*(F801ENE!G55))*0.5</f>
        <v>0</v>
      </c>
      <c r="H66" s="156">
        <f>($D$15*(F801ENE!H55))*0.5</f>
        <v>0</v>
      </c>
      <c r="I66" s="156">
        <f>($D$15*(F801ENE!I55))*0.5</f>
        <v>0</v>
      </c>
      <c r="J66" s="156">
        <f t="shared" si="10"/>
        <v>0</v>
      </c>
    </row>
    <row r="67" spans="2:10" s="37" customFormat="1" ht="13.5">
      <c r="B67" s="48"/>
      <c r="C67" s="160" t="s">
        <v>624</v>
      </c>
      <c r="D67" s="156">
        <f>($D$15*(F801ENE!D56))*0</f>
        <v>0</v>
      </c>
      <c r="E67" s="156">
        <f>($D$15*(F801ENE!E56))*0</f>
        <v>0</v>
      </c>
      <c r="F67" s="156">
        <f>($D$15*(F801ENE!F56))*0</f>
        <v>0</v>
      </c>
      <c r="G67" s="156">
        <f>($D$15*(F801ENE!G56))*0</f>
        <v>0</v>
      </c>
      <c r="H67" s="156">
        <f>($D$15*(F801ENE!H56))*0</f>
        <v>0</v>
      </c>
      <c r="I67" s="156">
        <f>($D$15*(F801ENE!I56))*0</f>
        <v>0</v>
      </c>
      <c r="J67" s="156">
        <f t="shared" si="10"/>
        <v>0</v>
      </c>
    </row>
    <row r="68" spans="2:10" s="37" customFormat="1" ht="13.5">
      <c r="B68" s="48" t="s">
        <v>751</v>
      </c>
      <c r="C68" s="158" t="s">
        <v>634</v>
      </c>
      <c r="D68" s="154">
        <f t="shared" ref="D68:I68" si="15">SUBTOTAL(9,D69:D73)</f>
        <v>521129.71218420204</v>
      </c>
      <c r="E68" s="154">
        <f t="shared" si="15"/>
        <v>521347.20469741552</v>
      </c>
      <c r="F68" s="154">
        <f t="shared" si="15"/>
        <v>511500.23814542184</v>
      </c>
      <c r="G68" s="154">
        <f t="shared" si="15"/>
        <v>519560.07905227563</v>
      </c>
      <c r="H68" s="154">
        <f t="shared" si="15"/>
        <v>497047.3785756437</v>
      </c>
      <c r="I68" s="154">
        <f t="shared" si="15"/>
        <v>499376.50844399119</v>
      </c>
      <c r="J68" s="159">
        <f t="shared" si="10"/>
        <v>3069961.1210989496</v>
      </c>
    </row>
    <row r="69" spans="2:10" s="37" customFormat="1" ht="13.5">
      <c r="B69" s="48"/>
      <c r="C69" s="160" t="s">
        <v>304</v>
      </c>
      <c r="D69" s="156">
        <f>($D$14*(F801ENE!D66))*1</f>
        <v>368282.37286491599</v>
      </c>
      <c r="E69" s="156">
        <f>($D$14*(F801ENE!E66))*1</f>
        <v>368436.07562184433</v>
      </c>
      <c r="F69" s="156">
        <f>($D$14*(F801ENE!F66))*1</f>
        <v>361477.18823734915</v>
      </c>
      <c r="G69" s="156">
        <f>($D$14*(F801ENE!G66))*1</f>
        <v>367173.10737260687</v>
      </c>
      <c r="H69" s="156">
        <f>($D$14*(F801ENE!H66))*1</f>
        <v>351263.2993611198</v>
      </c>
      <c r="I69" s="156">
        <f>($D$14*(F801ENE!I66))*1</f>
        <v>352909.30398316379</v>
      </c>
      <c r="J69" s="156">
        <f t="shared" si="10"/>
        <v>2169541.3474409999</v>
      </c>
    </row>
    <row r="70" spans="2:10" s="37" customFormat="1" ht="13.5">
      <c r="B70" s="48"/>
      <c r="C70" s="162" t="s">
        <v>644</v>
      </c>
      <c r="D70" s="156">
        <f>($D$14*(F801ENE!D67))*0.75</f>
        <v>152814.79307711628</v>
      </c>
      <c r="E70" s="156">
        <f>($D$14*(F801ENE!E67))*0.75</f>
        <v>152878.56925045725</v>
      </c>
      <c r="F70" s="156">
        <f>($D$14*(F801ENE!F67))*0.75</f>
        <v>149991.10505031393</v>
      </c>
      <c r="G70" s="156">
        <f>($D$14*(F801ENE!G67))*0.75</f>
        <v>152354.52346496057</v>
      </c>
      <c r="H70" s="156">
        <f>($D$14*(F801ENE!H67))*0.75</f>
        <v>145753.03697350255</v>
      </c>
      <c r="I70" s="156">
        <f>($D$14*(F801ENE!I67))*0.75</f>
        <v>146436.01675989942</v>
      </c>
      <c r="J70" s="156">
        <f>SUM(D70:I70)</f>
        <v>900228.04457625002</v>
      </c>
    </row>
    <row r="71" spans="2:10" s="37" customFormat="1" ht="13.5">
      <c r="B71" s="48"/>
      <c r="C71" s="160" t="s">
        <v>305</v>
      </c>
      <c r="D71" s="156">
        <f>($D$14*(F801ENE!D68))*0.95</f>
        <v>31.407945011228989</v>
      </c>
      <c r="E71" s="156">
        <f>($D$14*(F801ENE!E68))*0.95</f>
        <v>31.421052894994595</v>
      </c>
      <c r="F71" s="156">
        <f>($D$14*(F801ENE!F68))*0.95</f>
        <v>30.827593878404297</v>
      </c>
      <c r="G71" s="156">
        <f>($D$14*(F801ENE!G68))*0.95</f>
        <v>31.313346037020832</v>
      </c>
      <c r="H71" s="156">
        <f>($D$14*(F801ENE!H68))*0.95</f>
        <v>29.956545948881111</v>
      </c>
      <c r="I71" s="156">
        <f>($D$14*(F801ENE!I68))*0.95</f>
        <v>30.096918429470144</v>
      </c>
      <c r="J71" s="156">
        <f t="shared" si="10"/>
        <v>185.02340219999996</v>
      </c>
    </row>
    <row r="72" spans="2:10" s="37" customFormat="1" ht="13.5">
      <c r="B72" s="48"/>
      <c r="C72" s="160" t="s">
        <v>307</v>
      </c>
      <c r="D72" s="156">
        <f>($D$14*(F801ENE!D69))*0.5</f>
        <v>1.1382971586008677</v>
      </c>
      <c r="E72" s="156">
        <f>($D$14*(F801ENE!E69))*0.5</f>
        <v>1.1387722188711378</v>
      </c>
      <c r="F72" s="156">
        <f>($D$14*(F801ENE!F69))*0.5</f>
        <v>1.117263880388971</v>
      </c>
      <c r="G72" s="156">
        <f>($D$14*(F801ENE!G69))*0.5</f>
        <v>1.1348686712067004</v>
      </c>
      <c r="H72" s="156">
        <f>($D$14*(F801ENE!H69))*0.5</f>
        <v>1.0856950724702441</v>
      </c>
      <c r="I72" s="156">
        <f>($D$14*(F801ENE!I69))*0.5</f>
        <v>1.0907824984620793</v>
      </c>
      <c r="J72" s="156">
        <f t="shared" si="10"/>
        <v>6.7056795000000005</v>
      </c>
    </row>
    <row r="73" spans="2:10" s="37" customFormat="1" ht="13.5">
      <c r="B73" s="48"/>
      <c r="C73" s="160" t="s">
        <v>624</v>
      </c>
      <c r="D73" s="156">
        <f>($D$14*(F801ENE!D70))*0</f>
        <v>0</v>
      </c>
      <c r="E73" s="156">
        <f>($D$14*(F801ENE!E70))*0</f>
        <v>0</v>
      </c>
      <c r="F73" s="156">
        <f>($D$14*(F801ENE!F70))*0</f>
        <v>0</v>
      </c>
      <c r="G73" s="156">
        <f>($D$14*(F801ENE!G70))*0</f>
        <v>0</v>
      </c>
      <c r="H73" s="156">
        <f>($D$14*(F801ENE!H70))*0</f>
        <v>0</v>
      </c>
      <c r="I73" s="156">
        <f>($D$14*(F801ENE!I70))*0</f>
        <v>0</v>
      </c>
      <c r="J73" s="156">
        <f t="shared" si="10"/>
        <v>0</v>
      </c>
    </row>
    <row r="74" spans="2:10" s="37" customFormat="1" ht="13.5">
      <c r="B74" s="48" t="s">
        <v>750</v>
      </c>
      <c r="C74" s="158" t="s">
        <v>635</v>
      </c>
      <c r="D74" s="154">
        <f t="shared" ref="D74:I74" si="16">SUBTOTAL(9,D75:D80)</f>
        <v>196060.26314474712</v>
      </c>
      <c r="E74" s="154">
        <f t="shared" si="16"/>
        <v>196142.08750923316</v>
      </c>
      <c r="F74" s="154">
        <f t="shared" si="16"/>
        <v>192437.4920345303</v>
      </c>
      <c r="G74" s="154">
        <f t="shared" si="16"/>
        <v>195469.74059480499</v>
      </c>
      <c r="H74" s="154">
        <f t="shared" si="16"/>
        <v>187000.08165276391</v>
      </c>
      <c r="I74" s="154">
        <f t="shared" si="16"/>
        <v>187876.33972927055</v>
      </c>
      <c r="J74" s="159">
        <f t="shared" si="10"/>
        <v>1154986.0046653501</v>
      </c>
    </row>
    <row r="75" spans="2:10" s="37" customFormat="1" ht="13.5">
      <c r="B75" s="48"/>
      <c r="C75" s="160" t="s">
        <v>304</v>
      </c>
      <c r="D75" s="156">
        <f>($D$14*(F801ENE!D72))*1</f>
        <v>141068.80460275931</v>
      </c>
      <c r="E75" s="156">
        <f>($D$14*(F801ENE!E72))*1</f>
        <v>141127.67867086612</v>
      </c>
      <c r="F75" s="156">
        <f>($D$14*(F801ENE!F72))*1</f>
        <v>138462.1571277919</v>
      </c>
      <c r="G75" s="156">
        <f>($D$14*(F801ENE!G72))*1</f>
        <v>140643.91325111501</v>
      </c>
      <c r="H75" s="156">
        <f>($D$14*(F801ENE!H72))*1</f>
        <v>134549.84480918545</v>
      </c>
      <c r="I75" s="156">
        <f>($D$14*(F801ENE!I72))*1</f>
        <v>135180.32789328214</v>
      </c>
      <c r="J75" s="156">
        <f t="shared" si="10"/>
        <v>831032.72635500005</v>
      </c>
    </row>
    <row r="76" spans="2:10" s="37" customFormat="1" ht="13.5">
      <c r="B76" s="48"/>
      <c r="C76" s="162" t="s">
        <v>642</v>
      </c>
      <c r="D76" s="156">
        <f>($D$14*(F801ENE!D73))*0.75</f>
        <v>44394.365219946245</v>
      </c>
      <c r="E76" s="156">
        <f>($D$14*(F801ENE!E73))*0.75</f>
        <v>44412.892894359291</v>
      </c>
      <c r="F76" s="156">
        <f>($D$14*(F801ENE!F73))*0.75</f>
        <v>43574.053030237003</v>
      </c>
      <c r="G76" s="156">
        <f>($D$14*(F801ENE!G73))*0.75</f>
        <v>44260.651874201154</v>
      </c>
      <c r="H76" s="156">
        <f>($D$14*(F801ENE!H73))*0.75</f>
        <v>42342.847999360092</v>
      </c>
      <c r="I76" s="156">
        <f>($D$14*(F801ENE!I73))*0.75</f>
        <v>42541.261081396224</v>
      </c>
      <c r="J76" s="156">
        <f>SUM(D76:I76)</f>
        <v>261526.07209949999</v>
      </c>
    </row>
    <row r="77" spans="2:10" s="37" customFormat="1" ht="13.5">
      <c r="B77" s="48"/>
      <c r="C77" s="162" t="s">
        <v>1177</v>
      </c>
      <c r="D77" s="156">
        <f>($D$14*(F801ENE!D74))*1</f>
        <v>10564.565928850041</v>
      </c>
      <c r="E77" s="156">
        <f>($D$14*(F801ENE!E74))*1</f>
        <v>10568.974975738654</v>
      </c>
      <c r="F77" s="156">
        <f>($D$14*(F801ENE!F74))*1</f>
        <v>10369.355519432387</v>
      </c>
      <c r="G77" s="156">
        <f>($D$14*(F801ENE!G74))*1</f>
        <v>10532.746046986827</v>
      </c>
      <c r="H77" s="156">
        <f>($D$14*(F801ENE!H74))*1</f>
        <v>10076.364581141259</v>
      </c>
      <c r="I77" s="156">
        <f>($D$14*(F801ENE!I74))*1</f>
        <v>10123.581115850833</v>
      </c>
      <c r="J77" s="156">
        <f>SUM(D77:I77)</f>
        <v>62235.588168000002</v>
      </c>
    </row>
    <row r="78" spans="2:10" s="37" customFormat="1" ht="13.5">
      <c r="B78" s="48"/>
      <c r="C78" s="160" t="s">
        <v>305</v>
      </c>
      <c r="D78" s="156">
        <f>($D$14*(F801ENE!D75))*0.95</f>
        <v>31.013248537488373</v>
      </c>
      <c r="E78" s="156">
        <f>($D$14*(F801ENE!E75))*0.95</f>
        <v>31.026191697471553</v>
      </c>
      <c r="F78" s="156">
        <f>($D$14*(F801ENE!F75))*0.95</f>
        <v>30.440190544841286</v>
      </c>
      <c r="G78" s="156">
        <f>($D$14*(F801ENE!G75))*0.95</f>
        <v>30.91983836698979</v>
      </c>
      <c r="H78" s="156">
        <f>($D$14*(F801ENE!H75))*0.95</f>
        <v>29.580088875766492</v>
      </c>
      <c r="I78" s="156">
        <f>($D$14*(F801ENE!I75))*0.95</f>
        <v>29.718697327442495</v>
      </c>
      <c r="J78" s="156">
        <f t="shared" si="10"/>
        <v>182.69825535000001</v>
      </c>
    </row>
    <row r="79" spans="2:10" s="37" customFormat="1" ht="13.5">
      <c r="B79" s="48"/>
      <c r="C79" s="160" t="s">
        <v>307</v>
      </c>
      <c r="D79" s="156">
        <f>($D$14*(F801ENE!D76))*0.5</f>
        <v>1.5141446540314873</v>
      </c>
      <c r="E79" s="156">
        <f>($D$14*(F801ENE!E76))*0.5</f>
        <v>1.5147765715963666</v>
      </c>
      <c r="F79" s="156">
        <f>($D$14*(F801ENE!F76))*0.5</f>
        <v>1.4861665241374924</v>
      </c>
      <c r="G79" s="156">
        <f>($D$14*(F801ENE!G76))*0.5</f>
        <v>1.5095841349964811</v>
      </c>
      <c r="H79" s="156">
        <f>($D$14*(F801ENE!H76))*0.5</f>
        <v>1.4441742013216825</v>
      </c>
      <c r="I79" s="156">
        <f>($D$14*(F801ENE!I76))*0.5</f>
        <v>1.4509414139164902</v>
      </c>
      <c r="J79" s="156">
        <f t="shared" si="10"/>
        <v>8.9197875</v>
      </c>
    </row>
    <row r="80" spans="2:10" s="37" customFormat="1" ht="13.5">
      <c r="B80" s="48"/>
      <c r="C80" s="160" t="s">
        <v>624</v>
      </c>
      <c r="D80" s="156">
        <f>($D$14*(F801ENE!D77))*0</f>
        <v>0</v>
      </c>
      <c r="E80" s="156">
        <f>($D$14*(F801ENE!E77))*0</f>
        <v>0</v>
      </c>
      <c r="F80" s="156">
        <f>($D$14*(F801ENE!F77))*0</f>
        <v>0</v>
      </c>
      <c r="G80" s="156">
        <f>($D$14*(F801ENE!G77))*0</f>
        <v>0</v>
      </c>
      <c r="H80" s="156">
        <f>($D$14*(F801ENE!H77))*0</f>
        <v>0</v>
      </c>
      <c r="I80" s="156">
        <f>($D$14*(F801ENE!I77))*0</f>
        <v>0</v>
      </c>
      <c r="J80" s="156">
        <f t="shared" si="10"/>
        <v>0</v>
      </c>
    </row>
    <row r="81" spans="2:10" s="37" customFormat="1" ht="13.5">
      <c r="B81" s="48" t="s">
        <v>749</v>
      </c>
      <c r="C81" s="158" t="s">
        <v>636</v>
      </c>
      <c r="D81" s="154">
        <f t="shared" ref="D81:I81" si="17">SUBTOTAL(9,D82:D87)</f>
        <v>193935.31814102962</v>
      </c>
      <c r="E81" s="154">
        <f t="shared" si="17"/>
        <v>194016.25567474382</v>
      </c>
      <c r="F81" s="154">
        <f t="shared" si="17"/>
        <v>190351.81143476078</v>
      </c>
      <c r="G81" s="154">
        <f t="shared" si="17"/>
        <v>193351.19580662306</v>
      </c>
      <c r="H81" s="154">
        <f t="shared" si="17"/>
        <v>184973.33292342332</v>
      </c>
      <c r="I81" s="154">
        <f t="shared" si="17"/>
        <v>185840.09391881942</v>
      </c>
      <c r="J81" s="159">
        <f t="shared" si="10"/>
        <v>1142468.0078994001</v>
      </c>
    </row>
    <row r="82" spans="2:10" s="37" customFormat="1" ht="13.5">
      <c r="B82" s="48"/>
      <c r="C82" s="160" t="s">
        <v>304</v>
      </c>
      <c r="D82" s="156">
        <f>($D$14*(F801ENE!D79))*1</f>
        <v>176574.45183847757</v>
      </c>
      <c r="E82" s="156">
        <f>($D$14*(F801ENE!E79))*1</f>
        <v>176648.14393739865</v>
      </c>
      <c r="F82" s="156">
        <f>($D$14*(F801ENE!F79))*1</f>
        <v>173311.73652502039</v>
      </c>
      <c r="G82" s="156">
        <f>($D$14*(F801ENE!G79))*1</f>
        <v>176042.61946264672</v>
      </c>
      <c r="H82" s="156">
        <f>($D$14*(F801ENE!H79))*1</f>
        <v>168414.73321501046</v>
      </c>
      <c r="I82" s="156">
        <f>($D$14*(F801ENE!I79))*1</f>
        <v>169203.90276444625</v>
      </c>
      <c r="J82" s="156">
        <f t="shared" si="10"/>
        <v>1040195.587743</v>
      </c>
    </row>
    <row r="83" spans="2:10" s="37" customFormat="1" ht="13.5">
      <c r="B83" s="48"/>
      <c r="C83" s="162" t="s">
        <v>642</v>
      </c>
      <c r="D83" s="156">
        <f>($D$14*(F801ENE!D80))*0.75</f>
        <v>0</v>
      </c>
      <c r="E83" s="156">
        <f>($D$14*(F801ENE!E80))*0.75</f>
        <v>0</v>
      </c>
      <c r="F83" s="156">
        <f>($D$14*(F801ENE!F80))*0.75</f>
        <v>0</v>
      </c>
      <c r="G83" s="156">
        <f>($D$14*(F801ENE!G80))*0.75</f>
        <v>0</v>
      </c>
      <c r="H83" s="156">
        <f>($D$14*(F801ENE!H80))*0.75</f>
        <v>0</v>
      </c>
      <c r="I83" s="156">
        <f>($D$14*(F801ENE!I80))*0.75</f>
        <v>0</v>
      </c>
      <c r="J83" s="156">
        <f>SUM(D83:I83)</f>
        <v>0</v>
      </c>
    </row>
    <row r="84" spans="2:10" s="37" customFormat="1" ht="13.5">
      <c r="B84" s="48"/>
      <c r="C84" s="162" t="s">
        <v>1177</v>
      </c>
      <c r="D84" s="156">
        <f>($D$14*(F801ENE!D81))*1</f>
        <v>17237.969152657646</v>
      </c>
      <c r="E84" s="156">
        <f>($D$14*(F801ENE!E81))*1</f>
        <v>17245.163297194238</v>
      </c>
      <c r="F84" s="156">
        <f>($D$14*(F801ENE!F81))*1</f>
        <v>16919.448634305831</v>
      </c>
      <c r="G84" s="156">
        <f>($D$14*(F801ENE!G81))*1</f>
        <v>17186.049353425631</v>
      </c>
      <c r="H84" s="156">
        <f>($D$14*(F801ENE!H81))*1</f>
        <v>16441.381784206635</v>
      </c>
      <c r="I84" s="156">
        <f>($D$14*(F801ENE!I81))*1</f>
        <v>16518.423962210025</v>
      </c>
      <c r="J84" s="156">
        <f>SUM(D84:I84)</f>
        <v>101548.43618400001</v>
      </c>
    </row>
    <row r="85" spans="2:10" s="37" customFormat="1" ht="13.5">
      <c r="B85" s="48"/>
      <c r="C85" s="160" t="s">
        <v>305</v>
      </c>
      <c r="D85" s="156">
        <f>($D$14*(F801ENE!D82))*0.95</f>
        <v>122.38601994205713</v>
      </c>
      <c r="E85" s="156">
        <f>($D$14*(F801ENE!E82))*0.95</f>
        <v>122.43709688209131</v>
      </c>
      <c r="F85" s="156">
        <f>($D$14*(F801ENE!F82))*0.95</f>
        <v>120.12459006213713</v>
      </c>
      <c r="G85" s="156">
        <f>($D$14*(F801ENE!G82))*0.95</f>
        <v>122.01740009316863</v>
      </c>
      <c r="H85" s="156">
        <f>($D$14*(F801ENE!H82))*0.95</f>
        <v>116.73041418609685</v>
      </c>
      <c r="I85" s="156">
        <f>($D$14*(F801ENE!I82))*0.95</f>
        <v>117.27739773444883</v>
      </c>
      <c r="J85" s="156">
        <f t="shared" si="10"/>
        <v>720.97291889999997</v>
      </c>
    </row>
    <row r="86" spans="2:10" s="37" customFormat="1" ht="13.5">
      <c r="B86" s="48"/>
      <c r="C86" s="160" t="s">
        <v>307</v>
      </c>
      <c r="D86" s="156">
        <f>($D$14*(F801ENE!D83))*0.5</f>
        <v>0.51112995237025527</v>
      </c>
      <c r="E86" s="156">
        <f>($D$14*(F801ENE!E83))*0.5</f>
        <v>0.51134326884168935</v>
      </c>
      <c r="F86" s="156">
        <f>($D$14*(F801ENE!F83))*0.5</f>
        <v>0.50168537244716094</v>
      </c>
      <c r="G86" s="156">
        <f>($D$14*(F801ENE!G83))*0.5</f>
        <v>0.50959045753339149</v>
      </c>
      <c r="H86" s="156">
        <f>($D$14*(F801ENE!H83))*0.5</f>
        <v>0.48751002010971178</v>
      </c>
      <c r="I86" s="156">
        <f>($D$14*(F801ENE!I83))*0.5</f>
        <v>0.48979442869779088</v>
      </c>
      <c r="J86" s="156">
        <f t="shared" si="10"/>
        <v>3.0110534999999992</v>
      </c>
    </row>
    <row r="87" spans="2:10" s="37" customFormat="1" ht="13.5">
      <c r="B87" s="48"/>
      <c r="C87" s="160" t="s">
        <v>624</v>
      </c>
      <c r="D87" s="156">
        <f>($D$14*(F801ENE!D84))*0</f>
        <v>0</v>
      </c>
      <c r="E87" s="156">
        <f>($D$14*(F801ENE!E84))*0</f>
        <v>0</v>
      </c>
      <c r="F87" s="156">
        <f>($D$14*(F801ENE!F84))*0</f>
        <v>0</v>
      </c>
      <c r="G87" s="156">
        <f>($D$14*(F801ENE!G84))*0</f>
        <v>0</v>
      </c>
      <c r="H87" s="156">
        <f>($D$14*(F801ENE!H84))*0</f>
        <v>0</v>
      </c>
      <c r="I87" s="156">
        <f>($D$14*(F801ENE!I84))*0</f>
        <v>0</v>
      </c>
      <c r="J87" s="156">
        <f t="shared" si="10"/>
        <v>0</v>
      </c>
    </row>
    <row r="88" spans="2:10" s="37" customFormat="1" ht="13.5">
      <c r="B88" s="48"/>
      <c r="C88" s="157"/>
      <c r="D88" s="156"/>
      <c r="E88" s="156"/>
      <c r="F88" s="156"/>
      <c r="G88" s="156"/>
      <c r="H88" s="156"/>
      <c r="I88" s="156"/>
      <c r="J88" s="156"/>
    </row>
    <row r="89" spans="2:10" s="37" customFormat="1" ht="13.5">
      <c r="B89" s="48" t="s">
        <v>902</v>
      </c>
      <c r="C89" s="158" t="s">
        <v>898</v>
      </c>
      <c r="D89" s="154">
        <f t="shared" ref="D89:I89" si="18">SUBTOTAL(9,D90:D94)</f>
        <v>87052.23045054148</v>
      </c>
      <c r="E89" s="154">
        <f t="shared" si="18"/>
        <v>87088.561083375782</v>
      </c>
      <c r="F89" s="154">
        <f t="shared" si="18"/>
        <v>85443.692848389386</v>
      </c>
      <c r="G89" s="154">
        <f t="shared" si="18"/>
        <v>86790.033999923384</v>
      </c>
      <c r="H89" s="154">
        <f t="shared" si="18"/>
        <v>83029.441770606034</v>
      </c>
      <c r="I89" s="154">
        <f t="shared" si="18"/>
        <v>83418.506942643915</v>
      </c>
      <c r="J89" s="159">
        <f t="shared" ref="J89:J98" si="19">SUM(D89:I89)</f>
        <v>512822.46709547995</v>
      </c>
    </row>
    <row r="90" spans="2:10" s="37" customFormat="1" ht="13.5">
      <c r="B90" s="48"/>
      <c r="C90" s="160" t="s">
        <v>304</v>
      </c>
      <c r="D90" s="156">
        <f>$D$13*F801ENE!D87*1</f>
        <v>83727.865332532965</v>
      </c>
      <c r="E90" s="156">
        <f>$D$13*F801ENE!E87*1</f>
        <v>83762.808565091764</v>
      </c>
      <c r="F90" s="156">
        <f>$D$13*F801ENE!F87*1</f>
        <v>82180.754833028594</v>
      </c>
      <c r="G90" s="156">
        <f>$D$13*F801ENE!G87*1</f>
        <v>83475.681683769435</v>
      </c>
      <c r="H90" s="156">
        <f>$D$13*F801ENE!H87*1</f>
        <v>79858.699578690081</v>
      </c>
      <c r="I90" s="156">
        <f>$D$13*F801ENE!I87*1</f>
        <v>80232.90706494714</v>
      </c>
      <c r="J90" s="156">
        <f t="shared" si="19"/>
        <v>493238.71705805993</v>
      </c>
    </row>
    <row r="91" spans="2:10" s="37" customFormat="1" ht="13.5">
      <c r="B91" s="48"/>
      <c r="C91" s="162" t="s">
        <v>644</v>
      </c>
      <c r="D91" s="156">
        <f>$D$13*F801ENE!D88*0.75</f>
        <v>3324.3651180085208</v>
      </c>
      <c r="E91" s="156">
        <f>$D$13*F801ENE!E88*0.75</f>
        <v>3325.7525182840154</v>
      </c>
      <c r="F91" s="156">
        <f>$D$13*F801ENE!F88*0.75</f>
        <v>3262.9380153607881</v>
      </c>
      <c r="G91" s="156">
        <f>$D$13*F801ENE!G88*0.75</f>
        <v>3314.3523161539415</v>
      </c>
      <c r="H91" s="156">
        <f>$D$13*F801ENE!H88*0.75</f>
        <v>3170.7421919159506</v>
      </c>
      <c r="I91" s="156">
        <f>$D$13*F801ENE!I88*0.75</f>
        <v>3185.5998776967822</v>
      </c>
      <c r="J91" s="156">
        <f t="shared" si="19"/>
        <v>19583.750037419999</v>
      </c>
    </row>
    <row r="92" spans="2:10" s="37" customFormat="1" ht="13.5">
      <c r="B92" s="48"/>
      <c r="C92" s="160" t="s">
        <v>305</v>
      </c>
      <c r="D92" s="156">
        <f>$D$13*F801ENE!D89*0.95</f>
        <v>0</v>
      </c>
      <c r="E92" s="156">
        <f>$D$13*F801ENE!E89*0.95</f>
        <v>0</v>
      </c>
      <c r="F92" s="156">
        <f>$D$13*F801ENE!F89*0.95</f>
        <v>0</v>
      </c>
      <c r="G92" s="156">
        <f>$D$13*F801ENE!G89*0.95</f>
        <v>0</v>
      </c>
      <c r="H92" s="156">
        <f>$D$13*F801ENE!H89*0.95</f>
        <v>0</v>
      </c>
      <c r="I92" s="156">
        <f>$D$13*F801ENE!I89*0.95</f>
        <v>0</v>
      </c>
      <c r="J92" s="156">
        <f t="shared" si="19"/>
        <v>0</v>
      </c>
    </row>
    <row r="93" spans="2:10" s="37" customFormat="1" ht="13.5">
      <c r="B93" s="48"/>
      <c r="C93" s="160" t="s">
        <v>307</v>
      </c>
      <c r="D93" s="156">
        <f>$D$13*F801ENE!D90*0.5</f>
        <v>0</v>
      </c>
      <c r="E93" s="156">
        <f>$D$13*F801ENE!E90*0.5</f>
        <v>0</v>
      </c>
      <c r="F93" s="156">
        <f>$D$13*F801ENE!F90*0.5</f>
        <v>0</v>
      </c>
      <c r="G93" s="156">
        <f>$D$13*F801ENE!G90*0.5</f>
        <v>0</v>
      </c>
      <c r="H93" s="156">
        <f>$D$13*F801ENE!H90*0.5</f>
        <v>0</v>
      </c>
      <c r="I93" s="156">
        <f>$D$13*F801ENE!I90*0.5</f>
        <v>0</v>
      </c>
      <c r="J93" s="156">
        <f t="shared" si="19"/>
        <v>0</v>
      </c>
    </row>
    <row r="94" spans="2:10" s="37" customFormat="1" ht="13.5">
      <c r="B94" s="48"/>
      <c r="C94" s="160" t="s">
        <v>624</v>
      </c>
      <c r="D94" s="156">
        <f>$D$13*F801ENE!D91*0</f>
        <v>0</v>
      </c>
      <c r="E94" s="156">
        <f>$D$13*F801ENE!E91*0</f>
        <v>0</v>
      </c>
      <c r="F94" s="156">
        <f>$D$13*F801ENE!F91*0</f>
        <v>0</v>
      </c>
      <c r="G94" s="156">
        <f>$D$13*F801ENE!G91*0</f>
        <v>0</v>
      </c>
      <c r="H94" s="156">
        <f>$D$13*F801ENE!H91*0</f>
        <v>0</v>
      </c>
      <c r="I94" s="156">
        <f>$D$13*F801ENE!I91*0</f>
        <v>0</v>
      </c>
      <c r="J94" s="156">
        <f t="shared" si="19"/>
        <v>0</v>
      </c>
    </row>
    <row r="95" spans="2:10" s="37" customFormat="1" ht="13.5">
      <c r="B95" s="48" t="s">
        <v>902</v>
      </c>
      <c r="C95" s="158" t="s">
        <v>899</v>
      </c>
      <c r="D95" s="154">
        <f t="shared" ref="D95:I95" si="20">SUBTOTAL(9,D96:D101)</f>
        <v>6890.1257585765525</v>
      </c>
      <c r="E95" s="154">
        <f t="shared" si="20"/>
        <v>6893.0013038419793</v>
      </c>
      <c r="F95" s="154">
        <f t="shared" si="20"/>
        <v>6762.8110842842734</v>
      </c>
      <c r="G95" s="154">
        <f t="shared" si="20"/>
        <v>6869.373085051001</v>
      </c>
      <c r="H95" s="154">
        <f t="shared" si="20"/>
        <v>6571.7247278220211</v>
      </c>
      <c r="I95" s="154">
        <f t="shared" si="20"/>
        <v>6602.5189757091712</v>
      </c>
      <c r="J95" s="159">
        <f t="shared" si="19"/>
        <v>40589.554935284999</v>
      </c>
    </row>
    <row r="96" spans="2:10" s="37" customFormat="1" ht="13.5">
      <c r="B96" s="48"/>
      <c r="C96" s="160" t="s">
        <v>304</v>
      </c>
      <c r="D96" s="156">
        <f>$D$13*F801ENE!D93*1</f>
        <v>6258.7913610922387</v>
      </c>
      <c r="E96" s="156">
        <f>$D$13*F801ENE!E93*1</f>
        <v>6261.4034234110259</v>
      </c>
      <c r="F96" s="156">
        <f>$D$13*F801ENE!F93*1</f>
        <v>6143.1423858019225</v>
      </c>
      <c r="G96" s="156">
        <f>$D$13*F801ENE!G93*1</f>
        <v>6239.9402314710396</v>
      </c>
      <c r="H96" s="156">
        <f>$D$13*F801ENE!H93*1</f>
        <v>5969.5650551472763</v>
      </c>
      <c r="I96" s="156">
        <f>$D$13*F801ENE!I93*1</f>
        <v>5997.5376610764961</v>
      </c>
      <c r="J96" s="156">
        <f t="shared" si="19"/>
        <v>36870.380118000001</v>
      </c>
    </row>
    <row r="97" spans="2:10" s="37" customFormat="1" ht="13.5">
      <c r="B97" s="48"/>
      <c r="C97" s="162" t="s">
        <v>642</v>
      </c>
      <c r="D97" s="156">
        <f>$D$13*F801ENE!D94*0.75</f>
        <v>572.49816466143443</v>
      </c>
      <c r="E97" s="156">
        <f>$D$13*F801ENE!E94*0.75</f>
        <v>572.73709272233498</v>
      </c>
      <c r="F97" s="156">
        <f>$D$13*F801ENE!F94*0.75</f>
        <v>561.9196324371029</v>
      </c>
      <c r="G97" s="156">
        <f>$D$13*F801ENE!G94*0.75</f>
        <v>570.77383220053434</v>
      </c>
      <c r="H97" s="156">
        <f>$D$13*F801ENE!H94*0.75</f>
        <v>546.04233321214929</v>
      </c>
      <c r="I97" s="156">
        <f>$D$13*F801ENE!I94*0.75</f>
        <v>548.60101661144404</v>
      </c>
      <c r="J97" s="156">
        <f t="shared" si="19"/>
        <v>3372.5720718449993</v>
      </c>
    </row>
    <row r="98" spans="2:10" s="37" customFormat="1" ht="13.5">
      <c r="B98" s="48"/>
      <c r="C98" s="162" t="s">
        <v>1177</v>
      </c>
      <c r="D98" s="156">
        <f>$D$13*F801ENE!D95*1</f>
        <v>58.836232822879737</v>
      </c>
      <c r="E98" s="156">
        <f>$D$13*F801ENE!E95*1</f>
        <v>58.860787708618773</v>
      </c>
      <c r="F98" s="156">
        <f>$D$13*F801ENE!F95*1</f>
        <v>57.749066045247922</v>
      </c>
      <c r="G98" s="156">
        <f>$D$13*F801ENE!G95*1</f>
        <v>58.659021379427237</v>
      </c>
      <c r="H98" s="156">
        <f>$D$13*F801ENE!H95*1</f>
        <v>56.117339462595311</v>
      </c>
      <c r="I98" s="156">
        <f>$D$13*F801ENE!I95*1</f>
        <v>56.380298021230992</v>
      </c>
      <c r="J98" s="156">
        <f t="shared" si="19"/>
        <v>346.60274543999998</v>
      </c>
    </row>
    <row r="99" spans="2:10" s="37" customFormat="1" ht="13.5">
      <c r="B99" s="48"/>
      <c r="C99" s="160" t="s">
        <v>305</v>
      </c>
      <c r="D99" s="156">
        <f>$D$13*F801ENE!D96*0.95</f>
        <v>0</v>
      </c>
      <c r="E99" s="156">
        <f>$D$13*F801ENE!E96*0.95</f>
        <v>0</v>
      </c>
      <c r="F99" s="156">
        <f>$D$13*F801ENE!F96*0.95</f>
        <v>0</v>
      </c>
      <c r="G99" s="156">
        <f>$D$13*F801ENE!G96*0.95</f>
        <v>0</v>
      </c>
      <c r="H99" s="156">
        <f>$D$13*F801ENE!H96*0.95</f>
        <v>0</v>
      </c>
      <c r="I99" s="156">
        <f>$D$13*F801ENE!I96*0.95</f>
        <v>0</v>
      </c>
      <c r="J99" s="156">
        <f t="shared" ref="J99:J108" si="21">SUM(D99:I99)</f>
        <v>0</v>
      </c>
    </row>
    <row r="100" spans="2:10" s="37" customFormat="1" ht="13.5">
      <c r="B100" s="48"/>
      <c r="C100" s="160" t="s">
        <v>307</v>
      </c>
      <c r="D100" s="156">
        <f>$D$13*F801ENE!D97*0.5</f>
        <v>0</v>
      </c>
      <c r="E100" s="156">
        <f>$D$13*F801ENE!E97*0.5</f>
        <v>0</v>
      </c>
      <c r="F100" s="156">
        <f>$D$13*F801ENE!F97*0.5</f>
        <v>0</v>
      </c>
      <c r="G100" s="156">
        <f>$D$13*F801ENE!G97*0.5</f>
        <v>0</v>
      </c>
      <c r="H100" s="156">
        <f>$D$13*F801ENE!H97*0.5</f>
        <v>0</v>
      </c>
      <c r="I100" s="156">
        <f>$D$13*F801ENE!I97*0.5</f>
        <v>0</v>
      </c>
      <c r="J100" s="156">
        <f t="shared" si="21"/>
        <v>0</v>
      </c>
    </row>
    <row r="101" spans="2:10" s="37" customFormat="1" ht="13.5">
      <c r="B101" s="48"/>
      <c r="C101" s="160" t="s">
        <v>624</v>
      </c>
      <c r="D101" s="156">
        <f>$D$13*F801ENE!D98*0</f>
        <v>0</v>
      </c>
      <c r="E101" s="156">
        <f>$D$13*F801ENE!E98*0</f>
        <v>0</v>
      </c>
      <c r="F101" s="156">
        <f>$D$13*F801ENE!F98*0</f>
        <v>0</v>
      </c>
      <c r="G101" s="156">
        <f>$D$13*F801ENE!G98*0</f>
        <v>0</v>
      </c>
      <c r="H101" s="156">
        <f>$D$13*F801ENE!H98*0</f>
        <v>0</v>
      </c>
      <c r="I101" s="156">
        <f>$D$13*F801ENE!I98*0</f>
        <v>0</v>
      </c>
      <c r="J101" s="156">
        <f t="shared" si="21"/>
        <v>0</v>
      </c>
    </row>
    <row r="102" spans="2:10" s="37" customFormat="1" ht="13.5">
      <c r="B102" s="48" t="s">
        <v>902</v>
      </c>
      <c r="C102" s="158" t="s">
        <v>900</v>
      </c>
      <c r="D102" s="154">
        <f t="shared" ref="D102:I102" si="22">SUBTOTAL(9,D103:D108)</f>
        <v>761.94536613579464</v>
      </c>
      <c r="E102" s="154">
        <f t="shared" si="22"/>
        <v>762.26335864665396</v>
      </c>
      <c r="F102" s="154">
        <f t="shared" si="22"/>
        <v>747.86625792832251</v>
      </c>
      <c r="G102" s="154">
        <f t="shared" si="22"/>
        <v>759.6504292969363</v>
      </c>
      <c r="H102" s="154">
        <f t="shared" si="22"/>
        <v>726.73495075922585</v>
      </c>
      <c r="I102" s="154">
        <f t="shared" si="22"/>
        <v>730.14033627806702</v>
      </c>
      <c r="J102" s="159">
        <f t="shared" si="21"/>
        <v>4488.6006990450005</v>
      </c>
    </row>
    <row r="103" spans="2:10" s="37" customFormat="1" ht="13.5">
      <c r="B103" s="48"/>
      <c r="C103" s="160" t="s">
        <v>304</v>
      </c>
      <c r="D103" s="156">
        <f>$D$13*F801ENE!D100*1</f>
        <v>740.2331888334412</v>
      </c>
      <c r="E103" s="156">
        <f>$D$13*F801ENE!E100*1</f>
        <v>740.5421199206296</v>
      </c>
      <c r="F103" s="156">
        <f>$D$13*F801ENE!F100*1</f>
        <v>726.55527486803123</v>
      </c>
      <c r="G103" s="156">
        <f>$D$13*F801ENE!G100*1</f>
        <v>738.00364785858778</v>
      </c>
      <c r="H103" s="156">
        <f>$D$13*F801ENE!H100*1</f>
        <v>706.02611938628297</v>
      </c>
      <c r="I103" s="156">
        <f>$D$13*F801ENE!I100*1</f>
        <v>709.33446601302751</v>
      </c>
      <c r="J103" s="156">
        <f t="shared" si="21"/>
        <v>4360.69481688</v>
      </c>
    </row>
    <row r="104" spans="2:10" s="37" customFormat="1" ht="13.5">
      <c r="B104" s="48"/>
      <c r="C104" s="162" t="s">
        <v>642</v>
      </c>
      <c r="D104" s="156">
        <f>$D$13*F801ENE!D101*0.75</f>
        <v>21.712177302353457</v>
      </c>
      <c r="E104" s="156">
        <f>$D$13*F801ENE!E101*0.75</f>
        <v>21.721238726024307</v>
      </c>
      <c r="F104" s="156">
        <f>$D$13*F801ENE!F101*0.75</f>
        <v>21.310983060291257</v>
      </c>
      <c r="G104" s="156">
        <f>$D$13*F801ENE!G101*0.75</f>
        <v>21.64678143834854</v>
      </c>
      <c r="H104" s="156">
        <f>$D$13*F801ENE!H101*0.75</f>
        <v>20.708831372942917</v>
      </c>
      <c r="I104" s="156">
        <f>$D$13*F801ENE!I101*0.75</f>
        <v>20.805870265039506</v>
      </c>
      <c r="J104" s="156">
        <f t="shared" si="21"/>
        <v>127.90588216499997</v>
      </c>
    </row>
    <row r="105" spans="2:10" s="37" customFormat="1" ht="13.5">
      <c r="B105" s="48"/>
      <c r="C105" s="162" t="s">
        <v>1177</v>
      </c>
      <c r="D105" s="156">
        <f>$D$13*F801ENE!D102*1</f>
        <v>0</v>
      </c>
      <c r="E105" s="156">
        <f>$D$13*F801ENE!E102*1</f>
        <v>0</v>
      </c>
      <c r="F105" s="156">
        <f>$D$13*F801ENE!F102*1</f>
        <v>0</v>
      </c>
      <c r="G105" s="156">
        <f>$D$13*F801ENE!G102*1</f>
        <v>0</v>
      </c>
      <c r="H105" s="156">
        <f>$D$13*F801ENE!H102*1</f>
        <v>0</v>
      </c>
      <c r="I105" s="156">
        <f>$D$13*F801ENE!I102*1</f>
        <v>0</v>
      </c>
      <c r="J105" s="156">
        <f t="shared" si="21"/>
        <v>0</v>
      </c>
    </row>
    <row r="106" spans="2:10" s="37" customFormat="1" ht="13.5">
      <c r="B106" s="48"/>
      <c r="C106" s="160" t="s">
        <v>305</v>
      </c>
      <c r="D106" s="156">
        <f>$D$13*F801ENE!D103*0.95</f>
        <v>0</v>
      </c>
      <c r="E106" s="156">
        <f>$D$13*F801ENE!E103*0.95</f>
        <v>0</v>
      </c>
      <c r="F106" s="156">
        <f>$D$13*F801ENE!F103*0.95</f>
        <v>0</v>
      </c>
      <c r="G106" s="156">
        <f>$D$13*F801ENE!G103*0.95</f>
        <v>0</v>
      </c>
      <c r="H106" s="156">
        <f>$D$13*F801ENE!H103*0.95</f>
        <v>0</v>
      </c>
      <c r="I106" s="156">
        <f>$D$13*F801ENE!I103*0.95</f>
        <v>0</v>
      </c>
      <c r="J106" s="156">
        <f t="shared" si="21"/>
        <v>0</v>
      </c>
    </row>
    <row r="107" spans="2:10" s="37" customFormat="1" ht="13.5">
      <c r="B107" s="48"/>
      <c r="C107" s="160" t="s">
        <v>307</v>
      </c>
      <c r="D107" s="156">
        <f>$D$13*F801ENE!D104*0.5</f>
        <v>0</v>
      </c>
      <c r="E107" s="156">
        <f>$D$13*F801ENE!E104*0.5</f>
        <v>0</v>
      </c>
      <c r="F107" s="156">
        <f>$D$13*F801ENE!F104*0.5</f>
        <v>0</v>
      </c>
      <c r="G107" s="156">
        <f>$D$13*F801ENE!G104*0.5</f>
        <v>0</v>
      </c>
      <c r="H107" s="156">
        <f>$D$13*F801ENE!H104*0.5</f>
        <v>0</v>
      </c>
      <c r="I107" s="156">
        <f>$D$13*F801ENE!I104*0.5</f>
        <v>0</v>
      </c>
      <c r="J107" s="156">
        <f t="shared" si="21"/>
        <v>0</v>
      </c>
    </row>
    <row r="108" spans="2:10" s="37" customFormat="1" ht="13.5">
      <c r="B108" s="48"/>
      <c r="C108" s="160" t="s">
        <v>624</v>
      </c>
      <c r="D108" s="156">
        <f>$D$13*F801ENE!D105*0</f>
        <v>0</v>
      </c>
      <c r="E108" s="156">
        <f>$D$13*F801ENE!E105*0</f>
        <v>0</v>
      </c>
      <c r="F108" s="156">
        <f>$D$13*F801ENE!F105*0</f>
        <v>0</v>
      </c>
      <c r="G108" s="156">
        <f>$D$13*F801ENE!G105*0</f>
        <v>0</v>
      </c>
      <c r="H108" s="156">
        <f>$D$13*F801ENE!H105*0</f>
        <v>0</v>
      </c>
      <c r="I108" s="156">
        <f>$D$13*F801ENE!I105*0</f>
        <v>0</v>
      </c>
      <c r="J108" s="156">
        <f t="shared" si="21"/>
        <v>0</v>
      </c>
    </row>
    <row r="109" spans="2:10" s="37" customFormat="1" ht="13.5">
      <c r="B109" s="48"/>
      <c r="C109" s="157"/>
      <c r="D109" s="156"/>
      <c r="E109" s="156"/>
      <c r="F109" s="156"/>
      <c r="G109" s="156"/>
      <c r="H109" s="156"/>
      <c r="I109" s="156"/>
      <c r="J109" s="156"/>
    </row>
    <row r="110" spans="2:10" s="37" customFormat="1" ht="13.5">
      <c r="B110" s="48"/>
      <c r="C110" s="153" t="s">
        <v>112</v>
      </c>
      <c r="D110" s="154">
        <f t="shared" ref="D110:I110" si="23">D33+D23+D19</f>
        <v>1991233.0333388257</v>
      </c>
      <c r="E110" s="154">
        <f t="shared" si="23"/>
        <v>1992064.0601570595</v>
      </c>
      <c r="F110" s="154">
        <f t="shared" si="23"/>
        <v>1971653.2262447604</v>
      </c>
      <c r="G110" s="154">
        <f t="shared" si="23"/>
        <v>1985235.5522846705</v>
      </c>
      <c r="H110" s="154">
        <f t="shared" si="23"/>
        <v>1915943.2648455156</v>
      </c>
      <c r="I110" s="154">
        <f t="shared" si="23"/>
        <v>1908115.2495424526</v>
      </c>
      <c r="J110" s="154">
        <f>SUM(D110:I110)</f>
        <v>11764244.386413284</v>
      </c>
    </row>
    <row r="111" spans="2:10" s="37" customFormat="1" ht="13.5">
      <c r="B111" s="48"/>
      <c r="C111" s="48"/>
      <c r="D111" s="48"/>
      <c r="E111" s="48"/>
      <c r="F111" s="48"/>
      <c r="G111" s="48"/>
      <c r="H111" s="48"/>
      <c r="I111" s="48"/>
      <c r="J111" s="48"/>
    </row>
    <row r="112" spans="2:10" s="37" customFormat="1" ht="33.75">
      <c r="B112" s="48"/>
      <c r="C112" s="138" t="s">
        <v>1432</v>
      </c>
      <c r="D112" s="138"/>
      <c r="E112" s="138"/>
      <c r="F112" s="138"/>
      <c r="G112" s="138"/>
      <c r="H112" s="138"/>
      <c r="I112" s="138"/>
      <c r="J112" s="138"/>
    </row>
    <row r="113" spans="1:10" s="37" customFormat="1" ht="13.5">
      <c r="B113" s="48"/>
      <c r="C113" s="150" t="s">
        <v>310</v>
      </c>
      <c r="D113" s="151">
        <f t="shared" ref="D113:I113" si="24">D18</f>
        <v>46204</v>
      </c>
      <c r="E113" s="151">
        <f t="shared" si="24"/>
        <v>46235</v>
      </c>
      <c r="F113" s="151">
        <f t="shared" si="24"/>
        <v>46266</v>
      </c>
      <c r="G113" s="151">
        <f t="shared" si="24"/>
        <v>46296</v>
      </c>
      <c r="H113" s="151">
        <f t="shared" si="24"/>
        <v>46327</v>
      </c>
      <c r="I113" s="151">
        <f t="shared" si="24"/>
        <v>46357</v>
      </c>
      <c r="J113" s="152" t="s">
        <v>111</v>
      </c>
    </row>
    <row r="114" spans="1:10">
      <c r="A114" s="37"/>
      <c r="C114" s="153" t="s">
        <v>230</v>
      </c>
      <c r="D114" s="154">
        <f t="shared" ref="D114:I114" si="25">SUM(D115:D116)</f>
        <v>88980.764603196745</v>
      </c>
      <c r="E114" s="154">
        <f t="shared" si="25"/>
        <v>84254.20417288602</v>
      </c>
      <c r="F114" s="154">
        <f t="shared" si="25"/>
        <v>89903.548601196497</v>
      </c>
      <c r="G114" s="154">
        <f t="shared" si="25"/>
        <v>97698.52964116665</v>
      </c>
      <c r="H114" s="154">
        <f t="shared" si="25"/>
        <v>88754.650637770595</v>
      </c>
      <c r="I114" s="154">
        <f t="shared" si="25"/>
        <v>94385.883108594207</v>
      </c>
      <c r="J114" s="154">
        <f>SUM(D114:I114)</f>
        <v>543977.58076481067</v>
      </c>
    </row>
    <row r="115" spans="1:10">
      <c r="A115" s="37"/>
      <c r="B115" s="48" t="s">
        <v>870</v>
      </c>
      <c r="C115" s="157" t="s">
        <v>1028</v>
      </c>
      <c r="D115" s="156">
        <f>$E$7*F801D!K116+$D$7*F801ENE!D116</f>
        <v>57907.422915453935</v>
      </c>
      <c r="E115" s="156">
        <f>$E$7*F801D!L116+$D$7*F801ENE!E116</f>
        <v>54210.76774932546</v>
      </c>
      <c r="F115" s="156">
        <f>$E$7*F801D!M116+$D$7*F801ENE!F116</f>
        <v>57674.835014645389</v>
      </c>
      <c r="G115" s="156">
        <f>$E$7*F801D!N116+$D$7*F801ENE!G116</f>
        <v>59342.072015666614</v>
      </c>
      <c r="H115" s="156">
        <f>$E$7*F801D!O116+$D$7*F801ENE!H116</f>
        <v>52559.386362245488</v>
      </c>
      <c r="I115" s="156">
        <f>$E$7*F801D!P116+$D$7*F801ENE!I116</f>
        <v>55147.614476339659</v>
      </c>
      <c r="J115" s="154">
        <f>SUM(D115:I115)</f>
        <v>336842.09853367653</v>
      </c>
    </row>
    <row r="116" spans="1:10">
      <c r="A116" s="37"/>
      <c r="B116" s="48" t="s">
        <v>871</v>
      </c>
      <c r="C116" s="153" t="s">
        <v>193</v>
      </c>
      <c r="D116" s="154">
        <f t="shared" ref="D116:I116" si="26">SUM(D117:D118)</f>
        <v>31073.341687742806</v>
      </c>
      <c r="E116" s="154">
        <f t="shared" si="26"/>
        <v>30043.436423560561</v>
      </c>
      <c r="F116" s="154">
        <f t="shared" si="26"/>
        <v>32228.713586551112</v>
      </c>
      <c r="G116" s="154">
        <f t="shared" si="26"/>
        <v>38356.457625500028</v>
      </c>
      <c r="H116" s="154">
        <f t="shared" si="26"/>
        <v>36195.264275525114</v>
      </c>
      <c r="I116" s="154">
        <f t="shared" si="26"/>
        <v>39238.268632254549</v>
      </c>
      <c r="J116" s="154">
        <f>SUM(D116:I116)</f>
        <v>207135.4822311342</v>
      </c>
    </row>
    <row r="117" spans="1:10">
      <c r="A117" s="37"/>
      <c r="C117" s="157" t="s">
        <v>1074</v>
      </c>
      <c r="D117" s="156">
        <f>$E$8*F801D!K118+$D$8*F801ENE!D118</f>
        <v>0</v>
      </c>
      <c r="E117" s="156">
        <f>$E$8*F801D!L118+$D$8*F801ENE!E118</f>
        <v>0</v>
      </c>
      <c r="F117" s="156">
        <f>$E$8*F801D!M118+$D$8*F801ENE!F118</f>
        <v>0</v>
      </c>
      <c r="G117" s="156">
        <f>$E$8*F801D!N118+$D$8*F801ENE!G118</f>
        <v>0</v>
      </c>
      <c r="H117" s="156">
        <f>$E$8*F801D!O118+$D$8*F801ENE!H118</f>
        <v>0</v>
      </c>
      <c r="I117" s="156">
        <f>$E$8*F801D!P118+$D$8*F801ENE!I118</f>
        <v>0</v>
      </c>
      <c r="J117" s="154">
        <f t="shared" ref="J117:J143" si="27">SUM(D117:I117)</f>
        <v>0</v>
      </c>
    </row>
    <row r="118" spans="1:10">
      <c r="A118" s="37"/>
      <c r="C118" s="157" t="s">
        <v>1075</v>
      </c>
      <c r="D118" s="156">
        <f>$E$8*F801D!K119+$D$8*F801ENE!D119</f>
        <v>31073.341687742806</v>
      </c>
      <c r="E118" s="156">
        <f>$E$8*F801D!L119+$D$8*F801ENE!E119</f>
        <v>30043.436423560561</v>
      </c>
      <c r="F118" s="156">
        <f>$E$8*F801D!M119+$D$8*F801ENE!F119</f>
        <v>32228.713586551112</v>
      </c>
      <c r="G118" s="156">
        <f>$E$8*F801D!N119+$D$8*F801ENE!G119</f>
        <v>38356.457625500028</v>
      </c>
      <c r="H118" s="156">
        <f>$E$8*F801D!O119+$D$8*F801ENE!H119</f>
        <v>36195.264275525114</v>
      </c>
      <c r="I118" s="156">
        <f>$E$8*F801D!P119+$D$8*F801ENE!I119</f>
        <v>39238.268632254549</v>
      </c>
      <c r="J118" s="154">
        <f t="shared" si="27"/>
        <v>207135.4822311342</v>
      </c>
    </row>
    <row r="119" spans="1:10">
      <c r="A119" s="37"/>
      <c r="C119" s="153" t="s">
        <v>893</v>
      </c>
      <c r="D119" s="156"/>
      <c r="E119" s="156"/>
      <c r="F119" s="156"/>
      <c r="G119" s="156"/>
      <c r="H119" s="156"/>
      <c r="I119" s="156"/>
      <c r="J119" s="154">
        <f t="shared" si="27"/>
        <v>0</v>
      </c>
    </row>
    <row r="120" spans="1:10">
      <c r="A120" s="37"/>
      <c r="C120" s="157"/>
      <c r="D120" s="156"/>
      <c r="E120" s="156"/>
      <c r="F120" s="156"/>
      <c r="G120" s="156"/>
      <c r="H120" s="156"/>
      <c r="I120" s="156"/>
      <c r="J120" s="154">
        <f t="shared" si="27"/>
        <v>0</v>
      </c>
    </row>
    <row r="121" spans="1:10">
      <c r="A121" s="37"/>
      <c r="C121" s="153" t="s">
        <v>194</v>
      </c>
      <c r="D121" s="154">
        <f t="shared" ref="D121:I121" si="28">D122+D127</f>
        <v>392304.09025881352</v>
      </c>
      <c r="E121" s="154">
        <f t="shared" si="28"/>
        <v>385858.08778995287</v>
      </c>
      <c r="F121" s="154">
        <f t="shared" si="28"/>
        <v>384346.05471074628</v>
      </c>
      <c r="G121" s="154">
        <f t="shared" si="28"/>
        <v>393515.26141557691</v>
      </c>
      <c r="H121" s="154">
        <f t="shared" si="28"/>
        <v>377405.72256619704</v>
      </c>
      <c r="I121" s="154">
        <f t="shared" si="28"/>
        <v>388597.49887679325</v>
      </c>
      <c r="J121" s="154">
        <f t="shared" si="27"/>
        <v>2322026.71561808</v>
      </c>
    </row>
    <row r="122" spans="1:10">
      <c r="A122" s="37"/>
      <c r="B122" s="48" t="s">
        <v>872</v>
      </c>
      <c r="C122" s="153" t="s">
        <v>277</v>
      </c>
      <c r="D122" s="154">
        <f t="shared" ref="D122:I122" si="29">SUM(D123:D126)</f>
        <v>75126.223688324957</v>
      </c>
      <c r="E122" s="154">
        <f t="shared" si="29"/>
        <v>74277.664387390338</v>
      </c>
      <c r="F122" s="154">
        <f t="shared" si="29"/>
        <v>74476.624077492481</v>
      </c>
      <c r="G122" s="154">
        <f t="shared" si="29"/>
        <v>77382.857193162723</v>
      </c>
      <c r="H122" s="154">
        <f t="shared" si="29"/>
        <v>73771.37621476152</v>
      </c>
      <c r="I122" s="154">
        <f t="shared" si="29"/>
        <v>74416.895494644123</v>
      </c>
      <c r="J122" s="154">
        <f>SUM(D122:I122)</f>
        <v>449451.6410557761</v>
      </c>
    </row>
    <row r="123" spans="1:10">
      <c r="A123" s="37"/>
      <c r="C123" s="157" t="s">
        <v>980</v>
      </c>
      <c r="D123" s="156">
        <f>$E$9*F801D!K124+$D$9*F801ENE!D124</f>
        <v>49018.740313959905</v>
      </c>
      <c r="E123" s="156">
        <f>$E$9*F801D!L124+$D$9*F801ENE!E124</f>
        <v>47595.002710378008</v>
      </c>
      <c r="F123" s="156">
        <f>$E$9*F801D!M124+$D$9*F801ENE!F124</f>
        <v>46543.567209446526</v>
      </c>
      <c r="G123" s="156">
        <f>$E$9*F801D!N124+$D$9*F801ENE!G124</f>
        <v>47166.203988261921</v>
      </c>
      <c r="H123" s="156">
        <f>$E$9*F801D!O124+$D$9*F801ENE!H124</f>
        <v>44991.208432647749</v>
      </c>
      <c r="I123" s="156">
        <f>$E$9*F801D!P124+$D$9*F801ENE!I124</f>
        <v>44442.806877601121</v>
      </c>
      <c r="J123" s="154">
        <f t="shared" si="27"/>
        <v>279757.52953229524</v>
      </c>
    </row>
    <row r="124" spans="1:10">
      <c r="A124" s="37"/>
      <c r="C124" s="157" t="s">
        <v>981</v>
      </c>
      <c r="D124" s="156">
        <f>$E$9*F801D!K125+$D$9*F801ENE!D125</f>
        <v>3092.2597971648329</v>
      </c>
      <c r="E124" s="156">
        <f>$E$9*F801D!L125+$D$9*F801ENE!E125</f>
        <v>3221.9775866792274</v>
      </c>
      <c r="F124" s="156">
        <f>$E$9*F801D!M125+$D$9*F801ENE!F125</f>
        <v>3259.7186336778964</v>
      </c>
      <c r="G124" s="156">
        <f>$E$9*F801D!N125+$D$9*F801ENE!G125</f>
        <v>3539.0014889587983</v>
      </c>
      <c r="H124" s="156">
        <f>$E$9*F801D!O125+$D$9*F801ENE!H125</f>
        <v>3576.8177248228176</v>
      </c>
      <c r="I124" s="156">
        <f>$E$9*F801D!P125+$D$9*F801ENE!I125</f>
        <v>2757.6372571921602</v>
      </c>
      <c r="J124" s="154">
        <f t="shared" si="27"/>
        <v>19447.412488495731</v>
      </c>
    </row>
    <row r="125" spans="1:10">
      <c r="A125" s="37"/>
      <c r="C125" s="157" t="s">
        <v>1019</v>
      </c>
      <c r="D125" s="156">
        <f>$E$9*F801D!K126+$D$9*F801ENE!D126</f>
        <v>844.63484521900261</v>
      </c>
      <c r="E125" s="156">
        <f>$E$9*F801D!L126+$D$9*F801ENE!E126</f>
        <v>831.92457527658928</v>
      </c>
      <c r="F125" s="156">
        <f>$E$9*F801D!M126+$D$9*F801ENE!F126</f>
        <v>810.33029247476861</v>
      </c>
      <c r="G125" s="156">
        <f>$E$9*F801D!N126+$D$9*F801ENE!G126</f>
        <v>844.4557609650135</v>
      </c>
      <c r="H125" s="156">
        <f>$E$9*F801D!O126+$D$9*F801ENE!H126</f>
        <v>821.42157770396352</v>
      </c>
      <c r="I125" s="156">
        <f>$E$9*F801D!P126+$D$9*F801ENE!I126</f>
        <v>799.65014963998533</v>
      </c>
      <c r="J125" s="154">
        <f>SUM(D125:I125)</f>
        <v>4952.4172012793224</v>
      </c>
    </row>
    <row r="126" spans="1:10">
      <c r="A126" s="37"/>
      <c r="C126" s="157" t="s">
        <v>1766</v>
      </c>
      <c r="D126" s="156">
        <f>$E$9*F801D!K127+$D$9*F801ENE!D127</f>
        <v>22170.588731981217</v>
      </c>
      <c r="E126" s="156">
        <f>$E$9*F801D!L127+$D$9*F801ENE!E127</f>
        <v>22628.759515056503</v>
      </c>
      <c r="F126" s="156">
        <f>$E$9*F801D!M127+$D$9*F801ENE!F127</f>
        <v>23863.007941893295</v>
      </c>
      <c r="G126" s="156">
        <f>$E$9*F801D!N127+$D$9*F801ENE!G127</f>
        <v>25833.195954976996</v>
      </c>
      <c r="H126" s="156">
        <f>$E$9*F801D!O127+$D$9*F801ENE!H127</f>
        <v>24381.928479586997</v>
      </c>
      <c r="I126" s="156">
        <f>$E$9*F801D!P127+$D$9*F801ENE!I127</f>
        <v>26416.801210210848</v>
      </c>
      <c r="J126" s="154">
        <f>SUM(D126:I126)</f>
        <v>145294.28183370584</v>
      </c>
    </row>
    <row r="127" spans="1:10">
      <c r="A127" s="37"/>
      <c r="B127" s="48" t="s">
        <v>873</v>
      </c>
      <c r="C127" s="153" t="s">
        <v>193</v>
      </c>
      <c r="D127" s="154">
        <f t="shared" ref="D127:I127" si="30">SUM(D128:D132)</f>
        <v>317177.86657048855</v>
      </c>
      <c r="E127" s="154">
        <f t="shared" si="30"/>
        <v>311580.4234025625</v>
      </c>
      <c r="F127" s="154">
        <f t="shared" si="30"/>
        <v>309869.43063325377</v>
      </c>
      <c r="G127" s="154">
        <f t="shared" si="30"/>
        <v>316132.40422241419</v>
      </c>
      <c r="H127" s="154">
        <f t="shared" si="30"/>
        <v>303634.34635143552</v>
      </c>
      <c r="I127" s="154">
        <f t="shared" si="30"/>
        <v>314180.60338214913</v>
      </c>
      <c r="J127" s="154">
        <f t="shared" si="27"/>
        <v>1872575.0745623037</v>
      </c>
    </row>
    <row r="128" spans="1:10">
      <c r="A128" s="37"/>
      <c r="C128" s="157" t="s">
        <v>944</v>
      </c>
      <c r="D128" s="156">
        <f>$E$10*F801D!K129+$D$10*F801ENE!D129</f>
        <v>0</v>
      </c>
      <c r="E128" s="156">
        <f>$E$10*F801D!L129+$D$10*F801ENE!E129</f>
        <v>0</v>
      </c>
      <c r="F128" s="156">
        <f>$E$10*F801D!M129+$D$10*F801ENE!F129</f>
        <v>0</v>
      </c>
      <c r="G128" s="156">
        <f>$E$10*F801D!N129+$D$10*F801ENE!G129</f>
        <v>0</v>
      </c>
      <c r="H128" s="156">
        <f>$E$10*F801D!O129+$D$10*F801ENE!H129</f>
        <v>0</v>
      </c>
      <c r="I128" s="156">
        <f>$E$10*F801D!P129+$D$10*F801ENE!I129</f>
        <v>0</v>
      </c>
      <c r="J128" s="154">
        <f t="shared" si="27"/>
        <v>0</v>
      </c>
    </row>
    <row r="129" spans="1:10">
      <c r="A129" s="37"/>
      <c r="C129" s="157" t="s">
        <v>943</v>
      </c>
      <c r="D129" s="156">
        <f>$E$10*F801D!K130+$D$10*F801ENE!D130</f>
        <v>209674.05795195888</v>
      </c>
      <c r="E129" s="156">
        <f>$E$10*F801D!L130+$D$10*F801ENE!E130</f>
        <v>205764.70777671612</v>
      </c>
      <c r="F129" s="156">
        <f>$E$10*F801D!M130+$D$10*F801ENE!F130</f>
        <v>189643.76971197448</v>
      </c>
      <c r="G129" s="156">
        <f>$E$10*F801D!N130+$D$10*F801ENE!G130</f>
        <v>194607.7919598619</v>
      </c>
      <c r="H129" s="156">
        <f>$E$10*F801D!O130+$D$10*F801ENE!H130</f>
        <v>185342.62457777298</v>
      </c>
      <c r="I129" s="156">
        <f>$E$10*F801D!P130+$D$10*F801ENE!I130</f>
        <v>188268.00946299045</v>
      </c>
      <c r="J129" s="154">
        <f t="shared" si="27"/>
        <v>1173300.9614412747</v>
      </c>
    </row>
    <row r="130" spans="1:10">
      <c r="A130" s="37"/>
      <c r="C130" s="157" t="s">
        <v>1020</v>
      </c>
      <c r="D130" s="156">
        <f>$E$10*F801D!K131+$D$10*F801ENE!D131</f>
        <v>15512.404404013305</v>
      </c>
      <c r="E130" s="156">
        <f>$E$10*F801D!L131+$D$10*F801ENE!E131</f>
        <v>14189.465679720193</v>
      </c>
      <c r="F130" s="156">
        <f>$E$10*F801D!M131+$D$10*F801ENE!F131</f>
        <v>16443.903376020822</v>
      </c>
      <c r="G130" s="156">
        <f>$E$10*F801D!N131+$D$10*F801ENE!G131</f>
        <v>14083.524821856972</v>
      </c>
      <c r="H130" s="156">
        <f>$E$10*F801D!O131+$D$10*F801ENE!H131</f>
        <v>13507.184464291609</v>
      </c>
      <c r="I130" s="156">
        <f>$E$10*F801D!P131+$D$10*F801ENE!I131</f>
        <v>15215.092360315901</v>
      </c>
      <c r="J130" s="154">
        <f t="shared" si="27"/>
        <v>88951.575106218806</v>
      </c>
    </row>
    <row r="131" spans="1:10">
      <c r="A131" s="37"/>
      <c r="C131" s="157" t="s">
        <v>1021</v>
      </c>
      <c r="D131" s="156">
        <f>$E$10*F801D!K132+$D$10*F801ENE!D132</f>
        <v>12763.521712491587</v>
      </c>
      <c r="E131" s="156">
        <f>$E$10*F801D!L132+$D$10*F801ENE!E132</f>
        <v>13056.351578412163</v>
      </c>
      <c r="F131" s="156">
        <f>$E$10*F801D!M132+$D$10*F801ENE!F132</f>
        <v>12789.304731834236</v>
      </c>
      <c r="G131" s="156">
        <f>$E$10*F801D!N132+$D$10*F801ENE!G132</f>
        <v>12984.138777393355</v>
      </c>
      <c r="H131" s="156">
        <f>$E$10*F801D!O132+$D$10*F801ENE!H132</f>
        <v>12122.438623753565</v>
      </c>
      <c r="I131" s="156">
        <f>$E$10*F801D!P132+$D$10*F801ENE!I132</f>
        <v>12906.309295550243</v>
      </c>
      <c r="J131" s="154">
        <f>SUM(D131:I131)</f>
        <v>76622.064719435148</v>
      </c>
    </row>
    <row r="132" spans="1:10">
      <c r="A132" s="37"/>
      <c r="C132" s="157" t="s">
        <v>1163</v>
      </c>
      <c r="D132" s="156">
        <f>$E$10*F801D!K133+$D$10*F801ENE!D133</f>
        <v>79227.882502024819</v>
      </c>
      <c r="E132" s="156">
        <f>$E$10*F801D!L133+$D$10*F801ENE!E133</f>
        <v>78569.89836771405</v>
      </c>
      <c r="F132" s="156">
        <f>$E$10*F801D!M133+$D$10*F801ENE!F133</f>
        <v>90992.452813424199</v>
      </c>
      <c r="G132" s="156">
        <f>$E$10*F801D!N133+$D$10*F801ENE!G133</f>
        <v>94456.94866330197</v>
      </c>
      <c r="H132" s="156">
        <f>$E$10*F801D!O133+$D$10*F801ENE!H133</f>
        <v>92662.098685617355</v>
      </c>
      <c r="I132" s="156">
        <f>$E$10*F801D!P133+$D$10*F801ENE!I133</f>
        <v>97791.192263292556</v>
      </c>
      <c r="J132" s="154">
        <f>SUM(D132:I132)</f>
        <v>533700.47329537501</v>
      </c>
    </row>
    <row r="133" spans="1:10">
      <c r="A133" s="37"/>
      <c r="C133" s="157"/>
      <c r="D133" s="156"/>
      <c r="E133" s="156"/>
      <c r="F133" s="156"/>
      <c r="G133" s="156"/>
      <c r="H133" s="156"/>
      <c r="I133" s="156"/>
      <c r="J133" s="154"/>
    </row>
    <row r="134" spans="1:10">
      <c r="A134" s="37"/>
      <c r="C134" s="153" t="s">
        <v>308</v>
      </c>
      <c r="D134" s="154">
        <f t="shared" ref="D134:I134" si="31">SUM(D135:D136)</f>
        <v>70219.829950701009</v>
      </c>
      <c r="E134" s="154">
        <f t="shared" si="31"/>
        <v>69309.799809765565</v>
      </c>
      <c r="F134" s="154">
        <f t="shared" si="31"/>
        <v>70814.068969231608</v>
      </c>
      <c r="G134" s="154">
        <f t="shared" si="31"/>
        <v>73191.33902348025</v>
      </c>
      <c r="H134" s="154">
        <f t="shared" si="31"/>
        <v>70586.108474059685</v>
      </c>
      <c r="I134" s="154">
        <f t="shared" si="31"/>
        <v>76798.996497764922</v>
      </c>
      <c r="J134" s="154">
        <f t="shared" si="27"/>
        <v>430920.14272500307</v>
      </c>
    </row>
    <row r="135" spans="1:10">
      <c r="A135" s="37"/>
      <c r="B135" s="48" t="s">
        <v>874</v>
      </c>
      <c r="C135" s="157" t="s">
        <v>1027</v>
      </c>
      <c r="D135" s="156">
        <f>$E$11*F801D!K137+$D$11*F801ENE!D137</f>
        <v>1510.413132355164</v>
      </c>
      <c r="E135" s="156">
        <f>$E$11*F801D!L137+$D$11*F801ENE!E137</f>
        <v>1439.1661973529961</v>
      </c>
      <c r="F135" s="156">
        <f>$E$11*F801D!M137+$D$11*F801ENE!F137</f>
        <v>1444.6322514777598</v>
      </c>
      <c r="G135" s="156">
        <f>$E$11*F801D!N137+$D$11*F801ENE!G137</f>
        <v>1463.2446498012</v>
      </c>
      <c r="H135" s="156">
        <f>$E$11*F801D!O137+$D$11*F801ENE!H137</f>
        <v>1475.2132970414759</v>
      </c>
      <c r="I135" s="156">
        <f>$E$11*F801D!P137+$D$11*F801ENE!I137</f>
        <v>1486.3715047836006</v>
      </c>
      <c r="J135" s="154">
        <f t="shared" si="27"/>
        <v>8819.0410328121961</v>
      </c>
    </row>
    <row r="136" spans="1:10">
      <c r="A136" s="37"/>
      <c r="B136" s="48" t="s">
        <v>875</v>
      </c>
      <c r="C136" s="153" t="s">
        <v>193</v>
      </c>
      <c r="D136" s="154">
        <f t="shared" ref="D136:I136" si="32">SUM(D137:D141)</f>
        <v>68709.416818345839</v>
      </c>
      <c r="E136" s="154">
        <f t="shared" si="32"/>
        <v>67870.633612412566</v>
      </c>
      <c r="F136" s="154">
        <f t="shared" si="32"/>
        <v>69369.436717753852</v>
      </c>
      <c r="G136" s="154">
        <f t="shared" si="32"/>
        <v>71728.09437367905</v>
      </c>
      <c r="H136" s="154">
        <f t="shared" si="32"/>
        <v>69110.895177018203</v>
      </c>
      <c r="I136" s="154">
        <f t="shared" si="32"/>
        <v>75312.62499298132</v>
      </c>
      <c r="J136" s="154">
        <f t="shared" si="27"/>
        <v>422101.1016921908</v>
      </c>
    </row>
    <row r="137" spans="1:10">
      <c r="A137" s="37"/>
      <c r="C137" s="157" t="s">
        <v>1022</v>
      </c>
      <c r="D137" s="156">
        <f>$E$12*F801D!K140+$D$12*F801ENE!D140</f>
        <v>640.16248866801016</v>
      </c>
      <c r="E137" s="156">
        <f>$E$12*F801D!L140+$D$12*F801ENE!E140</f>
        <v>633.50574377797193</v>
      </c>
      <c r="F137" s="156">
        <f>$E$12*F801D!M140+$D$12*F801ENE!F140</f>
        <v>633.3102020610479</v>
      </c>
      <c r="G137" s="156">
        <f>$E$12*F801D!N140+$D$12*F801ENE!G140</f>
        <v>661.81992289931395</v>
      </c>
      <c r="H137" s="156">
        <f>$E$12*F801D!O140+$D$12*F801ENE!H140</f>
        <v>617.54935907676008</v>
      </c>
      <c r="I137" s="156">
        <f>$E$12*F801D!P140+$D$12*F801ENE!I140</f>
        <v>646.93158574955396</v>
      </c>
      <c r="J137" s="154">
        <f t="shared" si="27"/>
        <v>3833.2793022326578</v>
      </c>
    </row>
    <row r="138" spans="1:10">
      <c r="A138" s="37"/>
      <c r="C138" s="157" t="s">
        <v>1023</v>
      </c>
      <c r="D138" s="156">
        <f>$E$12*F801D!K141+$D$12*F801ENE!D141</f>
        <v>45489.029669405063</v>
      </c>
      <c r="E138" s="156">
        <f>$E$12*F801D!L141+$D$12*F801ENE!E141</f>
        <v>44646.206246757341</v>
      </c>
      <c r="F138" s="156">
        <f>$E$12*F801D!M141+$D$12*F801ENE!F141</f>
        <v>43768.255638310111</v>
      </c>
      <c r="G138" s="156">
        <f>$E$12*F801D!N141+$D$12*F801ENE!G141</f>
        <v>44546.700752373989</v>
      </c>
      <c r="H138" s="156">
        <f>$E$12*F801D!O141+$D$12*F801ENE!H141</f>
        <v>42336.880234204393</v>
      </c>
      <c r="I138" s="156">
        <f>$E$12*F801D!P141+$D$12*F801ENE!I141</f>
        <v>44646.387676342085</v>
      </c>
      <c r="J138" s="154">
        <f t="shared" si="27"/>
        <v>265433.460217393</v>
      </c>
    </row>
    <row r="139" spans="1:10">
      <c r="A139" s="37"/>
      <c r="C139" s="157" t="s">
        <v>1024</v>
      </c>
      <c r="D139" s="156">
        <f>$E$12*F801D!K142+$D$12*F801ENE!D142</f>
        <v>1015.506965138544</v>
      </c>
      <c r="E139" s="156">
        <f>$E$12*F801D!L142+$D$12*F801ENE!E142</f>
        <v>1024.654871604258</v>
      </c>
      <c r="F139" s="156">
        <f>$E$12*F801D!M142+$D$12*F801ENE!F142</f>
        <v>982.20220977040185</v>
      </c>
      <c r="G139" s="156">
        <f>$E$12*F801D!N142+$D$12*F801ENE!G142</f>
        <v>983.78510557710615</v>
      </c>
      <c r="H139" s="156">
        <f>$E$12*F801D!O142+$D$12*F801ENE!H142</f>
        <v>926.41068613031393</v>
      </c>
      <c r="I139" s="156">
        <f>$E$12*F801D!P142+$D$12*F801ENE!I142</f>
        <v>949.47547727262759</v>
      </c>
      <c r="J139" s="154">
        <f t="shared" si="27"/>
        <v>5882.0353154932518</v>
      </c>
    </row>
    <row r="140" spans="1:10">
      <c r="A140" s="37"/>
      <c r="C140" s="157" t="s">
        <v>1025</v>
      </c>
      <c r="D140" s="156">
        <f>$E$12*F801D!K143+$D$12*F801ENE!D143</f>
        <v>8943.9025938883733</v>
      </c>
      <c r="E140" s="156">
        <f>$E$12*F801D!L143+$D$12*F801ENE!E143</f>
        <v>8772.4780209771016</v>
      </c>
      <c r="F140" s="156">
        <f>$E$12*F801D!M143+$D$12*F801ENE!F143</f>
        <v>8598.369901153379</v>
      </c>
      <c r="G140" s="156">
        <f>$E$12*F801D!N143+$D$12*F801ENE!G143</f>
        <v>8790.5400122575684</v>
      </c>
      <c r="H140" s="156">
        <f>$E$12*F801D!O143+$D$12*F801ENE!H143</f>
        <v>8221.4234443259738</v>
      </c>
      <c r="I140" s="156">
        <f>$E$12*F801D!P143+$D$12*F801ENE!I143</f>
        <v>8159.5715250294443</v>
      </c>
      <c r="J140" s="154">
        <f t="shared" si="27"/>
        <v>51486.285497631849</v>
      </c>
    </row>
    <row r="141" spans="1:10">
      <c r="A141" s="37"/>
      <c r="C141" s="157" t="s">
        <v>1162</v>
      </c>
      <c r="D141" s="156">
        <f>$E$12*F801D!K144+$D$12*F801ENE!D144</f>
        <v>12620.815101245849</v>
      </c>
      <c r="E141" s="156">
        <f>$E$12*F801D!L144+$D$12*F801ENE!E144</f>
        <v>12793.788729295893</v>
      </c>
      <c r="F141" s="156">
        <f>$E$12*F801D!M144+$D$12*F801ENE!F144</f>
        <v>15387.298766458924</v>
      </c>
      <c r="G141" s="156">
        <f>$E$12*F801D!N144+$D$12*F801ENE!G144</f>
        <v>16745.248580571075</v>
      </c>
      <c r="H141" s="156">
        <f>$E$12*F801D!O144+$D$12*F801ENE!H144</f>
        <v>17008.631453280759</v>
      </c>
      <c r="I141" s="156">
        <f>$E$12*F801D!P144+$D$12*F801ENE!I144</f>
        <v>20910.258728587607</v>
      </c>
      <c r="J141" s="154">
        <f t="shared" si="27"/>
        <v>95466.041359440103</v>
      </c>
    </row>
    <row r="142" spans="1:10">
      <c r="A142" s="37"/>
      <c r="C142" s="157"/>
      <c r="D142" s="156"/>
      <c r="E142" s="156"/>
      <c r="F142" s="156"/>
      <c r="G142" s="156"/>
      <c r="H142" s="156"/>
      <c r="I142" s="156"/>
      <c r="J142" s="154">
        <f t="shared" si="27"/>
        <v>0</v>
      </c>
    </row>
    <row r="143" spans="1:10">
      <c r="A143" s="37"/>
      <c r="C143" s="153" t="s">
        <v>112</v>
      </c>
      <c r="D143" s="154">
        <f t="shared" ref="D143:I143" si="33">D114+D121+D134</f>
        <v>551504.68481271132</v>
      </c>
      <c r="E143" s="154">
        <f t="shared" si="33"/>
        <v>539422.0917726045</v>
      </c>
      <c r="F143" s="154">
        <f t="shared" si="33"/>
        <v>545063.67228117434</v>
      </c>
      <c r="G143" s="154">
        <f t="shared" si="33"/>
        <v>564405.13008022378</v>
      </c>
      <c r="H143" s="154">
        <f t="shared" si="33"/>
        <v>536746.48167802731</v>
      </c>
      <c r="I143" s="154">
        <f t="shared" si="33"/>
        <v>559782.37848315237</v>
      </c>
      <c r="J143" s="154">
        <f t="shared" si="27"/>
        <v>3296924.439107894</v>
      </c>
    </row>
    <row r="144" spans="1:10">
      <c r="C144" s="164"/>
      <c r="D144" s="164"/>
      <c r="E144" s="164"/>
      <c r="F144" s="164"/>
      <c r="G144" s="164"/>
      <c r="H144" s="164"/>
      <c r="I144" s="164"/>
      <c r="J144" s="164"/>
    </row>
    <row r="145" spans="2:10">
      <c r="C145" s="179" t="s">
        <v>111</v>
      </c>
      <c r="D145" s="180">
        <f t="shared" ref="D145:J145" si="34">D110+D143</f>
        <v>2542737.7181515368</v>
      </c>
      <c r="E145" s="180">
        <f t="shared" si="34"/>
        <v>2531486.151929664</v>
      </c>
      <c r="F145" s="180">
        <f t="shared" si="34"/>
        <v>2516716.8985259347</v>
      </c>
      <c r="G145" s="180">
        <f t="shared" si="34"/>
        <v>2549640.6823648941</v>
      </c>
      <c r="H145" s="180">
        <f t="shared" si="34"/>
        <v>2452689.7465235428</v>
      </c>
      <c r="I145" s="180">
        <f t="shared" si="34"/>
        <v>2467897.6280256049</v>
      </c>
      <c r="J145" s="180">
        <f t="shared" si="34"/>
        <v>15061168.825521179</v>
      </c>
    </row>
    <row r="147" spans="2:10">
      <c r="C147" s="52" t="str">
        <f>'PORTADA PORTADA PORTADA'!$B$23</f>
        <v>1 DE JULIO DE 2026</v>
      </c>
    </row>
    <row r="148" spans="2:10" s="58" customFormat="1" ht="12">
      <c r="B148" s="1166"/>
    </row>
    <row r="149" spans="2:10" s="58" customFormat="1" ht="12">
      <c r="B149" s="1166" t="s">
        <v>902</v>
      </c>
      <c r="D149" s="1167">
        <f t="shared" ref="D149:J158" si="35">SUMIF($B$18:$B$145,$B149,D$18:D$145)</f>
        <v>94704.301575253834</v>
      </c>
      <c r="E149" s="1167">
        <f t="shared" si="35"/>
        <v>94743.825745864422</v>
      </c>
      <c r="F149" s="1167">
        <f t="shared" si="35"/>
        <v>92954.370190601985</v>
      </c>
      <c r="G149" s="1167">
        <f t="shared" si="35"/>
        <v>94419.057514271321</v>
      </c>
      <c r="H149" s="1167">
        <f t="shared" si="35"/>
        <v>90327.90144918728</v>
      </c>
      <c r="I149" s="1167">
        <f t="shared" si="35"/>
        <v>90751.166254631156</v>
      </c>
      <c r="J149" s="1167">
        <f t="shared" si="35"/>
        <v>557900.62272980995</v>
      </c>
    </row>
    <row r="150" spans="2:10" s="58" customFormat="1" ht="12">
      <c r="B150" s="1166" t="s">
        <v>751</v>
      </c>
      <c r="D150" s="1167">
        <f t="shared" si="35"/>
        <v>521129.71218420204</v>
      </c>
      <c r="E150" s="1167">
        <f t="shared" si="35"/>
        <v>521347.20469741552</v>
      </c>
      <c r="F150" s="1167">
        <f t="shared" si="35"/>
        <v>511500.23814542184</v>
      </c>
      <c r="G150" s="1167">
        <f t="shared" si="35"/>
        <v>519560.07905227563</v>
      </c>
      <c r="H150" s="1167">
        <f t="shared" si="35"/>
        <v>497047.3785756437</v>
      </c>
      <c r="I150" s="1167">
        <f t="shared" si="35"/>
        <v>499376.50844399119</v>
      </c>
      <c r="J150" s="1167">
        <f t="shared" si="35"/>
        <v>3069961.1210989496</v>
      </c>
    </row>
    <row r="151" spans="2:10" s="58" customFormat="1" ht="12">
      <c r="B151" s="1166" t="s">
        <v>750</v>
      </c>
      <c r="D151" s="1167">
        <f t="shared" si="35"/>
        <v>196060.26314474712</v>
      </c>
      <c r="E151" s="1167">
        <f t="shared" si="35"/>
        <v>196142.08750923316</v>
      </c>
      <c r="F151" s="1167">
        <f t="shared" si="35"/>
        <v>192437.4920345303</v>
      </c>
      <c r="G151" s="1167">
        <f t="shared" si="35"/>
        <v>195469.74059480499</v>
      </c>
      <c r="H151" s="1167">
        <f t="shared" si="35"/>
        <v>187000.08165276391</v>
      </c>
      <c r="I151" s="1167">
        <f t="shared" si="35"/>
        <v>187876.33972927055</v>
      </c>
      <c r="J151" s="1167">
        <f t="shared" si="35"/>
        <v>1154986.0046653501</v>
      </c>
    </row>
    <row r="152" spans="2:10" s="58" customFormat="1" ht="12">
      <c r="B152" s="1166" t="s">
        <v>749</v>
      </c>
      <c r="D152" s="1167">
        <f t="shared" si="35"/>
        <v>193935.31814102962</v>
      </c>
      <c r="E152" s="1167">
        <f t="shared" si="35"/>
        <v>194016.25567474382</v>
      </c>
      <c r="F152" s="1167">
        <f t="shared" si="35"/>
        <v>190351.81143476078</v>
      </c>
      <c r="G152" s="1167">
        <f t="shared" si="35"/>
        <v>193351.19580662306</v>
      </c>
      <c r="H152" s="1167">
        <f t="shared" si="35"/>
        <v>184973.33292342332</v>
      </c>
      <c r="I152" s="1167">
        <f t="shared" si="35"/>
        <v>185840.09391881942</v>
      </c>
      <c r="J152" s="1167">
        <f t="shared" si="35"/>
        <v>1142468.0078994001</v>
      </c>
    </row>
    <row r="153" spans="2:10" s="58" customFormat="1" ht="12">
      <c r="B153" s="1166" t="s">
        <v>1176</v>
      </c>
      <c r="D153" s="1167">
        <f t="shared" si="35"/>
        <v>6.33</v>
      </c>
      <c r="E153" s="1167">
        <f t="shared" si="35"/>
        <v>6.33</v>
      </c>
      <c r="F153" s="1167">
        <f t="shared" si="35"/>
        <v>6.33</v>
      </c>
      <c r="G153" s="1167">
        <f t="shared" si="35"/>
        <v>6.33</v>
      </c>
      <c r="H153" s="1167">
        <f t="shared" si="35"/>
        <v>6.33</v>
      </c>
      <c r="I153" s="1167">
        <f t="shared" si="35"/>
        <v>6.33</v>
      </c>
      <c r="J153" s="1167">
        <f t="shared" si="35"/>
        <v>37.979999999999997</v>
      </c>
    </row>
    <row r="154" spans="2:10" s="58" customFormat="1" ht="12">
      <c r="B154" s="1166" t="s">
        <v>274</v>
      </c>
      <c r="D154" s="1167">
        <f t="shared" si="35"/>
        <v>602598.17127519124</v>
      </c>
      <c r="E154" s="1167">
        <f t="shared" si="35"/>
        <v>602849.66136101563</v>
      </c>
      <c r="F154" s="1167">
        <f t="shared" si="35"/>
        <v>601828.24639917561</v>
      </c>
      <c r="G154" s="1167">
        <f t="shared" si="35"/>
        <v>600783.17927740328</v>
      </c>
      <c r="H154" s="1167">
        <f t="shared" si="35"/>
        <v>584823.31082028162</v>
      </c>
      <c r="I154" s="1167">
        <f t="shared" si="35"/>
        <v>577444.59244733106</v>
      </c>
      <c r="J154" s="1167">
        <f t="shared" si="35"/>
        <v>3570327.1615803987</v>
      </c>
    </row>
    <row r="155" spans="2:10" s="58" customFormat="1" ht="12">
      <c r="B155" s="1166" t="s">
        <v>275</v>
      </c>
      <c r="D155" s="1167">
        <f t="shared" si="35"/>
        <v>19470.153618548582</v>
      </c>
      <c r="E155" s="1167">
        <f t="shared" si="35"/>
        <v>19478.279349488294</v>
      </c>
      <c r="F155" s="1167">
        <f t="shared" si="35"/>
        <v>19561.147973160103</v>
      </c>
      <c r="G155" s="1167">
        <f t="shared" si="35"/>
        <v>19411.510604517214</v>
      </c>
      <c r="H155" s="1167">
        <f t="shared" si="35"/>
        <v>19008.438685879202</v>
      </c>
      <c r="I155" s="1167">
        <f t="shared" si="35"/>
        <v>18657.432858380434</v>
      </c>
      <c r="J155" s="1167">
        <f t="shared" si="35"/>
        <v>115586.96308997383</v>
      </c>
    </row>
    <row r="156" spans="2:10" s="58" customFormat="1" ht="12">
      <c r="B156" s="1166" t="s">
        <v>276</v>
      </c>
      <c r="D156" s="1167">
        <f t="shared" si="35"/>
        <v>223173.69914604718</v>
      </c>
      <c r="E156" s="1167">
        <f t="shared" si="35"/>
        <v>223266.83911132993</v>
      </c>
      <c r="F156" s="1167">
        <f t="shared" si="35"/>
        <v>223098.34117076924</v>
      </c>
      <c r="G156" s="1167">
        <f t="shared" si="35"/>
        <v>222501.5124429086</v>
      </c>
      <c r="H156" s="1167">
        <f t="shared" si="35"/>
        <v>216794.59430932539</v>
      </c>
      <c r="I156" s="1167">
        <f t="shared" si="35"/>
        <v>213858.01001626445</v>
      </c>
      <c r="J156" s="1167">
        <f t="shared" si="35"/>
        <v>1322692.9961966448</v>
      </c>
    </row>
    <row r="157" spans="2:10" s="58" customFormat="1" ht="12">
      <c r="B157" s="1166" t="s">
        <v>277</v>
      </c>
      <c r="D157" s="1167">
        <f t="shared" si="35"/>
        <v>36269.783411030927</v>
      </c>
      <c r="E157" s="1167">
        <f t="shared" si="35"/>
        <v>36284.920348674743</v>
      </c>
      <c r="F157" s="1167">
        <f t="shared" si="35"/>
        <v>36258.923033446888</v>
      </c>
      <c r="G157" s="1167">
        <f t="shared" si="35"/>
        <v>36160.540851410777</v>
      </c>
      <c r="H157" s="1167">
        <f t="shared" si="35"/>
        <v>35234.410385473093</v>
      </c>
      <c r="I157" s="1167">
        <f t="shared" si="35"/>
        <v>34755.814568131551</v>
      </c>
      <c r="J157" s="1167">
        <f t="shared" si="35"/>
        <v>214964.39259816796</v>
      </c>
    </row>
    <row r="158" spans="2:10" s="58" customFormat="1" ht="12">
      <c r="B158" s="1166" t="s">
        <v>278</v>
      </c>
      <c r="D158" s="1167">
        <f t="shared" si="35"/>
        <v>3.3849999999999998</v>
      </c>
      <c r="E158" s="1167">
        <f t="shared" si="35"/>
        <v>3.3849999999999998</v>
      </c>
      <c r="F158" s="1167">
        <f t="shared" si="35"/>
        <v>3.3849999999999998</v>
      </c>
      <c r="G158" s="1167">
        <f t="shared" si="35"/>
        <v>3.3849999999999998</v>
      </c>
      <c r="H158" s="1167">
        <f t="shared" si="35"/>
        <v>3.3849999999999998</v>
      </c>
      <c r="I158" s="1167">
        <f t="shared" si="35"/>
        <v>3.3849999999999998</v>
      </c>
      <c r="J158" s="1167">
        <f t="shared" si="35"/>
        <v>20.309999999999995</v>
      </c>
    </row>
    <row r="159" spans="2:10" s="58" customFormat="1" ht="12">
      <c r="B159" s="1166" t="s">
        <v>279</v>
      </c>
      <c r="D159" s="1167">
        <f t="shared" ref="D159:J167" si="36">SUMIF($B$18:$B$145,$B159,D$18:D$145)</f>
        <v>103881.91584277518</v>
      </c>
      <c r="E159" s="1167">
        <f t="shared" si="36"/>
        <v>103925.27135929326</v>
      </c>
      <c r="F159" s="1167">
        <f t="shared" si="36"/>
        <v>103652.94086289333</v>
      </c>
      <c r="G159" s="1167">
        <f t="shared" si="36"/>
        <v>103569.02114045601</v>
      </c>
      <c r="H159" s="1167">
        <f t="shared" si="36"/>
        <v>100724.10104353802</v>
      </c>
      <c r="I159" s="1167">
        <f t="shared" si="36"/>
        <v>99545.57630563264</v>
      </c>
      <c r="J159" s="1167">
        <f t="shared" si="36"/>
        <v>615298.82655458839</v>
      </c>
    </row>
    <row r="160" spans="2:10" s="58" customFormat="1" ht="12">
      <c r="B160" s="1166" t="s">
        <v>875</v>
      </c>
      <c r="D160" s="1167">
        <f t="shared" si="36"/>
        <v>68709.416818345839</v>
      </c>
      <c r="E160" s="1167">
        <f t="shared" si="36"/>
        <v>67870.633612412566</v>
      </c>
      <c r="F160" s="1167">
        <f t="shared" si="36"/>
        <v>69369.436717753852</v>
      </c>
      <c r="G160" s="1167">
        <f t="shared" si="36"/>
        <v>71728.09437367905</v>
      </c>
      <c r="H160" s="1167">
        <f t="shared" si="36"/>
        <v>69110.895177018203</v>
      </c>
      <c r="I160" s="1167">
        <f t="shared" si="36"/>
        <v>75312.62499298132</v>
      </c>
      <c r="J160" s="1167">
        <f t="shared" si="36"/>
        <v>422101.1016921908</v>
      </c>
    </row>
    <row r="161" spans="2:10" s="58" customFormat="1" ht="12">
      <c r="B161" s="1166" t="s">
        <v>874</v>
      </c>
      <c r="D161" s="1167">
        <f t="shared" si="36"/>
        <v>1510.413132355164</v>
      </c>
      <c r="E161" s="1167">
        <f t="shared" si="36"/>
        <v>1439.1661973529961</v>
      </c>
      <c r="F161" s="1167">
        <f t="shared" si="36"/>
        <v>1444.6322514777598</v>
      </c>
      <c r="G161" s="1167">
        <f t="shared" si="36"/>
        <v>1463.2446498012</v>
      </c>
      <c r="H161" s="1167">
        <f t="shared" si="36"/>
        <v>1475.2132970414759</v>
      </c>
      <c r="I161" s="1167">
        <f t="shared" si="36"/>
        <v>1486.3715047836006</v>
      </c>
      <c r="J161" s="1167">
        <f t="shared" si="36"/>
        <v>8819.0410328121961</v>
      </c>
    </row>
    <row r="162" spans="2:10" s="58" customFormat="1" ht="12">
      <c r="B162" s="1166" t="s">
        <v>873</v>
      </c>
      <c r="D162" s="1167">
        <f t="shared" si="36"/>
        <v>317177.86657048855</v>
      </c>
      <c r="E162" s="1167">
        <f t="shared" si="36"/>
        <v>311580.4234025625</v>
      </c>
      <c r="F162" s="1167">
        <f t="shared" si="36"/>
        <v>309869.43063325377</v>
      </c>
      <c r="G162" s="1167">
        <f t="shared" si="36"/>
        <v>316132.40422241419</v>
      </c>
      <c r="H162" s="1167">
        <f t="shared" si="36"/>
        <v>303634.34635143552</v>
      </c>
      <c r="I162" s="1167">
        <f t="shared" si="36"/>
        <v>314180.60338214913</v>
      </c>
      <c r="J162" s="1167">
        <f t="shared" si="36"/>
        <v>1872575.0745623037</v>
      </c>
    </row>
    <row r="163" spans="2:10" s="58" customFormat="1" ht="12">
      <c r="B163" s="1166" t="s">
        <v>872</v>
      </c>
      <c r="D163" s="1167">
        <f t="shared" si="36"/>
        <v>75126.223688324957</v>
      </c>
      <c r="E163" s="1167">
        <f t="shared" si="36"/>
        <v>74277.664387390338</v>
      </c>
      <c r="F163" s="1167">
        <f t="shared" si="36"/>
        <v>74476.624077492481</v>
      </c>
      <c r="G163" s="1167">
        <f t="shared" si="36"/>
        <v>77382.857193162723</v>
      </c>
      <c r="H163" s="1167">
        <f t="shared" si="36"/>
        <v>73771.37621476152</v>
      </c>
      <c r="I163" s="1167">
        <f t="shared" si="36"/>
        <v>74416.895494644123</v>
      </c>
      <c r="J163" s="1167">
        <f t="shared" si="36"/>
        <v>449451.6410557761</v>
      </c>
    </row>
    <row r="164" spans="2:10" s="58" customFormat="1" ht="12">
      <c r="B164" s="1166" t="s">
        <v>871</v>
      </c>
      <c r="D164" s="1167">
        <f t="shared" si="36"/>
        <v>31073.341687742806</v>
      </c>
      <c r="E164" s="1167">
        <f t="shared" si="36"/>
        <v>30043.436423560561</v>
      </c>
      <c r="F164" s="1167">
        <f t="shared" si="36"/>
        <v>32228.713586551112</v>
      </c>
      <c r="G164" s="1167">
        <f t="shared" si="36"/>
        <v>38356.457625500028</v>
      </c>
      <c r="H164" s="1167">
        <f t="shared" si="36"/>
        <v>36195.264275525114</v>
      </c>
      <c r="I164" s="1167">
        <f t="shared" si="36"/>
        <v>39238.268632254549</v>
      </c>
      <c r="J164" s="1167">
        <f t="shared" si="36"/>
        <v>207135.4822311342</v>
      </c>
    </row>
    <row r="165" spans="2:10" s="58" customFormat="1" ht="12">
      <c r="B165" s="1166" t="s">
        <v>870</v>
      </c>
      <c r="D165" s="1167">
        <f t="shared" si="36"/>
        <v>57907.422915453935</v>
      </c>
      <c r="E165" s="1167">
        <f t="shared" si="36"/>
        <v>54210.76774932546</v>
      </c>
      <c r="F165" s="1167">
        <f t="shared" si="36"/>
        <v>57674.835014645389</v>
      </c>
      <c r="G165" s="1167">
        <f t="shared" si="36"/>
        <v>59342.072015666614</v>
      </c>
      <c r="H165" s="1167">
        <f t="shared" si="36"/>
        <v>52559.386362245488</v>
      </c>
      <c r="I165" s="1167">
        <f t="shared" si="36"/>
        <v>55147.614476339659</v>
      </c>
      <c r="J165" s="1167">
        <f t="shared" si="36"/>
        <v>336842.09853367653</v>
      </c>
    </row>
    <row r="166" spans="2:10" s="58" customFormat="1" ht="12">
      <c r="B166" s="1166" t="s">
        <v>893</v>
      </c>
      <c r="D166" s="1167">
        <f t="shared" si="36"/>
        <v>0</v>
      </c>
      <c r="E166" s="1167">
        <f t="shared" si="36"/>
        <v>0</v>
      </c>
      <c r="F166" s="1167">
        <f t="shared" si="36"/>
        <v>0</v>
      </c>
      <c r="G166" s="1167">
        <f t="shared" si="36"/>
        <v>0</v>
      </c>
      <c r="H166" s="1167">
        <f t="shared" si="36"/>
        <v>0</v>
      </c>
      <c r="I166" s="1167">
        <f t="shared" si="36"/>
        <v>0</v>
      </c>
      <c r="J166" s="1167">
        <f t="shared" si="36"/>
        <v>0</v>
      </c>
    </row>
    <row r="167" spans="2:10" s="58" customFormat="1" ht="12">
      <c r="B167" s="1166"/>
      <c r="D167" s="1167">
        <f t="shared" si="36"/>
        <v>0</v>
      </c>
      <c r="E167" s="1167">
        <f t="shared" si="36"/>
        <v>0</v>
      </c>
      <c r="F167" s="1167">
        <f t="shared" si="36"/>
        <v>0</v>
      </c>
      <c r="G167" s="1167">
        <f t="shared" si="36"/>
        <v>0</v>
      </c>
      <c r="H167" s="1167">
        <f t="shared" si="36"/>
        <v>0</v>
      </c>
      <c r="I167" s="1167">
        <f t="shared" si="36"/>
        <v>0</v>
      </c>
      <c r="J167" s="1167">
        <f t="shared" si="36"/>
        <v>0</v>
      </c>
    </row>
    <row r="168" spans="2:10" s="58" customFormat="1" ht="12">
      <c r="B168" s="1166" t="s">
        <v>111</v>
      </c>
      <c r="C168" s="1168"/>
      <c r="D168" s="1169">
        <f>SUM(D149:D167)</f>
        <v>2542737.7181515368</v>
      </c>
      <c r="E168" s="1169">
        <f t="shared" ref="E168:J168" si="37">SUM(E149:E167)</f>
        <v>2531486.151929663</v>
      </c>
      <c r="F168" s="1169">
        <f t="shared" si="37"/>
        <v>2516716.8985259342</v>
      </c>
      <c r="G168" s="1169">
        <f t="shared" si="37"/>
        <v>2549640.6823648941</v>
      </c>
      <c r="H168" s="1169">
        <f t="shared" si="37"/>
        <v>2452689.7465235428</v>
      </c>
      <c r="I168" s="1169">
        <f t="shared" si="37"/>
        <v>2467897.6280256044</v>
      </c>
      <c r="J168" s="1169">
        <f t="shared" si="37"/>
        <v>15061168.825521177</v>
      </c>
    </row>
    <row r="169" spans="2:10" s="58" customFormat="1" ht="12">
      <c r="B169" s="1166"/>
      <c r="D169" s="166">
        <f>D168-D145</f>
        <v>0</v>
      </c>
      <c r="E169" s="166">
        <f t="shared" ref="E169:J169" si="38">E168-E145</f>
        <v>0</v>
      </c>
      <c r="F169" s="166">
        <f t="shared" si="38"/>
        <v>0</v>
      </c>
      <c r="G169" s="166">
        <f t="shared" si="38"/>
        <v>0</v>
      </c>
      <c r="H169" s="166">
        <f t="shared" si="38"/>
        <v>0</v>
      </c>
      <c r="I169" s="166">
        <f t="shared" si="38"/>
        <v>0</v>
      </c>
      <c r="J169" s="166">
        <f t="shared" si="38"/>
        <v>0</v>
      </c>
    </row>
    <row r="170" spans="2:10" s="58" customFormat="1" ht="12">
      <c r="B170" s="1166"/>
    </row>
    <row r="171" spans="2:10" s="58" customFormat="1" ht="12">
      <c r="B171" s="1166"/>
    </row>
    <row r="172" spans="2:10" s="58" customFormat="1" ht="12">
      <c r="B172" s="1166"/>
    </row>
    <row r="173" spans="2:10" s="58" customFormat="1" ht="12">
      <c r="B173" s="1166"/>
    </row>
    <row r="174" spans="2:10" s="58" customFormat="1" ht="12">
      <c r="B174" s="1166"/>
    </row>
    <row r="175" spans="2:10" s="58" customFormat="1" ht="12">
      <c r="B175" s="1166"/>
    </row>
    <row r="176" spans="2:10" s="58" customFormat="1" ht="12">
      <c r="B176" s="1166"/>
    </row>
  </sheetData>
  <printOptions horizontalCentered="1" verticalCentered="1"/>
  <pageMargins left="0.51181102362204722" right="0.31496062992125984" top="0.78740157480314965" bottom="0.82677165354330717" header="0.31496062992125984" footer="0.23622047244094491"/>
  <pageSetup scale="33" orientation="portrait" horizontalDpi="300" r:id="rId1"/>
  <headerFooter alignWithMargins="0">
    <oddHeader>&amp;L
NOMBRE DE LA DISTRIBUIDORA: ENSA&amp;R&amp;9&amp;A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39">
    <tabColor theme="5" tint="0.79998168889431442"/>
  </sheetPr>
  <dimension ref="A1:J169"/>
  <sheetViews>
    <sheetView view="pageBreakPreview" topLeftCell="A123" zoomScale="85" zoomScaleNormal="85" zoomScaleSheetLayoutView="85" workbookViewId="0">
      <selection activeCell="A123" sqref="A1:XFD1048576"/>
    </sheetView>
  </sheetViews>
  <sheetFormatPr baseColWidth="10" defaultColWidth="8" defaultRowHeight="15"/>
  <cols>
    <col min="1" max="1" width="3.375" style="63" customWidth="1"/>
    <col min="2" max="2" width="5.625" style="48" bestFit="1" customWidth="1"/>
    <col min="3" max="3" width="30.375" style="63" customWidth="1"/>
    <col min="4" max="4" width="11" style="63" customWidth="1"/>
    <col min="5" max="5" width="11.75" style="63" customWidth="1"/>
    <col min="6" max="9" width="10.625" style="63" customWidth="1"/>
    <col min="10" max="10" width="11.625" style="63" customWidth="1"/>
    <col min="11" max="11" width="2.875" style="63" customWidth="1"/>
    <col min="12" max="16384" width="8" style="63"/>
  </cols>
  <sheetData>
    <row r="1" spans="2:10" s="69" customFormat="1" ht="15.75">
      <c r="B1" s="48"/>
      <c r="C1" s="136" t="s">
        <v>151</v>
      </c>
    </row>
    <row r="2" spans="2:10" s="69" customFormat="1" ht="15.75">
      <c r="B2" s="48"/>
      <c r="D2" s="137" t="s">
        <v>113</v>
      </c>
      <c r="I2" s="218"/>
    </row>
    <row r="3" spans="2:10" s="69" customFormat="1" ht="15.75">
      <c r="B3" s="48"/>
      <c r="D3" s="137"/>
    </row>
    <row r="4" spans="2:10" ht="15.75">
      <c r="C4" s="219" t="s">
        <v>1530</v>
      </c>
      <c r="D4" s="219"/>
      <c r="E4" s="219"/>
      <c r="F4" s="219"/>
      <c r="G4" s="219"/>
      <c r="H4" s="219"/>
      <c r="I4" s="219"/>
      <c r="J4" s="219"/>
    </row>
    <row r="5" spans="2:10">
      <c r="C5" s="139"/>
    </row>
    <row r="6" spans="2:10" s="143" customFormat="1" ht="33.75">
      <c r="B6" s="48"/>
      <c r="C6" s="220" t="s">
        <v>1433</v>
      </c>
      <c r="D6" s="220" t="s">
        <v>259</v>
      </c>
      <c r="E6" s="220" t="s">
        <v>260</v>
      </c>
      <c r="F6" s="221"/>
      <c r="G6" s="69"/>
    </row>
    <row r="7" spans="2:10" s="143" customFormat="1" ht="13.5">
      <c r="B7" s="48"/>
      <c r="C7" s="222" t="s">
        <v>266</v>
      </c>
      <c r="D7" s="223">
        <f>RAT1000PT!$H$56</f>
        <v>2.64E-3</v>
      </c>
      <c r="E7" s="224">
        <f>RAT1000PT!$H$63</f>
        <v>0.5</v>
      </c>
    </row>
    <row r="8" spans="2:10" s="143" customFormat="1" ht="13.5">
      <c r="B8" s="48"/>
      <c r="C8" s="225" t="s">
        <v>265</v>
      </c>
      <c r="D8" s="223">
        <f>RAT1000PT!$H$55</f>
        <v>2.5200000000000001E-3</v>
      </c>
      <c r="E8" s="224">
        <f>RAT1000PT!$H$62</f>
        <v>0.49</v>
      </c>
    </row>
    <row r="9" spans="2:10" s="143" customFormat="1" ht="13.5">
      <c r="B9" s="48"/>
      <c r="C9" s="225" t="s">
        <v>264</v>
      </c>
      <c r="D9" s="223">
        <f>RAT1000PT!$H$54</f>
        <v>2.9399999999999999E-3</v>
      </c>
      <c r="E9" s="224">
        <f>RAT1000PT!$H$61</f>
        <v>0.46</v>
      </c>
    </row>
    <row r="10" spans="2:10" s="143" customFormat="1" ht="13.5">
      <c r="B10" s="48"/>
      <c r="C10" s="225" t="s">
        <v>262</v>
      </c>
      <c r="D10" s="223">
        <f>RAT1000PT!$H$53</f>
        <v>3.5100000000000001E-3</v>
      </c>
      <c r="E10" s="224">
        <f>RAT1000PT!$H$60</f>
        <v>0.43</v>
      </c>
    </row>
    <row r="11" spans="2:10" s="143" customFormat="1" ht="13.5">
      <c r="B11" s="48"/>
      <c r="C11" s="225" t="s">
        <v>263</v>
      </c>
      <c r="D11" s="223">
        <f>RAT1000PT!$H$52</f>
        <v>3.5500000000000002E-3</v>
      </c>
      <c r="E11" s="224">
        <f>RAT1000PT!$H$59</f>
        <v>0.46</v>
      </c>
    </row>
    <row r="12" spans="2:10" s="143" customFormat="1" ht="13.5">
      <c r="B12" s="48"/>
      <c r="C12" s="225" t="s">
        <v>261</v>
      </c>
      <c r="D12" s="223">
        <f>RAT1000PT!$H$51</f>
        <v>5.6699999999999997E-3</v>
      </c>
      <c r="E12" s="224">
        <f>RAT1000PT!$H$58</f>
        <v>0.41</v>
      </c>
    </row>
    <row r="13" spans="2:10" s="143" customFormat="1" ht="13.5">
      <c r="B13" s="48"/>
      <c r="C13" s="225" t="s">
        <v>1768</v>
      </c>
      <c r="D13" s="223">
        <f>RAT1000PT!$H$48</f>
        <v>3.5500000000000002E-3</v>
      </c>
      <c r="E13" s="224"/>
    </row>
    <row r="14" spans="2:10" s="143" customFormat="1" ht="13.5">
      <c r="B14" s="48"/>
      <c r="C14" s="225" t="s">
        <v>2071</v>
      </c>
      <c r="D14" s="223">
        <f>RAT1000PT!$H$49</f>
        <v>3.5500000000000002E-3</v>
      </c>
      <c r="E14" s="223"/>
    </row>
    <row r="15" spans="2:10" s="143" customFormat="1" ht="13.5">
      <c r="B15" s="48"/>
      <c r="C15" s="225" t="s">
        <v>1178</v>
      </c>
      <c r="D15" s="223">
        <f>RAT1000PT!$H$50</f>
        <v>3.5500000000000002E-3</v>
      </c>
      <c r="E15" s="223"/>
    </row>
    <row r="16" spans="2:10" s="143" customFormat="1" ht="15.75">
      <c r="B16" s="48"/>
      <c r="D16" s="226"/>
      <c r="E16" s="226"/>
      <c r="F16" s="69"/>
      <c r="G16" s="69"/>
    </row>
    <row r="17" spans="2:10" s="143" customFormat="1" ht="33.75">
      <c r="B17" s="48"/>
      <c r="C17" s="138" t="s">
        <v>1434</v>
      </c>
      <c r="D17" s="138"/>
      <c r="E17" s="138"/>
      <c r="F17" s="138"/>
      <c r="G17" s="138"/>
      <c r="H17" s="138"/>
      <c r="I17" s="138"/>
      <c r="J17" s="138"/>
    </row>
    <row r="18" spans="2:10" s="37" customFormat="1" ht="13.5">
      <c r="B18" s="48"/>
      <c r="C18" s="150" t="s">
        <v>310</v>
      </c>
      <c r="D18" s="151">
        <f>F801ENE!D4</f>
        <v>46204</v>
      </c>
      <c r="E18" s="151">
        <f>F801ENE!E4</f>
        <v>46235</v>
      </c>
      <c r="F18" s="151">
        <f>F801ENE!F4</f>
        <v>46266</v>
      </c>
      <c r="G18" s="151">
        <f>F801ENE!G4</f>
        <v>46296</v>
      </c>
      <c r="H18" s="151">
        <f>F801ENE!H4</f>
        <v>46327</v>
      </c>
      <c r="I18" s="151">
        <f>F801ENE!I4</f>
        <v>46357</v>
      </c>
      <c r="J18" s="151" t="str">
        <f>F801ENE!J4</f>
        <v>TOTAL</v>
      </c>
    </row>
    <row r="19" spans="2:10" s="37" customFormat="1" ht="13.5">
      <c r="B19" s="48"/>
      <c r="C19" s="153" t="s">
        <v>446</v>
      </c>
      <c r="D19" s="154">
        <f>SUBTOTAL(9,D20:D21)</f>
        <v>64685.721558256751</v>
      </c>
      <c r="E19" s="154">
        <f t="shared" ref="E19:I19" si="0">SUBTOTAL(9,E20:E21)</f>
        <v>64712.71766219454</v>
      </c>
      <c r="F19" s="154">
        <f t="shared" si="0"/>
        <v>63954.917484196783</v>
      </c>
      <c r="G19" s="154">
        <f t="shared" si="0"/>
        <v>64490.891959078253</v>
      </c>
      <c r="H19" s="154">
        <f t="shared" si="0"/>
        <v>62147.843011033721</v>
      </c>
      <c r="I19" s="154">
        <f t="shared" si="0"/>
        <v>61985.620573288434</v>
      </c>
      <c r="J19" s="154">
        <f>SUM(D19:I19)</f>
        <v>381977.71224804845</v>
      </c>
    </row>
    <row r="20" spans="2:10" s="37" customFormat="1" ht="13.5">
      <c r="B20" s="48" t="s">
        <v>279</v>
      </c>
      <c r="C20" s="155" t="s">
        <v>279</v>
      </c>
      <c r="D20" s="156">
        <f>$E$7*F801D!K6+$D$7*F801ENE!D6</f>
        <v>64683.971558256751</v>
      </c>
      <c r="E20" s="156">
        <f>$E$7*F801D!L6+$D$7*F801ENE!E6</f>
        <v>64710.96766219454</v>
      </c>
      <c r="F20" s="156">
        <f>$E$7*F801D!M6+$D$7*F801ENE!F6</f>
        <v>63953.167484196783</v>
      </c>
      <c r="G20" s="156">
        <f>$E$7*F801D!N6+$D$7*F801ENE!G6</f>
        <v>64489.141959078253</v>
      </c>
      <c r="H20" s="156">
        <f>$E$7*F801D!O6+$D$7*F801ENE!H6</f>
        <v>62146.093011033721</v>
      </c>
      <c r="I20" s="156">
        <f>$E$7*F801D!P6+$D$7*F801ENE!I6</f>
        <v>61983.870573288434</v>
      </c>
      <c r="J20" s="156">
        <f>SUM(D20:I20)</f>
        <v>381967.21224804845</v>
      </c>
    </row>
    <row r="21" spans="2:10" s="37" customFormat="1" ht="13.5">
      <c r="B21" s="48" t="s">
        <v>278</v>
      </c>
      <c r="C21" s="155" t="s">
        <v>278</v>
      </c>
      <c r="D21" s="156">
        <f>$E$8*F801D!K7+$D$8*F801ENE!D7</f>
        <v>1.75</v>
      </c>
      <c r="E21" s="156">
        <f>$E$8*F801D!L7+$D$8*F801ENE!E7</f>
        <v>1.75</v>
      </c>
      <c r="F21" s="156">
        <f>$E$8*F801D!M7+$D$8*F801ENE!F7</f>
        <v>1.75</v>
      </c>
      <c r="G21" s="156">
        <f>$E$8*F801D!N7+$D$8*F801ENE!G7</f>
        <v>1.75</v>
      </c>
      <c r="H21" s="156">
        <f>$E$8*F801D!O7+$D$8*F801ENE!H7</f>
        <v>1.75</v>
      </c>
      <c r="I21" s="156">
        <f>$E$8*F801D!P7+$D$8*F801ENE!I7</f>
        <v>1.75</v>
      </c>
      <c r="J21" s="156">
        <f>SUM(D21:I21)</f>
        <v>10.5</v>
      </c>
    </row>
    <row r="22" spans="2:10" s="37" customFormat="1" ht="13.5">
      <c r="B22" s="48"/>
      <c r="C22" s="157"/>
      <c r="D22" s="156"/>
      <c r="E22" s="156"/>
      <c r="F22" s="156"/>
      <c r="G22" s="156"/>
      <c r="H22" s="156"/>
      <c r="I22" s="156"/>
      <c r="J22" s="156"/>
    </row>
    <row r="23" spans="2:10" s="37" customFormat="1" ht="13.5">
      <c r="B23" s="48"/>
      <c r="C23" s="153" t="s">
        <v>630</v>
      </c>
      <c r="D23" s="154">
        <f>SUBTOTAL(9,D24:D31)</f>
        <v>145837.52294462037</v>
      </c>
      <c r="E23" s="154">
        <f t="shared" ref="E23:I23" si="1">SUBTOTAL(9,E24:E31)</f>
        <v>145898.38720360765</v>
      </c>
      <c r="F23" s="154">
        <f t="shared" si="1"/>
        <v>144479.98997265301</v>
      </c>
      <c r="G23" s="154">
        <f t="shared" si="1"/>
        <v>145398.26847997177</v>
      </c>
      <c r="H23" s="154">
        <f t="shared" si="1"/>
        <v>140397.64100245421</v>
      </c>
      <c r="I23" s="154">
        <f t="shared" si="1"/>
        <v>139749.99098002011</v>
      </c>
      <c r="J23" s="154">
        <f t="shared" ref="J23:J31" si="2">SUM(D23:I23)</f>
        <v>861761.80058332719</v>
      </c>
    </row>
    <row r="24" spans="2:10" s="37" customFormat="1" ht="13.5">
      <c r="B24" s="48" t="s">
        <v>277</v>
      </c>
      <c r="C24" s="155" t="s">
        <v>277</v>
      </c>
      <c r="D24" s="154">
        <f>SUBTOTAL(9,D25:D26)</f>
        <v>18743.653782807167</v>
      </c>
      <c r="E24" s="154">
        <f t="shared" ref="E24:I24" si="3">SUBTOTAL(9,E25:E26)</f>
        <v>18751.476314177489</v>
      </c>
      <c r="F24" s="154">
        <f t="shared" si="3"/>
        <v>18589.267434310485</v>
      </c>
      <c r="G24" s="154">
        <f t="shared" si="3"/>
        <v>18687.198945659031</v>
      </c>
      <c r="H24" s="154">
        <f t="shared" si="3"/>
        <v>18064.019081361595</v>
      </c>
      <c r="I24" s="154">
        <f t="shared" si="3"/>
        <v>17961.258489521995</v>
      </c>
      <c r="J24" s="154">
        <f t="shared" si="2"/>
        <v>110796.87404783776</v>
      </c>
    </row>
    <row r="25" spans="2:10" s="37" customFormat="1" ht="13.5">
      <c r="B25" s="48"/>
      <c r="C25" s="160" t="s">
        <v>304</v>
      </c>
      <c r="D25" s="156">
        <f>($E$9*F801D!K11+$D$9*F801ENE!D11)</f>
        <v>16514.91095317604</v>
      </c>
      <c r="E25" s="156">
        <f>($E$9*F801D!L11+$D$9*F801ENE!E11)</f>
        <v>16521.803334485805</v>
      </c>
      <c r="F25" s="156">
        <f>($E$9*F801D!M11+$D$9*F801ENE!F11)</f>
        <v>16382.764427310707</v>
      </c>
      <c r="G25" s="156">
        <f>($E$9*F801D!N11+$D$9*F801ENE!G11)</f>
        <v>16465.168964811281</v>
      </c>
      <c r="H25" s="156">
        <f>($E$9*F801D!O11+$D$9*F801ENE!H11)</f>
        <v>15919.861837813705</v>
      </c>
      <c r="I25" s="156">
        <f>($E$9*F801D!P11+$D$9*F801ENE!I11)</f>
        <v>15825.547569253493</v>
      </c>
      <c r="J25" s="156">
        <f t="shared" si="2"/>
        <v>97630.05708685104</v>
      </c>
    </row>
    <row r="26" spans="2:10" s="37" customFormat="1" ht="13.5">
      <c r="B26" s="48"/>
      <c r="C26" s="160" t="s">
        <v>305</v>
      </c>
      <c r="D26" s="156">
        <f>($E$9*F801D!K12+$D$9*F801ENE!D12)*0.95</f>
        <v>2228.7428296311246</v>
      </c>
      <c r="E26" s="156">
        <f>($E$9*F801D!L12+$D$9*F801ENE!E12)*0.95</f>
        <v>2229.6729796916834</v>
      </c>
      <c r="F26" s="156">
        <f>($E$9*F801D!M12+$D$9*F801ENE!F12)*0.95</f>
        <v>2206.503006999777</v>
      </c>
      <c r="G26" s="156">
        <f>($E$9*F801D!N12+$D$9*F801ENE!G12)*0.95</f>
        <v>2222.0299808477507</v>
      </c>
      <c r="H26" s="156">
        <f>($E$9*F801D!O12+$D$9*F801ENE!H12)*0.95</f>
        <v>2144.1572435478888</v>
      </c>
      <c r="I26" s="156">
        <f>($E$9*F801D!P12+$D$9*F801ENE!I12)*0.95</f>
        <v>2135.7109202685037</v>
      </c>
      <c r="J26" s="156">
        <f>SUM(D26:I26)</f>
        <v>13166.816960986727</v>
      </c>
    </row>
    <row r="27" spans="2:10" s="37" customFormat="1" ht="13.5">
      <c r="B27" s="48" t="s">
        <v>276</v>
      </c>
      <c r="C27" s="158" t="s">
        <v>276</v>
      </c>
      <c r="D27" s="154">
        <f>SUBTOTAL(9,D28:D31)</f>
        <v>127093.8691618132</v>
      </c>
      <c r="E27" s="154">
        <f t="shared" ref="E27:I27" si="4">SUBTOTAL(9,E28:E31)</f>
        <v>127146.91088943019</v>
      </c>
      <c r="F27" s="154">
        <f t="shared" si="4"/>
        <v>125890.72253834252</v>
      </c>
      <c r="G27" s="154">
        <f t="shared" si="4"/>
        <v>126711.06953431274</v>
      </c>
      <c r="H27" s="154">
        <f t="shared" si="4"/>
        <v>122333.62192109259</v>
      </c>
      <c r="I27" s="154">
        <f t="shared" si="4"/>
        <v>121788.73249049812</v>
      </c>
      <c r="J27" s="159">
        <f t="shared" si="2"/>
        <v>750964.92653548939</v>
      </c>
    </row>
    <row r="28" spans="2:10" s="37" customFormat="1" ht="13.5">
      <c r="B28" s="48"/>
      <c r="C28" s="160" t="s">
        <v>304</v>
      </c>
      <c r="D28" s="156">
        <f>$E$10*F801D!K15+$D$10*F801ENE!D15</f>
        <v>126510.1393849192</v>
      </c>
      <c r="E28" s="156">
        <f>$E$10*F801D!L15+$D$10*F801ENE!E15</f>
        <v>126562.93749704133</v>
      </c>
      <c r="F28" s="156">
        <f>$E$10*F801D!M15+$D$10*F801ENE!F15</f>
        <v>125310.42637398516</v>
      </c>
      <c r="G28" s="156">
        <f>$E$10*F801D!N15+$D$10*F801ENE!G15</f>
        <v>126129.09791886767</v>
      </c>
      <c r="H28" s="156">
        <f>$E$10*F801D!O15+$D$10*F801ENE!H15</f>
        <v>121769.72229337275</v>
      </c>
      <c r="I28" s="156">
        <f>$E$10*F801D!P15+$D$10*F801ENE!I15</f>
        <v>121229.36869023196</v>
      </c>
      <c r="J28" s="156">
        <f t="shared" si="2"/>
        <v>747511.69215841801</v>
      </c>
    </row>
    <row r="29" spans="2:10" s="37" customFormat="1" ht="13.5">
      <c r="B29" s="48"/>
      <c r="C29" s="161" t="s">
        <v>306</v>
      </c>
      <c r="D29" s="156">
        <f>($E$10*F801D!K16+$D$10*F801ENE!D16)*0.75</f>
        <v>0</v>
      </c>
      <c r="E29" s="156">
        <f>($E$10*F801D!L16+$D$10*F801ENE!E16)*0.75</f>
        <v>0</v>
      </c>
      <c r="F29" s="156">
        <f>($E$10*F801D!M16+$D$10*F801ENE!F16)*0.75</f>
        <v>0</v>
      </c>
      <c r="G29" s="156">
        <f>($E$10*F801D!N16+$D$10*F801ENE!G16)*0.75</f>
        <v>0</v>
      </c>
      <c r="H29" s="156">
        <f>($E$10*F801D!O16+$D$10*F801ENE!H16)*0.75</f>
        <v>0</v>
      </c>
      <c r="I29" s="156">
        <f>($E$10*F801D!P16+$D$10*F801ENE!I16)*0.75</f>
        <v>0</v>
      </c>
      <c r="J29" s="156">
        <f t="shared" si="2"/>
        <v>0</v>
      </c>
    </row>
    <row r="30" spans="2:10" s="37" customFormat="1" ht="13.5">
      <c r="B30" s="48"/>
      <c r="C30" s="160" t="s">
        <v>305</v>
      </c>
      <c r="D30" s="156">
        <f>($E$10*F801D!K17+$D$10*F801ENE!D17)*0.95</f>
        <v>583.72977689400261</v>
      </c>
      <c r="E30" s="156">
        <f>($E$10*F801D!L17+$D$10*F801ENE!E17)*0.95</f>
        <v>583.97339238885024</v>
      </c>
      <c r="F30" s="156">
        <f>($E$10*F801D!M17+$D$10*F801ENE!F17)*0.95</f>
        <v>580.29616435736784</v>
      </c>
      <c r="G30" s="156">
        <f>($E$10*F801D!N17+$D$10*F801ENE!G17)*0.95</f>
        <v>581.97161544507037</v>
      </c>
      <c r="H30" s="156">
        <f>($E$10*F801D!O17+$D$10*F801ENE!H17)*0.95</f>
        <v>563.89962771985142</v>
      </c>
      <c r="I30" s="156">
        <f>($E$10*F801D!P17+$D$10*F801ENE!I17)*0.95</f>
        <v>559.36380026615927</v>
      </c>
      <c r="J30" s="156">
        <f>SUM(D30:I30)</f>
        <v>3453.2343770713014</v>
      </c>
    </row>
    <row r="31" spans="2:10" s="37" customFormat="1" ht="13.5">
      <c r="B31" s="48"/>
      <c r="C31" s="160" t="s">
        <v>307</v>
      </c>
      <c r="D31" s="156">
        <f>($E$10*F801D!K18+$D$10*F801ENE!D18)*0.5</f>
        <v>0</v>
      </c>
      <c r="E31" s="156">
        <f>($E$10*F801D!L18+$D$10*F801ENE!E18)*0.5</f>
        <v>0</v>
      </c>
      <c r="F31" s="156">
        <f>($E$10*F801D!M18+$D$10*F801ENE!F18)*0.5</f>
        <v>0</v>
      </c>
      <c r="G31" s="156">
        <f>($E$10*F801D!N18+$D$10*F801ENE!G18)*0.5</f>
        <v>0</v>
      </c>
      <c r="H31" s="156">
        <f>($E$10*F801D!O18+$D$10*F801ENE!H18)*0.5</f>
        <v>0</v>
      </c>
      <c r="I31" s="156">
        <f>($E$10*F801D!P18+$D$10*F801ENE!I18)*0.5</f>
        <v>0</v>
      </c>
      <c r="J31" s="156">
        <f t="shared" si="2"/>
        <v>0</v>
      </c>
    </row>
    <row r="32" spans="2:10" s="37" customFormat="1" ht="13.5">
      <c r="B32" s="48"/>
      <c r="C32" s="157"/>
      <c r="D32" s="156"/>
      <c r="E32" s="156"/>
      <c r="F32" s="156"/>
      <c r="G32" s="156"/>
      <c r="H32" s="156"/>
      <c r="I32" s="156"/>
      <c r="J32" s="156"/>
    </row>
    <row r="33" spans="2:10" s="37" customFormat="1" ht="13.5">
      <c r="B33" s="48"/>
      <c r="C33" s="153" t="s">
        <v>443</v>
      </c>
      <c r="D33" s="154">
        <f t="shared" ref="D33:I33" si="5">SUBTOTAL(9,D34:D108)</f>
        <v>1003015.1994053241</v>
      </c>
      <c r="E33" s="154">
        <f t="shared" si="5"/>
        <v>1003433.8007064995</v>
      </c>
      <c r="F33" s="154">
        <f t="shared" si="5"/>
        <v>987681.88061731413</v>
      </c>
      <c r="G33" s="154">
        <f t="shared" si="5"/>
        <v>999994.17370800429</v>
      </c>
      <c r="H33" s="154">
        <f t="shared" si="5"/>
        <v>959774.47206208587</v>
      </c>
      <c r="I33" s="154">
        <f t="shared" si="5"/>
        <v>961147.4621860187</v>
      </c>
      <c r="J33" s="154">
        <f>SUM(D33:I33)</f>
        <v>5915046.9886852466</v>
      </c>
    </row>
    <row r="34" spans="2:10" s="37" customFormat="1" ht="13.5">
      <c r="B34" s="48" t="s">
        <v>275</v>
      </c>
      <c r="C34" s="155" t="s">
        <v>275</v>
      </c>
      <c r="D34" s="154">
        <f>SUBTOTAL(9,D35:D37)</f>
        <v>14787.91116883985</v>
      </c>
      <c r="E34" s="154">
        <f t="shared" ref="E34:I34" si="6">SUBTOTAL(9,E35:E37)</f>
        <v>14794.082799001202</v>
      </c>
      <c r="F34" s="154">
        <f t="shared" si="6"/>
        <v>14657.662429399492</v>
      </c>
      <c r="G34" s="154">
        <f t="shared" si="6"/>
        <v>14743.37080726085</v>
      </c>
      <c r="H34" s="154">
        <f t="shared" si="6"/>
        <v>14243.503395089574</v>
      </c>
      <c r="I34" s="154">
        <f t="shared" si="6"/>
        <v>14170.635997729289</v>
      </c>
      <c r="J34" s="154">
        <f t="shared" ref="J34" si="7">SUM(D34:I34)</f>
        <v>87397.166597320262</v>
      </c>
    </row>
    <row r="35" spans="2:10" s="37" customFormat="1" ht="13.5">
      <c r="B35" s="48"/>
      <c r="C35" s="160" t="s">
        <v>304</v>
      </c>
      <c r="D35" s="156">
        <f>($E$11*F801D!K22+$D$11*F801ENE!D22)</f>
        <v>14548.651259771581</v>
      </c>
      <c r="E35" s="156">
        <f>($E$11*F801D!L22+$D$11*F801ENE!E22)</f>
        <v>14554.723036501684</v>
      </c>
      <c r="F35" s="156">
        <f>($E$11*F801D!M22+$D$11*F801ENE!F22)</f>
        <v>14417.855029143881</v>
      </c>
      <c r="G35" s="156">
        <f>($E$11*F801D!N22+$D$11*F801ENE!G22)</f>
        <v>14504.831535660549</v>
      </c>
      <c r="H35" s="156">
        <f>($E$11*F801D!O22+$D$11*F801ENE!H22)</f>
        <v>14010.471863891435</v>
      </c>
      <c r="I35" s="156">
        <f>($E$11*F801D!P22+$D$11*F801ENE!I22)</f>
        <v>13941.363246388961</v>
      </c>
      <c r="J35" s="156">
        <f t="shared" ref="J35" si="8">SUM(D35:I35)</f>
        <v>85977.895971358099</v>
      </c>
    </row>
    <row r="36" spans="2:10" s="37" customFormat="1" ht="13.5">
      <c r="B36" s="48"/>
      <c r="C36" s="161" t="s">
        <v>306</v>
      </c>
      <c r="D36" s="156">
        <f>($E$11*F801D!K23+$D$11*F801ENE!D23)</f>
        <v>175.96890370388289</v>
      </c>
      <c r="E36" s="156">
        <f>($E$11*F801D!L23+$D$11*F801ENE!E23)</f>
        <v>176.0423430815718</v>
      </c>
      <c r="F36" s="156">
        <f>($E$11*F801D!M23+$D$11*F801ENE!F23)</f>
        <v>176.66980097030748</v>
      </c>
      <c r="G36" s="156">
        <f>($E$11*F801D!N23+$D$11*F801ENE!G23)</f>
        <v>175.43889520517439</v>
      </c>
      <c r="H36" s="156">
        <f>($E$11*F801D!O23+$D$11*F801ENE!H23)</f>
        <v>171.67791399555841</v>
      </c>
      <c r="I36" s="156">
        <f>($E$11*F801D!P23+$D$11*F801ENE!I23)</f>
        <v>168.62363134568585</v>
      </c>
      <c r="J36" s="156">
        <f>SUM(D36:I36)</f>
        <v>1044.4214883021809</v>
      </c>
    </row>
    <row r="37" spans="2:10" s="37" customFormat="1" ht="13.5">
      <c r="B37" s="48"/>
      <c r="C37" s="160" t="s">
        <v>305</v>
      </c>
      <c r="D37" s="156">
        <f>($E$11*F801D!K24+$D$11*F801ENE!D24)*95%</f>
        <v>63.291005364386898</v>
      </c>
      <c r="E37" s="156">
        <f>($E$11*F801D!L24+$D$11*F801ENE!E24)*95%</f>
        <v>63.317419417946546</v>
      </c>
      <c r="F37" s="156">
        <f>($E$11*F801D!M24+$D$11*F801ENE!F24)*95%</f>
        <v>63.137599285305122</v>
      </c>
      <c r="G37" s="156">
        <f>($E$11*F801D!N24+$D$11*F801ENE!G24)*95%</f>
        <v>63.100376395126631</v>
      </c>
      <c r="H37" s="156">
        <f>($E$11*F801D!O24+$D$11*F801ENE!H24)*95%</f>
        <v>61.353617202582278</v>
      </c>
      <c r="I37" s="156">
        <f>($E$11*F801D!P24+$D$11*F801ENE!I24)*95%</f>
        <v>60.649119994640898</v>
      </c>
      <c r="J37" s="156">
        <f>SUM(D37:I37)</f>
        <v>374.84913765998834</v>
      </c>
    </row>
    <row r="38" spans="2:10" s="37" customFormat="1" ht="13.5">
      <c r="B38" s="48" t="s">
        <v>274</v>
      </c>
      <c r="C38" s="158" t="s">
        <v>627</v>
      </c>
      <c r="D38" s="154">
        <f t="shared" ref="D38:I38" si="9">SUBTOTAL(9,D39:D44)</f>
        <v>239926.27377064037</v>
      </c>
      <c r="E38" s="154">
        <f t="shared" si="9"/>
        <v>240026.40530448558</v>
      </c>
      <c r="F38" s="154">
        <f t="shared" si="9"/>
        <v>236778.08551237764</v>
      </c>
      <c r="G38" s="154">
        <f t="shared" si="9"/>
        <v>239203.62924944767</v>
      </c>
      <c r="H38" s="154">
        <f t="shared" si="9"/>
        <v>230087.81114469489</v>
      </c>
      <c r="I38" s="154">
        <f t="shared" si="9"/>
        <v>229911.30072916308</v>
      </c>
      <c r="J38" s="159">
        <f t="shared" ref="J38:J87" si="10">SUM(D38:I38)</f>
        <v>1415933.5057108093</v>
      </c>
    </row>
    <row r="39" spans="2:10" s="37" customFormat="1" ht="13.5">
      <c r="B39" s="48"/>
      <c r="C39" s="160" t="s">
        <v>304</v>
      </c>
      <c r="D39" s="156">
        <f>($E$12*F801D!K28+$D$12*F801ENE!D28)*1</f>
        <v>239484.55181410949</v>
      </c>
      <c r="E39" s="156">
        <f>($E$12*F801D!L28+$D$12*F801ENE!E28)*1</f>
        <v>239584.49899841956</v>
      </c>
      <c r="F39" s="156">
        <f>($E$12*F801D!M28+$D$12*F801ENE!F28)*1</f>
        <v>236341.88401419221</v>
      </c>
      <c r="G39" s="156">
        <f>($E$12*F801D!N28+$D$12*F801ENE!G28)*1</f>
        <v>238763.23773475108</v>
      </c>
      <c r="H39" s="156">
        <f>($E$12*F801D!O28+$D$12*F801ENE!H28)*1</f>
        <v>229663.93472167908</v>
      </c>
      <c r="I39" s="156">
        <f>($E$12*F801D!P28+$D$12*F801ENE!I28)*1</f>
        <v>229488.01707627007</v>
      </c>
      <c r="J39" s="156">
        <f t="shared" si="10"/>
        <v>1413326.1243594214</v>
      </c>
    </row>
    <row r="40" spans="2:10" s="37" customFormat="1" ht="13.5">
      <c r="B40" s="48"/>
      <c r="C40" s="161" t="s">
        <v>628</v>
      </c>
      <c r="D40" s="156">
        <f>($E$12*F801D!K29+$D$12*F801ENE!D29)*0.75</f>
        <v>17.330871408275168</v>
      </c>
      <c r="E40" s="156">
        <f>($E$12*F801D!L29+$D$12*F801ENE!E29)*0.75</f>
        <v>17.338104324911235</v>
      </c>
      <c r="F40" s="156">
        <f>($E$12*F801D!M29+$D$12*F801ENE!F29)*0.75</f>
        <v>17.010634256464201</v>
      </c>
      <c r="G40" s="156">
        <f>($E$12*F801D!N29+$D$12*F801ENE!G29)*0.75</f>
        <v>17.278671792643834</v>
      </c>
      <c r="H40" s="156">
        <f>($E$12*F801D!O29+$D$12*F801ENE!H29)*0.75</f>
        <v>16.529990914417674</v>
      </c>
      <c r="I40" s="156">
        <f>($E$12*F801D!P29+$D$12*F801ENE!I29)*0.75</f>
        <v>16.607448303287889</v>
      </c>
      <c r="J40" s="156">
        <f>SUM(D40:I40)</f>
        <v>102.095721</v>
      </c>
    </row>
    <row r="41" spans="2:10" s="37" customFormat="1" ht="13.5">
      <c r="B41" s="48"/>
      <c r="C41" s="161" t="s">
        <v>629</v>
      </c>
      <c r="D41" s="156">
        <f>($E$12*F801D!K30+$D$12*F801ENE!D30)*1</f>
        <v>136.68887777245703</v>
      </c>
      <c r="E41" s="156">
        <f>($E$12*F801D!L30+$D$12*F801ENE!E30)*1</f>
        <v>136.74592390907159</v>
      </c>
      <c r="F41" s="156">
        <f>($E$12*F801D!M30+$D$12*F801ENE!F30)*1</f>
        <v>135.62278574867392</v>
      </c>
      <c r="G41" s="156">
        <f>($E$12*F801D!N30+$D$12*F801ENE!G30)*1</f>
        <v>136.2771785155233</v>
      </c>
      <c r="H41" s="156">
        <f>($E$12*F801D!O30+$D$12*F801ENE!H30)*1</f>
        <v>131.79070118221327</v>
      </c>
      <c r="I41" s="156">
        <f>($E$12*F801D!P30+$D$12*F801ENE!I30)*1</f>
        <v>130.98322743059583</v>
      </c>
      <c r="J41" s="156">
        <f>SUM(D41:I41)</f>
        <v>808.10869455853503</v>
      </c>
    </row>
    <row r="42" spans="2:10" s="37" customFormat="1" ht="13.5">
      <c r="B42" s="48"/>
      <c r="C42" s="160" t="s">
        <v>305</v>
      </c>
      <c r="D42" s="156">
        <f>($E$12*F801D!K31+$D$12*F801ENE!D31)*0.95</f>
        <v>266.648408009717</v>
      </c>
      <c r="E42" s="156">
        <f>($E$12*F801D!L31+$D$12*F801ENE!E31)*0.95</f>
        <v>266.75969183733531</v>
      </c>
      <c r="F42" s="156">
        <f>($E$12*F801D!M31+$D$12*F801ENE!F31)*0.95</f>
        <v>262.90330767613125</v>
      </c>
      <c r="G42" s="156">
        <f>($E$12*F801D!N31+$D$12*F801ENE!G31)*0.95</f>
        <v>265.84527791435613</v>
      </c>
      <c r="H42" s="156">
        <f>($E$12*F801D!O31+$D$12*F801ENE!H31)*0.95</f>
        <v>255.4748530675958</v>
      </c>
      <c r="I42" s="156">
        <f>($E$12*F801D!P31+$D$12*F801ENE!I31)*0.95</f>
        <v>255.51800292401546</v>
      </c>
      <c r="J42" s="156">
        <f t="shared" si="10"/>
        <v>1573.149541429151</v>
      </c>
    </row>
    <row r="43" spans="2:10" s="37" customFormat="1" ht="13.5">
      <c r="B43" s="48"/>
      <c r="C43" s="160" t="s">
        <v>307</v>
      </c>
      <c r="D43" s="156">
        <f>($E$12*F801D!K32+$D$12*F801ENE!D32)*0.5</f>
        <v>21.053799340423168</v>
      </c>
      <c r="E43" s="156">
        <f>($E$12*F801D!L32+$D$12*F801ENE!E32)*0.5</f>
        <v>21.062585994706982</v>
      </c>
      <c r="F43" s="156">
        <f>($E$12*F801D!M32+$D$12*F801ENE!F32)*0.5</f>
        <v>20.664770504149104</v>
      </c>
      <c r="G43" s="156">
        <f>($E$12*F801D!N32+$D$12*F801ENE!G32)*0.5</f>
        <v>20.990386474026582</v>
      </c>
      <c r="H43" s="156">
        <f>($E$12*F801D!O32+$D$12*F801ENE!H32)*0.5</f>
        <v>20.080877851588873</v>
      </c>
      <c r="I43" s="156">
        <f>($E$12*F801D!P32+$D$12*F801ENE!I32)*0.5</f>
        <v>20.174974235105282</v>
      </c>
      <c r="J43" s="156">
        <f t="shared" si="10"/>
        <v>124.02739439999999</v>
      </c>
    </row>
    <row r="44" spans="2:10" s="37" customFormat="1" ht="13.5">
      <c r="B44" s="48"/>
      <c r="C44" s="160" t="s">
        <v>624</v>
      </c>
      <c r="D44" s="156">
        <f>($E$12*F801D!K33+$D$12*F801ENE!D33)*0</f>
        <v>0</v>
      </c>
      <c r="E44" s="156">
        <f>($E$12*F801D!L33+$D$12*F801ENE!E33)*0</f>
        <v>0</v>
      </c>
      <c r="F44" s="156">
        <f>($E$12*F801D!M33+$D$12*F801ENE!F33)*0</f>
        <v>0</v>
      </c>
      <c r="G44" s="156">
        <f>($E$12*F801D!N33+$D$12*F801ENE!G33)*0</f>
        <v>0</v>
      </c>
      <c r="H44" s="156">
        <f>($E$12*F801D!O33+$D$12*F801ENE!H33)*0</f>
        <v>0</v>
      </c>
      <c r="I44" s="156">
        <f>($E$12*F801D!P33+$D$12*F801ENE!I33)*0</f>
        <v>0</v>
      </c>
      <c r="J44" s="156">
        <f t="shared" si="10"/>
        <v>0</v>
      </c>
    </row>
    <row r="45" spans="2:10" s="37" customFormat="1" ht="13.5">
      <c r="B45" s="48" t="s">
        <v>274</v>
      </c>
      <c r="C45" s="158" t="s">
        <v>631</v>
      </c>
      <c r="D45" s="154">
        <f t="shared" ref="D45:I45" si="11">SUBTOTAL(9,D46:D49)</f>
        <v>122489.3670840897</v>
      </c>
      <c r="E45" s="154">
        <f t="shared" si="11"/>
        <v>122540.48715532286</v>
      </c>
      <c r="F45" s="154">
        <f t="shared" si="11"/>
        <v>121236.87159911053</v>
      </c>
      <c r="G45" s="154">
        <f t="shared" si="11"/>
        <v>122120.43595938801</v>
      </c>
      <c r="H45" s="154">
        <f t="shared" si="11"/>
        <v>117811.26769357015</v>
      </c>
      <c r="I45" s="154">
        <f t="shared" si="11"/>
        <v>117376.43097277629</v>
      </c>
      <c r="J45" s="159">
        <f t="shared" si="10"/>
        <v>723574.86046425742</v>
      </c>
    </row>
    <row r="46" spans="2:10" s="37" customFormat="1" ht="13.5">
      <c r="B46" s="48"/>
      <c r="C46" s="160" t="s">
        <v>304</v>
      </c>
      <c r="D46" s="156">
        <f>($E$12*F801D!K35+$D$12*F801ENE!D35)*1</f>
        <v>122377.48453824263</v>
      </c>
      <c r="E46" s="156">
        <f>($E$12*F801D!L35+$D$12*F801ENE!E35)*1</f>
        <v>122428.5579160864</v>
      </c>
      <c r="F46" s="156">
        <f>($E$12*F801D!M35+$D$12*F801ENE!F35)*1</f>
        <v>121125.50269354886</v>
      </c>
      <c r="G46" s="156">
        <f>($E$12*F801D!N35+$D$12*F801ENE!G35)*1</f>
        <v>122008.89039751315</v>
      </c>
      <c r="H46" s="156">
        <f>($E$12*F801D!O35+$D$12*F801ENE!H35)*1</f>
        <v>117703.04556796754</v>
      </c>
      <c r="I46" s="156">
        <f>($E$12*F801D!P35+$D$12*F801ENE!I35)*1</f>
        <v>117269.21861441166</v>
      </c>
      <c r="J46" s="156">
        <f t="shared" si="10"/>
        <v>722912.69972777029</v>
      </c>
    </row>
    <row r="47" spans="2:10" s="37" customFormat="1" ht="13.5">
      <c r="B47" s="48"/>
      <c r="C47" s="161" t="s">
        <v>306</v>
      </c>
      <c r="D47" s="156">
        <f>($E$12*F801D!K36+$D$12*F801ENE!D36)*1</f>
        <v>0</v>
      </c>
      <c r="E47" s="156">
        <f>($E$12*F801D!L36+$D$12*F801ENE!E36)*1</f>
        <v>0</v>
      </c>
      <c r="F47" s="156">
        <f>($E$12*F801D!M36+$D$12*F801ENE!F36)*1</f>
        <v>0</v>
      </c>
      <c r="G47" s="156">
        <f>($E$12*F801D!N36+$D$12*F801ENE!G36)*1</f>
        <v>0</v>
      </c>
      <c r="H47" s="156">
        <f>($E$12*F801D!O36+$D$12*F801ENE!H36)*1</f>
        <v>0</v>
      </c>
      <c r="I47" s="156">
        <f>($E$12*F801D!P36+$D$12*F801ENE!I36)*1</f>
        <v>0</v>
      </c>
      <c r="J47" s="156">
        <f>SUM(D47:I47)</f>
        <v>0</v>
      </c>
    </row>
    <row r="48" spans="2:10" s="37" customFormat="1" ht="13.5">
      <c r="B48" s="48"/>
      <c r="C48" s="160" t="s">
        <v>305</v>
      </c>
      <c r="D48" s="156">
        <f>($E$12*F801D!K37+$D$12*F801ENE!D37)*0.95</f>
        <v>111.88254584706864</v>
      </c>
      <c r="E48" s="156">
        <f>($E$12*F801D!L37+$D$12*F801ENE!E37)*0.95</f>
        <v>111.92923923645908</v>
      </c>
      <c r="F48" s="156">
        <f>($E$12*F801D!M37+$D$12*F801ENE!F37)*0.95</f>
        <v>111.36890556167657</v>
      </c>
      <c r="G48" s="156">
        <f>($E$12*F801D!N37+$D$12*F801ENE!G37)*0.95</f>
        <v>111.54556187485569</v>
      </c>
      <c r="H48" s="156">
        <f>($E$12*F801D!O37+$D$12*F801ENE!H37)*0.95</f>
        <v>108.22212560261141</v>
      </c>
      <c r="I48" s="156">
        <f>($E$12*F801D!P37+$D$12*F801ENE!I37)*0.95</f>
        <v>107.21235836463646</v>
      </c>
      <c r="J48" s="156">
        <f t="shared" si="10"/>
        <v>662.16073648730787</v>
      </c>
    </row>
    <row r="49" spans="2:10" s="37" customFormat="1" ht="13.5">
      <c r="B49" s="48"/>
      <c r="C49" s="160" t="s">
        <v>307</v>
      </c>
      <c r="D49" s="156">
        <f>($E$12*F801D!K38+$D$12*F801ENE!D38)*0.5</f>
        <v>0</v>
      </c>
      <c r="E49" s="156">
        <f>($E$12*F801D!L38+$D$12*F801ENE!E38)*0.5</f>
        <v>0</v>
      </c>
      <c r="F49" s="156">
        <f>($E$12*F801D!M38+$D$12*F801ENE!F38)*0.5</f>
        <v>0</v>
      </c>
      <c r="G49" s="156">
        <f>($E$12*F801D!N38+$D$12*F801ENE!G38)*0.5</f>
        <v>0</v>
      </c>
      <c r="H49" s="156">
        <f>($E$12*F801D!O38+$D$12*F801ENE!H38)*0.5</f>
        <v>0</v>
      </c>
      <c r="I49" s="156">
        <f>($E$12*F801D!P38+$D$12*F801ENE!I38)*0.5</f>
        <v>0</v>
      </c>
      <c r="J49" s="156">
        <f t="shared" si="10"/>
        <v>0</v>
      </c>
    </row>
    <row r="50" spans="2:10" s="37" customFormat="1" ht="13.5">
      <c r="B50" s="48" t="s">
        <v>274</v>
      </c>
      <c r="C50" s="158" t="s">
        <v>632</v>
      </c>
      <c r="D50" s="154">
        <f t="shared" ref="D50:I50" si="12">SUBTOTAL(9,D51:D54)</f>
        <v>37009.667619181477</v>
      </c>
      <c r="E50" s="154">
        <f t="shared" si="12"/>
        <v>37025.113342267869</v>
      </c>
      <c r="F50" s="154">
        <f t="shared" si="12"/>
        <v>36693.581176460473</v>
      </c>
      <c r="G50" s="154">
        <f t="shared" si="12"/>
        <v>36898.196569696782</v>
      </c>
      <c r="H50" s="154">
        <f t="shared" si="12"/>
        <v>35656.787061531599</v>
      </c>
      <c r="I50" s="154">
        <f t="shared" si="12"/>
        <v>35464.814620570476</v>
      </c>
      <c r="J50" s="159">
        <f t="shared" si="10"/>
        <v>218748.16038970868</v>
      </c>
    </row>
    <row r="51" spans="2:10" s="37" customFormat="1" ht="13.5">
      <c r="B51" s="48"/>
      <c r="C51" s="160" t="s">
        <v>304</v>
      </c>
      <c r="D51" s="156">
        <f>($E$12*F801D!K40+$D$12*F801ENE!D40)*1</f>
        <v>37009.667619181477</v>
      </c>
      <c r="E51" s="156">
        <f>($E$12*F801D!L40+$D$12*F801ENE!E40)*1</f>
        <v>37025.113342267869</v>
      </c>
      <c r="F51" s="156">
        <f>($E$12*F801D!M40+$D$12*F801ENE!F40)*1</f>
        <v>36693.581176460473</v>
      </c>
      <c r="G51" s="156">
        <f>($E$12*F801D!N40+$D$12*F801ENE!G40)*1</f>
        <v>36898.196569696782</v>
      </c>
      <c r="H51" s="156">
        <f>($E$12*F801D!O40+$D$12*F801ENE!H40)*1</f>
        <v>35656.787061531599</v>
      </c>
      <c r="I51" s="156">
        <f>($E$12*F801D!P40+$D$12*F801ENE!I40)*1</f>
        <v>35464.814620570476</v>
      </c>
      <c r="J51" s="156">
        <f t="shared" si="10"/>
        <v>218748.16038970868</v>
      </c>
    </row>
    <row r="52" spans="2:10" s="37" customFormat="1" ht="13.5">
      <c r="B52" s="48"/>
      <c r="C52" s="161" t="s">
        <v>306</v>
      </c>
      <c r="D52" s="156">
        <f>($E$12*F801D!K41+$D$12*F801ENE!D41)*1</f>
        <v>0</v>
      </c>
      <c r="E52" s="156">
        <f>($E$12*F801D!L41+$D$12*F801ENE!E41)*1</f>
        <v>0</v>
      </c>
      <c r="F52" s="156">
        <f>($E$12*F801D!M41+$D$12*F801ENE!F41)*1</f>
        <v>0</v>
      </c>
      <c r="G52" s="156">
        <f>($E$12*F801D!N41+$D$12*F801ENE!G41)*1</f>
        <v>0</v>
      </c>
      <c r="H52" s="156">
        <f>($E$12*F801D!O41+$D$12*F801ENE!H41)*1</f>
        <v>0</v>
      </c>
      <c r="I52" s="156">
        <f>($E$12*F801D!P41+$D$12*F801ENE!I41)*1</f>
        <v>0</v>
      </c>
      <c r="J52" s="156">
        <f>SUM(D52:I52)</f>
        <v>0</v>
      </c>
    </row>
    <row r="53" spans="2:10" s="37" customFormat="1" ht="13.5">
      <c r="B53" s="48"/>
      <c r="C53" s="160" t="s">
        <v>305</v>
      </c>
      <c r="D53" s="156">
        <f>($E$12*F801D!K42+$D$12*F801ENE!D42)*0.95</f>
        <v>0</v>
      </c>
      <c r="E53" s="156">
        <f>($E$12*F801D!L42+$D$12*F801ENE!E42)*0.95</f>
        <v>0</v>
      </c>
      <c r="F53" s="156">
        <f>($E$12*F801D!M42+$D$12*F801ENE!F42)*0.95</f>
        <v>0</v>
      </c>
      <c r="G53" s="156">
        <f>($E$12*F801D!N42+$D$12*F801ENE!G42)*0.95</f>
        <v>0</v>
      </c>
      <c r="H53" s="156">
        <f>($E$12*F801D!O42+$D$12*F801ENE!H42)*0.95</f>
        <v>0</v>
      </c>
      <c r="I53" s="156">
        <f>($E$12*F801D!P42+$D$12*F801ENE!I42)*0.95</f>
        <v>0</v>
      </c>
      <c r="J53" s="156">
        <f t="shared" si="10"/>
        <v>0</v>
      </c>
    </row>
    <row r="54" spans="2:10" s="37" customFormat="1" ht="13.5">
      <c r="B54" s="48"/>
      <c r="C54" s="160" t="s">
        <v>307</v>
      </c>
      <c r="D54" s="156">
        <f>($E$12*F801D!K43+$D$12*F801ENE!D43)*0.5</f>
        <v>0</v>
      </c>
      <c r="E54" s="156">
        <f>($E$12*F801D!L43+$D$12*F801ENE!E43)*0.5</f>
        <v>0</v>
      </c>
      <c r="F54" s="156">
        <f>($E$12*F801D!M43+$D$12*F801ENE!F43)*0.5</f>
        <v>0</v>
      </c>
      <c r="G54" s="156">
        <f>($E$12*F801D!N43+$D$12*F801ENE!G43)*0.5</f>
        <v>0</v>
      </c>
      <c r="H54" s="156">
        <f>($E$12*F801D!O43+$D$12*F801ENE!H43)*0.5</f>
        <v>0</v>
      </c>
      <c r="I54" s="156">
        <f>($E$12*F801D!P43+$D$12*F801ENE!I43)*0.5</f>
        <v>0</v>
      </c>
      <c r="J54" s="156">
        <f t="shared" si="10"/>
        <v>0</v>
      </c>
    </row>
    <row r="55" spans="2:10" s="37" customFormat="1" ht="13.5">
      <c r="B55" s="48" t="s">
        <v>274</v>
      </c>
      <c r="C55" s="158" t="s">
        <v>633</v>
      </c>
      <c r="D55" s="154">
        <f t="shared" ref="D55:I55" si="13">SUBTOTAL(9,D56:D59)</f>
        <v>38071.639361318157</v>
      </c>
      <c r="E55" s="154">
        <f t="shared" si="13"/>
        <v>38087.528290801958</v>
      </c>
      <c r="F55" s="154">
        <f t="shared" si="13"/>
        <v>37761.649245131463</v>
      </c>
      <c r="G55" s="154">
        <f t="shared" si="13"/>
        <v>37956.969712325976</v>
      </c>
      <c r="H55" s="154">
        <f t="shared" si="13"/>
        <v>36694.676372707749</v>
      </c>
      <c r="I55" s="154">
        <f t="shared" si="13"/>
        <v>36482.45766872479</v>
      </c>
      <c r="J55" s="159">
        <f t="shared" si="10"/>
        <v>225054.92065101009</v>
      </c>
    </row>
    <row r="56" spans="2:10" s="37" customFormat="1" ht="13.5">
      <c r="B56" s="48"/>
      <c r="C56" s="160" t="s">
        <v>304</v>
      </c>
      <c r="D56" s="156">
        <f>($E$12*F801D!K45+$D$12*F801ENE!D45)*1</f>
        <v>38071.639361318157</v>
      </c>
      <c r="E56" s="156">
        <f>($E$12*F801D!L45+$D$12*F801ENE!E45)*1</f>
        <v>38087.528290801958</v>
      </c>
      <c r="F56" s="156">
        <f>($E$12*F801D!M45+$D$12*F801ENE!F45)*1</f>
        <v>37761.649245131463</v>
      </c>
      <c r="G56" s="156">
        <f>($E$12*F801D!N45+$D$12*F801ENE!G45)*1</f>
        <v>37956.969712325976</v>
      </c>
      <c r="H56" s="156">
        <f>($E$12*F801D!O45+$D$12*F801ENE!H45)*1</f>
        <v>36694.676372707749</v>
      </c>
      <c r="I56" s="156">
        <f>($E$12*F801D!P45+$D$12*F801ENE!I45)*1</f>
        <v>36482.45766872479</v>
      </c>
      <c r="J56" s="156">
        <f t="shared" si="10"/>
        <v>225054.92065101009</v>
      </c>
    </row>
    <row r="57" spans="2:10" s="37" customFormat="1" ht="13.5">
      <c r="B57" s="48"/>
      <c r="C57" s="161" t="s">
        <v>306</v>
      </c>
      <c r="D57" s="156">
        <f>($E$12*F801D!K46+$D$12*F801ENE!D46)*1</f>
        <v>0</v>
      </c>
      <c r="E57" s="156">
        <f>($E$12*F801D!L46+$D$12*F801ENE!E46)*1</f>
        <v>0</v>
      </c>
      <c r="F57" s="156">
        <f>($E$12*F801D!M46+$D$12*F801ENE!F46)*1</f>
        <v>0</v>
      </c>
      <c r="G57" s="156">
        <f>($E$12*F801D!N46+$D$12*F801ENE!G46)*1</f>
        <v>0</v>
      </c>
      <c r="H57" s="156">
        <f>($E$12*F801D!O46+$D$12*F801ENE!H46)*1</f>
        <v>0</v>
      </c>
      <c r="I57" s="156">
        <f>($E$12*F801D!P46+$D$12*F801ENE!I46)*1</f>
        <v>0</v>
      </c>
      <c r="J57" s="156">
        <f>SUM(D57:I57)</f>
        <v>0</v>
      </c>
    </row>
    <row r="58" spans="2:10" s="37" customFormat="1" ht="13.5">
      <c r="B58" s="48"/>
      <c r="C58" s="160" t="s">
        <v>305</v>
      </c>
      <c r="D58" s="156">
        <f>($E$12*F801D!K47+$D$12*F801ENE!D47)*0.95</f>
        <v>0</v>
      </c>
      <c r="E58" s="156">
        <f>($E$12*F801D!L47+$D$12*F801ENE!E47)*0.95</f>
        <v>0</v>
      </c>
      <c r="F58" s="156">
        <f>($E$12*F801D!M47+$D$12*F801ENE!F47)*0.95</f>
        <v>0</v>
      </c>
      <c r="G58" s="156">
        <f>($E$12*F801D!N47+$D$12*F801ENE!G47)*0.95</f>
        <v>0</v>
      </c>
      <c r="H58" s="156">
        <f>($E$12*F801D!O47+$D$12*F801ENE!H47)*0.95</f>
        <v>0</v>
      </c>
      <c r="I58" s="156">
        <f>($E$12*F801D!P47+$D$12*F801ENE!I47)*0.95</f>
        <v>0</v>
      </c>
      <c r="J58" s="156">
        <f t="shared" si="10"/>
        <v>0</v>
      </c>
    </row>
    <row r="59" spans="2:10" s="37" customFormat="1" ht="13.5">
      <c r="B59" s="48"/>
      <c r="C59" s="160" t="s">
        <v>307</v>
      </c>
      <c r="D59" s="156">
        <f>($E$12*F801D!K48+$D$12*F801ENE!D48)*0.5</f>
        <v>0</v>
      </c>
      <c r="E59" s="156">
        <f>($E$12*F801D!L48+$D$12*F801ENE!E48)*0.5</f>
        <v>0</v>
      </c>
      <c r="F59" s="156">
        <f>($E$12*F801D!M48+$D$12*F801ENE!F48)*0.5</f>
        <v>0</v>
      </c>
      <c r="G59" s="156">
        <f>($E$12*F801D!N48+$D$12*F801ENE!G48)*0.5</f>
        <v>0</v>
      </c>
      <c r="H59" s="156">
        <f>($E$12*F801D!O48+$D$12*F801ENE!H48)*0.5</f>
        <v>0</v>
      </c>
      <c r="I59" s="156">
        <f>($E$12*F801D!P48+$D$12*F801ENE!I48)*0.5</f>
        <v>0</v>
      </c>
      <c r="J59" s="156">
        <f t="shared" si="10"/>
        <v>0</v>
      </c>
    </row>
    <row r="60" spans="2:10" s="37" customFormat="1" ht="13.5">
      <c r="B60" s="48"/>
      <c r="C60" s="157"/>
      <c r="D60" s="156"/>
      <c r="E60" s="156"/>
      <c r="F60" s="156"/>
      <c r="G60" s="156"/>
      <c r="H60" s="156"/>
      <c r="I60" s="156"/>
      <c r="J60" s="156"/>
    </row>
    <row r="61" spans="2:10" s="37" customFormat="1" ht="13.5">
      <c r="B61" s="48" t="s">
        <v>1176</v>
      </c>
      <c r="C61" s="158" t="s">
        <v>1176</v>
      </c>
      <c r="D61" s="154">
        <f t="shared" ref="D61:I61" si="14">SUBTOTAL(9,D62:D67)</f>
        <v>3.5500000000000003</v>
      </c>
      <c r="E61" s="154">
        <f t="shared" si="14"/>
        <v>3.5500000000000003</v>
      </c>
      <c r="F61" s="154">
        <f t="shared" si="14"/>
        <v>3.5500000000000003</v>
      </c>
      <c r="G61" s="154">
        <f t="shared" si="14"/>
        <v>3.5500000000000003</v>
      </c>
      <c r="H61" s="154">
        <f t="shared" si="14"/>
        <v>3.5500000000000003</v>
      </c>
      <c r="I61" s="154">
        <f t="shared" si="14"/>
        <v>3.5500000000000003</v>
      </c>
      <c r="J61" s="159">
        <f>SUM(D61:I61)</f>
        <v>21.3</v>
      </c>
    </row>
    <row r="62" spans="2:10" s="37" customFormat="1" ht="13.5">
      <c r="B62" s="48"/>
      <c r="C62" s="160" t="s">
        <v>304</v>
      </c>
      <c r="D62" s="156">
        <f>($D$15*(F801ENE!D51))*1</f>
        <v>3.5500000000000003</v>
      </c>
      <c r="E62" s="156">
        <f>($D$15*(F801ENE!E51))*1</f>
        <v>3.5500000000000003</v>
      </c>
      <c r="F62" s="156">
        <f>($D$15*(F801ENE!F51))*1</f>
        <v>3.5500000000000003</v>
      </c>
      <c r="G62" s="156">
        <f>($D$15*(F801ENE!G51))*1</f>
        <v>3.5500000000000003</v>
      </c>
      <c r="H62" s="156">
        <f>($D$15*(F801ENE!H51))*1</f>
        <v>3.5500000000000003</v>
      </c>
      <c r="I62" s="156">
        <f>($D$15*(F801ENE!I51))*1</f>
        <v>3.5500000000000003</v>
      </c>
      <c r="J62" s="156">
        <f t="shared" si="10"/>
        <v>21.3</v>
      </c>
    </row>
    <row r="63" spans="2:10" s="37" customFormat="1" ht="13.5">
      <c r="B63" s="48"/>
      <c r="C63" s="162" t="s">
        <v>642</v>
      </c>
      <c r="D63" s="156">
        <f>($D$15*(F801ENE!D52))*0.75</f>
        <v>0</v>
      </c>
      <c r="E63" s="156">
        <f>($D$15*(F801ENE!E52))*0.75</f>
        <v>0</v>
      </c>
      <c r="F63" s="156">
        <f>($D$15*(F801ENE!F52))*0.75</f>
        <v>0</v>
      </c>
      <c r="G63" s="156">
        <f>($D$15*(F801ENE!G52))*0.75</f>
        <v>0</v>
      </c>
      <c r="H63" s="156">
        <f>($D$15*(F801ENE!H52))*0.75</f>
        <v>0</v>
      </c>
      <c r="I63" s="156">
        <f>($D$15*(F801ENE!I52))*0.75</f>
        <v>0</v>
      </c>
      <c r="J63" s="156">
        <f t="shared" si="10"/>
        <v>0</v>
      </c>
    </row>
    <row r="64" spans="2:10" s="37" customFormat="1" ht="13.5">
      <c r="B64" s="48"/>
      <c r="C64" s="162" t="s">
        <v>1177</v>
      </c>
      <c r="D64" s="156">
        <f>($D$15*(F801ENE!D53))*1</f>
        <v>0</v>
      </c>
      <c r="E64" s="156">
        <f>($D$15*(F801ENE!E53))*1</f>
        <v>0</v>
      </c>
      <c r="F64" s="156">
        <f>($D$15*(F801ENE!F53))*1</f>
        <v>0</v>
      </c>
      <c r="G64" s="156">
        <f>($D$15*(F801ENE!G53))*1</f>
        <v>0</v>
      </c>
      <c r="H64" s="156">
        <f>($D$15*(F801ENE!H53))*1</f>
        <v>0</v>
      </c>
      <c r="I64" s="156">
        <f>($D$15*(F801ENE!I53))*1</f>
        <v>0</v>
      </c>
      <c r="J64" s="156">
        <f t="shared" si="10"/>
        <v>0</v>
      </c>
    </row>
    <row r="65" spans="2:10" s="37" customFormat="1" ht="13.5">
      <c r="B65" s="48"/>
      <c r="C65" s="160" t="s">
        <v>305</v>
      </c>
      <c r="D65" s="156">
        <f>($D$15*(F801ENE!D54))*0.95</f>
        <v>0</v>
      </c>
      <c r="E65" s="156">
        <f>($D$15*(F801ENE!E54))*0.95</f>
        <v>0</v>
      </c>
      <c r="F65" s="156">
        <f>($D$15*(F801ENE!F54))*0.95</f>
        <v>0</v>
      </c>
      <c r="G65" s="156">
        <f>($D$15*(F801ENE!G54))*0.95</f>
        <v>0</v>
      </c>
      <c r="H65" s="156">
        <f>($D$15*(F801ENE!H54))*0.95</f>
        <v>0</v>
      </c>
      <c r="I65" s="156">
        <f>($D$15*(F801ENE!I54))*0.95</f>
        <v>0</v>
      </c>
      <c r="J65" s="156">
        <f t="shared" si="10"/>
        <v>0</v>
      </c>
    </row>
    <row r="66" spans="2:10" s="37" customFormat="1" ht="13.5">
      <c r="B66" s="48"/>
      <c r="C66" s="160" t="s">
        <v>307</v>
      </c>
      <c r="D66" s="156">
        <f>($D$15*(F801ENE!D55))*0.5</f>
        <v>0</v>
      </c>
      <c r="E66" s="156">
        <f>($D$15*(F801ENE!E55))*0.5</f>
        <v>0</v>
      </c>
      <c r="F66" s="156">
        <f>($D$15*(F801ENE!F55))*0.5</f>
        <v>0</v>
      </c>
      <c r="G66" s="156">
        <f>($D$15*(F801ENE!G55))*0.5</f>
        <v>0</v>
      </c>
      <c r="H66" s="156">
        <f>($D$15*(F801ENE!H55))*0.5</f>
        <v>0</v>
      </c>
      <c r="I66" s="156">
        <f>($D$15*(F801ENE!I55))*0.5</f>
        <v>0</v>
      </c>
      <c r="J66" s="156">
        <f t="shared" si="10"/>
        <v>0</v>
      </c>
    </row>
    <row r="67" spans="2:10" s="37" customFormat="1" ht="13.5">
      <c r="B67" s="48"/>
      <c r="C67" s="160" t="s">
        <v>624</v>
      </c>
      <c r="D67" s="156">
        <f>($D$15*(F801ENE!D56))*0</f>
        <v>0</v>
      </c>
      <c r="E67" s="156">
        <f>($D$15*(F801ENE!E56))*0</f>
        <v>0</v>
      </c>
      <c r="F67" s="156">
        <f>($D$15*(F801ENE!F56))*0</f>
        <v>0</v>
      </c>
      <c r="G67" s="156">
        <f>($D$15*(F801ENE!G56))*0</f>
        <v>0</v>
      </c>
      <c r="H67" s="156">
        <f>($D$15*(F801ENE!H56))*0</f>
        <v>0</v>
      </c>
      <c r="I67" s="156">
        <f>($D$15*(F801ENE!I56))*0</f>
        <v>0</v>
      </c>
      <c r="J67" s="156">
        <f t="shared" si="10"/>
        <v>0</v>
      </c>
    </row>
    <row r="68" spans="2:10" s="37" customFormat="1" ht="13.5">
      <c r="B68" s="48" t="s">
        <v>751</v>
      </c>
      <c r="C68" s="158" t="s">
        <v>634</v>
      </c>
      <c r="D68" s="154">
        <f t="shared" ref="D68:I68" si="15">SUBTOTAL(9,D69:D73)</f>
        <v>284616.9966544488</v>
      </c>
      <c r="E68" s="154">
        <f t="shared" si="15"/>
        <v>284735.78102704999</v>
      </c>
      <c r="F68" s="154">
        <f t="shared" si="15"/>
        <v>279357.82237173046</v>
      </c>
      <c r="G68" s="154">
        <f t="shared" si="15"/>
        <v>283759.73548239679</v>
      </c>
      <c r="H68" s="154">
        <f t="shared" si="15"/>
        <v>271464.33752977458</v>
      </c>
      <c r="I68" s="154">
        <f t="shared" si="15"/>
        <v>272736.40076556447</v>
      </c>
      <c r="J68" s="159">
        <f t="shared" si="10"/>
        <v>1676671.073830965</v>
      </c>
    </row>
    <row r="69" spans="2:10" s="37" customFormat="1" ht="13.5">
      <c r="B69" s="48"/>
      <c r="C69" s="160" t="s">
        <v>304</v>
      </c>
      <c r="D69" s="156">
        <f>($D$14*(F801ENE!D66))*1</f>
        <v>201138.83441083872</v>
      </c>
      <c r="E69" s="156">
        <f>($D$14*(F801ENE!E66))*1</f>
        <v>201222.77976269962</v>
      </c>
      <c r="F69" s="156">
        <f>($D$14*(F801ENE!F66))*1</f>
        <v>197422.15665270609</v>
      </c>
      <c r="G69" s="156">
        <f>($D$14*(F801ENE!G66))*1</f>
        <v>200533.0047958084</v>
      </c>
      <c r="H69" s="156">
        <f>($D$14*(F801ENE!H66))*1</f>
        <v>191843.80195876543</v>
      </c>
      <c r="I69" s="156">
        <f>($D$14*(F801ENE!I66))*1</f>
        <v>192742.77371388179</v>
      </c>
      <c r="J69" s="156">
        <f t="shared" si="10"/>
        <v>1184903.3512947001</v>
      </c>
    </row>
    <row r="70" spans="2:10" s="37" customFormat="1" ht="13.5">
      <c r="B70" s="48"/>
      <c r="C70" s="162" t="s">
        <v>644</v>
      </c>
      <c r="D70" s="156">
        <f>($D$14*(F801ENE!D67))*0.75</f>
        <v>83460.386988271202</v>
      </c>
      <c r="E70" s="156">
        <f>($D$14*(F801ENE!E67))*0.75</f>
        <v>83495.218590634351</v>
      </c>
      <c r="F70" s="156">
        <f>($D$14*(F801ENE!F67))*0.75</f>
        <v>81918.218912094526</v>
      </c>
      <c r="G70" s="156">
        <f>($D$14*(F801ENE!G67))*0.75</f>
        <v>83209.008969324626</v>
      </c>
      <c r="H70" s="156">
        <f>($D$14*(F801ENE!H67))*0.75</f>
        <v>79603.581731682149</v>
      </c>
      <c r="I70" s="156">
        <f>($D$14*(F801ENE!I67))*0.75</f>
        <v>79976.593768868159</v>
      </c>
      <c r="J70" s="156">
        <f>SUM(D70:I70)</f>
        <v>491663.00896087498</v>
      </c>
    </row>
    <row r="71" spans="2:10" s="37" customFormat="1" ht="13.5">
      <c r="B71" s="48"/>
      <c r="C71" s="160" t="s">
        <v>305</v>
      </c>
      <c r="D71" s="156">
        <f>($D$14*(F801ENE!D68))*0.95</f>
        <v>17.153569967671221</v>
      </c>
      <c r="E71" s="156">
        <f>($D$14*(F801ENE!E68))*0.95</f>
        <v>17.160728888804744</v>
      </c>
      <c r="F71" s="156">
        <f>($D$14*(F801ENE!F68))*0.95</f>
        <v>16.836608964359275</v>
      </c>
      <c r="G71" s="156">
        <f>($D$14*(F801ENE!G68))*0.95</f>
        <v>17.101904374065224</v>
      </c>
      <c r="H71" s="156">
        <f>($D$14*(F801ENE!H68))*0.95</f>
        <v>16.36088278746584</v>
      </c>
      <c r="I71" s="156">
        <f>($D$14*(F801ENE!I68))*0.95</f>
        <v>16.437547757633695</v>
      </c>
      <c r="J71" s="156">
        <f t="shared" si="10"/>
        <v>101.05124274000001</v>
      </c>
    </row>
    <row r="72" spans="2:10" s="37" customFormat="1" ht="13.5">
      <c r="B72" s="48"/>
      <c r="C72" s="160" t="s">
        <v>307</v>
      </c>
      <c r="D72" s="156">
        <f>($D$14*(F801ENE!D69))*0.5</f>
        <v>0.62168537123585854</v>
      </c>
      <c r="E72" s="156">
        <f>($D$14*(F801ENE!E69))*0.5</f>
        <v>0.62194482722962141</v>
      </c>
      <c r="F72" s="156">
        <f>($D$14*(F801ENE!F69))*0.5</f>
        <v>0.61019796544320726</v>
      </c>
      <c r="G72" s="156">
        <f>($D$14*(F801ENE!G69))*0.5</f>
        <v>0.61981288965904413</v>
      </c>
      <c r="H72" s="156">
        <f>($D$14*(F801ENE!H69))*0.5</f>
        <v>0.59295653957990269</v>
      </c>
      <c r="I72" s="156">
        <f>($D$14*(F801ENE!I69))*0.5</f>
        <v>0.59573505685236638</v>
      </c>
      <c r="J72" s="156">
        <f t="shared" si="10"/>
        <v>3.6623326500000002</v>
      </c>
    </row>
    <row r="73" spans="2:10" s="37" customFormat="1" ht="13.5">
      <c r="B73" s="48"/>
      <c r="C73" s="160" t="s">
        <v>624</v>
      </c>
      <c r="D73" s="156">
        <f>($D$14*(F801ENE!D70))*0</f>
        <v>0</v>
      </c>
      <c r="E73" s="156">
        <f>($D$14*(F801ENE!E70))*0</f>
        <v>0</v>
      </c>
      <c r="F73" s="156">
        <f>($D$14*(F801ENE!F70))*0</f>
        <v>0</v>
      </c>
      <c r="G73" s="156">
        <f>($D$14*(F801ENE!G70))*0</f>
        <v>0</v>
      </c>
      <c r="H73" s="156">
        <f>($D$14*(F801ENE!H70))*0</f>
        <v>0</v>
      </c>
      <c r="I73" s="156">
        <f>($D$14*(F801ENE!I70))*0</f>
        <v>0</v>
      </c>
      <c r="J73" s="156">
        <f t="shared" si="10"/>
        <v>0</v>
      </c>
    </row>
    <row r="74" spans="2:10" s="37" customFormat="1" ht="13.5">
      <c r="B74" s="48" t="s">
        <v>750</v>
      </c>
      <c r="C74" s="158" t="s">
        <v>635</v>
      </c>
      <c r="D74" s="154">
        <f t="shared" ref="D74:I74" si="16">SUBTOTAL(9,D75:D80)</f>
        <v>107079.06679443881</v>
      </c>
      <c r="E74" s="154">
        <f t="shared" si="16"/>
        <v>107123.75548581197</v>
      </c>
      <c r="F74" s="154">
        <f t="shared" si="16"/>
        <v>105100.47641885885</v>
      </c>
      <c r="G74" s="154">
        <f t="shared" si="16"/>
        <v>106756.55063254733</v>
      </c>
      <c r="H74" s="154">
        <f t="shared" si="16"/>
        <v>102130.81382574029</v>
      </c>
      <c r="I74" s="154">
        <f t="shared" si="16"/>
        <v>102609.38554444777</v>
      </c>
      <c r="J74" s="159">
        <f t="shared" si="10"/>
        <v>630800.04870184499</v>
      </c>
    </row>
    <row r="75" spans="2:10" s="37" customFormat="1" ht="13.5">
      <c r="B75" s="48"/>
      <c r="C75" s="160" t="s">
        <v>304</v>
      </c>
      <c r="D75" s="156">
        <f>($D$14*(F801ENE!D72))*1</f>
        <v>77045.270206122397</v>
      </c>
      <c r="E75" s="156">
        <f>($D$14*(F801ENE!E72))*1</f>
        <v>77077.42450485767</v>
      </c>
      <c r="F75" s="156">
        <f>($D$14*(F801ENE!F72))*1</f>
        <v>75621.639662101748</v>
      </c>
      <c r="G75" s="156">
        <f>($D$14*(F801ENE!G72))*1</f>
        <v>76813.21416022435</v>
      </c>
      <c r="H75" s="156">
        <f>($D$14*(F801ENE!H72))*1</f>
        <v>73484.915241939758</v>
      </c>
      <c r="I75" s="156">
        <f>($D$14*(F801ENE!I72))*1</f>
        <v>73829.256003254093</v>
      </c>
      <c r="J75" s="156">
        <f t="shared" si="10"/>
        <v>453871.71977850003</v>
      </c>
    </row>
    <row r="76" spans="2:10" s="37" customFormat="1" ht="13.5">
      <c r="B76" s="48"/>
      <c r="C76" s="162" t="s">
        <v>642</v>
      </c>
      <c r="D76" s="156">
        <f>($D$14*(F801ENE!D73))*0.75</f>
        <v>24246.15331243218</v>
      </c>
      <c r="E76" s="156">
        <f>($D$14*(F801ENE!E73))*0.75</f>
        <v>24256.272273073155</v>
      </c>
      <c r="F76" s="156">
        <f>($D$14*(F801ENE!F73))*0.75</f>
        <v>23798.136654975599</v>
      </c>
      <c r="G76" s="156">
        <f>($D$14*(F801ENE!G73))*0.75</f>
        <v>24173.1252543714</v>
      </c>
      <c r="H76" s="156">
        <f>($D$14*(F801ENE!H73))*0.75</f>
        <v>23125.709291958206</v>
      </c>
      <c r="I76" s="156">
        <f>($D$14*(F801ENE!I73))*0.75</f>
        <v>23234.073359839476</v>
      </c>
      <c r="J76" s="156">
        <f>SUM(D76:I76)</f>
        <v>142833.47014665004</v>
      </c>
    </row>
    <row r="77" spans="2:10" s="37" customFormat="1" ht="13.5">
      <c r="B77" s="48"/>
      <c r="C77" s="162" t="s">
        <v>1177</v>
      </c>
      <c r="D77" s="156">
        <f>($D$14*(F801ENE!D74))*1</f>
        <v>5769.8783149873307</v>
      </c>
      <c r="E77" s="156">
        <f>($D$14*(F801ENE!E74))*1</f>
        <v>5772.2863329034199</v>
      </c>
      <c r="F77" s="156">
        <f>($D$14*(F801ENE!F74))*1</f>
        <v>5663.2633990746117</v>
      </c>
      <c r="G77" s="156">
        <f>($D$14*(F801ENE!G74))*1</f>
        <v>5752.4997641235759</v>
      </c>
      <c r="H77" s="156">
        <f>($D$14*(F801ENE!H74))*1</f>
        <v>5503.2452712386885</v>
      </c>
      <c r="I77" s="156">
        <f>($D$14*(F801ENE!I74))*1</f>
        <v>5529.0327632723784</v>
      </c>
      <c r="J77" s="156">
        <f>SUM(D77:I77)</f>
        <v>33990.205845600001</v>
      </c>
    </row>
    <row r="78" spans="2:10" s="37" customFormat="1" ht="13.5">
      <c r="B78" s="48"/>
      <c r="C78" s="160" t="s">
        <v>305</v>
      </c>
      <c r="D78" s="156">
        <f>($D$14*(F801ENE!D75))*0.95</f>
        <v>16.938004970474424</v>
      </c>
      <c r="E78" s="156">
        <f>($D$14*(F801ENE!E75))*0.95</f>
        <v>16.945073927080617</v>
      </c>
      <c r="F78" s="156">
        <f>($D$14*(F801ENE!F75))*0.95</f>
        <v>16.625027143721013</v>
      </c>
      <c r="G78" s="156">
        <f>($D$14*(F801ENE!G75))*0.95</f>
        <v>16.886988646586733</v>
      </c>
      <c r="H78" s="156">
        <f>($D$14*(F801ENE!H75))*0.95</f>
        <v>16.155279309072469</v>
      </c>
      <c r="I78" s="156">
        <f>($D$14*(F801ENE!I75))*0.95</f>
        <v>16.23098084806475</v>
      </c>
      <c r="J78" s="156">
        <f t="shared" si="10"/>
        <v>99.781354844999996</v>
      </c>
    </row>
    <row r="79" spans="2:10" s="37" customFormat="1" ht="13.5">
      <c r="B79" s="48"/>
      <c r="C79" s="160" t="s">
        <v>307</v>
      </c>
      <c r="D79" s="156">
        <f>($D$14*(F801ENE!D76))*0.5</f>
        <v>0.82695592643258165</v>
      </c>
      <c r="E79" s="156">
        <f>($D$14*(F801ENE!E76))*0.5</f>
        <v>0.82730105064109261</v>
      </c>
      <c r="F79" s="156">
        <f>($D$14*(F801ENE!F76))*0.5</f>
        <v>0.81167556318278444</v>
      </c>
      <c r="G79" s="156">
        <f>($D$14*(F801ENE!G76))*0.5</f>
        <v>0.8244651814211551</v>
      </c>
      <c r="H79" s="156">
        <f>($D$14*(F801ENE!H76))*0.5</f>
        <v>0.78874129456799591</v>
      </c>
      <c r="I79" s="156">
        <f>($D$14*(F801ENE!I76))*0.5</f>
        <v>0.7924372337543909</v>
      </c>
      <c r="J79" s="156">
        <f t="shared" si="10"/>
        <v>4.8715762500000004</v>
      </c>
    </row>
    <row r="80" spans="2:10" s="37" customFormat="1" ht="13.5">
      <c r="B80" s="48"/>
      <c r="C80" s="160" t="s">
        <v>624</v>
      </c>
      <c r="D80" s="156">
        <f>($D$14*(F801ENE!D77))*0</f>
        <v>0</v>
      </c>
      <c r="E80" s="156">
        <f>($D$14*(F801ENE!E77))*0</f>
        <v>0</v>
      </c>
      <c r="F80" s="156">
        <f>($D$14*(F801ENE!F77))*0</f>
        <v>0</v>
      </c>
      <c r="G80" s="156">
        <f>($D$14*(F801ENE!G77))*0</f>
        <v>0</v>
      </c>
      <c r="H80" s="156">
        <f>($D$14*(F801ENE!H77))*0</f>
        <v>0</v>
      </c>
      <c r="I80" s="156">
        <f>($D$14*(F801ENE!I77))*0</f>
        <v>0</v>
      </c>
      <c r="J80" s="156">
        <f t="shared" si="10"/>
        <v>0</v>
      </c>
    </row>
    <row r="81" spans="2:10" s="37" customFormat="1" ht="13.5">
      <c r="B81" s="48" t="s">
        <v>749</v>
      </c>
      <c r="C81" s="158" t="s">
        <v>636</v>
      </c>
      <c r="D81" s="154">
        <f t="shared" ref="D81:I81" si="17">SUBTOTAL(9,D82:D87)</f>
        <v>105918.51990779315</v>
      </c>
      <c r="E81" s="154">
        <f t="shared" si="17"/>
        <v>105962.72425312932</v>
      </c>
      <c r="F81" s="154">
        <f t="shared" si="17"/>
        <v>103961.3739374463</v>
      </c>
      <c r="G81" s="154">
        <f t="shared" si="17"/>
        <v>105599.49924823261</v>
      </c>
      <c r="H81" s="154">
        <f t="shared" si="17"/>
        <v>101023.8972120235</v>
      </c>
      <c r="I81" s="154">
        <f t="shared" si="17"/>
        <v>101497.28206335523</v>
      </c>
      <c r="J81" s="159">
        <f t="shared" si="10"/>
        <v>623963.29662198003</v>
      </c>
    </row>
    <row r="82" spans="2:10" s="37" customFormat="1" ht="13.5">
      <c r="B82" s="48"/>
      <c r="C82" s="160" t="s">
        <v>304</v>
      </c>
      <c r="D82" s="156">
        <f>($D$14*(F801ENE!D79))*1</f>
        <v>96436.816004091612</v>
      </c>
      <c r="E82" s="156">
        <f>($D$14*(F801ENE!E79))*1</f>
        <v>96477.063227348495</v>
      </c>
      <c r="F82" s="156">
        <f>($D$14*(F801ENE!F79))*1</f>
        <v>94654.871486741918</v>
      </c>
      <c r="G82" s="156">
        <f>($D$14*(F801ENE!G79))*1</f>
        <v>96146.353706522452</v>
      </c>
      <c r="H82" s="156">
        <f>($D$14*(F801ENE!H79))*1</f>
        <v>91980.35429435187</v>
      </c>
      <c r="I82" s="156">
        <f>($D$14*(F801ENE!I79))*1</f>
        <v>92411.362279043737</v>
      </c>
      <c r="J82" s="156">
        <f t="shared" si="10"/>
        <v>568106.8209981001</v>
      </c>
    </row>
    <row r="83" spans="2:10" s="37" customFormat="1" ht="13.5">
      <c r="B83" s="48"/>
      <c r="C83" s="162" t="s">
        <v>642</v>
      </c>
      <c r="D83" s="156">
        <f>($D$14*(F801ENE!D80))*0.75</f>
        <v>0</v>
      </c>
      <c r="E83" s="156">
        <f>($D$14*(F801ENE!E80))*0.75</f>
        <v>0</v>
      </c>
      <c r="F83" s="156">
        <f>($D$14*(F801ENE!F80))*0.75</f>
        <v>0</v>
      </c>
      <c r="G83" s="156">
        <f>($D$14*(F801ENE!G80))*0.75</f>
        <v>0</v>
      </c>
      <c r="H83" s="156">
        <f>($D$14*(F801ENE!H80))*0.75</f>
        <v>0</v>
      </c>
      <c r="I83" s="156">
        <f>($D$14*(F801ENE!I80))*0.75</f>
        <v>0</v>
      </c>
      <c r="J83" s="156">
        <f>SUM(D83:I83)</f>
        <v>0</v>
      </c>
    </row>
    <row r="84" spans="2:10" s="37" customFormat="1" ht="13.5">
      <c r="B84" s="48"/>
      <c r="C84" s="162" t="s">
        <v>1177</v>
      </c>
      <c r="D84" s="156">
        <f>($D$14*(F801ENE!D81))*1</f>
        <v>9414.5831526053298</v>
      </c>
      <c r="E84" s="156">
        <f>($D$14*(F801ENE!E81))*1</f>
        <v>9418.5122623137777</v>
      </c>
      <c r="F84" s="156">
        <f>($D$14*(F801ENE!F81))*1</f>
        <v>9240.6219464285714</v>
      </c>
      <c r="G84" s="156">
        <f>($D$14*(F801ENE!G81))*1</f>
        <v>9386.2269545632298</v>
      </c>
      <c r="H84" s="156">
        <f>($D$14*(F801ENE!H81))*1</f>
        <v>8979.5238975282391</v>
      </c>
      <c r="I84" s="156">
        <f>($D$14*(F801ENE!I81))*1</f>
        <v>9021.6007793608605</v>
      </c>
      <c r="J84" s="156">
        <f>SUM(D84:I84)</f>
        <v>55461.068992800007</v>
      </c>
    </row>
    <row r="85" spans="2:10" s="37" customFormat="1" ht="13.5">
      <c r="B85" s="48"/>
      <c r="C85" s="160" t="s">
        <v>305</v>
      </c>
      <c r="D85" s="156">
        <f>($D$14*(F801ENE!D82))*0.95</f>
        <v>66.841595506815821</v>
      </c>
      <c r="E85" s="156">
        <f>($D$14*(F801ENE!E82))*0.95</f>
        <v>66.869491374065262</v>
      </c>
      <c r="F85" s="156">
        <f>($D$14*(F801ENE!F82))*0.95</f>
        <v>65.606506880090279</v>
      </c>
      <c r="G85" s="156">
        <f>($D$14*(F801ENE!G82))*0.95</f>
        <v>66.640272358576709</v>
      </c>
      <c r="H85" s="156">
        <f>($D$14*(F801ENE!H82))*0.95</f>
        <v>63.752764670868288</v>
      </c>
      <c r="I85" s="156">
        <f>($D$14*(F801ENE!I82))*0.95</f>
        <v>64.051501839583594</v>
      </c>
      <c r="J85" s="156">
        <f t="shared" si="10"/>
        <v>393.76213262999988</v>
      </c>
    </row>
    <row r="86" spans="2:10" s="37" customFormat="1" ht="13.5">
      <c r="B86" s="48"/>
      <c r="C86" s="160" t="s">
        <v>307</v>
      </c>
      <c r="D86" s="156">
        <f>($D$14*(F801ENE!D83))*0.5</f>
        <v>0.27915558937144713</v>
      </c>
      <c r="E86" s="156">
        <f>($D$14*(F801ENE!E83))*0.5</f>
        <v>0.27927209298276884</v>
      </c>
      <c r="F86" s="156">
        <f>($D$14*(F801ENE!F83))*0.5</f>
        <v>0.27399739572114173</v>
      </c>
      <c r="G86" s="156">
        <f>($D$14*(F801ENE!G83))*0.5</f>
        <v>0.27831478834515999</v>
      </c>
      <c r="H86" s="156">
        <f>($D$14*(F801ENE!H83))*0.5</f>
        <v>0.26625547252145804</v>
      </c>
      <c r="I86" s="156">
        <f>($D$14*(F801ENE!I83))*0.5</f>
        <v>0.26750311105802427</v>
      </c>
      <c r="J86" s="156">
        <f t="shared" si="10"/>
        <v>1.6444984499999999</v>
      </c>
    </row>
    <row r="87" spans="2:10" s="37" customFormat="1" ht="13.5">
      <c r="B87" s="48"/>
      <c r="C87" s="160" t="s">
        <v>624</v>
      </c>
      <c r="D87" s="156">
        <f>($D$14*(F801ENE!D84))*0</f>
        <v>0</v>
      </c>
      <c r="E87" s="156">
        <f>($D$14*(F801ENE!E84))*0</f>
        <v>0</v>
      </c>
      <c r="F87" s="156">
        <f>($D$14*(F801ENE!F84))*0</f>
        <v>0</v>
      </c>
      <c r="G87" s="156">
        <f>($D$14*(F801ENE!G84))*0</f>
        <v>0</v>
      </c>
      <c r="H87" s="156">
        <f>($D$14*(F801ENE!H84))*0</f>
        <v>0</v>
      </c>
      <c r="I87" s="156">
        <f>($D$14*(F801ENE!I84))*0</f>
        <v>0</v>
      </c>
      <c r="J87" s="156">
        <f t="shared" si="10"/>
        <v>0</v>
      </c>
    </row>
    <row r="88" spans="2:10" s="37" customFormat="1" ht="13.5">
      <c r="B88" s="48"/>
      <c r="C88" s="157"/>
      <c r="D88" s="156"/>
      <c r="E88" s="156"/>
      <c r="F88" s="156"/>
      <c r="G88" s="156"/>
      <c r="H88" s="156"/>
      <c r="I88" s="156"/>
      <c r="J88" s="156"/>
    </row>
    <row r="89" spans="2:10" s="37" customFormat="1" ht="13.5">
      <c r="B89" s="48" t="s">
        <v>902</v>
      </c>
      <c r="C89" s="158" t="s">
        <v>898</v>
      </c>
      <c r="D89" s="154">
        <f t="shared" ref="D89:I89" si="18">SUBTOTAL(9,D90:D94)</f>
        <v>48820.761153147287</v>
      </c>
      <c r="E89" s="154">
        <f t="shared" si="18"/>
        <v>48841.136152604115</v>
      </c>
      <c r="F89" s="154">
        <f t="shared" si="18"/>
        <v>47918.658706442715</v>
      </c>
      <c r="G89" s="154">
        <f t="shared" si="18"/>
        <v>48673.715750351977</v>
      </c>
      <c r="H89" s="154">
        <f t="shared" si="18"/>
        <v>46564.694831856476</v>
      </c>
      <c r="I89" s="154">
        <f t="shared" si="18"/>
        <v>46782.890939397461</v>
      </c>
      <c r="J89" s="159">
        <f t="shared" ref="J89:J98" si="19">SUM(D89:I89)</f>
        <v>287601.85753380001</v>
      </c>
    </row>
    <row r="90" spans="2:10" s="37" customFormat="1" ht="13.5">
      <c r="B90" s="48"/>
      <c r="C90" s="160" t="s">
        <v>304</v>
      </c>
      <c r="D90" s="156">
        <f>$D$13*F801ENE!D87*1</f>
        <v>46956.385771009809</v>
      </c>
      <c r="E90" s="156">
        <f>$D$13*F801ENE!E87*1</f>
        <v>46975.982686583855</v>
      </c>
      <c r="F90" s="156">
        <f>$D$13*F801ENE!F87*1</f>
        <v>46088.732963230897</v>
      </c>
      <c r="G90" s="156">
        <f>$D$13*F801ENE!G87*1</f>
        <v>46814.955762619516</v>
      </c>
      <c r="H90" s="156">
        <f>$D$13*F801ENE!H87*1</f>
        <v>44786.47448725906</v>
      </c>
      <c r="I90" s="156">
        <f>$D$13*F801ENE!I87*1</f>
        <v>44996.338085396899</v>
      </c>
      <c r="J90" s="156">
        <f t="shared" si="19"/>
        <v>276618.86975610006</v>
      </c>
    </row>
    <row r="91" spans="2:10" s="37" customFormat="1" ht="13.5">
      <c r="B91" s="48"/>
      <c r="C91" s="162" t="s">
        <v>644</v>
      </c>
      <c r="D91" s="156">
        <f>$D$13*F801ENE!D88*0.75</f>
        <v>1864.3753821374803</v>
      </c>
      <c r="E91" s="156">
        <f>$D$13*F801ENE!E88*0.75</f>
        <v>1865.1534660202615</v>
      </c>
      <c r="F91" s="156">
        <f>$D$13*F801ENE!F88*0.75</f>
        <v>1829.9257432118166</v>
      </c>
      <c r="G91" s="156">
        <f>$D$13*F801ENE!G88*0.75</f>
        <v>1858.7599877324633</v>
      </c>
      <c r="H91" s="156">
        <f>$D$13*F801ENE!H88*0.75</f>
        <v>1778.220344597413</v>
      </c>
      <c r="I91" s="156">
        <f>$D$13*F801ENE!I88*0.75</f>
        <v>1786.5528540005653</v>
      </c>
      <c r="J91" s="156">
        <f t="shared" si="19"/>
        <v>10982.9877777</v>
      </c>
    </row>
    <row r="92" spans="2:10" s="37" customFormat="1" ht="13.5">
      <c r="B92" s="48"/>
      <c r="C92" s="160" t="s">
        <v>305</v>
      </c>
      <c r="D92" s="156">
        <f>$D$13*F801ENE!D89*0.95</f>
        <v>0</v>
      </c>
      <c r="E92" s="156">
        <f>$D$13*F801ENE!E89*0.95</f>
        <v>0</v>
      </c>
      <c r="F92" s="156">
        <f>$D$13*F801ENE!F89*0.95</f>
        <v>0</v>
      </c>
      <c r="G92" s="156">
        <f>$D$13*F801ENE!G89*0.95</f>
        <v>0</v>
      </c>
      <c r="H92" s="156">
        <f>$D$13*F801ENE!H89*0.95</f>
        <v>0</v>
      </c>
      <c r="I92" s="156">
        <f>$D$13*F801ENE!I89*0.95</f>
        <v>0</v>
      </c>
      <c r="J92" s="156">
        <f t="shared" si="19"/>
        <v>0</v>
      </c>
    </row>
    <row r="93" spans="2:10" s="37" customFormat="1" ht="13.5">
      <c r="B93" s="48"/>
      <c r="C93" s="160" t="s">
        <v>307</v>
      </c>
      <c r="D93" s="156">
        <f>$D$13*F801ENE!D90*0.5</f>
        <v>0</v>
      </c>
      <c r="E93" s="156">
        <f>$D$13*F801ENE!E90*0.5</f>
        <v>0</v>
      </c>
      <c r="F93" s="156">
        <f>$D$13*F801ENE!F90*0.5</f>
        <v>0</v>
      </c>
      <c r="G93" s="156">
        <f>$D$13*F801ENE!G90*0.5</f>
        <v>0</v>
      </c>
      <c r="H93" s="156">
        <f>$D$13*F801ENE!H90*0.5</f>
        <v>0</v>
      </c>
      <c r="I93" s="156">
        <f>$D$13*F801ENE!I90*0.5</f>
        <v>0</v>
      </c>
      <c r="J93" s="156">
        <f t="shared" si="19"/>
        <v>0</v>
      </c>
    </row>
    <row r="94" spans="2:10" s="37" customFormat="1" ht="13.5">
      <c r="B94" s="48"/>
      <c r="C94" s="160" t="s">
        <v>624</v>
      </c>
      <c r="D94" s="156">
        <f>$D$13*F801ENE!D91*0</f>
        <v>0</v>
      </c>
      <c r="E94" s="156">
        <f>$D$13*F801ENE!E91*0</f>
        <v>0</v>
      </c>
      <c r="F94" s="156">
        <f>$D$13*F801ENE!F91*0</f>
        <v>0</v>
      </c>
      <c r="G94" s="156">
        <f>$D$13*F801ENE!G91*0</f>
        <v>0</v>
      </c>
      <c r="H94" s="156">
        <f>$D$13*F801ENE!H91*0</f>
        <v>0</v>
      </c>
      <c r="I94" s="156">
        <f>$D$13*F801ENE!I91*0</f>
        <v>0</v>
      </c>
      <c r="J94" s="156">
        <f t="shared" si="19"/>
        <v>0</v>
      </c>
    </row>
    <row r="95" spans="2:10" s="37" customFormat="1" ht="13.5">
      <c r="B95" s="48" t="s">
        <v>902</v>
      </c>
      <c r="C95" s="158" t="s">
        <v>899</v>
      </c>
      <c r="D95" s="154">
        <f t="shared" ref="D95:I95" si="20">SUBTOTAL(9,D96:D101)</f>
        <v>3864.1305597072296</v>
      </c>
      <c r="E95" s="154">
        <f t="shared" si="20"/>
        <v>3865.7432272731489</v>
      </c>
      <c r="F95" s="154">
        <f t="shared" si="20"/>
        <v>3792.7297550093481</v>
      </c>
      <c r="G95" s="154">
        <f t="shared" si="20"/>
        <v>3852.4920145230735</v>
      </c>
      <c r="H95" s="154">
        <f t="shared" si="20"/>
        <v>3685.5644208164572</v>
      </c>
      <c r="I95" s="154">
        <f t="shared" si="20"/>
        <v>3702.8344966457444</v>
      </c>
      <c r="J95" s="159">
        <f t="shared" si="19"/>
        <v>22763.494473975003</v>
      </c>
    </row>
    <row r="96" spans="2:10" s="37" customFormat="1" ht="13.5">
      <c r="B96" s="48"/>
      <c r="C96" s="160" t="s">
        <v>304</v>
      </c>
      <c r="D96" s="156">
        <f>$D$13*F801ENE!D93*1</f>
        <v>3510.0646653834833</v>
      </c>
      <c r="E96" s="156">
        <f>$D$13*F801ENE!E93*1</f>
        <v>3511.5295660519978</v>
      </c>
      <c r="F96" s="156">
        <f>$D$13*F801ENE!F93*1</f>
        <v>3445.2062353233537</v>
      </c>
      <c r="G96" s="156">
        <f>$D$13*F801ENE!G93*1</f>
        <v>3499.4925468755437</v>
      </c>
      <c r="H96" s="156">
        <f>$D$13*F801ENE!H93*1</f>
        <v>3347.8603389846494</v>
      </c>
      <c r="I96" s="156">
        <f>$D$13*F801ENE!I93*1</f>
        <v>3363.5479773809739</v>
      </c>
      <c r="J96" s="156">
        <f t="shared" si="19"/>
        <v>20677.701330000004</v>
      </c>
    </row>
    <row r="97" spans="2:10" s="37" customFormat="1" ht="13.5">
      <c r="B97" s="48"/>
      <c r="C97" s="162" t="s">
        <v>642</v>
      </c>
      <c r="D97" s="156">
        <f>$D$13*F801ENE!D94*0.75</f>
        <v>321.0692708606781</v>
      </c>
      <c r="E97" s="156">
        <f>$D$13*F801ENE!E94*0.75</f>
        <v>321.20326685059865</v>
      </c>
      <c r="F97" s="156">
        <f>$D$13*F801ENE!F94*0.75</f>
        <v>315.13660270959167</v>
      </c>
      <c r="G97" s="156">
        <f>$D$13*F801ENE!G94*0.75</f>
        <v>320.10222816933606</v>
      </c>
      <c r="H97" s="156">
        <f>$D$13*F801ENE!H94*0.75</f>
        <v>306.23227218058929</v>
      </c>
      <c r="I97" s="156">
        <f>$D$13*F801ENE!I94*0.75</f>
        <v>307.66723680420648</v>
      </c>
      <c r="J97" s="156">
        <f t="shared" si="19"/>
        <v>1891.4108775750001</v>
      </c>
    </row>
    <row r="98" spans="2:10" s="37" customFormat="1" ht="13.5">
      <c r="B98" s="48"/>
      <c r="C98" s="162" t="s">
        <v>1177</v>
      </c>
      <c r="D98" s="156">
        <f>$D$13*F801ENE!D95*1</f>
        <v>32.996623463068417</v>
      </c>
      <c r="E98" s="156">
        <f>$D$13*F801ENE!E95*1</f>
        <v>33.010394370552397</v>
      </c>
      <c r="F98" s="156">
        <f>$D$13*F801ENE!F95*1</f>
        <v>32.386916976402865</v>
      </c>
      <c r="G98" s="156">
        <f>$D$13*F801ENE!G95*1</f>
        <v>32.897239478193796</v>
      </c>
      <c r="H98" s="156">
        <f>$D$13*F801ENE!H95*1</f>
        <v>31.471809651218543</v>
      </c>
      <c r="I98" s="156">
        <f>$D$13*F801ENE!I95*1</f>
        <v>31.619282460563987</v>
      </c>
      <c r="J98" s="156">
        <f t="shared" si="19"/>
        <v>194.38226639999999</v>
      </c>
    </row>
    <row r="99" spans="2:10" s="37" customFormat="1" ht="13.5">
      <c r="B99" s="48"/>
      <c r="C99" s="160" t="s">
        <v>305</v>
      </c>
      <c r="D99" s="156">
        <f>$D$13*F801ENE!D96*0.95</f>
        <v>0</v>
      </c>
      <c r="E99" s="156">
        <f>$D$13*F801ENE!E96*0.95</f>
        <v>0</v>
      </c>
      <c r="F99" s="156">
        <f>$D$13*F801ENE!F96*0.95</f>
        <v>0</v>
      </c>
      <c r="G99" s="156">
        <f>$D$13*F801ENE!G96*0.95</f>
        <v>0</v>
      </c>
      <c r="H99" s="156">
        <f>$D$13*F801ENE!H96*0.95</f>
        <v>0</v>
      </c>
      <c r="I99" s="156">
        <f>$D$13*F801ENE!I96*0.95</f>
        <v>0</v>
      </c>
      <c r="J99" s="156">
        <f t="shared" ref="J99:J108" si="21">SUM(D99:I99)</f>
        <v>0</v>
      </c>
    </row>
    <row r="100" spans="2:10" s="37" customFormat="1" ht="13.5">
      <c r="B100" s="48"/>
      <c r="C100" s="160" t="s">
        <v>307</v>
      </c>
      <c r="D100" s="156">
        <f>$D$13*F801ENE!D97*0.5</f>
        <v>0</v>
      </c>
      <c r="E100" s="156">
        <f>$D$13*F801ENE!E97*0.5</f>
        <v>0</v>
      </c>
      <c r="F100" s="156">
        <f>$D$13*F801ENE!F97*0.5</f>
        <v>0</v>
      </c>
      <c r="G100" s="156">
        <f>$D$13*F801ENE!G97*0.5</f>
        <v>0</v>
      </c>
      <c r="H100" s="156">
        <f>$D$13*F801ENE!H97*0.5</f>
        <v>0</v>
      </c>
      <c r="I100" s="156">
        <f>$D$13*F801ENE!I97*0.5</f>
        <v>0</v>
      </c>
      <c r="J100" s="156">
        <f t="shared" si="21"/>
        <v>0</v>
      </c>
    </row>
    <row r="101" spans="2:10" s="37" customFormat="1" ht="13.5">
      <c r="B101" s="48"/>
      <c r="C101" s="160" t="s">
        <v>624</v>
      </c>
      <c r="D101" s="156">
        <f>$D$13*F801ENE!D98*0</f>
        <v>0</v>
      </c>
      <c r="E101" s="156">
        <f>$D$13*F801ENE!E98*0</f>
        <v>0</v>
      </c>
      <c r="F101" s="156">
        <f>$D$13*F801ENE!F98*0</f>
        <v>0</v>
      </c>
      <c r="G101" s="156">
        <f>$D$13*F801ENE!G98*0</f>
        <v>0</v>
      </c>
      <c r="H101" s="156">
        <f>$D$13*F801ENE!H98*0</f>
        <v>0</v>
      </c>
      <c r="I101" s="156">
        <f>$D$13*F801ENE!I98*0</f>
        <v>0</v>
      </c>
      <c r="J101" s="156">
        <f t="shared" si="21"/>
        <v>0</v>
      </c>
    </row>
    <row r="102" spans="2:10" s="37" customFormat="1" ht="13.5">
      <c r="B102" s="48" t="s">
        <v>902</v>
      </c>
      <c r="C102" s="158" t="s">
        <v>900</v>
      </c>
      <c r="D102" s="154">
        <f t="shared" ref="D102:I102" si="22">SUBTOTAL(9,D103:D108)</f>
        <v>427.31533171912656</v>
      </c>
      <c r="E102" s="154">
        <f t="shared" si="22"/>
        <v>427.49366875128305</v>
      </c>
      <c r="F102" s="154">
        <f t="shared" si="22"/>
        <v>419.41946534684757</v>
      </c>
      <c r="G102" s="154">
        <f t="shared" si="22"/>
        <v>426.02828183319502</v>
      </c>
      <c r="H102" s="154">
        <f t="shared" si="22"/>
        <v>407.5685742804506</v>
      </c>
      <c r="I102" s="154">
        <f t="shared" si="22"/>
        <v>409.47838764409767</v>
      </c>
      <c r="J102" s="159">
        <f t="shared" si="21"/>
        <v>2517.3037095750005</v>
      </c>
    </row>
    <row r="103" spans="2:10" s="37" customFormat="1" ht="13.5">
      <c r="B103" s="48"/>
      <c r="C103" s="160" t="s">
        <v>304</v>
      </c>
      <c r="D103" s="156">
        <f>$D$13*F801ENE!D100*1</f>
        <v>415.13867620200892</v>
      </c>
      <c r="E103" s="156">
        <f>$D$13*F801ENE!E100*1</f>
        <v>415.31193139308618</v>
      </c>
      <c r="F103" s="156">
        <f>$D$13*F801ENE!F100*1</f>
        <v>407.46780818033352</v>
      </c>
      <c r="G103" s="156">
        <f>$D$13*F801ENE!G100*1</f>
        <v>413.88830172164091</v>
      </c>
      <c r="H103" s="156">
        <f>$D$13*F801ENE!H100*1</f>
        <v>395.95461671742572</v>
      </c>
      <c r="I103" s="156">
        <f>$D$13*F801ENE!I100*1</f>
        <v>397.81000858550522</v>
      </c>
      <c r="J103" s="156">
        <f t="shared" si="21"/>
        <v>2445.5713428000008</v>
      </c>
    </row>
    <row r="104" spans="2:10" s="37" customFormat="1" ht="13.5">
      <c r="B104" s="48"/>
      <c r="C104" s="162" t="s">
        <v>642</v>
      </c>
      <c r="D104" s="156">
        <f>$D$13*F801ENE!D101*0.75</f>
        <v>12.176655517117659</v>
      </c>
      <c r="E104" s="156">
        <f>$D$13*F801ENE!E101*0.75</f>
        <v>12.181737358196887</v>
      </c>
      <c r="F104" s="156">
        <f>$D$13*F801ENE!F101*0.75</f>
        <v>11.951657166514057</v>
      </c>
      <c r="G104" s="156">
        <f>$D$13*F801ENE!G101*0.75</f>
        <v>12.139980111554081</v>
      </c>
      <c r="H104" s="156">
        <f>$D$13*F801ENE!H101*0.75</f>
        <v>11.613957563024861</v>
      </c>
      <c r="I104" s="156">
        <f>$D$13*F801ENE!I101*0.75</f>
        <v>11.668379058592457</v>
      </c>
      <c r="J104" s="156">
        <f t="shared" si="21"/>
        <v>71.732366775000003</v>
      </c>
    </row>
    <row r="105" spans="2:10" s="37" customFormat="1" ht="13.5">
      <c r="B105" s="48"/>
      <c r="C105" s="162" t="s">
        <v>1177</v>
      </c>
      <c r="D105" s="156">
        <f>$D$13*F801ENE!D102*1</f>
        <v>0</v>
      </c>
      <c r="E105" s="156">
        <f>$D$13*F801ENE!E102*1</f>
        <v>0</v>
      </c>
      <c r="F105" s="156">
        <f>$D$13*F801ENE!F102*1</f>
        <v>0</v>
      </c>
      <c r="G105" s="156">
        <f>$D$13*F801ENE!G102*1</f>
        <v>0</v>
      </c>
      <c r="H105" s="156">
        <f>$D$13*F801ENE!H102*1</f>
        <v>0</v>
      </c>
      <c r="I105" s="156">
        <f>$D$13*F801ENE!I102*1</f>
        <v>0</v>
      </c>
      <c r="J105" s="156">
        <f t="shared" si="21"/>
        <v>0</v>
      </c>
    </row>
    <row r="106" spans="2:10" s="37" customFormat="1" ht="13.5">
      <c r="B106" s="48"/>
      <c r="C106" s="160" t="s">
        <v>305</v>
      </c>
      <c r="D106" s="156">
        <f>$D$13*F801ENE!D103*0.95</f>
        <v>0</v>
      </c>
      <c r="E106" s="156">
        <f>$D$13*F801ENE!E103*0.95</f>
        <v>0</v>
      </c>
      <c r="F106" s="156">
        <f>$D$13*F801ENE!F103*0.95</f>
        <v>0</v>
      </c>
      <c r="G106" s="156">
        <f>$D$13*F801ENE!G103*0.95</f>
        <v>0</v>
      </c>
      <c r="H106" s="156">
        <f>$D$13*F801ENE!H103*0.95</f>
        <v>0</v>
      </c>
      <c r="I106" s="156">
        <f>$D$13*F801ENE!I103*0.95</f>
        <v>0</v>
      </c>
      <c r="J106" s="156">
        <f t="shared" si="21"/>
        <v>0</v>
      </c>
    </row>
    <row r="107" spans="2:10" s="37" customFormat="1" ht="13.5">
      <c r="B107" s="48"/>
      <c r="C107" s="160" t="s">
        <v>307</v>
      </c>
      <c r="D107" s="156">
        <f>$D$13*F801ENE!D104*0.5</f>
        <v>0</v>
      </c>
      <c r="E107" s="156">
        <f>$D$13*F801ENE!E104*0.5</f>
        <v>0</v>
      </c>
      <c r="F107" s="156">
        <f>$D$13*F801ENE!F104*0.5</f>
        <v>0</v>
      </c>
      <c r="G107" s="156">
        <f>$D$13*F801ENE!G104*0.5</f>
        <v>0</v>
      </c>
      <c r="H107" s="156">
        <f>$D$13*F801ENE!H104*0.5</f>
        <v>0</v>
      </c>
      <c r="I107" s="156">
        <f>$D$13*F801ENE!I104*0.5</f>
        <v>0</v>
      </c>
      <c r="J107" s="156">
        <f t="shared" si="21"/>
        <v>0</v>
      </c>
    </row>
    <row r="108" spans="2:10" s="37" customFormat="1" ht="13.5">
      <c r="B108" s="48"/>
      <c r="C108" s="160" t="s">
        <v>624</v>
      </c>
      <c r="D108" s="156">
        <f>$D$13*F801ENE!D105*0</f>
        <v>0</v>
      </c>
      <c r="E108" s="156">
        <f>$D$13*F801ENE!E105*0</f>
        <v>0</v>
      </c>
      <c r="F108" s="156">
        <f>$D$13*F801ENE!F105*0</f>
        <v>0</v>
      </c>
      <c r="G108" s="156">
        <f>$D$13*F801ENE!G105*0</f>
        <v>0</v>
      </c>
      <c r="H108" s="156">
        <f>$D$13*F801ENE!H105*0</f>
        <v>0</v>
      </c>
      <c r="I108" s="156">
        <f>$D$13*F801ENE!I105*0</f>
        <v>0</v>
      </c>
      <c r="J108" s="156">
        <f t="shared" si="21"/>
        <v>0</v>
      </c>
    </row>
    <row r="109" spans="2:10" s="37" customFormat="1" ht="13.5">
      <c r="B109" s="48"/>
      <c r="C109" s="157"/>
      <c r="D109" s="156"/>
      <c r="E109" s="156"/>
      <c r="F109" s="156"/>
      <c r="G109" s="156"/>
      <c r="H109" s="156"/>
      <c r="I109" s="156"/>
      <c r="J109" s="156"/>
    </row>
    <row r="110" spans="2:10" s="37" customFormat="1" ht="13.5">
      <c r="B110" s="48"/>
      <c r="C110" s="153" t="s">
        <v>112</v>
      </c>
      <c r="D110" s="154">
        <f t="shared" ref="D110:I110" si="23">D33+D23+D19</f>
        <v>1213538.4439082013</v>
      </c>
      <c r="E110" s="154">
        <f t="shared" si="23"/>
        <v>1214044.9055723017</v>
      </c>
      <c r="F110" s="154">
        <f t="shared" si="23"/>
        <v>1196116.788074164</v>
      </c>
      <c r="G110" s="154">
        <f t="shared" si="23"/>
        <v>1209883.3341470542</v>
      </c>
      <c r="H110" s="154">
        <f t="shared" si="23"/>
        <v>1162319.9560755738</v>
      </c>
      <c r="I110" s="154">
        <f t="shared" si="23"/>
        <v>1162883.0737393273</v>
      </c>
      <c r="J110" s="154">
        <f>SUM(D110:I110)</f>
        <v>7158786.5015166216</v>
      </c>
    </row>
    <row r="111" spans="2:10" s="37" customFormat="1" ht="13.5">
      <c r="B111" s="48"/>
      <c r="C111" s="48"/>
      <c r="D111" s="48"/>
      <c r="E111" s="48"/>
      <c r="F111" s="48"/>
      <c r="G111" s="48"/>
      <c r="H111" s="48"/>
      <c r="I111" s="48"/>
      <c r="J111" s="48"/>
    </row>
    <row r="112" spans="2:10" s="37" customFormat="1" ht="33.75">
      <c r="B112" s="48"/>
      <c r="C112" s="138" t="s">
        <v>1432</v>
      </c>
      <c r="D112" s="138"/>
      <c r="E112" s="138"/>
      <c r="F112" s="138"/>
      <c r="G112" s="138"/>
      <c r="H112" s="138"/>
      <c r="I112" s="138"/>
      <c r="J112" s="138"/>
    </row>
    <row r="113" spans="1:10" s="37" customFormat="1" ht="13.5">
      <c r="B113" s="48"/>
      <c r="C113" s="150" t="s">
        <v>310</v>
      </c>
      <c r="D113" s="151">
        <f t="shared" ref="D113:I113" si="24">D18</f>
        <v>46204</v>
      </c>
      <c r="E113" s="151">
        <f t="shared" si="24"/>
        <v>46235</v>
      </c>
      <c r="F113" s="151">
        <f t="shared" si="24"/>
        <v>46266</v>
      </c>
      <c r="G113" s="151">
        <f t="shared" si="24"/>
        <v>46296</v>
      </c>
      <c r="H113" s="151">
        <f t="shared" si="24"/>
        <v>46327</v>
      </c>
      <c r="I113" s="151">
        <f t="shared" si="24"/>
        <v>46357</v>
      </c>
      <c r="J113" s="152" t="s">
        <v>111</v>
      </c>
    </row>
    <row r="114" spans="1:10">
      <c r="A114" s="37"/>
      <c r="C114" s="153" t="s">
        <v>230</v>
      </c>
      <c r="D114" s="154">
        <f t="shared" ref="D114:I114" si="25">SUM(D115:D116)</f>
        <v>51138.7394888626</v>
      </c>
      <c r="E114" s="154">
        <f t="shared" si="25"/>
        <v>47901.593834504878</v>
      </c>
      <c r="F114" s="154">
        <f t="shared" si="25"/>
        <v>49894.68884584045</v>
      </c>
      <c r="G114" s="154">
        <f t="shared" si="25"/>
        <v>56173.228485685991</v>
      </c>
      <c r="H114" s="154">
        <f t="shared" si="25"/>
        <v>47320.286335075172</v>
      </c>
      <c r="I114" s="154">
        <f t="shared" si="25"/>
        <v>53317.426069723108</v>
      </c>
      <c r="J114" s="154">
        <f>SUM(D114:I114)</f>
        <v>305745.96305969218</v>
      </c>
    </row>
    <row r="115" spans="1:10">
      <c r="A115" s="37"/>
      <c r="B115" s="48" t="s">
        <v>870</v>
      </c>
      <c r="C115" s="157" t="s">
        <v>1028</v>
      </c>
      <c r="D115" s="156">
        <f>$E$7*F801D!K116+$D$7*F801ENE!D116</f>
        <v>34780.70391541248</v>
      </c>
      <c r="E115" s="156">
        <f>$E$7*F801D!L116+$D$7*F801ENE!E116</f>
        <v>31975.630814513519</v>
      </c>
      <c r="F115" s="156">
        <f>$E$7*F801D!M116+$D$7*F801ENE!F116</f>
        <v>33111.30429297439</v>
      </c>
      <c r="G115" s="156">
        <f>$E$7*F801D!N116+$D$7*F801ENE!G116</f>
        <v>36101.208920444973</v>
      </c>
      <c r="H115" s="156">
        <f>$E$7*F801D!O116+$D$7*F801ENE!H116</f>
        <v>28194.262237687559</v>
      </c>
      <c r="I115" s="156">
        <f>$E$7*F801D!P116+$D$7*F801ENE!I116</f>
        <v>32886.931586969062</v>
      </c>
      <c r="J115" s="154">
        <f>SUM(D115:I115)</f>
        <v>197050.04176800197</v>
      </c>
    </row>
    <row r="116" spans="1:10">
      <c r="A116" s="37"/>
      <c r="B116" s="48" t="s">
        <v>871</v>
      </c>
      <c r="C116" s="153" t="s">
        <v>193</v>
      </c>
      <c r="D116" s="154">
        <f t="shared" ref="D116:I116" si="26">SUM(D117:D118)</f>
        <v>16358.035573450117</v>
      </c>
      <c r="E116" s="154">
        <f t="shared" si="26"/>
        <v>15925.963019991361</v>
      </c>
      <c r="F116" s="154">
        <f t="shared" si="26"/>
        <v>16783.38455286606</v>
      </c>
      <c r="G116" s="154">
        <f t="shared" si="26"/>
        <v>20072.019565241022</v>
      </c>
      <c r="H116" s="154">
        <f t="shared" si="26"/>
        <v>19126.024097387613</v>
      </c>
      <c r="I116" s="154">
        <f t="shared" si="26"/>
        <v>20430.494482754046</v>
      </c>
      <c r="J116" s="154">
        <f>SUM(D116:I116)</f>
        <v>108695.92129169022</v>
      </c>
    </row>
    <row r="117" spans="1:10">
      <c r="A117" s="37"/>
      <c r="C117" s="157" t="s">
        <v>1074</v>
      </c>
      <c r="D117" s="156">
        <f>$E$8*F801D!K118+$D$8*F801ENE!D118</f>
        <v>0</v>
      </c>
      <c r="E117" s="156">
        <f>$E$8*F801D!L118+$D$8*F801ENE!E118</f>
        <v>0</v>
      </c>
      <c r="F117" s="156">
        <f>$E$8*F801D!M118+$D$8*F801ENE!F118</f>
        <v>0</v>
      </c>
      <c r="G117" s="156">
        <f>$E$8*F801D!N118+$D$8*F801ENE!G118</f>
        <v>0</v>
      </c>
      <c r="H117" s="156">
        <f>$E$8*F801D!O118+$D$8*F801ENE!H118</f>
        <v>0</v>
      </c>
      <c r="I117" s="156">
        <f>$E$8*F801D!P118+$D$8*F801ENE!I118</f>
        <v>0</v>
      </c>
      <c r="J117" s="154">
        <f t="shared" ref="J117:J143" si="27">SUM(D117:I117)</f>
        <v>0</v>
      </c>
    </row>
    <row r="118" spans="1:10">
      <c r="A118" s="37"/>
      <c r="C118" s="157" t="s">
        <v>1075</v>
      </c>
      <c r="D118" s="156">
        <f>$E$8*F801D!K119+$D$8*F801ENE!D119</f>
        <v>16358.035573450117</v>
      </c>
      <c r="E118" s="156">
        <f>$E$8*F801D!L119+$D$8*F801ENE!E119</f>
        <v>15925.963019991361</v>
      </c>
      <c r="F118" s="156">
        <f>$E$8*F801D!M119+$D$8*F801ENE!F119</f>
        <v>16783.38455286606</v>
      </c>
      <c r="G118" s="156">
        <f>$E$8*F801D!N119+$D$8*F801ENE!G119</f>
        <v>20072.019565241022</v>
      </c>
      <c r="H118" s="156">
        <f>$E$8*F801D!O119+$D$8*F801ENE!H119</f>
        <v>19126.024097387613</v>
      </c>
      <c r="I118" s="156">
        <f>$E$8*F801D!P119+$D$8*F801ENE!I119</f>
        <v>20430.494482754046</v>
      </c>
      <c r="J118" s="154">
        <f t="shared" si="27"/>
        <v>108695.92129169022</v>
      </c>
    </row>
    <row r="119" spans="1:10">
      <c r="A119" s="37"/>
      <c r="C119" s="153" t="s">
        <v>893</v>
      </c>
      <c r="D119" s="156"/>
      <c r="E119" s="156"/>
      <c r="F119" s="156"/>
      <c r="G119" s="156"/>
      <c r="H119" s="156"/>
      <c r="I119" s="156"/>
      <c r="J119" s="154">
        <f t="shared" si="27"/>
        <v>0</v>
      </c>
    </row>
    <row r="120" spans="1:10">
      <c r="A120" s="37"/>
      <c r="C120" s="157"/>
      <c r="D120" s="156"/>
      <c r="E120" s="156"/>
      <c r="F120" s="156"/>
      <c r="G120" s="156"/>
      <c r="H120" s="156"/>
      <c r="I120" s="156"/>
      <c r="J120" s="154">
        <f t="shared" si="27"/>
        <v>0</v>
      </c>
    </row>
    <row r="121" spans="1:10">
      <c r="A121" s="37"/>
      <c r="C121" s="153" t="s">
        <v>194</v>
      </c>
      <c r="D121" s="154">
        <f t="shared" ref="D121:I121" si="28">D122+D127</f>
        <v>237946.59070808068</v>
      </c>
      <c r="E121" s="154">
        <f t="shared" si="28"/>
        <v>235219.74062695791</v>
      </c>
      <c r="F121" s="154">
        <f t="shared" si="28"/>
        <v>231254.94157075221</v>
      </c>
      <c r="G121" s="154">
        <f t="shared" si="28"/>
        <v>239396.48661902713</v>
      </c>
      <c r="H121" s="154">
        <f t="shared" si="28"/>
        <v>225193.76712050408</v>
      </c>
      <c r="I121" s="154">
        <f t="shared" si="28"/>
        <v>235383.72817326878</v>
      </c>
      <c r="J121" s="154">
        <f t="shared" si="27"/>
        <v>1404395.2548185908</v>
      </c>
    </row>
    <row r="122" spans="1:10">
      <c r="A122" s="37"/>
      <c r="B122" s="48" t="s">
        <v>872</v>
      </c>
      <c r="C122" s="153" t="s">
        <v>277</v>
      </c>
      <c r="D122" s="154">
        <f t="shared" ref="D122:I122" si="29">SUM(D123:D126)</f>
        <v>41404.535100454421</v>
      </c>
      <c r="E122" s="154">
        <f t="shared" si="29"/>
        <v>41340.947083547158</v>
      </c>
      <c r="F122" s="154">
        <f t="shared" si="29"/>
        <v>40861.94917628754</v>
      </c>
      <c r="G122" s="154">
        <f t="shared" si="29"/>
        <v>43085.361281636462</v>
      </c>
      <c r="H122" s="154">
        <f t="shared" si="29"/>
        <v>40752.175029920763</v>
      </c>
      <c r="I122" s="154">
        <f t="shared" si="29"/>
        <v>40836.268635687826</v>
      </c>
      <c r="J122" s="154">
        <f>SUM(D122:I122)</f>
        <v>248281.23630753416</v>
      </c>
    </row>
    <row r="123" spans="1:10">
      <c r="A123" s="37"/>
      <c r="C123" s="157" t="s">
        <v>980</v>
      </c>
      <c r="D123" s="156">
        <f>$E$9*F801D!K124+$D$9*F801ENE!D124</f>
        <v>27293.23898333991</v>
      </c>
      <c r="E123" s="156">
        <f>$E$9*F801D!L124+$D$9*F801ENE!E124</f>
        <v>26842.845735317074</v>
      </c>
      <c r="F123" s="156">
        <f>$E$9*F801D!M124+$D$9*F801ENE!F124</f>
        <v>25925.496074701336</v>
      </c>
      <c r="G123" s="156">
        <f>$E$9*F801D!N124+$D$9*F801ENE!G124</f>
        <v>26559.742823451477</v>
      </c>
      <c r="H123" s="156">
        <f>$E$9*F801D!O124+$D$9*F801ENE!H124</f>
        <v>24947.571098364486</v>
      </c>
      <c r="I123" s="156">
        <f>$E$9*F801D!P124+$D$9*F801ENE!I124</f>
        <v>24709.643438921092</v>
      </c>
      <c r="J123" s="154">
        <f t="shared" si="27"/>
        <v>156278.53815409541</v>
      </c>
    </row>
    <row r="124" spans="1:10">
      <c r="A124" s="37"/>
      <c r="C124" s="157" t="s">
        <v>981</v>
      </c>
      <c r="D124" s="156">
        <f>$E$9*F801D!K125+$D$9*F801ENE!D125</f>
        <v>1529.9410663002523</v>
      </c>
      <c r="E124" s="156">
        <f>$E$9*F801D!L125+$D$9*F801ENE!E125</f>
        <v>1579.7734397361216</v>
      </c>
      <c r="F124" s="156">
        <f>$E$9*F801D!M125+$D$9*F801ENE!F125</f>
        <v>1625.8056999551891</v>
      </c>
      <c r="G124" s="156">
        <f>$E$9*F801D!N125+$D$9*F801ENE!G125</f>
        <v>1759.4908979768661</v>
      </c>
      <c r="H124" s="156">
        <f>$E$9*F801D!O125+$D$9*F801ENE!H125</f>
        <v>1829.0747478140552</v>
      </c>
      <c r="I124" s="156">
        <f>$E$9*F801D!P125+$D$9*F801ENE!I125</f>
        <v>1242.348743778258</v>
      </c>
      <c r="J124" s="154">
        <f t="shared" si="27"/>
        <v>9566.4345955607423</v>
      </c>
    </row>
    <row r="125" spans="1:10">
      <c r="A125" s="37"/>
      <c r="C125" s="157" t="s">
        <v>1019</v>
      </c>
      <c r="D125" s="156">
        <f>$E$9*F801D!K126+$D$9*F801ENE!D126</f>
        <v>481.65739237945968</v>
      </c>
      <c r="E125" s="156">
        <f>$E$9*F801D!L126+$D$9*F801ENE!E126</f>
        <v>472.60323755638814</v>
      </c>
      <c r="F125" s="156">
        <f>$E$9*F801D!M126+$D$9*F801ENE!F126</f>
        <v>458.37344164173362</v>
      </c>
      <c r="G125" s="156">
        <f>$E$9*F801D!N126+$D$9*F801ENE!G126</f>
        <v>484.36009216668356</v>
      </c>
      <c r="H125" s="156">
        <f>$E$9*F801D!O126+$D$9*F801ENE!H126</f>
        <v>469.33834913222296</v>
      </c>
      <c r="I125" s="156">
        <f>$E$9*F801D!P126+$D$9*F801ENE!I126</f>
        <v>453.4353743711099</v>
      </c>
      <c r="J125" s="154">
        <f>SUM(D125:I125)</f>
        <v>2819.7678872475976</v>
      </c>
    </row>
    <row r="126" spans="1:10">
      <c r="A126" s="37"/>
      <c r="C126" s="157" t="s">
        <v>1766</v>
      </c>
      <c r="D126" s="156">
        <f>$E$9*F801D!K127+$D$9*F801ENE!D127</f>
        <v>12099.697658434794</v>
      </c>
      <c r="E126" s="156">
        <f>$E$9*F801D!L127+$D$9*F801ENE!E127</f>
        <v>12445.724670937576</v>
      </c>
      <c r="F126" s="156">
        <f>$E$9*F801D!M127+$D$9*F801ENE!F127</f>
        <v>12852.273959989281</v>
      </c>
      <c r="G126" s="156">
        <f>$E$9*F801D!N127+$D$9*F801ENE!G127</f>
        <v>14281.767468041433</v>
      </c>
      <c r="H126" s="156">
        <f>$E$9*F801D!O127+$D$9*F801ENE!H127</f>
        <v>13506.190834609995</v>
      </c>
      <c r="I126" s="156">
        <f>$E$9*F801D!P127+$D$9*F801ENE!I127</f>
        <v>14430.841078617363</v>
      </c>
      <c r="J126" s="154">
        <f>SUM(D126:I126)</f>
        <v>79616.495670630451</v>
      </c>
    </row>
    <row r="127" spans="1:10">
      <c r="A127" s="37"/>
      <c r="B127" s="48" t="s">
        <v>873</v>
      </c>
      <c r="C127" s="153" t="s">
        <v>193</v>
      </c>
      <c r="D127" s="154">
        <f t="shared" ref="D127:I127" si="30">SUM(D128:D132)</f>
        <v>196542.05560762627</v>
      </c>
      <c r="E127" s="154">
        <f t="shared" si="30"/>
        <v>193878.79354341075</v>
      </c>
      <c r="F127" s="154">
        <f t="shared" si="30"/>
        <v>190392.99239446467</v>
      </c>
      <c r="G127" s="154">
        <f t="shared" si="30"/>
        <v>196311.12533739067</v>
      </c>
      <c r="H127" s="154">
        <f t="shared" si="30"/>
        <v>184441.59209058332</v>
      </c>
      <c r="I127" s="154">
        <f t="shared" si="30"/>
        <v>194547.45953758096</v>
      </c>
      <c r="J127" s="154">
        <f t="shared" si="27"/>
        <v>1156114.0185110567</v>
      </c>
    </row>
    <row r="128" spans="1:10">
      <c r="A128" s="37"/>
      <c r="C128" s="157" t="s">
        <v>944</v>
      </c>
      <c r="D128" s="156">
        <f>$E$10*F801D!K129+$D$10*F801ENE!D129</f>
        <v>0</v>
      </c>
      <c r="E128" s="156">
        <f>$E$10*F801D!L129+$D$10*F801ENE!E129</f>
        <v>0</v>
      </c>
      <c r="F128" s="156">
        <f>$E$10*F801D!M129+$D$10*F801ENE!F129</f>
        <v>0</v>
      </c>
      <c r="G128" s="156">
        <f>$E$10*F801D!N129+$D$10*F801ENE!G129</f>
        <v>0</v>
      </c>
      <c r="H128" s="156">
        <f>$E$10*F801D!O129+$D$10*F801ENE!H129</f>
        <v>0</v>
      </c>
      <c r="I128" s="156">
        <f>$E$10*F801D!P129+$D$10*F801ENE!I129</f>
        <v>0</v>
      </c>
      <c r="J128" s="154">
        <f t="shared" si="27"/>
        <v>0</v>
      </c>
    </row>
    <row r="129" spans="1:10">
      <c r="A129" s="37"/>
      <c r="C129" s="157" t="s">
        <v>943</v>
      </c>
      <c r="D129" s="156">
        <f>$E$10*F801D!K130+$D$10*F801ENE!D130</f>
        <v>128944.10530222814</v>
      </c>
      <c r="E129" s="156">
        <f>$E$10*F801D!L130+$D$10*F801ENE!E130</f>
        <v>127665.25747396196</v>
      </c>
      <c r="F129" s="156">
        <f>$E$10*F801D!M130+$D$10*F801ENE!F130</f>
        <v>116916.36183065525</v>
      </c>
      <c r="G129" s="156">
        <f>$E$10*F801D!N130+$D$10*F801ENE!G130</f>
        <v>120638.44809500274</v>
      </c>
      <c r="H129" s="156">
        <f>$E$10*F801D!O130+$D$10*F801ENE!H130</f>
        <v>112334.30019636027</v>
      </c>
      <c r="I129" s="156">
        <f>$E$10*F801D!P130+$D$10*F801ENE!I130</f>
        <v>116705.78102149371</v>
      </c>
      <c r="J129" s="154">
        <f t="shared" si="27"/>
        <v>723204.25391970202</v>
      </c>
    </row>
    <row r="130" spans="1:10">
      <c r="A130" s="37"/>
      <c r="C130" s="157" t="s">
        <v>1020</v>
      </c>
      <c r="D130" s="156">
        <f>$E$10*F801D!K131+$D$10*F801ENE!D131</f>
        <v>9293.3830866206517</v>
      </c>
      <c r="E130" s="156">
        <f>$E$10*F801D!L131+$D$10*F801ENE!E131</f>
        <v>8366.0147146518484</v>
      </c>
      <c r="F130" s="156">
        <f>$E$10*F801D!M131+$D$10*F801ENE!F131</f>
        <v>9485.0253990093188</v>
      </c>
      <c r="G130" s="156">
        <f>$E$10*F801D!N131+$D$10*F801ENE!G131</f>
        <v>8214.4439483176684</v>
      </c>
      <c r="H130" s="156">
        <f>$E$10*F801D!O131+$D$10*F801ENE!H131</f>
        <v>7862.7720426791529</v>
      </c>
      <c r="I130" s="156">
        <f>$E$10*F801D!P131+$D$10*F801ENE!I131</f>
        <v>8832.0779084416499</v>
      </c>
      <c r="J130" s="154">
        <f t="shared" si="27"/>
        <v>52053.717099720285</v>
      </c>
    </row>
    <row r="131" spans="1:10">
      <c r="A131" s="37"/>
      <c r="C131" s="157" t="s">
        <v>1021</v>
      </c>
      <c r="D131" s="156">
        <f>$E$10*F801D!K132+$D$10*F801ENE!D132</f>
        <v>8239.1651228619721</v>
      </c>
      <c r="E131" s="156">
        <f>$E$10*F801D!L132+$D$10*F801ENE!E132</f>
        <v>8474.9640950967787</v>
      </c>
      <c r="F131" s="156">
        <f>$E$10*F801D!M132+$D$10*F801ENE!F132</f>
        <v>8205.3553899953477</v>
      </c>
      <c r="G131" s="156">
        <f>$E$10*F801D!N132+$D$10*F801ENE!G132</f>
        <v>8478.683767000628</v>
      </c>
      <c r="H131" s="156">
        <f>$E$10*F801D!O132+$D$10*F801ENE!H132</f>
        <v>7681.7302845828553</v>
      </c>
      <c r="I131" s="156">
        <f>$E$10*F801D!P132+$D$10*F801ENE!I132</f>
        <v>8457.7753031874818</v>
      </c>
      <c r="J131" s="154">
        <f>SUM(D131:I131)</f>
        <v>49537.673962725057</v>
      </c>
    </row>
    <row r="132" spans="1:10">
      <c r="A132" s="37"/>
      <c r="C132" s="157" t="s">
        <v>1163</v>
      </c>
      <c r="D132" s="156">
        <f>$E$10*F801D!K133+$D$10*F801ENE!D133</f>
        <v>50065.402095915531</v>
      </c>
      <c r="E132" s="156">
        <f>$E$10*F801D!L133+$D$10*F801ENE!E133</f>
        <v>49372.557259700181</v>
      </c>
      <c r="F132" s="156">
        <f>$E$10*F801D!M133+$D$10*F801ENE!F133</f>
        <v>55786.249774804754</v>
      </c>
      <c r="G132" s="156">
        <f>$E$10*F801D!N133+$D$10*F801ENE!G133</f>
        <v>58979.549527069641</v>
      </c>
      <c r="H132" s="156">
        <f>$E$10*F801D!O133+$D$10*F801ENE!H133</f>
        <v>56562.789566961044</v>
      </c>
      <c r="I132" s="156">
        <f>$E$10*F801D!P133+$D$10*F801ENE!I133</f>
        <v>60551.825304458107</v>
      </c>
      <c r="J132" s="154">
        <f>SUM(D132:I132)</f>
        <v>331318.37352890923</v>
      </c>
    </row>
    <row r="133" spans="1:10">
      <c r="A133" s="37"/>
      <c r="C133" s="157"/>
      <c r="D133" s="156"/>
      <c r="E133" s="156"/>
      <c r="F133" s="156"/>
      <c r="G133" s="156"/>
      <c r="H133" s="156"/>
      <c r="I133" s="156"/>
      <c r="J133" s="154"/>
    </row>
    <row r="134" spans="1:10">
      <c r="A134" s="37"/>
      <c r="C134" s="153" t="s">
        <v>308</v>
      </c>
      <c r="D134" s="154">
        <f t="shared" ref="D134:I134" si="31">SUM(D135:D136)</f>
        <v>58012.069935726729</v>
      </c>
      <c r="E134" s="154">
        <f t="shared" si="31"/>
        <v>57058.660608337814</v>
      </c>
      <c r="F134" s="154">
        <f t="shared" si="31"/>
        <v>58021.257186232935</v>
      </c>
      <c r="G134" s="154">
        <f t="shared" si="31"/>
        <v>60708.790801270654</v>
      </c>
      <c r="H134" s="154">
        <f t="shared" si="31"/>
        <v>56865.675692171382</v>
      </c>
      <c r="I134" s="154">
        <f t="shared" si="31"/>
        <v>63089.925751705385</v>
      </c>
      <c r="J134" s="154">
        <f t="shared" si="27"/>
        <v>353756.37997544493</v>
      </c>
    </row>
    <row r="135" spans="1:10">
      <c r="A135" s="37"/>
      <c r="B135" s="48" t="s">
        <v>874</v>
      </c>
      <c r="C135" s="157" t="s">
        <v>1027</v>
      </c>
      <c r="D135" s="156">
        <f>$E$11*F801D!K137+$D$11*F801ENE!D137</f>
        <v>1314.6918644607299</v>
      </c>
      <c r="E135" s="156">
        <f>$E$11*F801D!L137+$D$11*F801ENE!E137</f>
        <v>1284.6646858520701</v>
      </c>
      <c r="F135" s="156">
        <f>$E$11*F801D!M137+$D$11*F801ENE!F137</f>
        <v>1251.4191793703999</v>
      </c>
      <c r="G135" s="156">
        <f>$E$11*F801D!N137+$D$11*F801ENE!G137</f>
        <v>1286.6832817613999</v>
      </c>
      <c r="H135" s="156">
        <f>$E$11*F801D!O137+$D$11*F801ENE!H137</f>
        <v>1264.5050349368701</v>
      </c>
      <c r="I135" s="156">
        <f>$E$11*F801D!P137+$D$11*F801ENE!I137</f>
        <v>1296.7824116394011</v>
      </c>
      <c r="J135" s="154">
        <f t="shared" si="27"/>
        <v>7698.7464580208716</v>
      </c>
    </row>
    <row r="136" spans="1:10">
      <c r="A136" s="37"/>
      <c r="B136" s="48" t="s">
        <v>875</v>
      </c>
      <c r="C136" s="153" t="s">
        <v>193</v>
      </c>
      <c r="D136" s="154">
        <f t="shared" ref="D136:I136" si="32">SUM(D137:D141)</f>
        <v>56697.378071266001</v>
      </c>
      <c r="E136" s="154">
        <f t="shared" si="32"/>
        <v>55773.995922485745</v>
      </c>
      <c r="F136" s="154">
        <f t="shared" si="32"/>
        <v>56769.838006862534</v>
      </c>
      <c r="G136" s="154">
        <f t="shared" si="32"/>
        <v>59422.107519509256</v>
      </c>
      <c r="H136" s="154">
        <f t="shared" si="32"/>
        <v>55601.170657234514</v>
      </c>
      <c r="I136" s="154">
        <f t="shared" si="32"/>
        <v>61793.143340065981</v>
      </c>
      <c r="J136" s="154">
        <f t="shared" si="27"/>
        <v>346057.63351742399</v>
      </c>
    </row>
    <row r="137" spans="1:10">
      <c r="A137" s="37"/>
      <c r="C137" s="157" t="s">
        <v>1022</v>
      </c>
      <c r="D137" s="156">
        <f>$E$12*F801D!K140+$D$12*F801ENE!D140</f>
        <v>564.38137667001013</v>
      </c>
      <c r="E137" s="156">
        <f>$E$12*F801D!L140+$D$12*F801ENE!E140</f>
        <v>552.55843998704404</v>
      </c>
      <c r="F137" s="156">
        <f>$E$12*F801D!M140+$D$12*F801ENE!F140</f>
        <v>560.08573623909592</v>
      </c>
      <c r="G137" s="156">
        <f>$E$12*F801D!N140+$D$12*F801ENE!G140</f>
        <v>585.94182181321798</v>
      </c>
      <c r="H137" s="156">
        <f>$E$12*F801D!O140+$D$12*F801ENE!H140</f>
        <v>542.32641334428001</v>
      </c>
      <c r="I137" s="156">
        <f>$E$12*F801D!P140+$D$12*F801ENE!I140</f>
        <v>572.14389950173791</v>
      </c>
      <c r="J137" s="154">
        <f t="shared" si="27"/>
        <v>3377.4376875553858</v>
      </c>
    </row>
    <row r="138" spans="1:10">
      <c r="A138" s="37"/>
      <c r="C138" s="157" t="s">
        <v>1023</v>
      </c>
      <c r="D138" s="156">
        <f>$E$12*F801D!K141+$D$12*F801ENE!D141</f>
        <v>37592.887678043138</v>
      </c>
      <c r="E138" s="156">
        <f>$E$12*F801D!L141+$D$12*F801ENE!E141</f>
        <v>36766.197217523943</v>
      </c>
      <c r="F138" s="156">
        <f>$E$12*F801D!M141+$D$12*F801ENE!F141</f>
        <v>35894.585344308129</v>
      </c>
      <c r="G138" s="156">
        <f>$E$12*F801D!N141+$D$12*F801ENE!G141</f>
        <v>36991.900785997124</v>
      </c>
      <c r="H138" s="156">
        <f>$E$12*F801D!O141+$D$12*F801ENE!H141</f>
        <v>34335.60200477844</v>
      </c>
      <c r="I138" s="156">
        <f>$E$12*F801D!P141+$D$12*F801ENE!I141</f>
        <v>36745.546324382682</v>
      </c>
      <c r="J138" s="154">
        <f t="shared" si="27"/>
        <v>218326.71935503345</v>
      </c>
    </row>
    <row r="139" spans="1:10">
      <c r="A139" s="37"/>
      <c r="C139" s="157" t="s">
        <v>1024</v>
      </c>
      <c r="D139" s="156">
        <f>$E$12*F801D!K142+$D$12*F801ENE!D142</f>
        <v>774.47473169428815</v>
      </c>
      <c r="E139" s="156">
        <f>$E$12*F801D!L142+$D$12*F801ENE!E142</f>
        <v>765.85487415366606</v>
      </c>
      <c r="F139" s="156">
        <f>$E$12*F801D!M142+$D$12*F801ENE!F142</f>
        <v>745.37728029635377</v>
      </c>
      <c r="G139" s="156">
        <f>$E$12*F801D!N142+$D$12*F801ENE!G142</f>
        <v>753.48498210136222</v>
      </c>
      <c r="H139" s="156">
        <f>$E$12*F801D!O142+$D$12*F801ENE!H142</f>
        <v>673.60901669677799</v>
      </c>
      <c r="I139" s="156">
        <f>$E$12*F801D!P142+$D$12*F801ENE!I142</f>
        <v>728.53746031011087</v>
      </c>
      <c r="J139" s="154">
        <f t="shared" si="27"/>
        <v>4441.3383452525586</v>
      </c>
    </row>
    <row r="140" spans="1:10">
      <c r="A140" s="37"/>
      <c r="C140" s="157" t="s">
        <v>1025</v>
      </c>
      <c r="D140" s="156">
        <f>$E$12*F801D!K143+$D$12*F801ENE!D143</f>
        <v>7535.3294811951164</v>
      </c>
      <c r="E140" s="156">
        <f>$E$12*F801D!L143+$D$12*F801ENE!E143</f>
        <v>7301.2085511339001</v>
      </c>
      <c r="F140" s="156">
        <f>$E$12*F801D!M143+$D$12*F801ENE!F143</f>
        <v>7183.7959909722595</v>
      </c>
      <c r="G140" s="156">
        <f>$E$12*F801D!N143+$D$12*F801ENE!G143</f>
        <v>7445.1572222871364</v>
      </c>
      <c r="H140" s="156">
        <f>$E$12*F801D!O143+$D$12*F801ENE!H143</f>
        <v>6716.39603390095</v>
      </c>
      <c r="I140" s="156">
        <f>$E$12*F801D!P143+$D$12*F801ENE!I143</f>
        <v>6763.0073894009538</v>
      </c>
      <c r="J140" s="154">
        <f t="shared" si="27"/>
        <v>42944.894668890316</v>
      </c>
    </row>
    <row r="141" spans="1:10">
      <c r="A141" s="37"/>
      <c r="C141" s="157" t="s">
        <v>1162</v>
      </c>
      <c r="D141" s="156">
        <f>$E$12*F801D!K144+$D$12*F801ENE!D144</f>
        <v>10230.304803663448</v>
      </c>
      <c r="E141" s="156">
        <f>$E$12*F801D!L144+$D$12*F801ENE!E144</f>
        <v>10388.176839687188</v>
      </c>
      <c r="F141" s="156">
        <f>$E$12*F801D!M144+$D$12*F801ENE!F144</f>
        <v>12385.993655046701</v>
      </c>
      <c r="G141" s="156">
        <f>$E$12*F801D!N144+$D$12*F801ENE!G144</f>
        <v>13645.622707310406</v>
      </c>
      <c r="H141" s="156">
        <f>$E$12*F801D!O144+$D$12*F801ENE!H144</f>
        <v>13333.237188514071</v>
      </c>
      <c r="I141" s="156">
        <f>$E$12*F801D!P144+$D$12*F801ENE!I144</f>
        <v>16983.908266470498</v>
      </c>
      <c r="J141" s="154">
        <f t="shared" si="27"/>
        <v>76967.24346069232</v>
      </c>
    </row>
    <row r="142" spans="1:10">
      <c r="A142" s="37"/>
      <c r="C142" s="157"/>
      <c r="D142" s="156"/>
      <c r="E142" s="156"/>
      <c r="F142" s="156"/>
      <c r="G142" s="156"/>
      <c r="H142" s="156"/>
      <c r="I142" s="156"/>
      <c r="J142" s="154">
        <f t="shared" si="27"/>
        <v>0</v>
      </c>
    </row>
    <row r="143" spans="1:10">
      <c r="A143" s="37"/>
      <c r="C143" s="153" t="s">
        <v>112</v>
      </c>
      <c r="D143" s="154">
        <f t="shared" ref="D143:I143" si="33">D114+D121+D134</f>
        <v>347097.40013266995</v>
      </c>
      <c r="E143" s="154">
        <f t="shared" si="33"/>
        <v>340179.99506980064</v>
      </c>
      <c r="F143" s="154">
        <f t="shared" si="33"/>
        <v>339170.88760282559</v>
      </c>
      <c r="G143" s="154">
        <f t="shared" si="33"/>
        <v>356278.50590598374</v>
      </c>
      <c r="H143" s="154">
        <f t="shared" si="33"/>
        <v>329379.72914775065</v>
      </c>
      <c r="I143" s="154">
        <f t="shared" si="33"/>
        <v>351791.07999469724</v>
      </c>
      <c r="J143" s="154">
        <f t="shared" si="27"/>
        <v>2063897.5978537276</v>
      </c>
    </row>
    <row r="144" spans="1:10">
      <c r="C144" s="164"/>
      <c r="D144" s="164"/>
      <c r="E144" s="164"/>
      <c r="F144" s="164"/>
      <c r="G144" s="164"/>
      <c r="H144" s="164"/>
      <c r="I144" s="164"/>
      <c r="J144" s="164"/>
    </row>
    <row r="145" spans="2:10">
      <c r="C145" s="179" t="s">
        <v>111</v>
      </c>
      <c r="D145" s="180">
        <f t="shared" ref="D145:J145" si="34">D110+D143</f>
        <v>1560635.8440408711</v>
      </c>
      <c r="E145" s="180">
        <f t="shared" si="34"/>
        <v>1554224.9006421024</v>
      </c>
      <c r="F145" s="180">
        <f t="shared" si="34"/>
        <v>1535287.6756769896</v>
      </c>
      <c r="G145" s="180">
        <f t="shared" si="34"/>
        <v>1566161.840053038</v>
      </c>
      <c r="H145" s="180">
        <f t="shared" si="34"/>
        <v>1491699.6852233245</v>
      </c>
      <c r="I145" s="180">
        <f t="shared" si="34"/>
        <v>1514674.1537340246</v>
      </c>
      <c r="J145" s="180">
        <f t="shared" si="34"/>
        <v>9222684.0993703492</v>
      </c>
    </row>
    <row r="147" spans="2:10">
      <c r="C147" s="52" t="str">
        <f>'PORTADA PORTADA PORTADA'!$B$23</f>
        <v>1 DE JULIO DE 2026</v>
      </c>
    </row>
    <row r="149" spans="2:10">
      <c r="B149" s="1166" t="s">
        <v>902</v>
      </c>
      <c r="C149" s="58"/>
      <c r="D149" s="1167">
        <f t="shared" ref="D149:J158" si="35">SUMIF($B$18:$B$145,$B149,D$18:D$145)</f>
        <v>53112.207044573639</v>
      </c>
      <c r="E149" s="1167">
        <f t="shared" si="35"/>
        <v>53134.373048628542</v>
      </c>
      <c r="F149" s="1167">
        <f t="shared" si="35"/>
        <v>52130.807926798909</v>
      </c>
      <c r="G149" s="1167">
        <f t="shared" si="35"/>
        <v>52952.236046708247</v>
      </c>
      <c r="H149" s="1167">
        <f t="shared" si="35"/>
        <v>50657.827826953384</v>
      </c>
      <c r="I149" s="1167">
        <f t="shared" si="35"/>
        <v>50895.203823687305</v>
      </c>
      <c r="J149" s="1167">
        <f t="shared" si="35"/>
        <v>312882.65571734996</v>
      </c>
    </row>
    <row r="150" spans="2:10">
      <c r="B150" s="1166" t="s">
        <v>751</v>
      </c>
      <c r="C150" s="58"/>
      <c r="D150" s="1167">
        <f t="shared" si="35"/>
        <v>284616.9966544488</v>
      </c>
      <c r="E150" s="1167">
        <f t="shared" si="35"/>
        <v>284735.78102704999</v>
      </c>
      <c r="F150" s="1167">
        <f t="shared" si="35"/>
        <v>279357.82237173046</v>
      </c>
      <c r="G150" s="1167">
        <f t="shared" si="35"/>
        <v>283759.73548239679</v>
      </c>
      <c r="H150" s="1167">
        <f t="shared" si="35"/>
        <v>271464.33752977458</v>
      </c>
      <c r="I150" s="1167">
        <f t="shared" si="35"/>
        <v>272736.40076556447</v>
      </c>
      <c r="J150" s="1167">
        <f t="shared" si="35"/>
        <v>1676671.073830965</v>
      </c>
    </row>
    <row r="151" spans="2:10">
      <c r="B151" s="1166" t="s">
        <v>750</v>
      </c>
      <c r="C151" s="58"/>
      <c r="D151" s="1167">
        <f t="shared" si="35"/>
        <v>107079.06679443881</v>
      </c>
      <c r="E151" s="1167">
        <f t="shared" si="35"/>
        <v>107123.75548581197</v>
      </c>
      <c r="F151" s="1167">
        <f t="shared" si="35"/>
        <v>105100.47641885885</v>
      </c>
      <c r="G151" s="1167">
        <f t="shared" si="35"/>
        <v>106756.55063254733</v>
      </c>
      <c r="H151" s="1167">
        <f t="shared" si="35"/>
        <v>102130.81382574029</v>
      </c>
      <c r="I151" s="1167">
        <f t="shared" si="35"/>
        <v>102609.38554444777</v>
      </c>
      <c r="J151" s="1167">
        <f t="shared" si="35"/>
        <v>630800.04870184499</v>
      </c>
    </row>
    <row r="152" spans="2:10">
      <c r="B152" s="1166" t="s">
        <v>749</v>
      </c>
      <c r="C152" s="58"/>
      <c r="D152" s="1167">
        <f t="shared" si="35"/>
        <v>105918.51990779315</v>
      </c>
      <c r="E152" s="1167">
        <f t="shared" si="35"/>
        <v>105962.72425312932</v>
      </c>
      <c r="F152" s="1167">
        <f t="shared" si="35"/>
        <v>103961.3739374463</v>
      </c>
      <c r="G152" s="1167">
        <f t="shared" si="35"/>
        <v>105599.49924823261</v>
      </c>
      <c r="H152" s="1167">
        <f t="shared" si="35"/>
        <v>101023.8972120235</v>
      </c>
      <c r="I152" s="1167">
        <f t="shared" si="35"/>
        <v>101497.28206335523</v>
      </c>
      <c r="J152" s="1167">
        <f t="shared" si="35"/>
        <v>623963.29662198003</v>
      </c>
    </row>
    <row r="153" spans="2:10">
      <c r="B153" s="1166" t="s">
        <v>1176</v>
      </c>
      <c r="C153" s="58"/>
      <c r="D153" s="1167">
        <f t="shared" si="35"/>
        <v>3.5500000000000003</v>
      </c>
      <c r="E153" s="1167">
        <f t="shared" si="35"/>
        <v>3.5500000000000003</v>
      </c>
      <c r="F153" s="1167">
        <f t="shared" si="35"/>
        <v>3.5500000000000003</v>
      </c>
      <c r="G153" s="1167">
        <f t="shared" si="35"/>
        <v>3.5500000000000003</v>
      </c>
      <c r="H153" s="1167">
        <f t="shared" si="35"/>
        <v>3.5500000000000003</v>
      </c>
      <c r="I153" s="1167">
        <f t="shared" si="35"/>
        <v>3.5500000000000003</v>
      </c>
      <c r="J153" s="1167">
        <f t="shared" si="35"/>
        <v>21.3</v>
      </c>
    </row>
    <row r="154" spans="2:10">
      <c r="B154" s="1166" t="s">
        <v>274</v>
      </c>
      <c r="C154" s="58"/>
      <c r="D154" s="1167">
        <f t="shared" si="35"/>
        <v>437496.94783522963</v>
      </c>
      <c r="E154" s="1167">
        <f t="shared" si="35"/>
        <v>437679.53409287828</v>
      </c>
      <c r="F154" s="1167">
        <f t="shared" si="35"/>
        <v>432470.18753308011</v>
      </c>
      <c r="G154" s="1167">
        <f t="shared" si="35"/>
        <v>436179.23149085836</v>
      </c>
      <c r="H154" s="1167">
        <f t="shared" si="35"/>
        <v>420250.54227250442</v>
      </c>
      <c r="I154" s="1167">
        <f t="shared" si="35"/>
        <v>419235.00399123458</v>
      </c>
      <c r="J154" s="1167">
        <f t="shared" si="35"/>
        <v>2583311.4472157857</v>
      </c>
    </row>
    <row r="155" spans="2:10">
      <c r="B155" s="1166" t="s">
        <v>275</v>
      </c>
      <c r="C155" s="58"/>
      <c r="D155" s="1167">
        <f t="shared" si="35"/>
        <v>14787.91116883985</v>
      </c>
      <c r="E155" s="1167">
        <f t="shared" si="35"/>
        <v>14794.082799001202</v>
      </c>
      <c r="F155" s="1167">
        <f t="shared" si="35"/>
        <v>14657.662429399492</v>
      </c>
      <c r="G155" s="1167">
        <f t="shared" si="35"/>
        <v>14743.37080726085</v>
      </c>
      <c r="H155" s="1167">
        <f t="shared" si="35"/>
        <v>14243.503395089574</v>
      </c>
      <c r="I155" s="1167">
        <f t="shared" si="35"/>
        <v>14170.635997729289</v>
      </c>
      <c r="J155" s="1167">
        <f t="shared" si="35"/>
        <v>87397.166597320262</v>
      </c>
    </row>
    <row r="156" spans="2:10">
      <c r="B156" s="1166" t="s">
        <v>276</v>
      </c>
      <c r="C156" s="58"/>
      <c r="D156" s="1167">
        <f t="shared" si="35"/>
        <v>127093.8691618132</v>
      </c>
      <c r="E156" s="1167">
        <f t="shared" si="35"/>
        <v>127146.91088943019</v>
      </c>
      <c r="F156" s="1167">
        <f t="shared" si="35"/>
        <v>125890.72253834252</v>
      </c>
      <c r="G156" s="1167">
        <f t="shared" si="35"/>
        <v>126711.06953431274</v>
      </c>
      <c r="H156" s="1167">
        <f t="shared" si="35"/>
        <v>122333.62192109259</v>
      </c>
      <c r="I156" s="1167">
        <f t="shared" si="35"/>
        <v>121788.73249049812</v>
      </c>
      <c r="J156" s="1167">
        <f t="shared" si="35"/>
        <v>750964.92653548939</v>
      </c>
    </row>
    <row r="157" spans="2:10">
      <c r="B157" s="1166" t="s">
        <v>277</v>
      </c>
      <c r="C157" s="58"/>
      <c r="D157" s="1167">
        <f t="shared" si="35"/>
        <v>18743.653782807167</v>
      </c>
      <c r="E157" s="1167">
        <f t="shared" si="35"/>
        <v>18751.476314177489</v>
      </c>
      <c r="F157" s="1167">
        <f t="shared" si="35"/>
        <v>18589.267434310485</v>
      </c>
      <c r="G157" s="1167">
        <f t="shared" si="35"/>
        <v>18687.198945659031</v>
      </c>
      <c r="H157" s="1167">
        <f t="shared" si="35"/>
        <v>18064.019081361595</v>
      </c>
      <c r="I157" s="1167">
        <f t="shared" si="35"/>
        <v>17961.258489521995</v>
      </c>
      <c r="J157" s="1167">
        <f t="shared" si="35"/>
        <v>110796.87404783776</v>
      </c>
    </row>
    <row r="158" spans="2:10">
      <c r="B158" s="1166" t="s">
        <v>278</v>
      </c>
      <c r="C158" s="58"/>
      <c r="D158" s="1167">
        <f t="shared" si="35"/>
        <v>1.75</v>
      </c>
      <c r="E158" s="1167">
        <f t="shared" si="35"/>
        <v>1.75</v>
      </c>
      <c r="F158" s="1167">
        <f t="shared" si="35"/>
        <v>1.75</v>
      </c>
      <c r="G158" s="1167">
        <f t="shared" si="35"/>
        <v>1.75</v>
      </c>
      <c r="H158" s="1167">
        <f t="shared" si="35"/>
        <v>1.75</v>
      </c>
      <c r="I158" s="1167">
        <f t="shared" si="35"/>
        <v>1.75</v>
      </c>
      <c r="J158" s="1167">
        <f t="shared" si="35"/>
        <v>10.5</v>
      </c>
    </row>
    <row r="159" spans="2:10">
      <c r="B159" s="1166" t="s">
        <v>279</v>
      </c>
      <c r="C159" s="58"/>
      <c r="D159" s="1167">
        <f t="shared" ref="D159:J167" si="36">SUMIF($B$18:$B$145,$B159,D$18:D$145)</f>
        <v>64683.971558256751</v>
      </c>
      <c r="E159" s="1167">
        <f t="shared" si="36"/>
        <v>64710.96766219454</v>
      </c>
      <c r="F159" s="1167">
        <f t="shared" si="36"/>
        <v>63953.167484196783</v>
      </c>
      <c r="G159" s="1167">
        <f t="shared" si="36"/>
        <v>64489.141959078253</v>
      </c>
      <c r="H159" s="1167">
        <f t="shared" si="36"/>
        <v>62146.093011033721</v>
      </c>
      <c r="I159" s="1167">
        <f t="shared" si="36"/>
        <v>61983.870573288434</v>
      </c>
      <c r="J159" s="1167">
        <f t="shared" si="36"/>
        <v>381967.21224804845</v>
      </c>
    </row>
    <row r="160" spans="2:10">
      <c r="B160" s="1166" t="s">
        <v>875</v>
      </c>
      <c r="C160" s="58"/>
      <c r="D160" s="1167">
        <f t="shared" si="36"/>
        <v>56697.378071266001</v>
      </c>
      <c r="E160" s="1167">
        <f t="shared" si="36"/>
        <v>55773.995922485745</v>
      </c>
      <c r="F160" s="1167">
        <f t="shared" si="36"/>
        <v>56769.838006862534</v>
      </c>
      <c r="G160" s="1167">
        <f t="shared" si="36"/>
        <v>59422.107519509256</v>
      </c>
      <c r="H160" s="1167">
        <f t="shared" si="36"/>
        <v>55601.170657234514</v>
      </c>
      <c r="I160" s="1167">
        <f t="shared" si="36"/>
        <v>61793.143340065981</v>
      </c>
      <c r="J160" s="1167">
        <f t="shared" si="36"/>
        <v>346057.63351742399</v>
      </c>
    </row>
    <row r="161" spans="2:10">
      <c r="B161" s="1166" t="s">
        <v>874</v>
      </c>
      <c r="C161" s="58"/>
      <c r="D161" s="1167">
        <f t="shared" si="36"/>
        <v>1314.6918644607299</v>
      </c>
      <c r="E161" s="1167">
        <f t="shared" si="36"/>
        <v>1284.6646858520701</v>
      </c>
      <c r="F161" s="1167">
        <f t="shared" si="36"/>
        <v>1251.4191793703999</v>
      </c>
      <c r="G161" s="1167">
        <f t="shared" si="36"/>
        <v>1286.6832817613999</v>
      </c>
      <c r="H161" s="1167">
        <f t="shared" si="36"/>
        <v>1264.5050349368701</v>
      </c>
      <c r="I161" s="1167">
        <f t="shared" si="36"/>
        <v>1296.7824116394011</v>
      </c>
      <c r="J161" s="1167">
        <f t="shared" si="36"/>
        <v>7698.7464580208716</v>
      </c>
    </row>
    <row r="162" spans="2:10">
      <c r="B162" s="1166" t="s">
        <v>873</v>
      </c>
      <c r="C162" s="58"/>
      <c r="D162" s="1167">
        <f t="shared" si="36"/>
        <v>196542.05560762627</v>
      </c>
      <c r="E162" s="1167">
        <f t="shared" si="36"/>
        <v>193878.79354341075</v>
      </c>
      <c r="F162" s="1167">
        <f t="shared" si="36"/>
        <v>190392.99239446467</v>
      </c>
      <c r="G162" s="1167">
        <f t="shared" si="36"/>
        <v>196311.12533739067</v>
      </c>
      <c r="H162" s="1167">
        <f t="shared" si="36"/>
        <v>184441.59209058332</v>
      </c>
      <c r="I162" s="1167">
        <f t="shared" si="36"/>
        <v>194547.45953758096</v>
      </c>
      <c r="J162" s="1167">
        <f t="shared" si="36"/>
        <v>1156114.0185110567</v>
      </c>
    </row>
    <row r="163" spans="2:10">
      <c r="B163" s="1166" t="s">
        <v>872</v>
      </c>
      <c r="C163" s="58"/>
      <c r="D163" s="1167">
        <f t="shared" si="36"/>
        <v>41404.535100454421</v>
      </c>
      <c r="E163" s="1167">
        <f t="shared" si="36"/>
        <v>41340.947083547158</v>
      </c>
      <c r="F163" s="1167">
        <f t="shared" si="36"/>
        <v>40861.94917628754</v>
      </c>
      <c r="G163" s="1167">
        <f t="shared" si="36"/>
        <v>43085.361281636462</v>
      </c>
      <c r="H163" s="1167">
        <f t="shared" si="36"/>
        <v>40752.175029920763</v>
      </c>
      <c r="I163" s="1167">
        <f t="shared" si="36"/>
        <v>40836.268635687826</v>
      </c>
      <c r="J163" s="1167">
        <f t="shared" si="36"/>
        <v>248281.23630753416</v>
      </c>
    </row>
    <row r="164" spans="2:10">
      <c r="B164" s="1166" t="s">
        <v>871</v>
      </c>
      <c r="C164" s="58"/>
      <c r="D164" s="1167">
        <f t="shared" si="36"/>
        <v>16358.035573450117</v>
      </c>
      <c r="E164" s="1167">
        <f t="shared" si="36"/>
        <v>15925.963019991361</v>
      </c>
      <c r="F164" s="1167">
        <f t="shared" si="36"/>
        <v>16783.38455286606</v>
      </c>
      <c r="G164" s="1167">
        <f t="shared" si="36"/>
        <v>20072.019565241022</v>
      </c>
      <c r="H164" s="1167">
        <f t="shared" si="36"/>
        <v>19126.024097387613</v>
      </c>
      <c r="I164" s="1167">
        <f t="shared" si="36"/>
        <v>20430.494482754046</v>
      </c>
      <c r="J164" s="1167">
        <f t="shared" si="36"/>
        <v>108695.92129169022</v>
      </c>
    </row>
    <row r="165" spans="2:10">
      <c r="B165" s="1166" t="s">
        <v>870</v>
      </c>
      <c r="C165" s="58"/>
      <c r="D165" s="1167">
        <f t="shared" si="36"/>
        <v>34780.70391541248</v>
      </c>
      <c r="E165" s="1167">
        <f t="shared" si="36"/>
        <v>31975.630814513519</v>
      </c>
      <c r="F165" s="1167">
        <f t="shared" si="36"/>
        <v>33111.30429297439</v>
      </c>
      <c r="G165" s="1167">
        <f t="shared" si="36"/>
        <v>36101.208920444973</v>
      </c>
      <c r="H165" s="1167">
        <f t="shared" si="36"/>
        <v>28194.262237687559</v>
      </c>
      <c r="I165" s="1167">
        <f t="shared" si="36"/>
        <v>32886.931586969062</v>
      </c>
      <c r="J165" s="1167">
        <f t="shared" si="36"/>
        <v>197050.04176800197</v>
      </c>
    </row>
    <row r="166" spans="2:10">
      <c r="B166" s="1166" t="s">
        <v>893</v>
      </c>
      <c r="C166" s="58"/>
      <c r="D166" s="1167">
        <f t="shared" si="36"/>
        <v>0</v>
      </c>
      <c r="E166" s="1167">
        <f t="shared" si="36"/>
        <v>0</v>
      </c>
      <c r="F166" s="1167">
        <f t="shared" si="36"/>
        <v>0</v>
      </c>
      <c r="G166" s="1167">
        <f t="shared" si="36"/>
        <v>0</v>
      </c>
      <c r="H166" s="1167">
        <f t="shared" si="36"/>
        <v>0</v>
      </c>
      <c r="I166" s="1167">
        <f t="shared" si="36"/>
        <v>0</v>
      </c>
      <c r="J166" s="1167">
        <f t="shared" si="36"/>
        <v>0</v>
      </c>
    </row>
    <row r="167" spans="2:10">
      <c r="B167" s="1166"/>
      <c r="C167" s="58"/>
      <c r="D167" s="1167">
        <f t="shared" si="36"/>
        <v>0</v>
      </c>
      <c r="E167" s="1167">
        <f t="shared" si="36"/>
        <v>0</v>
      </c>
      <c r="F167" s="1167">
        <f t="shared" si="36"/>
        <v>0</v>
      </c>
      <c r="G167" s="1167">
        <f t="shared" si="36"/>
        <v>0</v>
      </c>
      <c r="H167" s="1167">
        <f t="shared" si="36"/>
        <v>0</v>
      </c>
      <c r="I167" s="1167">
        <f t="shared" si="36"/>
        <v>0</v>
      </c>
      <c r="J167" s="1167">
        <f t="shared" si="36"/>
        <v>0</v>
      </c>
    </row>
    <row r="168" spans="2:10">
      <c r="B168" s="1166" t="s">
        <v>111</v>
      </c>
      <c r="C168" s="1168"/>
      <c r="D168" s="1169">
        <f>SUM(D149:D167)</f>
        <v>1560635.8440408709</v>
      </c>
      <c r="E168" s="1169">
        <f t="shared" ref="E168:J168" si="37">SUM(E149:E167)</f>
        <v>1554224.9006421021</v>
      </c>
      <c r="F168" s="1169">
        <f t="shared" si="37"/>
        <v>1535287.6756769891</v>
      </c>
      <c r="G168" s="1169">
        <f t="shared" si="37"/>
        <v>1566161.8400530377</v>
      </c>
      <c r="H168" s="1169">
        <f t="shared" si="37"/>
        <v>1491699.6852233242</v>
      </c>
      <c r="I168" s="1169">
        <f t="shared" si="37"/>
        <v>1514674.1537340246</v>
      </c>
      <c r="J168" s="1169">
        <f t="shared" si="37"/>
        <v>9222684.0993703492</v>
      </c>
    </row>
    <row r="169" spans="2:10">
      <c r="B169" s="1166"/>
      <c r="C169" s="58"/>
      <c r="D169" s="166">
        <f>D168-D145</f>
        <v>0</v>
      </c>
      <c r="E169" s="166">
        <f t="shared" ref="E169:J169" si="38">E168-E145</f>
        <v>0</v>
      </c>
      <c r="F169" s="166">
        <f t="shared" si="38"/>
        <v>0</v>
      </c>
      <c r="G169" s="166">
        <f t="shared" si="38"/>
        <v>0</v>
      </c>
      <c r="H169" s="166">
        <f t="shared" si="38"/>
        <v>0</v>
      </c>
      <c r="I169" s="166">
        <f t="shared" si="38"/>
        <v>0</v>
      </c>
      <c r="J169" s="166">
        <f t="shared" si="38"/>
        <v>0</v>
      </c>
    </row>
  </sheetData>
  <printOptions horizontalCentered="1" verticalCentered="1"/>
  <pageMargins left="0.51181102362204722" right="0.31496062992125984" top="0.78740157480314965" bottom="0.82677165354330717" header="0.31496062992125984" footer="0.23622047244094491"/>
  <pageSetup scale="33" orientation="portrait" horizontalDpi="300" r:id="rId1"/>
  <headerFooter alignWithMargins="0">
    <oddHeader>&amp;L
NOMBRE DE LA DISTRIBUIDORA: ENSA&amp;R&amp;9&amp;A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8A823-E53A-4F31-9FB4-60A2E1FDF866}">
  <sheetPr codeName="Hoja30">
    <tabColor theme="5" tint="0.79998168889431442"/>
  </sheetPr>
  <dimension ref="A1:K169"/>
  <sheetViews>
    <sheetView view="pageBreakPreview" zoomScale="85" zoomScaleNormal="85" zoomScaleSheetLayoutView="85" workbookViewId="0">
      <selection activeCell="D89" sqref="D89:I108"/>
    </sheetView>
  </sheetViews>
  <sheetFormatPr baseColWidth="10" defaultColWidth="8" defaultRowHeight="15"/>
  <cols>
    <col min="1" max="1" width="3.375" style="63" customWidth="1"/>
    <col min="2" max="2" width="5.625" style="48" bestFit="1" customWidth="1"/>
    <col min="3" max="3" width="30.375" style="63" customWidth="1"/>
    <col min="4" max="4" width="11" style="63" customWidth="1"/>
    <col min="5" max="5" width="11.75" style="63" customWidth="1"/>
    <col min="6" max="9" width="10.625" style="63" customWidth="1"/>
    <col min="10" max="10" width="11.625" style="63" customWidth="1"/>
    <col min="11" max="11" width="2.875" style="63" customWidth="1"/>
    <col min="12" max="16384" width="8" style="63"/>
  </cols>
  <sheetData>
    <row r="1" spans="2:10" s="69" customFormat="1" ht="15.75">
      <c r="B1" s="48"/>
      <c r="C1" s="136" t="s">
        <v>151</v>
      </c>
    </row>
    <row r="2" spans="2:10" s="69" customFormat="1" ht="15.75">
      <c r="B2" s="48"/>
      <c r="D2" s="137" t="s">
        <v>113</v>
      </c>
      <c r="I2" s="218"/>
    </row>
    <row r="3" spans="2:10" s="69" customFormat="1" ht="15.75">
      <c r="B3" s="48"/>
      <c r="D3" s="137"/>
    </row>
    <row r="4" spans="2:10" ht="15.75">
      <c r="C4" s="219" t="s">
        <v>1531</v>
      </c>
      <c r="D4" s="219"/>
      <c r="E4" s="219"/>
      <c r="F4" s="219"/>
      <c r="G4" s="219"/>
      <c r="H4" s="219"/>
      <c r="I4" s="219"/>
      <c r="J4" s="219"/>
    </row>
    <row r="5" spans="2:10">
      <c r="C5" s="139"/>
    </row>
    <row r="6" spans="2:10" s="143" customFormat="1" ht="30">
      <c r="B6" s="48"/>
      <c r="C6" s="220" t="s">
        <v>673</v>
      </c>
      <c r="D6" s="220" t="s">
        <v>259</v>
      </c>
      <c r="E6" s="220" t="s">
        <v>260</v>
      </c>
      <c r="F6" s="221"/>
      <c r="G6" s="69"/>
    </row>
    <row r="7" spans="2:10" s="143" customFormat="1" ht="13.5">
      <c r="B7" s="48"/>
      <c r="C7" s="222" t="s">
        <v>266</v>
      </c>
      <c r="D7" s="223">
        <f>RAT1000PT!$E$56</f>
        <v>4.2900000000000004E-3</v>
      </c>
      <c r="E7" s="224">
        <f>RAT1000PT!$E$63</f>
        <v>0.82</v>
      </c>
    </row>
    <row r="8" spans="2:10" s="143" customFormat="1" ht="13.5">
      <c r="B8" s="48"/>
      <c r="C8" s="225" t="s">
        <v>265</v>
      </c>
      <c r="D8" s="223">
        <f>RAT1000PT!$E$55</f>
        <v>4.1000000000000003E-3</v>
      </c>
      <c r="E8" s="224">
        <f>RAT1000PT!$E$62</f>
        <v>0.8</v>
      </c>
    </row>
    <row r="9" spans="2:10" s="143" customFormat="1" ht="13.5">
      <c r="B9" s="48"/>
      <c r="C9" s="225" t="s">
        <v>264</v>
      </c>
      <c r="D9" s="223">
        <f>RAT1000PT!$E$54</f>
        <v>4.79E-3</v>
      </c>
      <c r="E9" s="224">
        <f>RAT1000PT!$E$61</f>
        <v>0.74</v>
      </c>
    </row>
    <row r="10" spans="2:10" s="143" customFormat="1" ht="13.5">
      <c r="B10" s="48"/>
      <c r="C10" s="225" t="s">
        <v>262</v>
      </c>
      <c r="D10" s="223">
        <f>RAT1000PT!$E$53</f>
        <v>5.7099999999999998E-3</v>
      </c>
      <c r="E10" s="224">
        <f>RAT1000PT!$E$60</f>
        <v>0.71</v>
      </c>
    </row>
    <row r="11" spans="2:10" s="143" customFormat="1" ht="13.5">
      <c r="B11" s="48"/>
      <c r="C11" s="225" t="s">
        <v>263</v>
      </c>
      <c r="D11" s="223">
        <f>RAT1000PT!$E$52</f>
        <v>5.77E-3</v>
      </c>
      <c r="E11" s="224">
        <f>RAT1000PT!$E$59</f>
        <v>0.74</v>
      </c>
    </row>
    <row r="12" spans="2:10" s="143" customFormat="1" ht="13.5">
      <c r="B12" s="48"/>
      <c r="C12" s="225" t="s">
        <v>261</v>
      </c>
      <c r="D12" s="223">
        <f>RAT1000PT!$E$51</f>
        <v>9.2300000000000004E-3</v>
      </c>
      <c r="E12" s="224">
        <f>RAT1000PT!$E$58</f>
        <v>0.68</v>
      </c>
    </row>
    <row r="13" spans="2:10" s="143" customFormat="1" ht="13.5">
      <c r="B13" s="48"/>
      <c r="C13" s="225" t="s">
        <v>1768</v>
      </c>
      <c r="D13" s="223">
        <f>RAT1000PT!$E$48</f>
        <v>5.77E-3</v>
      </c>
      <c r="E13" s="224"/>
    </row>
    <row r="14" spans="2:10" s="143" customFormat="1" ht="13.5">
      <c r="B14" s="48"/>
      <c r="C14" s="225" t="s">
        <v>2071</v>
      </c>
      <c r="D14" s="223">
        <f>RAT1000PT!$E$49</f>
        <v>5.77E-3</v>
      </c>
      <c r="E14" s="223"/>
    </row>
    <row r="15" spans="2:10" s="143" customFormat="1" ht="13.5">
      <c r="B15" s="48"/>
      <c r="C15" s="225" t="s">
        <v>1178</v>
      </c>
      <c r="D15" s="223">
        <f>RAT1000PT!$E$50</f>
        <v>5.77E-3</v>
      </c>
      <c r="E15" s="223"/>
    </row>
    <row r="16" spans="2:10" s="143" customFormat="1" ht="15.75">
      <c r="B16" s="48"/>
      <c r="D16" s="226"/>
      <c r="E16" s="226"/>
      <c r="F16" s="69"/>
      <c r="G16" s="69"/>
    </row>
    <row r="17" spans="2:11" s="143" customFormat="1" ht="31.5">
      <c r="B17" s="48"/>
      <c r="C17" s="138" t="s">
        <v>674</v>
      </c>
      <c r="D17" s="138"/>
      <c r="E17" s="138"/>
      <c r="F17" s="138"/>
      <c r="G17" s="138"/>
      <c r="H17" s="138"/>
      <c r="I17" s="138"/>
      <c r="J17" s="138"/>
    </row>
    <row r="18" spans="2:11" s="37" customFormat="1" ht="15.75">
      <c r="B18" s="48"/>
      <c r="C18" s="150" t="s">
        <v>310</v>
      </c>
      <c r="D18" s="151">
        <f>F821EVE!D4</f>
        <v>45839</v>
      </c>
      <c r="E18" s="151">
        <f>F821EVE!E4</f>
        <v>45870</v>
      </c>
      <c r="F18" s="151">
        <f>F821EVE!F4</f>
        <v>45901</v>
      </c>
      <c r="G18" s="151">
        <f>F821EVE!G4</f>
        <v>45931</v>
      </c>
      <c r="H18" s="151">
        <f>F821EVE!H4</f>
        <v>45962</v>
      </c>
      <c r="I18" s="151">
        <f>F821EVE!I4</f>
        <v>45992</v>
      </c>
      <c r="J18" s="151" t="str">
        <f>F821EVE!J4</f>
        <v>TOTAL</v>
      </c>
      <c r="K18" s="69"/>
    </row>
    <row r="19" spans="2:11" s="37" customFormat="1" ht="15.75">
      <c r="B19" s="48"/>
      <c r="C19" s="153" t="s">
        <v>446</v>
      </c>
      <c r="D19" s="154">
        <f>SUBTOTAL(9,D20:D21)</f>
        <v>102188.22171000001</v>
      </c>
      <c r="E19" s="154">
        <f t="shared" ref="E19:I19" si="0">SUBTOTAL(9,E20:E21)</f>
        <v>101899.04071000002</v>
      </c>
      <c r="F19" s="154">
        <f t="shared" si="0"/>
        <v>99634.087200000009</v>
      </c>
      <c r="G19" s="154">
        <f t="shared" si="0"/>
        <v>102802.05408000002</v>
      </c>
      <c r="H19" s="154">
        <f t="shared" si="0"/>
        <v>98748.887760000012</v>
      </c>
      <c r="I19" s="154">
        <f t="shared" si="0"/>
        <v>101765.33649</v>
      </c>
      <c r="J19" s="154">
        <f>SUM(D19:I19)</f>
        <v>607037.62795000011</v>
      </c>
      <c r="K19" s="69"/>
    </row>
    <row r="20" spans="2:11" s="37" customFormat="1" ht="15.75">
      <c r="B20" s="48" t="s">
        <v>279</v>
      </c>
      <c r="C20" s="155" t="s">
        <v>279</v>
      </c>
      <c r="D20" s="156">
        <f>$E$7*F821D!K6+$D$7*F821EVE!D6</f>
        <v>102188.22171000001</v>
      </c>
      <c r="E20" s="156">
        <f>$E$7*F821D!L6+$D$7*F821EVE!E6</f>
        <v>101899.04071000002</v>
      </c>
      <c r="F20" s="156">
        <f>$E$7*F821D!M6+$D$7*F821EVE!F6</f>
        <v>99634.087200000009</v>
      </c>
      <c r="G20" s="156">
        <f>$E$7*F821D!N6+$D$7*F821EVE!G6</f>
        <v>102802.05408000002</v>
      </c>
      <c r="H20" s="156">
        <f>$E$7*F821D!O6+$D$7*F821EVE!H6</f>
        <v>98748.887760000012</v>
      </c>
      <c r="I20" s="156">
        <f>$E$7*F821D!P6+$D$7*F821EVE!I6</f>
        <v>101765.33649</v>
      </c>
      <c r="J20" s="156">
        <f>SUM(D20:I20)</f>
        <v>607037.62795000011</v>
      </c>
      <c r="K20" s="69"/>
    </row>
    <row r="21" spans="2:11" s="37" customFormat="1" ht="15.75">
      <c r="B21" s="48" t="s">
        <v>278</v>
      </c>
      <c r="C21" s="155" t="s">
        <v>278</v>
      </c>
      <c r="D21" s="156">
        <f>$E$8*F821D!K7+$D$8*F821EVE!D7</f>
        <v>0</v>
      </c>
      <c r="E21" s="156">
        <f>$E$8*F821D!L7+$D$8*F821EVE!E7</f>
        <v>0</v>
      </c>
      <c r="F21" s="156">
        <f>$E$8*F821D!M7+$D$8*F821EVE!F7</f>
        <v>0</v>
      </c>
      <c r="G21" s="156">
        <f>$E$8*F821D!N7+$D$8*F821EVE!G7</f>
        <v>0</v>
      </c>
      <c r="H21" s="156">
        <f>$E$8*F821D!O7+$D$8*F821EVE!H7</f>
        <v>0</v>
      </c>
      <c r="I21" s="156">
        <f>$E$8*F821D!P7+$D$8*F821EVE!I7</f>
        <v>0</v>
      </c>
      <c r="J21" s="156">
        <f>SUM(D21:I21)</f>
        <v>0</v>
      </c>
      <c r="K21" s="69"/>
    </row>
    <row r="22" spans="2:11" s="37" customFormat="1" ht="15.75">
      <c r="B22" s="48"/>
      <c r="C22" s="157"/>
      <c r="D22" s="156"/>
      <c r="E22" s="156"/>
      <c r="F22" s="156"/>
      <c r="G22" s="156"/>
      <c r="H22" s="156"/>
      <c r="I22" s="156"/>
      <c r="J22" s="156"/>
      <c r="K22" s="69"/>
    </row>
    <row r="23" spans="2:11" s="37" customFormat="1" ht="15.75">
      <c r="B23" s="48"/>
      <c r="C23" s="153" t="s">
        <v>630</v>
      </c>
      <c r="D23" s="154">
        <f>SUBTOTAL(9,D24:D31)</f>
        <v>232468.72463499996</v>
      </c>
      <c r="E23" s="154">
        <f t="shared" ref="E23:I23" si="1">SUBTOTAL(9,E24:E31)</f>
        <v>237465.03943999999</v>
      </c>
      <c r="F23" s="154">
        <f t="shared" si="1"/>
        <v>231322.188555</v>
      </c>
      <c r="G23" s="154">
        <f t="shared" si="1"/>
        <v>232896.35264499998</v>
      </c>
      <c r="H23" s="154">
        <f t="shared" si="1"/>
        <v>223532.62216500001</v>
      </c>
      <c r="I23" s="154">
        <f t="shared" si="1"/>
        <v>220026.60715499998</v>
      </c>
      <c r="J23" s="154">
        <f t="shared" ref="J23:J31" si="2">SUM(D23:I23)</f>
        <v>1377711.5345950001</v>
      </c>
      <c r="K23" s="69"/>
    </row>
    <row r="24" spans="2:11" s="37" customFormat="1" ht="15.75">
      <c r="B24" s="48" t="s">
        <v>277</v>
      </c>
      <c r="C24" s="155" t="s">
        <v>277</v>
      </c>
      <c r="D24" s="154">
        <f>SUBTOTAL(9,D25:D26)</f>
        <v>29549.017294999998</v>
      </c>
      <c r="E24" s="154">
        <f t="shared" ref="E24:I24" si="3">SUBTOTAL(9,E25:E26)</f>
        <v>30143.505924999998</v>
      </c>
      <c r="F24" s="154">
        <f t="shared" si="3"/>
        <v>30351.571889999999</v>
      </c>
      <c r="G24" s="154">
        <f t="shared" si="3"/>
        <v>22035.518574999998</v>
      </c>
      <c r="H24" s="154">
        <f t="shared" si="3"/>
        <v>30919.657785000003</v>
      </c>
      <c r="I24" s="154">
        <f t="shared" si="3"/>
        <v>21855.292719999998</v>
      </c>
      <c r="J24" s="154">
        <f t="shared" si="2"/>
        <v>164854.56418999998</v>
      </c>
      <c r="K24" s="69"/>
    </row>
    <row r="25" spans="2:11" s="37" customFormat="1" ht="15.75">
      <c r="B25" s="48"/>
      <c r="C25" s="160" t="s">
        <v>304</v>
      </c>
      <c r="D25" s="156">
        <f>($E$9*F821D!K11+$D$9*F821EVE!D11)</f>
        <v>25706.497669999997</v>
      </c>
      <c r="E25" s="156">
        <f>($E$9*F821D!L11+$D$9*F821EVE!E11)</f>
        <v>26192.485849999997</v>
      </c>
      <c r="F25" s="156">
        <f>($E$9*F821D!M11+$D$9*F821EVE!F11)</f>
        <v>26398.29984</v>
      </c>
      <c r="G25" s="156">
        <f>($E$9*F821D!N11+$D$9*F821EVE!G11)</f>
        <v>17987.114949999999</v>
      </c>
      <c r="H25" s="156">
        <f>($E$9*F821D!O11+$D$9*F821EVE!H11)</f>
        <v>26940.827410000002</v>
      </c>
      <c r="I25" s="156">
        <f>($E$9*F821D!P11+$D$9*F821EVE!I11)</f>
        <v>21855.292719999998</v>
      </c>
      <c r="J25" s="156">
        <f t="shared" si="2"/>
        <v>145080.51844000001</v>
      </c>
      <c r="K25" s="69"/>
    </row>
    <row r="26" spans="2:11" s="37" customFormat="1" ht="15.75">
      <c r="B26" s="48"/>
      <c r="C26" s="160" t="s">
        <v>305</v>
      </c>
      <c r="D26" s="156">
        <f>($E$9*F821D!K12+$D$9*F821EVE!D12)*0.95</f>
        <v>3842.5196249999995</v>
      </c>
      <c r="E26" s="156">
        <f>($E$9*F821D!L12+$D$9*F821EVE!E12)*0.95</f>
        <v>3951.0200749999999</v>
      </c>
      <c r="F26" s="156">
        <f>($E$9*F821D!M12+$D$9*F821EVE!F12)*0.95</f>
        <v>3953.2720499999996</v>
      </c>
      <c r="G26" s="156">
        <f>($E$9*F821D!N12+$D$9*F821EVE!G12)*0.95</f>
        <v>4048.4036249999999</v>
      </c>
      <c r="H26" s="156">
        <f>($E$9*F821D!O12+$D$9*F821EVE!H12)*0.95</f>
        <v>3978.830375</v>
      </c>
      <c r="I26" s="156">
        <f>($E$9*F821D!P12+$D$9*F821EVE!I12)*0.95</f>
        <v>0</v>
      </c>
      <c r="J26" s="156">
        <f>SUM(D26:I26)</f>
        <v>19774.045750000001</v>
      </c>
      <c r="K26" s="69"/>
    </row>
    <row r="27" spans="2:11" s="37" customFormat="1" ht="15.75">
      <c r="B27" s="48" t="s">
        <v>276</v>
      </c>
      <c r="C27" s="158" t="s">
        <v>276</v>
      </c>
      <c r="D27" s="154">
        <f>SUBTOTAL(9,D28:D31)</f>
        <v>202919.70733999996</v>
      </c>
      <c r="E27" s="154">
        <f t="shared" ref="E27:I27" si="4">SUBTOTAL(9,E28:E31)</f>
        <v>207321.53351499999</v>
      </c>
      <c r="F27" s="154">
        <f t="shared" si="4"/>
        <v>200970.61666500001</v>
      </c>
      <c r="G27" s="154">
        <f t="shared" si="4"/>
        <v>210860.83406999998</v>
      </c>
      <c r="H27" s="154">
        <f t="shared" si="4"/>
        <v>192612.96438000002</v>
      </c>
      <c r="I27" s="154">
        <f t="shared" si="4"/>
        <v>198171.31443499998</v>
      </c>
      <c r="J27" s="159">
        <f t="shared" si="2"/>
        <v>1212856.970405</v>
      </c>
      <c r="K27" s="69"/>
    </row>
    <row r="28" spans="2:11" s="37" customFormat="1" ht="15.75">
      <c r="B28" s="48"/>
      <c r="C28" s="160" t="s">
        <v>304</v>
      </c>
      <c r="D28" s="156">
        <f>$E$10*F821D!K15+$D$10*F821EVE!D15</f>
        <v>202390.31356999997</v>
      </c>
      <c r="E28" s="156">
        <f>$E$10*F821D!L15+$D$10*F821EVE!E15</f>
        <v>206362.19035999998</v>
      </c>
      <c r="F28" s="156">
        <f>$E$10*F821D!M15+$D$10*F821EVE!F15</f>
        <v>200388.04256</v>
      </c>
      <c r="G28" s="156">
        <f>$E$10*F821D!N15+$D$10*F821EVE!G15</f>
        <v>210331.00975999999</v>
      </c>
      <c r="H28" s="156">
        <f>$E$10*F821D!O15+$D$10*F821EVE!H15</f>
        <v>191065.10411000001</v>
      </c>
      <c r="I28" s="156">
        <f>$E$10*F821D!P15+$D$10*F821EVE!I15</f>
        <v>196702.75037999998</v>
      </c>
      <c r="J28" s="156">
        <f t="shared" si="2"/>
        <v>1207239.4107399997</v>
      </c>
      <c r="K28" s="69"/>
    </row>
    <row r="29" spans="2:11" s="37" customFormat="1" ht="15.75">
      <c r="B29" s="48"/>
      <c r="C29" s="161" t="s">
        <v>306</v>
      </c>
      <c r="D29" s="156">
        <f>($E$10*F821D!K16+$D$10*F821EVE!D16)*0.75</f>
        <v>0</v>
      </c>
      <c r="E29" s="156">
        <f>($E$10*F821D!L16+$D$10*F821EVE!E16)*0.75</f>
        <v>0</v>
      </c>
      <c r="F29" s="156">
        <f>($E$10*F821D!M16+$D$10*F821EVE!F16)*0.75</f>
        <v>0</v>
      </c>
      <c r="G29" s="156">
        <f>($E$10*F821D!N16+$D$10*F821EVE!G16)*0.75</f>
        <v>0</v>
      </c>
      <c r="H29" s="156">
        <f>($E$10*F821D!O16+$D$10*F821EVE!H16)*0.75</f>
        <v>0</v>
      </c>
      <c r="I29" s="156">
        <f>($E$10*F821D!P16+$D$10*F821EVE!I16)*0.75</f>
        <v>0</v>
      </c>
      <c r="J29" s="156">
        <f t="shared" si="2"/>
        <v>0</v>
      </c>
      <c r="K29" s="69"/>
    </row>
    <row r="30" spans="2:11" s="37" customFormat="1" ht="15.75">
      <c r="B30" s="48"/>
      <c r="C30" s="160" t="s">
        <v>305</v>
      </c>
      <c r="D30" s="156">
        <f>($E$10*F821D!K17+$D$10*F821EVE!D17)*0.95</f>
        <v>529.3937699999999</v>
      </c>
      <c r="E30" s="156">
        <f>($E$10*F821D!L17+$D$10*F821EVE!E17)*0.95</f>
        <v>959.34315499999991</v>
      </c>
      <c r="F30" s="156">
        <f>($E$10*F821D!M17+$D$10*F821EVE!F17)*0.95</f>
        <v>582.57410500000003</v>
      </c>
      <c r="G30" s="156">
        <f>($E$10*F821D!N17+$D$10*F821EVE!G17)*0.95</f>
        <v>529.82430999999997</v>
      </c>
      <c r="H30" s="156">
        <f>($E$10*F821D!O17+$D$10*F821EVE!H17)*0.95</f>
        <v>1547.8602699999999</v>
      </c>
      <c r="I30" s="156">
        <f>($E$10*F821D!P17+$D$10*F821EVE!I17)*0.95</f>
        <v>1468.5640549999996</v>
      </c>
      <c r="J30" s="156">
        <f>SUM(D30:I30)</f>
        <v>5617.5596649999998</v>
      </c>
      <c r="K30" s="69"/>
    </row>
    <row r="31" spans="2:11" s="37" customFormat="1" ht="15.75">
      <c r="B31" s="48"/>
      <c r="C31" s="160" t="s">
        <v>307</v>
      </c>
      <c r="D31" s="156">
        <f>($E$10*F821D!K18+$D$10*F821EVE!D18)*0.5</f>
        <v>0</v>
      </c>
      <c r="E31" s="156">
        <f>($E$10*F821D!L18+$D$10*F821EVE!E18)*0.5</f>
        <v>0</v>
      </c>
      <c r="F31" s="156">
        <f>($E$10*F821D!M18+$D$10*F821EVE!F18)*0.5</f>
        <v>0</v>
      </c>
      <c r="G31" s="156">
        <f>($E$10*F821D!N18+$D$10*F821EVE!G18)*0.5</f>
        <v>0</v>
      </c>
      <c r="H31" s="156">
        <f>($E$10*F821D!O18+$D$10*F821EVE!H18)*0.5</f>
        <v>0</v>
      </c>
      <c r="I31" s="156">
        <f>($E$10*F821D!P18+$D$10*F821EVE!I18)*0.5</f>
        <v>0</v>
      </c>
      <c r="J31" s="156">
        <f t="shared" si="2"/>
        <v>0</v>
      </c>
      <c r="K31" s="69"/>
    </row>
    <row r="32" spans="2:11" s="37" customFormat="1" ht="15.75">
      <c r="B32" s="48"/>
      <c r="C32" s="157"/>
      <c r="D32" s="156"/>
      <c r="E32" s="156"/>
      <c r="F32" s="156"/>
      <c r="G32" s="156"/>
      <c r="H32" s="156"/>
      <c r="I32" s="156"/>
      <c r="J32" s="156"/>
      <c r="K32" s="69"/>
    </row>
    <row r="33" spans="2:11" s="37" customFormat="1" ht="15.75">
      <c r="B33" s="48"/>
      <c r="C33" s="153" t="s">
        <v>443</v>
      </c>
      <c r="D33" s="154">
        <f t="shared" ref="D33:I33" si="5">SUBTOTAL(9,D34:D108)</f>
        <v>1600438.2980305003</v>
      </c>
      <c r="E33" s="154">
        <f t="shared" si="5"/>
        <v>1599960.2075285001</v>
      </c>
      <c r="F33" s="154">
        <f t="shared" si="5"/>
        <v>1569624.1365485005</v>
      </c>
      <c r="G33" s="154">
        <f t="shared" si="5"/>
        <v>1591574.9280435001</v>
      </c>
      <c r="H33" s="154">
        <f t="shared" si="5"/>
        <v>1527403.4526815002</v>
      </c>
      <c r="I33" s="154">
        <f t="shared" si="5"/>
        <v>1532862.3374305002</v>
      </c>
      <c r="J33" s="154">
        <f>SUM(D33:I33)</f>
        <v>9421863.3602630012</v>
      </c>
      <c r="K33" s="69"/>
    </row>
    <row r="34" spans="2:11" s="37" customFormat="1" ht="15.75">
      <c r="B34" s="48" t="s">
        <v>275</v>
      </c>
      <c r="C34" s="155" t="s">
        <v>275</v>
      </c>
      <c r="D34" s="154">
        <f>SUBTOTAL(9,D35:D37)</f>
        <v>19965.484499999999</v>
      </c>
      <c r="E34" s="154">
        <f t="shared" ref="E34:I34" si="6">SUBTOTAL(9,E35:E37)</f>
        <v>19877.411350000002</v>
      </c>
      <c r="F34" s="154">
        <f t="shared" si="6"/>
        <v>19691.523759999996</v>
      </c>
      <c r="G34" s="154">
        <f t="shared" si="6"/>
        <v>20116.865170000001</v>
      </c>
      <c r="H34" s="154">
        <f t="shared" si="6"/>
        <v>20112.606820000001</v>
      </c>
      <c r="I34" s="154">
        <f t="shared" si="6"/>
        <v>20971.128680000005</v>
      </c>
      <c r="J34" s="154">
        <f t="shared" ref="J34" si="7">SUM(D34:I34)</f>
        <v>120735.02028000001</v>
      </c>
      <c r="K34" s="69"/>
    </row>
    <row r="35" spans="2:11" s="37" customFormat="1" ht="15.75">
      <c r="B35" s="48"/>
      <c r="C35" s="160" t="s">
        <v>304</v>
      </c>
      <c r="D35" s="156">
        <f>($E$11*F821D!K22+$D$11*F821EVE!D22)</f>
        <v>19708.257529999999</v>
      </c>
      <c r="E35" s="156">
        <f>($E$11*F821D!L22+$D$11*F821EVE!E22)</f>
        <v>19679.61951</v>
      </c>
      <c r="F35" s="156">
        <f>($E$11*F821D!M22+$D$11*F821EVE!F22)</f>
        <v>19451.48532</v>
      </c>
      <c r="G35" s="156">
        <f>($E$11*F821D!N22+$D$11*F821EVE!G22)</f>
        <v>19894.61419</v>
      </c>
      <c r="H35" s="156">
        <f>($E$11*F821D!O22+$D$11*F821EVE!H22)</f>
        <v>19912.151409999999</v>
      </c>
      <c r="I35" s="156">
        <f>($E$11*F821D!P22+$D$11*F821EVE!I22)</f>
        <v>20738.279430000002</v>
      </c>
      <c r="J35" s="156">
        <f t="shared" ref="J35" si="8">SUM(D35:I35)</f>
        <v>119384.40738999998</v>
      </c>
      <c r="K35" s="69"/>
    </row>
    <row r="36" spans="2:11" s="37" customFormat="1" ht="15.75">
      <c r="B36" s="48"/>
      <c r="C36" s="161" t="s">
        <v>306</v>
      </c>
      <c r="D36" s="156">
        <f>($E$11*F821D!K23+$D$11*F821EVE!D23)</f>
        <v>180.36133000000001</v>
      </c>
      <c r="E36" s="156">
        <f>($E$11*F821D!L23+$D$11*F821EVE!E23)</f>
        <v>110.18664</v>
      </c>
      <c r="F36" s="156">
        <f>($E$11*F821D!M23+$D$11*F821EVE!F23)</f>
        <v>147.3382</v>
      </c>
      <c r="G36" s="156">
        <f>($E$11*F821D!N23+$D$11*F821EVE!G23)</f>
        <v>158.02566000000002</v>
      </c>
      <c r="H36" s="156">
        <f>($E$11*F821D!O23+$D$11*F821EVE!H23)</f>
        <v>123.38836999999999</v>
      </c>
      <c r="I36" s="156">
        <f>($E$11*F821D!P23+$D$11*F821EVE!I23)</f>
        <v>147.00496999999999</v>
      </c>
      <c r="J36" s="156">
        <f>SUM(D36:I36)</f>
        <v>866.30516999999998</v>
      </c>
      <c r="K36" s="69"/>
    </row>
    <row r="37" spans="2:11" s="37" customFormat="1" ht="15.75">
      <c r="B37" s="48"/>
      <c r="C37" s="160" t="s">
        <v>305</v>
      </c>
      <c r="D37" s="156">
        <f>($E$11*F821D!K24+$D$11*F821EVE!D24)*95%</f>
        <v>76.865639999999985</v>
      </c>
      <c r="E37" s="156">
        <f>($E$11*F821D!L24+$D$11*F821EVE!E24)*95%</f>
        <v>87.605199999999996</v>
      </c>
      <c r="F37" s="156">
        <f>($E$11*F821D!M24+$D$11*F821EVE!F24)*95%</f>
        <v>92.700239999999994</v>
      </c>
      <c r="G37" s="156">
        <f>($E$11*F821D!N24+$D$11*F821EVE!G24)*95%</f>
        <v>64.225319999999996</v>
      </c>
      <c r="H37" s="156">
        <f>($E$11*F821D!O24+$D$11*F821EVE!H24)*95%</f>
        <v>77.067039999999992</v>
      </c>
      <c r="I37" s="156">
        <f>($E$11*F821D!P24+$D$11*F821EVE!I24)*95%</f>
        <v>85.844279999999998</v>
      </c>
      <c r="J37" s="156">
        <f>SUM(D37:I37)</f>
        <v>484.30772000000002</v>
      </c>
      <c r="K37" s="69"/>
    </row>
    <row r="38" spans="2:11" s="37" customFormat="1" ht="15.75">
      <c r="B38" s="48" t="s">
        <v>274</v>
      </c>
      <c r="C38" s="158" t="s">
        <v>627</v>
      </c>
      <c r="D38" s="154">
        <f t="shared" ref="D38:I38" si="9">SUBTOTAL(9,D39:D44)</f>
        <v>381272.66315000004</v>
      </c>
      <c r="E38" s="154">
        <f t="shared" si="9"/>
        <v>381136.90739000001</v>
      </c>
      <c r="F38" s="154">
        <f t="shared" si="9"/>
        <v>377943.94126999995</v>
      </c>
      <c r="G38" s="154">
        <f t="shared" si="9"/>
        <v>382836.31881000003</v>
      </c>
      <c r="H38" s="154">
        <f t="shared" si="9"/>
        <v>375103.04093000002</v>
      </c>
      <c r="I38" s="154">
        <f t="shared" si="9"/>
        <v>374709.22241699998</v>
      </c>
      <c r="J38" s="159">
        <f t="shared" ref="J38:J87" si="10">SUM(D38:I38)</f>
        <v>2273002.093967</v>
      </c>
      <c r="K38" s="69"/>
    </row>
    <row r="39" spans="2:11" s="37" customFormat="1" ht="15.75">
      <c r="B39" s="48"/>
      <c r="C39" s="160" t="s">
        <v>304</v>
      </c>
      <c r="D39" s="156">
        <f>($E$12*F821D!K28+$D$12*F821EVE!D28)*1</f>
        <v>380598.81255000003</v>
      </c>
      <c r="E39" s="156">
        <f>($E$12*F821D!L28+$D$12*F821EVE!E28)*1</f>
        <v>380444.98005999997</v>
      </c>
      <c r="F39" s="156">
        <f>($E$12*F821D!M28+$D$12*F821EVE!F28)*1</f>
        <v>377163.28664000001</v>
      </c>
      <c r="G39" s="156">
        <f>($E$12*F821D!N28+$D$12*F821EVE!G28)*1</f>
        <v>382160.09499000001</v>
      </c>
      <c r="H39" s="156">
        <f>($E$12*F821D!O28+$D$12*F821EVE!H28)*1</f>
        <v>374421.00461000006</v>
      </c>
      <c r="I39" s="156">
        <f>($E$12*F821D!P28+$D$12*F821EVE!I28)*1</f>
        <v>373946.61046</v>
      </c>
      <c r="J39" s="156">
        <f t="shared" si="10"/>
        <v>2268734.7893100004</v>
      </c>
      <c r="K39" s="69"/>
    </row>
    <row r="40" spans="2:11" s="37" customFormat="1" ht="15.75">
      <c r="B40" s="48"/>
      <c r="C40" s="161" t="s">
        <v>628</v>
      </c>
      <c r="D40" s="156">
        <f>($E$12*F821D!K29+$D$12*F821EVE!D29)*0.75</f>
        <v>24.920999999999999</v>
      </c>
      <c r="E40" s="156">
        <f>($E$12*F821D!L29+$D$12*F821EVE!E29)*0.75</f>
        <v>24.920999999999999</v>
      </c>
      <c r="F40" s="156">
        <f>($E$12*F821D!M29+$D$12*F821EVE!F29)*0.75</f>
        <v>29.0745</v>
      </c>
      <c r="G40" s="156">
        <f>($E$12*F821D!N29+$D$12*F821EVE!G29)*0.75</f>
        <v>29.0745</v>
      </c>
      <c r="H40" s="156">
        <f>($E$12*F821D!O29+$D$12*F821EVE!H29)*0.75</f>
        <v>29.0745</v>
      </c>
      <c r="I40" s="156">
        <f>($E$12*F821D!P29+$D$12*F821EVE!I29)*0.75</f>
        <v>24.920999999999999</v>
      </c>
      <c r="J40" s="156">
        <f>SUM(D40:I40)</f>
        <v>161.98649999999998</v>
      </c>
      <c r="K40" s="69"/>
    </row>
    <row r="41" spans="2:11" s="37" customFormat="1" ht="15.75">
      <c r="B41" s="48"/>
      <c r="C41" s="161" t="s">
        <v>629</v>
      </c>
      <c r="D41" s="156">
        <f>($E$12*F821D!K30+$D$12*F821EVE!D30)*1</f>
        <v>201.26844</v>
      </c>
      <c r="E41" s="156">
        <f>($E$12*F821D!L30+$D$12*F821EVE!E30)*1</f>
        <v>227.57513</v>
      </c>
      <c r="F41" s="156">
        <f>($E$12*F821D!M30+$D$12*F821EVE!F30)*1</f>
        <v>232.53215</v>
      </c>
      <c r="G41" s="156">
        <f>($E$12*F821D!N30+$D$12*F821EVE!G30)*1</f>
        <v>221.39758</v>
      </c>
      <c r="H41" s="156">
        <f>($E$12*F821D!O30+$D$12*F821EVE!H30)*1</f>
        <v>213.52388000000002</v>
      </c>
      <c r="I41" s="156">
        <f>($E$12*F821D!P30+$D$12*F821EVE!I30)*1</f>
        <v>215.82801999999998</v>
      </c>
      <c r="J41" s="156">
        <f>SUM(D41:I41)</f>
        <v>1312.1251999999999</v>
      </c>
      <c r="K41" s="69"/>
    </row>
    <row r="42" spans="2:11" s="37" customFormat="1" ht="15.75">
      <c r="B42" s="48"/>
      <c r="C42" s="160" t="s">
        <v>305</v>
      </c>
      <c r="D42" s="156">
        <f>($E$12*F821D!K31+$D$12*F821EVE!D31)*0.95</f>
        <v>401.14396000000005</v>
      </c>
      <c r="E42" s="156">
        <f>($E$12*F821D!L31+$D$12*F821EVE!E31)*0.95</f>
        <v>396.60599999999999</v>
      </c>
      <c r="F42" s="156">
        <f>($E$12*F821D!M31+$D$12*F821EVE!F31)*0.95</f>
        <v>469.94637999999998</v>
      </c>
      <c r="G42" s="156">
        <f>($E$12*F821D!N31+$D$12*F821EVE!G31)*0.95</f>
        <v>376.28094000000004</v>
      </c>
      <c r="H42" s="156">
        <f>($E$12*F821D!O31+$D$12*F821EVE!H31)*0.95</f>
        <v>394.73754000000002</v>
      </c>
      <c r="I42" s="156">
        <f>($E$12*F821D!P31+$D$12*F821EVE!I31)*0.95</f>
        <v>481.534537</v>
      </c>
      <c r="J42" s="156">
        <f t="shared" si="10"/>
        <v>2520.2493570000001</v>
      </c>
      <c r="K42" s="69"/>
    </row>
    <row r="43" spans="2:11" s="37" customFormat="1" ht="15.75">
      <c r="B43" s="48"/>
      <c r="C43" s="160" t="s">
        <v>307</v>
      </c>
      <c r="D43" s="156">
        <f>($E$12*F821D!K32+$D$12*F821EVE!D32)*0.5</f>
        <v>46.517200000000003</v>
      </c>
      <c r="E43" s="156">
        <f>($E$12*F821D!L32+$D$12*F821EVE!E32)*0.5</f>
        <v>42.825200000000002</v>
      </c>
      <c r="F43" s="156">
        <f>($E$12*F821D!M32+$D$12*F821EVE!F32)*0.5</f>
        <v>49.101600000000005</v>
      </c>
      <c r="G43" s="156">
        <f>($E$12*F821D!N32+$D$12*F821EVE!G32)*0.5</f>
        <v>49.470800000000004</v>
      </c>
      <c r="H43" s="156">
        <f>($E$12*F821D!O32+$D$12*F821EVE!H32)*0.5</f>
        <v>44.700400000000002</v>
      </c>
      <c r="I43" s="156">
        <f>($E$12*F821D!P32+$D$12*F821EVE!I32)*0.5</f>
        <v>40.328400000000002</v>
      </c>
      <c r="J43" s="156">
        <f t="shared" si="10"/>
        <v>272.9436</v>
      </c>
      <c r="K43" s="69"/>
    </row>
    <row r="44" spans="2:11" s="37" customFormat="1" ht="15.75">
      <c r="B44" s="48"/>
      <c r="C44" s="160" t="s">
        <v>624</v>
      </c>
      <c r="D44" s="156">
        <f>($E$12*F821D!K33+$D$12*F821EVE!D33)*0</f>
        <v>0</v>
      </c>
      <c r="E44" s="156">
        <f>($E$12*F821D!L33+$D$12*F821EVE!E33)*0</f>
        <v>0</v>
      </c>
      <c r="F44" s="156">
        <f>($E$12*F821D!M33+$D$12*F821EVE!F33)*0</f>
        <v>0</v>
      </c>
      <c r="G44" s="156">
        <f>($E$12*F821D!N33+$D$12*F821EVE!G33)*0</f>
        <v>0</v>
      </c>
      <c r="H44" s="156">
        <f>($E$12*F821D!O33+$D$12*F821EVE!H33)*0</f>
        <v>0</v>
      </c>
      <c r="I44" s="156">
        <f>($E$12*F821D!P33+$D$12*F821EVE!I33)*0</f>
        <v>0</v>
      </c>
      <c r="J44" s="156">
        <f t="shared" si="10"/>
        <v>0</v>
      </c>
      <c r="K44" s="69"/>
    </row>
    <row r="45" spans="2:11" s="37" customFormat="1" ht="15.75">
      <c r="B45" s="48" t="s">
        <v>274</v>
      </c>
      <c r="C45" s="158" t="s">
        <v>631</v>
      </c>
      <c r="D45" s="154">
        <f t="shared" ref="D45:I45" si="11">SUBTOTAL(9,D46:D49)</f>
        <v>194558.86838999999</v>
      </c>
      <c r="E45" s="154">
        <f t="shared" si="11"/>
        <v>202966.30981000001</v>
      </c>
      <c r="F45" s="154">
        <f t="shared" si="11"/>
        <v>196755.67775</v>
      </c>
      <c r="G45" s="154">
        <f t="shared" si="11"/>
        <v>200786.47933</v>
      </c>
      <c r="H45" s="154">
        <f t="shared" si="11"/>
        <v>189325.64593</v>
      </c>
      <c r="I45" s="154">
        <f t="shared" si="11"/>
        <v>184395.41876000003</v>
      </c>
      <c r="J45" s="159">
        <f t="shared" si="10"/>
        <v>1168788.3999700001</v>
      </c>
      <c r="K45" s="69"/>
    </row>
    <row r="46" spans="2:11" s="37" customFormat="1" ht="15.75">
      <c r="B46" s="48"/>
      <c r="C46" s="160" t="s">
        <v>304</v>
      </c>
      <c r="D46" s="156">
        <f>($E$12*F821D!K35+$D$12*F821EVE!D35)*1</f>
        <v>194392.85094999999</v>
      </c>
      <c r="E46" s="156">
        <f>($E$12*F821D!L35+$D$12*F821EVE!E35)*1</f>
        <v>202802.39681000001</v>
      </c>
      <c r="F46" s="156">
        <f>($E$12*F821D!M35+$D$12*F821EVE!F35)*1</f>
        <v>196572.27379000001</v>
      </c>
      <c r="G46" s="156">
        <f>($E$12*F821D!N35+$D$12*F821EVE!G35)*1</f>
        <v>200571.73069</v>
      </c>
      <c r="H46" s="156">
        <f>($E$12*F821D!O35+$D$12*F821EVE!H35)*1</f>
        <v>189197.69081</v>
      </c>
      <c r="I46" s="156">
        <f>($E$12*F821D!P35+$D$12*F821EVE!I35)*1</f>
        <v>184168.96308000002</v>
      </c>
      <c r="J46" s="156">
        <f t="shared" si="10"/>
        <v>1167705.90613</v>
      </c>
      <c r="K46" s="69"/>
    </row>
    <row r="47" spans="2:11" s="37" customFormat="1" ht="15.75">
      <c r="B47" s="48"/>
      <c r="C47" s="161" t="s">
        <v>306</v>
      </c>
      <c r="D47" s="156">
        <f>($E$12*F821D!K36+$D$12*F821EVE!D36)*1</f>
        <v>0</v>
      </c>
      <c r="E47" s="156">
        <f>($E$12*F821D!L36+$D$12*F821EVE!E36)*1</f>
        <v>0</v>
      </c>
      <c r="F47" s="156">
        <f>($E$12*F821D!M36+$D$12*F821EVE!F36)*1</f>
        <v>0</v>
      </c>
      <c r="G47" s="156">
        <f>($E$12*F821D!N36+$D$12*F821EVE!G36)*1</f>
        <v>0</v>
      </c>
      <c r="H47" s="156">
        <f>($E$12*F821D!O36+$D$12*F821EVE!H36)*1</f>
        <v>0</v>
      </c>
      <c r="I47" s="156">
        <f>($E$12*F821D!P36+$D$12*F821EVE!I36)*1</f>
        <v>0</v>
      </c>
      <c r="J47" s="156">
        <f>SUM(D47:I47)</f>
        <v>0</v>
      </c>
      <c r="K47" s="69"/>
    </row>
    <row r="48" spans="2:11" s="37" customFormat="1" ht="15.75">
      <c r="B48" s="48"/>
      <c r="C48" s="160" t="s">
        <v>305</v>
      </c>
      <c r="D48" s="156">
        <f>($E$12*F821D!K37+$D$12*F821EVE!D37)*0.95</f>
        <v>166.01743999999999</v>
      </c>
      <c r="E48" s="156">
        <f>($E$12*F821D!L37+$D$12*F821EVE!E37)*0.95</f>
        <v>163.91300000000001</v>
      </c>
      <c r="F48" s="156">
        <f>($E$12*F821D!M37+$D$12*F821EVE!F37)*0.95</f>
        <v>183.40396000000001</v>
      </c>
      <c r="G48" s="156">
        <f>($E$12*F821D!N37+$D$12*F821EVE!G37)*0.95</f>
        <v>214.74864000000002</v>
      </c>
      <c r="H48" s="156">
        <f>($E$12*F821D!O37+$D$12*F821EVE!H37)*0.95</f>
        <v>127.95511999999998</v>
      </c>
      <c r="I48" s="156">
        <f>($E$12*F821D!P37+$D$12*F821EVE!I37)*0.95</f>
        <v>226.45568000000003</v>
      </c>
      <c r="J48" s="156">
        <f t="shared" si="10"/>
        <v>1082.4938400000001</v>
      </c>
      <c r="K48" s="69"/>
    </row>
    <row r="49" spans="2:11" s="37" customFormat="1" ht="15.75">
      <c r="B49" s="48"/>
      <c r="C49" s="160" t="s">
        <v>307</v>
      </c>
      <c r="D49" s="156">
        <f>($E$12*F821D!K38+$D$12*F821EVE!D38)*0.5</f>
        <v>0</v>
      </c>
      <c r="E49" s="156">
        <f>($E$12*F821D!L38+$D$12*F821EVE!E38)*0.5</f>
        <v>0</v>
      </c>
      <c r="F49" s="156">
        <f>($E$12*F821D!M38+$D$12*F821EVE!F38)*0.5</f>
        <v>0</v>
      </c>
      <c r="G49" s="156">
        <f>($E$12*F821D!N38+$D$12*F821EVE!G38)*0.5</f>
        <v>0</v>
      </c>
      <c r="H49" s="156">
        <f>($E$12*F821D!O38+$D$12*F821EVE!H38)*0.5</f>
        <v>0</v>
      </c>
      <c r="I49" s="156">
        <f>($E$12*F821D!P38+$D$12*F821EVE!I38)*0.5</f>
        <v>0</v>
      </c>
      <c r="J49" s="156">
        <f t="shared" si="10"/>
        <v>0</v>
      </c>
      <c r="K49" s="69"/>
    </row>
    <row r="50" spans="2:11" s="37" customFormat="1" ht="15.75">
      <c r="B50" s="48" t="s">
        <v>274</v>
      </c>
      <c r="C50" s="158" t="s">
        <v>632</v>
      </c>
      <c r="D50" s="154">
        <f t="shared" ref="D50:I50" si="12">SUBTOTAL(9,D51:D54)</f>
        <v>64606.978540000004</v>
      </c>
      <c r="E50" s="154">
        <f t="shared" si="12"/>
        <v>62225.15</v>
      </c>
      <c r="F50" s="154">
        <f t="shared" si="12"/>
        <v>56534.703600000001</v>
      </c>
      <c r="G50" s="154">
        <f t="shared" si="12"/>
        <v>61869.494569999995</v>
      </c>
      <c r="H50" s="154">
        <f t="shared" si="12"/>
        <v>54129.872540000004</v>
      </c>
      <c r="I50" s="154">
        <f t="shared" si="12"/>
        <v>55253.706440000009</v>
      </c>
      <c r="J50" s="159">
        <f t="shared" si="10"/>
        <v>354619.90569000004</v>
      </c>
      <c r="K50" s="69"/>
    </row>
    <row r="51" spans="2:11" s="37" customFormat="1" ht="15.75">
      <c r="B51" s="48"/>
      <c r="C51" s="160" t="s">
        <v>304</v>
      </c>
      <c r="D51" s="156">
        <f>($E$12*F821D!K40+$D$12*F821EVE!D40)*1</f>
        <v>64606.978540000004</v>
      </c>
      <c r="E51" s="156">
        <f>($E$12*F821D!L40+$D$12*F821EVE!E40)*1</f>
        <v>62225.15</v>
      </c>
      <c r="F51" s="156">
        <f>($E$12*F821D!M40+$D$12*F821EVE!F40)*1</f>
        <v>56534.703600000001</v>
      </c>
      <c r="G51" s="156">
        <f>($E$12*F821D!N40+$D$12*F821EVE!G40)*1</f>
        <v>61869.494569999995</v>
      </c>
      <c r="H51" s="156">
        <f>($E$12*F821D!O40+$D$12*F821EVE!H40)*1</f>
        <v>54129.872540000004</v>
      </c>
      <c r="I51" s="156">
        <f>($E$12*F821D!P40+$D$12*F821EVE!I40)*1</f>
        <v>55253.706440000009</v>
      </c>
      <c r="J51" s="156">
        <f t="shared" si="10"/>
        <v>354619.90569000004</v>
      </c>
      <c r="K51" s="69"/>
    </row>
    <row r="52" spans="2:11" s="37" customFormat="1" ht="15.75">
      <c r="B52" s="48"/>
      <c r="C52" s="161" t="s">
        <v>306</v>
      </c>
      <c r="D52" s="156">
        <f>($E$12*F821D!K41+$D$12*F821EVE!D41)*1</f>
        <v>0</v>
      </c>
      <c r="E52" s="156">
        <f>($E$12*F821D!L41+$D$12*F821EVE!E41)*1</f>
        <v>0</v>
      </c>
      <c r="F52" s="156">
        <f>($E$12*F821D!M41+$D$12*F821EVE!F41)*1</f>
        <v>0</v>
      </c>
      <c r="G52" s="156">
        <f>($E$12*F821D!N41+$D$12*F821EVE!G41)*1</f>
        <v>0</v>
      </c>
      <c r="H52" s="156">
        <f>($E$12*F821D!O41+$D$12*F821EVE!H41)*1</f>
        <v>0</v>
      </c>
      <c r="I52" s="156">
        <f>($E$12*F821D!P41+$D$12*F821EVE!I41)*1</f>
        <v>0</v>
      </c>
      <c r="J52" s="156">
        <f>SUM(D52:I52)</f>
        <v>0</v>
      </c>
      <c r="K52" s="69"/>
    </row>
    <row r="53" spans="2:11" s="37" customFormat="1" ht="15.75">
      <c r="B53" s="48"/>
      <c r="C53" s="160" t="s">
        <v>305</v>
      </c>
      <c r="D53" s="156">
        <f>($E$12*F821D!K42+$D$12*F821EVE!D42)*0.95</f>
        <v>0</v>
      </c>
      <c r="E53" s="156">
        <f>($E$12*F821D!L42+$D$12*F821EVE!E42)*0.95</f>
        <v>0</v>
      </c>
      <c r="F53" s="156">
        <f>($E$12*F821D!M42+$D$12*F821EVE!F42)*0.95</f>
        <v>0</v>
      </c>
      <c r="G53" s="156">
        <f>($E$12*F821D!N42+$D$12*F821EVE!G42)*0.95</f>
        <v>0</v>
      </c>
      <c r="H53" s="156">
        <f>($E$12*F821D!O42+$D$12*F821EVE!H42)*0.95</f>
        <v>0</v>
      </c>
      <c r="I53" s="156">
        <f>($E$12*F821D!P42+$D$12*F821EVE!I42)*0.95</f>
        <v>0</v>
      </c>
      <c r="J53" s="156">
        <f t="shared" si="10"/>
        <v>0</v>
      </c>
      <c r="K53" s="69"/>
    </row>
    <row r="54" spans="2:11" s="37" customFormat="1" ht="15.75">
      <c r="B54" s="48"/>
      <c r="C54" s="160" t="s">
        <v>307</v>
      </c>
      <c r="D54" s="156">
        <f>($E$12*F821D!K43+$D$12*F821EVE!D43)*0.5</f>
        <v>0</v>
      </c>
      <c r="E54" s="156">
        <f>($E$12*F821D!L43+$D$12*F821EVE!E43)*0.5</f>
        <v>0</v>
      </c>
      <c r="F54" s="156">
        <f>($E$12*F821D!M43+$D$12*F821EVE!F43)*0.5</f>
        <v>0</v>
      </c>
      <c r="G54" s="156">
        <f>($E$12*F821D!N43+$D$12*F821EVE!G43)*0.5</f>
        <v>0</v>
      </c>
      <c r="H54" s="156">
        <f>($E$12*F821D!O43+$D$12*F821EVE!H43)*0.5</f>
        <v>0</v>
      </c>
      <c r="I54" s="156">
        <f>($E$12*F821D!P43+$D$12*F821EVE!I43)*0.5</f>
        <v>0</v>
      </c>
      <c r="J54" s="156">
        <f t="shared" si="10"/>
        <v>0</v>
      </c>
      <c r="K54" s="69"/>
    </row>
    <row r="55" spans="2:11" s="37" customFormat="1" ht="15.75">
      <c r="B55" s="48" t="s">
        <v>274</v>
      </c>
      <c r="C55" s="158" t="s">
        <v>633</v>
      </c>
      <c r="D55" s="154">
        <f t="shared" ref="D55:I55" si="13">SUBTOTAL(9,D56:D59)</f>
        <v>67866.660800000012</v>
      </c>
      <c r="E55" s="154">
        <f t="shared" si="13"/>
        <v>62962.934790000007</v>
      </c>
      <c r="F55" s="154">
        <f t="shared" si="13"/>
        <v>56284.622490000002</v>
      </c>
      <c r="G55" s="154">
        <f t="shared" si="13"/>
        <v>62510.718460000004</v>
      </c>
      <c r="H55" s="154">
        <f t="shared" si="13"/>
        <v>57506.732990000004</v>
      </c>
      <c r="I55" s="154">
        <f t="shared" si="13"/>
        <v>58022.692040000009</v>
      </c>
      <c r="J55" s="159">
        <f t="shared" si="10"/>
        <v>365154.36157000001</v>
      </c>
      <c r="K55" s="69"/>
    </row>
    <row r="56" spans="2:11" s="37" customFormat="1" ht="15.75">
      <c r="B56" s="48"/>
      <c r="C56" s="160" t="s">
        <v>304</v>
      </c>
      <c r="D56" s="156">
        <f>($E$12*F821D!K45+$D$12*F821EVE!D45)*1</f>
        <v>67866.660800000012</v>
      </c>
      <c r="E56" s="156">
        <f>($E$12*F821D!L45+$D$12*F821EVE!E45)*1</f>
        <v>62962.934790000007</v>
      </c>
      <c r="F56" s="156">
        <f>($E$12*F821D!M45+$D$12*F821EVE!F45)*1</f>
        <v>56284.622490000002</v>
      </c>
      <c r="G56" s="156">
        <f>($E$12*F821D!N45+$D$12*F821EVE!G45)*1</f>
        <v>62510.718460000004</v>
      </c>
      <c r="H56" s="156">
        <f>($E$12*F821D!O45+$D$12*F821EVE!H45)*1</f>
        <v>57506.732990000004</v>
      </c>
      <c r="I56" s="156">
        <f>($E$12*F821D!P45+$D$12*F821EVE!I45)*1</f>
        <v>58022.692040000009</v>
      </c>
      <c r="J56" s="156">
        <f t="shared" si="10"/>
        <v>365154.36157000001</v>
      </c>
      <c r="K56" s="69"/>
    </row>
    <row r="57" spans="2:11" s="37" customFormat="1" ht="15.75">
      <c r="B57" s="48"/>
      <c r="C57" s="161" t="s">
        <v>306</v>
      </c>
      <c r="D57" s="156">
        <f>($E$12*F821D!K46+$D$12*F821EVE!D46)*1</f>
        <v>0</v>
      </c>
      <c r="E57" s="156">
        <f>($E$12*F821D!L46+$D$12*F821EVE!E46)*1</f>
        <v>0</v>
      </c>
      <c r="F57" s="156">
        <f>($E$12*F821D!M46+$D$12*F821EVE!F46)*1</f>
        <v>0</v>
      </c>
      <c r="G57" s="156">
        <f>($E$12*F821D!N46+$D$12*F821EVE!G46)*1</f>
        <v>0</v>
      </c>
      <c r="H57" s="156">
        <f>($E$12*F821D!O46+$D$12*F821EVE!H46)*1</f>
        <v>0</v>
      </c>
      <c r="I57" s="156">
        <f>($E$12*F821D!P46+$D$12*F821EVE!I46)*1</f>
        <v>0</v>
      </c>
      <c r="J57" s="156">
        <f>SUM(D57:I57)</f>
        <v>0</v>
      </c>
      <c r="K57" s="69"/>
    </row>
    <row r="58" spans="2:11" s="37" customFormat="1" ht="15.75">
      <c r="B58" s="48"/>
      <c r="C58" s="160" t="s">
        <v>305</v>
      </c>
      <c r="D58" s="156">
        <f>($E$12*F821D!K47+$D$12*F821EVE!D47)*0.95</f>
        <v>0</v>
      </c>
      <c r="E58" s="156">
        <f>($E$12*F821D!L47+$D$12*F821EVE!E47)*0.95</f>
        <v>0</v>
      </c>
      <c r="F58" s="156">
        <f>($E$12*F821D!M47+$D$12*F821EVE!F47)*0.95</f>
        <v>0</v>
      </c>
      <c r="G58" s="156">
        <f>($E$12*F821D!N47+$D$12*F821EVE!G47)*0.95</f>
        <v>0</v>
      </c>
      <c r="H58" s="156">
        <f>($E$12*F821D!O47+$D$12*F821EVE!H47)*0.95</f>
        <v>0</v>
      </c>
      <c r="I58" s="156">
        <f>($E$12*F821D!P47+$D$12*F821EVE!I47)*0.95</f>
        <v>0</v>
      </c>
      <c r="J58" s="156">
        <f t="shared" si="10"/>
        <v>0</v>
      </c>
      <c r="K58" s="69"/>
    </row>
    <row r="59" spans="2:11" s="37" customFormat="1" ht="15.75">
      <c r="B59" s="48"/>
      <c r="C59" s="160" t="s">
        <v>307</v>
      </c>
      <c r="D59" s="156">
        <f>($E$12*F821D!K48+$D$12*F821EVE!D48)*0.5</f>
        <v>0</v>
      </c>
      <c r="E59" s="156">
        <f>($E$12*F821D!L48+$D$12*F821EVE!E48)*0.5</f>
        <v>0</v>
      </c>
      <c r="F59" s="156">
        <f>($E$12*F821D!M48+$D$12*F821EVE!F48)*0.5</f>
        <v>0</v>
      </c>
      <c r="G59" s="156">
        <f>($E$12*F821D!N48+$D$12*F821EVE!G48)*0.5</f>
        <v>0</v>
      </c>
      <c r="H59" s="156">
        <f>($E$12*F821D!O48+$D$12*F821EVE!H48)*0.5</f>
        <v>0</v>
      </c>
      <c r="I59" s="156">
        <f>($E$12*F821D!P48+$D$12*F821EVE!I48)*0.5</f>
        <v>0</v>
      </c>
      <c r="J59" s="156">
        <f t="shared" si="10"/>
        <v>0</v>
      </c>
      <c r="K59" s="69"/>
    </row>
    <row r="60" spans="2:11" s="37" customFormat="1" ht="15.75">
      <c r="B60" s="48"/>
      <c r="C60" s="157"/>
      <c r="D60" s="156"/>
      <c r="E60" s="156"/>
      <c r="F60" s="156"/>
      <c r="G60" s="156"/>
      <c r="H60" s="156"/>
      <c r="I60" s="156"/>
      <c r="J60" s="156"/>
      <c r="K60" s="69"/>
    </row>
    <row r="61" spans="2:11" s="37" customFormat="1" ht="15.75">
      <c r="B61" s="48" t="s">
        <v>1176</v>
      </c>
      <c r="C61" s="158" t="s">
        <v>1176</v>
      </c>
      <c r="D61" s="154">
        <f t="shared" ref="D61:I61" si="14">SUBTOTAL(9,D62:D67)</f>
        <v>0</v>
      </c>
      <c r="E61" s="154">
        <f t="shared" si="14"/>
        <v>0</v>
      </c>
      <c r="F61" s="154">
        <f t="shared" si="14"/>
        <v>0</v>
      </c>
      <c r="G61" s="154">
        <f t="shared" si="14"/>
        <v>0</v>
      </c>
      <c r="H61" s="154">
        <f t="shared" si="14"/>
        <v>0</v>
      </c>
      <c r="I61" s="154">
        <f t="shared" si="14"/>
        <v>0</v>
      </c>
      <c r="J61" s="159">
        <f>SUM(D61:I61)</f>
        <v>0</v>
      </c>
      <c r="K61" s="69"/>
    </row>
    <row r="62" spans="2:11" s="37" customFormat="1" ht="15.75">
      <c r="B62" s="48"/>
      <c r="C62" s="160" t="s">
        <v>304</v>
      </c>
      <c r="D62" s="156">
        <f>($D$15*(F821EVE!D51))*1</f>
        <v>0</v>
      </c>
      <c r="E62" s="156">
        <f>($D$15*(F821EVE!E51))*1</f>
        <v>0</v>
      </c>
      <c r="F62" s="156">
        <f>($D$15*(F821EVE!F51))*1</f>
        <v>0</v>
      </c>
      <c r="G62" s="156">
        <f>($D$15*(F821EVE!G51))*1</f>
        <v>0</v>
      </c>
      <c r="H62" s="156">
        <f>($D$15*(F821EVE!H51))*1</f>
        <v>0</v>
      </c>
      <c r="I62" s="156">
        <f>($D$15*(F821EVE!I51))*1</f>
        <v>0</v>
      </c>
      <c r="J62" s="156">
        <f t="shared" si="10"/>
        <v>0</v>
      </c>
      <c r="K62" s="69"/>
    </row>
    <row r="63" spans="2:11" s="37" customFormat="1" ht="15.75">
      <c r="B63" s="48"/>
      <c r="C63" s="162" t="s">
        <v>642</v>
      </c>
      <c r="D63" s="156">
        <f>($D$15*(F821EVE!D52))*0.75</f>
        <v>0</v>
      </c>
      <c r="E63" s="156">
        <f>($D$15*(F821EVE!E52))*0.75</f>
        <v>0</v>
      </c>
      <c r="F63" s="156">
        <f>($D$15*(F821EVE!F52))*0.75</f>
        <v>0</v>
      </c>
      <c r="G63" s="156">
        <f>($D$15*(F821EVE!G52))*0.75</f>
        <v>0</v>
      </c>
      <c r="H63" s="156">
        <f>($D$15*(F821EVE!H52))*0.75</f>
        <v>0</v>
      </c>
      <c r="I63" s="156">
        <f>($D$15*(F821EVE!I52))*0.75</f>
        <v>0</v>
      </c>
      <c r="J63" s="156">
        <f t="shared" si="10"/>
        <v>0</v>
      </c>
      <c r="K63" s="69"/>
    </row>
    <row r="64" spans="2:11" s="37" customFormat="1" ht="15.75">
      <c r="B64" s="48"/>
      <c r="C64" s="162" t="s">
        <v>1177</v>
      </c>
      <c r="D64" s="156">
        <f>($D$15*(F821EVE!D53))*1</f>
        <v>0</v>
      </c>
      <c r="E64" s="156">
        <f>($D$15*(F821EVE!E53))*1</f>
        <v>0</v>
      </c>
      <c r="F64" s="156">
        <f>($D$15*(F821EVE!F53))*1</f>
        <v>0</v>
      </c>
      <c r="G64" s="156">
        <f>($D$15*(F821EVE!G53))*1</f>
        <v>0</v>
      </c>
      <c r="H64" s="156">
        <f>($D$15*(F821EVE!H53))*1</f>
        <v>0</v>
      </c>
      <c r="I64" s="156">
        <f>($D$15*(F821EVE!I53))*1</f>
        <v>0</v>
      </c>
      <c r="J64" s="156">
        <f t="shared" si="10"/>
        <v>0</v>
      </c>
      <c r="K64" s="69"/>
    </row>
    <row r="65" spans="2:11" s="37" customFormat="1" ht="15.75">
      <c r="B65" s="48"/>
      <c r="C65" s="160" t="s">
        <v>305</v>
      </c>
      <c r="D65" s="156">
        <f>($D$15*(F821EVE!D54))*0.95</f>
        <v>0</v>
      </c>
      <c r="E65" s="156">
        <f>($D$15*(F821EVE!E54))*0.95</f>
        <v>0</v>
      </c>
      <c r="F65" s="156">
        <f>($D$15*(F821EVE!F54))*0.95</f>
        <v>0</v>
      </c>
      <c r="G65" s="156">
        <f>($D$15*(F821EVE!G54))*0.95</f>
        <v>0</v>
      </c>
      <c r="H65" s="156">
        <f>($D$15*(F821EVE!H54))*0.95</f>
        <v>0</v>
      </c>
      <c r="I65" s="156">
        <f>($D$15*(F821EVE!I54))*0.95</f>
        <v>0</v>
      </c>
      <c r="J65" s="156">
        <f t="shared" si="10"/>
        <v>0</v>
      </c>
      <c r="K65" s="69"/>
    </row>
    <row r="66" spans="2:11" s="37" customFormat="1" ht="15.75">
      <c r="B66" s="48"/>
      <c r="C66" s="160" t="s">
        <v>307</v>
      </c>
      <c r="D66" s="156">
        <f>($D$15*(F821EVE!D55))*0.5</f>
        <v>0</v>
      </c>
      <c r="E66" s="156">
        <f>($D$15*(F821EVE!E55))*0.5</f>
        <v>0</v>
      </c>
      <c r="F66" s="156">
        <f>($D$15*(F821EVE!F55))*0.5</f>
        <v>0</v>
      </c>
      <c r="G66" s="156">
        <f>($D$15*(F821EVE!G55))*0.5</f>
        <v>0</v>
      </c>
      <c r="H66" s="156">
        <f>($D$15*(F821EVE!H55))*0.5</f>
        <v>0</v>
      </c>
      <c r="I66" s="156">
        <f>($D$15*(F821EVE!I55))*0.5</f>
        <v>0</v>
      </c>
      <c r="J66" s="156">
        <f t="shared" si="10"/>
        <v>0</v>
      </c>
      <c r="K66" s="69"/>
    </row>
    <row r="67" spans="2:11" s="37" customFormat="1" ht="15.75">
      <c r="B67" s="48"/>
      <c r="C67" s="160" t="s">
        <v>624</v>
      </c>
      <c r="D67" s="156">
        <f>($D$15*(F821EVE!D56))*0</f>
        <v>0</v>
      </c>
      <c r="E67" s="156">
        <f>($D$15*(F821EVE!E56))*0</f>
        <v>0</v>
      </c>
      <c r="F67" s="156">
        <f>($D$15*(F821EVE!F56))*0</f>
        <v>0</v>
      </c>
      <c r="G67" s="156">
        <f>($D$15*(F821EVE!G56))*0</f>
        <v>0</v>
      </c>
      <c r="H67" s="156">
        <f>($D$15*(F821EVE!H56))*0</f>
        <v>0</v>
      </c>
      <c r="I67" s="156">
        <f>($D$15*(F821EVE!I56))*0</f>
        <v>0</v>
      </c>
      <c r="J67" s="156">
        <f t="shared" si="10"/>
        <v>0</v>
      </c>
      <c r="K67" s="69"/>
    </row>
    <row r="68" spans="2:11" s="37" customFormat="1" ht="15.75">
      <c r="B68" s="48" t="s">
        <v>751</v>
      </c>
      <c r="C68" s="158" t="s">
        <v>634</v>
      </c>
      <c r="D68" s="154">
        <f t="shared" ref="D68:I68" si="15">SUBTOTAL(9,D69:D73)</f>
        <v>225216.60035749999</v>
      </c>
      <c r="E68" s="154">
        <f t="shared" si="15"/>
        <v>223892.48604399999</v>
      </c>
      <c r="F68" s="154">
        <f t="shared" si="15"/>
        <v>227279.79397100001</v>
      </c>
      <c r="G68" s="154">
        <f t="shared" si="15"/>
        <v>225922.38877700001</v>
      </c>
      <c r="H68" s="154">
        <f t="shared" si="15"/>
        <v>231875.52078749999</v>
      </c>
      <c r="I68" s="154">
        <f t="shared" si="15"/>
        <v>228649.0504565</v>
      </c>
      <c r="J68" s="159">
        <f t="shared" si="10"/>
        <v>1362835.8403934999</v>
      </c>
      <c r="K68" s="69"/>
    </row>
    <row r="69" spans="2:11" s="37" customFormat="1" ht="15.75">
      <c r="B69" s="48"/>
      <c r="C69" s="160" t="s">
        <v>304</v>
      </c>
      <c r="D69" s="156">
        <f>($D$14*(F821EVE!D66))*1</f>
        <v>163759.78941999999</v>
      </c>
      <c r="E69" s="156">
        <f>($D$14*(F821EVE!E66))*1</f>
        <v>162329.55067</v>
      </c>
      <c r="F69" s="156">
        <f>($D$14*(F821EVE!F66))*1</f>
        <v>164877.73269</v>
      </c>
      <c r="G69" s="156">
        <f>($D$14*(F821EVE!G66))*1</f>
        <v>163609.63670999999</v>
      </c>
      <c r="H69" s="156">
        <f>($D$14*(F821EVE!H66))*1</f>
        <v>168155.20232000001</v>
      </c>
      <c r="I69" s="156">
        <f>($D$14*(F821EVE!I66))*1</f>
        <v>164805.42882</v>
      </c>
      <c r="J69" s="156">
        <f t="shared" si="10"/>
        <v>987537.34062999999</v>
      </c>
      <c r="K69" s="69"/>
    </row>
    <row r="70" spans="2:11" s="37" customFormat="1" ht="15.75">
      <c r="B70" s="48"/>
      <c r="C70" s="162" t="s">
        <v>644</v>
      </c>
      <c r="D70" s="156">
        <f>($D$14*(F821EVE!D67))*0.75</f>
        <v>61451.439067499996</v>
      </c>
      <c r="E70" s="156">
        <f>($D$14*(F821EVE!E67))*0.75</f>
        <v>61558.133580000002</v>
      </c>
      <c r="F70" s="156">
        <f>($D$14*(F821EVE!F67))*0.75</f>
        <v>62396.941560000007</v>
      </c>
      <c r="G70" s="156">
        <f>($D$14*(F821EVE!G67))*0.75</f>
        <v>62306.566050000009</v>
      </c>
      <c r="H70" s="156">
        <f>($D$14*(F821EVE!H67))*0.75</f>
        <v>63713.765189999991</v>
      </c>
      <c r="I70" s="156">
        <f>($D$14*(F821EVE!I67))*0.75</f>
        <v>63834.891915</v>
      </c>
      <c r="J70" s="156">
        <f>SUM(D70:I70)</f>
        <v>375261.73736249999</v>
      </c>
      <c r="K70" s="69"/>
    </row>
    <row r="71" spans="2:11" s="37" customFormat="1" ht="15.75">
      <c r="B71" s="48"/>
      <c r="C71" s="160" t="s">
        <v>305</v>
      </c>
      <c r="D71" s="156">
        <f>($D$14*(F821EVE!D68))*0.95</f>
        <v>5.3718700000000004</v>
      </c>
      <c r="E71" s="156">
        <f>($D$14*(F821EVE!E68))*0.95</f>
        <v>4.8017940000000001</v>
      </c>
      <c r="F71" s="156">
        <f>($D$14*(F821EVE!F68))*0.95</f>
        <v>5.1197209999999993</v>
      </c>
      <c r="G71" s="156">
        <f>($D$14*(F821EVE!G68))*0.95</f>
        <v>5.7994269999999997</v>
      </c>
      <c r="H71" s="156">
        <f>($D$14*(F821EVE!H68))*0.95</f>
        <v>6.3859475000000003</v>
      </c>
      <c r="I71" s="156">
        <f>($D$14*(F821EVE!I68))*0.95</f>
        <v>8.5018065000000007</v>
      </c>
      <c r="J71" s="156">
        <f t="shared" si="10"/>
        <v>35.980566000000003</v>
      </c>
      <c r="K71" s="69"/>
    </row>
    <row r="72" spans="2:11" s="37" customFormat="1" ht="15.75">
      <c r="B72" s="48"/>
      <c r="C72" s="160" t="s">
        <v>307</v>
      </c>
      <c r="D72" s="156">
        <f>($D$14*(F821EVE!D69))*0.5</f>
        <v>0</v>
      </c>
      <c r="E72" s="156">
        <f>($D$14*(F821EVE!E69))*0.5</f>
        <v>0</v>
      </c>
      <c r="F72" s="156">
        <f>($D$14*(F821EVE!F69))*0.5</f>
        <v>0</v>
      </c>
      <c r="G72" s="156">
        <f>($D$14*(F821EVE!G69))*0.5</f>
        <v>0.38658999999999999</v>
      </c>
      <c r="H72" s="156">
        <f>($D$14*(F821EVE!H69))*0.5</f>
        <v>0.16733000000000001</v>
      </c>
      <c r="I72" s="156">
        <f>($D$14*(F821EVE!I69))*0.5</f>
        <v>0.22791500000000001</v>
      </c>
      <c r="J72" s="156">
        <f t="shared" si="10"/>
        <v>0.78183499999999995</v>
      </c>
      <c r="K72" s="69"/>
    </row>
    <row r="73" spans="2:11" s="37" customFormat="1" ht="15.75">
      <c r="B73" s="48"/>
      <c r="C73" s="160" t="s">
        <v>624</v>
      </c>
      <c r="D73" s="156">
        <f>($D$14*(F821EVE!D70))*0</f>
        <v>0</v>
      </c>
      <c r="E73" s="156">
        <f>($D$14*(F821EVE!E70))*0</f>
        <v>0</v>
      </c>
      <c r="F73" s="156">
        <f>($D$14*(F821EVE!F70))*0</f>
        <v>0</v>
      </c>
      <c r="G73" s="156">
        <f>($D$14*(F821EVE!G70))*0</f>
        <v>0</v>
      </c>
      <c r="H73" s="156">
        <f>($D$14*(F821EVE!H70))*0</f>
        <v>0</v>
      </c>
      <c r="I73" s="156">
        <f>($D$14*(F821EVE!I70))*0</f>
        <v>0</v>
      </c>
      <c r="J73" s="156">
        <f t="shared" si="10"/>
        <v>0</v>
      </c>
      <c r="K73" s="69"/>
    </row>
    <row r="74" spans="2:11" s="37" customFormat="1" ht="15.75">
      <c r="B74" s="48" t="s">
        <v>750</v>
      </c>
      <c r="C74" s="158" t="s">
        <v>635</v>
      </c>
      <c r="D74" s="154">
        <f t="shared" ref="D74:I74" si="16">SUBTOTAL(9,D75:D80)</f>
        <v>255069.32480549999</v>
      </c>
      <c r="E74" s="154">
        <f t="shared" si="16"/>
        <v>257963.4385205</v>
      </c>
      <c r="F74" s="154">
        <f t="shared" si="16"/>
        <v>251058.32574999999</v>
      </c>
      <c r="G74" s="154">
        <f t="shared" si="16"/>
        <v>250789.13130450001</v>
      </c>
      <c r="H74" s="154">
        <f t="shared" si="16"/>
        <v>242002.11255049999</v>
      </c>
      <c r="I74" s="154">
        <f t="shared" si="16"/>
        <v>236313.0841145</v>
      </c>
      <c r="J74" s="159">
        <f t="shared" si="10"/>
        <v>1493195.4170455001</v>
      </c>
      <c r="K74" s="69"/>
    </row>
    <row r="75" spans="2:11" s="37" customFormat="1" ht="15.75">
      <c r="B75" s="48"/>
      <c r="C75" s="160" t="s">
        <v>304</v>
      </c>
      <c r="D75" s="156">
        <f>($D$14*(F821EVE!D72))*1</f>
        <v>165132.6109</v>
      </c>
      <c r="E75" s="156">
        <f>($D$14*(F821EVE!E72))*1</f>
        <v>167284.29006</v>
      </c>
      <c r="F75" s="156">
        <f>($D$14*(F821EVE!F72))*1</f>
        <v>162098.24867999999</v>
      </c>
      <c r="G75" s="156">
        <f>($D$14*(F821EVE!G72))*1</f>
        <v>161629.68429</v>
      </c>
      <c r="H75" s="156">
        <f>($D$14*(F821EVE!H72))*1</f>
        <v>155468.08593</v>
      </c>
      <c r="I75" s="156">
        <f>($D$14*(F821EVE!I72))*1</f>
        <v>151341.37039</v>
      </c>
      <c r="J75" s="156">
        <f t="shared" si="10"/>
        <v>962954.29025000008</v>
      </c>
      <c r="K75" s="69"/>
    </row>
    <row r="76" spans="2:11" s="37" customFormat="1" ht="15.75">
      <c r="B76" s="48"/>
      <c r="C76" s="162" t="s">
        <v>642</v>
      </c>
      <c r="D76" s="156">
        <f>($D$14*(F821EVE!D73))*0.75</f>
        <v>87313.803749999992</v>
      </c>
      <c r="E76" s="156">
        <f>($D$14*(F821EVE!E73))*0.75</f>
        <v>87992.862067499998</v>
      </c>
      <c r="F76" s="156">
        <f>($D$14*(F821EVE!F73))*0.75</f>
        <v>86465.293514999998</v>
      </c>
      <c r="G76" s="156">
        <f>($D$14*(F821EVE!G73))*0.75</f>
        <v>86682.603254999995</v>
      </c>
      <c r="H76" s="156">
        <f>($D$14*(F821EVE!H73))*0.75</f>
        <v>84183.065220000004</v>
      </c>
      <c r="I76" s="156">
        <f>($D$14*(F821EVE!I73))*0.75</f>
        <v>82564.5066525</v>
      </c>
      <c r="J76" s="156">
        <f>SUM(D76:I76)</f>
        <v>515202.13445999997</v>
      </c>
      <c r="K76" s="69"/>
    </row>
    <row r="77" spans="2:11" s="37" customFormat="1" ht="15.75">
      <c r="B77" s="48"/>
      <c r="C77" s="162" t="s">
        <v>1177</v>
      </c>
      <c r="D77" s="156">
        <f>($D$14*(F821EVE!D74))*1</f>
        <v>2615.4717599999999</v>
      </c>
      <c r="E77" s="156">
        <f>($D$14*(F821EVE!E74))*1</f>
        <v>2678.60133</v>
      </c>
      <c r="F77" s="156">
        <f>($D$14*(F821EVE!F74))*1</f>
        <v>2483.2175900000002</v>
      </c>
      <c r="G77" s="156">
        <f>($D$14*(F821EVE!G74))*1</f>
        <v>2469.53692</v>
      </c>
      <c r="H77" s="156">
        <f>($D$14*(F821EVE!H74))*1</f>
        <v>2334.33428</v>
      </c>
      <c r="I77" s="156">
        <f>($D$14*(F821EVE!I74))*1</f>
        <v>2392.6920599999999</v>
      </c>
      <c r="J77" s="156">
        <f>SUM(D77:I77)</f>
        <v>14973.853939999999</v>
      </c>
      <c r="K77" s="69"/>
    </row>
    <row r="78" spans="2:11" s="37" customFormat="1" ht="15.75">
      <c r="B78" s="48"/>
      <c r="C78" s="160" t="s">
        <v>305</v>
      </c>
      <c r="D78" s="156">
        <f>($D$14*(F821EVE!D75))*0.95</f>
        <v>7.4383954999999995</v>
      </c>
      <c r="E78" s="156">
        <f>($D$14*(F821EVE!E75))*0.95</f>
        <v>7.6850629999999995</v>
      </c>
      <c r="F78" s="156">
        <f>($D$14*(F821EVE!F75))*0.95</f>
        <v>11.565964999999998</v>
      </c>
      <c r="G78" s="156">
        <f>($D$14*(F821EVE!G75))*0.95</f>
        <v>7.3068394999999997</v>
      </c>
      <c r="H78" s="156">
        <f>($D$14*(F821EVE!H75))*0.95</f>
        <v>14.5643455</v>
      </c>
      <c r="I78" s="156">
        <f>($D$14*(F821EVE!I75))*0.95</f>
        <v>14.515011999999999</v>
      </c>
      <c r="J78" s="156">
        <f t="shared" si="10"/>
        <v>63.075620499999999</v>
      </c>
      <c r="K78" s="69"/>
    </row>
    <row r="79" spans="2:11" s="37" customFormat="1" ht="15.75">
      <c r="B79" s="48"/>
      <c r="C79" s="160" t="s">
        <v>307</v>
      </c>
      <c r="D79" s="156">
        <f>($D$14*(F821EVE!D76))*0.5</f>
        <v>0</v>
      </c>
      <c r="E79" s="156">
        <f>($D$14*(F821EVE!E76))*0.5</f>
        <v>0</v>
      </c>
      <c r="F79" s="156">
        <f>($D$14*(F821EVE!F76))*0.5</f>
        <v>0</v>
      </c>
      <c r="G79" s="156">
        <f>($D$14*(F821EVE!G76))*0.5</f>
        <v>0</v>
      </c>
      <c r="H79" s="156">
        <f>($D$14*(F821EVE!H76))*0.5</f>
        <v>2.0627749999999998</v>
      </c>
      <c r="I79" s="156">
        <f>($D$14*(F821EVE!I76))*0.5</f>
        <v>0</v>
      </c>
      <c r="J79" s="156">
        <f t="shared" si="10"/>
        <v>2.0627749999999998</v>
      </c>
      <c r="K79" s="69"/>
    </row>
    <row r="80" spans="2:11" s="37" customFormat="1" ht="15.75">
      <c r="B80" s="48"/>
      <c r="C80" s="160" t="s">
        <v>624</v>
      </c>
      <c r="D80" s="156">
        <f>($D$14*(F821EVE!D77))*0</f>
        <v>0</v>
      </c>
      <c r="E80" s="156">
        <f>($D$14*(F821EVE!E77))*0</f>
        <v>0</v>
      </c>
      <c r="F80" s="156">
        <f>($D$14*(F821EVE!F77))*0</f>
        <v>0</v>
      </c>
      <c r="G80" s="156">
        <f>($D$14*(F821EVE!G77))*0</f>
        <v>0</v>
      </c>
      <c r="H80" s="156">
        <f>($D$14*(F821EVE!H77))*0</f>
        <v>0</v>
      </c>
      <c r="I80" s="156">
        <f>($D$14*(F821EVE!I77))*0</f>
        <v>0</v>
      </c>
      <c r="J80" s="156">
        <f t="shared" si="10"/>
        <v>0</v>
      </c>
      <c r="K80" s="69"/>
    </row>
    <row r="81" spans="2:11" s="37" customFormat="1" ht="15.75">
      <c r="B81" s="48" t="s">
        <v>749</v>
      </c>
      <c r="C81" s="158" t="s">
        <v>636</v>
      </c>
      <c r="D81" s="154">
        <f t="shared" ref="D81:I81" si="17">SUBTOTAL(9,D82:D87)</f>
        <v>308212.3495975</v>
      </c>
      <c r="E81" s="154">
        <f t="shared" si="17"/>
        <v>306692.90491650003</v>
      </c>
      <c r="F81" s="154">
        <f t="shared" si="17"/>
        <v>299351.186055</v>
      </c>
      <c r="G81" s="154">
        <f t="shared" si="17"/>
        <v>303533.73557700001</v>
      </c>
      <c r="H81" s="154">
        <f t="shared" si="17"/>
        <v>279724.11734599998</v>
      </c>
      <c r="I81" s="154">
        <f t="shared" si="17"/>
        <v>290360.63458999997</v>
      </c>
      <c r="J81" s="159">
        <f t="shared" si="10"/>
        <v>1787874.928082</v>
      </c>
      <c r="K81" s="69"/>
    </row>
    <row r="82" spans="2:11" s="37" customFormat="1" ht="15.75">
      <c r="B82" s="48"/>
      <c r="C82" s="160" t="s">
        <v>304</v>
      </c>
      <c r="D82" s="156">
        <f>($D$14*(F821EVE!D79))*1</f>
        <v>264742.43466999999</v>
      </c>
      <c r="E82" s="156">
        <f>($D$14*(F821EVE!E79))*1</f>
        <v>264277.40729</v>
      </c>
      <c r="F82" s="156">
        <f>($D$14*(F821EVE!F79))*1</f>
        <v>259017.18101999999</v>
      </c>
      <c r="G82" s="156">
        <f>($D$14*(F821EVE!G79))*1</f>
        <v>262527.01432000002</v>
      </c>
      <c r="H82" s="156">
        <f>($D$14*(F821EVE!H79))*1</f>
        <v>243470.29684</v>
      </c>
      <c r="I82" s="156">
        <f>($D$14*(F821EVE!I79))*1</f>
        <v>251570.29785</v>
      </c>
      <c r="J82" s="156">
        <f t="shared" si="10"/>
        <v>1545604.6319899999</v>
      </c>
      <c r="K82" s="69"/>
    </row>
    <row r="83" spans="2:11" s="37" customFormat="1" ht="15.75">
      <c r="B83" s="48"/>
      <c r="C83" s="162" t="s">
        <v>642</v>
      </c>
      <c r="D83" s="156">
        <f>($D$14*(F821EVE!D80))*0.75</f>
        <v>20603.357325000001</v>
      </c>
      <c r="E83" s="156">
        <f>($D$14*(F821EVE!E80))*0.75</f>
        <v>20193.110324999998</v>
      </c>
      <c r="F83" s="156">
        <f>($D$14*(F821EVE!F80))*0.75</f>
        <v>19214.662575000002</v>
      </c>
      <c r="G83" s="156">
        <f>($D$14*(F821EVE!G80))*0.75</f>
        <v>19454.189700000003</v>
      </c>
      <c r="H83" s="156">
        <f>($D$14*(F821EVE!H80))*0.75</f>
        <v>17253.526125</v>
      </c>
      <c r="I83" s="156">
        <f>($D$14*(F821EVE!I80))*0.75</f>
        <v>17963.668874999999</v>
      </c>
      <c r="J83" s="156">
        <f>SUM(D83:I83)</f>
        <v>114682.51492500001</v>
      </c>
      <c r="K83" s="69"/>
    </row>
    <row r="84" spans="2:11" s="37" customFormat="1" ht="15.75">
      <c r="B84" s="48"/>
      <c r="C84" s="162" t="s">
        <v>1177</v>
      </c>
      <c r="D84" s="156">
        <f>($D$14*(F821EVE!D81))*1</f>
        <v>22692.406019999999</v>
      </c>
      <c r="E84" s="156">
        <f>($D$14*(F821EVE!E81))*1</f>
        <v>22035.347269999998</v>
      </c>
      <c r="F84" s="156">
        <f>($D$14*(F821EVE!F81))*1</f>
        <v>20960.95019</v>
      </c>
      <c r="G84" s="156">
        <f>($D$14*(F821EVE!G81))*1</f>
        <v>21404.709350000001</v>
      </c>
      <c r="H84" s="156">
        <f>($D$14*(F821EVE!H81))*1</f>
        <v>18871.073499999999</v>
      </c>
      <c r="I84" s="156">
        <f>($D$14*(F821EVE!I81))*1</f>
        <v>20767.135890000001</v>
      </c>
      <c r="J84" s="156">
        <f>SUM(D84:I84)</f>
        <v>126731.62222</v>
      </c>
      <c r="K84" s="69"/>
    </row>
    <row r="85" spans="2:11" s="37" customFormat="1" ht="15.75">
      <c r="B85" s="48"/>
      <c r="C85" s="160" t="s">
        <v>305</v>
      </c>
      <c r="D85" s="156">
        <f>($D$14*(F821EVE!D82))*0.95</f>
        <v>171.32428250000001</v>
      </c>
      <c r="E85" s="156">
        <f>($D$14*(F821EVE!E82))*0.95</f>
        <v>184.67721649999999</v>
      </c>
      <c r="F85" s="156">
        <f>($D$14*(F821EVE!F82))*0.95</f>
        <v>155.61978500000001</v>
      </c>
      <c r="G85" s="156">
        <f>($D$14*(F821EVE!G82))*0.95</f>
        <v>145.19397199999997</v>
      </c>
      <c r="H85" s="156">
        <f>($D$14*(F821EVE!H82))*0.95</f>
        <v>129.22088099999999</v>
      </c>
      <c r="I85" s="156">
        <f>($D$14*(F821EVE!I82))*0.95</f>
        <v>56.843154999999996</v>
      </c>
      <c r="J85" s="156">
        <f t="shared" si="10"/>
        <v>842.87929199999985</v>
      </c>
      <c r="K85" s="69"/>
    </row>
    <row r="86" spans="2:11" s="37" customFormat="1" ht="15.75">
      <c r="B86" s="48"/>
      <c r="C86" s="160" t="s">
        <v>307</v>
      </c>
      <c r="D86" s="156">
        <f>($D$14*(F821EVE!D83))*0.5</f>
        <v>2.8273000000000001</v>
      </c>
      <c r="E86" s="156">
        <f>($D$14*(F821EVE!E83))*0.5</f>
        <v>2.3628149999999999</v>
      </c>
      <c r="F86" s="156">
        <f>($D$14*(F821EVE!F83))*0.5</f>
        <v>2.7724850000000001</v>
      </c>
      <c r="G86" s="156">
        <f>($D$14*(F821EVE!G83))*0.5</f>
        <v>2.6282350000000001</v>
      </c>
      <c r="H86" s="156">
        <f>($D$14*(F821EVE!H83))*0.5</f>
        <v>0</v>
      </c>
      <c r="I86" s="156">
        <f>($D$14*(F821EVE!I83))*0.5</f>
        <v>2.6888199999999998</v>
      </c>
      <c r="J86" s="156">
        <f t="shared" si="10"/>
        <v>13.279655</v>
      </c>
      <c r="K86" s="69"/>
    </row>
    <row r="87" spans="2:11" s="37" customFormat="1" ht="15.75">
      <c r="B87" s="48"/>
      <c r="C87" s="160" t="s">
        <v>624</v>
      </c>
      <c r="D87" s="156">
        <f>($D$14*(F821EVE!D84))*0</f>
        <v>0</v>
      </c>
      <c r="E87" s="156">
        <f>($D$14*(F821EVE!E84))*0</f>
        <v>0</v>
      </c>
      <c r="F87" s="156">
        <f>($D$14*(F821EVE!F84))*0</f>
        <v>0</v>
      </c>
      <c r="G87" s="156">
        <f>($D$14*(F821EVE!G84))*0</f>
        <v>0</v>
      </c>
      <c r="H87" s="156">
        <f>($D$14*(F821EVE!H84))*0</f>
        <v>0</v>
      </c>
      <c r="I87" s="156">
        <f>($D$14*(F821EVE!I84))*0</f>
        <v>0</v>
      </c>
      <c r="J87" s="156">
        <f t="shared" si="10"/>
        <v>0</v>
      </c>
      <c r="K87" s="69"/>
    </row>
    <row r="88" spans="2:11" s="37" customFormat="1" ht="15.75">
      <c r="B88" s="48"/>
      <c r="C88" s="157"/>
      <c r="D88" s="156"/>
      <c r="E88" s="156"/>
      <c r="F88" s="156"/>
      <c r="G88" s="156"/>
      <c r="H88" s="156"/>
      <c r="I88" s="156"/>
      <c r="J88" s="156"/>
      <c r="K88" s="69"/>
    </row>
    <row r="89" spans="2:11" s="37" customFormat="1" ht="15.75">
      <c r="B89" s="48" t="s">
        <v>902</v>
      </c>
      <c r="C89" s="158" t="s">
        <v>898</v>
      </c>
      <c r="D89" s="154">
        <f t="shared" ref="D89:I89" si="18">SUBTOTAL(9,D90:D94)</f>
        <v>76250.874562500001</v>
      </c>
      <c r="E89" s="154">
        <f t="shared" si="18"/>
        <v>75299.997315000001</v>
      </c>
      <c r="F89" s="154">
        <f t="shared" si="18"/>
        <v>78104.872210000001</v>
      </c>
      <c r="G89" s="154">
        <f t="shared" si="18"/>
        <v>76324.742102499993</v>
      </c>
      <c r="H89" s="154">
        <f t="shared" si="18"/>
        <v>72333.021482499986</v>
      </c>
      <c r="I89" s="154">
        <f t="shared" si="18"/>
        <v>77294.958947499996</v>
      </c>
      <c r="J89" s="159">
        <f t="shared" ref="J89:J98" si="19">SUM(D89:I89)</f>
        <v>455608.46661999996</v>
      </c>
      <c r="K89" s="69"/>
    </row>
    <row r="90" spans="2:11" s="37" customFormat="1" ht="15.75">
      <c r="B90" s="48"/>
      <c r="C90" s="160" t="s">
        <v>304</v>
      </c>
      <c r="D90" s="156">
        <f>$D$13*F821EVE!D87*1</f>
        <v>73348.199609999996</v>
      </c>
      <c r="E90" s="156">
        <f>$D$13*F821EVE!E87*1</f>
        <v>72507.435599999997</v>
      </c>
      <c r="F90" s="156">
        <f>$D$13*F821EVE!F87*1</f>
        <v>75166.153510000004</v>
      </c>
      <c r="G90" s="156">
        <f>$D$13*F821EVE!G87*1</f>
        <v>73360.201209999999</v>
      </c>
      <c r="H90" s="156">
        <f>$D$13*F821EVE!H87*1</f>
        <v>69588.715719999993</v>
      </c>
      <c r="I90" s="156">
        <f>$D$13*F821EVE!I87*1</f>
        <v>74238.908739999999</v>
      </c>
      <c r="J90" s="156">
        <f t="shared" si="19"/>
        <v>438209.61438999994</v>
      </c>
      <c r="K90" s="69"/>
    </row>
    <row r="91" spans="2:11" s="37" customFormat="1" ht="15.75">
      <c r="B91" s="48"/>
      <c r="C91" s="162" t="s">
        <v>644</v>
      </c>
      <c r="D91" s="156">
        <f>$D$13*F821EVE!D88*0.75</f>
        <v>2902.6749525</v>
      </c>
      <c r="E91" s="156">
        <f>$D$13*F821EVE!E88*0.75</f>
        <v>2792.5617149999998</v>
      </c>
      <c r="F91" s="156">
        <f>$D$13*F821EVE!F88*0.75</f>
        <v>2938.7186999999999</v>
      </c>
      <c r="G91" s="156">
        <f>$D$13*F821EVE!G88*0.75</f>
        <v>2964.5408924999997</v>
      </c>
      <c r="H91" s="156">
        <f>$D$13*F821EVE!H88*0.75</f>
        <v>2744.3057625000001</v>
      </c>
      <c r="I91" s="156">
        <f>$D$13*F821EVE!I88*0.75</f>
        <v>3056.0502074999999</v>
      </c>
      <c r="J91" s="156">
        <f t="shared" si="19"/>
        <v>17398.852229999997</v>
      </c>
      <c r="K91" s="69"/>
    </row>
    <row r="92" spans="2:11" s="37" customFormat="1" ht="15.75">
      <c r="B92" s="48"/>
      <c r="C92" s="160" t="s">
        <v>305</v>
      </c>
      <c r="D92" s="156">
        <f>$D$13*F821EVE!D89*0.95</f>
        <v>0</v>
      </c>
      <c r="E92" s="156">
        <f>$D$13*F821EVE!E89*0.95</f>
        <v>0</v>
      </c>
      <c r="F92" s="156">
        <f>$D$13*F821EVE!F89*0.95</f>
        <v>0</v>
      </c>
      <c r="G92" s="156">
        <f>$D$13*F821EVE!G89*0.95</f>
        <v>0</v>
      </c>
      <c r="H92" s="156">
        <f>$D$13*F821EVE!H89*0.95</f>
        <v>0</v>
      </c>
      <c r="I92" s="156">
        <f>$D$13*F821EVE!I89*0.95</f>
        <v>0</v>
      </c>
      <c r="J92" s="156">
        <f t="shared" si="19"/>
        <v>0</v>
      </c>
      <c r="K92" s="69"/>
    </row>
    <row r="93" spans="2:11" s="37" customFormat="1" ht="15.75">
      <c r="B93" s="48"/>
      <c r="C93" s="160" t="s">
        <v>307</v>
      </c>
      <c r="D93" s="156">
        <f>$D$13*F821EVE!D90*0.5</f>
        <v>0</v>
      </c>
      <c r="E93" s="156">
        <f>$D$13*F821EVE!E90*0.5</f>
        <v>0</v>
      </c>
      <c r="F93" s="156">
        <f>$D$13*F821EVE!F90*0.5</f>
        <v>0</v>
      </c>
      <c r="G93" s="156">
        <f>$D$13*F821EVE!G90*0.5</f>
        <v>0</v>
      </c>
      <c r="H93" s="156">
        <f>$D$13*F821EVE!H90*0.5</f>
        <v>0</v>
      </c>
      <c r="I93" s="156">
        <f>$D$13*F821EVE!I90*0.5</f>
        <v>0</v>
      </c>
      <c r="J93" s="156">
        <f t="shared" si="19"/>
        <v>0</v>
      </c>
      <c r="K93" s="69"/>
    </row>
    <row r="94" spans="2:11" s="37" customFormat="1" ht="15.75">
      <c r="B94" s="48"/>
      <c r="C94" s="160" t="s">
        <v>624</v>
      </c>
      <c r="D94" s="156">
        <f>$D$13*F821EVE!D91*0</f>
        <v>0</v>
      </c>
      <c r="E94" s="156">
        <f>$D$13*F821EVE!E91*0</f>
        <v>0</v>
      </c>
      <c r="F94" s="156">
        <f>$D$13*F821EVE!F91*0</f>
        <v>0</v>
      </c>
      <c r="G94" s="156">
        <f>$D$13*F821EVE!G91*0</f>
        <v>0</v>
      </c>
      <c r="H94" s="156">
        <f>$D$13*F821EVE!H91*0</f>
        <v>0</v>
      </c>
      <c r="I94" s="156">
        <f>$D$13*F821EVE!I91*0</f>
        <v>0</v>
      </c>
      <c r="J94" s="156">
        <f t="shared" si="19"/>
        <v>0</v>
      </c>
      <c r="K94" s="69"/>
    </row>
    <row r="95" spans="2:11" s="37" customFormat="1" ht="15.75">
      <c r="B95" s="48" t="s">
        <v>902</v>
      </c>
      <c r="C95" s="158" t="s">
        <v>899</v>
      </c>
      <c r="D95" s="154">
        <f t="shared" ref="D95:I95" si="20">SUBTOTAL(9,D96:D101)</f>
        <v>6703.6768774999991</v>
      </c>
      <c r="E95" s="154">
        <f t="shared" si="20"/>
        <v>6233.247335</v>
      </c>
      <c r="F95" s="154">
        <f t="shared" si="20"/>
        <v>5818.1073749999996</v>
      </c>
      <c r="G95" s="154">
        <f t="shared" si="20"/>
        <v>6277.4801550000002</v>
      </c>
      <c r="H95" s="154">
        <f t="shared" si="20"/>
        <v>4810.8644399999994</v>
      </c>
      <c r="I95" s="154">
        <f t="shared" si="20"/>
        <v>6217.7289199999996</v>
      </c>
      <c r="J95" s="159">
        <f t="shared" si="19"/>
        <v>36061.105102499998</v>
      </c>
      <c r="K95" s="69"/>
    </row>
    <row r="96" spans="2:11" s="37" customFormat="1" ht="15.75">
      <c r="B96" s="48"/>
      <c r="C96" s="160" t="s">
        <v>304</v>
      </c>
      <c r="D96" s="156">
        <f>$D$13*F821EVE!D93*1</f>
        <v>6108.3758799999996</v>
      </c>
      <c r="E96" s="156">
        <f>$D$13*F821EVE!E93*1</f>
        <v>5696.1901600000001</v>
      </c>
      <c r="F96" s="156">
        <f>$D$13*F821EVE!F93*1</f>
        <v>5250.0653000000002</v>
      </c>
      <c r="G96" s="156">
        <f>$D$13*F821EVE!G93*1</f>
        <v>5715.8947099999996</v>
      </c>
      <c r="H96" s="156">
        <f>$D$13*F821EVE!H93*1</f>
        <v>4356.0384199999999</v>
      </c>
      <c r="I96" s="156">
        <f>$D$13*F821EVE!I93*1</f>
        <v>5630.3025299999999</v>
      </c>
      <c r="J96" s="156">
        <f t="shared" si="19"/>
        <v>32756.867000000002</v>
      </c>
      <c r="K96" s="69"/>
    </row>
    <row r="97" spans="2:11" s="37" customFormat="1" ht="15.75">
      <c r="B97" s="48"/>
      <c r="C97" s="162" t="s">
        <v>642</v>
      </c>
      <c r="D97" s="156">
        <f>$D$13*F821EVE!D94*0.75</f>
        <v>529.44798749999995</v>
      </c>
      <c r="E97" s="156">
        <f>$D$13*F821EVE!E94*0.75</f>
        <v>489.518145</v>
      </c>
      <c r="F97" s="156">
        <f>$D$13*F821EVE!F94*0.75</f>
        <v>520.71076500000004</v>
      </c>
      <c r="G97" s="156">
        <f>$D$13*F821EVE!G94*0.75</f>
        <v>508.74955499999999</v>
      </c>
      <c r="H97" s="156">
        <f>$D$13*F821EVE!H94*0.75</f>
        <v>413.53590000000003</v>
      </c>
      <c r="I97" s="156">
        <f>$D$13*F821EVE!I94*0.75</f>
        <v>534.34239000000002</v>
      </c>
      <c r="J97" s="156">
        <f t="shared" si="19"/>
        <v>2996.3047424999995</v>
      </c>
      <c r="K97" s="69"/>
    </row>
    <row r="98" spans="2:11" s="37" customFormat="1" ht="15.75">
      <c r="B98" s="48"/>
      <c r="C98" s="162" t="s">
        <v>1177</v>
      </c>
      <c r="D98" s="156">
        <f>$D$13*F821EVE!D95*1</f>
        <v>65.853009999999998</v>
      </c>
      <c r="E98" s="156">
        <f>$D$13*F821EVE!E95*1</f>
        <v>47.539029999999997</v>
      </c>
      <c r="F98" s="156">
        <f>$D$13*F821EVE!F95*1</f>
        <v>47.331310000000002</v>
      </c>
      <c r="G98" s="156">
        <f>$D$13*F821EVE!G95*1</f>
        <v>52.835889999999999</v>
      </c>
      <c r="H98" s="156">
        <f>$D$13*F821EVE!H95*1</f>
        <v>41.290120000000002</v>
      </c>
      <c r="I98" s="156">
        <f>$D$13*F821EVE!I95*1</f>
        <v>53.083999999999996</v>
      </c>
      <c r="J98" s="156">
        <f t="shared" si="19"/>
        <v>307.93335999999999</v>
      </c>
      <c r="K98" s="69"/>
    </row>
    <row r="99" spans="2:11" s="37" customFormat="1" ht="15.75">
      <c r="B99" s="48"/>
      <c r="C99" s="160" t="s">
        <v>305</v>
      </c>
      <c r="D99" s="156">
        <f>$D$13*F821EVE!D96*0.95</f>
        <v>0</v>
      </c>
      <c r="E99" s="156">
        <f>$D$13*F821EVE!E96*0.95</f>
        <v>0</v>
      </c>
      <c r="F99" s="156">
        <f>$D$13*F821EVE!F96*0.95</f>
        <v>0</v>
      </c>
      <c r="G99" s="156">
        <f>$D$13*F821EVE!G96*0.95</f>
        <v>0</v>
      </c>
      <c r="H99" s="156">
        <f>$D$13*F821EVE!H96*0.95</f>
        <v>0</v>
      </c>
      <c r="I99" s="156">
        <f>$D$13*F821EVE!I96*0.95</f>
        <v>0</v>
      </c>
      <c r="J99" s="156">
        <f t="shared" ref="J99:J108" si="21">SUM(D99:I99)</f>
        <v>0</v>
      </c>
      <c r="K99" s="69"/>
    </row>
    <row r="100" spans="2:11" s="37" customFormat="1" ht="15.75">
      <c r="B100" s="48"/>
      <c r="C100" s="160" t="s">
        <v>307</v>
      </c>
      <c r="D100" s="156">
        <f>$D$13*F821EVE!D97*0.5</f>
        <v>0</v>
      </c>
      <c r="E100" s="156">
        <f>$D$13*F821EVE!E97*0.5</f>
        <v>0</v>
      </c>
      <c r="F100" s="156">
        <f>$D$13*F821EVE!F97*0.5</f>
        <v>0</v>
      </c>
      <c r="G100" s="156">
        <f>$D$13*F821EVE!G97*0.5</f>
        <v>0</v>
      </c>
      <c r="H100" s="156">
        <f>$D$13*F821EVE!H97*0.5</f>
        <v>0</v>
      </c>
      <c r="I100" s="156">
        <f>$D$13*F821EVE!I97*0.5</f>
        <v>0</v>
      </c>
      <c r="J100" s="156">
        <f t="shared" si="21"/>
        <v>0</v>
      </c>
      <c r="K100" s="69"/>
    </row>
    <row r="101" spans="2:11" s="37" customFormat="1" ht="15.75">
      <c r="B101" s="48"/>
      <c r="C101" s="160" t="s">
        <v>624</v>
      </c>
      <c r="D101" s="156">
        <f>$D$13*F821EVE!D98*0</f>
        <v>0</v>
      </c>
      <c r="E101" s="156">
        <f>$D$13*F821EVE!E98*0</f>
        <v>0</v>
      </c>
      <c r="F101" s="156">
        <f>$D$13*F821EVE!F98*0</f>
        <v>0</v>
      </c>
      <c r="G101" s="156">
        <f>$D$13*F821EVE!G98*0</f>
        <v>0</v>
      </c>
      <c r="H101" s="156">
        <f>$D$13*F821EVE!H98*0</f>
        <v>0</v>
      </c>
      <c r="I101" s="156">
        <f>$D$13*F821EVE!I98*0</f>
        <v>0</v>
      </c>
      <c r="J101" s="156">
        <f t="shared" si="21"/>
        <v>0</v>
      </c>
      <c r="K101" s="69"/>
    </row>
    <row r="102" spans="2:11" s="37" customFormat="1" ht="15.75">
      <c r="B102" s="48" t="s">
        <v>902</v>
      </c>
      <c r="C102" s="158" t="s">
        <v>900</v>
      </c>
      <c r="D102" s="154">
        <f t="shared" ref="D102:I102" si="22">SUBTOTAL(9,D103:D108)</f>
        <v>714.81644999999992</v>
      </c>
      <c r="E102" s="154">
        <f t="shared" si="22"/>
        <v>709.42005749999998</v>
      </c>
      <c r="F102" s="154">
        <f t="shared" si="22"/>
        <v>801.3823175</v>
      </c>
      <c r="G102" s="154">
        <f t="shared" si="22"/>
        <v>607.57378749999998</v>
      </c>
      <c r="H102" s="154">
        <f t="shared" si="22"/>
        <v>479.91686500000003</v>
      </c>
      <c r="I102" s="154">
        <f t="shared" si="22"/>
        <v>674.71206500000005</v>
      </c>
      <c r="J102" s="159">
        <f t="shared" si="21"/>
        <v>3987.8215424999999</v>
      </c>
      <c r="K102" s="69"/>
    </row>
    <row r="103" spans="2:11" s="37" customFormat="1" ht="15.75">
      <c r="B103" s="48"/>
      <c r="C103" s="160" t="s">
        <v>304</v>
      </c>
      <c r="D103" s="156">
        <f>$D$13*F821EVE!D100*1</f>
        <v>688.36676999999997</v>
      </c>
      <c r="E103" s="156">
        <f>$D$13*F821EVE!E100*1</f>
        <v>695.44655999999998</v>
      </c>
      <c r="F103" s="156">
        <f>$D$13*F821EVE!F100*1</f>
        <v>782.07734000000005</v>
      </c>
      <c r="G103" s="156">
        <f>$D$13*F821EVE!G100*1</f>
        <v>583.19697999999994</v>
      </c>
      <c r="H103" s="156">
        <f>$D$13*F821EVE!H100*1</f>
        <v>469.27987000000002</v>
      </c>
      <c r="I103" s="156">
        <f>$D$13*F821EVE!I100*1</f>
        <v>655.81820000000005</v>
      </c>
      <c r="J103" s="156">
        <f t="shared" si="21"/>
        <v>3874.1857199999995</v>
      </c>
      <c r="K103" s="69"/>
    </row>
    <row r="104" spans="2:11" s="37" customFormat="1" ht="15.75">
      <c r="B104" s="48"/>
      <c r="C104" s="162" t="s">
        <v>642</v>
      </c>
      <c r="D104" s="156">
        <f>$D$13*F821EVE!D101*0.75</f>
        <v>26.449679999999997</v>
      </c>
      <c r="E104" s="156">
        <f>$D$13*F821EVE!E101*0.75</f>
        <v>13.973497499999999</v>
      </c>
      <c r="F104" s="156">
        <f>$D$13*F821EVE!F101*0.75</f>
        <v>19.3049775</v>
      </c>
      <c r="G104" s="156">
        <f>$D$13*F821EVE!G101*0.75</f>
        <v>24.376807499999998</v>
      </c>
      <c r="H104" s="156">
        <f>$D$13*F821EVE!H101*0.75</f>
        <v>10.636995000000001</v>
      </c>
      <c r="I104" s="156">
        <f>$D$13*F821EVE!I101*0.75</f>
        <v>18.893864999999998</v>
      </c>
      <c r="J104" s="156">
        <f t="shared" si="21"/>
        <v>113.63582249999999</v>
      </c>
      <c r="K104" s="69"/>
    </row>
    <row r="105" spans="2:11" s="37" customFormat="1" ht="15.75">
      <c r="B105" s="48"/>
      <c r="C105" s="162" t="s">
        <v>1177</v>
      </c>
      <c r="D105" s="156">
        <f>$D$13*F821EVE!D102*1</f>
        <v>0</v>
      </c>
      <c r="E105" s="156">
        <f>$D$13*F821EVE!E102*1</f>
        <v>0</v>
      </c>
      <c r="F105" s="156">
        <f>$D$13*F821EVE!F102*1</f>
        <v>0</v>
      </c>
      <c r="G105" s="156">
        <f>$D$13*F821EVE!G102*1</f>
        <v>0</v>
      </c>
      <c r="H105" s="156">
        <f>$D$13*F821EVE!H102*1</f>
        <v>0</v>
      </c>
      <c r="I105" s="156">
        <f>$D$13*F821EVE!I102*1</f>
        <v>0</v>
      </c>
      <c r="J105" s="156">
        <f t="shared" si="21"/>
        <v>0</v>
      </c>
      <c r="K105" s="69"/>
    </row>
    <row r="106" spans="2:11" s="37" customFormat="1" ht="15.75">
      <c r="B106" s="48"/>
      <c r="C106" s="160" t="s">
        <v>305</v>
      </c>
      <c r="D106" s="156">
        <f>$D$13*F821EVE!D103*0.95</f>
        <v>0</v>
      </c>
      <c r="E106" s="156">
        <f>$D$13*F821EVE!E103*0.95</f>
        <v>0</v>
      </c>
      <c r="F106" s="156">
        <f>$D$13*F821EVE!F103*0.95</f>
        <v>0</v>
      </c>
      <c r="G106" s="156">
        <f>$D$13*F821EVE!G103*0.95</f>
        <v>0</v>
      </c>
      <c r="H106" s="156">
        <f>$D$13*F821EVE!H103*0.95</f>
        <v>0</v>
      </c>
      <c r="I106" s="156">
        <f>$D$13*F821EVE!I103*0.95</f>
        <v>0</v>
      </c>
      <c r="J106" s="156">
        <f t="shared" si="21"/>
        <v>0</v>
      </c>
      <c r="K106" s="69"/>
    </row>
    <row r="107" spans="2:11" s="37" customFormat="1" ht="15.75">
      <c r="B107" s="48"/>
      <c r="C107" s="160" t="s">
        <v>307</v>
      </c>
      <c r="D107" s="156">
        <f>$D$13*F821EVE!D104*0.5</f>
        <v>0</v>
      </c>
      <c r="E107" s="156">
        <f>$D$13*F821EVE!E104*0.5</f>
        <v>0</v>
      </c>
      <c r="F107" s="156">
        <f>$D$13*F821EVE!F104*0.5</f>
        <v>0</v>
      </c>
      <c r="G107" s="156">
        <f>$D$13*F821EVE!G104*0.5</f>
        <v>0</v>
      </c>
      <c r="H107" s="156">
        <f>$D$13*F821EVE!H104*0.5</f>
        <v>0</v>
      </c>
      <c r="I107" s="156">
        <f>$D$13*F821EVE!I104*0.5</f>
        <v>0</v>
      </c>
      <c r="J107" s="156">
        <f t="shared" si="21"/>
        <v>0</v>
      </c>
      <c r="K107" s="69"/>
    </row>
    <row r="108" spans="2:11" s="37" customFormat="1" ht="15.75">
      <c r="B108" s="48"/>
      <c r="C108" s="160" t="s">
        <v>624</v>
      </c>
      <c r="D108" s="156">
        <f>$D$13*F821EVE!D105*0</f>
        <v>0</v>
      </c>
      <c r="E108" s="156">
        <f>$D$13*F821EVE!E105*0</f>
        <v>0</v>
      </c>
      <c r="F108" s="156">
        <f>$D$13*F821EVE!F105*0</f>
        <v>0</v>
      </c>
      <c r="G108" s="156">
        <f>$D$13*F821EVE!G105*0</f>
        <v>0</v>
      </c>
      <c r="H108" s="156">
        <f>$D$13*F821EVE!H105*0</f>
        <v>0</v>
      </c>
      <c r="I108" s="156">
        <f>$D$13*F821EVE!I105*0</f>
        <v>0</v>
      </c>
      <c r="J108" s="156">
        <f t="shared" si="21"/>
        <v>0</v>
      </c>
      <c r="K108" s="69"/>
    </row>
    <row r="109" spans="2:11" s="37" customFormat="1" ht="15.75">
      <c r="B109" s="48"/>
      <c r="C109" s="157"/>
      <c r="D109" s="156"/>
      <c r="E109" s="156"/>
      <c r="F109" s="156"/>
      <c r="G109" s="156"/>
      <c r="H109" s="156"/>
      <c r="I109" s="156"/>
      <c r="J109" s="156"/>
      <c r="K109" s="69"/>
    </row>
    <row r="110" spans="2:11" s="37" customFormat="1" ht="15.75">
      <c r="B110" s="48"/>
      <c r="C110" s="153" t="s">
        <v>112</v>
      </c>
      <c r="D110" s="154">
        <f t="shared" ref="D110:I110" si="23">D33+D23+D19</f>
        <v>1935095.2443755001</v>
      </c>
      <c r="E110" s="154">
        <f t="shared" si="23"/>
        <v>1939324.2876785002</v>
      </c>
      <c r="F110" s="154">
        <f t="shared" si="23"/>
        <v>1900580.4123035003</v>
      </c>
      <c r="G110" s="154">
        <f t="shared" si="23"/>
        <v>1927273.3347684999</v>
      </c>
      <c r="H110" s="154">
        <f t="shared" si="23"/>
        <v>1849684.9626065004</v>
      </c>
      <c r="I110" s="154">
        <f t="shared" si="23"/>
        <v>1854654.2810755002</v>
      </c>
      <c r="J110" s="154">
        <f>SUM(D110:I110)</f>
        <v>11406612.522808002</v>
      </c>
      <c r="K110" s="69"/>
    </row>
    <row r="111" spans="2:11" s="37" customFormat="1" ht="15.75">
      <c r="B111" s="48"/>
      <c r="C111" s="48"/>
      <c r="D111" s="48"/>
      <c r="E111" s="48"/>
      <c r="F111" s="48"/>
      <c r="G111" s="48"/>
      <c r="H111" s="48"/>
      <c r="I111" s="48"/>
      <c r="J111" s="48"/>
      <c r="K111" s="69"/>
    </row>
    <row r="112" spans="2:11" s="37" customFormat="1" ht="31.5">
      <c r="B112" s="48"/>
      <c r="C112" s="138" t="s">
        <v>853</v>
      </c>
      <c r="D112" s="138"/>
      <c r="E112" s="138"/>
      <c r="F112" s="138"/>
      <c r="G112" s="138"/>
      <c r="H112" s="138"/>
      <c r="I112" s="138"/>
      <c r="J112" s="138"/>
      <c r="K112" s="69"/>
    </row>
    <row r="113" spans="1:11" s="37" customFormat="1" ht="15.75">
      <c r="B113" s="48"/>
      <c r="C113" s="150" t="s">
        <v>310</v>
      </c>
      <c r="D113" s="151">
        <f t="shared" ref="D113:I113" si="24">D18</f>
        <v>45839</v>
      </c>
      <c r="E113" s="151">
        <f t="shared" si="24"/>
        <v>45870</v>
      </c>
      <c r="F113" s="151">
        <f t="shared" si="24"/>
        <v>45901</v>
      </c>
      <c r="G113" s="151">
        <f t="shared" si="24"/>
        <v>45931</v>
      </c>
      <c r="H113" s="151">
        <f t="shared" si="24"/>
        <v>45962</v>
      </c>
      <c r="I113" s="151">
        <f t="shared" si="24"/>
        <v>45992</v>
      </c>
      <c r="J113" s="152" t="s">
        <v>111</v>
      </c>
      <c r="K113" s="69"/>
    </row>
    <row r="114" spans="1:11">
      <c r="A114" s="37"/>
      <c r="C114" s="153" t="s">
        <v>230</v>
      </c>
      <c r="D114" s="154">
        <f t="shared" ref="D114:I114" si="25">SUM(D115:D116)</f>
        <v>81293.170142015326</v>
      </c>
      <c r="E114" s="154">
        <f t="shared" si="25"/>
        <v>76154.941571685995</v>
      </c>
      <c r="F114" s="154">
        <f t="shared" si="25"/>
        <v>79341.232083710434</v>
      </c>
      <c r="G114" s="154">
        <f t="shared" si="25"/>
        <v>89290.808661661795</v>
      </c>
      <c r="H114" s="154">
        <f t="shared" si="25"/>
        <v>75274.370411880926</v>
      </c>
      <c r="I114" s="154">
        <f t="shared" si="25"/>
        <v>84763.052660354006</v>
      </c>
      <c r="J114" s="154">
        <f>SUM(D114:I114)</f>
        <v>486117.57553130848</v>
      </c>
    </row>
    <row r="115" spans="1:11">
      <c r="A115" s="37"/>
      <c r="B115" s="48" t="s">
        <v>870</v>
      </c>
      <c r="C115" s="157" t="s">
        <v>1028</v>
      </c>
      <c r="D115" s="156">
        <f>$E$7*F821D!K116+$D$7*F821EVE!D116</f>
        <v>55288.659927821005</v>
      </c>
      <c r="E115" s="156">
        <f>$E$7*F821D!L116+$D$7*F821EVE!E116</f>
        <v>50838.589712885994</v>
      </c>
      <c r="F115" s="156">
        <f>$E$7*F821D!M116+$D$7*F821EVE!F116</f>
        <v>52658.400141086997</v>
      </c>
      <c r="G115" s="156">
        <f>$E$7*F821D!N116+$D$7*F821EVE!G116</f>
        <v>57380.740283602994</v>
      </c>
      <c r="H115" s="156">
        <f>$E$7*F821D!O116+$D$7*F821EVE!H116</f>
        <v>44870.403588451001</v>
      </c>
      <c r="I115" s="156">
        <f>$E$7*F821D!P116+$D$7*F821EVE!I116</f>
        <v>52281.875810086996</v>
      </c>
      <c r="J115" s="154">
        <f>SUM(D115:I115)</f>
        <v>313318.66946393502</v>
      </c>
    </row>
    <row r="116" spans="1:11">
      <c r="A116" s="37"/>
      <c r="B116" s="48" t="s">
        <v>871</v>
      </c>
      <c r="C116" s="153" t="s">
        <v>193</v>
      </c>
      <c r="D116" s="154">
        <f t="shared" ref="D116:I116" si="26">SUM(D117:D118)</f>
        <v>26004.510214194321</v>
      </c>
      <c r="E116" s="154">
        <f t="shared" si="26"/>
        <v>25316.351858800001</v>
      </c>
      <c r="F116" s="154">
        <f t="shared" si="26"/>
        <v>26682.831942623437</v>
      </c>
      <c r="G116" s="154">
        <f t="shared" si="26"/>
        <v>31910.068378058801</v>
      </c>
      <c r="H116" s="154">
        <f t="shared" si="26"/>
        <v>30403.966823429917</v>
      </c>
      <c r="I116" s="154">
        <f t="shared" si="26"/>
        <v>32481.176850267009</v>
      </c>
      <c r="J116" s="154">
        <f>SUM(D116:I116)</f>
        <v>172798.90606737349</v>
      </c>
    </row>
    <row r="117" spans="1:11">
      <c r="A117" s="37"/>
      <c r="C117" s="157" t="s">
        <v>1074</v>
      </c>
      <c r="D117" s="156">
        <f>$E$8*F821D!K118+$D$8*F821EVE!D118</f>
        <v>0</v>
      </c>
      <c r="E117" s="156">
        <f>$E$8*F821D!L118+$D$8*F821EVE!E118</f>
        <v>0</v>
      </c>
      <c r="F117" s="156">
        <f>$E$8*F821D!M118+$D$8*F821EVE!F118</f>
        <v>0</v>
      </c>
      <c r="G117" s="156">
        <f>$E$8*F821D!N118+$D$8*F821EVE!G118</f>
        <v>0</v>
      </c>
      <c r="H117" s="156">
        <f>$E$8*F821D!O118+$D$8*F821EVE!H118</f>
        <v>0</v>
      </c>
      <c r="I117" s="156">
        <f>$E$8*F821D!P118+$D$8*F821EVE!I118</f>
        <v>0</v>
      </c>
      <c r="J117" s="154">
        <f t="shared" ref="J117:J143" si="27">SUM(D117:I117)</f>
        <v>0</v>
      </c>
    </row>
    <row r="118" spans="1:11">
      <c r="A118" s="37"/>
      <c r="C118" s="157" t="s">
        <v>1075</v>
      </c>
      <c r="D118" s="156">
        <f>$E$8*F821D!K119+$D$8*F821EVE!D119</f>
        <v>26004.510214194321</v>
      </c>
      <c r="E118" s="156">
        <f>$E$8*F821D!L119+$D$8*F821EVE!E119</f>
        <v>25316.351858800001</v>
      </c>
      <c r="F118" s="156">
        <f>$E$8*F821D!M119+$D$8*F821EVE!F119</f>
        <v>26682.831942623437</v>
      </c>
      <c r="G118" s="156">
        <f>$E$8*F821D!N119+$D$8*F821EVE!G119</f>
        <v>31910.068378058801</v>
      </c>
      <c r="H118" s="156">
        <f>$E$8*F821D!O119+$D$8*F821EVE!H119</f>
        <v>30403.966823429917</v>
      </c>
      <c r="I118" s="156">
        <f>$E$8*F821D!P119+$D$8*F821EVE!I119</f>
        <v>32481.176850267009</v>
      </c>
      <c r="J118" s="154">
        <f t="shared" si="27"/>
        <v>172798.90606737349</v>
      </c>
    </row>
    <row r="119" spans="1:11">
      <c r="A119" s="37"/>
      <c r="C119" s="153" t="s">
        <v>893</v>
      </c>
      <c r="D119" s="156"/>
      <c r="E119" s="156"/>
      <c r="F119" s="156"/>
      <c r="G119" s="156"/>
      <c r="H119" s="156"/>
      <c r="I119" s="156"/>
      <c r="J119" s="154">
        <f t="shared" si="27"/>
        <v>0</v>
      </c>
    </row>
    <row r="120" spans="1:11">
      <c r="A120" s="37"/>
      <c r="C120" s="157"/>
      <c r="D120" s="156"/>
      <c r="E120" s="156"/>
      <c r="F120" s="156"/>
      <c r="G120" s="156"/>
      <c r="H120" s="156"/>
      <c r="I120" s="156"/>
      <c r="J120" s="154">
        <f t="shared" si="27"/>
        <v>0</v>
      </c>
    </row>
    <row r="121" spans="1:11">
      <c r="A121" s="37"/>
      <c r="C121" s="153" t="s">
        <v>194</v>
      </c>
      <c r="D121" s="154">
        <f t="shared" ref="D121:I121" si="28">D122+D127</f>
        <v>378682.64465858368</v>
      </c>
      <c r="E121" s="154">
        <f t="shared" si="28"/>
        <v>374325.88633459981</v>
      </c>
      <c r="F121" s="154">
        <f t="shared" si="28"/>
        <v>368062.15280233335</v>
      </c>
      <c r="G121" s="154">
        <f t="shared" si="28"/>
        <v>380974.05211629602</v>
      </c>
      <c r="H121" s="154">
        <f t="shared" si="28"/>
        <v>358456.95444341697</v>
      </c>
      <c r="I121" s="154">
        <f t="shared" si="28"/>
        <v>374606.28592637845</v>
      </c>
      <c r="J121" s="154">
        <f t="shared" si="27"/>
        <v>2235107.9762816085</v>
      </c>
    </row>
    <row r="122" spans="1:11">
      <c r="A122" s="37"/>
      <c r="B122" s="48" t="s">
        <v>872</v>
      </c>
      <c r="C122" s="153" t="s">
        <v>277</v>
      </c>
      <c r="D122" s="154">
        <f t="shared" ref="D122:I122" si="29">SUM(D123:D126)</f>
        <v>65633.539653634973</v>
      </c>
      <c r="E122" s="154">
        <f t="shared" si="29"/>
        <v>65536.372545470003</v>
      </c>
      <c r="F122" s="154">
        <f t="shared" si="29"/>
        <v>64771.786024384994</v>
      </c>
      <c r="G122" s="154">
        <f t="shared" si="29"/>
        <v>68301.875685255</v>
      </c>
      <c r="H122" s="154">
        <f t="shared" si="29"/>
        <v>64600.280888470006</v>
      </c>
      <c r="I122" s="154">
        <f t="shared" si="29"/>
        <v>64731.142849269308</v>
      </c>
      <c r="J122" s="154">
        <f>SUM(D122:I122)</f>
        <v>393574.99764648429</v>
      </c>
    </row>
    <row r="123" spans="1:11">
      <c r="A123" s="37"/>
      <c r="C123" s="157" t="s">
        <v>980</v>
      </c>
      <c r="D123" s="156">
        <f>$E$9*F821D!K124+$D$9*F821EVE!D124</f>
        <v>43267.122572411361</v>
      </c>
      <c r="E123" s="156">
        <f>$E$9*F821D!L124+$D$9*F821EVE!E124</f>
        <v>42556.173201493795</v>
      </c>
      <c r="F123" s="156">
        <f>$E$9*F821D!M124+$D$9*F821EVE!F124</f>
        <v>41098.974922235066</v>
      </c>
      <c r="G123" s="156">
        <f>$E$9*F821D!N124+$D$9*F821EVE!G124</f>
        <v>42106.984461189517</v>
      </c>
      <c r="H123" s="156">
        <f>$E$9*F821D!O124+$D$9*F821EVE!H124</f>
        <v>39547.690557794849</v>
      </c>
      <c r="I123" s="156">
        <f>$E$9*F821D!P124+$D$9*F821EVE!I124</f>
        <v>39171.11092141366</v>
      </c>
      <c r="J123" s="154">
        <f t="shared" si="27"/>
        <v>247748.05663653824</v>
      </c>
    </row>
    <row r="124" spans="1:11">
      <c r="A124" s="37"/>
      <c r="C124" s="157" t="s">
        <v>981</v>
      </c>
      <c r="D124" s="156">
        <f>$E$9*F821D!K125+$D$9*F821EVE!D125</f>
        <v>2423.6618800663778</v>
      </c>
      <c r="E124" s="156">
        <f>$E$9*F821D!L125+$D$9*F821EVE!E125</f>
        <v>2502.4604024696737</v>
      </c>
      <c r="F124" s="156">
        <f>$E$9*F821D!M125+$D$9*F821EVE!F125</f>
        <v>2575.6564495356311</v>
      </c>
      <c r="G124" s="156">
        <f>$E$9*F821D!N125+$D$9*F821EVE!G125</f>
        <v>2787.3893711030178</v>
      </c>
      <c r="H124" s="156">
        <f>$E$9*F821D!O125+$D$9*F821EVE!H125</f>
        <v>2898.1301384295916</v>
      </c>
      <c r="I124" s="156">
        <f>$E$9*F821D!P125+$D$9*F821EVE!I125</f>
        <v>1966.8498628204798</v>
      </c>
      <c r="J124" s="154">
        <f t="shared" si="27"/>
        <v>15154.14810442477</v>
      </c>
    </row>
    <row r="125" spans="1:11">
      <c r="A125" s="37"/>
      <c r="C125" s="157" t="s">
        <v>1019</v>
      </c>
      <c r="D125" s="156">
        <f>$E$9*F821D!K126+$D$9*F821EVE!D126</f>
        <v>763.65762735399312</v>
      </c>
      <c r="E125" s="156">
        <f>$E$9*F821D!L126+$D$9*F821EVE!E126</f>
        <v>749.28677049474732</v>
      </c>
      <c r="F125" s="156">
        <f>$E$9*F821D!M126+$D$9*F821EVE!F126</f>
        <v>726.70909305996202</v>
      </c>
      <c r="G125" s="156">
        <f>$E$9*F821D!N126+$D$9*F821EVE!G126</f>
        <v>767.96706057663573</v>
      </c>
      <c r="H125" s="156">
        <f>$E$9*F821D!O126+$D$9*F821EVE!H126</f>
        <v>744.13402098648544</v>
      </c>
      <c r="I125" s="156">
        <f>$E$9*F821D!P126+$D$9*F821EVE!I126</f>
        <v>718.88989966652844</v>
      </c>
      <c r="J125" s="154">
        <f>SUM(D125:I125)</f>
        <v>4470.6444721383523</v>
      </c>
    </row>
    <row r="126" spans="1:11">
      <c r="A126" s="37"/>
      <c r="C126" s="157" t="s">
        <v>1766</v>
      </c>
      <c r="D126" s="156">
        <f>$E$9*F821D!K127+$D$9*F821EVE!D127</f>
        <v>19179.097573803247</v>
      </c>
      <c r="E126" s="156">
        <f>$E$9*F821D!L127+$D$9*F821EVE!E127</f>
        <v>19728.452171011788</v>
      </c>
      <c r="F126" s="156">
        <f>$E$9*F821D!M127+$D$9*F821EVE!F127</f>
        <v>20370.44555955434</v>
      </c>
      <c r="G126" s="156">
        <f>$E$9*F821D!N127+$D$9*F821EVE!G127</f>
        <v>22639.534792385824</v>
      </c>
      <c r="H126" s="156">
        <f>$E$9*F821D!O127+$D$9*F821EVE!H127</f>
        <v>21410.326171259076</v>
      </c>
      <c r="I126" s="156">
        <f>$E$9*F821D!P127+$D$9*F821EVE!I127</f>
        <v>22874.292165368646</v>
      </c>
      <c r="J126" s="154">
        <f>SUM(D126:I126)</f>
        <v>126202.14843338293</v>
      </c>
    </row>
    <row r="127" spans="1:11">
      <c r="A127" s="37"/>
      <c r="B127" s="48" t="s">
        <v>873</v>
      </c>
      <c r="C127" s="153" t="s">
        <v>193</v>
      </c>
      <c r="D127" s="154">
        <f t="shared" ref="D127:I127" si="30">SUM(D128:D132)</f>
        <v>313049.10500494868</v>
      </c>
      <c r="E127" s="154">
        <f t="shared" si="30"/>
        <v>308789.51378912979</v>
      </c>
      <c r="F127" s="154">
        <f t="shared" si="30"/>
        <v>303290.36677794834</v>
      </c>
      <c r="G127" s="154">
        <f t="shared" si="30"/>
        <v>312672.17643104104</v>
      </c>
      <c r="H127" s="154">
        <f t="shared" si="30"/>
        <v>293856.67355494696</v>
      </c>
      <c r="I127" s="154">
        <f t="shared" si="30"/>
        <v>309875.14307710913</v>
      </c>
      <c r="J127" s="154">
        <f t="shared" si="27"/>
        <v>1841532.9786351239</v>
      </c>
    </row>
    <row r="128" spans="1:11">
      <c r="A128" s="37"/>
      <c r="C128" s="157" t="s">
        <v>944</v>
      </c>
      <c r="D128" s="156">
        <f>$E$10*F821D!K129+$D$10*F821EVE!D129</f>
        <v>0</v>
      </c>
      <c r="E128" s="156">
        <f>$E$10*F821D!L129+$D$10*F821EVE!E129</f>
        <v>0</v>
      </c>
      <c r="F128" s="156">
        <f>$E$10*F821D!M129+$D$10*F821EVE!F129</f>
        <v>0</v>
      </c>
      <c r="G128" s="156">
        <f>$E$10*F821D!N129+$D$10*F821EVE!G129</f>
        <v>0</v>
      </c>
      <c r="H128" s="156">
        <f>$E$10*F821D!O129+$D$10*F821EVE!H129</f>
        <v>0</v>
      </c>
      <c r="I128" s="156">
        <f>$E$10*F821D!P129+$D$10*F821EVE!I129</f>
        <v>0</v>
      </c>
      <c r="J128" s="154">
        <f t="shared" si="27"/>
        <v>0</v>
      </c>
    </row>
    <row r="129" spans="1:10">
      <c r="A129" s="37"/>
      <c r="C129" s="157" t="s">
        <v>943</v>
      </c>
      <c r="D129" s="156">
        <f>$E$10*F821D!K130+$D$10*F821EVE!D130</f>
        <v>205401.60547867772</v>
      </c>
      <c r="E129" s="156">
        <f>$E$10*F821D!L130+$D$10*F821EVE!E130</f>
        <v>203339.69638516384</v>
      </c>
      <c r="F129" s="156">
        <f>$E$10*F821D!M130+$D$10*F821EVE!F130</f>
        <v>186235.6120243824</v>
      </c>
      <c r="G129" s="156">
        <f>$E$10*F821D!N130+$D$10*F821EVE!G130</f>
        <v>192149.98002827304</v>
      </c>
      <c r="H129" s="156">
        <f>$E$10*F821D!O130+$D$10*F821EVE!H130</f>
        <v>178979.24572041899</v>
      </c>
      <c r="I129" s="156">
        <f>$E$10*F821D!P130+$D$10*F821EVE!I130</f>
        <v>185886.18054439302</v>
      </c>
      <c r="J129" s="154">
        <f t="shared" si="27"/>
        <v>1151992.320181309</v>
      </c>
    </row>
    <row r="130" spans="1:10">
      <c r="A130" s="37"/>
      <c r="C130" s="157" t="s">
        <v>1020</v>
      </c>
      <c r="D130" s="156">
        <f>$E$10*F821D!K131+$D$10*F821EVE!D131</f>
        <v>14809.323220981996</v>
      </c>
      <c r="E130" s="156">
        <f>$E$10*F821D!L131+$D$10*F821EVE!E131</f>
        <v>13334.575705077999</v>
      </c>
      <c r="F130" s="156">
        <f>$E$10*F821D!M131+$D$10*F821EVE!F131</f>
        <v>15122.990191472998</v>
      </c>
      <c r="G130" s="156">
        <f>$E$10*F821D!N131+$D$10*F821EVE!G131</f>
        <v>13095.033018188</v>
      </c>
      <c r="H130" s="156">
        <f>$E$10*F821D!O131+$D$10*F821EVE!H131</f>
        <v>12534.776201750001</v>
      </c>
      <c r="I130" s="156">
        <f>$E$10*F821D!P131+$D$10*F821EVE!I131</f>
        <v>14080.615753811484</v>
      </c>
      <c r="J130" s="154">
        <f t="shared" si="27"/>
        <v>82977.314091282475</v>
      </c>
    </row>
    <row r="131" spans="1:10">
      <c r="A131" s="37"/>
      <c r="C131" s="157" t="s">
        <v>1021</v>
      </c>
      <c r="D131" s="156">
        <f>$E$10*F821D!K132+$D$10*F821EVE!D132</f>
        <v>13116.001774361999</v>
      </c>
      <c r="E131" s="156">
        <f>$E$10*F821D!L132+$D$10*F821EVE!E132</f>
        <v>13490.391621012999</v>
      </c>
      <c r="F131" s="156">
        <f>$E$10*F821D!M132+$D$10*F821EVE!F132</f>
        <v>13063.237660741002</v>
      </c>
      <c r="G131" s="156">
        <f>$E$10*F821D!N132+$D$10*F821EVE!G132</f>
        <v>13495.257578121002</v>
      </c>
      <c r="H131" s="156">
        <f>$E$10*F821D!O132+$D$10*F821EVE!H132</f>
        <v>12231.627205758999</v>
      </c>
      <c r="I131" s="156">
        <f>$E$10*F821D!P132+$D$10*F821EVE!I132</f>
        <v>13461.358162279294</v>
      </c>
      <c r="J131" s="154">
        <f>SUM(D131:I131)</f>
        <v>78857.874002275305</v>
      </c>
    </row>
    <row r="132" spans="1:10">
      <c r="A132" s="37"/>
      <c r="C132" s="157" t="s">
        <v>1163</v>
      </c>
      <c r="D132" s="156">
        <f>$E$10*F821D!K133+$D$10*F821EVE!D133</f>
        <v>79722.174530927005</v>
      </c>
      <c r="E132" s="156">
        <f>$E$10*F821D!L133+$D$10*F821EVE!E133</f>
        <v>78624.850077874944</v>
      </c>
      <c r="F132" s="156">
        <f>$E$10*F821D!M133+$D$10*F821EVE!F133</f>
        <v>88868.526901351986</v>
      </c>
      <c r="G132" s="156">
        <f>$E$10*F821D!N133+$D$10*F821EVE!G133</f>
        <v>93931.905806458992</v>
      </c>
      <c r="H132" s="156">
        <f>$E$10*F821D!O133+$D$10*F821EVE!H133</f>
        <v>90111.024427018972</v>
      </c>
      <c r="I132" s="156">
        <f>$E$10*F821D!P133+$D$10*F821EVE!I133</f>
        <v>96446.988616625342</v>
      </c>
      <c r="J132" s="154">
        <f>SUM(D132:I132)</f>
        <v>527705.4703602572</v>
      </c>
    </row>
    <row r="133" spans="1:10">
      <c r="A133" s="37"/>
      <c r="C133" s="157"/>
      <c r="D133" s="156"/>
      <c r="E133" s="156"/>
      <c r="F133" s="156"/>
      <c r="G133" s="156"/>
      <c r="H133" s="156"/>
      <c r="I133" s="156"/>
      <c r="J133" s="154"/>
    </row>
    <row r="134" spans="1:10">
      <c r="A134" s="37"/>
      <c r="C134" s="153" t="s">
        <v>308</v>
      </c>
      <c r="D134" s="154">
        <f t="shared" ref="D134:I134" si="31">SUM(D135:D136)</f>
        <v>92370.102767646036</v>
      </c>
      <c r="E134" s="154">
        <f t="shared" si="31"/>
        <v>90856.526916657007</v>
      </c>
      <c r="F134" s="154">
        <f t="shared" si="31"/>
        <v>92394.152240296011</v>
      </c>
      <c r="G134" s="154">
        <f t="shared" si="31"/>
        <v>96660.539081875017</v>
      </c>
      <c r="H134" s="154">
        <f t="shared" si="31"/>
        <v>90571.559959885984</v>
      </c>
      <c r="I134" s="154">
        <f t="shared" si="31"/>
        <v>100463.2696757896</v>
      </c>
      <c r="J134" s="154">
        <f t="shared" si="27"/>
        <v>563316.15064214973</v>
      </c>
    </row>
    <row r="135" spans="1:10">
      <c r="A135" s="37"/>
      <c r="B135" s="48" t="s">
        <v>874</v>
      </c>
      <c r="C135" s="157" t="s">
        <v>1027</v>
      </c>
      <c r="D135" s="156">
        <f>$E$11*F821D!K137+$D$11*F821EVE!D137</f>
        <v>2080.5563642069997</v>
      </c>
      <c r="E135" s="156">
        <f>$E$11*F821D!L137+$D$11*F821EVE!E137</f>
        <v>2033.1359473930002</v>
      </c>
      <c r="F135" s="156">
        <f>$E$11*F821D!M137+$D$11*F821EVE!F137</f>
        <v>1980.40602472</v>
      </c>
      <c r="G135" s="156">
        <f>$E$11*F821D!N137+$D$11*F821EVE!G137</f>
        <v>2036.2719133799999</v>
      </c>
      <c r="H135" s="156">
        <f>$E$11*F821D!O137+$D$11*F821EVE!H137</f>
        <v>2001.0731202730001</v>
      </c>
      <c r="I135" s="156">
        <f>$E$11*F821D!P137+$D$11*F821EVE!I137</f>
        <v>2052.2232115800016</v>
      </c>
      <c r="J135" s="154">
        <f t="shared" si="27"/>
        <v>12183.666581553001</v>
      </c>
    </row>
    <row r="136" spans="1:10">
      <c r="A136" s="37"/>
      <c r="B136" s="48" t="s">
        <v>875</v>
      </c>
      <c r="C136" s="153" t="s">
        <v>193</v>
      </c>
      <c r="D136" s="154">
        <f t="shared" ref="D136:I136" si="32">SUM(D137:D141)</f>
        <v>90289.546403439032</v>
      </c>
      <c r="E136" s="154">
        <f t="shared" si="32"/>
        <v>88823.390969264001</v>
      </c>
      <c r="F136" s="154">
        <f t="shared" si="32"/>
        <v>90413.746215576015</v>
      </c>
      <c r="G136" s="154">
        <f t="shared" si="32"/>
        <v>94624.267168495018</v>
      </c>
      <c r="H136" s="154">
        <f t="shared" si="32"/>
        <v>88570.48683961299</v>
      </c>
      <c r="I136" s="154">
        <f t="shared" si="32"/>
        <v>98411.046464209605</v>
      </c>
      <c r="J136" s="154">
        <f t="shared" si="27"/>
        <v>551132.48406059667</v>
      </c>
    </row>
    <row r="137" spans="1:10">
      <c r="A137" s="37"/>
      <c r="C137" s="157" t="s">
        <v>1022</v>
      </c>
      <c r="D137" s="156">
        <f>$E$12*F821D!K140+$D$12*F821EVE!D140</f>
        <v>898.09299587700013</v>
      </c>
      <c r="E137" s="156">
        <f>$E$12*F821D!L140+$D$12*F821EVE!E140</f>
        <v>879.38327276600012</v>
      </c>
      <c r="F137" s="156">
        <f>$E$12*F821D!M140+$D$12*F821EVE!F140</f>
        <v>891.22691892399985</v>
      </c>
      <c r="G137" s="156">
        <f>$E$12*F821D!N140+$D$12*F821EVE!G140</f>
        <v>932.35878860900016</v>
      </c>
      <c r="H137" s="156">
        <f>$E$12*F821D!O140+$D$12*F821EVE!H140</f>
        <v>863.03420530800008</v>
      </c>
      <c r="I137" s="156">
        <f>$E$12*F821D!P140+$D$12*F821EVE!I140</f>
        <v>910.41406269100003</v>
      </c>
      <c r="J137" s="154">
        <f t="shared" si="27"/>
        <v>5374.5102441750005</v>
      </c>
    </row>
    <row r="138" spans="1:10">
      <c r="A138" s="37"/>
      <c r="C138" s="157" t="s">
        <v>1023</v>
      </c>
      <c r="D138" s="156">
        <f>$E$12*F821D!K141+$D$12*F821EVE!D141</f>
        <v>59864.939326532032</v>
      </c>
      <c r="E138" s="156">
        <f>$E$12*F821D!L141+$D$12*F821EVE!E141</f>
        <v>58550.897612771012</v>
      </c>
      <c r="F138" s="156">
        <f>$E$12*F821D!M141+$D$12*F821EVE!F141</f>
        <v>57165.616646777999</v>
      </c>
      <c r="G138" s="156">
        <f>$E$12*F821D!N141+$D$12*F821EVE!G141</f>
        <v>58904.584006090001</v>
      </c>
      <c r="H138" s="156">
        <f>$E$12*F821D!O141+$D$12*F821EVE!H141</f>
        <v>54690.012910018995</v>
      </c>
      <c r="I138" s="156">
        <f>$E$12*F821D!P141+$D$12*F821EVE!I141</f>
        <v>58518.399488213341</v>
      </c>
      <c r="J138" s="154">
        <f t="shared" si="27"/>
        <v>347694.44999040337</v>
      </c>
    </row>
    <row r="139" spans="1:10">
      <c r="A139" s="37"/>
      <c r="C139" s="157" t="s">
        <v>1024</v>
      </c>
      <c r="D139" s="156">
        <f>$E$12*F821D!K142+$D$12*F821EVE!D142</f>
        <v>1234.5215508320002</v>
      </c>
      <c r="E139" s="156">
        <f>$E$12*F821D!L142+$D$12*F821EVE!E142</f>
        <v>1221.0962173490002</v>
      </c>
      <c r="F139" s="156">
        <f>$E$12*F821D!M142+$D$12*F821EVE!F142</f>
        <v>1188.2145189409998</v>
      </c>
      <c r="G139" s="156">
        <f>$E$12*F821D!N142+$D$12*F821EVE!G142</f>
        <v>1200.9990001730005</v>
      </c>
      <c r="H139" s="156">
        <f>$E$12*F821D!O142+$D$12*F821EVE!H142</f>
        <v>1074.4048777770001</v>
      </c>
      <c r="I139" s="156">
        <f>$E$12*F821D!P142+$D$12*F821EVE!I142</f>
        <v>1161.2077672002583</v>
      </c>
      <c r="J139" s="154">
        <f t="shared" si="27"/>
        <v>7080.4439322722592</v>
      </c>
    </row>
    <row r="140" spans="1:10">
      <c r="A140" s="37"/>
      <c r="C140" s="157" t="s">
        <v>1025</v>
      </c>
      <c r="D140" s="156">
        <f>$E$12*F821D!K143+$D$12*F821EVE!D143</f>
        <v>11996.983301373</v>
      </c>
      <c r="E140" s="156">
        <f>$E$12*F821D!L143+$D$12*F821EVE!E143</f>
        <v>11625.878697710003</v>
      </c>
      <c r="F140" s="156">
        <f>$E$12*F821D!M143+$D$12*F821EVE!F143</f>
        <v>11438.41147809</v>
      </c>
      <c r="G140" s="156">
        <f>$E$12*F821D!N143+$D$12*F821EVE!G143</f>
        <v>11852.706943184001</v>
      </c>
      <c r="H140" s="156">
        <f>$E$12*F821D!O143+$D$12*F821EVE!H143</f>
        <v>10697.002379787999</v>
      </c>
      <c r="I140" s="156">
        <f>$E$12*F821D!P143+$D$12*F821EVE!I143</f>
        <v>10769.40839470038</v>
      </c>
      <c r="J140" s="154">
        <f t="shared" si="27"/>
        <v>68380.391194845375</v>
      </c>
    </row>
    <row r="141" spans="1:10">
      <c r="A141" s="37"/>
      <c r="C141" s="157" t="s">
        <v>1162</v>
      </c>
      <c r="D141" s="156">
        <f>$E$12*F821D!K144+$D$12*F821EVE!D144</f>
        <v>16295.009228825002</v>
      </c>
      <c r="E141" s="156">
        <f>$E$12*F821D!L144+$D$12*F821EVE!E144</f>
        <v>16546.135168667999</v>
      </c>
      <c r="F141" s="156">
        <f>$E$12*F821D!M144+$D$12*F821EVE!F144</f>
        <v>19730.276652843</v>
      </c>
      <c r="G141" s="156">
        <f>$E$12*F821D!N144+$D$12*F821EVE!G144</f>
        <v>21733.618430439001</v>
      </c>
      <c r="H141" s="156">
        <f>$E$12*F821D!O144+$D$12*F821EVE!H144</f>
        <v>21246.032466720997</v>
      </c>
      <c r="I141" s="156">
        <f>$E$12*F821D!P144+$D$12*F821EVE!I144</f>
        <v>27051.616751404625</v>
      </c>
      <c r="J141" s="154">
        <f t="shared" si="27"/>
        <v>122602.68869890062</v>
      </c>
    </row>
    <row r="142" spans="1:10">
      <c r="A142" s="37"/>
      <c r="C142" s="157"/>
      <c r="D142" s="156"/>
      <c r="E142" s="156"/>
      <c r="F142" s="156"/>
      <c r="G142" s="156"/>
      <c r="H142" s="156"/>
      <c r="I142" s="156"/>
      <c r="J142" s="154">
        <f t="shared" si="27"/>
        <v>0</v>
      </c>
    </row>
    <row r="143" spans="1:10">
      <c r="A143" s="37"/>
      <c r="C143" s="153" t="s">
        <v>112</v>
      </c>
      <c r="D143" s="154">
        <f t="shared" ref="D143:I143" si="33">D114+D121+D134</f>
        <v>552345.91756824509</v>
      </c>
      <c r="E143" s="154">
        <f t="shared" si="33"/>
        <v>541337.35482294287</v>
      </c>
      <c r="F143" s="154">
        <f t="shared" si="33"/>
        <v>539797.53712633974</v>
      </c>
      <c r="G143" s="154">
        <f t="shared" si="33"/>
        <v>566925.39985983283</v>
      </c>
      <c r="H143" s="154">
        <f t="shared" si="33"/>
        <v>524302.88481518393</v>
      </c>
      <c r="I143" s="154">
        <f t="shared" si="33"/>
        <v>559832.60826252203</v>
      </c>
      <c r="J143" s="154">
        <f t="shared" si="27"/>
        <v>3284541.7024550666</v>
      </c>
    </row>
    <row r="144" spans="1:10">
      <c r="C144" s="164"/>
      <c r="D144" s="164"/>
      <c r="E144" s="164"/>
      <c r="F144" s="164"/>
      <c r="G144" s="164"/>
      <c r="H144" s="164"/>
      <c r="I144" s="164"/>
      <c r="J144" s="164"/>
    </row>
    <row r="145" spans="2:10">
      <c r="C145" s="179" t="s">
        <v>111</v>
      </c>
      <c r="D145" s="180">
        <f t="shared" ref="D145:J145" si="34">D110+D143</f>
        <v>2487441.1619437453</v>
      </c>
      <c r="E145" s="180">
        <f t="shared" si="34"/>
        <v>2480661.6425014432</v>
      </c>
      <c r="F145" s="180">
        <f t="shared" si="34"/>
        <v>2440377.9494298398</v>
      </c>
      <c r="G145" s="180">
        <f t="shared" si="34"/>
        <v>2494198.7346283328</v>
      </c>
      <c r="H145" s="180">
        <f t="shared" si="34"/>
        <v>2373987.8474216843</v>
      </c>
      <c r="I145" s="180">
        <f t="shared" si="34"/>
        <v>2414486.8893380221</v>
      </c>
      <c r="J145" s="180">
        <f t="shared" si="34"/>
        <v>14691154.225263068</v>
      </c>
    </row>
    <row r="146" spans="2:10">
      <c r="J146" s="180">
        <f>J145</f>
        <v>14691154.225263068</v>
      </c>
    </row>
    <row r="147" spans="2:10">
      <c r="C147" s="52" t="str">
        <f>'PORTADA PORTADA PORTADA'!$B$23</f>
        <v>1 DE JULIO DE 2026</v>
      </c>
    </row>
    <row r="149" spans="2:10">
      <c r="B149" s="1166" t="s">
        <v>902</v>
      </c>
      <c r="C149" s="58"/>
      <c r="D149" s="1167">
        <f t="shared" ref="D149:I158" si="35">SUMIF($B$18:$B$145,$B149,D$18:D$145)</f>
        <v>83669.367889999994</v>
      </c>
      <c r="E149" s="1167">
        <f t="shared" si="35"/>
        <v>82242.664707500007</v>
      </c>
      <c r="F149" s="1167">
        <f t="shared" si="35"/>
        <v>84724.361902499993</v>
      </c>
      <c r="G149" s="1167">
        <f t="shared" si="35"/>
        <v>83209.796044999996</v>
      </c>
      <c r="H149" s="1167">
        <f t="shared" si="35"/>
        <v>77623.802787499997</v>
      </c>
      <c r="I149" s="1167">
        <f t="shared" si="35"/>
        <v>84187.39993249999</v>
      </c>
      <c r="J149" s="1167">
        <f t="shared" ref="J149:J167" si="36">SUMIF($B$18:$B$145,$B149,J$18:J$146)</f>
        <v>495657.39326499996</v>
      </c>
    </row>
    <row r="150" spans="2:10">
      <c r="B150" s="1166" t="s">
        <v>751</v>
      </c>
      <c r="C150" s="58"/>
      <c r="D150" s="1167">
        <f t="shared" si="35"/>
        <v>225216.60035749999</v>
      </c>
      <c r="E150" s="1167">
        <f t="shared" si="35"/>
        <v>223892.48604399999</v>
      </c>
      <c r="F150" s="1167">
        <f t="shared" si="35"/>
        <v>227279.79397100001</v>
      </c>
      <c r="G150" s="1167">
        <f t="shared" si="35"/>
        <v>225922.38877700001</v>
      </c>
      <c r="H150" s="1167">
        <f t="shared" si="35"/>
        <v>231875.52078749999</v>
      </c>
      <c r="I150" s="1167">
        <f t="shared" si="35"/>
        <v>228649.0504565</v>
      </c>
      <c r="J150" s="1167">
        <f t="shared" si="36"/>
        <v>1362835.8403934999</v>
      </c>
    </row>
    <row r="151" spans="2:10">
      <c r="B151" s="1166" t="s">
        <v>750</v>
      </c>
      <c r="C151" s="58"/>
      <c r="D151" s="1167">
        <f t="shared" si="35"/>
        <v>255069.32480549999</v>
      </c>
      <c r="E151" s="1167">
        <f t="shared" si="35"/>
        <v>257963.4385205</v>
      </c>
      <c r="F151" s="1167">
        <f t="shared" si="35"/>
        <v>251058.32574999999</v>
      </c>
      <c r="G151" s="1167">
        <f t="shared" si="35"/>
        <v>250789.13130450001</v>
      </c>
      <c r="H151" s="1167">
        <f t="shared" si="35"/>
        <v>242002.11255049999</v>
      </c>
      <c r="I151" s="1167">
        <f t="shared" si="35"/>
        <v>236313.0841145</v>
      </c>
      <c r="J151" s="1167">
        <f t="shared" si="36"/>
        <v>1493195.4170455001</v>
      </c>
    </row>
    <row r="152" spans="2:10">
      <c r="B152" s="1166" t="s">
        <v>749</v>
      </c>
      <c r="C152" s="58"/>
      <c r="D152" s="1167">
        <f t="shared" si="35"/>
        <v>308212.3495975</v>
      </c>
      <c r="E152" s="1167">
        <f t="shared" si="35"/>
        <v>306692.90491650003</v>
      </c>
      <c r="F152" s="1167">
        <f t="shared" si="35"/>
        <v>299351.186055</v>
      </c>
      <c r="G152" s="1167">
        <f t="shared" si="35"/>
        <v>303533.73557700001</v>
      </c>
      <c r="H152" s="1167">
        <f t="shared" si="35"/>
        <v>279724.11734599998</v>
      </c>
      <c r="I152" s="1167">
        <f t="shared" si="35"/>
        <v>290360.63458999997</v>
      </c>
      <c r="J152" s="1167">
        <f t="shared" si="36"/>
        <v>1787874.928082</v>
      </c>
    </row>
    <row r="153" spans="2:10">
      <c r="B153" s="1166" t="s">
        <v>1176</v>
      </c>
      <c r="C153" s="58"/>
      <c r="D153" s="1167">
        <f t="shared" si="35"/>
        <v>0</v>
      </c>
      <c r="E153" s="1167">
        <f t="shared" si="35"/>
        <v>0</v>
      </c>
      <c r="F153" s="1167">
        <f t="shared" si="35"/>
        <v>0</v>
      </c>
      <c r="G153" s="1167">
        <f t="shared" si="35"/>
        <v>0</v>
      </c>
      <c r="H153" s="1167">
        <f t="shared" si="35"/>
        <v>0</v>
      </c>
      <c r="I153" s="1167">
        <f t="shared" si="35"/>
        <v>0</v>
      </c>
      <c r="J153" s="1167">
        <f t="shared" si="36"/>
        <v>0</v>
      </c>
    </row>
    <row r="154" spans="2:10">
      <c r="B154" s="1166" t="s">
        <v>274</v>
      </c>
      <c r="C154" s="58"/>
      <c r="D154" s="1167">
        <f t="shared" si="35"/>
        <v>708305.17088000011</v>
      </c>
      <c r="E154" s="1167">
        <f t="shared" si="35"/>
        <v>709291.30199000007</v>
      </c>
      <c r="F154" s="1167">
        <f t="shared" si="35"/>
        <v>687518.94510999997</v>
      </c>
      <c r="G154" s="1167">
        <f t="shared" si="35"/>
        <v>708003.01117000007</v>
      </c>
      <c r="H154" s="1167">
        <f t="shared" si="35"/>
        <v>676065.29239000008</v>
      </c>
      <c r="I154" s="1167">
        <f t="shared" si="35"/>
        <v>672381.03965699999</v>
      </c>
      <c r="J154" s="1167">
        <f t="shared" si="36"/>
        <v>4161564.7611970003</v>
      </c>
    </row>
    <row r="155" spans="2:10">
      <c r="B155" s="1166" t="s">
        <v>275</v>
      </c>
      <c r="C155" s="58"/>
      <c r="D155" s="1167">
        <f t="shared" si="35"/>
        <v>19965.484499999999</v>
      </c>
      <c r="E155" s="1167">
        <f t="shared" si="35"/>
        <v>19877.411350000002</v>
      </c>
      <c r="F155" s="1167">
        <f t="shared" si="35"/>
        <v>19691.523759999996</v>
      </c>
      <c r="G155" s="1167">
        <f t="shared" si="35"/>
        <v>20116.865170000001</v>
      </c>
      <c r="H155" s="1167">
        <f t="shared" si="35"/>
        <v>20112.606820000001</v>
      </c>
      <c r="I155" s="1167">
        <f t="shared" si="35"/>
        <v>20971.128680000005</v>
      </c>
      <c r="J155" s="1167">
        <f t="shared" si="36"/>
        <v>120735.02028000001</v>
      </c>
    </row>
    <row r="156" spans="2:10">
      <c r="B156" s="1166" t="s">
        <v>276</v>
      </c>
      <c r="C156" s="58"/>
      <c r="D156" s="1167">
        <f t="shared" si="35"/>
        <v>202919.70733999996</v>
      </c>
      <c r="E156" s="1167">
        <f t="shared" si="35"/>
        <v>207321.53351499999</v>
      </c>
      <c r="F156" s="1167">
        <f t="shared" si="35"/>
        <v>200970.61666500001</v>
      </c>
      <c r="G156" s="1167">
        <f t="shared" si="35"/>
        <v>210860.83406999998</v>
      </c>
      <c r="H156" s="1167">
        <f t="shared" si="35"/>
        <v>192612.96438000002</v>
      </c>
      <c r="I156" s="1167">
        <f t="shared" si="35"/>
        <v>198171.31443499998</v>
      </c>
      <c r="J156" s="1167">
        <f t="shared" si="36"/>
        <v>1212856.970405</v>
      </c>
    </row>
    <row r="157" spans="2:10">
      <c r="B157" s="1166" t="s">
        <v>277</v>
      </c>
      <c r="C157" s="58"/>
      <c r="D157" s="1167">
        <f t="shared" si="35"/>
        <v>29549.017294999998</v>
      </c>
      <c r="E157" s="1167">
        <f t="shared" si="35"/>
        <v>30143.505924999998</v>
      </c>
      <c r="F157" s="1167">
        <f t="shared" si="35"/>
        <v>30351.571889999999</v>
      </c>
      <c r="G157" s="1167">
        <f t="shared" si="35"/>
        <v>22035.518574999998</v>
      </c>
      <c r="H157" s="1167">
        <f t="shared" si="35"/>
        <v>30919.657785000003</v>
      </c>
      <c r="I157" s="1167">
        <f t="shared" si="35"/>
        <v>21855.292719999998</v>
      </c>
      <c r="J157" s="1167">
        <f t="shared" si="36"/>
        <v>164854.56418999998</v>
      </c>
    </row>
    <row r="158" spans="2:10">
      <c r="B158" s="1166" t="s">
        <v>278</v>
      </c>
      <c r="C158" s="58"/>
      <c r="D158" s="1167">
        <f t="shared" si="35"/>
        <v>0</v>
      </c>
      <c r="E158" s="1167">
        <f t="shared" si="35"/>
        <v>0</v>
      </c>
      <c r="F158" s="1167">
        <f t="shared" si="35"/>
        <v>0</v>
      </c>
      <c r="G158" s="1167">
        <f t="shared" si="35"/>
        <v>0</v>
      </c>
      <c r="H158" s="1167">
        <f t="shared" si="35"/>
        <v>0</v>
      </c>
      <c r="I158" s="1167">
        <f t="shared" si="35"/>
        <v>0</v>
      </c>
      <c r="J158" s="1167">
        <f t="shared" si="36"/>
        <v>0</v>
      </c>
    </row>
    <row r="159" spans="2:10">
      <c r="B159" s="1166" t="s">
        <v>279</v>
      </c>
      <c r="C159" s="58"/>
      <c r="D159" s="1167">
        <f t="shared" ref="D159:I167" si="37">SUMIF($B$18:$B$145,$B159,D$18:D$145)</f>
        <v>102188.22171000001</v>
      </c>
      <c r="E159" s="1167">
        <f t="shared" si="37"/>
        <v>101899.04071000002</v>
      </c>
      <c r="F159" s="1167">
        <f t="shared" si="37"/>
        <v>99634.087200000009</v>
      </c>
      <c r="G159" s="1167">
        <f t="shared" si="37"/>
        <v>102802.05408000002</v>
      </c>
      <c r="H159" s="1167">
        <f t="shared" si="37"/>
        <v>98748.887760000012</v>
      </c>
      <c r="I159" s="1167">
        <f t="shared" si="37"/>
        <v>101765.33649</v>
      </c>
      <c r="J159" s="1167">
        <f t="shared" si="36"/>
        <v>607037.62795000011</v>
      </c>
    </row>
    <row r="160" spans="2:10">
      <c r="B160" s="1166" t="s">
        <v>875</v>
      </c>
      <c r="C160" s="58"/>
      <c r="D160" s="1167">
        <f t="shared" si="37"/>
        <v>90289.546403439032</v>
      </c>
      <c r="E160" s="1167">
        <f t="shared" si="37"/>
        <v>88823.390969264001</v>
      </c>
      <c r="F160" s="1167">
        <f t="shared" si="37"/>
        <v>90413.746215576015</v>
      </c>
      <c r="G160" s="1167">
        <f t="shared" si="37"/>
        <v>94624.267168495018</v>
      </c>
      <c r="H160" s="1167">
        <f t="shared" si="37"/>
        <v>88570.48683961299</v>
      </c>
      <c r="I160" s="1167">
        <f t="shared" si="37"/>
        <v>98411.046464209605</v>
      </c>
      <c r="J160" s="1167">
        <f t="shared" si="36"/>
        <v>551132.48406059667</v>
      </c>
    </row>
    <row r="161" spans="2:10">
      <c r="B161" s="1166" t="s">
        <v>874</v>
      </c>
      <c r="C161" s="58"/>
      <c r="D161" s="1167">
        <f t="shared" si="37"/>
        <v>2080.5563642069997</v>
      </c>
      <c r="E161" s="1167">
        <f t="shared" si="37"/>
        <v>2033.1359473930002</v>
      </c>
      <c r="F161" s="1167">
        <f t="shared" si="37"/>
        <v>1980.40602472</v>
      </c>
      <c r="G161" s="1167">
        <f t="shared" si="37"/>
        <v>2036.2719133799999</v>
      </c>
      <c r="H161" s="1167">
        <f t="shared" si="37"/>
        <v>2001.0731202730001</v>
      </c>
      <c r="I161" s="1167">
        <f t="shared" si="37"/>
        <v>2052.2232115800016</v>
      </c>
      <c r="J161" s="1167">
        <f t="shared" si="36"/>
        <v>12183.666581553001</v>
      </c>
    </row>
    <row r="162" spans="2:10">
      <c r="B162" s="1166" t="s">
        <v>873</v>
      </c>
      <c r="C162" s="58"/>
      <c r="D162" s="1167">
        <f t="shared" si="37"/>
        <v>313049.10500494868</v>
      </c>
      <c r="E162" s="1167">
        <f t="shared" si="37"/>
        <v>308789.51378912979</v>
      </c>
      <c r="F162" s="1167">
        <f t="shared" si="37"/>
        <v>303290.36677794834</v>
      </c>
      <c r="G162" s="1167">
        <f t="shared" si="37"/>
        <v>312672.17643104104</v>
      </c>
      <c r="H162" s="1167">
        <f t="shared" si="37"/>
        <v>293856.67355494696</v>
      </c>
      <c r="I162" s="1167">
        <f t="shared" si="37"/>
        <v>309875.14307710913</v>
      </c>
      <c r="J162" s="1167">
        <f t="shared" si="36"/>
        <v>1841532.9786351239</v>
      </c>
    </row>
    <row r="163" spans="2:10">
      <c r="B163" s="1166" t="s">
        <v>872</v>
      </c>
      <c r="C163" s="58"/>
      <c r="D163" s="1167">
        <f t="shared" si="37"/>
        <v>65633.539653634973</v>
      </c>
      <c r="E163" s="1167">
        <f t="shared" si="37"/>
        <v>65536.372545470003</v>
      </c>
      <c r="F163" s="1167">
        <f t="shared" si="37"/>
        <v>64771.786024384994</v>
      </c>
      <c r="G163" s="1167">
        <f t="shared" si="37"/>
        <v>68301.875685255</v>
      </c>
      <c r="H163" s="1167">
        <f t="shared" si="37"/>
        <v>64600.280888470006</v>
      </c>
      <c r="I163" s="1167">
        <f t="shared" si="37"/>
        <v>64731.142849269308</v>
      </c>
      <c r="J163" s="1167">
        <f t="shared" si="36"/>
        <v>393574.99764648429</v>
      </c>
    </row>
    <row r="164" spans="2:10">
      <c r="B164" s="1166" t="s">
        <v>871</v>
      </c>
      <c r="C164" s="58"/>
      <c r="D164" s="1167">
        <f t="shared" si="37"/>
        <v>26004.510214194321</v>
      </c>
      <c r="E164" s="1167">
        <f t="shared" si="37"/>
        <v>25316.351858800001</v>
      </c>
      <c r="F164" s="1167">
        <f t="shared" si="37"/>
        <v>26682.831942623437</v>
      </c>
      <c r="G164" s="1167">
        <f t="shared" si="37"/>
        <v>31910.068378058801</v>
      </c>
      <c r="H164" s="1167">
        <f t="shared" si="37"/>
        <v>30403.966823429917</v>
      </c>
      <c r="I164" s="1167">
        <f t="shared" si="37"/>
        <v>32481.176850267009</v>
      </c>
      <c r="J164" s="1167">
        <f t="shared" si="36"/>
        <v>172798.90606737349</v>
      </c>
    </row>
    <row r="165" spans="2:10">
      <c r="B165" s="1166" t="s">
        <v>870</v>
      </c>
      <c r="C165" s="58"/>
      <c r="D165" s="1167">
        <f t="shared" si="37"/>
        <v>55288.659927821005</v>
      </c>
      <c r="E165" s="1167">
        <f t="shared" si="37"/>
        <v>50838.589712885994</v>
      </c>
      <c r="F165" s="1167">
        <f t="shared" si="37"/>
        <v>52658.400141086997</v>
      </c>
      <c r="G165" s="1167">
        <f t="shared" si="37"/>
        <v>57380.740283602994</v>
      </c>
      <c r="H165" s="1167">
        <f t="shared" si="37"/>
        <v>44870.403588451001</v>
      </c>
      <c r="I165" s="1167">
        <f t="shared" si="37"/>
        <v>52281.875810086996</v>
      </c>
      <c r="J165" s="1167">
        <f t="shared" si="36"/>
        <v>313318.66946393502</v>
      </c>
    </row>
    <row r="166" spans="2:10">
      <c r="B166" s="1166" t="s">
        <v>893</v>
      </c>
      <c r="C166" s="58"/>
      <c r="D166" s="1167">
        <f t="shared" si="37"/>
        <v>0</v>
      </c>
      <c r="E166" s="1167">
        <f t="shared" si="37"/>
        <v>0</v>
      </c>
      <c r="F166" s="1167">
        <f t="shared" si="37"/>
        <v>0</v>
      </c>
      <c r="G166" s="1167">
        <f t="shared" si="37"/>
        <v>0</v>
      </c>
      <c r="H166" s="1167">
        <f t="shared" si="37"/>
        <v>0</v>
      </c>
      <c r="I166" s="1167">
        <f t="shared" si="37"/>
        <v>0</v>
      </c>
      <c r="J166" s="1167">
        <f t="shared" si="36"/>
        <v>0</v>
      </c>
    </row>
    <row r="167" spans="2:10">
      <c r="B167" s="1166"/>
      <c r="C167" s="58"/>
      <c r="D167" s="1167">
        <f t="shared" si="37"/>
        <v>0</v>
      </c>
      <c r="E167" s="1167">
        <f t="shared" si="37"/>
        <v>0</v>
      </c>
      <c r="F167" s="1167">
        <f t="shared" si="37"/>
        <v>0</v>
      </c>
      <c r="G167" s="1167">
        <f t="shared" si="37"/>
        <v>0</v>
      </c>
      <c r="H167" s="1167">
        <f t="shared" si="37"/>
        <v>0</v>
      </c>
      <c r="I167" s="1167">
        <f t="shared" si="37"/>
        <v>0</v>
      </c>
      <c r="J167" s="1167">
        <f t="shared" si="36"/>
        <v>0</v>
      </c>
    </row>
    <row r="168" spans="2:10">
      <c r="B168" s="1166" t="s">
        <v>111</v>
      </c>
      <c r="C168" s="1168"/>
      <c r="D168" s="1169">
        <f>SUM(D149:D167)</f>
        <v>2487441.1619437449</v>
      </c>
      <c r="E168" s="1169">
        <f t="shared" ref="E168:J168" si="38">SUM(E149:E167)</f>
        <v>2480661.6425014432</v>
      </c>
      <c r="F168" s="1169">
        <f t="shared" si="38"/>
        <v>2440377.9494298403</v>
      </c>
      <c r="G168" s="1169">
        <f t="shared" si="38"/>
        <v>2494198.7346283328</v>
      </c>
      <c r="H168" s="1169">
        <f t="shared" si="38"/>
        <v>2373987.8474216838</v>
      </c>
      <c r="I168" s="1169">
        <f t="shared" si="38"/>
        <v>2414486.8893380226</v>
      </c>
      <c r="J168" s="1169">
        <f t="shared" si="38"/>
        <v>14691154.225263067</v>
      </c>
    </row>
    <row r="169" spans="2:10">
      <c r="B169" s="1166"/>
      <c r="C169" s="58"/>
      <c r="D169" s="166">
        <f>D168-D145</f>
        <v>0</v>
      </c>
      <c r="E169" s="166">
        <f t="shared" ref="E169:I169" si="39">E168-E145</f>
        <v>0</v>
      </c>
      <c r="F169" s="166">
        <f t="shared" si="39"/>
        <v>0</v>
      </c>
      <c r="G169" s="166">
        <f t="shared" si="39"/>
        <v>0</v>
      </c>
      <c r="H169" s="166">
        <f t="shared" si="39"/>
        <v>0</v>
      </c>
      <c r="I169" s="166">
        <f t="shared" si="39"/>
        <v>0</v>
      </c>
      <c r="J169" s="166">
        <f>J168-J146</f>
        <v>0</v>
      </c>
    </row>
  </sheetData>
  <printOptions horizontalCentered="1" verticalCentered="1"/>
  <pageMargins left="0.51181102362204722" right="0.31496062992125984" top="0.78740157480314965" bottom="0.82677165354330717" header="0.31496062992125984" footer="0.23622047244094491"/>
  <pageSetup scale="30" orientation="portrait" horizontalDpi="300" r:id="rId1"/>
  <headerFooter alignWithMargins="0">
    <oddHeader>&amp;L
NOMBRE DE LA DISTRIBUIDORA: ENSA&amp;R&amp;9&amp;A</oddHeader>
  </headerFooter>
  <rowBreaks count="1" manualBreakCount="1">
    <brk id="147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15553-DB24-4D55-96B6-64507111BECE}">
  <sheetPr codeName="Hoja37">
    <tabColor theme="5" tint="0.79998168889431442"/>
  </sheetPr>
  <dimension ref="A1:K169"/>
  <sheetViews>
    <sheetView view="pageBreakPreview" zoomScale="85" zoomScaleNormal="85" zoomScaleSheetLayoutView="85" workbookViewId="0">
      <selection activeCell="D89" sqref="D89:I108"/>
    </sheetView>
  </sheetViews>
  <sheetFormatPr baseColWidth="10" defaultColWidth="8" defaultRowHeight="15"/>
  <cols>
    <col min="1" max="1" width="3.375" style="63" customWidth="1"/>
    <col min="2" max="2" width="5.625" style="48" bestFit="1" customWidth="1"/>
    <col min="3" max="3" width="30.375" style="63" customWidth="1"/>
    <col min="4" max="4" width="11" style="63" customWidth="1"/>
    <col min="5" max="5" width="11.75" style="63" customWidth="1"/>
    <col min="6" max="9" width="10.625" style="63" customWidth="1"/>
    <col min="10" max="10" width="11.625" style="63" customWidth="1"/>
    <col min="11" max="11" width="2.875" style="63" customWidth="1"/>
    <col min="12" max="16384" width="8" style="63"/>
  </cols>
  <sheetData>
    <row r="1" spans="2:10" s="69" customFormat="1" ht="15.75">
      <c r="B1" s="48"/>
      <c r="C1" s="136" t="s">
        <v>151</v>
      </c>
    </row>
    <row r="2" spans="2:10" s="69" customFormat="1" ht="15.75">
      <c r="B2" s="48"/>
      <c r="D2" s="137" t="s">
        <v>113</v>
      </c>
      <c r="I2" s="218"/>
    </row>
    <row r="3" spans="2:10" s="69" customFormat="1" ht="15.75">
      <c r="B3" s="48"/>
      <c r="D3" s="137"/>
    </row>
    <row r="4" spans="2:10" ht="15.75">
      <c r="C4" s="219" t="s">
        <v>1533</v>
      </c>
      <c r="D4" s="219"/>
      <c r="E4" s="219"/>
      <c r="F4" s="219"/>
      <c r="G4" s="219"/>
      <c r="H4" s="219"/>
      <c r="I4" s="219"/>
      <c r="J4" s="219"/>
    </row>
    <row r="5" spans="2:10">
      <c r="C5" s="139"/>
    </row>
    <row r="6" spans="2:10" s="143" customFormat="1" ht="30">
      <c r="B6" s="48"/>
      <c r="C6" s="220" t="s">
        <v>675</v>
      </c>
      <c r="D6" s="220" t="s">
        <v>259</v>
      </c>
      <c r="E6" s="220" t="s">
        <v>260</v>
      </c>
      <c r="F6" s="221"/>
      <c r="G6" s="69"/>
    </row>
    <row r="7" spans="2:10" s="143" customFormat="1" ht="13.5">
      <c r="B7" s="48"/>
      <c r="C7" s="222" t="s">
        <v>266</v>
      </c>
      <c r="D7" s="223">
        <f>RAT1000PT!$F$56</f>
        <v>7.2000000000000005E-4</v>
      </c>
      <c r="E7" s="224">
        <f>RAT1000PT!$F$63</f>
        <v>0.14000000000000001</v>
      </c>
    </row>
    <row r="8" spans="2:10" s="143" customFormat="1" ht="13.5">
      <c r="B8" s="48"/>
      <c r="C8" s="225" t="s">
        <v>265</v>
      </c>
      <c r="D8" s="223">
        <f>RAT1000PT!$F$55</f>
        <v>7.2000000000000005E-4</v>
      </c>
      <c r="E8" s="224">
        <f>RAT1000PT!$F$62</f>
        <v>0.14000000000000001</v>
      </c>
    </row>
    <row r="9" spans="2:10" s="143" customFormat="1" ht="13.5">
      <c r="B9" s="48"/>
      <c r="C9" s="225" t="s">
        <v>264</v>
      </c>
      <c r="D9" s="223">
        <f>RAT1000PT!$F$54</f>
        <v>8.4000000000000003E-4</v>
      </c>
      <c r="E9" s="224">
        <f>RAT1000PT!$F$61</f>
        <v>0.13</v>
      </c>
    </row>
    <row r="10" spans="2:10" s="143" customFormat="1" ht="13.5">
      <c r="B10" s="48"/>
      <c r="C10" s="225" t="s">
        <v>262</v>
      </c>
      <c r="D10" s="223">
        <f>RAT1000PT!$F$53</f>
        <v>1E-3</v>
      </c>
      <c r="E10" s="224">
        <f>RAT1000PT!$F$60</f>
        <v>0.12</v>
      </c>
    </row>
    <row r="11" spans="2:10" s="143" customFormat="1" ht="13.5">
      <c r="B11" s="48"/>
      <c r="C11" s="225" t="s">
        <v>263</v>
      </c>
      <c r="D11" s="223">
        <f>RAT1000PT!$F$52</f>
        <v>1.01E-3</v>
      </c>
      <c r="E11" s="224">
        <f>RAT1000PT!$F$59</f>
        <v>0.13</v>
      </c>
    </row>
    <row r="12" spans="2:10" s="143" customFormat="1" ht="13.5">
      <c r="B12" s="48"/>
      <c r="C12" s="225" t="s">
        <v>261</v>
      </c>
      <c r="D12" s="223">
        <f>RAT1000PT!$F$51</f>
        <v>1.6199999999999999E-3</v>
      </c>
      <c r="E12" s="224">
        <f>RAT1000PT!$F$58</f>
        <v>0.12</v>
      </c>
    </row>
    <row r="13" spans="2:10" s="143" customFormat="1" ht="13.5">
      <c r="B13" s="48"/>
      <c r="C13" s="225" t="s">
        <v>1768</v>
      </c>
      <c r="D13" s="223">
        <f>RAT1000PT!$F$48</f>
        <v>1.01E-3</v>
      </c>
      <c r="E13" s="224"/>
    </row>
    <row r="14" spans="2:10" s="143" customFormat="1" ht="13.5">
      <c r="B14" s="48"/>
      <c r="C14" s="225" t="s">
        <v>2071</v>
      </c>
      <c r="D14" s="223">
        <f>RAT1000PT!$F$49</f>
        <v>1.01E-3</v>
      </c>
      <c r="E14" s="223"/>
    </row>
    <row r="15" spans="2:10" s="143" customFormat="1" ht="13.5">
      <c r="B15" s="48"/>
      <c r="C15" s="225" t="s">
        <v>1178</v>
      </c>
      <c r="D15" s="223">
        <f>RAT1000PT!$F$50</f>
        <v>1.01E-3</v>
      </c>
      <c r="E15" s="223"/>
    </row>
    <row r="16" spans="2:10" s="143" customFormat="1" ht="15.75">
      <c r="B16" s="48"/>
      <c r="D16" s="226"/>
      <c r="E16" s="226"/>
      <c r="F16" s="69"/>
      <c r="G16" s="69"/>
    </row>
    <row r="17" spans="2:11" s="143" customFormat="1" ht="31.5">
      <c r="B17" s="48"/>
      <c r="C17" s="138" t="s">
        <v>676</v>
      </c>
      <c r="D17" s="138"/>
      <c r="E17" s="138"/>
      <c r="F17" s="138"/>
      <c r="G17" s="138"/>
      <c r="H17" s="138"/>
      <c r="I17" s="138"/>
      <c r="J17" s="138"/>
    </row>
    <row r="18" spans="2:11" s="37" customFormat="1" ht="15.75">
      <c r="B18" s="48"/>
      <c r="C18" s="150" t="s">
        <v>310</v>
      </c>
      <c r="D18" s="151">
        <f>F821EO!D4</f>
        <v>45839</v>
      </c>
      <c r="E18" s="151">
        <f>F821EO!E4</f>
        <v>45870</v>
      </c>
      <c r="F18" s="151">
        <f>F821EO!F4</f>
        <v>45901</v>
      </c>
      <c r="G18" s="151">
        <f>F821EO!G4</f>
        <v>45931</v>
      </c>
      <c r="H18" s="151">
        <f>F821EO!H4</f>
        <v>45962</v>
      </c>
      <c r="I18" s="151">
        <f>F821EO!I4</f>
        <v>45992</v>
      </c>
      <c r="J18" s="151" t="str">
        <f>F821EO!J4</f>
        <v>TOTAL</v>
      </c>
      <c r="K18" s="69"/>
    </row>
    <row r="19" spans="2:11" s="37" customFormat="1" ht="15.75">
      <c r="B19" s="48"/>
      <c r="C19" s="153" t="s">
        <v>446</v>
      </c>
      <c r="D19" s="154">
        <f>SUBTOTAL(9,D20:D21)</f>
        <v>18124.74249603831</v>
      </c>
      <c r="E19" s="154">
        <f t="shared" ref="E19:I19" si="0">SUBTOTAL(9,E20:E21)</f>
        <v>18198.687956086404</v>
      </c>
      <c r="F19" s="154">
        <f t="shared" si="0"/>
        <v>18122.608827058019</v>
      </c>
      <c r="G19" s="154">
        <f t="shared" si="0"/>
        <v>17866.070754773598</v>
      </c>
      <c r="H19" s="154">
        <f t="shared" si="0"/>
        <v>16795.14331817186</v>
      </c>
      <c r="I19" s="154">
        <f t="shared" si="0"/>
        <v>17789.616145766533</v>
      </c>
      <c r="J19" s="154">
        <f>SUM(D19:I19)</f>
        <v>106896.86949789472</v>
      </c>
      <c r="K19" s="69"/>
    </row>
    <row r="20" spans="2:11" s="37" customFormat="1" ht="15.75">
      <c r="B20" s="48" t="s">
        <v>279</v>
      </c>
      <c r="C20" s="155" t="s">
        <v>1318</v>
      </c>
      <c r="D20" s="156">
        <f>$E$7*F821DO!K6+$D$7*F821EO!D6</f>
        <v>18124.24249603831</v>
      </c>
      <c r="E20" s="156">
        <f>$E$7*F821DO!L6+$D$7*F821EO!E6</f>
        <v>18198.187956086404</v>
      </c>
      <c r="F20" s="156">
        <f>$E$7*F821DO!M6+$D$7*F821EO!F6</f>
        <v>18122.108827058019</v>
      </c>
      <c r="G20" s="156">
        <f>$E$7*F821DO!N6+$D$7*F821EO!G6</f>
        <v>17865.570754773598</v>
      </c>
      <c r="H20" s="156">
        <f>$E$7*F821DO!O6+$D$7*F821EO!H6</f>
        <v>16794.64331817186</v>
      </c>
      <c r="I20" s="156">
        <f>$E$7*F821DO!P6+$D$7*F821EO!I6</f>
        <v>17789.116145766533</v>
      </c>
      <c r="J20" s="156">
        <f>SUM(D20:I20)</f>
        <v>106893.86949789472</v>
      </c>
      <c r="K20" s="69"/>
    </row>
    <row r="21" spans="2:11" s="37" customFormat="1" ht="15.75">
      <c r="B21" s="48" t="s">
        <v>278</v>
      </c>
      <c r="C21" s="155" t="s">
        <v>278</v>
      </c>
      <c r="D21" s="156">
        <f>$E$8*F821DO!K7+$D$8*F821EO!D7</f>
        <v>0.5</v>
      </c>
      <c r="E21" s="156">
        <f>$E$8*F821DO!L7+$D$8*F821EO!E7</f>
        <v>0.5</v>
      </c>
      <c r="F21" s="156">
        <f>$E$8*F821DO!M7+$D$8*F821EO!F7</f>
        <v>0.5</v>
      </c>
      <c r="G21" s="156">
        <f>$E$8*F821DO!N7+$D$8*F821EO!G7</f>
        <v>0.5</v>
      </c>
      <c r="H21" s="156">
        <f>$E$8*F821DO!O7+$D$8*F821EO!H7</f>
        <v>0.5</v>
      </c>
      <c r="I21" s="156">
        <f>$E$8*F821DO!P7+$D$8*F821EO!I7</f>
        <v>0.5</v>
      </c>
      <c r="J21" s="156">
        <f>SUM(D21:I21)</f>
        <v>3</v>
      </c>
      <c r="K21" s="69"/>
    </row>
    <row r="22" spans="2:11" s="37" customFormat="1" ht="15.75">
      <c r="B22" s="48"/>
      <c r="C22" s="157"/>
      <c r="D22" s="156"/>
      <c r="E22" s="156"/>
      <c r="F22" s="156"/>
      <c r="G22" s="156"/>
      <c r="H22" s="156"/>
      <c r="I22" s="156"/>
      <c r="J22" s="156"/>
      <c r="K22" s="69"/>
    </row>
    <row r="23" spans="2:11" s="37" customFormat="1" ht="15.75">
      <c r="B23" s="48"/>
      <c r="C23" s="153" t="s">
        <v>630</v>
      </c>
      <c r="D23" s="154">
        <f>SUBTOTAL(9,D24:D31)</f>
        <v>42579.626694183149</v>
      </c>
      <c r="E23" s="154">
        <f t="shared" ref="E23:I23" si="1">SUBTOTAL(9,E24:E31)</f>
        <v>42753.343747544779</v>
      </c>
      <c r="F23" s="154">
        <f t="shared" si="1"/>
        <v>42654.685215567573</v>
      </c>
      <c r="G23" s="154">
        <f t="shared" si="1"/>
        <v>41971.939722579969</v>
      </c>
      <c r="H23" s="154">
        <f t="shared" si="1"/>
        <v>39530.260068696334</v>
      </c>
      <c r="I23" s="154">
        <f t="shared" si="1"/>
        <v>41792.32802790682</v>
      </c>
      <c r="J23" s="154">
        <f t="shared" ref="J23:J31" si="2">SUM(D23:I23)</f>
        <v>251282.18347647865</v>
      </c>
      <c r="K23" s="69"/>
    </row>
    <row r="24" spans="2:11" s="37" customFormat="1" ht="15.75">
      <c r="B24" s="48" t="s">
        <v>277</v>
      </c>
      <c r="C24" s="155" t="s">
        <v>277</v>
      </c>
      <c r="D24" s="154">
        <f>SUBTOTAL(9,D25:D26)</f>
        <v>5439.1267357717461</v>
      </c>
      <c r="E24" s="154">
        <f t="shared" ref="E24:I24" si="3">SUBTOTAL(9,E25:E26)</f>
        <v>5461.3173734723778</v>
      </c>
      <c r="F24" s="154">
        <f t="shared" si="3"/>
        <v>5456.7326660096851</v>
      </c>
      <c r="G24" s="154">
        <f t="shared" si="3"/>
        <v>5361.5007274939762</v>
      </c>
      <c r="H24" s="154">
        <f t="shared" si="3"/>
        <v>5057.0309058098001</v>
      </c>
      <c r="I24" s="154">
        <f t="shared" si="3"/>
        <v>5338.5571075893085</v>
      </c>
      <c r="J24" s="154">
        <f t="shared" si="2"/>
        <v>32114.265516146894</v>
      </c>
      <c r="K24" s="69"/>
    </row>
    <row r="25" spans="2:11" s="37" customFormat="1" ht="15.75">
      <c r="B25" s="48"/>
      <c r="C25" s="160" t="s">
        <v>304</v>
      </c>
      <c r="D25" s="156">
        <f>($E$9*F821DO!K11+$D$9*F821EO!D11)</f>
        <v>4681.5311928768297</v>
      </c>
      <c r="E25" s="156">
        <f>($E$9*F821DO!L11+$D$9*F821EO!E11)</f>
        <v>4700.6309799625224</v>
      </c>
      <c r="F25" s="156">
        <f>($E$9*F821DO!M11+$D$9*F821EO!F11)</f>
        <v>4698.0982404922252</v>
      </c>
      <c r="G25" s="156">
        <f>($E$9*F821DO!N11+$D$9*F821EO!G11)</f>
        <v>4614.7174198605026</v>
      </c>
      <c r="H25" s="156">
        <f>($E$9*F821DO!O11+$D$9*F821EO!H11)</f>
        <v>4353.9659087007312</v>
      </c>
      <c r="I25" s="156">
        <f>($E$9*F821DO!P11+$D$9*F821EO!I11)</f>
        <v>4594.9695306350504</v>
      </c>
      <c r="J25" s="156">
        <f t="shared" si="2"/>
        <v>27643.913272527861</v>
      </c>
      <c r="K25" s="69"/>
    </row>
    <row r="26" spans="2:11" s="37" customFormat="1" ht="15.75">
      <c r="B26" s="48"/>
      <c r="C26" s="160" t="s">
        <v>305</v>
      </c>
      <c r="D26" s="156">
        <f>($E$9*F821DO!K12+$D$9*F821EO!D12)*0.95</f>
        <v>757.59554289491598</v>
      </c>
      <c r="E26" s="156">
        <f>($E$9*F821DO!L12+$D$9*F821EO!E12)*0.95</f>
        <v>760.68639350985552</v>
      </c>
      <c r="F26" s="156">
        <f>($E$9*F821DO!M12+$D$9*F821EO!F12)*0.95</f>
        <v>758.63442551746004</v>
      </c>
      <c r="G26" s="156">
        <f>($E$9*F821DO!N12+$D$9*F821EO!G12)*0.95</f>
        <v>746.78330763347412</v>
      </c>
      <c r="H26" s="156">
        <f>($E$9*F821DO!O12+$D$9*F821EO!H12)*0.95</f>
        <v>703.06499710906849</v>
      </c>
      <c r="I26" s="156">
        <f>($E$9*F821DO!P12+$D$9*F821EO!I12)*0.95</f>
        <v>743.58757695425788</v>
      </c>
      <c r="J26" s="156">
        <f>SUM(D26:I26)</f>
        <v>4470.3522436190315</v>
      </c>
      <c r="K26" s="69"/>
    </row>
    <row r="27" spans="2:11" s="37" customFormat="1" ht="15.75">
      <c r="B27" s="48" t="s">
        <v>276</v>
      </c>
      <c r="C27" s="158" t="s">
        <v>276</v>
      </c>
      <c r="D27" s="154">
        <f>SUBTOTAL(9,D28:D31)</f>
        <v>37140.499958411405</v>
      </c>
      <c r="E27" s="154">
        <f t="shared" ref="E27:I27" si="4">SUBTOTAL(9,E28:E31)</f>
        <v>37292.026374072404</v>
      </c>
      <c r="F27" s="154">
        <f t="shared" si="4"/>
        <v>37197.952549557886</v>
      </c>
      <c r="G27" s="154">
        <f t="shared" si="4"/>
        <v>36610.438995085991</v>
      </c>
      <c r="H27" s="154">
        <f t="shared" si="4"/>
        <v>34473.229162886535</v>
      </c>
      <c r="I27" s="154">
        <f t="shared" si="4"/>
        <v>36453.770920317511</v>
      </c>
      <c r="J27" s="159">
        <f t="shared" si="2"/>
        <v>219167.91796033172</v>
      </c>
      <c r="K27" s="69"/>
    </row>
    <row r="28" spans="2:11" s="37" customFormat="1" ht="15.75">
      <c r="B28" s="48"/>
      <c r="C28" s="160" t="s">
        <v>304</v>
      </c>
      <c r="D28" s="156">
        <f>$E$10*F821DO!K15+$D$10*F821EO!D15</f>
        <v>37009.168516996564</v>
      </c>
      <c r="E28" s="156">
        <f>$E$10*F821DO!L15+$D$10*F821EO!E15</f>
        <v>37160.159124507343</v>
      </c>
      <c r="F28" s="156">
        <f>$E$10*F821DO!M15+$D$10*F821EO!F15</f>
        <v>37066.086139491941</v>
      </c>
      <c r="G28" s="156">
        <f>$E$10*F821DO!N15+$D$10*F821EO!G15</f>
        <v>36480.98188682308</v>
      </c>
      <c r="H28" s="156">
        <f>$E$10*F821DO!O15+$D$10*F821EO!H15</f>
        <v>34351.021872927922</v>
      </c>
      <c r="I28" s="156">
        <f>$E$10*F821DO!P15+$D$10*F821EO!I15</f>
        <v>36324.867801476015</v>
      </c>
      <c r="J28" s="156">
        <f t="shared" si="2"/>
        <v>218392.28534222287</v>
      </c>
      <c r="K28" s="69"/>
    </row>
    <row r="29" spans="2:11" s="37" customFormat="1" ht="15.75">
      <c r="B29" s="48"/>
      <c r="C29" s="161" t="s">
        <v>306</v>
      </c>
      <c r="D29" s="156">
        <f>($E$10*F821DO!K16+$D$10*F821EO!D16)*0.75</f>
        <v>0</v>
      </c>
      <c r="E29" s="156">
        <f>($E$10*F821DO!L16+$D$10*F821EO!E16)*0.75</f>
        <v>0</v>
      </c>
      <c r="F29" s="156">
        <f>($E$10*F821DO!M16+$D$10*F821EO!F16)*0.75</f>
        <v>0</v>
      </c>
      <c r="G29" s="156">
        <f>($E$10*F821DO!N16+$D$10*F821EO!G16)*0.75</f>
        <v>0</v>
      </c>
      <c r="H29" s="156">
        <f>($E$10*F821DO!O16+$D$10*F821EO!H16)*0.75</f>
        <v>0</v>
      </c>
      <c r="I29" s="156">
        <f>($E$10*F821DO!P16+$D$10*F821EO!I16)*0.75</f>
        <v>0</v>
      </c>
      <c r="J29" s="156">
        <f t="shared" si="2"/>
        <v>0</v>
      </c>
      <c r="K29" s="69"/>
    </row>
    <row r="30" spans="2:11" s="37" customFormat="1" ht="15.75">
      <c r="B30" s="48"/>
      <c r="C30" s="160" t="s">
        <v>305</v>
      </c>
      <c r="D30" s="156">
        <f>($E$10*F821DO!K17+$D$10*F821EO!D17)*0.95</f>
        <v>131.33144141483777</v>
      </c>
      <c r="E30" s="156">
        <f>($E$10*F821DO!L17+$D$10*F821EO!E17)*0.95</f>
        <v>131.86724956506373</v>
      </c>
      <c r="F30" s="156">
        <f>($E$10*F821DO!M17+$D$10*F821EO!F17)*0.95</f>
        <v>131.86641006594536</v>
      </c>
      <c r="G30" s="156">
        <f>($E$10*F821DO!N17+$D$10*F821EO!G17)*0.95</f>
        <v>129.45710826290892</v>
      </c>
      <c r="H30" s="156">
        <f>($E$10*F821DO!O17+$D$10*F821EO!H17)*0.95</f>
        <v>122.20728995861174</v>
      </c>
      <c r="I30" s="156">
        <f>($E$10*F821DO!P17+$D$10*F821EO!I17)*0.95</f>
        <v>128.90311884149372</v>
      </c>
      <c r="J30" s="156">
        <f>SUM(D30:I30)</f>
        <v>775.63261810886138</v>
      </c>
      <c r="K30" s="69"/>
    </row>
    <row r="31" spans="2:11" s="37" customFormat="1" ht="15.75">
      <c r="B31" s="48"/>
      <c r="C31" s="160" t="s">
        <v>307</v>
      </c>
      <c r="D31" s="156">
        <f>($E$10*F821DO!K18+$D$10*F821EO!D18)*0.5</f>
        <v>0</v>
      </c>
      <c r="E31" s="156">
        <f>($E$10*F821DO!L18+$D$10*F821EO!E18)*0.5</f>
        <v>0</v>
      </c>
      <c r="F31" s="156">
        <f>($E$10*F821DO!M18+$D$10*F821EO!F18)*0.5</f>
        <v>0</v>
      </c>
      <c r="G31" s="156">
        <f>($E$10*F821DO!N18+$D$10*F821EO!G18)*0.5</f>
        <v>0</v>
      </c>
      <c r="H31" s="156">
        <f>($E$10*F821DO!O18+$D$10*F821EO!H18)*0.5</f>
        <v>0</v>
      </c>
      <c r="I31" s="156">
        <f>($E$10*F821DO!P18+$D$10*F821EO!I18)*0.5</f>
        <v>0</v>
      </c>
      <c r="J31" s="156">
        <f t="shared" si="2"/>
        <v>0</v>
      </c>
      <c r="K31" s="69"/>
    </row>
    <row r="32" spans="2:11" s="37" customFormat="1" ht="15.75">
      <c r="B32" s="48"/>
      <c r="C32" s="157"/>
      <c r="D32" s="156"/>
      <c r="E32" s="156"/>
      <c r="F32" s="156"/>
      <c r="G32" s="156"/>
      <c r="H32" s="156"/>
      <c r="I32" s="156"/>
      <c r="J32" s="156"/>
      <c r="K32" s="69"/>
    </row>
    <row r="33" spans="2:11" s="37" customFormat="1" ht="15.75">
      <c r="B33" s="48"/>
      <c r="C33" s="153" t="s">
        <v>443</v>
      </c>
      <c r="D33" s="154">
        <f t="shared" ref="D33:I33" si="5">SUBTOTAL(9,D34:D108)</f>
        <v>286286.51254049182</v>
      </c>
      <c r="E33" s="154">
        <f t="shared" si="5"/>
        <v>287463.29412135115</v>
      </c>
      <c r="F33" s="154">
        <f t="shared" si="5"/>
        <v>285113.96173616021</v>
      </c>
      <c r="G33" s="154">
        <f t="shared" si="5"/>
        <v>282154.48169483355</v>
      </c>
      <c r="H33" s="154">
        <f t="shared" si="5"/>
        <v>264012.35270200367</v>
      </c>
      <c r="I33" s="154">
        <f t="shared" si="5"/>
        <v>280936.46342058334</v>
      </c>
      <c r="J33" s="154">
        <f>SUM(D33:I33)</f>
        <v>1685967.0662154239</v>
      </c>
      <c r="K33" s="69"/>
    </row>
    <row r="34" spans="2:11" s="37" customFormat="1" ht="15.75">
      <c r="B34" s="48" t="s">
        <v>275</v>
      </c>
      <c r="C34" s="155" t="s">
        <v>275</v>
      </c>
      <c r="D34" s="154">
        <f>SUBTOTAL(9,D35:D37)</f>
        <v>4304.692785497924</v>
      </c>
      <c r="E34" s="154">
        <f t="shared" ref="E34:I34" si="6">SUBTOTAL(9,E35:E37)</f>
        <v>4322.2551411215345</v>
      </c>
      <c r="F34" s="154">
        <f t="shared" si="6"/>
        <v>4313.6834548914812</v>
      </c>
      <c r="G34" s="154">
        <f t="shared" si="6"/>
        <v>4243.2571665036721</v>
      </c>
      <c r="H34" s="154">
        <f t="shared" si="6"/>
        <v>3997.7092308644706</v>
      </c>
      <c r="I34" s="154">
        <f t="shared" si="6"/>
        <v>4225.098877521863</v>
      </c>
      <c r="J34" s="154">
        <f t="shared" ref="J34" si="7">SUM(D34:I34)</f>
        <v>25406.696656400949</v>
      </c>
      <c r="K34" s="69"/>
    </row>
    <row r="35" spans="2:11" s="37" customFormat="1" ht="15.75">
      <c r="B35" s="48"/>
      <c r="C35" s="160" t="s">
        <v>304</v>
      </c>
      <c r="D35" s="156">
        <f>($E$11*F821DO!K22+$D$11*F821EO!D22)</f>
        <v>4208.2418193553294</v>
      </c>
      <c r="E35" s="156">
        <f>($E$11*F821DO!L22+$D$11*F821EO!E22)</f>
        <v>4225.4106727589106</v>
      </c>
      <c r="F35" s="156">
        <f>($E$11*F821DO!M22+$D$11*F821EO!F22)</f>
        <v>4216.2711987841267</v>
      </c>
      <c r="G35" s="156">
        <f>($E$11*F821DO!N22+$D$11*F821EO!G22)</f>
        <v>4148.1827271198581</v>
      </c>
      <c r="H35" s="156">
        <f>($E$11*F821DO!O22+$D$11*F821EO!H22)</f>
        <v>3907.432352759723</v>
      </c>
      <c r="I35" s="156">
        <f>($E$11*F821DO!P22+$D$11*F821EO!I22)</f>
        <v>4130.4312928436138</v>
      </c>
      <c r="J35" s="156">
        <f t="shared" ref="J35" si="8">SUM(D35:I35)</f>
        <v>24835.970063621564</v>
      </c>
      <c r="K35" s="69"/>
    </row>
    <row r="36" spans="2:11" s="37" customFormat="1" ht="15.75">
      <c r="B36" s="48"/>
      <c r="C36" s="161" t="s">
        <v>306</v>
      </c>
      <c r="D36" s="156">
        <f>($E$11*F821DO!K23+$D$11*F821EO!D23)</f>
        <v>32.961628397371456</v>
      </c>
      <c r="E36" s="156">
        <f>($E$11*F821DO!L23+$D$11*F821EO!E23)</f>
        <v>33.096105784886333</v>
      </c>
      <c r="F36" s="156">
        <f>($E$11*F821DO!M23+$D$11*F821EO!F23)</f>
        <v>33.377417183257037</v>
      </c>
      <c r="G36" s="156">
        <f>($E$11*F821DO!N23+$D$11*F821EO!G23)</f>
        <v>32.491207360480487</v>
      </c>
      <c r="H36" s="156">
        <f>($E$11*F821DO!O23+$D$11*F821EO!H23)</f>
        <v>30.932545276268499</v>
      </c>
      <c r="I36" s="156">
        <f>($E$11*F821DO!P23+$D$11*F821EO!I23)</f>
        <v>32.352166828768937</v>
      </c>
      <c r="J36" s="156">
        <f>SUM(D36:I36)</f>
        <v>195.21107083103277</v>
      </c>
      <c r="K36" s="69"/>
    </row>
    <row r="37" spans="2:11" s="37" customFormat="1" ht="15.75">
      <c r="B37" s="48"/>
      <c r="C37" s="160" t="s">
        <v>305</v>
      </c>
      <c r="D37" s="156">
        <f>($E$11*F821DO!K24+$D$11*F821EO!D24)*95%</f>
        <v>63.489337745223082</v>
      </c>
      <c r="E37" s="156">
        <f>($E$11*F821DO!L24+$D$11*F821EO!E24)*95%</f>
        <v>63.748362577737367</v>
      </c>
      <c r="F37" s="156">
        <f>($E$11*F821DO!M24+$D$11*F821EO!F24)*95%</f>
        <v>64.034838924097301</v>
      </c>
      <c r="G37" s="156">
        <f>($E$11*F821DO!N24+$D$11*F821EO!G24)*95%</f>
        <v>62.583232023334325</v>
      </c>
      <c r="H37" s="156">
        <f>($E$11*F821DO!O24+$D$11*F821EO!H24)*95%</f>
        <v>59.344332828479011</v>
      </c>
      <c r="I37" s="156">
        <f>($E$11*F821DO!P24+$D$11*F821EO!I24)*95%</f>
        <v>62.315417849480774</v>
      </c>
      <c r="J37" s="156">
        <f>SUM(D37:I37)</f>
        <v>375.51552194835182</v>
      </c>
      <c r="K37" s="69"/>
    </row>
    <row r="38" spans="2:11" s="37" customFormat="1" ht="15.75">
      <c r="B38" s="48" t="s">
        <v>274</v>
      </c>
      <c r="C38" s="158" t="s">
        <v>627</v>
      </c>
      <c r="D38" s="154">
        <f t="shared" ref="D38:I38" si="9">SUBTOTAL(9,D39:D44)</f>
        <v>68964.885120769075</v>
      </c>
      <c r="E38" s="154">
        <f t="shared" si="9"/>
        <v>69246.24918050236</v>
      </c>
      <c r="F38" s="154">
        <f t="shared" si="9"/>
        <v>68839.948479555969</v>
      </c>
      <c r="G38" s="154">
        <f t="shared" si="9"/>
        <v>67980.633603323833</v>
      </c>
      <c r="H38" s="154">
        <f t="shared" si="9"/>
        <v>63797.47154995607</v>
      </c>
      <c r="I38" s="154">
        <f t="shared" si="9"/>
        <v>67689.722178044161</v>
      </c>
      <c r="J38" s="159">
        <f t="shared" ref="J38:J87" si="10">SUM(D38:I38)</f>
        <v>406518.91011215147</v>
      </c>
      <c r="K38" s="69"/>
    </row>
    <row r="39" spans="2:11" s="37" customFormat="1" ht="15.75">
      <c r="B39" s="48"/>
      <c r="C39" s="160" t="s">
        <v>304</v>
      </c>
      <c r="D39" s="156">
        <f>($E$12*F821DO!K28+$D$12*F821EO!D28)*1</f>
        <v>68843.642098215321</v>
      </c>
      <c r="E39" s="156">
        <f>($E$12*F821DO!L28+$D$12*F821EO!E28)*1</f>
        <v>69124.5115086937</v>
      </c>
      <c r="F39" s="156">
        <f>($E$12*F821DO!M28+$D$12*F821EO!F28)*1</f>
        <v>68718.717812552233</v>
      </c>
      <c r="G39" s="156">
        <f>($E$12*F821DO!N28+$D$12*F821EO!G28)*1</f>
        <v>67861.120934249528</v>
      </c>
      <c r="H39" s="156">
        <f>($E$12*F821DO!O28+$D$12*F821EO!H28)*1</f>
        <v>63685.120942496658</v>
      </c>
      <c r="I39" s="156">
        <f>($E$12*F821DO!P28+$D$12*F821EO!I28)*1</f>
        <v>67570.72094287473</v>
      </c>
      <c r="J39" s="156">
        <f t="shared" si="10"/>
        <v>405803.83423908218</v>
      </c>
      <c r="K39" s="69"/>
    </row>
    <row r="40" spans="2:11" s="37" customFormat="1" ht="15.75">
      <c r="B40" s="48"/>
      <c r="C40" s="161" t="s">
        <v>628</v>
      </c>
      <c r="D40" s="156">
        <f>($E$12*F821DO!K29+$D$12*F821EO!D29)*0.75</f>
        <v>0</v>
      </c>
      <c r="E40" s="156">
        <f>($E$12*F821DO!L29+$D$12*F821EO!E29)*0.75</f>
        <v>0</v>
      </c>
      <c r="F40" s="156">
        <f>($E$12*F821DO!M29+$D$12*F821EO!F29)*0.75</f>
        <v>0</v>
      </c>
      <c r="G40" s="156">
        <f>($E$12*F821DO!N29+$D$12*F821EO!G29)*0.75</f>
        <v>0</v>
      </c>
      <c r="H40" s="156">
        <f>($E$12*F821DO!O29+$D$12*F821EO!H29)*0.75</f>
        <v>0</v>
      </c>
      <c r="I40" s="156">
        <f>($E$12*F821DO!P29+$D$12*F821EO!I29)*0.75</f>
        <v>0</v>
      </c>
      <c r="J40" s="156">
        <f>SUM(D40:I40)</f>
        <v>0</v>
      </c>
      <c r="K40" s="69"/>
    </row>
    <row r="41" spans="2:11" s="37" customFormat="1" ht="15.75">
      <c r="B41" s="48"/>
      <c r="C41" s="161" t="s">
        <v>629</v>
      </c>
      <c r="D41" s="156">
        <f>($E$12*F821DO!K30+$D$12*F821EO!D30)*1</f>
        <v>60.015796218167495</v>
      </c>
      <c r="E41" s="156">
        <f>($E$12*F821DO!L30+$D$12*F821EO!E30)*1</f>
        <v>60.260649639477478</v>
      </c>
      <c r="F41" s="156">
        <f>($E$12*F821DO!M30+$D$12*F821EO!F30)*1</f>
        <v>60.062186115025312</v>
      </c>
      <c r="G41" s="156">
        <f>($E$12*F821DO!N30+$D$12*F821EO!G30)*1</f>
        <v>59.159264109182281</v>
      </c>
      <c r="H41" s="156">
        <f>($E$12*F821DO!O30+$D$12*F821EO!H30)*1</f>
        <v>55.662673992841</v>
      </c>
      <c r="I41" s="156">
        <f>($E$12*F821DO!P30+$D$12*F821EO!I30)*1</f>
        <v>58.90610221691572</v>
      </c>
      <c r="J41" s="156">
        <f>SUM(D41:I41)</f>
        <v>354.06667229160928</v>
      </c>
      <c r="K41" s="69"/>
    </row>
    <row r="42" spans="2:11" s="37" customFormat="1" ht="15.75">
      <c r="B42" s="48"/>
      <c r="C42" s="160" t="s">
        <v>305</v>
      </c>
      <c r="D42" s="156">
        <f>($E$12*F821DO!K31+$D$12*F821EO!D31)*0.95</f>
        <v>61.227226335580376</v>
      </c>
      <c r="E42" s="156">
        <f>($E$12*F821DO!L31+$D$12*F821EO!E31)*0.95</f>
        <v>61.477022169182078</v>
      </c>
      <c r="F42" s="156">
        <f>($E$12*F821DO!M31+$D$12*F821EO!F31)*0.95</f>
        <v>61.168480888706171</v>
      </c>
      <c r="G42" s="156">
        <f>($E$12*F821DO!N31+$D$12*F821EO!G31)*0.95</f>
        <v>60.353404965121669</v>
      </c>
      <c r="H42" s="156">
        <f>($E$12*F821DO!O31+$D$12*F821EO!H31)*0.95</f>
        <v>56.68793346657128</v>
      </c>
      <c r="I42" s="156">
        <f>($E$12*F821DO!P31+$D$12*F821EO!I31)*0.95</f>
        <v>60.095132952516806</v>
      </c>
      <c r="J42" s="156">
        <f t="shared" si="10"/>
        <v>361.00920077767836</v>
      </c>
      <c r="K42" s="69"/>
    </row>
    <row r="43" spans="2:11" s="37" customFormat="1" ht="15.75">
      <c r="B43" s="48"/>
      <c r="C43" s="160" t="s">
        <v>307</v>
      </c>
      <c r="D43" s="156">
        <f>($E$12*F821DO!K32+$D$12*F821EO!D32)*0.5</f>
        <v>0</v>
      </c>
      <c r="E43" s="156">
        <f>($E$12*F821DO!L32+$D$12*F821EO!E32)*0.5</f>
        <v>0</v>
      </c>
      <c r="F43" s="156">
        <f>($E$12*F821DO!M32+$D$12*F821EO!F32)*0.5</f>
        <v>0</v>
      </c>
      <c r="G43" s="156">
        <f>($E$12*F821DO!N32+$D$12*F821EO!G32)*0.5</f>
        <v>0</v>
      </c>
      <c r="H43" s="156">
        <f>($E$12*F821DO!O32+$D$12*F821EO!H32)*0.5</f>
        <v>0</v>
      </c>
      <c r="I43" s="156">
        <f>($E$12*F821DO!P32+$D$12*F821EO!I32)*0.5</f>
        <v>0</v>
      </c>
      <c r="J43" s="156">
        <f t="shared" si="10"/>
        <v>0</v>
      </c>
      <c r="K43" s="69"/>
    </row>
    <row r="44" spans="2:11" s="37" customFormat="1" ht="15.75">
      <c r="B44" s="48"/>
      <c r="C44" s="160" t="s">
        <v>624</v>
      </c>
      <c r="D44" s="156">
        <f>($E$12*F821DO!K33+$D$12*F821EO!D33)*0</f>
        <v>0</v>
      </c>
      <c r="E44" s="156">
        <f>($E$12*F821DO!L33+$D$12*F821EO!E33)*0</f>
        <v>0</v>
      </c>
      <c r="F44" s="156">
        <f>($E$12*F821DO!M33+$D$12*F821EO!F33)*0</f>
        <v>0</v>
      </c>
      <c r="G44" s="156">
        <f>($E$12*F821DO!N33+$D$12*F821EO!G33)*0</f>
        <v>0</v>
      </c>
      <c r="H44" s="156">
        <f>($E$12*F821DO!O33+$D$12*F821EO!H33)*0</f>
        <v>0</v>
      </c>
      <c r="I44" s="156">
        <f>($E$12*F821DO!P33+$D$12*F821EO!I33)*0</f>
        <v>0</v>
      </c>
      <c r="J44" s="156">
        <f t="shared" si="10"/>
        <v>0</v>
      </c>
      <c r="K44" s="69"/>
    </row>
    <row r="45" spans="2:11" s="37" customFormat="1" ht="15.75">
      <c r="B45" s="48" t="s">
        <v>274</v>
      </c>
      <c r="C45" s="158" t="s">
        <v>631</v>
      </c>
      <c r="D45" s="154">
        <f t="shared" ref="D45:I45" si="11">SUBTOTAL(9,D46:D49)</f>
        <v>35291.435316899056</v>
      </c>
      <c r="E45" s="154">
        <f t="shared" si="11"/>
        <v>35435.417888568518</v>
      </c>
      <c r="F45" s="154">
        <f t="shared" si="11"/>
        <v>35344.272386707606</v>
      </c>
      <c r="G45" s="154">
        <f t="shared" si="11"/>
        <v>34787.763793301929</v>
      </c>
      <c r="H45" s="154">
        <f t="shared" si="11"/>
        <v>32755.32974453819</v>
      </c>
      <c r="I45" s="154">
        <f t="shared" si="11"/>
        <v>34638.895543463994</v>
      </c>
      <c r="J45" s="159">
        <f t="shared" si="10"/>
        <v>208253.11467347929</v>
      </c>
      <c r="K45" s="69"/>
    </row>
    <row r="46" spans="2:11" s="37" customFormat="1" ht="15.75">
      <c r="B46" s="48"/>
      <c r="C46" s="160" t="s">
        <v>304</v>
      </c>
      <c r="D46" s="156">
        <f>($E$12*F821DO!K35+$D$12*F821EO!D35)*1</f>
        <v>35203.709509407512</v>
      </c>
      <c r="E46" s="156">
        <f>($E$12*F821DO!L35+$D$12*F821EO!E35)*1</f>
        <v>35347.334175901087</v>
      </c>
      <c r="F46" s="156">
        <f>($E$12*F821DO!M35+$D$12*F821EO!F35)*1</f>
        <v>35256.613513521697</v>
      </c>
      <c r="G46" s="156">
        <f>($E$12*F821DO!N35+$D$12*F821EO!G35)*1</f>
        <v>34701.2899890435</v>
      </c>
      <c r="H46" s="156">
        <f>($E$12*F821DO!O35+$D$12*F821EO!H35)*1</f>
        <v>32674.091821040325</v>
      </c>
      <c r="I46" s="156">
        <f>($E$12*F821DO!P35+$D$12*F821EO!I35)*1</f>
        <v>34552.791788972871</v>
      </c>
      <c r="J46" s="156">
        <f t="shared" si="10"/>
        <v>207735.830797887</v>
      </c>
      <c r="K46" s="69"/>
    </row>
    <row r="47" spans="2:11" s="37" customFormat="1" ht="15.75">
      <c r="B47" s="48"/>
      <c r="C47" s="161" t="s">
        <v>306</v>
      </c>
      <c r="D47" s="156">
        <f>($E$12*F821DO!K36+$D$12*F821EO!D36)*1</f>
        <v>0</v>
      </c>
      <c r="E47" s="156">
        <f>($E$12*F821DO!L36+$D$12*F821EO!E36)*1</f>
        <v>0</v>
      </c>
      <c r="F47" s="156">
        <f>($E$12*F821DO!M36+$D$12*F821EO!F36)*1</f>
        <v>0</v>
      </c>
      <c r="G47" s="156">
        <f>($E$12*F821DO!N36+$D$12*F821EO!G36)*1</f>
        <v>0</v>
      </c>
      <c r="H47" s="156">
        <f>($E$12*F821DO!O36+$D$12*F821EO!H36)*1</f>
        <v>0</v>
      </c>
      <c r="I47" s="156">
        <f>($E$12*F821DO!P36+$D$12*F821EO!I36)*1</f>
        <v>0</v>
      </c>
      <c r="J47" s="156">
        <f>SUM(D47:I47)</f>
        <v>0</v>
      </c>
      <c r="K47" s="69"/>
    </row>
    <row r="48" spans="2:11" s="37" customFormat="1" ht="15.75">
      <c r="B48" s="48"/>
      <c r="C48" s="160" t="s">
        <v>305</v>
      </c>
      <c r="D48" s="156">
        <f>($E$12*F821DO!K37+$D$12*F821EO!D37)*0.95</f>
        <v>87.725807491543705</v>
      </c>
      <c r="E48" s="156">
        <f>($E$12*F821DO!L37+$D$12*F821EO!E37)*0.95</f>
        <v>88.083712667431101</v>
      </c>
      <c r="F48" s="156">
        <f>($E$12*F821DO!M37+$D$12*F821EO!F37)*0.95</f>
        <v>87.65887318590957</v>
      </c>
      <c r="G48" s="156">
        <f>($E$12*F821DO!N37+$D$12*F821EO!G37)*0.95</f>
        <v>86.473804258427919</v>
      </c>
      <c r="H48" s="156">
        <f>($E$12*F821DO!O37+$D$12*F821EO!H37)*0.95</f>
        <v>81.237923497867001</v>
      </c>
      <c r="I48" s="156">
        <f>($E$12*F821DO!P37+$D$12*F821EO!I37)*0.95</f>
        <v>86.1037544911227</v>
      </c>
      <c r="J48" s="156">
        <f t="shared" si="10"/>
        <v>517.28387559230191</v>
      </c>
      <c r="K48" s="69"/>
    </row>
    <row r="49" spans="2:11" s="37" customFormat="1" ht="15.75">
      <c r="B49" s="48"/>
      <c r="C49" s="160" t="s">
        <v>307</v>
      </c>
      <c r="D49" s="156">
        <f>($E$12*F821DO!K38+$D$12*F821EO!D38)*0.5</f>
        <v>0</v>
      </c>
      <c r="E49" s="156">
        <f>($E$12*F821DO!L38+$D$12*F821EO!E38)*0.5</f>
        <v>0</v>
      </c>
      <c r="F49" s="156">
        <f>($E$12*F821DO!M38+$D$12*F821EO!F38)*0.5</f>
        <v>0</v>
      </c>
      <c r="G49" s="156">
        <f>($E$12*F821DO!N38+$D$12*F821EO!G38)*0.5</f>
        <v>0</v>
      </c>
      <c r="H49" s="156">
        <f>($E$12*F821DO!O38+$D$12*F821EO!H38)*0.5</f>
        <v>0</v>
      </c>
      <c r="I49" s="156">
        <f>($E$12*F821DO!P38+$D$12*F821EO!I38)*0.5</f>
        <v>0</v>
      </c>
      <c r="J49" s="156">
        <f t="shared" si="10"/>
        <v>0</v>
      </c>
      <c r="K49" s="69"/>
    </row>
    <row r="50" spans="2:11" s="37" customFormat="1" ht="15.75">
      <c r="B50" s="48" t="s">
        <v>274</v>
      </c>
      <c r="C50" s="158" t="s">
        <v>632</v>
      </c>
      <c r="D50" s="154">
        <f t="shared" ref="D50:I50" si="12">SUBTOTAL(9,D51:D54)</f>
        <v>10462.190653287085</v>
      </c>
      <c r="E50" s="154">
        <f t="shared" si="12"/>
        <v>10504.87446883695</v>
      </c>
      <c r="F50" s="154">
        <f t="shared" si="12"/>
        <v>10495.592820695298</v>
      </c>
      <c r="G50" s="154">
        <f t="shared" si="12"/>
        <v>10312.876592830569</v>
      </c>
      <c r="H50" s="154">
        <f t="shared" si="12"/>
        <v>9726.7981625100492</v>
      </c>
      <c r="I50" s="154">
        <f t="shared" si="12"/>
        <v>10268.744411805899</v>
      </c>
      <c r="J50" s="159">
        <f t="shared" si="10"/>
        <v>61771.077109965852</v>
      </c>
      <c r="K50" s="69"/>
    </row>
    <row r="51" spans="2:11" s="37" customFormat="1" ht="15.75">
      <c r="B51" s="48"/>
      <c r="C51" s="160" t="s">
        <v>304</v>
      </c>
      <c r="D51" s="156">
        <f>($E$12*F821DO!K40+$D$12*F821EO!D40)*1</f>
        <v>10462.190653287085</v>
      </c>
      <c r="E51" s="156">
        <f>($E$12*F821DO!L40+$D$12*F821EO!E40)*1</f>
        <v>10504.87446883695</v>
      </c>
      <c r="F51" s="156">
        <f>($E$12*F821DO!M40+$D$12*F821EO!F40)*1</f>
        <v>10495.592820695298</v>
      </c>
      <c r="G51" s="156">
        <f>($E$12*F821DO!N40+$D$12*F821EO!G40)*1</f>
        <v>10312.876592830569</v>
      </c>
      <c r="H51" s="156">
        <f>($E$12*F821DO!O40+$D$12*F821EO!H40)*1</f>
        <v>9726.7981625100492</v>
      </c>
      <c r="I51" s="156">
        <f>($E$12*F821DO!P40+$D$12*F821EO!I40)*1</f>
        <v>10268.744411805899</v>
      </c>
      <c r="J51" s="156">
        <f t="shared" si="10"/>
        <v>61771.077109965852</v>
      </c>
      <c r="K51" s="69"/>
    </row>
    <row r="52" spans="2:11" s="37" customFormat="1" ht="15.75">
      <c r="B52" s="48"/>
      <c r="C52" s="161" t="s">
        <v>306</v>
      </c>
      <c r="D52" s="156">
        <f>($E$12*F821DO!K41+$D$12*F821EO!D41)*1</f>
        <v>0</v>
      </c>
      <c r="E52" s="156">
        <f>($E$12*F821DO!L41+$D$12*F821EO!E41)*1</f>
        <v>0</v>
      </c>
      <c r="F52" s="156">
        <f>($E$12*F821DO!M41+$D$12*F821EO!F41)*1</f>
        <v>0</v>
      </c>
      <c r="G52" s="156">
        <f>($E$12*F821DO!N41+$D$12*F821EO!G41)*1</f>
        <v>0</v>
      </c>
      <c r="H52" s="156">
        <f>($E$12*F821DO!O41+$D$12*F821EO!H41)*1</f>
        <v>0</v>
      </c>
      <c r="I52" s="156">
        <f>($E$12*F821DO!P41+$D$12*F821EO!I41)*1</f>
        <v>0</v>
      </c>
      <c r="J52" s="156">
        <f>SUM(D52:I52)</f>
        <v>0</v>
      </c>
      <c r="K52" s="69"/>
    </row>
    <row r="53" spans="2:11" s="37" customFormat="1" ht="15.75">
      <c r="B53" s="48"/>
      <c r="C53" s="160" t="s">
        <v>305</v>
      </c>
      <c r="D53" s="156">
        <f>($E$12*F821DO!K42+$D$12*F821EO!D42)*0.95</f>
        <v>0</v>
      </c>
      <c r="E53" s="156">
        <f>($E$12*F821DO!L42+$D$12*F821EO!E42)*0.95</f>
        <v>0</v>
      </c>
      <c r="F53" s="156">
        <f>($E$12*F821DO!M42+$D$12*F821EO!F42)*0.95</f>
        <v>0</v>
      </c>
      <c r="G53" s="156">
        <f>($E$12*F821DO!N42+$D$12*F821EO!G42)*0.95</f>
        <v>0</v>
      </c>
      <c r="H53" s="156">
        <f>($E$12*F821DO!O42+$D$12*F821EO!H42)*0.95</f>
        <v>0</v>
      </c>
      <c r="I53" s="156">
        <f>($E$12*F821DO!P42+$D$12*F821EO!I42)*0.95</f>
        <v>0</v>
      </c>
      <c r="J53" s="156">
        <f t="shared" si="10"/>
        <v>0</v>
      </c>
      <c r="K53" s="69"/>
    </row>
    <row r="54" spans="2:11" s="37" customFormat="1" ht="15.75">
      <c r="B54" s="48"/>
      <c r="C54" s="160" t="s">
        <v>307</v>
      </c>
      <c r="D54" s="156">
        <f>($E$12*F821DO!K43+$D$12*F821EO!D43)*0.5</f>
        <v>0</v>
      </c>
      <c r="E54" s="156">
        <f>($E$12*F821DO!L43+$D$12*F821EO!E43)*0.5</f>
        <v>0</v>
      </c>
      <c r="F54" s="156">
        <f>($E$12*F821DO!M43+$D$12*F821EO!F43)*0.5</f>
        <v>0</v>
      </c>
      <c r="G54" s="156">
        <f>($E$12*F821DO!N43+$D$12*F821EO!G43)*0.5</f>
        <v>0</v>
      </c>
      <c r="H54" s="156">
        <f>($E$12*F821DO!O43+$D$12*F821EO!H43)*0.5</f>
        <v>0</v>
      </c>
      <c r="I54" s="156">
        <f>($E$12*F821DO!P43+$D$12*F821EO!I43)*0.5</f>
        <v>0</v>
      </c>
      <c r="J54" s="156">
        <f t="shared" si="10"/>
        <v>0</v>
      </c>
      <c r="K54" s="69"/>
    </row>
    <row r="55" spans="2:11" s="37" customFormat="1" ht="15.75">
      <c r="B55" s="48" t="s">
        <v>274</v>
      </c>
      <c r="C55" s="158" t="s">
        <v>633</v>
      </c>
      <c r="D55" s="154">
        <f t="shared" ref="D55:I55" si="13">SUBTOTAL(9,D56:D59)</f>
        <v>10357.283057186534</v>
      </c>
      <c r="E55" s="154">
        <f t="shared" si="13"/>
        <v>10399.538869019956</v>
      </c>
      <c r="F55" s="154">
        <f t="shared" si="13"/>
        <v>10394.448781845855</v>
      </c>
      <c r="G55" s="154">
        <f t="shared" si="13"/>
        <v>10209.466214632617</v>
      </c>
      <c r="H55" s="154">
        <f t="shared" si="13"/>
        <v>9633.0628520767295</v>
      </c>
      <c r="I55" s="154">
        <f t="shared" si="13"/>
        <v>10165.776560529452</v>
      </c>
      <c r="J55" s="159">
        <f t="shared" si="10"/>
        <v>61159.576335291145</v>
      </c>
      <c r="K55" s="69"/>
    </row>
    <row r="56" spans="2:11" s="37" customFormat="1" ht="15.75">
      <c r="B56" s="48"/>
      <c r="C56" s="160" t="s">
        <v>304</v>
      </c>
      <c r="D56" s="156">
        <f>($E$12*F821DO!K45+$D$12*F821EO!D45)*1</f>
        <v>10357.283057186534</v>
      </c>
      <c r="E56" s="156">
        <f>($E$12*F821DO!L45+$D$12*F821EO!E45)*1</f>
        <v>10399.538869019956</v>
      </c>
      <c r="F56" s="156">
        <f>($E$12*F821DO!M45+$D$12*F821EO!F45)*1</f>
        <v>10394.448781845855</v>
      </c>
      <c r="G56" s="156">
        <f>($E$12*F821DO!N45+$D$12*F821EO!G45)*1</f>
        <v>10209.466214632617</v>
      </c>
      <c r="H56" s="156">
        <f>($E$12*F821DO!O45+$D$12*F821EO!H45)*1</f>
        <v>9633.0628520767295</v>
      </c>
      <c r="I56" s="156">
        <f>($E$12*F821DO!P45+$D$12*F821EO!I45)*1</f>
        <v>10165.776560529452</v>
      </c>
      <c r="J56" s="156">
        <f t="shared" si="10"/>
        <v>61159.576335291145</v>
      </c>
      <c r="K56" s="69"/>
    </row>
    <row r="57" spans="2:11" s="37" customFormat="1" ht="15.75">
      <c r="B57" s="48"/>
      <c r="C57" s="161" t="s">
        <v>306</v>
      </c>
      <c r="D57" s="156">
        <f>($E$12*F821DO!K46+$D$12*F821EO!D46)*1</f>
        <v>0</v>
      </c>
      <c r="E57" s="156">
        <f>($E$12*F821DO!L46+$D$12*F821EO!E46)*1</f>
        <v>0</v>
      </c>
      <c r="F57" s="156">
        <f>($E$12*F821DO!M46+$D$12*F821EO!F46)*1</f>
        <v>0</v>
      </c>
      <c r="G57" s="156">
        <f>($E$12*F821DO!N46+$D$12*F821EO!G46)*1</f>
        <v>0</v>
      </c>
      <c r="H57" s="156">
        <f>($E$12*F821DO!O46+$D$12*F821EO!H46)*1</f>
        <v>0</v>
      </c>
      <c r="I57" s="156">
        <f>($E$12*F821DO!P46+$D$12*F821EO!I46)*1</f>
        <v>0</v>
      </c>
      <c r="J57" s="156">
        <f>SUM(D57:I57)</f>
        <v>0</v>
      </c>
      <c r="K57" s="69"/>
    </row>
    <row r="58" spans="2:11" s="37" customFormat="1" ht="15.75">
      <c r="B58" s="48"/>
      <c r="C58" s="160" t="s">
        <v>305</v>
      </c>
      <c r="D58" s="156">
        <f>($E$12*F821DO!K47+$D$12*F821EO!D47)*0.95</f>
        <v>0</v>
      </c>
      <c r="E58" s="156">
        <f>($E$12*F821DO!L47+$D$12*F821EO!E47)*0.95</f>
        <v>0</v>
      </c>
      <c r="F58" s="156">
        <f>($E$12*F821DO!M47+$D$12*F821EO!F47)*0.95</f>
        <v>0</v>
      </c>
      <c r="G58" s="156">
        <f>($E$12*F821DO!N47+$D$12*F821EO!G47)*0.95</f>
        <v>0</v>
      </c>
      <c r="H58" s="156">
        <f>($E$12*F821DO!O47+$D$12*F821EO!H47)*0.95</f>
        <v>0</v>
      </c>
      <c r="I58" s="156">
        <f>($E$12*F821DO!P47+$D$12*F821EO!I47)*0.95</f>
        <v>0</v>
      </c>
      <c r="J58" s="156">
        <f t="shared" si="10"/>
        <v>0</v>
      </c>
      <c r="K58" s="69"/>
    </row>
    <row r="59" spans="2:11" s="37" customFormat="1" ht="15.75">
      <c r="B59" s="48"/>
      <c r="C59" s="160" t="s">
        <v>307</v>
      </c>
      <c r="D59" s="156">
        <f>($E$12*F821DO!K48+$D$12*F821EO!D48)*0.5</f>
        <v>0</v>
      </c>
      <c r="E59" s="156">
        <f>($E$12*F821DO!L48+$D$12*F821EO!E48)*0.5</f>
        <v>0</v>
      </c>
      <c r="F59" s="156">
        <f>($E$12*F821DO!M48+$D$12*F821EO!F48)*0.5</f>
        <v>0</v>
      </c>
      <c r="G59" s="156">
        <f>($E$12*F821DO!N48+$D$12*F821EO!G48)*0.5</f>
        <v>0</v>
      </c>
      <c r="H59" s="156">
        <f>($E$12*F821DO!O48+$D$12*F821EO!H48)*0.5</f>
        <v>0</v>
      </c>
      <c r="I59" s="156">
        <f>($E$12*F821DO!P48+$D$12*F821EO!I48)*0.5</f>
        <v>0</v>
      </c>
      <c r="J59" s="156">
        <f t="shared" si="10"/>
        <v>0</v>
      </c>
      <c r="K59" s="69"/>
    </row>
    <row r="60" spans="2:11" s="37" customFormat="1" ht="15.75">
      <c r="B60" s="48"/>
      <c r="C60" s="157"/>
      <c r="D60" s="156"/>
      <c r="E60" s="156"/>
      <c r="F60" s="156"/>
      <c r="G60" s="156"/>
      <c r="H60" s="156"/>
      <c r="I60" s="156"/>
      <c r="J60" s="156"/>
      <c r="K60" s="69"/>
    </row>
    <row r="61" spans="2:11" s="37" customFormat="1" ht="15.75">
      <c r="B61" s="48" t="s">
        <v>1176</v>
      </c>
      <c r="C61" s="158" t="s">
        <v>1176</v>
      </c>
      <c r="D61" s="154">
        <f t="shared" ref="D61:I61" si="14">SUBTOTAL(9,D62:D67)</f>
        <v>2.1750582773887213</v>
      </c>
      <c r="E61" s="154">
        <f t="shared" si="14"/>
        <v>2.1839321155167908</v>
      </c>
      <c r="F61" s="154">
        <f t="shared" si="14"/>
        <v>2.1590351380085511</v>
      </c>
      <c r="G61" s="154">
        <f t="shared" si="14"/>
        <v>2.1440163289202685</v>
      </c>
      <c r="H61" s="154">
        <f t="shared" si="14"/>
        <v>2.0008873602420292</v>
      </c>
      <c r="I61" s="154">
        <f t="shared" si="14"/>
        <v>2.1348413799236394</v>
      </c>
      <c r="J61" s="159">
        <f>SUM(D61:I61)</f>
        <v>12.7977706</v>
      </c>
      <c r="K61" s="69"/>
    </row>
    <row r="62" spans="2:11" s="37" customFormat="1" ht="15.75">
      <c r="B62" s="48"/>
      <c r="C62" s="160" t="s">
        <v>304</v>
      </c>
      <c r="D62" s="156">
        <f>($D$15*(F821EO!D51))*1</f>
        <v>0.73427223427047306</v>
      </c>
      <c r="E62" s="156">
        <f>($D$15*(F821EO!E51))*1</f>
        <v>0.73726793007163316</v>
      </c>
      <c r="F62" s="156">
        <f>($D$15*(F821EO!F51))*1</f>
        <v>0.72886302456100738</v>
      </c>
      <c r="G62" s="156">
        <f>($D$15*(F821EO!G51))*1</f>
        <v>0.72379286408761789</v>
      </c>
      <c r="H62" s="156">
        <f>($D$15*(F821EO!H51))*1</f>
        <v>0.67547432995327161</v>
      </c>
      <c r="I62" s="156">
        <f>($D$15*(F821EO!I51))*1</f>
        <v>0.72069551705599688</v>
      </c>
      <c r="J62" s="156">
        <f t="shared" si="10"/>
        <v>4.3203659000000005</v>
      </c>
      <c r="K62" s="69"/>
    </row>
    <row r="63" spans="2:11" s="37" customFormat="1" ht="15.75">
      <c r="B63" s="48"/>
      <c r="C63" s="162" t="s">
        <v>642</v>
      </c>
      <c r="D63" s="156">
        <f>($D$15*(F821EO!D52))*0.75</f>
        <v>0</v>
      </c>
      <c r="E63" s="156">
        <f>($D$15*(F821EO!E52))*0.75</f>
        <v>0</v>
      </c>
      <c r="F63" s="156">
        <f>($D$15*(F821EO!F52))*0.75</f>
        <v>0</v>
      </c>
      <c r="G63" s="156">
        <f>($D$15*(F821EO!G52))*0.75</f>
        <v>0</v>
      </c>
      <c r="H63" s="156">
        <f>($D$15*(F821EO!H52))*0.75</f>
        <v>0</v>
      </c>
      <c r="I63" s="156">
        <f>($D$15*(F821EO!I52))*0.75</f>
        <v>0</v>
      </c>
      <c r="J63" s="156">
        <f t="shared" si="10"/>
        <v>0</v>
      </c>
      <c r="K63" s="69"/>
    </row>
    <row r="64" spans="2:11" s="37" customFormat="1" ht="15.75">
      <c r="B64" s="48"/>
      <c r="C64" s="162" t="s">
        <v>1177</v>
      </c>
      <c r="D64" s="156">
        <f>($D$15*(F821EO!D53))*1</f>
        <v>1.4407860431182482</v>
      </c>
      <c r="E64" s="156">
        <f>($D$15*(F821EO!E53))*1</f>
        <v>1.4466641854451576</v>
      </c>
      <c r="F64" s="156">
        <f>($D$15*(F821EO!F53))*1</f>
        <v>1.4301721134475438</v>
      </c>
      <c r="G64" s="156">
        <f>($D$15*(F821EO!G53))*1</f>
        <v>1.4202234648326508</v>
      </c>
      <c r="H64" s="156">
        <f>($D$15*(F821EO!H53))*1</f>
        <v>1.3254130302887577</v>
      </c>
      <c r="I64" s="156">
        <f>($D$15*(F821EO!I53))*1</f>
        <v>1.4141458628676427</v>
      </c>
      <c r="J64" s="156">
        <f t="shared" si="10"/>
        <v>8.477404700000001</v>
      </c>
      <c r="K64" s="69"/>
    </row>
    <row r="65" spans="2:11" s="37" customFormat="1" ht="15.75">
      <c r="B65" s="48"/>
      <c r="C65" s="160" t="s">
        <v>305</v>
      </c>
      <c r="D65" s="156">
        <f>($D$15*(F821EO!D54))*0.95</f>
        <v>0</v>
      </c>
      <c r="E65" s="156">
        <f>($D$15*(F821EO!E54))*0.95</f>
        <v>0</v>
      </c>
      <c r="F65" s="156">
        <f>($D$15*(F821EO!F54))*0.95</f>
        <v>0</v>
      </c>
      <c r="G65" s="156">
        <f>($D$15*(F821EO!G54))*0.95</f>
        <v>0</v>
      </c>
      <c r="H65" s="156">
        <f>($D$15*(F821EO!H54))*0.95</f>
        <v>0</v>
      </c>
      <c r="I65" s="156">
        <f>($D$15*(F821EO!I54))*0.95</f>
        <v>0</v>
      </c>
      <c r="J65" s="156">
        <f t="shared" si="10"/>
        <v>0</v>
      </c>
      <c r="K65" s="69"/>
    </row>
    <row r="66" spans="2:11" s="37" customFormat="1" ht="15.75">
      <c r="B66" s="48"/>
      <c r="C66" s="160" t="s">
        <v>307</v>
      </c>
      <c r="D66" s="156">
        <f>($D$15*(F821EO!D55))*0.5</f>
        <v>0</v>
      </c>
      <c r="E66" s="156">
        <f>($D$15*(F821EO!E55))*0.5</f>
        <v>0</v>
      </c>
      <c r="F66" s="156">
        <f>($D$15*(F821EO!F55))*0.5</f>
        <v>0</v>
      </c>
      <c r="G66" s="156">
        <f>($D$15*(F821EO!G55))*0.5</f>
        <v>0</v>
      </c>
      <c r="H66" s="156">
        <f>($D$15*(F821EO!H55))*0.5</f>
        <v>0</v>
      </c>
      <c r="I66" s="156">
        <f>($D$15*(F821EO!I55))*0.5</f>
        <v>0</v>
      </c>
      <c r="J66" s="156">
        <f t="shared" si="10"/>
        <v>0</v>
      </c>
      <c r="K66" s="69"/>
    </row>
    <row r="67" spans="2:11" s="37" customFormat="1" ht="15.75">
      <c r="B67" s="48"/>
      <c r="C67" s="160" t="s">
        <v>624</v>
      </c>
      <c r="D67" s="156">
        <f>($D$15*(F821EO!D56))*0</f>
        <v>0</v>
      </c>
      <c r="E67" s="156">
        <f>($D$15*(F821EO!E56))*0</f>
        <v>0</v>
      </c>
      <c r="F67" s="156">
        <f>($D$15*(F821EO!F56))*0</f>
        <v>0</v>
      </c>
      <c r="G67" s="156">
        <f>($D$15*(F821EO!G56))*0</f>
        <v>0</v>
      </c>
      <c r="H67" s="156">
        <f>($D$15*(F821EO!H56))*0</f>
        <v>0</v>
      </c>
      <c r="I67" s="156">
        <f>($D$15*(F821EO!I56))*0</f>
        <v>0</v>
      </c>
      <c r="J67" s="156">
        <f t="shared" si="10"/>
        <v>0</v>
      </c>
      <c r="K67" s="69"/>
    </row>
    <row r="68" spans="2:11" s="37" customFormat="1" ht="15.75">
      <c r="B68" s="48" t="s">
        <v>751</v>
      </c>
      <c r="C68" s="158" t="s">
        <v>634</v>
      </c>
      <c r="D68" s="154">
        <f t="shared" ref="D68:I68" si="15">SUBTOTAL(9,D69:D73)</f>
        <v>41363.525827299651</v>
      </c>
      <c r="E68" s="154">
        <f t="shared" si="15"/>
        <v>41541.066624346335</v>
      </c>
      <c r="F68" s="154">
        <f t="shared" si="15"/>
        <v>41034.690273871907</v>
      </c>
      <c r="G68" s="154">
        <f t="shared" si="15"/>
        <v>40726.981429672713</v>
      </c>
      <c r="H68" s="154">
        <f t="shared" si="15"/>
        <v>37811.71308830905</v>
      </c>
      <c r="I68" s="154">
        <f t="shared" si="15"/>
        <v>40542.110604645408</v>
      </c>
      <c r="J68" s="159">
        <f t="shared" si="10"/>
        <v>243020.08784814505</v>
      </c>
      <c r="K68" s="69"/>
    </row>
    <row r="69" spans="2:11" s="37" customFormat="1" ht="15.75">
      <c r="B69" s="48"/>
      <c r="C69" s="160" t="s">
        <v>304</v>
      </c>
      <c r="D69" s="156">
        <f>($D$14*(F821EO!D66))*1</f>
        <v>30376.346273897161</v>
      </c>
      <c r="E69" s="156">
        <f>($D$14*(F821EO!E66))*1</f>
        <v>30507.211107678042</v>
      </c>
      <c r="F69" s="156">
        <f>($D$14*(F821EO!F66))*1</f>
        <v>30133.53989006007</v>
      </c>
      <c r="G69" s="156">
        <f>($D$14*(F821EO!G66))*1</f>
        <v>29906.351973996334</v>
      </c>
      <c r="H69" s="156">
        <f>($D$14*(F821EO!H66))*1</f>
        <v>27754.861701029688</v>
      </c>
      <c r="I69" s="156">
        <f>($D$14*(F821EO!I66))*1</f>
        <v>29770.017647938763</v>
      </c>
      <c r="J69" s="156">
        <f t="shared" si="10"/>
        <v>178448.32859460005</v>
      </c>
      <c r="K69" s="69"/>
    </row>
    <row r="70" spans="2:11" s="37" customFormat="1" ht="15.75">
      <c r="B70" s="48"/>
      <c r="C70" s="162" t="s">
        <v>644</v>
      </c>
      <c r="D70" s="156">
        <f>($D$14*(F821EO!D67))*0.75</f>
        <v>10986.46379157206</v>
      </c>
      <c r="E70" s="156">
        <f>($D$14*(F821EO!E67))*0.75</f>
        <v>11033.136638931923</v>
      </c>
      <c r="F70" s="156">
        <f>($D$14*(F821EO!F67))*0.75</f>
        <v>10900.44024824983</v>
      </c>
      <c r="G70" s="156">
        <f>($D$14*(F821EO!G67))*0.75</f>
        <v>10819.924593728303</v>
      </c>
      <c r="H70" s="156">
        <f>($D$14*(F821EO!H67))*0.75</f>
        <v>10056.196782773124</v>
      </c>
      <c r="I70" s="156">
        <f>($D$14*(F821EO!I67))*0.75</f>
        <v>10771.391316394764</v>
      </c>
      <c r="J70" s="156">
        <f>SUM(D70:I70)</f>
        <v>64567.553371649999</v>
      </c>
      <c r="K70" s="69"/>
    </row>
    <row r="71" spans="2:11" s="37" customFormat="1" ht="15.75">
      <c r="B71" s="48"/>
      <c r="C71" s="160" t="s">
        <v>305</v>
      </c>
      <c r="D71" s="156">
        <f>($D$14*(F821EO!D68))*0.95</f>
        <v>0.71576183042775066</v>
      </c>
      <c r="E71" s="156">
        <f>($D$14*(F821EO!E68))*0.95</f>
        <v>0.71887773636742847</v>
      </c>
      <c r="F71" s="156">
        <f>($D$14*(F821EO!F68))*0.95</f>
        <v>0.71013556201419592</v>
      </c>
      <c r="G71" s="156">
        <f>($D$14*(F821EO!G68))*0.95</f>
        <v>0.70486194807514535</v>
      </c>
      <c r="H71" s="156">
        <f>($D$14*(F821EO!H68))*0.95</f>
        <v>0.65460450623227773</v>
      </c>
      <c r="I71" s="156">
        <f>($D$14*(F821EO!I68))*0.95</f>
        <v>0.70164031188320175</v>
      </c>
      <c r="J71" s="156">
        <f t="shared" si="10"/>
        <v>4.2058818949999992</v>
      </c>
      <c r="K71" s="69"/>
    </row>
    <row r="72" spans="2:11" s="37" customFormat="1" ht="15.75">
      <c r="B72" s="48"/>
      <c r="C72" s="160" t="s">
        <v>307</v>
      </c>
      <c r="D72" s="156">
        <f>($D$14*(F821EO!D69))*0.5</f>
        <v>0</v>
      </c>
      <c r="E72" s="156">
        <f>($D$14*(F821EO!E69))*0.5</f>
        <v>0</v>
      </c>
      <c r="F72" s="156">
        <f>($D$14*(F821EO!F69))*0.5</f>
        <v>0</v>
      </c>
      <c r="G72" s="156">
        <f>($D$14*(F821EO!G69))*0.5</f>
        <v>0</v>
      </c>
      <c r="H72" s="156">
        <f>($D$14*(F821EO!H69))*0.5</f>
        <v>0</v>
      </c>
      <c r="I72" s="156">
        <f>($D$14*(F821EO!I69))*0.5</f>
        <v>0</v>
      </c>
      <c r="J72" s="156">
        <f t="shared" si="10"/>
        <v>0</v>
      </c>
      <c r="K72" s="69"/>
    </row>
    <row r="73" spans="2:11" s="37" customFormat="1" ht="15.75">
      <c r="B73" s="48"/>
      <c r="C73" s="160" t="s">
        <v>624</v>
      </c>
      <c r="D73" s="156">
        <f>($D$14*(F821EO!D70))*0</f>
        <v>0</v>
      </c>
      <c r="E73" s="156">
        <f>($D$14*(F821EO!E70))*0</f>
        <v>0</v>
      </c>
      <c r="F73" s="156">
        <f>($D$14*(F821EO!F70))*0</f>
        <v>0</v>
      </c>
      <c r="G73" s="156">
        <f>($D$14*(F821EO!G70))*0</f>
        <v>0</v>
      </c>
      <c r="H73" s="156">
        <f>($D$14*(F821EO!H70))*0</f>
        <v>0</v>
      </c>
      <c r="I73" s="156">
        <f>($D$14*(F821EO!I70))*0</f>
        <v>0</v>
      </c>
      <c r="J73" s="156">
        <f t="shared" si="10"/>
        <v>0</v>
      </c>
      <c r="K73" s="69"/>
    </row>
    <row r="74" spans="2:11" s="37" customFormat="1" ht="15.75">
      <c r="B74" s="48" t="s">
        <v>750</v>
      </c>
      <c r="C74" s="158" t="s">
        <v>635</v>
      </c>
      <c r="D74" s="154">
        <f t="shared" ref="D74:I74" si="16">SUBTOTAL(9,D75:D80)</f>
        <v>48034.77623000108</v>
      </c>
      <c r="E74" s="154">
        <f t="shared" si="16"/>
        <v>48230.749291143511</v>
      </c>
      <c r="F74" s="154">
        <f t="shared" si="16"/>
        <v>47680.915405843021</v>
      </c>
      <c r="G74" s="154">
        <f t="shared" si="16"/>
        <v>47349.2345762779</v>
      </c>
      <c r="H74" s="154">
        <f t="shared" si="16"/>
        <v>44188.322496835099</v>
      </c>
      <c r="I74" s="154">
        <f t="shared" si="16"/>
        <v>47146.611673454412</v>
      </c>
      <c r="J74" s="159">
        <f t="shared" si="10"/>
        <v>282630.60967355501</v>
      </c>
      <c r="K74" s="69"/>
    </row>
    <row r="75" spans="2:11" s="37" customFormat="1" ht="15.75">
      <c r="B75" s="48"/>
      <c r="C75" s="160" t="s">
        <v>304</v>
      </c>
      <c r="D75" s="156">
        <f>($D$14*(F821EO!D72))*1</f>
        <v>30312.892400558558</v>
      </c>
      <c r="E75" s="156">
        <f>($D$14*(F821EO!E72))*1</f>
        <v>30436.563431883325</v>
      </c>
      <c r="F75" s="156">
        <f>($D$14*(F821EO!F72))*1</f>
        <v>30089.584498880926</v>
      </c>
      <c r="G75" s="156">
        <f>($D$14*(F821EO!G72))*1</f>
        <v>29880.273535303331</v>
      </c>
      <c r="H75" s="156">
        <f>($D$14*(F821EO!H72))*1</f>
        <v>27885.543981594463</v>
      </c>
      <c r="I75" s="156">
        <f>($D$14*(F821EO!I72))*1</f>
        <v>29752.40604567941</v>
      </c>
      <c r="J75" s="156">
        <f t="shared" si="10"/>
        <v>178357.26389390003</v>
      </c>
      <c r="K75" s="69"/>
    </row>
    <row r="76" spans="2:11" s="37" customFormat="1" ht="15.75">
      <c r="B76" s="48"/>
      <c r="C76" s="162" t="s">
        <v>642</v>
      </c>
      <c r="D76" s="156">
        <f>($D$14*(F821EO!D73))*0.75</f>
        <v>12870.880437847309</v>
      </c>
      <c r="E76" s="156">
        <f>($D$14*(F821EO!E73))*0.75</f>
        <v>12923.391265147213</v>
      </c>
      <c r="F76" s="156">
        <f>($D$14*(F821EO!F73))*0.75</f>
        <v>12776.063708868107</v>
      </c>
      <c r="G76" s="156">
        <f>($D$14*(F821EO!G73))*0.75</f>
        <v>12687.190091961525</v>
      </c>
      <c r="H76" s="156">
        <f>($D$14*(F821EO!H73))*0.75</f>
        <v>11840.226191177371</v>
      </c>
      <c r="I76" s="156">
        <f>($D$14*(F821EO!I73))*0.75</f>
        <v>12632.897444823473</v>
      </c>
      <c r="J76" s="156">
        <f>SUM(D76:I76)</f>
        <v>75730.649139824993</v>
      </c>
      <c r="K76" s="69"/>
    </row>
    <row r="77" spans="2:11" s="37" customFormat="1" ht="15.75">
      <c r="B77" s="48"/>
      <c r="C77" s="162" t="s">
        <v>1177</v>
      </c>
      <c r="D77" s="156">
        <f>($D$14*(F821EO!D74))*1</f>
        <v>4848.3346753584419</v>
      </c>
      <c r="E77" s="156">
        <f>($D$14*(F821EO!E74))*1</f>
        <v>4868.1149900043056</v>
      </c>
      <c r="F77" s="156">
        <f>($D$14*(F821EO!F74))*1</f>
        <v>4812.6181416579084</v>
      </c>
      <c r="G77" s="156">
        <f>($D$14*(F821EO!G74))*1</f>
        <v>4779.1403201014537</v>
      </c>
      <c r="H77" s="156">
        <f>($D$14*(F821EO!H74))*1</f>
        <v>4460.0973091141295</v>
      </c>
      <c r="I77" s="156">
        <f>($D$14*(F821EO!I74))*1</f>
        <v>4758.6888113637624</v>
      </c>
      <c r="J77" s="156">
        <f>SUM(D77:I77)</f>
        <v>28526.9942476</v>
      </c>
      <c r="K77" s="69"/>
    </row>
    <row r="78" spans="2:11" s="37" customFormat="1" ht="15.75">
      <c r="B78" s="48"/>
      <c r="C78" s="160" t="s">
        <v>305</v>
      </c>
      <c r="D78" s="156">
        <f>($D$14*(F821EO!D75))*0.95</f>
        <v>2.4536326410575287</v>
      </c>
      <c r="E78" s="156">
        <f>($D$14*(F821EO!E75))*0.95</f>
        <v>2.4636430114043093</v>
      </c>
      <c r="F78" s="156">
        <f>($D$14*(F821EO!F75))*0.95</f>
        <v>2.4355573102932428</v>
      </c>
      <c r="G78" s="156">
        <f>($D$14*(F821EO!G75))*0.95</f>
        <v>2.4186149411659823</v>
      </c>
      <c r="H78" s="156">
        <f>($D$14*(F821EO!H75))*0.95</f>
        <v>2.2571544814253603</v>
      </c>
      <c r="I78" s="156">
        <f>($D$14*(F821EO!I75))*0.95</f>
        <v>2.4082648946535761</v>
      </c>
      <c r="J78" s="156">
        <f t="shared" si="10"/>
        <v>14.436867279999998</v>
      </c>
      <c r="K78" s="69"/>
    </row>
    <row r="79" spans="2:11" s="37" customFormat="1" ht="15.75">
      <c r="B79" s="48"/>
      <c r="C79" s="160" t="s">
        <v>307</v>
      </c>
      <c r="D79" s="156">
        <f>($D$14*(F821EO!D76))*0.5</f>
        <v>0.21508359571154115</v>
      </c>
      <c r="E79" s="156">
        <f>($D$14*(F821EO!E76))*0.5</f>
        <v>0.2159610972627358</v>
      </c>
      <c r="F79" s="156">
        <f>($D$14*(F821EO!F76))*0.5</f>
        <v>0.21349912578340127</v>
      </c>
      <c r="G79" s="156">
        <f>($D$14*(F821EO!G76))*0.5</f>
        <v>0.21201397042200512</v>
      </c>
      <c r="H79" s="156">
        <f>($D$14*(F821EO!H76))*0.5</f>
        <v>0.19786046770723692</v>
      </c>
      <c r="I79" s="156">
        <f>($D$14*(F821EO!I76))*0.5</f>
        <v>0.21110669311307978</v>
      </c>
      <c r="J79" s="156">
        <f t="shared" si="10"/>
        <v>1.2655249500000001</v>
      </c>
      <c r="K79" s="69"/>
    </row>
    <row r="80" spans="2:11" s="37" customFormat="1" ht="15.75">
      <c r="B80" s="48"/>
      <c r="C80" s="160" t="s">
        <v>624</v>
      </c>
      <c r="D80" s="156">
        <f>($D$14*(F821EO!D77))*0</f>
        <v>0</v>
      </c>
      <c r="E80" s="156">
        <f>($D$14*(F821EO!E77))*0</f>
        <v>0</v>
      </c>
      <c r="F80" s="156">
        <f>($D$14*(F821EO!F77))*0</f>
        <v>0</v>
      </c>
      <c r="G80" s="156">
        <f>($D$14*(F821EO!G77))*0</f>
        <v>0</v>
      </c>
      <c r="H80" s="156">
        <f>($D$14*(F821EO!H77))*0</f>
        <v>0</v>
      </c>
      <c r="I80" s="156">
        <f>($D$14*(F821EO!I77))*0</f>
        <v>0</v>
      </c>
      <c r="J80" s="156">
        <f t="shared" si="10"/>
        <v>0</v>
      </c>
      <c r="K80" s="69"/>
    </row>
    <row r="81" spans="2:11" s="37" customFormat="1" ht="15.75">
      <c r="B81" s="48" t="s">
        <v>749</v>
      </c>
      <c r="C81" s="158" t="s">
        <v>636</v>
      </c>
      <c r="D81" s="154">
        <f t="shared" ref="D81:I81" si="17">SUBTOTAL(9,D82:D87)</f>
        <v>53716.520870862987</v>
      </c>
      <c r="E81" s="154">
        <f t="shared" si="17"/>
        <v>53935.674406180398</v>
      </c>
      <c r="F81" s="154">
        <f t="shared" si="17"/>
        <v>53320.80397909999</v>
      </c>
      <c r="G81" s="154">
        <f t="shared" si="17"/>
        <v>52949.890620026781</v>
      </c>
      <c r="H81" s="154">
        <f t="shared" si="17"/>
        <v>49415.093270844918</v>
      </c>
      <c r="I81" s="154">
        <f t="shared" si="17"/>
        <v>52723.30067326995</v>
      </c>
      <c r="J81" s="159">
        <f t="shared" si="10"/>
        <v>316061.283820285</v>
      </c>
      <c r="K81" s="69"/>
    </row>
    <row r="82" spans="2:11" s="37" customFormat="1" ht="15.75">
      <c r="B82" s="48"/>
      <c r="C82" s="160" t="s">
        <v>304</v>
      </c>
      <c r="D82" s="156">
        <f>($D$14*(F821EO!D79))*1</f>
        <v>46764.531614211402</v>
      </c>
      <c r="E82" s="156">
        <f>($D$14*(F821EO!E79))*1</f>
        <v>46955.322310715273</v>
      </c>
      <c r="F82" s="156">
        <f>($D$14*(F821EO!F79))*1</f>
        <v>46420.02838140494</v>
      </c>
      <c r="G82" s="156">
        <f>($D$14*(F821EO!G79))*1</f>
        <v>46097.118609414829</v>
      </c>
      <c r="H82" s="156">
        <f>($D$14*(F821EO!H79))*1</f>
        <v>43019.794544011515</v>
      </c>
      <c r="I82" s="156">
        <f>($D$14*(F821EO!I79))*1</f>
        <v>45899.853921442074</v>
      </c>
      <c r="J82" s="156">
        <f t="shared" si="10"/>
        <v>275156.64938120003</v>
      </c>
      <c r="K82" s="69"/>
    </row>
    <row r="83" spans="2:11" s="37" customFormat="1" ht="15.75">
      <c r="B83" s="48"/>
      <c r="C83" s="162" t="s">
        <v>642</v>
      </c>
      <c r="D83" s="156">
        <f>($D$14*(F821EO!D80))*0.75</f>
        <v>6935.274140652009</v>
      </c>
      <c r="E83" s="156">
        <f>($D$14*(F821EO!E80))*0.75</f>
        <v>6963.5687848634807</v>
      </c>
      <c r="F83" s="156">
        <f>($D$14*(F821EO!F80))*0.75</f>
        <v>6884.1836179977072</v>
      </c>
      <c r="G83" s="156">
        <f>($D$14*(F821EO!G80))*0.75</f>
        <v>6836.2954490340671</v>
      </c>
      <c r="H83" s="156">
        <f>($D$14*(F821EO!H80))*0.75</f>
        <v>6379.9220977673112</v>
      </c>
      <c r="I83" s="156">
        <f>($D$14*(F821EO!I80))*0.75</f>
        <v>6807.0406988604227</v>
      </c>
      <c r="J83" s="156">
        <f>SUM(D83:I83)</f>
        <v>40806.284789174999</v>
      </c>
      <c r="K83" s="69"/>
    </row>
    <row r="84" spans="2:11" s="37" customFormat="1" ht="15.75">
      <c r="B84" s="48"/>
      <c r="C84" s="162" t="s">
        <v>1177</v>
      </c>
      <c r="D84" s="156">
        <f>($D$14*(F821EO!D81))*1</f>
        <v>0</v>
      </c>
      <c r="E84" s="156">
        <f>($D$14*(F821EO!E81))*1</f>
        <v>0</v>
      </c>
      <c r="F84" s="156">
        <f>($D$14*(F821EO!F81))*1</f>
        <v>0</v>
      </c>
      <c r="G84" s="156">
        <f>($D$14*(F821EO!G81))*1</f>
        <v>0</v>
      </c>
      <c r="H84" s="156">
        <f>($D$14*(F821EO!H81))*1</f>
        <v>0</v>
      </c>
      <c r="I84" s="156">
        <f>($D$14*(F821EO!I81))*1</f>
        <v>0</v>
      </c>
      <c r="J84" s="156">
        <f>SUM(D84:I84)</f>
        <v>0</v>
      </c>
      <c r="K84" s="69"/>
    </row>
    <row r="85" spans="2:11" s="37" customFormat="1" ht="15.75">
      <c r="B85" s="48"/>
      <c r="C85" s="160" t="s">
        <v>305</v>
      </c>
      <c r="D85" s="156">
        <f>($D$14*(F821EO!D82))*0.95</f>
        <v>15.809873081337686</v>
      </c>
      <c r="E85" s="156">
        <f>($D$14*(F821EO!E82))*0.95</f>
        <v>15.874374458614597</v>
      </c>
      <c r="F85" s="156">
        <f>($D$14*(F821EO!F82))*0.95</f>
        <v>15.693405489366222</v>
      </c>
      <c r="G85" s="156">
        <f>($D$14*(F821EO!G82))*0.95</f>
        <v>15.5842380854456</v>
      </c>
      <c r="H85" s="156">
        <f>($D$14*(F821EO!H82))*0.95</f>
        <v>14.543874775372638</v>
      </c>
      <c r="I85" s="156">
        <f>($D$14*(F821EO!I82))*0.95</f>
        <v>15.517548019863261</v>
      </c>
      <c r="J85" s="156">
        <f t="shared" si="10"/>
        <v>93.023313909999999</v>
      </c>
      <c r="K85" s="69"/>
    </row>
    <row r="86" spans="2:11" s="37" customFormat="1" ht="15.75">
      <c r="B86" s="48"/>
      <c r="C86" s="160" t="s">
        <v>307</v>
      </c>
      <c r="D86" s="156">
        <f>($D$14*(F821EO!D83))*0.5</f>
        <v>0.90524291824339564</v>
      </c>
      <c r="E86" s="156">
        <f>($D$14*(F821EO!E83))*0.5</f>
        <v>0.90893614302113224</v>
      </c>
      <c r="F86" s="156">
        <f>($D$14*(F821EO!F83))*0.5</f>
        <v>0.89857420798274934</v>
      </c>
      <c r="G86" s="156">
        <f>($D$14*(F821EO!G83))*0.5</f>
        <v>0.89232349244608811</v>
      </c>
      <c r="H86" s="156">
        <f>($D$14*(F821EO!H83))*0.5</f>
        <v>0.83275429072014229</v>
      </c>
      <c r="I86" s="156">
        <f>($D$14*(F821EO!I83))*0.5</f>
        <v>0.88850494758649279</v>
      </c>
      <c r="J86" s="156">
        <f t="shared" si="10"/>
        <v>5.3263360000000004</v>
      </c>
      <c r="K86" s="69"/>
    </row>
    <row r="87" spans="2:11" s="37" customFormat="1" ht="15.75">
      <c r="B87" s="48"/>
      <c r="C87" s="160" t="s">
        <v>624</v>
      </c>
      <c r="D87" s="156">
        <f>($D$14*(F821EO!D84))*0</f>
        <v>0</v>
      </c>
      <c r="E87" s="156">
        <f>($D$14*(F821EO!E84))*0</f>
        <v>0</v>
      </c>
      <c r="F87" s="156">
        <f>($D$14*(F821EO!F84))*0</f>
        <v>0</v>
      </c>
      <c r="G87" s="156">
        <f>($D$14*(F821EO!G84))*0</f>
        <v>0</v>
      </c>
      <c r="H87" s="156">
        <f>($D$14*(F821EO!H84))*0</f>
        <v>0</v>
      </c>
      <c r="I87" s="156">
        <f>($D$14*(F821EO!I84))*0</f>
        <v>0</v>
      </c>
      <c r="J87" s="156">
        <f t="shared" si="10"/>
        <v>0</v>
      </c>
      <c r="K87" s="69"/>
    </row>
    <row r="88" spans="2:11" s="37" customFormat="1" ht="15.75">
      <c r="B88" s="48"/>
      <c r="C88" s="157"/>
      <c r="D88" s="156"/>
      <c r="E88" s="156"/>
      <c r="F88" s="156"/>
      <c r="G88" s="156"/>
      <c r="H88" s="156"/>
      <c r="I88" s="156"/>
      <c r="J88" s="156"/>
      <c r="K88" s="69"/>
    </row>
    <row r="89" spans="2:11" s="37" customFormat="1" ht="15.75">
      <c r="B89" s="48" t="s">
        <v>902</v>
      </c>
      <c r="C89" s="158" t="s">
        <v>898</v>
      </c>
      <c r="D89" s="154">
        <f t="shared" ref="D89:I89" si="18">SUBTOTAL(9,D90:D94)</f>
        <v>9393.2087630329697</v>
      </c>
      <c r="E89" s="154">
        <f t="shared" si="18"/>
        <v>9431.5313288845791</v>
      </c>
      <c r="F89" s="154">
        <f t="shared" si="18"/>
        <v>9324.0112179364751</v>
      </c>
      <c r="G89" s="154">
        <f t="shared" si="18"/>
        <v>9259.1509746018728</v>
      </c>
      <c r="H89" s="154">
        <f t="shared" si="18"/>
        <v>8641.0340731796314</v>
      </c>
      <c r="I89" s="154">
        <f t="shared" si="18"/>
        <v>9219.5280310644757</v>
      </c>
      <c r="J89" s="159">
        <f t="shared" ref="J89:J98" si="19">SUM(D89:I89)</f>
        <v>55268.464388699998</v>
      </c>
      <c r="K89" s="69"/>
    </row>
    <row r="90" spans="2:11" s="37" customFormat="1" ht="15.75">
      <c r="B90" s="48"/>
      <c r="C90" s="160" t="s">
        <v>304</v>
      </c>
      <c r="D90" s="156">
        <f>$D$13*F821EO!D87*1</f>
        <v>9133.6025978012531</v>
      </c>
      <c r="E90" s="156">
        <f>$D$13*F821EO!E87*1</f>
        <v>9170.8660181985706</v>
      </c>
      <c r="F90" s="156">
        <f>$D$13*F821EO!F87*1</f>
        <v>9066.3175098617467</v>
      </c>
      <c r="G90" s="156">
        <f>$D$13*F821EO!G87*1</f>
        <v>9003.2498508796143</v>
      </c>
      <c r="H90" s="156">
        <f>$D$13*F821EO!H87*1</f>
        <v>8402.2162446860129</v>
      </c>
      <c r="I90" s="156">
        <f>$D$13*F821EO!I87*1</f>
        <v>8964.7219921728047</v>
      </c>
      <c r="J90" s="156">
        <f t="shared" si="19"/>
        <v>53740.974213600006</v>
      </c>
      <c r="K90" s="69"/>
    </row>
    <row r="91" spans="2:11" s="37" customFormat="1" ht="15.75">
      <c r="B91" s="48"/>
      <c r="C91" s="162" t="s">
        <v>644</v>
      </c>
      <c r="D91" s="156">
        <f>$D$13*F821EO!D88*0.75</f>
        <v>259.60616523171643</v>
      </c>
      <c r="E91" s="156">
        <f>$D$13*F821EO!E88*0.75</f>
        <v>260.66531068600773</v>
      </c>
      <c r="F91" s="156">
        <f>$D$13*F821EO!F88*0.75</f>
        <v>257.69370807472785</v>
      </c>
      <c r="G91" s="156">
        <f>$D$13*F821EO!G88*0.75</f>
        <v>255.90112372225838</v>
      </c>
      <c r="H91" s="156">
        <f>$D$13*F821EO!H88*0.75</f>
        <v>238.81782849361858</v>
      </c>
      <c r="I91" s="156">
        <f>$D$13*F821EO!I88*0.75</f>
        <v>254.80603889167116</v>
      </c>
      <c r="J91" s="156">
        <f t="shared" si="19"/>
        <v>1527.4901751000002</v>
      </c>
      <c r="K91" s="69"/>
    </row>
    <row r="92" spans="2:11" s="37" customFormat="1" ht="15.75">
      <c r="B92" s="48"/>
      <c r="C92" s="160" t="s">
        <v>305</v>
      </c>
      <c r="D92" s="156">
        <f>$D$13*F821EO!D89*0.95</f>
        <v>0</v>
      </c>
      <c r="E92" s="156">
        <f>$D$13*F821EO!E89*0.95</f>
        <v>0</v>
      </c>
      <c r="F92" s="156">
        <f>$D$13*F821EO!F89*0.95</f>
        <v>0</v>
      </c>
      <c r="G92" s="156">
        <f>$D$13*F821EO!G89*0.95</f>
        <v>0</v>
      </c>
      <c r="H92" s="156">
        <f>$D$13*F821EO!H89*0.95</f>
        <v>0</v>
      </c>
      <c r="I92" s="156">
        <f>$D$13*F821EO!I89*0.95</f>
        <v>0</v>
      </c>
      <c r="J92" s="156">
        <f t="shared" si="19"/>
        <v>0</v>
      </c>
      <c r="K92" s="69"/>
    </row>
    <row r="93" spans="2:11" s="37" customFormat="1" ht="15.75">
      <c r="B93" s="48"/>
      <c r="C93" s="160" t="s">
        <v>307</v>
      </c>
      <c r="D93" s="156">
        <f>$D$13*F821EO!D90*0.5</f>
        <v>0</v>
      </c>
      <c r="E93" s="156">
        <f>$D$13*F821EO!E90*0.5</f>
        <v>0</v>
      </c>
      <c r="F93" s="156">
        <f>$D$13*F821EO!F90*0.5</f>
        <v>0</v>
      </c>
      <c r="G93" s="156">
        <f>$D$13*F821EO!G90*0.5</f>
        <v>0</v>
      </c>
      <c r="H93" s="156">
        <f>$D$13*F821EO!H90*0.5</f>
        <v>0</v>
      </c>
      <c r="I93" s="156">
        <f>$D$13*F821EO!I90*0.5</f>
        <v>0</v>
      </c>
      <c r="J93" s="156">
        <f t="shared" si="19"/>
        <v>0</v>
      </c>
      <c r="K93" s="69"/>
    </row>
    <row r="94" spans="2:11" s="37" customFormat="1" ht="15.75">
      <c r="B94" s="48"/>
      <c r="C94" s="160" t="s">
        <v>624</v>
      </c>
      <c r="D94" s="156">
        <f>$D$13*F821EO!D91*0</f>
        <v>0</v>
      </c>
      <c r="E94" s="156">
        <f>$D$13*F821EO!E91*0</f>
        <v>0</v>
      </c>
      <c r="F94" s="156">
        <f>$D$13*F821EO!F91*0</f>
        <v>0</v>
      </c>
      <c r="G94" s="156">
        <f>$D$13*F821EO!G91*0</f>
        <v>0</v>
      </c>
      <c r="H94" s="156">
        <f>$D$13*F821EO!H91*0</f>
        <v>0</v>
      </c>
      <c r="I94" s="156">
        <f>$D$13*F821EO!I91*0</f>
        <v>0</v>
      </c>
      <c r="J94" s="156">
        <f t="shared" si="19"/>
        <v>0</v>
      </c>
      <c r="K94" s="69"/>
    </row>
    <row r="95" spans="2:11" s="37" customFormat="1" ht="15.75">
      <c r="B95" s="48" t="s">
        <v>902</v>
      </c>
      <c r="C95" s="158" t="s">
        <v>899</v>
      </c>
      <c r="D95" s="154">
        <f t="shared" ref="D95:I95" si="20">SUBTOTAL(9,D96:D101)</f>
        <v>3924.7527643879753</v>
      </c>
      <c r="E95" s="154">
        <f t="shared" si="20"/>
        <v>3940.7650345353682</v>
      </c>
      <c r="F95" s="154">
        <f t="shared" si="20"/>
        <v>3895.8400399657153</v>
      </c>
      <c r="G95" s="154">
        <f t="shared" si="20"/>
        <v>3868.739564957837</v>
      </c>
      <c r="H95" s="154">
        <f t="shared" si="20"/>
        <v>3610.4725468628881</v>
      </c>
      <c r="I95" s="154">
        <f t="shared" si="20"/>
        <v>3852.1839596152195</v>
      </c>
      <c r="J95" s="159">
        <f t="shared" si="19"/>
        <v>23092.753910325006</v>
      </c>
      <c r="K95" s="69"/>
    </row>
    <row r="96" spans="2:11" s="37" customFormat="1" ht="15.75">
      <c r="B96" s="48"/>
      <c r="C96" s="160" t="s">
        <v>304</v>
      </c>
      <c r="D96" s="156">
        <f>$D$13*F821EO!D93*1</f>
        <v>3633.7764401352902</v>
      </c>
      <c r="E96" s="156">
        <f>$D$13*F821EO!E93*1</f>
        <v>3648.6015803435171</v>
      </c>
      <c r="F96" s="156">
        <f>$D$13*F821EO!F93*1</f>
        <v>3607.0072694045789</v>
      </c>
      <c r="G96" s="156">
        <f>$D$13*F821EO!G93*1</f>
        <v>3581.915990154162</v>
      </c>
      <c r="H96" s="156">
        <f>$D$13*F821EO!H93*1</f>
        <v>3342.7965699111992</v>
      </c>
      <c r="I96" s="156">
        <f>$D$13*F821EO!I93*1</f>
        <v>3566.5877969512558</v>
      </c>
      <c r="J96" s="156">
        <f t="shared" si="19"/>
        <v>21380.685646900001</v>
      </c>
      <c r="K96" s="69"/>
    </row>
    <row r="97" spans="2:11" s="37" customFormat="1" ht="15.75">
      <c r="B97" s="48"/>
      <c r="C97" s="162" t="s">
        <v>642</v>
      </c>
      <c r="D97" s="156">
        <f>$D$13*F821EO!D94*0.75</f>
        <v>238.58273828048652</v>
      </c>
      <c r="E97" s="156">
        <f>$D$13*F821EO!E94*0.75</f>
        <v>239.55611201564656</v>
      </c>
      <c r="F97" s="156">
        <f>$D$13*F821EO!F94*0.75</f>
        <v>236.8251557325097</v>
      </c>
      <c r="G97" s="156">
        <f>$D$13*F821EO!G94*0.75</f>
        <v>235.17773844937551</v>
      </c>
      <c r="H97" s="156">
        <f>$D$13*F821EO!H94*0.75</f>
        <v>219.4778826664247</v>
      </c>
      <c r="I97" s="156">
        <f>$D$13*F821EO!I94*0.75</f>
        <v>234.17133578055706</v>
      </c>
      <c r="J97" s="156">
        <f t="shared" si="19"/>
        <v>1403.790962925</v>
      </c>
      <c r="K97" s="69"/>
    </row>
    <row r="98" spans="2:11" s="37" customFormat="1" ht="15.75">
      <c r="B98" s="48"/>
      <c r="C98" s="162" t="s">
        <v>1177</v>
      </c>
      <c r="D98" s="156">
        <f>$D$13*F821EO!D95*1</f>
        <v>52.393585972198572</v>
      </c>
      <c r="E98" s="156">
        <f>$D$13*F821EO!E95*1</f>
        <v>52.607342176204533</v>
      </c>
      <c r="F98" s="156">
        <f>$D$13*F821EO!F95*1</f>
        <v>52.007614828626572</v>
      </c>
      <c r="G98" s="156">
        <f>$D$13*F821EO!G95*1</f>
        <v>51.645836354299128</v>
      </c>
      <c r="H98" s="156">
        <f>$D$13*F821EO!H95*1</f>
        <v>48.198094285264332</v>
      </c>
      <c r="I98" s="156">
        <f>$D$13*F821EO!I95*1</f>
        <v>51.424826883406901</v>
      </c>
      <c r="J98" s="156">
        <f t="shared" si="19"/>
        <v>308.27730050000002</v>
      </c>
      <c r="K98" s="69"/>
    </row>
    <row r="99" spans="2:11" s="37" customFormat="1" ht="15.75">
      <c r="B99" s="48"/>
      <c r="C99" s="160" t="s">
        <v>305</v>
      </c>
      <c r="D99" s="156">
        <f>$D$13*F821EO!D96*0.95</f>
        <v>0</v>
      </c>
      <c r="E99" s="156">
        <f>$D$13*F821EO!E96*0.95</f>
        <v>0</v>
      </c>
      <c r="F99" s="156">
        <f>$D$13*F821EO!F96*0.95</f>
        <v>0</v>
      </c>
      <c r="G99" s="156">
        <f>$D$13*F821EO!G96*0.95</f>
        <v>0</v>
      </c>
      <c r="H99" s="156">
        <f>$D$13*F821EO!H96*0.95</f>
        <v>0</v>
      </c>
      <c r="I99" s="156">
        <f>$D$13*F821EO!I96*0.95</f>
        <v>0</v>
      </c>
      <c r="J99" s="156">
        <f t="shared" ref="J99:J108" si="21">SUM(D99:I99)</f>
        <v>0</v>
      </c>
      <c r="K99" s="69"/>
    </row>
    <row r="100" spans="2:11" s="37" customFormat="1" ht="15.75">
      <c r="B100" s="48"/>
      <c r="C100" s="160" t="s">
        <v>307</v>
      </c>
      <c r="D100" s="156">
        <f>$D$13*F821EO!D97*0.5</f>
        <v>0</v>
      </c>
      <c r="E100" s="156">
        <f>$D$13*F821EO!E97*0.5</f>
        <v>0</v>
      </c>
      <c r="F100" s="156">
        <f>$D$13*F821EO!F97*0.5</f>
        <v>0</v>
      </c>
      <c r="G100" s="156">
        <f>$D$13*F821EO!G97*0.5</f>
        <v>0</v>
      </c>
      <c r="H100" s="156">
        <f>$D$13*F821EO!H97*0.5</f>
        <v>0</v>
      </c>
      <c r="I100" s="156">
        <f>$D$13*F821EO!I97*0.5</f>
        <v>0</v>
      </c>
      <c r="J100" s="156">
        <f t="shared" si="21"/>
        <v>0</v>
      </c>
      <c r="K100" s="69"/>
    </row>
    <row r="101" spans="2:11" s="37" customFormat="1" ht="15.75">
      <c r="B101" s="48"/>
      <c r="C101" s="160" t="s">
        <v>624</v>
      </c>
      <c r="D101" s="156">
        <f>$D$13*F821EO!D98*0</f>
        <v>0</v>
      </c>
      <c r="E101" s="156">
        <f>$D$13*F821EO!E98*0</f>
        <v>0</v>
      </c>
      <c r="F101" s="156">
        <f>$D$13*F821EO!F98*0</f>
        <v>0</v>
      </c>
      <c r="G101" s="156">
        <f>$D$13*F821EO!G98*0</f>
        <v>0</v>
      </c>
      <c r="H101" s="156">
        <f>$D$13*F821EO!H98*0</f>
        <v>0</v>
      </c>
      <c r="I101" s="156">
        <f>$D$13*F821EO!I98*0</f>
        <v>0</v>
      </c>
      <c r="J101" s="156">
        <f t="shared" si="21"/>
        <v>0</v>
      </c>
      <c r="K101" s="69"/>
    </row>
    <row r="102" spans="2:11" s="37" customFormat="1" ht="15.75">
      <c r="B102" s="48" t="s">
        <v>902</v>
      </c>
      <c r="C102" s="158" t="s">
        <v>900</v>
      </c>
      <c r="D102" s="154">
        <f t="shared" ref="D102:I102" si="22">SUBTOTAL(9,D103:D108)</f>
        <v>471.06609299010756</v>
      </c>
      <c r="E102" s="154">
        <f t="shared" si="22"/>
        <v>472.9879560961549</v>
      </c>
      <c r="F102" s="154">
        <f t="shared" si="22"/>
        <v>467.59586060887949</v>
      </c>
      <c r="G102" s="154">
        <f t="shared" si="22"/>
        <v>464.34314237501428</v>
      </c>
      <c r="H102" s="154">
        <f t="shared" si="22"/>
        <v>433.34479866630824</v>
      </c>
      <c r="I102" s="154">
        <f t="shared" si="22"/>
        <v>462.35606578853566</v>
      </c>
      <c r="J102" s="159">
        <f t="shared" si="21"/>
        <v>2771.6939165250001</v>
      </c>
      <c r="K102" s="69"/>
    </row>
    <row r="103" spans="2:11" s="37" customFormat="1" ht="15.75">
      <c r="B103" s="48"/>
      <c r="C103" s="160" t="s">
        <v>304</v>
      </c>
      <c r="D103" s="156">
        <f>$D$13*F821EO!D100*1</f>
        <v>442.80116470607419</v>
      </c>
      <c r="E103" s="156">
        <f>$D$13*F821EO!E100*1</f>
        <v>444.60771209810071</v>
      </c>
      <c r="F103" s="156">
        <f>$D$13*F821EO!F100*1</f>
        <v>439.53915335973687</v>
      </c>
      <c r="G103" s="156">
        <f>$D$13*F821EO!G100*1</f>
        <v>436.48160486739306</v>
      </c>
      <c r="H103" s="156">
        <f>$D$13*F821EO!H100*1</f>
        <v>407.34322513165927</v>
      </c>
      <c r="I103" s="156">
        <f>$D$13*F821EO!I100*1</f>
        <v>434.6137569370361</v>
      </c>
      <c r="J103" s="156">
        <f t="shared" si="21"/>
        <v>2605.3866171000004</v>
      </c>
      <c r="K103" s="69"/>
    </row>
    <row r="104" spans="2:11" s="37" customFormat="1" ht="15.75">
      <c r="B104" s="48"/>
      <c r="C104" s="162" t="s">
        <v>642</v>
      </c>
      <c r="D104" s="156">
        <f>$D$13*F821EO!D101*0.75</f>
        <v>28.264928284033374</v>
      </c>
      <c r="E104" s="156">
        <f>$D$13*F821EO!E101*0.75</f>
        <v>28.380243998054205</v>
      </c>
      <c r="F104" s="156">
        <f>$D$13*F821EO!F101*0.75</f>
        <v>28.056707249142626</v>
      </c>
      <c r="G104" s="156">
        <f>$D$13*F821EO!G101*0.75</f>
        <v>27.861537507621247</v>
      </c>
      <c r="H104" s="156">
        <f>$D$13*F821EO!H101*0.75</f>
        <v>26.001573534648994</v>
      </c>
      <c r="I104" s="156">
        <f>$D$13*F821EO!I101*0.75</f>
        <v>27.742308851499565</v>
      </c>
      <c r="J104" s="156">
        <f t="shared" si="21"/>
        <v>166.307299425</v>
      </c>
      <c r="K104" s="69"/>
    </row>
    <row r="105" spans="2:11" s="37" customFormat="1" ht="15.75">
      <c r="B105" s="48"/>
      <c r="C105" s="162" t="s">
        <v>1177</v>
      </c>
      <c r="D105" s="156">
        <f>$D$13*F821EO!D102*1</f>
        <v>0</v>
      </c>
      <c r="E105" s="156">
        <f>$D$13*F821EO!E102*1</f>
        <v>0</v>
      </c>
      <c r="F105" s="156">
        <f>$D$13*F821EO!F102*1</f>
        <v>0</v>
      </c>
      <c r="G105" s="156">
        <f>$D$13*F821EO!G102*1</f>
        <v>0</v>
      </c>
      <c r="H105" s="156">
        <f>$D$13*F821EO!H102*1</f>
        <v>0</v>
      </c>
      <c r="I105" s="156">
        <f>$D$13*F821EO!I102*1</f>
        <v>0</v>
      </c>
      <c r="J105" s="156">
        <f t="shared" si="21"/>
        <v>0</v>
      </c>
      <c r="K105" s="69"/>
    </row>
    <row r="106" spans="2:11" s="37" customFormat="1" ht="15.75">
      <c r="B106" s="48"/>
      <c r="C106" s="160" t="s">
        <v>305</v>
      </c>
      <c r="D106" s="156">
        <f>$D$13*F821EO!D103*0.95</f>
        <v>0</v>
      </c>
      <c r="E106" s="156">
        <f>$D$13*F821EO!E103*0.95</f>
        <v>0</v>
      </c>
      <c r="F106" s="156">
        <f>$D$13*F821EO!F103*0.95</f>
        <v>0</v>
      </c>
      <c r="G106" s="156">
        <f>$D$13*F821EO!G103*0.95</f>
        <v>0</v>
      </c>
      <c r="H106" s="156">
        <f>$D$13*F821EO!H103*0.95</f>
        <v>0</v>
      </c>
      <c r="I106" s="156">
        <f>$D$13*F821EO!I103*0.95</f>
        <v>0</v>
      </c>
      <c r="J106" s="156">
        <f t="shared" si="21"/>
        <v>0</v>
      </c>
      <c r="K106" s="69"/>
    </row>
    <row r="107" spans="2:11" s="37" customFormat="1" ht="15.75">
      <c r="B107" s="48"/>
      <c r="C107" s="160" t="s">
        <v>307</v>
      </c>
      <c r="D107" s="156">
        <f>$D$13*F821EO!D104*0.5</f>
        <v>0</v>
      </c>
      <c r="E107" s="156">
        <f>$D$13*F821EO!E104*0.5</f>
        <v>0</v>
      </c>
      <c r="F107" s="156">
        <f>$D$13*F821EO!F104*0.5</f>
        <v>0</v>
      </c>
      <c r="G107" s="156">
        <f>$D$13*F821EO!G104*0.5</f>
        <v>0</v>
      </c>
      <c r="H107" s="156">
        <f>$D$13*F821EO!H104*0.5</f>
        <v>0</v>
      </c>
      <c r="I107" s="156">
        <f>$D$13*F821EO!I104*0.5</f>
        <v>0</v>
      </c>
      <c r="J107" s="156">
        <f t="shared" si="21"/>
        <v>0</v>
      </c>
      <c r="K107" s="69"/>
    </row>
    <row r="108" spans="2:11" s="37" customFormat="1" ht="15.75">
      <c r="B108" s="48"/>
      <c r="C108" s="160" t="s">
        <v>624</v>
      </c>
      <c r="D108" s="156">
        <f>$D$13*F821EO!D105*0</f>
        <v>0</v>
      </c>
      <c r="E108" s="156">
        <f>$D$13*F821EO!E105*0</f>
        <v>0</v>
      </c>
      <c r="F108" s="156">
        <f>$D$13*F821EO!F105*0</f>
        <v>0</v>
      </c>
      <c r="G108" s="156">
        <f>$D$13*F821EO!G105*0</f>
        <v>0</v>
      </c>
      <c r="H108" s="156">
        <f>$D$13*F821EO!H105*0</f>
        <v>0</v>
      </c>
      <c r="I108" s="156">
        <f>$D$13*F821EO!I105*0</f>
        <v>0</v>
      </c>
      <c r="J108" s="156">
        <f t="shared" si="21"/>
        <v>0</v>
      </c>
      <c r="K108" s="69"/>
    </row>
    <row r="109" spans="2:11" s="37" customFormat="1" ht="15.75">
      <c r="B109" s="48"/>
      <c r="C109" s="157"/>
      <c r="D109" s="156"/>
      <c r="E109" s="156"/>
      <c r="F109" s="156"/>
      <c r="G109" s="156"/>
      <c r="H109" s="156"/>
      <c r="I109" s="156"/>
      <c r="J109" s="156"/>
      <c r="K109" s="69"/>
    </row>
    <row r="110" spans="2:11" s="37" customFormat="1" ht="15.75">
      <c r="B110" s="48"/>
      <c r="C110" s="153" t="s">
        <v>112</v>
      </c>
      <c r="D110" s="154">
        <f t="shared" ref="D110:I110" si="23">D33+D23+D19</f>
        <v>346990.8817307133</v>
      </c>
      <c r="E110" s="154">
        <f t="shared" si="23"/>
        <v>348415.32582498237</v>
      </c>
      <c r="F110" s="154">
        <f t="shared" si="23"/>
        <v>345891.25577878579</v>
      </c>
      <c r="G110" s="154">
        <f t="shared" si="23"/>
        <v>341992.49217218714</v>
      </c>
      <c r="H110" s="154">
        <f t="shared" si="23"/>
        <v>320337.75608887186</v>
      </c>
      <c r="I110" s="154">
        <f t="shared" si="23"/>
        <v>340518.40759425669</v>
      </c>
      <c r="J110" s="154">
        <f>SUM(D110:I110)</f>
        <v>2044146.119189797</v>
      </c>
      <c r="K110" s="69"/>
    </row>
    <row r="111" spans="2:11" s="37" customFormat="1" ht="15.75">
      <c r="B111" s="48"/>
      <c r="C111" s="48"/>
      <c r="D111" s="48"/>
      <c r="E111" s="48"/>
      <c r="F111" s="48"/>
      <c r="G111" s="48"/>
      <c r="H111" s="48"/>
      <c r="I111" s="48"/>
      <c r="J111" s="48"/>
      <c r="K111" s="69"/>
    </row>
    <row r="112" spans="2:11" s="37" customFormat="1" ht="33.75">
      <c r="B112" s="48"/>
      <c r="C112" s="138" t="s">
        <v>1432</v>
      </c>
      <c r="D112" s="138"/>
      <c r="E112" s="138"/>
      <c r="F112" s="138"/>
      <c r="G112" s="138"/>
      <c r="H112" s="138"/>
      <c r="I112" s="138"/>
      <c r="J112" s="138"/>
      <c r="K112" s="69"/>
    </row>
    <row r="113" spans="1:11" s="37" customFormat="1" ht="15.75">
      <c r="B113" s="48"/>
      <c r="C113" s="150" t="s">
        <v>310</v>
      </c>
      <c r="D113" s="151">
        <f t="shared" ref="D113:I113" si="24">D18</f>
        <v>45839</v>
      </c>
      <c r="E113" s="151">
        <f t="shared" si="24"/>
        <v>45870</v>
      </c>
      <c r="F113" s="151">
        <f t="shared" si="24"/>
        <v>45901</v>
      </c>
      <c r="G113" s="151">
        <f t="shared" si="24"/>
        <v>45931</v>
      </c>
      <c r="H113" s="151">
        <f t="shared" si="24"/>
        <v>45962</v>
      </c>
      <c r="I113" s="151">
        <f t="shared" si="24"/>
        <v>45992</v>
      </c>
      <c r="J113" s="152" t="s">
        <v>111</v>
      </c>
      <c r="K113" s="69"/>
    </row>
    <row r="114" spans="1:11">
      <c r="A114" s="37"/>
      <c r="C114" s="153" t="s">
        <v>230</v>
      </c>
      <c r="D114" s="154">
        <f t="shared" ref="D114:I114" si="25">SUM(D115:D116)</f>
        <v>14510.40389008409</v>
      </c>
      <c r="E114" s="154">
        <f t="shared" si="25"/>
        <v>13867.271774597828</v>
      </c>
      <c r="F114" s="154">
        <f t="shared" si="25"/>
        <v>14613.298646395055</v>
      </c>
      <c r="G114" s="154">
        <f t="shared" si="25"/>
        <v>12298.806103444691</v>
      </c>
      <c r="H114" s="154">
        <f t="shared" si="25"/>
        <v>14386.827726729314</v>
      </c>
      <c r="I114" s="154">
        <f t="shared" si="25"/>
        <v>15339.681196567286</v>
      </c>
      <c r="J114" s="154">
        <f>SUM(D114:I114)</f>
        <v>85016.289337818263</v>
      </c>
    </row>
    <row r="115" spans="1:11">
      <c r="A115" s="37"/>
      <c r="B115" s="48" t="s">
        <v>870</v>
      </c>
      <c r="C115" s="157" t="s">
        <v>1028</v>
      </c>
      <c r="D115" s="156">
        <f>$E$7*F821DO!K116+$D$7*F821EO!D116</f>
        <v>9606.1130021289609</v>
      </c>
      <c r="E115" s="156">
        <f>$E$7*F821DO!L116+$D$7*F821EO!E116</f>
        <v>9109.2265015513203</v>
      </c>
      <c r="F115" s="156">
        <f>$E$7*F821DO!M116+$D$7*F821EO!F116</f>
        <v>9460.4704116668399</v>
      </c>
      <c r="G115" s="156">
        <f>$E$7*F821DO!N116+$D$7*F821EO!G116</f>
        <v>5933.611221128881</v>
      </c>
      <c r="H115" s="156">
        <f>$E$7*F821DO!O116+$D$7*F821EO!H116</f>
        <v>8655.1152384639608</v>
      </c>
      <c r="I115" s="156">
        <f>$E$7*F821DO!P116+$D$7*F821EO!I116</f>
        <v>8931.6938160155987</v>
      </c>
      <c r="J115" s="154">
        <f>SUM(D115:I115)</f>
        <v>51696.230190955568</v>
      </c>
    </row>
    <row r="116" spans="1:11">
      <c r="A116" s="37"/>
      <c r="B116" s="48" t="s">
        <v>871</v>
      </c>
      <c r="C116" s="153" t="s">
        <v>193</v>
      </c>
      <c r="D116" s="154">
        <f t="shared" ref="D116:I116" si="26">SUM(D117:D118)</f>
        <v>4904.2908879551296</v>
      </c>
      <c r="E116" s="154">
        <f t="shared" si="26"/>
        <v>4758.0452730465076</v>
      </c>
      <c r="F116" s="154">
        <f t="shared" si="26"/>
        <v>5152.8282347282147</v>
      </c>
      <c r="G116" s="154">
        <f t="shared" si="26"/>
        <v>6365.1948823158109</v>
      </c>
      <c r="H116" s="154">
        <f t="shared" si="26"/>
        <v>5731.7124882653534</v>
      </c>
      <c r="I116" s="154">
        <f t="shared" si="26"/>
        <v>6407.9873805516863</v>
      </c>
      <c r="J116" s="154">
        <f>SUM(D116:I116)</f>
        <v>33320.059146862695</v>
      </c>
    </row>
    <row r="117" spans="1:11">
      <c r="A117" s="37"/>
      <c r="C117" s="157" t="s">
        <v>1074</v>
      </c>
      <c r="D117" s="156">
        <f>$E$8*F821DO!K118+$D$8*F821EO!D118</f>
        <v>0</v>
      </c>
      <c r="E117" s="156">
        <f>$E$8*F821DO!L118+$D$8*F821EO!E118</f>
        <v>0</v>
      </c>
      <c r="F117" s="156">
        <f>$E$8*F821DO!M118+$D$8*F821EO!F118</f>
        <v>0</v>
      </c>
      <c r="G117" s="156">
        <f>$E$8*F821DO!N118+$D$8*F821EO!G118</f>
        <v>0</v>
      </c>
      <c r="H117" s="156">
        <f>$E$8*F821DO!O118+$D$8*F821EO!H118</f>
        <v>0</v>
      </c>
      <c r="I117" s="156">
        <f>$E$8*F821DO!P118+$D$8*F821EO!I118</f>
        <v>0</v>
      </c>
      <c r="J117" s="154">
        <f t="shared" ref="J117:J143" si="27">SUM(D117:I117)</f>
        <v>0</v>
      </c>
    </row>
    <row r="118" spans="1:11">
      <c r="A118" s="37"/>
      <c r="C118" s="157" t="s">
        <v>1075</v>
      </c>
      <c r="D118" s="156">
        <f>$E$8*F821DO!K119+$D$8*F821EO!D119</f>
        <v>4904.2908879551296</v>
      </c>
      <c r="E118" s="156">
        <f>$E$8*F821DO!L119+$D$8*F821EO!E119</f>
        <v>4758.0452730465076</v>
      </c>
      <c r="F118" s="156">
        <f>$E$8*F821DO!M119+$D$8*F821EO!F119</f>
        <v>5152.8282347282147</v>
      </c>
      <c r="G118" s="156">
        <f>$E$8*F821DO!N119+$D$8*F821EO!G119</f>
        <v>6365.1948823158109</v>
      </c>
      <c r="H118" s="156">
        <f>$E$8*F821DO!O119+$D$8*F821EO!H119</f>
        <v>5731.7124882653534</v>
      </c>
      <c r="I118" s="156">
        <f>$E$8*F821DO!P119+$D$8*F821EO!I119</f>
        <v>6407.9873805516863</v>
      </c>
      <c r="J118" s="154">
        <f t="shared" si="27"/>
        <v>33320.059146862695</v>
      </c>
    </row>
    <row r="119" spans="1:11">
      <c r="A119" s="37"/>
      <c r="C119" s="153" t="s">
        <v>893</v>
      </c>
      <c r="D119" s="156"/>
      <c r="E119" s="156"/>
      <c r="F119" s="156"/>
      <c r="G119" s="156"/>
      <c r="H119" s="156"/>
      <c r="I119" s="156"/>
      <c r="J119" s="154">
        <f t="shared" si="27"/>
        <v>0</v>
      </c>
    </row>
    <row r="120" spans="1:11">
      <c r="A120" s="37"/>
      <c r="C120" s="157"/>
      <c r="D120" s="156"/>
      <c r="E120" s="156"/>
      <c r="F120" s="156"/>
      <c r="G120" s="156"/>
      <c r="H120" s="156"/>
      <c r="I120" s="156"/>
      <c r="J120" s="154">
        <f t="shared" si="27"/>
        <v>0</v>
      </c>
    </row>
    <row r="121" spans="1:11">
      <c r="A121" s="37"/>
      <c r="C121" s="153" t="s">
        <v>194</v>
      </c>
      <c r="D121" s="154">
        <f t="shared" ref="D121:I121" si="28">D122+D127</f>
        <v>66029.893953939929</v>
      </c>
      <c r="E121" s="154">
        <f t="shared" si="28"/>
        <v>67588.805387385248</v>
      </c>
      <c r="F121" s="154">
        <f t="shared" si="28"/>
        <v>66312.433874356066</v>
      </c>
      <c r="G121" s="154">
        <f t="shared" si="28"/>
        <v>68134.38762001686</v>
      </c>
      <c r="H121" s="154">
        <f t="shared" si="28"/>
        <v>64594.795233262783</v>
      </c>
      <c r="I121" s="154">
        <f t="shared" si="28"/>
        <v>67246.909587913658</v>
      </c>
      <c r="J121" s="154">
        <f t="shared" si="27"/>
        <v>399907.22565687454</v>
      </c>
    </row>
    <row r="122" spans="1:11">
      <c r="A122" s="37"/>
      <c r="B122" s="48" t="s">
        <v>872</v>
      </c>
      <c r="C122" s="153" t="s">
        <v>277</v>
      </c>
      <c r="D122" s="154">
        <f t="shared" ref="D122:I122" si="29">SUM(D123:D126)</f>
        <v>10290.288935292059</v>
      </c>
      <c r="E122" s="154">
        <f t="shared" si="29"/>
        <v>10332.643038975182</v>
      </c>
      <c r="F122" s="154">
        <f t="shared" si="29"/>
        <v>9879.781151841782</v>
      </c>
      <c r="G122" s="154">
        <f t="shared" si="29"/>
        <v>11915.859361155841</v>
      </c>
      <c r="H122" s="154">
        <f t="shared" si="29"/>
        <v>11321.478486481741</v>
      </c>
      <c r="I122" s="154">
        <f t="shared" si="29"/>
        <v>11939.250185849818</v>
      </c>
      <c r="J122" s="154">
        <f>SUM(D122:I122)</f>
        <v>65679.30115959642</v>
      </c>
    </row>
    <row r="123" spans="1:11">
      <c r="A123" s="37"/>
      <c r="C123" s="157" t="s">
        <v>980</v>
      </c>
      <c r="D123" s="156">
        <f>$E$9*F821DO!K124+$D$9*F821EO!D124</f>
        <v>10290.288935292059</v>
      </c>
      <c r="E123" s="156">
        <f>$E$9*F821DO!L124+$D$9*F821EO!E124</f>
        <v>10332.643038975182</v>
      </c>
      <c r="F123" s="156">
        <f>$E$9*F821DO!M124+$D$9*F821EO!F124</f>
        <v>9879.781151841782</v>
      </c>
      <c r="G123" s="156">
        <f>$E$9*F821DO!N124+$D$9*F821EO!G124</f>
        <v>9510.2940013776333</v>
      </c>
      <c r="H123" s="156">
        <f>$E$9*F821DO!O124+$D$9*F821EO!H124</f>
        <v>8932.3031904046275</v>
      </c>
      <c r="I123" s="156">
        <f>$E$9*F821DO!P124+$D$9*F821EO!I124</f>
        <v>9396.5869728387461</v>
      </c>
      <c r="J123" s="154">
        <f t="shared" si="27"/>
        <v>58341.897290730034</v>
      </c>
    </row>
    <row r="124" spans="1:11">
      <c r="A124" s="37"/>
      <c r="C124" s="157" t="s">
        <v>981</v>
      </c>
      <c r="D124" s="156">
        <f>$E$9*F821DO!K125+$D$9*F821EO!D125</f>
        <v>0</v>
      </c>
      <c r="E124" s="156">
        <f>$E$9*F821DO!L125+$D$9*F821EO!E125</f>
        <v>0</v>
      </c>
      <c r="F124" s="156">
        <f>$E$9*F821DO!M125+$D$9*F821EO!F125</f>
        <v>0</v>
      </c>
      <c r="G124" s="156">
        <f>$E$9*F821DO!N125+$D$9*F821EO!G125</f>
        <v>370.68397767895704</v>
      </c>
      <c r="H124" s="156">
        <f>$E$9*F821DO!O125+$D$9*F821EO!H125</f>
        <v>358.08921231460158</v>
      </c>
      <c r="I124" s="156">
        <f>$E$9*F821DO!P125+$D$9*F821EO!I125</f>
        <v>355.87753276349832</v>
      </c>
      <c r="J124" s="154">
        <f t="shared" si="27"/>
        <v>1084.6507227570569</v>
      </c>
    </row>
    <row r="125" spans="1:11">
      <c r="A125" s="37"/>
      <c r="C125" s="157" t="s">
        <v>1019</v>
      </c>
      <c r="D125" s="156">
        <f>$E$9*F821DO!K126+$D$9*F821EO!D126</f>
        <v>0</v>
      </c>
      <c r="E125" s="156">
        <f>$E$9*F821DO!L126+$D$9*F821EO!E126</f>
        <v>0</v>
      </c>
      <c r="F125" s="156">
        <f>$E$9*F821DO!M126+$D$9*F821EO!F126</f>
        <v>0</v>
      </c>
      <c r="G125" s="156">
        <f>$E$9*F821DO!N126+$D$9*F821EO!G126</f>
        <v>397.59898737107005</v>
      </c>
      <c r="H125" s="156">
        <f>$E$9*F821DO!O126+$D$9*F821EO!H126</f>
        <v>396.10086549229885</v>
      </c>
      <c r="I125" s="156">
        <f>$E$9*F821DO!P126+$D$9*F821EO!I126</f>
        <v>400.6037538776859</v>
      </c>
      <c r="J125" s="154">
        <f>SUM(D125:I125)</f>
        <v>1194.3036067410549</v>
      </c>
    </row>
    <row r="126" spans="1:11">
      <c r="A126" s="37"/>
      <c r="C126" s="157" t="s">
        <v>1766</v>
      </c>
      <c r="D126" s="156">
        <f>$E$9*F821DO!K127+$D$9*F821EO!D127</f>
        <v>0</v>
      </c>
      <c r="E126" s="156">
        <f>$E$9*F821DO!L127+$D$9*F821EO!E127</f>
        <v>0</v>
      </c>
      <c r="F126" s="156">
        <f>$E$9*F821DO!M127+$D$9*F821EO!F127</f>
        <v>0</v>
      </c>
      <c r="G126" s="156">
        <f>$E$9*F821DO!N127+$D$9*F821EO!G127</f>
        <v>1637.2823947281811</v>
      </c>
      <c r="H126" s="156">
        <f>$E$9*F821DO!O127+$D$9*F821EO!H127</f>
        <v>1634.9852182702118</v>
      </c>
      <c r="I126" s="156">
        <f>$E$9*F821DO!P127+$D$9*F821EO!I127</f>
        <v>1786.1819263698885</v>
      </c>
      <c r="J126" s="154">
        <f>SUM(D126:I126)</f>
        <v>5058.449539368281</v>
      </c>
    </row>
    <row r="127" spans="1:11">
      <c r="A127" s="37"/>
      <c r="B127" s="48" t="s">
        <v>873</v>
      </c>
      <c r="C127" s="153" t="s">
        <v>193</v>
      </c>
      <c r="D127" s="154">
        <f t="shared" ref="D127:I127" si="30">SUM(D128:D132)</f>
        <v>55739.605018647875</v>
      </c>
      <c r="E127" s="154">
        <f t="shared" si="30"/>
        <v>57256.162348410064</v>
      </c>
      <c r="F127" s="154">
        <f t="shared" si="30"/>
        <v>56432.652722514285</v>
      </c>
      <c r="G127" s="154">
        <f t="shared" si="30"/>
        <v>56218.528258861021</v>
      </c>
      <c r="H127" s="154">
        <f t="shared" si="30"/>
        <v>53273.316746781042</v>
      </c>
      <c r="I127" s="154">
        <f t="shared" si="30"/>
        <v>55307.659402063837</v>
      </c>
      <c r="J127" s="154">
        <f t="shared" si="27"/>
        <v>334227.92449727812</v>
      </c>
    </row>
    <row r="128" spans="1:11">
      <c r="A128" s="37"/>
      <c r="C128" s="157" t="s">
        <v>944</v>
      </c>
      <c r="D128" s="156">
        <f>$E$10*F821DO!K129+$D$10*F821EO!D129</f>
        <v>0</v>
      </c>
      <c r="E128" s="156">
        <f>$E$10*F821DO!L129+$D$10*F821EO!E129</f>
        <v>0</v>
      </c>
      <c r="F128" s="156">
        <f>$E$10*F821DO!M129+$D$10*F821EO!F129</f>
        <v>0</v>
      </c>
      <c r="G128" s="156">
        <f>$E$10*F821DO!N129+$D$10*F821EO!G129</f>
        <v>0</v>
      </c>
      <c r="H128" s="156">
        <f>$E$10*F821DO!O129+$D$10*F821EO!H129</f>
        <v>0</v>
      </c>
      <c r="I128" s="156">
        <f>$E$10*F821DO!P129+$D$10*F821EO!I129</f>
        <v>0</v>
      </c>
      <c r="J128" s="154">
        <f t="shared" si="27"/>
        <v>0</v>
      </c>
    </row>
    <row r="129" spans="1:10">
      <c r="A129" s="37"/>
      <c r="C129" s="157" t="s">
        <v>943</v>
      </c>
      <c r="D129" s="156">
        <f>$E$10*F821DO!K130+$D$10*F821EO!D130</f>
        <v>55739.605018647875</v>
      </c>
      <c r="E129" s="156">
        <f>$E$10*F821DO!L130+$D$10*F821EO!E130</f>
        <v>57256.162348410064</v>
      </c>
      <c r="F129" s="156">
        <f>$E$10*F821DO!M130+$D$10*F821EO!F130</f>
        <v>56432.652722514285</v>
      </c>
      <c r="G129" s="156">
        <f>$E$10*F821DO!N130+$D$10*F821EO!G130</f>
        <v>41588.744521085493</v>
      </c>
      <c r="H129" s="156">
        <f>$E$10*F821DO!O130+$D$10*F821EO!H130</f>
        <v>38946.34225392127</v>
      </c>
      <c r="I129" s="156">
        <f>$E$10*F821DO!P130+$D$10*F821EO!I130</f>
        <v>40329.398043025903</v>
      </c>
      <c r="J129" s="154">
        <f t="shared" si="27"/>
        <v>290292.90490760491</v>
      </c>
    </row>
    <row r="130" spans="1:10">
      <c r="A130" s="37"/>
      <c r="C130" s="157" t="s">
        <v>1020</v>
      </c>
      <c r="D130" s="156">
        <f>$E$10*F821DO!K131+$D$10*F821EO!D131</f>
        <v>0</v>
      </c>
      <c r="E130" s="156">
        <f>$E$10*F821DO!L131+$D$10*F821EO!E131</f>
        <v>0</v>
      </c>
      <c r="F130" s="156">
        <f>$E$10*F821DO!M131+$D$10*F821EO!F131</f>
        <v>0</v>
      </c>
      <c r="G130" s="156">
        <f>$E$10*F821DO!N131+$D$10*F821EO!G131</f>
        <v>4103.6644637860009</v>
      </c>
      <c r="H130" s="156">
        <f>$E$10*F821DO!O131+$D$10*F821EO!H131</f>
        <v>4678.6283281324004</v>
      </c>
      <c r="I130" s="156">
        <f>$E$10*F821DO!P131+$D$10*F821EO!I131</f>
        <v>4699.3215820288005</v>
      </c>
      <c r="J130" s="154">
        <f t="shared" si="27"/>
        <v>13481.614373947201</v>
      </c>
    </row>
    <row r="131" spans="1:10">
      <c r="A131" s="37"/>
      <c r="C131" s="157" t="s">
        <v>1021</v>
      </c>
      <c r="D131" s="156">
        <f>$E$10*F821DO!K132+$D$10*F821EO!D132</f>
        <v>0</v>
      </c>
      <c r="E131" s="156">
        <f>$E$10*F821DO!L132+$D$10*F821EO!E132</f>
        <v>0</v>
      </c>
      <c r="F131" s="156">
        <f>$E$10*F821DO!M132+$D$10*F821EO!F132</f>
        <v>0</v>
      </c>
      <c r="G131" s="156">
        <f>$E$10*F821DO!N132+$D$10*F821EO!G132</f>
        <v>2141.2190508065205</v>
      </c>
      <c r="H131" s="156">
        <f>$E$10*F821DO!O132+$D$10*F821EO!H132</f>
        <v>2216.9113485067601</v>
      </c>
      <c r="I131" s="156">
        <f>$E$10*F821DO!P132+$D$10*F821EO!I132</f>
        <v>2307.9130769622402</v>
      </c>
      <c r="J131" s="154">
        <f>SUM(D131:I131)</f>
        <v>6666.0434762755212</v>
      </c>
    </row>
    <row r="132" spans="1:10">
      <c r="A132" s="37"/>
      <c r="C132" s="157" t="s">
        <v>1163</v>
      </c>
      <c r="D132" s="156">
        <f>$E$10*F821DO!K133+$D$10*F821EO!D133</f>
        <v>0</v>
      </c>
      <c r="E132" s="156">
        <f>$E$10*F821DO!L133+$D$10*F821EO!E133</f>
        <v>0</v>
      </c>
      <c r="F132" s="156">
        <f>$E$10*F821DO!M133+$D$10*F821EO!F133</f>
        <v>0</v>
      </c>
      <c r="G132" s="156">
        <f>$E$10*F821DO!N133+$D$10*F821EO!G133</f>
        <v>8384.9002231830109</v>
      </c>
      <c r="H132" s="156">
        <f>$E$10*F821DO!O133+$D$10*F821EO!H133</f>
        <v>7431.4348162206134</v>
      </c>
      <c r="I132" s="156">
        <f>$E$10*F821DO!P133+$D$10*F821EO!I133</f>
        <v>7971.0267000468893</v>
      </c>
      <c r="J132" s="154">
        <f>SUM(D132:I132)</f>
        <v>23787.361739450513</v>
      </c>
    </row>
    <row r="133" spans="1:10">
      <c r="A133" s="37"/>
      <c r="C133" s="157"/>
      <c r="D133" s="156"/>
      <c r="E133" s="156"/>
      <c r="F133" s="156"/>
      <c r="G133" s="156"/>
      <c r="H133" s="156"/>
      <c r="I133" s="156"/>
      <c r="J133" s="154"/>
    </row>
    <row r="134" spans="1:10">
      <c r="A134" s="37"/>
      <c r="C134" s="153" t="s">
        <v>308</v>
      </c>
      <c r="D134" s="154">
        <f t="shared" ref="D134:I134" si="31">SUM(D135:D136)</f>
        <v>17024.26272717963</v>
      </c>
      <c r="E134" s="154">
        <f t="shared" si="31"/>
        <v>16885.021292154041</v>
      </c>
      <c r="F134" s="154">
        <f t="shared" si="31"/>
        <v>16281.239182929645</v>
      </c>
      <c r="G134" s="154">
        <f t="shared" si="31"/>
        <v>16617.05976441309</v>
      </c>
      <c r="H134" s="154">
        <f t="shared" si="31"/>
        <v>15714.523555796948</v>
      </c>
      <c r="I134" s="154">
        <f t="shared" si="31"/>
        <v>16665.411237442277</v>
      </c>
      <c r="J134" s="154">
        <f t="shared" si="27"/>
        <v>99187.517759915645</v>
      </c>
    </row>
    <row r="135" spans="1:10">
      <c r="A135" s="37"/>
      <c r="B135" s="48" t="s">
        <v>874</v>
      </c>
      <c r="C135" s="157" t="s">
        <v>1027</v>
      </c>
      <c r="D135" s="156">
        <f>$E$11*F821DO!K137+$D$11*F821EO!D137</f>
        <v>372.89304966081011</v>
      </c>
      <c r="E135" s="156">
        <f>$E$11*F821DO!L137+$D$11*F821EO!E137</f>
        <v>380.58751516432005</v>
      </c>
      <c r="F135" s="156">
        <f>$E$11*F821DO!M137+$D$11*F821EO!F137</f>
        <v>372.28052303183006</v>
      </c>
      <c r="G135" s="156">
        <f>$E$11*F821DO!N137+$D$11*F821EO!G137</f>
        <v>385.55100824649003</v>
      </c>
      <c r="H135" s="156">
        <f>$E$11*F821DO!O137+$D$11*F821EO!H137</f>
        <v>360.48590903905</v>
      </c>
      <c r="I135" s="156">
        <f>$E$11*F821DO!P137+$D$11*F821EO!I137</f>
        <v>387.12681357686</v>
      </c>
      <c r="J135" s="154">
        <f t="shared" si="27"/>
        <v>2258.9248187193602</v>
      </c>
    </row>
    <row r="136" spans="1:10">
      <c r="A136" s="37"/>
      <c r="B136" s="48" t="s">
        <v>875</v>
      </c>
      <c r="C136" s="153" t="s">
        <v>193</v>
      </c>
      <c r="D136" s="154">
        <f t="shared" ref="D136:I136" si="32">SUM(D137:D141)</f>
        <v>16651.369677518818</v>
      </c>
      <c r="E136" s="154">
        <f t="shared" si="32"/>
        <v>16504.433776989721</v>
      </c>
      <c r="F136" s="154">
        <f t="shared" si="32"/>
        <v>15908.958659897815</v>
      </c>
      <c r="G136" s="154">
        <f t="shared" si="32"/>
        <v>16231.508756166599</v>
      </c>
      <c r="H136" s="154">
        <f t="shared" si="32"/>
        <v>15354.037646757899</v>
      </c>
      <c r="I136" s="154">
        <f t="shared" si="32"/>
        <v>16278.284423865418</v>
      </c>
      <c r="J136" s="154">
        <f t="shared" si="27"/>
        <v>96928.592941196272</v>
      </c>
    </row>
    <row r="137" spans="1:10">
      <c r="A137" s="37"/>
      <c r="C137" s="157" t="s">
        <v>1022</v>
      </c>
      <c r="D137" s="156">
        <f>$E$12*F821DO!K140+$D$12*F821EO!D140</f>
        <v>172.64761250597999</v>
      </c>
      <c r="E137" s="156">
        <f>$E$12*F821DO!L140+$D$12*F821EO!E140</f>
        <v>166.44122590373996</v>
      </c>
      <c r="F137" s="156">
        <f>$E$12*F821DO!M140+$D$12*F821EO!F140</f>
        <v>161.81328554910002</v>
      </c>
      <c r="G137" s="156">
        <f>$E$12*F821DO!N140+$D$12*F821EO!G140</f>
        <v>167.05666173672</v>
      </c>
      <c r="H137" s="156">
        <f>$E$12*F821DO!O140+$D$12*F821EO!H140</f>
        <v>155.06548138961998</v>
      </c>
      <c r="I137" s="156">
        <f>$E$12*F821DO!P140+$D$12*F821EO!I140</f>
        <v>166.80558495240001</v>
      </c>
      <c r="J137" s="154">
        <f t="shared" si="27"/>
        <v>989.82985203755993</v>
      </c>
    </row>
    <row r="138" spans="1:10">
      <c r="A138" s="37"/>
      <c r="C138" s="157" t="s">
        <v>1023</v>
      </c>
      <c r="D138" s="156">
        <f>$E$12*F821DO!K141+$D$12*F821EO!D141</f>
        <v>16478.722065012837</v>
      </c>
      <c r="E138" s="156">
        <f>$E$12*F821DO!L141+$D$12*F821EO!E141</f>
        <v>16337.992551085981</v>
      </c>
      <c r="F138" s="156">
        <f>$E$12*F821DO!M141+$D$12*F821EO!F141</f>
        <v>15747.145374348715</v>
      </c>
      <c r="G138" s="156">
        <f>$E$12*F821DO!N141+$D$12*F821EO!G141</f>
        <v>12713.996063196359</v>
      </c>
      <c r="H138" s="156">
        <f>$E$12*F821DO!O141+$D$12*F821EO!H141</f>
        <v>11657.129015643121</v>
      </c>
      <c r="I138" s="156">
        <f>$E$12*F821DO!P141+$D$12*F821EO!I141</f>
        <v>12405.706191773816</v>
      </c>
      <c r="J138" s="154">
        <f t="shared" si="27"/>
        <v>85340.691261060827</v>
      </c>
    </row>
    <row r="139" spans="1:10">
      <c r="A139" s="37"/>
      <c r="C139" s="157" t="s">
        <v>1024</v>
      </c>
      <c r="D139" s="156">
        <f>$E$12*F821DO!K142+$D$12*F821EO!D142</f>
        <v>0</v>
      </c>
      <c r="E139" s="156">
        <f>$E$12*F821DO!L142+$D$12*F821EO!E142</f>
        <v>0</v>
      </c>
      <c r="F139" s="156">
        <f>$E$12*F821DO!M142+$D$12*F821EO!F142</f>
        <v>0</v>
      </c>
      <c r="G139" s="156">
        <f>$E$12*F821DO!N142+$D$12*F821EO!G142</f>
        <v>219.29535241919999</v>
      </c>
      <c r="H139" s="156">
        <f>$E$12*F821DO!O142+$D$12*F821EO!H142</f>
        <v>215.90537790221998</v>
      </c>
      <c r="I139" s="156">
        <f>$E$12*F821DO!P142+$D$12*F821EO!I142</f>
        <v>220.29625592783998</v>
      </c>
      <c r="J139" s="154">
        <f t="shared" si="27"/>
        <v>655.49698624925998</v>
      </c>
    </row>
    <row r="140" spans="1:10">
      <c r="A140" s="37"/>
      <c r="C140" s="157" t="s">
        <v>1025</v>
      </c>
      <c r="D140" s="156">
        <f>$E$12*F821DO!K143+$D$12*F821EO!D143</f>
        <v>0</v>
      </c>
      <c r="E140" s="156">
        <f>$E$12*F821DO!L143+$D$12*F821EO!E143</f>
        <v>0</v>
      </c>
      <c r="F140" s="156">
        <f>$E$12*F821DO!M143+$D$12*F821EO!F143</f>
        <v>0</v>
      </c>
      <c r="G140" s="156">
        <f>$E$12*F821DO!N143+$D$12*F821EO!G143</f>
        <v>1875.73466464848</v>
      </c>
      <c r="H140" s="156">
        <f>$E$12*F821DO!O143+$D$12*F821EO!H143</f>
        <v>1990.6947159994797</v>
      </c>
      <c r="I140" s="156">
        <f>$E$12*F821DO!P143+$D$12*F821EO!I143</f>
        <v>2047.9026197944797</v>
      </c>
      <c r="J140" s="154">
        <f t="shared" si="27"/>
        <v>5914.3320004424395</v>
      </c>
    </row>
    <row r="141" spans="1:10">
      <c r="A141" s="37"/>
      <c r="C141" s="157" t="s">
        <v>1162</v>
      </c>
      <c r="D141" s="156">
        <f>$E$12*F821DO!K144+$D$12*F821EO!D144</f>
        <v>0</v>
      </c>
      <c r="E141" s="156">
        <f>$E$12*F821DO!L144+$D$12*F821EO!E144</f>
        <v>0</v>
      </c>
      <c r="F141" s="156">
        <f>$E$12*F821DO!M144+$D$12*F821EO!F144</f>
        <v>0</v>
      </c>
      <c r="G141" s="156">
        <f>$E$12*F821DO!N144+$D$12*F821EO!G144</f>
        <v>1255.4260141658399</v>
      </c>
      <c r="H141" s="156">
        <f>$E$12*F821DO!O144+$D$12*F821EO!H144</f>
        <v>1335.2430558234598</v>
      </c>
      <c r="I141" s="156">
        <f>$E$12*F821DO!P144+$D$12*F821EO!I144</f>
        <v>1437.5737714168799</v>
      </c>
      <c r="J141" s="154">
        <f t="shared" si="27"/>
        <v>4028.2428414061797</v>
      </c>
    </row>
    <row r="142" spans="1:10">
      <c r="A142" s="37"/>
      <c r="C142" s="157"/>
      <c r="D142" s="156"/>
      <c r="E142" s="156"/>
      <c r="F142" s="156"/>
      <c r="G142" s="156"/>
      <c r="H142" s="156"/>
      <c r="I142" s="156"/>
      <c r="J142" s="154">
        <f t="shared" si="27"/>
        <v>0</v>
      </c>
    </row>
    <row r="143" spans="1:10">
      <c r="A143" s="37"/>
      <c r="C143" s="153" t="s">
        <v>112</v>
      </c>
      <c r="D143" s="154">
        <f t="shared" ref="D143:I143" si="33">D114+D121+D134</f>
        <v>97564.560571203649</v>
      </c>
      <c r="E143" s="154">
        <f t="shared" si="33"/>
        <v>98341.098454137114</v>
      </c>
      <c r="F143" s="154">
        <f t="shared" si="33"/>
        <v>97206.971703680756</v>
      </c>
      <c r="G143" s="154">
        <f t="shared" si="33"/>
        <v>97050.253487874637</v>
      </c>
      <c r="H143" s="154">
        <f t="shared" si="33"/>
        <v>94696.146515789034</v>
      </c>
      <c r="I143" s="154">
        <f t="shared" si="33"/>
        <v>99252.002021923225</v>
      </c>
      <c r="J143" s="154">
        <f t="shared" si="27"/>
        <v>584111.03275460843</v>
      </c>
    </row>
    <row r="144" spans="1:10">
      <c r="C144" s="164"/>
      <c r="D144" s="164"/>
      <c r="E144" s="164"/>
      <c r="F144" s="164"/>
      <c r="G144" s="164"/>
      <c r="H144" s="164"/>
      <c r="I144" s="164"/>
      <c r="J144" s="164"/>
    </row>
    <row r="145" spans="2:10">
      <c r="C145" s="179" t="s">
        <v>111</v>
      </c>
      <c r="D145" s="180">
        <f t="shared" ref="D145:J145" si="34">D110+D143</f>
        <v>444555.44230191695</v>
      </c>
      <c r="E145" s="180">
        <f t="shared" si="34"/>
        <v>446756.42427911947</v>
      </c>
      <c r="F145" s="180">
        <f t="shared" si="34"/>
        <v>443098.22748246655</v>
      </c>
      <c r="G145" s="180">
        <f t="shared" si="34"/>
        <v>439042.74566006177</v>
      </c>
      <c r="H145" s="180">
        <f t="shared" si="34"/>
        <v>415033.90260466089</v>
      </c>
      <c r="I145" s="180">
        <f t="shared" si="34"/>
        <v>439770.40961617988</v>
      </c>
      <c r="J145" s="180">
        <f t="shared" si="34"/>
        <v>2628257.1519444054</v>
      </c>
    </row>
    <row r="146" spans="2:10">
      <c r="J146" s="180">
        <f>J145</f>
        <v>2628257.1519444054</v>
      </c>
    </row>
    <row r="147" spans="2:10">
      <c r="C147" s="52" t="str">
        <f>'PORTADA PORTADA PORTADA'!$B$23</f>
        <v>1 DE JULIO DE 2026</v>
      </c>
    </row>
    <row r="149" spans="2:10">
      <c r="B149" s="1166" t="s">
        <v>902</v>
      </c>
      <c r="C149" s="58"/>
      <c r="D149" s="1167">
        <f t="shared" ref="D149:J158" si="35">SUMIF($B$18:$B$145,$B149,D$18:D$145)</f>
        <v>13789.027620411052</v>
      </c>
      <c r="E149" s="1167">
        <f t="shared" si="35"/>
        <v>13845.284319516102</v>
      </c>
      <c r="F149" s="1167">
        <f t="shared" si="35"/>
        <v>13687.447118511069</v>
      </c>
      <c r="G149" s="1167">
        <f t="shared" si="35"/>
        <v>13592.233681934724</v>
      </c>
      <c r="H149" s="1167">
        <f t="shared" si="35"/>
        <v>12684.851418708828</v>
      </c>
      <c r="I149" s="1167">
        <f t="shared" si="35"/>
        <v>13534.06805646823</v>
      </c>
      <c r="J149" s="1167">
        <f t="shared" si="35"/>
        <v>81132.912215549994</v>
      </c>
    </row>
    <row r="150" spans="2:10">
      <c r="B150" s="1166" t="s">
        <v>751</v>
      </c>
      <c r="C150" s="58"/>
      <c r="D150" s="1167">
        <f t="shared" si="35"/>
        <v>41363.525827299651</v>
      </c>
      <c r="E150" s="1167">
        <f t="shared" si="35"/>
        <v>41541.066624346335</v>
      </c>
      <c r="F150" s="1167">
        <f t="shared" si="35"/>
        <v>41034.690273871907</v>
      </c>
      <c r="G150" s="1167">
        <f t="shared" si="35"/>
        <v>40726.981429672713</v>
      </c>
      <c r="H150" s="1167">
        <f t="shared" si="35"/>
        <v>37811.71308830905</v>
      </c>
      <c r="I150" s="1167">
        <f t="shared" si="35"/>
        <v>40542.110604645408</v>
      </c>
      <c r="J150" s="1167">
        <f t="shared" si="35"/>
        <v>243020.08784814505</v>
      </c>
    </row>
    <row r="151" spans="2:10">
      <c r="B151" s="1166" t="s">
        <v>750</v>
      </c>
      <c r="C151" s="58"/>
      <c r="D151" s="1167">
        <f t="shared" si="35"/>
        <v>48034.77623000108</v>
      </c>
      <c r="E151" s="1167">
        <f t="shared" si="35"/>
        <v>48230.749291143511</v>
      </c>
      <c r="F151" s="1167">
        <f t="shared" si="35"/>
        <v>47680.915405843021</v>
      </c>
      <c r="G151" s="1167">
        <f t="shared" si="35"/>
        <v>47349.2345762779</v>
      </c>
      <c r="H151" s="1167">
        <f t="shared" si="35"/>
        <v>44188.322496835099</v>
      </c>
      <c r="I151" s="1167">
        <f t="shared" si="35"/>
        <v>47146.611673454412</v>
      </c>
      <c r="J151" s="1167">
        <f t="shared" si="35"/>
        <v>282630.60967355501</v>
      </c>
    </row>
    <row r="152" spans="2:10">
      <c r="B152" s="1166" t="s">
        <v>749</v>
      </c>
      <c r="C152" s="58"/>
      <c r="D152" s="1167">
        <f t="shared" si="35"/>
        <v>53716.520870862987</v>
      </c>
      <c r="E152" s="1167">
        <f t="shared" si="35"/>
        <v>53935.674406180398</v>
      </c>
      <c r="F152" s="1167">
        <f t="shared" si="35"/>
        <v>53320.80397909999</v>
      </c>
      <c r="G152" s="1167">
        <f t="shared" si="35"/>
        <v>52949.890620026781</v>
      </c>
      <c r="H152" s="1167">
        <f t="shared" si="35"/>
        <v>49415.093270844918</v>
      </c>
      <c r="I152" s="1167">
        <f t="shared" si="35"/>
        <v>52723.30067326995</v>
      </c>
      <c r="J152" s="1167">
        <f t="shared" si="35"/>
        <v>316061.283820285</v>
      </c>
    </row>
    <row r="153" spans="2:10">
      <c r="B153" s="1166" t="s">
        <v>1176</v>
      </c>
      <c r="C153" s="58"/>
      <c r="D153" s="1167">
        <f t="shared" si="35"/>
        <v>2.1750582773887213</v>
      </c>
      <c r="E153" s="1167">
        <f t="shared" si="35"/>
        <v>2.1839321155167908</v>
      </c>
      <c r="F153" s="1167">
        <f t="shared" si="35"/>
        <v>2.1590351380085511</v>
      </c>
      <c r="G153" s="1167">
        <f t="shared" si="35"/>
        <v>2.1440163289202685</v>
      </c>
      <c r="H153" s="1167">
        <f t="shared" si="35"/>
        <v>2.0008873602420292</v>
      </c>
      <c r="I153" s="1167">
        <f t="shared" si="35"/>
        <v>2.1348413799236394</v>
      </c>
      <c r="J153" s="1167">
        <f t="shared" si="35"/>
        <v>12.7977706</v>
      </c>
    </row>
    <row r="154" spans="2:10">
      <c r="B154" s="1166" t="s">
        <v>274</v>
      </c>
      <c r="C154" s="58"/>
      <c r="D154" s="1167">
        <f t="shared" si="35"/>
        <v>125075.79414814174</v>
      </c>
      <c r="E154" s="1167">
        <f t="shared" si="35"/>
        <v>125586.08040692779</v>
      </c>
      <c r="F154" s="1167">
        <f t="shared" si="35"/>
        <v>125074.26246880474</v>
      </c>
      <c r="G154" s="1167">
        <f t="shared" si="35"/>
        <v>123290.74020408894</v>
      </c>
      <c r="H154" s="1167">
        <f t="shared" si="35"/>
        <v>115912.66230908105</v>
      </c>
      <c r="I154" s="1167">
        <f t="shared" si="35"/>
        <v>122763.1386938435</v>
      </c>
      <c r="J154" s="1167">
        <f t="shared" si="35"/>
        <v>737702.67823088774</v>
      </c>
    </row>
    <row r="155" spans="2:10">
      <c r="B155" s="1166" t="s">
        <v>275</v>
      </c>
      <c r="C155" s="58"/>
      <c r="D155" s="1167">
        <f t="shared" si="35"/>
        <v>4304.692785497924</v>
      </c>
      <c r="E155" s="1167">
        <f t="shared" si="35"/>
        <v>4322.2551411215345</v>
      </c>
      <c r="F155" s="1167">
        <f t="shared" si="35"/>
        <v>4313.6834548914812</v>
      </c>
      <c r="G155" s="1167">
        <f t="shared" si="35"/>
        <v>4243.2571665036721</v>
      </c>
      <c r="H155" s="1167">
        <f t="shared" si="35"/>
        <v>3997.7092308644706</v>
      </c>
      <c r="I155" s="1167">
        <f t="shared" si="35"/>
        <v>4225.098877521863</v>
      </c>
      <c r="J155" s="1167">
        <f t="shared" si="35"/>
        <v>25406.696656400949</v>
      </c>
    </row>
    <row r="156" spans="2:10">
      <c r="B156" s="1166" t="s">
        <v>276</v>
      </c>
      <c r="C156" s="58"/>
      <c r="D156" s="1167">
        <f t="shared" si="35"/>
        <v>37140.499958411405</v>
      </c>
      <c r="E156" s="1167">
        <f t="shared" si="35"/>
        <v>37292.026374072404</v>
      </c>
      <c r="F156" s="1167">
        <f t="shared" si="35"/>
        <v>37197.952549557886</v>
      </c>
      <c r="G156" s="1167">
        <f t="shared" si="35"/>
        <v>36610.438995085991</v>
      </c>
      <c r="H156" s="1167">
        <f t="shared" si="35"/>
        <v>34473.229162886535</v>
      </c>
      <c r="I156" s="1167">
        <f t="shared" si="35"/>
        <v>36453.770920317511</v>
      </c>
      <c r="J156" s="1167">
        <f t="shared" si="35"/>
        <v>219167.91796033172</v>
      </c>
    </row>
    <row r="157" spans="2:10">
      <c r="B157" s="1166" t="s">
        <v>277</v>
      </c>
      <c r="C157" s="58"/>
      <c r="D157" s="1167">
        <f t="shared" si="35"/>
        <v>5439.1267357717461</v>
      </c>
      <c r="E157" s="1167">
        <f t="shared" si="35"/>
        <v>5461.3173734723778</v>
      </c>
      <c r="F157" s="1167">
        <f t="shared" si="35"/>
        <v>5456.7326660096851</v>
      </c>
      <c r="G157" s="1167">
        <f t="shared" si="35"/>
        <v>5361.5007274939762</v>
      </c>
      <c r="H157" s="1167">
        <f t="shared" si="35"/>
        <v>5057.0309058098001</v>
      </c>
      <c r="I157" s="1167">
        <f t="shared" si="35"/>
        <v>5338.5571075893085</v>
      </c>
      <c r="J157" s="1167">
        <f t="shared" si="35"/>
        <v>32114.265516146894</v>
      </c>
    </row>
    <row r="158" spans="2:10">
      <c r="B158" s="1166" t="s">
        <v>278</v>
      </c>
      <c r="C158" s="58"/>
      <c r="D158" s="1167">
        <f t="shared" si="35"/>
        <v>0.5</v>
      </c>
      <c r="E158" s="1167">
        <f t="shared" si="35"/>
        <v>0.5</v>
      </c>
      <c r="F158" s="1167">
        <f t="shared" si="35"/>
        <v>0.5</v>
      </c>
      <c r="G158" s="1167">
        <f t="shared" si="35"/>
        <v>0.5</v>
      </c>
      <c r="H158" s="1167">
        <f t="shared" si="35"/>
        <v>0.5</v>
      </c>
      <c r="I158" s="1167">
        <f t="shared" si="35"/>
        <v>0.5</v>
      </c>
      <c r="J158" s="1167">
        <f t="shared" si="35"/>
        <v>3</v>
      </c>
    </row>
    <row r="159" spans="2:10">
      <c r="B159" s="1166" t="s">
        <v>279</v>
      </c>
      <c r="C159" s="58"/>
      <c r="D159" s="1167">
        <f t="shared" ref="D159:J167" si="36">SUMIF($B$18:$B$145,$B159,D$18:D$145)</f>
        <v>18124.24249603831</v>
      </c>
      <c r="E159" s="1167">
        <f t="shared" si="36"/>
        <v>18198.187956086404</v>
      </c>
      <c r="F159" s="1167">
        <f t="shared" si="36"/>
        <v>18122.108827058019</v>
      </c>
      <c r="G159" s="1167">
        <f t="shared" si="36"/>
        <v>17865.570754773598</v>
      </c>
      <c r="H159" s="1167">
        <f t="shared" si="36"/>
        <v>16794.64331817186</v>
      </c>
      <c r="I159" s="1167">
        <f t="shared" si="36"/>
        <v>17789.116145766533</v>
      </c>
      <c r="J159" s="1167">
        <f t="shared" si="36"/>
        <v>106893.86949789472</v>
      </c>
    </row>
    <row r="160" spans="2:10">
      <c r="B160" s="1166" t="s">
        <v>875</v>
      </c>
      <c r="C160" s="58"/>
      <c r="D160" s="1167">
        <f t="shared" si="36"/>
        <v>16651.369677518818</v>
      </c>
      <c r="E160" s="1167">
        <f t="shared" si="36"/>
        <v>16504.433776989721</v>
      </c>
      <c r="F160" s="1167">
        <f t="shared" si="36"/>
        <v>15908.958659897815</v>
      </c>
      <c r="G160" s="1167">
        <f t="shared" si="36"/>
        <v>16231.508756166599</v>
      </c>
      <c r="H160" s="1167">
        <f t="shared" si="36"/>
        <v>15354.037646757899</v>
      </c>
      <c r="I160" s="1167">
        <f t="shared" si="36"/>
        <v>16278.284423865418</v>
      </c>
      <c r="J160" s="1167">
        <f t="shared" si="36"/>
        <v>96928.592941196272</v>
      </c>
    </row>
    <row r="161" spans="2:10">
      <c r="B161" s="1166" t="s">
        <v>874</v>
      </c>
      <c r="C161" s="58"/>
      <c r="D161" s="1167">
        <f t="shared" si="36"/>
        <v>372.89304966081011</v>
      </c>
      <c r="E161" s="1167">
        <f t="shared" si="36"/>
        <v>380.58751516432005</v>
      </c>
      <c r="F161" s="1167">
        <f t="shared" si="36"/>
        <v>372.28052303183006</v>
      </c>
      <c r="G161" s="1167">
        <f t="shared" si="36"/>
        <v>385.55100824649003</v>
      </c>
      <c r="H161" s="1167">
        <f t="shared" si="36"/>
        <v>360.48590903905</v>
      </c>
      <c r="I161" s="1167">
        <f t="shared" si="36"/>
        <v>387.12681357686</v>
      </c>
      <c r="J161" s="1167">
        <f t="shared" si="36"/>
        <v>2258.9248187193602</v>
      </c>
    </row>
    <row r="162" spans="2:10">
      <c r="B162" s="1166" t="s">
        <v>873</v>
      </c>
      <c r="C162" s="58"/>
      <c r="D162" s="1167">
        <f t="shared" si="36"/>
        <v>55739.605018647875</v>
      </c>
      <c r="E162" s="1167">
        <f t="shared" si="36"/>
        <v>57256.162348410064</v>
      </c>
      <c r="F162" s="1167">
        <f t="shared" si="36"/>
        <v>56432.652722514285</v>
      </c>
      <c r="G162" s="1167">
        <f t="shared" si="36"/>
        <v>56218.528258861021</v>
      </c>
      <c r="H162" s="1167">
        <f t="shared" si="36"/>
        <v>53273.316746781042</v>
      </c>
      <c r="I162" s="1167">
        <f t="shared" si="36"/>
        <v>55307.659402063837</v>
      </c>
      <c r="J162" s="1167">
        <f t="shared" si="36"/>
        <v>334227.92449727812</v>
      </c>
    </row>
    <row r="163" spans="2:10">
      <c r="B163" s="1166" t="s">
        <v>872</v>
      </c>
      <c r="C163" s="58"/>
      <c r="D163" s="1167">
        <f t="shared" si="36"/>
        <v>10290.288935292059</v>
      </c>
      <c r="E163" s="1167">
        <f t="shared" si="36"/>
        <v>10332.643038975182</v>
      </c>
      <c r="F163" s="1167">
        <f t="shared" si="36"/>
        <v>9879.781151841782</v>
      </c>
      <c r="G163" s="1167">
        <f t="shared" si="36"/>
        <v>11915.859361155841</v>
      </c>
      <c r="H163" s="1167">
        <f t="shared" si="36"/>
        <v>11321.478486481741</v>
      </c>
      <c r="I163" s="1167">
        <f t="shared" si="36"/>
        <v>11939.250185849818</v>
      </c>
      <c r="J163" s="1167">
        <f t="shared" si="36"/>
        <v>65679.30115959642</v>
      </c>
    </row>
    <row r="164" spans="2:10">
      <c r="B164" s="1166" t="s">
        <v>871</v>
      </c>
      <c r="C164" s="58"/>
      <c r="D164" s="1167">
        <f t="shared" si="36"/>
        <v>4904.2908879551296</v>
      </c>
      <c r="E164" s="1167">
        <f t="shared" si="36"/>
        <v>4758.0452730465076</v>
      </c>
      <c r="F164" s="1167">
        <f t="shared" si="36"/>
        <v>5152.8282347282147</v>
      </c>
      <c r="G164" s="1167">
        <f t="shared" si="36"/>
        <v>6365.1948823158109</v>
      </c>
      <c r="H164" s="1167">
        <f t="shared" si="36"/>
        <v>5731.7124882653534</v>
      </c>
      <c r="I164" s="1167">
        <f t="shared" si="36"/>
        <v>6407.9873805516863</v>
      </c>
      <c r="J164" s="1167">
        <f t="shared" si="36"/>
        <v>33320.059146862695</v>
      </c>
    </row>
    <row r="165" spans="2:10">
      <c r="B165" s="1166" t="s">
        <v>870</v>
      </c>
      <c r="C165" s="58"/>
      <c r="D165" s="1167">
        <f t="shared" si="36"/>
        <v>9606.1130021289609</v>
      </c>
      <c r="E165" s="1167">
        <f t="shared" si="36"/>
        <v>9109.2265015513203</v>
      </c>
      <c r="F165" s="1167">
        <f t="shared" si="36"/>
        <v>9460.4704116668399</v>
      </c>
      <c r="G165" s="1167">
        <f t="shared" si="36"/>
        <v>5933.611221128881</v>
      </c>
      <c r="H165" s="1167">
        <f t="shared" si="36"/>
        <v>8655.1152384639608</v>
      </c>
      <c r="I165" s="1167">
        <f t="shared" si="36"/>
        <v>8931.6938160155987</v>
      </c>
      <c r="J165" s="1167">
        <f t="shared" si="36"/>
        <v>51696.230190955568</v>
      </c>
    </row>
    <row r="166" spans="2:10">
      <c r="B166" s="1166" t="s">
        <v>893</v>
      </c>
      <c r="C166" s="58"/>
      <c r="D166" s="1167">
        <f t="shared" si="36"/>
        <v>0</v>
      </c>
      <c r="E166" s="1167">
        <f t="shared" si="36"/>
        <v>0</v>
      </c>
      <c r="F166" s="1167">
        <f t="shared" si="36"/>
        <v>0</v>
      </c>
      <c r="G166" s="1167">
        <f t="shared" si="36"/>
        <v>0</v>
      </c>
      <c r="H166" s="1167">
        <f t="shared" si="36"/>
        <v>0</v>
      </c>
      <c r="I166" s="1167">
        <f t="shared" si="36"/>
        <v>0</v>
      </c>
      <c r="J166" s="1167">
        <f t="shared" si="36"/>
        <v>0</v>
      </c>
    </row>
    <row r="167" spans="2:10">
      <c r="B167" s="1166"/>
      <c r="C167" s="58"/>
      <c r="D167" s="1167">
        <f t="shared" si="36"/>
        <v>0</v>
      </c>
      <c r="E167" s="1167">
        <f t="shared" si="36"/>
        <v>0</v>
      </c>
      <c r="F167" s="1167">
        <f t="shared" si="36"/>
        <v>0</v>
      </c>
      <c r="G167" s="1167">
        <f t="shared" si="36"/>
        <v>0</v>
      </c>
      <c r="H167" s="1167">
        <f t="shared" si="36"/>
        <v>0</v>
      </c>
      <c r="I167" s="1167">
        <f t="shared" si="36"/>
        <v>0</v>
      </c>
      <c r="J167" s="1167">
        <f t="shared" si="36"/>
        <v>0</v>
      </c>
    </row>
    <row r="168" spans="2:10">
      <c r="B168" s="1166" t="s">
        <v>111</v>
      </c>
      <c r="C168" s="1168"/>
      <c r="D168" s="1169">
        <f>SUM(D149:D167)</f>
        <v>444555.44230191695</v>
      </c>
      <c r="E168" s="1169">
        <f t="shared" ref="E168:J168" si="37">SUM(E149:E167)</f>
        <v>446756.42427911953</v>
      </c>
      <c r="F168" s="1169">
        <f t="shared" si="37"/>
        <v>443098.22748246655</v>
      </c>
      <c r="G168" s="1169">
        <f t="shared" si="37"/>
        <v>439042.74566006195</v>
      </c>
      <c r="H168" s="1169">
        <f t="shared" si="37"/>
        <v>415033.90260466089</v>
      </c>
      <c r="I168" s="1169">
        <f t="shared" si="37"/>
        <v>439770.40961617988</v>
      </c>
      <c r="J168" s="1169">
        <f t="shared" si="37"/>
        <v>2628257.1519444049</v>
      </c>
    </row>
    <row r="169" spans="2:10">
      <c r="B169" s="1166"/>
      <c r="C169" s="58"/>
      <c r="D169" s="166">
        <f>D168-D145</f>
        <v>0</v>
      </c>
      <c r="E169" s="166">
        <f t="shared" ref="E169:J169" si="38">E168-E145</f>
        <v>0</v>
      </c>
      <c r="F169" s="166">
        <f t="shared" si="38"/>
        <v>0</v>
      </c>
      <c r="G169" s="166">
        <f t="shared" si="38"/>
        <v>0</v>
      </c>
      <c r="H169" s="166">
        <f t="shared" si="38"/>
        <v>0</v>
      </c>
      <c r="I169" s="166">
        <f t="shared" si="38"/>
        <v>0</v>
      </c>
      <c r="J169" s="166">
        <f t="shared" si="38"/>
        <v>0</v>
      </c>
    </row>
  </sheetData>
  <printOptions horizontalCentered="1" verticalCentered="1"/>
  <pageMargins left="0.51181102362204722" right="0.31496062992125984" top="0.78740157480314965" bottom="0.82677165354330717" header="0.31496062992125984" footer="0.23622047244094491"/>
  <pageSetup scale="33" orientation="portrait" horizontalDpi="300" r:id="rId1"/>
  <headerFooter alignWithMargins="0">
    <oddHeader>&amp;L
NOMBRE DE LA DISTRIBUIDORA: ENSA&amp;R&amp;9&amp;A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36248-651A-4BAB-BBBA-1F7CE391861F}">
  <sheetPr codeName="Hoja40">
    <tabColor theme="9" tint="0.59999389629810485"/>
  </sheetPr>
  <dimension ref="A1:K169"/>
  <sheetViews>
    <sheetView zoomScale="85" zoomScaleNormal="85" zoomScaleSheetLayoutView="70" workbookViewId="0">
      <selection activeCell="D89" sqref="D89:I108"/>
    </sheetView>
  </sheetViews>
  <sheetFormatPr baseColWidth="10" defaultColWidth="8" defaultRowHeight="15"/>
  <cols>
    <col min="1" max="1" width="3.375" style="63" customWidth="1"/>
    <col min="2" max="2" width="5.625" style="48" bestFit="1" customWidth="1"/>
    <col min="3" max="3" width="30.375" style="63" customWidth="1"/>
    <col min="4" max="4" width="11" style="63" customWidth="1"/>
    <col min="5" max="5" width="11.75" style="63" customWidth="1"/>
    <col min="6" max="9" width="10.625" style="63" customWidth="1"/>
    <col min="10" max="10" width="11.625" style="63" customWidth="1"/>
    <col min="11" max="11" width="2.875" style="63" customWidth="1"/>
    <col min="12" max="16384" width="8" style="63"/>
  </cols>
  <sheetData>
    <row r="1" spans="2:10" s="69" customFormat="1" ht="15.75">
      <c r="B1" s="48"/>
      <c r="C1" s="136" t="s">
        <v>151</v>
      </c>
    </row>
    <row r="2" spans="2:10" s="69" customFormat="1" ht="15.75">
      <c r="B2" s="48"/>
      <c r="D2" s="137" t="s">
        <v>113</v>
      </c>
      <c r="I2" s="218"/>
    </row>
    <row r="3" spans="2:10" s="69" customFormat="1" ht="15.75">
      <c r="B3" s="48"/>
      <c r="D3" s="137"/>
    </row>
    <row r="4" spans="2:10" ht="15.75">
      <c r="C4" s="219" t="s">
        <v>1532</v>
      </c>
      <c r="D4" s="219"/>
      <c r="E4" s="219"/>
      <c r="F4" s="219"/>
      <c r="G4" s="219"/>
      <c r="H4" s="219"/>
      <c r="I4" s="219"/>
      <c r="J4" s="219"/>
    </row>
    <row r="5" spans="2:10">
      <c r="C5" s="139"/>
    </row>
    <row r="6" spans="2:10" s="143" customFormat="1" ht="30">
      <c r="B6" s="48"/>
      <c r="C6" s="220" t="s">
        <v>675</v>
      </c>
      <c r="D6" s="220" t="s">
        <v>259</v>
      </c>
      <c r="E6" s="220" t="s">
        <v>260</v>
      </c>
      <c r="F6" s="221"/>
      <c r="G6" s="69"/>
    </row>
    <row r="7" spans="2:10" s="143" customFormat="1" ht="13.5">
      <c r="B7" s="48"/>
      <c r="C7" s="222" t="s">
        <v>266</v>
      </c>
      <c r="D7" s="223">
        <f>RAT1000PT!$F$56</f>
        <v>7.2000000000000005E-4</v>
      </c>
      <c r="E7" s="224">
        <f>RAT1000PT!$F$63</f>
        <v>0.14000000000000001</v>
      </c>
    </row>
    <row r="8" spans="2:10" s="143" customFormat="1" ht="13.5">
      <c r="B8" s="48"/>
      <c r="C8" s="225" t="s">
        <v>265</v>
      </c>
      <c r="D8" s="223">
        <f>RAT1000PT!$F$55</f>
        <v>7.2000000000000005E-4</v>
      </c>
      <c r="E8" s="224">
        <f>RAT1000PT!$F$62</f>
        <v>0.14000000000000001</v>
      </c>
    </row>
    <row r="9" spans="2:10" s="143" customFormat="1" ht="13.5">
      <c r="B9" s="48"/>
      <c r="C9" s="225" t="s">
        <v>264</v>
      </c>
      <c r="D9" s="223">
        <f>RAT1000PT!$F$54</f>
        <v>8.4000000000000003E-4</v>
      </c>
      <c r="E9" s="224">
        <f>RAT1000PT!$F$61</f>
        <v>0.13</v>
      </c>
    </row>
    <row r="10" spans="2:10" s="143" customFormat="1" ht="13.5">
      <c r="B10" s="48"/>
      <c r="C10" s="225" t="s">
        <v>262</v>
      </c>
      <c r="D10" s="223">
        <f>RAT1000PT!$F$53</f>
        <v>1E-3</v>
      </c>
      <c r="E10" s="224">
        <f>RAT1000PT!$F$60</f>
        <v>0.12</v>
      </c>
    </row>
    <row r="11" spans="2:10" s="143" customFormat="1" ht="13.5">
      <c r="B11" s="48"/>
      <c r="C11" s="225" t="s">
        <v>263</v>
      </c>
      <c r="D11" s="223">
        <f>RAT1000PT!$F$52</f>
        <v>1.01E-3</v>
      </c>
      <c r="E11" s="224">
        <f>RAT1000PT!$F$59</f>
        <v>0.13</v>
      </c>
    </row>
    <row r="12" spans="2:10" s="143" customFormat="1" ht="13.5">
      <c r="B12" s="48"/>
      <c r="C12" s="225" t="s">
        <v>261</v>
      </c>
      <c r="D12" s="223">
        <f>RAT1000PT!$F$51</f>
        <v>1.6199999999999999E-3</v>
      </c>
      <c r="E12" s="224">
        <f>RAT1000PT!$F$58</f>
        <v>0.12</v>
      </c>
    </row>
    <row r="13" spans="2:10" s="143" customFormat="1" ht="13.5">
      <c r="B13" s="48"/>
      <c r="C13" s="225" t="s">
        <v>1768</v>
      </c>
      <c r="D13" s="223">
        <f>RAT1000PT!$F$48</f>
        <v>1.01E-3</v>
      </c>
      <c r="E13" s="224"/>
    </row>
    <row r="14" spans="2:10" s="143" customFormat="1" ht="13.5">
      <c r="B14" s="48"/>
      <c r="C14" s="225" t="s">
        <v>2071</v>
      </c>
      <c r="D14" s="223">
        <f>RAT1000PT!$F$49</f>
        <v>1.01E-3</v>
      </c>
      <c r="E14" s="223"/>
    </row>
    <row r="15" spans="2:10" s="143" customFormat="1" ht="13.5">
      <c r="B15" s="48"/>
      <c r="C15" s="225" t="s">
        <v>1178</v>
      </c>
      <c r="D15" s="223">
        <f>RAT1000PT!$F$50</f>
        <v>1.01E-3</v>
      </c>
      <c r="E15" s="223"/>
    </row>
    <row r="16" spans="2:10" s="143" customFormat="1" ht="15.75">
      <c r="B16" s="48"/>
      <c r="D16" s="226"/>
      <c r="E16" s="226"/>
      <c r="F16" s="69"/>
      <c r="G16" s="69"/>
    </row>
    <row r="17" spans="2:11" s="143" customFormat="1" ht="31.5">
      <c r="B17" s="48"/>
      <c r="C17" s="138" t="s">
        <v>677</v>
      </c>
      <c r="D17" s="138"/>
      <c r="E17" s="138"/>
      <c r="F17" s="138"/>
      <c r="G17" s="138"/>
      <c r="H17" s="138"/>
      <c r="I17" s="138"/>
      <c r="J17" s="138"/>
    </row>
    <row r="18" spans="2:11" s="37" customFormat="1" ht="15.75">
      <c r="B18" s="48"/>
      <c r="C18" s="150" t="s">
        <v>310</v>
      </c>
      <c r="D18" s="151">
        <f>F821EVE!D4</f>
        <v>45839</v>
      </c>
      <c r="E18" s="151">
        <f>F821EVE!E4</f>
        <v>45870</v>
      </c>
      <c r="F18" s="151">
        <f>F821EVE!F4</f>
        <v>45901</v>
      </c>
      <c r="G18" s="151">
        <f>F821EVE!G4</f>
        <v>45931</v>
      </c>
      <c r="H18" s="151">
        <f>F821EVE!H4</f>
        <v>45962</v>
      </c>
      <c r="I18" s="151">
        <f>F821EVE!I4</f>
        <v>45992</v>
      </c>
      <c r="J18" s="151" t="str">
        <f>F821EVE!J4</f>
        <v>TOTAL</v>
      </c>
      <c r="K18" s="69"/>
    </row>
    <row r="19" spans="2:11" s="37" customFormat="1" ht="15.75">
      <c r="B19" s="48"/>
      <c r="C19" s="153" t="s">
        <v>446</v>
      </c>
      <c r="D19" s="154">
        <f>SUBTOTAL(9,D20:D21)</f>
        <v>17218.247280000003</v>
      </c>
      <c r="E19" s="154">
        <f t="shared" ref="E19:I19" si="0">SUBTOTAL(9,E20:E21)</f>
        <v>17168.239280000002</v>
      </c>
      <c r="F19" s="154">
        <f t="shared" si="0"/>
        <v>16786.749600000003</v>
      </c>
      <c r="G19" s="154">
        <f t="shared" si="0"/>
        <v>17319.085440000003</v>
      </c>
      <c r="H19" s="154">
        <f t="shared" si="0"/>
        <v>16637.863680000002</v>
      </c>
      <c r="I19" s="154">
        <f t="shared" si="0"/>
        <v>17144.47032</v>
      </c>
      <c r="J19" s="154">
        <f>SUM(D19:I19)</f>
        <v>102274.6556</v>
      </c>
      <c r="K19" s="69"/>
    </row>
    <row r="20" spans="2:11" s="37" customFormat="1" ht="15.75">
      <c r="B20" s="48" t="s">
        <v>279</v>
      </c>
      <c r="C20" s="155" t="s">
        <v>279</v>
      </c>
      <c r="D20" s="156">
        <f>$E$7*F821D!K6+$D$7*F821EVE!D6</f>
        <v>17218.247280000003</v>
      </c>
      <c r="E20" s="156">
        <f>$E$7*F821D!L6+$D$7*F821EVE!E6</f>
        <v>17168.239280000002</v>
      </c>
      <c r="F20" s="156">
        <f>$E$7*F821D!M6+$D$7*F821EVE!F6</f>
        <v>16786.749600000003</v>
      </c>
      <c r="G20" s="156">
        <f>$E$7*F821D!N6+$D$7*F821EVE!G6</f>
        <v>17319.085440000003</v>
      </c>
      <c r="H20" s="156">
        <f>$E$7*F821D!O6+$D$7*F821EVE!H6</f>
        <v>16637.863680000002</v>
      </c>
      <c r="I20" s="156">
        <f>$E$7*F821D!P6+$D$7*F821EVE!I6</f>
        <v>17144.47032</v>
      </c>
      <c r="J20" s="156">
        <f>SUM(D20:I20)</f>
        <v>102274.6556</v>
      </c>
      <c r="K20" s="69"/>
    </row>
    <row r="21" spans="2:11" s="37" customFormat="1" ht="15.75">
      <c r="B21" s="48" t="s">
        <v>278</v>
      </c>
      <c r="C21" s="155" t="s">
        <v>278</v>
      </c>
      <c r="D21" s="156">
        <f>$E$8*F821D!K7+$D$8*F821EVE!D7</f>
        <v>0</v>
      </c>
      <c r="E21" s="156">
        <f>$E$8*F821D!L7+$D$8*F821EVE!E7</f>
        <v>0</v>
      </c>
      <c r="F21" s="156">
        <f>$E$8*F821D!M7+$D$8*F821EVE!F7</f>
        <v>0</v>
      </c>
      <c r="G21" s="156">
        <f>$E$8*F821D!N7+$D$8*F821EVE!G7</f>
        <v>0</v>
      </c>
      <c r="H21" s="156">
        <f>$E$8*F821D!O7+$D$8*F821EVE!H7</f>
        <v>0</v>
      </c>
      <c r="I21" s="156">
        <f>$E$8*F821D!P7+$D$8*F821EVE!I7</f>
        <v>0</v>
      </c>
      <c r="J21" s="156">
        <f>SUM(D21:I21)</f>
        <v>0</v>
      </c>
      <c r="K21" s="69"/>
    </row>
    <row r="22" spans="2:11" s="37" customFormat="1" ht="15.75">
      <c r="B22" s="48"/>
      <c r="C22" s="157"/>
      <c r="D22" s="156"/>
      <c r="E22" s="156"/>
      <c r="F22" s="156"/>
      <c r="G22" s="156"/>
      <c r="H22" s="156"/>
      <c r="I22" s="156"/>
      <c r="J22" s="156"/>
      <c r="K22" s="69"/>
    </row>
    <row r="23" spans="2:11" s="37" customFormat="1" ht="15.75">
      <c r="B23" s="48"/>
      <c r="C23" s="153" t="s">
        <v>630</v>
      </c>
      <c r="D23" s="154">
        <f>SUBTOTAL(9,D24:D31)</f>
        <v>40362.645820000005</v>
      </c>
      <c r="E23" s="154">
        <f t="shared" ref="E23:I23" si="1">SUBTOTAL(9,E24:E31)</f>
        <v>41234.6558</v>
      </c>
      <c r="F23" s="154">
        <f t="shared" si="1"/>
        <v>40163.805939999998</v>
      </c>
      <c r="G23" s="154">
        <f t="shared" si="1"/>
        <v>40422.561200000004</v>
      </c>
      <c r="H23" s="154">
        <f t="shared" si="1"/>
        <v>38804.030859999999</v>
      </c>
      <c r="I23" s="154">
        <f t="shared" si="1"/>
        <v>38187.549620000005</v>
      </c>
      <c r="J23" s="154">
        <f t="shared" ref="J23:J31" si="2">SUM(D23:I23)</f>
        <v>239175.24924</v>
      </c>
      <c r="K23" s="69"/>
    </row>
    <row r="24" spans="2:11" s="37" customFormat="1" ht="15.75">
      <c r="B24" s="48" t="s">
        <v>277</v>
      </c>
      <c r="C24" s="155" t="s">
        <v>277</v>
      </c>
      <c r="D24" s="154">
        <f>SUBTOTAL(9,D25:D26)</f>
        <v>5184.7398199999998</v>
      </c>
      <c r="E24" s="154">
        <f t="shared" ref="E24:I24" si="3">SUBTOTAL(9,E25:E26)</f>
        <v>5289.0412999999999</v>
      </c>
      <c r="F24" s="154">
        <f t="shared" si="3"/>
        <v>5325.6224400000001</v>
      </c>
      <c r="G24" s="154">
        <f t="shared" si="3"/>
        <v>3865.0601999999999</v>
      </c>
      <c r="H24" s="154">
        <f t="shared" si="3"/>
        <v>5424.4728599999999</v>
      </c>
      <c r="I24" s="154">
        <f t="shared" si="3"/>
        <v>3834.6191200000003</v>
      </c>
      <c r="J24" s="154">
        <f t="shared" si="2"/>
        <v>28923.55574</v>
      </c>
      <c r="K24" s="69"/>
    </row>
    <row r="25" spans="2:11" s="37" customFormat="1" ht="15.75">
      <c r="B25" s="48"/>
      <c r="C25" s="160" t="s">
        <v>304</v>
      </c>
      <c r="D25" s="156">
        <f>($E$9*F821D!K11+$D$9*F821EVE!D11)</f>
        <v>4510.62932</v>
      </c>
      <c r="E25" s="156">
        <f>($E$9*F821D!L11+$D$9*F821EVE!E11)</f>
        <v>4595.8966</v>
      </c>
      <c r="F25" s="156">
        <f>($E$9*F821D!M11+$D$9*F821EVE!F11)</f>
        <v>4632.0806400000001</v>
      </c>
      <c r="G25" s="156">
        <f>($E$9*F821D!N11+$D$9*F821EVE!G11)</f>
        <v>3154.8402000000001</v>
      </c>
      <c r="H25" s="156">
        <f>($E$9*F821D!O11+$D$9*F821EVE!H11)</f>
        <v>4726.46036</v>
      </c>
      <c r="I25" s="156">
        <f>($E$9*F821D!P11+$D$9*F821EVE!I11)</f>
        <v>3834.6191200000003</v>
      </c>
      <c r="J25" s="156">
        <f t="shared" si="2"/>
        <v>25454.526239999999</v>
      </c>
      <c r="K25" s="69"/>
    </row>
    <row r="26" spans="2:11" s="37" customFormat="1" ht="15.75">
      <c r="B26" s="48"/>
      <c r="C26" s="160" t="s">
        <v>305</v>
      </c>
      <c r="D26" s="156">
        <f>($E$9*F821D!K12+$D$9*F821EVE!D12)*0.95</f>
        <v>674.1105</v>
      </c>
      <c r="E26" s="156">
        <f>($E$9*F821D!L12+$D$9*F821EVE!E12)*0.95</f>
        <v>693.14469999999994</v>
      </c>
      <c r="F26" s="156">
        <f>($E$9*F821D!M12+$D$9*F821EVE!F12)*0.95</f>
        <v>693.54180000000008</v>
      </c>
      <c r="G26" s="156">
        <f>($E$9*F821D!N12+$D$9*F821EVE!G12)*0.95</f>
        <v>710.21999999999991</v>
      </c>
      <c r="H26" s="156">
        <f>($E$9*F821D!O12+$D$9*F821EVE!H12)*0.95</f>
        <v>698.01249999999993</v>
      </c>
      <c r="I26" s="156">
        <f>($E$9*F821D!P12+$D$9*F821EVE!I12)*0.95</f>
        <v>0</v>
      </c>
      <c r="J26" s="156">
        <f>SUM(D26:I26)</f>
        <v>3469.0294999999996</v>
      </c>
      <c r="K26" s="69"/>
    </row>
    <row r="27" spans="2:11" s="37" customFormat="1" ht="15.75">
      <c r="B27" s="48" t="s">
        <v>276</v>
      </c>
      <c r="C27" s="158" t="s">
        <v>276</v>
      </c>
      <c r="D27" s="154">
        <f>SUBTOTAL(9,D28:D31)</f>
        <v>35177.906000000003</v>
      </c>
      <c r="E27" s="154">
        <f t="shared" ref="E27:I27" si="4">SUBTOTAL(9,E28:E31)</f>
        <v>35945.614500000003</v>
      </c>
      <c r="F27" s="154">
        <f t="shared" si="4"/>
        <v>34838.183499999999</v>
      </c>
      <c r="G27" s="154">
        <f t="shared" si="4"/>
        <v>36557.501000000004</v>
      </c>
      <c r="H27" s="154">
        <f t="shared" si="4"/>
        <v>33379.557999999997</v>
      </c>
      <c r="I27" s="154">
        <f t="shared" si="4"/>
        <v>34352.930500000002</v>
      </c>
      <c r="J27" s="159">
        <f t="shared" si="2"/>
        <v>210251.69349999999</v>
      </c>
      <c r="K27" s="69"/>
    </row>
    <row r="28" spans="2:11" s="37" customFormat="1" ht="15.75">
      <c r="B28" s="48"/>
      <c r="C28" s="160" t="s">
        <v>304</v>
      </c>
      <c r="D28" s="156">
        <f>$E$10*F821D!K15+$D$10*F821EVE!D15</f>
        <v>35085.927000000003</v>
      </c>
      <c r="E28" s="156">
        <f>$E$10*F821D!L15+$D$10*F821EVE!E15</f>
        <v>35779.716</v>
      </c>
      <c r="F28" s="156">
        <f>$E$10*F821D!M15+$D$10*F821EVE!F15</f>
        <v>34737.055999999997</v>
      </c>
      <c r="G28" s="156">
        <f>$E$10*F821D!N15+$D$10*F821EVE!G15</f>
        <v>36466.016000000003</v>
      </c>
      <c r="H28" s="156">
        <f>$E$10*F821D!O15+$D$10*F821EVE!H15</f>
        <v>33113.120999999999</v>
      </c>
      <c r="I28" s="156">
        <f>$E$10*F821D!P15+$D$10*F821EVE!I15</f>
        <v>34099.898000000001</v>
      </c>
      <c r="J28" s="156">
        <f t="shared" si="2"/>
        <v>209281.734</v>
      </c>
      <c r="K28" s="69"/>
    </row>
    <row r="29" spans="2:11" s="37" customFormat="1" ht="15.75">
      <c r="B29" s="48"/>
      <c r="C29" s="161" t="s">
        <v>306</v>
      </c>
      <c r="D29" s="156">
        <f>($E$10*F821D!K16+$D$10*F821EVE!D16)*0.75</f>
        <v>0</v>
      </c>
      <c r="E29" s="156">
        <f>($E$10*F821D!L16+$D$10*F821EVE!E16)*0.75</f>
        <v>0</v>
      </c>
      <c r="F29" s="156">
        <f>($E$10*F821D!M16+$D$10*F821EVE!F16)*0.75</f>
        <v>0</v>
      </c>
      <c r="G29" s="156">
        <f>($E$10*F821D!N16+$D$10*F821EVE!G16)*0.75</f>
        <v>0</v>
      </c>
      <c r="H29" s="156">
        <f>($E$10*F821D!O16+$D$10*F821EVE!H16)*0.75</f>
        <v>0</v>
      </c>
      <c r="I29" s="156">
        <f>($E$10*F821D!P16+$D$10*F821EVE!I16)*0.75</f>
        <v>0</v>
      </c>
      <c r="J29" s="156">
        <f t="shared" si="2"/>
        <v>0</v>
      </c>
      <c r="K29" s="69"/>
    </row>
    <row r="30" spans="2:11" s="37" customFormat="1" ht="15.75">
      <c r="B30" s="48"/>
      <c r="C30" s="160" t="s">
        <v>305</v>
      </c>
      <c r="D30" s="156">
        <f>($E$10*F821D!K17+$D$10*F821EVE!D17)*0.95</f>
        <v>91.978999999999999</v>
      </c>
      <c r="E30" s="156">
        <f>($E$10*F821D!L17+$D$10*F821EVE!E17)*0.95</f>
        <v>165.89849999999998</v>
      </c>
      <c r="F30" s="156">
        <f>($E$10*F821D!M17+$D$10*F821EVE!F17)*0.95</f>
        <v>101.1275</v>
      </c>
      <c r="G30" s="156">
        <f>($E$10*F821D!N17+$D$10*F821EVE!G17)*0.95</f>
        <v>91.484999999999999</v>
      </c>
      <c r="H30" s="156">
        <f>($E$10*F821D!O17+$D$10*F821EVE!H17)*0.95</f>
        <v>266.43700000000001</v>
      </c>
      <c r="I30" s="156">
        <f>($E$10*F821D!P17+$D$10*F821EVE!I17)*0.95</f>
        <v>253.0325</v>
      </c>
      <c r="J30" s="156">
        <f>SUM(D30:I30)</f>
        <v>969.95950000000005</v>
      </c>
      <c r="K30" s="69"/>
    </row>
    <row r="31" spans="2:11" s="37" customFormat="1" ht="15.75">
      <c r="B31" s="48"/>
      <c r="C31" s="160" t="s">
        <v>307</v>
      </c>
      <c r="D31" s="156">
        <f>($E$10*F821D!K18+$D$10*F821EVE!D18)*0.5</f>
        <v>0</v>
      </c>
      <c r="E31" s="156">
        <f>($E$10*F821D!L18+$D$10*F821EVE!E18)*0.5</f>
        <v>0</v>
      </c>
      <c r="F31" s="156">
        <f>($E$10*F821D!M18+$D$10*F821EVE!F18)*0.5</f>
        <v>0</v>
      </c>
      <c r="G31" s="156">
        <f>($E$10*F821D!N18+$D$10*F821EVE!G18)*0.5</f>
        <v>0</v>
      </c>
      <c r="H31" s="156">
        <f>($E$10*F821D!O18+$D$10*F821EVE!H18)*0.5</f>
        <v>0</v>
      </c>
      <c r="I31" s="156">
        <f>($E$10*F821D!P18+$D$10*F821EVE!I18)*0.5</f>
        <v>0</v>
      </c>
      <c r="J31" s="156">
        <f t="shared" si="2"/>
        <v>0</v>
      </c>
      <c r="K31" s="69"/>
    </row>
    <row r="32" spans="2:11" s="37" customFormat="1" ht="15.75">
      <c r="B32" s="48"/>
      <c r="C32" s="157"/>
      <c r="D32" s="156"/>
      <c r="E32" s="156"/>
      <c r="F32" s="156"/>
      <c r="G32" s="156"/>
      <c r="H32" s="156"/>
      <c r="I32" s="156"/>
      <c r="J32" s="156"/>
      <c r="K32" s="69"/>
    </row>
    <row r="33" spans="2:11" s="37" customFormat="1" ht="15.75">
      <c r="B33" s="48"/>
      <c r="C33" s="153" t="s">
        <v>443</v>
      </c>
      <c r="D33" s="154">
        <f t="shared" ref="D33:I33" si="5">SUBTOTAL(9,D34:D108)</f>
        <v>280629.73307650007</v>
      </c>
      <c r="E33" s="154">
        <f t="shared" si="5"/>
        <v>280551.52936049999</v>
      </c>
      <c r="F33" s="154">
        <f t="shared" si="5"/>
        <v>275230.0523405</v>
      </c>
      <c r="G33" s="154">
        <f t="shared" si="5"/>
        <v>279082.34013549995</v>
      </c>
      <c r="H33" s="154">
        <f t="shared" si="5"/>
        <v>267834.38514949998</v>
      </c>
      <c r="I33" s="154">
        <f t="shared" si="5"/>
        <v>268786.63821349991</v>
      </c>
      <c r="J33" s="154">
        <f>SUM(D33:I33)</f>
        <v>1652114.6782759996</v>
      </c>
      <c r="K33" s="69"/>
    </row>
    <row r="34" spans="2:11" s="37" customFormat="1" ht="15.75">
      <c r="B34" s="48" t="s">
        <v>275</v>
      </c>
      <c r="C34" s="155" t="s">
        <v>275</v>
      </c>
      <c r="D34" s="154">
        <f>SUBTOTAL(9,D35:D37)</f>
        <v>3497.25</v>
      </c>
      <c r="E34" s="154">
        <f t="shared" ref="E34:I34" si="6">SUBTOTAL(9,E35:E37)</f>
        <v>3481.8495499999995</v>
      </c>
      <c r="F34" s="154">
        <f t="shared" si="6"/>
        <v>3449.3058799999999</v>
      </c>
      <c r="G34" s="154">
        <f t="shared" si="6"/>
        <v>3523.7287100000003</v>
      </c>
      <c r="H34" s="154">
        <f t="shared" si="6"/>
        <v>3523.1216600000002</v>
      </c>
      <c r="I34" s="154">
        <f t="shared" si="6"/>
        <v>3673.4763400000006</v>
      </c>
      <c r="J34" s="154">
        <f t="shared" ref="J34" si="7">SUM(D34:I34)</f>
        <v>21148.73214</v>
      </c>
      <c r="K34" s="69"/>
    </row>
    <row r="35" spans="2:11" s="37" customFormat="1" ht="15.75">
      <c r="B35" s="48"/>
      <c r="C35" s="160" t="s">
        <v>304</v>
      </c>
      <c r="D35" s="156">
        <f>($E$11*F821D!K22+$D$11*F821EVE!D22)</f>
        <v>3452.1718900000001</v>
      </c>
      <c r="E35" s="156">
        <f>($E$11*F821D!L22+$D$11*F821EVE!E22)</f>
        <v>3447.1716299999998</v>
      </c>
      <c r="F35" s="156">
        <f>($E$11*F821D!M22+$D$11*F821EVE!F22)</f>
        <v>3407.22516</v>
      </c>
      <c r="G35" s="156">
        <f>($E$11*F821D!N22+$D$11*F821EVE!G22)</f>
        <v>3484.7764700000002</v>
      </c>
      <c r="H35" s="156">
        <f>($E$11*F821D!O22+$D$11*F821EVE!H22)</f>
        <v>3487.9763300000004</v>
      </c>
      <c r="I35" s="156">
        <f>($E$11*F821D!P22+$D$11*F821EVE!I22)</f>
        <v>3632.6565900000005</v>
      </c>
      <c r="J35" s="156">
        <f t="shared" ref="J35" si="8">SUM(D35:I35)</f>
        <v>20911.978070000005</v>
      </c>
      <c r="K35" s="69"/>
    </row>
    <row r="36" spans="2:11" s="37" customFormat="1" ht="15.75">
      <c r="B36" s="48"/>
      <c r="C36" s="161" t="s">
        <v>306</v>
      </c>
      <c r="D36" s="156">
        <f>($E$11*F821D!K23+$D$11*F821EVE!D23)</f>
        <v>31.61129</v>
      </c>
      <c r="E36" s="156">
        <f>($E$11*F821D!L23+$D$11*F821EVE!E23)</f>
        <v>19.31832</v>
      </c>
      <c r="F36" s="156">
        <f>($E$11*F821D!M23+$D$11*F821EVE!F23)</f>
        <v>25.826599999999999</v>
      </c>
      <c r="G36" s="156">
        <f>($E$11*F821D!N23+$D$11*F821EVE!G23)</f>
        <v>27.70158</v>
      </c>
      <c r="H36" s="156">
        <f>($E$11*F821D!O23+$D$11*F821EVE!H23)</f>
        <v>21.634810000000002</v>
      </c>
      <c r="I36" s="156">
        <f>($E$11*F821D!P23+$D$11*F821EVE!I23)</f>
        <v>25.770610000000001</v>
      </c>
      <c r="J36" s="156">
        <f>SUM(D36:I36)</f>
        <v>151.86320999999998</v>
      </c>
      <c r="K36" s="69"/>
    </row>
    <row r="37" spans="2:11" s="37" customFormat="1" ht="15.75">
      <c r="B37" s="48"/>
      <c r="C37" s="160" t="s">
        <v>305</v>
      </c>
      <c r="D37" s="156">
        <f>($E$11*F821D!K24+$D$11*F821EVE!D24)*95%</f>
        <v>13.46682</v>
      </c>
      <c r="E37" s="156">
        <f>($E$11*F821D!L24+$D$11*F821EVE!E24)*95%</f>
        <v>15.359599999999999</v>
      </c>
      <c r="F37" s="156">
        <f>($E$11*F821D!M24+$D$11*F821EVE!F24)*95%</f>
        <v>16.25412</v>
      </c>
      <c r="G37" s="156">
        <f>($E$11*F821D!N24+$D$11*F821EVE!G24)*95%</f>
        <v>11.25066</v>
      </c>
      <c r="H37" s="156">
        <f>($E$11*F821D!O24+$D$11*F821EVE!H24)*95%</f>
        <v>13.51052</v>
      </c>
      <c r="I37" s="156">
        <f>($E$11*F821D!P24+$D$11*F821EVE!I24)*95%</f>
        <v>15.04914</v>
      </c>
      <c r="J37" s="156">
        <f>SUM(D37:I37)</f>
        <v>84.890859999999989</v>
      </c>
      <c r="K37" s="69"/>
    </row>
    <row r="38" spans="2:11" s="37" customFormat="1" ht="15.75">
      <c r="B38" s="48" t="s">
        <v>274</v>
      </c>
      <c r="C38" s="158" t="s">
        <v>627</v>
      </c>
      <c r="D38" s="154">
        <f t="shared" ref="D38:I38" si="9">SUBTOTAL(9,D39:D44)</f>
        <v>66980.576099999991</v>
      </c>
      <c r="E38" s="154">
        <f t="shared" si="9"/>
        <v>66956.646659999999</v>
      </c>
      <c r="F38" s="154">
        <f t="shared" si="9"/>
        <v>66397.615380000003</v>
      </c>
      <c r="G38" s="154">
        <f t="shared" si="9"/>
        <v>67255.096140000009</v>
      </c>
      <c r="H38" s="154">
        <f t="shared" si="9"/>
        <v>65901.231420000011</v>
      </c>
      <c r="I38" s="154">
        <f t="shared" si="9"/>
        <v>65834.055798000001</v>
      </c>
      <c r="J38" s="159">
        <f t="shared" ref="J38:J87" si="10">SUM(D38:I38)</f>
        <v>399325.22149800003</v>
      </c>
      <c r="K38" s="69"/>
    </row>
    <row r="39" spans="2:11" s="37" customFormat="1" ht="15.75">
      <c r="B39" s="48"/>
      <c r="C39" s="160" t="s">
        <v>304</v>
      </c>
      <c r="D39" s="156">
        <f>($E$12*F821D!K28+$D$12*F821EVE!D28)*1</f>
        <v>66862.169699999999</v>
      </c>
      <c r="E39" s="156">
        <f>($E$12*F821D!L28+$D$12*F821EVE!E28)*1</f>
        <v>66835.073640000002</v>
      </c>
      <c r="F39" s="156">
        <f>($E$12*F821D!M28+$D$12*F821EVE!F28)*1</f>
        <v>66260.456160000002</v>
      </c>
      <c r="G39" s="156">
        <f>($E$12*F821D!N28+$D$12*F821EVE!G28)*1</f>
        <v>67136.271059999999</v>
      </c>
      <c r="H39" s="156">
        <f>($E$12*F821D!O28+$D$12*F821EVE!H28)*1</f>
        <v>65781.371339999998</v>
      </c>
      <c r="I39" s="156">
        <f>($E$12*F821D!P28+$D$12*F821EVE!I28)*1</f>
        <v>65700.051240000001</v>
      </c>
      <c r="J39" s="156">
        <f t="shared" si="10"/>
        <v>398575.39314</v>
      </c>
      <c r="K39" s="69"/>
    </row>
    <row r="40" spans="2:11" s="37" customFormat="1" ht="15.75">
      <c r="B40" s="48"/>
      <c r="C40" s="161" t="s">
        <v>628</v>
      </c>
      <c r="D40" s="156">
        <f>($E$12*F821D!K29+$D$12*F821EVE!D29)*0.75</f>
        <v>4.3739999999999997</v>
      </c>
      <c r="E40" s="156">
        <f>($E$12*F821D!L29+$D$12*F821EVE!E29)*0.75</f>
        <v>4.3739999999999997</v>
      </c>
      <c r="F40" s="156">
        <f>($E$12*F821D!M29+$D$12*F821EVE!F29)*0.75</f>
        <v>5.1029999999999998</v>
      </c>
      <c r="G40" s="156">
        <f>($E$12*F821D!N29+$D$12*F821EVE!G29)*0.75</f>
        <v>5.1029999999999998</v>
      </c>
      <c r="H40" s="156">
        <f>($E$12*F821D!O29+$D$12*F821EVE!H29)*0.75</f>
        <v>5.1029999999999998</v>
      </c>
      <c r="I40" s="156">
        <f>($E$12*F821D!P29+$D$12*F821EVE!I29)*0.75</f>
        <v>4.3739999999999997</v>
      </c>
      <c r="J40" s="156">
        <f>SUM(D40:I40)</f>
        <v>28.431000000000001</v>
      </c>
      <c r="K40" s="69"/>
    </row>
    <row r="41" spans="2:11" s="37" customFormat="1" ht="15.75">
      <c r="B41" s="48"/>
      <c r="C41" s="161" t="s">
        <v>629</v>
      </c>
      <c r="D41" s="156">
        <f>($E$12*F821D!K30+$D$12*F821EVE!D30)*1</f>
        <v>35.385359999999999</v>
      </c>
      <c r="E41" s="156">
        <f>($E$12*F821D!L30+$D$12*F821EVE!E30)*1</f>
        <v>40.016219999999997</v>
      </c>
      <c r="F41" s="156">
        <f>($E$12*F821D!M30+$D$12*F821EVE!F30)*1</f>
        <v>40.892099999999999</v>
      </c>
      <c r="G41" s="156">
        <f>($E$12*F821D!N30+$D$12*F821EVE!G30)*1</f>
        <v>38.936520000000002</v>
      </c>
      <c r="H41" s="156">
        <f>($E$12*F821D!O30+$D$12*F821EVE!H30)*1</f>
        <v>37.548720000000003</v>
      </c>
      <c r="I41" s="156">
        <f>($E$12*F821D!P30+$D$12*F821EVE!I30)*1</f>
        <v>37.949879999999993</v>
      </c>
      <c r="J41" s="156">
        <f>SUM(D41:I41)</f>
        <v>230.72879999999998</v>
      </c>
      <c r="K41" s="69"/>
    </row>
    <row r="42" spans="2:11" s="37" customFormat="1" ht="15.75">
      <c r="B42" s="48"/>
      <c r="C42" s="160" t="s">
        <v>305</v>
      </c>
      <c r="D42" s="156">
        <f>($E$12*F821D!K31+$D$12*F821EVE!D31)*0.95</f>
        <v>70.47023999999999</v>
      </c>
      <c r="E42" s="156">
        <f>($E$12*F821D!L31+$D$12*F821EVE!E31)*0.95</f>
        <v>69.653999999999996</v>
      </c>
      <c r="F42" s="156">
        <f>($E$12*F821D!M31+$D$12*F821EVE!F31)*0.95</f>
        <v>82.533719999999988</v>
      </c>
      <c r="G42" s="156">
        <f>($E$12*F821D!N31+$D$12*F821EVE!G31)*0.95</f>
        <v>66.09035999999999</v>
      </c>
      <c r="H42" s="156">
        <f>($E$12*F821D!O31+$D$12*F821EVE!H31)*0.95</f>
        <v>69.350759999999994</v>
      </c>
      <c r="I42" s="156">
        <f>($E$12*F821D!P31+$D$12*F821EVE!I31)*0.95</f>
        <v>84.591077999999996</v>
      </c>
      <c r="J42" s="156">
        <f t="shared" si="10"/>
        <v>442.69015799999994</v>
      </c>
      <c r="K42" s="69"/>
    </row>
    <row r="43" spans="2:11" s="37" customFormat="1" ht="15.75">
      <c r="B43" s="48"/>
      <c r="C43" s="160" t="s">
        <v>307</v>
      </c>
      <c r="D43" s="156">
        <f>($E$12*F821D!K32+$D$12*F821EVE!D32)*0.5</f>
        <v>8.1768000000000001</v>
      </c>
      <c r="E43" s="156">
        <f>($E$12*F821D!L32+$D$12*F821EVE!E32)*0.5</f>
        <v>7.5288000000000004</v>
      </c>
      <c r="F43" s="156">
        <f>($E$12*F821D!M32+$D$12*F821EVE!F32)*0.5</f>
        <v>8.6303999999999998</v>
      </c>
      <c r="G43" s="156">
        <f>($E$12*F821D!N32+$D$12*F821EVE!G32)*0.5</f>
        <v>8.6951999999999998</v>
      </c>
      <c r="H43" s="156">
        <f>($E$12*F821D!O32+$D$12*F821EVE!H32)*0.5</f>
        <v>7.8575999999999997</v>
      </c>
      <c r="I43" s="156">
        <f>($E$12*F821D!P32+$D$12*F821EVE!I32)*0.5</f>
        <v>7.089599999999999</v>
      </c>
      <c r="J43" s="156">
        <f t="shared" si="10"/>
        <v>47.978399999999993</v>
      </c>
      <c r="K43" s="69"/>
    </row>
    <row r="44" spans="2:11" s="37" customFormat="1" ht="15.75">
      <c r="B44" s="48"/>
      <c r="C44" s="160" t="s">
        <v>624</v>
      </c>
      <c r="D44" s="156">
        <f>($E$12*F821D!K33+$D$12*F821EVE!D33)*0</f>
        <v>0</v>
      </c>
      <c r="E44" s="156">
        <f>($E$12*F821D!L33+$D$12*F821EVE!E33)*0</f>
        <v>0</v>
      </c>
      <c r="F44" s="156">
        <f>($E$12*F821D!M33+$D$12*F821EVE!F33)*0</f>
        <v>0</v>
      </c>
      <c r="G44" s="156">
        <f>($E$12*F821D!N33+$D$12*F821EVE!G33)*0</f>
        <v>0</v>
      </c>
      <c r="H44" s="156">
        <f>($E$12*F821D!O33+$D$12*F821EVE!H33)*0</f>
        <v>0</v>
      </c>
      <c r="I44" s="156">
        <f>($E$12*F821D!P33+$D$12*F821EVE!I33)*0</f>
        <v>0</v>
      </c>
      <c r="J44" s="156">
        <f t="shared" si="10"/>
        <v>0</v>
      </c>
      <c r="K44" s="69"/>
    </row>
    <row r="45" spans="2:11" s="37" customFormat="1" ht="15.75">
      <c r="B45" s="48" t="s">
        <v>274</v>
      </c>
      <c r="C45" s="158" t="s">
        <v>631</v>
      </c>
      <c r="D45" s="154">
        <f t="shared" ref="D45:I45" si="11">SUBTOTAL(9,D46:D49)</f>
        <v>34192.710659999997</v>
      </c>
      <c r="E45" s="154">
        <f t="shared" si="11"/>
        <v>35675.440139999992</v>
      </c>
      <c r="F45" s="154">
        <f t="shared" si="11"/>
        <v>34585.798499999997</v>
      </c>
      <c r="G45" s="154">
        <f t="shared" si="11"/>
        <v>35292.27102</v>
      </c>
      <c r="H45" s="154">
        <f t="shared" si="11"/>
        <v>33279.951419999998</v>
      </c>
      <c r="I45" s="154">
        <f t="shared" si="11"/>
        <v>32412.211439999999</v>
      </c>
      <c r="J45" s="159">
        <f t="shared" si="10"/>
        <v>205438.38317999995</v>
      </c>
      <c r="K45" s="69"/>
    </row>
    <row r="46" spans="2:11" s="37" customFormat="1" ht="15.75">
      <c r="B46" s="48"/>
      <c r="C46" s="160" t="s">
        <v>304</v>
      </c>
      <c r="D46" s="156">
        <f>($E$12*F821D!K35+$D$12*F821EVE!D35)*1</f>
        <v>34163.499299999996</v>
      </c>
      <c r="E46" s="156">
        <f>($E$12*F821D!L35+$D$12*F821EVE!E35)*1</f>
        <v>35646.598139999995</v>
      </c>
      <c r="F46" s="156">
        <f>($E$12*F821D!M35+$D$12*F821EVE!F35)*1</f>
        <v>34553.518259999997</v>
      </c>
      <c r="G46" s="156">
        <f>($E$12*F821D!N35+$D$12*F821EVE!G35)*1</f>
        <v>35254.486859999997</v>
      </c>
      <c r="H46" s="156">
        <f>($E$12*F821D!O35+$D$12*F821EVE!H35)*1</f>
        <v>33257.434139999998</v>
      </c>
      <c r="I46" s="156">
        <f>($E$12*F821D!P35+$D$12*F821EVE!I35)*1</f>
        <v>32372.393519999998</v>
      </c>
      <c r="J46" s="156">
        <f t="shared" si="10"/>
        <v>205247.93021999998</v>
      </c>
      <c r="K46" s="69"/>
    </row>
    <row r="47" spans="2:11" s="37" customFormat="1" ht="15.75">
      <c r="B47" s="48"/>
      <c r="C47" s="161" t="s">
        <v>306</v>
      </c>
      <c r="D47" s="156">
        <f>($E$12*F821D!K36+$D$12*F821EVE!D36)*1</f>
        <v>0</v>
      </c>
      <c r="E47" s="156">
        <f>($E$12*F821D!L36+$D$12*F821EVE!E36)*1</f>
        <v>0</v>
      </c>
      <c r="F47" s="156">
        <f>($E$12*F821D!M36+$D$12*F821EVE!F36)*1</f>
        <v>0</v>
      </c>
      <c r="G47" s="156">
        <f>($E$12*F821D!N36+$D$12*F821EVE!G36)*1</f>
        <v>0</v>
      </c>
      <c r="H47" s="156">
        <f>($E$12*F821D!O36+$D$12*F821EVE!H36)*1</f>
        <v>0</v>
      </c>
      <c r="I47" s="156">
        <f>($E$12*F821D!P36+$D$12*F821EVE!I36)*1</f>
        <v>0</v>
      </c>
      <c r="J47" s="156">
        <f>SUM(D47:I47)</f>
        <v>0</v>
      </c>
      <c r="K47" s="69"/>
    </row>
    <row r="48" spans="2:11" s="37" customFormat="1" ht="15.75">
      <c r="B48" s="48"/>
      <c r="C48" s="160" t="s">
        <v>305</v>
      </c>
      <c r="D48" s="156">
        <f>($E$12*F821D!K37+$D$12*F821EVE!D37)*0.95</f>
        <v>29.211359999999999</v>
      </c>
      <c r="E48" s="156">
        <f>($E$12*F821D!L37+$D$12*F821EVE!E37)*0.95</f>
        <v>28.841999999999999</v>
      </c>
      <c r="F48" s="156">
        <f>($E$12*F821D!M37+$D$12*F821EVE!F37)*0.95</f>
        <v>32.280239999999999</v>
      </c>
      <c r="G48" s="156">
        <f>($E$12*F821D!N37+$D$12*F821EVE!G37)*0.95</f>
        <v>37.78416</v>
      </c>
      <c r="H48" s="156">
        <f>($E$12*F821D!O37+$D$12*F821EVE!H37)*0.95</f>
        <v>22.517279999999996</v>
      </c>
      <c r="I48" s="156">
        <f>($E$12*F821D!P37+$D$12*F821EVE!I37)*0.95</f>
        <v>39.817919999999994</v>
      </c>
      <c r="J48" s="156">
        <f t="shared" si="10"/>
        <v>190.45295999999996</v>
      </c>
      <c r="K48" s="69"/>
    </row>
    <row r="49" spans="2:11" s="37" customFormat="1" ht="15.75">
      <c r="B49" s="48"/>
      <c r="C49" s="160" t="s">
        <v>307</v>
      </c>
      <c r="D49" s="156">
        <f>($E$12*F821D!K38+$D$12*F821EVE!D38)*0.5</f>
        <v>0</v>
      </c>
      <c r="E49" s="156">
        <f>($E$12*F821D!L38+$D$12*F821EVE!E38)*0.5</f>
        <v>0</v>
      </c>
      <c r="F49" s="156">
        <f>($E$12*F821D!M38+$D$12*F821EVE!F38)*0.5</f>
        <v>0</v>
      </c>
      <c r="G49" s="156">
        <f>($E$12*F821D!N38+$D$12*F821EVE!G38)*0.5</f>
        <v>0</v>
      </c>
      <c r="H49" s="156">
        <f>($E$12*F821D!O38+$D$12*F821EVE!H38)*0.5</f>
        <v>0</v>
      </c>
      <c r="I49" s="156">
        <f>($E$12*F821D!P38+$D$12*F821EVE!I38)*0.5</f>
        <v>0</v>
      </c>
      <c r="J49" s="156">
        <f t="shared" si="10"/>
        <v>0</v>
      </c>
      <c r="K49" s="69"/>
    </row>
    <row r="50" spans="2:11" s="37" customFormat="1" ht="15.75">
      <c r="B50" s="48" t="s">
        <v>274</v>
      </c>
      <c r="C50" s="158" t="s">
        <v>632</v>
      </c>
      <c r="D50" s="154">
        <f t="shared" ref="D50:I50" si="12">SUBTOTAL(9,D51:D54)</f>
        <v>11359.514759999998</v>
      </c>
      <c r="E50" s="154">
        <f t="shared" si="12"/>
        <v>10940.699999999999</v>
      </c>
      <c r="F50" s="154">
        <f t="shared" si="12"/>
        <v>9939.8184000000001</v>
      </c>
      <c r="G50" s="154">
        <f t="shared" si="12"/>
        <v>10877.79558</v>
      </c>
      <c r="H50" s="154">
        <f t="shared" si="12"/>
        <v>9517.5507600000001</v>
      </c>
      <c r="I50" s="154">
        <f t="shared" si="12"/>
        <v>9714.3573599999982</v>
      </c>
      <c r="J50" s="159">
        <f t="shared" si="10"/>
        <v>62349.73685999999</v>
      </c>
      <c r="K50" s="69"/>
    </row>
    <row r="51" spans="2:11" s="37" customFormat="1" ht="15.75">
      <c r="B51" s="48"/>
      <c r="C51" s="160" t="s">
        <v>304</v>
      </c>
      <c r="D51" s="156">
        <f>($E$12*F821D!K40+$D$12*F821EVE!D40)*1</f>
        <v>11359.514759999998</v>
      </c>
      <c r="E51" s="156">
        <f>($E$12*F821D!L40+$D$12*F821EVE!E40)*1</f>
        <v>10940.699999999999</v>
      </c>
      <c r="F51" s="156">
        <f>($E$12*F821D!M40+$D$12*F821EVE!F40)*1</f>
        <v>9939.8184000000001</v>
      </c>
      <c r="G51" s="156">
        <f>($E$12*F821D!N40+$D$12*F821EVE!G40)*1</f>
        <v>10877.79558</v>
      </c>
      <c r="H51" s="156">
        <f>($E$12*F821D!O40+$D$12*F821EVE!H40)*1</f>
        <v>9517.5507600000001</v>
      </c>
      <c r="I51" s="156">
        <f>($E$12*F821D!P40+$D$12*F821EVE!I40)*1</f>
        <v>9714.3573599999982</v>
      </c>
      <c r="J51" s="156">
        <f t="shared" si="10"/>
        <v>62349.73685999999</v>
      </c>
      <c r="K51" s="69"/>
    </row>
    <row r="52" spans="2:11" s="37" customFormat="1" ht="15.75">
      <c r="B52" s="48"/>
      <c r="C52" s="161" t="s">
        <v>306</v>
      </c>
      <c r="D52" s="156">
        <f>($E$12*F821D!K41+$D$12*F821EVE!D41)*1</f>
        <v>0</v>
      </c>
      <c r="E52" s="156">
        <f>($E$12*F821D!L41+$D$12*F821EVE!E41)*1</f>
        <v>0</v>
      </c>
      <c r="F52" s="156">
        <f>($E$12*F821D!M41+$D$12*F821EVE!F41)*1</f>
        <v>0</v>
      </c>
      <c r="G52" s="156">
        <f>($E$12*F821D!N41+$D$12*F821EVE!G41)*1</f>
        <v>0</v>
      </c>
      <c r="H52" s="156">
        <f>($E$12*F821D!O41+$D$12*F821EVE!H41)*1</f>
        <v>0</v>
      </c>
      <c r="I52" s="156">
        <f>($E$12*F821D!P41+$D$12*F821EVE!I41)*1</f>
        <v>0</v>
      </c>
      <c r="J52" s="156">
        <f>SUM(D52:I52)</f>
        <v>0</v>
      </c>
      <c r="K52" s="69"/>
    </row>
    <row r="53" spans="2:11" s="37" customFormat="1" ht="15.75">
      <c r="B53" s="48"/>
      <c r="C53" s="160" t="s">
        <v>305</v>
      </c>
      <c r="D53" s="156">
        <f>($E$12*F821D!K42+$D$12*F821EVE!D42)*0.95</f>
        <v>0</v>
      </c>
      <c r="E53" s="156">
        <f>($E$12*F821D!L42+$D$12*F821EVE!E42)*0.95</f>
        <v>0</v>
      </c>
      <c r="F53" s="156">
        <f>($E$12*F821D!M42+$D$12*F821EVE!F42)*0.95</f>
        <v>0</v>
      </c>
      <c r="G53" s="156">
        <f>($E$12*F821D!N42+$D$12*F821EVE!G42)*0.95</f>
        <v>0</v>
      </c>
      <c r="H53" s="156">
        <f>($E$12*F821D!O42+$D$12*F821EVE!H42)*0.95</f>
        <v>0</v>
      </c>
      <c r="I53" s="156">
        <f>($E$12*F821D!P42+$D$12*F821EVE!I42)*0.95</f>
        <v>0</v>
      </c>
      <c r="J53" s="156">
        <f t="shared" si="10"/>
        <v>0</v>
      </c>
      <c r="K53" s="69"/>
    </row>
    <row r="54" spans="2:11" s="37" customFormat="1" ht="15.75">
      <c r="B54" s="48"/>
      <c r="C54" s="160" t="s">
        <v>307</v>
      </c>
      <c r="D54" s="156">
        <f>($E$12*F821D!K43+$D$12*F821EVE!D43)*0.5</f>
        <v>0</v>
      </c>
      <c r="E54" s="156">
        <f>($E$12*F821D!L43+$D$12*F821EVE!E43)*0.5</f>
        <v>0</v>
      </c>
      <c r="F54" s="156">
        <f>($E$12*F821D!M43+$D$12*F821EVE!F43)*0.5</f>
        <v>0</v>
      </c>
      <c r="G54" s="156">
        <f>($E$12*F821D!N43+$D$12*F821EVE!G43)*0.5</f>
        <v>0</v>
      </c>
      <c r="H54" s="156">
        <f>($E$12*F821D!O43+$D$12*F821EVE!H43)*0.5</f>
        <v>0</v>
      </c>
      <c r="I54" s="156">
        <f>($E$12*F821D!P43+$D$12*F821EVE!I43)*0.5</f>
        <v>0</v>
      </c>
      <c r="J54" s="156">
        <f t="shared" si="10"/>
        <v>0</v>
      </c>
      <c r="K54" s="69"/>
    </row>
    <row r="55" spans="2:11" s="37" customFormat="1" ht="15.75">
      <c r="B55" s="48" t="s">
        <v>274</v>
      </c>
      <c r="C55" s="158" t="s">
        <v>633</v>
      </c>
      <c r="D55" s="154">
        <f t="shared" ref="D55:I55" si="13">SUBTOTAL(9,D56:D59)</f>
        <v>11932.555199999999</v>
      </c>
      <c r="E55" s="154">
        <f t="shared" si="13"/>
        <v>11070.652259999999</v>
      </c>
      <c r="F55" s="154">
        <f t="shared" si="13"/>
        <v>9897.7560599999997</v>
      </c>
      <c r="G55" s="154">
        <f t="shared" si="13"/>
        <v>10991.40324</v>
      </c>
      <c r="H55" s="154">
        <f t="shared" si="13"/>
        <v>10112.04306</v>
      </c>
      <c r="I55" s="154">
        <f t="shared" si="13"/>
        <v>10201.883759999999</v>
      </c>
      <c r="J55" s="159">
        <f t="shared" si="10"/>
        <v>64206.293579999998</v>
      </c>
      <c r="K55" s="69"/>
    </row>
    <row r="56" spans="2:11" s="37" customFormat="1" ht="15.75">
      <c r="B56" s="48"/>
      <c r="C56" s="160" t="s">
        <v>304</v>
      </c>
      <c r="D56" s="156">
        <f>($E$12*F821D!K45+$D$12*F821EVE!D45)*1</f>
        <v>11932.555199999999</v>
      </c>
      <c r="E56" s="156">
        <f>($E$12*F821D!L45+$D$12*F821EVE!E45)*1</f>
        <v>11070.652259999999</v>
      </c>
      <c r="F56" s="156">
        <f>($E$12*F821D!M45+$D$12*F821EVE!F45)*1</f>
        <v>9897.7560599999997</v>
      </c>
      <c r="G56" s="156">
        <f>($E$12*F821D!N45+$D$12*F821EVE!G45)*1</f>
        <v>10991.40324</v>
      </c>
      <c r="H56" s="156">
        <f>($E$12*F821D!O45+$D$12*F821EVE!H45)*1</f>
        <v>10112.04306</v>
      </c>
      <c r="I56" s="156">
        <f>($E$12*F821D!P45+$D$12*F821EVE!I45)*1</f>
        <v>10201.883759999999</v>
      </c>
      <c r="J56" s="156">
        <f t="shared" si="10"/>
        <v>64206.293579999998</v>
      </c>
      <c r="K56" s="69"/>
    </row>
    <row r="57" spans="2:11" s="37" customFormat="1" ht="15.75">
      <c r="B57" s="48"/>
      <c r="C57" s="161" t="s">
        <v>306</v>
      </c>
      <c r="D57" s="156">
        <f>($E$12*F821D!K46+$D$12*F821EVE!D46)*1</f>
        <v>0</v>
      </c>
      <c r="E57" s="156">
        <f>($E$12*F821D!L46+$D$12*F821EVE!E46)*1</f>
        <v>0</v>
      </c>
      <c r="F57" s="156">
        <f>($E$12*F821D!M46+$D$12*F821EVE!F46)*1</f>
        <v>0</v>
      </c>
      <c r="G57" s="156">
        <f>($E$12*F821D!N46+$D$12*F821EVE!G46)*1</f>
        <v>0</v>
      </c>
      <c r="H57" s="156">
        <f>($E$12*F821D!O46+$D$12*F821EVE!H46)*1</f>
        <v>0</v>
      </c>
      <c r="I57" s="156">
        <f>($E$12*F821D!P46+$D$12*F821EVE!I46)*1</f>
        <v>0</v>
      </c>
      <c r="J57" s="156">
        <f>SUM(D57:I57)</f>
        <v>0</v>
      </c>
      <c r="K57" s="69"/>
    </row>
    <row r="58" spans="2:11" s="37" customFormat="1" ht="15.75">
      <c r="B58" s="48"/>
      <c r="C58" s="160" t="s">
        <v>305</v>
      </c>
      <c r="D58" s="156">
        <f>($E$12*F821D!K47+$D$12*F821EVE!D47)*0.95</f>
        <v>0</v>
      </c>
      <c r="E58" s="156">
        <f>($E$12*F821D!L47+$D$12*F821EVE!E47)*0.95</f>
        <v>0</v>
      </c>
      <c r="F58" s="156">
        <f>($E$12*F821D!M47+$D$12*F821EVE!F47)*0.95</f>
        <v>0</v>
      </c>
      <c r="G58" s="156">
        <f>($E$12*F821D!N47+$D$12*F821EVE!G47)*0.95</f>
        <v>0</v>
      </c>
      <c r="H58" s="156">
        <f>($E$12*F821D!O47+$D$12*F821EVE!H47)*0.95</f>
        <v>0</v>
      </c>
      <c r="I58" s="156">
        <f>($E$12*F821D!P47+$D$12*F821EVE!I47)*0.95</f>
        <v>0</v>
      </c>
      <c r="J58" s="156">
        <f t="shared" si="10"/>
        <v>0</v>
      </c>
      <c r="K58" s="69"/>
    </row>
    <row r="59" spans="2:11" s="37" customFormat="1" ht="15.75">
      <c r="B59" s="48"/>
      <c r="C59" s="160" t="s">
        <v>307</v>
      </c>
      <c r="D59" s="156">
        <f>($E$12*F821D!K48+$D$12*F821EVE!D48)*0.5</f>
        <v>0</v>
      </c>
      <c r="E59" s="156">
        <f>($E$12*F821D!L48+$D$12*F821EVE!E48)*0.5</f>
        <v>0</v>
      </c>
      <c r="F59" s="156">
        <f>($E$12*F821D!M48+$D$12*F821EVE!F48)*0.5</f>
        <v>0</v>
      </c>
      <c r="G59" s="156">
        <f>($E$12*F821D!N48+$D$12*F821EVE!G48)*0.5</f>
        <v>0</v>
      </c>
      <c r="H59" s="156">
        <f>($E$12*F821D!O48+$D$12*F821EVE!H48)*0.5</f>
        <v>0</v>
      </c>
      <c r="I59" s="156">
        <f>($E$12*F821D!P48+$D$12*F821EVE!I48)*0.5</f>
        <v>0</v>
      </c>
      <c r="J59" s="156">
        <f t="shared" si="10"/>
        <v>0</v>
      </c>
      <c r="K59" s="69"/>
    </row>
    <row r="60" spans="2:11" s="37" customFormat="1" ht="15.75">
      <c r="B60" s="48"/>
      <c r="C60" s="157"/>
      <c r="D60" s="156"/>
      <c r="E60" s="156"/>
      <c r="F60" s="156"/>
      <c r="G60" s="156"/>
      <c r="H60" s="156"/>
      <c r="I60" s="156"/>
      <c r="J60" s="156"/>
      <c r="K60" s="69"/>
    </row>
    <row r="61" spans="2:11" s="37" customFormat="1" ht="15.75">
      <c r="B61" s="48" t="s">
        <v>1176</v>
      </c>
      <c r="C61" s="158" t="s">
        <v>1176</v>
      </c>
      <c r="D61" s="154">
        <f t="shared" ref="D61:I61" si="14">SUBTOTAL(9,D62:D67)</f>
        <v>0</v>
      </c>
      <c r="E61" s="154">
        <f t="shared" si="14"/>
        <v>0</v>
      </c>
      <c r="F61" s="154">
        <f t="shared" si="14"/>
        <v>0</v>
      </c>
      <c r="G61" s="154">
        <f t="shared" si="14"/>
        <v>0</v>
      </c>
      <c r="H61" s="154">
        <f t="shared" si="14"/>
        <v>0</v>
      </c>
      <c r="I61" s="154">
        <f t="shared" si="14"/>
        <v>0</v>
      </c>
      <c r="J61" s="159">
        <f>SUM(D61:I61)</f>
        <v>0</v>
      </c>
      <c r="K61" s="69"/>
    </row>
    <row r="62" spans="2:11" s="37" customFormat="1" ht="15.75">
      <c r="B62" s="48"/>
      <c r="C62" s="160" t="s">
        <v>304</v>
      </c>
      <c r="D62" s="156">
        <f>($D$15*(F821EVE!D51))*1</f>
        <v>0</v>
      </c>
      <c r="E62" s="156">
        <f>($D$15*(F821EVE!E51))*1</f>
        <v>0</v>
      </c>
      <c r="F62" s="156">
        <f>($D$15*(F821EVE!F51))*1</f>
        <v>0</v>
      </c>
      <c r="G62" s="156">
        <f>($D$15*(F821EVE!G51))*1</f>
        <v>0</v>
      </c>
      <c r="H62" s="156">
        <f>($D$15*(F821EVE!H51))*1</f>
        <v>0</v>
      </c>
      <c r="I62" s="156">
        <f>($D$15*(F821EVE!I51))*1</f>
        <v>0</v>
      </c>
      <c r="J62" s="156">
        <f t="shared" si="10"/>
        <v>0</v>
      </c>
      <c r="K62" s="69"/>
    </row>
    <row r="63" spans="2:11" s="37" customFormat="1" ht="15.75">
      <c r="B63" s="48"/>
      <c r="C63" s="162" t="s">
        <v>642</v>
      </c>
      <c r="D63" s="156">
        <f>($D$15*(F821EVE!D52))*0.75</f>
        <v>0</v>
      </c>
      <c r="E63" s="156">
        <f>($D$15*(F821EVE!E52))*0.75</f>
        <v>0</v>
      </c>
      <c r="F63" s="156">
        <f>($D$15*(F821EVE!F52))*0.75</f>
        <v>0</v>
      </c>
      <c r="G63" s="156">
        <f>($D$15*(F821EVE!G52))*0.75</f>
        <v>0</v>
      </c>
      <c r="H63" s="156">
        <f>($D$15*(F821EVE!H52))*0.75</f>
        <v>0</v>
      </c>
      <c r="I63" s="156">
        <f>($D$15*(F821EVE!I52))*0.75</f>
        <v>0</v>
      </c>
      <c r="J63" s="156">
        <f t="shared" si="10"/>
        <v>0</v>
      </c>
      <c r="K63" s="69"/>
    </row>
    <row r="64" spans="2:11" s="37" customFormat="1" ht="15.75">
      <c r="B64" s="48"/>
      <c r="C64" s="162" t="s">
        <v>1177</v>
      </c>
      <c r="D64" s="156">
        <f>($D$15*(F821EVE!D53))*1</f>
        <v>0</v>
      </c>
      <c r="E64" s="156">
        <f>($D$15*(F821EVE!E53))*1</f>
        <v>0</v>
      </c>
      <c r="F64" s="156">
        <f>($D$15*(F821EVE!F53))*1</f>
        <v>0</v>
      </c>
      <c r="G64" s="156">
        <f>($D$15*(F821EVE!G53))*1</f>
        <v>0</v>
      </c>
      <c r="H64" s="156">
        <f>($D$15*(F821EVE!H53))*1</f>
        <v>0</v>
      </c>
      <c r="I64" s="156">
        <f>($D$15*(F821EVE!I53))*1</f>
        <v>0</v>
      </c>
      <c r="J64" s="156">
        <f t="shared" si="10"/>
        <v>0</v>
      </c>
      <c r="K64" s="69"/>
    </row>
    <row r="65" spans="2:11" s="37" customFormat="1" ht="15.75">
      <c r="B65" s="48"/>
      <c r="C65" s="160" t="s">
        <v>305</v>
      </c>
      <c r="D65" s="156">
        <f>($D$15*(F821EVE!D54))*0.95</f>
        <v>0</v>
      </c>
      <c r="E65" s="156">
        <f>($D$15*(F821EVE!E54))*0.95</f>
        <v>0</v>
      </c>
      <c r="F65" s="156">
        <f>($D$15*(F821EVE!F54))*0.95</f>
        <v>0</v>
      </c>
      <c r="G65" s="156">
        <f>($D$15*(F821EVE!G54))*0.95</f>
        <v>0</v>
      </c>
      <c r="H65" s="156">
        <f>($D$15*(F821EVE!H54))*0.95</f>
        <v>0</v>
      </c>
      <c r="I65" s="156">
        <f>($D$15*(F821EVE!I54))*0.95</f>
        <v>0</v>
      </c>
      <c r="J65" s="156">
        <f t="shared" si="10"/>
        <v>0</v>
      </c>
      <c r="K65" s="69"/>
    </row>
    <row r="66" spans="2:11" s="37" customFormat="1" ht="15.75">
      <c r="B66" s="48"/>
      <c r="C66" s="160" t="s">
        <v>307</v>
      </c>
      <c r="D66" s="156">
        <f>($D$15*(F821EVE!D55))*0.5</f>
        <v>0</v>
      </c>
      <c r="E66" s="156">
        <f>($D$15*(F821EVE!E55))*0.5</f>
        <v>0</v>
      </c>
      <c r="F66" s="156">
        <f>($D$15*(F821EVE!F55))*0.5</f>
        <v>0</v>
      </c>
      <c r="G66" s="156">
        <f>($D$15*(F821EVE!G55))*0.5</f>
        <v>0</v>
      </c>
      <c r="H66" s="156">
        <f>($D$15*(F821EVE!H55))*0.5</f>
        <v>0</v>
      </c>
      <c r="I66" s="156">
        <f>($D$15*(F821EVE!I55))*0.5</f>
        <v>0</v>
      </c>
      <c r="J66" s="156">
        <f t="shared" si="10"/>
        <v>0</v>
      </c>
      <c r="K66" s="69"/>
    </row>
    <row r="67" spans="2:11" s="37" customFormat="1" ht="15.75">
      <c r="B67" s="48"/>
      <c r="C67" s="160" t="s">
        <v>624</v>
      </c>
      <c r="D67" s="156">
        <f>($D$15*(F821EVE!D56))*0</f>
        <v>0</v>
      </c>
      <c r="E67" s="156">
        <f>($D$15*(F821EVE!E56))*0</f>
        <v>0</v>
      </c>
      <c r="F67" s="156">
        <f>($D$15*(F821EVE!F56))*0</f>
        <v>0</v>
      </c>
      <c r="G67" s="156">
        <f>($D$15*(F821EVE!G56))*0</f>
        <v>0</v>
      </c>
      <c r="H67" s="156">
        <f>($D$15*(F821EVE!H56))*0</f>
        <v>0</v>
      </c>
      <c r="I67" s="156">
        <f>($D$15*(F821EVE!I56))*0</f>
        <v>0</v>
      </c>
      <c r="J67" s="156">
        <f t="shared" si="10"/>
        <v>0</v>
      </c>
      <c r="K67" s="69"/>
    </row>
    <row r="68" spans="2:11" s="37" customFormat="1" ht="15.75">
      <c r="B68" s="48" t="s">
        <v>751</v>
      </c>
      <c r="C68" s="158" t="s">
        <v>634</v>
      </c>
      <c r="D68" s="154">
        <f t="shared" ref="D68:I68" si="15">SUBTOTAL(9,D69:D73)</f>
        <v>39422.663147499996</v>
      </c>
      <c r="E68" s="154">
        <f t="shared" si="15"/>
        <v>39190.885772000001</v>
      </c>
      <c r="F68" s="154">
        <f t="shared" si="15"/>
        <v>39783.811422999999</v>
      </c>
      <c r="G68" s="154">
        <f t="shared" si="15"/>
        <v>39546.206700999996</v>
      </c>
      <c r="H68" s="154">
        <f t="shared" si="15"/>
        <v>40588.262737500001</v>
      </c>
      <c r="I68" s="154">
        <f t="shared" si="15"/>
        <v>40023.490634500005</v>
      </c>
      <c r="J68" s="159">
        <f t="shared" si="10"/>
        <v>238555.32041549997</v>
      </c>
      <c r="K68" s="69"/>
    </row>
    <row r="69" spans="2:11" s="37" customFormat="1" ht="15.75">
      <c r="B69" s="48"/>
      <c r="C69" s="160" t="s">
        <v>304</v>
      </c>
      <c r="D69" s="156">
        <f>($D$14*(F821EVE!D66))*1</f>
        <v>28665.05846</v>
      </c>
      <c r="E69" s="156">
        <f>($D$14*(F821EVE!E66))*1</f>
        <v>28414.704710000002</v>
      </c>
      <c r="F69" s="156">
        <f>($D$14*(F821EVE!F66))*1</f>
        <v>28860.74697</v>
      </c>
      <c r="G69" s="156">
        <f>($D$14*(F821EVE!G66))*1</f>
        <v>28638.775230000003</v>
      </c>
      <c r="H69" s="156">
        <f>($D$14*(F821EVE!H66))*1</f>
        <v>29434.446160000003</v>
      </c>
      <c r="I69" s="156">
        <f>($D$14*(F821EVE!I66))*1</f>
        <v>28848.090660000002</v>
      </c>
      <c r="J69" s="156">
        <f t="shared" si="10"/>
        <v>172861.82218999998</v>
      </c>
      <c r="K69" s="69"/>
    </row>
    <row r="70" spans="2:11" s="37" customFormat="1" ht="15.75">
      <c r="B70" s="48"/>
      <c r="C70" s="162" t="s">
        <v>644</v>
      </c>
      <c r="D70" s="156">
        <f>($D$14*(F821EVE!D67))*0.75</f>
        <v>10756.664377500001</v>
      </c>
      <c r="E70" s="156">
        <f>($D$14*(F821EVE!E67))*0.75</f>
        <v>10775.340540000001</v>
      </c>
      <c r="F70" s="156">
        <f>($D$14*(F821EVE!F67))*0.75</f>
        <v>10922.16828</v>
      </c>
      <c r="G70" s="156">
        <f>($D$14*(F821EVE!G67))*0.75</f>
        <v>10906.34865</v>
      </c>
      <c r="H70" s="156">
        <f>($D$14*(F821EVE!H67))*0.75</f>
        <v>11152.669470000001</v>
      </c>
      <c r="I70" s="156">
        <f>($D$14*(F821EVE!I67))*0.75</f>
        <v>11173.871895</v>
      </c>
      <c r="J70" s="156">
        <f>SUM(D70:I70)</f>
        <v>65687.063212499997</v>
      </c>
      <c r="K70" s="69"/>
    </row>
    <row r="71" spans="2:11" s="37" customFormat="1" ht="15.75">
      <c r="B71" s="48"/>
      <c r="C71" s="160" t="s">
        <v>305</v>
      </c>
      <c r="D71" s="156">
        <f>($D$14*(F821EVE!D68))*0.95</f>
        <v>0.94030999999999998</v>
      </c>
      <c r="E71" s="156">
        <f>($D$14*(F821EVE!E68))*0.95</f>
        <v>0.84052199999999999</v>
      </c>
      <c r="F71" s="156">
        <f>($D$14*(F821EVE!F68))*0.95</f>
        <v>0.896173</v>
      </c>
      <c r="G71" s="156">
        <f>($D$14*(F821EVE!G68))*0.95</f>
        <v>1.0151510000000001</v>
      </c>
      <c r="H71" s="156">
        <f>($D$14*(F821EVE!H68))*0.95</f>
        <v>1.1178174999999999</v>
      </c>
      <c r="I71" s="156">
        <f>($D$14*(F821EVE!I68))*0.95</f>
        <v>1.4881845</v>
      </c>
      <c r="J71" s="156">
        <f t="shared" si="10"/>
        <v>6.2981579999999999</v>
      </c>
      <c r="K71" s="69"/>
    </row>
    <row r="72" spans="2:11" s="37" customFormat="1" ht="15.75">
      <c r="B72" s="48"/>
      <c r="C72" s="160" t="s">
        <v>307</v>
      </c>
      <c r="D72" s="156">
        <f>($D$14*(F821EVE!D69))*0.5</f>
        <v>0</v>
      </c>
      <c r="E72" s="156">
        <f>($D$14*(F821EVE!E69))*0.5</f>
        <v>0</v>
      </c>
      <c r="F72" s="156">
        <f>($D$14*(F821EVE!F69))*0.5</f>
        <v>0</v>
      </c>
      <c r="G72" s="156">
        <f>($D$14*(F821EVE!G69))*0.5</f>
        <v>6.7670000000000008E-2</v>
      </c>
      <c r="H72" s="156">
        <f>($D$14*(F821EVE!H69))*0.5</f>
        <v>2.929E-2</v>
      </c>
      <c r="I72" s="156">
        <f>($D$14*(F821EVE!I69))*0.5</f>
        <v>3.9895E-2</v>
      </c>
      <c r="J72" s="156">
        <f t="shared" si="10"/>
        <v>0.136855</v>
      </c>
      <c r="K72" s="69"/>
    </row>
    <row r="73" spans="2:11" s="37" customFormat="1" ht="15.75">
      <c r="B73" s="48"/>
      <c r="C73" s="160" t="s">
        <v>624</v>
      </c>
      <c r="D73" s="156">
        <f>($D$14*(F821EVE!D70))*0</f>
        <v>0</v>
      </c>
      <c r="E73" s="156">
        <f>($D$14*(F821EVE!E70))*0</f>
        <v>0</v>
      </c>
      <c r="F73" s="156">
        <f>($D$14*(F821EVE!F70))*0</f>
        <v>0</v>
      </c>
      <c r="G73" s="156">
        <f>($D$14*(F821EVE!G70))*0</f>
        <v>0</v>
      </c>
      <c r="H73" s="156">
        <f>($D$14*(F821EVE!H70))*0</f>
        <v>0</v>
      </c>
      <c r="I73" s="156">
        <f>($D$14*(F821EVE!I70))*0</f>
        <v>0</v>
      </c>
      <c r="J73" s="156">
        <f t="shared" si="10"/>
        <v>0</v>
      </c>
      <c r="K73" s="69"/>
    </row>
    <row r="74" spans="2:11" s="37" customFormat="1" ht="15.75">
      <c r="B74" s="48" t="s">
        <v>750</v>
      </c>
      <c r="C74" s="158" t="s">
        <v>635</v>
      </c>
      <c r="D74" s="154">
        <f t="shared" ref="D74:I74" si="16">SUBTOTAL(9,D75:D80)</f>
        <v>44648.183371500003</v>
      </c>
      <c r="E74" s="154">
        <f t="shared" si="16"/>
        <v>45154.778666500002</v>
      </c>
      <c r="F74" s="154">
        <f t="shared" si="16"/>
        <v>43946.084750000002</v>
      </c>
      <c r="G74" s="154">
        <f t="shared" si="16"/>
        <v>43898.964058500009</v>
      </c>
      <c r="H74" s="154">
        <f t="shared" si="16"/>
        <v>42360.855056500004</v>
      </c>
      <c r="I74" s="154">
        <f t="shared" si="16"/>
        <v>41365.028588500005</v>
      </c>
      <c r="J74" s="159">
        <f t="shared" si="10"/>
        <v>261373.89449150005</v>
      </c>
      <c r="K74" s="69"/>
    </row>
    <row r="75" spans="2:11" s="37" customFormat="1" ht="15.75">
      <c r="B75" s="48"/>
      <c r="C75" s="160" t="s">
        <v>304</v>
      </c>
      <c r="D75" s="156">
        <f>($D$14*(F821EVE!D72))*1</f>
        <v>28905.361700000001</v>
      </c>
      <c r="E75" s="156">
        <f>($D$14*(F821EVE!E72))*1</f>
        <v>29281.998780000002</v>
      </c>
      <c r="F75" s="156">
        <f>($D$14*(F821EVE!F72))*1</f>
        <v>28374.216840000001</v>
      </c>
      <c r="G75" s="156">
        <f>($D$14*(F821EVE!G72))*1</f>
        <v>28292.197770000002</v>
      </c>
      <c r="H75" s="156">
        <f>($D$14*(F821EVE!H72))*1</f>
        <v>27213.651090000003</v>
      </c>
      <c r="I75" s="156">
        <f>($D$14*(F821EVE!I72))*1</f>
        <v>26491.297070000001</v>
      </c>
      <c r="J75" s="156">
        <f t="shared" si="10"/>
        <v>168558.72325000001</v>
      </c>
      <c r="K75" s="69"/>
    </row>
    <row r="76" spans="2:11" s="37" customFormat="1" ht="15.75">
      <c r="B76" s="48"/>
      <c r="C76" s="162" t="s">
        <v>642</v>
      </c>
      <c r="D76" s="156">
        <f>($D$14*(F821EVE!D73))*0.75</f>
        <v>15283.69875</v>
      </c>
      <c r="E76" s="156">
        <f>($D$14*(F821EVE!E73))*0.75</f>
        <v>15402.563377499999</v>
      </c>
      <c r="F76" s="156">
        <f>($D$14*(F821EVE!F73))*0.75</f>
        <v>15135.172695000001</v>
      </c>
      <c r="G76" s="156">
        <f>($D$14*(F821EVE!G73))*0.75</f>
        <v>15173.211315</v>
      </c>
      <c r="H76" s="156">
        <f>($D$14*(F821EVE!H73))*0.75</f>
        <v>14735.683860000001</v>
      </c>
      <c r="I76" s="156">
        <f>($D$14*(F821EVE!I73))*0.75</f>
        <v>14452.3659825</v>
      </c>
      <c r="J76" s="156">
        <f>SUM(D76:I76)</f>
        <v>90182.69597999999</v>
      </c>
      <c r="K76" s="69"/>
    </row>
    <row r="77" spans="2:11" s="37" customFormat="1" ht="15.75">
      <c r="B77" s="48"/>
      <c r="C77" s="162" t="s">
        <v>1177</v>
      </c>
      <c r="D77" s="156">
        <f>($D$14*(F821EVE!D74))*1</f>
        <v>457.82088000000005</v>
      </c>
      <c r="E77" s="156">
        <f>($D$14*(F821EVE!E74))*1</f>
        <v>468.87129000000004</v>
      </c>
      <c r="F77" s="156">
        <f>($D$14*(F821EVE!F74))*1</f>
        <v>434.67067000000003</v>
      </c>
      <c r="G77" s="156">
        <f>($D$14*(F821EVE!G74))*1</f>
        <v>432.27596</v>
      </c>
      <c r="H77" s="156">
        <f>($D$14*(F821EVE!H74))*1</f>
        <v>408.60964000000001</v>
      </c>
      <c r="I77" s="156">
        <f>($D$14*(F821EVE!I74))*1</f>
        <v>418.82478000000003</v>
      </c>
      <c r="J77" s="156">
        <f>SUM(D77:I77)</f>
        <v>2621.0732199999998</v>
      </c>
      <c r="K77" s="69"/>
    </row>
    <row r="78" spans="2:11" s="37" customFormat="1" ht="15.75">
      <c r="B78" s="48"/>
      <c r="C78" s="160" t="s">
        <v>305</v>
      </c>
      <c r="D78" s="156">
        <f>($D$14*(F821EVE!D75))*0.95</f>
        <v>1.3020415000000001</v>
      </c>
      <c r="E78" s="156">
        <f>($D$14*(F821EVE!E75))*0.95</f>
        <v>1.3452189999999999</v>
      </c>
      <c r="F78" s="156">
        <f>($D$14*(F821EVE!F75))*0.95</f>
        <v>2.0245449999999998</v>
      </c>
      <c r="G78" s="156">
        <f>($D$14*(F821EVE!G75))*0.95</f>
        <v>1.2790135</v>
      </c>
      <c r="H78" s="156">
        <f>($D$14*(F821EVE!H75))*0.95</f>
        <v>2.5493915</v>
      </c>
      <c r="I78" s="156">
        <f>($D$14*(F821EVE!I75))*0.95</f>
        <v>2.540756</v>
      </c>
      <c r="J78" s="156">
        <f t="shared" si="10"/>
        <v>11.0409665</v>
      </c>
      <c r="K78" s="69"/>
    </row>
    <row r="79" spans="2:11" s="37" customFormat="1" ht="15.75">
      <c r="B79" s="48"/>
      <c r="C79" s="160" t="s">
        <v>307</v>
      </c>
      <c r="D79" s="156">
        <f>($D$14*(F821EVE!D76))*0.5</f>
        <v>0</v>
      </c>
      <c r="E79" s="156">
        <f>($D$14*(F821EVE!E76))*0.5</f>
        <v>0</v>
      </c>
      <c r="F79" s="156">
        <f>($D$14*(F821EVE!F76))*0.5</f>
        <v>0</v>
      </c>
      <c r="G79" s="156">
        <f>($D$14*(F821EVE!G76))*0.5</f>
        <v>0</v>
      </c>
      <c r="H79" s="156">
        <f>($D$14*(F821EVE!H76))*0.5</f>
        <v>0.36107500000000003</v>
      </c>
      <c r="I79" s="156">
        <f>($D$14*(F821EVE!I76))*0.5</f>
        <v>0</v>
      </c>
      <c r="J79" s="156">
        <f t="shared" si="10"/>
        <v>0.36107500000000003</v>
      </c>
      <c r="K79" s="69"/>
    </row>
    <row r="80" spans="2:11" s="37" customFormat="1" ht="15.75">
      <c r="B80" s="48"/>
      <c r="C80" s="160" t="s">
        <v>624</v>
      </c>
      <c r="D80" s="156">
        <f>($D$14*(F821EVE!D77))*0</f>
        <v>0</v>
      </c>
      <c r="E80" s="156">
        <f>($D$14*(F821EVE!E77))*0</f>
        <v>0</v>
      </c>
      <c r="F80" s="156">
        <f>($D$14*(F821EVE!F77))*0</f>
        <v>0</v>
      </c>
      <c r="G80" s="156">
        <f>($D$14*(F821EVE!G77))*0</f>
        <v>0</v>
      </c>
      <c r="H80" s="156">
        <f>($D$14*(F821EVE!H77))*0</f>
        <v>0</v>
      </c>
      <c r="I80" s="156">
        <f>($D$14*(F821EVE!I77))*0</f>
        <v>0</v>
      </c>
      <c r="J80" s="156">
        <f t="shared" si="10"/>
        <v>0</v>
      </c>
      <c r="K80" s="69"/>
    </row>
    <row r="81" spans="2:11" s="37" customFormat="1" ht="15.75">
      <c r="B81" s="48" t="s">
        <v>749</v>
      </c>
      <c r="C81" s="158" t="s">
        <v>636</v>
      </c>
      <c r="D81" s="154">
        <f t="shared" ref="D81:I81" si="17">SUBTOTAL(9,D82:D87)</f>
        <v>53950.515267499999</v>
      </c>
      <c r="E81" s="154">
        <f t="shared" si="17"/>
        <v>53684.546614499995</v>
      </c>
      <c r="F81" s="154">
        <f t="shared" si="17"/>
        <v>52399.427715000005</v>
      </c>
      <c r="G81" s="154">
        <f t="shared" si="17"/>
        <v>53131.555101000005</v>
      </c>
      <c r="H81" s="154">
        <f t="shared" si="17"/>
        <v>48963.840298000003</v>
      </c>
      <c r="I81" s="154">
        <f t="shared" si="17"/>
        <v>50825.69167</v>
      </c>
      <c r="J81" s="159">
        <f t="shared" si="10"/>
        <v>312955.57666600001</v>
      </c>
      <c r="K81" s="69"/>
    </row>
    <row r="82" spans="2:11" s="37" customFormat="1" ht="15.75">
      <c r="B82" s="48"/>
      <c r="C82" s="160" t="s">
        <v>304</v>
      </c>
      <c r="D82" s="156">
        <f>($D$14*(F821EVE!D79))*1</f>
        <v>46341.396710000001</v>
      </c>
      <c r="E82" s="156">
        <f>($D$14*(F821EVE!E79))*1</f>
        <v>46259.996770000005</v>
      </c>
      <c r="F82" s="156">
        <f>($D$14*(F821EVE!F79))*1</f>
        <v>45339.22926</v>
      </c>
      <c r="G82" s="156">
        <f>($D$14*(F821EVE!G79))*1</f>
        <v>45953.602160000002</v>
      </c>
      <c r="H82" s="156">
        <f>($D$14*(F821EVE!H79))*1</f>
        <v>42617.850920000004</v>
      </c>
      <c r="I82" s="156">
        <f>($D$14*(F821EVE!I79))*1</f>
        <v>44035.70205</v>
      </c>
      <c r="J82" s="156">
        <f t="shared" si="10"/>
        <v>270547.77786999999</v>
      </c>
      <c r="K82" s="69"/>
    </row>
    <row r="83" spans="2:11" s="37" customFormat="1" ht="15.75">
      <c r="B83" s="48"/>
      <c r="C83" s="162" t="s">
        <v>642</v>
      </c>
      <c r="D83" s="156">
        <f>($D$14*(F821EVE!D80))*0.75</f>
        <v>3606.4802250000002</v>
      </c>
      <c r="E83" s="156">
        <f>($D$14*(F821EVE!E80))*0.75</f>
        <v>3534.6692250000006</v>
      </c>
      <c r="F83" s="156">
        <f>($D$14*(F821EVE!F80))*0.75</f>
        <v>3363.3984750000004</v>
      </c>
      <c r="G83" s="156">
        <f>($D$14*(F821EVE!G80))*0.75</f>
        <v>3405.3261000000002</v>
      </c>
      <c r="H83" s="156">
        <f>($D$14*(F821EVE!H80))*0.75</f>
        <v>3020.1146250000002</v>
      </c>
      <c r="I83" s="156">
        <f>($D$14*(F821EVE!I80))*0.75</f>
        <v>3144.4203750000006</v>
      </c>
      <c r="J83" s="156">
        <f>SUM(D83:I83)</f>
        <v>20074.409025000001</v>
      </c>
      <c r="K83" s="69"/>
    </row>
    <row r="84" spans="2:11" s="37" customFormat="1" ht="15.75">
      <c r="B84" s="48"/>
      <c r="C84" s="162" t="s">
        <v>1177</v>
      </c>
      <c r="D84" s="156">
        <f>($D$14*(F821EVE!D81))*1</f>
        <v>3972.1542600000002</v>
      </c>
      <c r="E84" s="156">
        <f>($D$14*(F821EVE!E81))*1</f>
        <v>3857.1405100000002</v>
      </c>
      <c r="F84" s="156">
        <f>($D$14*(F821EVE!F81))*1</f>
        <v>3669.07447</v>
      </c>
      <c r="G84" s="156">
        <f>($D$14*(F821EVE!G81))*1</f>
        <v>3746.75155</v>
      </c>
      <c r="H84" s="156">
        <f>($D$14*(F821EVE!H81))*1</f>
        <v>3303.2555000000002</v>
      </c>
      <c r="I84" s="156">
        <f>($D$14*(F821EVE!I81))*1</f>
        <v>3635.1485700000003</v>
      </c>
      <c r="J84" s="156">
        <f>SUM(D84:I84)</f>
        <v>22183.524860000001</v>
      </c>
      <c r="K84" s="69"/>
    </row>
    <row r="85" spans="2:11" s="37" customFormat="1" ht="15.75">
      <c r="B85" s="48"/>
      <c r="C85" s="160" t="s">
        <v>305</v>
      </c>
      <c r="D85" s="156">
        <f>($D$14*(F821EVE!D82))*0.95</f>
        <v>29.989172499999999</v>
      </c>
      <c r="E85" s="156">
        <f>($D$14*(F821EVE!E82))*0.95</f>
        <v>32.326514499999995</v>
      </c>
      <c r="F85" s="156">
        <f>($D$14*(F821EVE!F82))*0.95</f>
        <v>27.240205</v>
      </c>
      <c r="G85" s="156">
        <f>($D$14*(F821EVE!G82))*0.95</f>
        <v>25.415236</v>
      </c>
      <c r="H85" s="156">
        <f>($D$14*(F821EVE!H82))*0.95</f>
        <v>22.619253</v>
      </c>
      <c r="I85" s="156">
        <f>($D$14*(F821EVE!I82))*0.95</f>
        <v>9.9500150000000005</v>
      </c>
      <c r="J85" s="156">
        <f t="shared" si="10"/>
        <v>147.54039599999999</v>
      </c>
      <c r="K85" s="69"/>
    </row>
    <row r="86" spans="2:11" s="37" customFormat="1" ht="15.75">
      <c r="B86" s="48"/>
      <c r="C86" s="160" t="s">
        <v>307</v>
      </c>
      <c r="D86" s="156">
        <f>($D$14*(F821EVE!D83))*0.5</f>
        <v>0.49490000000000001</v>
      </c>
      <c r="E86" s="156">
        <f>($D$14*(F821EVE!E83))*0.5</f>
        <v>0.41359500000000005</v>
      </c>
      <c r="F86" s="156">
        <f>($D$14*(F821EVE!F83))*0.5</f>
        <v>0.48530500000000004</v>
      </c>
      <c r="G86" s="156">
        <f>($D$14*(F821EVE!G83))*0.5</f>
        <v>0.46005500000000005</v>
      </c>
      <c r="H86" s="156">
        <f>($D$14*(F821EVE!H83))*0.5</f>
        <v>0</v>
      </c>
      <c r="I86" s="156">
        <f>($D$14*(F821EVE!I83))*0.5</f>
        <v>0.47066000000000002</v>
      </c>
      <c r="J86" s="156">
        <f t="shared" si="10"/>
        <v>2.3245150000000003</v>
      </c>
      <c r="K86" s="69"/>
    </row>
    <row r="87" spans="2:11" s="37" customFormat="1" ht="15.75">
      <c r="B87" s="48"/>
      <c r="C87" s="160" t="s">
        <v>624</v>
      </c>
      <c r="D87" s="156">
        <f>($D$14*(F821EVE!D84))*0</f>
        <v>0</v>
      </c>
      <c r="E87" s="156">
        <f>($D$14*(F821EVE!E84))*0</f>
        <v>0</v>
      </c>
      <c r="F87" s="156">
        <f>($D$14*(F821EVE!F84))*0</f>
        <v>0</v>
      </c>
      <c r="G87" s="156">
        <f>($D$14*(F821EVE!G84))*0</f>
        <v>0</v>
      </c>
      <c r="H87" s="156">
        <f>($D$14*(F821EVE!H84))*0</f>
        <v>0</v>
      </c>
      <c r="I87" s="156">
        <f>($D$14*(F821EVE!I84))*0</f>
        <v>0</v>
      </c>
      <c r="J87" s="156">
        <f t="shared" si="10"/>
        <v>0</v>
      </c>
      <c r="K87" s="69"/>
    </row>
    <row r="88" spans="2:11" s="37" customFormat="1" ht="15.75">
      <c r="B88" s="48"/>
      <c r="C88" s="157"/>
      <c r="D88" s="156"/>
      <c r="E88" s="156"/>
      <c r="F88" s="156"/>
      <c r="G88" s="156"/>
      <c r="H88" s="156"/>
      <c r="I88" s="156"/>
      <c r="J88" s="156"/>
      <c r="K88" s="69"/>
    </row>
    <row r="89" spans="2:11" s="37" customFormat="1" ht="15.75">
      <c r="B89" s="48" t="s">
        <v>902</v>
      </c>
      <c r="C89" s="158" t="s">
        <v>898</v>
      </c>
      <c r="D89" s="154">
        <f t="shared" ref="D89:I89" si="18">SUBTOTAL(9,D90:D94)</f>
        <v>13347.206812500001</v>
      </c>
      <c r="E89" s="154">
        <f t="shared" si="18"/>
        <v>13180.762095</v>
      </c>
      <c r="F89" s="154">
        <f t="shared" si="18"/>
        <v>13671.736730000001</v>
      </c>
      <c r="G89" s="154">
        <f t="shared" si="18"/>
        <v>13360.136832500002</v>
      </c>
      <c r="H89" s="154">
        <f t="shared" si="18"/>
        <v>12661.412772500002</v>
      </c>
      <c r="I89" s="154">
        <f t="shared" si="18"/>
        <v>13529.966817500001</v>
      </c>
      <c r="J89" s="159">
        <f t="shared" ref="J89:J98" si="19">SUM(D89:I89)</f>
        <v>79751.22206</v>
      </c>
      <c r="K89" s="69"/>
    </row>
    <row r="90" spans="2:11" s="37" customFormat="1" ht="15.75">
      <c r="B90" s="48"/>
      <c r="C90" s="160" t="s">
        <v>304</v>
      </c>
      <c r="D90" s="156">
        <f>$D$13*F821EVE!D87*1</f>
        <v>12839.112930000001</v>
      </c>
      <c r="E90" s="156">
        <f>$D$13*F821EVE!E87*1</f>
        <v>12691.942800000001</v>
      </c>
      <c r="F90" s="156">
        <f>$D$13*F821EVE!F87*1</f>
        <v>13157.333630000001</v>
      </c>
      <c r="G90" s="156">
        <f>$D$13*F821EVE!G87*1</f>
        <v>12841.213730000001</v>
      </c>
      <c r="H90" s="156">
        <f>$D$13*F821EVE!H87*1</f>
        <v>12181.040360000001</v>
      </c>
      <c r="I90" s="156">
        <f>$D$13*F821EVE!I87*1</f>
        <v>12995.02562</v>
      </c>
      <c r="J90" s="156">
        <f t="shared" si="19"/>
        <v>76705.669070000004</v>
      </c>
      <c r="K90" s="69"/>
    </row>
    <row r="91" spans="2:11" s="37" customFormat="1" ht="15.75">
      <c r="B91" s="48"/>
      <c r="C91" s="162" t="s">
        <v>644</v>
      </c>
      <c r="D91" s="156">
        <f>$D$13*F821EVE!D88*0.75</f>
        <v>508.09388250000006</v>
      </c>
      <c r="E91" s="156">
        <f>$D$13*F821EVE!E88*0.75</f>
        <v>488.81929500000001</v>
      </c>
      <c r="F91" s="156">
        <f>$D$13*F821EVE!F88*0.75</f>
        <v>514.40309999999999</v>
      </c>
      <c r="G91" s="156">
        <f>$D$13*F821EVE!G88*0.75</f>
        <v>518.92310250000003</v>
      </c>
      <c r="H91" s="156">
        <f>$D$13*F821EVE!H88*0.75</f>
        <v>480.37241250000005</v>
      </c>
      <c r="I91" s="156">
        <f>$D$13*F821EVE!I88*0.75</f>
        <v>534.94119750000004</v>
      </c>
      <c r="J91" s="156">
        <f t="shared" si="19"/>
        <v>3045.5529900000001</v>
      </c>
      <c r="K91" s="69"/>
    </row>
    <row r="92" spans="2:11" s="37" customFormat="1" ht="15.75">
      <c r="B92" s="48"/>
      <c r="C92" s="160" t="s">
        <v>305</v>
      </c>
      <c r="D92" s="156">
        <f>$D$13*F821EVE!D89*0.95</f>
        <v>0</v>
      </c>
      <c r="E92" s="156">
        <f>$D$13*F821EVE!E89*0.95</f>
        <v>0</v>
      </c>
      <c r="F92" s="156">
        <f>$D$13*F821EVE!F89*0.95</f>
        <v>0</v>
      </c>
      <c r="G92" s="156">
        <f>$D$13*F821EVE!G89*0.95</f>
        <v>0</v>
      </c>
      <c r="H92" s="156">
        <f>$D$13*F821EVE!H89*0.95</f>
        <v>0</v>
      </c>
      <c r="I92" s="156">
        <f>$D$13*F821EVE!I89*0.95</f>
        <v>0</v>
      </c>
      <c r="J92" s="156">
        <f t="shared" si="19"/>
        <v>0</v>
      </c>
      <c r="K92" s="69"/>
    </row>
    <row r="93" spans="2:11" s="37" customFormat="1" ht="15.75">
      <c r="B93" s="48"/>
      <c r="C93" s="160" t="s">
        <v>307</v>
      </c>
      <c r="D93" s="156">
        <f>$D$13*F821EVE!D90*0.5</f>
        <v>0</v>
      </c>
      <c r="E93" s="156">
        <f>$D$13*F821EVE!E90*0.5</f>
        <v>0</v>
      </c>
      <c r="F93" s="156">
        <f>$D$13*F821EVE!F90*0.5</f>
        <v>0</v>
      </c>
      <c r="G93" s="156">
        <f>$D$13*F821EVE!G90*0.5</f>
        <v>0</v>
      </c>
      <c r="H93" s="156">
        <f>$D$13*F821EVE!H90*0.5</f>
        <v>0</v>
      </c>
      <c r="I93" s="156">
        <f>$D$13*F821EVE!I90*0.5</f>
        <v>0</v>
      </c>
      <c r="J93" s="156">
        <f t="shared" si="19"/>
        <v>0</v>
      </c>
      <c r="K93" s="69"/>
    </row>
    <row r="94" spans="2:11" s="37" customFormat="1" ht="15.75">
      <c r="B94" s="48"/>
      <c r="C94" s="160" t="s">
        <v>624</v>
      </c>
      <c r="D94" s="156">
        <f>$D$13*F821EVE!D91*0</f>
        <v>0</v>
      </c>
      <c r="E94" s="156">
        <f>$D$13*F821EVE!E91*0</f>
        <v>0</v>
      </c>
      <c r="F94" s="156">
        <f>$D$13*F821EVE!F91*0</f>
        <v>0</v>
      </c>
      <c r="G94" s="156">
        <f>$D$13*F821EVE!G91*0</f>
        <v>0</v>
      </c>
      <c r="H94" s="156">
        <f>$D$13*F821EVE!H91*0</f>
        <v>0</v>
      </c>
      <c r="I94" s="156">
        <f>$D$13*F821EVE!I91*0</f>
        <v>0</v>
      </c>
      <c r="J94" s="156">
        <f t="shared" si="19"/>
        <v>0</v>
      </c>
      <c r="K94" s="69"/>
    </row>
    <row r="95" spans="2:11" s="37" customFormat="1" ht="15.75">
      <c r="B95" s="48" t="s">
        <v>902</v>
      </c>
      <c r="C95" s="158" t="s">
        <v>899</v>
      </c>
      <c r="D95" s="154">
        <f t="shared" ref="D95:I95" si="20">SUBTOTAL(9,D96:D101)</f>
        <v>1173.4339075</v>
      </c>
      <c r="E95" s="154">
        <f t="shared" si="20"/>
        <v>1091.0883550000001</v>
      </c>
      <c r="F95" s="154">
        <f t="shared" si="20"/>
        <v>1018.420875</v>
      </c>
      <c r="G95" s="154">
        <f t="shared" si="20"/>
        <v>1098.831015</v>
      </c>
      <c r="H95" s="154">
        <f t="shared" si="20"/>
        <v>842.10972000000004</v>
      </c>
      <c r="I95" s="154">
        <f t="shared" si="20"/>
        <v>1088.3719599999999</v>
      </c>
      <c r="J95" s="159">
        <f t="shared" si="19"/>
        <v>6312.2558325000009</v>
      </c>
      <c r="K95" s="69"/>
    </row>
    <row r="96" spans="2:11" s="37" customFormat="1" ht="15.75">
      <c r="B96" s="48"/>
      <c r="C96" s="160" t="s">
        <v>304</v>
      </c>
      <c r="D96" s="156">
        <f>$D$13*F821EVE!D93*1</f>
        <v>1069.23044</v>
      </c>
      <c r="E96" s="156">
        <f>$D$13*F821EVE!E93*1</f>
        <v>997.08008000000007</v>
      </c>
      <c r="F96" s="156">
        <f>$D$13*F821EVE!F93*1</f>
        <v>918.98890000000006</v>
      </c>
      <c r="G96" s="156">
        <f>$D$13*F821EVE!G93*1</f>
        <v>1000.5292300000001</v>
      </c>
      <c r="H96" s="156">
        <f>$D$13*F821EVE!H93*1</f>
        <v>762.49545999999998</v>
      </c>
      <c r="I96" s="156">
        <f>$D$13*F821EVE!I93*1</f>
        <v>985.54689000000008</v>
      </c>
      <c r="J96" s="156">
        <f t="shared" si="19"/>
        <v>5733.871000000001</v>
      </c>
      <c r="K96" s="69"/>
    </row>
    <row r="97" spans="2:11" s="37" customFormat="1" ht="15.75">
      <c r="B97" s="48"/>
      <c r="C97" s="162" t="s">
        <v>642</v>
      </c>
      <c r="D97" s="156">
        <f>$D$13*F821EVE!D94*0.75</f>
        <v>92.676337500000017</v>
      </c>
      <c r="E97" s="156">
        <f>$D$13*F821EVE!E94*0.75</f>
        <v>85.686885000000004</v>
      </c>
      <c r="F97" s="156">
        <f>$D$13*F821EVE!F94*0.75</f>
        <v>91.146945000000002</v>
      </c>
      <c r="G97" s="156">
        <f>$D$13*F821EVE!G94*0.75</f>
        <v>89.053215000000009</v>
      </c>
      <c r="H97" s="156">
        <f>$D$13*F821EVE!H94*0.75</f>
        <v>72.386700000000005</v>
      </c>
      <c r="I97" s="156">
        <f>$D$13*F821EVE!I94*0.75</f>
        <v>93.533070000000009</v>
      </c>
      <c r="J97" s="156">
        <f t="shared" si="19"/>
        <v>524.48315250000007</v>
      </c>
      <c r="K97" s="69"/>
    </row>
    <row r="98" spans="2:11" s="37" customFormat="1" ht="15.75">
      <c r="B98" s="48"/>
      <c r="C98" s="162" t="s">
        <v>1177</v>
      </c>
      <c r="D98" s="156">
        <f>$D$13*F821EVE!D95*1</f>
        <v>11.52713</v>
      </c>
      <c r="E98" s="156">
        <f>$D$13*F821EVE!E95*1</f>
        <v>8.321390000000001</v>
      </c>
      <c r="F98" s="156">
        <f>$D$13*F821EVE!F95*1</f>
        <v>8.2850300000000008</v>
      </c>
      <c r="G98" s="156">
        <f>$D$13*F821EVE!G95*1</f>
        <v>9.2485700000000008</v>
      </c>
      <c r="H98" s="156">
        <f>$D$13*F821EVE!H95*1</f>
        <v>7.2275600000000004</v>
      </c>
      <c r="I98" s="156">
        <f>$D$13*F821EVE!I95*1</f>
        <v>9.2919999999999998</v>
      </c>
      <c r="J98" s="156">
        <f t="shared" si="19"/>
        <v>53.901679999999999</v>
      </c>
      <c r="K98" s="69"/>
    </row>
    <row r="99" spans="2:11" s="37" customFormat="1" ht="15.75">
      <c r="B99" s="48"/>
      <c r="C99" s="160" t="s">
        <v>305</v>
      </c>
      <c r="D99" s="156">
        <f>$D$13*F821EVE!D96*0.95</f>
        <v>0</v>
      </c>
      <c r="E99" s="156">
        <f>$D$13*F821EVE!E96*0.95</f>
        <v>0</v>
      </c>
      <c r="F99" s="156">
        <f>$D$13*F821EVE!F96*0.95</f>
        <v>0</v>
      </c>
      <c r="G99" s="156">
        <f>$D$13*F821EVE!G96*0.95</f>
        <v>0</v>
      </c>
      <c r="H99" s="156">
        <f>$D$13*F821EVE!H96*0.95</f>
        <v>0</v>
      </c>
      <c r="I99" s="156">
        <f>$D$13*F821EVE!I96*0.95</f>
        <v>0</v>
      </c>
      <c r="J99" s="156">
        <f t="shared" ref="J99:J108" si="21">SUM(D99:I99)</f>
        <v>0</v>
      </c>
      <c r="K99" s="69"/>
    </row>
    <row r="100" spans="2:11" s="37" customFormat="1" ht="15.75">
      <c r="B100" s="48"/>
      <c r="C100" s="160" t="s">
        <v>307</v>
      </c>
      <c r="D100" s="156">
        <f>$D$13*F821EVE!D97*0.5</f>
        <v>0</v>
      </c>
      <c r="E100" s="156">
        <f>$D$13*F821EVE!E97*0.5</f>
        <v>0</v>
      </c>
      <c r="F100" s="156">
        <f>$D$13*F821EVE!F97*0.5</f>
        <v>0</v>
      </c>
      <c r="G100" s="156">
        <f>$D$13*F821EVE!G97*0.5</f>
        <v>0</v>
      </c>
      <c r="H100" s="156">
        <f>$D$13*F821EVE!H97*0.5</f>
        <v>0</v>
      </c>
      <c r="I100" s="156">
        <f>$D$13*F821EVE!I97*0.5</f>
        <v>0</v>
      </c>
      <c r="J100" s="156">
        <f t="shared" si="21"/>
        <v>0</v>
      </c>
      <c r="K100" s="69"/>
    </row>
    <row r="101" spans="2:11" s="37" customFormat="1" ht="15.75">
      <c r="B101" s="48"/>
      <c r="C101" s="160" t="s">
        <v>624</v>
      </c>
      <c r="D101" s="156">
        <f>$D$13*F821EVE!D98*0</f>
        <v>0</v>
      </c>
      <c r="E101" s="156">
        <f>$D$13*F821EVE!E98*0</f>
        <v>0</v>
      </c>
      <c r="F101" s="156">
        <f>$D$13*F821EVE!F98*0</f>
        <v>0</v>
      </c>
      <c r="G101" s="156">
        <f>$D$13*F821EVE!G98*0</f>
        <v>0</v>
      </c>
      <c r="H101" s="156">
        <f>$D$13*F821EVE!H98*0</f>
        <v>0</v>
      </c>
      <c r="I101" s="156">
        <f>$D$13*F821EVE!I98*0</f>
        <v>0</v>
      </c>
      <c r="J101" s="156">
        <f t="shared" si="21"/>
        <v>0</v>
      </c>
      <c r="K101" s="69"/>
    </row>
    <row r="102" spans="2:11" s="37" customFormat="1" ht="15.75">
      <c r="B102" s="48" t="s">
        <v>902</v>
      </c>
      <c r="C102" s="158" t="s">
        <v>900</v>
      </c>
      <c r="D102" s="154">
        <f t="shared" ref="D102:I102" si="22">SUBTOTAL(9,D103:D108)</f>
        <v>125.12385</v>
      </c>
      <c r="E102" s="154">
        <f t="shared" si="22"/>
        <v>124.1792475</v>
      </c>
      <c r="F102" s="154">
        <f t="shared" si="22"/>
        <v>140.27662750000002</v>
      </c>
      <c r="G102" s="154">
        <f t="shared" si="22"/>
        <v>106.35173750000001</v>
      </c>
      <c r="H102" s="154">
        <f t="shared" si="22"/>
        <v>84.006245000000007</v>
      </c>
      <c r="I102" s="154">
        <f t="shared" si="22"/>
        <v>118.10384500000001</v>
      </c>
      <c r="J102" s="159">
        <f t="shared" si="21"/>
        <v>698.04155250000008</v>
      </c>
      <c r="K102" s="69"/>
    </row>
    <row r="103" spans="2:11" s="37" customFormat="1" ht="15.75">
      <c r="B103" s="48"/>
      <c r="C103" s="160" t="s">
        <v>304</v>
      </c>
      <c r="D103" s="156">
        <f>$D$13*F821EVE!D100*1</f>
        <v>120.49401</v>
      </c>
      <c r="E103" s="156">
        <f>$D$13*F821EVE!E100*1</f>
        <v>121.73328000000001</v>
      </c>
      <c r="F103" s="156">
        <f>$D$13*F821EVE!F100*1</f>
        <v>136.89742000000001</v>
      </c>
      <c r="G103" s="156">
        <f>$D$13*F821EVE!G100*1</f>
        <v>102.08474000000001</v>
      </c>
      <c r="H103" s="156">
        <f>$D$13*F821EVE!H100*1</f>
        <v>82.144310000000004</v>
      </c>
      <c r="I103" s="156">
        <f>$D$13*F821EVE!I100*1</f>
        <v>114.79660000000001</v>
      </c>
      <c r="J103" s="156">
        <f t="shared" si="21"/>
        <v>678.15036000000009</v>
      </c>
      <c r="K103" s="69"/>
    </row>
    <row r="104" spans="2:11" s="37" customFormat="1" ht="15.75">
      <c r="B104" s="48"/>
      <c r="C104" s="162" t="s">
        <v>642</v>
      </c>
      <c r="D104" s="156">
        <f>$D$13*F821EVE!D101*0.75</f>
        <v>4.6298399999999997</v>
      </c>
      <c r="E104" s="156">
        <f>$D$13*F821EVE!E101*0.75</f>
        <v>2.4459675000000001</v>
      </c>
      <c r="F104" s="156">
        <f>$D$13*F821EVE!F101*0.75</f>
        <v>3.3792074999999997</v>
      </c>
      <c r="G104" s="156">
        <f>$D$13*F821EVE!G101*0.75</f>
        <v>4.2669975000000004</v>
      </c>
      <c r="H104" s="156">
        <f>$D$13*F821EVE!H101*0.75</f>
        <v>1.8619349999999999</v>
      </c>
      <c r="I104" s="156">
        <f>$D$13*F821EVE!I101*0.75</f>
        <v>3.3072450000000004</v>
      </c>
      <c r="J104" s="156">
        <f t="shared" si="21"/>
        <v>19.891192500000002</v>
      </c>
      <c r="K104" s="69"/>
    </row>
    <row r="105" spans="2:11" s="37" customFormat="1" ht="15.75">
      <c r="B105" s="48"/>
      <c r="C105" s="162" t="s">
        <v>1177</v>
      </c>
      <c r="D105" s="156">
        <f>$D$13*F821EVE!D102*1</f>
        <v>0</v>
      </c>
      <c r="E105" s="156">
        <f>$D$13*F821EVE!E102*1</f>
        <v>0</v>
      </c>
      <c r="F105" s="156">
        <f>$D$13*F821EVE!F102*1</f>
        <v>0</v>
      </c>
      <c r="G105" s="156">
        <f>$D$13*F821EVE!G102*1</f>
        <v>0</v>
      </c>
      <c r="H105" s="156">
        <f>$D$13*F821EVE!H102*1</f>
        <v>0</v>
      </c>
      <c r="I105" s="156">
        <f>$D$13*F821EVE!I102*1</f>
        <v>0</v>
      </c>
      <c r="J105" s="156">
        <f t="shared" si="21"/>
        <v>0</v>
      </c>
      <c r="K105" s="69"/>
    </row>
    <row r="106" spans="2:11" s="37" customFormat="1" ht="15.75">
      <c r="B106" s="48"/>
      <c r="C106" s="160" t="s">
        <v>305</v>
      </c>
      <c r="D106" s="156">
        <f>$D$13*F821EVE!D103*0.95</f>
        <v>0</v>
      </c>
      <c r="E106" s="156">
        <f>$D$13*F821EVE!E103*0.95</f>
        <v>0</v>
      </c>
      <c r="F106" s="156">
        <f>$D$13*F821EVE!F103*0.95</f>
        <v>0</v>
      </c>
      <c r="G106" s="156">
        <f>$D$13*F821EVE!G103*0.95</f>
        <v>0</v>
      </c>
      <c r="H106" s="156">
        <f>$D$13*F821EVE!H103*0.95</f>
        <v>0</v>
      </c>
      <c r="I106" s="156">
        <f>$D$13*F821EVE!I103*0.95</f>
        <v>0</v>
      </c>
      <c r="J106" s="156">
        <f t="shared" si="21"/>
        <v>0</v>
      </c>
      <c r="K106" s="69"/>
    </row>
    <row r="107" spans="2:11" s="37" customFormat="1" ht="15.75">
      <c r="B107" s="48"/>
      <c r="C107" s="160" t="s">
        <v>307</v>
      </c>
      <c r="D107" s="156">
        <f>$D$13*F821EVE!D104*0.5</f>
        <v>0</v>
      </c>
      <c r="E107" s="156">
        <f>$D$13*F821EVE!E104*0.5</f>
        <v>0</v>
      </c>
      <c r="F107" s="156">
        <f>$D$13*F821EVE!F104*0.5</f>
        <v>0</v>
      </c>
      <c r="G107" s="156">
        <f>$D$13*F821EVE!G104*0.5</f>
        <v>0</v>
      </c>
      <c r="H107" s="156">
        <f>$D$13*F821EVE!H104*0.5</f>
        <v>0</v>
      </c>
      <c r="I107" s="156">
        <f>$D$13*F821EVE!I104*0.5</f>
        <v>0</v>
      </c>
      <c r="J107" s="156">
        <f t="shared" si="21"/>
        <v>0</v>
      </c>
      <c r="K107" s="69"/>
    </row>
    <row r="108" spans="2:11" s="37" customFormat="1" ht="15.75">
      <c r="B108" s="48"/>
      <c r="C108" s="160" t="s">
        <v>624</v>
      </c>
      <c r="D108" s="156">
        <f>$D$13*F821EVE!D105*0</f>
        <v>0</v>
      </c>
      <c r="E108" s="156">
        <f>$D$13*F821EVE!E105*0</f>
        <v>0</v>
      </c>
      <c r="F108" s="156">
        <f>$D$13*F821EVE!F105*0</f>
        <v>0</v>
      </c>
      <c r="G108" s="156">
        <f>$D$13*F821EVE!G105*0</f>
        <v>0</v>
      </c>
      <c r="H108" s="156">
        <f>$D$13*F821EVE!H105*0</f>
        <v>0</v>
      </c>
      <c r="I108" s="156">
        <f>$D$13*F821EVE!I105*0</f>
        <v>0</v>
      </c>
      <c r="J108" s="156">
        <f t="shared" si="21"/>
        <v>0</v>
      </c>
      <c r="K108" s="69"/>
    </row>
    <row r="109" spans="2:11" s="37" customFormat="1" ht="15.75">
      <c r="B109" s="48"/>
      <c r="C109" s="157"/>
      <c r="D109" s="156"/>
      <c r="E109" s="156"/>
      <c r="F109" s="156"/>
      <c r="G109" s="156"/>
      <c r="H109" s="156"/>
      <c r="I109" s="156"/>
      <c r="J109" s="156"/>
      <c r="K109" s="69"/>
    </row>
    <row r="110" spans="2:11" s="37" customFormat="1" ht="15.75">
      <c r="B110" s="48"/>
      <c r="C110" s="153" t="s">
        <v>112</v>
      </c>
      <c r="D110" s="154">
        <f t="shared" ref="D110:I110" si="23">D33+D23+D19</f>
        <v>338210.62617650011</v>
      </c>
      <c r="E110" s="154">
        <f t="shared" si="23"/>
        <v>338954.42444049998</v>
      </c>
      <c r="F110" s="154">
        <f t="shared" si="23"/>
        <v>332180.60788049997</v>
      </c>
      <c r="G110" s="154">
        <f t="shared" si="23"/>
        <v>336823.98677549994</v>
      </c>
      <c r="H110" s="154">
        <f t="shared" si="23"/>
        <v>323276.27968949999</v>
      </c>
      <c r="I110" s="154">
        <f t="shared" si="23"/>
        <v>324118.65815349994</v>
      </c>
      <c r="J110" s="154">
        <f>SUM(D110:I110)</f>
        <v>1993564.5831160001</v>
      </c>
      <c r="K110" s="69"/>
    </row>
    <row r="111" spans="2:11" s="37" customFormat="1" ht="15.75">
      <c r="B111" s="48"/>
      <c r="C111" s="48"/>
      <c r="D111" s="48"/>
      <c r="E111" s="48"/>
      <c r="F111" s="48"/>
      <c r="G111" s="48"/>
      <c r="H111" s="48"/>
      <c r="I111" s="48"/>
      <c r="J111" s="48"/>
      <c r="K111" s="69"/>
    </row>
    <row r="112" spans="2:11" s="37" customFormat="1" ht="33.75">
      <c r="B112" s="48"/>
      <c r="C112" s="138" t="s">
        <v>1432</v>
      </c>
      <c r="D112" s="138"/>
      <c r="E112" s="138"/>
      <c r="F112" s="138"/>
      <c r="G112" s="138"/>
      <c r="H112" s="138"/>
      <c r="I112" s="138"/>
      <c r="J112" s="138"/>
      <c r="K112" s="69"/>
    </row>
    <row r="113" spans="1:11" s="37" customFormat="1" ht="15.75">
      <c r="B113" s="48"/>
      <c r="C113" s="150" t="s">
        <v>310</v>
      </c>
      <c r="D113" s="151">
        <f t="shared" ref="D113:I113" si="24">D18</f>
        <v>45839</v>
      </c>
      <c r="E113" s="151">
        <f t="shared" si="24"/>
        <v>45870</v>
      </c>
      <c r="F113" s="151">
        <f t="shared" si="24"/>
        <v>45901</v>
      </c>
      <c r="G113" s="151">
        <f t="shared" si="24"/>
        <v>45931</v>
      </c>
      <c r="H113" s="151">
        <f t="shared" si="24"/>
        <v>45962</v>
      </c>
      <c r="I113" s="151">
        <f t="shared" si="24"/>
        <v>45992</v>
      </c>
      <c r="J113" s="152" t="s">
        <v>111</v>
      </c>
      <c r="K113" s="69"/>
    </row>
    <row r="114" spans="1:11">
      <c r="A114" s="37"/>
      <c r="C114" s="153" t="s">
        <v>230</v>
      </c>
      <c r="D114" s="154">
        <f t="shared" ref="D114:I114" si="25">SUM(D115:D116)</f>
        <v>13880.873186223507</v>
      </c>
      <c r="E114" s="154">
        <f t="shared" si="25"/>
        <v>13011.933486051999</v>
      </c>
      <c r="F114" s="154">
        <f t="shared" si="25"/>
        <v>13560.972549940103</v>
      </c>
      <c r="G114" s="154">
        <f t="shared" si="25"/>
        <v>15268.13382168054</v>
      </c>
      <c r="H114" s="154">
        <f t="shared" si="25"/>
        <v>12906.896733260735</v>
      </c>
      <c r="I114" s="154">
        <f t="shared" si="25"/>
        <v>14510.9409493044</v>
      </c>
      <c r="J114" s="154">
        <f>SUM(D114:I114)</f>
        <v>83139.750726461294</v>
      </c>
    </row>
    <row r="115" spans="1:11">
      <c r="A115" s="37"/>
      <c r="B115" s="48" t="s">
        <v>870</v>
      </c>
      <c r="C115" s="157" t="s">
        <v>1028</v>
      </c>
      <c r="D115" s="156">
        <f>$E$7*F821D!K116+$D$7*F821EVE!D116</f>
        <v>9318.4684051720014</v>
      </c>
      <c r="E115" s="156">
        <f>$E$7*F821D!L116+$D$7*F821EVE!E116</f>
        <v>8570.1795010919996</v>
      </c>
      <c r="F115" s="156">
        <f>$E$7*F821D!M116+$D$7*F821EVE!F116</f>
        <v>8879.6984928660004</v>
      </c>
      <c r="G115" s="156">
        <f>$E$7*F821D!N116+$D$7*F821EVE!G116</f>
        <v>9669.7104554319994</v>
      </c>
      <c r="H115" s="156">
        <f>$E$7*F821D!O116+$D$7*F821EVE!H116</f>
        <v>7572.5670822619995</v>
      </c>
      <c r="I115" s="156">
        <f>$E$7*F821D!P116+$D$7*F821EVE!I116</f>
        <v>8812.3994582380001</v>
      </c>
      <c r="J115" s="154">
        <f>SUM(D115:I115)</f>
        <v>52823.023395062002</v>
      </c>
    </row>
    <row r="116" spans="1:11">
      <c r="A116" s="37"/>
      <c r="B116" s="48" t="s">
        <v>871</v>
      </c>
      <c r="C116" s="153" t="s">
        <v>193</v>
      </c>
      <c r="D116" s="154">
        <f t="shared" ref="D116:I116" si="26">SUM(D117:D118)</f>
        <v>4562.4047810515067</v>
      </c>
      <c r="E116" s="154">
        <f t="shared" si="26"/>
        <v>4441.7539849599998</v>
      </c>
      <c r="F116" s="154">
        <f t="shared" si="26"/>
        <v>4681.2740570741016</v>
      </c>
      <c r="G116" s="154">
        <f t="shared" si="26"/>
        <v>5598.4233662485403</v>
      </c>
      <c r="H116" s="154">
        <f t="shared" si="26"/>
        <v>5334.3296509987358</v>
      </c>
      <c r="I116" s="154">
        <f t="shared" si="26"/>
        <v>5698.5414910664012</v>
      </c>
      <c r="J116" s="154">
        <f>SUM(D116:I116)</f>
        <v>30316.727331399281</v>
      </c>
    </row>
    <row r="117" spans="1:11">
      <c r="A117" s="37"/>
      <c r="C117" s="157" t="s">
        <v>1074</v>
      </c>
      <c r="D117" s="156">
        <f>$E$8*F821D!K118+$D$8*F821EVE!D118</f>
        <v>0</v>
      </c>
      <c r="E117" s="156">
        <f>$E$8*F821D!L118+$D$8*F821EVE!E118</f>
        <v>0</v>
      </c>
      <c r="F117" s="156">
        <f>$E$8*F821D!M118+$D$8*F821EVE!F118</f>
        <v>0</v>
      </c>
      <c r="G117" s="156">
        <f>$E$8*F821D!N118+$D$8*F821EVE!G118</f>
        <v>0</v>
      </c>
      <c r="H117" s="156">
        <f>$E$8*F821D!O118+$D$8*F821EVE!H118</f>
        <v>0</v>
      </c>
      <c r="I117" s="156">
        <f>$E$8*F821D!P118+$D$8*F821EVE!I118</f>
        <v>0</v>
      </c>
      <c r="J117" s="154">
        <f t="shared" ref="J117:J143" si="27">SUM(D117:I117)</f>
        <v>0</v>
      </c>
    </row>
    <row r="118" spans="1:11">
      <c r="A118" s="37"/>
      <c r="C118" s="157" t="s">
        <v>1075</v>
      </c>
      <c r="D118" s="156">
        <f>$E$8*F821D!K119+$D$8*F821EVE!D119</f>
        <v>4562.4047810515067</v>
      </c>
      <c r="E118" s="156">
        <f>$E$8*F821D!L119+$D$8*F821EVE!E119</f>
        <v>4441.7539849599998</v>
      </c>
      <c r="F118" s="156">
        <f>$E$8*F821D!M119+$D$8*F821EVE!F119</f>
        <v>4681.2740570741016</v>
      </c>
      <c r="G118" s="156">
        <f>$E$8*F821D!N119+$D$8*F821EVE!G119</f>
        <v>5598.4233662485403</v>
      </c>
      <c r="H118" s="156">
        <f>$E$8*F821D!O119+$D$8*F821EVE!H119</f>
        <v>5334.3296509987358</v>
      </c>
      <c r="I118" s="156">
        <f>$E$8*F821D!P119+$D$8*F821EVE!I119</f>
        <v>5698.5414910664012</v>
      </c>
      <c r="J118" s="154">
        <f t="shared" si="27"/>
        <v>30316.727331399281</v>
      </c>
    </row>
    <row r="119" spans="1:11">
      <c r="A119" s="37"/>
      <c r="C119" s="153" t="s">
        <v>893</v>
      </c>
      <c r="D119" s="156"/>
      <c r="E119" s="156"/>
      <c r="F119" s="156"/>
      <c r="G119" s="156"/>
      <c r="H119" s="156"/>
      <c r="I119" s="156"/>
      <c r="J119" s="154">
        <f t="shared" si="27"/>
        <v>0</v>
      </c>
    </row>
    <row r="120" spans="1:11">
      <c r="A120" s="37"/>
      <c r="C120" s="157"/>
      <c r="D120" s="156"/>
      <c r="E120" s="156"/>
      <c r="F120" s="156"/>
      <c r="G120" s="156"/>
      <c r="H120" s="156"/>
      <c r="I120" s="156"/>
      <c r="J120" s="154">
        <f t="shared" si="27"/>
        <v>0</v>
      </c>
    </row>
    <row r="121" spans="1:11">
      <c r="A121" s="37"/>
      <c r="C121" s="153" t="s">
        <v>194</v>
      </c>
      <c r="D121" s="154">
        <f t="shared" ref="D121:I121" si="28">D122+D127</f>
        <v>65916.445176905007</v>
      </c>
      <c r="E121" s="154">
        <f t="shared" si="28"/>
        <v>65164.223005791253</v>
      </c>
      <c r="F121" s="154">
        <f t="shared" si="28"/>
        <v>64058.966859239998</v>
      </c>
      <c r="G121" s="154">
        <f t="shared" si="28"/>
        <v>66321.612142920014</v>
      </c>
      <c r="H121" s="154">
        <f t="shared" si="28"/>
        <v>62375.857401786001</v>
      </c>
      <c r="I121" s="154">
        <f t="shared" si="28"/>
        <v>65205.738685266304</v>
      </c>
      <c r="J121" s="154">
        <f t="shared" si="27"/>
        <v>389042.84327190858</v>
      </c>
    </row>
    <row r="122" spans="1:11">
      <c r="A122" s="37"/>
      <c r="B122" s="48" t="s">
        <v>872</v>
      </c>
      <c r="C122" s="153" t="s">
        <v>277</v>
      </c>
      <c r="D122" s="154">
        <f t="shared" ref="D122:I122" si="29">SUM(D123:D126)</f>
        <v>11515.072103261997</v>
      </c>
      <c r="E122" s="154">
        <f t="shared" si="29"/>
        <v>11497.859960230002</v>
      </c>
      <c r="F122" s="154">
        <f t="shared" si="29"/>
        <v>11363.957007479999</v>
      </c>
      <c r="G122" s="154">
        <f t="shared" si="29"/>
        <v>11983.0400149</v>
      </c>
      <c r="H122" s="154">
        <f t="shared" si="29"/>
        <v>11333.753641630001</v>
      </c>
      <c r="I122" s="154">
        <f t="shared" si="29"/>
        <v>11356.823418782802</v>
      </c>
      <c r="J122" s="154">
        <f>SUM(D122:I122)</f>
        <v>69050.506146284795</v>
      </c>
    </row>
    <row r="123" spans="1:11">
      <c r="A123" s="37"/>
      <c r="C123" s="157" t="s">
        <v>980</v>
      </c>
      <c r="D123" s="156">
        <f>$E$9*F821D!K124+$D$9*F821EVE!D124</f>
        <v>7590.8844690264559</v>
      </c>
      <c r="E123" s="156">
        <f>$E$9*F821D!L124+$D$9*F821EVE!E124</f>
        <v>7466.0157830394346</v>
      </c>
      <c r="F123" s="156">
        <f>$E$9*F821D!M124+$D$9*F821EVE!F124</f>
        <v>7210.4954096976317</v>
      </c>
      <c r="G123" s="156">
        <f>$E$9*F821D!N124+$D$9*F821EVE!G124</f>
        <v>7387.2269559763645</v>
      </c>
      <c r="H123" s="156">
        <f>$E$9*F821D!O124+$D$9*F821EVE!H124</f>
        <v>6938.380291369911</v>
      </c>
      <c r="I123" s="156">
        <f>$E$9*F821D!P124+$D$9*F821EVE!I124</f>
        <v>6872.2850928719363</v>
      </c>
      <c r="J123" s="154">
        <f t="shared" si="27"/>
        <v>43465.288001981731</v>
      </c>
    </row>
    <row r="124" spans="1:11">
      <c r="A124" s="37"/>
      <c r="C124" s="157" t="s">
        <v>981</v>
      </c>
      <c r="D124" s="156">
        <f>$E$9*F821D!K125+$D$9*F821EVE!D125</f>
        <v>425.29023184379071</v>
      </c>
      <c r="E124" s="156">
        <f>$E$9*F821D!L125+$D$9*F821EVE!E125</f>
        <v>439.12385984854404</v>
      </c>
      <c r="F124" s="156">
        <f>$E$9*F821D!M125+$D$9*F821EVE!F125</f>
        <v>451.955453372428</v>
      </c>
      <c r="G124" s="156">
        <f>$E$9*F821D!N125+$D$9*F821EVE!G125</f>
        <v>489.11116869029956</v>
      </c>
      <c r="H124" s="156">
        <f>$E$9*F821D!O125+$D$9*F821EVE!H125</f>
        <v>508.52021265821651</v>
      </c>
      <c r="I124" s="156">
        <f>$E$9*F821D!P125+$D$9*F821EVE!I125</f>
        <v>345.18692002947876</v>
      </c>
      <c r="J124" s="154">
        <f t="shared" si="27"/>
        <v>2659.1878464427577</v>
      </c>
    </row>
    <row r="125" spans="1:11">
      <c r="A125" s="37"/>
      <c r="C125" s="157" t="s">
        <v>1019</v>
      </c>
      <c r="D125" s="156">
        <f>$E$9*F821D!K126+$D$9*F821EVE!D126</f>
        <v>133.9732810639988</v>
      </c>
      <c r="E125" s="156">
        <f>$E$9*F821D!L126+$D$9*F821EVE!E126</f>
        <v>131.45282204183462</v>
      </c>
      <c r="F125" s="156">
        <f>$E$9*F821D!M126+$D$9*F821EVE!F126</f>
        <v>127.4926317616635</v>
      </c>
      <c r="G125" s="156">
        <f>$E$9*F821D!N126+$D$9*F821EVE!G126</f>
        <v>134.72820770462923</v>
      </c>
      <c r="H125" s="156">
        <f>$E$9*F821D!O126+$D$9*F821EVE!H126</f>
        <v>130.54776982861125</v>
      </c>
      <c r="I125" s="156">
        <f>$E$9*F821D!P126+$D$9*F821EVE!I126</f>
        <v>126.12040752197994</v>
      </c>
      <c r="J125" s="154">
        <f>SUM(D125:I125)</f>
        <v>784.31511992271737</v>
      </c>
    </row>
    <row r="126" spans="1:11">
      <c r="A126" s="37"/>
      <c r="C126" s="157" t="s">
        <v>1766</v>
      </c>
      <c r="D126" s="156">
        <f>$E$9*F821D!K127+$D$9*F821EVE!D127</f>
        <v>3364.924121327751</v>
      </c>
      <c r="E126" s="156">
        <f>$E$9*F821D!L127+$D$9*F821EVE!E127</f>
        <v>3461.2674953001888</v>
      </c>
      <c r="F126" s="156">
        <f>$E$9*F821D!M127+$D$9*F821EVE!F127</f>
        <v>3574.0135126482764</v>
      </c>
      <c r="G126" s="156">
        <f>$E$9*F821D!N127+$D$9*F821EVE!G127</f>
        <v>3971.9736825287064</v>
      </c>
      <c r="H126" s="156">
        <f>$E$9*F821D!O127+$D$9*F821EVE!H127</f>
        <v>3756.3053677732623</v>
      </c>
      <c r="I126" s="156">
        <f>$E$9*F821D!P127+$D$9*F821EVE!I127</f>
        <v>4013.2309983594073</v>
      </c>
      <c r="J126" s="154">
        <f>SUM(D126:I126)</f>
        <v>22141.715177937589</v>
      </c>
    </row>
    <row r="127" spans="1:11">
      <c r="A127" s="37"/>
      <c r="B127" s="48" t="s">
        <v>873</v>
      </c>
      <c r="C127" s="153" t="s">
        <v>193</v>
      </c>
      <c r="D127" s="154">
        <f t="shared" ref="D127:I127" si="30">SUM(D128:D132)</f>
        <v>54401.373073643008</v>
      </c>
      <c r="E127" s="154">
        <f t="shared" si="30"/>
        <v>53666.363045561251</v>
      </c>
      <c r="F127" s="154">
        <f t="shared" si="30"/>
        <v>52695.009851759998</v>
      </c>
      <c r="G127" s="154">
        <f t="shared" si="30"/>
        <v>54338.572128020009</v>
      </c>
      <c r="H127" s="154">
        <f t="shared" si="30"/>
        <v>51042.103760156002</v>
      </c>
      <c r="I127" s="154">
        <f t="shared" si="30"/>
        <v>53848.915266483498</v>
      </c>
      <c r="J127" s="154">
        <f t="shared" si="27"/>
        <v>319992.33712562377</v>
      </c>
    </row>
    <row r="128" spans="1:11">
      <c r="A128" s="37"/>
      <c r="C128" s="157" t="s">
        <v>944</v>
      </c>
      <c r="D128" s="156">
        <f>$E$10*F821D!K129+$D$10*F821EVE!D129</f>
        <v>0</v>
      </c>
      <c r="E128" s="156">
        <f>$E$10*F821D!L129+$D$10*F821EVE!E129</f>
        <v>0</v>
      </c>
      <c r="F128" s="156">
        <f>$E$10*F821D!M129+$D$10*F821EVE!F129</f>
        <v>0</v>
      </c>
      <c r="G128" s="156">
        <f>$E$10*F821D!N129+$D$10*F821EVE!G129</f>
        <v>0</v>
      </c>
      <c r="H128" s="156">
        <f>$E$10*F821D!O129+$D$10*F821EVE!H129</f>
        <v>0</v>
      </c>
      <c r="I128" s="156">
        <f>$E$10*F821D!P129+$D$10*F821EVE!I129</f>
        <v>0</v>
      </c>
      <c r="J128" s="154">
        <f t="shared" si="27"/>
        <v>0</v>
      </c>
    </row>
    <row r="129" spans="1:10">
      <c r="A129" s="37"/>
      <c r="C129" s="157" t="s">
        <v>943</v>
      </c>
      <c r="D129" s="156">
        <f>$E$10*F821D!K130+$D$10*F821EVE!D130</f>
        <v>35688.129195375011</v>
      </c>
      <c r="E129" s="156">
        <f>$E$10*F821D!L130+$D$10*F821EVE!E130</f>
        <v>35337.222774194997</v>
      </c>
      <c r="F129" s="156">
        <f>$E$10*F821D!M130+$D$10*F821EVE!F130</f>
        <v>32359.9707094</v>
      </c>
      <c r="G129" s="156">
        <f>$E$10*F821D!N130+$D$10*F821EVE!G130</f>
        <v>33391.950281580008</v>
      </c>
      <c r="H129" s="156">
        <f>$E$10*F821D!O130+$D$10*F821EVE!H130</f>
        <v>31086.546127500002</v>
      </c>
      <c r="I129" s="156">
        <f>$E$10*F821D!P130+$D$10*F821EVE!I130</f>
        <v>32303.406229893</v>
      </c>
      <c r="J129" s="154">
        <f t="shared" si="27"/>
        <v>200167.22531794306</v>
      </c>
    </row>
    <row r="130" spans="1:10">
      <c r="A130" s="37"/>
      <c r="C130" s="157" t="s">
        <v>1020</v>
      </c>
      <c r="D130" s="156">
        <f>$E$10*F821D!K131+$D$10*F821EVE!D131</f>
        <v>2571.4828926799996</v>
      </c>
      <c r="E130" s="156">
        <f>$E$10*F821D!L131+$D$10*F821EVE!E131</f>
        <v>2314.5054948400002</v>
      </c>
      <c r="F130" s="156">
        <f>$E$10*F821D!M131+$D$10*F821EVE!F131</f>
        <v>2623.4933061399997</v>
      </c>
      <c r="G130" s="156">
        <f>$E$10*F821D!N131+$D$10*F821EVE!G131</f>
        <v>2272.3212467200001</v>
      </c>
      <c r="H130" s="156">
        <f>$E$10*F821D!O131+$D$10*F821EVE!H131</f>
        <v>2174.9957493360002</v>
      </c>
      <c r="I130" s="156">
        <f>$E$10*F821D!P131+$D$10*F821EVE!I131</f>
        <v>2443.0534869699973</v>
      </c>
      <c r="J130" s="154">
        <f t="shared" si="27"/>
        <v>14399.852176685996</v>
      </c>
    </row>
    <row r="131" spans="1:10">
      <c r="A131" s="37"/>
      <c r="C131" s="157" t="s">
        <v>1021</v>
      </c>
      <c r="D131" s="156">
        <f>$E$10*F821D!K132+$D$10*F821EVE!D132</f>
        <v>2281.4253533999999</v>
      </c>
      <c r="E131" s="156">
        <f>$E$10*F821D!L132+$D$10*F821EVE!E132</f>
        <v>2346.8385911</v>
      </c>
      <c r="F131" s="156">
        <f>$E$10*F821D!M132+$D$10*F821EVE!F132</f>
        <v>2271.9334607000005</v>
      </c>
      <c r="G131" s="156">
        <f>$E$10*F821D!N132+$D$10*F821EVE!G132</f>
        <v>2347.9982387000005</v>
      </c>
      <c r="H131" s="156">
        <f>$E$10*F821D!O132+$D$10*F821EVE!H132</f>
        <v>2126.7016748999999</v>
      </c>
      <c r="I131" s="156">
        <f>$E$10*F821D!P132+$D$10*F821EVE!I132</f>
        <v>2342.284248429999</v>
      </c>
      <c r="J131" s="154">
        <f>SUM(D131:I131)</f>
        <v>13717.18156723</v>
      </c>
    </row>
    <row r="132" spans="1:10">
      <c r="A132" s="37"/>
      <c r="C132" s="157" t="s">
        <v>1163</v>
      </c>
      <c r="D132" s="156">
        <f>$E$10*F821D!K133+$D$10*F821EVE!D133</f>
        <v>13860.335632188</v>
      </c>
      <c r="E132" s="156">
        <f>$E$10*F821D!L133+$D$10*F821EVE!E133</f>
        <v>13667.796185426256</v>
      </c>
      <c r="F132" s="156">
        <f>$E$10*F821D!M133+$D$10*F821EVE!F133</f>
        <v>15439.612375519999</v>
      </c>
      <c r="G132" s="156">
        <f>$E$10*F821D!N133+$D$10*F821EVE!G133</f>
        <v>16326.30236102</v>
      </c>
      <c r="H132" s="156">
        <f>$E$10*F821D!O133+$D$10*F821EVE!H133</f>
        <v>15653.860208419996</v>
      </c>
      <c r="I132" s="156">
        <f>$E$10*F821D!P133+$D$10*F821EVE!I133</f>
        <v>16760.171301190498</v>
      </c>
      <c r="J132" s="154">
        <f>SUM(D132:I132)</f>
        <v>91708.07806376474</v>
      </c>
    </row>
    <row r="133" spans="1:10">
      <c r="A133" s="37"/>
      <c r="C133" s="157"/>
      <c r="D133" s="156"/>
      <c r="E133" s="156"/>
      <c r="F133" s="156"/>
      <c r="G133" s="156"/>
      <c r="H133" s="156"/>
      <c r="I133" s="156"/>
      <c r="J133" s="154"/>
    </row>
    <row r="134" spans="1:10">
      <c r="A134" s="37"/>
      <c r="C134" s="153" t="s">
        <v>308</v>
      </c>
      <c r="D134" s="154">
        <f t="shared" ref="D134:I134" si="31">SUM(D135:D136)</f>
        <v>16224.751263597005</v>
      </c>
      <c r="E134" s="154">
        <f t="shared" si="31"/>
        <v>15959.054356325005</v>
      </c>
      <c r="F134" s="154">
        <f t="shared" si="31"/>
        <v>16229.371829263999</v>
      </c>
      <c r="G134" s="154">
        <f t="shared" si="31"/>
        <v>16978.252943490003</v>
      </c>
      <c r="H134" s="154">
        <f t="shared" si="31"/>
        <v>15909.912004450995</v>
      </c>
      <c r="I134" s="154">
        <f t="shared" si="31"/>
        <v>17646.667751384521</v>
      </c>
      <c r="J134" s="154">
        <f t="shared" si="27"/>
        <v>98948.010148511516</v>
      </c>
    </row>
    <row r="135" spans="1:10">
      <c r="A135" s="37"/>
      <c r="B135" s="48" t="s">
        <v>874</v>
      </c>
      <c r="C135" s="157" t="s">
        <v>1027</v>
      </c>
      <c r="D135" s="156">
        <f>$E$11*F821D!K137+$D$11*F821EVE!D137</f>
        <v>364.49062637099996</v>
      </c>
      <c r="E135" s="156">
        <f>$E$11*F821D!L137+$D$11*F821EVE!E137</f>
        <v>356.16901010900006</v>
      </c>
      <c r="F135" s="156">
        <f>$E$11*F821D!M137+$D$11*F821EVE!F137</f>
        <v>346.94803472000001</v>
      </c>
      <c r="G135" s="156">
        <f>$E$11*F821D!N137+$D$11*F821EVE!G137</f>
        <v>356.72673365999998</v>
      </c>
      <c r="H135" s="156">
        <f>$E$11*F821D!O137+$D$11*F821EVE!H137</f>
        <v>350.57463950900001</v>
      </c>
      <c r="I135" s="156">
        <f>$E$11*F821D!P137+$D$11*F821EVE!I137</f>
        <v>359.52564126000027</v>
      </c>
      <c r="J135" s="154">
        <f t="shared" si="27"/>
        <v>2134.4346856290003</v>
      </c>
    </row>
    <row r="136" spans="1:10">
      <c r="A136" s="37"/>
      <c r="B136" s="48" t="s">
        <v>875</v>
      </c>
      <c r="C136" s="153" t="s">
        <v>193</v>
      </c>
      <c r="D136" s="154">
        <f t="shared" ref="D136:I136" si="32">SUM(D137:D141)</f>
        <v>15860.260637226005</v>
      </c>
      <c r="E136" s="154">
        <f t="shared" si="32"/>
        <v>15602.885346216004</v>
      </c>
      <c r="F136" s="154">
        <f t="shared" si="32"/>
        <v>15882.423794543998</v>
      </c>
      <c r="G136" s="154">
        <f t="shared" si="32"/>
        <v>16621.526209830001</v>
      </c>
      <c r="H136" s="154">
        <f t="shared" si="32"/>
        <v>15559.337364941995</v>
      </c>
      <c r="I136" s="154">
        <f t="shared" si="32"/>
        <v>17287.142110124521</v>
      </c>
      <c r="J136" s="154">
        <f t="shared" si="27"/>
        <v>96813.575462882523</v>
      </c>
    </row>
    <row r="137" spans="1:10">
      <c r="A137" s="37"/>
      <c r="C137" s="157" t="s">
        <v>1022</v>
      </c>
      <c r="D137" s="156">
        <f>$E$12*F821D!K140+$D$12*F821EVE!D140</f>
        <v>157.73250931800001</v>
      </c>
      <c r="E137" s="156">
        <f>$E$12*F821D!L140+$D$12*F821EVE!E140</f>
        <v>154.45060100400002</v>
      </c>
      <c r="F137" s="156">
        <f>$E$12*F821D!M140+$D$12*F821EVE!F140</f>
        <v>156.52541805599998</v>
      </c>
      <c r="G137" s="156">
        <f>$E$12*F821D!N140+$D$12*F821EVE!G140</f>
        <v>163.74893292600001</v>
      </c>
      <c r="H137" s="156">
        <f>$E$12*F821D!O140+$D$12*F821EVE!H140</f>
        <v>151.576572072</v>
      </c>
      <c r="I137" s="156">
        <f>$E$12*F821D!P140+$D$12*F821EVE!I140</f>
        <v>159.89523161399998</v>
      </c>
      <c r="J137" s="154">
        <f t="shared" si="27"/>
        <v>943.92926498999998</v>
      </c>
    </row>
    <row r="138" spans="1:10">
      <c r="A138" s="37"/>
      <c r="C138" s="157" t="s">
        <v>1023</v>
      </c>
      <c r="D138" s="156">
        <f>$E$12*F821D!K141+$D$12*F821EVE!D141</f>
        <v>10515.833152548003</v>
      </c>
      <c r="E138" s="156">
        <f>$E$12*F821D!L141+$D$12*F821EVE!E141</f>
        <v>10285.104812274003</v>
      </c>
      <c r="F138" s="156">
        <f>$E$12*F821D!M141+$D$12*F821EVE!F141</f>
        <v>10041.874270331999</v>
      </c>
      <c r="G138" s="156">
        <f>$E$12*F821D!N141+$D$12*F821EVE!G141</f>
        <v>10347.00765648</v>
      </c>
      <c r="H138" s="156">
        <f>$E$12*F821D!O141+$D$12*F821EVE!H141</f>
        <v>9607.2868027859968</v>
      </c>
      <c r="I138" s="156">
        <f>$E$12*F821D!P141+$D$12*F821EVE!I141</f>
        <v>10279.411444108082</v>
      </c>
      <c r="J138" s="154">
        <f t="shared" si="27"/>
        <v>61076.518138528081</v>
      </c>
    </row>
    <row r="139" spans="1:10">
      <c r="A139" s="37"/>
      <c r="C139" s="157" t="s">
        <v>1024</v>
      </c>
      <c r="D139" s="156">
        <f>$E$12*F821D!K142+$D$12*F821EVE!D142</f>
        <v>216.90260020800002</v>
      </c>
      <c r="E139" s="156">
        <f>$E$12*F821D!L142+$D$12*F821EVE!E142</f>
        <v>214.55616180600001</v>
      </c>
      <c r="F139" s="156">
        <f>$E$12*F821D!M142+$D$12*F821EVE!F142</f>
        <v>208.76949185399994</v>
      </c>
      <c r="G139" s="156">
        <f>$E$12*F821D!N142+$D$12*F821EVE!G142</f>
        <v>211.01022646200005</v>
      </c>
      <c r="H139" s="156">
        <f>$E$12*F821D!O142+$D$12*F821EVE!H142</f>
        <v>188.79655843799998</v>
      </c>
      <c r="I139" s="156">
        <f>$E$12*F821D!P142+$D$12*F821EVE!I142</f>
        <v>204.01803233243967</v>
      </c>
      <c r="J139" s="154">
        <f t="shared" si="27"/>
        <v>1244.0530711004396</v>
      </c>
    </row>
    <row r="140" spans="1:10">
      <c r="A140" s="37"/>
      <c r="C140" s="157" t="s">
        <v>1025</v>
      </c>
      <c r="D140" s="156">
        <f>$E$12*F821D!K143+$D$12*F821EVE!D143</f>
        <v>2107.2762646019996</v>
      </c>
      <c r="E140" s="156">
        <f>$E$12*F821D!L143+$D$12*F821EVE!E143</f>
        <v>2042.15598114</v>
      </c>
      <c r="F140" s="156">
        <f>$E$12*F821D!M143+$D$12*F821EVE!F143</f>
        <v>2009.2062384599999</v>
      </c>
      <c r="G140" s="156">
        <f>$E$12*F821D!N143+$D$12*F821EVE!G143</f>
        <v>2081.9060064959999</v>
      </c>
      <c r="H140" s="156">
        <f>$E$12*F821D!O143+$D$12*F821EVE!H143</f>
        <v>1879.0849704719997</v>
      </c>
      <c r="I140" s="156">
        <f>$E$12*F821D!P143+$D$12*F821EVE!I143</f>
        <v>1891.7322084397201</v>
      </c>
      <c r="J140" s="154">
        <f t="shared" si="27"/>
        <v>12011.36166960972</v>
      </c>
    </row>
    <row r="141" spans="1:10">
      <c r="A141" s="37"/>
      <c r="C141" s="157" t="s">
        <v>1162</v>
      </c>
      <c r="D141" s="156">
        <f>$E$12*F821D!K144+$D$12*F821EVE!D144</f>
        <v>2862.5161105500001</v>
      </c>
      <c r="E141" s="156">
        <f>$E$12*F821D!L144+$D$12*F821EVE!E144</f>
        <v>2906.6177899919994</v>
      </c>
      <c r="F141" s="156">
        <f>$E$12*F821D!M144+$D$12*F821EVE!F144</f>
        <v>3466.048375842</v>
      </c>
      <c r="G141" s="156">
        <f>$E$12*F821D!N144+$D$12*F821EVE!G144</f>
        <v>3817.8533874659997</v>
      </c>
      <c r="H141" s="156">
        <f>$E$12*F821D!O144+$D$12*F821EVE!H144</f>
        <v>3732.5924611739993</v>
      </c>
      <c r="I141" s="156">
        <f>$E$12*F821D!P144+$D$12*F821EVE!I144</f>
        <v>4752.0851936302806</v>
      </c>
      <c r="J141" s="154">
        <f t="shared" si="27"/>
        <v>21537.713318654278</v>
      </c>
    </row>
    <row r="142" spans="1:10">
      <c r="A142" s="37"/>
      <c r="C142" s="157"/>
      <c r="D142" s="156"/>
      <c r="E142" s="156"/>
      <c r="F142" s="156"/>
      <c r="G142" s="156"/>
      <c r="H142" s="156"/>
      <c r="I142" s="156"/>
      <c r="J142" s="154">
        <f t="shared" si="27"/>
        <v>0</v>
      </c>
    </row>
    <row r="143" spans="1:10">
      <c r="A143" s="37"/>
      <c r="C143" s="153" t="s">
        <v>112</v>
      </c>
      <c r="D143" s="154">
        <f t="shared" ref="D143:I143" si="33">D114+D121+D134</f>
        <v>96022.069626725526</v>
      </c>
      <c r="E143" s="154">
        <f t="shared" si="33"/>
        <v>94135.210848168266</v>
      </c>
      <c r="F143" s="154">
        <f t="shared" si="33"/>
        <v>93849.311238444105</v>
      </c>
      <c r="G143" s="154">
        <f t="shared" si="33"/>
        <v>98567.998908090565</v>
      </c>
      <c r="H143" s="154">
        <f t="shared" si="33"/>
        <v>91192.666139497727</v>
      </c>
      <c r="I143" s="154">
        <f t="shared" si="33"/>
        <v>97363.347385955218</v>
      </c>
      <c r="J143" s="154">
        <f t="shared" si="27"/>
        <v>571130.60414688149</v>
      </c>
    </row>
    <row r="144" spans="1:10">
      <c r="C144" s="164"/>
      <c r="D144" s="164"/>
      <c r="E144" s="164"/>
      <c r="F144" s="164"/>
      <c r="G144" s="164"/>
      <c r="H144" s="164"/>
      <c r="I144" s="164"/>
      <c r="J144" s="164"/>
    </row>
    <row r="145" spans="2:10">
      <c r="C145" s="179" t="s">
        <v>111</v>
      </c>
      <c r="D145" s="180">
        <f t="shared" ref="D145:J145" si="34">D110+D143</f>
        <v>434232.69580322562</v>
      </c>
      <c r="E145" s="180">
        <f t="shared" si="34"/>
        <v>433089.63528866821</v>
      </c>
      <c r="F145" s="180">
        <f t="shared" si="34"/>
        <v>426029.91911894409</v>
      </c>
      <c r="G145" s="180">
        <f t="shared" si="34"/>
        <v>435391.98568359052</v>
      </c>
      <c r="H145" s="180">
        <f t="shared" si="34"/>
        <v>414468.9458289977</v>
      </c>
      <c r="I145" s="180">
        <f t="shared" si="34"/>
        <v>421482.00553945516</v>
      </c>
      <c r="J145" s="180">
        <f t="shared" si="34"/>
        <v>2564695.1872628815</v>
      </c>
    </row>
    <row r="146" spans="2:10">
      <c r="J146" s="180">
        <f>J145</f>
        <v>2564695.1872628815</v>
      </c>
    </row>
    <row r="147" spans="2:10">
      <c r="C147" s="52" t="str">
        <f>'PORTADA PORTADA PORTADA'!$B$23</f>
        <v>1 DE JULIO DE 2026</v>
      </c>
    </row>
    <row r="149" spans="2:10" s="58" customFormat="1" ht="12">
      <c r="B149" s="51" t="s">
        <v>902</v>
      </c>
      <c r="D149" s="1167">
        <f t="shared" ref="D149:J158" si="35">SUMIF($B$18:$B$145,$B149,D$18:D$145)</f>
        <v>14645.764570000001</v>
      </c>
      <c r="E149" s="1167">
        <f t="shared" si="35"/>
        <v>14396.0296975</v>
      </c>
      <c r="F149" s="1167">
        <f t="shared" si="35"/>
        <v>14830.4342325</v>
      </c>
      <c r="G149" s="1167">
        <f t="shared" si="35"/>
        <v>14565.319585000001</v>
      </c>
      <c r="H149" s="1167">
        <f t="shared" si="35"/>
        <v>13587.528737500003</v>
      </c>
      <c r="I149" s="1167">
        <f t="shared" si="35"/>
        <v>14736.442622500001</v>
      </c>
      <c r="J149" s="1167">
        <f t="shared" si="35"/>
        <v>86761.519444999998</v>
      </c>
    </row>
    <row r="150" spans="2:10" s="58" customFormat="1" ht="12">
      <c r="B150" s="51" t="s">
        <v>751</v>
      </c>
      <c r="D150" s="1167">
        <f t="shared" si="35"/>
        <v>39422.663147499996</v>
      </c>
      <c r="E150" s="1167">
        <f t="shared" si="35"/>
        <v>39190.885772000001</v>
      </c>
      <c r="F150" s="1167">
        <f t="shared" si="35"/>
        <v>39783.811422999999</v>
      </c>
      <c r="G150" s="1167">
        <f t="shared" si="35"/>
        <v>39546.206700999996</v>
      </c>
      <c r="H150" s="1167">
        <f t="shared" si="35"/>
        <v>40588.262737500001</v>
      </c>
      <c r="I150" s="1167">
        <f t="shared" si="35"/>
        <v>40023.490634500005</v>
      </c>
      <c r="J150" s="1167">
        <f t="shared" si="35"/>
        <v>238555.32041549997</v>
      </c>
    </row>
    <row r="151" spans="2:10" s="58" customFormat="1" ht="12">
      <c r="B151" s="51" t="s">
        <v>750</v>
      </c>
      <c r="D151" s="1167">
        <f t="shared" si="35"/>
        <v>44648.183371500003</v>
      </c>
      <c r="E151" s="1167">
        <f t="shared" si="35"/>
        <v>45154.778666500002</v>
      </c>
      <c r="F151" s="1167">
        <f t="shared" si="35"/>
        <v>43946.084750000002</v>
      </c>
      <c r="G151" s="1167">
        <f t="shared" si="35"/>
        <v>43898.964058500009</v>
      </c>
      <c r="H151" s="1167">
        <f t="shared" si="35"/>
        <v>42360.855056500004</v>
      </c>
      <c r="I151" s="1167">
        <f t="shared" si="35"/>
        <v>41365.028588500005</v>
      </c>
      <c r="J151" s="1167">
        <f t="shared" si="35"/>
        <v>261373.89449150005</v>
      </c>
    </row>
    <row r="152" spans="2:10" s="58" customFormat="1" ht="12">
      <c r="B152" s="51" t="s">
        <v>749</v>
      </c>
      <c r="D152" s="1167">
        <f t="shared" si="35"/>
        <v>53950.515267499999</v>
      </c>
      <c r="E152" s="1167">
        <f t="shared" si="35"/>
        <v>53684.546614499995</v>
      </c>
      <c r="F152" s="1167">
        <f t="shared" si="35"/>
        <v>52399.427715000005</v>
      </c>
      <c r="G152" s="1167">
        <f t="shared" si="35"/>
        <v>53131.555101000005</v>
      </c>
      <c r="H152" s="1167">
        <f t="shared" si="35"/>
        <v>48963.840298000003</v>
      </c>
      <c r="I152" s="1167">
        <f t="shared" si="35"/>
        <v>50825.69167</v>
      </c>
      <c r="J152" s="1167">
        <f t="shared" si="35"/>
        <v>312955.57666600001</v>
      </c>
    </row>
    <row r="153" spans="2:10" s="58" customFormat="1" ht="12">
      <c r="B153" s="51" t="s">
        <v>1176</v>
      </c>
      <c r="D153" s="1167">
        <f t="shared" si="35"/>
        <v>0</v>
      </c>
      <c r="E153" s="1167">
        <f t="shared" si="35"/>
        <v>0</v>
      </c>
      <c r="F153" s="1167">
        <f t="shared" si="35"/>
        <v>0</v>
      </c>
      <c r="G153" s="1167">
        <f t="shared" si="35"/>
        <v>0</v>
      </c>
      <c r="H153" s="1167">
        <f t="shared" si="35"/>
        <v>0</v>
      </c>
      <c r="I153" s="1167">
        <f t="shared" si="35"/>
        <v>0</v>
      </c>
      <c r="J153" s="1167">
        <f t="shared" si="35"/>
        <v>0</v>
      </c>
    </row>
    <row r="154" spans="2:10" s="58" customFormat="1" ht="12">
      <c r="B154" s="51" t="s">
        <v>274</v>
      </c>
      <c r="D154" s="1167">
        <f t="shared" si="35"/>
        <v>124465.35671999998</v>
      </c>
      <c r="E154" s="1167">
        <f t="shared" si="35"/>
        <v>124643.43905999999</v>
      </c>
      <c r="F154" s="1167">
        <f t="shared" si="35"/>
        <v>120820.98834000001</v>
      </c>
      <c r="G154" s="1167">
        <f t="shared" si="35"/>
        <v>124416.56598000001</v>
      </c>
      <c r="H154" s="1167">
        <f t="shared" si="35"/>
        <v>118810.77666</v>
      </c>
      <c r="I154" s="1167">
        <f t="shared" si="35"/>
        <v>118162.50835799999</v>
      </c>
      <c r="J154" s="1167">
        <f t="shared" si="35"/>
        <v>731319.63511799998</v>
      </c>
    </row>
    <row r="155" spans="2:10" s="58" customFormat="1" ht="12">
      <c r="B155" s="51" t="s">
        <v>275</v>
      </c>
      <c r="D155" s="1167">
        <f t="shared" si="35"/>
        <v>3497.25</v>
      </c>
      <c r="E155" s="1167">
        <f t="shared" si="35"/>
        <v>3481.8495499999995</v>
      </c>
      <c r="F155" s="1167">
        <f t="shared" si="35"/>
        <v>3449.3058799999999</v>
      </c>
      <c r="G155" s="1167">
        <f t="shared" si="35"/>
        <v>3523.7287100000003</v>
      </c>
      <c r="H155" s="1167">
        <f t="shared" si="35"/>
        <v>3523.1216600000002</v>
      </c>
      <c r="I155" s="1167">
        <f t="shared" si="35"/>
        <v>3673.4763400000006</v>
      </c>
      <c r="J155" s="1167">
        <f t="shared" si="35"/>
        <v>21148.73214</v>
      </c>
    </row>
    <row r="156" spans="2:10" s="58" customFormat="1" ht="12">
      <c r="B156" s="51" t="s">
        <v>276</v>
      </c>
      <c r="D156" s="1167">
        <f t="shared" si="35"/>
        <v>35177.906000000003</v>
      </c>
      <c r="E156" s="1167">
        <f t="shared" si="35"/>
        <v>35945.614500000003</v>
      </c>
      <c r="F156" s="1167">
        <f t="shared" si="35"/>
        <v>34838.183499999999</v>
      </c>
      <c r="G156" s="1167">
        <f t="shared" si="35"/>
        <v>36557.501000000004</v>
      </c>
      <c r="H156" s="1167">
        <f t="shared" si="35"/>
        <v>33379.557999999997</v>
      </c>
      <c r="I156" s="1167">
        <f t="shared" si="35"/>
        <v>34352.930500000002</v>
      </c>
      <c r="J156" s="1167">
        <f t="shared" si="35"/>
        <v>210251.69349999999</v>
      </c>
    </row>
    <row r="157" spans="2:10" s="58" customFormat="1" ht="12">
      <c r="B157" s="51" t="s">
        <v>277</v>
      </c>
      <c r="D157" s="1167">
        <f t="shared" si="35"/>
        <v>5184.7398199999998</v>
      </c>
      <c r="E157" s="1167">
        <f t="shared" si="35"/>
        <v>5289.0412999999999</v>
      </c>
      <c r="F157" s="1167">
        <f t="shared" si="35"/>
        <v>5325.6224400000001</v>
      </c>
      <c r="G157" s="1167">
        <f t="shared" si="35"/>
        <v>3865.0601999999999</v>
      </c>
      <c r="H157" s="1167">
        <f t="shared" si="35"/>
        <v>5424.4728599999999</v>
      </c>
      <c r="I157" s="1167">
        <f t="shared" si="35"/>
        <v>3834.6191200000003</v>
      </c>
      <c r="J157" s="1167">
        <f t="shared" si="35"/>
        <v>28923.55574</v>
      </c>
    </row>
    <row r="158" spans="2:10" s="58" customFormat="1" ht="12">
      <c r="B158" s="51" t="s">
        <v>278</v>
      </c>
      <c r="D158" s="1167">
        <f t="shared" si="35"/>
        <v>0</v>
      </c>
      <c r="E158" s="1167">
        <f t="shared" si="35"/>
        <v>0</v>
      </c>
      <c r="F158" s="1167">
        <f t="shared" si="35"/>
        <v>0</v>
      </c>
      <c r="G158" s="1167">
        <f t="shared" si="35"/>
        <v>0</v>
      </c>
      <c r="H158" s="1167">
        <f t="shared" si="35"/>
        <v>0</v>
      </c>
      <c r="I158" s="1167">
        <f t="shared" si="35"/>
        <v>0</v>
      </c>
      <c r="J158" s="1167">
        <f t="shared" si="35"/>
        <v>0</v>
      </c>
    </row>
    <row r="159" spans="2:10" s="58" customFormat="1" ht="12">
      <c r="B159" s="51" t="s">
        <v>279</v>
      </c>
      <c r="D159" s="1167">
        <f t="shared" ref="D159:J167" si="36">SUMIF($B$18:$B$145,$B159,D$18:D$145)</f>
        <v>17218.247280000003</v>
      </c>
      <c r="E159" s="1167">
        <f t="shared" si="36"/>
        <v>17168.239280000002</v>
      </c>
      <c r="F159" s="1167">
        <f t="shared" si="36"/>
        <v>16786.749600000003</v>
      </c>
      <c r="G159" s="1167">
        <f t="shared" si="36"/>
        <v>17319.085440000003</v>
      </c>
      <c r="H159" s="1167">
        <f t="shared" si="36"/>
        <v>16637.863680000002</v>
      </c>
      <c r="I159" s="1167">
        <f t="shared" si="36"/>
        <v>17144.47032</v>
      </c>
      <c r="J159" s="1167">
        <f t="shared" si="36"/>
        <v>102274.6556</v>
      </c>
    </row>
    <row r="160" spans="2:10" s="58" customFormat="1" ht="12">
      <c r="B160" s="51" t="s">
        <v>875</v>
      </c>
      <c r="D160" s="1167">
        <f t="shared" si="36"/>
        <v>15860.260637226005</v>
      </c>
      <c r="E160" s="1167">
        <f t="shared" si="36"/>
        <v>15602.885346216004</v>
      </c>
      <c r="F160" s="1167">
        <f t="shared" si="36"/>
        <v>15882.423794543998</v>
      </c>
      <c r="G160" s="1167">
        <f t="shared" si="36"/>
        <v>16621.526209830001</v>
      </c>
      <c r="H160" s="1167">
        <f t="shared" si="36"/>
        <v>15559.337364941995</v>
      </c>
      <c r="I160" s="1167">
        <f t="shared" si="36"/>
        <v>17287.142110124521</v>
      </c>
      <c r="J160" s="1167">
        <f t="shared" si="36"/>
        <v>96813.575462882523</v>
      </c>
    </row>
    <row r="161" spans="2:10" s="58" customFormat="1" ht="12">
      <c r="B161" s="51" t="s">
        <v>874</v>
      </c>
      <c r="D161" s="1167">
        <f t="shared" si="36"/>
        <v>364.49062637099996</v>
      </c>
      <c r="E161" s="1167">
        <f t="shared" si="36"/>
        <v>356.16901010900006</v>
      </c>
      <c r="F161" s="1167">
        <f t="shared" si="36"/>
        <v>346.94803472000001</v>
      </c>
      <c r="G161" s="1167">
        <f t="shared" si="36"/>
        <v>356.72673365999998</v>
      </c>
      <c r="H161" s="1167">
        <f t="shared" si="36"/>
        <v>350.57463950900001</v>
      </c>
      <c r="I161" s="1167">
        <f t="shared" si="36"/>
        <v>359.52564126000027</v>
      </c>
      <c r="J161" s="1167">
        <f t="shared" si="36"/>
        <v>2134.4346856290003</v>
      </c>
    </row>
    <row r="162" spans="2:10" s="58" customFormat="1" ht="12">
      <c r="B162" s="51" t="s">
        <v>873</v>
      </c>
      <c r="D162" s="1167">
        <f t="shared" si="36"/>
        <v>54401.373073643008</v>
      </c>
      <c r="E162" s="1167">
        <f t="shared" si="36"/>
        <v>53666.363045561251</v>
      </c>
      <c r="F162" s="1167">
        <f t="shared" si="36"/>
        <v>52695.009851759998</v>
      </c>
      <c r="G162" s="1167">
        <f t="shared" si="36"/>
        <v>54338.572128020009</v>
      </c>
      <c r="H162" s="1167">
        <f t="shared" si="36"/>
        <v>51042.103760156002</v>
      </c>
      <c r="I162" s="1167">
        <f t="shared" si="36"/>
        <v>53848.915266483498</v>
      </c>
      <c r="J162" s="1167">
        <f t="shared" si="36"/>
        <v>319992.33712562377</v>
      </c>
    </row>
    <row r="163" spans="2:10" s="58" customFormat="1" ht="12">
      <c r="B163" s="51" t="s">
        <v>872</v>
      </c>
      <c r="D163" s="1167">
        <f t="shared" si="36"/>
        <v>11515.072103261997</v>
      </c>
      <c r="E163" s="1167">
        <f t="shared" si="36"/>
        <v>11497.859960230002</v>
      </c>
      <c r="F163" s="1167">
        <f t="shared" si="36"/>
        <v>11363.957007479999</v>
      </c>
      <c r="G163" s="1167">
        <f t="shared" si="36"/>
        <v>11983.0400149</v>
      </c>
      <c r="H163" s="1167">
        <f t="shared" si="36"/>
        <v>11333.753641630001</v>
      </c>
      <c r="I163" s="1167">
        <f t="shared" si="36"/>
        <v>11356.823418782802</v>
      </c>
      <c r="J163" s="1167">
        <f t="shared" si="36"/>
        <v>69050.506146284795</v>
      </c>
    </row>
    <row r="164" spans="2:10" s="58" customFormat="1" ht="12">
      <c r="B164" s="51" t="s">
        <v>871</v>
      </c>
      <c r="D164" s="1167">
        <f t="shared" si="36"/>
        <v>4562.4047810515067</v>
      </c>
      <c r="E164" s="1167">
        <f t="shared" si="36"/>
        <v>4441.7539849599998</v>
      </c>
      <c r="F164" s="1167">
        <f t="shared" si="36"/>
        <v>4681.2740570741016</v>
      </c>
      <c r="G164" s="1167">
        <f t="shared" si="36"/>
        <v>5598.4233662485403</v>
      </c>
      <c r="H164" s="1167">
        <f t="shared" si="36"/>
        <v>5334.3296509987358</v>
      </c>
      <c r="I164" s="1167">
        <f t="shared" si="36"/>
        <v>5698.5414910664012</v>
      </c>
      <c r="J164" s="1167">
        <f t="shared" si="36"/>
        <v>30316.727331399281</v>
      </c>
    </row>
    <row r="165" spans="2:10" s="58" customFormat="1" ht="12">
      <c r="B165" s="51" t="s">
        <v>870</v>
      </c>
      <c r="D165" s="1167">
        <f t="shared" si="36"/>
        <v>9318.4684051720014</v>
      </c>
      <c r="E165" s="1167">
        <f t="shared" si="36"/>
        <v>8570.1795010919996</v>
      </c>
      <c r="F165" s="1167">
        <f t="shared" si="36"/>
        <v>8879.6984928660004</v>
      </c>
      <c r="G165" s="1167">
        <f t="shared" si="36"/>
        <v>9669.7104554319994</v>
      </c>
      <c r="H165" s="1167">
        <f t="shared" si="36"/>
        <v>7572.5670822619995</v>
      </c>
      <c r="I165" s="1167">
        <f t="shared" si="36"/>
        <v>8812.3994582380001</v>
      </c>
      <c r="J165" s="1167">
        <f t="shared" si="36"/>
        <v>52823.023395062002</v>
      </c>
    </row>
    <row r="166" spans="2:10" s="58" customFormat="1" ht="12">
      <c r="B166" s="51" t="s">
        <v>893</v>
      </c>
      <c r="D166" s="1167">
        <f t="shared" si="36"/>
        <v>0</v>
      </c>
      <c r="E166" s="1167">
        <f t="shared" si="36"/>
        <v>0</v>
      </c>
      <c r="F166" s="1167">
        <f t="shared" si="36"/>
        <v>0</v>
      </c>
      <c r="G166" s="1167">
        <f t="shared" si="36"/>
        <v>0</v>
      </c>
      <c r="H166" s="1167">
        <f t="shared" si="36"/>
        <v>0</v>
      </c>
      <c r="I166" s="1167">
        <f t="shared" si="36"/>
        <v>0</v>
      </c>
      <c r="J166" s="1167">
        <f t="shared" si="36"/>
        <v>0</v>
      </c>
    </row>
    <row r="167" spans="2:10" s="58" customFormat="1" ht="12">
      <c r="B167" s="51"/>
      <c r="D167" s="1167">
        <f t="shared" si="36"/>
        <v>0</v>
      </c>
      <c r="E167" s="1167">
        <f t="shared" si="36"/>
        <v>0</v>
      </c>
      <c r="F167" s="1167">
        <f t="shared" si="36"/>
        <v>0</v>
      </c>
      <c r="G167" s="1167">
        <f t="shared" si="36"/>
        <v>0</v>
      </c>
      <c r="H167" s="1167">
        <f t="shared" si="36"/>
        <v>0</v>
      </c>
      <c r="I167" s="1167">
        <f t="shared" si="36"/>
        <v>0</v>
      </c>
      <c r="J167" s="1167">
        <f t="shared" si="36"/>
        <v>0</v>
      </c>
    </row>
    <row r="168" spans="2:10" s="58" customFormat="1" ht="12">
      <c r="B168" s="51" t="s">
        <v>111</v>
      </c>
      <c r="D168" s="1169">
        <f>SUM(D149:D167)</f>
        <v>434232.69580322556</v>
      </c>
      <c r="E168" s="1169">
        <f t="shared" ref="E168:J168" si="37">SUM(E149:E167)</f>
        <v>433089.63528866827</v>
      </c>
      <c r="F168" s="1169">
        <f t="shared" si="37"/>
        <v>426029.91911894409</v>
      </c>
      <c r="G168" s="1169">
        <f t="shared" si="37"/>
        <v>435391.98568359052</v>
      </c>
      <c r="H168" s="1169">
        <f t="shared" si="37"/>
        <v>414468.94582899788</v>
      </c>
      <c r="I168" s="1169">
        <f t="shared" si="37"/>
        <v>421482.00553945522</v>
      </c>
      <c r="J168" s="1169">
        <f t="shared" si="37"/>
        <v>2564695.1872628815</v>
      </c>
    </row>
    <row r="169" spans="2:10">
      <c r="B169" s="51"/>
      <c r="C169" s="58"/>
      <c r="D169" s="166">
        <f>D168-D145</f>
        <v>0</v>
      </c>
      <c r="E169" s="166">
        <f t="shared" ref="E169:J169" si="38">E168-E145</f>
        <v>0</v>
      </c>
      <c r="F169" s="166">
        <f t="shared" si="38"/>
        <v>0</v>
      </c>
      <c r="G169" s="166">
        <f t="shared" si="38"/>
        <v>0</v>
      </c>
      <c r="H169" s="166">
        <f t="shared" si="38"/>
        <v>0</v>
      </c>
      <c r="I169" s="166">
        <f t="shared" si="38"/>
        <v>0</v>
      </c>
      <c r="J169" s="166">
        <f t="shared" si="38"/>
        <v>0</v>
      </c>
    </row>
  </sheetData>
  <printOptions horizontalCentered="1" verticalCentered="1"/>
  <pageMargins left="0.51181102362204722" right="0.31496062992125984" top="0.78740157480314965" bottom="0.82677165354330717" header="0.31496062992125984" footer="0.23622047244094491"/>
  <pageSetup scale="33" orientation="portrait" horizontalDpi="300" r:id="rId1"/>
  <headerFooter alignWithMargins="0">
    <oddHeader>&amp;L
NOMBRE DE LA DISTRIBUIDORA: ENSA&amp;R&amp;9&amp;A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44">
    <tabColor theme="5" tint="0.59999389629810485"/>
    <pageSetUpPr fitToPage="1"/>
  </sheetPr>
  <dimension ref="B1:R87"/>
  <sheetViews>
    <sheetView topLeftCell="A23" zoomScale="70" zoomScaleNormal="70" zoomScaleSheetLayoutView="70" workbookViewId="0">
      <selection activeCell="I67" sqref="I67"/>
    </sheetView>
  </sheetViews>
  <sheetFormatPr baseColWidth="10" defaultColWidth="11" defaultRowHeight="15.75"/>
  <cols>
    <col min="1" max="1" width="2.875" style="69" customWidth="1"/>
    <col min="2" max="2" width="63.25" style="69" bestFit="1" customWidth="1"/>
    <col min="3" max="3" width="1.75" style="69" customWidth="1"/>
    <col min="4" max="9" width="12.375" style="69" customWidth="1"/>
    <col min="10" max="10" width="1.75" style="69" customWidth="1"/>
    <col min="11" max="11" width="13.75" style="69" bestFit="1" customWidth="1"/>
    <col min="12" max="12" width="4.25" style="69" customWidth="1"/>
    <col min="13" max="13" width="2.5" style="73" customWidth="1"/>
    <col min="14" max="14" width="12.75" style="73" bestFit="1" customWidth="1"/>
    <col min="15" max="15" width="11.75" style="73" bestFit="1" customWidth="1"/>
    <col min="16" max="16" width="12" style="73" bestFit="1" customWidth="1"/>
    <col min="17" max="17" width="11.75" style="73" bestFit="1" customWidth="1"/>
    <col min="18" max="18" width="12" style="73" bestFit="1" customWidth="1"/>
    <col min="19" max="19" width="12" style="69" bestFit="1" customWidth="1"/>
    <col min="20" max="22" width="11.25" style="69" customWidth="1"/>
    <col min="23" max="16384" width="11" style="69"/>
  </cols>
  <sheetData>
    <row r="1" spans="2:11" ht="16.5" thickBot="1">
      <c r="B1" s="227" t="s">
        <v>151</v>
      </c>
      <c r="K1" s="228" t="s">
        <v>76</v>
      </c>
    </row>
    <row r="2" spans="2:11" ht="16.5" thickBot="1">
      <c r="B2" s="200" t="s">
        <v>113</v>
      </c>
      <c r="K2" s="201" t="s">
        <v>114</v>
      </c>
    </row>
    <row r="3" spans="2:11">
      <c r="D3" s="137"/>
    </row>
    <row r="4" spans="2:11" ht="31.5">
      <c r="B4" s="229" t="s">
        <v>296</v>
      </c>
      <c r="C4" s="230"/>
      <c r="D4" s="231" t="s">
        <v>13</v>
      </c>
      <c r="E4" s="230"/>
      <c r="F4" s="230"/>
      <c r="G4" s="230"/>
      <c r="H4" s="230"/>
      <c r="I4" s="230"/>
      <c r="J4" s="230"/>
    </row>
    <row r="5" spans="2:11">
      <c r="B5" s="232" t="s">
        <v>152</v>
      </c>
      <c r="C5" s="233"/>
      <c r="D5" s="233">
        <f t="shared" ref="D5:I5" si="0">D$29</f>
        <v>45839</v>
      </c>
      <c r="E5" s="233">
        <f t="shared" si="0"/>
        <v>45870</v>
      </c>
      <c r="F5" s="233">
        <f t="shared" si="0"/>
        <v>45901</v>
      </c>
      <c r="G5" s="233">
        <f t="shared" si="0"/>
        <v>45931</v>
      </c>
      <c r="H5" s="233">
        <f t="shared" si="0"/>
        <v>45962</v>
      </c>
      <c r="I5" s="233">
        <f t="shared" si="0"/>
        <v>45992</v>
      </c>
      <c r="J5" s="233"/>
    </row>
    <row r="6" spans="2:11">
      <c r="B6" s="234" t="s">
        <v>1848</v>
      </c>
      <c r="C6" s="235"/>
      <c r="D6" s="1957">
        <v>821.04</v>
      </c>
      <c r="E6" s="1957">
        <v>721.09</v>
      </c>
      <c r="F6" s="1957">
        <v>723.95</v>
      </c>
      <c r="G6" s="1957">
        <v>715.4</v>
      </c>
      <c r="H6" s="1957">
        <v>693.01</v>
      </c>
      <c r="I6" s="1957">
        <v>695.64</v>
      </c>
      <c r="J6" s="235"/>
    </row>
    <row r="8" spans="2:11" ht="31.5">
      <c r="B8" s="229" t="s">
        <v>491</v>
      </c>
      <c r="C8" s="230"/>
      <c r="D8" s="231" t="s">
        <v>530</v>
      </c>
      <c r="E8" s="230"/>
      <c r="F8" s="230"/>
      <c r="G8" s="230"/>
      <c r="H8" s="230"/>
      <c r="I8" s="230"/>
      <c r="J8" s="230"/>
      <c r="K8" s="230"/>
    </row>
    <row r="9" spans="2:11">
      <c r="B9" s="232" t="s">
        <v>152</v>
      </c>
      <c r="C9" s="233"/>
      <c r="D9" s="233">
        <f t="shared" ref="D9:I9" si="1">D$29</f>
        <v>45839</v>
      </c>
      <c r="E9" s="233">
        <f t="shared" si="1"/>
        <v>45870</v>
      </c>
      <c r="F9" s="233">
        <f t="shared" si="1"/>
        <v>45901</v>
      </c>
      <c r="G9" s="233">
        <f t="shared" si="1"/>
        <v>45931</v>
      </c>
      <c r="H9" s="233">
        <f t="shared" si="1"/>
        <v>45962</v>
      </c>
      <c r="I9" s="233">
        <f t="shared" si="1"/>
        <v>45992</v>
      </c>
      <c r="J9" s="233"/>
      <c r="K9" s="233" t="s">
        <v>112</v>
      </c>
    </row>
    <row r="10" spans="2:11">
      <c r="B10" s="207" t="s">
        <v>830</v>
      </c>
      <c r="C10" s="208"/>
      <c r="D10" s="857">
        <v>80.08</v>
      </c>
      <c r="E10" s="857">
        <v>81.790000000000006</v>
      </c>
      <c r="F10" s="857">
        <v>78.22</v>
      </c>
      <c r="G10" s="857">
        <v>82.25</v>
      </c>
      <c r="H10" s="857">
        <v>75.58</v>
      </c>
      <c r="I10" s="857">
        <v>76.37</v>
      </c>
      <c r="J10" s="208"/>
      <c r="K10" s="208">
        <f>SUM(D10:I10)</f>
        <v>474.29</v>
      </c>
    </row>
    <row r="11" spans="2:11">
      <c r="B11" s="207" t="s">
        <v>408</v>
      </c>
      <c r="C11" s="208"/>
      <c r="D11" s="857">
        <v>327698.28000000003</v>
      </c>
      <c r="E11" s="857">
        <v>312755.34999999998</v>
      </c>
      <c r="F11" s="857">
        <v>305502.40999999997</v>
      </c>
      <c r="G11" s="857">
        <v>326546.61</v>
      </c>
      <c r="H11" s="857">
        <v>299904.96999999997</v>
      </c>
      <c r="I11" s="857">
        <v>323267.48</v>
      </c>
      <c r="J11" s="208"/>
      <c r="K11" s="208">
        <f>SUM(D11:I11)</f>
        <v>1895675.0999999999</v>
      </c>
    </row>
    <row r="12" spans="2:11">
      <c r="B12" s="207" t="s">
        <v>409</v>
      </c>
      <c r="C12" s="208"/>
      <c r="D12" s="857">
        <v>868.06</v>
      </c>
      <c r="E12" s="857">
        <v>885.16</v>
      </c>
      <c r="F12" s="857">
        <v>842.31</v>
      </c>
      <c r="G12" s="857">
        <v>853.79</v>
      </c>
      <c r="H12" s="857">
        <v>857.12</v>
      </c>
      <c r="I12" s="857">
        <v>856.3</v>
      </c>
      <c r="J12" s="208"/>
      <c r="K12" s="208">
        <f>SUM(D12:I12)</f>
        <v>5162.74</v>
      </c>
    </row>
    <row r="13" spans="2:11">
      <c r="B13" s="207" t="s">
        <v>411</v>
      </c>
      <c r="C13" s="208"/>
      <c r="D13" s="857">
        <v>57879.1</v>
      </c>
      <c r="E13" s="857">
        <v>56723.74</v>
      </c>
      <c r="F13" s="857">
        <v>55833.35</v>
      </c>
      <c r="G13" s="857">
        <v>57904.09</v>
      </c>
      <c r="H13" s="857">
        <v>51114.94</v>
      </c>
      <c r="I13" s="857">
        <v>55118.51</v>
      </c>
      <c r="J13" s="208"/>
      <c r="K13" s="208">
        <f>SUM(D13:I13)</f>
        <v>334573.73</v>
      </c>
    </row>
    <row r="14" spans="2:11">
      <c r="B14" s="236" t="s">
        <v>112</v>
      </c>
      <c r="C14" s="237"/>
      <c r="D14" s="858">
        <f t="shared" ref="D14:I14" si="2">SUM(D10:D13)</f>
        <v>386525.52</v>
      </c>
      <c r="E14" s="858">
        <f t="shared" si="2"/>
        <v>370446.03999999992</v>
      </c>
      <c r="F14" s="858">
        <f t="shared" si="2"/>
        <v>362256.28999999992</v>
      </c>
      <c r="G14" s="858">
        <f t="shared" si="2"/>
        <v>385386.74</v>
      </c>
      <c r="H14" s="858">
        <f t="shared" si="2"/>
        <v>351952.61</v>
      </c>
      <c r="I14" s="858">
        <f t="shared" si="2"/>
        <v>379318.66</v>
      </c>
      <c r="J14" s="237"/>
      <c r="K14" s="237">
        <f>SUM(K10:K13)</f>
        <v>2235885.86</v>
      </c>
    </row>
    <row r="15" spans="2:11">
      <c r="B15" s="207" t="s">
        <v>763</v>
      </c>
      <c r="C15" s="208"/>
      <c r="D15" s="208"/>
      <c r="E15" s="208"/>
      <c r="F15" s="208"/>
      <c r="G15" s="208"/>
      <c r="H15" s="208"/>
      <c r="I15" s="208"/>
      <c r="J15" s="208"/>
      <c r="K15" s="208"/>
    </row>
    <row r="16" spans="2:11">
      <c r="B16" s="238" t="s">
        <v>186</v>
      </c>
      <c r="C16" s="239"/>
      <c r="D16" s="239">
        <f>'DTE Reconstrucción'!C18</f>
        <v>324616.255</v>
      </c>
      <c r="E16" s="239">
        <f>'DTE Reconstrucción'!D18</f>
        <v>317541.84299999999</v>
      </c>
      <c r="F16" s="239">
        <f>'DTE Reconstrucción'!E18</f>
        <v>306507.49699999997</v>
      </c>
      <c r="G16" s="239">
        <f>'DTE Reconstrucción'!F18</f>
        <v>314221.2</v>
      </c>
      <c r="H16" s="239">
        <f>'DTE Reconstrucción'!G18</f>
        <v>291241.01</v>
      </c>
      <c r="I16" s="239">
        <f>'DTE Reconstrucción'!H18</f>
        <v>308829.33399999997</v>
      </c>
      <c r="J16" s="239"/>
      <c r="K16" s="239">
        <f>SUM(D16:I16)</f>
        <v>1862957.139</v>
      </c>
    </row>
    <row r="17" spans="2:12">
      <c r="B17" s="207" t="s">
        <v>1083</v>
      </c>
      <c r="C17" s="208"/>
      <c r="D17" s="208">
        <f>'G522'!H244</f>
        <v>324616.25543559995</v>
      </c>
      <c r="E17" s="208">
        <f>'G522'!I244</f>
        <v>317541.84289629996</v>
      </c>
      <c r="F17" s="208">
        <f>'G522'!J244</f>
        <v>306509.82720409991</v>
      </c>
      <c r="G17" s="208">
        <f>'G522'!K244</f>
        <v>314221.16049959994</v>
      </c>
      <c r="H17" s="208">
        <f>'G522'!L244</f>
        <v>291241.01018609985</v>
      </c>
      <c r="I17" s="208">
        <f>'G522'!M244</f>
        <v>308829.33372489997</v>
      </c>
      <c r="J17" s="208"/>
      <c r="K17" s="208">
        <f>'G522'!N244</f>
        <v>1862959.4299466</v>
      </c>
    </row>
    <row r="18" spans="2:12">
      <c r="B18" s="207" t="s">
        <v>1762</v>
      </c>
      <c r="C18" s="208"/>
      <c r="D18" s="208">
        <f>D17+(F821EVE!D146/1000)</f>
        <v>413353.13794981496</v>
      </c>
      <c r="E18" s="208">
        <f>E17+(F821EVE!E146/1000)</f>
        <v>403457.53791729495</v>
      </c>
      <c r="F18" s="208">
        <f>F17+(F821EVE!F146/1000)</f>
        <v>391726.14744263992</v>
      </c>
      <c r="G18" s="208">
        <f>G17+(F821EVE!G146/1000)</f>
        <v>405064.40130339994</v>
      </c>
      <c r="H18" s="208">
        <f>H17+(F821EVE!H146/1000)</f>
        <v>371011.46123479982</v>
      </c>
      <c r="I18" s="208">
        <f>I17+(F821EVE!I146/1000)</f>
        <v>387693.84321730945</v>
      </c>
      <c r="J18" s="208"/>
      <c r="K18" s="208">
        <f>SUM(D18:I18)</f>
        <v>2372306.5290652588</v>
      </c>
    </row>
    <row r="19" spans="2:12">
      <c r="C19" s="72"/>
      <c r="D19" s="72"/>
      <c r="E19" s="72"/>
      <c r="F19" s="72"/>
      <c r="G19" s="72"/>
      <c r="H19" s="72"/>
      <c r="I19" s="72"/>
      <c r="J19" s="72"/>
      <c r="K19" s="72"/>
    </row>
    <row r="20" spans="2:12">
      <c r="B20" s="229" t="s">
        <v>453</v>
      </c>
      <c r="C20" s="233"/>
      <c r="D20" s="233">
        <f t="shared" ref="D20:I20" si="3">D$29</f>
        <v>45839</v>
      </c>
      <c r="E20" s="233">
        <f t="shared" si="3"/>
        <v>45870</v>
      </c>
      <c r="F20" s="233">
        <f t="shared" si="3"/>
        <v>45901</v>
      </c>
      <c r="G20" s="233">
        <f t="shared" si="3"/>
        <v>45931</v>
      </c>
      <c r="H20" s="233">
        <f t="shared" si="3"/>
        <v>45962</v>
      </c>
      <c r="I20" s="233">
        <f t="shared" si="3"/>
        <v>45992</v>
      </c>
      <c r="J20" s="233"/>
      <c r="K20" s="233" t="s">
        <v>154</v>
      </c>
    </row>
    <row r="21" spans="2:12">
      <c r="B21" s="207" t="s">
        <v>830</v>
      </c>
      <c r="C21" s="196"/>
      <c r="D21" s="1958">
        <v>2.8419080919080919</v>
      </c>
      <c r="E21" s="1958">
        <v>1.6840689570852181</v>
      </c>
      <c r="F21" s="1958">
        <v>1.4760930708258757</v>
      </c>
      <c r="G21" s="1958">
        <v>1.2829179331306992</v>
      </c>
      <c r="H21" s="1958">
        <v>1.3031225191849696</v>
      </c>
      <c r="I21" s="1958">
        <v>1.7969097813277464</v>
      </c>
      <c r="J21" s="196"/>
      <c r="K21" s="240">
        <f t="shared" ref="K21:K26" si="4">AVERAGE(D21:J21)</f>
        <v>1.7308367255771</v>
      </c>
    </row>
    <row r="22" spans="2:12">
      <c r="B22" s="207" t="s">
        <v>408</v>
      </c>
      <c r="C22" s="196"/>
      <c r="D22" s="1958">
        <v>2.3380000346660346</v>
      </c>
      <c r="E22" s="1958">
        <v>1.7579999830538471</v>
      </c>
      <c r="F22" s="1958">
        <v>1.5949999870704785</v>
      </c>
      <c r="G22" s="1958">
        <v>2.116000009922014</v>
      </c>
      <c r="H22" s="1958">
        <v>1.8350000335106151</v>
      </c>
      <c r="I22" s="1958">
        <v>1.7880000178180619</v>
      </c>
      <c r="J22" s="196"/>
      <c r="K22" s="240">
        <f t="shared" si="4"/>
        <v>1.9050000110068419</v>
      </c>
    </row>
    <row r="23" spans="2:12">
      <c r="B23" s="207" t="s">
        <v>409</v>
      </c>
      <c r="C23" s="196"/>
      <c r="D23" s="1958">
        <v>0</v>
      </c>
      <c r="E23" s="1958">
        <v>0</v>
      </c>
      <c r="F23" s="1958">
        <v>0</v>
      </c>
      <c r="G23" s="1958">
        <v>0</v>
      </c>
      <c r="H23" s="1958">
        <v>0</v>
      </c>
      <c r="I23" s="1958">
        <v>0</v>
      </c>
      <c r="J23" s="196"/>
      <c r="K23" s="240">
        <f t="shared" si="4"/>
        <v>0</v>
      </c>
    </row>
    <row r="24" spans="2:12">
      <c r="B24" s="207" t="s">
        <v>411</v>
      </c>
      <c r="C24" s="196"/>
      <c r="D24" s="1958">
        <v>4.3480000552876596</v>
      </c>
      <c r="E24" s="1958">
        <v>2.9770001061284042</v>
      </c>
      <c r="F24" s="1958">
        <v>2.8569998038806554</v>
      </c>
      <c r="G24" s="1958">
        <v>3.5080000393754571</v>
      </c>
      <c r="H24" s="1958">
        <v>3.3520000219114019</v>
      </c>
      <c r="I24" s="1958">
        <v>3.3669999424875598</v>
      </c>
      <c r="J24" s="196"/>
      <c r="K24" s="240">
        <f t="shared" si="4"/>
        <v>3.4014999948451892</v>
      </c>
    </row>
    <row r="25" spans="2:12">
      <c r="B25" s="207" t="s">
        <v>492</v>
      </c>
      <c r="C25" s="196"/>
      <c r="D25" s="1958">
        <v>1.228</v>
      </c>
      <c r="E25" s="1958">
        <v>1.6560000000000001</v>
      </c>
      <c r="F25" s="1958">
        <v>1.6439999999999999</v>
      </c>
      <c r="G25" s="1958">
        <v>1.597</v>
      </c>
      <c r="H25" s="1958">
        <v>1.5209999999999999</v>
      </c>
      <c r="I25" s="1958">
        <v>1.548</v>
      </c>
      <c r="J25" s="196"/>
      <c r="K25" s="240">
        <f t="shared" si="4"/>
        <v>1.5323333333333331</v>
      </c>
    </row>
    <row r="26" spans="2:12">
      <c r="B26" s="207" t="s">
        <v>454</v>
      </c>
      <c r="C26" s="196"/>
      <c r="D26" s="1958">
        <v>0.24140000487186983</v>
      </c>
      <c r="E26" s="1958">
        <v>0.24140000554715776</v>
      </c>
      <c r="F26" s="1958">
        <v>0.24139999999999998</v>
      </c>
      <c r="G26" s="1958">
        <v>0.2414</v>
      </c>
      <c r="H26" s="1958">
        <v>0.24139999422807751</v>
      </c>
      <c r="I26" s="1958">
        <v>0.24140000575010062</v>
      </c>
      <c r="J26" s="196"/>
      <c r="K26" s="240">
        <f t="shared" si="4"/>
        <v>0.24140000173286766</v>
      </c>
    </row>
    <row r="27" spans="2:12">
      <c r="C27" s="72"/>
      <c r="D27" s="72"/>
      <c r="E27" s="72"/>
      <c r="F27" s="72"/>
      <c r="G27" s="72"/>
      <c r="H27" s="72"/>
      <c r="I27" s="72"/>
      <c r="J27" s="72"/>
    </row>
    <row r="28" spans="2:12">
      <c r="B28" s="2571" t="s">
        <v>187</v>
      </c>
      <c r="C28" s="230"/>
      <c r="D28" s="231" t="s">
        <v>256</v>
      </c>
      <c r="E28" s="230"/>
      <c r="F28" s="230"/>
      <c r="G28" s="230"/>
      <c r="H28" s="230"/>
      <c r="I28" s="230"/>
      <c r="J28" s="230"/>
      <c r="K28" s="230"/>
    </row>
    <row r="29" spans="2:12">
      <c r="B29" s="2571"/>
      <c r="C29" s="233"/>
      <c r="D29" s="233">
        <f>F821EVE!D4</f>
        <v>45839</v>
      </c>
      <c r="E29" s="233">
        <f>F821EVE!E4</f>
        <v>45870</v>
      </c>
      <c r="F29" s="233">
        <f>F821EVE!F4</f>
        <v>45901</v>
      </c>
      <c r="G29" s="233">
        <f>F821EVE!G4</f>
        <v>45931</v>
      </c>
      <c r="H29" s="233">
        <f>F821EVE!H4</f>
        <v>45962</v>
      </c>
      <c r="I29" s="233">
        <f>F821EVE!I4</f>
        <v>45992</v>
      </c>
      <c r="J29" s="233"/>
      <c r="K29" s="233" t="s">
        <v>112</v>
      </c>
    </row>
    <row r="30" spans="2:12">
      <c r="B30" s="1959"/>
      <c r="C30" s="208"/>
      <c r="D30" s="208"/>
      <c r="E30" s="208"/>
      <c r="F30" s="208"/>
      <c r="G30" s="208"/>
      <c r="H30" s="208"/>
      <c r="I30" s="208"/>
      <c r="J30" s="208"/>
      <c r="K30" s="208"/>
      <c r="L30" s="241"/>
    </row>
    <row r="31" spans="2:12">
      <c r="B31" s="1899" t="s">
        <v>531</v>
      </c>
      <c r="C31" s="243"/>
      <c r="D31" s="1563">
        <f t="shared" ref="D31:I31" si="5">SUBTOTAL(9, D32:D35)</f>
        <v>1018044.4999999999</v>
      </c>
      <c r="E31" s="1563">
        <f t="shared" si="5"/>
        <v>718828.22</v>
      </c>
      <c r="F31" s="1563">
        <f t="shared" si="5"/>
        <v>646907.67000000004</v>
      </c>
      <c r="G31" s="1563">
        <f t="shared" si="5"/>
        <v>894205.7</v>
      </c>
      <c r="H31" s="1563">
        <f t="shared" si="5"/>
        <v>721761.4</v>
      </c>
      <c r="I31" s="1563">
        <f t="shared" si="5"/>
        <v>763723.51</v>
      </c>
      <c r="J31" s="1563"/>
      <c r="K31" s="1563">
        <f>SUM(D31:I31)</f>
        <v>4763471</v>
      </c>
    </row>
    <row r="32" spans="2:12">
      <c r="B32" s="1959" t="s">
        <v>830</v>
      </c>
      <c r="C32" s="208"/>
      <c r="D32" s="1565">
        <f t="shared" ref="D32:I35" si="6">ROUND(D10*D21,2)</f>
        <v>227.58</v>
      </c>
      <c r="E32" s="1565">
        <f t="shared" si="6"/>
        <v>137.74</v>
      </c>
      <c r="F32" s="1565">
        <f t="shared" si="6"/>
        <v>115.46</v>
      </c>
      <c r="G32" s="1565">
        <f t="shared" si="6"/>
        <v>105.52</v>
      </c>
      <c r="H32" s="1565">
        <f t="shared" si="6"/>
        <v>98.49</v>
      </c>
      <c r="I32" s="1565">
        <f t="shared" si="6"/>
        <v>137.22999999999999</v>
      </c>
      <c r="J32" s="1565"/>
      <c r="K32" s="1565">
        <f>SUM(D32:I32)</f>
        <v>822.0200000000001</v>
      </c>
    </row>
    <row r="33" spans="2:11">
      <c r="B33" s="1959" t="s">
        <v>408</v>
      </c>
      <c r="C33" s="208"/>
      <c r="D33" s="1565">
        <f t="shared" si="6"/>
        <v>766158.59</v>
      </c>
      <c r="E33" s="1565">
        <f t="shared" si="6"/>
        <v>549823.9</v>
      </c>
      <c r="F33" s="1565">
        <f t="shared" si="6"/>
        <v>487276.34</v>
      </c>
      <c r="G33" s="1565">
        <f t="shared" si="6"/>
        <v>690972.63</v>
      </c>
      <c r="H33" s="1565">
        <f t="shared" si="6"/>
        <v>550325.63</v>
      </c>
      <c r="I33" s="1565">
        <f t="shared" si="6"/>
        <v>578002.26</v>
      </c>
      <c r="J33" s="1565"/>
      <c r="K33" s="1565">
        <f>SUM(D33:I33)</f>
        <v>3622559.3499999996</v>
      </c>
    </row>
    <row r="34" spans="2:11">
      <c r="B34" s="1959" t="s">
        <v>409</v>
      </c>
      <c r="C34" s="208"/>
      <c r="D34" s="1565">
        <f t="shared" si="6"/>
        <v>0</v>
      </c>
      <c r="E34" s="1565">
        <f t="shared" si="6"/>
        <v>0</v>
      </c>
      <c r="F34" s="1565">
        <f t="shared" si="6"/>
        <v>0</v>
      </c>
      <c r="G34" s="1565">
        <f t="shared" si="6"/>
        <v>0</v>
      </c>
      <c r="H34" s="1565">
        <f t="shared" si="6"/>
        <v>0</v>
      </c>
      <c r="I34" s="1565">
        <f t="shared" si="6"/>
        <v>0</v>
      </c>
      <c r="J34" s="1565"/>
      <c r="K34" s="1565">
        <f>SUM(D34:I34)</f>
        <v>0</v>
      </c>
    </row>
    <row r="35" spans="2:11">
      <c r="B35" s="1959" t="s">
        <v>411</v>
      </c>
      <c r="C35" s="208"/>
      <c r="D35" s="1565">
        <f t="shared" si="6"/>
        <v>251658.33</v>
      </c>
      <c r="E35" s="1565">
        <f t="shared" si="6"/>
        <v>168866.58</v>
      </c>
      <c r="F35" s="1565">
        <f t="shared" si="6"/>
        <v>159515.87</v>
      </c>
      <c r="G35" s="1565">
        <f t="shared" si="6"/>
        <v>203127.55</v>
      </c>
      <c r="H35" s="1565">
        <f t="shared" si="6"/>
        <v>171337.28</v>
      </c>
      <c r="I35" s="1565">
        <f t="shared" si="6"/>
        <v>185584.02</v>
      </c>
      <c r="J35" s="1565"/>
      <c r="K35" s="1565">
        <f>SUM(D35:I35)</f>
        <v>1140089.6300000001</v>
      </c>
    </row>
    <row r="36" spans="2:11">
      <c r="B36" s="1959"/>
      <c r="C36" s="208"/>
      <c r="D36" s="1565"/>
      <c r="E36" s="1565"/>
      <c r="F36" s="1565"/>
      <c r="G36" s="1565"/>
      <c r="H36" s="1565"/>
      <c r="I36" s="1565"/>
      <c r="J36" s="1565"/>
      <c r="K36" s="1565"/>
    </row>
    <row r="37" spans="2:11">
      <c r="B37" s="1899" t="s">
        <v>532</v>
      </c>
      <c r="C37" s="243"/>
      <c r="D37" s="1563">
        <f t="shared" ref="D37:I37" si="7">D6*D$25*1000</f>
        <v>1008237.1199999999</v>
      </c>
      <c r="E37" s="1563">
        <f t="shared" si="7"/>
        <v>1194125.04</v>
      </c>
      <c r="F37" s="1563">
        <f t="shared" si="7"/>
        <v>1190173.8</v>
      </c>
      <c r="G37" s="1563">
        <f t="shared" si="7"/>
        <v>1142493.8</v>
      </c>
      <c r="H37" s="1563">
        <f t="shared" si="7"/>
        <v>1054068.21</v>
      </c>
      <c r="I37" s="1563">
        <f t="shared" si="7"/>
        <v>1076850.72</v>
      </c>
      <c r="J37" s="1563"/>
      <c r="K37" s="1563">
        <f>SUM(D37:I37)</f>
        <v>6665948.6899999995</v>
      </c>
    </row>
    <row r="38" spans="2:11">
      <c r="B38" s="1959"/>
      <c r="C38" s="208"/>
      <c r="D38" s="1565"/>
      <c r="E38" s="1565"/>
      <c r="F38" s="1565"/>
      <c r="G38" s="1565"/>
      <c r="H38" s="1565"/>
      <c r="I38" s="1565"/>
      <c r="J38" s="1565"/>
      <c r="K38" s="1565"/>
    </row>
    <row r="39" spans="2:11">
      <c r="B39" s="1899" t="s">
        <v>533</v>
      </c>
      <c r="C39" s="244"/>
      <c r="D39" s="1563">
        <f t="shared" ref="D39:I39" si="8">D6*D26*1000</f>
        <v>198199.06</v>
      </c>
      <c r="E39" s="1563">
        <f t="shared" si="8"/>
        <v>174071.13</v>
      </c>
      <c r="F39" s="1563">
        <f t="shared" si="8"/>
        <v>174761.53</v>
      </c>
      <c r="G39" s="1563">
        <f t="shared" si="8"/>
        <v>172697.56</v>
      </c>
      <c r="H39" s="1563">
        <f t="shared" si="8"/>
        <v>167292.60999999999</v>
      </c>
      <c r="I39" s="1563">
        <f t="shared" si="8"/>
        <v>167927.49999999997</v>
      </c>
      <c r="J39" s="235"/>
      <c r="K39" s="1563">
        <f>SUM(D39:I39)</f>
        <v>1054949.3899999999</v>
      </c>
    </row>
    <row r="40" spans="2:11">
      <c r="B40" s="1959"/>
      <c r="C40" s="208"/>
      <c r="D40" s="1565"/>
      <c r="E40" s="1565"/>
      <c r="F40" s="1565"/>
      <c r="G40" s="1565"/>
      <c r="H40" s="1565"/>
      <c r="I40" s="1565"/>
      <c r="J40" s="1565"/>
      <c r="K40" s="1565"/>
    </row>
    <row r="41" spans="2:11">
      <c r="B41" s="1899" t="s">
        <v>1270</v>
      </c>
      <c r="C41" s="243"/>
      <c r="D41" s="1563">
        <f t="shared" ref="D41:I41" si="9">SUBTOTAL(9, D42:D46)</f>
        <v>0</v>
      </c>
      <c r="E41" s="1563">
        <f t="shared" si="9"/>
        <v>0</v>
      </c>
      <c r="F41" s="1563">
        <f t="shared" si="9"/>
        <v>0</v>
      </c>
      <c r="G41" s="1563">
        <f t="shared" si="9"/>
        <v>0</v>
      </c>
      <c r="H41" s="1563">
        <f t="shared" si="9"/>
        <v>0</v>
      </c>
      <c r="I41" s="1563">
        <f t="shared" si="9"/>
        <v>0</v>
      </c>
      <c r="J41" s="1563"/>
      <c r="K41" s="1563">
        <f>SUM(D41:I41)</f>
        <v>0</v>
      </c>
    </row>
    <row r="42" spans="2:11">
      <c r="B42" s="1959" t="s">
        <v>1921</v>
      </c>
      <c r="C42" s="208"/>
      <c r="D42" s="1564"/>
      <c r="E42" s="1564"/>
      <c r="F42" s="1564"/>
      <c r="G42" s="1564"/>
      <c r="H42" s="1564"/>
      <c r="I42" s="1564"/>
      <c r="J42" s="1565"/>
      <c r="K42" s="1565">
        <f>SUM(D42:I42)</f>
        <v>0</v>
      </c>
    </row>
    <row r="43" spans="2:11">
      <c r="B43" s="1959" t="s">
        <v>1922</v>
      </c>
      <c r="C43" s="208"/>
      <c r="D43" s="1564"/>
      <c r="E43" s="1564"/>
      <c r="F43" s="1564"/>
      <c r="G43" s="1564"/>
      <c r="H43" s="1564"/>
      <c r="I43" s="1564"/>
      <c r="J43" s="1565"/>
      <c r="K43" s="1565">
        <f>SUM(D43:I43)</f>
        <v>0</v>
      </c>
    </row>
    <row r="44" spans="2:11">
      <c r="B44" s="1959" t="s">
        <v>1923</v>
      </c>
      <c r="C44" s="208"/>
      <c r="D44" s="1564"/>
      <c r="E44" s="1564"/>
      <c r="F44" s="1564"/>
      <c r="G44" s="1564"/>
      <c r="H44" s="1564"/>
      <c r="I44" s="1564"/>
      <c r="J44" s="1565"/>
      <c r="K44" s="1565">
        <f>SUM(D44:I44)</f>
        <v>0</v>
      </c>
    </row>
    <row r="45" spans="2:11">
      <c r="B45" s="1959" t="s">
        <v>1924</v>
      </c>
      <c r="C45" s="208"/>
      <c r="D45" s="1564"/>
      <c r="E45" s="1564"/>
      <c r="F45" s="1564"/>
      <c r="G45" s="1564"/>
      <c r="H45" s="1564"/>
      <c r="I45" s="1564"/>
      <c r="J45" s="1565"/>
      <c r="K45" s="1565">
        <f t="shared" ref="K45:K46" si="10">SUM(D45:I45)</f>
        <v>0</v>
      </c>
    </row>
    <row r="46" spans="2:11">
      <c r="B46" s="1959" t="s">
        <v>1731</v>
      </c>
      <c r="C46" s="208"/>
      <c r="D46" s="1564"/>
      <c r="E46" s="1564"/>
      <c r="F46" s="1564"/>
      <c r="G46" s="1564"/>
      <c r="H46" s="1564"/>
      <c r="I46" s="1564"/>
      <c r="J46" s="1565"/>
      <c r="K46" s="1565">
        <f t="shared" si="10"/>
        <v>0</v>
      </c>
    </row>
    <row r="47" spans="2:11">
      <c r="B47" s="1959"/>
      <c r="C47" s="208"/>
      <c r="D47" s="1565"/>
      <c r="E47" s="1565"/>
      <c r="F47" s="1565"/>
      <c r="G47" s="1565"/>
      <c r="H47" s="1565"/>
      <c r="I47" s="1565"/>
      <c r="J47" s="1565"/>
      <c r="K47" s="1565"/>
    </row>
    <row r="48" spans="2:11">
      <c r="B48" s="1899" t="s">
        <v>1271</v>
      </c>
      <c r="C48" s="243"/>
      <c r="D48" s="1563">
        <f>SUBTOTAL(9, D49:D53)</f>
        <v>0</v>
      </c>
      <c r="E48" s="1563">
        <f t="shared" ref="E48:I48" si="11">SUBTOTAL(9, E49:E53)</f>
        <v>0</v>
      </c>
      <c r="F48" s="1563">
        <f t="shared" si="11"/>
        <v>0</v>
      </c>
      <c r="G48" s="1563">
        <f t="shared" si="11"/>
        <v>0</v>
      </c>
      <c r="H48" s="1563">
        <f t="shared" si="11"/>
        <v>0</v>
      </c>
      <c r="I48" s="1563">
        <f t="shared" si="11"/>
        <v>0</v>
      </c>
      <c r="J48" s="1563"/>
      <c r="K48" s="1563">
        <f t="shared" ref="K48:K53" si="12">SUM(D48:I48)</f>
        <v>0</v>
      </c>
    </row>
    <row r="49" spans="2:16">
      <c r="B49" s="1959" t="str">
        <f>B42</f>
        <v>CUSPT del Sist. de Trans.</v>
      </c>
      <c r="C49" s="208"/>
      <c r="D49" s="1564"/>
      <c r="E49" s="1564"/>
      <c r="F49" s="1564"/>
      <c r="G49" s="1564"/>
      <c r="H49" s="1564"/>
      <c r="I49" s="1564"/>
      <c r="J49" s="1565"/>
      <c r="K49" s="1565">
        <f t="shared" si="12"/>
        <v>0</v>
      </c>
    </row>
    <row r="50" spans="2:16">
      <c r="B50" s="1959" t="str">
        <f t="shared" ref="B50:B52" si="13">B43</f>
        <v>CUSPT del Ser. de Oper. Int.</v>
      </c>
      <c r="C50" s="208"/>
      <c r="D50" s="1564"/>
      <c r="E50" s="1564"/>
      <c r="F50" s="1564"/>
      <c r="G50" s="1564"/>
      <c r="H50" s="1564"/>
      <c r="I50" s="1564"/>
      <c r="J50" s="1565"/>
      <c r="K50" s="1565">
        <f t="shared" si="12"/>
        <v>0</v>
      </c>
    </row>
    <row r="51" spans="2:16">
      <c r="B51" s="1959" t="str">
        <f t="shared" si="13"/>
        <v>CUSPT del Sist. de Trans. por Exportación</v>
      </c>
      <c r="C51" s="208"/>
      <c r="D51" s="1564"/>
      <c r="E51" s="1564"/>
      <c r="F51" s="1564"/>
      <c r="G51" s="1564"/>
      <c r="H51" s="1564"/>
      <c r="I51" s="1564"/>
      <c r="J51" s="1565"/>
      <c r="K51" s="1565">
        <f t="shared" si="12"/>
        <v>0</v>
      </c>
    </row>
    <row r="52" spans="2:16">
      <c r="B52" s="1959" t="str">
        <f t="shared" si="13"/>
        <v>CUSPT del Ser. de Oper. Int. Por Exportación</v>
      </c>
      <c r="C52" s="208"/>
      <c r="D52" s="1564"/>
      <c r="E52" s="1564"/>
      <c r="F52" s="1564"/>
      <c r="G52" s="1564"/>
      <c r="H52" s="1564"/>
      <c r="I52" s="1564"/>
      <c r="J52" s="1565"/>
      <c r="K52" s="1565">
        <f t="shared" si="12"/>
        <v>0</v>
      </c>
    </row>
    <row r="53" spans="2:16">
      <c r="B53" s="1959" t="s">
        <v>1731</v>
      </c>
      <c r="C53" s="208"/>
      <c r="D53" s="1564"/>
      <c r="E53" s="1564"/>
      <c r="F53" s="1564"/>
      <c r="G53" s="1564"/>
      <c r="H53" s="1564"/>
      <c r="I53" s="1564"/>
      <c r="J53" s="1565"/>
      <c r="K53" s="1565">
        <f t="shared" si="12"/>
        <v>0</v>
      </c>
    </row>
    <row r="54" spans="2:16">
      <c r="B54" s="1959"/>
      <c r="C54" s="208"/>
      <c r="D54" s="1565"/>
      <c r="E54" s="1565"/>
      <c r="F54" s="1565"/>
      <c r="G54" s="1565"/>
      <c r="H54" s="1565"/>
      <c r="I54" s="1565"/>
      <c r="J54" s="1565"/>
      <c r="K54" s="1565"/>
    </row>
    <row r="55" spans="2:16">
      <c r="B55" s="1899" t="s">
        <v>534</v>
      </c>
      <c r="C55" s="243"/>
      <c r="D55" s="1563">
        <f t="shared" ref="D55:I55" si="14">SUBTOTAL(9, D56:D62)</f>
        <v>-62789.07</v>
      </c>
      <c r="E55" s="1563">
        <f t="shared" si="14"/>
        <v>0</v>
      </c>
      <c r="F55" s="1563">
        <f t="shared" si="14"/>
        <v>0</v>
      </c>
      <c r="G55" s="1563">
        <f t="shared" si="14"/>
        <v>0</v>
      </c>
      <c r="H55" s="1563">
        <f t="shared" si="14"/>
        <v>0</v>
      </c>
      <c r="I55" s="1563">
        <f t="shared" si="14"/>
        <v>0</v>
      </c>
      <c r="J55" s="1563"/>
      <c r="K55" s="1563">
        <f>SUM(D55:I55)</f>
        <v>-62789.07</v>
      </c>
    </row>
    <row r="56" spans="2:16">
      <c r="B56" s="1959" t="s">
        <v>1521</v>
      </c>
      <c r="C56" s="857"/>
      <c r="D56" s="1564">
        <v>-14568.83</v>
      </c>
      <c r="E56" s="1564"/>
      <c r="F56" s="1564"/>
      <c r="G56" s="1564"/>
      <c r="H56" s="1564"/>
      <c r="I56" s="1564"/>
      <c r="J56" s="1565"/>
      <c r="K56" s="1565">
        <f>SUM(D56:I56)</f>
        <v>-14568.83</v>
      </c>
    </row>
    <row r="57" spans="2:16">
      <c r="B57" s="1959" t="s">
        <v>1521</v>
      </c>
      <c r="C57" s="857"/>
      <c r="D57" s="1564">
        <v>-48220.24</v>
      </c>
      <c r="E57" s="1564"/>
      <c r="F57" s="1564"/>
      <c r="G57" s="1564"/>
      <c r="H57" s="1564"/>
      <c r="I57" s="1564"/>
      <c r="J57" s="1565"/>
      <c r="K57" s="1565">
        <f t="shared" ref="K57:K62" si="15">SUM(D57:I57)</f>
        <v>-48220.24</v>
      </c>
    </row>
    <row r="58" spans="2:16">
      <c r="B58" s="1959" t="s">
        <v>1731</v>
      </c>
      <c r="C58" s="857"/>
      <c r="D58" s="1564"/>
      <c r="E58" s="1564"/>
      <c r="F58" s="1564"/>
      <c r="G58" s="1564"/>
      <c r="H58" s="1564"/>
      <c r="I58" s="1564"/>
      <c r="J58" s="1565"/>
      <c r="K58" s="1565">
        <f t="shared" si="15"/>
        <v>0</v>
      </c>
    </row>
    <row r="59" spans="2:16">
      <c r="B59" s="1959" t="s">
        <v>1732</v>
      </c>
      <c r="C59" s="857"/>
      <c r="D59" s="1564"/>
      <c r="E59" s="1564"/>
      <c r="F59" s="1564"/>
      <c r="G59" s="1564"/>
      <c r="H59" s="1564"/>
      <c r="I59" s="1564"/>
      <c r="J59" s="1565"/>
      <c r="K59" s="1565">
        <f>SUM(D59:I59)</f>
        <v>0</v>
      </c>
    </row>
    <row r="60" spans="2:16">
      <c r="B60" s="1959"/>
      <c r="C60" s="208"/>
      <c r="D60" s="1565"/>
      <c r="E60" s="1565"/>
      <c r="F60" s="1565"/>
      <c r="G60" s="1565"/>
      <c r="H60" s="1565"/>
      <c r="I60" s="1565"/>
      <c r="J60" s="1565"/>
      <c r="K60" s="1565">
        <f t="shared" si="15"/>
        <v>0</v>
      </c>
    </row>
    <row r="61" spans="2:16">
      <c r="B61" s="1959"/>
      <c r="C61" s="208"/>
      <c r="D61" s="1565"/>
      <c r="E61" s="1565"/>
      <c r="F61" s="1565"/>
      <c r="G61" s="1565"/>
      <c r="H61" s="1565"/>
      <c r="I61" s="1565"/>
      <c r="J61" s="1565"/>
      <c r="K61" s="1565"/>
    </row>
    <row r="62" spans="2:16">
      <c r="B62" s="1959"/>
      <c r="C62" s="208"/>
      <c r="D62" s="1565"/>
      <c r="E62" s="1565"/>
      <c r="F62" s="1565"/>
      <c r="G62" s="1565"/>
      <c r="H62" s="1565"/>
      <c r="I62" s="1565"/>
      <c r="J62" s="1565"/>
      <c r="K62" s="1565">
        <f t="shared" si="15"/>
        <v>0</v>
      </c>
    </row>
    <row r="63" spans="2:16" ht="8.4499999999999993" customHeight="1">
      <c r="B63" s="1959"/>
      <c r="C63" s="208"/>
      <c r="D63" s="208"/>
      <c r="E63" s="208"/>
      <c r="F63" s="208"/>
      <c r="G63" s="208"/>
      <c r="H63" s="208"/>
      <c r="I63" s="208"/>
      <c r="J63" s="208"/>
      <c r="K63" s="208"/>
    </row>
    <row r="64" spans="2:16" ht="26.45" customHeight="1">
      <c r="B64" s="1531" t="s">
        <v>1877</v>
      </c>
      <c r="C64" s="1532"/>
      <c r="D64" s="1533">
        <f t="shared" ref="D64:I64" si="16">SUBTOTAL(9, D31:D62)</f>
        <v>2161691.6099999994</v>
      </c>
      <c r="E64" s="1533">
        <f t="shared" si="16"/>
        <v>2087024.3900000001</v>
      </c>
      <c r="F64" s="1533">
        <f t="shared" si="16"/>
        <v>2011843.0000000002</v>
      </c>
      <c r="G64" s="1533">
        <f t="shared" si="16"/>
        <v>2209397.06</v>
      </c>
      <c r="H64" s="1533">
        <f t="shared" si="16"/>
        <v>1943122.2199999997</v>
      </c>
      <c r="I64" s="1533">
        <f t="shared" si="16"/>
        <v>2008501.73</v>
      </c>
      <c r="J64" s="1534"/>
      <c r="K64" s="1534">
        <f>SUM(D64:I64)</f>
        <v>12421580.010000002</v>
      </c>
      <c r="P64" s="215"/>
    </row>
    <row r="65" spans="2:16" ht="26.45" customHeight="1">
      <c r="B65" s="1961" t="s">
        <v>1878</v>
      </c>
      <c r="C65" s="1962"/>
      <c r="D65" s="1963">
        <v>216340.3</v>
      </c>
      <c r="E65" s="1963">
        <v>190510.73</v>
      </c>
      <c r="F65" s="1963">
        <v>189049.06</v>
      </c>
      <c r="G65" s="1963">
        <v>193399.62000000002</v>
      </c>
      <c r="H65" s="1963">
        <v>193867.99999999997</v>
      </c>
      <c r="I65" s="1963">
        <v>187294.3</v>
      </c>
      <c r="J65" s="1964"/>
      <c r="K65" s="1964">
        <f>SUM(D65:I65)</f>
        <v>1170462.01</v>
      </c>
      <c r="P65" s="215"/>
    </row>
    <row r="66" spans="2:16" ht="26.45" customHeight="1">
      <c r="B66" s="1961" t="s">
        <v>1272</v>
      </c>
      <c r="C66" s="1962"/>
      <c r="D66" s="1963">
        <v>101396.28</v>
      </c>
      <c r="E66" s="1963">
        <v>101396.28</v>
      </c>
      <c r="F66" s="1963">
        <v>188865.94</v>
      </c>
      <c r="G66" s="1963">
        <v>188865.94</v>
      </c>
      <c r="H66" s="1963">
        <v>188865.94</v>
      </c>
      <c r="I66" s="1963">
        <v>188865.94</v>
      </c>
      <c r="J66" s="1964"/>
      <c r="K66" s="1964">
        <f>SUM(D66:I66)</f>
        <v>958256.31999999983</v>
      </c>
      <c r="P66" s="215"/>
    </row>
    <row r="67" spans="2:16" ht="26.45" customHeight="1">
      <c r="B67" s="1961" t="s">
        <v>535</v>
      </c>
      <c r="C67" s="1962"/>
      <c r="D67" s="1963">
        <v>1999.77</v>
      </c>
      <c r="E67" s="1963">
        <v>1999.77</v>
      </c>
      <c r="F67" s="1963">
        <v>1999.77</v>
      </c>
      <c r="G67" s="1963">
        <v>1999.77</v>
      </c>
      <c r="H67" s="1963">
        <v>1999.77</v>
      </c>
      <c r="I67" s="1963">
        <v>1999.77</v>
      </c>
      <c r="J67" s="1964"/>
      <c r="K67" s="1964">
        <f t="shared" ref="K67:K73" si="17">SUM(D67:I67)</f>
        <v>11998.62</v>
      </c>
      <c r="P67" s="215"/>
    </row>
    <row r="68" spans="2:16" ht="26.45" customHeight="1">
      <c r="B68" s="1961" t="s">
        <v>536</v>
      </c>
      <c r="C68" s="1962"/>
      <c r="D68" s="1963">
        <v>17340.66</v>
      </c>
      <c r="E68" s="1963">
        <v>17340.66</v>
      </c>
      <c r="F68" s="1963">
        <v>17340.66</v>
      </c>
      <c r="G68" s="1963">
        <v>17340.66</v>
      </c>
      <c r="H68" s="1963">
        <v>17340.66</v>
      </c>
      <c r="I68" s="1963">
        <v>17340.66</v>
      </c>
      <c r="J68" s="1964"/>
      <c r="K68" s="1964">
        <f t="shared" si="17"/>
        <v>104043.96</v>
      </c>
      <c r="P68" s="215"/>
    </row>
    <row r="69" spans="2:16" ht="26.45" customHeight="1">
      <c r="B69" s="1961" t="s">
        <v>537</v>
      </c>
      <c r="C69" s="1962"/>
      <c r="D69" s="1963">
        <v>23780.480000000003</v>
      </c>
      <c r="E69" s="1963">
        <v>23780.480000000003</v>
      </c>
      <c r="F69" s="1963">
        <v>23780.480000000003</v>
      </c>
      <c r="G69" s="1963">
        <v>23780.480000000003</v>
      </c>
      <c r="H69" s="1963">
        <v>23780.480000000003</v>
      </c>
      <c r="I69" s="1963">
        <v>23780.480000000003</v>
      </c>
      <c r="J69" s="1964"/>
      <c r="K69" s="1964">
        <f t="shared" si="17"/>
        <v>142682.88000000003</v>
      </c>
      <c r="P69" s="215"/>
    </row>
    <row r="70" spans="2:16" ht="26.45" customHeight="1">
      <c r="B70" s="1961" t="s">
        <v>538</v>
      </c>
      <c r="C70" s="1962"/>
      <c r="D70" s="1963">
        <v>53343.92</v>
      </c>
      <c r="E70" s="1963">
        <v>53059.209999999992</v>
      </c>
      <c r="F70" s="1963">
        <v>49595.06</v>
      </c>
      <c r="G70" s="1963">
        <v>52904.13</v>
      </c>
      <c r="H70" s="1963">
        <v>44618.139999999992</v>
      </c>
      <c r="I70" s="1963">
        <v>50135.479999999996</v>
      </c>
      <c r="J70" s="1964"/>
      <c r="K70" s="1964">
        <f t="shared" si="17"/>
        <v>303655.94</v>
      </c>
      <c r="P70" s="215"/>
    </row>
    <row r="71" spans="2:16" ht="26.45" customHeight="1">
      <c r="B71" s="1961" t="s">
        <v>984</v>
      </c>
      <c r="C71" s="1962"/>
      <c r="D71" s="1963">
        <v>-4058.94</v>
      </c>
      <c r="E71" s="1963">
        <v>-4058.94</v>
      </c>
      <c r="F71" s="1963">
        <v>-4058.94</v>
      </c>
      <c r="G71" s="1963">
        <v>-4058.94</v>
      </c>
      <c r="H71" s="1963">
        <v>-4058.94</v>
      </c>
      <c r="I71" s="1963">
        <v>-4058.94</v>
      </c>
      <c r="J71" s="1964"/>
      <c r="K71" s="1964">
        <f t="shared" si="17"/>
        <v>-24353.64</v>
      </c>
      <c r="P71" s="215"/>
    </row>
    <row r="72" spans="2:16" ht="26.45" customHeight="1">
      <c r="B72" s="1961" t="s">
        <v>539</v>
      </c>
      <c r="C72" s="1962"/>
      <c r="D72" s="1963">
        <v>7767.251925999999</v>
      </c>
      <c r="E72" s="1963">
        <v>7.15</v>
      </c>
      <c r="F72" s="1963">
        <v>66.399309999999986</v>
      </c>
      <c r="G72" s="1963">
        <v>4174.1306679999998</v>
      </c>
      <c r="H72" s="1963">
        <v>7.15</v>
      </c>
      <c r="I72" s="1963">
        <v>7.15</v>
      </c>
      <c r="J72" s="1964"/>
      <c r="K72" s="1964">
        <f t="shared" si="17"/>
        <v>12029.231903999997</v>
      </c>
      <c r="P72" s="215"/>
    </row>
    <row r="73" spans="2:16" ht="26.45" customHeight="1">
      <c r="B73" s="1961" t="s">
        <v>1084</v>
      </c>
      <c r="C73" s="1962"/>
      <c r="D73" s="1963">
        <v>2740.32</v>
      </c>
      <c r="E73" s="1963">
        <v>4231.17</v>
      </c>
      <c r="F73" s="1963">
        <v>105.31</v>
      </c>
      <c r="G73" s="1963">
        <v>2649.09</v>
      </c>
      <c r="H73" s="1963">
        <v>2563.9</v>
      </c>
      <c r="I73" s="1963">
        <v>2561.25</v>
      </c>
      <c r="J73" s="1964"/>
      <c r="K73" s="1964">
        <f t="shared" si="17"/>
        <v>14851.039999999999</v>
      </c>
      <c r="P73" s="215"/>
    </row>
    <row r="74" spans="2:16">
      <c r="B74" s="211"/>
      <c r="C74" s="212"/>
      <c r="D74" s="1174"/>
      <c r="E74" s="1174"/>
      <c r="F74" s="1174"/>
      <c r="G74" s="1174"/>
      <c r="H74" s="1174"/>
      <c r="I74" s="1174"/>
      <c r="J74" s="1174"/>
      <c r="K74" s="1174"/>
    </row>
    <row r="75" spans="2:16">
      <c r="B75" s="242" t="s">
        <v>540</v>
      </c>
      <c r="C75" s="237"/>
      <c r="D75" s="1173">
        <f t="shared" ref="D75:I75" si="18">SUBTOTAL(9, D30:D74)</f>
        <v>2582341.6519259992</v>
      </c>
      <c r="E75" s="1173">
        <f t="shared" si="18"/>
        <v>2475290.9</v>
      </c>
      <c r="F75" s="1173">
        <f t="shared" si="18"/>
        <v>2478586.7393100001</v>
      </c>
      <c r="G75" s="1173">
        <f t="shared" si="18"/>
        <v>2690451.9406679999</v>
      </c>
      <c r="H75" s="1173">
        <f t="shared" si="18"/>
        <v>2412107.3199999998</v>
      </c>
      <c r="I75" s="1173">
        <f t="shared" si="18"/>
        <v>2476427.8199999998</v>
      </c>
      <c r="J75" s="1173"/>
      <c r="K75" s="1173">
        <f>SUM(D75:I75)</f>
        <v>15115206.371904001</v>
      </c>
      <c r="P75" s="215"/>
    </row>
    <row r="76" spans="2:16">
      <c r="C76" s="72"/>
      <c r="D76" s="72"/>
      <c r="E76" s="72"/>
      <c r="F76" s="72"/>
      <c r="G76" s="72"/>
      <c r="H76" s="72"/>
      <c r="I76" s="72"/>
      <c r="J76" s="72"/>
      <c r="K76" s="72"/>
    </row>
    <row r="77" spans="2:16">
      <c r="C77" s="72"/>
      <c r="D77" s="72"/>
      <c r="E77" s="72"/>
      <c r="F77" s="72"/>
      <c r="G77" s="72"/>
      <c r="H77" s="72"/>
      <c r="I77" s="72"/>
      <c r="J77" s="72"/>
      <c r="K77" s="72"/>
      <c r="L77" s="72"/>
    </row>
    <row r="78" spans="2:16">
      <c r="B78" s="245" t="str">
        <f>'PORTADA PORTADA PORTADA'!$B$23</f>
        <v>1 DE JULIO DE 2026</v>
      </c>
      <c r="D78" s="72"/>
      <c r="E78" s="72"/>
      <c r="F78" s="72"/>
      <c r="G78" s="72"/>
      <c r="H78" s="72"/>
      <c r="I78" s="72"/>
      <c r="L78" s="72"/>
    </row>
    <row r="80" spans="2:16">
      <c r="B80" s="214" t="s">
        <v>1435</v>
      </c>
      <c r="K80" s="72"/>
    </row>
    <row r="81" spans="2:11" ht="28.5">
      <c r="B81" s="214" t="s">
        <v>1436</v>
      </c>
      <c r="K81" s="72">
        <f>K64-K82</f>
        <v>11366630.620000001</v>
      </c>
    </row>
    <row r="82" spans="2:11" ht="28.5">
      <c r="B82" s="214" t="s">
        <v>1437</v>
      </c>
      <c r="K82" s="72">
        <f>K39</f>
        <v>1054949.3899999999</v>
      </c>
    </row>
    <row r="83" spans="2:11" ht="28.5">
      <c r="B83" s="214" t="s">
        <v>1438</v>
      </c>
      <c r="K83" s="72">
        <f>K70</f>
        <v>303655.94</v>
      </c>
    </row>
    <row r="84" spans="2:11" ht="28.5">
      <c r="B84" s="214" t="s">
        <v>1439</v>
      </c>
      <c r="K84" s="72">
        <f>K75-SUM(K80:K83,K85)</f>
        <v>1219508.4119039997</v>
      </c>
    </row>
    <row r="85" spans="2:11" ht="43.5">
      <c r="B85" s="214" t="s">
        <v>1440</v>
      </c>
      <c r="K85" s="72">
        <f>K65</f>
        <v>1170462.01</v>
      </c>
    </row>
    <row r="86" spans="2:11" ht="28.5">
      <c r="B86" s="214" t="s">
        <v>1441</v>
      </c>
      <c r="K86" s="71">
        <f>SUM(K80:K85)</f>
        <v>15115206.371904001</v>
      </c>
    </row>
    <row r="87" spans="2:11">
      <c r="K87" s="1960">
        <f>K86-K75</f>
        <v>0</v>
      </c>
    </row>
  </sheetData>
  <mergeCells count="1">
    <mergeCell ref="B28:B29"/>
  </mergeCells>
  <phoneticPr fontId="0" type="noConversion"/>
  <printOptions horizontalCentered="1" verticalCentered="1"/>
  <pageMargins left="0.59055118110236204" right="0.59055118110236204" top="0.78740157480314998" bottom="0.59055118110236204" header="0.59055118110236204" footer="0.47244094488188998"/>
  <pageSetup scale="49" orientation="portrait" r:id="rId1"/>
  <headerFooter>
    <oddHeader>&amp;L&amp;"Times New Roman,Negrita"&amp;14Nombre de la Distribuidora: &amp;K06-048ENSA&amp;RASEP FORM: &amp;A</oddHeader>
    <oddFooter>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9">
    <tabColor theme="4" tint="0.39997558519241921"/>
    <pageSetUpPr fitToPage="1"/>
  </sheetPr>
  <dimension ref="A1:D35"/>
  <sheetViews>
    <sheetView view="pageBreakPreview" topLeftCell="A21" zoomScale="70" zoomScaleNormal="100" zoomScaleSheetLayoutView="70" workbookViewId="0">
      <selection activeCell="E28" sqref="E28"/>
    </sheetView>
  </sheetViews>
  <sheetFormatPr baseColWidth="10" defaultColWidth="10" defaultRowHeight="15"/>
  <cols>
    <col min="1" max="1" width="4.5" style="167" customWidth="1"/>
    <col min="2" max="2" width="32.75" style="167" customWidth="1"/>
    <col min="3" max="3" width="31.875" style="167" customWidth="1"/>
    <col min="4" max="4" width="15.75" style="167" customWidth="1"/>
    <col min="5" max="6" width="7.75" style="167" customWidth="1"/>
    <col min="7" max="7" width="9.125" style="167" bestFit="1" customWidth="1"/>
    <col min="8" max="8" width="8.25" style="167" bestFit="1" customWidth="1"/>
    <col min="9" max="9" width="8.75" style="167" bestFit="1" customWidth="1"/>
    <col min="10" max="16384" width="10" style="167"/>
  </cols>
  <sheetData>
    <row r="1" spans="2:3">
      <c r="B1" s="136" t="s">
        <v>311</v>
      </c>
    </row>
    <row r="2" spans="2:3" s="73" customFormat="1">
      <c r="C2" s="168" t="s">
        <v>117</v>
      </c>
    </row>
    <row r="3" spans="2:3" s="73" customFormat="1">
      <c r="C3" s="168" t="s">
        <v>118</v>
      </c>
    </row>
    <row r="4" spans="2:3" s="693" customFormat="1" ht="8.25">
      <c r="B4" s="693" t="s">
        <v>312</v>
      </c>
    </row>
    <row r="5" spans="2:3" s="693" customFormat="1" ht="10.5" customHeight="1"/>
    <row r="6" spans="2:3" s="693" customFormat="1" ht="8.25">
      <c r="B6" s="717" t="s">
        <v>119</v>
      </c>
    </row>
    <row r="7" spans="2:3" s="693" customFormat="1" ht="8.25">
      <c r="B7" s="693" t="s">
        <v>313</v>
      </c>
    </row>
    <row r="8" spans="2:3" s="693" customFormat="1" ht="8.25">
      <c r="C8" s="718"/>
    </row>
    <row r="9" spans="2:3" s="693" customFormat="1" ht="8.25"/>
    <row r="10" spans="2:3" s="693" customFormat="1" ht="8.25">
      <c r="B10" s="693" t="s">
        <v>120</v>
      </c>
      <c r="C10" s="718"/>
    </row>
    <row r="11" spans="2:3" s="693" customFormat="1" ht="8.25">
      <c r="C11" s="718"/>
    </row>
    <row r="12" spans="2:3" s="693" customFormat="1" ht="8.25">
      <c r="B12" s="717" t="s">
        <v>121</v>
      </c>
      <c r="C12" s="718"/>
    </row>
    <row r="13" spans="2:3" s="693" customFormat="1" ht="8.25">
      <c r="B13" s="693" t="s">
        <v>122</v>
      </c>
    </row>
    <row r="14" spans="2:3" s="719" customFormat="1" ht="8.25"/>
    <row r="15" spans="2:3" s="719" customFormat="1" ht="8.25"/>
    <row r="16" spans="2:3" s="719" customFormat="1" ht="8.25">
      <c r="B16" s="719" t="s">
        <v>27</v>
      </c>
    </row>
    <row r="17" spans="1:4" s="719" customFormat="1" ht="8.25"/>
    <row r="18" spans="1:4" s="719" customFormat="1" ht="8.25"/>
    <row r="19" spans="1:4" s="719" customFormat="1" ht="8.25">
      <c r="B19" s="719" t="s">
        <v>28</v>
      </c>
    </row>
    <row r="20" spans="1:4" s="719" customFormat="1" ht="8.25"/>
    <row r="21" spans="1:4" s="693" customFormat="1" ht="8.25">
      <c r="B21" s="717" t="s">
        <v>132</v>
      </c>
      <c r="C21" s="718"/>
    </row>
    <row r="22" spans="1:4" s="693" customFormat="1" ht="8.25">
      <c r="B22" s="693" t="s">
        <v>123</v>
      </c>
    </row>
    <row r="23" spans="1:4" s="719" customFormat="1" ht="8.25"/>
    <row r="24" spans="1:4" s="719" customFormat="1" ht="8.25"/>
    <row r="25" spans="1:4" ht="15.75">
      <c r="A25" s="720"/>
      <c r="B25" s="721" t="s">
        <v>227</v>
      </c>
      <c r="C25" s="722" t="s">
        <v>157</v>
      </c>
      <c r="D25" s="722" t="s">
        <v>158</v>
      </c>
    </row>
    <row r="26" spans="1:4" ht="15.75">
      <c r="A26" s="720"/>
      <c r="B26" s="721"/>
      <c r="C26" s="722"/>
      <c r="D26" s="722"/>
    </row>
    <row r="27" spans="1:4" ht="18.75">
      <c r="A27" s="723">
        <v>1</v>
      </c>
      <c r="B27" s="724" t="s">
        <v>1484</v>
      </c>
      <c r="C27" s="725" t="s">
        <v>1485</v>
      </c>
      <c r="D27" s="1984">
        <f>ComDistyAP100!$D$16</f>
        <v>99.9</v>
      </c>
    </row>
    <row r="28" spans="1:4" ht="18.75">
      <c r="A28" s="723">
        <v>2</v>
      </c>
      <c r="B28" s="724" t="s">
        <v>1486</v>
      </c>
      <c r="C28" s="725" t="s">
        <v>1485</v>
      </c>
      <c r="D28" s="1984">
        <f>ComDistyAP100!$D$10</f>
        <v>99.782920110192819</v>
      </c>
    </row>
    <row r="29" spans="1:4" ht="22.5" customHeight="1">
      <c r="A29" s="723">
        <v>3</v>
      </c>
      <c r="B29" s="724" t="s">
        <v>1487</v>
      </c>
      <c r="C29" s="725" t="s">
        <v>1488</v>
      </c>
      <c r="D29" s="726">
        <f>D27/D28</f>
        <v>1.0011733459962677</v>
      </c>
    </row>
    <row r="30" spans="1:4" ht="47.25">
      <c r="A30" s="186">
        <v>4</v>
      </c>
      <c r="B30" s="724" t="s">
        <v>127</v>
      </c>
      <c r="C30" s="725" t="s">
        <v>130</v>
      </c>
      <c r="D30" s="727">
        <v>0.498</v>
      </c>
    </row>
    <row r="31" spans="1:4" ht="47.25">
      <c r="A31" s="186">
        <v>5</v>
      </c>
      <c r="B31" s="724" t="s">
        <v>126</v>
      </c>
      <c r="C31" s="725" t="s">
        <v>129</v>
      </c>
      <c r="D31" s="727">
        <v>0.216</v>
      </c>
    </row>
    <row r="32" spans="1:4" ht="47.25">
      <c r="A32" s="186">
        <v>6</v>
      </c>
      <c r="B32" s="724" t="s">
        <v>128</v>
      </c>
      <c r="C32" s="725" t="s">
        <v>131</v>
      </c>
      <c r="D32" s="727">
        <v>0.81079999999999997</v>
      </c>
    </row>
    <row r="33" spans="1:4" ht="47.25">
      <c r="A33" s="186">
        <v>7</v>
      </c>
      <c r="B33" s="724" t="s">
        <v>29</v>
      </c>
      <c r="C33" s="725"/>
      <c r="D33" s="726">
        <f>D30+((1-D30)*(D27/D28))</f>
        <v>1.0005890196901264</v>
      </c>
    </row>
    <row r="34" spans="1:4" ht="42" customHeight="1">
      <c r="A34" s="186">
        <v>8</v>
      </c>
      <c r="B34" s="724" t="s">
        <v>125</v>
      </c>
      <c r="C34" s="725"/>
      <c r="D34" s="726">
        <f>D31+((1-D31)*(D27/D28))</f>
        <v>1.0009199032610741</v>
      </c>
    </row>
    <row r="35" spans="1:4" ht="40.5" customHeight="1">
      <c r="A35" s="186">
        <v>9</v>
      </c>
      <c r="B35" s="724" t="s">
        <v>124</v>
      </c>
      <c r="C35" s="728"/>
      <c r="D35" s="726">
        <f>D32+((1-D32)*(D27/D28))</f>
        <v>1.0002219970624939</v>
      </c>
    </row>
  </sheetData>
  <phoneticPr fontId="0" type="noConversion"/>
  <printOptions horizontalCentered="1" verticalCentered="1"/>
  <pageMargins left="0.59055118110236227" right="0.59055118110236227" top="0.78740157480314965" bottom="0.59055118110236227" header="0.59055118110236227" footer="0.47244094488188981"/>
  <pageSetup orientation="portrait" r:id="rId1"/>
  <headerFooter>
    <oddHeader>&amp;L&amp;"Times New Roman,Negrita"&amp;14Nombre de la Distribuidora: &amp;K06-048ENSA&amp;RASEP FORM: &amp;A</oddHeader>
    <oddFooter>&amp;R&amp;A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4099" r:id="rId4">
          <objectPr defaultSize="0" autoPict="0" r:id="rId5">
            <anchor moveWithCells="1" sizeWithCells="1">
              <from>
                <xdr:col>2</xdr:col>
                <xdr:colOff>0</xdr:colOff>
                <xdr:row>5</xdr:row>
                <xdr:rowOff>38100</xdr:rowOff>
              </from>
              <to>
                <xdr:col>2</xdr:col>
                <xdr:colOff>1771650</xdr:colOff>
                <xdr:row>7</xdr:row>
                <xdr:rowOff>57150</xdr:rowOff>
              </to>
            </anchor>
          </objectPr>
        </oleObject>
      </mc:Choice>
      <mc:Fallback>
        <oleObject progId="Equation.3" shapeId="4099" r:id="rId4"/>
      </mc:Fallback>
    </mc:AlternateContent>
    <mc:AlternateContent xmlns:mc="http://schemas.openxmlformats.org/markup-compatibility/2006">
      <mc:Choice Requires="x14">
        <oleObject progId="Equation.3" shapeId="4101" r:id="rId6">
          <objectPr defaultSize="0" autoPict="0" r:id="rId7">
            <anchor moveWithCells="1" sizeWithCells="1">
              <from>
                <xdr:col>2</xdr:col>
                <xdr:colOff>0</xdr:colOff>
                <xdr:row>8</xdr:row>
                <xdr:rowOff>19050</xdr:rowOff>
              </from>
              <to>
                <xdr:col>2</xdr:col>
                <xdr:colOff>1781175</xdr:colOff>
                <xdr:row>10</xdr:row>
                <xdr:rowOff>57150</xdr:rowOff>
              </to>
            </anchor>
          </objectPr>
        </oleObject>
      </mc:Choice>
      <mc:Fallback>
        <oleObject progId="Equation.3" shapeId="4101" r:id="rId6"/>
      </mc:Fallback>
    </mc:AlternateContent>
    <mc:AlternateContent xmlns:mc="http://schemas.openxmlformats.org/markup-compatibility/2006">
      <mc:Choice Requires="x14">
        <oleObject progId="Equation.3" shapeId="4102" r:id="rId8">
          <objectPr defaultSize="0" autoPict="0" r:id="rId9">
            <anchor moveWithCells="1">
              <from>
                <xdr:col>2</xdr:col>
                <xdr:colOff>47625</xdr:colOff>
                <xdr:row>11</xdr:row>
                <xdr:rowOff>28575</xdr:rowOff>
              </from>
              <to>
                <xdr:col>2</xdr:col>
                <xdr:colOff>1800225</xdr:colOff>
                <xdr:row>15</xdr:row>
                <xdr:rowOff>66675</xdr:rowOff>
              </to>
            </anchor>
          </objectPr>
        </oleObject>
      </mc:Choice>
      <mc:Fallback>
        <oleObject progId="Equation.3" shapeId="4102" r:id="rId8"/>
      </mc:Fallback>
    </mc:AlternateContent>
    <mc:AlternateContent xmlns:mc="http://schemas.openxmlformats.org/markup-compatibility/2006">
      <mc:Choice Requires="x14">
        <oleObject progId="Equation.3" shapeId="4103" r:id="rId10">
          <objectPr defaultSize="0" autoPict="0" r:id="rId11">
            <anchor moveWithCells="1" sizeWithCells="1">
              <from>
                <xdr:col>2</xdr:col>
                <xdr:colOff>0</xdr:colOff>
                <xdr:row>20</xdr:row>
                <xdr:rowOff>0</xdr:rowOff>
              </from>
              <to>
                <xdr:col>2</xdr:col>
                <xdr:colOff>1771650</xdr:colOff>
                <xdr:row>22</xdr:row>
                <xdr:rowOff>57150</xdr:rowOff>
              </to>
            </anchor>
          </objectPr>
        </oleObject>
      </mc:Choice>
      <mc:Fallback>
        <oleObject progId="Equation.3" shapeId="4103" r:id="rId10"/>
      </mc:Fallback>
    </mc:AlternateContent>
    <mc:AlternateContent xmlns:mc="http://schemas.openxmlformats.org/markup-compatibility/2006">
      <mc:Choice Requires="x14">
        <oleObject progId="Equation.3" shapeId="4104" r:id="rId12">
          <objectPr defaultSize="0" autoPict="0" r:id="rId13">
            <anchor moveWithCells="1">
              <from>
                <xdr:col>2</xdr:col>
                <xdr:colOff>561975</xdr:colOff>
                <xdr:row>32</xdr:row>
                <xdr:rowOff>38100</xdr:rowOff>
              </from>
              <to>
                <xdr:col>2</xdr:col>
                <xdr:colOff>2286000</xdr:colOff>
                <xdr:row>32</xdr:row>
                <xdr:rowOff>542925</xdr:rowOff>
              </to>
            </anchor>
          </objectPr>
        </oleObject>
      </mc:Choice>
      <mc:Fallback>
        <oleObject progId="Equation.3" shapeId="4104" r:id="rId12"/>
      </mc:Fallback>
    </mc:AlternateContent>
    <mc:AlternateContent xmlns:mc="http://schemas.openxmlformats.org/markup-compatibility/2006">
      <mc:Choice Requires="x14">
        <oleObject progId="Equation.3" shapeId="4105" r:id="rId14">
          <objectPr defaultSize="0" autoPict="0" r:id="rId15">
            <anchor moveWithCells="1">
              <from>
                <xdr:col>2</xdr:col>
                <xdr:colOff>514350</xdr:colOff>
                <xdr:row>33</xdr:row>
                <xdr:rowOff>38100</xdr:rowOff>
              </from>
              <to>
                <xdr:col>2</xdr:col>
                <xdr:colOff>2266950</xdr:colOff>
                <xdr:row>33</xdr:row>
                <xdr:rowOff>485775</xdr:rowOff>
              </to>
            </anchor>
          </objectPr>
        </oleObject>
      </mc:Choice>
      <mc:Fallback>
        <oleObject progId="Equation.3" shapeId="4105" r:id="rId14"/>
      </mc:Fallback>
    </mc:AlternateContent>
    <mc:AlternateContent xmlns:mc="http://schemas.openxmlformats.org/markup-compatibility/2006">
      <mc:Choice Requires="x14">
        <oleObject progId="Equation.3" shapeId="4106" r:id="rId16">
          <objectPr defaultSize="0" autoPict="0" r:id="rId17">
            <anchor moveWithCells="1">
              <from>
                <xdr:col>2</xdr:col>
                <xdr:colOff>514350</xdr:colOff>
                <xdr:row>34</xdr:row>
                <xdr:rowOff>19050</xdr:rowOff>
              </from>
              <to>
                <xdr:col>2</xdr:col>
                <xdr:colOff>2266950</xdr:colOff>
                <xdr:row>34</xdr:row>
                <xdr:rowOff>504825</xdr:rowOff>
              </to>
            </anchor>
          </objectPr>
        </oleObject>
      </mc:Choice>
      <mc:Fallback>
        <oleObject progId="Equation.3" shapeId="4106" r:id="rId16"/>
      </mc:Fallback>
    </mc:AlternateContent>
    <mc:AlternateContent xmlns:mc="http://schemas.openxmlformats.org/markup-compatibility/2006">
      <mc:Choice Requires="x14">
        <oleObject progId="Equation.3" shapeId="4108" r:id="rId18">
          <objectPr defaultSize="0" autoPict="0" r:id="rId19">
            <anchor moveWithCells="1">
              <from>
                <xdr:col>2</xdr:col>
                <xdr:colOff>47625</xdr:colOff>
                <xdr:row>17</xdr:row>
                <xdr:rowOff>28575</xdr:rowOff>
              </from>
              <to>
                <xdr:col>2</xdr:col>
                <xdr:colOff>1771650</xdr:colOff>
                <xdr:row>21</xdr:row>
                <xdr:rowOff>85725</xdr:rowOff>
              </to>
            </anchor>
          </objectPr>
        </oleObject>
      </mc:Choice>
      <mc:Fallback>
        <oleObject progId="Equation.3" shapeId="4108" r:id="rId18"/>
      </mc:Fallback>
    </mc:AlternateContent>
    <mc:AlternateContent xmlns:mc="http://schemas.openxmlformats.org/markup-compatibility/2006">
      <mc:Choice Requires="x14">
        <oleObject progId="Equation.3" shapeId="4109" r:id="rId20">
          <objectPr defaultSize="0" autoPict="0" r:id="rId21">
            <anchor moveWithCells="1">
              <from>
                <xdr:col>2</xdr:col>
                <xdr:colOff>47625</xdr:colOff>
                <xdr:row>14</xdr:row>
                <xdr:rowOff>28575</xdr:rowOff>
              </from>
              <to>
                <xdr:col>2</xdr:col>
                <xdr:colOff>1847850</xdr:colOff>
                <xdr:row>18</xdr:row>
                <xdr:rowOff>85725</xdr:rowOff>
              </to>
            </anchor>
          </objectPr>
        </oleObject>
      </mc:Choice>
      <mc:Fallback>
        <oleObject progId="Equation.3" shapeId="4109" r:id="rId20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45">
    <tabColor theme="5" tint="0.59999389629810485"/>
    <pageSetUpPr fitToPage="1"/>
  </sheetPr>
  <dimension ref="B1:L23"/>
  <sheetViews>
    <sheetView view="pageBreakPreview" zoomScale="85" zoomScaleNormal="85" zoomScaleSheetLayoutView="85" workbookViewId="0">
      <selection activeCell="D12" sqref="D12"/>
    </sheetView>
  </sheetViews>
  <sheetFormatPr baseColWidth="10" defaultColWidth="11.25" defaultRowHeight="15.75"/>
  <cols>
    <col min="1" max="1" width="11.25" style="69"/>
    <col min="2" max="2" width="15.125" style="69" customWidth="1"/>
    <col min="3" max="3" width="18.875" style="69" customWidth="1"/>
    <col min="4" max="4" width="19.75" style="69" customWidth="1"/>
    <col min="5" max="5" width="17.875" style="69" customWidth="1"/>
    <col min="6" max="6" width="11.25" style="69"/>
    <col min="7" max="8" width="6.75" style="246" bestFit="1" customWidth="1"/>
    <col min="9" max="9" width="9.375" style="246" bestFit="1" customWidth="1"/>
    <col min="10" max="10" width="8.125" style="69" customWidth="1"/>
    <col min="11" max="11" width="8.625" style="69" bestFit="1" customWidth="1"/>
    <col min="12" max="16384" width="11.25" style="69"/>
  </cols>
  <sheetData>
    <row r="1" spans="2:12">
      <c r="B1" s="136" t="s">
        <v>151</v>
      </c>
    </row>
    <row r="2" spans="2:12">
      <c r="C2" s="137" t="s">
        <v>316</v>
      </c>
    </row>
    <row r="3" spans="2:12" ht="16.5" thickBot="1"/>
    <row r="4" spans="2:12" ht="16.5" thickBot="1">
      <c r="B4" s="41" t="s">
        <v>76</v>
      </c>
      <c r="C4" s="201" t="s">
        <v>258</v>
      </c>
    </row>
    <row r="6" spans="2:12">
      <c r="B6" s="69" t="s">
        <v>77</v>
      </c>
    </row>
    <row r="8" spans="2:12">
      <c r="B8" s="70" t="s">
        <v>102</v>
      </c>
      <c r="G8" s="783" t="s">
        <v>102</v>
      </c>
      <c r="H8" s="784"/>
      <c r="I8" s="784"/>
      <c r="J8" s="73"/>
      <c r="K8" s="73"/>
    </row>
    <row r="9" spans="2:12">
      <c r="B9" s="70"/>
      <c r="G9" s="783" t="s">
        <v>1442</v>
      </c>
      <c r="H9" s="784"/>
      <c r="I9" s="784"/>
      <c r="J9" s="73"/>
      <c r="K9" s="73"/>
    </row>
    <row r="10" spans="2:12" ht="51" customHeight="1">
      <c r="B10" s="247" t="s">
        <v>153</v>
      </c>
      <c r="C10" s="248" t="s">
        <v>109</v>
      </c>
      <c r="D10" s="248" t="s">
        <v>471</v>
      </c>
      <c r="E10" s="248" t="s">
        <v>110</v>
      </c>
      <c r="G10" s="785" t="s">
        <v>468</v>
      </c>
      <c r="H10" s="786" t="s">
        <v>472</v>
      </c>
      <c r="I10" s="785" t="s">
        <v>469</v>
      </c>
    </row>
    <row r="11" spans="2:12">
      <c r="B11" s="249"/>
      <c r="C11" s="249"/>
      <c r="D11" s="249"/>
      <c r="E11" s="249"/>
    </row>
    <row r="12" spans="2:12">
      <c r="B12" s="250">
        <f>'PT422'!C12+366</f>
        <v>46205</v>
      </c>
      <c r="C12" s="251">
        <f t="array" ref="C12:C17">TRANSPOSE(ComEne26!$G$229:$L$229)</f>
        <v>19953.766297219554</v>
      </c>
      <c r="D12" s="252">
        <f>'PT422'!F12</f>
        <v>82.295574046443832</v>
      </c>
      <c r="E12" s="253">
        <f t="shared" ref="E12:E17" si="0">C12*D12</f>
        <v>1642106.6518182671</v>
      </c>
      <c r="G12" s="787">
        <f>'PT422'!D12</f>
        <v>19469.409</v>
      </c>
      <c r="H12" s="788">
        <f t="shared" ref="H12:H17" si="1">I12/G12</f>
        <v>82.295574046443832</v>
      </c>
      <c r="I12" s="787">
        <f>'PT422'!E12</f>
        <v>1602246.19</v>
      </c>
      <c r="J12" s="789">
        <f t="shared" ref="J12:J17" si="2">C12-G12</f>
        <v>484.35729721955431</v>
      </c>
      <c r="K12" s="789">
        <f t="shared" ref="K12:L17" si="3">D12-H12</f>
        <v>0</v>
      </c>
      <c r="L12" s="789">
        <f t="shared" si="3"/>
        <v>39860.461818267126</v>
      </c>
    </row>
    <row r="13" spans="2:12">
      <c r="B13" s="250">
        <f>B12+31</f>
        <v>46236</v>
      </c>
      <c r="C13" s="251">
        <v>16888.998694591981</v>
      </c>
      <c r="D13" s="252">
        <f>'PT422'!F13</f>
        <v>82.252426725739468</v>
      </c>
      <c r="E13" s="253">
        <f t="shared" si="0"/>
        <v>1389161.1275980365</v>
      </c>
      <c r="G13" s="787">
        <f>'PT422'!D13</f>
        <v>16466.013999999999</v>
      </c>
      <c r="H13" s="788">
        <f t="shared" si="1"/>
        <v>82.252426725739468</v>
      </c>
      <c r="I13" s="787">
        <f>'PT422'!E13</f>
        <v>1354369.61</v>
      </c>
      <c r="J13" s="789">
        <f t="shared" si="2"/>
        <v>422.98469459198168</v>
      </c>
      <c r="K13" s="789">
        <f t="shared" si="3"/>
        <v>0</v>
      </c>
      <c r="L13" s="789">
        <f t="shared" si="3"/>
        <v>34791.517598036444</v>
      </c>
    </row>
    <row r="14" spans="2:12">
      <c r="B14" s="250">
        <f>B13+31</f>
        <v>46267</v>
      </c>
      <c r="C14" s="251">
        <v>14975.432330543757</v>
      </c>
      <c r="D14" s="252">
        <f>'PT422'!F14</f>
        <v>83.543068605829731</v>
      </c>
      <c r="E14" s="253">
        <f t="shared" si="0"/>
        <v>1251093.5705925778</v>
      </c>
      <c r="G14" s="787">
        <f>'PT422'!D14</f>
        <v>14593.031000000001</v>
      </c>
      <c r="H14" s="788">
        <f t="shared" si="1"/>
        <v>83.543068605829731</v>
      </c>
      <c r="I14" s="787">
        <f>'PT422'!E14</f>
        <v>1219146.5900000001</v>
      </c>
      <c r="J14" s="789">
        <f t="shared" si="2"/>
        <v>382.40133054375656</v>
      </c>
      <c r="K14" s="789">
        <f t="shared" si="3"/>
        <v>0</v>
      </c>
      <c r="L14" s="789">
        <f t="shared" si="3"/>
        <v>31946.980592577718</v>
      </c>
    </row>
    <row r="15" spans="2:12">
      <c r="B15" s="250">
        <f>B14+31</f>
        <v>46298</v>
      </c>
      <c r="C15" s="251">
        <v>24094.659939220117</v>
      </c>
      <c r="D15" s="252">
        <f>'PT422'!F15</f>
        <v>83.680729947027388</v>
      </c>
      <c r="E15" s="253">
        <f t="shared" si="0"/>
        <v>2016258.7315393379</v>
      </c>
      <c r="G15" s="787">
        <f>'PT422'!D15</f>
        <v>23480.06</v>
      </c>
      <c r="H15" s="788">
        <f t="shared" si="1"/>
        <v>83.680729947027388</v>
      </c>
      <c r="I15" s="787">
        <f>'PT422'!E15</f>
        <v>1964828.56</v>
      </c>
      <c r="J15" s="789">
        <f t="shared" si="2"/>
        <v>614.59993922011563</v>
      </c>
      <c r="K15" s="789">
        <f t="shared" si="3"/>
        <v>0</v>
      </c>
      <c r="L15" s="789">
        <f t="shared" si="3"/>
        <v>51430.17153933784</v>
      </c>
    </row>
    <row r="16" spans="2:12">
      <c r="B16" s="250">
        <f>B15+31</f>
        <v>46329</v>
      </c>
      <c r="C16" s="251">
        <v>17901.487376394041</v>
      </c>
      <c r="D16" s="252">
        <f>'PT422'!F16</f>
        <v>88.348826882580923</v>
      </c>
      <c r="E16" s="253">
        <f t="shared" si="0"/>
        <v>1581575.4091577448</v>
      </c>
      <c r="G16" s="787">
        <f>'PT422'!D16</f>
        <v>17439.516</v>
      </c>
      <c r="H16" s="788">
        <f t="shared" si="1"/>
        <v>88.348826882580923</v>
      </c>
      <c r="I16" s="787">
        <f>'PT422'!E16</f>
        <v>1540760.78</v>
      </c>
      <c r="J16" s="789">
        <f t="shared" si="2"/>
        <v>461.97137639404173</v>
      </c>
      <c r="K16" s="789">
        <f t="shared" si="3"/>
        <v>0</v>
      </c>
      <c r="L16" s="789">
        <f t="shared" si="3"/>
        <v>40814.629157744814</v>
      </c>
    </row>
    <row r="17" spans="2:12">
      <c r="B17" s="250">
        <f>B16+31</f>
        <v>46360</v>
      </c>
      <c r="C17" s="251">
        <v>14324.68380448356</v>
      </c>
      <c r="D17" s="252">
        <f>'PT422'!F17</f>
        <v>82.586187618719023</v>
      </c>
      <c r="E17" s="253">
        <f t="shared" si="0"/>
        <v>1183021.0242559051</v>
      </c>
      <c r="G17" s="787">
        <f>'PT422'!D17</f>
        <v>13952.062</v>
      </c>
      <c r="H17" s="788">
        <f t="shared" si="1"/>
        <v>82.586187618719023</v>
      </c>
      <c r="I17" s="787">
        <f>'PT422'!E17</f>
        <v>1152247.6100000001</v>
      </c>
      <c r="J17" s="789">
        <f t="shared" si="2"/>
        <v>372.62180448356048</v>
      </c>
      <c r="K17" s="789">
        <f t="shared" si="3"/>
        <v>0</v>
      </c>
      <c r="L17" s="789">
        <f t="shared" si="3"/>
        <v>30773.414255904965</v>
      </c>
    </row>
    <row r="18" spans="2:12">
      <c r="B18" s="254"/>
      <c r="C18" s="254"/>
      <c r="D18" s="254"/>
      <c r="E18" s="254"/>
      <c r="G18" s="787"/>
      <c r="H18" s="788"/>
      <c r="I18" s="787"/>
      <c r="K18" s="789"/>
      <c r="L18" s="789"/>
    </row>
    <row r="19" spans="2:12">
      <c r="B19" s="255" t="s">
        <v>112</v>
      </c>
      <c r="C19" s="256">
        <f>SUM(C12:C18)</f>
        <v>108139.02844245301</v>
      </c>
      <c r="D19" s="257">
        <f>E19/C19</f>
        <v>83.810781782498879</v>
      </c>
      <c r="E19" s="256">
        <f>SUM(E12:E18)</f>
        <v>9063216.5149618685</v>
      </c>
      <c r="G19" s="787">
        <f>SUM(G12:G18)</f>
        <v>105400.092</v>
      </c>
      <c r="H19" s="788">
        <f>I19/G19</f>
        <v>83.810167262472589</v>
      </c>
      <c r="I19" s="787">
        <f>SUM(I12:I18)</f>
        <v>8833599.3399999999</v>
      </c>
      <c r="J19" s="789">
        <f>C19-G19</f>
        <v>2738.9364424530067</v>
      </c>
      <c r="K19" s="789">
        <f>D19-H19</f>
        <v>6.1452002628925584E-4</v>
      </c>
      <c r="L19" s="789">
        <f>E19-I19</f>
        <v>229617.17496186867</v>
      </c>
    </row>
    <row r="20" spans="2:12">
      <c r="H20" s="790"/>
      <c r="I20" s="790"/>
    </row>
    <row r="23" spans="2:12">
      <c r="B23" s="52" t="str">
        <f>'PORTADA PORTADA PORTADA'!$B$23</f>
        <v>1 DE JULIO DE 2026</v>
      </c>
    </row>
  </sheetData>
  <phoneticPr fontId="0" type="noConversion"/>
  <printOptions horizontalCentered="1" verticalCentered="1"/>
  <pageMargins left="0.59055118110236227" right="0.59055118110236227" top="0.78740157480314965" bottom="0.59055118110236227" header="0.59055118110236227" footer="0.47244094488188981"/>
  <pageSetup orientation="landscape" r:id="rId1"/>
  <headerFooter>
    <oddHeader>&amp;L&amp;"Times New Roman,Negrita"&amp;14Nombre de la Distribuidora: &amp;K06-048ENSA&amp;RASEP FORM: &amp;A</oddHeader>
    <oddFooter>&amp;R&amp;A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A0F29-86D7-45AC-8E69-BC2DEB9CF79E}">
  <sheetPr codeName="Hoja41">
    <tabColor theme="5" tint="0.79998168889431442"/>
  </sheetPr>
  <dimension ref="B1:K134"/>
  <sheetViews>
    <sheetView view="pageBreakPreview" zoomScale="85" zoomScaleNormal="100" zoomScaleSheetLayoutView="85" workbookViewId="0">
      <selection activeCell="D89" sqref="D89:I108"/>
    </sheetView>
  </sheetViews>
  <sheetFormatPr baseColWidth="10" defaultColWidth="8" defaultRowHeight="15"/>
  <cols>
    <col min="1" max="1" width="3.5" style="63" customWidth="1"/>
    <col min="2" max="2" width="5.625" style="48" bestFit="1" customWidth="1"/>
    <col min="3" max="3" width="30.125" style="63" customWidth="1"/>
    <col min="4" max="10" width="11.25" style="63" customWidth="1"/>
    <col min="11" max="11" width="4.625" style="63" customWidth="1"/>
    <col min="12" max="16384" width="8" style="63"/>
  </cols>
  <sheetData>
    <row r="1" spans="2:11" s="69" customFormat="1" ht="15.75">
      <c r="B1" s="48"/>
      <c r="C1" s="136" t="s">
        <v>151</v>
      </c>
    </row>
    <row r="2" spans="2:11" s="69" customFormat="1" ht="15.75">
      <c r="B2" s="48"/>
      <c r="D2" s="137" t="s">
        <v>316</v>
      </c>
    </row>
    <row r="3" spans="2:11" s="69" customFormat="1" ht="15.75">
      <c r="B3" s="48"/>
      <c r="D3" s="137"/>
    </row>
    <row r="4" spans="2:11" ht="15.75">
      <c r="C4" s="219" t="s">
        <v>1528</v>
      </c>
      <c r="D4" s="219"/>
      <c r="E4" s="219"/>
      <c r="F4" s="219"/>
      <c r="G4" s="219"/>
      <c r="H4" s="219"/>
      <c r="I4" s="219"/>
      <c r="J4" s="219"/>
    </row>
    <row r="5" spans="2:11" ht="15" customHeight="1">
      <c r="C5" s="259"/>
      <c r="D5" s="259"/>
      <c r="E5" s="259"/>
      <c r="F5" s="259"/>
      <c r="G5" s="259"/>
      <c r="H5" s="259"/>
      <c r="I5" s="259"/>
      <c r="J5" s="259"/>
    </row>
    <row r="6" spans="2:11" s="143" customFormat="1" ht="49.5" customHeight="1">
      <c r="B6" s="48"/>
      <c r="C6" s="220" t="s">
        <v>1443</v>
      </c>
      <c r="D6" s="260" t="s">
        <v>259</v>
      </c>
      <c r="E6" s="260" t="s">
        <v>260</v>
      </c>
      <c r="F6" s="221"/>
      <c r="G6" s="69"/>
    </row>
    <row r="7" spans="2:11" s="143" customFormat="1" ht="15.75">
      <c r="B7" s="48"/>
      <c r="C7" s="261" t="s">
        <v>266</v>
      </c>
      <c r="D7" s="262">
        <f>RAT1000PT!$I$74</f>
        <v>3.8400000000000001E-3</v>
      </c>
      <c r="E7" s="263"/>
      <c r="F7" s="69"/>
      <c r="G7" s="69"/>
    </row>
    <row r="8" spans="2:11" s="143" customFormat="1" ht="15.75">
      <c r="B8" s="48"/>
      <c r="C8" s="261" t="s">
        <v>265</v>
      </c>
      <c r="D8" s="262">
        <f>RAT1000PT!$I$73</f>
        <v>3.8400000000000001E-3</v>
      </c>
      <c r="E8" s="262"/>
      <c r="F8" s="69"/>
      <c r="G8" s="69"/>
    </row>
    <row r="9" spans="2:11" s="143" customFormat="1" ht="15.75">
      <c r="B9" s="48"/>
      <c r="C9" s="261" t="s">
        <v>264</v>
      </c>
      <c r="D9" s="262">
        <f>RAT1000PT!$I$72</f>
        <v>3.8400000000000001E-3</v>
      </c>
      <c r="E9" s="262"/>
      <c r="F9" s="69"/>
      <c r="G9" s="69"/>
    </row>
    <row r="10" spans="2:11" s="143" customFormat="1" ht="14.25" customHeight="1">
      <c r="B10" s="48"/>
      <c r="C10" s="261" t="s">
        <v>262</v>
      </c>
      <c r="D10" s="262">
        <f>RAT1000PT!$I$71</f>
        <v>3.8400000000000001E-3</v>
      </c>
      <c r="E10" s="262"/>
      <c r="F10" s="69"/>
      <c r="G10" s="69"/>
      <c r="H10" s="69"/>
      <c r="I10" s="69"/>
      <c r="J10" s="69"/>
      <c r="K10" s="69"/>
    </row>
    <row r="11" spans="2:11" s="143" customFormat="1" ht="15.75">
      <c r="B11" s="48"/>
      <c r="C11" s="261" t="s">
        <v>263</v>
      </c>
      <c r="D11" s="262">
        <f>RAT1000PT!$I$70</f>
        <v>3.8400000000000001E-3</v>
      </c>
      <c r="E11" s="262"/>
      <c r="F11" s="69"/>
      <c r="G11" s="69"/>
    </row>
    <row r="12" spans="2:11" s="143" customFormat="1" ht="15.75">
      <c r="B12" s="48"/>
      <c r="C12" s="261" t="s">
        <v>261</v>
      </c>
      <c r="D12" s="262">
        <f>RAT1000PT!$I$69</f>
        <v>3.8400000000000001E-3</v>
      </c>
      <c r="E12" s="262"/>
      <c r="F12" s="69"/>
      <c r="G12" s="69"/>
    </row>
    <row r="13" spans="2:11" s="143" customFormat="1" ht="15.75">
      <c r="B13" s="48"/>
      <c r="C13" s="261" t="s">
        <v>1768</v>
      </c>
      <c r="D13" s="262">
        <f>RAT1000PT!$I$66</f>
        <v>3.9699999999999996E-3</v>
      </c>
      <c r="E13" s="262"/>
      <c r="F13" s="69"/>
      <c r="G13" s="69"/>
    </row>
    <row r="14" spans="2:11" s="143" customFormat="1" ht="15.75">
      <c r="B14" s="48"/>
      <c r="C14" s="261" t="s">
        <v>2071</v>
      </c>
      <c r="D14" s="262">
        <f>RAT1000PT!$I$67</f>
        <v>3.9699999999999996E-3</v>
      </c>
      <c r="E14" s="262"/>
      <c r="F14" s="69"/>
      <c r="G14" s="69"/>
    </row>
    <row r="15" spans="2:11" s="143" customFormat="1" ht="15.75">
      <c r="B15" s="48"/>
      <c r="C15" s="261" t="s">
        <v>1178</v>
      </c>
      <c r="D15" s="262">
        <f>RAT1000PT!$I$68</f>
        <v>3.9699999999999996E-3</v>
      </c>
      <c r="E15" s="262"/>
      <c r="F15" s="69"/>
      <c r="G15" s="69"/>
    </row>
    <row r="16" spans="2:11" s="143" customFormat="1" ht="13.5">
      <c r="B16" s="48"/>
      <c r="C16" s="147"/>
    </row>
    <row r="17" spans="2:11" s="143" customFormat="1" ht="39" customHeight="1">
      <c r="B17" s="48"/>
      <c r="C17" s="149" t="s">
        <v>1444</v>
      </c>
      <c r="D17" s="149"/>
      <c r="E17" s="149"/>
      <c r="F17" s="149"/>
      <c r="G17" s="149"/>
      <c r="H17" s="149"/>
      <c r="I17" s="264"/>
      <c r="J17" s="264"/>
    </row>
    <row r="18" spans="2:11" s="37" customFormat="1" ht="15.75">
      <c r="B18" s="48"/>
      <c r="C18" s="150" t="s">
        <v>310</v>
      </c>
      <c r="D18" s="151">
        <f>F801ENE!D4</f>
        <v>46204</v>
      </c>
      <c r="E18" s="151">
        <f>F801ENE!E4</f>
        <v>46235</v>
      </c>
      <c r="F18" s="151">
        <f>F801ENE!F4</f>
        <v>46266</v>
      </c>
      <c r="G18" s="151">
        <f>F801ENE!G4</f>
        <v>46296</v>
      </c>
      <c r="H18" s="151">
        <f>F801ENE!H4</f>
        <v>46327</v>
      </c>
      <c r="I18" s="151">
        <f>F801ENE!I4</f>
        <v>46357</v>
      </c>
      <c r="J18" s="151" t="s">
        <v>111</v>
      </c>
      <c r="K18" s="69"/>
    </row>
    <row r="19" spans="2:11" s="37" customFormat="1" ht="15.75">
      <c r="B19" s="48"/>
      <c r="C19" s="153" t="s">
        <v>446</v>
      </c>
      <c r="D19" s="154">
        <f t="shared" ref="D19:I19" si="0">SUM(D20:D21)</f>
        <v>73439.347178387237</v>
      </c>
      <c r="E19" s="154">
        <f t="shared" si="0"/>
        <v>73469.996570644274</v>
      </c>
      <c r="F19" s="154">
        <f t="shared" si="0"/>
        <v>72082.346320367244</v>
      </c>
      <c r="G19" s="154">
        <f t="shared" si="0"/>
        <v>73218.151971024621</v>
      </c>
      <c r="H19" s="154">
        <f t="shared" si="0"/>
        <v>70045.626271271423</v>
      </c>
      <c r="I19" s="154">
        <f t="shared" si="0"/>
        <v>70373.850971505191</v>
      </c>
      <c r="J19" s="154">
        <f>SUM(D19:I19)</f>
        <v>432629.31928319996</v>
      </c>
      <c r="K19" s="69"/>
    </row>
    <row r="20" spans="2:11" s="37" customFormat="1" ht="15.75">
      <c r="B20" s="48" t="s">
        <v>279</v>
      </c>
      <c r="C20" s="155" t="s">
        <v>279</v>
      </c>
      <c r="D20" s="156">
        <f>$D$7*F801ENE!D6</f>
        <v>73437.427178387239</v>
      </c>
      <c r="E20" s="156">
        <f>$D$7*F801ENE!E6</f>
        <v>73468.076570644276</v>
      </c>
      <c r="F20" s="156">
        <f>$D$7*F801ENE!F6</f>
        <v>72080.426320367245</v>
      </c>
      <c r="G20" s="156">
        <f>$D$7*F801ENE!G6</f>
        <v>73216.231971024623</v>
      </c>
      <c r="H20" s="156">
        <f>$D$7*F801ENE!H6</f>
        <v>70043.706271271425</v>
      </c>
      <c r="I20" s="156">
        <f>$D$7*F801ENE!I6</f>
        <v>70371.930971505193</v>
      </c>
      <c r="J20" s="156">
        <f t="shared" ref="J20:J83" si="1">SUM(D20:I20)</f>
        <v>432617.7992832</v>
      </c>
      <c r="K20" s="69"/>
    </row>
    <row r="21" spans="2:11" s="37" customFormat="1" ht="15.75">
      <c r="B21" s="48" t="s">
        <v>278</v>
      </c>
      <c r="C21" s="155" t="s">
        <v>278</v>
      </c>
      <c r="D21" s="156">
        <f>$D$8*F801ENE!D7</f>
        <v>1.9200000000000002</v>
      </c>
      <c r="E21" s="156">
        <f>$D$8*F801ENE!E7</f>
        <v>1.9200000000000002</v>
      </c>
      <c r="F21" s="156">
        <f>$D$8*F801ENE!F7</f>
        <v>1.9200000000000002</v>
      </c>
      <c r="G21" s="156">
        <f>$D$8*F801ENE!G7</f>
        <v>1.9200000000000002</v>
      </c>
      <c r="H21" s="156">
        <f>$D$8*F801ENE!H7</f>
        <v>1.9200000000000002</v>
      </c>
      <c r="I21" s="156">
        <f>$D$8*F801ENE!I7</f>
        <v>1.9200000000000002</v>
      </c>
      <c r="J21" s="156">
        <f t="shared" si="1"/>
        <v>11.520000000000001</v>
      </c>
      <c r="K21" s="69"/>
    </row>
    <row r="22" spans="2:11" s="37" customFormat="1" ht="15.75">
      <c r="B22" s="48"/>
      <c r="C22" s="157"/>
      <c r="D22" s="156"/>
      <c r="E22" s="156"/>
      <c r="F22" s="156"/>
      <c r="G22" s="156"/>
      <c r="H22" s="156"/>
      <c r="I22" s="156"/>
      <c r="J22" s="156">
        <f t="shared" si="1"/>
        <v>0</v>
      </c>
      <c r="K22" s="69"/>
    </row>
    <row r="23" spans="2:11" s="37" customFormat="1" ht="15.75">
      <c r="B23" s="48"/>
      <c r="C23" s="153" t="s">
        <v>630</v>
      </c>
      <c r="D23" s="154">
        <f>SUBTOTAL(9,D24:D31)</f>
        <v>117565.11875231832</v>
      </c>
      <c r="E23" s="154">
        <f t="shared" ref="E23:I23" si="2">SUBTOTAL(9,E24:E31)</f>
        <v>117614.18372332946</v>
      </c>
      <c r="F23" s="154">
        <f t="shared" si="2"/>
        <v>115392.76873628946</v>
      </c>
      <c r="G23" s="154">
        <f t="shared" si="2"/>
        <v>117211.0191882541</v>
      </c>
      <c r="H23" s="154">
        <f t="shared" si="2"/>
        <v>112132.29266131089</v>
      </c>
      <c r="I23" s="154">
        <f t="shared" si="2"/>
        <v>112657.7300098578</v>
      </c>
      <c r="J23" s="154">
        <f t="shared" si="1"/>
        <v>692573.11307136004</v>
      </c>
      <c r="K23" s="69"/>
    </row>
    <row r="24" spans="2:11" s="37" customFormat="1" ht="15.75">
      <c r="B24" s="48" t="s">
        <v>277</v>
      </c>
      <c r="C24" s="155" t="s">
        <v>277</v>
      </c>
      <c r="D24" s="154">
        <f>SUBTOTAL(9,D25:D26)</f>
        <v>16818.368382943572</v>
      </c>
      <c r="E24" s="154">
        <f t="shared" ref="E24:I24" si="3">SUBTOTAL(9,E25:E26)</f>
        <v>16825.387410065912</v>
      </c>
      <c r="F24" s="154">
        <f t="shared" si="3"/>
        <v>16507.601182484756</v>
      </c>
      <c r="G24" s="154">
        <f t="shared" si="3"/>
        <v>16767.712397768086</v>
      </c>
      <c r="H24" s="154">
        <f t="shared" si="3"/>
        <v>16041.171272706071</v>
      </c>
      <c r="I24" s="154">
        <f t="shared" si="3"/>
        <v>16116.338116271607</v>
      </c>
      <c r="J24" s="154">
        <f t="shared" si="1"/>
        <v>99076.578762240009</v>
      </c>
      <c r="K24" s="69"/>
    </row>
    <row r="25" spans="2:11" s="37" customFormat="1" ht="15.75">
      <c r="B25" s="48"/>
      <c r="C25" s="160" t="s">
        <v>304</v>
      </c>
      <c r="D25" s="156">
        <f>$D$9*F801ENE!D11</f>
        <v>14663.568857370474</v>
      </c>
      <c r="E25" s="156">
        <f>$D$9*F801ENE!E11</f>
        <v>14669.688594147352</v>
      </c>
      <c r="F25" s="156">
        <f>$D$9*F801ENE!F11</f>
        <v>14392.617708080534</v>
      </c>
      <c r="G25" s="156">
        <f>$D$9*F801ENE!G11</f>
        <v>14619.403007881054</v>
      </c>
      <c r="H25" s="156">
        <f>$D$9*F801ENE!H11</f>
        <v>13985.947635012497</v>
      </c>
      <c r="I25" s="156">
        <f>$D$9*F801ENE!I11</f>
        <v>14051.483967748094</v>
      </c>
      <c r="J25" s="156">
        <f t="shared" si="1"/>
        <v>86382.709770240006</v>
      </c>
      <c r="K25" s="69"/>
    </row>
    <row r="26" spans="2:11" s="37" customFormat="1" ht="15.75">
      <c r="B26" s="48"/>
      <c r="C26" s="160" t="s">
        <v>305</v>
      </c>
      <c r="D26" s="156">
        <f>($D$9*F801ENE!D12)*95%</f>
        <v>2154.7995255730998</v>
      </c>
      <c r="E26" s="156">
        <f>($D$9*F801ENE!E12)*95%</f>
        <v>2155.6988159185616</v>
      </c>
      <c r="F26" s="156">
        <f>($D$9*F801ENE!F12)*95%</f>
        <v>2114.9834744042205</v>
      </c>
      <c r="G26" s="156">
        <f>($D$9*F801ENE!G12)*95%</f>
        <v>2148.309389887032</v>
      </c>
      <c r="H26" s="156">
        <f>($D$9*F801ENE!H12)*95%</f>
        <v>2055.2236376935739</v>
      </c>
      <c r="I26" s="156">
        <f>($D$9*F801ENE!I12)*95%</f>
        <v>2064.8541485235132</v>
      </c>
      <c r="J26" s="156">
        <f t="shared" si="1"/>
        <v>12693.868992000002</v>
      </c>
      <c r="K26" s="69"/>
    </row>
    <row r="27" spans="2:11" s="37" customFormat="1" ht="15.75">
      <c r="B27" s="48" t="s">
        <v>276</v>
      </c>
      <c r="C27" s="158" t="s">
        <v>276</v>
      </c>
      <c r="D27" s="154">
        <f>SUBTOTAL(9,D28:D31)</f>
        <v>100746.75036937474</v>
      </c>
      <c r="E27" s="154">
        <f t="shared" ref="E27:I27" si="4">SUBTOTAL(9,E28:E31)</f>
        <v>100788.79631326355</v>
      </c>
      <c r="F27" s="154">
        <f t="shared" si="4"/>
        <v>98885.167553804713</v>
      </c>
      <c r="G27" s="154">
        <f t="shared" si="4"/>
        <v>100443.30679048601</v>
      </c>
      <c r="H27" s="154">
        <f t="shared" si="4"/>
        <v>96091.121388604821</v>
      </c>
      <c r="I27" s="154">
        <f t="shared" si="4"/>
        <v>96541.391893586188</v>
      </c>
      <c r="J27" s="154">
        <f t="shared" si="1"/>
        <v>593496.53430912003</v>
      </c>
      <c r="K27" s="69"/>
    </row>
    <row r="28" spans="2:11" s="37" customFormat="1" ht="15.75">
      <c r="B28" s="48"/>
      <c r="C28" s="160" t="s">
        <v>304</v>
      </c>
      <c r="D28" s="156">
        <f>($D$10*F801ENE!D15)*1</f>
        <v>100353.99423706646</v>
      </c>
      <c r="E28" s="156">
        <f>($D$10*F801ENE!E15)*1</f>
        <v>100395.87626696062</v>
      </c>
      <c r="F28" s="156">
        <f>($D$10*F801ENE!F15)*1</f>
        <v>98499.668708346231</v>
      </c>
      <c r="G28" s="156">
        <f>($D$10*F801ENE!G15)*1</f>
        <v>100051.73361768741</v>
      </c>
      <c r="H28" s="156">
        <f>($D$10*F801ENE!H15)*1</f>
        <v>95716.514991402102</v>
      </c>
      <c r="I28" s="156">
        <f>($D$10*F801ENE!I15)*1</f>
        <v>96165.030139497205</v>
      </c>
      <c r="J28" s="156">
        <f t="shared" si="1"/>
        <v>591182.81796096009</v>
      </c>
      <c r="K28" s="69"/>
    </row>
    <row r="29" spans="2:11" s="37" customFormat="1" ht="15.75">
      <c r="B29" s="48"/>
      <c r="C29" s="161" t="s">
        <v>306</v>
      </c>
      <c r="D29" s="156">
        <f>($D$10*F801ENE!D16)*1</f>
        <v>0</v>
      </c>
      <c r="E29" s="156">
        <f>($D$10*F801ENE!E16)*1</f>
        <v>0</v>
      </c>
      <c r="F29" s="156">
        <f>($D$10*F801ENE!F16)*1</f>
        <v>0</v>
      </c>
      <c r="G29" s="156">
        <f>($D$10*F801ENE!G16)*1</f>
        <v>0</v>
      </c>
      <c r="H29" s="156">
        <f>($D$10*F801ENE!H16)*1</f>
        <v>0</v>
      </c>
      <c r="I29" s="156">
        <f>($D$10*F801ENE!I16)*1</f>
        <v>0</v>
      </c>
      <c r="J29" s="156">
        <f t="shared" si="1"/>
        <v>0</v>
      </c>
      <c r="K29" s="69"/>
    </row>
    <row r="30" spans="2:11" s="37" customFormat="1" ht="15.75">
      <c r="B30" s="48"/>
      <c r="C30" s="160" t="s">
        <v>305</v>
      </c>
      <c r="D30" s="156">
        <f>($D$10*F801ENE!D17)*0.95</f>
        <v>392.75613230827747</v>
      </c>
      <c r="E30" s="156">
        <f>($D$10*F801ENE!E17)*0.95</f>
        <v>392.92004630292712</v>
      </c>
      <c r="F30" s="156">
        <f>($D$10*F801ENE!F17)*0.95</f>
        <v>385.49884545848641</v>
      </c>
      <c r="G30" s="156">
        <f>($D$10*F801ENE!G17)*0.95</f>
        <v>391.57317279860433</v>
      </c>
      <c r="H30" s="156">
        <f>($D$10*F801ENE!H17)*0.95</f>
        <v>374.60639720272343</v>
      </c>
      <c r="I30" s="156">
        <f>($D$10*F801ENE!I17)*0.95</f>
        <v>376.36175408898129</v>
      </c>
      <c r="J30" s="156">
        <f t="shared" si="1"/>
        <v>2313.7163481600001</v>
      </c>
      <c r="K30" s="69"/>
    </row>
    <row r="31" spans="2:11" s="37" customFormat="1" ht="15.75">
      <c r="B31" s="48"/>
      <c r="C31" s="160" t="s">
        <v>307</v>
      </c>
      <c r="D31" s="156">
        <f>($D$10*F801ENE!D18)*0.5</f>
        <v>0</v>
      </c>
      <c r="E31" s="156">
        <f>($D$10*F801ENE!E18)*0.5</f>
        <v>0</v>
      </c>
      <c r="F31" s="156">
        <f>($D$10*F801ENE!F18)*0.5</f>
        <v>0</v>
      </c>
      <c r="G31" s="156">
        <f>($D$10*F801ENE!G18)*0.5</f>
        <v>0</v>
      </c>
      <c r="H31" s="156">
        <f>($D$10*F801ENE!H18)*0.5</f>
        <v>0</v>
      </c>
      <c r="I31" s="156">
        <f>($D$10*F801ENE!I18)*0.5</f>
        <v>0</v>
      </c>
      <c r="J31" s="156">
        <f t="shared" si="1"/>
        <v>0</v>
      </c>
      <c r="K31" s="69"/>
    </row>
    <row r="32" spans="2:11" s="37" customFormat="1" ht="15.75">
      <c r="B32" s="48"/>
      <c r="C32" s="157"/>
      <c r="D32" s="156"/>
      <c r="E32" s="156"/>
      <c r="F32" s="156"/>
      <c r="G32" s="156"/>
      <c r="H32" s="156"/>
      <c r="I32" s="156"/>
      <c r="J32" s="156">
        <f t="shared" si="1"/>
        <v>0</v>
      </c>
      <c r="K32" s="69"/>
    </row>
    <row r="33" spans="2:11" s="37" customFormat="1" ht="15.75">
      <c r="B33" s="48"/>
      <c r="C33" s="153" t="s">
        <v>443</v>
      </c>
      <c r="D33" s="154">
        <f t="shared" ref="D33" si="5">SUBTOTAL(9,D34:D108)</f>
        <v>860164.8006044944</v>
      </c>
      <c r="E33" s="154">
        <f t="shared" ref="E33:I33" si="6">SUBTOTAL(9,E34:E108)</f>
        <v>860523.78430182172</v>
      </c>
      <c r="F33" s="154">
        <f t="shared" si="6"/>
        <v>844270.80893237924</v>
      </c>
      <c r="G33" s="154">
        <f t="shared" si="6"/>
        <v>857574.0323209262</v>
      </c>
      <c r="H33" s="154">
        <f t="shared" si="6"/>
        <v>820415.54656652187</v>
      </c>
      <c r="I33" s="154">
        <f t="shared" si="6"/>
        <v>824259.90718078858</v>
      </c>
      <c r="J33" s="154">
        <f t="shared" si="1"/>
        <v>5067208.8799069319</v>
      </c>
      <c r="K33" s="69"/>
    </row>
    <row r="34" spans="2:11" s="37" customFormat="1" ht="15.75">
      <c r="B34" s="48" t="s">
        <v>275</v>
      </c>
      <c r="C34" s="155" t="s">
        <v>275</v>
      </c>
      <c r="D34" s="154">
        <f>SUBTOTAL(9,D35:D37)</f>
        <v>11268.127667104432</v>
      </c>
      <c r="E34" s="154">
        <f t="shared" ref="E34:I34" si="7">SUBTOTAL(9,E35:E37)</f>
        <v>11272.830340509639</v>
      </c>
      <c r="F34" s="154">
        <f t="shared" si="7"/>
        <v>11059.916953093081</v>
      </c>
      <c r="G34" s="154">
        <f t="shared" si="7"/>
        <v>11234.188696625037</v>
      </c>
      <c r="H34" s="154">
        <f t="shared" si="7"/>
        <v>10747.413881958526</v>
      </c>
      <c r="I34" s="154">
        <f t="shared" si="7"/>
        <v>10797.77486646929</v>
      </c>
      <c r="J34" s="154">
        <f t="shared" si="1"/>
        <v>66380.252405760009</v>
      </c>
      <c r="K34" s="69"/>
    </row>
    <row r="35" spans="2:11" s="37" customFormat="1" ht="15.75">
      <c r="B35" s="48"/>
      <c r="C35" s="160" t="s">
        <v>304</v>
      </c>
      <c r="D35" s="156">
        <f>$D$11*F801ENE!D22</f>
        <v>11173.589154713103</v>
      </c>
      <c r="E35" s="156">
        <f>$D$11*F801ENE!E22</f>
        <v>11178.252373138643</v>
      </c>
      <c r="F35" s="156">
        <f>$D$11*F801ENE!F22</f>
        <v>10967.125308659597</v>
      </c>
      <c r="G35" s="156">
        <f>$D$11*F801ENE!G22</f>
        <v>11139.934928946937</v>
      </c>
      <c r="H35" s="156">
        <f>$D$11*F801ENE!H22</f>
        <v>10657.244108374893</v>
      </c>
      <c r="I35" s="156">
        <f>$D$11*F801ENE!I22</f>
        <v>10707.182569046836</v>
      </c>
      <c r="J35" s="156">
        <f t="shared" si="1"/>
        <v>65823.328442880011</v>
      </c>
      <c r="K35" s="69"/>
    </row>
    <row r="36" spans="2:11" s="37" customFormat="1" ht="15.75">
      <c r="B36" s="48"/>
      <c r="C36" s="161" t="s">
        <v>306</v>
      </c>
      <c r="D36" s="156">
        <f>$D$11*F801ENE!D23</f>
        <v>59.670342565751085</v>
      </c>
      <c r="E36" s="156">
        <f>$D$11*F801ENE!E23</f>
        <v>59.695245561293333</v>
      </c>
      <c r="F36" s="156">
        <f>$D$11*F801ENE!F23</f>
        <v>58.567763237759706</v>
      </c>
      <c r="G36" s="156">
        <f>$D$11*F801ENE!G23</f>
        <v>59.490618830392044</v>
      </c>
      <c r="H36" s="156">
        <f>$D$11*F801ENE!H23</f>
        <v>56.912903987106581</v>
      </c>
      <c r="I36" s="156">
        <f>$D$11*F801ENE!I23</f>
        <v>57.179590457697294</v>
      </c>
      <c r="J36" s="156">
        <f t="shared" si="1"/>
        <v>351.51646464000009</v>
      </c>
      <c r="K36" s="69"/>
    </row>
    <row r="37" spans="2:11" s="37" customFormat="1" ht="15.75">
      <c r="B37" s="48"/>
      <c r="C37" s="160" t="s">
        <v>305</v>
      </c>
      <c r="D37" s="156">
        <f>($D$11*F801ENE!D24)*95%</f>
        <v>34.868169825579159</v>
      </c>
      <c r="E37" s="156">
        <f>($D$11*F801ENE!E24)*95%</f>
        <v>34.882721809703867</v>
      </c>
      <c r="F37" s="156">
        <f>($D$11*F801ENE!F24)*95%</f>
        <v>34.223881195725667</v>
      </c>
      <c r="G37" s="156">
        <f>($D$11*F801ENE!G24)*95%</f>
        <v>34.763148847707591</v>
      </c>
      <c r="H37" s="156">
        <f>($D$11*F801ENE!H24)*95%</f>
        <v>33.256869596527586</v>
      </c>
      <c r="I37" s="156">
        <f>($D$11*F801ENE!I24)*95%</f>
        <v>33.412706964756126</v>
      </c>
      <c r="J37" s="156">
        <f t="shared" si="1"/>
        <v>205.40749824</v>
      </c>
      <c r="K37" s="69"/>
    </row>
    <row r="38" spans="2:11" s="37" customFormat="1" ht="15.75">
      <c r="B38" s="48" t="s">
        <v>274</v>
      </c>
      <c r="C38" s="158" t="s">
        <v>627</v>
      </c>
      <c r="D38" s="154">
        <f t="shared" ref="D38:I38" si="8">SUBTOTAL(9,D39:D44)</f>
        <v>135887.5785020536</v>
      </c>
      <c r="E38" s="154">
        <f t="shared" si="8"/>
        <v>135944.29022208357</v>
      </c>
      <c r="F38" s="154">
        <f t="shared" si="8"/>
        <v>133376.6689187531</v>
      </c>
      <c r="G38" s="154">
        <f t="shared" si="8"/>
        <v>135478.29271371791</v>
      </c>
      <c r="H38" s="154">
        <f t="shared" si="8"/>
        <v>129608.04942264099</v>
      </c>
      <c r="I38" s="154">
        <f t="shared" si="8"/>
        <v>130215.3758958869</v>
      </c>
      <c r="J38" s="154">
        <f t="shared" si="1"/>
        <v>800510.25567513611</v>
      </c>
      <c r="K38" s="69"/>
    </row>
    <row r="39" spans="2:11" s="37" customFormat="1" ht="15.75">
      <c r="B39" s="48"/>
      <c r="C39" s="160" t="s">
        <v>304</v>
      </c>
      <c r="D39" s="156">
        <f>$D$12*F801ENE!D28*1</f>
        <v>135643.1041173627</v>
      </c>
      <c r="E39" s="156">
        <f>$D$12*F801ENE!E28*1</f>
        <v>135699.71380773693</v>
      </c>
      <c r="F39" s="156">
        <f>$D$12*F801ENE!F28*1</f>
        <v>133136.71189379558</v>
      </c>
      <c r="G39" s="156">
        <f>$D$12*F801ENE!G28*1</f>
        <v>135234.55467220402</v>
      </c>
      <c r="H39" s="156">
        <f>$D$12*F801ENE!H28*1</f>
        <v>129374.87249445614</v>
      </c>
      <c r="I39" s="156">
        <f>$D$12*F801ENE!I28*1</f>
        <v>129981.10633092471</v>
      </c>
      <c r="J39" s="156">
        <f t="shared" si="1"/>
        <v>799070.06331648002</v>
      </c>
      <c r="K39" s="69"/>
    </row>
    <row r="40" spans="2:11" s="37" customFormat="1" ht="15.75">
      <c r="B40" s="48"/>
      <c r="C40" s="161" t="s">
        <v>628</v>
      </c>
      <c r="D40" s="156">
        <f>$D$12*F801ENE!D29*0.75</f>
        <v>11.737309736821281</v>
      </c>
      <c r="E40" s="156">
        <f>$D$12*F801ENE!E29*0.75</f>
        <v>11.742208220045706</v>
      </c>
      <c r="F40" s="156">
        <f>$D$12*F801ENE!F29*0.75</f>
        <v>11.520429549351419</v>
      </c>
      <c r="G40" s="156">
        <f>$D$12*F801ENE!G29*0.75</f>
        <v>11.701957616182069</v>
      </c>
      <c r="H40" s="156">
        <f>$D$12*F801ENE!H29*0.75</f>
        <v>11.194914481722021</v>
      </c>
      <c r="I40" s="156">
        <f>$D$12*F801ENE!I29*0.75</f>
        <v>11.247372395877512</v>
      </c>
      <c r="J40" s="156">
        <f t="shared" si="1"/>
        <v>69.144192000000004</v>
      </c>
      <c r="K40" s="69"/>
    </row>
    <row r="41" spans="2:11" s="37" customFormat="1" ht="15.75">
      <c r="B41" s="48"/>
      <c r="C41" s="161" t="s">
        <v>629</v>
      </c>
      <c r="D41" s="156">
        <f>$D$12*F801ENE!D30*1</f>
        <v>62.358219935112032</v>
      </c>
      <c r="E41" s="156">
        <f>$D$12*F801ENE!E30*1</f>
        <v>62.384244697268471</v>
      </c>
      <c r="F41" s="156">
        <f>$D$12*F801ENE!F30*1</f>
        <v>61.205974426297793</v>
      </c>
      <c r="G41" s="156">
        <f>$D$12*F801ENE!G30*1</f>
        <v>62.170400463408328</v>
      </c>
      <c r="H41" s="156">
        <f>$D$12*F801ENE!H30*1</f>
        <v>59.476571297764181</v>
      </c>
      <c r="I41" s="156">
        <f>$D$12*F801ENE!I30*1</f>
        <v>59.755270780149246</v>
      </c>
      <c r="J41" s="156">
        <f t="shared" si="1"/>
        <v>367.35068160000009</v>
      </c>
      <c r="K41" s="69"/>
    </row>
    <row r="42" spans="2:11" s="37" customFormat="1" ht="15.75">
      <c r="B42" s="48"/>
      <c r="C42" s="160" t="s">
        <v>305</v>
      </c>
      <c r="D42" s="156">
        <f>$D$12*F801ENE!D31*0.95</f>
        <v>156.12019726459479</v>
      </c>
      <c r="E42" s="156">
        <f>$D$12*F801ENE!E31*0.95</f>
        <v>156.18535292500098</v>
      </c>
      <c r="F42" s="156">
        <f>$D$12*F801ENE!F31*0.95</f>
        <v>153.23543249227595</v>
      </c>
      <c r="G42" s="156">
        <f>$D$12*F801ENE!G31*0.95</f>
        <v>155.64997195984708</v>
      </c>
      <c r="H42" s="156">
        <f>$D$12*F801ENE!H31*0.95</f>
        <v>148.90569444238255</v>
      </c>
      <c r="I42" s="156">
        <f>$D$12*F801ENE!I31*0.95</f>
        <v>149.60344717189875</v>
      </c>
      <c r="J42" s="156">
        <f t="shared" si="1"/>
        <v>919.70009625600017</v>
      </c>
      <c r="K42" s="69"/>
    </row>
    <row r="43" spans="2:11" s="37" customFormat="1" ht="15.75">
      <c r="B43" s="48"/>
      <c r="C43" s="160" t="s">
        <v>307</v>
      </c>
      <c r="D43" s="156">
        <f>$D$12*F801ENE!D32*0.5</f>
        <v>14.258657754360664</v>
      </c>
      <c r="E43" s="156">
        <f>$D$12*F801ENE!E32*0.5</f>
        <v>14.264608504351818</v>
      </c>
      <c r="F43" s="156">
        <f>$D$12*F801ENE!F32*0.5</f>
        <v>13.995188489582462</v>
      </c>
      <c r="G43" s="156">
        <f>$D$12*F801ENE!G32*0.5</f>
        <v>14.21571147447303</v>
      </c>
      <c r="H43" s="156">
        <f>$D$12*F801ENE!H32*0.5</f>
        <v>13.599747962980826</v>
      </c>
      <c r="I43" s="156">
        <f>$D$12*F801ENE!I32*0.5</f>
        <v>13.663474614251198</v>
      </c>
      <c r="J43" s="156">
        <f t="shared" si="1"/>
        <v>83.997388799999996</v>
      </c>
      <c r="K43" s="69"/>
    </row>
    <row r="44" spans="2:11" s="37" customFormat="1" ht="15.75">
      <c r="B44" s="48"/>
      <c r="C44" s="160" t="s">
        <v>624</v>
      </c>
      <c r="D44" s="156">
        <f>$D$12*F801ENE!D33*0</f>
        <v>0</v>
      </c>
      <c r="E44" s="156">
        <f>$D$12*F801ENE!E33*0</f>
        <v>0</v>
      </c>
      <c r="F44" s="156">
        <f>$D$12*F801ENE!F33*0</f>
        <v>0</v>
      </c>
      <c r="G44" s="156">
        <f>$D$12*F801ENE!G33*0</f>
        <v>0</v>
      </c>
      <c r="H44" s="156">
        <f>$D$12*F801ENE!H33*0</f>
        <v>0</v>
      </c>
      <c r="I44" s="156">
        <f>$D$12*F801ENE!I33*0</f>
        <v>0</v>
      </c>
      <c r="J44" s="156">
        <f t="shared" si="1"/>
        <v>0</v>
      </c>
      <c r="K44" s="69"/>
    </row>
    <row r="45" spans="2:11" s="37" customFormat="1" ht="15.75">
      <c r="B45" s="48" t="s">
        <v>274</v>
      </c>
      <c r="C45" s="158" t="s">
        <v>631</v>
      </c>
      <c r="D45" s="154">
        <f t="shared" ref="D45:I45" si="9">SUBTOTAL(9,D46:D49)</f>
        <v>62031.340206093315</v>
      </c>
      <c r="E45" s="154">
        <f t="shared" si="9"/>
        <v>62057.2285473062</v>
      </c>
      <c r="F45" s="154">
        <f t="shared" si="9"/>
        <v>60885.134730174112</v>
      </c>
      <c r="G45" s="154">
        <f t="shared" si="9"/>
        <v>61844.505277856028</v>
      </c>
      <c r="H45" s="154">
        <f t="shared" si="9"/>
        <v>59164.797075712835</v>
      </c>
      <c r="I45" s="154">
        <f t="shared" si="9"/>
        <v>59442.035624617536</v>
      </c>
      <c r="J45" s="154">
        <f t="shared" si="1"/>
        <v>365425.04146176</v>
      </c>
      <c r="K45" s="69"/>
    </row>
    <row r="46" spans="2:11" s="37" customFormat="1" ht="15.75">
      <c r="B46" s="48"/>
      <c r="C46" s="160" t="s">
        <v>304</v>
      </c>
      <c r="D46" s="156">
        <f>$D$12*F801ENE!D35*1</f>
        <v>61987.72957969339</v>
      </c>
      <c r="E46" s="156">
        <f>$D$12*F801ENE!E35*1</f>
        <v>62013.599720319718</v>
      </c>
      <c r="F46" s="156">
        <f>$D$12*F801ENE!F35*1</f>
        <v>60842.329934159636</v>
      </c>
      <c r="G46" s="156">
        <f>$D$12*F801ENE!G35*1</f>
        <v>61801.026004224346</v>
      </c>
      <c r="H46" s="156">
        <f>$D$12*F801ENE!H35*1</f>
        <v>59123.201749016305</v>
      </c>
      <c r="I46" s="156">
        <f>$D$12*F801ENE!I35*1</f>
        <v>59400.24538762663</v>
      </c>
      <c r="J46" s="156">
        <f t="shared" si="1"/>
        <v>365168.13237504003</v>
      </c>
      <c r="K46" s="69"/>
    </row>
    <row r="47" spans="2:11" s="37" customFormat="1" ht="15.75">
      <c r="B47" s="48"/>
      <c r="C47" s="161" t="s">
        <v>306</v>
      </c>
      <c r="D47" s="156">
        <f>$D$12*F801ENE!D36*1</f>
        <v>0</v>
      </c>
      <c r="E47" s="156">
        <f>$D$12*F801ENE!E36*1</f>
        <v>0</v>
      </c>
      <c r="F47" s="156">
        <f>$D$12*F801ENE!F36*1</f>
        <v>0</v>
      </c>
      <c r="G47" s="156">
        <f>$D$12*F801ENE!G36*1</f>
        <v>0</v>
      </c>
      <c r="H47" s="156">
        <f>$D$12*F801ENE!H36*1</f>
        <v>0</v>
      </c>
      <c r="I47" s="156">
        <f>$D$12*F801ENE!I36*1</f>
        <v>0</v>
      </c>
      <c r="J47" s="156">
        <f t="shared" si="1"/>
        <v>0</v>
      </c>
      <c r="K47" s="69"/>
    </row>
    <row r="48" spans="2:11" s="37" customFormat="1" ht="15.75">
      <c r="B48" s="48"/>
      <c r="C48" s="160" t="s">
        <v>305</v>
      </c>
      <c r="D48" s="156">
        <f>$D$12*F801ENE!D37*0.95</f>
        <v>43.610626399922623</v>
      </c>
      <c r="E48" s="156">
        <f>$D$12*F801ENE!E37*0.95</f>
        <v>43.628826986480931</v>
      </c>
      <c r="F48" s="156">
        <f>$D$12*F801ENE!F37*0.95</f>
        <v>42.804796014479045</v>
      </c>
      <c r="G48" s="156">
        <f>$D$12*F801ENE!G37*0.95</f>
        <v>43.479273631680933</v>
      </c>
      <c r="H48" s="156">
        <f>$D$12*F801ENE!H37*0.95</f>
        <v>41.5953266965316</v>
      </c>
      <c r="I48" s="156">
        <f>$D$12*F801ENE!I37*0.95</f>
        <v>41.790236990904894</v>
      </c>
      <c r="J48" s="156">
        <f t="shared" si="1"/>
        <v>256.90908672</v>
      </c>
      <c r="K48" s="69"/>
    </row>
    <row r="49" spans="2:11" s="37" customFormat="1" ht="15.75">
      <c r="B49" s="48"/>
      <c r="C49" s="160" t="s">
        <v>307</v>
      </c>
      <c r="D49" s="156">
        <f>$D$12*F801ENE!D38*0.5</f>
        <v>0</v>
      </c>
      <c r="E49" s="156">
        <f>$D$12*F801ENE!E38*0.5</f>
        <v>0</v>
      </c>
      <c r="F49" s="156">
        <f>$D$12*F801ENE!F38*0.5</f>
        <v>0</v>
      </c>
      <c r="G49" s="156">
        <f>$D$12*F801ENE!G38*0.5</f>
        <v>0</v>
      </c>
      <c r="H49" s="156">
        <f>$D$12*F801ENE!H38*0.5</f>
        <v>0</v>
      </c>
      <c r="I49" s="156">
        <f>$D$12*F801ENE!I38*0.5</f>
        <v>0</v>
      </c>
      <c r="J49" s="156">
        <f t="shared" si="1"/>
        <v>0</v>
      </c>
      <c r="K49" s="69"/>
    </row>
    <row r="50" spans="2:11" s="37" customFormat="1" ht="15.75">
      <c r="B50" s="48" t="s">
        <v>274</v>
      </c>
      <c r="C50" s="158" t="s">
        <v>632</v>
      </c>
      <c r="D50" s="154">
        <f t="shared" ref="D50:I50" si="10">SUBTOTAL(9,D51:D54)</f>
        <v>17451.876801731381</v>
      </c>
      <c r="E50" s="154">
        <f t="shared" si="10"/>
        <v>17459.160219112786</v>
      </c>
      <c r="F50" s="154">
        <f t="shared" si="10"/>
        <v>17129.403731042403</v>
      </c>
      <c r="G50" s="154">
        <f t="shared" si="10"/>
        <v>17399.312724620937</v>
      </c>
      <c r="H50" s="154">
        <f t="shared" si="10"/>
        <v>16645.404502534864</v>
      </c>
      <c r="I50" s="154">
        <f t="shared" si="10"/>
        <v>16723.402704477638</v>
      </c>
      <c r="J50" s="154">
        <f t="shared" si="1"/>
        <v>102808.56068352002</v>
      </c>
      <c r="K50" s="69"/>
    </row>
    <row r="51" spans="2:11" s="37" customFormat="1" ht="15.75">
      <c r="B51" s="48"/>
      <c r="C51" s="160" t="s">
        <v>304</v>
      </c>
      <c r="D51" s="156">
        <f>$D$12*F801ENE!D40*1</f>
        <v>17451.876801731381</v>
      </c>
      <c r="E51" s="156">
        <f>$D$12*F801ENE!E40*1</f>
        <v>17459.160219112786</v>
      </c>
      <c r="F51" s="156">
        <f>$D$12*F801ENE!F40*1</f>
        <v>17129.403731042403</v>
      </c>
      <c r="G51" s="156">
        <f>$D$12*F801ENE!G40*1</f>
        <v>17399.312724620937</v>
      </c>
      <c r="H51" s="156">
        <f>$D$12*F801ENE!H40*1</f>
        <v>16645.404502534864</v>
      </c>
      <c r="I51" s="156">
        <f>$D$12*F801ENE!I40*1</f>
        <v>16723.402704477638</v>
      </c>
      <c r="J51" s="156">
        <f t="shared" si="1"/>
        <v>102808.56068352002</v>
      </c>
      <c r="K51" s="69"/>
    </row>
    <row r="52" spans="2:11" s="37" customFormat="1" ht="15.75">
      <c r="B52" s="48"/>
      <c r="C52" s="161" t="s">
        <v>306</v>
      </c>
      <c r="D52" s="156">
        <f>$D$12*F801ENE!D41*1</f>
        <v>0</v>
      </c>
      <c r="E52" s="156">
        <f>$D$12*F801ENE!E41*1</f>
        <v>0</v>
      </c>
      <c r="F52" s="156">
        <f>$D$12*F801ENE!F41*1</f>
        <v>0</v>
      </c>
      <c r="G52" s="156">
        <f>$D$12*F801ENE!G41*1</f>
        <v>0</v>
      </c>
      <c r="H52" s="156">
        <f>$D$12*F801ENE!H41*1</f>
        <v>0</v>
      </c>
      <c r="I52" s="156">
        <f>$D$12*F801ENE!I41*1</f>
        <v>0</v>
      </c>
      <c r="J52" s="156">
        <f t="shared" si="1"/>
        <v>0</v>
      </c>
      <c r="K52" s="69"/>
    </row>
    <row r="53" spans="2:11" s="37" customFormat="1" ht="15.75">
      <c r="B53" s="48"/>
      <c r="C53" s="160" t="s">
        <v>305</v>
      </c>
      <c r="D53" s="156">
        <f>$D$12*F801ENE!D42*0.95</f>
        <v>0</v>
      </c>
      <c r="E53" s="156">
        <f>$D$12*F801ENE!E42*0.95</f>
        <v>0</v>
      </c>
      <c r="F53" s="156">
        <f>$D$12*F801ENE!F42*0.95</f>
        <v>0</v>
      </c>
      <c r="G53" s="156">
        <f>$D$12*F801ENE!G42*0.95</f>
        <v>0</v>
      </c>
      <c r="H53" s="156">
        <f>$D$12*F801ENE!H42*0.95</f>
        <v>0</v>
      </c>
      <c r="I53" s="156">
        <f>$D$12*F801ENE!I42*0.95</f>
        <v>0</v>
      </c>
      <c r="J53" s="156">
        <f t="shared" si="1"/>
        <v>0</v>
      </c>
      <c r="K53" s="69"/>
    </row>
    <row r="54" spans="2:11" s="37" customFormat="1" ht="15.75">
      <c r="B54" s="48"/>
      <c r="C54" s="160" t="s">
        <v>307</v>
      </c>
      <c r="D54" s="156">
        <f>$D$12*F801ENE!D43*0.5</f>
        <v>0</v>
      </c>
      <c r="E54" s="156">
        <f>$D$12*F801ENE!E43*0.5</f>
        <v>0</v>
      </c>
      <c r="F54" s="156">
        <f>$D$12*F801ENE!F43*0.5</f>
        <v>0</v>
      </c>
      <c r="G54" s="156">
        <f>$D$12*F801ENE!G43*0.5</f>
        <v>0</v>
      </c>
      <c r="H54" s="156">
        <f>$D$12*F801ENE!H43*0.5</f>
        <v>0</v>
      </c>
      <c r="I54" s="156">
        <f>$D$12*F801ENE!I43*0.5</f>
        <v>0</v>
      </c>
      <c r="J54" s="156">
        <f t="shared" si="1"/>
        <v>0</v>
      </c>
      <c r="K54" s="69"/>
    </row>
    <row r="55" spans="2:11" s="37" customFormat="1" ht="15.75">
      <c r="B55" s="48" t="s">
        <v>274</v>
      </c>
      <c r="C55" s="158" t="s">
        <v>633</v>
      </c>
      <c r="D55" s="154">
        <f t="shared" ref="D55:I55" si="11">SUBTOTAL(9,D56:D59)</f>
        <v>17638.708021038474</v>
      </c>
      <c r="E55" s="154">
        <f t="shared" si="11"/>
        <v>17646.069411108168</v>
      </c>
      <c r="F55" s="154">
        <f t="shared" si="11"/>
        <v>17312.782712078792</v>
      </c>
      <c r="G55" s="154">
        <f t="shared" si="11"/>
        <v>17585.581218742085</v>
      </c>
      <c r="H55" s="154">
        <f t="shared" si="11"/>
        <v>16823.602025609278</v>
      </c>
      <c r="I55" s="154">
        <f t="shared" si="11"/>
        <v>16902.435237983205</v>
      </c>
      <c r="J55" s="154">
        <f t="shared" si="1"/>
        <v>103909.17862655999</v>
      </c>
      <c r="K55" s="69"/>
    </row>
    <row r="56" spans="2:11" s="37" customFormat="1" ht="15.75">
      <c r="B56" s="48"/>
      <c r="C56" s="160" t="s">
        <v>304</v>
      </c>
      <c r="D56" s="156">
        <f>$D$12*F801ENE!D45*1</f>
        <v>17638.708021038474</v>
      </c>
      <c r="E56" s="156">
        <f>$D$12*F801ENE!E45*1</f>
        <v>17646.069411108168</v>
      </c>
      <c r="F56" s="156">
        <f>$D$12*F801ENE!F45*1</f>
        <v>17312.782712078792</v>
      </c>
      <c r="G56" s="156">
        <f>$D$12*F801ENE!G45*1</f>
        <v>17585.581218742085</v>
      </c>
      <c r="H56" s="156">
        <f>$D$12*F801ENE!H45*1</f>
        <v>16823.602025609278</v>
      </c>
      <c r="I56" s="156">
        <f>$D$12*F801ENE!I45*1</f>
        <v>16902.435237983205</v>
      </c>
      <c r="J56" s="156">
        <f t="shared" si="1"/>
        <v>103909.17862655999</v>
      </c>
      <c r="K56" s="69"/>
    </row>
    <row r="57" spans="2:11" s="37" customFormat="1" ht="15.75">
      <c r="B57" s="48"/>
      <c r="C57" s="161" t="s">
        <v>306</v>
      </c>
      <c r="D57" s="156">
        <f>$D$12*F801ENE!D46*1</f>
        <v>0</v>
      </c>
      <c r="E57" s="156">
        <f>$D$12*F801ENE!E46*1</f>
        <v>0</v>
      </c>
      <c r="F57" s="156">
        <f>$D$12*F801ENE!F46*1</f>
        <v>0</v>
      </c>
      <c r="G57" s="156">
        <f>$D$12*F801ENE!G46*1</f>
        <v>0</v>
      </c>
      <c r="H57" s="156">
        <f>$D$12*F801ENE!H46*1</f>
        <v>0</v>
      </c>
      <c r="I57" s="156">
        <f>$D$12*F801ENE!I46*1</f>
        <v>0</v>
      </c>
      <c r="J57" s="156">
        <f t="shared" si="1"/>
        <v>0</v>
      </c>
      <c r="K57" s="69"/>
    </row>
    <row r="58" spans="2:11" s="37" customFormat="1" ht="15.75">
      <c r="B58" s="48"/>
      <c r="C58" s="160" t="s">
        <v>305</v>
      </c>
      <c r="D58" s="156">
        <f>$D$12*F801ENE!D47*0.95</f>
        <v>0</v>
      </c>
      <c r="E58" s="156">
        <f>$D$12*F801ENE!E47*0.95</f>
        <v>0</v>
      </c>
      <c r="F58" s="156">
        <f>$D$12*F801ENE!F47*0.95</f>
        <v>0</v>
      </c>
      <c r="G58" s="156">
        <f>$D$12*F801ENE!G47*0.95</f>
        <v>0</v>
      </c>
      <c r="H58" s="156">
        <f>$D$12*F801ENE!H47*0.95</f>
        <v>0</v>
      </c>
      <c r="I58" s="156">
        <f>$D$12*F801ENE!I47*0.95</f>
        <v>0</v>
      </c>
      <c r="J58" s="156">
        <f t="shared" si="1"/>
        <v>0</v>
      </c>
      <c r="K58" s="69"/>
    </row>
    <row r="59" spans="2:11" s="37" customFormat="1" ht="15.75">
      <c r="B59" s="48"/>
      <c r="C59" s="160" t="s">
        <v>307</v>
      </c>
      <c r="D59" s="156">
        <f>$D$12*F801ENE!D48*0.5</f>
        <v>0</v>
      </c>
      <c r="E59" s="156">
        <f>$D$12*F801ENE!E48*0.5</f>
        <v>0</v>
      </c>
      <c r="F59" s="156">
        <f>$D$12*F801ENE!F48*0.5</f>
        <v>0</v>
      </c>
      <c r="G59" s="156">
        <f>$D$12*F801ENE!G48*0.5</f>
        <v>0</v>
      </c>
      <c r="H59" s="156">
        <f>$D$12*F801ENE!H48*0.5</f>
        <v>0</v>
      </c>
      <c r="I59" s="156">
        <f>$D$12*F801ENE!I48*0.5</f>
        <v>0</v>
      </c>
      <c r="J59" s="156">
        <f t="shared" si="1"/>
        <v>0</v>
      </c>
      <c r="K59" s="69"/>
    </row>
    <row r="60" spans="2:11" s="37" customFormat="1" ht="15.75">
      <c r="B60" s="48"/>
      <c r="C60" s="157"/>
      <c r="D60" s="156"/>
      <c r="E60" s="156"/>
      <c r="F60" s="156"/>
      <c r="G60" s="156"/>
      <c r="H60" s="156"/>
      <c r="I60" s="156"/>
      <c r="J60" s="156">
        <f t="shared" si="1"/>
        <v>0</v>
      </c>
      <c r="K60" s="69"/>
    </row>
    <row r="61" spans="2:11" s="37" customFormat="1" ht="15.75">
      <c r="B61" s="48" t="s">
        <v>1176</v>
      </c>
      <c r="C61" s="158" t="s">
        <v>1176</v>
      </c>
      <c r="D61" s="154">
        <f t="shared" ref="D61:I61" si="12">SUBTOTAL(9,D62:D67)</f>
        <v>3.9699999999999998</v>
      </c>
      <c r="E61" s="154">
        <f t="shared" si="12"/>
        <v>3.9699999999999998</v>
      </c>
      <c r="F61" s="154">
        <f t="shared" si="12"/>
        <v>3.9699999999999998</v>
      </c>
      <c r="G61" s="154">
        <f t="shared" si="12"/>
        <v>3.9699999999999998</v>
      </c>
      <c r="H61" s="154">
        <f t="shared" si="12"/>
        <v>3.9699999999999998</v>
      </c>
      <c r="I61" s="154">
        <f t="shared" si="12"/>
        <v>3.9699999999999998</v>
      </c>
      <c r="J61" s="154">
        <f t="shared" si="1"/>
        <v>23.819999999999997</v>
      </c>
      <c r="K61" s="69"/>
    </row>
    <row r="62" spans="2:11" s="37" customFormat="1" ht="15.75">
      <c r="B62" s="48"/>
      <c r="C62" s="160" t="s">
        <v>304</v>
      </c>
      <c r="D62" s="156">
        <f>$D$15*F801ENE!D51*1</f>
        <v>3.9699999999999998</v>
      </c>
      <c r="E62" s="156">
        <f>$D$15*F801ENE!E51*1</f>
        <v>3.9699999999999998</v>
      </c>
      <c r="F62" s="156">
        <f>$D$15*F801ENE!F51*1</f>
        <v>3.9699999999999998</v>
      </c>
      <c r="G62" s="156">
        <f>$D$15*F801ENE!G51*1</f>
        <v>3.9699999999999998</v>
      </c>
      <c r="H62" s="156">
        <f>$D$15*F801ENE!H51*1</f>
        <v>3.9699999999999998</v>
      </c>
      <c r="I62" s="156">
        <f>$D$15*F801ENE!I51*1</f>
        <v>3.9699999999999998</v>
      </c>
      <c r="J62" s="156">
        <f t="shared" si="1"/>
        <v>23.819999999999997</v>
      </c>
      <c r="K62" s="69"/>
    </row>
    <row r="63" spans="2:11" s="37" customFormat="1" ht="15.75">
      <c r="B63" s="48"/>
      <c r="C63" s="162" t="s">
        <v>642</v>
      </c>
      <c r="D63" s="156">
        <f>$D$15*F801ENE!D52*0.75</f>
        <v>0</v>
      </c>
      <c r="E63" s="156">
        <f>$D$15*F801ENE!E52*0.75</f>
        <v>0</v>
      </c>
      <c r="F63" s="156">
        <f>$D$15*F801ENE!F52*0.75</f>
        <v>0</v>
      </c>
      <c r="G63" s="156">
        <f>$D$15*F801ENE!G52*0.75</f>
        <v>0</v>
      </c>
      <c r="H63" s="156">
        <f>$D$15*F801ENE!H52*0.75</f>
        <v>0</v>
      </c>
      <c r="I63" s="156">
        <f>$D$15*F801ENE!I52*0.75</f>
        <v>0</v>
      </c>
      <c r="J63" s="156">
        <f t="shared" si="1"/>
        <v>0</v>
      </c>
      <c r="K63" s="69"/>
    </row>
    <row r="64" spans="2:11" s="37" customFormat="1" ht="15.75">
      <c r="B64" s="48"/>
      <c r="C64" s="162" t="s">
        <v>1177</v>
      </c>
      <c r="D64" s="156">
        <f>$D$15*F801ENE!D53*1</f>
        <v>0</v>
      </c>
      <c r="E64" s="156">
        <f>$D$15*F801ENE!E53*1</f>
        <v>0</v>
      </c>
      <c r="F64" s="156">
        <f>$D$15*F801ENE!F53*1</f>
        <v>0</v>
      </c>
      <c r="G64" s="156">
        <f>$D$15*F801ENE!G53*1</f>
        <v>0</v>
      </c>
      <c r="H64" s="156">
        <f>$D$15*F801ENE!H53*1</f>
        <v>0</v>
      </c>
      <c r="I64" s="156">
        <f>$D$15*F801ENE!I53*1</f>
        <v>0</v>
      </c>
      <c r="J64" s="156">
        <f t="shared" si="1"/>
        <v>0</v>
      </c>
      <c r="K64" s="69"/>
    </row>
    <row r="65" spans="2:11" s="37" customFormat="1" ht="15.75">
      <c r="B65" s="48"/>
      <c r="C65" s="160" t="s">
        <v>305</v>
      </c>
      <c r="D65" s="156">
        <f>$D$15*F801ENE!D54*0.95</f>
        <v>0</v>
      </c>
      <c r="E65" s="156">
        <f>$D$15*F801ENE!E54*0.95</f>
        <v>0</v>
      </c>
      <c r="F65" s="156">
        <f>$D$15*F801ENE!F54*0.95</f>
        <v>0</v>
      </c>
      <c r="G65" s="156">
        <f>$D$15*F801ENE!G54*0.95</f>
        <v>0</v>
      </c>
      <c r="H65" s="156">
        <f>$D$15*F801ENE!H54*0.95</f>
        <v>0</v>
      </c>
      <c r="I65" s="156">
        <f>$D$15*F801ENE!I54*0.95</f>
        <v>0</v>
      </c>
      <c r="J65" s="156">
        <f t="shared" si="1"/>
        <v>0</v>
      </c>
      <c r="K65" s="69"/>
    </row>
    <row r="66" spans="2:11" s="37" customFormat="1" ht="15.75">
      <c r="B66" s="48"/>
      <c r="C66" s="160" t="s">
        <v>307</v>
      </c>
      <c r="D66" s="156">
        <f>$D$15*F801ENE!D55*0.5</f>
        <v>0</v>
      </c>
      <c r="E66" s="156">
        <f>$D$15*F801ENE!E55*0.5</f>
        <v>0</v>
      </c>
      <c r="F66" s="156">
        <f>$D$15*F801ENE!F55*0.5</f>
        <v>0</v>
      </c>
      <c r="G66" s="156">
        <f>$D$15*F801ENE!G55*0.5</f>
        <v>0</v>
      </c>
      <c r="H66" s="156">
        <f>$D$15*F801ENE!H55*0.5</f>
        <v>0</v>
      </c>
      <c r="I66" s="156">
        <f>$D$15*F801ENE!I55*0.5</f>
        <v>0</v>
      </c>
      <c r="J66" s="156">
        <f t="shared" si="1"/>
        <v>0</v>
      </c>
      <c r="K66" s="69"/>
    </row>
    <row r="67" spans="2:11" s="37" customFormat="1" ht="15.75">
      <c r="B67" s="48"/>
      <c r="C67" s="160" t="s">
        <v>624</v>
      </c>
      <c r="D67" s="156">
        <f>$D$15*F801ENE!D56*0</f>
        <v>0</v>
      </c>
      <c r="E67" s="156">
        <f>$D$15*F801ENE!E56*0</f>
        <v>0</v>
      </c>
      <c r="F67" s="156">
        <f>$D$15*F801ENE!F56*0</f>
        <v>0</v>
      </c>
      <c r="G67" s="156">
        <f>$D$15*F801ENE!G56*0</f>
        <v>0</v>
      </c>
      <c r="H67" s="156">
        <f>$D$15*F801ENE!H56*0</f>
        <v>0</v>
      </c>
      <c r="I67" s="156">
        <f>$D$15*F801ENE!I56*0</f>
        <v>0</v>
      </c>
      <c r="J67" s="156">
        <f t="shared" si="1"/>
        <v>0</v>
      </c>
      <c r="K67" s="69"/>
    </row>
    <row r="68" spans="2:11" s="37" customFormat="1" ht="15.75">
      <c r="B68" s="48" t="s">
        <v>751</v>
      </c>
      <c r="C68" s="158" t="s">
        <v>634</v>
      </c>
      <c r="D68" s="154">
        <f t="shared" ref="D68" si="13">SUBTOTAL(9,D69:D73)</f>
        <v>318289.99344173569</v>
      </c>
      <c r="E68" s="154">
        <f t="shared" ref="E68:I68" si="14">SUBTOTAL(9,E69:E73)</f>
        <v>318422.83117672912</v>
      </c>
      <c r="F68" s="154">
        <f t="shared" si="14"/>
        <v>312408.60699035763</v>
      </c>
      <c r="G68" s="154">
        <f t="shared" si="14"/>
        <v>317331.30982115905</v>
      </c>
      <c r="H68" s="154">
        <f t="shared" si="14"/>
        <v>303581.24506850849</v>
      </c>
      <c r="I68" s="154">
        <f t="shared" si="14"/>
        <v>305003.80592656072</v>
      </c>
      <c r="J68" s="154">
        <f t="shared" si="1"/>
        <v>1875037.7924250506</v>
      </c>
      <c r="K68" s="69"/>
    </row>
    <row r="69" spans="2:11" s="37" customFormat="1" ht="15.75">
      <c r="B69" s="48"/>
      <c r="C69" s="160" t="s">
        <v>304</v>
      </c>
      <c r="D69" s="156">
        <f>($D$14*(F801ENE!D66))*1</f>
        <v>224935.54158057173</v>
      </c>
      <c r="E69" s="156">
        <f>($D$14*(F801ENE!E66))*1</f>
        <v>225029.418495188</v>
      </c>
      <c r="F69" s="156">
        <f>($D$14*(F801ENE!F66))*1</f>
        <v>220779.14420035016</v>
      </c>
      <c r="G69" s="156">
        <f>($D$14*(F801ENE!G66))*1</f>
        <v>224258.03634911525</v>
      </c>
      <c r="H69" s="156">
        <f>($D$14*(F801ENE!H66))*1</f>
        <v>214540.81514825314</v>
      </c>
      <c r="I69" s="156">
        <f>($D$14*(F801ENE!I66))*1</f>
        <v>215546.14412510156</v>
      </c>
      <c r="J69" s="156">
        <f t="shared" si="1"/>
        <v>1325089.09989858</v>
      </c>
      <c r="K69" s="69"/>
    </row>
    <row r="70" spans="2:11" s="37" customFormat="1" ht="15.75">
      <c r="B70" s="48"/>
      <c r="C70" s="162" t="s">
        <v>644</v>
      </c>
      <c r="D70" s="156">
        <f>($D$14*(F801ENE!D67))*0.75</f>
        <v>93334.573617869479</v>
      </c>
      <c r="E70" s="156">
        <f>($D$14*(F801ENE!E67))*0.75</f>
        <v>93373.526142202347</v>
      </c>
      <c r="F70" s="156">
        <f>($D$14*(F801ENE!F67))*0.75</f>
        <v>91609.951853807113</v>
      </c>
      <c r="G70" s="156">
        <f>($D$14*(F801ENE!G67))*0.75</f>
        <v>93053.455100906678</v>
      </c>
      <c r="H70" s="156">
        <f>($D$14*(F801ENE!H67))*0.75</f>
        <v>89021.470274585387</v>
      </c>
      <c r="I70" s="156">
        <f>($D$14*(F801ENE!I67))*0.75</f>
        <v>89438.613313353941</v>
      </c>
      <c r="J70" s="156">
        <f t="shared" si="1"/>
        <v>549831.59030272497</v>
      </c>
      <c r="K70" s="69"/>
    </row>
    <row r="71" spans="2:11" s="37" customFormat="1" ht="15.75">
      <c r="B71" s="48"/>
      <c r="C71" s="160" t="s">
        <v>305</v>
      </c>
      <c r="D71" s="156">
        <f>($D$14*(F801ENE!D68))*0.95</f>
        <v>19.183006414550629</v>
      </c>
      <c r="E71" s="156">
        <f>($D$14*(F801ENE!E68))*0.95</f>
        <v>19.191012306635162</v>
      </c>
      <c r="F71" s="156">
        <f>($D$14*(F801ENE!F68))*0.95</f>
        <v>18.828545799579242</v>
      </c>
      <c r="G71" s="156">
        <f>($D$14*(F801ENE!G68))*0.95</f>
        <v>19.125228271841955</v>
      </c>
      <c r="H71" s="156">
        <f>($D$14*(F801ENE!H68))*0.95</f>
        <v>18.296536525701232</v>
      </c>
      <c r="I71" s="156">
        <f>($D$14*(F801ENE!I68))*0.95</f>
        <v>18.382271717691765</v>
      </c>
      <c r="J71" s="156">
        <f t="shared" si="1"/>
        <v>113.00660103599999</v>
      </c>
      <c r="K71" s="69"/>
    </row>
    <row r="72" spans="2:11" s="37" customFormat="1" ht="15.75">
      <c r="B72" s="48"/>
      <c r="C72" s="160" t="s">
        <v>307</v>
      </c>
      <c r="D72" s="156">
        <f>($D$14*(F801ENE!D69))*0.5</f>
        <v>0.69523687994545302</v>
      </c>
      <c r="E72" s="156">
        <f>($D$14*(F801ENE!E69))*0.5</f>
        <v>0.69552703214129485</v>
      </c>
      <c r="F72" s="156">
        <f>($D$14*(F801ENE!F69))*0.5</f>
        <v>0.68239040079141766</v>
      </c>
      <c r="G72" s="156">
        <f>($D$14*(F801ENE!G69))*0.5</f>
        <v>0.69314286533701541</v>
      </c>
      <c r="H72" s="156">
        <f>($D$14*(F801ENE!H69))*0.5</f>
        <v>0.66310914426259526</v>
      </c>
      <c r="I72" s="156">
        <f>($D$14*(F801ENE!I69))*0.5</f>
        <v>0.66621638752222367</v>
      </c>
      <c r="J72" s="156">
        <f t="shared" si="1"/>
        <v>4.0956227099999998</v>
      </c>
      <c r="K72" s="69"/>
    </row>
    <row r="73" spans="2:11" s="37" customFormat="1" ht="15.75">
      <c r="B73" s="48"/>
      <c r="C73" s="160" t="s">
        <v>624</v>
      </c>
      <c r="D73" s="156">
        <f>($D$14*(F801ENE!D70))*0</f>
        <v>0</v>
      </c>
      <c r="E73" s="156">
        <f>($D$14*(F801ENE!E70))*0</f>
        <v>0</v>
      </c>
      <c r="F73" s="156">
        <f>($D$14*(F801ENE!F70))*0</f>
        <v>0</v>
      </c>
      <c r="G73" s="156">
        <f>($D$14*(F801ENE!G70))*0</f>
        <v>0</v>
      </c>
      <c r="H73" s="156">
        <f>($D$14*(F801ENE!H70))*0</f>
        <v>0</v>
      </c>
      <c r="I73" s="156">
        <f>($D$14*(F801ENE!I70))*0</f>
        <v>0</v>
      </c>
      <c r="J73" s="156">
        <f t="shared" si="1"/>
        <v>0</v>
      </c>
      <c r="K73" s="69"/>
    </row>
    <row r="74" spans="2:11" s="37" customFormat="1" ht="15.75">
      <c r="B74" s="48" t="s">
        <v>750</v>
      </c>
      <c r="C74" s="158" t="s">
        <v>635</v>
      </c>
      <c r="D74" s="154">
        <f t="shared" ref="D74" si="15">SUBTOTAL(9,D75:D80)</f>
        <v>119747.57610533015</v>
      </c>
      <c r="E74" s="154">
        <f t="shared" ref="E74:I74" si="16">SUBTOTAL(9,E75:E80)</f>
        <v>119797.55190948547</v>
      </c>
      <c r="F74" s="154">
        <f t="shared" si="16"/>
        <v>117534.89898109002</v>
      </c>
      <c r="G74" s="154">
        <f t="shared" si="16"/>
        <v>119386.90310175011</v>
      </c>
      <c r="H74" s="154">
        <f t="shared" si="16"/>
        <v>114213.89602484193</v>
      </c>
      <c r="I74" s="154">
        <f t="shared" si="16"/>
        <v>114749.08749618524</v>
      </c>
      <c r="J74" s="154">
        <f t="shared" si="1"/>
        <v>705429.91361868288</v>
      </c>
      <c r="K74" s="69"/>
    </row>
    <row r="75" spans="2:11" s="37" customFormat="1" ht="15.75">
      <c r="B75" s="48"/>
      <c r="C75" s="160" t="s">
        <v>304</v>
      </c>
      <c r="D75" s="156">
        <f>($D$14*(F801ENE!D72))*1</f>
        <v>86160.48527276222</v>
      </c>
      <c r="E75" s="156">
        <f>($D$14*(F801ENE!E72))*1</f>
        <v>86196.443742052084</v>
      </c>
      <c r="F75" s="156">
        <f>($D$14*(F801ENE!F72))*1</f>
        <v>84568.425199589823</v>
      </c>
      <c r="G75" s="156">
        <f>($D$14*(F801ENE!G72))*1</f>
        <v>85900.974708757931</v>
      </c>
      <c r="H75" s="156">
        <f>($D$14*(F801ENE!H72))*1</f>
        <v>82178.905214225568</v>
      </c>
      <c r="I75" s="156">
        <f>($D$14*(F801ENE!I72))*1</f>
        <v>82563.984882512319</v>
      </c>
      <c r="J75" s="156">
        <f t="shared" si="1"/>
        <v>507569.21901989996</v>
      </c>
      <c r="K75" s="69"/>
    </row>
    <row r="76" spans="2:11" s="37" customFormat="1" ht="15.75">
      <c r="B76" s="48"/>
      <c r="C76" s="162" t="s">
        <v>642</v>
      </c>
      <c r="D76" s="156">
        <f>($D$14*(F801ENE!D73))*0.75</f>
        <v>27114.712295874859</v>
      </c>
      <c r="E76" s="156">
        <f>($D$14*(F801ENE!E73))*0.75</f>
        <v>27126.028429324062</v>
      </c>
      <c r="F76" s="156">
        <f>($D$14*(F801ENE!F73))*0.75</f>
        <v>26613.690850775525</v>
      </c>
      <c r="G76" s="156">
        <f>($D$14*(F801ENE!G73))*0.75</f>
        <v>27033.044298550551</v>
      </c>
      <c r="H76" s="156">
        <f>($D$14*(F801ENE!H73))*0.75</f>
        <v>25861.708701147625</v>
      </c>
      <c r="I76" s="156">
        <f>($D$14*(F801ENE!I73))*0.75</f>
        <v>25982.893306637387</v>
      </c>
      <c r="J76" s="156">
        <f t="shared" si="1"/>
        <v>159732.07788231</v>
      </c>
      <c r="K76" s="69"/>
    </row>
    <row r="77" spans="2:11" s="37" customFormat="1" ht="15.75">
      <c r="B77" s="48"/>
      <c r="C77" s="162" t="s">
        <v>1177</v>
      </c>
      <c r="D77" s="156">
        <f>($D$14*(F801ENE!D74))*1</f>
        <v>6452.5118057745631</v>
      </c>
      <c r="E77" s="156">
        <f>($D$14*(F801ENE!E74))*1</f>
        <v>6455.2047159511467</v>
      </c>
      <c r="F77" s="156">
        <f>($D$14*(F801ENE!F74))*1</f>
        <v>6333.2832941763954</v>
      </c>
      <c r="G77" s="156">
        <f>($D$14*(F801ENE!G74))*1</f>
        <v>6433.0772010058008</v>
      </c>
      <c r="H77" s="156">
        <f>($D$14*(F801ENE!H74))*1</f>
        <v>6154.3334441739689</v>
      </c>
      <c r="I77" s="156">
        <f>($D$14*(F801ENE!I74))*1</f>
        <v>6183.1718507581236</v>
      </c>
      <c r="J77" s="156">
        <f t="shared" si="1"/>
        <v>38011.582311839993</v>
      </c>
      <c r="K77" s="69"/>
    </row>
    <row r="78" spans="2:11" s="37" customFormat="1" ht="15.75">
      <c r="B78" s="48"/>
      <c r="C78" s="160" t="s">
        <v>305</v>
      </c>
      <c r="D78" s="156">
        <f>($D$14*(F801ENE!D75))*0.95</f>
        <v>18.941937952896744</v>
      </c>
      <c r="E78" s="156">
        <f>($D$14*(F801ENE!E75))*0.95</f>
        <v>18.949843236763396</v>
      </c>
      <c r="F78" s="156">
        <f>($D$14*(F801ENE!F75))*0.95</f>
        <v>18.591931763541524</v>
      </c>
      <c r="G78" s="156">
        <f>($D$14*(F801ENE!G75))*0.95</f>
        <v>18.884885894915303</v>
      </c>
      <c r="H78" s="156">
        <f>($D$14*(F801ENE!H75))*0.95</f>
        <v>18.066608128737379</v>
      </c>
      <c r="I78" s="156">
        <f>($D$14*(F801ENE!I75))*0.95</f>
        <v>18.151265906145646</v>
      </c>
      <c r="J78" s="156">
        <f t="shared" si="1"/>
        <v>111.586472883</v>
      </c>
      <c r="K78" s="69"/>
    </row>
    <row r="79" spans="2:11" s="37" customFormat="1" ht="15.75">
      <c r="B79" s="48"/>
      <c r="C79" s="160" t="s">
        <v>307</v>
      </c>
      <c r="D79" s="156">
        <f>($D$14*(F801ENE!D76))*0.5</f>
        <v>0.92479296561615454</v>
      </c>
      <c r="E79" s="156">
        <f>($D$14*(F801ENE!E76))*0.5</f>
        <v>0.92517892142116542</v>
      </c>
      <c r="F79" s="156">
        <f>($D$14*(F801ENE!F76))*0.5</f>
        <v>0.90770478474243765</v>
      </c>
      <c r="G79" s="156">
        <f>($D$14*(F801ENE!G76))*0.5</f>
        <v>0.92200754091323534</v>
      </c>
      <c r="H79" s="156">
        <f>($D$14*(F801ENE!H76))*0.5</f>
        <v>0.88205716603801221</v>
      </c>
      <c r="I79" s="156">
        <f>($D$14*(F801ENE!I76))*0.5</f>
        <v>0.8861903712689948</v>
      </c>
      <c r="J79" s="156">
        <f t="shared" si="1"/>
        <v>5.4479317500000004</v>
      </c>
      <c r="K79" s="69"/>
    </row>
    <row r="80" spans="2:11" s="37" customFormat="1" ht="15.75">
      <c r="B80" s="48"/>
      <c r="C80" s="160" t="s">
        <v>624</v>
      </c>
      <c r="D80" s="156">
        <f>($D$14*(F801ENE!D77))*0</f>
        <v>0</v>
      </c>
      <c r="E80" s="156">
        <f>($D$14*(F801ENE!E77))*0</f>
        <v>0</v>
      </c>
      <c r="F80" s="156">
        <f>($D$14*(F801ENE!F77))*0</f>
        <v>0</v>
      </c>
      <c r="G80" s="156">
        <f>($D$14*(F801ENE!G77))*0</f>
        <v>0</v>
      </c>
      <c r="H80" s="156">
        <f>($D$14*(F801ENE!H77))*0</f>
        <v>0</v>
      </c>
      <c r="I80" s="156">
        <f>($D$14*(F801ENE!I77))*0</f>
        <v>0</v>
      </c>
      <c r="J80" s="156">
        <f t="shared" si="1"/>
        <v>0</v>
      </c>
      <c r="K80" s="69"/>
    </row>
    <row r="81" spans="2:11" s="37" customFormat="1" ht="15.75">
      <c r="B81" s="48" t="s">
        <v>749</v>
      </c>
      <c r="C81" s="158" t="s">
        <v>636</v>
      </c>
      <c r="D81" s="154">
        <f t="shared" ref="D81" si="17">SUBTOTAL(9,D82:D87)</f>
        <v>118449.72507998273</v>
      </c>
      <c r="E81" s="154">
        <f t="shared" ref="E81:I81" si="18">SUBTOTAL(9,E82:E87)</f>
        <v>118499.15923518967</v>
      </c>
      <c r="F81" s="154">
        <f t="shared" si="18"/>
        <v>116261.02944553852</v>
      </c>
      <c r="G81" s="154">
        <f t="shared" si="18"/>
        <v>118092.96113112207</v>
      </c>
      <c r="H81" s="154">
        <f t="shared" si="18"/>
        <v>112976.02026246006</v>
      </c>
      <c r="I81" s="154">
        <f t="shared" si="18"/>
        <v>113505.41120887894</v>
      </c>
      <c r="J81" s="154">
        <f t="shared" si="1"/>
        <v>697784.30636317201</v>
      </c>
      <c r="K81" s="69"/>
    </row>
    <row r="82" spans="2:11" s="37" customFormat="1" ht="15.75">
      <c r="B82" s="48"/>
      <c r="C82" s="160" t="s">
        <v>304</v>
      </c>
      <c r="D82" s="156">
        <f>($D$14*(F801ENE!D79))*1</f>
        <v>107846.24212288554</v>
      </c>
      <c r="E82" s="156">
        <f>($D$14*(F801ENE!E79))*1</f>
        <v>107891.25098945732</v>
      </c>
      <c r="F82" s="156">
        <f>($D$14*(F801ENE!F79))*1</f>
        <v>105853.4760006663</v>
      </c>
      <c r="G82" s="156">
        <f>($D$14*(F801ENE!G79))*1</f>
        <v>107521.41527180115</v>
      </c>
      <c r="H82" s="156">
        <f>($D$14*(F801ENE!H79))*1</f>
        <v>102862.53705593715</v>
      </c>
      <c r="I82" s="156">
        <f>($D$14*(F801ENE!I79))*1</f>
        <v>103344.53753459256</v>
      </c>
      <c r="J82" s="156">
        <f t="shared" si="1"/>
        <v>635319.45897534001</v>
      </c>
      <c r="K82" s="69"/>
    </row>
    <row r="83" spans="2:11" s="37" customFormat="1" ht="15.75">
      <c r="B83" s="48"/>
      <c r="C83" s="162" t="s">
        <v>642</v>
      </c>
      <c r="D83" s="156">
        <f>($D$14*(F801ENE!D80))*0.75</f>
        <v>0</v>
      </c>
      <c r="E83" s="156">
        <f>($D$14*(F801ENE!E80))*0.75</f>
        <v>0</v>
      </c>
      <c r="F83" s="156">
        <f>($D$14*(F801ENE!F80))*0.75</f>
        <v>0</v>
      </c>
      <c r="G83" s="156">
        <f>($D$14*(F801ENE!G80))*0.75</f>
        <v>0</v>
      </c>
      <c r="H83" s="156">
        <f>($D$14*(F801ENE!H80))*0.75</f>
        <v>0</v>
      </c>
      <c r="I83" s="156">
        <f>($D$14*(F801ENE!I80))*0.75</f>
        <v>0</v>
      </c>
      <c r="J83" s="156">
        <f t="shared" si="1"/>
        <v>0</v>
      </c>
      <c r="K83" s="69"/>
    </row>
    <row r="84" spans="2:11" s="37" customFormat="1" ht="15.75">
      <c r="B84" s="48"/>
      <c r="C84" s="162" t="s">
        <v>1177</v>
      </c>
      <c r="D84" s="156">
        <f>($D$14*(F801ENE!D81))*1</f>
        <v>10528.421159392437</v>
      </c>
      <c r="E84" s="156">
        <f>($D$14*(F801ENE!E81))*1</f>
        <v>10532.815121517096</v>
      </c>
      <c r="F84" s="156">
        <f>($D$14*(F801ENE!F81))*1</f>
        <v>10333.878627414484</v>
      </c>
      <c r="G84" s="156">
        <f>($D$14*(F801ENE!G81))*1</f>
        <v>10496.710143553808</v>
      </c>
      <c r="H84" s="156">
        <f>($D$14*(F801ENE!H81))*1</f>
        <v>10041.890105123128</v>
      </c>
      <c r="I84" s="156">
        <f>($D$14*(F801ENE!I81))*1</f>
        <v>10088.945096919046</v>
      </c>
      <c r="J84" s="156">
        <f t="shared" ref="J84:J110" si="19">SUM(D84:I84)</f>
        <v>62022.660253920003</v>
      </c>
      <c r="K84" s="69"/>
    </row>
    <row r="85" spans="2:11" s="37" customFormat="1" ht="15.75">
      <c r="B85" s="48"/>
      <c r="C85" s="160" t="s">
        <v>305</v>
      </c>
      <c r="D85" s="156">
        <f>($D$14*(F801ENE!D82))*0.95</f>
        <v>74.749615256917963</v>
      </c>
      <c r="E85" s="156">
        <f>($D$14*(F801ENE!E82))*0.95</f>
        <v>74.780811480292698</v>
      </c>
      <c r="F85" s="156">
        <f>($D$14*(F801ENE!F82))*0.95</f>
        <v>73.368403468720672</v>
      </c>
      <c r="G85" s="156">
        <f>($D$14*(F801ENE!G82))*0.95</f>
        <v>74.524473595366061</v>
      </c>
      <c r="H85" s="156">
        <f>($D$14*(F801ENE!H82))*0.95</f>
        <v>71.295345279816075</v>
      </c>
      <c r="I85" s="156">
        <f>($D$14*(F801ENE!I82))*0.95</f>
        <v>71.629426000886426</v>
      </c>
      <c r="J85" s="156">
        <f t="shared" si="19"/>
        <v>440.34807508199987</v>
      </c>
      <c r="K85" s="69"/>
    </row>
    <row r="86" spans="2:11" s="37" customFormat="1" ht="15.75">
      <c r="B86" s="48"/>
      <c r="C86" s="160" t="s">
        <v>307</v>
      </c>
      <c r="D86" s="156">
        <f>($D$14*(F801ENE!D83))*0.5</f>
        <v>0.31218244783229437</v>
      </c>
      <c r="E86" s="156">
        <f>($D$14*(F801ENE!E83))*0.5</f>
        <v>0.3123127349694626</v>
      </c>
      <c r="F86" s="156">
        <f>($D$14*(F801ENE!F83))*0.5</f>
        <v>0.30641398901772748</v>
      </c>
      <c r="G86" s="156">
        <f>($D$14*(F801ENE!G83))*0.5</f>
        <v>0.3112421717550099</v>
      </c>
      <c r="H86" s="156">
        <f>($D$14*(F801ENE!H83))*0.5</f>
        <v>0.29775611997470086</v>
      </c>
      <c r="I86" s="156">
        <f>($D$14*(F801ENE!I83))*0.5</f>
        <v>0.29915136645080459</v>
      </c>
      <c r="J86" s="156">
        <f t="shared" si="19"/>
        <v>1.8390588299999999</v>
      </c>
      <c r="K86" s="69"/>
    </row>
    <row r="87" spans="2:11" s="37" customFormat="1" ht="15.75">
      <c r="B87" s="48"/>
      <c r="C87" s="160" t="s">
        <v>624</v>
      </c>
      <c r="D87" s="156">
        <f>($D$14*(F801ENE!D84))*0</f>
        <v>0</v>
      </c>
      <c r="E87" s="156">
        <f>($D$14*(F801ENE!E84))*0</f>
        <v>0</v>
      </c>
      <c r="F87" s="156">
        <f>($D$14*(F801ENE!F84))*0</f>
        <v>0</v>
      </c>
      <c r="G87" s="156">
        <f>($D$14*(F801ENE!G84))*0</f>
        <v>0</v>
      </c>
      <c r="H87" s="156">
        <f>($D$14*(F801ENE!H84))*0</f>
        <v>0</v>
      </c>
      <c r="I87" s="156">
        <f>($D$14*(F801ENE!I84))*0</f>
        <v>0</v>
      </c>
      <c r="J87" s="156">
        <f t="shared" si="19"/>
        <v>0</v>
      </c>
      <c r="K87" s="69"/>
    </row>
    <row r="88" spans="2:11" s="37" customFormat="1" ht="15.75">
      <c r="B88" s="48"/>
      <c r="C88" s="157"/>
      <c r="D88" s="156"/>
      <c r="E88" s="156"/>
      <c r="F88" s="156"/>
      <c r="G88" s="156"/>
      <c r="H88" s="156"/>
      <c r="I88" s="156"/>
      <c r="J88" s="156">
        <f t="shared" si="19"/>
        <v>0</v>
      </c>
      <c r="K88" s="69"/>
    </row>
    <row r="89" spans="2:11" s="37" customFormat="1" ht="15.75">
      <c r="B89" s="48" t="s">
        <v>902</v>
      </c>
      <c r="C89" s="158" t="s">
        <v>910</v>
      </c>
      <c r="D89" s="154">
        <f t="shared" ref="D89:I89" si="20">SUBTOTAL(9,D90:D94)</f>
        <v>54596.738529012597</v>
      </c>
      <c r="E89" s="154">
        <f t="shared" si="20"/>
        <v>54619.524091785439</v>
      </c>
      <c r="F89" s="154">
        <f t="shared" si="20"/>
        <v>53587.908468895082</v>
      </c>
      <c r="G89" s="154">
        <f t="shared" si="20"/>
        <v>54432.296205323182</v>
      </c>
      <c r="H89" s="154">
        <f t="shared" si="20"/>
        <v>52073.757319005679</v>
      </c>
      <c r="I89" s="154">
        <f t="shared" si="20"/>
        <v>52317.768177298</v>
      </c>
      <c r="J89" s="154">
        <f t="shared" si="19"/>
        <v>321627.99279132002</v>
      </c>
      <c r="K89" s="69"/>
    </row>
    <row r="90" spans="2:11" s="37" customFormat="1" ht="15.75">
      <c r="B90" s="48"/>
      <c r="C90" s="160" t="s">
        <v>304</v>
      </c>
      <c r="D90" s="156">
        <f>($D$13*(F801ENE!D87))*1</f>
        <v>52511.78915800251</v>
      </c>
      <c r="E90" s="156">
        <f>($D$13*(F801ENE!E87))*1</f>
        <v>52533.70458189799</v>
      </c>
      <c r="F90" s="156">
        <f>($D$13*(F801ENE!F87))*1</f>
        <v>51541.484468739895</v>
      </c>
      <c r="G90" s="156">
        <f>($D$13*(F801ENE!G87))*1</f>
        <v>52353.626585239275</v>
      </c>
      <c r="H90" s="156">
        <f>($D$13*(F801ENE!H87))*1</f>
        <v>50085.155975892514</v>
      </c>
      <c r="I90" s="156">
        <f>($D$13*(F801ENE!I87))*1</f>
        <v>50319.84850676779</v>
      </c>
      <c r="J90" s="156">
        <f t="shared" si="19"/>
        <v>309345.60927653994</v>
      </c>
      <c r="K90" s="69"/>
    </row>
    <row r="91" spans="2:11" s="37" customFormat="1" ht="15.75">
      <c r="B91" s="48"/>
      <c r="C91" s="162" t="s">
        <v>644</v>
      </c>
      <c r="D91" s="156">
        <f>($D$13*(F801ENE!D88))*0.75</f>
        <v>2084.9493710100833</v>
      </c>
      <c r="E91" s="156">
        <f>($D$13*(F801ENE!E88))*0.75</f>
        <v>2085.8195098874471</v>
      </c>
      <c r="F91" s="156">
        <f>($D$13*(F801ENE!F88))*0.75</f>
        <v>2046.4240001551861</v>
      </c>
      <c r="G91" s="156">
        <f>($D$13*(F801ENE!G88))*0.75</f>
        <v>2078.6696200839092</v>
      </c>
      <c r="H91" s="156">
        <f>($D$13*(F801ENE!H88))*0.75</f>
        <v>1988.6013431131628</v>
      </c>
      <c r="I91" s="156">
        <f>($D$13*(F801ENE!I88))*0.75</f>
        <v>1997.9196705302095</v>
      </c>
      <c r="J91" s="156">
        <f t="shared" si="19"/>
        <v>12282.383514779998</v>
      </c>
      <c r="K91" s="69"/>
    </row>
    <row r="92" spans="2:11" s="37" customFormat="1" ht="15.75">
      <c r="B92" s="48"/>
      <c r="C92" s="160" t="s">
        <v>305</v>
      </c>
      <c r="D92" s="156">
        <f>($D$13*(F801ENE!D89))*0.95</f>
        <v>0</v>
      </c>
      <c r="E92" s="156">
        <f>($D$13*(F801ENE!E89))*0.95</f>
        <v>0</v>
      </c>
      <c r="F92" s="156">
        <f>($D$13*(F801ENE!F89))*0.95</f>
        <v>0</v>
      </c>
      <c r="G92" s="156">
        <f>($D$13*(F801ENE!G89))*0.95</f>
        <v>0</v>
      </c>
      <c r="H92" s="156">
        <f>($D$13*(F801ENE!H89))*0.95</f>
        <v>0</v>
      </c>
      <c r="I92" s="156">
        <f>($D$13*(F801ENE!I89))*0.95</f>
        <v>0</v>
      </c>
      <c r="J92" s="156">
        <f t="shared" si="19"/>
        <v>0</v>
      </c>
      <c r="K92" s="69"/>
    </row>
    <row r="93" spans="2:11" s="37" customFormat="1" ht="15.75">
      <c r="B93" s="48"/>
      <c r="C93" s="160" t="s">
        <v>307</v>
      </c>
      <c r="D93" s="156">
        <f>($D$13*(F801ENE!D90))*0.5</f>
        <v>0</v>
      </c>
      <c r="E93" s="156">
        <f>($D$13*(F801ENE!E90))*0.5</f>
        <v>0</v>
      </c>
      <c r="F93" s="156">
        <f>($D$13*(F801ENE!F90))*0.5</f>
        <v>0</v>
      </c>
      <c r="G93" s="156">
        <f>($D$13*(F801ENE!G90))*0.5</f>
        <v>0</v>
      </c>
      <c r="H93" s="156">
        <f>($D$13*(F801ENE!H90))*0.5</f>
        <v>0</v>
      </c>
      <c r="I93" s="156">
        <f>($D$13*(F801ENE!I90))*0.5</f>
        <v>0</v>
      </c>
      <c r="J93" s="156">
        <f t="shared" si="19"/>
        <v>0</v>
      </c>
      <c r="K93" s="69"/>
    </row>
    <row r="94" spans="2:11" s="37" customFormat="1" ht="15.75">
      <c r="B94" s="48"/>
      <c r="C94" s="160" t="s">
        <v>624</v>
      </c>
      <c r="D94" s="156">
        <f>($D$13*(F801ENE!D91))*0</f>
        <v>0</v>
      </c>
      <c r="E94" s="156">
        <f>($D$13*(F801ENE!E91))*0</f>
        <v>0</v>
      </c>
      <c r="F94" s="156">
        <f>($D$13*(F801ENE!F91))*0</f>
        <v>0</v>
      </c>
      <c r="G94" s="156">
        <f>($D$13*(F801ENE!G91))*0</f>
        <v>0</v>
      </c>
      <c r="H94" s="156">
        <f>($D$13*(F801ENE!H91))*0</f>
        <v>0</v>
      </c>
      <c r="I94" s="156">
        <f>($D$13*(F801ENE!I91))*0</f>
        <v>0</v>
      </c>
      <c r="J94" s="156">
        <f t="shared" si="19"/>
        <v>0</v>
      </c>
      <c r="K94" s="69"/>
    </row>
    <row r="95" spans="2:11" s="37" customFormat="1" ht="15.75">
      <c r="B95" s="48" t="s">
        <v>902</v>
      </c>
      <c r="C95" s="158" t="s">
        <v>911</v>
      </c>
      <c r="D95" s="154">
        <f t="shared" ref="D95:I95" si="21">SUBTOTAL(9,D96:D101)</f>
        <v>4321.2953019824508</v>
      </c>
      <c r="E95" s="154">
        <f t="shared" si="21"/>
        <v>4323.0987640209569</v>
      </c>
      <c r="F95" s="154">
        <f t="shared" si="21"/>
        <v>4241.4470781372138</v>
      </c>
      <c r="G95" s="154">
        <f t="shared" si="21"/>
        <v>4308.2798021567887</v>
      </c>
      <c r="H95" s="154">
        <f t="shared" si="21"/>
        <v>4121.6030283496711</v>
      </c>
      <c r="I95" s="154">
        <f t="shared" si="21"/>
        <v>4140.9163244179163</v>
      </c>
      <c r="J95" s="154">
        <f t="shared" si="19"/>
        <v>25456.640299064995</v>
      </c>
      <c r="K95" s="69"/>
    </row>
    <row r="96" spans="2:11" s="37" customFormat="1" ht="15.75">
      <c r="B96" s="48"/>
      <c r="C96" s="160" t="s">
        <v>304</v>
      </c>
      <c r="D96" s="156">
        <f>($D$13*(F801ENE!D93))*1</f>
        <v>3925.3399215696977</v>
      </c>
      <c r="E96" s="156">
        <f>($D$13*(F801ENE!E93))*1</f>
        <v>3926.9781344299799</v>
      </c>
      <c r="F96" s="156">
        <f>($D$13*(F801ENE!F93))*1</f>
        <v>3852.8080997841439</v>
      </c>
      <c r="G96" s="156">
        <f>($D$13*(F801ENE!G93))*1</f>
        <v>3913.5170172101143</v>
      </c>
      <c r="H96" s="156">
        <f>($D$13*(F801ENE!H93))*1</f>
        <v>3743.9452241602976</v>
      </c>
      <c r="I96" s="156">
        <f>($D$13*(F801ENE!I93))*1</f>
        <v>3761.4888648457645</v>
      </c>
      <c r="J96" s="156">
        <f t="shared" si="19"/>
        <v>23124.077261999999</v>
      </c>
      <c r="K96" s="69"/>
    </row>
    <row r="97" spans="2:11" s="37" customFormat="1" ht="15.75">
      <c r="B97" s="48"/>
      <c r="C97" s="162" t="s">
        <v>642</v>
      </c>
      <c r="D97" s="156">
        <f>($D$13*(F801ENE!D94))*0.75</f>
        <v>359.05493107518078</v>
      </c>
      <c r="E97" s="156">
        <f>($D$13*(F801ENE!E94))*0.75</f>
        <v>359.2047801117962</v>
      </c>
      <c r="F97" s="156">
        <f>($D$13*(F801ENE!F94))*0.75</f>
        <v>352.4203697907264</v>
      </c>
      <c r="G97" s="156">
        <f>($D$13*(F801ENE!G94))*0.75</f>
        <v>357.97347769922931</v>
      </c>
      <c r="H97" s="156">
        <f>($D$13*(F801ENE!H94))*0.75</f>
        <v>342.46256917096889</v>
      </c>
      <c r="I97" s="156">
        <f>($D$13*(F801ENE!I94))*0.75</f>
        <v>344.06730425709844</v>
      </c>
      <c r="J97" s="156">
        <f t="shared" si="19"/>
        <v>2115.1834321050001</v>
      </c>
      <c r="K97" s="69"/>
    </row>
    <row r="98" spans="2:11" s="37" customFormat="1" ht="15.75">
      <c r="B98" s="48"/>
      <c r="C98" s="162" t="s">
        <v>1177</v>
      </c>
      <c r="D98" s="156">
        <f>($D$13*(F801ENE!D95))*1</f>
        <v>36.900449337572283</v>
      </c>
      <c r="E98" s="156">
        <f>($D$13*(F801ENE!E95))*1</f>
        <v>36.915849479181126</v>
      </c>
      <c r="F98" s="156">
        <f>($D$13*(F801ENE!F95))*1</f>
        <v>36.218608562343483</v>
      </c>
      <c r="G98" s="156">
        <f>($D$13*(F801ENE!G95))*1</f>
        <v>36.789307247444889</v>
      </c>
      <c r="H98" s="156">
        <f>($D$13*(F801ENE!H95))*1</f>
        <v>35.195235018404958</v>
      </c>
      <c r="I98" s="156">
        <f>($D$13*(F801ENE!I95))*1</f>
        <v>35.360155315053241</v>
      </c>
      <c r="J98" s="156">
        <f t="shared" si="19"/>
        <v>217.37960495999999</v>
      </c>
      <c r="K98" s="69"/>
    </row>
    <row r="99" spans="2:11" s="37" customFormat="1" ht="15.75">
      <c r="B99" s="48"/>
      <c r="C99" s="160" t="s">
        <v>305</v>
      </c>
      <c r="D99" s="156">
        <f>($D$13*(F801ENE!D96))*0.95</f>
        <v>0</v>
      </c>
      <c r="E99" s="156">
        <f>($D$13*(F801ENE!E96))*0.95</f>
        <v>0</v>
      </c>
      <c r="F99" s="156">
        <f>($D$13*(F801ENE!F96))*0.95</f>
        <v>0</v>
      </c>
      <c r="G99" s="156">
        <f>($D$13*(F801ENE!G96))*0.95</f>
        <v>0</v>
      </c>
      <c r="H99" s="156">
        <f>($D$13*(F801ENE!H96))*0.95</f>
        <v>0</v>
      </c>
      <c r="I99" s="156">
        <f>($D$13*(F801ENE!I96))*0.95</f>
        <v>0</v>
      </c>
      <c r="J99" s="156">
        <f t="shared" si="19"/>
        <v>0</v>
      </c>
      <c r="K99" s="69"/>
    </row>
    <row r="100" spans="2:11" s="37" customFormat="1" ht="15.75">
      <c r="B100" s="48"/>
      <c r="C100" s="160" t="s">
        <v>307</v>
      </c>
      <c r="D100" s="156">
        <f>($D$13*(F801ENE!D97))*0.5</f>
        <v>0</v>
      </c>
      <c r="E100" s="156">
        <f>($D$13*(F801ENE!E97))*0.5</f>
        <v>0</v>
      </c>
      <c r="F100" s="156">
        <f>($D$13*(F801ENE!F97))*0.5</f>
        <v>0</v>
      </c>
      <c r="G100" s="156">
        <f>($D$13*(F801ENE!G97))*0.5</f>
        <v>0</v>
      </c>
      <c r="H100" s="156">
        <f>($D$13*(F801ENE!H97))*0.5</f>
        <v>0</v>
      </c>
      <c r="I100" s="156">
        <f>($D$13*(F801ENE!I97))*0.5</f>
        <v>0</v>
      </c>
      <c r="J100" s="156">
        <f t="shared" si="19"/>
        <v>0</v>
      </c>
      <c r="K100" s="69"/>
    </row>
    <row r="101" spans="2:11" s="37" customFormat="1" ht="15.75">
      <c r="B101" s="48"/>
      <c r="C101" s="160" t="s">
        <v>624</v>
      </c>
      <c r="D101" s="156">
        <f>($D$13*(F801ENE!D98))*0</f>
        <v>0</v>
      </c>
      <c r="E101" s="156">
        <f>($D$13*(F801ENE!E98))*0</f>
        <v>0</v>
      </c>
      <c r="F101" s="156">
        <f>($D$13*(F801ENE!F98))*0</f>
        <v>0</v>
      </c>
      <c r="G101" s="156">
        <f>($D$13*(F801ENE!G98))*0</f>
        <v>0</v>
      </c>
      <c r="H101" s="156">
        <f>($D$13*(F801ENE!H98))*0</f>
        <v>0</v>
      </c>
      <c r="I101" s="156">
        <f>($D$13*(F801ENE!I98))*0</f>
        <v>0</v>
      </c>
      <c r="J101" s="156">
        <f t="shared" si="19"/>
        <v>0</v>
      </c>
      <c r="K101" s="69"/>
    </row>
    <row r="102" spans="2:11" s="37" customFormat="1" ht="15.75">
      <c r="B102" s="48" t="s">
        <v>902</v>
      </c>
      <c r="C102" s="158" t="s">
        <v>912</v>
      </c>
      <c r="D102" s="154">
        <f t="shared" ref="D102:I102" si="22">SUBTOTAL(9,D103:D108)</f>
        <v>477.87094842955833</v>
      </c>
      <c r="E102" s="154">
        <f t="shared" si="22"/>
        <v>478.07038449087139</v>
      </c>
      <c r="F102" s="154">
        <f t="shared" si="22"/>
        <v>469.0409232188689</v>
      </c>
      <c r="G102" s="154">
        <f t="shared" si="22"/>
        <v>476.4316278528969</v>
      </c>
      <c r="H102" s="154">
        <f t="shared" si="22"/>
        <v>455.78795489954609</v>
      </c>
      <c r="I102" s="154">
        <f t="shared" si="22"/>
        <v>457.92371801325845</v>
      </c>
      <c r="J102" s="154">
        <f t="shared" si="19"/>
        <v>2815.1255569049999</v>
      </c>
      <c r="K102" s="69"/>
    </row>
    <row r="103" spans="2:11" s="37" customFormat="1" ht="15.75">
      <c r="B103" s="48"/>
      <c r="C103" s="160" t="s">
        <v>304</v>
      </c>
      <c r="D103" s="156">
        <f>($D$13*(F801ENE!D100))*1</f>
        <v>464.2536745132324</v>
      </c>
      <c r="E103" s="156">
        <f>($D$13*(F801ENE!E100))*1</f>
        <v>464.44742750156388</v>
      </c>
      <c r="F103" s="156">
        <f>($D$13*(F801ENE!F100))*1</f>
        <v>455.67526717631654</v>
      </c>
      <c r="G103" s="156">
        <f>($D$13*(F801ENE!G100))*1</f>
        <v>462.85536840420122</v>
      </c>
      <c r="H103" s="156">
        <f>($D$13*(F801ENE!H100))*1</f>
        <v>442.79995165300841</v>
      </c>
      <c r="I103" s="156">
        <f>($D$13*(F801ENE!I100))*1</f>
        <v>444.87485467167761</v>
      </c>
      <c r="J103" s="156">
        <f t="shared" si="19"/>
        <v>2734.9065439199999</v>
      </c>
      <c r="K103" s="69"/>
    </row>
    <row r="104" spans="2:11" s="37" customFormat="1" ht="15.75">
      <c r="B104" s="48"/>
      <c r="C104" s="162" t="s">
        <v>642</v>
      </c>
      <c r="D104" s="156">
        <f>($D$13*(F801ENE!D101))*0.75</f>
        <v>13.617273916325942</v>
      </c>
      <c r="E104" s="156">
        <f>($D$13*(F801ENE!E101))*0.75</f>
        <v>13.622956989307504</v>
      </c>
      <c r="F104" s="156">
        <f>($D$13*(F801ENE!F101))*0.75</f>
        <v>13.365656042552336</v>
      </c>
      <c r="G104" s="156">
        <f>($D$13*(F801ENE!G101))*0.75</f>
        <v>13.576259448695691</v>
      </c>
      <c r="H104" s="156">
        <f>($D$13*(F801ENE!H101))*0.75</f>
        <v>12.988003246537659</v>
      </c>
      <c r="I104" s="156">
        <f>($D$13*(F801ENE!I101))*0.75</f>
        <v>13.048863341580859</v>
      </c>
      <c r="J104" s="156">
        <f t="shared" si="19"/>
        <v>80.219012984999992</v>
      </c>
      <c r="K104" s="69"/>
    </row>
    <row r="105" spans="2:11" s="37" customFormat="1" ht="15.75">
      <c r="B105" s="48"/>
      <c r="C105" s="162" t="s">
        <v>1177</v>
      </c>
      <c r="D105" s="156">
        <f>($D$13*(F801ENE!D102))*1</f>
        <v>0</v>
      </c>
      <c r="E105" s="156">
        <f>($D$13*(F801ENE!E102))*1</f>
        <v>0</v>
      </c>
      <c r="F105" s="156">
        <f>($D$13*(F801ENE!F102))*1</f>
        <v>0</v>
      </c>
      <c r="G105" s="156">
        <f>($D$13*(F801ENE!G102))*1</f>
        <v>0</v>
      </c>
      <c r="H105" s="156">
        <f>($D$13*(F801ENE!H102))*1</f>
        <v>0</v>
      </c>
      <c r="I105" s="156">
        <f>($D$13*(F801ENE!I102))*1</f>
        <v>0</v>
      </c>
      <c r="J105" s="156">
        <f t="shared" si="19"/>
        <v>0</v>
      </c>
      <c r="K105" s="69"/>
    </row>
    <row r="106" spans="2:11" s="37" customFormat="1" ht="15.75">
      <c r="B106" s="48"/>
      <c r="C106" s="160" t="s">
        <v>305</v>
      </c>
      <c r="D106" s="156">
        <f>($D$13*(F801ENE!D103))*0.95</f>
        <v>0</v>
      </c>
      <c r="E106" s="156">
        <f>($D$13*(F801ENE!E103))*0.95</f>
        <v>0</v>
      </c>
      <c r="F106" s="156">
        <f>($D$13*(F801ENE!F103))*0.95</f>
        <v>0</v>
      </c>
      <c r="G106" s="156">
        <f>($D$13*(F801ENE!G103))*0.95</f>
        <v>0</v>
      </c>
      <c r="H106" s="156">
        <f>($D$13*(F801ENE!H103))*0.95</f>
        <v>0</v>
      </c>
      <c r="I106" s="156">
        <f>($D$13*(F801ENE!I103))*0.95</f>
        <v>0</v>
      </c>
      <c r="J106" s="156">
        <f t="shared" si="19"/>
        <v>0</v>
      </c>
      <c r="K106" s="69"/>
    </row>
    <row r="107" spans="2:11" s="37" customFormat="1" ht="15.75">
      <c r="B107" s="48"/>
      <c r="C107" s="160" t="s">
        <v>307</v>
      </c>
      <c r="D107" s="156">
        <f>($D$13*(F801ENE!D104))*0.5</f>
        <v>0</v>
      </c>
      <c r="E107" s="156">
        <f>($D$13*(F801ENE!E104))*0.5</f>
        <v>0</v>
      </c>
      <c r="F107" s="156">
        <f>($D$13*(F801ENE!F104))*0.5</f>
        <v>0</v>
      </c>
      <c r="G107" s="156">
        <f>($D$13*(F801ENE!G104))*0.5</f>
        <v>0</v>
      </c>
      <c r="H107" s="156">
        <f>($D$13*(F801ENE!H104))*0.5</f>
        <v>0</v>
      </c>
      <c r="I107" s="156">
        <f>($D$13*(F801ENE!I104))*0.5</f>
        <v>0</v>
      </c>
      <c r="J107" s="156">
        <f t="shared" si="19"/>
        <v>0</v>
      </c>
      <c r="K107" s="69"/>
    </row>
    <row r="108" spans="2:11" s="37" customFormat="1" ht="15.75">
      <c r="B108" s="48"/>
      <c r="C108" s="160" t="s">
        <v>624</v>
      </c>
      <c r="D108" s="156">
        <f>($D$13*(F801ENE!D105))*0</f>
        <v>0</v>
      </c>
      <c r="E108" s="156">
        <f>($D$13*(F801ENE!E105))*0</f>
        <v>0</v>
      </c>
      <c r="F108" s="156">
        <f>($D$13*(F801ENE!F105))*0</f>
        <v>0</v>
      </c>
      <c r="G108" s="156">
        <f>($D$13*(F801ENE!G105))*0</f>
        <v>0</v>
      </c>
      <c r="H108" s="156">
        <f>($D$13*(F801ENE!H105))*0</f>
        <v>0</v>
      </c>
      <c r="I108" s="156">
        <f>($D$13*(F801ENE!I105))*0</f>
        <v>0</v>
      </c>
      <c r="J108" s="156">
        <f t="shared" si="19"/>
        <v>0</v>
      </c>
      <c r="K108" s="69"/>
    </row>
    <row r="109" spans="2:11" s="37" customFormat="1" ht="15.75">
      <c r="B109" s="48"/>
      <c r="C109" s="157"/>
      <c r="D109" s="156"/>
      <c r="E109" s="156"/>
      <c r="F109" s="156"/>
      <c r="G109" s="156"/>
      <c r="H109" s="156"/>
      <c r="I109" s="156"/>
      <c r="J109" s="156">
        <f t="shared" si="19"/>
        <v>0</v>
      </c>
      <c r="K109" s="69"/>
    </row>
    <row r="110" spans="2:11" s="37" customFormat="1" ht="15.75">
      <c r="B110" s="48"/>
      <c r="C110" s="179" t="s">
        <v>112</v>
      </c>
      <c r="D110" s="180">
        <f t="shared" ref="D110:I110" si="23">D33+D23+D19</f>
        <v>1051169.2665351999</v>
      </c>
      <c r="E110" s="180">
        <f t="shared" si="23"/>
        <v>1051607.9645957954</v>
      </c>
      <c r="F110" s="180">
        <f t="shared" si="23"/>
        <v>1031745.9239890359</v>
      </c>
      <c r="G110" s="180">
        <f t="shared" si="23"/>
        <v>1048003.2034802049</v>
      </c>
      <c r="H110" s="180">
        <f t="shared" si="23"/>
        <v>1002593.4654991041</v>
      </c>
      <c r="I110" s="180">
        <f t="shared" si="23"/>
        <v>1007291.4881621515</v>
      </c>
      <c r="J110" s="180">
        <f t="shared" si="19"/>
        <v>6192411.312261492</v>
      </c>
      <c r="K110" s="69"/>
    </row>
    <row r="112" spans="2:11">
      <c r="C112" s="52" t="str">
        <f>'PORTADA PORTADA PORTADA'!$B$23</f>
        <v>1 DE JULIO DE 2026</v>
      </c>
    </row>
    <row r="114" spans="2:10">
      <c r="B114" s="48" t="s">
        <v>902</v>
      </c>
      <c r="D114" s="163">
        <f t="shared" ref="D114:J123" si="24">SUMIF($B$18:$B$110,$B114,D$18:D$110)</f>
        <v>59395.904779424607</v>
      </c>
      <c r="E114" s="163">
        <f t="shared" si="24"/>
        <v>59420.693240297267</v>
      </c>
      <c r="F114" s="163">
        <f t="shared" si="24"/>
        <v>58298.396470251166</v>
      </c>
      <c r="G114" s="163">
        <f t="shared" si="24"/>
        <v>59217.00763533287</v>
      </c>
      <c r="H114" s="163">
        <f t="shared" si="24"/>
        <v>56651.1483022549</v>
      </c>
      <c r="I114" s="163">
        <f t="shared" si="24"/>
        <v>56916.608219729169</v>
      </c>
      <c r="J114" s="163">
        <f t="shared" si="24"/>
        <v>349899.75864729</v>
      </c>
    </row>
    <row r="115" spans="2:10">
      <c r="B115" s="48" t="s">
        <v>751</v>
      </c>
      <c r="D115" s="163">
        <f t="shared" si="24"/>
        <v>318289.99344173569</v>
      </c>
      <c r="E115" s="163">
        <f t="shared" si="24"/>
        <v>318422.83117672912</v>
      </c>
      <c r="F115" s="163">
        <f t="shared" si="24"/>
        <v>312408.60699035763</v>
      </c>
      <c r="G115" s="163">
        <f t="shared" si="24"/>
        <v>317331.30982115905</v>
      </c>
      <c r="H115" s="163">
        <f t="shared" si="24"/>
        <v>303581.24506850849</v>
      </c>
      <c r="I115" s="163">
        <f t="shared" si="24"/>
        <v>305003.80592656072</v>
      </c>
      <c r="J115" s="163">
        <f t="shared" si="24"/>
        <v>1875037.7924250506</v>
      </c>
    </row>
    <row r="116" spans="2:10">
      <c r="B116" s="48" t="s">
        <v>750</v>
      </c>
      <c r="D116" s="163">
        <f t="shared" si="24"/>
        <v>119747.57610533015</v>
      </c>
      <c r="E116" s="163">
        <f t="shared" si="24"/>
        <v>119797.55190948547</v>
      </c>
      <c r="F116" s="163">
        <f t="shared" si="24"/>
        <v>117534.89898109002</v>
      </c>
      <c r="G116" s="163">
        <f t="shared" si="24"/>
        <v>119386.90310175011</v>
      </c>
      <c r="H116" s="163">
        <f t="shared" si="24"/>
        <v>114213.89602484193</v>
      </c>
      <c r="I116" s="163">
        <f t="shared" si="24"/>
        <v>114749.08749618524</v>
      </c>
      <c r="J116" s="163">
        <f t="shared" si="24"/>
        <v>705429.91361868288</v>
      </c>
    </row>
    <row r="117" spans="2:10">
      <c r="B117" s="48" t="s">
        <v>749</v>
      </c>
      <c r="D117" s="163">
        <f t="shared" si="24"/>
        <v>118449.72507998273</v>
      </c>
      <c r="E117" s="163">
        <f t="shared" si="24"/>
        <v>118499.15923518967</v>
      </c>
      <c r="F117" s="163">
        <f t="shared" si="24"/>
        <v>116261.02944553852</v>
      </c>
      <c r="G117" s="163">
        <f t="shared" si="24"/>
        <v>118092.96113112207</v>
      </c>
      <c r="H117" s="163">
        <f t="shared" si="24"/>
        <v>112976.02026246006</v>
      </c>
      <c r="I117" s="163">
        <f t="shared" si="24"/>
        <v>113505.41120887894</v>
      </c>
      <c r="J117" s="163">
        <f t="shared" si="24"/>
        <v>697784.30636317201</v>
      </c>
    </row>
    <row r="118" spans="2:10">
      <c r="B118" s="48" t="s">
        <v>1176</v>
      </c>
      <c r="D118" s="163">
        <f t="shared" si="24"/>
        <v>3.9699999999999998</v>
      </c>
      <c r="E118" s="163">
        <f t="shared" si="24"/>
        <v>3.9699999999999998</v>
      </c>
      <c r="F118" s="163">
        <f t="shared" si="24"/>
        <v>3.9699999999999998</v>
      </c>
      <c r="G118" s="163">
        <f t="shared" si="24"/>
        <v>3.9699999999999998</v>
      </c>
      <c r="H118" s="163">
        <f t="shared" si="24"/>
        <v>3.9699999999999998</v>
      </c>
      <c r="I118" s="163">
        <f t="shared" si="24"/>
        <v>3.9699999999999998</v>
      </c>
      <c r="J118" s="163">
        <f t="shared" si="24"/>
        <v>23.819999999999997</v>
      </c>
    </row>
    <row r="119" spans="2:10">
      <c r="B119" s="48" t="s">
        <v>274</v>
      </c>
      <c r="D119" s="163">
        <f t="shared" si="24"/>
        <v>233009.50353091676</v>
      </c>
      <c r="E119" s="163">
        <f t="shared" si="24"/>
        <v>233106.74839961075</v>
      </c>
      <c r="F119" s="163">
        <f t="shared" si="24"/>
        <v>228703.99009204842</v>
      </c>
      <c r="G119" s="163">
        <f t="shared" si="24"/>
        <v>232307.69193493697</v>
      </c>
      <c r="H119" s="163">
        <f t="shared" si="24"/>
        <v>222241.85302649796</v>
      </c>
      <c r="I119" s="163">
        <f t="shared" si="24"/>
        <v>223283.24946296529</v>
      </c>
      <c r="J119" s="163">
        <f t="shared" si="24"/>
        <v>1372653.036446976</v>
      </c>
    </row>
    <row r="120" spans="2:10">
      <c r="B120" s="48" t="s">
        <v>275</v>
      </c>
      <c r="D120" s="163">
        <f t="shared" si="24"/>
        <v>11268.127667104432</v>
      </c>
      <c r="E120" s="163">
        <f t="shared" si="24"/>
        <v>11272.830340509639</v>
      </c>
      <c r="F120" s="163">
        <f t="shared" si="24"/>
        <v>11059.916953093081</v>
      </c>
      <c r="G120" s="163">
        <f t="shared" si="24"/>
        <v>11234.188696625037</v>
      </c>
      <c r="H120" s="163">
        <f t="shared" si="24"/>
        <v>10747.413881958526</v>
      </c>
      <c r="I120" s="163">
        <f t="shared" si="24"/>
        <v>10797.77486646929</v>
      </c>
      <c r="J120" s="163">
        <f t="shared" si="24"/>
        <v>66380.252405760009</v>
      </c>
    </row>
    <row r="121" spans="2:10">
      <c r="B121" s="48" t="s">
        <v>276</v>
      </c>
      <c r="D121" s="163">
        <f t="shared" si="24"/>
        <v>100746.75036937474</v>
      </c>
      <c r="E121" s="163">
        <f t="shared" si="24"/>
        <v>100788.79631326355</v>
      </c>
      <c r="F121" s="163">
        <f t="shared" si="24"/>
        <v>98885.167553804713</v>
      </c>
      <c r="G121" s="163">
        <f t="shared" si="24"/>
        <v>100443.30679048601</v>
      </c>
      <c r="H121" s="163">
        <f t="shared" si="24"/>
        <v>96091.121388604821</v>
      </c>
      <c r="I121" s="163">
        <f t="shared" si="24"/>
        <v>96541.391893586188</v>
      </c>
      <c r="J121" s="163">
        <f t="shared" si="24"/>
        <v>593496.53430912003</v>
      </c>
    </row>
    <row r="122" spans="2:10">
      <c r="B122" s="48" t="s">
        <v>277</v>
      </c>
      <c r="D122" s="163">
        <f t="shared" si="24"/>
        <v>16818.368382943572</v>
      </c>
      <c r="E122" s="163">
        <f t="shared" si="24"/>
        <v>16825.387410065912</v>
      </c>
      <c r="F122" s="163">
        <f t="shared" si="24"/>
        <v>16507.601182484756</v>
      </c>
      <c r="G122" s="163">
        <f t="shared" si="24"/>
        <v>16767.712397768086</v>
      </c>
      <c r="H122" s="163">
        <f t="shared" si="24"/>
        <v>16041.171272706071</v>
      </c>
      <c r="I122" s="163">
        <f t="shared" si="24"/>
        <v>16116.338116271607</v>
      </c>
      <c r="J122" s="163">
        <f t="shared" si="24"/>
        <v>99076.578762240009</v>
      </c>
    </row>
    <row r="123" spans="2:10">
      <c r="B123" s="48" t="s">
        <v>278</v>
      </c>
      <c r="D123" s="163">
        <f t="shared" si="24"/>
        <v>1.9200000000000002</v>
      </c>
      <c r="E123" s="163">
        <f t="shared" si="24"/>
        <v>1.9200000000000002</v>
      </c>
      <c r="F123" s="163">
        <f t="shared" si="24"/>
        <v>1.9200000000000002</v>
      </c>
      <c r="G123" s="163">
        <f t="shared" si="24"/>
        <v>1.9200000000000002</v>
      </c>
      <c r="H123" s="163">
        <f t="shared" si="24"/>
        <v>1.9200000000000002</v>
      </c>
      <c r="I123" s="163">
        <f t="shared" si="24"/>
        <v>1.9200000000000002</v>
      </c>
      <c r="J123" s="163">
        <f t="shared" si="24"/>
        <v>11.520000000000001</v>
      </c>
    </row>
    <row r="124" spans="2:10">
      <c r="B124" s="48" t="s">
        <v>279</v>
      </c>
      <c r="D124" s="163">
        <f t="shared" ref="D124:J132" si="25">SUMIF($B$18:$B$110,$B124,D$18:D$110)</f>
        <v>73437.427178387239</v>
      </c>
      <c r="E124" s="163">
        <f t="shared" si="25"/>
        <v>73468.076570644276</v>
      </c>
      <c r="F124" s="163">
        <f t="shared" si="25"/>
        <v>72080.426320367245</v>
      </c>
      <c r="G124" s="163">
        <f t="shared" si="25"/>
        <v>73216.231971024623</v>
      </c>
      <c r="H124" s="163">
        <f t="shared" si="25"/>
        <v>70043.706271271425</v>
      </c>
      <c r="I124" s="163">
        <f t="shared" si="25"/>
        <v>70371.930971505193</v>
      </c>
      <c r="J124" s="163">
        <f t="shared" si="25"/>
        <v>432617.7992832</v>
      </c>
    </row>
    <row r="125" spans="2:10">
      <c r="B125" s="48" t="s">
        <v>875</v>
      </c>
      <c r="D125" s="163">
        <f t="shared" si="25"/>
        <v>0</v>
      </c>
      <c r="E125" s="163">
        <f t="shared" si="25"/>
        <v>0</v>
      </c>
      <c r="F125" s="163">
        <f t="shared" si="25"/>
        <v>0</v>
      </c>
      <c r="G125" s="163">
        <f t="shared" si="25"/>
        <v>0</v>
      </c>
      <c r="H125" s="163">
        <f t="shared" si="25"/>
        <v>0</v>
      </c>
      <c r="I125" s="163">
        <f t="shared" si="25"/>
        <v>0</v>
      </c>
      <c r="J125" s="163">
        <f t="shared" si="25"/>
        <v>0</v>
      </c>
    </row>
    <row r="126" spans="2:10">
      <c r="B126" s="48" t="s">
        <v>874</v>
      </c>
      <c r="D126" s="163">
        <f t="shared" si="25"/>
        <v>0</v>
      </c>
      <c r="E126" s="163">
        <f t="shared" si="25"/>
        <v>0</v>
      </c>
      <c r="F126" s="163">
        <f t="shared" si="25"/>
        <v>0</v>
      </c>
      <c r="G126" s="163">
        <f t="shared" si="25"/>
        <v>0</v>
      </c>
      <c r="H126" s="163">
        <f t="shared" si="25"/>
        <v>0</v>
      </c>
      <c r="I126" s="163">
        <f t="shared" si="25"/>
        <v>0</v>
      </c>
      <c r="J126" s="163">
        <f t="shared" si="25"/>
        <v>0</v>
      </c>
    </row>
    <row r="127" spans="2:10">
      <c r="B127" s="48" t="s">
        <v>873</v>
      </c>
      <c r="D127" s="163">
        <f t="shared" si="25"/>
        <v>0</v>
      </c>
      <c r="E127" s="163">
        <f t="shared" si="25"/>
        <v>0</v>
      </c>
      <c r="F127" s="163">
        <f t="shared" si="25"/>
        <v>0</v>
      </c>
      <c r="G127" s="163">
        <f t="shared" si="25"/>
        <v>0</v>
      </c>
      <c r="H127" s="163">
        <f t="shared" si="25"/>
        <v>0</v>
      </c>
      <c r="I127" s="163">
        <f t="shared" si="25"/>
        <v>0</v>
      </c>
      <c r="J127" s="163">
        <f t="shared" si="25"/>
        <v>0</v>
      </c>
    </row>
    <row r="128" spans="2:10">
      <c r="B128" s="48" t="s">
        <v>872</v>
      </c>
      <c r="D128" s="163">
        <f t="shared" si="25"/>
        <v>0</v>
      </c>
      <c r="E128" s="163">
        <f t="shared" si="25"/>
        <v>0</v>
      </c>
      <c r="F128" s="163">
        <f t="shared" si="25"/>
        <v>0</v>
      </c>
      <c r="G128" s="163">
        <f t="shared" si="25"/>
        <v>0</v>
      </c>
      <c r="H128" s="163">
        <f t="shared" si="25"/>
        <v>0</v>
      </c>
      <c r="I128" s="163">
        <f t="shared" si="25"/>
        <v>0</v>
      </c>
      <c r="J128" s="163">
        <f t="shared" si="25"/>
        <v>0</v>
      </c>
    </row>
    <row r="129" spans="2:10">
      <c r="B129" s="48" t="s">
        <v>871</v>
      </c>
      <c r="D129" s="163">
        <f t="shared" si="25"/>
        <v>0</v>
      </c>
      <c r="E129" s="163">
        <f t="shared" si="25"/>
        <v>0</v>
      </c>
      <c r="F129" s="163">
        <f t="shared" si="25"/>
        <v>0</v>
      </c>
      <c r="G129" s="163">
        <f t="shared" si="25"/>
        <v>0</v>
      </c>
      <c r="H129" s="163">
        <f t="shared" si="25"/>
        <v>0</v>
      </c>
      <c r="I129" s="163">
        <f t="shared" si="25"/>
        <v>0</v>
      </c>
      <c r="J129" s="163">
        <f t="shared" si="25"/>
        <v>0</v>
      </c>
    </row>
    <row r="130" spans="2:10">
      <c r="B130" s="48" t="s">
        <v>870</v>
      </c>
      <c r="D130" s="163">
        <f t="shared" si="25"/>
        <v>0</v>
      </c>
      <c r="E130" s="163">
        <f t="shared" si="25"/>
        <v>0</v>
      </c>
      <c r="F130" s="163">
        <f t="shared" si="25"/>
        <v>0</v>
      </c>
      <c r="G130" s="163">
        <f t="shared" si="25"/>
        <v>0</v>
      </c>
      <c r="H130" s="163">
        <f t="shared" si="25"/>
        <v>0</v>
      </c>
      <c r="I130" s="163">
        <f t="shared" si="25"/>
        <v>0</v>
      </c>
      <c r="J130" s="163">
        <f t="shared" si="25"/>
        <v>0</v>
      </c>
    </row>
    <row r="131" spans="2:10">
      <c r="B131" s="48" t="s">
        <v>893</v>
      </c>
      <c r="D131" s="163">
        <f t="shared" si="25"/>
        <v>0</v>
      </c>
      <c r="E131" s="163">
        <f t="shared" si="25"/>
        <v>0</v>
      </c>
      <c r="F131" s="163">
        <f t="shared" si="25"/>
        <v>0</v>
      </c>
      <c r="G131" s="163">
        <f t="shared" si="25"/>
        <v>0</v>
      </c>
      <c r="H131" s="163">
        <f t="shared" si="25"/>
        <v>0</v>
      </c>
      <c r="I131" s="163">
        <f t="shared" si="25"/>
        <v>0</v>
      </c>
      <c r="J131" s="163">
        <f t="shared" si="25"/>
        <v>0</v>
      </c>
    </row>
    <row r="132" spans="2:10">
      <c r="D132" s="163">
        <f t="shared" si="25"/>
        <v>0</v>
      </c>
      <c r="E132" s="163">
        <f t="shared" si="25"/>
        <v>0</v>
      </c>
      <c r="F132" s="163">
        <f t="shared" si="25"/>
        <v>0</v>
      </c>
      <c r="G132" s="163">
        <f t="shared" si="25"/>
        <v>0</v>
      </c>
      <c r="H132" s="163">
        <f t="shared" si="25"/>
        <v>0</v>
      </c>
      <c r="I132" s="163">
        <f t="shared" si="25"/>
        <v>0</v>
      </c>
      <c r="J132" s="163">
        <f t="shared" si="25"/>
        <v>0</v>
      </c>
    </row>
    <row r="133" spans="2:10">
      <c r="B133" s="48" t="s">
        <v>111</v>
      </c>
      <c r="C133" s="139"/>
      <c r="D133" s="165">
        <f t="shared" ref="D133:J133" si="26">SUM(D114:D132)</f>
        <v>1051169.2665351999</v>
      </c>
      <c r="E133" s="165">
        <f t="shared" si="26"/>
        <v>1051607.9645957956</v>
      </c>
      <c r="F133" s="165">
        <f t="shared" si="26"/>
        <v>1031745.9239890357</v>
      </c>
      <c r="G133" s="165">
        <f t="shared" si="26"/>
        <v>1048003.2034802048</v>
      </c>
      <c r="H133" s="165">
        <f t="shared" si="26"/>
        <v>1002593.4654991045</v>
      </c>
      <c r="I133" s="165">
        <f t="shared" si="26"/>
        <v>1007291.4881621518</v>
      </c>
      <c r="J133" s="165">
        <f t="shared" si="26"/>
        <v>6192411.3122614902</v>
      </c>
    </row>
    <row r="134" spans="2:10">
      <c r="D134" s="166">
        <f t="shared" ref="D134:J134" si="27">D133-D110</f>
        <v>0</v>
      </c>
      <c r="E134" s="166">
        <f t="shared" si="27"/>
        <v>0</v>
      </c>
      <c r="F134" s="166">
        <f t="shared" si="27"/>
        <v>0</v>
      </c>
      <c r="G134" s="166">
        <f t="shared" si="27"/>
        <v>0</v>
      </c>
      <c r="H134" s="166">
        <f t="shared" si="27"/>
        <v>0</v>
      </c>
      <c r="I134" s="166">
        <f t="shared" si="27"/>
        <v>0</v>
      </c>
      <c r="J134" s="166">
        <f t="shared" si="27"/>
        <v>0</v>
      </c>
    </row>
  </sheetData>
  <printOptions horizontalCentered="1" verticalCentered="1"/>
  <pageMargins left="0.51181102362204722" right="0.31496062992125984" top="0.78740157480314965" bottom="0.82677165354330717" header="0.31496062992125984" footer="0.23622047244094491"/>
  <pageSetup scale="40" orientation="portrait" horizontalDpi="300" r:id="rId1"/>
  <headerFooter alignWithMargins="0">
    <oddHeader>&amp;L
NOMBRE DE LA DISTRIBUIDORA: &amp;UELEKTRA NORESTE, S.A.&amp;R&amp;9&amp;A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47">
    <tabColor theme="5" tint="0.79998168889431442"/>
  </sheetPr>
  <dimension ref="B1:K134"/>
  <sheetViews>
    <sheetView view="pageBreakPreview" topLeftCell="A84" zoomScale="85" zoomScaleNormal="100" zoomScaleSheetLayoutView="85" workbookViewId="0">
      <selection activeCell="G91" sqref="G91"/>
    </sheetView>
  </sheetViews>
  <sheetFormatPr baseColWidth="10" defaultColWidth="8" defaultRowHeight="15"/>
  <cols>
    <col min="1" max="1" width="3.5" style="63" customWidth="1"/>
    <col min="2" max="2" width="5.625" style="48" bestFit="1" customWidth="1"/>
    <col min="3" max="3" width="30.125" style="63" customWidth="1"/>
    <col min="4" max="10" width="11.25" style="63" customWidth="1"/>
    <col min="11" max="11" width="4.625" style="63" customWidth="1"/>
    <col min="12" max="16384" width="8" style="63"/>
  </cols>
  <sheetData>
    <row r="1" spans="2:11" s="69" customFormat="1" ht="15.75">
      <c r="B1" s="48"/>
      <c r="C1" s="136" t="s">
        <v>151</v>
      </c>
    </row>
    <row r="2" spans="2:11" s="69" customFormat="1" ht="15.75">
      <c r="B2" s="48"/>
      <c r="D2" s="137" t="s">
        <v>316</v>
      </c>
    </row>
    <row r="3" spans="2:11" s="69" customFormat="1" ht="15.75">
      <c r="B3" s="48"/>
      <c r="D3" s="137"/>
    </row>
    <row r="4" spans="2:11" ht="15.75">
      <c r="C4" s="219" t="s">
        <v>1529</v>
      </c>
      <c r="D4" s="219"/>
      <c r="E4" s="219"/>
      <c r="F4" s="219"/>
      <c r="G4" s="219"/>
      <c r="H4" s="219"/>
      <c r="I4" s="219"/>
      <c r="J4" s="219"/>
    </row>
    <row r="5" spans="2:11" ht="15" customHeight="1">
      <c r="C5" s="259"/>
      <c r="D5" s="259"/>
      <c r="E5" s="259"/>
      <c r="F5" s="259"/>
      <c r="G5" s="259"/>
      <c r="H5" s="259"/>
      <c r="I5" s="259"/>
      <c r="J5" s="259"/>
    </row>
    <row r="6" spans="2:11" s="143" customFormat="1" ht="49.5" customHeight="1">
      <c r="B6" s="48"/>
      <c r="C6" s="220" t="s">
        <v>1445</v>
      </c>
      <c r="D6" s="260" t="s">
        <v>259</v>
      </c>
      <c r="E6" s="260" t="s">
        <v>260</v>
      </c>
      <c r="F6" s="221"/>
      <c r="G6" s="69"/>
    </row>
    <row r="7" spans="2:11" s="143" customFormat="1" ht="15.75">
      <c r="B7" s="48"/>
      <c r="C7" s="261" t="s">
        <v>266</v>
      </c>
      <c r="D7" s="262">
        <f>RAT1000PT!$N$74</f>
        <v>6.8999999999999999E-3</v>
      </c>
      <c r="E7" s="263"/>
      <c r="F7" s="69"/>
      <c r="G7" s="69"/>
    </row>
    <row r="8" spans="2:11" s="143" customFormat="1" ht="15.75">
      <c r="B8" s="48"/>
      <c r="C8" s="261" t="s">
        <v>265</v>
      </c>
      <c r="D8" s="262">
        <f>RAT1000PT!$N$73</f>
        <v>6.8999999999999999E-3</v>
      </c>
      <c r="E8" s="262"/>
      <c r="F8" s="69"/>
      <c r="G8" s="69"/>
    </row>
    <row r="9" spans="2:11" s="143" customFormat="1" ht="15.75">
      <c r="B9" s="48"/>
      <c r="C9" s="261" t="s">
        <v>264</v>
      </c>
      <c r="D9" s="262">
        <f>RAT1000PT!$N$72</f>
        <v>6.9100000000000003E-3</v>
      </c>
      <c r="E9" s="262"/>
      <c r="F9" s="69"/>
      <c r="G9" s="69"/>
    </row>
    <row r="10" spans="2:11" s="143" customFormat="1" ht="14.25" customHeight="1">
      <c r="B10" s="48"/>
      <c r="C10" s="261" t="s">
        <v>262</v>
      </c>
      <c r="D10" s="262">
        <f>RAT1000PT!$N$71</f>
        <v>6.9100000000000003E-3</v>
      </c>
      <c r="E10" s="262"/>
      <c r="F10" s="69"/>
      <c r="G10" s="69"/>
      <c r="H10" s="69"/>
      <c r="I10" s="69"/>
      <c r="J10" s="69"/>
      <c r="K10" s="69"/>
    </row>
    <row r="11" spans="2:11" s="143" customFormat="1" ht="15.75">
      <c r="B11" s="48"/>
      <c r="C11" s="261" t="s">
        <v>263</v>
      </c>
      <c r="D11" s="262">
        <f>RAT1000PT!$N$70</f>
        <v>6.8999999999999999E-3</v>
      </c>
      <c r="E11" s="262"/>
      <c r="F11" s="69"/>
      <c r="G11" s="69"/>
    </row>
    <row r="12" spans="2:11" s="143" customFormat="1" ht="15.75">
      <c r="B12" s="48"/>
      <c r="C12" s="261" t="s">
        <v>261</v>
      </c>
      <c r="D12" s="262">
        <f>RAT1000PT!$N$69</f>
        <v>6.8999999999999999E-3</v>
      </c>
      <c r="E12" s="262"/>
      <c r="F12" s="69"/>
      <c r="G12" s="69"/>
    </row>
    <row r="13" spans="2:11" s="143" customFormat="1" ht="15.75">
      <c r="B13" s="48"/>
      <c r="C13" s="261" t="s">
        <v>1768</v>
      </c>
      <c r="D13" s="262">
        <f>RAT1000PT!$N$66</f>
        <v>7.26E-3</v>
      </c>
      <c r="E13" s="262"/>
      <c r="F13" s="69"/>
      <c r="G13" s="69"/>
    </row>
    <row r="14" spans="2:11" s="143" customFormat="1" ht="15.75">
      <c r="B14" s="48"/>
      <c r="C14" s="261" t="s">
        <v>2071</v>
      </c>
      <c r="D14" s="262">
        <f>RAT1000PT!$N$67</f>
        <v>7.3899999999999999E-3</v>
      </c>
      <c r="E14" s="262"/>
      <c r="F14" s="69"/>
      <c r="G14" s="69"/>
    </row>
    <row r="15" spans="2:11" s="143" customFormat="1" ht="15.75">
      <c r="B15" s="48"/>
      <c r="C15" s="261" t="s">
        <v>1178</v>
      </c>
      <c r="D15" s="262">
        <f>RAT1000PT!$N$68</f>
        <v>7.26E-3</v>
      </c>
      <c r="E15" s="262"/>
      <c r="F15" s="69"/>
      <c r="G15" s="69"/>
    </row>
    <row r="16" spans="2:11" s="143" customFormat="1" ht="13.5">
      <c r="B16" s="48"/>
      <c r="C16" s="147"/>
    </row>
    <row r="17" spans="2:11" s="143" customFormat="1" ht="39" customHeight="1">
      <c r="B17" s="48"/>
      <c r="C17" s="149" t="s">
        <v>1446</v>
      </c>
      <c r="D17" s="149"/>
      <c r="E17" s="149"/>
      <c r="F17" s="149"/>
      <c r="G17" s="149"/>
      <c r="H17" s="149"/>
      <c r="I17" s="264"/>
      <c r="J17" s="264"/>
    </row>
    <row r="18" spans="2:11" s="37" customFormat="1" ht="15.75">
      <c r="B18" s="48"/>
      <c r="C18" s="150" t="s">
        <v>310</v>
      </c>
      <c r="D18" s="151">
        <f>F801ENE!D4</f>
        <v>46204</v>
      </c>
      <c r="E18" s="151">
        <f>F801ENE!E4</f>
        <v>46235</v>
      </c>
      <c r="F18" s="151">
        <f>F801ENE!F4</f>
        <v>46266</v>
      </c>
      <c r="G18" s="151">
        <f>F801ENE!G4</f>
        <v>46296</v>
      </c>
      <c r="H18" s="151">
        <f>F801ENE!H4</f>
        <v>46327</v>
      </c>
      <c r="I18" s="151">
        <f>F801ENE!I4</f>
        <v>46357</v>
      </c>
      <c r="J18" s="151" t="s">
        <v>111</v>
      </c>
      <c r="K18" s="69"/>
    </row>
    <row r="19" spans="2:11" s="37" customFormat="1" ht="15.75">
      <c r="B19" s="48"/>
      <c r="C19" s="153" t="s">
        <v>446</v>
      </c>
      <c r="D19" s="154">
        <f t="shared" ref="D19:I19" si="0">SUM(D20:D21)</f>
        <v>131961.32696116457</v>
      </c>
      <c r="E19" s="154">
        <f t="shared" si="0"/>
        <v>132016.40008787642</v>
      </c>
      <c r="F19" s="154">
        <f t="shared" si="0"/>
        <v>129522.96604440988</v>
      </c>
      <c r="G19" s="154">
        <f t="shared" si="0"/>
        <v>131563.86682293488</v>
      </c>
      <c r="H19" s="154">
        <f t="shared" si="0"/>
        <v>125863.23470619084</v>
      </c>
      <c r="I19" s="154">
        <f t="shared" si="0"/>
        <v>126453.01346442338</v>
      </c>
      <c r="J19" s="154">
        <f>SUM(D19:I19)</f>
        <v>777380.80808699992</v>
      </c>
      <c r="K19" s="69"/>
    </row>
    <row r="20" spans="2:11" s="37" customFormat="1" ht="15.75">
      <c r="B20" s="48" t="s">
        <v>279</v>
      </c>
      <c r="C20" s="155" t="s">
        <v>279</v>
      </c>
      <c r="D20" s="156">
        <f>$D$7*F801ENE!D6</f>
        <v>131957.87696116455</v>
      </c>
      <c r="E20" s="156">
        <f>$D$7*F801ENE!E6</f>
        <v>132012.95008787641</v>
      </c>
      <c r="F20" s="156">
        <f>$D$7*F801ENE!F6</f>
        <v>129519.51604440989</v>
      </c>
      <c r="G20" s="156">
        <f>$D$7*F801ENE!G6</f>
        <v>131560.41682293487</v>
      </c>
      <c r="H20" s="156">
        <f>$D$7*F801ENE!H6</f>
        <v>125859.78470619084</v>
      </c>
      <c r="I20" s="156">
        <f>$D$7*F801ENE!I6</f>
        <v>126449.56346442338</v>
      </c>
      <c r="J20" s="156">
        <f t="shared" ref="J20:J83" si="1">SUM(D20:I20)</f>
        <v>777360.10808699986</v>
      </c>
      <c r="K20" s="69"/>
    </row>
    <row r="21" spans="2:11" s="37" customFormat="1" ht="15.75">
      <c r="B21" s="48" t="s">
        <v>278</v>
      </c>
      <c r="C21" s="155" t="s">
        <v>278</v>
      </c>
      <c r="D21" s="156">
        <f>$D$8*F801ENE!D7</f>
        <v>3.4499999999999997</v>
      </c>
      <c r="E21" s="156">
        <f>$D$8*F801ENE!E7</f>
        <v>3.4499999999999997</v>
      </c>
      <c r="F21" s="156">
        <f>$D$8*F801ENE!F7</f>
        <v>3.4499999999999997</v>
      </c>
      <c r="G21" s="156">
        <f>$D$8*F801ENE!G7</f>
        <v>3.4499999999999997</v>
      </c>
      <c r="H21" s="156">
        <f>$D$8*F801ENE!H7</f>
        <v>3.4499999999999997</v>
      </c>
      <c r="I21" s="156">
        <f>$D$8*F801ENE!I7</f>
        <v>3.4499999999999997</v>
      </c>
      <c r="J21" s="156">
        <f t="shared" si="1"/>
        <v>20.7</v>
      </c>
      <c r="K21" s="69"/>
    </row>
    <row r="22" spans="2:11" s="37" customFormat="1" ht="15.75">
      <c r="B22" s="48"/>
      <c r="C22" s="157"/>
      <c r="D22" s="156"/>
      <c r="E22" s="156"/>
      <c r="F22" s="156"/>
      <c r="G22" s="156"/>
      <c r="H22" s="156"/>
      <c r="I22" s="156"/>
      <c r="J22" s="156">
        <f t="shared" si="1"/>
        <v>0</v>
      </c>
      <c r="K22" s="69"/>
    </row>
    <row r="23" spans="2:11" s="37" customFormat="1" ht="15.75">
      <c r="B23" s="48"/>
      <c r="C23" s="153" t="s">
        <v>630</v>
      </c>
      <c r="D23" s="154">
        <f>SUBTOTAL(9,D24:D31)</f>
        <v>211555.98192148947</v>
      </c>
      <c r="E23" s="154">
        <f t="shared" ref="E23:I23" si="2">SUBTOTAL(9,E24:E31)</f>
        <v>211644.27331463716</v>
      </c>
      <c r="F23" s="154">
        <f t="shared" si="2"/>
        <v>207646.88332493757</v>
      </c>
      <c r="G23" s="154">
        <f t="shared" si="2"/>
        <v>210918.78713303019</v>
      </c>
      <c r="H23" s="154">
        <f t="shared" si="2"/>
        <v>201779.72455459854</v>
      </c>
      <c r="I23" s="154">
        <f t="shared" si="2"/>
        <v>202725.2381166972</v>
      </c>
      <c r="J23" s="154">
        <f t="shared" si="1"/>
        <v>1246270.88836539</v>
      </c>
      <c r="K23" s="69"/>
    </row>
    <row r="24" spans="2:11" s="37" customFormat="1" ht="15.75">
      <c r="B24" s="48" t="s">
        <v>277</v>
      </c>
      <c r="C24" s="155" t="s">
        <v>277</v>
      </c>
      <c r="D24" s="154">
        <f>SUBTOTAL(9,D25:D26)</f>
        <v>30264.303522432318</v>
      </c>
      <c r="E24" s="154">
        <f t="shared" ref="E24:I24" si="3">SUBTOTAL(9,E25:E26)</f>
        <v>30276.934115509237</v>
      </c>
      <c r="F24" s="154">
        <f t="shared" si="3"/>
        <v>29705.084419523344</v>
      </c>
      <c r="G24" s="154">
        <f t="shared" si="3"/>
        <v>30173.149132442049</v>
      </c>
      <c r="H24" s="154">
        <f t="shared" si="3"/>
        <v>28865.753514166398</v>
      </c>
      <c r="I24" s="154">
        <f t="shared" si="3"/>
        <v>29001.01468318667</v>
      </c>
      <c r="J24" s="154">
        <f t="shared" si="1"/>
        <v>178286.23938725999</v>
      </c>
      <c r="K24" s="69"/>
    </row>
    <row r="25" spans="2:11" s="37" customFormat="1" ht="15.75">
      <c r="B25" s="48"/>
      <c r="C25" s="160" t="s">
        <v>304</v>
      </c>
      <c r="D25" s="156">
        <f>$D$9*F801ENE!D11</f>
        <v>26386.786667820306</v>
      </c>
      <c r="E25" s="156">
        <f>$D$9*F801ENE!E11</f>
        <v>26397.799006655783</v>
      </c>
      <c r="F25" s="156">
        <f>$D$9*F801ENE!F11</f>
        <v>25899.215719488668</v>
      </c>
      <c r="G25" s="156">
        <f>$D$9*F801ENE!G11</f>
        <v>26307.311141785958</v>
      </c>
      <c r="H25" s="156">
        <f>$D$9*F801ENE!H11</f>
        <v>25167.421395295929</v>
      </c>
      <c r="I25" s="156">
        <f>$D$9*F801ENE!I11</f>
        <v>25285.352660713368</v>
      </c>
      <c r="J25" s="156">
        <f t="shared" si="1"/>
        <v>155443.88659176003</v>
      </c>
      <c r="K25" s="69"/>
    </row>
    <row r="26" spans="2:11" s="37" customFormat="1" ht="15.75">
      <c r="B26" s="48"/>
      <c r="C26" s="160" t="s">
        <v>305</v>
      </c>
      <c r="D26" s="156">
        <f>($D$9*F801ENE!D12)*95%</f>
        <v>3877.5168546120103</v>
      </c>
      <c r="E26" s="156">
        <f>($D$9*F801ENE!E12)*95%</f>
        <v>3879.1351088534534</v>
      </c>
      <c r="F26" s="156">
        <f>($D$9*F801ENE!F12)*95%</f>
        <v>3805.8687000346781</v>
      </c>
      <c r="G26" s="156">
        <f>($D$9*F801ENE!G12)*95%</f>
        <v>3865.8379906560917</v>
      </c>
      <c r="H26" s="156">
        <f>($D$9*F801ENE!H12)*95%</f>
        <v>3698.3321188704681</v>
      </c>
      <c r="I26" s="156">
        <f>($D$9*F801ENE!I12)*95%</f>
        <v>3715.6620224733006</v>
      </c>
      <c r="J26" s="156">
        <f t="shared" si="1"/>
        <v>22842.352795500003</v>
      </c>
      <c r="K26" s="69"/>
    </row>
    <row r="27" spans="2:11" s="37" customFormat="1" ht="15.75">
      <c r="B27" s="48" t="s">
        <v>276</v>
      </c>
      <c r="C27" s="158" t="s">
        <v>276</v>
      </c>
      <c r="D27" s="154">
        <f>SUBTOTAL(9,D28:D31)</f>
        <v>181291.67839905716</v>
      </c>
      <c r="E27" s="154">
        <f t="shared" ref="E27:I27" si="4">SUBTOTAL(9,E28:E31)</f>
        <v>181367.33919912792</v>
      </c>
      <c r="F27" s="154">
        <f t="shared" si="4"/>
        <v>177941.79890541424</v>
      </c>
      <c r="G27" s="154">
        <f t="shared" si="4"/>
        <v>180745.63800058814</v>
      </c>
      <c r="H27" s="154">
        <f t="shared" si="4"/>
        <v>172913.97104043214</v>
      </c>
      <c r="I27" s="154">
        <f t="shared" si="4"/>
        <v>173724.22343351055</v>
      </c>
      <c r="J27" s="154">
        <f t="shared" si="1"/>
        <v>1067984.6489781302</v>
      </c>
      <c r="K27" s="69"/>
    </row>
    <row r="28" spans="2:11" s="37" customFormat="1" ht="15.75">
      <c r="B28" s="48"/>
      <c r="C28" s="160" t="s">
        <v>304</v>
      </c>
      <c r="D28" s="156">
        <f>($D$10*F801ENE!D15)*1</f>
        <v>180584.92192138784</v>
      </c>
      <c r="E28" s="156">
        <f>($D$10*F801ENE!E15)*1</f>
        <v>180660.28776164009</v>
      </c>
      <c r="F28" s="156">
        <f>($D$10*F801ENE!F15)*1</f>
        <v>177248.10176423762</v>
      </c>
      <c r="G28" s="156">
        <f>($D$10*F801ENE!G15)*1</f>
        <v>180041.01023391148</v>
      </c>
      <c r="H28" s="156">
        <f>($D$10*F801ENE!H15)*1</f>
        <v>172239.87463296577</v>
      </c>
      <c r="I28" s="156">
        <f>($D$10*F801ENE!I15)*1</f>
        <v>173046.96829789731</v>
      </c>
      <c r="J28" s="156">
        <f t="shared" si="1"/>
        <v>1063821.1646120402</v>
      </c>
      <c r="K28" s="69"/>
    </row>
    <row r="29" spans="2:11" s="37" customFormat="1" ht="15.75">
      <c r="B29" s="48"/>
      <c r="C29" s="161" t="s">
        <v>306</v>
      </c>
      <c r="D29" s="156">
        <f>($D$10*F801ENE!D16)*1</f>
        <v>0</v>
      </c>
      <c r="E29" s="156">
        <f>($D$10*F801ENE!E16)*1</f>
        <v>0</v>
      </c>
      <c r="F29" s="156">
        <f>($D$10*F801ENE!F16)*1</f>
        <v>0</v>
      </c>
      <c r="G29" s="156">
        <f>($D$10*F801ENE!G16)*1</f>
        <v>0</v>
      </c>
      <c r="H29" s="156">
        <f>($D$10*F801ENE!H16)*1</f>
        <v>0</v>
      </c>
      <c r="I29" s="156">
        <f>($D$10*F801ENE!I16)*1</f>
        <v>0</v>
      </c>
      <c r="J29" s="156">
        <f t="shared" si="1"/>
        <v>0</v>
      </c>
      <c r="K29" s="69"/>
    </row>
    <row r="30" spans="2:11" s="37" customFormat="1" ht="15.75">
      <c r="B30" s="48"/>
      <c r="C30" s="160" t="s">
        <v>305</v>
      </c>
      <c r="D30" s="156">
        <f>($D$10*F801ENE!D17)*0.95</f>
        <v>706.75647766932218</v>
      </c>
      <c r="E30" s="156">
        <f>($D$10*F801ENE!E17)*0.95</f>
        <v>707.05143748781938</v>
      </c>
      <c r="F30" s="156">
        <f>($D$10*F801ENE!F17)*0.95</f>
        <v>693.6971411765993</v>
      </c>
      <c r="G30" s="156">
        <f>($D$10*F801ENE!G17)*0.95</f>
        <v>704.62776667665514</v>
      </c>
      <c r="H30" s="156">
        <f>($D$10*F801ENE!H17)*0.95</f>
        <v>674.0964074663591</v>
      </c>
      <c r="I30" s="156">
        <f>($D$10*F801ENE!I17)*0.95</f>
        <v>677.25513561324499</v>
      </c>
      <c r="J30" s="156">
        <f t="shared" si="1"/>
        <v>4163.4843660900005</v>
      </c>
      <c r="K30" s="69"/>
    </row>
    <row r="31" spans="2:11" s="37" customFormat="1" ht="15.75">
      <c r="B31" s="48"/>
      <c r="C31" s="160" t="s">
        <v>307</v>
      </c>
      <c r="D31" s="156">
        <f>($D$10*F801ENE!D18)*0.5</f>
        <v>0</v>
      </c>
      <c r="E31" s="156">
        <f>($D$10*F801ENE!E18)*0.5</f>
        <v>0</v>
      </c>
      <c r="F31" s="156">
        <f>($D$10*F801ENE!F18)*0.5</f>
        <v>0</v>
      </c>
      <c r="G31" s="156">
        <f>($D$10*F801ENE!G18)*0.5</f>
        <v>0</v>
      </c>
      <c r="H31" s="156">
        <f>($D$10*F801ENE!H18)*0.5</f>
        <v>0</v>
      </c>
      <c r="I31" s="156">
        <f>($D$10*F801ENE!I18)*0.5</f>
        <v>0</v>
      </c>
      <c r="J31" s="156">
        <f t="shared" si="1"/>
        <v>0</v>
      </c>
      <c r="K31" s="69"/>
    </row>
    <row r="32" spans="2:11" s="37" customFormat="1" ht="15.75">
      <c r="B32" s="48"/>
      <c r="C32" s="157"/>
      <c r="D32" s="156"/>
      <c r="E32" s="156"/>
      <c r="F32" s="156"/>
      <c r="G32" s="156"/>
      <c r="H32" s="156"/>
      <c r="I32" s="156"/>
      <c r="J32" s="156">
        <f t="shared" si="1"/>
        <v>0</v>
      </c>
      <c r="K32" s="69"/>
    </row>
    <row r="33" spans="2:11" s="37" customFormat="1" ht="15.75">
      <c r="B33" s="48"/>
      <c r="C33" s="153" t="s">
        <v>443</v>
      </c>
      <c r="D33" s="154">
        <f t="shared" ref="D33:I33" si="5">SUBTOTAL(9,D34:D108)</f>
        <v>1583441.2043756982</v>
      </c>
      <c r="E33" s="154">
        <f t="shared" si="5"/>
        <v>1584102.0424201239</v>
      </c>
      <c r="F33" s="154">
        <f t="shared" si="5"/>
        <v>1554182.6211784268</v>
      </c>
      <c r="G33" s="154">
        <f t="shared" si="5"/>
        <v>1578671.9676141979</v>
      </c>
      <c r="H33" s="154">
        <f t="shared" si="5"/>
        <v>1510268.4683952285</v>
      </c>
      <c r="I33" s="154">
        <f t="shared" si="5"/>
        <v>1517345.390743827</v>
      </c>
      <c r="J33" s="154">
        <f t="shared" si="1"/>
        <v>9328011.6947275028</v>
      </c>
      <c r="K33" s="69"/>
    </row>
    <row r="34" spans="2:11" s="37" customFormat="1" ht="15.75">
      <c r="B34" s="48" t="s">
        <v>275</v>
      </c>
      <c r="C34" s="155" t="s">
        <v>275</v>
      </c>
      <c r="D34" s="154">
        <f>SUBTOTAL(9,D35:D37)</f>
        <v>20247.416901828277</v>
      </c>
      <c r="E34" s="154">
        <f t="shared" ref="E34:I34" si="6">SUBTOTAL(9,E35:E37)</f>
        <v>20255.867018103258</v>
      </c>
      <c r="F34" s="154">
        <f t="shared" si="6"/>
        <v>19873.288275089137</v>
      </c>
      <c r="G34" s="154">
        <f t="shared" si="6"/>
        <v>20186.432814248117</v>
      </c>
      <c r="H34" s="154">
        <f t="shared" si="6"/>
        <v>19311.759319144228</v>
      </c>
      <c r="I34" s="154">
        <f t="shared" si="6"/>
        <v>19402.251713187004</v>
      </c>
      <c r="J34" s="154">
        <f t="shared" si="1"/>
        <v>119277.01604160003</v>
      </c>
      <c r="K34" s="69"/>
    </row>
    <row r="35" spans="2:11" s="37" customFormat="1" ht="15.75">
      <c r="B35" s="48"/>
      <c r="C35" s="160" t="s">
        <v>304</v>
      </c>
      <c r="D35" s="156">
        <f>$D$11*F801ENE!D22</f>
        <v>20077.543012375107</v>
      </c>
      <c r="E35" s="156">
        <f>$D$11*F801ENE!E22</f>
        <v>20085.922232983496</v>
      </c>
      <c r="F35" s="156">
        <f>$D$11*F801ENE!F22</f>
        <v>19706.553288997715</v>
      </c>
      <c r="G35" s="156">
        <f>$D$11*F801ENE!G22</f>
        <v>20017.070575451529</v>
      </c>
      <c r="H35" s="156">
        <f>$D$11*F801ENE!H22</f>
        <v>19149.735507236135</v>
      </c>
      <c r="I35" s="156">
        <f>$D$11*F801ENE!I22</f>
        <v>19239.468678756031</v>
      </c>
      <c r="J35" s="156">
        <f t="shared" si="1"/>
        <v>118276.29329580003</v>
      </c>
      <c r="K35" s="69"/>
    </row>
    <row r="36" spans="2:11" s="37" customFormat="1" ht="15.75">
      <c r="B36" s="48"/>
      <c r="C36" s="161" t="s">
        <v>306</v>
      </c>
      <c r="D36" s="156">
        <f>$D$11*F801ENE!D23</f>
        <v>107.22014679783398</v>
      </c>
      <c r="E36" s="156">
        <f>$D$11*F801ENE!E23</f>
        <v>107.26489436794895</v>
      </c>
      <c r="F36" s="156">
        <f>$D$11*F801ENE!F23</f>
        <v>105.23894956784947</v>
      </c>
      <c r="G36" s="156">
        <f>$D$11*F801ENE!G23</f>
        <v>106.8972057108607</v>
      </c>
      <c r="H36" s="156">
        <f>$D$11*F801ENE!H23</f>
        <v>102.26537435183214</v>
      </c>
      <c r="I36" s="156">
        <f>$D$11*F801ENE!I23</f>
        <v>102.74457660367482</v>
      </c>
      <c r="J36" s="156">
        <f t="shared" si="1"/>
        <v>631.63114740000003</v>
      </c>
      <c r="K36" s="69"/>
    </row>
    <row r="37" spans="2:11" s="37" customFormat="1" ht="15.75">
      <c r="B37" s="48"/>
      <c r="C37" s="160" t="s">
        <v>305</v>
      </c>
      <c r="D37" s="156">
        <f>($D$11*F801ENE!D24)*95%</f>
        <v>62.653742655337545</v>
      </c>
      <c r="E37" s="156">
        <f>($D$11*F801ENE!E24)*95%</f>
        <v>62.679890751811634</v>
      </c>
      <c r="F37" s="156">
        <f>($D$11*F801ENE!F24)*95%</f>
        <v>61.496036523569558</v>
      </c>
      <c r="G37" s="156">
        <f>($D$11*F801ENE!G24)*95%</f>
        <v>62.465033085724571</v>
      </c>
      <c r="H37" s="156">
        <f>($D$11*F801ENE!H24)*95%</f>
        <v>59.75843755626051</v>
      </c>
      <c r="I37" s="156">
        <f>($D$11*F801ENE!I24)*95%</f>
        <v>60.038457827296149</v>
      </c>
      <c r="J37" s="156">
        <f t="shared" si="1"/>
        <v>369.09159840000001</v>
      </c>
      <c r="K37" s="69"/>
    </row>
    <row r="38" spans="2:11" s="37" customFormat="1" ht="15.75">
      <c r="B38" s="48" t="s">
        <v>274</v>
      </c>
      <c r="C38" s="158" t="s">
        <v>627</v>
      </c>
      <c r="D38" s="154">
        <f t="shared" ref="D38:I38" si="7">SUBTOTAL(9,D39:D44)</f>
        <v>244172.99262087754</v>
      </c>
      <c r="E38" s="154">
        <f t="shared" si="7"/>
        <v>244274.89649280647</v>
      </c>
      <c r="F38" s="154">
        <f t="shared" si="7"/>
        <v>239661.20196338443</v>
      </c>
      <c r="G38" s="154">
        <f t="shared" si="7"/>
        <v>243437.55721996189</v>
      </c>
      <c r="H38" s="154">
        <f t="shared" si="7"/>
        <v>232889.46380630802</v>
      </c>
      <c r="I38" s="154">
        <f t="shared" si="7"/>
        <v>233980.75356292175</v>
      </c>
      <c r="J38" s="154">
        <f t="shared" si="1"/>
        <v>1438416.86566626</v>
      </c>
      <c r="K38" s="69"/>
    </row>
    <row r="39" spans="2:11" s="37" customFormat="1" ht="15.75">
      <c r="B39" s="48"/>
      <c r="C39" s="160" t="s">
        <v>304</v>
      </c>
      <c r="D39" s="156">
        <f>$D$12*F801ENE!D28*1</f>
        <v>243733.70271088611</v>
      </c>
      <c r="E39" s="156">
        <f>$D$12*F801ENE!E28*1</f>
        <v>243835.42324827731</v>
      </c>
      <c r="F39" s="156">
        <f>$D$12*F801ENE!F28*1</f>
        <v>239230.0291841639</v>
      </c>
      <c r="G39" s="156">
        <f>$D$12*F801ENE!G28*1</f>
        <v>242999.5904266166</v>
      </c>
      <c r="H39" s="156">
        <f>$D$12*F801ENE!H28*1</f>
        <v>232470.47401347588</v>
      </c>
      <c r="I39" s="156">
        <f>$D$12*F801ENE!I28*1</f>
        <v>233559.80043838031</v>
      </c>
      <c r="J39" s="156">
        <f t="shared" si="1"/>
        <v>1435829.0200218002</v>
      </c>
      <c r="K39" s="69"/>
    </row>
    <row r="40" spans="2:11" s="37" customFormat="1" ht="15.75">
      <c r="B40" s="48"/>
      <c r="C40" s="161" t="s">
        <v>628</v>
      </c>
      <c r="D40" s="156">
        <f>$D$12*F801ENE!D29*0.75</f>
        <v>21.090478433350739</v>
      </c>
      <c r="E40" s="156">
        <f>$D$12*F801ENE!E29*0.75</f>
        <v>21.099280395394626</v>
      </c>
      <c r="F40" s="156">
        <f>$D$12*F801ENE!F29*0.75</f>
        <v>20.700771846490831</v>
      </c>
      <c r="G40" s="156">
        <f>$D$12*F801ENE!G29*0.75</f>
        <v>21.026955091577157</v>
      </c>
      <c r="H40" s="156">
        <f>$D$12*F801ENE!H29*0.75</f>
        <v>20.115861959344258</v>
      </c>
      <c r="I40" s="156">
        <f>$D$12*F801ENE!I29*0.75</f>
        <v>20.210122273842405</v>
      </c>
      <c r="J40" s="156">
        <f t="shared" si="1"/>
        <v>124.24347000000002</v>
      </c>
      <c r="K40" s="69"/>
    </row>
    <row r="41" spans="2:11" s="37" customFormat="1" ht="15.75">
      <c r="B41" s="48"/>
      <c r="C41" s="161" t="s">
        <v>629</v>
      </c>
      <c r="D41" s="156">
        <f>$D$12*F801ENE!D30*1</f>
        <v>112.04992644590443</v>
      </c>
      <c r="E41" s="156">
        <f>$D$12*F801ENE!E30*1</f>
        <v>112.09668969040428</v>
      </c>
      <c r="F41" s="156">
        <f>$D$12*F801ENE!F30*1</f>
        <v>109.97948529725385</v>
      </c>
      <c r="G41" s="156">
        <f>$D$12*F801ENE!G30*1</f>
        <v>111.71243833268683</v>
      </c>
      <c r="H41" s="156">
        <f>$D$12*F801ENE!H30*1</f>
        <v>106.87196405067</v>
      </c>
      <c r="I41" s="156">
        <f>$D$12*F801ENE!I30*1</f>
        <v>107.37275218308068</v>
      </c>
      <c r="J41" s="156">
        <f t="shared" si="1"/>
        <v>660.08325600000012</v>
      </c>
      <c r="K41" s="69"/>
    </row>
    <row r="42" spans="2:11" s="37" customFormat="1" ht="15.75">
      <c r="B42" s="48"/>
      <c r="C42" s="160" t="s">
        <v>305</v>
      </c>
      <c r="D42" s="156">
        <f>$D$12*F801ENE!D31*0.95</f>
        <v>280.52847945981881</v>
      </c>
      <c r="E42" s="156">
        <f>$D$12*F801ENE!E31*0.95</f>
        <v>280.64555603711108</v>
      </c>
      <c r="F42" s="156">
        <f>$D$12*F801ENE!F31*0.95</f>
        <v>275.34491775955826</v>
      </c>
      <c r="G42" s="156">
        <f>$D$12*F801ENE!G31*0.95</f>
        <v>279.6835433653502</v>
      </c>
      <c r="H42" s="156">
        <f>$D$12*F801ENE!H31*0.95</f>
        <v>267.5649197011561</v>
      </c>
      <c r="I42" s="156">
        <f>$D$12*F801ENE!I31*0.95</f>
        <v>268.81869413700554</v>
      </c>
      <c r="J42" s="156">
        <f t="shared" si="1"/>
        <v>1652.5861104599999</v>
      </c>
      <c r="K42" s="69"/>
    </row>
    <row r="43" spans="2:11" s="37" customFormat="1" ht="15.75">
      <c r="B43" s="48"/>
      <c r="C43" s="160" t="s">
        <v>307</v>
      </c>
      <c r="D43" s="156">
        <f>$D$12*F801ENE!D32*0.5</f>
        <v>25.621025652366818</v>
      </c>
      <c r="E43" s="156">
        <f>$D$12*F801ENE!E32*0.5</f>
        <v>25.631718406257171</v>
      </c>
      <c r="F43" s="156">
        <f>$D$12*F801ENE!F32*0.5</f>
        <v>25.147604317218487</v>
      </c>
      <c r="G43" s="156">
        <f>$D$12*F801ENE!G32*0.5</f>
        <v>25.543856555693726</v>
      </c>
      <c r="H43" s="156">
        <f>$D$12*F801ENE!H32*0.5</f>
        <v>24.43704712098117</v>
      </c>
      <c r="I43" s="156">
        <f>$D$12*F801ENE!I32*0.5</f>
        <v>24.551555947482619</v>
      </c>
      <c r="J43" s="156">
        <f t="shared" si="1"/>
        <v>150.93280799999999</v>
      </c>
      <c r="K43" s="69"/>
    </row>
    <row r="44" spans="2:11" s="37" customFormat="1" ht="15.75">
      <c r="B44" s="48"/>
      <c r="C44" s="160" t="s">
        <v>624</v>
      </c>
      <c r="D44" s="156">
        <f>$D$12*F801ENE!D33*0</f>
        <v>0</v>
      </c>
      <c r="E44" s="156">
        <f>$D$12*F801ENE!E33*0</f>
        <v>0</v>
      </c>
      <c r="F44" s="156">
        <f>$D$12*F801ENE!F33*0</f>
        <v>0</v>
      </c>
      <c r="G44" s="156">
        <f>$D$12*F801ENE!G33*0</f>
        <v>0</v>
      </c>
      <c r="H44" s="156">
        <f>$D$12*F801ENE!H33*0</f>
        <v>0</v>
      </c>
      <c r="I44" s="156">
        <f>$D$12*F801ENE!I33*0</f>
        <v>0</v>
      </c>
      <c r="J44" s="156">
        <f t="shared" si="1"/>
        <v>0</v>
      </c>
      <c r="K44" s="69"/>
    </row>
    <row r="45" spans="2:11" s="37" customFormat="1" ht="15.75">
      <c r="B45" s="48" t="s">
        <v>274</v>
      </c>
      <c r="C45" s="158" t="s">
        <v>631</v>
      </c>
      <c r="D45" s="154">
        <f t="shared" ref="D45:I45" si="8">SUBTOTAL(9,D46:D49)</f>
        <v>111462.56443282391</v>
      </c>
      <c r="E45" s="154">
        <f t="shared" si="8"/>
        <v>111509.08254594082</v>
      </c>
      <c r="F45" s="154">
        <f t="shared" si="8"/>
        <v>109402.9764682816</v>
      </c>
      <c r="G45" s="154">
        <f t="shared" si="8"/>
        <v>111126.84542114755</v>
      </c>
      <c r="H45" s="154">
        <f t="shared" si="8"/>
        <v>106311.7447454215</v>
      </c>
      <c r="I45" s="154">
        <f t="shared" si="8"/>
        <v>106809.90776298463</v>
      </c>
      <c r="J45" s="154">
        <f t="shared" si="1"/>
        <v>656623.1213766</v>
      </c>
      <c r="K45" s="69"/>
    </row>
    <row r="46" spans="2:11" s="37" customFormat="1" ht="15.75">
      <c r="B46" s="48"/>
      <c r="C46" s="160" t="s">
        <v>304</v>
      </c>
      <c r="D46" s="156">
        <f>$D$12*F801ENE!D35*1</f>
        <v>111384.20158851155</v>
      </c>
      <c r="E46" s="156">
        <f>$D$12*F801ENE!E35*1</f>
        <v>111430.68699744949</v>
      </c>
      <c r="F46" s="156">
        <f>$D$12*F801ENE!F35*1</f>
        <v>109326.06160044309</v>
      </c>
      <c r="G46" s="156">
        <f>$D$12*F801ENE!G35*1</f>
        <v>111048.71860134062</v>
      </c>
      <c r="H46" s="156">
        <f>$D$12*F801ENE!H35*1</f>
        <v>106237.00314276367</v>
      </c>
      <c r="I46" s="156">
        <f>$D$12*F801ENE!I35*1</f>
        <v>106734.81593089159</v>
      </c>
      <c r="J46" s="156">
        <f t="shared" si="1"/>
        <v>656161.4878614</v>
      </c>
      <c r="K46" s="69"/>
    </row>
    <row r="47" spans="2:11" s="37" customFormat="1" ht="15.75">
      <c r="B47" s="48"/>
      <c r="C47" s="161" t="s">
        <v>306</v>
      </c>
      <c r="D47" s="156">
        <f>$D$12*F801ENE!D36*1</f>
        <v>0</v>
      </c>
      <c r="E47" s="156">
        <f>$D$12*F801ENE!E36*1</f>
        <v>0</v>
      </c>
      <c r="F47" s="156">
        <f>$D$12*F801ENE!F36*1</f>
        <v>0</v>
      </c>
      <c r="G47" s="156">
        <f>$D$12*F801ENE!G36*1</f>
        <v>0</v>
      </c>
      <c r="H47" s="156">
        <f>$D$12*F801ENE!H36*1</f>
        <v>0</v>
      </c>
      <c r="I47" s="156">
        <f>$D$12*F801ENE!I36*1</f>
        <v>0</v>
      </c>
      <c r="J47" s="156">
        <f t="shared" si="1"/>
        <v>0</v>
      </c>
      <c r="K47" s="69"/>
    </row>
    <row r="48" spans="2:11" s="37" customFormat="1" ht="15.75">
      <c r="B48" s="48"/>
      <c r="C48" s="160" t="s">
        <v>305</v>
      </c>
      <c r="D48" s="156">
        <f>$D$12*F801ENE!D37*0.95</f>
        <v>78.362844312360949</v>
      </c>
      <c r="E48" s="156">
        <f>$D$12*F801ENE!E37*0.95</f>
        <v>78.395548491332917</v>
      </c>
      <c r="F48" s="156">
        <f>$D$12*F801ENE!F37*0.95</f>
        <v>76.914867838517026</v>
      </c>
      <c r="G48" s="156">
        <f>$D$12*F801ENE!G37*0.95</f>
        <v>78.126819806926662</v>
      </c>
      <c r="H48" s="156">
        <f>$D$12*F801ENE!H37*0.95</f>
        <v>74.741602657830214</v>
      </c>
      <c r="I48" s="156">
        <f>$D$12*F801ENE!I37*0.95</f>
        <v>75.091832093032224</v>
      </c>
      <c r="J48" s="156">
        <f t="shared" si="1"/>
        <v>461.63351519999998</v>
      </c>
      <c r="K48" s="69"/>
    </row>
    <row r="49" spans="2:11" s="37" customFormat="1" ht="15.75">
      <c r="B49" s="48"/>
      <c r="C49" s="160" t="s">
        <v>307</v>
      </c>
      <c r="D49" s="156">
        <f>$D$12*F801ENE!D38*0.5</f>
        <v>0</v>
      </c>
      <c r="E49" s="156">
        <f>$D$12*F801ENE!E38*0.5</f>
        <v>0</v>
      </c>
      <c r="F49" s="156">
        <f>$D$12*F801ENE!F38*0.5</f>
        <v>0</v>
      </c>
      <c r="G49" s="156">
        <f>$D$12*F801ENE!G38*0.5</f>
        <v>0</v>
      </c>
      <c r="H49" s="156">
        <f>$D$12*F801ENE!H38*0.5</f>
        <v>0</v>
      </c>
      <c r="I49" s="156">
        <f>$D$12*F801ENE!I38*0.5</f>
        <v>0</v>
      </c>
      <c r="J49" s="156">
        <f t="shared" si="1"/>
        <v>0</v>
      </c>
      <c r="K49" s="69"/>
    </row>
    <row r="50" spans="2:11" s="37" customFormat="1" ht="15.75">
      <c r="B50" s="48" t="s">
        <v>274</v>
      </c>
      <c r="C50" s="158" t="s">
        <v>632</v>
      </c>
      <c r="D50" s="154">
        <f t="shared" ref="D50:I50" si="9">SUBTOTAL(9,D51:D54)</f>
        <v>31358.841128111078</v>
      </c>
      <c r="E50" s="154">
        <f t="shared" si="9"/>
        <v>31371.928518718283</v>
      </c>
      <c r="F50" s="154">
        <f t="shared" si="9"/>
        <v>30779.397329216812</v>
      </c>
      <c r="G50" s="154">
        <f t="shared" si="9"/>
        <v>31264.390052053244</v>
      </c>
      <c r="H50" s="154">
        <f t="shared" si="9"/>
        <v>29909.711215492334</v>
      </c>
      <c r="I50" s="154">
        <f t="shared" si="9"/>
        <v>30049.864234608252</v>
      </c>
      <c r="J50" s="154">
        <f t="shared" si="1"/>
        <v>184734.13247819999</v>
      </c>
      <c r="K50" s="69"/>
    </row>
    <row r="51" spans="2:11" s="37" customFormat="1" ht="15.75">
      <c r="B51" s="48"/>
      <c r="C51" s="160" t="s">
        <v>304</v>
      </c>
      <c r="D51" s="156">
        <f>$D$12*F801ENE!D40*1</f>
        <v>31358.841128111078</v>
      </c>
      <c r="E51" s="156">
        <f>$D$12*F801ENE!E40*1</f>
        <v>31371.928518718283</v>
      </c>
      <c r="F51" s="156">
        <f>$D$12*F801ENE!F40*1</f>
        <v>30779.397329216812</v>
      </c>
      <c r="G51" s="156">
        <f>$D$12*F801ENE!G40*1</f>
        <v>31264.390052053244</v>
      </c>
      <c r="H51" s="156">
        <f>$D$12*F801ENE!H40*1</f>
        <v>29909.711215492334</v>
      </c>
      <c r="I51" s="156">
        <f>$D$12*F801ENE!I40*1</f>
        <v>30049.864234608252</v>
      </c>
      <c r="J51" s="156">
        <f t="shared" si="1"/>
        <v>184734.13247819999</v>
      </c>
      <c r="K51" s="69"/>
    </row>
    <row r="52" spans="2:11" s="37" customFormat="1" ht="15.75">
      <c r="B52" s="48"/>
      <c r="C52" s="161" t="s">
        <v>306</v>
      </c>
      <c r="D52" s="156">
        <f>$D$12*F801ENE!D41*1</f>
        <v>0</v>
      </c>
      <c r="E52" s="156">
        <f>$D$12*F801ENE!E41*1</f>
        <v>0</v>
      </c>
      <c r="F52" s="156">
        <f>$D$12*F801ENE!F41*1</f>
        <v>0</v>
      </c>
      <c r="G52" s="156">
        <f>$D$12*F801ENE!G41*1</f>
        <v>0</v>
      </c>
      <c r="H52" s="156">
        <f>$D$12*F801ENE!H41*1</f>
        <v>0</v>
      </c>
      <c r="I52" s="156">
        <f>$D$12*F801ENE!I41*1</f>
        <v>0</v>
      </c>
      <c r="J52" s="156">
        <f t="shared" si="1"/>
        <v>0</v>
      </c>
      <c r="K52" s="69"/>
    </row>
    <row r="53" spans="2:11" s="37" customFormat="1" ht="15.75">
      <c r="B53" s="48"/>
      <c r="C53" s="160" t="s">
        <v>305</v>
      </c>
      <c r="D53" s="156">
        <f>$D$12*F801ENE!D42*0.95</f>
        <v>0</v>
      </c>
      <c r="E53" s="156">
        <f>$D$12*F801ENE!E42*0.95</f>
        <v>0</v>
      </c>
      <c r="F53" s="156">
        <f>$D$12*F801ENE!F42*0.95</f>
        <v>0</v>
      </c>
      <c r="G53" s="156">
        <f>$D$12*F801ENE!G42*0.95</f>
        <v>0</v>
      </c>
      <c r="H53" s="156">
        <f>$D$12*F801ENE!H42*0.95</f>
        <v>0</v>
      </c>
      <c r="I53" s="156">
        <f>$D$12*F801ENE!I42*0.95</f>
        <v>0</v>
      </c>
      <c r="J53" s="156">
        <f t="shared" si="1"/>
        <v>0</v>
      </c>
      <c r="K53" s="69"/>
    </row>
    <row r="54" spans="2:11" s="37" customFormat="1" ht="15.75">
      <c r="B54" s="48"/>
      <c r="C54" s="160" t="s">
        <v>307</v>
      </c>
      <c r="D54" s="156">
        <f>$D$12*F801ENE!D43*0.5</f>
        <v>0</v>
      </c>
      <c r="E54" s="156">
        <f>$D$12*F801ENE!E43*0.5</f>
        <v>0</v>
      </c>
      <c r="F54" s="156">
        <f>$D$12*F801ENE!F43*0.5</f>
        <v>0</v>
      </c>
      <c r="G54" s="156">
        <f>$D$12*F801ENE!G43*0.5</f>
        <v>0</v>
      </c>
      <c r="H54" s="156">
        <f>$D$12*F801ENE!H43*0.5</f>
        <v>0</v>
      </c>
      <c r="I54" s="156">
        <f>$D$12*F801ENE!I43*0.5</f>
        <v>0</v>
      </c>
      <c r="J54" s="156">
        <f t="shared" si="1"/>
        <v>0</v>
      </c>
      <c r="K54" s="69"/>
    </row>
    <row r="55" spans="2:11" s="37" customFormat="1" ht="15.75">
      <c r="B55" s="48" t="s">
        <v>274</v>
      </c>
      <c r="C55" s="158" t="s">
        <v>633</v>
      </c>
      <c r="D55" s="154">
        <f t="shared" ref="D55:I55" si="10">SUBTOTAL(9,D56:D59)</f>
        <v>31694.553475303506</v>
      </c>
      <c r="E55" s="154">
        <f t="shared" si="10"/>
        <v>31707.780973084991</v>
      </c>
      <c r="F55" s="154">
        <f t="shared" si="10"/>
        <v>31108.906435766577</v>
      </c>
      <c r="G55" s="154">
        <f t="shared" si="10"/>
        <v>31599.091252427184</v>
      </c>
      <c r="H55" s="154">
        <f t="shared" si="10"/>
        <v>30229.909889766674</v>
      </c>
      <c r="I55" s="154">
        <f t="shared" si="10"/>
        <v>30371.563318251068</v>
      </c>
      <c r="J55" s="154">
        <f t="shared" si="1"/>
        <v>186711.80534460003</v>
      </c>
      <c r="K55" s="69"/>
    </row>
    <row r="56" spans="2:11" s="37" customFormat="1" ht="15.75">
      <c r="B56" s="48"/>
      <c r="C56" s="160" t="s">
        <v>304</v>
      </c>
      <c r="D56" s="156">
        <f>$D$12*F801ENE!D45*1</f>
        <v>31694.553475303506</v>
      </c>
      <c r="E56" s="156">
        <f>$D$12*F801ENE!E45*1</f>
        <v>31707.780973084991</v>
      </c>
      <c r="F56" s="156">
        <f>$D$12*F801ENE!F45*1</f>
        <v>31108.906435766577</v>
      </c>
      <c r="G56" s="156">
        <f>$D$12*F801ENE!G45*1</f>
        <v>31599.091252427184</v>
      </c>
      <c r="H56" s="156">
        <f>$D$12*F801ENE!H45*1</f>
        <v>30229.909889766674</v>
      </c>
      <c r="I56" s="156">
        <f>$D$12*F801ENE!I45*1</f>
        <v>30371.563318251068</v>
      </c>
      <c r="J56" s="156">
        <f t="shared" si="1"/>
        <v>186711.80534460003</v>
      </c>
      <c r="K56" s="69"/>
    </row>
    <row r="57" spans="2:11" s="37" customFormat="1" ht="15.75">
      <c r="B57" s="48"/>
      <c r="C57" s="161" t="s">
        <v>306</v>
      </c>
      <c r="D57" s="156">
        <f>$D$12*F801ENE!D46*1</f>
        <v>0</v>
      </c>
      <c r="E57" s="156">
        <f>$D$12*F801ENE!E46*1</f>
        <v>0</v>
      </c>
      <c r="F57" s="156">
        <f>$D$12*F801ENE!F46*1</f>
        <v>0</v>
      </c>
      <c r="G57" s="156">
        <f>$D$12*F801ENE!G46*1</f>
        <v>0</v>
      </c>
      <c r="H57" s="156">
        <f>$D$12*F801ENE!H46*1</f>
        <v>0</v>
      </c>
      <c r="I57" s="156">
        <f>$D$12*F801ENE!I46*1</f>
        <v>0</v>
      </c>
      <c r="J57" s="156">
        <f t="shared" si="1"/>
        <v>0</v>
      </c>
      <c r="K57" s="69"/>
    </row>
    <row r="58" spans="2:11" s="37" customFormat="1" ht="15.75">
      <c r="B58" s="48"/>
      <c r="C58" s="160" t="s">
        <v>305</v>
      </c>
      <c r="D58" s="156">
        <f>$D$12*F801ENE!D47*0.95</f>
        <v>0</v>
      </c>
      <c r="E58" s="156">
        <f>$D$12*F801ENE!E47*0.95</f>
        <v>0</v>
      </c>
      <c r="F58" s="156">
        <f>$D$12*F801ENE!F47*0.95</f>
        <v>0</v>
      </c>
      <c r="G58" s="156">
        <f>$D$12*F801ENE!G47*0.95</f>
        <v>0</v>
      </c>
      <c r="H58" s="156">
        <f>$D$12*F801ENE!H47*0.95</f>
        <v>0</v>
      </c>
      <c r="I58" s="156">
        <f>$D$12*F801ENE!I47*0.95</f>
        <v>0</v>
      </c>
      <c r="J58" s="156">
        <f t="shared" si="1"/>
        <v>0</v>
      </c>
      <c r="K58" s="69"/>
    </row>
    <row r="59" spans="2:11" s="37" customFormat="1" ht="15.75">
      <c r="B59" s="48"/>
      <c r="C59" s="160" t="s">
        <v>307</v>
      </c>
      <c r="D59" s="156">
        <f>$D$12*F801ENE!D48*0.5</f>
        <v>0</v>
      </c>
      <c r="E59" s="156">
        <f>$D$12*F801ENE!E48*0.5</f>
        <v>0</v>
      </c>
      <c r="F59" s="156">
        <f>$D$12*F801ENE!F48*0.5</f>
        <v>0</v>
      </c>
      <c r="G59" s="156">
        <f>$D$12*F801ENE!G48*0.5</f>
        <v>0</v>
      </c>
      <c r="H59" s="156">
        <f>$D$12*F801ENE!H48*0.5</f>
        <v>0</v>
      </c>
      <c r="I59" s="156">
        <f>$D$12*F801ENE!I48*0.5</f>
        <v>0</v>
      </c>
      <c r="J59" s="156">
        <f t="shared" si="1"/>
        <v>0</v>
      </c>
      <c r="K59" s="69"/>
    </row>
    <row r="60" spans="2:11" s="37" customFormat="1" ht="15.75">
      <c r="B60" s="48"/>
      <c r="C60" s="157"/>
      <c r="D60" s="156"/>
      <c r="E60" s="156"/>
      <c r="F60" s="156"/>
      <c r="G60" s="156"/>
      <c r="H60" s="156"/>
      <c r="I60" s="156"/>
      <c r="J60" s="156">
        <f t="shared" si="1"/>
        <v>0</v>
      </c>
      <c r="K60" s="69"/>
    </row>
    <row r="61" spans="2:11" s="37" customFormat="1" ht="15.75">
      <c r="B61" s="48" t="s">
        <v>1176</v>
      </c>
      <c r="C61" s="158" t="s">
        <v>1176</v>
      </c>
      <c r="D61" s="154">
        <f t="shared" ref="D61:I61" si="11">SUBTOTAL(9,D62:D67)</f>
        <v>7.26</v>
      </c>
      <c r="E61" s="154">
        <f t="shared" si="11"/>
        <v>7.26</v>
      </c>
      <c r="F61" s="154">
        <f t="shared" si="11"/>
        <v>7.26</v>
      </c>
      <c r="G61" s="154">
        <f t="shared" si="11"/>
        <v>7.26</v>
      </c>
      <c r="H61" s="154">
        <f t="shared" si="11"/>
        <v>7.26</v>
      </c>
      <c r="I61" s="154">
        <f t="shared" si="11"/>
        <v>7.26</v>
      </c>
      <c r="J61" s="154">
        <f t="shared" si="1"/>
        <v>43.559999999999995</v>
      </c>
      <c r="K61" s="69"/>
    </row>
    <row r="62" spans="2:11" s="37" customFormat="1" ht="15.75">
      <c r="B62" s="48"/>
      <c r="C62" s="160" t="s">
        <v>304</v>
      </c>
      <c r="D62" s="156">
        <f>$D$15*F801ENE!D51*1</f>
        <v>7.26</v>
      </c>
      <c r="E62" s="156">
        <f>$D$15*F801ENE!E51*1</f>
        <v>7.26</v>
      </c>
      <c r="F62" s="156">
        <f>$D$15*F801ENE!F51*1</f>
        <v>7.26</v>
      </c>
      <c r="G62" s="156">
        <f>$D$15*F801ENE!G51*1</f>
        <v>7.26</v>
      </c>
      <c r="H62" s="156">
        <f>$D$15*F801ENE!H51*1</f>
        <v>7.26</v>
      </c>
      <c r="I62" s="156">
        <f>$D$15*F801ENE!I51*1</f>
        <v>7.26</v>
      </c>
      <c r="J62" s="156">
        <f t="shared" si="1"/>
        <v>43.559999999999995</v>
      </c>
      <c r="K62" s="69"/>
    </row>
    <row r="63" spans="2:11" s="37" customFormat="1" ht="15.75">
      <c r="B63" s="48"/>
      <c r="C63" s="162" t="s">
        <v>642</v>
      </c>
      <c r="D63" s="156">
        <f>$D$15*F801ENE!D52*0.75</f>
        <v>0</v>
      </c>
      <c r="E63" s="156">
        <f>$D$15*F801ENE!E52*0.75</f>
        <v>0</v>
      </c>
      <c r="F63" s="156">
        <f>$D$15*F801ENE!F52*0.75</f>
        <v>0</v>
      </c>
      <c r="G63" s="156">
        <f>$D$15*F801ENE!G52*0.75</f>
        <v>0</v>
      </c>
      <c r="H63" s="156">
        <f>$D$15*F801ENE!H52*0.75</f>
        <v>0</v>
      </c>
      <c r="I63" s="156">
        <f>$D$15*F801ENE!I52*0.75</f>
        <v>0</v>
      </c>
      <c r="J63" s="156">
        <f t="shared" si="1"/>
        <v>0</v>
      </c>
      <c r="K63" s="69"/>
    </row>
    <row r="64" spans="2:11" s="37" customFormat="1" ht="15.75">
      <c r="B64" s="48"/>
      <c r="C64" s="162" t="s">
        <v>1177</v>
      </c>
      <c r="D64" s="156">
        <f>$D$15*F801ENE!D53*1</f>
        <v>0</v>
      </c>
      <c r="E64" s="156">
        <f>$D$15*F801ENE!E53*1</f>
        <v>0</v>
      </c>
      <c r="F64" s="156">
        <f>$D$15*F801ENE!F53*1</f>
        <v>0</v>
      </c>
      <c r="G64" s="156">
        <f>$D$15*F801ENE!G53*1</f>
        <v>0</v>
      </c>
      <c r="H64" s="156">
        <f>$D$15*F801ENE!H53*1</f>
        <v>0</v>
      </c>
      <c r="I64" s="156">
        <f>$D$15*F801ENE!I53*1</f>
        <v>0</v>
      </c>
      <c r="J64" s="156">
        <f t="shared" si="1"/>
        <v>0</v>
      </c>
      <c r="K64" s="69"/>
    </row>
    <row r="65" spans="2:11" s="37" customFormat="1" ht="15.75">
      <c r="B65" s="48"/>
      <c r="C65" s="160" t="s">
        <v>305</v>
      </c>
      <c r="D65" s="156">
        <f>$D$15*F801ENE!D54*0.95</f>
        <v>0</v>
      </c>
      <c r="E65" s="156">
        <f>$D$15*F801ENE!E54*0.95</f>
        <v>0</v>
      </c>
      <c r="F65" s="156">
        <f>$D$15*F801ENE!F54*0.95</f>
        <v>0</v>
      </c>
      <c r="G65" s="156">
        <f>$D$15*F801ENE!G54*0.95</f>
        <v>0</v>
      </c>
      <c r="H65" s="156">
        <f>$D$15*F801ENE!H54*0.95</f>
        <v>0</v>
      </c>
      <c r="I65" s="156">
        <f>$D$15*F801ENE!I54*0.95</f>
        <v>0</v>
      </c>
      <c r="J65" s="156">
        <f t="shared" si="1"/>
        <v>0</v>
      </c>
      <c r="K65" s="69"/>
    </row>
    <row r="66" spans="2:11" s="37" customFormat="1" ht="15.75">
      <c r="B66" s="48"/>
      <c r="C66" s="160" t="s">
        <v>307</v>
      </c>
      <c r="D66" s="156">
        <f>$D$15*F801ENE!D55*0.5</f>
        <v>0</v>
      </c>
      <c r="E66" s="156">
        <f>$D$15*F801ENE!E55*0.5</f>
        <v>0</v>
      </c>
      <c r="F66" s="156">
        <f>$D$15*F801ENE!F55*0.5</f>
        <v>0</v>
      </c>
      <c r="G66" s="156">
        <f>$D$15*F801ENE!G55*0.5</f>
        <v>0</v>
      </c>
      <c r="H66" s="156">
        <f>$D$15*F801ENE!H55*0.5</f>
        <v>0</v>
      </c>
      <c r="I66" s="156">
        <f>$D$15*F801ENE!I55*0.5</f>
        <v>0</v>
      </c>
      <c r="J66" s="156">
        <f t="shared" si="1"/>
        <v>0</v>
      </c>
      <c r="K66" s="69"/>
    </row>
    <row r="67" spans="2:11" s="37" customFormat="1" ht="15.75">
      <c r="B67" s="48"/>
      <c r="C67" s="160" t="s">
        <v>624</v>
      </c>
      <c r="D67" s="156">
        <f>$D$15*F801ENE!D56*0</f>
        <v>0</v>
      </c>
      <c r="E67" s="156">
        <f>$D$15*F801ENE!E56*0</f>
        <v>0</v>
      </c>
      <c r="F67" s="156">
        <f>$D$15*F801ENE!F56*0</f>
        <v>0</v>
      </c>
      <c r="G67" s="156">
        <f>$D$15*F801ENE!G56*0</f>
        <v>0</v>
      </c>
      <c r="H67" s="156">
        <f>$D$15*F801ENE!H56*0</f>
        <v>0</v>
      </c>
      <c r="I67" s="156">
        <f>$D$15*F801ENE!I56*0</f>
        <v>0</v>
      </c>
      <c r="J67" s="156">
        <f t="shared" si="1"/>
        <v>0</v>
      </c>
      <c r="K67" s="69"/>
    </row>
    <row r="68" spans="2:11" s="37" customFormat="1" ht="15.75">
      <c r="B68" s="48" t="s">
        <v>751</v>
      </c>
      <c r="C68" s="158" t="s">
        <v>634</v>
      </c>
      <c r="D68" s="154">
        <f t="shared" ref="D68:I68" si="12">SUBTOTAL(9,D69:D73)</f>
        <v>592484.39585250057</v>
      </c>
      <c r="E68" s="154">
        <f t="shared" si="12"/>
        <v>592731.66810983093</v>
      </c>
      <c r="F68" s="154">
        <f t="shared" si="12"/>
        <v>581536.42459917965</v>
      </c>
      <c r="G68" s="154">
        <f t="shared" si="12"/>
        <v>590699.84372251038</v>
      </c>
      <c r="H68" s="154">
        <f t="shared" si="12"/>
        <v>565104.63502677018</v>
      </c>
      <c r="I68" s="154">
        <f t="shared" si="12"/>
        <v>567752.67652324529</v>
      </c>
      <c r="J68" s="154">
        <f t="shared" si="1"/>
        <v>3490309.6438340368</v>
      </c>
      <c r="K68" s="69"/>
    </row>
    <row r="69" spans="2:11" s="37" customFormat="1" ht="15.75">
      <c r="B69" s="48"/>
      <c r="C69" s="160" t="s">
        <v>304</v>
      </c>
      <c r="D69" s="156">
        <f>($D$14*(F801ENE!D66))*1</f>
        <v>418708.72853411216</v>
      </c>
      <c r="E69" s="156">
        <f>($D$14*(F801ENE!E66))*1</f>
        <v>418883.47674545075</v>
      </c>
      <c r="F69" s="156">
        <f>($D$14*(F801ENE!F66))*1</f>
        <v>410971.75708830927</v>
      </c>
      <c r="G69" s="156">
        <f>($D$14*(F801ENE!G66))*1</f>
        <v>417447.57899747154</v>
      </c>
      <c r="H69" s="156">
        <f>($D$14*(F801ENE!H66))*1</f>
        <v>399359.35111979616</v>
      </c>
      <c r="I69" s="156">
        <f>($D$14*(F801ENE!I66))*1</f>
        <v>401230.73175932007</v>
      </c>
      <c r="J69" s="156">
        <f t="shared" si="1"/>
        <v>2466601.6242444599</v>
      </c>
      <c r="K69" s="69"/>
    </row>
    <row r="70" spans="2:11" s="37" customFormat="1" ht="15.75">
      <c r="B70" s="48"/>
      <c r="C70" s="162" t="s">
        <v>644</v>
      </c>
      <c r="D70" s="156">
        <f>($D$14*(F801ENE!D67))*0.75</f>
        <v>173738.66474459835</v>
      </c>
      <c r="E70" s="156">
        <f>($D$14*(F801ENE!E67))*0.75</f>
        <v>173811.17334782757</v>
      </c>
      <c r="F70" s="156">
        <f>($D$14*(F801ENE!F67))*0.75</f>
        <v>170528.34866489537</v>
      </c>
      <c r="G70" s="156">
        <f>($D$14*(F801ENE!G67))*0.75</f>
        <v>173215.37360093207</v>
      </c>
      <c r="H70" s="156">
        <f>($D$14*(F801ENE!H67))*0.75</f>
        <v>165709.99126679747</v>
      </c>
      <c r="I70" s="156">
        <f>($D$14*(F801ENE!I67))*0.75</f>
        <v>166486.48674702412</v>
      </c>
      <c r="J70" s="156">
        <f t="shared" si="1"/>
        <v>1023490.038372075</v>
      </c>
      <c r="K70" s="69"/>
    </row>
    <row r="71" spans="2:11" s="37" customFormat="1" ht="15.75">
      <c r="B71" s="48"/>
      <c r="C71" s="160" t="s">
        <v>305</v>
      </c>
      <c r="D71" s="156">
        <f>($D$14*(F801ENE!D68))*0.95</f>
        <v>35.708417481997266</v>
      </c>
      <c r="E71" s="156">
        <f>($D$14*(F801ENE!E68))*0.95</f>
        <v>35.723320137540014</v>
      </c>
      <c r="F71" s="156">
        <f>($D$14*(F801ENE!F68))*0.95</f>
        <v>35.048602886370432</v>
      </c>
      <c r="G71" s="156">
        <f>($D$14*(F801ENE!G68))*0.95</f>
        <v>35.60086572516677</v>
      </c>
      <c r="H71" s="156">
        <f>($D$14*(F801ENE!H68))*0.95</f>
        <v>34.058288394189447</v>
      </c>
      <c r="I71" s="156">
        <f>($D$14*(F801ENE!I68))*0.95</f>
        <v>34.217881106736058</v>
      </c>
      <c r="J71" s="156">
        <f t="shared" si="1"/>
        <v>210.35737573199998</v>
      </c>
      <c r="K71" s="69"/>
    </row>
    <row r="72" spans="2:11" s="37" customFormat="1" ht="15.75">
      <c r="B72" s="48"/>
      <c r="C72" s="160" t="s">
        <v>307</v>
      </c>
      <c r="D72" s="156">
        <f>($D$14*(F801ENE!D69))*0.5</f>
        <v>1.2941563080092942</v>
      </c>
      <c r="E72" s="156">
        <f>($D$14*(F801ENE!E69))*0.5</f>
        <v>1.2946964149934936</v>
      </c>
      <c r="F72" s="156">
        <f>($D$14*(F801ENE!F69))*0.5</f>
        <v>1.2702430886268454</v>
      </c>
      <c r="G72" s="156">
        <f>($D$14*(F801ENE!G69))*0.5</f>
        <v>1.2902583815719255</v>
      </c>
      <c r="H72" s="156">
        <f>($D$14*(F801ENE!H69))*0.5</f>
        <v>1.234351782393093</v>
      </c>
      <c r="I72" s="156">
        <f>($D$14*(F801ENE!I69))*0.5</f>
        <v>1.2401357944053486</v>
      </c>
      <c r="J72" s="156">
        <f t="shared" si="1"/>
        <v>7.6238417700000003</v>
      </c>
      <c r="K72" s="69"/>
    </row>
    <row r="73" spans="2:11" s="37" customFormat="1" ht="15.75">
      <c r="B73" s="48"/>
      <c r="C73" s="160" t="s">
        <v>624</v>
      </c>
      <c r="D73" s="156">
        <f>($D$14*(F801ENE!D70))*0</f>
        <v>0</v>
      </c>
      <c r="E73" s="156">
        <f>($D$14*(F801ENE!E70))*0</f>
        <v>0</v>
      </c>
      <c r="F73" s="156">
        <f>($D$14*(F801ENE!F70))*0</f>
        <v>0</v>
      </c>
      <c r="G73" s="156">
        <f>($D$14*(F801ENE!G70))*0</f>
        <v>0</v>
      </c>
      <c r="H73" s="156">
        <f>($D$14*(F801ENE!H70))*0</f>
        <v>0</v>
      </c>
      <c r="I73" s="156">
        <f>($D$14*(F801ENE!I70))*0</f>
        <v>0</v>
      </c>
      <c r="J73" s="156">
        <f t="shared" si="1"/>
        <v>0</v>
      </c>
      <c r="K73" s="69"/>
    </row>
    <row r="74" spans="2:11" s="37" customFormat="1" ht="15.75">
      <c r="B74" s="48" t="s">
        <v>750</v>
      </c>
      <c r="C74" s="158" t="s">
        <v>635</v>
      </c>
      <c r="D74" s="154">
        <f t="shared" ref="D74:I74" si="13">SUBTOTAL(9,D75:D80)</f>
        <v>222905.43763687403</v>
      </c>
      <c r="E74" s="154">
        <f t="shared" si="13"/>
        <v>222998.46564511274</v>
      </c>
      <c r="F74" s="154">
        <f t="shared" si="13"/>
        <v>218786.62555925827</v>
      </c>
      <c r="G74" s="154">
        <f t="shared" si="13"/>
        <v>222234.05892240137</v>
      </c>
      <c r="H74" s="154">
        <f t="shared" si="13"/>
        <v>212604.70821752699</v>
      </c>
      <c r="I74" s="154">
        <f t="shared" si="13"/>
        <v>213600.94624604762</v>
      </c>
      <c r="J74" s="154">
        <f t="shared" si="1"/>
        <v>1313130.2422272209</v>
      </c>
      <c r="K74" s="69"/>
    </row>
    <row r="75" spans="2:11" s="37" customFormat="1" ht="15.75">
      <c r="B75" s="48"/>
      <c r="C75" s="160" t="s">
        <v>304</v>
      </c>
      <c r="D75" s="156">
        <f>($D$14*(F801ENE!D72))*1</f>
        <v>160384.37938682945</v>
      </c>
      <c r="E75" s="156">
        <f>($D$14*(F801ENE!E72))*1</f>
        <v>160451.31467349242</v>
      </c>
      <c r="F75" s="156">
        <f>($D$14*(F801ENE!F72))*1</f>
        <v>157420.82171913574</v>
      </c>
      <c r="G75" s="156">
        <f>($D$14*(F801ENE!G72))*1</f>
        <v>159901.31060395998</v>
      </c>
      <c r="H75" s="156">
        <f>($D$14*(F801ENE!H72))*1</f>
        <v>152972.82355998163</v>
      </c>
      <c r="I75" s="156">
        <f>($D$14*(F801ENE!I72))*1</f>
        <v>153689.63432790077</v>
      </c>
      <c r="J75" s="156">
        <f t="shared" si="1"/>
        <v>944820.28427130007</v>
      </c>
      <c r="K75" s="69"/>
    </row>
    <row r="76" spans="2:11" s="37" customFormat="1" ht="15.75">
      <c r="B76" s="48"/>
      <c r="C76" s="162" t="s">
        <v>642</v>
      </c>
      <c r="D76" s="156">
        <f>($D$14*(F801ENE!D73))*0.75</f>
        <v>50472.978303908109</v>
      </c>
      <c r="E76" s="156">
        <f>($D$14*(F801ENE!E73))*0.75</f>
        <v>50494.042844510026</v>
      </c>
      <c r="F76" s="156">
        <f>($D$14*(F801ENE!F73))*0.75</f>
        <v>49540.346445146381</v>
      </c>
      <c r="G76" s="156">
        <f>($D$14*(F801ENE!G73))*0.75</f>
        <v>50320.956515437923</v>
      </c>
      <c r="H76" s="156">
        <f>($D$14*(F801ENE!H73))*0.75</f>
        <v>48140.561033118625</v>
      </c>
      <c r="I76" s="156">
        <f>($D$14*(F801ENE!I73))*0.75</f>
        <v>48366.141444848938</v>
      </c>
      <c r="J76" s="156">
        <f t="shared" si="1"/>
        <v>297335.02658696997</v>
      </c>
      <c r="K76" s="69"/>
    </row>
    <row r="77" spans="2:11" s="37" customFormat="1" ht="15.75">
      <c r="B77" s="48"/>
      <c r="C77" s="162" t="s">
        <v>1177</v>
      </c>
      <c r="D77" s="156">
        <f>($D$14*(F801ENE!D74))*1</f>
        <v>12011.098802184893</v>
      </c>
      <c r="E77" s="156">
        <f>($D$14*(F801ENE!E74))*1</f>
        <v>12016.111549339794</v>
      </c>
      <c r="F77" s="156">
        <f>($D$14*(F801ENE!F74))*1</f>
        <v>11789.159582862359</v>
      </c>
      <c r="G77" s="156">
        <f>($D$14*(F801ENE!G74))*1</f>
        <v>11974.92204418964</v>
      </c>
      <c r="H77" s="156">
        <f>($D$14*(F801ENE!H74))*1</f>
        <v>11456.051423789831</v>
      </c>
      <c r="I77" s="156">
        <f>($D$14*(F801ENE!I74))*1</f>
        <v>11509.732991713485</v>
      </c>
      <c r="J77" s="156">
        <f t="shared" si="1"/>
        <v>70757.07639408001</v>
      </c>
      <c r="K77" s="69"/>
    </row>
    <row r="78" spans="2:11" s="37" customFormat="1" ht="15.75">
      <c r="B78" s="48"/>
      <c r="C78" s="160" t="s">
        <v>305</v>
      </c>
      <c r="D78" s="156">
        <f>($D$14*(F801ENE!D75))*0.95</f>
        <v>35.259677952621395</v>
      </c>
      <c r="E78" s="156">
        <f>($D$14*(F801ENE!E75))*0.95</f>
        <v>35.274393329894586</v>
      </c>
      <c r="F78" s="156">
        <f>($D$14*(F801ENE!F75))*0.95</f>
        <v>34.608155096365714</v>
      </c>
      <c r="G78" s="156">
        <f>($D$14*(F801ENE!G75))*0.95</f>
        <v>35.153477774162234</v>
      </c>
      <c r="H78" s="156">
        <f>($D$14*(F801ENE!H75))*0.95</f>
        <v>33.630285660294518</v>
      </c>
      <c r="I78" s="156">
        <f>($D$14*(F801ENE!I75))*0.95</f>
        <v>33.78787280766155</v>
      </c>
      <c r="J78" s="156">
        <f t="shared" si="1"/>
        <v>207.713862621</v>
      </c>
      <c r="K78" s="69"/>
    </row>
    <row r="79" spans="2:11" s="37" customFormat="1" ht="15.75">
      <c r="B79" s="48"/>
      <c r="C79" s="160" t="s">
        <v>307</v>
      </c>
      <c r="D79" s="156">
        <f>($D$14*(F801ENE!D76))*0.5</f>
        <v>1.7214659989681065</v>
      </c>
      <c r="E79" s="156">
        <f>($D$14*(F801ENE!E76))*0.5</f>
        <v>1.7221844406303308</v>
      </c>
      <c r="F79" s="156">
        <f>($D$14*(F801ENE!F76))*0.5</f>
        <v>1.6896570174424721</v>
      </c>
      <c r="G79" s="156">
        <f>($D$14*(F801ENE!G76))*0.5</f>
        <v>1.7162810396344608</v>
      </c>
      <c r="H79" s="156">
        <f>($D$14*(F801ENE!H76))*0.5</f>
        <v>1.6419149765795744</v>
      </c>
      <c r="I79" s="156">
        <f>($D$14*(F801ENE!I76))*0.5</f>
        <v>1.649608776745056</v>
      </c>
      <c r="J79" s="156">
        <f t="shared" si="1"/>
        <v>10.141112250000001</v>
      </c>
      <c r="K79" s="69"/>
    </row>
    <row r="80" spans="2:11" s="37" customFormat="1" ht="15.75">
      <c r="B80" s="48"/>
      <c r="C80" s="160" t="s">
        <v>624</v>
      </c>
      <c r="D80" s="156">
        <f>($D$14*(F801ENE!D77))*0</f>
        <v>0</v>
      </c>
      <c r="E80" s="156">
        <f>($D$14*(F801ENE!E77))*0</f>
        <v>0</v>
      </c>
      <c r="F80" s="156">
        <f>($D$14*(F801ENE!F77))*0</f>
        <v>0</v>
      </c>
      <c r="G80" s="156">
        <f>($D$14*(F801ENE!G77))*0</f>
        <v>0</v>
      </c>
      <c r="H80" s="156">
        <f>($D$14*(F801ENE!H77))*0</f>
        <v>0</v>
      </c>
      <c r="I80" s="156">
        <f>($D$14*(F801ENE!I77))*0</f>
        <v>0</v>
      </c>
      <c r="J80" s="156">
        <f t="shared" si="1"/>
        <v>0</v>
      </c>
      <c r="K80" s="69"/>
    </row>
    <row r="81" spans="2:11" s="37" customFormat="1" ht="15.75">
      <c r="B81" s="48" t="s">
        <v>749</v>
      </c>
      <c r="C81" s="158" t="s">
        <v>636</v>
      </c>
      <c r="D81" s="154">
        <f t="shared" ref="D81:I81" si="14">SUBTOTAL(9,D82:D87)</f>
        <v>220489.53862495528</v>
      </c>
      <c r="E81" s="154">
        <f t="shared" si="14"/>
        <v>220581.55837482412</v>
      </c>
      <c r="F81" s="154">
        <f t="shared" si="14"/>
        <v>216415.36715428962</v>
      </c>
      <c r="G81" s="154">
        <f t="shared" si="14"/>
        <v>219825.43646322223</v>
      </c>
      <c r="H81" s="154">
        <f t="shared" si="14"/>
        <v>210300.45081601513</v>
      </c>
      <c r="I81" s="154">
        <f t="shared" si="14"/>
        <v>211285.89139385778</v>
      </c>
      <c r="J81" s="154">
        <f t="shared" si="1"/>
        <v>1298898.2428271642</v>
      </c>
      <c r="K81" s="69"/>
    </row>
    <row r="82" spans="2:11" s="37" customFormat="1" ht="15.75">
      <c r="B82" s="48"/>
      <c r="C82" s="160" t="s">
        <v>304</v>
      </c>
      <c r="D82" s="156">
        <f>($D$14*(F801ENE!D79))*1</f>
        <v>200751.5690902076</v>
      </c>
      <c r="E82" s="156">
        <f>($D$14*(F801ENE!E79))*1</f>
        <v>200835.35133805784</v>
      </c>
      <c r="F82" s="156">
        <f>($D$14*(F801ENE!F79))*1</f>
        <v>197042.11275690782</v>
      </c>
      <c r="G82" s="156">
        <f>($D$14*(F801ENE!G79))*1</f>
        <v>200146.91658907066</v>
      </c>
      <c r="H82" s="156">
        <f>($D$14*(F801ENE!H79))*1</f>
        <v>191474.59668598883</v>
      </c>
      <c r="I82" s="156">
        <f>($D$14*(F801ENE!I79))*1</f>
        <v>192371.82175834736</v>
      </c>
      <c r="J82" s="156">
        <f t="shared" si="1"/>
        <v>1182622.3682185803</v>
      </c>
      <c r="K82" s="69"/>
    </row>
    <row r="83" spans="2:11" s="37" customFormat="1" ht="15.75">
      <c r="B83" s="48"/>
      <c r="C83" s="162" t="s">
        <v>642</v>
      </c>
      <c r="D83" s="156">
        <f>($D$14*(F801ENE!D80))*0.75</f>
        <v>0</v>
      </c>
      <c r="E83" s="156">
        <f>($D$14*(F801ENE!E80))*0.75</f>
        <v>0</v>
      </c>
      <c r="F83" s="156">
        <f>($D$14*(F801ENE!F80))*0.75</f>
        <v>0</v>
      </c>
      <c r="G83" s="156">
        <f>($D$14*(F801ENE!G80))*0.75</f>
        <v>0</v>
      </c>
      <c r="H83" s="156">
        <f>($D$14*(F801ENE!H80))*0.75</f>
        <v>0</v>
      </c>
      <c r="I83" s="156">
        <f>($D$14*(F801ENE!I80))*0.75</f>
        <v>0</v>
      </c>
      <c r="J83" s="156">
        <f t="shared" si="1"/>
        <v>0</v>
      </c>
      <c r="K83" s="69"/>
    </row>
    <row r="84" spans="2:11" s="37" customFormat="1" ht="15.75">
      <c r="B84" s="48"/>
      <c r="C84" s="162" t="s">
        <v>1177</v>
      </c>
      <c r="D84" s="156">
        <f>($D$14*(F801ENE!D81))*1</f>
        <v>19598.244928944616</v>
      </c>
      <c r="E84" s="156">
        <f>($D$14*(F801ENE!E81))*1</f>
        <v>19606.424117886989</v>
      </c>
      <c r="F84" s="156">
        <f>($D$14*(F801ENE!F81))*1</f>
        <v>19236.111601156939</v>
      </c>
      <c r="G84" s="156">
        <f>($D$14*(F801ENE!G81))*1</f>
        <v>19539.216111048525</v>
      </c>
      <c r="H84" s="156">
        <f>($D$14*(F801ENE!H81))*1</f>
        <v>18692.586366967236</v>
      </c>
      <c r="I84" s="156">
        <f>($D$14*(F801ENE!I81))*1</f>
        <v>18780.177397035706</v>
      </c>
      <c r="J84" s="156">
        <f t="shared" ref="J84:J110" si="15">SUM(D84:I84)</f>
        <v>115452.76052304002</v>
      </c>
      <c r="K84" s="69"/>
    </row>
    <row r="85" spans="2:11" s="37" customFormat="1" ht="15.75">
      <c r="B85" s="48"/>
      <c r="C85" s="160" t="s">
        <v>305</v>
      </c>
      <c r="D85" s="156">
        <f>($D$14*(F801ENE!D82))*0.95</f>
        <v>139.14349036489267</v>
      </c>
      <c r="E85" s="156">
        <f>($D$14*(F801ENE!E82))*0.95</f>
        <v>139.20156091671612</v>
      </c>
      <c r="F85" s="156">
        <f>($D$14*(F801ENE!F82))*0.95</f>
        <v>136.57241854756822</v>
      </c>
      <c r="G85" s="156">
        <f>($D$14*(F801ENE!G82))*0.95</f>
        <v>138.72439795207941</v>
      </c>
      <c r="H85" s="156">
        <f>($D$14*(F801ENE!H82))*0.95</f>
        <v>132.71350166696243</v>
      </c>
      <c r="I85" s="156">
        <f>($D$14*(F801ENE!I82))*0.95</f>
        <v>133.33537988578107</v>
      </c>
      <c r="J85" s="156">
        <f t="shared" si="15"/>
        <v>819.69074933399997</v>
      </c>
      <c r="K85" s="69"/>
    </row>
    <row r="86" spans="2:11" s="37" customFormat="1" ht="15.75">
      <c r="B86" s="48"/>
      <c r="C86" s="160" t="s">
        <v>307</v>
      </c>
      <c r="D86" s="156">
        <f>($D$14*(F801ENE!D83))*0.5</f>
        <v>0.58111543815633637</v>
      </c>
      <c r="E86" s="156">
        <f>($D$14*(F801ENE!E83))*0.5</f>
        <v>0.58135796257539762</v>
      </c>
      <c r="F86" s="156">
        <f>($D$14*(F801ENE!F83))*0.5</f>
        <v>0.57037767728992605</v>
      </c>
      <c r="G86" s="156">
        <f>($D$14*(F801ENE!G83))*0.5</f>
        <v>0.57936515094950203</v>
      </c>
      <c r="H86" s="156">
        <f>($D$14*(F801ENE!H83))*0.5</f>
        <v>0.55426139209396463</v>
      </c>
      <c r="I86" s="156">
        <f>($D$14*(F801ENE!I83))*0.5</f>
        <v>0.55685858893487306</v>
      </c>
      <c r="J86" s="156">
        <f t="shared" si="15"/>
        <v>3.4233362099999995</v>
      </c>
      <c r="K86" s="69"/>
    </row>
    <row r="87" spans="2:11" s="37" customFormat="1" ht="15.75">
      <c r="B87" s="48"/>
      <c r="C87" s="160" t="s">
        <v>624</v>
      </c>
      <c r="D87" s="156">
        <f>($D$14*(F801ENE!D84))*0</f>
        <v>0</v>
      </c>
      <c r="E87" s="156">
        <f>($D$14*(F801ENE!E84))*0</f>
        <v>0</v>
      </c>
      <c r="F87" s="156">
        <f>($D$14*(F801ENE!F84))*0</f>
        <v>0</v>
      </c>
      <c r="G87" s="156">
        <f>($D$14*(F801ENE!G84))*0</f>
        <v>0</v>
      </c>
      <c r="H87" s="156">
        <f>($D$14*(F801ENE!H84))*0</f>
        <v>0</v>
      </c>
      <c r="I87" s="156">
        <f>($D$14*(F801ENE!I84))*0</f>
        <v>0</v>
      </c>
      <c r="J87" s="156">
        <f t="shared" si="15"/>
        <v>0</v>
      </c>
      <c r="K87" s="69"/>
    </row>
    <row r="88" spans="2:11" s="37" customFormat="1" ht="15.75">
      <c r="B88" s="48"/>
      <c r="C88" s="157"/>
      <c r="D88" s="156"/>
      <c r="E88" s="156"/>
      <c r="F88" s="156"/>
      <c r="G88" s="156"/>
      <c r="H88" s="156"/>
      <c r="I88" s="156"/>
      <c r="J88" s="156">
        <f t="shared" si="15"/>
        <v>0</v>
      </c>
      <c r="K88" s="69"/>
    </row>
    <row r="89" spans="2:11" s="37" customFormat="1" ht="15.75">
      <c r="B89" s="48" t="s">
        <v>902</v>
      </c>
      <c r="C89" s="158" t="s">
        <v>910</v>
      </c>
      <c r="D89" s="154">
        <f t="shared" ref="D89:I89" si="16">SUBTOTAL(9,D90:D94)</f>
        <v>99841.894639957551</v>
      </c>
      <c r="E89" s="154">
        <f t="shared" si="16"/>
        <v>99883.562948705876</v>
      </c>
      <c r="F89" s="154">
        <f t="shared" si="16"/>
        <v>97997.031608105361</v>
      </c>
      <c r="G89" s="154">
        <f t="shared" si="16"/>
        <v>99541.176435931076</v>
      </c>
      <c r="H89" s="154">
        <f t="shared" si="16"/>
        <v>95228.080135007884</v>
      </c>
      <c r="I89" s="154">
        <f t="shared" si="16"/>
        <v>95674.306540852282</v>
      </c>
      <c r="J89" s="154">
        <f t="shared" si="15"/>
        <v>588166.05230856</v>
      </c>
      <c r="K89" s="69"/>
    </row>
    <row r="90" spans="2:11" s="37" customFormat="1" ht="15.75">
      <c r="B90" s="48"/>
      <c r="C90" s="160" t="s">
        <v>304</v>
      </c>
      <c r="D90" s="156">
        <f>($D$13*(F801ENE!D87))*1</f>
        <v>96029.115689445403</v>
      </c>
      <c r="E90" s="156">
        <f>($D$13*(F801ENE!E87))*1</f>
        <v>96069.192761858809</v>
      </c>
      <c r="F90" s="156">
        <f>($D$13*(F801ENE!F87))*1</f>
        <v>94254.704595227115</v>
      </c>
      <c r="G90" s="156">
        <f>($D$13*(F801ENE!G87))*1</f>
        <v>95739.881362427506</v>
      </c>
      <c r="H90" s="156">
        <f>($D$13*(F801ENE!H87))*1</f>
        <v>91591.494303521336</v>
      </c>
      <c r="I90" s="156">
        <f>($D$13*(F801ENE!I87))*1</f>
        <v>92020.680140839861</v>
      </c>
      <c r="J90" s="156">
        <f t="shared" si="15"/>
        <v>565705.06885332009</v>
      </c>
      <c r="K90" s="69"/>
    </row>
    <row r="91" spans="2:11" s="37" customFormat="1" ht="15.75">
      <c r="B91" s="48"/>
      <c r="C91" s="162" t="s">
        <v>644</v>
      </c>
      <c r="D91" s="156">
        <f>($D$13*(F801ENE!D88))*0.75</f>
        <v>3812.7789505121427</v>
      </c>
      <c r="E91" s="156">
        <f>($D$13*(F801ENE!E88))*0.75</f>
        <v>3814.3701868470707</v>
      </c>
      <c r="F91" s="156">
        <f>($D$13*(F801ENE!F88))*0.75</f>
        <v>3742.3270128782501</v>
      </c>
      <c r="G91" s="156">
        <f>($D$13*(F801ENE!G88))*0.75</f>
        <v>3801.2950735035729</v>
      </c>
      <c r="H91" s="156">
        <f>($D$13*(F801ENE!H88))*0.75</f>
        <v>3636.58583148654</v>
      </c>
      <c r="I91" s="156">
        <f>($D$13*(F801ENE!I88))*0.75</f>
        <v>3653.6264000124233</v>
      </c>
      <c r="J91" s="156">
        <f t="shared" si="15"/>
        <v>22460.983455240003</v>
      </c>
      <c r="K91" s="69"/>
    </row>
    <row r="92" spans="2:11" s="37" customFormat="1" ht="15.75">
      <c r="B92" s="48"/>
      <c r="C92" s="160" t="s">
        <v>305</v>
      </c>
      <c r="D92" s="156">
        <f>($D$13*(F801ENE!D89))*0.95</f>
        <v>0</v>
      </c>
      <c r="E92" s="156">
        <f>($D$13*(F801ENE!E89))*0.95</f>
        <v>0</v>
      </c>
      <c r="F92" s="156">
        <f>($D$13*(F801ENE!F89))*0.95</f>
        <v>0</v>
      </c>
      <c r="G92" s="156">
        <f>($D$13*(F801ENE!G89))*0.95</f>
        <v>0</v>
      </c>
      <c r="H92" s="156">
        <f>($D$13*(F801ENE!H89))*0.95</f>
        <v>0</v>
      </c>
      <c r="I92" s="156">
        <f>($D$13*(F801ENE!I89))*0.95</f>
        <v>0</v>
      </c>
      <c r="J92" s="156">
        <f t="shared" si="15"/>
        <v>0</v>
      </c>
      <c r="K92" s="69"/>
    </row>
    <row r="93" spans="2:11" s="37" customFormat="1" ht="15.75">
      <c r="B93" s="48"/>
      <c r="C93" s="160" t="s">
        <v>307</v>
      </c>
      <c r="D93" s="156">
        <f>($D$13*(F801ENE!D90))*0.5</f>
        <v>0</v>
      </c>
      <c r="E93" s="156">
        <f>($D$13*(F801ENE!E90))*0.5</f>
        <v>0</v>
      </c>
      <c r="F93" s="156">
        <f>($D$13*(F801ENE!F90))*0.5</f>
        <v>0</v>
      </c>
      <c r="G93" s="156">
        <f>($D$13*(F801ENE!G90))*0.5</f>
        <v>0</v>
      </c>
      <c r="H93" s="156">
        <f>($D$13*(F801ENE!H90))*0.5</f>
        <v>0</v>
      </c>
      <c r="I93" s="156">
        <f>($D$13*(F801ENE!I90))*0.5</f>
        <v>0</v>
      </c>
      <c r="J93" s="156">
        <f t="shared" si="15"/>
        <v>0</v>
      </c>
      <c r="K93" s="69"/>
    </row>
    <row r="94" spans="2:11" s="37" customFormat="1" ht="15.75">
      <c r="B94" s="48"/>
      <c r="C94" s="160" t="s">
        <v>624</v>
      </c>
      <c r="D94" s="156">
        <f>($D$13*(F801ENE!D91))*0</f>
        <v>0</v>
      </c>
      <c r="E94" s="156">
        <f>($D$13*(F801ENE!E91))*0</f>
        <v>0</v>
      </c>
      <c r="F94" s="156">
        <f>($D$13*(F801ENE!F91))*0</f>
        <v>0</v>
      </c>
      <c r="G94" s="156">
        <f>($D$13*(F801ENE!G91))*0</f>
        <v>0</v>
      </c>
      <c r="H94" s="156">
        <f>($D$13*(F801ENE!H91))*0</f>
        <v>0</v>
      </c>
      <c r="I94" s="156">
        <f>($D$13*(F801ENE!I91))*0</f>
        <v>0</v>
      </c>
      <c r="J94" s="156">
        <f t="shared" si="15"/>
        <v>0</v>
      </c>
      <c r="K94" s="69"/>
    </row>
    <row r="95" spans="2:11" s="37" customFormat="1" ht="15.75">
      <c r="B95" s="48" t="s">
        <v>902</v>
      </c>
      <c r="C95" s="158" t="s">
        <v>911</v>
      </c>
      <c r="D95" s="154">
        <f t="shared" ref="D95:I95" si="17">SUBTOTAL(9,D96:D101)</f>
        <v>7902.4191164716858</v>
      </c>
      <c r="E95" s="154">
        <f t="shared" si="17"/>
        <v>7905.7171352121295</v>
      </c>
      <c r="F95" s="154">
        <f t="shared" si="17"/>
        <v>7756.3994426388354</v>
      </c>
      <c r="G95" s="154">
        <f t="shared" si="17"/>
        <v>7878.6174719542287</v>
      </c>
      <c r="H95" s="154">
        <f t="shared" si="17"/>
        <v>7537.2387873598536</v>
      </c>
      <c r="I95" s="154">
        <f t="shared" si="17"/>
        <v>7572.5573086332679</v>
      </c>
      <c r="J95" s="154">
        <f t="shared" si="15"/>
        <v>46552.949262269998</v>
      </c>
      <c r="K95" s="69"/>
    </row>
    <row r="96" spans="2:11" s="37" customFormat="1" ht="15.75">
      <c r="B96" s="48"/>
      <c r="C96" s="160" t="s">
        <v>304</v>
      </c>
      <c r="D96" s="156">
        <f>($D$13*(F801ENE!D93))*1</f>
        <v>7178.3294283617142</v>
      </c>
      <c r="E96" s="156">
        <f>($D$13*(F801ENE!E93))*1</f>
        <v>7181.3252533908453</v>
      </c>
      <c r="F96" s="156">
        <f>($D$13*(F801ENE!F93))*1</f>
        <v>7045.6893713936743</v>
      </c>
      <c r="G96" s="156">
        <f>($D$13*(F801ENE!G93))*1</f>
        <v>7156.7087014975905</v>
      </c>
      <c r="H96" s="156">
        <f>($D$13*(F801ENE!H93))*1</f>
        <v>6846.6101580362129</v>
      </c>
      <c r="I96" s="156">
        <f>($D$13*(F801ENE!I93))*1</f>
        <v>6878.6924833199628</v>
      </c>
      <c r="J96" s="156">
        <f t="shared" si="15"/>
        <v>42287.355395999999</v>
      </c>
      <c r="K96" s="69"/>
    </row>
    <row r="97" spans="2:11" s="37" customFormat="1" ht="15.75">
      <c r="B97" s="48"/>
      <c r="C97" s="162" t="s">
        <v>642</v>
      </c>
      <c r="D97" s="156">
        <f>($D$13*(F801ENE!D94))*0.75</f>
        <v>656.60926942211904</v>
      </c>
      <c r="E97" s="156">
        <f>($D$13*(F801ENE!E94))*0.75</f>
        <v>656.88330065784396</v>
      </c>
      <c r="F97" s="156">
        <f>($D$13*(F801ENE!F94))*0.75</f>
        <v>644.4765452596157</v>
      </c>
      <c r="G97" s="156">
        <f>($D$13*(F801ENE!G94))*0.75</f>
        <v>654.63159901672668</v>
      </c>
      <c r="H97" s="156">
        <f>($D$13*(F801ENE!H94))*0.75</f>
        <v>626.26656226227556</v>
      </c>
      <c r="I97" s="156">
        <f>($D$13*(F801ENE!I94))*0.75</f>
        <v>629.2011659714193</v>
      </c>
      <c r="J97" s="156">
        <f t="shared" si="15"/>
        <v>3868.0684425900004</v>
      </c>
      <c r="K97" s="69"/>
    </row>
    <row r="98" spans="2:11" s="37" customFormat="1" ht="15.75">
      <c r="B98" s="48"/>
      <c r="C98" s="162" t="s">
        <v>1177</v>
      </c>
      <c r="D98" s="156">
        <f>($D$13*(F801ENE!D95))*1</f>
        <v>67.480418687852591</v>
      </c>
      <c r="E98" s="156">
        <f>($D$13*(F801ENE!E95))*1</f>
        <v>67.508581163439544</v>
      </c>
      <c r="F98" s="156">
        <f>($D$13*(F801ENE!F95))*1</f>
        <v>66.233525985545015</v>
      </c>
      <c r="G98" s="156">
        <f>($D$13*(F801ENE!G95))*1</f>
        <v>67.277171439911811</v>
      </c>
      <c r="H98" s="156">
        <f>($D$13*(F801ENE!H95))*1</f>
        <v>64.362067061365238</v>
      </c>
      <c r="I98" s="156">
        <f>($D$13*(F801ENE!I95))*1</f>
        <v>64.66365934188579</v>
      </c>
      <c r="J98" s="156">
        <f t="shared" si="15"/>
        <v>397.52542368000002</v>
      </c>
      <c r="K98" s="69"/>
    </row>
    <row r="99" spans="2:11" s="37" customFormat="1" ht="15.75">
      <c r="B99" s="48"/>
      <c r="C99" s="160" t="s">
        <v>305</v>
      </c>
      <c r="D99" s="156">
        <f>($D$13*(F801ENE!D96))*0.95</f>
        <v>0</v>
      </c>
      <c r="E99" s="156">
        <f>($D$13*(F801ENE!E96))*0.95</f>
        <v>0</v>
      </c>
      <c r="F99" s="156">
        <f>($D$13*(F801ENE!F96))*0.95</f>
        <v>0</v>
      </c>
      <c r="G99" s="156">
        <f>($D$13*(F801ENE!G96))*0.95</f>
        <v>0</v>
      </c>
      <c r="H99" s="156">
        <f>($D$13*(F801ENE!H96))*0.95</f>
        <v>0</v>
      </c>
      <c r="I99" s="156">
        <f>($D$13*(F801ENE!I96))*0.95</f>
        <v>0</v>
      </c>
      <c r="J99" s="156">
        <f t="shared" si="15"/>
        <v>0</v>
      </c>
      <c r="K99" s="69"/>
    </row>
    <row r="100" spans="2:11" s="37" customFormat="1" ht="15.75">
      <c r="B100" s="48"/>
      <c r="C100" s="160" t="s">
        <v>307</v>
      </c>
      <c r="D100" s="156">
        <f>($D$13*(F801ENE!D97))*0.5</f>
        <v>0</v>
      </c>
      <c r="E100" s="156">
        <f>($D$13*(F801ENE!E97))*0.5</f>
        <v>0</v>
      </c>
      <c r="F100" s="156">
        <f>($D$13*(F801ENE!F97))*0.5</f>
        <v>0</v>
      </c>
      <c r="G100" s="156">
        <f>($D$13*(F801ENE!G97))*0.5</f>
        <v>0</v>
      </c>
      <c r="H100" s="156">
        <f>($D$13*(F801ENE!H97))*0.5</f>
        <v>0</v>
      </c>
      <c r="I100" s="156">
        <f>($D$13*(F801ENE!I97))*0.5</f>
        <v>0</v>
      </c>
      <c r="J100" s="156">
        <f t="shared" si="15"/>
        <v>0</v>
      </c>
      <c r="K100" s="69"/>
    </row>
    <row r="101" spans="2:11" s="37" customFormat="1" ht="15.75">
      <c r="B101" s="48"/>
      <c r="C101" s="160" t="s">
        <v>624</v>
      </c>
      <c r="D101" s="156">
        <f>($D$13*(F801ENE!D98))*0</f>
        <v>0</v>
      </c>
      <c r="E101" s="156">
        <f>($D$13*(F801ENE!E98))*0</f>
        <v>0</v>
      </c>
      <c r="F101" s="156">
        <f>($D$13*(F801ENE!F98))*0</f>
        <v>0</v>
      </c>
      <c r="G101" s="156">
        <f>($D$13*(F801ENE!G98))*0</f>
        <v>0</v>
      </c>
      <c r="H101" s="156">
        <f>($D$13*(F801ENE!H98))*0</f>
        <v>0</v>
      </c>
      <c r="I101" s="156">
        <f>($D$13*(F801ENE!I98))*0</f>
        <v>0</v>
      </c>
      <c r="J101" s="156">
        <f t="shared" si="15"/>
        <v>0</v>
      </c>
      <c r="K101" s="69"/>
    </row>
    <row r="102" spans="2:11" s="37" customFormat="1" ht="15.75">
      <c r="B102" s="48" t="s">
        <v>902</v>
      </c>
      <c r="C102" s="158" t="s">
        <v>912</v>
      </c>
      <c r="D102" s="154">
        <f t="shared" ref="D102:I102" si="18">SUBTOTAL(9,D103:D108)</f>
        <v>873.88994599460807</v>
      </c>
      <c r="E102" s="154">
        <f t="shared" si="18"/>
        <v>874.25465778431408</v>
      </c>
      <c r="F102" s="154">
        <f t="shared" si="18"/>
        <v>857.74234321636993</v>
      </c>
      <c r="G102" s="154">
        <f t="shared" si="18"/>
        <v>871.25783834056222</v>
      </c>
      <c r="H102" s="154">
        <f t="shared" si="18"/>
        <v>833.50643641579461</v>
      </c>
      <c r="I102" s="154">
        <f t="shared" si="18"/>
        <v>837.41213923835187</v>
      </c>
      <c r="J102" s="154">
        <f t="shared" si="15"/>
        <v>5148.0633609900005</v>
      </c>
      <c r="K102" s="69"/>
    </row>
    <row r="103" spans="2:11" s="37" customFormat="1" ht="15.75">
      <c r="B103" s="48"/>
      <c r="C103" s="160" t="s">
        <v>304</v>
      </c>
      <c r="D103" s="156">
        <f>($D$13*(F801ENE!D100))*1</f>
        <v>848.98782795115051</v>
      </c>
      <c r="E103" s="156">
        <f>($D$13*(F801ENE!E100))*1</f>
        <v>849.34214701797339</v>
      </c>
      <c r="F103" s="156">
        <f>($D$13*(F801ENE!F100))*1</f>
        <v>833.30036264485102</v>
      </c>
      <c r="G103" s="156">
        <f>($D$13*(F801ENE!G100))*1</f>
        <v>846.43072408425724</v>
      </c>
      <c r="H103" s="156">
        <f>($D$13*(F801ENE!H100))*1</f>
        <v>809.75507531507333</v>
      </c>
      <c r="I103" s="156">
        <f>($D$13*(F801ENE!I100))*1</f>
        <v>813.54948234669519</v>
      </c>
      <c r="J103" s="156">
        <f t="shared" si="15"/>
        <v>5001.3656193600009</v>
      </c>
      <c r="K103" s="69"/>
    </row>
    <row r="104" spans="2:11" s="37" customFormat="1" ht="15.75">
      <c r="B104" s="48"/>
      <c r="C104" s="162" t="s">
        <v>642</v>
      </c>
      <c r="D104" s="156">
        <f>($D$13*(F801ENE!D101))*0.75</f>
        <v>24.90211804345752</v>
      </c>
      <c r="E104" s="156">
        <f>($D$13*(F801ENE!E101))*0.75</f>
        <v>24.912510766340681</v>
      </c>
      <c r="F104" s="156">
        <f>($D$13*(F801ENE!F101))*0.75</f>
        <v>24.441980571518883</v>
      </c>
      <c r="G104" s="156">
        <f>($D$13*(F801ENE!G101))*0.75</f>
        <v>24.827114256304966</v>
      </c>
      <c r="H104" s="156">
        <f>($D$13*(F801ENE!H101))*0.75</f>
        <v>23.751361100721262</v>
      </c>
      <c r="I104" s="156">
        <f>($D$13*(F801ENE!I101))*0.75</f>
        <v>23.862656891656687</v>
      </c>
      <c r="J104" s="156">
        <f t="shared" si="15"/>
        <v>146.69774163</v>
      </c>
      <c r="K104" s="69"/>
    </row>
    <row r="105" spans="2:11" s="37" customFormat="1" ht="15.75">
      <c r="B105" s="48"/>
      <c r="C105" s="162" t="s">
        <v>1177</v>
      </c>
      <c r="D105" s="156">
        <f>($D$13*(F801ENE!D102))*1</f>
        <v>0</v>
      </c>
      <c r="E105" s="156">
        <f>($D$13*(F801ENE!E102))*1</f>
        <v>0</v>
      </c>
      <c r="F105" s="156">
        <f>($D$13*(F801ENE!F102))*1</f>
        <v>0</v>
      </c>
      <c r="G105" s="156">
        <f>($D$13*(F801ENE!G102))*1</f>
        <v>0</v>
      </c>
      <c r="H105" s="156">
        <f>($D$13*(F801ENE!H102))*1</f>
        <v>0</v>
      </c>
      <c r="I105" s="156">
        <f>($D$13*(F801ENE!I102))*1</f>
        <v>0</v>
      </c>
      <c r="J105" s="156">
        <f t="shared" si="15"/>
        <v>0</v>
      </c>
      <c r="K105" s="69"/>
    </row>
    <row r="106" spans="2:11" s="37" customFormat="1" ht="15.75">
      <c r="B106" s="48"/>
      <c r="C106" s="160" t="s">
        <v>305</v>
      </c>
      <c r="D106" s="156">
        <f>($D$13*(F801ENE!D103))*0.95</f>
        <v>0</v>
      </c>
      <c r="E106" s="156">
        <f>($D$13*(F801ENE!E103))*0.95</f>
        <v>0</v>
      </c>
      <c r="F106" s="156">
        <f>($D$13*(F801ENE!F103))*0.95</f>
        <v>0</v>
      </c>
      <c r="G106" s="156">
        <f>($D$13*(F801ENE!G103))*0.95</f>
        <v>0</v>
      </c>
      <c r="H106" s="156">
        <f>($D$13*(F801ENE!H103))*0.95</f>
        <v>0</v>
      </c>
      <c r="I106" s="156">
        <f>($D$13*(F801ENE!I103))*0.95</f>
        <v>0</v>
      </c>
      <c r="J106" s="156">
        <f t="shared" si="15"/>
        <v>0</v>
      </c>
      <c r="K106" s="69"/>
    </row>
    <row r="107" spans="2:11" s="37" customFormat="1" ht="15.75">
      <c r="B107" s="48"/>
      <c r="C107" s="160" t="s">
        <v>307</v>
      </c>
      <c r="D107" s="156">
        <f>($D$13*(F801ENE!D104))*0.5</f>
        <v>0</v>
      </c>
      <c r="E107" s="156">
        <f>($D$13*(F801ENE!E104))*0.5</f>
        <v>0</v>
      </c>
      <c r="F107" s="156">
        <f>($D$13*(F801ENE!F104))*0.5</f>
        <v>0</v>
      </c>
      <c r="G107" s="156">
        <f>($D$13*(F801ENE!G104))*0.5</f>
        <v>0</v>
      </c>
      <c r="H107" s="156">
        <f>($D$13*(F801ENE!H104))*0.5</f>
        <v>0</v>
      </c>
      <c r="I107" s="156">
        <f>($D$13*(F801ENE!I104))*0.5</f>
        <v>0</v>
      </c>
      <c r="J107" s="156">
        <f t="shared" si="15"/>
        <v>0</v>
      </c>
      <c r="K107" s="69"/>
    </row>
    <row r="108" spans="2:11" s="37" customFormat="1" ht="15.75">
      <c r="B108" s="48"/>
      <c r="C108" s="160" t="s">
        <v>624</v>
      </c>
      <c r="D108" s="156">
        <f>($D$13*(F801ENE!D105))*0</f>
        <v>0</v>
      </c>
      <c r="E108" s="156">
        <f>($D$13*(F801ENE!E105))*0</f>
        <v>0</v>
      </c>
      <c r="F108" s="156">
        <f>($D$13*(F801ENE!F105))*0</f>
        <v>0</v>
      </c>
      <c r="G108" s="156">
        <f>($D$13*(F801ENE!G105))*0</f>
        <v>0</v>
      </c>
      <c r="H108" s="156">
        <f>($D$13*(F801ENE!H105))*0</f>
        <v>0</v>
      </c>
      <c r="I108" s="156">
        <f>($D$13*(F801ENE!I105))*0</f>
        <v>0</v>
      </c>
      <c r="J108" s="156">
        <f t="shared" si="15"/>
        <v>0</v>
      </c>
      <c r="K108" s="69"/>
    </row>
    <row r="109" spans="2:11" s="37" customFormat="1" ht="15.75">
      <c r="B109" s="48"/>
      <c r="C109" s="157"/>
      <c r="D109" s="156"/>
      <c r="E109" s="156"/>
      <c r="F109" s="156"/>
      <c r="G109" s="156"/>
      <c r="H109" s="156"/>
      <c r="I109" s="156"/>
      <c r="J109" s="156">
        <f t="shared" si="15"/>
        <v>0</v>
      </c>
      <c r="K109" s="69"/>
    </row>
    <row r="110" spans="2:11" s="37" customFormat="1" ht="15.75">
      <c r="B110" s="48"/>
      <c r="C110" s="179" t="s">
        <v>112</v>
      </c>
      <c r="D110" s="180">
        <f t="shared" ref="D110:I110" si="19">D33+D23+D19</f>
        <v>1926958.5132583522</v>
      </c>
      <c r="E110" s="180">
        <f t="shared" si="19"/>
        <v>1927762.7158226375</v>
      </c>
      <c r="F110" s="180">
        <f t="shared" si="19"/>
        <v>1891352.4705477743</v>
      </c>
      <c r="G110" s="180">
        <f t="shared" si="19"/>
        <v>1921154.6215701629</v>
      </c>
      <c r="H110" s="180">
        <f t="shared" si="19"/>
        <v>1837911.4276560179</v>
      </c>
      <c r="I110" s="180">
        <f t="shared" si="19"/>
        <v>1846523.6423249475</v>
      </c>
      <c r="J110" s="180">
        <f t="shared" si="15"/>
        <v>11351663.391179891</v>
      </c>
      <c r="K110" s="69"/>
    </row>
    <row r="112" spans="2:11">
      <c r="C112" s="52" t="str">
        <f>'PORTADA PORTADA PORTADA'!$B$23</f>
        <v>1 DE JULIO DE 2026</v>
      </c>
    </row>
    <row r="114" spans="2:10">
      <c r="B114" s="48" t="s">
        <v>902</v>
      </c>
      <c r="D114" s="163">
        <f t="shared" ref="D114:J123" si="20">SUMIF($B$18:$B$110,$B114,D$18:D$110)</f>
        <v>108618.20370242385</v>
      </c>
      <c r="E114" s="163">
        <f t="shared" si="20"/>
        <v>108663.53474170233</v>
      </c>
      <c r="F114" s="163">
        <f t="shared" si="20"/>
        <v>106611.17339396056</v>
      </c>
      <c r="G114" s="163">
        <f t="shared" si="20"/>
        <v>108291.05174622587</v>
      </c>
      <c r="H114" s="163">
        <f t="shared" si="20"/>
        <v>103598.82535878352</v>
      </c>
      <c r="I114" s="163">
        <f t="shared" si="20"/>
        <v>104084.27598872391</v>
      </c>
      <c r="J114" s="163">
        <f t="shared" si="20"/>
        <v>639867.06493182003</v>
      </c>
    </row>
    <row r="115" spans="2:10">
      <c r="B115" s="48" t="s">
        <v>751</v>
      </c>
      <c r="D115" s="163">
        <f t="shared" si="20"/>
        <v>592484.39585250057</v>
      </c>
      <c r="E115" s="163">
        <f t="shared" si="20"/>
        <v>592731.66810983093</v>
      </c>
      <c r="F115" s="163">
        <f t="shared" si="20"/>
        <v>581536.42459917965</v>
      </c>
      <c r="G115" s="163">
        <f t="shared" si="20"/>
        <v>590699.84372251038</v>
      </c>
      <c r="H115" s="163">
        <f t="shared" si="20"/>
        <v>565104.63502677018</v>
      </c>
      <c r="I115" s="163">
        <f t="shared" si="20"/>
        <v>567752.67652324529</v>
      </c>
      <c r="J115" s="163">
        <f t="shared" si="20"/>
        <v>3490309.6438340368</v>
      </c>
    </row>
    <row r="116" spans="2:10">
      <c r="B116" s="48" t="s">
        <v>750</v>
      </c>
      <c r="D116" s="163">
        <f t="shared" si="20"/>
        <v>222905.43763687403</v>
      </c>
      <c r="E116" s="163">
        <f t="shared" si="20"/>
        <v>222998.46564511274</v>
      </c>
      <c r="F116" s="163">
        <f t="shared" si="20"/>
        <v>218786.62555925827</v>
      </c>
      <c r="G116" s="163">
        <f t="shared" si="20"/>
        <v>222234.05892240137</v>
      </c>
      <c r="H116" s="163">
        <f t="shared" si="20"/>
        <v>212604.70821752699</v>
      </c>
      <c r="I116" s="163">
        <f t="shared" si="20"/>
        <v>213600.94624604762</v>
      </c>
      <c r="J116" s="163">
        <f t="shared" si="20"/>
        <v>1313130.2422272209</v>
      </c>
    </row>
    <row r="117" spans="2:10">
      <c r="B117" s="48" t="s">
        <v>749</v>
      </c>
      <c r="D117" s="163">
        <f t="shared" si="20"/>
        <v>220489.53862495528</v>
      </c>
      <c r="E117" s="163">
        <f t="shared" si="20"/>
        <v>220581.55837482412</v>
      </c>
      <c r="F117" s="163">
        <f t="shared" si="20"/>
        <v>216415.36715428962</v>
      </c>
      <c r="G117" s="163">
        <f t="shared" si="20"/>
        <v>219825.43646322223</v>
      </c>
      <c r="H117" s="163">
        <f t="shared" si="20"/>
        <v>210300.45081601513</v>
      </c>
      <c r="I117" s="163">
        <f t="shared" si="20"/>
        <v>211285.89139385778</v>
      </c>
      <c r="J117" s="163">
        <f t="shared" si="20"/>
        <v>1298898.2428271642</v>
      </c>
    </row>
    <row r="118" spans="2:10">
      <c r="B118" s="48" t="s">
        <v>1176</v>
      </c>
      <c r="D118" s="163">
        <f t="shared" si="20"/>
        <v>7.26</v>
      </c>
      <c r="E118" s="163">
        <f t="shared" si="20"/>
        <v>7.26</v>
      </c>
      <c r="F118" s="163">
        <f t="shared" si="20"/>
        <v>7.26</v>
      </c>
      <c r="G118" s="163">
        <f t="shared" si="20"/>
        <v>7.26</v>
      </c>
      <c r="H118" s="163">
        <f t="shared" si="20"/>
        <v>7.26</v>
      </c>
      <c r="I118" s="163">
        <f t="shared" si="20"/>
        <v>7.26</v>
      </c>
      <c r="J118" s="163">
        <f t="shared" si="20"/>
        <v>43.559999999999995</v>
      </c>
    </row>
    <row r="119" spans="2:10">
      <c r="B119" s="48" t="s">
        <v>274</v>
      </c>
      <c r="D119" s="163">
        <f t="shared" si="20"/>
        <v>418688.95165711606</v>
      </c>
      <c r="E119" s="163">
        <f t="shared" si="20"/>
        <v>418863.68853055051</v>
      </c>
      <c r="F119" s="163">
        <f t="shared" si="20"/>
        <v>410952.48219664942</v>
      </c>
      <c r="G119" s="163">
        <f t="shared" si="20"/>
        <v>417427.88394558989</v>
      </c>
      <c r="H119" s="163">
        <f t="shared" si="20"/>
        <v>399340.8296569885</v>
      </c>
      <c r="I119" s="163">
        <f t="shared" si="20"/>
        <v>401212.0888787657</v>
      </c>
      <c r="J119" s="163">
        <f t="shared" si="20"/>
        <v>2466485.9248656603</v>
      </c>
    </row>
    <row r="120" spans="2:10">
      <c r="B120" s="48" t="s">
        <v>275</v>
      </c>
      <c r="D120" s="163">
        <f t="shared" si="20"/>
        <v>20247.416901828277</v>
      </c>
      <c r="E120" s="163">
        <f t="shared" si="20"/>
        <v>20255.867018103258</v>
      </c>
      <c r="F120" s="163">
        <f t="shared" si="20"/>
        <v>19873.288275089137</v>
      </c>
      <c r="G120" s="163">
        <f t="shared" si="20"/>
        <v>20186.432814248117</v>
      </c>
      <c r="H120" s="163">
        <f t="shared" si="20"/>
        <v>19311.759319144228</v>
      </c>
      <c r="I120" s="163">
        <f t="shared" si="20"/>
        <v>19402.251713187004</v>
      </c>
      <c r="J120" s="163">
        <f t="shared" si="20"/>
        <v>119277.01604160003</v>
      </c>
    </row>
    <row r="121" spans="2:10">
      <c r="B121" s="48" t="s">
        <v>276</v>
      </c>
      <c r="D121" s="163">
        <f t="shared" si="20"/>
        <v>181291.67839905716</v>
      </c>
      <c r="E121" s="163">
        <f t="shared" si="20"/>
        <v>181367.33919912792</v>
      </c>
      <c r="F121" s="163">
        <f t="shared" si="20"/>
        <v>177941.79890541424</v>
      </c>
      <c r="G121" s="163">
        <f t="shared" si="20"/>
        <v>180745.63800058814</v>
      </c>
      <c r="H121" s="163">
        <f t="shared" si="20"/>
        <v>172913.97104043214</v>
      </c>
      <c r="I121" s="163">
        <f t="shared" si="20"/>
        <v>173724.22343351055</v>
      </c>
      <c r="J121" s="163">
        <f t="shared" si="20"/>
        <v>1067984.6489781302</v>
      </c>
    </row>
    <row r="122" spans="2:10">
      <c r="B122" s="48" t="s">
        <v>277</v>
      </c>
      <c r="D122" s="163">
        <f t="shared" si="20"/>
        <v>30264.303522432318</v>
      </c>
      <c r="E122" s="163">
        <f t="shared" si="20"/>
        <v>30276.934115509237</v>
      </c>
      <c r="F122" s="163">
        <f t="shared" si="20"/>
        <v>29705.084419523344</v>
      </c>
      <c r="G122" s="163">
        <f t="shared" si="20"/>
        <v>30173.149132442049</v>
      </c>
      <c r="H122" s="163">
        <f t="shared" si="20"/>
        <v>28865.753514166398</v>
      </c>
      <c r="I122" s="163">
        <f t="shared" si="20"/>
        <v>29001.01468318667</v>
      </c>
      <c r="J122" s="163">
        <f t="shared" si="20"/>
        <v>178286.23938725999</v>
      </c>
    </row>
    <row r="123" spans="2:10">
      <c r="B123" s="48" t="s">
        <v>278</v>
      </c>
      <c r="D123" s="163">
        <f t="shared" si="20"/>
        <v>3.4499999999999997</v>
      </c>
      <c r="E123" s="163">
        <f t="shared" si="20"/>
        <v>3.4499999999999997</v>
      </c>
      <c r="F123" s="163">
        <f t="shared" si="20"/>
        <v>3.4499999999999997</v>
      </c>
      <c r="G123" s="163">
        <f t="shared" si="20"/>
        <v>3.4499999999999997</v>
      </c>
      <c r="H123" s="163">
        <f t="shared" si="20"/>
        <v>3.4499999999999997</v>
      </c>
      <c r="I123" s="163">
        <f t="shared" si="20"/>
        <v>3.4499999999999997</v>
      </c>
      <c r="J123" s="163">
        <f t="shared" si="20"/>
        <v>20.7</v>
      </c>
    </row>
    <row r="124" spans="2:10">
      <c r="B124" s="48" t="s">
        <v>279</v>
      </c>
      <c r="D124" s="163">
        <f t="shared" ref="D124:J132" si="21">SUMIF($B$18:$B$110,$B124,D$18:D$110)</f>
        <v>131957.87696116455</v>
      </c>
      <c r="E124" s="163">
        <f t="shared" si="21"/>
        <v>132012.95008787641</v>
      </c>
      <c r="F124" s="163">
        <f t="shared" si="21"/>
        <v>129519.51604440989</v>
      </c>
      <c r="G124" s="163">
        <f t="shared" si="21"/>
        <v>131560.41682293487</v>
      </c>
      <c r="H124" s="163">
        <f t="shared" si="21"/>
        <v>125859.78470619084</v>
      </c>
      <c r="I124" s="163">
        <f t="shared" si="21"/>
        <v>126449.56346442338</v>
      </c>
      <c r="J124" s="163">
        <f t="shared" si="21"/>
        <v>777360.10808699986</v>
      </c>
    </row>
    <row r="125" spans="2:10">
      <c r="B125" s="48" t="s">
        <v>875</v>
      </c>
      <c r="D125" s="163">
        <f t="shared" si="21"/>
        <v>0</v>
      </c>
      <c r="E125" s="163">
        <f t="shared" si="21"/>
        <v>0</v>
      </c>
      <c r="F125" s="163">
        <f t="shared" si="21"/>
        <v>0</v>
      </c>
      <c r="G125" s="163">
        <f t="shared" si="21"/>
        <v>0</v>
      </c>
      <c r="H125" s="163">
        <f t="shared" si="21"/>
        <v>0</v>
      </c>
      <c r="I125" s="163">
        <f t="shared" si="21"/>
        <v>0</v>
      </c>
      <c r="J125" s="163">
        <f t="shared" si="21"/>
        <v>0</v>
      </c>
    </row>
    <row r="126" spans="2:10">
      <c r="B126" s="48" t="s">
        <v>874</v>
      </c>
      <c r="D126" s="163">
        <f t="shared" si="21"/>
        <v>0</v>
      </c>
      <c r="E126" s="163">
        <f t="shared" si="21"/>
        <v>0</v>
      </c>
      <c r="F126" s="163">
        <f t="shared" si="21"/>
        <v>0</v>
      </c>
      <c r="G126" s="163">
        <f t="shared" si="21"/>
        <v>0</v>
      </c>
      <c r="H126" s="163">
        <f t="shared" si="21"/>
        <v>0</v>
      </c>
      <c r="I126" s="163">
        <f t="shared" si="21"/>
        <v>0</v>
      </c>
      <c r="J126" s="163">
        <f t="shared" si="21"/>
        <v>0</v>
      </c>
    </row>
    <row r="127" spans="2:10">
      <c r="B127" s="48" t="s">
        <v>873</v>
      </c>
      <c r="D127" s="163">
        <f t="shared" si="21"/>
        <v>0</v>
      </c>
      <c r="E127" s="163">
        <f t="shared" si="21"/>
        <v>0</v>
      </c>
      <c r="F127" s="163">
        <f t="shared" si="21"/>
        <v>0</v>
      </c>
      <c r="G127" s="163">
        <f t="shared" si="21"/>
        <v>0</v>
      </c>
      <c r="H127" s="163">
        <f t="shared" si="21"/>
        <v>0</v>
      </c>
      <c r="I127" s="163">
        <f t="shared" si="21"/>
        <v>0</v>
      </c>
      <c r="J127" s="163">
        <f t="shared" si="21"/>
        <v>0</v>
      </c>
    </row>
    <row r="128" spans="2:10">
      <c r="B128" s="48" t="s">
        <v>872</v>
      </c>
      <c r="D128" s="163">
        <f t="shared" si="21"/>
        <v>0</v>
      </c>
      <c r="E128" s="163">
        <f t="shared" si="21"/>
        <v>0</v>
      </c>
      <c r="F128" s="163">
        <f t="shared" si="21"/>
        <v>0</v>
      </c>
      <c r="G128" s="163">
        <f t="shared" si="21"/>
        <v>0</v>
      </c>
      <c r="H128" s="163">
        <f t="shared" si="21"/>
        <v>0</v>
      </c>
      <c r="I128" s="163">
        <f t="shared" si="21"/>
        <v>0</v>
      </c>
      <c r="J128" s="163">
        <f t="shared" si="21"/>
        <v>0</v>
      </c>
    </row>
    <row r="129" spans="2:10">
      <c r="B129" s="48" t="s">
        <v>871</v>
      </c>
      <c r="D129" s="163">
        <f t="shared" si="21"/>
        <v>0</v>
      </c>
      <c r="E129" s="163">
        <f t="shared" si="21"/>
        <v>0</v>
      </c>
      <c r="F129" s="163">
        <f t="shared" si="21"/>
        <v>0</v>
      </c>
      <c r="G129" s="163">
        <f t="shared" si="21"/>
        <v>0</v>
      </c>
      <c r="H129" s="163">
        <f t="shared" si="21"/>
        <v>0</v>
      </c>
      <c r="I129" s="163">
        <f t="shared" si="21"/>
        <v>0</v>
      </c>
      <c r="J129" s="163">
        <f t="shared" si="21"/>
        <v>0</v>
      </c>
    </row>
    <row r="130" spans="2:10">
      <c r="B130" s="48" t="s">
        <v>870</v>
      </c>
      <c r="D130" s="163">
        <f t="shared" si="21"/>
        <v>0</v>
      </c>
      <c r="E130" s="163">
        <f t="shared" si="21"/>
        <v>0</v>
      </c>
      <c r="F130" s="163">
        <f t="shared" si="21"/>
        <v>0</v>
      </c>
      <c r="G130" s="163">
        <f t="shared" si="21"/>
        <v>0</v>
      </c>
      <c r="H130" s="163">
        <f t="shared" si="21"/>
        <v>0</v>
      </c>
      <c r="I130" s="163">
        <f t="shared" si="21"/>
        <v>0</v>
      </c>
      <c r="J130" s="163">
        <f t="shared" si="21"/>
        <v>0</v>
      </c>
    </row>
    <row r="131" spans="2:10">
      <c r="B131" s="48" t="s">
        <v>893</v>
      </c>
      <c r="D131" s="163">
        <f t="shared" si="21"/>
        <v>0</v>
      </c>
      <c r="E131" s="163">
        <f t="shared" si="21"/>
        <v>0</v>
      </c>
      <c r="F131" s="163">
        <f t="shared" si="21"/>
        <v>0</v>
      </c>
      <c r="G131" s="163">
        <f t="shared" si="21"/>
        <v>0</v>
      </c>
      <c r="H131" s="163">
        <f t="shared" si="21"/>
        <v>0</v>
      </c>
      <c r="I131" s="163">
        <f t="shared" si="21"/>
        <v>0</v>
      </c>
      <c r="J131" s="163">
        <f t="shared" si="21"/>
        <v>0</v>
      </c>
    </row>
    <row r="132" spans="2:10">
      <c r="D132" s="163">
        <f t="shared" si="21"/>
        <v>0</v>
      </c>
      <c r="E132" s="163">
        <f t="shared" si="21"/>
        <v>0</v>
      </c>
      <c r="F132" s="163">
        <f t="shared" si="21"/>
        <v>0</v>
      </c>
      <c r="G132" s="163">
        <f t="shared" si="21"/>
        <v>0</v>
      </c>
      <c r="H132" s="163">
        <f t="shared" si="21"/>
        <v>0</v>
      </c>
      <c r="I132" s="163">
        <f t="shared" si="21"/>
        <v>0</v>
      </c>
      <c r="J132" s="163">
        <f t="shared" si="21"/>
        <v>0</v>
      </c>
    </row>
    <row r="133" spans="2:10">
      <c r="B133" s="48" t="s">
        <v>111</v>
      </c>
      <c r="C133" s="139"/>
      <c r="D133" s="165">
        <f>SUM(D114:D132)</f>
        <v>1926958.5132583522</v>
      </c>
      <c r="E133" s="165">
        <f t="shared" ref="E133:J133" si="22">SUM(E114:E132)</f>
        <v>1927762.7158226375</v>
      </c>
      <c r="F133" s="165">
        <f t="shared" si="22"/>
        <v>1891352.4705477743</v>
      </c>
      <c r="G133" s="165">
        <f t="shared" si="22"/>
        <v>1921154.6215701629</v>
      </c>
      <c r="H133" s="165">
        <f t="shared" si="22"/>
        <v>1837911.4276560179</v>
      </c>
      <c r="I133" s="165">
        <f t="shared" si="22"/>
        <v>1846523.642324948</v>
      </c>
      <c r="J133" s="165">
        <f t="shared" si="22"/>
        <v>11351663.391179891</v>
      </c>
    </row>
    <row r="134" spans="2:10">
      <c r="D134" s="166">
        <f>D133-D110</f>
        <v>0</v>
      </c>
      <c r="E134" s="166">
        <f t="shared" ref="E134:J134" si="23">E133-E110</f>
        <v>0</v>
      </c>
      <c r="F134" s="166">
        <f t="shared" si="23"/>
        <v>0</v>
      </c>
      <c r="G134" s="166">
        <f t="shared" si="23"/>
        <v>0</v>
      </c>
      <c r="H134" s="166">
        <f t="shared" si="23"/>
        <v>0</v>
      </c>
      <c r="I134" s="166">
        <f t="shared" si="23"/>
        <v>0</v>
      </c>
      <c r="J134" s="166">
        <f t="shared" si="23"/>
        <v>0</v>
      </c>
    </row>
  </sheetData>
  <printOptions horizontalCentered="1" verticalCentered="1"/>
  <pageMargins left="0.51181102362204722" right="0.31496062992125984" top="0.78740157480314965" bottom="0.82677165354330717" header="0.31496062992125984" footer="0.23622047244094491"/>
  <pageSetup scale="54" orientation="portrait" horizontalDpi="300" r:id="rId1"/>
  <headerFooter alignWithMargins="0">
    <oddHeader>&amp;L
NOMBRE DE LA DISTRIBUIDORA: &amp;UELEKTRA NORESTE, S.A.&amp;R&amp;9&amp;A</oddHeader>
  </headerFooter>
  <rowBreaks count="1" manualBreakCount="1">
    <brk id="112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48">
    <tabColor theme="5" tint="0.79998168889431442"/>
  </sheetPr>
  <dimension ref="B1:K134"/>
  <sheetViews>
    <sheetView view="pageBreakPreview" topLeftCell="A85" zoomScale="85" zoomScaleNormal="100" zoomScaleSheetLayoutView="85" workbookViewId="0">
      <selection activeCell="A85" sqref="A1:XFD1048576"/>
    </sheetView>
  </sheetViews>
  <sheetFormatPr baseColWidth="10" defaultColWidth="8" defaultRowHeight="15"/>
  <cols>
    <col min="1" max="1" width="3.5" style="63" customWidth="1"/>
    <col min="2" max="2" width="5.625" style="48" bestFit="1" customWidth="1"/>
    <col min="3" max="3" width="30.125" style="63" customWidth="1"/>
    <col min="4" max="10" width="11.25" style="63" customWidth="1"/>
    <col min="11" max="11" width="4.625" style="63" customWidth="1"/>
    <col min="12" max="16384" width="8" style="63"/>
  </cols>
  <sheetData>
    <row r="1" spans="2:11" s="69" customFormat="1" ht="15.75">
      <c r="B1" s="48"/>
      <c r="C1" s="136" t="s">
        <v>151</v>
      </c>
    </row>
    <row r="2" spans="2:11" s="69" customFormat="1" ht="15.75">
      <c r="B2" s="48"/>
      <c r="D2" s="137" t="s">
        <v>316</v>
      </c>
    </row>
    <row r="3" spans="2:11" s="69" customFormat="1" ht="15.75">
      <c r="B3" s="48"/>
      <c r="D3" s="137"/>
    </row>
    <row r="4" spans="2:11" ht="15.75">
      <c r="C4" s="219" t="s">
        <v>1530</v>
      </c>
      <c r="D4" s="219"/>
      <c r="E4" s="219"/>
      <c r="F4" s="219"/>
      <c r="G4" s="219"/>
      <c r="H4" s="219"/>
      <c r="I4" s="219"/>
      <c r="J4" s="219"/>
    </row>
    <row r="5" spans="2:11" ht="15" customHeight="1">
      <c r="C5" s="259"/>
      <c r="D5" s="259"/>
      <c r="E5" s="259"/>
      <c r="F5" s="259"/>
      <c r="G5" s="259"/>
      <c r="H5" s="259"/>
      <c r="I5" s="259"/>
      <c r="J5" s="259"/>
    </row>
    <row r="6" spans="2:11" s="143" customFormat="1" ht="49.5" customHeight="1">
      <c r="B6" s="48"/>
      <c r="C6" s="220" t="s">
        <v>1447</v>
      </c>
      <c r="D6" s="260" t="s">
        <v>259</v>
      </c>
      <c r="E6" s="260" t="s">
        <v>260</v>
      </c>
      <c r="F6" s="221"/>
      <c r="G6" s="69"/>
    </row>
    <row r="7" spans="2:11" s="143" customFormat="1" ht="15.75">
      <c r="B7" s="48"/>
      <c r="C7" s="261" t="s">
        <v>266</v>
      </c>
      <c r="D7" s="262">
        <f>RAT1000PT!$H$74</f>
        <v>3.7599999999999999E-3</v>
      </c>
      <c r="E7" s="263"/>
      <c r="F7" s="69"/>
      <c r="G7" s="69"/>
    </row>
    <row r="8" spans="2:11" s="143" customFormat="1" ht="15.75">
      <c r="B8" s="48"/>
      <c r="C8" s="261" t="s">
        <v>265</v>
      </c>
      <c r="D8" s="262">
        <f>RAT1000PT!$H$73</f>
        <v>3.7599999999999999E-3</v>
      </c>
      <c r="E8" s="262"/>
      <c r="F8" s="69"/>
      <c r="G8" s="69"/>
    </row>
    <row r="9" spans="2:11" s="143" customFormat="1" ht="15.75">
      <c r="B9" s="48"/>
      <c r="C9" s="261" t="s">
        <v>264</v>
      </c>
      <c r="D9" s="262">
        <f>RAT1000PT!$H$72</f>
        <v>3.7599999999999999E-3</v>
      </c>
      <c r="E9" s="262"/>
      <c r="F9" s="69"/>
      <c r="G9" s="69"/>
    </row>
    <row r="10" spans="2:11" s="143" customFormat="1" ht="14.25" customHeight="1">
      <c r="B10" s="48"/>
      <c r="C10" s="261" t="s">
        <v>262</v>
      </c>
      <c r="D10" s="262">
        <f>RAT1000PT!$H$71</f>
        <v>3.7599999999999999E-3</v>
      </c>
      <c r="E10" s="262"/>
      <c r="F10" s="69"/>
      <c r="G10" s="69"/>
      <c r="H10" s="69"/>
      <c r="I10" s="69"/>
      <c r="J10" s="69"/>
      <c r="K10" s="69"/>
    </row>
    <row r="11" spans="2:11" s="143" customFormat="1" ht="15.75">
      <c r="B11" s="48"/>
      <c r="C11" s="261" t="s">
        <v>263</v>
      </c>
      <c r="D11" s="262">
        <f>RAT1000PT!$H$70</f>
        <v>3.7599999999999999E-3</v>
      </c>
      <c r="E11" s="262"/>
      <c r="F11" s="69"/>
      <c r="G11" s="69"/>
    </row>
    <row r="12" spans="2:11" s="143" customFormat="1" ht="15.75">
      <c r="B12" s="48"/>
      <c r="C12" s="261" t="s">
        <v>261</v>
      </c>
      <c r="D12" s="262">
        <f>RAT1000PT!$H$69</f>
        <v>3.7599999999999999E-3</v>
      </c>
      <c r="E12" s="262"/>
      <c r="F12" s="69"/>
      <c r="G12" s="69"/>
    </row>
    <row r="13" spans="2:11" s="143" customFormat="1" ht="15.75">
      <c r="B13" s="48"/>
      <c r="C13" s="261" t="s">
        <v>1768</v>
      </c>
      <c r="D13" s="262">
        <f>RAT1000PT!$H$66</f>
        <v>3.8899999999999998E-3</v>
      </c>
      <c r="E13" s="262"/>
      <c r="F13" s="69"/>
      <c r="G13" s="69"/>
    </row>
    <row r="14" spans="2:11" s="143" customFormat="1" ht="15.75">
      <c r="B14" s="48"/>
      <c r="C14" s="261" t="s">
        <v>2071</v>
      </c>
      <c r="D14" s="262">
        <f>RAT1000PT!$H$67</f>
        <v>3.8899999999999998E-3</v>
      </c>
      <c r="E14" s="262"/>
      <c r="F14" s="69"/>
      <c r="G14" s="69"/>
    </row>
    <row r="15" spans="2:11" s="143" customFormat="1" ht="15.75">
      <c r="B15" s="48"/>
      <c r="C15" s="261" t="s">
        <v>1178</v>
      </c>
      <c r="D15" s="262">
        <f>RAT1000PT!$H$68</f>
        <v>3.8899999999999998E-3</v>
      </c>
      <c r="E15" s="262"/>
      <c r="F15" s="69"/>
      <c r="G15" s="69"/>
    </row>
    <row r="16" spans="2:11" s="143" customFormat="1" ht="13.5">
      <c r="B16" s="48"/>
      <c r="C16" s="147"/>
    </row>
    <row r="17" spans="2:11" s="143" customFormat="1" ht="39" customHeight="1">
      <c r="B17" s="48"/>
      <c r="C17" s="149" t="s">
        <v>1448</v>
      </c>
      <c r="D17" s="149"/>
      <c r="E17" s="149"/>
      <c r="F17" s="149"/>
      <c r="G17" s="149"/>
      <c r="H17" s="149"/>
      <c r="I17" s="264"/>
      <c r="J17" s="264"/>
    </row>
    <row r="18" spans="2:11" s="37" customFormat="1" ht="15.75">
      <c r="B18" s="48"/>
      <c r="C18" s="150" t="s">
        <v>310</v>
      </c>
      <c r="D18" s="151">
        <f>F801ENE!D4</f>
        <v>46204</v>
      </c>
      <c r="E18" s="151">
        <f>F801ENE!E4</f>
        <v>46235</v>
      </c>
      <c r="F18" s="151">
        <f>F801ENE!F4</f>
        <v>46266</v>
      </c>
      <c r="G18" s="151">
        <f>F801ENE!G4</f>
        <v>46296</v>
      </c>
      <c r="H18" s="151">
        <f>F801ENE!H4</f>
        <v>46327</v>
      </c>
      <c r="I18" s="151">
        <f>F801ENE!I4</f>
        <v>46357</v>
      </c>
      <c r="J18" s="151" t="s">
        <v>111</v>
      </c>
      <c r="K18" s="69"/>
    </row>
    <row r="19" spans="2:11" s="37" customFormat="1" ht="15.75">
      <c r="B19" s="48"/>
      <c r="C19" s="153" t="s">
        <v>446</v>
      </c>
      <c r="D19" s="154">
        <f t="shared" ref="D19:I19" si="0">SUM(D20:D21)</f>
        <v>71909.360778837494</v>
      </c>
      <c r="E19" s="154">
        <f t="shared" si="0"/>
        <v>71939.371642089187</v>
      </c>
      <c r="F19" s="154">
        <f t="shared" si="0"/>
        <v>70580.63077202627</v>
      </c>
      <c r="G19" s="154">
        <f t="shared" si="0"/>
        <v>71692.773804961616</v>
      </c>
      <c r="H19" s="154">
        <f t="shared" si="0"/>
        <v>68586.342390619946</v>
      </c>
      <c r="I19" s="154">
        <f t="shared" si="0"/>
        <v>68907.729076265503</v>
      </c>
      <c r="J19" s="154">
        <f>SUM(D19:I19)</f>
        <v>423616.20846479991</v>
      </c>
      <c r="K19" s="69"/>
    </row>
    <row r="20" spans="2:11" s="37" customFormat="1" ht="15.75">
      <c r="B20" s="48" t="s">
        <v>279</v>
      </c>
      <c r="C20" s="155" t="s">
        <v>279</v>
      </c>
      <c r="D20" s="156">
        <f>$D$7*F801ENE!D6</f>
        <v>71907.480778837489</v>
      </c>
      <c r="E20" s="156">
        <f>$D$7*F801ENE!E6</f>
        <v>71937.491642089182</v>
      </c>
      <c r="F20" s="156">
        <f>$D$7*F801ENE!F6</f>
        <v>70578.750772026266</v>
      </c>
      <c r="G20" s="156">
        <f>$D$7*F801ENE!G6</f>
        <v>71690.893804961612</v>
      </c>
      <c r="H20" s="156">
        <f>$D$7*F801ENE!H6</f>
        <v>68584.462390619941</v>
      </c>
      <c r="I20" s="156">
        <f>$D$7*F801ENE!I6</f>
        <v>68905.849076265498</v>
      </c>
      <c r="J20" s="156">
        <f t="shared" ref="J20:J83" si="1">SUM(D20:I20)</f>
        <v>423604.92846479989</v>
      </c>
      <c r="K20" s="69"/>
    </row>
    <row r="21" spans="2:11" s="37" customFormat="1" ht="15.75">
      <c r="B21" s="48" t="s">
        <v>278</v>
      </c>
      <c r="C21" s="155" t="s">
        <v>278</v>
      </c>
      <c r="D21" s="156">
        <f>$D$8*F801ENE!D7</f>
        <v>1.88</v>
      </c>
      <c r="E21" s="156">
        <f>$D$8*F801ENE!E7</f>
        <v>1.88</v>
      </c>
      <c r="F21" s="156">
        <f>$D$8*F801ENE!F7</f>
        <v>1.88</v>
      </c>
      <c r="G21" s="156">
        <f>$D$8*F801ENE!G7</f>
        <v>1.88</v>
      </c>
      <c r="H21" s="156">
        <f>$D$8*F801ENE!H7</f>
        <v>1.88</v>
      </c>
      <c r="I21" s="156">
        <f>$D$8*F801ENE!I7</f>
        <v>1.88</v>
      </c>
      <c r="J21" s="156">
        <f t="shared" si="1"/>
        <v>11.279999999999998</v>
      </c>
      <c r="K21" s="69"/>
    </row>
    <row r="22" spans="2:11" s="37" customFormat="1" ht="15.75">
      <c r="B22" s="48"/>
      <c r="C22" s="157"/>
      <c r="D22" s="156"/>
      <c r="E22" s="156"/>
      <c r="F22" s="156"/>
      <c r="G22" s="156"/>
      <c r="H22" s="156"/>
      <c r="I22" s="156"/>
      <c r="J22" s="156">
        <f t="shared" si="1"/>
        <v>0</v>
      </c>
      <c r="K22" s="69"/>
    </row>
    <row r="23" spans="2:11" s="37" customFormat="1" ht="15.75">
      <c r="B23" s="48"/>
      <c r="C23" s="153" t="s">
        <v>630</v>
      </c>
      <c r="D23" s="154">
        <f>SUBTOTAL(9,D24:D31)</f>
        <v>115115.84544497836</v>
      </c>
      <c r="E23" s="154">
        <f t="shared" ref="E23:I23" si="2">SUBTOTAL(9,E24:E31)</f>
        <v>115163.88822909343</v>
      </c>
      <c r="F23" s="154">
        <f t="shared" si="2"/>
        <v>112988.7527209501</v>
      </c>
      <c r="G23" s="154">
        <f t="shared" si="2"/>
        <v>114769.12295516547</v>
      </c>
      <c r="H23" s="154">
        <f t="shared" si="2"/>
        <v>109796.2032308669</v>
      </c>
      <c r="I23" s="154">
        <f t="shared" si="2"/>
        <v>110310.69396798573</v>
      </c>
      <c r="J23" s="154">
        <f t="shared" si="1"/>
        <v>678144.50654903997</v>
      </c>
      <c r="K23" s="69"/>
    </row>
    <row r="24" spans="2:11" s="37" customFormat="1" ht="15.75">
      <c r="B24" s="48" t="s">
        <v>277</v>
      </c>
      <c r="C24" s="155" t="s">
        <v>277</v>
      </c>
      <c r="D24" s="154">
        <f>SUBTOTAL(9,D25:D26)</f>
        <v>16467.985708298915</v>
      </c>
      <c r="E24" s="154">
        <f t="shared" ref="E24:I24" si="3">SUBTOTAL(9,E25:E26)</f>
        <v>16474.858505689539</v>
      </c>
      <c r="F24" s="154">
        <f t="shared" si="3"/>
        <v>16163.69282451632</v>
      </c>
      <c r="G24" s="154">
        <f t="shared" si="3"/>
        <v>16418.385056147916</v>
      </c>
      <c r="H24" s="154">
        <f t="shared" si="3"/>
        <v>15706.980204524694</v>
      </c>
      <c r="I24" s="154">
        <f t="shared" si="3"/>
        <v>15780.581072182615</v>
      </c>
      <c r="J24" s="154">
        <f t="shared" si="1"/>
        <v>97012.483371359995</v>
      </c>
      <c r="K24" s="69"/>
    </row>
    <row r="25" spans="2:11" s="37" customFormat="1" ht="15.75">
      <c r="B25" s="48"/>
      <c r="C25" s="160" t="s">
        <v>304</v>
      </c>
      <c r="D25" s="156">
        <f>$D$9*F801ENE!D11</f>
        <v>14358.077839508589</v>
      </c>
      <c r="E25" s="156">
        <f>$D$9*F801ENE!E11</f>
        <v>14364.070081769281</v>
      </c>
      <c r="F25" s="156">
        <f>$D$9*F801ENE!F11</f>
        <v>14092.771505828854</v>
      </c>
      <c r="G25" s="156">
        <f>$D$9*F801ENE!G11</f>
        <v>14314.832111883532</v>
      </c>
      <c r="H25" s="156">
        <f>$D$9*F801ENE!H11</f>
        <v>13694.573725949736</v>
      </c>
      <c r="I25" s="156">
        <f>$D$9*F801ENE!I11</f>
        <v>13758.744718420008</v>
      </c>
      <c r="J25" s="156">
        <f t="shared" si="1"/>
        <v>84583.069983360008</v>
      </c>
      <c r="K25" s="69"/>
    </row>
    <row r="26" spans="2:11" s="37" customFormat="1" ht="15.75">
      <c r="B26" s="48"/>
      <c r="C26" s="160" t="s">
        <v>305</v>
      </c>
      <c r="D26" s="156">
        <f>($D$9*F801ENE!D12)*95%</f>
        <v>2109.9078687903266</v>
      </c>
      <c r="E26" s="156">
        <f>($D$9*F801ENE!E12)*95%</f>
        <v>2110.7884239202581</v>
      </c>
      <c r="F26" s="156">
        <f>($D$9*F801ENE!F12)*95%</f>
        <v>2070.9213186874658</v>
      </c>
      <c r="G26" s="156">
        <f>($D$9*F801ENE!G12)*95%</f>
        <v>2103.5529442643851</v>
      </c>
      <c r="H26" s="156">
        <f>($D$9*F801ENE!H12)*95%</f>
        <v>2012.4064785749579</v>
      </c>
      <c r="I26" s="156">
        <f>($D$9*F801ENE!I12)*95%</f>
        <v>2021.8363537626064</v>
      </c>
      <c r="J26" s="156">
        <f t="shared" si="1"/>
        <v>12429.413388000001</v>
      </c>
      <c r="K26" s="69"/>
    </row>
    <row r="27" spans="2:11" s="37" customFormat="1" ht="15.75">
      <c r="B27" s="48" t="s">
        <v>276</v>
      </c>
      <c r="C27" s="158" t="s">
        <v>276</v>
      </c>
      <c r="D27" s="154">
        <f>SUBTOTAL(9,D28:D31)</f>
        <v>98647.859736679442</v>
      </c>
      <c r="E27" s="154">
        <f t="shared" ref="E27:I27" si="4">SUBTOTAL(9,E28:E31)</f>
        <v>98689.029723403888</v>
      </c>
      <c r="F27" s="154">
        <f t="shared" si="4"/>
        <v>96825.059896433784</v>
      </c>
      <c r="G27" s="154">
        <f t="shared" si="4"/>
        <v>98350.737899017549</v>
      </c>
      <c r="H27" s="154">
        <f t="shared" si="4"/>
        <v>94089.22302634221</v>
      </c>
      <c r="I27" s="154">
        <f t="shared" si="4"/>
        <v>94530.112895803119</v>
      </c>
      <c r="J27" s="154">
        <f t="shared" si="1"/>
        <v>581132.02317768009</v>
      </c>
      <c r="K27" s="69"/>
    </row>
    <row r="28" spans="2:11" s="37" customFormat="1" ht="15.75">
      <c r="B28" s="48"/>
      <c r="C28" s="160" t="s">
        <v>304</v>
      </c>
      <c r="D28" s="156">
        <f>($D$10*F801ENE!D15)*1</f>
        <v>98263.286023794251</v>
      </c>
      <c r="E28" s="156">
        <f>($D$10*F801ENE!E15)*1</f>
        <v>98304.295511398945</v>
      </c>
      <c r="F28" s="156">
        <f>($D$10*F801ENE!F15)*1</f>
        <v>96447.592276922354</v>
      </c>
      <c r="G28" s="156">
        <f>($D$10*F801ENE!G15)*1</f>
        <v>97967.322500652255</v>
      </c>
      <c r="H28" s="156">
        <f>($D$10*F801ENE!H15)*1</f>
        <v>93722.420929081214</v>
      </c>
      <c r="I28" s="156">
        <f>($D$10*F801ENE!I15)*1</f>
        <v>94161.592011590998</v>
      </c>
      <c r="J28" s="156">
        <f t="shared" si="1"/>
        <v>578866.50925344008</v>
      </c>
      <c r="K28" s="69"/>
    </row>
    <row r="29" spans="2:11" s="37" customFormat="1" ht="15.75">
      <c r="B29" s="48"/>
      <c r="C29" s="161" t="s">
        <v>306</v>
      </c>
      <c r="D29" s="156">
        <f>($D$10*F801ENE!D16)*1</f>
        <v>0</v>
      </c>
      <c r="E29" s="156">
        <f>($D$10*F801ENE!E16)*1</f>
        <v>0</v>
      </c>
      <c r="F29" s="156">
        <f>($D$10*F801ENE!F16)*1</f>
        <v>0</v>
      </c>
      <c r="G29" s="156">
        <f>($D$10*F801ENE!G16)*1</f>
        <v>0</v>
      </c>
      <c r="H29" s="156">
        <f>($D$10*F801ENE!H16)*1</f>
        <v>0</v>
      </c>
      <c r="I29" s="156">
        <f>($D$10*F801ENE!I16)*1</f>
        <v>0</v>
      </c>
      <c r="J29" s="156">
        <f t="shared" si="1"/>
        <v>0</v>
      </c>
      <c r="K29" s="69"/>
    </row>
    <row r="30" spans="2:11" s="37" customFormat="1" ht="15.75">
      <c r="B30" s="48"/>
      <c r="C30" s="160" t="s">
        <v>305</v>
      </c>
      <c r="D30" s="156">
        <f>($D$10*F801ENE!D17)*0.95</f>
        <v>384.57371288518829</v>
      </c>
      <c r="E30" s="156">
        <f>($D$10*F801ENE!E17)*0.95</f>
        <v>384.73421200494937</v>
      </c>
      <c r="F30" s="156">
        <f>($D$10*F801ENE!F17)*0.95</f>
        <v>377.46761951143458</v>
      </c>
      <c r="G30" s="156">
        <f>($D$10*F801ENE!G17)*0.95</f>
        <v>383.41539836530006</v>
      </c>
      <c r="H30" s="156">
        <f>($D$10*F801ENE!H17)*0.95</f>
        <v>366.80209726100003</v>
      </c>
      <c r="I30" s="156">
        <f>($D$10*F801ENE!I17)*0.95</f>
        <v>368.52088421212744</v>
      </c>
      <c r="J30" s="156">
        <f t="shared" si="1"/>
        <v>2265.5139242399996</v>
      </c>
      <c r="K30" s="69"/>
    </row>
    <row r="31" spans="2:11" s="37" customFormat="1" ht="15.75">
      <c r="B31" s="48"/>
      <c r="C31" s="160" t="s">
        <v>307</v>
      </c>
      <c r="D31" s="156">
        <f>($D$10*F801ENE!D18)*0.5</f>
        <v>0</v>
      </c>
      <c r="E31" s="156">
        <f>($D$10*F801ENE!E18)*0.5</f>
        <v>0</v>
      </c>
      <c r="F31" s="156">
        <f>($D$10*F801ENE!F18)*0.5</f>
        <v>0</v>
      </c>
      <c r="G31" s="156">
        <f>($D$10*F801ENE!G18)*0.5</f>
        <v>0</v>
      </c>
      <c r="H31" s="156">
        <f>($D$10*F801ENE!H18)*0.5</f>
        <v>0</v>
      </c>
      <c r="I31" s="156">
        <f>($D$10*F801ENE!I18)*0.5</f>
        <v>0</v>
      </c>
      <c r="J31" s="156">
        <f t="shared" si="1"/>
        <v>0</v>
      </c>
      <c r="K31" s="69"/>
    </row>
    <row r="32" spans="2:11" s="37" customFormat="1" ht="15.75">
      <c r="B32" s="48"/>
      <c r="C32" s="157"/>
      <c r="D32" s="156"/>
      <c r="E32" s="156"/>
      <c r="F32" s="156"/>
      <c r="G32" s="156"/>
      <c r="H32" s="156"/>
      <c r="I32" s="156"/>
      <c r="J32" s="156">
        <f t="shared" si="1"/>
        <v>0</v>
      </c>
      <c r="K32" s="69"/>
    </row>
    <row r="33" spans="2:11" s="37" customFormat="1" ht="15.75">
      <c r="B33" s="48"/>
      <c r="C33" s="153" t="s">
        <v>443</v>
      </c>
      <c r="D33" s="154">
        <f t="shared" ref="D33:I33" si="5">SUBTOTAL(9,D34:D108)</f>
        <v>842664.85871544667</v>
      </c>
      <c r="E33" s="154">
        <f t="shared" si="5"/>
        <v>843016.5389357683</v>
      </c>
      <c r="F33" s="154">
        <f t="shared" si="5"/>
        <v>827094.22825324233</v>
      </c>
      <c r="G33" s="154">
        <f t="shared" si="5"/>
        <v>840126.79927834403</v>
      </c>
      <c r="H33" s="154">
        <f t="shared" si="5"/>
        <v>803724.29812239122</v>
      </c>
      <c r="I33" s="154">
        <f t="shared" si="5"/>
        <v>807490.44571596372</v>
      </c>
      <c r="J33" s="154">
        <f t="shared" si="1"/>
        <v>4964117.1690211566</v>
      </c>
      <c r="K33" s="69"/>
    </row>
    <row r="34" spans="2:11" s="37" customFormat="1" ht="15.75">
      <c r="B34" s="48" t="s">
        <v>275</v>
      </c>
      <c r="C34" s="155" t="s">
        <v>275</v>
      </c>
      <c r="D34" s="154">
        <f>SUBTOTAL(9,D35:D37)</f>
        <v>11033.375007373092</v>
      </c>
      <c r="E34" s="154">
        <f t="shared" ref="E34:I34" si="6">SUBTOTAL(9,E35:E37)</f>
        <v>11037.979708415687</v>
      </c>
      <c r="F34" s="154">
        <f t="shared" si="6"/>
        <v>10829.50201657031</v>
      </c>
      <c r="G34" s="154">
        <f t="shared" si="6"/>
        <v>11000.143098778681</v>
      </c>
      <c r="H34" s="154">
        <f t="shared" si="6"/>
        <v>10523.509426084389</v>
      </c>
      <c r="I34" s="154">
        <f t="shared" si="6"/>
        <v>10572.821223417845</v>
      </c>
      <c r="J34" s="154">
        <f t="shared" si="1"/>
        <v>64997.330480640005</v>
      </c>
      <c r="K34" s="69"/>
    </row>
    <row r="35" spans="2:11" s="37" customFormat="1" ht="15.75">
      <c r="B35" s="48"/>
      <c r="C35" s="160" t="s">
        <v>304</v>
      </c>
      <c r="D35" s="156">
        <f>$D$11*F801ENE!D22</f>
        <v>10940.806047323247</v>
      </c>
      <c r="E35" s="156">
        <f>$D$11*F801ENE!E22</f>
        <v>10945.37211536492</v>
      </c>
      <c r="F35" s="156">
        <f>$D$11*F801ENE!F22</f>
        <v>10738.643531395855</v>
      </c>
      <c r="G35" s="156">
        <f>$D$11*F801ENE!G22</f>
        <v>10907.852951260542</v>
      </c>
      <c r="H35" s="156">
        <f>$D$11*F801ENE!H22</f>
        <v>10435.218189450414</v>
      </c>
      <c r="I35" s="156">
        <f>$D$11*F801ENE!I22</f>
        <v>10484.116265525025</v>
      </c>
      <c r="J35" s="156">
        <f t="shared" si="1"/>
        <v>64452.009100320007</v>
      </c>
      <c r="K35" s="69"/>
    </row>
    <row r="36" spans="2:11" s="37" customFormat="1" ht="15.75">
      <c r="B36" s="48"/>
      <c r="C36" s="161" t="s">
        <v>306</v>
      </c>
      <c r="D36" s="156">
        <f>$D$11*F801ENE!D23</f>
        <v>58.427210428964599</v>
      </c>
      <c r="E36" s="156">
        <f>$D$11*F801ENE!E23</f>
        <v>58.451594612099719</v>
      </c>
      <c r="F36" s="156">
        <f>$D$11*F801ENE!F23</f>
        <v>57.347601503639716</v>
      </c>
      <c r="G36" s="156">
        <f>$D$11*F801ENE!G23</f>
        <v>58.251230938092206</v>
      </c>
      <c r="H36" s="156">
        <f>$D$11*F801ENE!H23</f>
        <v>55.72721848737519</v>
      </c>
      <c r="I36" s="156">
        <f>$D$11*F801ENE!I23</f>
        <v>55.988348989828594</v>
      </c>
      <c r="J36" s="156">
        <f t="shared" si="1"/>
        <v>344.19320496</v>
      </c>
      <c r="K36" s="69"/>
    </row>
    <row r="37" spans="2:11" s="37" customFormat="1" ht="15.75">
      <c r="B37" s="48"/>
      <c r="C37" s="160" t="s">
        <v>305</v>
      </c>
      <c r="D37" s="156">
        <f>($D$11*F801ENE!D24)*95%</f>
        <v>34.141749620879587</v>
      </c>
      <c r="E37" s="156">
        <f>($D$11*F801ENE!E24)*95%</f>
        <v>34.155998438668369</v>
      </c>
      <c r="F37" s="156">
        <f>($D$11*F801ENE!F24)*95%</f>
        <v>33.510883670814714</v>
      </c>
      <c r="G37" s="156">
        <f>($D$11*F801ENE!G24)*95%</f>
        <v>34.038916580047015</v>
      </c>
      <c r="H37" s="156">
        <f>($D$11*F801ENE!H24)*95%</f>
        <v>32.564018146599935</v>
      </c>
      <c r="I37" s="156">
        <f>($D$11*F801ENE!I24)*95%</f>
        <v>32.716608902990366</v>
      </c>
      <c r="J37" s="156">
        <f t="shared" si="1"/>
        <v>201.12817535999997</v>
      </c>
      <c r="K37" s="69"/>
    </row>
    <row r="38" spans="2:11" s="37" customFormat="1" ht="15.75">
      <c r="B38" s="48" t="s">
        <v>274</v>
      </c>
      <c r="C38" s="158" t="s">
        <v>627</v>
      </c>
      <c r="D38" s="154">
        <f t="shared" ref="D38:I38" si="7">SUBTOTAL(9,D39:D44)</f>
        <v>133056.58728326083</v>
      </c>
      <c r="E38" s="154">
        <f t="shared" si="7"/>
        <v>133112.11750912352</v>
      </c>
      <c r="F38" s="154">
        <f t="shared" si="7"/>
        <v>130597.98831627905</v>
      </c>
      <c r="G38" s="154">
        <f t="shared" si="7"/>
        <v>132655.82828218213</v>
      </c>
      <c r="H38" s="154">
        <f t="shared" si="7"/>
        <v>126907.88172633597</v>
      </c>
      <c r="I38" s="154">
        <f t="shared" si="7"/>
        <v>127502.55556472256</v>
      </c>
      <c r="J38" s="154">
        <f t="shared" si="1"/>
        <v>783832.95868190401</v>
      </c>
      <c r="K38" s="69"/>
    </row>
    <row r="39" spans="2:11" s="37" customFormat="1" ht="15.75">
      <c r="B39" s="48"/>
      <c r="C39" s="160" t="s">
        <v>304</v>
      </c>
      <c r="D39" s="156">
        <f>$D$12*F801ENE!D28*1</f>
        <v>132817.20611491764</v>
      </c>
      <c r="E39" s="156">
        <f>$D$12*F801ENE!E28*1</f>
        <v>132872.63643674241</v>
      </c>
      <c r="F39" s="156">
        <f>$D$12*F801ENE!F28*1</f>
        <v>130363.03039600815</v>
      </c>
      <c r="G39" s="156">
        <f>$D$12*F801ENE!G28*1</f>
        <v>132417.16811653311</v>
      </c>
      <c r="H39" s="156">
        <f>$D$12*F801ENE!H28*1</f>
        <v>126679.56265082164</v>
      </c>
      <c r="I39" s="156">
        <f>$D$12*F801ENE!I28*1</f>
        <v>127273.1666156971</v>
      </c>
      <c r="J39" s="156">
        <f t="shared" si="1"/>
        <v>782422.77033072</v>
      </c>
      <c r="K39" s="69"/>
    </row>
    <row r="40" spans="2:11" s="37" customFormat="1" ht="15.75">
      <c r="B40" s="48"/>
      <c r="C40" s="161" t="s">
        <v>628</v>
      </c>
      <c r="D40" s="156">
        <f>$D$12*F801ENE!D29*0.75</f>
        <v>11.492782450637502</v>
      </c>
      <c r="E40" s="156">
        <f>$D$12*F801ENE!E29*0.75</f>
        <v>11.497578882128087</v>
      </c>
      <c r="F40" s="156">
        <f>$D$12*F801ENE!F29*0.75</f>
        <v>11.280420600406597</v>
      </c>
      <c r="G40" s="156">
        <f>$D$12*F801ENE!G29*0.75</f>
        <v>11.458166832511608</v>
      </c>
      <c r="H40" s="156">
        <f>$D$12*F801ENE!H29*0.75</f>
        <v>10.961687096686145</v>
      </c>
      <c r="I40" s="156">
        <f>$D$12*F801ENE!I29*0.75</f>
        <v>11.013052137630064</v>
      </c>
      <c r="J40" s="156">
        <f t="shared" si="1"/>
        <v>67.703688000000014</v>
      </c>
      <c r="K40" s="69"/>
    </row>
    <row r="41" spans="2:11" s="37" customFormat="1" ht="15.75">
      <c r="B41" s="48"/>
      <c r="C41" s="161" t="s">
        <v>629</v>
      </c>
      <c r="D41" s="156">
        <f>$D$12*F801ENE!D30*1</f>
        <v>61.059090353130529</v>
      </c>
      <c r="E41" s="156">
        <f>$D$12*F801ENE!E30*1</f>
        <v>61.084572932742041</v>
      </c>
      <c r="F41" s="156">
        <f>$D$12*F801ENE!F30*1</f>
        <v>59.930849959083254</v>
      </c>
      <c r="G41" s="156">
        <f>$D$12*F801ENE!G30*1</f>
        <v>60.875183787087316</v>
      </c>
      <c r="H41" s="156">
        <f>$D$12*F801ENE!H30*1</f>
        <v>58.237476062394087</v>
      </c>
      <c r="I41" s="156">
        <f>$D$12*F801ENE!I30*1</f>
        <v>58.510369305562804</v>
      </c>
      <c r="J41" s="156">
        <f t="shared" si="1"/>
        <v>359.69754240000003</v>
      </c>
      <c r="K41" s="69"/>
    </row>
    <row r="42" spans="2:11" s="37" customFormat="1" ht="15.75">
      <c r="B42" s="48"/>
      <c r="C42" s="160" t="s">
        <v>305</v>
      </c>
      <c r="D42" s="156">
        <f>$D$12*F801ENE!D31*0.95</f>
        <v>152.86769315491574</v>
      </c>
      <c r="E42" s="156">
        <f>$D$12*F801ENE!E31*0.95</f>
        <v>152.9314914057301</v>
      </c>
      <c r="F42" s="156">
        <f>$D$12*F801ENE!F31*0.95</f>
        <v>150.04302764868686</v>
      </c>
      <c r="G42" s="156">
        <f>$D$12*F801ENE!G31*0.95</f>
        <v>152.40726421068356</v>
      </c>
      <c r="H42" s="156">
        <f>$D$12*F801ENE!H31*0.95</f>
        <v>145.80349247483289</v>
      </c>
      <c r="I42" s="156">
        <f>$D$12*F801ENE!I31*0.95</f>
        <v>146.48670868915087</v>
      </c>
      <c r="J42" s="156">
        <f t="shared" si="1"/>
        <v>900.53967758399995</v>
      </c>
      <c r="K42" s="69"/>
    </row>
    <row r="43" spans="2:11" s="37" customFormat="1" ht="15.75">
      <c r="B43" s="48"/>
      <c r="C43" s="160" t="s">
        <v>307</v>
      </c>
      <c r="D43" s="156">
        <f>$D$12*F801ENE!D32*0.5</f>
        <v>13.96160238447815</v>
      </c>
      <c r="E43" s="156">
        <f>$D$12*F801ENE!E32*0.5</f>
        <v>13.967429160511156</v>
      </c>
      <c r="F43" s="156">
        <f>$D$12*F801ENE!F32*0.5</f>
        <v>13.70362206271616</v>
      </c>
      <c r="G43" s="156">
        <f>$D$12*F801ENE!G32*0.5</f>
        <v>13.919550818754843</v>
      </c>
      <c r="H43" s="156">
        <f>$D$12*F801ENE!H32*0.5</f>
        <v>13.316419880418724</v>
      </c>
      <c r="I43" s="156">
        <f>$D$12*F801ENE!I32*0.5</f>
        <v>13.378818893120965</v>
      </c>
      <c r="J43" s="156">
        <f t="shared" si="1"/>
        <v>82.247443199999992</v>
      </c>
      <c r="K43" s="69"/>
    </row>
    <row r="44" spans="2:11" s="37" customFormat="1" ht="15.75">
      <c r="B44" s="48"/>
      <c r="C44" s="160" t="s">
        <v>624</v>
      </c>
      <c r="D44" s="156">
        <f>$D$12*F801ENE!D33*0</f>
        <v>0</v>
      </c>
      <c r="E44" s="156">
        <f>$D$12*F801ENE!E33*0</f>
        <v>0</v>
      </c>
      <c r="F44" s="156">
        <f>$D$12*F801ENE!F33*0</f>
        <v>0</v>
      </c>
      <c r="G44" s="156">
        <f>$D$12*F801ENE!G33*0</f>
        <v>0</v>
      </c>
      <c r="H44" s="156">
        <f>$D$12*F801ENE!H33*0</f>
        <v>0</v>
      </c>
      <c r="I44" s="156">
        <f>$D$12*F801ENE!I33*0</f>
        <v>0</v>
      </c>
      <c r="J44" s="156">
        <f t="shared" si="1"/>
        <v>0</v>
      </c>
      <c r="K44" s="69"/>
    </row>
    <row r="45" spans="2:11" s="37" customFormat="1" ht="15.75">
      <c r="B45" s="48" t="s">
        <v>274</v>
      </c>
      <c r="C45" s="158" t="s">
        <v>631</v>
      </c>
      <c r="D45" s="154">
        <f t="shared" ref="D45:I45" si="8">SUBTOTAL(9,D46:D49)</f>
        <v>60739.020618466362</v>
      </c>
      <c r="E45" s="154">
        <f t="shared" si="8"/>
        <v>60764.369619237317</v>
      </c>
      <c r="F45" s="154">
        <f t="shared" si="8"/>
        <v>59616.694423295477</v>
      </c>
      <c r="G45" s="154">
        <f t="shared" si="8"/>
        <v>60556.078084567351</v>
      </c>
      <c r="H45" s="154">
        <f t="shared" si="8"/>
        <v>57932.197136635485</v>
      </c>
      <c r="I45" s="154">
        <f t="shared" si="8"/>
        <v>58203.659882437991</v>
      </c>
      <c r="J45" s="154">
        <f t="shared" si="1"/>
        <v>357812.01976464002</v>
      </c>
      <c r="K45" s="69"/>
    </row>
    <row r="46" spans="2:11" s="37" customFormat="1" ht="15.75">
      <c r="B46" s="48"/>
      <c r="C46" s="160" t="s">
        <v>304</v>
      </c>
      <c r="D46" s="156">
        <f>$D$12*F801ENE!D35*1</f>
        <v>60696.318546783106</v>
      </c>
      <c r="E46" s="156">
        <f>$D$12*F801ENE!E35*1</f>
        <v>60721.649726146388</v>
      </c>
      <c r="F46" s="156">
        <f>$D$12*F801ENE!F35*1</f>
        <v>59574.781393864636</v>
      </c>
      <c r="G46" s="156">
        <f>$D$12*F801ENE!G35*1</f>
        <v>60513.504629136332</v>
      </c>
      <c r="H46" s="156">
        <f>$D$12*F801ENE!H35*1</f>
        <v>57891.468379245132</v>
      </c>
      <c r="I46" s="156">
        <f>$D$12*F801ENE!I35*1</f>
        <v>58162.7402753844</v>
      </c>
      <c r="J46" s="156">
        <f t="shared" si="1"/>
        <v>357560.46295055997</v>
      </c>
      <c r="K46" s="69"/>
    </row>
    <row r="47" spans="2:11" s="37" customFormat="1" ht="15.75">
      <c r="B47" s="48"/>
      <c r="C47" s="161" t="s">
        <v>306</v>
      </c>
      <c r="D47" s="156">
        <f>$D$12*F801ENE!D36*1</f>
        <v>0</v>
      </c>
      <c r="E47" s="156">
        <f>$D$12*F801ENE!E36*1</f>
        <v>0</v>
      </c>
      <c r="F47" s="156">
        <f>$D$12*F801ENE!F36*1</f>
        <v>0</v>
      </c>
      <c r="G47" s="156">
        <f>$D$12*F801ENE!G36*1</f>
        <v>0</v>
      </c>
      <c r="H47" s="156">
        <f>$D$12*F801ENE!H36*1</f>
        <v>0</v>
      </c>
      <c r="I47" s="156">
        <f>$D$12*F801ENE!I36*1</f>
        <v>0</v>
      </c>
      <c r="J47" s="156">
        <f t="shared" si="1"/>
        <v>0</v>
      </c>
      <c r="K47" s="69"/>
    </row>
    <row r="48" spans="2:11" s="37" customFormat="1" ht="15.75">
      <c r="B48" s="48"/>
      <c r="C48" s="160" t="s">
        <v>305</v>
      </c>
      <c r="D48" s="156">
        <f>$D$12*F801ENE!D37*0.95</f>
        <v>42.702071683257564</v>
      </c>
      <c r="E48" s="156">
        <f>$D$12*F801ENE!E37*0.95</f>
        <v>42.719893090929247</v>
      </c>
      <c r="F48" s="156">
        <f>$D$12*F801ENE!F37*0.95</f>
        <v>41.913029430844063</v>
      </c>
      <c r="G48" s="156">
        <f>$D$12*F801ENE!G37*0.95</f>
        <v>42.573455431020911</v>
      </c>
      <c r="H48" s="156">
        <f>$D$12*F801ENE!H37*0.95</f>
        <v>40.728757390353856</v>
      </c>
      <c r="I48" s="156">
        <f>$D$12*F801ENE!I37*0.95</f>
        <v>40.919607053594369</v>
      </c>
      <c r="J48" s="156">
        <f t="shared" si="1"/>
        <v>251.55681408000001</v>
      </c>
      <c r="K48" s="69"/>
    </row>
    <row r="49" spans="2:11" s="37" customFormat="1" ht="15.75">
      <c r="B49" s="48"/>
      <c r="C49" s="160" t="s">
        <v>307</v>
      </c>
      <c r="D49" s="156">
        <f>$D$12*F801ENE!D38*0.5</f>
        <v>0</v>
      </c>
      <c r="E49" s="156">
        <f>$D$12*F801ENE!E38*0.5</f>
        <v>0</v>
      </c>
      <c r="F49" s="156">
        <f>$D$12*F801ENE!F38*0.5</f>
        <v>0</v>
      </c>
      <c r="G49" s="156">
        <f>$D$12*F801ENE!G38*0.5</f>
        <v>0</v>
      </c>
      <c r="H49" s="156">
        <f>$D$12*F801ENE!H38*0.5</f>
        <v>0</v>
      </c>
      <c r="I49" s="156">
        <f>$D$12*F801ENE!I38*0.5</f>
        <v>0</v>
      </c>
      <c r="J49" s="156">
        <f t="shared" si="1"/>
        <v>0</v>
      </c>
      <c r="K49" s="69"/>
    </row>
    <row r="50" spans="2:11" s="37" customFormat="1" ht="15.75">
      <c r="B50" s="48" t="s">
        <v>274</v>
      </c>
      <c r="C50" s="158" t="s">
        <v>632</v>
      </c>
      <c r="D50" s="154">
        <f t="shared" ref="D50:I50" si="9">SUBTOTAL(9,D51:D54)</f>
        <v>17088.296035028645</v>
      </c>
      <c r="E50" s="154">
        <f t="shared" si="9"/>
        <v>17095.427714547932</v>
      </c>
      <c r="F50" s="154">
        <f t="shared" si="9"/>
        <v>16772.541153312352</v>
      </c>
      <c r="G50" s="154">
        <f t="shared" si="9"/>
        <v>17036.827042858</v>
      </c>
      <c r="H50" s="154">
        <f t="shared" si="9"/>
        <v>16298.625242065389</v>
      </c>
      <c r="I50" s="154">
        <f t="shared" si="9"/>
        <v>16374.998481467685</v>
      </c>
      <c r="J50" s="154">
        <f t="shared" si="1"/>
        <v>100666.71566928001</v>
      </c>
      <c r="K50" s="69"/>
    </row>
    <row r="51" spans="2:11" s="37" customFormat="1" ht="15.75">
      <c r="B51" s="48"/>
      <c r="C51" s="160" t="s">
        <v>304</v>
      </c>
      <c r="D51" s="156">
        <f>$D$12*F801ENE!D40*1</f>
        <v>17088.296035028645</v>
      </c>
      <c r="E51" s="156">
        <f>$D$12*F801ENE!E40*1</f>
        <v>17095.427714547932</v>
      </c>
      <c r="F51" s="156">
        <f>$D$12*F801ENE!F40*1</f>
        <v>16772.541153312352</v>
      </c>
      <c r="G51" s="156">
        <f>$D$12*F801ENE!G40*1</f>
        <v>17036.827042858</v>
      </c>
      <c r="H51" s="156">
        <f>$D$12*F801ENE!H40*1</f>
        <v>16298.625242065389</v>
      </c>
      <c r="I51" s="156">
        <f>$D$12*F801ENE!I40*1</f>
        <v>16374.998481467685</v>
      </c>
      <c r="J51" s="156">
        <f t="shared" si="1"/>
        <v>100666.71566928001</v>
      </c>
      <c r="K51" s="69"/>
    </row>
    <row r="52" spans="2:11" s="37" customFormat="1" ht="15.75">
      <c r="B52" s="48"/>
      <c r="C52" s="161" t="s">
        <v>306</v>
      </c>
      <c r="D52" s="156">
        <f>$D$12*F801ENE!D41*1</f>
        <v>0</v>
      </c>
      <c r="E52" s="156">
        <f>$D$12*F801ENE!E41*1</f>
        <v>0</v>
      </c>
      <c r="F52" s="156">
        <f>$D$12*F801ENE!F41*1</f>
        <v>0</v>
      </c>
      <c r="G52" s="156">
        <f>$D$12*F801ENE!G41*1</f>
        <v>0</v>
      </c>
      <c r="H52" s="156">
        <f>$D$12*F801ENE!H41*1</f>
        <v>0</v>
      </c>
      <c r="I52" s="156">
        <f>$D$12*F801ENE!I41*1</f>
        <v>0</v>
      </c>
      <c r="J52" s="156">
        <f t="shared" si="1"/>
        <v>0</v>
      </c>
      <c r="K52" s="69"/>
    </row>
    <row r="53" spans="2:11" s="37" customFormat="1" ht="15.75">
      <c r="B53" s="48"/>
      <c r="C53" s="160" t="s">
        <v>305</v>
      </c>
      <c r="D53" s="156">
        <f>$D$12*F801ENE!D42*0.95</f>
        <v>0</v>
      </c>
      <c r="E53" s="156">
        <f>$D$12*F801ENE!E42*0.95</f>
        <v>0</v>
      </c>
      <c r="F53" s="156">
        <f>$D$12*F801ENE!F42*0.95</f>
        <v>0</v>
      </c>
      <c r="G53" s="156">
        <f>$D$12*F801ENE!G42*0.95</f>
        <v>0</v>
      </c>
      <c r="H53" s="156">
        <f>$D$12*F801ENE!H42*0.95</f>
        <v>0</v>
      </c>
      <c r="I53" s="156">
        <f>$D$12*F801ENE!I42*0.95</f>
        <v>0</v>
      </c>
      <c r="J53" s="156">
        <f t="shared" si="1"/>
        <v>0</v>
      </c>
      <c r="K53" s="69"/>
    </row>
    <row r="54" spans="2:11" s="37" customFormat="1" ht="15.75">
      <c r="B54" s="48"/>
      <c r="C54" s="160" t="s">
        <v>307</v>
      </c>
      <c r="D54" s="156">
        <f>$D$12*F801ENE!D43*0.5</f>
        <v>0</v>
      </c>
      <c r="E54" s="156">
        <f>$D$12*F801ENE!E43*0.5</f>
        <v>0</v>
      </c>
      <c r="F54" s="156">
        <f>$D$12*F801ENE!F43*0.5</f>
        <v>0</v>
      </c>
      <c r="G54" s="156">
        <f>$D$12*F801ENE!G43*0.5</f>
        <v>0</v>
      </c>
      <c r="H54" s="156">
        <f>$D$12*F801ENE!H43*0.5</f>
        <v>0</v>
      </c>
      <c r="I54" s="156">
        <f>$D$12*F801ENE!I43*0.5</f>
        <v>0</v>
      </c>
      <c r="J54" s="156">
        <f t="shared" si="1"/>
        <v>0</v>
      </c>
      <c r="K54" s="69"/>
    </row>
    <row r="55" spans="2:11" s="37" customFormat="1" ht="15.75">
      <c r="B55" s="48" t="s">
        <v>274</v>
      </c>
      <c r="C55" s="158" t="s">
        <v>633</v>
      </c>
      <c r="D55" s="154">
        <f t="shared" ref="D55:I55" si="10">SUBTOTAL(9,D56:D59)</f>
        <v>17271.234937266836</v>
      </c>
      <c r="E55" s="154">
        <f t="shared" si="10"/>
        <v>17278.442965043414</v>
      </c>
      <c r="F55" s="154">
        <f t="shared" si="10"/>
        <v>16952.099738910481</v>
      </c>
      <c r="G55" s="154">
        <f t="shared" si="10"/>
        <v>17219.214943351624</v>
      </c>
      <c r="H55" s="154">
        <f t="shared" si="10"/>
        <v>16473.110316742419</v>
      </c>
      <c r="I55" s="154">
        <f t="shared" si="10"/>
        <v>16550.301170525221</v>
      </c>
      <c r="J55" s="154">
        <f t="shared" si="1"/>
        <v>101744.40407183999</v>
      </c>
      <c r="K55" s="69"/>
    </row>
    <row r="56" spans="2:11" s="37" customFormat="1" ht="15.75">
      <c r="B56" s="48"/>
      <c r="C56" s="160" t="s">
        <v>304</v>
      </c>
      <c r="D56" s="156">
        <f>$D$12*F801ENE!D45*1</f>
        <v>17271.234937266836</v>
      </c>
      <c r="E56" s="156">
        <f>$D$12*F801ENE!E45*1</f>
        <v>17278.442965043414</v>
      </c>
      <c r="F56" s="156">
        <f>$D$12*F801ENE!F45*1</f>
        <v>16952.099738910481</v>
      </c>
      <c r="G56" s="156">
        <f>$D$12*F801ENE!G45*1</f>
        <v>17219.214943351624</v>
      </c>
      <c r="H56" s="156">
        <f>$D$12*F801ENE!H45*1</f>
        <v>16473.110316742419</v>
      </c>
      <c r="I56" s="156">
        <f>$D$12*F801ENE!I45*1</f>
        <v>16550.301170525221</v>
      </c>
      <c r="J56" s="156">
        <f t="shared" si="1"/>
        <v>101744.40407183999</v>
      </c>
      <c r="K56" s="69"/>
    </row>
    <row r="57" spans="2:11" s="37" customFormat="1" ht="15.75">
      <c r="B57" s="48"/>
      <c r="C57" s="161" t="s">
        <v>306</v>
      </c>
      <c r="D57" s="156">
        <f>$D$12*F801ENE!D46*1</f>
        <v>0</v>
      </c>
      <c r="E57" s="156">
        <f>$D$12*F801ENE!E46*1</f>
        <v>0</v>
      </c>
      <c r="F57" s="156">
        <f>$D$12*F801ENE!F46*1</f>
        <v>0</v>
      </c>
      <c r="G57" s="156">
        <f>$D$12*F801ENE!G46*1</f>
        <v>0</v>
      </c>
      <c r="H57" s="156">
        <f>$D$12*F801ENE!H46*1</f>
        <v>0</v>
      </c>
      <c r="I57" s="156">
        <f>$D$12*F801ENE!I46*1</f>
        <v>0</v>
      </c>
      <c r="J57" s="156">
        <f t="shared" si="1"/>
        <v>0</v>
      </c>
      <c r="K57" s="69"/>
    </row>
    <row r="58" spans="2:11" s="37" customFormat="1" ht="15.75">
      <c r="B58" s="48"/>
      <c r="C58" s="160" t="s">
        <v>305</v>
      </c>
      <c r="D58" s="156">
        <f>$D$12*F801ENE!D47*0.95</f>
        <v>0</v>
      </c>
      <c r="E58" s="156">
        <f>$D$12*F801ENE!E47*0.95</f>
        <v>0</v>
      </c>
      <c r="F58" s="156">
        <f>$D$12*F801ENE!F47*0.95</f>
        <v>0</v>
      </c>
      <c r="G58" s="156">
        <f>$D$12*F801ENE!G47*0.95</f>
        <v>0</v>
      </c>
      <c r="H58" s="156">
        <f>$D$12*F801ENE!H47*0.95</f>
        <v>0</v>
      </c>
      <c r="I58" s="156">
        <f>$D$12*F801ENE!I47*0.95</f>
        <v>0</v>
      </c>
      <c r="J58" s="156">
        <f t="shared" si="1"/>
        <v>0</v>
      </c>
      <c r="K58" s="69"/>
    </row>
    <row r="59" spans="2:11" s="37" customFormat="1" ht="15.75">
      <c r="B59" s="48"/>
      <c r="C59" s="160" t="s">
        <v>307</v>
      </c>
      <c r="D59" s="156">
        <f>$D$12*F801ENE!D48*0.5</f>
        <v>0</v>
      </c>
      <c r="E59" s="156">
        <f>$D$12*F801ENE!E48*0.5</f>
        <v>0</v>
      </c>
      <c r="F59" s="156">
        <f>$D$12*F801ENE!F48*0.5</f>
        <v>0</v>
      </c>
      <c r="G59" s="156">
        <f>$D$12*F801ENE!G48*0.5</f>
        <v>0</v>
      </c>
      <c r="H59" s="156">
        <f>$D$12*F801ENE!H48*0.5</f>
        <v>0</v>
      </c>
      <c r="I59" s="156">
        <f>$D$12*F801ENE!I48*0.5</f>
        <v>0</v>
      </c>
      <c r="J59" s="156">
        <f t="shared" si="1"/>
        <v>0</v>
      </c>
      <c r="K59" s="69"/>
    </row>
    <row r="60" spans="2:11" s="37" customFormat="1" ht="15.75">
      <c r="B60" s="48"/>
      <c r="C60" s="157"/>
      <c r="D60" s="156"/>
      <c r="E60" s="156"/>
      <c r="F60" s="156"/>
      <c r="G60" s="156"/>
      <c r="H60" s="156"/>
      <c r="I60" s="156"/>
      <c r="J60" s="156">
        <f t="shared" si="1"/>
        <v>0</v>
      </c>
      <c r="K60" s="69"/>
    </row>
    <row r="61" spans="2:11" s="37" customFormat="1" ht="15.75">
      <c r="B61" s="48" t="s">
        <v>1176</v>
      </c>
      <c r="C61" s="158" t="s">
        <v>1176</v>
      </c>
      <c r="D61" s="154">
        <f t="shared" ref="D61:I61" si="11">SUBTOTAL(9,D62:D67)</f>
        <v>3.8899999999999997</v>
      </c>
      <c r="E61" s="154">
        <f t="shared" si="11"/>
        <v>3.8899999999999997</v>
      </c>
      <c r="F61" s="154">
        <f t="shared" si="11"/>
        <v>3.8899999999999997</v>
      </c>
      <c r="G61" s="154">
        <f t="shared" si="11"/>
        <v>3.8899999999999997</v>
      </c>
      <c r="H61" s="154">
        <f t="shared" si="11"/>
        <v>3.8899999999999997</v>
      </c>
      <c r="I61" s="154">
        <f t="shared" si="11"/>
        <v>3.8899999999999997</v>
      </c>
      <c r="J61" s="154">
        <f t="shared" si="1"/>
        <v>23.34</v>
      </c>
      <c r="K61" s="69"/>
    </row>
    <row r="62" spans="2:11" s="37" customFormat="1" ht="15.75">
      <c r="B62" s="48"/>
      <c r="C62" s="160" t="s">
        <v>304</v>
      </c>
      <c r="D62" s="156">
        <f>$D$15*F801ENE!D51*1</f>
        <v>3.8899999999999997</v>
      </c>
      <c r="E62" s="156">
        <f>$D$15*F801ENE!E51*1</f>
        <v>3.8899999999999997</v>
      </c>
      <c r="F62" s="156">
        <f>$D$15*F801ENE!F51*1</f>
        <v>3.8899999999999997</v>
      </c>
      <c r="G62" s="156">
        <f>$D$15*F801ENE!G51*1</f>
        <v>3.8899999999999997</v>
      </c>
      <c r="H62" s="156">
        <f>$D$15*F801ENE!H51*1</f>
        <v>3.8899999999999997</v>
      </c>
      <c r="I62" s="156">
        <f>$D$15*F801ENE!I51*1</f>
        <v>3.8899999999999997</v>
      </c>
      <c r="J62" s="156">
        <f t="shared" si="1"/>
        <v>23.34</v>
      </c>
      <c r="K62" s="69"/>
    </row>
    <row r="63" spans="2:11" s="37" customFormat="1" ht="15.75">
      <c r="B63" s="48"/>
      <c r="C63" s="162" t="s">
        <v>642</v>
      </c>
      <c r="D63" s="156">
        <f>$D$15*F801ENE!D52*0.75</f>
        <v>0</v>
      </c>
      <c r="E63" s="156">
        <f>$D$15*F801ENE!E52*0.75</f>
        <v>0</v>
      </c>
      <c r="F63" s="156">
        <f>$D$15*F801ENE!F52*0.75</f>
        <v>0</v>
      </c>
      <c r="G63" s="156">
        <f>$D$15*F801ENE!G52*0.75</f>
        <v>0</v>
      </c>
      <c r="H63" s="156">
        <f>$D$15*F801ENE!H52*0.75</f>
        <v>0</v>
      </c>
      <c r="I63" s="156">
        <f>$D$15*F801ENE!I52*0.75</f>
        <v>0</v>
      </c>
      <c r="J63" s="156">
        <f t="shared" si="1"/>
        <v>0</v>
      </c>
      <c r="K63" s="69"/>
    </row>
    <row r="64" spans="2:11" s="37" customFormat="1" ht="15.75">
      <c r="B64" s="48"/>
      <c r="C64" s="162" t="s">
        <v>1177</v>
      </c>
      <c r="D64" s="156">
        <f>$D$15*F801ENE!D53*1</f>
        <v>0</v>
      </c>
      <c r="E64" s="156">
        <f>$D$15*F801ENE!E53*1</f>
        <v>0</v>
      </c>
      <c r="F64" s="156">
        <f>$D$15*F801ENE!F53*1</f>
        <v>0</v>
      </c>
      <c r="G64" s="156">
        <f>$D$15*F801ENE!G53*1</f>
        <v>0</v>
      </c>
      <c r="H64" s="156">
        <f>$D$15*F801ENE!H53*1</f>
        <v>0</v>
      </c>
      <c r="I64" s="156">
        <f>$D$15*F801ENE!I53*1</f>
        <v>0</v>
      </c>
      <c r="J64" s="156">
        <f t="shared" si="1"/>
        <v>0</v>
      </c>
      <c r="K64" s="69"/>
    </row>
    <row r="65" spans="2:11" s="37" customFormat="1" ht="15.75">
      <c r="B65" s="48"/>
      <c r="C65" s="160" t="s">
        <v>305</v>
      </c>
      <c r="D65" s="156">
        <f>$D$15*F801ENE!D54*0.95</f>
        <v>0</v>
      </c>
      <c r="E65" s="156">
        <f>$D$15*F801ENE!E54*0.95</f>
        <v>0</v>
      </c>
      <c r="F65" s="156">
        <f>$D$15*F801ENE!F54*0.95</f>
        <v>0</v>
      </c>
      <c r="G65" s="156">
        <f>$D$15*F801ENE!G54*0.95</f>
        <v>0</v>
      </c>
      <c r="H65" s="156">
        <f>$D$15*F801ENE!H54*0.95</f>
        <v>0</v>
      </c>
      <c r="I65" s="156">
        <f>$D$15*F801ENE!I54*0.95</f>
        <v>0</v>
      </c>
      <c r="J65" s="156">
        <f t="shared" si="1"/>
        <v>0</v>
      </c>
      <c r="K65" s="69"/>
    </row>
    <row r="66" spans="2:11" s="37" customFormat="1" ht="15.75">
      <c r="B66" s="48"/>
      <c r="C66" s="160" t="s">
        <v>307</v>
      </c>
      <c r="D66" s="156">
        <f>$D$15*F801ENE!D55*0.5</f>
        <v>0</v>
      </c>
      <c r="E66" s="156">
        <f>$D$15*F801ENE!E55*0.5</f>
        <v>0</v>
      </c>
      <c r="F66" s="156">
        <f>$D$15*F801ENE!F55*0.5</f>
        <v>0</v>
      </c>
      <c r="G66" s="156">
        <f>$D$15*F801ENE!G55*0.5</f>
        <v>0</v>
      </c>
      <c r="H66" s="156">
        <f>$D$15*F801ENE!H55*0.5</f>
        <v>0</v>
      </c>
      <c r="I66" s="156">
        <f>$D$15*F801ENE!I55*0.5</f>
        <v>0</v>
      </c>
      <c r="J66" s="156">
        <f t="shared" si="1"/>
        <v>0</v>
      </c>
      <c r="K66" s="69"/>
    </row>
    <row r="67" spans="2:11" s="37" customFormat="1" ht="15.75">
      <c r="B67" s="48"/>
      <c r="C67" s="160" t="s">
        <v>624</v>
      </c>
      <c r="D67" s="156">
        <f>$D$15*F801ENE!D56*0</f>
        <v>0</v>
      </c>
      <c r="E67" s="156">
        <f>$D$15*F801ENE!E56*0</f>
        <v>0</v>
      </c>
      <c r="F67" s="156">
        <f>$D$15*F801ENE!F56*0</f>
        <v>0</v>
      </c>
      <c r="G67" s="156">
        <f>$D$15*F801ENE!G56*0</f>
        <v>0</v>
      </c>
      <c r="H67" s="156">
        <f>$D$15*F801ENE!H56*0</f>
        <v>0</v>
      </c>
      <c r="I67" s="156">
        <f>$D$15*F801ENE!I56*0</f>
        <v>0</v>
      </c>
      <c r="J67" s="156">
        <f t="shared" si="1"/>
        <v>0</v>
      </c>
      <c r="K67" s="69"/>
    </row>
    <row r="68" spans="2:11" s="37" customFormat="1" ht="15.75">
      <c r="B68" s="48" t="s">
        <v>751</v>
      </c>
      <c r="C68" s="158" t="s">
        <v>634</v>
      </c>
      <c r="D68" s="154">
        <f t="shared" ref="D68:I68" si="12">SUBTOTAL(9,D69:D73)</f>
        <v>311876.08929177636</v>
      </c>
      <c r="E68" s="154">
        <f t="shared" si="12"/>
        <v>312006.25019583787</v>
      </c>
      <c r="F68" s="154">
        <f t="shared" si="12"/>
        <v>306113.21944395249</v>
      </c>
      <c r="G68" s="154">
        <f t="shared" si="12"/>
        <v>310936.72423282347</v>
      </c>
      <c r="H68" s="154">
        <f t="shared" si="12"/>
        <v>297463.73887065443</v>
      </c>
      <c r="I68" s="154">
        <f t="shared" si="12"/>
        <v>298857.63351494231</v>
      </c>
      <c r="J68" s="154">
        <f t="shared" si="1"/>
        <v>1837253.6555499872</v>
      </c>
      <c r="K68" s="69"/>
    </row>
    <row r="69" spans="2:11" s="37" customFormat="1" ht="15.75">
      <c r="B69" s="48"/>
      <c r="C69" s="160" t="s">
        <v>304</v>
      </c>
      <c r="D69" s="156">
        <f>($D$14*(F801ENE!D66))*1</f>
        <v>220402.83545300356</v>
      </c>
      <c r="E69" s="156">
        <f>($D$14*(F801ENE!E66))*1</f>
        <v>220494.82064138071</v>
      </c>
      <c r="F69" s="156">
        <f>($D$14*(F801ENE!F66))*1</f>
        <v>216330.19419127511</v>
      </c>
      <c r="G69" s="156">
        <f>($D$14*(F801ENE!G66))*1</f>
        <v>219738.98271991397</v>
      </c>
      <c r="H69" s="156">
        <f>($D$14*(F801ENE!H66))*1</f>
        <v>210217.57454073167</v>
      </c>
      <c r="I69" s="156">
        <f>($D$14*(F801ENE!I66))*1</f>
        <v>211202.64499915493</v>
      </c>
      <c r="J69" s="156">
        <f t="shared" si="1"/>
        <v>1298387.0525454597</v>
      </c>
      <c r="K69" s="69"/>
    </row>
    <row r="70" spans="2:11" s="37" customFormat="1" ht="15.75">
      <c r="B70" s="48"/>
      <c r="C70" s="162" t="s">
        <v>644</v>
      </c>
      <c r="D70" s="156">
        <f>($D$14*(F801ENE!D67))*0.75</f>
        <v>91453.776164612675</v>
      </c>
      <c r="E70" s="156">
        <f>($D$14*(F801ENE!E67))*0.75</f>
        <v>91491.94375142749</v>
      </c>
      <c r="F70" s="156">
        <f>($D$14*(F801ENE!F67))*0.75</f>
        <v>89763.907483957097</v>
      </c>
      <c r="G70" s="156">
        <f>($D$14*(F801ENE!G67))*0.75</f>
        <v>91178.322504414857</v>
      </c>
      <c r="H70" s="156">
        <f>($D$14*(F801ENE!H67))*0.75</f>
        <v>87227.586742603817</v>
      </c>
      <c r="I70" s="156">
        <f>($D$14*(F801ENE!I67))*0.75</f>
        <v>87636.323876309034</v>
      </c>
      <c r="J70" s="156">
        <f t="shared" si="1"/>
        <v>538751.86052332493</v>
      </c>
      <c r="K70" s="69"/>
    </row>
    <row r="71" spans="2:11" s="37" customFormat="1" ht="15.75">
      <c r="B71" s="48"/>
      <c r="C71" s="160" t="s">
        <v>305</v>
      </c>
      <c r="D71" s="156">
        <f>($D$14*(F801ENE!D68))*0.95</f>
        <v>18.796447091335502</v>
      </c>
      <c r="E71" s="156">
        <f>($D$14*(F801ENE!E68))*0.95</f>
        <v>18.804291655619846</v>
      </c>
      <c r="F71" s="156">
        <f>($D$14*(F801ENE!F68))*0.95</f>
        <v>18.449129259537344</v>
      </c>
      <c r="G71" s="156">
        <f>($D$14*(F801ENE!G68))*0.95</f>
        <v>18.739833243694008</v>
      </c>
      <c r="H71" s="156">
        <f>($D$14*(F801ENE!H68))*0.95</f>
        <v>17.927840575561159</v>
      </c>
      <c r="I71" s="156">
        <f>($D$14*(F801ENE!I68))*0.95</f>
        <v>18.011848106252131</v>
      </c>
      <c r="J71" s="156">
        <f t="shared" si="1"/>
        <v>110.72938993199999</v>
      </c>
      <c r="K71" s="69"/>
    </row>
    <row r="72" spans="2:11" s="37" customFormat="1" ht="15.75">
      <c r="B72" s="48"/>
      <c r="C72" s="160" t="s">
        <v>307</v>
      </c>
      <c r="D72" s="156">
        <f>($D$14*(F801ENE!D69))*0.5</f>
        <v>0.68122706876267314</v>
      </c>
      <c r="E72" s="156">
        <f>($D$14*(F801ENE!E69))*0.5</f>
        <v>0.68151137406288087</v>
      </c>
      <c r="F72" s="156">
        <f>($D$14*(F801ENE!F69))*0.5</f>
        <v>0.66863946072509184</v>
      </c>
      <c r="G72" s="156">
        <f>($D$14*(F801ENE!G69))*0.5</f>
        <v>0.6791752509221638</v>
      </c>
      <c r="H72" s="156">
        <f>($D$14*(F801ENE!H69))*0.5</f>
        <v>0.64974674337065386</v>
      </c>
      <c r="I72" s="156">
        <f>($D$14*(F801ENE!I69))*0.5</f>
        <v>0.6527913721565366</v>
      </c>
      <c r="J72" s="156">
        <f t="shared" si="1"/>
        <v>4.0130912700000003</v>
      </c>
      <c r="K72" s="69"/>
    </row>
    <row r="73" spans="2:11" s="37" customFormat="1" ht="15.75">
      <c r="B73" s="48"/>
      <c r="C73" s="160" t="s">
        <v>624</v>
      </c>
      <c r="D73" s="156">
        <f>($D$14*(F801ENE!D70))*0</f>
        <v>0</v>
      </c>
      <c r="E73" s="156">
        <f>($D$14*(F801ENE!E70))*0</f>
        <v>0</v>
      </c>
      <c r="F73" s="156">
        <f>($D$14*(F801ENE!F70))*0</f>
        <v>0</v>
      </c>
      <c r="G73" s="156">
        <f>($D$14*(F801ENE!G70))*0</f>
        <v>0</v>
      </c>
      <c r="H73" s="156">
        <f>($D$14*(F801ENE!H70))*0</f>
        <v>0</v>
      </c>
      <c r="I73" s="156">
        <f>($D$14*(F801ENE!I70))*0</f>
        <v>0</v>
      </c>
      <c r="J73" s="156">
        <f t="shared" si="1"/>
        <v>0</v>
      </c>
      <c r="K73" s="69"/>
    </row>
    <row r="74" spans="2:11" s="37" customFormat="1" ht="15.75">
      <c r="B74" s="48" t="s">
        <v>750</v>
      </c>
      <c r="C74" s="158" t="s">
        <v>635</v>
      </c>
      <c r="D74" s="154">
        <f t="shared" ref="D74:I74" si="13">SUBTOTAL(9,D75:D80)</f>
        <v>117334.52671277944</v>
      </c>
      <c r="E74" s="154">
        <f t="shared" si="13"/>
        <v>117383.4954478334</v>
      </c>
      <c r="F74" s="154">
        <f t="shared" si="13"/>
        <v>115166.43754066504</v>
      </c>
      <c r="G74" s="154">
        <f t="shared" si="13"/>
        <v>116981.12167904482</v>
      </c>
      <c r="H74" s="154">
        <f t="shared" si="13"/>
        <v>111912.35655834639</v>
      </c>
      <c r="I74" s="154">
        <f t="shared" si="13"/>
        <v>112436.76331490192</v>
      </c>
      <c r="J74" s="154">
        <f t="shared" si="1"/>
        <v>691214.70125357108</v>
      </c>
      <c r="K74" s="69"/>
    </row>
    <row r="75" spans="2:11" s="37" customFormat="1" ht="15.75">
      <c r="B75" s="48"/>
      <c r="C75" s="160" t="s">
        <v>304</v>
      </c>
      <c r="D75" s="156">
        <f>($D$14*(F801ENE!D72))*1</f>
        <v>84424.253831497495</v>
      </c>
      <c r="E75" s="156">
        <f>($D$14*(F801ENE!E72))*1</f>
        <v>84459.487696872195</v>
      </c>
      <c r="F75" s="156">
        <f>($D$14*(F801ENE!F72))*1</f>
        <v>82864.275573401625</v>
      </c>
      <c r="G75" s="156">
        <f>($D$14*(F801ENE!G72))*1</f>
        <v>84169.972699513441</v>
      </c>
      <c r="H75" s="156">
        <f>($D$14*(F801ENE!H72))*1</f>
        <v>80522.907124266378</v>
      </c>
      <c r="I75" s="156">
        <f>($D$14*(F801ENE!I72))*1</f>
        <v>80900.227000748855</v>
      </c>
      <c r="J75" s="156">
        <f t="shared" si="1"/>
        <v>497341.12392629997</v>
      </c>
      <c r="K75" s="69"/>
    </row>
    <row r="76" spans="2:11" s="37" customFormat="1" ht="15.75">
      <c r="B76" s="48"/>
      <c r="C76" s="162" t="s">
        <v>642</v>
      </c>
      <c r="D76" s="156">
        <f>($D$14*(F801ENE!D73))*0.75</f>
        <v>26568.320108552445</v>
      </c>
      <c r="E76" s="156">
        <f>($D$14*(F801ENE!E73))*0.75</f>
        <v>26579.408209085792</v>
      </c>
      <c r="F76" s="156">
        <f>($D$14*(F801ENE!F73))*0.75</f>
        <v>26077.394813480299</v>
      </c>
      <c r="G76" s="156">
        <f>($D$14*(F801ENE!G73))*0.75</f>
        <v>26488.297813944999</v>
      </c>
      <c r="H76" s="156">
        <f>($D$14*(F801ENE!H73))*0.75</f>
        <v>25340.565956540115</v>
      </c>
      <c r="I76" s="156">
        <f>($D$14*(F801ENE!I73))*0.75</f>
        <v>25459.308554866355</v>
      </c>
      <c r="J76" s="156">
        <f t="shared" si="1"/>
        <v>156513.29545647002</v>
      </c>
      <c r="K76" s="69"/>
    </row>
    <row r="77" spans="2:11" s="37" customFormat="1" ht="15.75">
      <c r="B77" s="48"/>
      <c r="C77" s="162" t="s">
        <v>1177</v>
      </c>
      <c r="D77" s="156">
        <f>($D$14*(F801ENE!D74))*1</f>
        <v>6322.4863789579476</v>
      </c>
      <c r="E77" s="156">
        <f>($D$14*(F801ENE!E74))*1</f>
        <v>6325.125023942056</v>
      </c>
      <c r="F77" s="156">
        <f>($D$14*(F801ENE!F74))*1</f>
        <v>6205.6604570141517</v>
      </c>
      <c r="G77" s="156">
        <f>($D$14*(F801ENE!G74))*1</f>
        <v>6303.4434035044242</v>
      </c>
      <c r="H77" s="156">
        <f>($D$14*(F801ENE!H74))*1</f>
        <v>6030.3166493291537</v>
      </c>
      <c r="I77" s="156">
        <f>($D$14*(F801ENE!I74))*1</f>
        <v>6058.5739293322677</v>
      </c>
      <c r="J77" s="156">
        <f t="shared" si="1"/>
        <v>37245.605842080004</v>
      </c>
      <c r="K77" s="69"/>
    </row>
    <row r="78" spans="2:11" s="37" customFormat="1" ht="15.75">
      <c r="B78" s="48"/>
      <c r="C78" s="160" t="s">
        <v>305</v>
      </c>
      <c r="D78" s="156">
        <f>($D$14*(F801ENE!D75))*0.95</f>
        <v>18.560236432435349</v>
      </c>
      <c r="E78" s="156">
        <f>($D$14*(F801ENE!E75))*0.95</f>
        <v>18.567982415871437</v>
      </c>
      <c r="F78" s="156">
        <f>($D$14*(F801ENE!F75))*0.95</f>
        <v>18.217283264528096</v>
      </c>
      <c r="G78" s="156">
        <f>($D$14*(F801ENE!G75))*0.95</f>
        <v>18.504334038090811</v>
      </c>
      <c r="H78" s="156">
        <f>($D$14*(F801ENE!H75))*0.95</f>
        <v>17.702545496420253</v>
      </c>
      <c r="I78" s="156">
        <f>($D$14*(F801ENE!I75))*0.95</f>
        <v>17.785497323654045</v>
      </c>
      <c r="J78" s="156">
        <f t="shared" si="1"/>
        <v>109.33787897099998</v>
      </c>
      <c r="K78" s="69"/>
    </row>
    <row r="79" spans="2:11" s="37" customFormat="1" ht="15.75">
      <c r="B79" s="48"/>
      <c r="C79" s="160" t="s">
        <v>307</v>
      </c>
      <c r="D79" s="156">
        <f>($D$14*(F801ENE!D76))*0.5</f>
        <v>0.90615733910499774</v>
      </c>
      <c r="E79" s="156">
        <f>($D$14*(F801ENE!E76))*0.5</f>
        <v>0.90653551746305638</v>
      </c>
      <c r="F79" s="156">
        <f>($D$14*(F801ENE!F76))*0.5</f>
        <v>0.88941350444536083</v>
      </c>
      <c r="G79" s="156">
        <f>($D$14*(F801ENE!G76))*0.5</f>
        <v>0.90342804386712483</v>
      </c>
      <c r="H79" s="156">
        <f>($D$14*(F801ENE!H76))*0.5</f>
        <v>0.86428271432943771</v>
      </c>
      <c r="I79" s="156">
        <f>($D$14*(F801ENE!I76))*0.5</f>
        <v>0.86833263079002265</v>
      </c>
      <c r="J79" s="156">
        <f t="shared" si="1"/>
        <v>5.3381497500000004</v>
      </c>
      <c r="K79" s="69"/>
    </row>
    <row r="80" spans="2:11" s="37" customFormat="1" ht="15.75">
      <c r="B80" s="48"/>
      <c r="C80" s="160" t="s">
        <v>624</v>
      </c>
      <c r="D80" s="156">
        <f>($D$14*(F801ENE!D77))*0</f>
        <v>0</v>
      </c>
      <c r="E80" s="156">
        <f>($D$14*(F801ENE!E77))*0</f>
        <v>0</v>
      </c>
      <c r="F80" s="156">
        <f>($D$14*(F801ENE!F77))*0</f>
        <v>0</v>
      </c>
      <c r="G80" s="156">
        <f>($D$14*(F801ENE!G77))*0</f>
        <v>0</v>
      </c>
      <c r="H80" s="156">
        <f>($D$14*(F801ENE!H77))*0</f>
        <v>0</v>
      </c>
      <c r="I80" s="156">
        <f>($D$14*(F801ENE!I77))*0</f>
        <v>0</v>
      </c>
      <c r="J80" s="156">
        <f t="shared" si="1"/>
        <v>0</v>
      </c>
      <c r="K80" s="69"/>
    </row>
    <row r="81" spans="2:11" s="37" customFormat="1" ht="15.75">
      <c r="B81" s="48" t="s">
        <v>749</v>
      </c>
      <c r="C81" s="158" t="s">
        <v>636</v>
      </c>
      <c r="D81" s="154">
        <f t="shared" ref="D81:I81" si="14">SUBTOTAL(9,D82:D87)</f>
        <v>116062.82885670853</v>
      </c>
      <c r="E81" s="154">
        <f t="shared" si="14"/>
        <v>116111.26685765438</v>
      </c>
      <c r="F81" s="154">
        <f t="shared" si="14"/>
        <v>113918.23792018762</v>
      </c>
      <c r="G81" s="154">
        <f t="shared" si="14"/>
        <v>115713.25410580978</v>
      </c>
      <c r="H81" s="154">
        <f t="shared" si="14"/>
        <v>110699.42539571023</v>
      </c>
      <c r="I81" s="154">
        <f t="shared" si="14"/>
        <v>111218.14851449346</v>
      </c>
      <c r="J81" s="154">
        <f t="shared" si="1"/>
        <v>683723.16165056406</v>
      </c>
      <c r="K81" s="69"/>
    </row>
    <row r="82" spans="2:11" s="37" customFormat="1" ht="15.75">
      <c r="B82" s="48"/>
      <c r="C82" s="160" t="s">
        <v>304</v>
      </c>
      <c r="D82" s="156">
        <f>($D$14*(F801ENE!D79))*1</f>
        <v>105673.01810025812</v>
      </c>
      <c r="E82" s="156">
        <f>($D$14*(F801ENE!E79))*1</f>
        <v>105717.11998715089</v>
      </c>
      <c r="F82" s="156">
        <f>($D$14*(F801ENE!F79))*1</f>
        <v>103720.40847420451</v>
      </c>
      <c r="G82" s="156">
        <f>($D$14*(F801ENE!G79))*1</f>
        <v>105354.73687841473</v>
      </c>
      <c r="H82" s="156">
        <f>($D$14*(F801ENE!H79))*1</f>
        <v>100789.74033944472</v>
      </c>
      <c r="I82" s="156">
        <f>($D$14*(F801ENE!I79))*1</f>
        <v>101262.02796210707</v>
      </c>
      <c r="J82" s="156">
        <f t="shared" si="1"/>
        <v>622517.05174158013</v>
      </c>
      <c r="K82" s="69"/>
    </row>
    <row r="83" spans="2:11" s="37" customFormat="1" ht="15.75">
      <c r="B83" s="48"/>
      <c r="C83" s="162" t="s">
        <v>642</v>
      </c>
      <c r="D83" s="156">
        <f>($D$14*(F801ENE!D80))*0.75</f>
        <v>0</v>
      </c>
      <c r="E83" s="156">
        <f>($D$14*(F801ENE!E80))*0.75</f>
        <v>0</v>
      </c>
      <c r="F83" s="156">
        <f>($D$14*(F801ENE!F80))*0.75</f>
        <v>0</v>
      </c>
      <c r="G83" s="156">
        <f>($D$14*(F801ENE!G80))*0.75</f>
        <v>0</v>
      </c>
      <c r="H83" s="156">
        <f>($D$14*(F801ENE!H80))*0.75</f>
        <v>0</v>
      </c>
      <c r="I83" s="156">
        <f>($D$14*(F801ENE!I80))*0.75</f>
        <v>0</v>
      </c>
      <c r="J83" s="156">
        <f t="shared" si="1"/>
        <v>0</v>
      </c>
      <c r="K83" s="69"/>
    </row>
    <row r="84" spans="2:11" s="37" customFormat="1" ht="15.75">
      <c r="B84" s="48"/>
      <c r="C84" s="162" t="s">
        <v>1177</v>
      </c>
      <c r="D84" s="156">
        <f>($D$14*(F801ENE!D81))*1</f>
        <v>10316.261539052037</v>
      </c>
      <c r="E84" s="156">
        <f>($D$14*(F801ENE!E81))*1</f>
        <v>10320.566957859321</v>
      </c>
      <c r="F84" s="156">
        <f>($D$14*(F801ENE!F81))*1</f>
        <v>10125.639259607644</v>
      </c>
      <c r="G84" s="156">
        <f>($D$14*(F801ENE!G81))*1</f>
        <v>10285.189536127031</v>
      </c>
      <c r="H84" s="156">
        <f>($D$14*(F801ENE!H81))*1</f>
        <v>9839.5346370098159</v>
      </c>
      <c r="I84" s="156">
        <f>($D$14*(F801ENE!I81))*1</f>
        <v>9885.6414173841531</v>
      </c>
      <c r="J84" s="156">
        <f t="shared" ref="J84:J110" si="15">SUM(D84:I84)</f>
        <v>60772.833347040003</v>
      </c>
      <c r="K84" s="69"/>
    </row>
    <row r="85" spans="2:11" s="37" customFormat="1" ht="15.75">
      <c r="B85" s="48"/>
      <c r="C85" s="160" t="s">
        <v>305</v>
      </c>
      <c r="D85" s="156">
        <f>($D$14*(F801ENE!D82))*0.95</f>
        <v>73.243325780708048</v>
      </c>
      <c r="E85" s="156">
        <f>($D$14*(F801ENE!E82))*0.95</f>
        <v>73.273893364820808</v>
      </c>
      <c r="F85" s="156">
        <f>($D$14*(F801ENE!F82))*0.95</f>
        <v>71.889946975648229</v>
      </c>
      <c r="G85" s="156">
        <f>($D$14*(F801ENE!G82))*0.95</f>
        <v>73.022720978834755</v>
      </c>
      <c r="H85" s="156">
        <f>($D$14*(F801ENE!H82))*0.95</f>
        <v>69.858663259064116</v>
      </c>
      <c r="I85" s="156">
        <f>($D$14*(F801ENE!I82))*0.95</f>
        <v>70.186011874923992</v>
      </c>
      <c r="J85" s="156">
        <f t="shared" si="15"/>
        <v>431.47456223400002</v>
      </c>
      <c r="K85" s="69"/>
    </row>
    <row r="86" spans="2:11" s="37" customFormat="1" ht="15.75">
      <c r="B86" s="48"/>
      <c r="C86" s="160" t="s">
        <v>307</v>
      </c>
      <c r="D86" s="156">
        <f>($D$14*(F801ENE!D83))*0.5</f>
        <v>0.30589161764927586</v>
      </c>
      <c r="E86" s="156">
        <f>($D$14*(F801ENE!E83))*0.5</f>
        <v>0.30601927935294948</v>
      </c>
      <c r="F86" s="156">
        <f>($D$14*(F801ENE!F83))*0.5</f>
        <v>0.30023939981837783</v>
      </c>
      <c r="G86" s="156">
        <f>($D$14*(F801ENE!G83))*0.5</f>
        <v>0.30497028920075275</v>
      </c>
      <c r="H86" s="156">
        <f>($D$14*(F801ENE!H83))*0.5</f>
        <v>0.29175599665027369</v>
      </c>
      <c r="I86" s="156">
        <f>($D$14*(F801ENE!I83))*0.5</f>
        <v>0.29312312732837026</v>
      </c>
      <c r="J86" s="156">
        <f t="shared" si="15"/>
        <v>1.8019997099999998</v>
      </c>
      <c r="K86" s="69"/>
    </row>
    <row r="87" spans="2:11" s="37" customFormat="1" ht="15.75">
      <c r="B87" s="48"/>
      <c r="C87" s="160" t="s">
        <v>624</v>
      </c>
      <c r="D87" s="156">
        <f>($D$14*(F801ENE!D84))*0</f>
        <v>0</v>
      </c>
      <c r="E87" s="156">
        <f>($D$14*(F801ENE!E84))*0</f>
        <v>0</v>
      </c>
      <c r="F87" s="156">
        <f>($D$14*(F801ENE!F84))*0</f>
        <v>0</v>
      </c>
      <c r="G87" s="156">
        <f>($D$14*(F801ENE!G84))*0</f>
        <v>0</v>
      </c>
      <c r="H87" s="156">
        <f>($D$14*(F801ENE!H84))*0</f>
        <v>0</v>
      </c>
      <c r="I87" s="156">
        <f>($D$14*(F801ENE!I84))*0</f>
        <v>0</v>
      </c>
      <c r="J87" s="156">
        <f t="shared" si="15"/>
        <v>0</v>
      </c>
      <c r="K87" s="69"/>
    </row>
    <row r="88" spans="2:11" s="37" customFormat="1" ht="15.75">
      <c r="B88" s="48"/>
      <c r="C88" s="157"/>
      <c r="D88" s="156"/>
      <c r="E88" s="156"/>
      <c r="F88" s="156"/>
      <c r="G88" s="156"/>
      <c r="H88" s="156"/>
      <c r="I88" s="156"/>
      <c r="J88" s="156">
        <f t="shared" si="15"/>
        <v>0</v>
      </c>
      <c r="K88" s="69"/>
    </row>
    <row r="89" spans="2:11" s="37" customFormat="1" ht="15.75">
      <c r="B89" s="48" t="s">
        <v>902</v>
      </c>
      <c r="C89" s="158" t="s">
        <v>910</v>
      </c>
      <c r="D89" s="154">
        <f t="shared" ref="D89:I89" si="16">SUBTOTAL(9,D90:D94)</f>
        <v>53496.552362181108</v>
      </c>
      <c r="E89" s="154">
        <f t="shared" si="16"/>
        <v>53518.878770036616</v>
      </c>
      <c r="F89" s="154">
        <f t="shared" si="16"/>
        <v>52508.051371285103</v>
      </c>
      <c r="G89" s="154">
        <f t="shared" si="16"/>
        <v>53335.423737709629</v>
      </c>
      <c r="H89" s="154">
        <f t="shared" si="16"/>
        <v>51024.412083358213</v>
      </c>
      <c r="I89" s="154">
        <f t="shared" si="16"/>
        <v>51263.505846269327</v>
      </c>
      <c r="J89" s="154">
        <f t="shared" si="15"/>
        <v>315146.82417083997</v>
      </c>
      <c r="K89" s="69"/>
    </row>
    <row r="90" spans="2:11" s="37" customFormat="1" ht="15.75">
      <c r="B90" s="48"/>
      <c r="C90" s="160" t="s">
        <v>304</v>
      </c>
      <c r="D90" s="156">
        <f>($D$13*(F801ENE!D87))*1</f>
        <v>51453.617084289617</v>
      </c>
      <c r="E90" s="156">
        <f>($D$13*(F801ENE!E87))*1</f>
        <v>51475.09088755244</v>
      </c>
      <c r="F90" s="156">
        <f>($D$13*(F801ENE!F87))*1</f>
        <v>50502.865134357227</v>
      </c>
      <c r="G90" s="156">
        <f>($D$13*(F801ENE!G87))*1</f>
        <v>51298.641666645039</v>
      </c>
      <c r="H90" s="156">
        <f>($D$13*(F801ENE!H87))*1</f>
        <v>49075.883311390906</v>
      </c>
      <c r="I90" s="156">
        <f>($D$13*(F801ENE!I87))*1</f>
        <v>49305.846521744767</v>
      </c>
      <c r="J90" s="156">
        <f t="shared" si="15"/>
        <v>303111.94460597995</v>
      </c>
      <c r="K90" s="69"/>
    </row>
    <row r="91" spans="2:11" s="37" customFormat="1" ht="15.75">
      <c r="B91" s="48"/>
      <c r="C91" s="162" t="s">
        <v>644</v>
      </c>
      <c r="D91" s="156">
        <f>($D$13*(F801ENE!D88))*0.75</f>
        <v>2042.9352778914922</v>
      </c>
      <c r="E91" s="156">
        <f>($D$13*(F801ENE!E88))*0.75</f>
        <v>2043.7878824841737</v>
      </c>
      <c r="F91" s="156">
        <f>($D$13*(F801ENE!F88))*0.75</f>
        <v>2005.1862369278779</v>
      </c>
      <c r="G91" s="156">
        <f>($D$13*(F801ENE!G88))*0.75</f>
        <v>2036.7820710645865</v>
      </c>
      <c r="H91" s="156">
        <f>($D$13*(F801ENE!H88))*0.75</f>
        <v>1948.5287719673061</v>
      </c>
      <c r="I91" s="156">
        <f>($D$13*(F801ENE!I88))*0.75</f>
        <v>1957.6593245245629</v>
      </c>
      <c r="J91" s="156">
        <f t="shared" si="15"/>
        <v>12034.879564859997</v>
      </c>
      <c r="K91" s="69"/>
    </row>
    <row r="92" spans="2:11" s="37" customFormat="1" ht="15.75">
      <c r="B92" s="48"/>
      <c r="C92" s="160" t="s">
        <v>305</v>
      </c>
      <c r="D92" s="156">
        <f>($D$13*(F801ENE!D89))*0.95</f>
        <v>0</v>
      </c>
      <c r="E92" s="156">
        <f>($D$13*(F801ENE!E89))*0.95</f>
        <v>0</v>
      </c>
      <c r="F92" s="156">
        <f>($D$13*(F801ENE!F89))*0.95</f>
        <v>0</v>
      </c>
      <c r="G92" s="156">
        <f>($D$13*(F801ENE!G89))*0.95</f>
        <v>0</v>
      </c>
      <c r="H92" s="156">
        <f>($D$13*(F801ENE!H89))*0.95</f>
        <v>0</v>
      </c>
      <c r="I92" s="156">
        <f>($D$13*(F801ENE!I89))*0.95</f>
        <v>0</v>
      </c>
      <c r="J92" s="156">
        <f t="shared" si="15"/>
        <v>0</v>
      </c>
      <c r="K92" s="69"/>
    </row>
    <row r="93" spans="2:11" s="37" customFormat="1" ht="15.75">
      <c r="B93" s="48"/>
      <c r="C93" s="160" t="s">
        <v>307</v>
      </c>
      <c r="D93" s="156">
        <f>($D$13*(F801ENE!D90))*0.5</f>
        <v>0</v>
      </c>
      <c r="E93" s="156">
        <f>($D$13*(F801ENE!E90))*0.5</f>
        <v>0</v>
      </c>
      <c r="F93" s="156">
        <f>($D$13*(F801ENE!F90))*0.5</f>
        <v>0</v>
      </c>
      <c r="G93" s="156">
        <f>($D$13*(F801ENE!G90))*0.5</f>
        <v>0</v>
      </c>
      <c r="H93" s="156">
        <f>($D$13*(F801ENE!H90))*0.5</f>
        <v>0</v>
      </c>
      <c r="I93" s="156">
        <f>($D$13*(F801ENE!I90))*0.5</f>
        <v>0</v>
      </c>
      <c r="J93" s="156">
        <f t="shared" si="15"/>
        <v>0</v>
      </c>
      <c r="K93" s="69"/>
    </row>
    <row r="94" spans="2:11" s="37" customFormat="1" ht="15.75">
      <c r="B94" s="48"/>
      <c r="C94" s="160" t="s">
        <v>624</v>
      </c>
      <c r="D94" s="156">
        <f>($D$13*(F801ENE!D91))*0</f>
        <v>0</v>
      </c>
      <c r="E94" s="156">
        <f>($D$13*(F801ENE!E91))*0</f>
        <v>0</v>
      </c>
      <c r="F94" s="156">
        <f>($D$13*(F801ENE!F91))*0</f>
        <v>0</v>
      </c>
      <c r="G94" s="156">
        <f>($D$13*(F801ENE!G91))*0</f>
        <v>0</v>
      </c>
      <c r="H94" s="156">
        <f>($D$13*(F801ENE!H91))*0</f>
        <v>0</v>
      </c>
      <c r="I94" s="156">
        <f>($D$13*(F801ENE!I91))*0</f>
        <v>0</v>
      </c>
      <c r="J94" s="156">
        <f t="shared" si="15"/>
        <v>0</v>
      </c>
      <c r="K94" s="69"/>
    </row>
    <row r="95" spans="2:11" s="37" customFormat="1" ht="15.75">
      <c r="B95" s="48" t="s">
        <v>902</v>
      </c>
      <c r="C95" s="158" t="s">
        <v>911</v>
      </c>
      <c r="D95" s="154">
        <f t="shared" ref="D95:I95" si="17">SUBTOTAL(9,D96:D101)</f>
        <v>4234.2163034538371</v>
      </c>
      <c r="E95" s="154">
        <f t="shared" si="17"/>
        <v>4235.9834236880406</v>
      </c>
      <c r="F95" s="154">
        <f t="shared" si="17"/>
        <v>4155.9771118271447</v>
      </c>
      <c r="G95" s="154">
        <f t="shared" si="17"/>
        <v>4221.4630807027479</v>
      </c>
      <c r="H95" s="154">
        <f t="shared" si="17"/>
        <v>4038.548055486202</v>
      </c>
      <c r="I95" s="154">
        <f t="shared" si="17"/>
        <v>4057.4721667470267</v>
      </c>
      <c r="J95" s="154">
        <f t="shared" si="15"/>
        <v>24943.660141904995</v>
      </c>
      <c r="K95" s="69"/>
    </row>
    <row r="96" spans="2:11" s="37" customFormat="1" ht="15.75">
      <c r="B96" s="48"/>
      <c r="C96" s="160" t="s">
        <v>304</v>
      </c>
      <c r="D96" s="156">
        <f>($D$13*(F801ENE!D93))*1</f>
        <v>3846.2398727723235</v>
      </c>
      <c r="E96" s="156">
        <f>($D$13*(F801ENE!E93))*1</f>
        <v>3847.8450737865546</v>
      </c>
      <c r="F96" s="156">
        <f>($D$13*(F801ENE!F93))*1</f>
        <v>3775.16964941066</v>
      </c>
      <c r="G96" s="156">
        <f>($D$13*(F801ENE!G93))*1</f>
        <v>3834.6552133368632</v>
      </c>
      <c r="H96" s="156">
        <f>($D$13*(F801ENE!H93))*1</f>
        <v>3668.500484126841</v>
      </c>
      <c r="I96" s="156">
        <f>($D$13*(F801ENE!I93))*1</f>
        <v>3685.690600566757</v>
      </c>
      <c r="J96" s="156">
        <f t="shared" si="15"/>
        <v>22658.100894000003</v>
      </c>
      <c r="K96" s="69"/>
    </row>
    <row r="97" spans="2:11" s="37" customFormat="1" ht="15.75">
      <c r="B97" s="48"/>
      <c r="C97" s="162" t="s">
        <v>642</v>
      </c>
      <c r="D97" s="156">
        <f>($D$13*(F801ENE!D94))*0.75</f>
        <v>351.8195672247993</v>
      </c>
      <c r="E97" s="156">
        <f>($D$13*(F801ENE!E94))*0.75</f>
        <v>351.96639663347281</v>
      </c>
      <c r="F97" s="156">
        <f>($D$13*(F801ENE!F94))*0.75</f>
        <v>345.31869987051027</v>
      </c>
      <c r="G97" s="156">
        <f>($D$13*(F801ENE!G94))*0.75</f>
        <v>350.75990636020202</v>
      </c>
      <c r="H97" s="156">
        <f>($D$13*(F801ENE!H94))*0.75</f>
        <v>335.56156022042035</v>
      </c>
      <c r="I97" s="156">
        <f>($D$13*(F801ENE!I94))*0.75</f>
        <v>337.13395807559516</v>
      </c>
      <c r="J97" s="156">
        <f t="shared" si="15"/>
        <v>2072.5600883849997</v>
      </c>
      <c r="K97" s="69"/>
    </row>
    <row r="98" spans="2:11" s="37" customFormat="1" ht="15.75">
      <c r="B98" s="48"/>
      <c r="C98" s="162" t="s">
        <v>1177</v>
      </c>
      <c r="D98" s="156">
        <f>($D$13*(F801ENE!D95))*1</f>
        <v>36.156863456714404</v>
      </c>
      <c r="E98" s="156">
        <f>($D$13*(F801ENE!E95))*1</f>
        <v>36.171953268013752</v>
      </c>
      <c r="F98" s="156">
        <f>($D$13*(F801ENE!F95))*1</f>
        <v>35.488762545973842</v>
      </c>
      <c r="G98" s="156">
        <f>($D$13*(F801ENE!G95))*1</f>
        <v>36.047961005682772</v>
      </c>
      <c r="H98" s="156">
        <f>($D$13*(F801ENE!H95))*1</f>
        <v>34.486011138940881</v>
      </c>
      <c r="I98" s="156">
        <f>($D$13*(F801ENE!I95))*1</f>
        <v>34.64760810467434</v>
      </c>
      <c r="J98" s="156">
        <f t="shared" si="15"/>
        <v>212.99915951999998</v>
      </c>
      <c r="K98" s="69"/>
    </row>
    <row r="99" spans="2:11" s="37" customFormat="1" ht="15.75">
      <c r="B99" s="48"/>
      <c r="C99" s="160" t="s">
        <v>305</v>
      </c>
      <c r="D99" s="156">
        <f>($D$13*(F801ENE!D96))*0.95</f>
        <v>0</v>
      </c>
      <c r="E99" s="156">
        <f>($D$13*(F801ENE!E96))*0.95</f>
        <v>0</v>
      </c>
      <c r="F99" s="156">
        <f>($D$13*(F801ENE!F96))*0.95</f>
        <v>0</v>
      </c>
      <c r="G99" s="156">
        <f>($D$13*(F801ENE!G96))*0.95</f>
        <v>0</v>
      </c>
      <c r="H99" s="156">
        <f>($D$13*(F801ENE!H96))*0.95</f>
        <v>0</v>
      </c>
      <c r="I99" s="156">
        <f>($D$13*(F801ENE!I96))*0.95</f>
        <v>0</v>
      </c>
      <c r="J99" s="156">
        <f t="shared" si="15"/>
        <v>0</v>
      </c>
      <c r="K99" s="69"/>
    </row>
    <row r="100" spans="2:11" s="37" customFormat="1" ht="15.75">
      <c r="B100" s="48"/>
      <c r="C100" s="160" t="s">
        <v>307</v>
      </c>
      <c r="D100" s="156">
        <f>($D$13*(F801ENE!D97))*0.5</f>
        <v>0</v>
      </c>
      <c r="E100" s="156">
        <f>($D$13*(F801ENE!E97))*0.5</f>
        <v>0</v>
      </c>
      <c r="F100" s="156">
        <f>($D$13*(F801ENE!F97))*0.5</f>
        <v>0</v>
      </c>
      <c r="G100" s="156">
        <f>($D$13*(F801ENE!G97))*0.5</f>
        <v>0</v>
      </c>
      <c r="H100" s="156">
        <f>($D$13*(F801ENE!H97))*0.5</f>
        <v>0</v>
      </c>
      <c r="I100" s="156">
        <f>($D$13*(F801ENE!I97))*0.5</f>
        <v>0</v>
      </c>
      <c r="J100" s="156">
        <f t="shared" si="15"/>
        <v>0</v>
      </c>
      <c r="K100" s="69"/>
    </row>
    <row r="101" spans="2:11" s="37" customFormat="1" ht="15.75">
      <c r="B101" s="48"/>
      <c r="C101" s="160" t="s">
        <v>624</v>
      </c>
      <c r="D101" s="156">
        <f>($D$13*(F801ENE!D98))*0</f>
        <v>0</v>
      </c>
      <c r="E101" s="156">
        <f>($D$13*(F801ENE!E98))*0</f>
        <v>0</v>
      </c>
      <c r="F101" s="156">
        <f>($D$13*(F801ENE!F98))*0</f>
        <v>0</v>
      </c>
      <c r="G101" s="156">
        <f>($D$13*(F801ENE!G98))*0</f>
        <v>0</v>
      </c>
      <c r="H101" s="156">
        <f>($D$13*(F801ENE!H98))*0</f>
        <v>0</v>
      </c>
      <c r="I101" s="156">
        <f>($D$13*(F801ENE!I98))*0</f>
        <v>0</v>
      </c>
      <c r="J101" s="156">
        <f t="shared" si="15"/>
        <v>0</v>
      </c>
      <c r="K101" s="69"/>
    </row>
    <row r="102" spans="2:11" s="37" customFormat="1" ht="15.75">
      <c r="B102" s="48" t="s">
        <v>902</v>
      </c>
      <c r="C102" s="158" t="s">
        <v>912</v>
      </c>
      <c r="D102" s="154">
        <f t="shared" ref="D102:I102" si="18">SUBTOTAL(9,D103:D108)</f>
        <v>468.24130715138091</v>
      </c>
      <c r="E102" s="154">
        <f t="shared" si="18"/>
        <v>468.43672434999741</v>
      </c>
      <c r="F102" s="154">
        <f t="shared" si="18"/>
        <v>459.58921695753151</v>
      </c>
      <c r="G102" s="154">
        <f t="shared" si="18"/>
        <v>466.83099051581081</v>
      </c>
      <c r="H102" s="154">
        <f t="shared" si="18"/>
        <v>446.60331097209928</v>
      </c>
      <c r="I102" s="154">
        <f t="shared" si="18"/>
        <v>448.69603603818018</v>
      </c>
      <c r="J102" s="154">
        <f t="shared" si="15"/>
        <v>2758.3975859849998</v>
      </c>
      <c r="K102" s="69"/>
    </row>
    <row r="103" spans="2:11" s="37" customFormat="1" ht="15.75">
      <c r="B103" s="48"/>
      <c r="C103" s="160" t="s">
        <v>304</v>
      </c>
      <c r="D103" s="156">
        <f>($D$13*(F801ENE!D100))*1</f>
        <v>454.89843673966607</v>
      </c>
      <c r="E103" s="156">
        <f>($D$13*(F801ENE!E100))*1</f>
        <v>455.08828538566337</v>
      </c>
      <c r="F103" s="156">
        <f>($D$13*(F801ENE!F100))*1</f>
        <v>446.49289403422455</v>
      </c>
      <c r="G103" s="156">
        <f>($D$13*(F801ENE!G100))*1</f>
        <v>453.52830808371351</v>
      </c>
      <c r="H103" s="156">
        <f>($D$13*(F801ENE!H100))*1</f>
        <v>433.87703071289741</v>
      </c>
      <c r="I103" s="156">
        <f>($D$13*(F801ENE!I100))*1</f>
        <v>435.91012208383523</v>
      </c>
      <c r="J103" s="156">
        <f t="shared" si="15"/>
        <v>2679.7950770399998</v>
      </c>
      <c r="K103" s="69"/>
    </row>
    <row r="104" spans="2:11" s="37" customFormat="1" ht="15.75">
      <c r="B104" s="48"/>
      <c r="C104" s="162" t="s">
        <v>642</v>
      </c>
      <c r="D104" s="156">
        <f>($D$13*(F801ENE!D101))*0.75</f>
        <v>13.342870411714841</v>
      </c>
      <c r="E104" s="156">
        <f>($D$13*(F801ENE!E101))*0.75</f>
        <v>13.348438964334054</v>
      </c>
      <c r="F104" s="156">
        <f>($D$13*(F801ENE!F101))*0.75</f>
        <v>13.09632292330695</v>
      </c>
      <c r="G104" s="156">
        <f>($D$13*(F801ENE!G101))*0.75</f>
        <v>13.302682432097289</v>
      </c>
      <c r="H104" s="156">
        <f>($D$13*(F801ENE!H101))*0.75</f>
        <v>12.726280259201889</v>
      </c>
      <c r="I104" s="156">
        <f>($D$13*(F801ENE!I101))*0.75</f>
        <v>12.785913954344974</v>
      </c>
      <c r="J104" s="156">
        <f t="shared" si="15"/>
        <v>78.602508944999997</v>
      </c>
      <c r="K104" s="69"/>
    </row>
    <row r="105" spans="2:11" s="37" customFormat="1" ht="15.75">
      <c r="B105" s="48"/>
      <c r="C105" s="162" t="s">
        <v>1177</v>
      </c>
      <c r="D105" s="156">
        <f>($D$13*(F801ENE!D102))*1</f>
        <v>0</v>
      </c>
      <c r="E105" s="156">
        <f>($D$13*(F801ENE!E102))*1</f>
        <v>0</v>
      </c>
      <c r="F105" s="156">
        <f>($D$13*(F801ENE!F102))*1</f>
        <v>0</v>
      </c>
      <c r="G105" s="156">
        <f>($D$13*(F801ENE!G102))*1</f>
        <v>0</v>
      </c>
      <c r="H105" s="156">
        <f>($D$13*(F801ENE!H102))*1</f>
        <v>0</v>
      </c>
      <c r="I105" s="156">
        <f>($D$13*(F801ENE!I102))*1</f>
        <v>0</v>
      </c>
      <c r="J105" s="156">
        <f t="shared" si="15"/>
        <v>0</v>
      </c>
      <c r="K105" s="69"/>
    </row>
    <row r="106" spans="2:11" s="37" customFormat="1" ht="15.75">
      <c r="B106" s="48"/>
      <c r="C106" s="160" t="s">
        <v>305</v>
      </c>
      <c r="D106" s="156">
        <f>($D$13*(F801ENE!D103))*0.95</f>
        <v>0</v>
      </c>
      <c r="E106" s="156">
        <f>($D$13*(F801ENE!E103))*0.95</f>
        <v>0</v>
      </c>
      <c r="F106" s="156">
        <f>($D$13*(F801ENE!F103))*0.95</f>
        <v>0</v>
      </c>
      <c r="G106" s="156">
        <f>($D$13*(F801ENE!G103))*0.95</f>
        <v>0</v>
      </c>
      <c r="H106" s="156">
        <f>($D$13*(F801ENE!H103))*0.95</f>
        <v>0</v>
      </c>
      <c r="I106" s="156">
        <f>($D$13*(F801ENE!I103))*0.95</f>
        <v>0</v>
      </c>
      <c r="J106" s="156">
        <f t="shared" si="15"/>
        <v>0</v>
      </c>
      <c r="K106" s="69"/>
    </row>
    <row r="107" spans="2:11" s="37" customFormat="1" ht="15.75">
      <c r="B107" s="48"/>
      <c r="C107" s="160" t="s">
        <v>307</v>
      </c>
      <c r="D107" s="156">
        <f>($D$13*(F801ENE!D104))*0.5</f>
        <v>0</v>
      </c>
      <c r="E107" s="156">
        <f>($D$13*(F801ENE!E104))*0.5</f>
        <v>0</v>
      </c>
      <c r="F107" s="156">
        <f>($D$13*(F801ENE!F104))*0.5</f>
        <v>0</v>
      </c>
      <c r="G107" s="156">
        <f>($D$13*(F801ENE!G104))*0.5</f>
        <v>0</v>
      </c>
      <c r="H107" s="156">
        <f>($D$13*(F801ENE!H104))*0.5</f>
        <v>0</v>
      </c>
      <c r="I107" s="156">
        <f>($D$13*(F801ENE!I104))*0.5</f>
        <v>0</v>
      </c>
      <c r="J107" s="156">
        <f t="shared" si="15"/>
        <v>0</v>
      </c>
      <c r="K107" s="69"/>
    </row>
    <row r="108" spans="2:11" s="37" customFormat="1" ht="15.75">
      <c r="B108" s="48"/>
      <c r="C108" s="160" t="s">
        <v>624</v>
      </c>
      <c r="D108" s="156">
        <f>($D$13*(F801ENE!D105))*0</f>
        <v>0</v>
      </c>
      <c r="E108" s="156">
        <f>($D$13*(F801ENE!E105))*0</f>
        <v>0</v>
      </c>
      <c r="F108" s="156">
        <f>($D$13*(F801ENE!F105))*0</f>
        <v>0</v>
      </c>
      <c r="G108" s="156">
        <f>($D$13*(F801ENE!G105))*0</f>
        <v>0</v>
      </c>
      <c r="H108" s="156">
        <f>($D$13*(F801ENE!H105))*0</f>
        <v>0</v>
      </c>
      <c r="I108" s="156">
        <f>($D$13*(F801ENE!I105))*0</f>
        <v>0</v>
      </c>
      <c r="J108" s="156">
        <f t="shared" si="15"/>
        <v>0</v>
      </c>
      <c r="K108" s="69"/>
    </row>
    <row r="109" spans="2:11" s="37" customFormat="1" ht="15.75">
      <c r="B109" s="48"/>
      <c r="C109" s="157"/>
      <c r="D109" s="156"/>
      <c r="E109" s="156"/>
      <c r="F109" s="156"/>
      <c r="G109" s="156"/>
      <c r="H109" s="156"/>
      <c r="I109" s="156"/>
      <c r="J109" s="156">
        <f t="shared" si="15"/>
        <v>0</v>
      </c>
      <c r="K109" s="69"/>
    </row>
    <row r="110" spans="2:11" s="37" customFormat="1" ht="15.75">
      <c r="B110" s="48"/>
      <c r="C110" s="179" t="s">
        <v>112</v>
      </c>
      <c r="D110" s="180">
        <f t="shared" ref="D110:I110" si="19">D33+D23+D19</f>
        <v>1029690.0649392625</v>
      </c>
      <c r="E110" s="180">
        <f t="shared" si="19"/>
        <v>1030119.7988069509</v>
      </c>
      <c r="F110" s="180">
        <f t="shared" si="19"/>
        <v>1010663.6117462186</v>
      </c>
      <c r="G110" s="180">
        <f t="shared" si="19"/>
        <v>1026588.6960384711</v>
      </c>
      <c r="H110" s="180">
        <f t="shared" si="19"/>
        <v>982106.84374387807</v>
      </c>
      <c r="I110" s="180">
        <f t="shared" si="19"/>
        <v>986708.86876021489</v>
      </c>
      <c r="J110" s="180">
        <f t="shared" si="15"/>
        <v>6065877.8840349959</v>
      </c>
      <c r="K110" s="69"/>
    </row>
    <row r="112" spans="2:11">
      <c r="C112" s="52" t="str">
        <f>'PORTADA PORTADA PORTADA'!$B$23</f>
        <v>1 DE JULIO DE 2026</v>
      </c>
    </row>
    <row r="114" spans="2:10">
      <c r="B114" s="48" t="s">
        <v>902</v>
      </c>
      <c r="D114" s="163">
        <f t="shared" ref="D114:J123" si="20">SUMIF($B$18:$B$110,$B114,D$18:D$110)</f>
        <v>58199.009972786327</v>
      </c>
      <c r="E114" s="163">
        <f t="shared" si="20"/>
        <v>58223.298918074652</v>
      </c>
      <c r="F114" s="163">
        <f t="shared" si="20"/>
        <v>57123.617700069779</v>
      </c>
      <c r="G114" s="163">
        <f t="shared" si="20"/>
        <v>58023.717808928188</v>
      </c>
      <c r="H114" s="163">
        <f t="shared" si="20"/>
        <v>55509.563449816516</v>
      </c>
      <c r="I114" s="163">
        <f t="shared" si="20"/>
        <v>55769.674049054534</v>
      </c>
      <c r="J114" s="163">
        <f t="shared" si="20"/>
        <v>342848.88189873</v>
      </c>
    </row>
    <row r="115" spans="2:10">
      <c r="B115" s="48" t="s">
        <v>751</v>
      </c>
      <c r="D115" s="163">
        <f t="shared" si="20"/>
        <v>311876.08929177636</v>
      </c>
      <c r="E115" s="163">
        <f t="shared" si="20"/>
        <v>312006.25019583787</v>
      </c>
      <c r="F115" s="163">
        <f t="shared" si="20"/>
        <v>306113.21944395249</v>
      </c>
      <c r="G115" s="163">
        <f t="shared" si="20"/>
        <v>310936.72423282347</v>
      </c>
      <c r="H115" s="163">
        <f t="shared" si="20"/>
        <v>297463.73887065443</v>
      </c>
      <c r="I115" s="163">
        <f t="shared" si="20"/>
        <v>298857.63351494231</v>
      </c>
      <c r="J115" s="163">
        <f t="shared" si="20"/>
        <v>1837253.6555499872</v>
      </c>
    </row>
    <row r="116" spans="2:10">
      <c r="B116" s="48" t="s">
        <v>750</v>
      </c>
      <c r="D116" s="163">
        <f t="shared" si="20"/>
        <v>117334.52671277944</v>
      </c>
      <c r="E116" s="163">
        <f t="shared" si="20"/>
        <v>117383.4954478334</v>
      </c>
      <c r="F116" s="163">
        <f t="shared" si="20"/>
        <v>115166.43754066504</v>
      </c>
      <c r="G116" s="163">
        <f t="shared" si="20"/>
        <v>116981.12167904482</v>
      </c>
      <c r="H116" s="163">
        <f t="shared" si="20"/>
        <v>111912.35655834639</v>
      </c>
      <c r="I116" s="163">
        <f t="shared" si="20"/>
        <v>112436.76331490192</v>
      </c>
      <c r="J116" s="163">
        <f t="shared" si="20"/>
        <v>691214.70125357108</v>
      </c>
    </row>
    <row r="117" spans="2:10">
      <c r="B117" s="48" t="s">
        <v>749</v>
      </c>
      <c r="D117" s="163">
        <f t="shared" si="20"/>
        <v>116062.82885670853</v>
      </c>
      <c r="E117" s="163">
        <f t="shared" si="20"/>
        <v>116111.26685765438</v>
      </c>
      <c r="F117" s="163">
        <f t="shared" si="20"/>
        <v>113918.23792018762</v>
      </c>
      <c r="G117" s="163">
        <f t="shared" si="20"/>
        <v>115713.25410580978</v>
      </c>
      <c r="H117" s="163">
        <f t="shared" si="20"/>
        <v>110699.42539571023</v>
      </c>
      <c r="I117" s="163">
        <f t="shared" si="20"/>
        <v>111218.14851449346</v>
      </c>
      <c r="J117" s="163">
        <f t="shared" si="20"/>
        <v>683723.16165056406</v>
      </c>
    </row>
    <row r="118" spans="2:10">
      <c r="B118" s="48" t="s">
        <v>1176</v>
      </c>
      <c r="D118" s="163">
        <f t="shared" si="20"/>
        <v>3.8899999999999997</v>
      </c>
      <c r="E118" s="163">
        <f t="shared" si="20"/>
        <v>3.8899999999999997</v>
      </c>
      <c r="F118" s="163">
        <f t="shared" si="20"/>
        <v>3.8899999999999997</v>
      </c>
      <c r="G118" s="163">
        <f t="shared" si="20"/>
        <v>3.8899999999999997</v>
      </c>
      <c r="H118" s="163">
        <f t="shared" si="20"/>
        <v>3.8899999999999997</v>
      </c>
      <c r="I118" s="163">
        <f t="shared" si="20"/>
        <v>3.8899999999999997</v>
      </c>
      <c r="J118" s="163">
        <f t="shared" si="20"/>
        <v>23.34</v>
      </c>
    </row>
    <row r="119" spans="2:10">
      <c r="B119" s="48" t="s">
        <v>274</v>
      </c>
      <c r="D119" s="163">
        <f t="shared" si="20"/>
        <v>228155.13887402267</v>
      </c>
      <c r="E119" s="163">
        <f t="shared" si="20"/>
        <v>228250.35780795218</v>
      </c>
      <c r="F119" s="163">
        <f t="shared" si="20"/>
        <v>223939.32363179734</v>
      </c>
      <c r="G119" s="163">
        <f t="shared" si="20"/>
        <v>227467.94835295912</v>
      </c>
      <c r="H119" s="163">
        <f t="shared" si="20"/>
        <v>217611.81442177924</v>
      </c>
      <c r="I119" s="163">
        <f t="shared" si="20"/>
        <v>218631.51509915345</v>
      </c>
      <c r="J119" s="163">
        <f t="shared" si="20"/>
        <v>1344056.0981876641</v>
      </c>
    </row>
    <row r="120" spans="2:10">
      <c r="B120" s="48" t="s">
        <v>275</v>
      </c>
      <c r="D120" s="163">
        <f t="shared" si="20"/>
        <v>11033.375007373092</v>
      </c>
      <c r="E120" s="163">
        <f t="shared" si="20"/>
        <v>11037.979708415687</v>
      </c>
      <c r="F120" s="163">
        <f t="shared" si="20"/>
        <v>10829.50201657031</v>
      </c>
      <c r="G120" s="163">
        <f t="shared" si="20"/>
        <v>11000.143098778681</v>
      </c>
      <c r="H120" s="163">
        <f t="shared" si="20"/>
        <v>10523.509426084389</v>
      </c>
      <c r="I120" s="163">
        <f t="shared" si="20"/>
        <v>10572.821223417845</v>
      </c>
      <c r="J120" s="163">
        <f t="shared" si="20"/>
        <v>64997.330480640005</v>
      </c>
    </row>
    <row r="121" spans="2:10">
      <c r="B121" s="48" t="s">
        <v>276</v>
      </c>
      <c r="D121" s="163">
        <f t="shared" si="20"/>
        <v>98647.859736679442</v>
      </c>
      <c r="E121" s="163">
        <f t="shared" si="20"/>
        <v>98689.029723403888</v>
      </c>
      <c r="F121" s="163">
        <f t="shared" si="20"/>
        <v>96825.059896433784</v>
      </c>
      <c r="G121" s="163">
        <f t="shared" si="20"/>
        <v>98350.737899017549</v>
      </c>
      <c r="H121" s="163">
        <f t="shared" si="20"/>
        <v>94089.22302634221</v>
      </c>
      <c r="I121" s="163">
        <f t="shared" si="20"/>
        <v>94530.112895803119</v>
      </c>
      <c r="J121" s="163">
        <f t="shared" si="20"/>
        <v>581132.02317768009</v>
      </c>
    </row>
    <row r="122" spans="2:10">
      <c r="B122" s="48" t="s">
        <v>277</v>
      </c>
      <c r="D122" s="163">
        <f t="shared" si="20"/>
        <v>16467.985708298915</v>
      </c>
      <c r="E122" s="163">
        <f t="shared" si="20"/>
        <v>16474.858505689539</v>
      </c>
      <c r="F122" s="163">
        <f t="shared" si="20"/>
        <v>16163.69282451632</v>
      </c>
      <c r="G122" s="163">
        <f t="shared" si="20"/>
        <v>16418.385056147916</v>
      </c>
      <c r="H122" s="163">
        <f t="shared" si="20"/>
        <v>15706.980204524694</v>
      </c>
      <c r="I122" s="163">
        <f t="shared" si="20"/>
        <v>15780.581072182615</v>
      </c>
      <c r="J122" s="163">
        <f t="shared" si="20"/>
        <v>97012.483371359995</v>
      </c>
    </row>
    <row r="123" spans="2:10">
      <c r="B123" s="48" t="s">
        <v>278</v>
      </c>
      <c r="D123" s="163">
        <f t="shared" si="20"/>
        <v>1.88</v>
      </c>
      <c r="E123" s="163">
        <f t="shared" si="20"/>
        <v>1.88</v>
      </c>
      <c r="F123" s="163">
        <f t="shared" si="20"/>
        <v>1.88</v>
      </c>
      <c r="G123" s="163">
        <f t="shared" si="20"/>
        <v>1.88</v>
      </c>
      <c r="H123" s="163">
        <f t="shared" si="20"/>
        <v>1.88</v>
      </c>
      <c r="I123" s="163">
        <f t="shared" si="20"/>
        <v>1.88</v>
      </c>
      <c r="J123" s="163">
        <f t="shared" si="20"/>
        <v>11.279999999999998</v>
      </c>
    </row>
    <row r="124" spans="2:10">
      <c r="B124" s="48" t="s">
        <v>279</v>
      </c>
      <c r="D124" s="163">
        <f t="shared" ref="D124:J132" si="21">SUMIF($B$18:$B$110,$B124,D$18:D$110)</f>
        <v>71907.480778837489</v>
      </c>
      <c r="E124" s="163">
        <f t="shared" si="21"/>
        <v>71937.491642089182</v>
      </c>
      <c r="F124" s="163">
        <f t="shared" si="21"/>
        <v>70578.750772026266</v>
      </c>
      <c r="G124" s="163">
        <f t="shared" si="21"/>
        <v>71690.893804961612</v>
      </c>
      <c r="H124" s="163">
        <f t="shared" si="21"/>
        <v>68584.462390619941</v>
      </c>
      <c r="I124" s="163">
        <f t="shared" si="21"/>
        <v>68905.849076265498</v>
      </c>
      <c r="J124" s="163">
        <f t="shared" si="21"/>
        <v>423604.92846479989</v>
      </c>
    </row>
    <row r="125" spans="2:10">
      <c r="B125" s="48" t="s">
        <v>875</v>
      </c>
      <c r="D125" s="163">
        <f t="shared" si="21"/>
        <v>0</v>
      </c>
      <c r="E125" s="163">
        <f t="shared" si="21"/>
        <v>0</v>
      </c>
      <c r="F125" s="163">
        <f t="shared" si="21"/>
        <v>0</v>
      </c>
      <c r="G125" s="163">
        <f t="shared" si="21"/>
        <v>0</v>
      </c>
      <c r="H125" s="163">
        <f t="shared" si="21"/>
        <v>0</v>
      </c>
      <c r="I125" s="163">
        <f t="shared" si="21"/>
        <v>0</v>
      </c>
      <c r="J125" s="163">
        <f t="shared" si="21"/>
        <v>0</v>
      </c>
    </row>
    <row r="126" spans="2:10">
      <c r="B126" s="48" t="s">
        <v>874</v>
      </c>
      <c r="D126" s="163">
        <f t="shared" si="21"/>
        <v>0</v>
      </c>
      <c r="E126" s="163">
        <f t="shared" si="21"/>
        <v>0</v>
      </c>
      <c r="F126" s="163">
        <f t="shared" si="21"/>
        <v>0</v>
      </c>
      <c r="G126" s="163">
        <f t="shared" si="21"/>
        <v>0</v>
      </c>
      <c r="H126" s="163">
        <f t="shared" si="21"/>
        <v>0</v>
      </c>
      <c r="I126" s="163">
        <f t="shared" si="21"/>
        <v>0</v>
      </c>
      <c r="J126" s="163">
        <f t="shared" si="21"/>
        <v>0</v>
      </c>
    </row>
    <row r="127" spans="2:10">
      <c r="B127" s="48" t="s">
        <v>873</v>
      </c>
      <c r="D127" s="163">
        <f t="shared" si="21"/>
        <v>0</v>
      </c>
      <c r="E127" s="163">
        <f t="shared" si="21"/>
        <v>0</v>
      </c>
      <c r="F127" s="163">
        <f t="shared" si="21"/>
        <v>0</v>
      </c>
      <c r="G127" s="163">
        <f t="shared" si="21"/>
        <v>0</v>
      </c>
      <c r="H127" s="163">
        <f t="shared" si="21"/>
        <v>0</v>
      </c>
      <c r="I127" s="163">
        <f t="shared" si="21"/>
        <v>0</v>
      </c>
      <c r="J127" s="163">
        <f t="shared" si="21"/>
        <v>0</v>
      </c>
    </row>
    <row r="128" spans="2:10">
      <c r="B128" s="48" t="s">
        <v>872</v>
      </c>
      <c r="D128" s="163">
        <f t="shared" si="21"/>
        <v>0</v>
      </c>
      <c r="E128" s="163">
        <f t="shared" si="21"/>
        <v>0</v>
      </c>
      <c r="F128" s="163">
        <f t="shared" si="21"/>
        <v>0</v>
      </c>
      <c r="G128" s="163">
        <f t="shared" si="21"/>
        <v>0</v>
      </c>
      <c r="H128" s="163">
        <f t="shared" si="21"/>
        <v>0</v>
      </c>
      <c r="I128" s="163">
        <f t="shared" si="21"/>
        <v>0</v>
      </c>
      <c r="J128" s="163">
        <f t="shared" si="21"/>
        <v>0</v>
      </c>
    </row>
    <row r="129" spans="2:10">
      <c r="B129" s="48" t="s">
        <v>871</v>
      </c>
      <c r="D129" s="163">
        <f t="shared" si="21"/>
        <v>0</v>
      </c>
      <c r="E129" s="163">
        <f t="shared" si="21"/>
        <v>0</v>
      </c>
      <c r="F129" s="163">
        <f t="shared" si="21"/>
        <v>0</v>
      </c>
      <c r="G129" s="163">
        <f t="shared" si="21"/>
        <v>0</v>
      </c>
      <c r="H129" s="163">
        <f t="shared" si="21"/>
        <v>0</v>
      </c>
      <c r="I129" s="163">
        <f t="shared" si="21"/>
        <v>0</v>
      </c>
      <c r="J129" s="163">
        <f t="shared" si="21"/>
        <v>0</v>
      </c>
    </row>
    <row r="130" spans="2:10">
      <c r="B130" s="48" t="s">
        <v>870</v>
      </c>
      <c r="D130" s="163">
        <f t="shared" si="21"/>
        <v>0</v>
      </c>
      <c r="E130" s="163">
        <f t="shared" si="21"/>
        <v>0</v>
      </c>
      <c r="F130" s="163">
        <f t="shared" si="21"/>
        <v>0</v>
      </c>
      <c r="G130" s="163">
        <f t="shared" si="21"/>
        <v>0</v>
      </c>
      <c r="H130" s="163">
        <f t="shared" si="21"/>
        <v>0</v>
      </c>
      <c r="I130" s="163">
        <f t="shared" si="21"/>
        <v>0</v>
      </c>
      <c r="J130" s="163">
        <f t="shared" si="21"/>
        <v>0</v>
      </c>
    </row>
    <row r="131" spans="2:10">
      <c r="B131" s="48" t="s">
        <v>893</v>
      </c>
      <c r="D131" s="163">
        <f t="shared" si="21"/>
        <v>0</v>
      </c>
      <c r="E131" s="163">
        <f t="shared" si="21"/>
        <v>0</v>
      </c>
      <c r="F131" s="163">
        <f t="shared" si="21"/>
        <v>0</v>
      </c>
      <c r="G131" s="163">
        <f t="shared" si="21"/>
        <v>0</v>
      </c>
      <c r="H131" s="163">
        <f t="shared" si="21"/>
        <v>0</v>
      </c>
      <c r="I131" s="163">
        <f t="shared" si="21"/>
        <v>0</v>
      </c>
      <c r="J131" s="163">
        <f t="shared" si="21"/>
        <v>0</v>
      </c>
    </row>
    <row r="132" spans="2:10">
      <c r="D132" s="163">
        <f t="shared" si="21"/>
        <v>0</v>
      </c>
      <c r="E132" s="163">
        <f t="shared" si="21"/>
        <v>0</v>
      </c>
      <c r="F132" s="163">
        <f t="shared" si="21"/>
        <v>0</v>
      </c>
      <c r="G132" s="163">
        <f t="shared" si="21"/>
        <v>0</v>
      </c>
      <c r="H132" s="163">
        <f t="shared" si="21"/>
        <v>0</v>
      </c>
      <c r="I132" s="163">
        <f t="shared" si="21"/>
        <v>0</v>
      </c>
      <c r="J132" s="163">
        <f t="shared" si="21"/>
        <v>0</v>
      </c>
    </row>
    <row r="133" spans="2:10">
      <c r="B133" s="48" t="s">
        <v>111</v>
      </c>
      <c r="C133" s="139"/>
      <c r="D133" s="165">
        <f>SUM(D114:D132)</f>
        <v>1029690.0649392621</v>
      </c>
      <c r="E133" s="165">
        <f t="shared" ref="E133:J133" si="22">SUM(E114:E132)</f>
        <v>1030119.7988069508</v>
      </c>
      <c r="F133" s="165">
        <f t="shared" si="22"/>
        <v>1010663.6117462189</v>
      </c>
      <c r="G133" s="165">
        <f t="shared" si="22"/>
        <v>1026588.6960384712</v>
      </c>
      <c r="H133" s="165">
        <f t="shared" si="22"/>
        <v>982106.84374387807</v>
      </c>
      <c r="I133" s="165">
        <f t="shared" si="22"/>
        <v>986708.86876021477</v>
      </c>
      <c r="J133" s="165">
        <f t="shared" si="22"/>
        <v>6065877.8840349978</v>
      </c>
    </row>
    <row r="134" spans="2:10">
      <c r="D134" s="166">
        <f>D133-D110</f>
        <v>0</v>
      </c>
      <c r="E134" s="166">
        <f t="shared" ref="E134:J134" si="23">E133-E110</f>
        <v>0</v>
      </c>
      <c r="F134" s="166">
        <f t="shared" si="23"/>
        <v>0</v>
      </c>
      <c r="G134" s="166">
        <f t="shared" si="23"/>
        <v>0</v>
      </c>
      <c r="H134" s="166">
        <f t="shared" si="23"/>
        <v>0</v>
      </c>
      <c r="I134" s="166">
        <f t="shared" si="23"/>
        <v>0</v>
      </c>
      <c r="J134" s="166">
        <f t="shared" si="23"/>
        <v>0</v>
      </c>
    </row>
  </sheetData>
  <printOptions horizontalCentered="1" verticalCentered="1"/>
  <pageMargins left="0.51181102362204722" right="0.31496062992125984" top="0.78740157480314965" bottom="0.82677165354330717" header="0.31496062992125984" footer="0.23622047244094491"/>
  <pageSetup scale="54" orientation="portrait" horizontalDpi="300" r:id="rId1"/>
  <headerFooter alignWithMargins="0">
    <oddHeader>&amp;L
NOMBRE DE LA DISTRIBUIDORA: &amp;UELEKTRA NORESTE, S.A.&amp;R&amp;9&amp;A</oddHeader>
  </headerFooter>
  <rowBreaks count="1" manualBreakCount="1">
    <brk id="112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8A5DE-468E-4978-B24B-1967C6A8EAFC}">
  <sheetPr codeName="Hoja42">
    <tabColor theme="5" tint="0.79998168889431442"/>
  </sheetPr>
  <dimension ref="B1:K134"/>
  <sheetViews>
    <sheetView view="pageBreakPreview" topLeftCell="A60" zoomScale="85" zoomScaleNormal="100" zoomScaleSheetLayoutView="85" workbookViewId="0">
      <selection activeCell="D89" sqref="D89:I108"/>
    </sheetView>
  </sheetViews>
  <sheetFormatPr baseColWidth="10" defaultColWidth="8" defaultRowHeight="15"/>
  <cols>
    <col min="1" max="1" width="3.5" style="63" customWidth="1"/>
    <col min="2" max="2" width="5.625" style="48" bestFit="1" customWidth="1"/>
    <col min="3" max="3" width="30.125" style="63" customWidth="1"/>
    <col min="4" max="10" width="11.25" style="63" customWidth="1"/>
    <col min="11" max="11" width="4.625" style="63" customWidth="1"/>
    <col min="12" max="16384" width="8" style="63"/>
  </cols>
  <sheetData>
    <row r="1" spans="2:11" s="69" customFormat="1" ht="15.75">
      <c r="B1" s="48"/>
      <c r="C1" s="136" t="s">
        <v>151</v>
      </c>
    </row>
    <row r="2" spans="2:11" s="69" customFormat="1" ht="15.75">
      <c r="B2" s="48"/>
      <c r="D2" s="137" t="s">
        <v>316</v>
      </c>
    </row>
    <row r="3" spans="2:11" s="69" customFormat="1" ht="15.75">
      <c r="B3" s="48"/>
      <c r="D3" s="137"/>
    </row>
    <row r="4" spans="2:11" ht="15.75">
      <c r="C4" s="219" t="s">
        <v>1531</v>
      </c>
      <c r="D4" s="219"/>
      <c r="E4" s="219"/>
      <c r="F4" s="219"/>
      <c r="G4" s="219"/>
      <c r="H4" s="219"/>
      <c r="I4" s="219"/>
      <c r="J4" s="219"/>
    </row>
    <row r="5" spans="2:11" ht="15" customHeight="1">
      <c r="C5" s="259"/>
      <c r="D5" s="259"/>
      <c r="E5" s="259"/>
      <c r="F5" s="259"/>
      <c r="G5" s="259"/>
      <c r="H5" s="259"/>
      <c r="I5" s="259"/>
      <c r="J5" s="259"/>
    </row>
    <row r="6" spans="2:11" s="143" customFormat="1" ht="49.5" customHeight="1">
      <c r="B6" s="48"/>
      <c r="C6" s="220" t="s">
        <v>668</v>
      </c>
      <c r="D6" s="260" t="s">
        <v>259</v>
      </c>
      <c r="E6" s="260" t="s">
        <v>260</v>
      </c>
      <c r="F6" s="221"/>
      <c r="G6" s="69"/>
    </row>
    <row r="7" spans="2:11" s="143" customFormat="1" ht="15.75">
      <c r="B7" s="48"/>
      <c r="C7" s="261" t="s">
        <v>266</v>
      </c>
      <c r="D7" s="262">
        <f>RAT1000PT!$E$74</f>
        <v>2.9299999999999999E-3</v>
      </c>
      <c r="E7" s="263"/>
      <c r="F7" s="69"/>
      <c r="G7" s="69"/>
    </row>
    <row r="8" spans="2:11" s="143" customFormat="1" ht="15.75">
      <c r="B8" s="48"/>
      <c r="C8" s="261" t="s">
        <v>265</v>
      </c>
      <c r="D8" s="262">
        <f>RAT1000PT!$E$73</f>
        <v>2.9299999999999999E-3</v>
      </c>
      <c r="E8" s="262"/>
      <c r="F8" s="69"/>
      <c r="G8" s="69"/>
    </row>
    <row r="9" spans="2:11" s="143" customFormat="1" ht="15.75">
      <c r="B9" s="48"/>
      <c r="C9" s="261" t="s">
        <v>264</v>
      </c>
      <c r="D9" s="262">
        <f>RAT1000PT!$E$72</f>
        <v>2.9299999999999999E-3</v>
      </c>
      <c r="E9" s="262"/>
      <c r="F9" s="69"/>
      <c r="G9" s="69"/>
    </row>
    <row r="10" spans="2:11" s="143" customFormat="1" ht="14.25" customHeight="1">
      <c r="B10" s="48"/>
      <c r="C10" s="261" t="s">
        <v>262</v>
      </c>
      <c r="D10" s="262">
        <f>RAT1000PT!$E$71</f>
        <v>2.9299999999999999E-3</v>
      </c>
      <c r="E10" s="262"/>
      <c r="F10" s="69"/>
      <c r="G10" s="69"/>
      <c r="H10" s="69"/>
      <c r="I10" s="69"/>
      <c r="J10" s="69"/>
      <c r="K10" s="69"/>
    </row>
    <row r="11" spans="2:11" s="143" customFormat="1" ht="15.75">
      <c r="B11" s="48"/>
      <c r="C11" s="261" t="s">
        <v>263</v>
      </c>
      <c r="D11" s="262">
        <f>RAT1000PT!$E$70</f>
        <v>2.9299999999999999E-3</v>
      </c>
      <c r="E11" s="262"/>
      <c r="F11" s="69"/>
      <c r="G11" s="69"/>
    </row>
    <row r="12" spans="2:11" s="143" customFormat="1" ht="15.75">
      <c r="B12" s="48"/>
      <c r="C12" s="261" t="s">
        <v>261</v>
      </c>
      <c r="D12" s="262">
        <f>RAT1000PT!$E$69</f>
        <v>2.9299999999999999E-3</v>
      </c>
      <c r="E12" s="262"/>
      <c r="F12" s="69"/>
      <c r="G12" s="69"/>
    </row>
    <row r="13" spans="2:11" s="143" customFormat="1" ht="15.75">
      <c r="B13" s="48"/>
      <c r="C13" s="261" t="s">
        <v>1768</v>
      </c>
      <c r="D13" s="262">
        <f>RAT1000PT!$E$66</f>
        <v>3.0300000000000001E-3</v>
      </c>
      <c r="E13" s="262"/>
      <c r="F13" s="69"/>
      <c r="G13" s="69"/>
    </row>
    <row r="14" spans="2:11" s="143" customFormat="1" ht="15.75">
      <c r="B14" s="48"/>
      <c r="C14" s="261" t="s">
        <v>2071</v>
      </c>
      <c r="D14" s="262">
        <f>RAT1000PT!$E$67</f>
        <v>3.0300000000000001E-3</v>
      </c>
      <c r="E14" s="262"/>
      <c r="F14" s="69"/>
      <c r="G14" s="69"/>
    </row>
    <row r="15" spans="2:11" s="143" customFormat="1" ht="15.75">
      <c r="B15" s="48"/>
      <c r="C15" s="261" t="s">
        <v>1178</v>
      </c>
      <c r="D15" s="262">
        <f>RAT1000PT!$E$68</f>
        <v>3.0300000000000001E-3</v>
      </c>
      <c r="E15" s="262"/>
      <c r="F15" s="69"/>
      <c r="G15" s="69"/>
    </row>
    <row r="16" spans="2:11" s="143" customFormat="1" ht="13.5">
      <c r="B16" s="48"/>
      <c r="C16" s="147"/>
    </row>
    <row r="17" spans="2:11" s="143" customFormat="1" ht="39" customHeight="1">
      <c r="B17" s="48"/>
      <c r="C17" s="149" t="s">
        <v>669</v>
      </c>
      <c r="D17" s="149"/>
      <c r="E17" s="149"/>
      <c r="F17" s="149"/>
      <c r="G17" s="149"/>
      <c r="H17" s="149"/>
      <c r="I17" s="264"/>
      <c r="J17" s="264"/>
    </row>
    <row r="18" spans="2:11" s="37" customFormat="1" ht="15.75">
      <c r="B18" s="48"/>
      <c r="C18" s="150" t="s">
        <v>310</v>
      </c>
      <c r="D18" s="151">
        <f>F821EVE!D4</f>
        <v>45839</v>
      </c>
      <c r="E18" s="151">
        <f>F821EVE!E4</f>
        <v>45870</v>
      </c>
      <c r="F18" s="151">
        <f>F821EVE!F4</f>
        <v>45901</v>
      </c>
      <c r="G18" s="151">
        <f>F821EVE!G4</f>
        <v>45931</v>
      </c>
      <c r="H18" s="151">
        <f>F821EVE!H4</f>
        <v>45962</v>
      </c>
      <c r="I18" s="151">
        <f>F821EVE!I4</f>
        <v>45992</v>
      </c>
      <c r="J18" s="151" t="s">
        <v>111</v>
      </c>
      <c r="K18" s="69"/>
    </row>
    <row r="19" spans="2:11" s="37" customFormat="1" ht="15.75">
      <c r="B19" s="48"/>
      <c r="C19" s="153" t="s">
        <v>446</v>
      </c>
      <c r="D19" s="154">
        <f t="shared" ref="D19:I19" si="0">SUM(D20:D21)</f>
        <v>53828.199069999995</v>
      </c>
      <c r="E19" s="154">
        <f t="shared" si="0"/>
        <v>53977.922070000001</v>
      </c>
      <c r="F19" s="154">
        <f t="shared" si="0"/>
        <v>52750.782399999996</v>
      </c>
      <c r="G19" s="154">
        <f t="shared" si="0"/>
        <v>54761.559359999999</v>
      </c>
      <c r="H19" s="154">
        <f t="shared" si="0"/>
        <v>52221.81192</v>
      </c>
      <c r="I19" s="154">
        <f t="shared" si="0"/>
        <v>54199.670330000001</v>
      </c>
      <c r="J19" s="154">
        <f>SUM(D19:I19)</f>
        <v>321739.94514999999</v>
      </c>
      <c r="K19" s="69"/>
    </row>
    <row r="20" spans="2:11" s="37" customFormat="1" ht="15.75">
      <c r="B20" s="48" t="s">
        <v>279</v>
      </c>
      <c r="C20" s="155" t="s">
        <v>279</v>
      </c>
      <c r="D20" s="156">
        <f>$D$7*F821EVE!D6</f>
        <v>53828.199069999995</v>
      </c>
      <c r="E20" s="156">
        <f>$D$7*F821EVE!E6</f>
        <v>53977.922070000001</v>
      </c>
      <c r="F20" s="156">
        <f>$D$7*F821EVE!F6</f>
        <v>52750.782399999996</v>
      </c>
      <c r="G20" s="156">
        <f>$D$7*F821EVE!G6</f>
        <v>54761.559359999999</v>
      </c>
      <c r="H20" s="156">
        <f>$D$7*F821EVE!H6</f>
        <v>52221.81192</v>
      </c>
      <c r="I20" s="156">
        <f>$D$7*F821EVE!I6</f>
        <v>54199.670330000001</v>
      </c>
      <c r="J20" s="156">
        <f t="shared" ref="J20:J83" si="1">SUM(D20:I20)</f>
        <v>321739.94514999999</v>
      </c>
      <c r="K20" s="69"/>
    </row>
    <row r="21" spans="2:11" s="37" customFormat="1" ht="15.75">
      <c r="B21" s="48" t="s">
        <v>278</v>
      </c>
      <c r="C21" s="155" t="s">
        <v>278</v>
      </c>
      <c r="D21" s="156">
        <f>$D$8*F821EVE!D7</f>
        <v>0</v>
      </c>
      <c r="E21" s="156">
        <f>$D$8*F821EVE!E7</f>
        <v>0</v>
      </c>
      <c r="F21" s="156">
        <f>$D$8*F821EVE!F7</f>
        <v>0</v>
      </c>
      <c r="G21" s="156">
        <f>$D$8*F821EVE!G7</f>
        <v>0</v>
      </c>
      <c r="H21" s="156">
        <f>$D$8*F821EVE!H7</f>
        <v>0</v>
      </c>
      <c r="I21" s="156">
        <f>$D$8*F821EVE!I7</f>
        <v>0</v>
      </c>
      <c r="J21" s="156">
        <f t="shared" si="1"/>
        <v>0</v>
      </c>
      <c r="K21" s="69"/>
    </row>
    <row r="22" spans="2:11" s="37" customFormat="1" ht="15.75">
      <c r="B22" s="48"/>
      <c r="C22" s="157"/>
      <c r="D22" s="156"/>
      <c r="E22" s="156"/>
      <c r="F22" s="156"/>
      <c r="G22" s="156"/>
      <c r="H22" s="156"/>
      <c r="I22" s="156"/>
      <c r="J22" s="156">
        <f t="shared" si="1"/>
        <v>0</v>
      </c>
      <c r="K22" s="69"/>
    </row>
    <row r="23" spans="2:11" s="37" customFormat="1" ht="15.75">
      <c r="B23" s="48"/>
      <c r="C23" s="153" t="s">
        <v>630</v>
      </c>
      <c r="D23" s="154">
        <f>SUBTOTAL(9,D24:D31)</f>
        <v>86378.053984999991</v>
      </c>
      <c r="E23" s="154">
        <f t="shared" ref="E23:I23" si="2">SUBTOTAL(9,E24:E31)</f>
        <v>88636.760219999996</v>
      </c>
      <c r="F23" s="154">
        <f t="shared" si="2"/>
        <v>85724.48232499999</v>
      </c>
      <c r="G23" s="154">
        <f t="shared" si="2"/>
        <v>89006.835335000011</v>
      </c>
      <c r="H23" s="154">
        <f t="shared" si="2"/>
        <v>83729.934634999998</v>
      </c>
      <c r="I23" s="154">
        <f t="shared" si="2"/>
        <v>81580.184844999996</v>
      </c>
      <c r="J23" s="154">
        <f t="shared" si="1"/>
        <v>515056.251345</v>
      </c>
      <c r="K23" s="69"/>
    </row>
    <row r="24" spans="2:11" s="37" customFormat="1" ht="15.75">
      <c r="B24" s="48" t="s">
        <v>277</v>
      </c>
      <c r="C24" s="155" t="s">
        <v>277</v>
      </c>
      <c r="D24" s="154">
        <f>SUBTOTAL(9,D25:D26)</f>
        <v>12425.281765</v>
      </c>
      <c r="E24" s="154">
        <f t="shared" ref="E24:I24" si="3">SUBTOTAL(9,E25:E26)</f>
        <v>12692.781975</v>
      </c>
      <c r="F24" s="154">
        <f t="shared" si="3"/>
        <v>12635.59863</v>
      </c>
      <c r="G24" s="154">
        <f t="shared" si="3"/>
        <v>11914.090525</v>
      </c>
      <c r="H24" s="154">
        <f t="shared" si="3"/>
        <v>14505.086594999999</v>
      </c>
      <c r="I24" s="154">
        <f t="shared" si="3"/>
        <v>9508.9282399999993</v>
      </c>
      <c r="J24" s="154">
        <f t="shared" si="1"/>
        <v>73681.767729999992</v>
      </c>
      <c r="K24" s="69"/>
    </row>
    <row r="25" spans="2:11" s="37" customFormat="1" ht="15.75">
      <c r="B25" s="48"/>
      <c r="C25" s="160" t="s">
        <v>304</v>
      </c>
      <c r="D25" s="156">
        <f>$D$9*F821EVE!D11</f>
        <v>10598.60989</v>
      </c>
      <c r="E25" s="156">
        <f>$D$9*F821EVE!E11</f>
        <v>10813.50195</v>
      </c>
      <c r="F25" s="156">
        <f>$D$9*F821EVE!F11</f>
        <v>10759.24128</v>
      </c>
      <c r="G25" s="156">
        <f>$D$9*F821EVE!G11</f>
        <v>9970.5116500000004</v>
      </c>
      <c r="H25" s="156">
        <f>$D$9*F821EVE!H11</f>
        <v>12590.734469999999</v>
      </c>
      <c r="I25" s="156">
        <f>$D$9*F821EVE!I11</f>
        <v>9508.9282399999993</v>
      </c>
      <c r="J25" s="156">
        <f t="shared" si="1"/>
        <v>64241.527479999997</v>
      </c>
      <c r="K25" s="69"/>
    </row>
    <row r="26" spans="2:11" s="37" customFormat="1" ht="15.75">
      <c r="B26" s="48"/>
      <c r="C26" s="160" t="s">
        <v>305</v>
      </c>
      <c r="D26" s="156">
        <f>($D$9*F821EVE!D12)*95%</f>
        <v>1826.671875</v>
      </c>
      <c r="E26" s="156">
        <f>($D$9*F821EVE!E12)*95%</f>
        <v>1879.2800249999998</v>
      </c>
      <c r="F26" s="156">
        <f>($D$9*F821EVE!F12)*95%</f>
        <v>1876.3573499999998</v>
      </c>
      <c r="G26" s="156">
        <f>($D$9*F821EVE!G12)*95%</f>
        <v>1943.5788749999999</v>
      </c>
      <c r="H26" s="156">
        <f>($D$9*F821EVE!H12)*95%</f>
        <v>1914.3521249999997</v>
      </c>
      <c r="I26" s="156">
        <f>($D$9*F821EVE!I12)*95%</f>
        <v>0</v>
      </c>
      <c r="J26" s="156">
        <f t="shared" si="1"/>
        <v>9440.2402500000007</v>
      </c>
      <c r="K26" s="69"/>
    </row>
    <row r="27" spans="2:11" s="37" customFormat="1" ht="15.75">
      <c r="B27" s="48" t="s">
        <v>276</v>
      </c>
      <c r="C27" s="158" t="s">
        <v>276</v>
      </c>
      <c r="D27" s="154">
        <f>SUBTOTAL(9,D28:D31)</f>
        <v>73952.772219999999</v>
      </c>
      <c r="E27" s="154">
        <f t="shared" ref="E27:I27" si="4">SUBTOTAL(9,E28:E31)</f>
        <v>75943.978244999991</v>
      </c>
      <c r="F27" s="154">
        <f t="shared" si="4"/>
        <v>73088.883694999997</v>
      </c>
      <c r="G27" s="154">
        <f t="shared" si="4"/>
        <v>77092.744810000004</v>
      </c>
      <c r="H27" s="154">
        <f t="shared" si="4"/>
        <v>69224.848039999997</v>
      </c>
      <c r="I27" s="154">
        <f t="shared" si="4"/>
        <v>72071.256605000002</v>
      </c>
      <c r="J27" s="154">
        <f t="shared" si="1"/>
        <v>441374.48361499998</v>
      </c>
      <c r="K27" s="69"/>
    </row>
    <row r="28" spans="2:11" s="37" customFormat="1" ht="15.75">
      <c r="B28" s="48"/>
      <c r="C28" s="160" t="s">
        <v>304</v>
      </c>
      <c r="D28" s="156">
        <f>($D$10*F821EVE!D15)*1</f>
        <v>73742.729309999995</v>
      </c>
      <c r="E28" s="156">
        <f>($D$10*F821EVE!E15)*1</f>
        <v>75628.913879999993</v>
      </c>
      <c r="F28" s="156">
        <f>($D$10*F821EVE!F15)*1</f>
        <v>72865.396479999996</v>
      </c>
      <c r="G28" s="156">
        <f>($D$10*F821EVE!G15)*1</f>
        <v>76930.244080000004</v>
      </c>
      <c r="H28" s="156">
        <f>($D$10*F821EVE!H15)*1</f>
        <v>68819.960129999992</v>
      </c>
      <c r="I28" s="156">
        <f>($D$10*F821EVE!I15)*1</f>
        <v>71666.563540000003</v>
      </c>
      <c r="J28" s="156">
        <f t="shared" si="1"/>
        <v>439653.80741999997</v>
      </c>
      <c r="K28" s="69"/>
    </row>
    <row r="29" spans="2:11" s="37" customFormat="1" ht="15.75">
      <c r="B29" s="48"/>
      <c r="C29" s="161" t="s">
        <v>306</v>
      </c>
      <c r="D29" s="156">
        <f>($D$10*F821EVE!D16)*1</f>
        <v>0</v>
      </c>
      <c r="E29" s="156">
        <f>($D$10*F821EVE!E16)*1</f>
        <v>0</v>
      </c>
      <c r="F29" s="156">
        <f>($D$10*F821EVE!F16)*1</f>
        <v>0</v>
      </c>
      <c r="G29" s="156">
        <f>($D$10*F821EVE!G16)*1</f>
        <v>0</v>
      </c>
      <c r="H29" s="156">
        <f>($D$10*F821EVE!H16)*1</f>
        <v>0</v>
      </c>
      <c r="I29" s="156">
        <f>($D$10*F821EVE!I16)*1</f>
        <v>0</v>
      </c>
      <c r="J29" s="156">
        <f t="shared" si="1"/>
        <v>0</v>
      </c>
      <c r="K29" s="69"/>
    </row>
    <row r="30" spans="2:11" s="37" customFormat="1" ht="15.75">
      <c r="B30" s="48"/>
      <c r="C30" s="160" t="s">
        <v>305</v>
      </c>
      <c r="D30" s="156">
        <f>($D$10*F821EVE!D17)*0.95</f>
        <v>210.04290999999998</v>
      </c>
      <c r="E30" s="156">
        <f>($D$10*F821EVE!E17)*0.95</f>
        <v>315.06436500000001</v>
      </c>
      <c r="F30" s="156">
        <f>($D$10*F821EVE!F17)*0.95</f>
        <v>223.48721499999999</v>
      </c>
      <c r="G30" s="156">
        <f>($D$10*F821EVE!G17)*0.95</f>
        <v>162.50072999999998</v>
      </c>
      <c r="H30" s="156">
        <f>($D$10*F821EVE!H17)*0.95</f>
        <v>404.88790999999998</v>
      </c>
      <c r="I30" s="156">
        <f>($D$10*F821EVE!I17)*0.95</f>
        <v>404.69306499999993</v>
      </c>
      <c r="J30" s="156">
        <f t="shared" si="1"/>
        <v>1720.6761949999998</v>
      </c>
      <c r="K30" s="69"/>
    </row>
    <row r="31" spans="2:11" s="37" customFormat="1" ht="15.75">
      <c r="B31" s="48"/>
      <c r="C31" s="160" t="s">
        <v>307</v>
      </c>
      <c r="D31" s="156">
        <f>($D$10*F821EVE!D18)*0.5</f>
        <v>0</v>
      </c>
      <c r="E31" s="156">
        <f>($D$10*F821EVE!E18)*0.5</f>
        <v>0</v>
      </c>
      <c r="F31" s="156">
        <f>($D$10*F821EVE!F18)*0.5</f>
        <v>0</v>
      </c>
      <c r="G31" s="156">
        <f>($D$10*F821EVE!G18)*0.5</f>
        <v>0</v>
      </c>
      <c r="H31" s="156">
        <f>($D$10*F821EVE!H18)*0.5</f>
        <v>0</v>
      </c>
      <c r="I31" s="156">
        <f>($D$10*F821EVE!I18)*0.5</f>
        <v>0</v>
      </c>
      <c r="J31" s="156">
        <f t="shared" si="1"/>
        <v>0</v>
      </c>
      <c r="K31" s="69"/>
    </row>
    <row r="32" spans="2:11" s="37" customFormat="1" ht="15.75">
      <c r="B32" s="48"/>
      <c r="C32" s="157"/>
      <c r="D32" s="156"/>
      <c r="E32" s="156"/>
      <c r="F32" s="156"/>
      <c r="G32" s="156"/>
      <c r="H32" s="156"/>
      <c r="I32" s="156"/>
      <c r="J32" s="156">
        <f t="shared" si="1"/>
        <v>0</v>
      </c>
      <c r="K32" s="69"/>
    </row>
    <row r="33" spans="2:11" s="37" customFormat="1" ht="15.75">
      <c r="B33" s="48"/>
      <c r="C33" s="153" t="s">
        <v>443</v>
      </c>
      <c r="D33" s="154">
        <f t="shared" ref="D33:I33" si="5">SUBTOTAL(9,D34:D108)</f>
        <v>642079.38111949968</v>
      </c>
      <c r="E33" s="154">
        <f t="shared" si="5"/>
        <v>639951.07620550017</v>
      </c>
      <c r="F33" s="154">
        <f t="shared" si="5"/>
        <v>628909.84571250004</v>
      </c>
      <c r="G33" s="154">
        <f t="shared" si="5"/>
        <v>636091.87262350006</v>
      </c>
      <c r="H33" s="154">
        <f t="shared" si="5"/>
        <v>608999.40685600007</v>
      </c>
      <c r="I33" s="154">
        <f t="shared" si="5"/>
        <v>613095.84912999975</v>
      </c>
      <c r="J33" s="154">
        <f t="shared" si="1"/>
        <v>3769127.4316469999</v>
      </c>
      <c r="K33" s="69"/>
    </row>
    <row r="34" spans="2:11" s="37" customFormat="1" ht="15.75">
      <c r="B34" s="48" t="s">
        <v>275</v>
      </c>
      <c r="C34" s="155" t="s">
        <v>275</v>
      </c>
      <c r="D34" s="154">
        <f>SUBTOTAL(9,D35:D37)</f>
        <v>8190.9614999999994</v>
      </c>
      <c r="E34" s="154">
        <f t="shared" ref="E34:I34" si="6">SUBTOTAL(9,E35:E37)</f>
        <v>8133.25515</v>
      </c>
      <c r="F34" s="154">
        <f t="shared" si="6"/>
        <v>8043.1078399999997</v>
      </c>
      <c r="G34" s="154">
        <f t="shared" si="6"/>
        <v>8283.4645299999993</v>
      </c>
      <c r="H34" s="154">
        <f t="shared" si="6"/>
        <v>8170.2053799999994</v>
      </c>
      <c r="I34" s="154">
        <f t="shared" si="6"/>
        <v>8545.0051199999998</v>
      </c>
      <c r="J34" s="154">
        <f t="shared" si="1"/>
        <v>49365.999519999998</v>
      </c>
      <c r="K34" s="69"/>
    </row>
    <row r="35" spans="2:11" s="37" customFormat="1" ht="15.75">
      <c r="B35" s="48"/>
      <c r="C35" s="160" t="s">
        <v>304</v>
      </c>
      <c r="D35" s="156">
        <f>$D$11*F821EVE!D22</f>
        <v>8102.2967699999999</v>
      </c>
      <c r="E35" s="156">
        <f>$D$11*F821EVE!E22</f>
        <v>8077.6085899999998</v>
      </c>
      <c r="F35" s="156">
        <f>$D$11*F821EVE!F22</f>
        <v>7972.28388</v>
      </c>
      <c r="G35" s="156">
        <f>$D$11*F821EVE!G22</f>
        <v>8209.70471</v>
      </c>
      <c r="H35" s="156">
        <f>$D$11*F821EVE!H22</f>
        <v>8114.1456899999994</v>
      </c>
      <c r="I35" s="156">
        <f>$D$11*F821EVE!I22</f>
        <v>8475.7838699999993</v>
      </c>
      <c r="J35" s="156">
        <f t="shared" si="1"/>
        <v>48951.823509999995</v>
      </c>
      <c r="K35" s="69"/>
    </row>
    <row r="36" spans="2:11" s="37" customFormat="1" ht="15.75">
      <c r="B36" s="48"/>
      <c r="C36" s="161" t="s">
        <v>306</v>
      </c>
      <c r="D36" s="156">
        <f>$D$11*F821EVE!D23</f>
        <v>59.270969999999998</v>
      </c>
      <c r="E36" s="156">
        <f>$D$11*F821EVE!E23</f>
        <v>31.151759999999999</v>
      </c>
      <c r="F36" s="156">
        <f>$D$11*F821EVE!F23</f>
        <v>45.883800000000001</v>
      </c>
      <c r="G36" s="156">
        <f>$D$11*F821EVE!G23</f>
        <v>47.928939999999997</v>
      </c>
      <c r="H36" s="156">
        <f>$D$11*F821EVE!H23</f>
        <v>33.346330000000002</v>
      </c>
      <c r="I36" s="156">
        <f>$D$11*F821EVE!I23</f>
        <v>43.835729999999998</v>
      </c>
      <c r="J36" s="156">
        <f t="shared" si="1"/>
        <v>261.41753</v>
      </c>
      <c r="K36" s="69"/>
    </row>
    <row r="37" spans="2:11" s="37" customFormat="1" ht="15.75">
      <c r="B37" s="48"/>
      <c r="C37" s="160" t="s">
        <v>305</v>
      </c>
      <c r="D37" s="156">
        <f>($D$11*F821EVE!D24)*95%</f>
        <v>29.393759999999997</v>
      </c>
      <c r="E37" s="156">
        <f>($D$11*F821EVE!E24)*95%</f>
        <v>24.494799999999998</v>
      </c>
      <c r="F37" s="156">
        <f>($D$11*F821EVE!F24)*95%</f>
        <v>24.940159999999999</v>
      </c>
      <c r="G37" s="156">
        <f>($D$11*F821EVE!G24)*95%</f>
        <v>25.830880000000001</v>
      </c>
      <c r="H37" s="156">
        <f>($D$11*F821EVE!H24)*95%</f>
        <v>22.713359999999998</v>
      </c>
      <c r="I37" s="156">
        <f>($D$11*F821EVE!I24)*95%</f>
        <v>25.385519999999996</v>
      </c>
      <c r="J37" s="156">
        <f t="shared" si="1"/>
        <v>152.75847999999999</v>
      </c>
      <c r="K37" s="69"/>
    </row>
    <row r="38" spans="2:11" s="37" customFormat="1" ht="15.75">
      <c r="B38" s="48" t="s">
        <v>274</v>
      </c>
      <c r="C38" s="158" t="s">
        <v>627</v>
      </c>
      <c r="D38" s="154">
        <f t="shared" ref="D38:I38" si="7">SUBTOTAL(9,D39:D44)</f>
        <v>100561.42365</v>
      </c>
      <c r="E38" s="154">
        <f t="shared" si="7"/>
        <v>100552.30548999998</v>
      </c>
      <c r="F38" s="154">
        <f t="shared" si="7"/>
        <v>99080.144569999989</v>
      </c>
      <c r="G38" s="154">
        <f t="shared" si="7"/>
        <v>101032.69070999998</v>
      </c>
      <c r="H38" s="154">
        <f t="shared" si="7"/>
        <v>97435.951629999996</v>
      </c>
      <c r="I38" s="154">
        <f t="shared" si="7"/>
        <v>96664.971646999969</v>
      </c>
      <c r="J38" s="154">
        <f t="shared" si="1"/>
        <v>595327.48769699992</v>
      </c>
      <c r="K38" s="69"/>
    </row>
    <row r="39" spans="2:11" s="37" customFormat="1" ht="15.75">
      <c r="B39" s="48"/>
      <c r="C39" s="160" t="s">
        <v>304</v>
      </c>
      <c r="D39" s="156">
        <f>$D$12*F821EVE!D28*1</f>
        <v>100392.59705</v>
      </c>
      <c r="E39" s="156">
        <f>$D$12*F821EVE!E28*1</f>
        <v>100375.71145999999</v>
      </c>
      <c r="F39" s="156">
        <f>$D$12*F821EVE!F28*1</f>
        <v>98879.788239999994</v>
      </c>
      <c r="G39" s="156">
        <f>$D$12*F821EVE!G28*1</f>
        <v>100863.82308999999</v>
      </c>
      <c r="H39" s="156">
        <f>$D$12*F821EVE!H28*1</f>
        <v>97270.160510000002</v>
      </c>
      <c r="I39" s="156">
        <f>$D$12*F821EVE!I28*1</f>
        <v>96474.357859999989</v>
      </c>
      <c r="J39" s="156">
        <f t="shared" si="1"/>
        <v>594256.43821000005</v>
      </c>
      <c r="K39" s="69"/>
    </row>
    <row r="40" spans="2:11" s="37" customFormat="1" ht="15.75">
      <c r="B40" s="48"/>
      <c r="C40" s="161" t="s">
        <v>628</v>
      </c>
      <c r="D40" s="156">
        <f>$D$12*F821EVE!D29*0.75</f>
        <v>7.9109999999999996</v>
      </c>
      <c r="E40" s="156">
        <f>$D$12*F821EVE!E29*0.75</f>
        <v>7.9109999999999996</v>
      </c>
      <c r="F40" s="156">
        <f>$D$12*F821EVE!F29*0.75</f>
        <v>9.2294999999999998</v>
      </c>
      <c r="G40" s="156">
        <f>$D$12*F821EVE!G29*0.75</f>
        <v>9.2294999999999998</v>
      </c>
      <c r="H40" s="156">
        <f>$D$12*F821EVE!H29*0.75</f>
        <v>9.2294999999999998</v>
      </c>
      <c r="I40" s="156">
        <f>$D$12*F821EVE!I29*0.75</f>
        <v>7.9109999999999996</v>
      </c>
      <c r="J40" s="156">
        <f t="shared" si="1"/>
        <v>51.421500000000002</v>
      </c>
      <c r="K40" s="69"/>
    </row>
    <row r="41" spans="2:11" s="37" customFormat="1" ht="15.75">
      <c r="B41" s="48"/>
      <c r="C41" s="161" t="s">
        <v>629</v>
      </c>
      <c r="D41" s="156">
        <f>$D$12*F821EVE!D30*1</f>
        <v>44.032039999999995</v>
      </c>
      <c r="E41" s="156">
        <f>$D$12*F821EVE!E30*1</f>
        <v>47.849829999999997</v>
      </c>
      <c r="F41" s="156">
        <f>$D$12*F821EVE!F30*1</f>
        <v>47.480649999999997</v>
      </c>
      <c r="G41" s="156">
        <f>$D$12*F821EVE!G30*1</f>
        <v>44.377780000000001</v>
      </c>
      <c r="H41" s="156">
        <f>$D$12*F821EVE!H30*1</f>
        <v>43.821079999999995</v>
      </c>
      <c r="I41" s="156">
        <f>$D$12*F821EVE!I30*1</f>
        <v>45.631819999999998</v>
      </c>
      <c r="J41" s="156">
        <f t="shared" si="1"/>
        <v>273.19319999999999</v>
      </c>
      <c r="K41" s="69"/>
    </row>
    <row r="42" spans="2:11" s="37" customFormat="1" ht="15.75">
      <c r="B42" s="48"/>
      <c r="C42" s="160" t="s">
        <v>305</v>
      </c>
      <c r="D42" s="156">
        <f>$D$12*F821EVE!D31*0.95</f>
        <v>106.21835999999999</v>
      </c>
      <c r="E42" s="156">
        <f>$D$12*F821EVE!E31*0.95</f>
        <v>111.33999999999999</v>
      </c>
      <c r="F42" s="156">
        <f>$D$12*F821EVE!F31*0.95</f>
        <v>132.16057999999998</v>
      </c>
      <c r="G42" s="156">
        <f>$D$12*F821EVE!G31*0.95</f>
        <v>103.65753999999998</v>
      </c>
      <c r="H42" s="156">
        <f>$D$12*F821EVE!H31*0.95</f>
        <v>102.54413999999998</v>
      </c>
      <c r="I42" s="156">
        <f>$D$12*F821EVE!I31*0.95</f>
        <v>128.04656699999998</v>
      </c>
      <c r="J42" s="156">
        <f t="shared" si="1"/>
        <v>683.96718699999997</v>
      </c>
      <c r="K42" s="69"/>
    </row>
    <row r="43" spans="2:11" s="37" customFormat="1" ht="15.75">
      <c r="B43" s="48"/>
      <c r="C43" s="160" t="s">
        <v>307</v>
      </c>
      <c r="D43" s="156">
        <f>$D$12*F821EVE!D32*0.5</f>
        <v>10.665199999999999</v>
      </c>
      <c r="E43" s="156">
        <f>$D$12*F821EVE!E32*0.5</f>
        <v>9.4931999999999999</v>
      </c>
      <c r="F43" s="156">
        <f>$D$12*F821EVE!F32*0.5</f>
        <v>11.4856</v>
      </c>
      <c r="G43" s="156">
        <f>$D$12*F821EVE!G32*0.5</f>
        <v>11.6028</v>
      </c>
      <c r="H43" s="156">
        <f>$D$12*F821EVE!H32*0.5</f>
        <v>10.196399999999999</v>
      </c>
      <c r="I43" s="156">
        <f>$D$12*F821EVE!I32*0.5</f>
        <v>9.0244</v>
      </c>
      <c r="J43" s="156">
        <f t="shared" si="1"/>
        <v>62.467599999999997</v>
      </c>
      <c r="K43" s="69"/>
    </row>
    <row r="44" spans="2:11" s="37" customFormat="1" ht="15.75">
      <c r="B44" s="48"/>
      <c r="C44" s="160" t="s">
        <v>624</v>
      </c>
      <c r="D44" s="156">
        <f>$D$12*F821EVE!D33*0</f>
        <v>0</v>
      </c>
      <c r="E44" s="156">
        <f>$D$12*F821EVE!E33*0</f>
        <v>0</v>
      </c>
      <c r="F44" s="156">
        <f>$D$12*F821EVE!F33*0</f>
        <v>0</v>
      </c>
      <c r="G44" s="156">
        <f>$D$12*F821EVE!G33*0</f>
        <v>0</v>
      </c>
      <c r="H44" s="156">
        <f>$D$12*F821EVE!H33*0</f>
        <v>0</v>
      </c>
      <c r="I44" s="156">
        <f>$D$12*F821EVE!I33*0</f>
        <v>0</v>
      </c>
      <c r="J44" s="156">
        <f t="shared" si="1"/>
        <v>0</v>
      </c>
      <c r="K44" s="69"/>
    </row>
    <row r="45" spans="2:11" s="37" customFormat="1" ht="15.75">
      <c r="B45" s="48" t="s">
        <v>274</v>
      </c>
      <c r="C45" s="158" t="s">
        <v>631</v>
      </c>
      <c r="D45" s="154">
        <f t="shared" ref="D45:I45" si="8">SUBTOTAL(9,D46:D49)</f>
        <v>46890.234490000003</v>
      </c>
      <c r="E45" s="154">
        <f t="shared" si="8"/>
        <v>47201.26571</v>
      </c>
      <c r="F45" s="154">
        <f t="shared" si="8"/>
        <v>45091.894249999998</v>
      </c>
      <c r="G45" s="154">
        <f t="shared" si="8"/>
        <v>46700.892029999995</v>
      </c>
      <c r="H45" s="154">
        <f t="shared" si="8"/>
        <v>43320.316630000001</v>
      </c>
      <c r="I45" s="154">
        <f t="shared" si="8"/>
        <v>42556.527159999998</v>
      </c>
      <c r="J45" s="154">
        <f t="shared" si="1"/>
        <v>271761.13027000002</v>
      </c>
      <c r="K45" s="69"/>
    </row>
    <row r="46" spans="2:11" s="37" customFormat="1" ht="15.75">
      <c r="B46" s="48"/>
      <c r="C46" s="160" t="s">
        <v>304</v>
      </c>
      <c r="D46" s="156">
        <f>$D$12*F821EVE!D35*1</f>
        <v>46861.731449999999</v>
      </c>
      <c r="E46" s="156">
        <f>$D$12*F821EVE!E35*1</f>
        <v>47173.430710000001</v>
      </c>
      <c r="F46" s="156">
        <f>$D$12*F821EVE!F35*1</f>
        <v>45063.613890000001</v>
      </c>
      <c r="G46" s="156">
        <f>$D$12*F821EVE!G35*1</f>
        <v>46663.481789999998</v>
      </c>
      <c r="H46" s="156">
        <f>$D$12*F821EVE!H35*1</f>
        <v>43299.384709999998</v>
      </c>
      <c r="I46" s="156">
        <f>$D$12*F821EVE!I35*1</f>
        <v>42508.42828</v>
      </c>
      <c r="J46" s="156">
        <f t="shared" si="1"/>
        <v>271570.07082999998</v>
      </c>
      <c r="K46" s="69"/>
    </row>
    <row r="47" spans="2:11" s="37" customFormat="1" ht="15.75">
      <c r="B47" s="48"/>
      <c r="C47" s="161" t="s">
        <v>306</v>
      </c>
      <c r="D47" s="156">
        <f>$D$12*F821EVE!D36*1</f>
        <v>0</v>
      </c>
      <c r="E47" s="156">
        <f>$D$12*F821EVE!E36*1</f>
        <v>0</v>
      </c>
      <c r="F47" s="156">
        <f>$D$12*F821EVE!F36*1</f>
        <v>0</v>
      </c>
      <c r="G47" s="156">
        <f>$D$12*F821EVE!G36*1</f>
        <v>0</v>
      </c>
      <c r="H47" s="156">
        <f>$D$12*F821EVE!H36*1</f>
        <v>0</v>
      </c>
      <c r="I47" s="156">
        <f>$D$12*F821EVE!I36*1</f>
        <v>0</v>
      </c>
      <c r="J47" s="156">
        <f t="shared" si="1"/>
        <v>0</v>
      </c>
      <c r="K47" s="69"/>
    </row>
    <row r="48" spans="2:11" s="37" customFormat="1" ht="15.75">
      <c r="B48" s="48"/>
      <c r="C48" s="160" t="s">
        <v>305</v>
      </c>
      <c r="D48" s="156">
        <f>$D$12*F821EVE!D37*0.95</f>
        <v>28.503039999999999</v>
      </c>
      <c r="E48" s="156">
        <f>$D$12*F821EVE!E37*0.95</f>
        <v>27.834999999999997</v>
      </c>
      <c r="F48" s="156">
        <f>$D$12*F821EVE!F37*0.95</f>
        <v>28.280359999999998</v>
      </c>
      <c r="G48" s="156">
        <f>$D$12*F821EVE!G37*0.95</f>
        <v>37.410239999999995</v>
      </c>
      <c r="H48" s="156">
        <f>$D$12*F821EVE!H37*0.95</f>
        <v>20.931919999999998</v>
      </c>
      <c r="I48" s="156">
        <f>$D$12*F821EVE!I37*0.95</f>
        <v>48.098879999999994</v>
      </c>
      <c r="J48" s="156">
        <f t="shared" si="1"/>
        <v>191.05944</v>
      </c>
      <c r="K48" s="69"/>
    </row>
    <row r="49" spans="2:11" s="37" customFormat="1" ht="15.75">
      <c r="B49" s="48"/>
      <c r="C49" s="160" t="s">
        <v>307</v>
      </c>
      <c r="D49" s="156">
        <f>$D$12*F821EVE!D38*0.5</f>
        <v>0</v>
      </c>
      <c r="E49" s="156">
        <f>$D$12*F821EVE!E38*0.5</f>
        <v>0</v>
      </c>
      <c r="F49" s="156">
        <f>$D$12*F821EVE!F38*0.5</f>
        <v>0</v>
      </c>
      <c r="G49" s="156">
        <f>$D$12*F821EVE!G38*0.5</f>
        <v>0</v>
      </c>
      <c r="H49" s="156">
        <f>$D$12*F821EVE!H38*0.5</f>
        <v>0</v>
      </c>
      <c r="I49" s="156">
        <f>$D$12*F821EVE!I38*0.5</f>
        <v>0</v>
      </c>
      <c r="J49" s="156">
        <f t="shared" si="1"/>
        <v>0</v>
      </c>
      <c r="K49" s="69"/>
    </row>
    <row r="50" spans="2:11" s="37" customFormat="1" ht="15.75">
      <c r="B50" s="48" t="s">
        <v>274</v>
      </c>
      <c r="C50" s="158" t="s">
        <v>632</v>
      </c>
      <c r="D50" s="154">
        <f t="shared" ref="D50:I50" si="9">SUBTOTAL(9,D51:D54)</f>
        <v>13852.74114</v>
      </c>
      <c r="E50" s="154">
        <f t="shared" si="9"/>
        <v>13352.01</v>
      </c>
      <c r="F50" s="154">
        <f t="shared" si="9"/>
        <v>12251.267599999999</v>
      </c>
      <c r="G50" s="154">
        <f t="shared" si="9"/>
        <v>13399.06287</v>
      </c>
      <c r="H50" s="154">
        <f t="shared" si="9"/>
        <v>11549.175139999999</v>
      </c>
      <c r="I50" s="154">
        <f t="shared" si="9"/>
        <v>12052.930039999999</v>
      </c>
      <c r="J50" s="154">
        <f t="shared" si="1"/>
        <v>76457.186790000007</v>
      </c>
      <c r="K50" s="69"/>
    </row>
    <row r="51" spans="2:11" s="37" customFormat="1" ht="15.75">
      <c r="B51" s="48"/>
      <c r="C51" s="160" t="s">
        <v>304</v>
      </c>
      <c r="D51" s="156">
        <f>$D$12*F821EVE!D40*1</f>
        <v>13852.74114</v>
      </c>
      <c r="E51" s="156">
        <f>$D$12*F821EVE!E40*1</f>
        <v>13352.01</v>
      </c>
      <c r="F51" s="156">
        <f>$D$12*F821EVE!F40*1</f>
        <v>12251.267599999999</v>
      </c>
      <c r="G51" s="156">
        <f>$D$12*F821EVE!G40*1</f>
        <v>13399.06287</v>
      </c>
      <c r="H51" s="156">
        <f>$D$12*F821EVE!H40*1</f>
        <v>11549.175139999999</v>
      </c>
      <c r="I51" s="156">
        <f>$D$12*F821EVE!I40*1</f>
        <v>12052.930039999999</v>
      </c>
      <c r="J51" s="156">
        <f t="shared" si="1"/>
        <v>76457.186790000007</v>
      </c>
      <c r="K51" s="69"/>
    </row>
    <row r="52" spans="2:11" s="37" customFormat="1" ht="15.75">
      <c r="B52" s="48"/>
      <c r="C52" s="161" t="s">
        <v>306</v>
      </c>
      <c r="D52" s="156">
        <f>$D$12*F821EVE!D41*1</f>
        <v>0</v>
      </c>
      <c r="E52" s="156">
        <f>$D$12*F821EVE!E41*1</f>
        <v>0</v>
      </c>
      <c r="F52" s="156">
        <f>$D$12*F821EVE!F41*1</f>
        <v>0</v>
      </c>
      <c r="G52" s="156">
        <f>$D$12*F821EVE!G41*1</f>
        <v>0</v>
      </c>
      <c r="H52" s="156">
        <f>$D$12*F821EVE!H41*1</f>
        <v>0</v>
      </c>
      <c r="I52" s="156">
        <f>$D$12*F821EVE!I41*1</f>
        <v>0</v>
      </c>
      <c r="J52" s="156">
        <f t="shared" si="1"/>
        <v>0</v>
      </c>
      <c r="K52" s="69"/>
    </row>
    <row r="53" spans="2:11" s="37" customFormat="1" ht="15.75">
      <c r="B53" s="48"/>
      <c r="C53" s="160" t="s">
        <v>305</v>
      </c>
      <c r="D53" s="156">
        <f>$D$12*F821EVE!D42*0.95</f>
        <v>0</v>
      </c>
      <c r="E53" s="156">
        <f>$D$12*F821EVE!E42*0.95</f>
        <v>0</v>
      </c>
      <c r="F53" s="156">
        <f>$D$12*F821EVE!F42*0.95</f>
        <v>0</v>
      </c>
      <c r="G53" s="156">
        <f>$D$12*F821EVE!G42*0.95</f>
        <v>0</v>
      </c>
      <c r="H53" s="156">
        <f>$D$12*F821EVE!H42*0.95</f>
        <v>0</v>
      </c>
      <c r="I53" s="156">
        <f>$D$12*F821EVE!I42*0.95</f>
        <v>0</v>
      </c>
      <c r="J53" s="156">
        <f t="shared" si="1"/>
        <v>0</v>
      </c>
      <c r="K53" s="69"/>
    </row>
    <row r="54" spans="2:11" s="37" customFormat="1" ht="15.75">
      <c r="B54" s="48"/>
      <c r="C54" s="160" t="s">
        <v>307</v>
      </c>
      <c r="D54" s="156">
        <f>$D$12*F821EVE!D43*0.5</f>
        <v>0</v>
      </c>
      <c r="E54" s="156">
        <f>$D$12*F821EVE!E43*0.5</f>
        <v>0</v>
      </c>
      <c r="F54" s="156">
        <f>$D$12*F821EVE!F43*0.5</f>
        <v>0</v>
      </c>
      <c r="G54" s="156">
        <f>$D$12*F821EVE!G43*0.5</f>
        <v>0</v>
      </c>
      <c r="H54" s="156">
        <f>$D$12*F821EVE!H43*0.5</f>
        <v>0</v>
      </c>
      <c r="I54" s="156">
        <f>$D$12*F821EVE!I43*0.5</f>
        <v>0</v>
      </c>
      <c r="J54" s="156">
        <f t="shared" si="1"/>
        <v>0</v>
      </c>
      <c r="K54" s="69"/>
    </row>
    <row r="55" spans="2:11" s="37" customFormat="1" ht="15.75">
      <c r="B55" s="48" t="s">
        <v>274</v>
      </c>
      <c r="C55" s="158" t="s">
        <v>633</v>
      </c>
      <c r="D55" s="154">
        <f t="shared" ref="D55:I55" si="10">SUBTOTAL(9,D56:D59)</f>
        <v>14582.4928</v>
      </c>
      <c r="E55" s="154">
        <f t="shared" si="10"/>
        <v>13433.384889999999</v>
      </c>
      <c r="F55" s="154">
        <f t="shared" si="10"/>
        <v>11564.015589999999</v>
      </c>
      <c r="G55" s="154">
        <f t="shared" si="10"/>
        <v>13249.46586</v>
      </c>
      <c r="H55" s="154">
        <f t="shared" si="10"/>
        <v>12022.121089999999</v>
      </c>
      <c r="I55" s="154">
        <f t="shared" si="10"/>
        <v>12424.219639999999</v>
      </c>
      <c r="J55" s="154">
        <f t="shared" si="1"/>
        <v>77275.699869999997</v>
      </c>
      <c r="K55" s="69"/>
    </row>
    <row r="56" spans="2:11" s="37" customFormat="1" ht="15.75">
      <c r="B56" s="48"/>
      <c r="C56" s="160" t="s">
        <v>304</v>
      </c>
      <c r="D56" s="156">
        <f>$D$12*F821EVE!D45*1</f>
        <v>14582.4928</v>
      </c>
      <c r="E56" s="156">
        <f>$D$12*F821EVE!E45*1</f>
        <v>13433.384889999999</v>
      </c>
      <c r="F56" s="156">
        <f>$D$12*F821EVE!F45*1</f>
        <v>11564.015589999999</v>
      </c>
      <c r="G56" s="156">
        <f>$D$12*F821EVE!G45*1</f>
        <v>13249.46586</v>
      </c>
      <c r="H56" s="156">
        <f>$D$12*F821EVE!H45*1</f>
        <v>12022.121089999999</v>
      </c>
      <c r="I56" s="156">
        <f>$D$12*F821EVE!I45*1</f>
        <v>12424.219639999999</v>
      </c>
      <c r="J56" s="156">
        <f t="shared" si="1"/>
        <v>77275.699869999997</v>
      </c>
      <c r="K56" s="69"/>
    </row>
    <row r="57" spans="2:11" s="37" customFormat="1" ht="15.75">
      <c r="B57" s="48"/>
      <c r="C57" s="161" t="s">
        <v>306</v>
      </c>
      <c r="D57" s="156">
        <f>$D$12*F821EVE!D46*1</f>
        <v>0</v>
      </c>
      <c r="E57" s="156">
        <f>$D$12*F821EVE!E46*1</f>
        <v>0</v>
      </c>
      <c r="F57" s="156">
        <f>$D$12*F821EVE!F46*1</f>
        <v>0</v>
      </c>
      <c r="G57" s="156">
        <f>$D$12*F821EVE!G46*1</f>
        <v>0</v>
      </c>
      <c r="H57" s="156">
        <f>$D$12*F821EVE!H46*1</f>
        <v>0</v>
      </c>
      <c r="I57" s="156">
        <f>$D$12*F821EVE!I46*1</f>
        <v>0</v>
      </c>
      <c r="J57" s="156">
        <f t="shared" si="1"/>
        <v>0</v>
      </c>
      <c r="K57" s="69"/>
    </row>
    <row r="58" spans="2:11" s="37" customFormat="1" ht="15.75">
      <c r="B58" s="48"/>
      <c r="C58" s="160" t="s">
        <v>305</v>
      </c>
      <c r="D58" s="156">
        <f>$D$12*F821EVE!D47*0.95</f>
        <v>0</v>
      </c>
      <c r="E58" s="156">
        <f>$D$12*F821EVE!E47*0.95</f>
        <v>0</v>
      </c>
      <c r="F58" s="156">
        <f>$D$12*F821EVE!F47*0.95</f>
        <v>0</v>
      </c>
      <c r="G58" s="156">
        <f>$D$12*F821EVE!G47*0.95</f>
        <v>0</v>
      </c>
      <c r="H58" s="156">
        <f>$D$12*F821EVE!H47*0.95</f>
        <v>0</v>
      </c>
      <c r="I58" s="156">
        <f>$D$12*F821EVE!I47*0.95</f>
        <v>0</v>
      </c>
      <c r="J58" s="156">
        <f t="shared" si="1"/>
        <v>0</v>
      </c>
      <c r="K58" s="69"/>
    </row>
    <row r="59" spans="2:11" s="37" customFormat="1" ht="15.75">
      <c r="B59" s="48"/>
      <c r="C59" s="160" t="s">
        <v>307</v>
      </c>
      <c r="D59" s="156">
        <f>$D$12*F821EVE!D48*0.5</f>
        <v>0</v>
      </c>
      <c r="E59" s="156">
        <f>$D$12*F821EVE!E48*0.5</f>
        <v>0</v>
      </c>
      <c r="F59" s="156">
        <f>$D$12*F821EVE!F48*0.5</f>
        <v>0</v>
      </c>
      <c r="G59" s="156">
        <f>$D$12*F821EVE!G48*0.5</f>
        <v>0</v>
      </c>
      <c r="H59" s="156">
        <f>$D$12*F821EVE!H48*0.5</f>
        <v>0</v>
      </c>
      <c r="I59" s="156">
        <f>$D$12*F821EVE!I48*0.5</f>
        <v>0</v>
      </c>
      <c r="J59" s="156">
        <f t="shared" si="1"/>
        <v>0</v>
      </c>
      <c r="K59" s="69"/>
    </row>
    <row r="60" spans="2:11" s="37" customFormat="1" ht="15.75">
      <c r="B60" s="48"/>
      <c r="C60" s="157"/>
      <c r="D60" s="156"/>
      <c r="E60" s="156"/>
      <c r="F60" s="156"/>
      <c r="G60" s="156"/>
      <c r="H60" s="156"/>
      <c r="I60" s="156"/>
      <c r="J60" s="156">
        <f t="shared" si="1"/>
        <v>0</v>
      </c>
      <c r="K60" s="69"/>
    </row>
    <row r="61" spans="2:11" s="37" customFormat="1" ht="15.75">
      <c r="B61" s="48" t="s">
        <v>1176</v>
      </c>
      <c r="C61" s="158" t="s">
        <v>1176</v>
      </c>
      <c r="D61" s="154">
        <f t="shared" ref="D61:I61" si="11">SUBTOTAL(9,D62:D67)</f>
        <v>0</v>
      </c>
      <c r="E61" s="154">
        <f t="shared" si="11"/>
        <v>0</v>
      </c>
      <c r="F61" s="154">
        <f t="shared" si="11"/>
        <v>0</v>
      </c>
      <c r="G61" s="154">
        <f t="shared" si="11"/>
        <v>0</v>
      </c>
      <c r="H61" s="154">
        <f t="shared" si="11"/>
        <v>0</v>
      </c>
      <c r="I61" s="154">
        <f t="shared" si="11"/>
        <v>0</v>
      </c>
      <c r="J61" s="154">
        <f t="shared" si="1"/>
        <v>0</v>
      </c>
      <c r="K61" s="69"/>
    </row>
    <row r="62" spans="2:11" s="37" customFormat="1" ht="15.75">
      <c r="B62" s="48"/>
      <c r="C62" s="160" t="s">
        <v>304</v>
      </c>
      <c r="D62" s="156">
        <f>$D$15*F821EVE!D51*1</f>
        <v>0</v>
      </c>
      <c r="E62" s="156">
        <f>$D$15*F821EVE!E51*1</f>
        <v>0</v>
      </c>
      <c r="F62" s="156">
        <f>$D$15*F821EVE!F51*1</f>
        <v>0</v>
      </c>
      <c r="G62" s="156">
        <f>$D$15*F821EVE!G51*1</f>
        <v>0</v>
      </c>
      <c r="H62" s="156">
        <f>$D$15*F821EVE!H51*1</f>
        <v>0</v>
      </c>
      <c r="I62" s="156">
        <f>$D$15*F821EVE!I51*1</f>
        <v>0</v>
      </c>
      <c r="J62" s="156">
        <f t="shared" si="1"/>
        <v>0</v>
      </c>
      <c r="K62" s="69"/>
    </row>
    <row r="63" spans="2:11" s="37" customFormat="1" ht="15.75">
      <c r="B63" s="48"/>
      <c r="C63" s="162" t="s">
        <v>642</v>
      </c>
      <c r="D63" s="156">
        <f>$D$15*F821EVE!D52*0.75</f>
        <v>0</v>
      </c>
      <c r="E63" s="156">
        <f>$D$15*F821EVE!E52*0.75</f>
        <v>0</v>
      </c>
      <c r="F63" s="156">
        <f>$D$15*F821EVE!F52*0.75</f>
        <v>0</v>
      </c>
      <c r="G63" s="156">
        <f>$D$15*F821EVE!G52*0.75</f>
        <v>0</v>
      </c>
      <c r="H63" s="156">
        <f>$D$15*F821EVE!H52*0.75</f>
        <v>0</v>
      </c>
      <c r="I63" s="156">
        <f>$D$15*F821EVE!I52*0.75</f>
        <v>0</v>
      </c>
      <c r="J63" s="156">
        <f t="shared" si="1"/>
        <v>0</v>
      </c>
      <c r="K63" s="69"/>
    </row>
    <row r="64" spans="2:11" s="37" customFormat="1" ht="15.75">
      <c r="B64" s="48"/>
      <c r="C64" s="162" t="s">
        <v>1177</v>
      </c>
      <c r="D64" s="156">
        <f>$D$15*F821EVE!D53*1</f>
        <v>0</v>
      </c>
      <c r="E64" s="156">
        <f>$D$15*F821EVE!E53*1</f>
        <v>0</v>
      </c>
      <c r="F64" s="156">
        <f>$D$15*F821EVE!F53*1</f>
        <v>0</v>
      </c>
      <c r="G64" s="156">
        <f>$D$15*F821EVE!G53*1</f>
        <v>0</v>
      </c>
      <c r="H64" s="156">
        <f>$D$15*F821EVE!H53*1</f>
        <v>0</v>
      </c>
      <c r="I64" s="156">
        <f>$D$15*F821EVE!I53*1</f>
        <v>0</v>
      </c>
      <c r="J64" s="156">
        <f t="shared" si="1"/>
        <v>0</v>
      </c>
      <c r="K64" s="69"/>
    </row>
    <row r="65" spans="2:11" s="37" customFormat="1" ht="15.75">
      <c r="B65" s="48"/>
      <c r="C65" s="160" t="s">
        <v>305</v>
      </c>
      <c r="D65" s="156">
        <f>$D$15*F821EVE!D54*0.95</f>
        <v>0</v>
      </c>
      <c r="E65" s="156">
        <f>$D$15*F821EVE!E54*0.95</f>
        <v>0</v>
      </c>
      <c r="F65" s="156">
        <f>$D$15*F821EVE!F54*0.95</f>
        <v>0</v>
      </c>
      <c r="G65" s="156">
        <f>$D$15*F821EVE!G54*0.95</f>
        <v>0</v>
      </c>
      <c r="H65" s="156">
        <f>$D$15*F821EVE!H54*0.95</f>
        <v>0</v>
      </c>
      <c r="I65" s="156">
        <f>$D$15*F821EVE!I54*0.95</f>
        <v>0</v>
      </c>
      <c r="J65" s="156">
        <f t="shared" si="1"/>
        <v>0</v>
      </c>
      <c r="K65" s="69"/>
    </row>
    <row r="66" spans="2:11" s="37" customFormat="1" ht="15.75">
      <c r="B66" s="48"/>
      <c r="C66" s="160" t="s">
        <v>307</v>
      </c>
      <c r="D66" s="156">
        <f>$D$15*F821EVE!D55*0.5</f>
        <v>0</v>
      </c>
      <c r="E66" s="156">
        <f>$D$15*F821EVE!E55*0.5</f>
        <v>0</v>
      </c>
      <c r="F66" s="156">
        <f>$D$15*F821EVE!F55*0.5</f>
        <v>0</v>
      </c>
      <c r="G66" s="156">
        <f>$D$15*F821EVE!G55*0.5</f>
        <v>0</v>
      </c>
      <c r="H66" s="156">
        <f>$D$15*F821EVE!H55*0.5</f>
        <v>0</v>
      </c>
      <c r="I66" s="156">
        <f>$D$15*F821EVE!I55*0.5</f>
        <v>0</v>
      </c>
      <c r="J66" s="156">
        <f t="shared" si="1"/>
        <v>0</v>
      </c>
      <c r="K66" s="69"/>
    </row>
    <row r="67" spans="2:11" s="37" customFormat="1" ht="15.75">
      <c r="B67" s="48"/>
      <c r="C67" s="160" t="s">
        <v>624</v>
      </c>
      <c r="D67" s="156">
        <f>$D$15*F821EVE!D56*0</f>
        <v>0</v>
      </c>
      <c r="E67" s="156">
        <f>$D$15*F821EVE!E56*0</f>
        <v>0</v>
      </c>
      <c r="F67" s="156">
        <f>$D$15*F821EVE!F56*0</f>
        <v>0</v>
      </c>
      <c r="G67" s="156">
        <f>$D$15*F821EVE!G56*0</f>
        <v>0</v>
      </c>
      <c r="H67" s="156">
        <f>$D$15*F821EVE!H56*0</f>
        <v>0</v>
      </c>
      <c r="I67" s="156">
        <f>$D$15*F821EVE!I56*0</f>
        <v>0</v>
      </c>
      <c r="J67" s="156">
        <f t="shared" si="1"/>
        <v>0</v>
      </c>
      <c r="K67" s="69"/>
    </row>
    <row r="68" spans="2:11" s="37" customFormat="1" ht="15.75">
      <c r="B68" s="48" t="s">
        <v>751</v>
      </c>
      <c r="C68" s="158" t="s">
        <v>634</v>
      </c>
      <c r="D68" s="154">
        <f t="shared" ref="D68" si="12">SUBTOTAL(9,D69:D73)</f>
        <v>118268.13791250001</v>
      </c>
      <c r="E68" s="154">
        <f t="shared" ref="E68:I68" si="13">SUBTOTAL(9,E69:E73)</f>
        <v>117572.79003</v>
      </c>
      <c r="F68" s="154">
        <f t="shared" si="13"/>
        <v>119351.57577</v>
      </c>
      <c r="G68" s="154">
        <f t="shared" si="13"/>
        <v>118638.78039</v>
      </c>
      <c r="H68" s="154">
        <f t="shared" si="13"/>
        <v>121764.96471000001</v>
      </c>
      <c r="I68" s="154">
        <f t="shared" si="13"/>
        <v>120070.70688</v>
      </c>
      <c r="J68" s="154">
        <f t="shared" si="1"/>
        <v>715666.95569249988</v>
      </c>
      <c r="K68" s="69"/>
    </row>
    <row r="69" spans="2:11" s="37" customFormat="1" ht="15.75">
      <c r="B69" s="48"/>
      <c r="C69" s="160" t="s">
        <v>304</v>
      </c>
      <c r="D69" s="156">
        <f>($D$14*(F821EVE!D66))*1</f>
        <v>85995.175380000001</v>
      </c>
      <c r="E69" s="156">
        <f>($D$14*(F821EVE!E66))*1</f>
        <v>85244.114130000002</v>
      </c>
      <c r="F69" s="156">
        <f>($D$14*(F821EVE!F66))*1</f>
        <v>86582.240910000008</v>
      </c>
      <c r="G69" s="156">
        <f>($D$14*(F821EVE!G66))*1</f>
        <v>85916.325689999998</v>
      </c>
      <c r="H69" s="156">
        <f>($D$14*(F821EVE!H66))*1</f>
        <v>88303.338480000006</v>
      </c>
      <c r="I69" s="156">
        <f>($D$14*(F821EVE!I66))*1</f>
        <v>86544.271980000005</v>
      </c>
      <c r="J69" s="156">
        <f t="shared" si="1"/>
        <v>518585.46657000011</v>
      </c>
      <c r="K69" s="69"/>
    </row>
    <row r="70" spans="2:11" s="37" customFormat="1" ht="15.75">
      <c r="B70" s="48"/>
      <c r="C70" s="162" t="s">
        <v>644</v>
      </c>
      <c r="D70" s="156">
        <f>($D$14*(F821EVE!D67))*0.75</f>
        <v>32269.993132500003</v>
      </c>
      <c r="E70" s="156">
        <f>($D$14*(F821EVE!E67))*0.75</f>
        <v>32326.021620000003</v>
      </c>
      <c r="F70" s="156">
        <f>($D$14*(F821EVE!F67))*0.75</f>
        <v>32766.504840000001</v>
      </c>
      <c r="G70" s="156">
        <f>($D$14*(F821EVE!G67))*0.75</f>
        <v>32719.04595</v>
      </c>
      <c r="H70" s="156">
        <f>($D$14*(F821EVE!H67))*0.75</f>
        <v>33458.008410000002</v>
      </c>
      <c r="I70" s="156">
        <f>($D$14*(F821EVE!I67))*0.75</f>
        <v>33521.615684999997</v>
      </c>
      <c r="J70" s="156">
        <f t="shared" si="1"/>
        <v>197061.18963750001</v>
      </c>
      <c r="K70" s="69"/>
    </row>
    <row r="71" spans="2:11" s="37" customFormat="1" ht="15.75">
      <c r="B71" s="48"/>
      <c r="C71" s="160" t="s">
        <v>305</v>
      </c>
      <c r="D71" s="156">
        <f>($D$14*(F821EVE!D68))*1</f>
        <v>2.9694000000000003</v>
      </c>
      <c r="E71" s="156">
        <f>($D$14*(F821EVE!E68))*1</f>
        <v>2.65428</v>
      </c>
      <c r="F71" s="156">
        <f>($D$14*(F821EVE!F68))*1</f>
        <v>2.8300200000000002</v>
      </c>
      <c r="G71" s="156">
        <f>($D$14*(F821EVE!G68))*1</f>
        <v>3.20574</v>
      </c>
      <c r="H71" s="156">
        <f>($D$14*(F821EVE!H68))*1</f>
        <v>3.5299500000000004</v>
      </c>
      <c r="I71" s="156">
        <f>($D$14*(F821EVE!I68))*1</f>
        <v>4.6995300000000002</v>
      </c>
      <c r="J71" s="156">
        <f t="shared" si="1"/>
        <v>19.888920000000002</v>
      </c>
      <c r="K71" s="69"/>
    </row>
    <row r="72" spans="2:11" s="37" customFormat="1" ht="15.75">
      <c r="B72" s="48"/>
      <c r="C72" s="160" t="s">
        <v>307</v>
      </c>
      <c r="D72" s="156">
        <f>($D$14*(F821EVE!D69))*0.5</f>
        <v>0</v>
      </c>
      <c r="E72" s="156">
        <f>($D$14*(F821EVE!E69))*0.5</f>
        <v>0</v>
      </c>
      <c r="F72" s="156">
        <f>($D$14*(F821EVE!F69))*0.5</f>
        <v>0</v>
      </c>
      <c r="G72" s="156">
        <f>($D$14*(F821EVE!G69))*0.5</f>
        <v>0.20301</v>
      </c>
      <c r="H72" s="156">
        <f>($D$14*(F821EVE!H69))*0.5</f>
        <v>8.7870000000000004E-2</v>
      </c>
      <c r="I72" s="156">
        <f>($D$14*(F821EVE!I69))*0.5</f>
        <v>0.119685</v>
      </c>
      <c r="J72" s="156">
        <f t="shared" si="1"/>
        <v>0.41056500000000001</v>
      </c>
      <c r="K72" s="69"/>
    </row>
    <row r="73" spans="2:11" s="37" customFormat="1" ht="15.75">
      <c r="B73" s="48"/>
      <c r="C73" s="160" t="s">
        <v>624</v>
      </c>
      <c r="D73" s="156">
        <f>($D$14*(F821EVE!D70))*0</f>
        <v>0</v>
      </c>
      <c r="E73" s="156">
        <f>($D$14*(F821EVE!E70))*0</f>
        <v>0</v>
      </c>
      <c r="F73" s="156">
        <f>($D$14*(F821EVE!F70))*0</f>
        <v>0</v>
      </c>
      <c r="G73" s="156">
        <f>($D$14*(F821EVE!G70))*0</f>
        <v>0</v>
      </c>
      <c r="H73" s="156">
        <f>($D$14*(F821EVE!H70))*0</f>
        <v>0</v>
      </c>
      <c r="I73" s="156">
        <f>($D$14*(F821EVE!I70))*0</f>
        <v>0</v>
      </c>
      <c r="J73" s="156">
        <f t="shared" si="1"/>
        <v>0</v>
      </c>
      <c r="K73" s="69"/>
    </row>
    <row r="74" spans="2:11" s="37" customFormat="1" ht="15.75">
      <c r="B74" s="48" t="s">
        <v>750</v>
      </c>
      <c r="C74" s="158" t="s">
        <v>635</v>
      </c>
      <c r="D74" s="154">
        <f t="shared" ref="D74" si="14">SUBTOTAL(9,D75:D80)</f>
        <v>133944.55011450005</v>
      </c>
      <c r="E74" s="154">
        <f t="shared" ref="E74:I74" si="15">SUBTOTAL(9,E75:E80)</f>
        <v>135464.33599950001</v>
      </c>
      <c r="F74" s="154">
        <f t="shared" si="15"/>
        <v>131838.25425000003</v>
      </c>
      <c r="G74" s="154">
        <f t="shared" si="15"/>
        <v>131696.89217549999</v>
      </c>
      <c r="H74" s="154">
        <f t="shared" si="15"/>
        <v>127082.5651695</v>
      </c>
      <c r="I74" s="154">
        <f t="shared" si="15"/>
        <v>124095.08576550001</v>
      </c>
      <c r="J74" s="154">
        <f t="shared" si="1"/>
        <v>784121.68347450008</v>
      </c>
      <c r="K74" s="69"/>
    </row>
    <row r="75" spans="2:11" s="37" customFormat="1" ht="15.75">
      <c r="B75" s="48"/>
      <c r="C75" s="160" t="s">
        <v>304</v>
      </c>
      <c r="D75" s="156">
        <f>($D$14*(F821EVE!D72))*1</f>
        <v>86716.085100000011</v>
      </c>
      <c r="E75" s="156">
        <f>($D$14*(F821EVE!E72))*1</f>
        <v>87845.996339999998</v>
      </c>
      <c r="F75" s="156">
        <f>($D$14*(F821EVE!F72))*1</f>
        <v>85122.65052000001</v>
      </c>
      <c r="G75" s="156">
        <f>($D$14*(F821EVE!G72))*1</f>
        <v>84876.593310000011</v>
      </c>
      <c r="H75" s="156">
        <f>($D$14*(F821EVE!H72))*1</f>
        <v>81640.953269999998</v>
      </c>
      <c r="I75" s="156">
        <f>($D$14*(F821EVE!I72))*1</f>
        <v>79473.891210000002</v>
      </c>
      <c r="J75" s="156">
        <f t="shared" si="1"/>
        <v>505676.16975</v>
      </c>
      <c r="K75" s="69"/>
    </row>
    <row r="76" spans="2:11" s="37" customFormat="1" ht="15.75">
      <c r="B76" s="48"/>
      <c r="C76" s="162" t="s">
        <v>642</v>
      </c>
      <c r="D76" s="156">
        <f>($D$14*(F821EVE!D73))*0.75</f>
        <v>45851.096250000002</v>
      </c>
      <c r="E76" s="156">
        <f>($D$14*(F821EVE!E73))*0.75</f>
        <v>46207.6901325</v>
      </c>
      <c r="F76" s="156">
        <f>($D$14*(F821EVE!F73))*0.75</f>
        <v>45405.518085000003</v>
      </c>
      <c r="G76" s="156">
        <f>($D$14*(F821EVE!G73))*0.75</f>
        <v>45519.633945000001</v>
      </c>
      <c r="H76" s="156">
        <f>($D$14*(F821EVE!H73))*0.75</f>
        <v>44207.051579999999</v>
      </c>
      <c r="I76" s="156">
        <f>($D$14*(F821EVE!I73))*0.75</f>
        <v>43357.097947500006</v>
      </c>
      <c r="J76" s="156">
        <f t="shared" si="1"/>
        <v>270548.08794</v>
      </c>
      <c r="K76" s="69"/>
    </row>
    <row r="77" spans="2:11" s="37" customFormat="1" ht="15.75">
      <c r="B77" s="48"/>
      <c r="C77" s="162" t="s">
        <v>1177</v>
      </c>
      <c r="D77" s="156">
        <f>($D$14*(F821EVE!D74))*1</f>
        <v>1373.46264</v>
      </c>
      <c r="E77" s="156">
        <f>($D$14*(F821EVE!E74))*1</f>
        <v>1406.6138700000001</v>
      </c>
      <c r="F77" s="156">
        <f>($D$14*(F821EVE!F74))*1</f>
        <v>1304.0120100000001</v>
      </c>
      <c r="G77" s="156">
        <f>($D$14*(F821EVE!G74))*1</f>
        <v>1296.8278800000001</v>
      </c>
      <c r="H77" s="156">
        <f>($D$14*(F821EVE!H74))*1</f>
        <v>1225.8289200000002</v>
      </c>
      <c r="I77" s="156">
        <f>($D$14*(F821EVE!I74))*1</f>
        <v>1256.47434</v>
      </c>
      <c r="J77" s="156">
        <f t="shared" si="1"/>
        <v>7863.2196599999997</v>
      </c>
      <c r="K77" s="69"/>
    </row>
    <row r="78" spans="2:11" s="37" customFormat="1" ht="15.75">
      <c r="B78" s="48"/>
      <c r="C78" s="160" t="s">
        <v>305</v>
      </c>
      <c r="D78" s="156">
        <f>($D$14*(F821EVE!D75))*0.95</f>
        <v>3.9061245000000002</v>
      </c>
      <c r="E78" s="156">
        <f>($D$14*(F821EVE!E75))*0.95</f>
        <v>4.0356570000000005</v>
      </c>
      <c r="F78" s="156">
        <f>($D$14*(F821EVE!F75))*0.95</f>
        <v>6.0736349999999995</v>
      </c>
      <c r="G78" s="156">
        <f>($D$14*(F821EVE!G75))*0.95</f>
        <v>3.8370405000000001</v>
      </c>
      <c r="H78" s="156">
        <f>($D$14*(F821EVE!H75))*0.95</f>
        <v>7.6481744999999997</v>
      </c>
      <c r="I78" s="156">
        <f>($D$14*(F821EVE!I75))*0.95</f>
        <v>7.622268</v>
      </c>
      <c r="J78" s="156">
        <f t="shared" si="1"/>
        <v>33.122899500000003</v>
      </c>
      <c r="K78" s="69"/>
    </row>
    <row r="79" spans="2:11" s="37" customFormat="1" ht="15.75">
      <c r="B79" s="48"/>
      <c r="C79" s="160" t="s">
        <v>307</v>
      </c>
      <c r="D79" s="156">
        <f>($D$14*(F821EVE!D76))*0.5</f>
        <v>0</v>
      </c>
      <c r="E79" s="156">
        <f>($D$14*(F821EVE!E76))*0.5</f>
        <v>0</v>
      </c>
      <c r="F79" s="156">
        <f>($D$14*(F821EVE!F76))*0.5</f>
        <v>0</v>
      </c>
      <c r="G79" s="156">
        <f>($D$14*(F821EVE!G76))*0.5</f>
        <v>0</v>
      </c>
      <c r="H79" s="156">
        <f>($D$14*(F821EVE!H76))*0.5</f>
        <v>1.0832250000000001</v>
      </c>
      <c r="I79" s="156">
        <f>($D$14*(F821EVE!I76))*0.5</f>
        <v>0</v>
      </c>
      <c r="J79" s="156">
        <f t="shared" si="1"/>
        <v>1.0832250000000001</v>
      </c>
      <c r="K79" s="69"/>
    </row>
    <row r="80" spans="2:11" s="37" customFormat="1" ht="15.75">
      <c r="B80" s="48"/>
      <c r="C80" s="160" t="s">
        <v>624</v>
      </c>
      <c r="D80" s="156">
        <f>($D$14*(F821EVE!D77))*0</f>
        <v>0</v>
      </c>
      <c r="E80" s="156">
        <f>($D$14*(F821EVE!E77))*0</f>
        <v>0</v>
      </c>
      <c r="F80" s="156">
        <f>($D$14*(F821EVE!F77))*0</f>
        <v>0</v>
      </c>
      <c r="G80" s="156">
        <f>($D$14*(F821EVE!G77))*0</f>
        <v>0</v>
      </c>
      <c r="H80" s="156">
        <f>($D$14*(F821EVE!H77))*0</f>
        <v>0</v>
      </c>
      <c r="I80" s="156">
        <f>($D$14*(F821EVE!I77))*0</f>
        <v>0</v>
      </c>
      <c r="J80" s="156">
        <f t="shared" si="1"/>
        <v>0</v>
      </c>
      <c r="K80" s="69"/>
    </row>
    <row r="81" spans="2:11" s="37" customFormat="1" ht="15.75">
      <c r="B81" s="48" t="s">
        <v>749</v>
      </c>
      <c r="C81" s="158" t="s">
        <v>636</v>
      </c>
      <c r="D81" s="154">
        <f t="shared" ref="D81" si="16">SUBTOTAL(9,D82:D87)</f>
        <v>161851.54580249998</v>
      </c>
      <c r="E81" s="154">
        <f t="shared" ref="E81:I81" si="17">SUBTOTAL(9,E82:E87)</f>
        <v>161053.63984349999</v>
      </c>
      <c r="F81" s="154">
        <f t="shared" si="17"/>
        <v>157198.28314500002</v>
      </c>
      <c r="G81" s="154">
        <f t="shared" si="17"/>
        <v>159394.66530299999</v>
      </c>
      <c r="H81" s="154">
        <f t="shared" si="17"/>
        <v>146891.52089400002</v>
      </c>
      <c r="I81" s="154">
        <f t="shared" si="17"/>
        <v>152477.07501</v>
      </c>
      <c r="J81" s="154">
        <f t="shared" si="1"/>
        <v>938866.72999799997</v>
      </c>
      <c r="K81" s="69"/>
    </row>
    <row r="82" spans="2:11" s="37" customFormat="1" ht="15.75">
      <c r="B82" s="48"/>
      <c r="C82" s="160" t="s">
        <v>304</v>
      </c>
      <c r="D82" s="156">
        <f>($D$14*(F821EVE!D79))*1</f>
        <v>139024.19013</v>
      </c>
      <c r="E82" s="156">
        <f>($D$14*(F821EVE!E79))*1</f>
        <v>138779.99030999999</v>
      </c>
      <c r="F82" s="156">
        <f>($D$14*(F821EVE!F79))*1</f>
        <v>136017.68778000001</v>
      </c>
      <c r="G82" s="156">
        <f>($D$14*(F821EVE!G79))*1</f>
        <v>137860.80648</v>
      </c>
      <c r="H82" s="156">
        <f>($D$14*(F821EVE!H79))*1</f>
        <v>127853.55276000001</v>
      </c>
      <c r="I82" s="156">
        <f>($D$14*(F821EVE!I79))*1</f>
        <v>132107.10615000001</v>
      </c>
      <c r="J82" s="156">
        <f t="shared" si="1"/>
        <v>811643.33361000009</v>
      </c>
      <c r="K82" s="69"/>
    </row>
    <row r="83" spans="2:11" s="37" customFormat="1" ht="15.75">
      <c r="B83" s="48"/>
      <c r="C83" s="162" t="s">
        <v>642</v>
      </c>
      <c r="D83" s="156">
        <f>($D$14*(F821EVE!D80))*0.75</f>
        <v>10819.440675000002</v>
      </c>
      <c r="E83" s="156">
        <f>($D$14*(F821EVE!E80))*0.75</f>
        <v>10604.007675000001</v>
      </c>
      <c r="F83" s="156">
        <f>($D$14*(F821EVE!F80))*0.75</f>
        <v>10090.195425</v>
      </c>
      <c r="G83" s="156">
        <f>($D$14*(F821EVE!G80))*0.75</f>
        <v>10215.978300000001</v>
      </c>
      <c r="H83" s="156">
        <f>($D$14*(F821EVE!H80))*0.75</f>
        <v>9060.3438750000005</v>
      </c>
      <c r="I83" s="156">
        <f>($D$14*(F821EVE!I80))*0.75</f>
        <v>9433.2611250000009</v>
      </c>
      <c r="J83" s="156">
        <f t="shared" si="1"/>
        <v>60223.227075000003</v>
      </c>
      <c r="K83" s="69"/>
    </row>
    <row r="84" spans="2:11" s="37" customFormat="1" ht="15.75">
      <c r="B84" s="48"/>
      <c r="C84" s="162" t="s">
        <v>1177</v>
      </c>
      <c r="D84" s="156">
        <f>($D$14*(F821EVE!D81))*1</f>
        <v>11916.46278</v>
      </c>
      <c r="E84" s="156">
        <f>($D$14*(F821EVE!E81))*1</f>
        <v>11571.421530000001</v>
      </c>
      <c r="F84" s="156">
        <f>($D$14*(F821EVE!F81))*1</f>
        <v>11007.223410000001</v>
      </c>
      <c r="G84" s="156">
        <f>($D$14*(F821EVE!G81))*1</f>
        <v>11240.254650000001</v>
      </c>
      <c r="H84" s="156">
        <f>($D$14*(F821EVE!H81))*1</f>
        <v>9909.7664999999997</v>
      </c>
      <c r="I84" s="156">
        <f>($D$14*(F821EVE!I81))*1</f>
        <v>10905.44571</v>
      </c>
      <c r="J84" s="156">
        <f t="shared" ref="J84:J109" si="18">SUM(D84:I84)</f>
        <v>66550.57458</v>
      </c>
      <c r="K84" s="69"/>
    </row>
    <row r="85" spans="2:11" s="37" customFormat="1" ht="15.75">
      <c r="B85" s="48"/>
      <c r="C85" s="160" t="s">
        <v>305</v>
      </c>
      <c r="D85" s="156">
        <f>($D$14*(F821EVE!D82))*0.95</f>
        <v>89.9675175</v>
      </c>
      <c r="E85" s="156">
        <f>($D$14*(F821EVE!E82))*0.95</f>
        <v>96.979543499999991</v>
      </c>
      <c r="F85" s="156">
        <f>($D$14*(F821EVE!F82))*0.95</f>
        <v>81.720615000000009</v>
      </c>
      <c r="G85" s="156">
        <f>($D$14*(F821EVE!G82))*0.95</f>
        <v>76.245707999999993</v>
      </c>
      <c r="H85" s="156">
        <f>($D$14*(F821EVE!H82))*0.95</f>
        <v>67.857759000000001</v>
      </c>
      <c r="I85" s="156">
        <f>($D$14*(F821EVE!I82))*0.95</f>
        <v>29.850045000000001</v>
      </c>
      <c r="J85" s="156">
        <f t="shared" si="18"/>
        <v>442.62118800000002</v>
      </c>
      <c r="K85" s="69"/>
    </row>
    <row r="86" spans="2:11" s="37" customFormat="1" ht="15.75">
      <c r="B86" s="48"/>
      <c r="C86" s="160" t="s">
        <v>307</v>
      </c>
      <c r="D86" s="156">
        <f>($D$14*(F821EVE!D83))*0.5</f>
        <v>1.4847000000000001</v>
      </c>
      <c r="E86" s="156">
        <f>($D$14*(F821EVE!E83))*0.5</f>
        <v>1.240785</v>
      </c>
      <c r="F86" s="156">
        <f>($D$14*(F821EVE!F83))*0.5</f>
        <v>1.4559150000000001</v>
      </c>
      <c r="G86" s="156">
        <f>($D$14*(F821EVE!G83))*0.5</f>
        <v>1.3801650000000001</v>
      </c>
      <c r="H86" s="156">
        <f>($D$14*(F821EVE!H83))*0.5</f>
        <v>0</v>
      </c>
      <c r="I86" s="156">
        <f>($D$14*(F821EVE!I83))*0.5</f>
        <v>1.41198</v>
      </c>
      <c r="J86" s="156">
        <f t="shared" si="18"/>
        <v>6.9735449999999997</v>
      </c>
      <c r="K86" s="69"/>
    </row>
    <row r="87" spans="2:11" s="37" customFormat="1" ht="15.75">
      <c r="B87" s="48"/>
      <c r="C87" s="160" t="s">
        <v>624</v>
      </c>
      <c r="D87" s="156">
        <f>($D$14*(F821EVE!D84))*0</f>
        <v>0</v>
      </c>
      <c r="E87" s="156">
        <f>($D$14*(F821EVE!E84))*0</f>
        <v>0</v>
      </c>
      <c r="F87" s="156">
        <f>($D$14*(F821EVE!F84))*0</f>
        <v>0</v>
      </c>
      <c r="G87" s="156">
        <f>($D$14*(F821EVE!G84))*0</f>
        <v>0</v>
      </c>
      <c r="H87" s="156">
        <f>($D$14*(F821EVE!H84))*0</f>
        <v>0</v>
      </c>
      <c r="I87" s="156">
        <f>($D$14*(F821EVE!I84))*0</f>
        <v>0</v>
      </c>
      <c r="J87" s="156">
        <f t="shared" si="18"/>
        <v>0</v>
      </c>
      <c r="K87" s="69"/>
    </row>
    <row r="88" spans="2:11" s="37" customFormat="1" ht="15.75">
      <c r="B88" s="48"/>
      <c r="C88" s="157"/>
      <c r="D88" s="156"/>
      <c r="E88" s="156"/>
      <c r="F88" s="156"/>
      <c r="G88" s="156"/>
      <c r="H88" s="156"/>
      <c r="I88" s="156"/>
      <c r="J88" s="156">
        <f t="shared" si="18"/>
        <v>0</v>
      </c>
      <c r="K88" s="69"/>
    </row>
    <row r="89" spans="2:11" s="37" customFormat="1" ht="15.75">
      <c r="B89" s="48" t="s">
        <v>902</v>
      </c>
      <c r="C89" s="158" t="s">
        <v>910</v>
      </c>
      <c r="D89" s="154">
        <f t="shared" ref="D89:I89" si="19">SUBTOTAL(9,D90:D94)</f>
        <v>40041.620437500002</v>
      </c>
      <c r="E89" s="154">
        <f t="shared" si="19"/>
        <v>39542.286285000002</v>
      </c>
      <c r="F89" s="154">
        <f t="shared" si="19"/>
        <v>41015.210190000005</v>
      </c>
      <c r="G89" s="154">
        <f t="shared" si="19"/>
        <v>40080.410497500001</v>
      </c>
      <c r="H89" s="154">
        <f t="shared" si="19"/>
        <v>37984.238317500007</v>
      </c>
      <c r="I89" s="154">
        <f t="shared" si="19"/>
        <v>40589.900452499998</v>
      </c>
      <c r="J89" s="154">
        <f t="shared" si="18"/>
        <v>239253.66618000003</v>
      </c>
      <c r="K89" s="69"/>
    </row>
    <row r="90" spans="2:11" s="37" customFormat="1" ht="15.75">
      <c r="B90" s="48"/>
      <c r="C90" s="160" t="s">
        <v>304</v>
      </c>
      <c r="D90" s="156">
        <f>($D$13*(F821EVE!D87))*1</f>
        <v>38517.338790000002</v>
      </c>
      <c r="E90" s="156">
        <f>($D$13*(F821EVE!E87))*1</f>
        <v>38075.828399999999</v>
      </c>
      <c r="F90" s="156">
        <f>($D$13*(F821EVE!F87))*1</f>
        <v>39472.000890000003</v>
      </c>
      <c r="G90" s="156">
        <f>($D$13*(F821EVE!G87))*1</f>
        <v>38523.641190000002</v>
      </c>
      <c r="H90" s="156">
        <f>($D$13*(F821EVE!H87))*1</f>
        <v>36543.121080000004</v>
      </c>
      <c r="I90" s="156">
        <f>($D$13*(F821EVE!I87))*1</f>
        <v>38985.076860000001</v>
      </c>
      <c r="J90" s="156">
        <f t="shared" si="18"/>
        <v>230117.00721000001</v>
      </c>
      <c r="K90" s="69"/>
    </row>
    <row r="91" spans="2:11" s="37" customFormat="1" ht="15.75">
      <c r="B91" s="48"/>
      <c r="C91" s="162" t="s">
        <v>644</v>
      </c>
      <c r="D91" s="156">
        <f>($D$13*(F821EVE!D88))*0.75</f>
        <v>1524.2816475</v>
      </c>
      <c r="E91" s="156">
        <f>($D$13*(F821EVE!E88))*0.75</f>
        <v>1466.457885</v>
      </c>
      <c r="F91" s="156">
        <f>($D$13*(F821EVE!F88))*0.75</f>
        <v>1543.2093</v>
      </c>
      <c r="G91" s="156">
        <f>($D$13*(F821EVE!G88))*0.75</f>
        <v>1556.7693075000002</v>
      </c>
      <c r="H91" s="156">
        <f>($D$13*(F821EVE!H88))*0.75</f>
        <v>1441.1172375000001</v>
      </c>
      <c r="I91" s="156">
        <f>($D$13*(F821EVE!I88))*0.75</f>
        <v>1604.8235925000001</v>
      </c>
      <c r="J91" s="156">
        <f t="shared" si="18"/>
        <v>9136.6589700000022</v>
      </c>
      <c r="K91" s="69"/>
    </row>
    <row r="92" spans="2:11" s="37" customFormat="1" ht="15.75">
      <c r="B92" s="48"/>
      <c r="C92" s="160" t="s">
        <v>305</v>
      </c>
      <c r="D92" s="156">
        <f>($D$13*(F821EVE!D89))*0.95</f>
        <v>0</v>
      </c>
      <c r="E92" s="156">
        <f>($D$13*(F821EVE!E89))*0.95</f>
        <v>0</v>
      </c>
      <c r="F92" s="156">
        <f>($D$13*(F821EVE!F89))*0.95</f>
        <v>0</v>
      </c>
      <c r="G92" s="156">
        <f>($D$13*(F821EVE!G89))*0.95</f>
        <v>0</v>
      </c>
      <c r="H92" s="156">
        <f>($D$13*(F821EVE!H89))*0.95</f>
        <v>0</v>
      </c>
      <c r="I92" s="156">
        <f>($D$13*(F821EVE!I89))*0.95</f>
        <v>0</v>
      </c>
      <c r="J92" s="156">
        <f t="shared" si="18"/>
        <v>0</v>
      </c>
      <c r="K92" s="69"/>
    </row>
    <row r="93" spans="2:11" s="37" customFormat="1" ht="15.75">
      <c r="B93" s="48"/>
      <c r="C93" s="160" t="s">
        <v>307</v>
      </c>
      <c r="D93" s="156">
        <f>($D$13*(F821EVE!D90))*0.5</f>
        <v>0</v>
      </c>
      <c r="E93" s="156">
        <f>($D$13*(F821EVE!E90))*0.5</f>
        <v>0</v>
      </c>
      <c r="F93" s="156">
        <f>($D$13*(F821EVE!F90))*0.5</f>
        <v>0</v>
      </c>
      <c r="G93" s="156">
        <f>($D$13*(F821EVE!G90))*0.5</f>
        <v>0</v>
      </c>
      <c r="H93" s="156">
        <f>($D$13*(F821EVE!H90))*0.5</f>
        <v>0</v>
      </c>
      <c r="I93" s="156">
        <f>($D$13*(F821EVE!I90))*0.5</f>
        <v>0</v>
      </c>
      <c r="J93" s="156">
        <f t="shared" si="18"/>
        <v>0</v>
      </c>
      <c r="K93" s="69"/>
    </row>
    <row r="94" spans="2:11" s="37" customFormat="1" ht="15.75">
      <c r="B94" s="48"/>
      <c r="C94" s="160" t="s">
        <v>624</v>
      </c>
      <c r="D94" s="156">
        <f>($D$13*(F821EVE!D91))*0</f>
        <v>0</v>
      </c>
      <c r="E94" s="156">
        <f>($D$13*(F821EVE!E91))*0</f>
        <v>0</v>
      </c>
      <c r="F94" s="156">
        <f>($D$13*(F821EVE!F91))*0</f>
        <v>0</v>
      </c>
      <c r="G94" s="156">
        <f>($D$13*(F821EVE!G91))*0</f>
        <v>0</v>
      </c>
      <c r="H94" s="156">
        <f>($D$13*(F821EVE!H91))*0</f>
        <v>0</v>
      </c>
      <c r="I94" s="156">
        <f>($D$13*(F821EVE!I91))*0</f>
        <v>0</v>
      </c>
      <c r="J94" s="156">
        <f t="shared" si="18"/>
        <v>0</v>
      </c>
      <c r="K94" s="69"/>
    </row>
    <row r="95" spans="2:11" s="37" customFormat="1" ht="15.75">
      <c r="B95" s="48" t="s">
        <v>902</v>
      </c>
      <c r="C95" s="158" t="s">
        <v>911</v>
      </c>
      <c r="D95" s="154">
        <f t="shared" ref="D95:I95" si="20">SUBTOTAL(9,D96:D101)</f>
        <v>3520.3017225000003</v>
      </c>
      <c r="E95" s="154">
        <f t="shared" si="20"/>
        <v>3273.2650650000005</v>
      </c>
      <c r="F95" s="154">
        <f t="shared" si="20"/>
        <v>3055.2626249999998</v>
      </c>
      <c r="G95" s="154">
        <f t="shared" si="20"/>
        <v>3296.4930450000006</v>
      </c>
      <c r="H95" s="154">
        <f t="shared" si="20"/>
        <v>2526.3291600000002</v>
      </c>
      <c r="I95" s="154">
        <f t="shared" si="20"/>
        <v>3265.1158800000003</v>
      </c>
      <c r="J95" s="154">
        <f t="shared" si="18"/>
        <v>18936.767497500005</v>
      </c>
      <c r="K95" s="69"/>
    </row>
    <row r="96" spans="2:11" s="37" customFormat="1" ht="15.75">
      <c r="B96" s="48"/>
      <c r="C96" s="160" t="s">
        <v>304</v>
      </c>
      <c r="D96" s="156">
        <f>($D$13*(F821EVE!D93))*1</f>
        <v>3207.6913200000004</v>
      </c>
      <c r="E96" s="156">
        <f>($D$13*(F821EVE!E93))*1</f>
        <v>2991.2402400000001</v>
      </c>
      <c r="F96" s="156">
        <f>($D$13*(F821EVE!F93))*1</f>
        <v>2756.9666999999999</v>
      </c>
      <c r="G96" s="156">
        <f>($D$13*(F821EVE!G93))*1</f>
        <v>3001.5876900000003</v>
      </c>
      <c r="H96" s="156">
        <f>($D$13*(F821EVE!H93))*1</f>
        <v>2287.4863800000003</v>
      </c>
      <c r="I96" s="156">
        <f>($D$13*(F821EVE!I93))*1</f>
        <v>2956.6406700000002</v>
      </c>
      <c r="J96" s="156">
        <f t="shared" si="18"/>
        <v>17201.613000000001</v>
      </c>
      <c r="K96" s="69"/>
    </row>
    <row r="97" spans="2:11" s="37" customFormat="1" ht="15.75">
      <c r="B97" s="48"/>
      <c r="C97" s="162" t="s">
        <v>642</v>
      </c>
      <c r="D97" s="156">
        <f>($D$13*(F821EVE!D94))*0.75</f>
        <v>278.02901250000002</v>
      </c>
      <c r="E97" s="156">
        <f>($D$13*(F821EVE!E94))*0.75</f>
        <v>257.060655</v>
      </c>
      <c r="F97" s="156">
        <f>($D$13*(F821EVE!F94))*0.75</f>
        <v>273.44083499999999</v>
      </c>
      <c r="G97" s="156">
        <f>($D$13*(F821EVE!G94))*0.75</f>
        <v>267.15964500000001</v>
      </c>
      <c r="H97" s="156">
        <f>($D$13*(F821EVE!H94))*0.75</f>
        <v>217.1601</v>
      </c>
      <c r="I97" s="156">
        <f>($D$13*(F821EVE!I94))*0.75</f>
        <v>280.59921000000003</v>
      </c>
      <c r="J97" s="156">
        <f t="shared" si="18"/>
        <v>1573.4494575000001</v>
      </c>
      <c r="K97" s="69"/>
    </row>
    <row r="98" spans="2:11" s="37" customFormat="1" ht="15.75">
      <c r="B98" s="48"/>
      <c r="C98" s="162" t="s">
        <v>1177</v>
      </c>
      <c r="D98" s="156">
        <f>($D$13*(F821EVE!D95))*1</f>
        <v>34.581389999999999</v>
      </c>
      <c r="E98" s="156">
        <f>($D$13*(F821EVE!E95))*1</f>
        <v>24.964170000000003</v>
      </c>
      <c r="F98" s="156">
        <f>($D$13*(F821EVE!F95))*1</f>
        <v>24.855090000000001</v>
      </c>
      <c r="G98" s="156">
        <f>($D$13*(F821EVE!G95))*1</f>
        <v>27.745710000000003</v>
      </c>
      <c r="H98" s="156">
        <f>($D$13*(F821EVE!H95))*1</f>
        <v>21.682680000000001</v>
      </c>
      <c r="I98" s="156">
        <f>($D$13*(F821EVE!I95))*1</f>
        <v>27.876000000000001</v>
      </c>
      <c r="J98" s="156">
        <f t="shared" si="18"/>
        <v>161.70504</v>
      </c>
      <c r="K98" s="69"/>
    </row>
    <row r="99" spans="2:11" s="37" customFormat="1" ht="15.75">
      <c r="B99" s="48"/>
      <c r="C99" s="160" t="s">
        <v>305</v>
      </c>
      <c r="D99" s="156">
        <f>($D$13*(F821EVE!D96))*0.95</f>
        <v>0</v>
      </c>
      <c r="E99" s="156">
        <f>($D$13*(F821EVE!E96))*0.95</f>
        <v>0</v>
      </c>
      <c r="F99" s="156">
        <f>($D$13*(F821EVE!F96))*0.95</f>
        <v>0</v>
      </c>
      <c r="G99" s="156">
        <f>($D$13*(F821EVE!G96))*0.95</f>
        <v>0</v>
      </c>
      <c r="H99" s="156">
        <f>($D$13*(F821EVE!H96))*0.95</f>
        <v>0</v>
      </c>
      <c r="I99" s="156">
        <f>($D$13*(F821EVE!I96))*0.95</f>
        <v>0</v>
      </c>
      <c r="J99" s="156">
        <f t="shared" si="18"/>
        <v>0</v>
      </c>
      <c r="K99" s="69"/>
    </row>
    <row r="100" spans="2:11" s="37" customFormat="1" ht="15.75">
      <c r="B100" s="48"/>
      <c r="C100" s="160" t="s">
        <v>307</v>
      </c>
      <c r="D100" s="156">
        <f>($D$13*(F821EVE!D97))*0.5</f>
        <v>0</v>
      </c>
      <c r="E100" s="156">
        <f>($D$13*(F821EVE!E97))*0.5</f>
        <v>0</v>
      </c>
      <c r="F100" s="156">
        <f>($D$13*(F821EVE!F97))*0.5</f>
        <v>0</v>
      </c>
      <c r="G100" s="156">
        <f>($D$13*(F821EVE!G97))*0.5</f>
        <v>0</v>
      </c>
      <c r="H100" s="156">
        <f>($D$13*(F821EVE!H97))*0.5</f>
        <v>0</v>
      </c>
      <c r="I100" s="156">
        <f>($D$13*(F821EVE!I97))*0.5</f>
        <v>0</v>
      </c>
      <c r="J100" s="156">
        <f t="shared" si="18"/>
        <v>0</v>
      </c>
      <c r="K100" s="69"/>
    </row>
    <row r="101" spans="2:11" s="37" customFormat="1" ht="15.75">
      <c r="B101" s="48"/>
      <c r="C101" s="160" t="s">
        <v>624</v>
      </c>
      <c r="D101" s="156">
        <f>($D$13*(F821EVE!D98))*0</f>
        <v>0</v>
      </c>
      <c r="E101" s="156">
        <f>($D$13*(F821EVE!E98))*0</f>
        <v>0</v>
      </c>
      <c r="F101" s="156">
        <f>($D$13*(F821EVE!F98))*0</f>
        <v>0</v>
      </c>
      <c r="G101" s="156">
        <f>($D$13*(F821EVE!G98))*0</f>
        <v>0</v>
      </c>
      <c r="H101" s="156">
        <f>($D$13*(F821EVE!H98))*0</f>
        <v>0</v>
      </c>
      <c r="I101" s="156">
        <f>($D$13*(F821EVE!I98))*0</f>
        <v>0</v>
      </c>
      <c r="J101" s="156">
        <f t="shared" si="18"/>
        <v>0</v>
      </c>
      <c r="K101" s="69"/>
    </row>
    <row r="102" spans="2:11" s="37" customFormat="1" ht="15.75">
      <c r="B102" s="48" t="s">
        <v>902</v>
      </c>
      <c r="C102" s="158" t="s">
        <v>912</v>
      </c>
      <c r="D102" s="154">
        <f t="shared" ref="D102:I102" si="21">SUBTOTAL(9,D103:D108)</f>
        <v>375.37155000000001</v>
      </c>
      <c r="E102" s="154">
        <f t="shared" si="21"/>
        <v>372.53774249999998</v>
      </c>
      <c r="F102" s="154">
        <f t="shared" si="21"/>
        <v>420.82988250000005</v>
      </c>
      <c r="G102" s="154">
        <f t="shared" si="21"/>
        <v>319.05521250000004</v>
      </c>
      <c r="H102" s="154">
        <f t="shared" si="21"/>
        <v>252.01873499999999</v>
      </c>
      <c r="I102" s="154">
        <f t="shared" si="21"/>
        <v>354.31153500000005</v>
      </c>
      <c r="J102" s="154">
        <f t="shared" si="18"/>
        <v>2094.1246575000005</v>
      </c>
      <c r="K102" s="69"/>
    </row>
    <row r="103" spans="2:11" s="37" customFormat="1" ht="15.75">
      <c r="B103" s="48"/>
      <c r="C103" s="160" t="s">
        <v>304</v>
      </c>
      <c r="D103" s="156">
        <f>($D$13*(F821EVE!D100))*1</f>
        <v>361.48203000000001</v>
      </c>
      <c r="E103" s="156">
        <f>($D$13*(F821EVE!E100))*1</f>
        <v>365.19983999999999</v>
      </c>
      <c r="F103" s="156">
        <f>($D$13*(F821EVE!F100))*1</f>
        <v>410.69226000000003</v>
      </c>
      <c r="G103" s="156">
        <f>($D$13*(F821EVE!G100))*1</f>
        <v>306.25422000000003</v>
      </c>
      <c r="H103" s="156">
        <f>($D$13*(F821EVE!H100))*1</f>
        <v>246.43293</v>
      </c>
      <c r="I103" s="156">
        <f>($D$13*(F821EVE!I100))*1</f>
        <v>344.38980000000004</v>
      </c>
      <c r="J103" s="156">
        <f t="shared" si="18"/>
        <v>2034.4510800000003</v>
      </c>
      <c r="K103" s="69"/>
    </row>
    <row r="104" spans="2:11" s="37" customFormat="1" ht="15.75">
      <c r="B104" s="48"/>
      <c r="C104" s="162" t="s">
        <v>642</v>
      </c>
      <c r="D104" s="156">
        <f>($D$13*(F821EVE!D101))*0.75</f>
        <v>13.889520000000001</v>
      </c>
      <c r="E104" s="156">
        <f>($D$13*(F821EVE!E101))*0.75</f>
        <v>7.3379025000000002</v>
      </c>
      <c r="F104" s="156">
        <f>($D$13*(F821EVE!F101))*0.75</f>
        <v>10.137622500000001</v>
      </c>
      <c r="G104" s="156">
        <f>($D$13*(F821EVE!G101))*0.75</f>
        <v>12.800992500000001</v>
      </c>
      <c r="H104" s="156">
        <f>($D$13*(F821EVE!H101))*0.75</f>
        <v>5.5858050000000006</v>
      </c>
      <c r="I104" s="156">
        <f>($D$13*(F821EVE!I101))*0.75</f>
        <v>9.921735</v>
      </c>
      <c r="J104" s="156">
        <f t="shared" si="18"/>
        <v>59.6735775</v>
      </c>
      <c r="K104" s="69"/>
    </row>
    <row r="105" spans="2:11" s="37" customFormat="1" ht="15.75">
      <c r="B105" s="48"/>
      <c r="C105" s="162" t="s">
        <v>1177</v>
      </c>
      <c r="D105" s="156">
        <f>($D$13*(F821EVE!D102))*1</f>
        <v>0</v>
      </c>
      <c r="E105" s="156">
        <f>($D$13*(F821EVE!E102))*1</f>
        <v>0</v>
      </c>
      <c r="F105" s="156">
        <f>($D$13*(F821EVE!F102))*1</f>
        <v>0</v>
      </c>
      <c r="G105" s="156">
        <f>($D$13*(F821EVE!G102))*1</f>
        <v>0</v>
      </c>
      <c r="H105" s="156">
        <f>($D$13*(F821EVE!H102))*1</f>
        <v>0</v>
      </c>
      <c r="I105" s="156">
        <f>($D$13*(F821EVE!I102))*1</f>
        <v>0</v>
      </c>
      <c r="J105" s="156">
        <f t="shared" si="18"/>
        <v>0</v>
      </c>
      <c r="K105" s="69"/>
    </row>
    <row r="106" spans="2:11" s="37" customFormat="1" ht="15.75">
      <c r="B106" s="48"/>
      <c r="C106" s="160" t="s">
        <v>305</v>
      </c>
      <c r="D106" s="156">
        <f>($D$13*(F821EVE!D103))*0.95</f>
        <v>0</v>
      </c>
      <c r="E106" s="156">
        <f>($D$13*(F821EVE!E103))*0.95</f>
        <v>0</v>
      </c>
      <c r="F106" s="156">
        <f>($D$13*(F821EVE!F103))*0.95</f>
        <v>0</v>
      </c>
      <c r="G106" s="156">
        <f>($D$13*(F821EVE!G103))*0.95</f>
        <v>0</v>
      </c>
      <c r="H106" s="156">
        <f>($D$13*(F821EVE!H103))*0.95</f>
        <v>0</v>
      </c>
      <c r="I106" s="156">
        <f>($D$13*(F821EVE!I103))*0.95</f>
        <v>0</v>
      </c>
      <c r="J106" s="156">
        <f t="shared" si="18"/>
        <v>0</v>
      </c>
      <c r="K106" s="69"/>
    </row>
    <row r="107" spans="2:11" s="37" customFormat="1" ht="15.75">
      <c r="B107" s="48"/>
      <c r="C107" s="160" t="s">
        <v>307</v>
      </c>
      <c r="D107" s="156">
        <f>($D$13*(F821EVE!D104))*0.5</f>
        <v>0</v>
      </c>
      <c r="E107" s="156">
        <f>($D$13*(F821EVE!E104))*0.5</f>
        <v>0</v>
      </c>
      <c r="F107" s="156">
        <f>($D$13*(F821EVE!F104))*0.5</f>
        <v>0</v>
      </c>
      <c r="G107" s="156">
        <f>($D$13*(F821EVE!G104))*0.5</f>
        <v>0</v>
      </c>
      <c r="H107" s="156">
        <f>($D$13*(F821EVE!H104))*0.5</f>
        <v>0</v>
      </c>
      <c r="I107" s="156">
        <f>($D$13*(F821EVE!I104))*0.5</f>
        <v>0</v>
      </c>
      <c r="J107" s="156">
        <f t="shared" si="18"/>
        <v>0</v>
      </c>
      <c r="K107" s="69"/>
    </row>
    <row r="108" spans="2:11" s="37" customFormat="1" ht="15.75">
      <c r="B108" s="48"/>
      <c r="C108" s="160" t="s">
        <v>624</v>
      </c>
      <c r="D108" s="156">
        <f>($D$13*(F821EVE!D105))*0</f>
        <v>0</v>
      </c>
      <c r="E108" s="156">
        <f>($D$13*(F821EVE!E105))*0</f>
        <v>0</v>
      </c>
      <c r="F108" s="156">
        <f>($D$13*(F821EVE!F105))*0</f>
        <v>0</v>
      </c>
      <c r="G108" s="156">
        <f>($D$13*(F821EVE!G105))*0</f>
        <v>0</v>
      </c>
      <c r="H108" s="156">
        <f>($D$13*(F821EVE!H105))*0</f>
        <v>0</v>
      </c>
      <c r="I108" s="156">
        <f>($D$13*(F821EVE!I105))*0</f>
        <v>0</v>
      </c>
      <c r="J108" s="156">
        <f t="shared" si="18"/>
        <v>0</v>
      </c>
      <c r="K108" s="69"/>
    </row>
    <row r="109" spans="2:11" s="37" customFormat="1" ht="15.75">
      <c r="B109" s="48"/>
      <c r="C109" s="157"/>
      <c r="D109" s="156"/>
      <c r="E109" s="156"/>
      <c r="F109" s="156"/>
      <c r="G109" s="156"/>
      <c r="H109" s="156"/>
      <c r="I109" s="156"/>
      <c r="J109" s="156">
        <f t="shared" si="18"/>
        <v>0</v>
      </c>
      <c r="K109" s="69"/>
    </row>
    <row r="110" spans="2:11" s="37" customFormat="1" ht="15.75">
      <c r="B110" s="48"/>
      <c r="C110" s="179" t="s">
        <v>112</v>
      </c>
      <c r="D110" s="180">
        <f t="shared" ref="D110:I110" si="22">D33+D23+D19</f>
        <v>782285.63417449966</v>
      </c>
      <c r="E110" s="180">
        <f t="shared" si="22"/>
        <v>782565.75849550019</v>
      </c>
      <c r="F110" s="180">
        <f t="shared" si="22"/>
        <v>767385.11043750006</v>
      </c>
      <c r="G110" s="180">
        <f t="shared" si="22"/>
        <v>779860.26731850009</v>
      </c>
      <c r="H110" s="180">
        <f t="shared" si="22"/>
        <v>744951.15341100004</v>
      </c>
      <c r="I110" s="180">
        <f t="shared" si="22"/>
        <v>748875.70430499979</v>
      </c>
      <c r="J110" s="180">
        <f>SUM(D110:I110)</f>
        <v>4605923.6281420002</v>
      </c>
      <c r="K110" s="69"/>
    </row>
    <row r="111" spans="2:11">
      <c r="J111" s="180">
        <f>J110</f>
        <v>4605923.6281420002</v>
      </c>
    </row>
    <row r="112" spans="2:11">
      <c r="C112" s="52" t="str">
        <f>'PORTADA PORTADA PORTADA'!$B$23</f>
        <v>1 DE JULIO DE 2026</v>
      </c>
    </row>
    <row r="114" spans="2:10">
      <c r="B114" s="48" t="s">
        <v>902</v>
      </c>
      <c r="D114" s="163">
        <f t="shared" ref="D114:I123" si="23">SUMIF($B$18:$B$110,$B114,D$18:D$110)</f>
        <v>43937.293710000005</v>
      </c>
      <c r="E114" s="163">
        <f t="shared" si="23"/>
        <v>43188.089092499999</v>
      </c>
      <c r="F114" s="163">
        <f t="shared" si="23"/>
        <v>44491.30269750001</v>
      </c>
      <c r="G114" s="163">
        <f t="shared" si="23"/>
        <v>43695.958755000007</v>
      </c>
      <c r="H114" s="163">
        <f t="shared" si="23"/>
        <v>40762.586212500006</v>
      </c>
      <c r="I114" s="163">
        <f t="shared" si="23"/>
        <v>44209.327867499997</v>
      </c>
      <c r="J114" s="163">
        <f t="shared" ref="J114:J132" si="24">SUMIF($B$18:$B$110,$B114,J$18:J$111)</f>
        <v>260284.55833500004</v>
      </c>
    </row>
    <row r="115" spans="2:10">
      <c r="B115" s="48" t="s">
        <v>751</v>
      </c>
      <c r="D115" s="163">
        <f t="shared" si="23"/>
        <v>118268.13791250001</v>
      </c>
      <c r="E115" s="163">
        <f t="shared" si="23"/>
        <v>117572.79003</v>
      </c>
      <c r="F115" s="163">
        <f t="shared" si="23"/>
        <v>119351.57577</v>
      </c>
      <c r="G115" s="163">
        <f t="shared" si="23"/>
        <v>118638.78039</v>
      </c>
      <c r="H115" s="163">
        <f t="shared" si="23"/>
        <v>121764.96471000001</v>
      </c>
      <c r="I115" s="163">
        <f t="shared" si="23"/>
        <v>120070.70688</v>
      </c>
      <c r="J115" s="163">
        <f t="shared" si="24"/>
        <v>715666.95569249988</v>
      </c>
    </row>
    <row r="116" spans="2:10">
      <c r="B116" s="48" t="s">
        <v>750</v>
      </c>
      <c r="D116" s="163">
        <f t="shared" si="23"/>
        <v>133944.55011450005</v>
      </c>
      <c r="E116" s="163">
        <f t="shared" si="23"/>
        <v>135464.33599950001</v>
      </c>
      <c r="F116" s="163">
        <f t="shared" si="23"/>
        <v>131838.25425000003</v>
      </c>
      <c r="G116" s="163">
        <f t="shared" si="23"/>
        <v>131696.89217549999</v>
      </c>
      <c r="H116" s="163">
        <f t="shared" si="23"/>
        <v>127082.5651695</v>
      </c>
      <c r="I116" s="163">
        <f t="shared" si="23"/>
        <v>124095.08576550001</v>
      </c>
      <c r="J116" s="163">
        <f t="shared" si="24"/>
        <v>784121.68347450008</v>
      </c>
    </row>
    <row r="117" spans="2:10">
      <c r="B117" s="48" t="s">
        <v>749</v>
      </c>
      <c r="D117" s="163">
        <f t="shared" si="23"/>
        <v>161851.54580249998</v>
      </c>
      <c r="E117" s="163">
        <f t="shared" si="23"/>
        <v>161053.63984349999</v>
      </c>
      <c r="F117" s="163">
        <f t="shared" si="23"/>
        <v>157198.28314500002</v>
      </c>
      <c r="G117" s="163">
        <f t="shared" si="23"/>
        <v>159394.66530299999</v>
      </c>
      <c r="H117" s="163">
        <f t="shared" si="23"/>
        <v>146891.52089400002</v>
      </c>
      <c r="I117" s="163">
        <f t="shared" si="23"/>
        <v>152477.07501</v>
      </c>
      <c r="J117" s="163">
        <f t="shared" si="24"/>
        <v>938866.72999799997</v>
      </c>
    </row>
    <row r="118" spans="2:10">
      <c r="B118" s="48" t="s">
        <v>1176</v>
      </c>
      <c r="D118" s="163">
        <f t="shared" si="23"/>
        <v>0</v>
      </c>
      <c r="E118" s="163">
        <f t="shared" si="23"/>
        <v>0</v>
      </c>
      <c r="F118" s="163">
        <f t="shared" si="23"/>
        <v>0</v>
      </c>
      <c r="G118" s="163">
        <f t="shared" si="23"/>
        <v>0</v>
      </c>
      <c r="H118" s="163">
        <f t="shared" si="23"/>
        <v>0</v>
      </c>
      <c r="I118" s="163">
        <f t="shared" si="23"/>
        <v>0</v>
      </c>
      <c r="J118" s="163">
        <f t="shared" si="24"/>
        <v>0</v>
      </c>
    </row>
    <row r="119" spans="2:10">
      <c r="B119" s="48" t="s">
        <v>274</v>
      </c>
      <c r="D119" s="163">
        <f t="shared" si="23"/>
        <v>175886.89208000002</v>
      </c>
      <c r="E119" s="163">
        <f t="shared" si="23"/>
        <v>174538.96608999997</v>
      </c>
      <c r="F119" s="163">
        <f t="shared" si="23"/>
        <v>167987.32200999997</v>
      </c>
      <c r="G119" s="163">
        <f t="shared" si="23"/>
        <v>174382.11146999997</v>
      </c>
      <c r="H119" s="163">
        <f t="shared" si="23"/>
        <v>164327.56448999999</v>
      </c>
      <c r="I119" s="163">
        <f t="shared" si="23"/>
        <v>163698.64848699997</v>
      </c>
      <c r="J119" s="163">
        <f t="shared" si="24"/>
        <v>1020821.504627</v>
      </c>
    </row>
    <row r="120" spans="2:10">
      <c r="B120" s="48" t="s">
        <v>275</v>
      </c>
      <c r="D120" s="163">
        <f t="shared" si="23"/>
        <v>8190.9614999999994</v>
      </c>
      <c r="E120" s="163">
        <f t="shared" si="23"/>
        <v>8133.25515</v>
      </c>
      <c r="F120" s="163">
        <f t="shared" si="23"/>
        <v>8043.1078399999997</v>
      </c>
      <c r="G120" s="163">
        <f t="shared" si="23"/>
        <v>8283.4645299999993</v>
      </c>
      <c r="H120" s="163">
        <f t="shared" si="23"/>
        <v>8170.2053799999994</v>
      </c>
      <c r="I120" s="163">
        <f t="shared" si="23"/>
        <v>8545.0051199999998</v>
      </c>
      <c r="J120" s="163">
        <f t="shared" si="24"/>
        <v>49365.999519999998</v>
      </c>
    </row>
    <row r="121" spans="2:10">
      <c r="B121" s="48" t="s">
        <v>276</v>
      </c>
      <c r="D121" s="163">
        <f t="shared" si="23"/>
        <v>73952.772219999999</v>
      </c>
      <c r="E121" s="163">
        <f t="shared" si="23"/>
        <v>75943.978244999991</v>
      </c>
      <c r="F121" s="163">
        <f t="shared" si="23"/>
        <v>73088.883694999997</v>
      </c>
      <c r="G121" s="163">
        <f t="shared" si="23"/>
        <v>77092.744810000004</v>
      </c>
      <c r="H121" s="163">
        <f t="shared" si="23"/>
        <v>69224.848039999997</v>
      </c>
      <c r="I121" s="163">
        <f t="shared" si="23"/>
        <v>72071.256605000002</v>
      </c>
      <c r="J121" s="163">
        <f t="shared" si="24"/>
        <v>441374.48361499998</v>
      </c>
    </row>
    <row r="122" spans="2:10">
      <c r="B122" s="48" t="s">
        <v>277</v>
      </c>
      <c r="D122" s="163">
        <f t="shared" si="23"/>
        <v>12425.281765</v>
      </c>
      <c r="E122" s="163">
        <f t="shared" si="23"/>
        <v>12692.781975</v>
      </c>
      <c r="F122" s="163">
        <f t="shared" si="23"/>
        <v>12635.59863</v>
      </c>
      <c r="G122" s="163">
        <f t="shared" si="23"/>
        <v>11914.090525</v>
      </c>
      <c r="H122" s="163">
        <f t="shared" si="23"/>
        <v>14505.086594999999</v>
      </c>
      <c r="I122" s="163">
        <f t="shared" si="23"/>
        <v>9508.9282399999993</v>
      </c>
      <c r="J122" s="163">
        <f t="shared" si="24"/>
        <v>73681.767729999992</v>
      </c>
    </row>
    <row r="123" spans="2:10">
      <c r="B123" s="48" t="s">
        <v>278</v>
      </c>
      <c r="D123" s="163">
        <f t="shared" si="23"/>
        <v>0</v>
      </c>
      <c r="E123" s="163">
        <f t="shared" si="23"/>
        <v>0</v>
      </c>
      <c r="F123" s="163">
        <f t="shared" si="23"/>
        <v>0</v>
      </c>
      <c r="G123" s="163">
        <f t="shared" si="23"/>
        <v>0</v>
      </c>
      <c r="H123" s="163">
        <f t="shared" si="23"/>
        <v>0</v>
      </c>
      <c r="I123" s="163">
        <f t="shared" si="23"/>
        <v>0</v>
      </c>
      <c r="J123" s="163">
        <f t="shared" si="24"/>
        <v>0</v>
      </c>
    </row>
    <row r="124" spans="2:10">
      <c r="B124" s="48" t="s">
        <v>279</v>
      </c>
      <c r="D124" s="163">
        <f t="shared" ref="D124:I132" si="25">SUMIF($B$18:$B$110,$B124,D$18:D$110)</f>
        <v>53828.199069999995</v>
      </c>
      <c r="E124" s="163">
        <f t="shared" si="25"/>
        <v>53977.922070000001</v>
      </c>
      <c r="F124" s="163">
        <f t="shared" si="25"/>
        <v>52750.782399999996</v>
      </c>
      <c r="G124" s="163">
        <f t="shared" si="25"/>
        <v>54761.559359999999</v>
      </c>
      <c r="H124" s="163">
        <f t="shared" si="25"/>
        <v>52221.81192</v>
      </c>
      <c r="I124" s="163">
        <f t="shared" si="25"/>
        <v>54199.670330000001</v>
      </c>
      <c r="J124" s="163">
        <f t="shared" si="24"/>
        <v>321739.94514999999</v>
      </c>
    </row>
    <row r="125" spans="2:10">
      <c r="B125" s="48" t="s">
        <v>875</v>
      </c>
      <c r="D125" s="163">
        <f t="shared" si="25"/>
        <v>0</v>
      </c>
      <c r="E125" s="163">
        <f t="shared" si="25"/>
        <v>0</v>
      </c>
      <c r="F125" s="163">
        <f t="shared" si="25"/>
        <v>0</v>
      </c>
      <c r="G125" s="163">
        <f t="shared" si="25"/>
        <v>0</v>
      </c>
      <c r="H125" s="163">
        <f t="shared" si="25"/>
        <v>0</v>
      </c>
      <c r="I125" s="163">
        <f t="shared" si="25"/>
        <v>0</v>
      </c>
      <c r="J125" s="163">
        <f t="shared" si="24"/>
        <v>0</v>
      </c>
    </row>
    <row r="126" spans="2:10">
      <c r="B126" s="48" t="s">
        <v>874</v>
      </c>
      <c r="D126" s="163">
        <f t="shared" si="25"/>
        <v>0</v>
      </c>
      <c r="E126" s="163">
        <f t="shared" si="25"/>
        <v>0</v>
      </c>
      <c r="F126" s="163">
        <f t="shared" si="25"/>
        <v>0</v>
      </c>
      <c r="G126" s="163">
        <f t="shared" si="25"/>
        <v>0</v>
      </c>
      <c r="H126" s="163">
        <f t="shared" si="25"/>
        <v>0</v>
      </c>
      <c r="I126" s="163">
        <f t="shared" si="25"/>
        <v>0</v>
      </c>
      <c r="J126" s="163">
        <f t="shared" si="24"/>
        <v>0</v>
      </c>
    </row>
    <row r="127" spans="2:10">
      <c r="B127" s="48" t="s">
        <v>873</v>
      </c>
      <c r="D127" s="163">
        <f t="shared" si="25"/>
        <v>0</v>
      </c>
      <c r="E127" s="163">
        <f t="shared" si="25"/>
        <v>0</v>
      </c>
      <c r="F127" s="163">
        <f t="shared" si="25"/>
        <v>0</v>
      </c>
      <c r="G127" s="163">
        <f t="shared" si="25"/>
        <v>0</v>
      </c>
      <c r="H127" s="163">
        <f t="shared" si="25"/>
        <v>0</v>
      </c>
      <c r="I127" s="163">
        <f t="shared" si="25"/>
        <v>0</v>
      </c>
      <c r="J127" s="163">
        <f t="shared" si="24"/>
        <v>0</v>
      </c>
    </row>
    <row r="128" spans="2:10">
      <c r="B128" s="48" t="s">
        <v>872</v>
      </c>
      <c r="D128" s="163">
        <f t="shared" si="25"/>
        <v>0</v>
      </c>
      <c r="E128" s="163">
        <f t="shared" si="25"/>
        <v>0</v>
      </c>
      <c r="F128" s="163">
        <f t="shared" si="25"/>
        <v>0</v>
      </c>
      <c r="G128" s="163">
        <f t="shared" si="25"/>
        <v>0</v>
      </c>
      <c r="H128" s="163">
        <f t="shared" si="25"/>
        <v>0</v>
      </c>
      <c r="I128" s="163">
        <f t="shared" si="25"/>
        <v>0</v>
      </c>
      <c r="J128" s="163">
        <f t="shared" si="24"/>
        <v>0</v>
      </c>
    </row>
    <row r="129" spans="2:10">
      <c r="B129" s="48" t="s">
        <v>871</v>
      </c>
      <c r="D129" s="163">
        <f t="shared" si="25"/>
        <v>0</v>
      </c>
      <c r="E129" s="163">
        <f t="shared" si="25"/>
        <v>0</v>
      </c>
      <c r="F129" s="163">
        <f t="shared" si="25"/>
        <v>0</v>
      </c>
      <c r="G129" s="163">
        <f t="shared" si="25"/>
        <v>0</v>
      </c>
      <c r="H129" s="163">
        <f t="shared" si="25"/>
        <v>0</v>
      </c>
      <c r="I129" s="163">
        <f t="shared" si="25"/>
        <v>0</v>
      </c>
      <c r="J129" s="163">
        <f t="shared" si="24"/>
        <v>0</v>
      </c>
    </row>
    <row r="130" spans="2:10">
      <c r="B130" s="48" t="s">
        <v>870</v>
      </c>
      <c r="D130" s="163">
        <f t="shared" si="25"/>
        <v>0</v>
      </c>
      <c r="E130" s="163">
        <f t="shared" si="25"/>
        <v>0</v>
      </c>
      <c r="F130" s="163">
        <f t="shared" si="25"/>
        <v>0</v>
      </c>
      <c r="G130" s="163">
        <f t="shared" si="25"/>
        <v>0</v>
      </c>
      <c r="H130" s="163">
        <f t="shared" si="25"/>
        <v>0</v>
      </c>
      <c r="I130" s="163">
        <f t="shared" si="25"/>
        <v>0</v>
      </c>
      <c r="J130" s="163">
        <f t="shared" si="24"/>
        <v>0</v>
      </c>
    </row>
    <row r="131" spans="2:10">
      <c r="B131" s="48" t="s">
        <v>893</v>
      </c>
      <c r="D131" s="163">
        <f t="shared" si="25"/>
        <v>0</v>
      </c>
      <c r="E131" s="163">
        <f t="shared" si="25"/>
        <v>0</v>
      </c>
      <c r="F131" s="163">
        <f t="shared" si="25"/>
        <v>0</v>
      </c>
      <c r="G131" s="163">
        <f t="shared" si="25"/>
        <v>0</v>
      </c>
      <c r="H131" s="163">
        <f t="shared" si="25"/>
        <v>0</v>
      </c>
      <c r="I131" s="163">
        <f t="shared" si="25"/>
        <v>0</v>
      </c>
      <c r="J131" s="163">
        <f t="shared" si="24"/>
        <v>0</v>
      </c>
    </row>
    <row r="132" spans="2:10">
      <c r="D132" s="163">
        <f t="shared" si="25"/>
        <v>0</v>
      </c>
      <c r="E132" s="163">
        <f t="shared" si="25"/>
        <v>0</v>
      </c>
      <c r="F132" s="163">
        <f t="shared" si="25"/>
        <v>0</v>
      </c>
      <c r="G132" s="163">
        <f t="shared" si="25"/>
        <v>0</v>
      </c>
      <c r="H132" s="163">
        <f t="shared" si="25"/>
        <v>0</v>
      </c>
      <c r="I132" s="163">
        <f t="shared" si="25"/>
        <v>0</v>
      </c>
      <c r="J132" s="163">
        <f t="shared" si="24"/>
        <v>0</v>
      </c>
    </row>
    <row r="133" spans="2:10">
      <c r="B133" s="48" t="s">
        <v>111</v>
      </c>
      <c r="C133" s="139"/>
      <c r="D133" s="165">
        <f t="shared" ref="D133:J133" si="26">SUM(D114:D132)</f>
        <v>782285.63417450001</v>
      </c>
      <c r="E133" s="165">
        <f t="shared" si="26"/>
        <v>782565.75849549996</v>
      </c>
      <c r="F133" s="165">
        <f t="shared" si="26"/>
        <v>767385.11043750006</v>
      </c>
      <c r="G133" s="165">
        <f t="shared" si="26"/>
        <v>779860.26731849997</v>
      </c>
      <c r="H133" s="165">
        <f t="shared" si="26"/>
        <v>744951.15341099992</v>
      </c>
      <c r="I133" s="165">
        <f t="shared" si="26"/>
        <v>748875.7043049999</v>
      </c>
      <c r="J133" s="165">
        <f t="shared" si="26"/>
        <v>4605923.6281420011</v>
      </c>
    </row>
    <row r="134" spans="2:10">
      <c r="D134" s="166">
        <f t="shared" ref="D134:I134" si="27">D133-D110</f>
        <v>0</v>
      </c>
      <c r="E134" s="166">
        <f t="shared" si="27"/>
        <v>0</v>
      </c>
      <c r="F134" s="166">
        <f t="shared" si="27"/>
        <v>0</v>
      </c>
      <c r="G134" s="166">
        <f t="shared" si="27"/>
        <v>0</v>
      </c>
      <c r="H134" s="166">
        <f t="shared" si="27"/>
        <v>0</v>
      </c>
      <c r="I134" s="166">
        <f t="shared" si="27"/>
        <v>0</v>
      </c>
      <c r="J134" s="166">
        <f>J133-J111</f>
        <v>0</v>
      </c>
    </row>
  </sheetData>
  <printOptions horizontalCentered="1" verticalCentered="1"/>
  <pageMargins left="0.51181102362204722" right="0.31496062992125984" top="0.78740157480314965" bottom="0.82677165354330717" header="0.31496062992125984" footer="0.23622047244094491"/>
  <pageSetup scale="54" orientation="portrait" horizontalDpi="300" r:id="rId1"/>
  <headerFooter alignWithMargins="0">
    <oddHeader>&amp;L
NOMBRE DE LA DISTRIBUIDORA: &amp;UELEKTRA NORESTE, S.A.&amp;R&amp;9&amp;A</oddHeader>
  </headerFooter>
  <rowBreaks count="1" manualBreakCount="1">
    <brk id="112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E96B5-4BA3-430B-8736-6EBD0474EE15}">
  <sheetPr codeName="Hoja49">
    <tabColor theme="5" tint="0.79998168889431442"/>
  </sheetPr>
  <dimension ref="B1:K134"/>
  <sheetViews>
    <sheetView view="pageBreakPreview" topLeftCell="A59" zoomScale="85" zoomScaleNormal="100" zoomScaleSheetLayoutView="85" workbookViewId="0">
      <selection activeCell="D89" sqref="D89:I108"/>
    </sheetView>
  </sheetViews>
  <sheetFormatPr baseColWidth="10" defaultColWidth="8" defaultRowHeight="15"/>
  <cols>
    <col min="1" max="1" width="3.5" style="63" customWidth="1"/>
    <col min="2" max="2" width="5.625" style="48" bestFit="1" customWidth="1"/>
    <col min="3" max="3" width="30.125" style="63" customWidth="1"/>
    <col min="4" max="10" width="11.25" style="63" customWidth="1"/>
    <col min="11" max="11" width="4.625" style="63" customWidth="1"/>
    <col min="12" max="16384" width="8" style="63"/>
  </cols>
  <sheetData>
    <row r="1" spans="2:11" s="69" customFormat="1" ht="15.75">
      <c r="B1" s="48"/>
      <c r="C1" s="136" t="s">
        <v>151</v>
      </c>
    </row>
    <row r="2" spans="2:11" s="69" customFormat="1" ht="15.75">
      <c r="B2" s="48"/>
      <c r="D2" s="137" t="s">
        <v>316</v>
      </c>
    </row>
    <row r="3" spans="2:11" s="69" customFormat="1" ht="15.75">
      <c r="B3" s="48"/>
      <c r="D3" s="137"/>
    </row>
    <row r="4" spans="2:11" ht="15.75">
      <c r="C4" s="219" t="s">
        <v>1533</v>
      </c>
      <c r="D4" s="219"/>
      <c r="E4" s="219"/>
      <c r="F4" s="219"/>
      <c r="G4" s="219"/>
      <c r="H4" s="219"/>
      <c r="I4" s="219"/>
      <c r="J4" s="219"/>
    </row>
    <row r="5" spans="2:11" ht="15" customHeight="1">
      <c r="C5" s="259"/>
      <c r="D5" s="259"/>
      <c r="E5" s="259"/>
      <c r="F5" s="259"/>
      <c r="G5" s="259"/>
      <c r="H5" s="259"/>
      <c r="I5" s="259"/>
      <c r="J5" s="259"/>
    </row>
    <row r="6" spans="2:11" s="143" customFormat="1" ht="49.5" customHeight="1">
      <c r="B6" s="48"/>
      <c r="C6" s="220" t="s">
        <v>670</v>
      </c>
      <c r="D6" s="260" t="s">
        <v>259</v>
      </c>
      <c r="E6" s="260" t="s">
        <v>260</v>
      </c>
      <c r="F6" s="221"/>
      <c r="G6" s="69"/>
    </row>
    <row r="7" spans="2:11" s="143" customFormat="1" ht="15.75">
      <c r="B7" s="48"/>
      <c r="C7" s="261" t="s">
        <v>266</v>
      </c>
      <c r="D7" s="262">
        <f>RAT1000PT!$F$74</f>
        <v>2.0600000000000002E-3</v>
      </c>
      <c r="E7" s="263"/>
      <c r="F7" s="69"/>
      <c r="G7" s="69"/>
    </row>
    <row r="8" spans="2:11" s="143" customFormat="1" ht="15.75">
      <c r="B8" s="48"/>
      <c r="C8" s="261" t="s">
        <v>265</v>
      </c>
      <c r="D8" s="262">
        <f>RAT1000PT!$F$73</f>
        <v>2.0600000000000002E-3</v>
      </c>
      <c r="E8" s="262"/>
      <c r="F8" s="69"/>
      <c r="G8" s="69"/>
    </row>
    <row r="9" spans="2:11" s="143" customFormat="1" ht="15.75">
      <c r="B9" s="48"/>
      <c r="C9" s="261" t="s">
        <v>264</v>
      </c>
      <c r="D9" s="262">
        <f>RAT1000PT!$F$72</f>
        <v>2.0600000000000002E-3</v>
      </c>
      <c r="E9" s="262"/>
      <c r="F9" s="69"/>
      <c r="G9" s="69"/>
    </row>
    <row r="10" spans="2:11" s="143" customFormat="1" ht="14.25" customHeight="1">
      <c r="B10" s="48"/>
      <c r="C10" s="261" t="s">
        <v>262</v>
      </c>
      <c r="D10" s="262">
        <f>RAT1000PT!$F$71</f>
        <v>2.0600000000000002E-3</v>
      </c>
      <c r="E10" s="262"/>
      <c r="F10" s="69"/>
      <c r="G10" s="69"/>
      <c r="H10" s="69"/>
      <c r="I10" s="69"/>
      <c r="J10" s="69"/>
      <c r="K10" s="69"/>
    </row>
    <row r="11" spans="2:11" s="143" customFormat="1" ht="15.75">
      <c r="B11" s="48"/>
      <c r="C11" s="261" t="s">
        <v>263</v>
      </c>
      <c r="D11" s="262">
        <f>RAT1000PT!$F$70</f>
        <v>2.0600000000000002E-3</v>
      </c>
      <c r="E11" s="262"/>
      <c r="F11" s="69"/>
      <c r="G11" s="69"/>
    </row>
    <row r="12" spans="2:11" s="143" customFormat="1" ht="15.75">
      <c r="B12" s="48"/>
      <c r="C12" s="261" t="s">
        <v>261</v>
      </c>
      <c r="D12" s="262">
        <f>RAT1000PT!$F$69</f>
        <v>2.0600000000000002E-3</v>
      </c>
      <c r="E12" s="262"/>
      <c r="F12" s="69"/>
      <c r="G12" s="69"/>
    </row>
    <row r="13" spans="2:11" s="143" customFormat="1" ht="15.75">
      <c r="B13" s="48"/>
      <c r="C13" s="261" t="s">
        <v>1768</v>
      </c>
      <c r="D13" s="262">
        <f>RAT1000PT!$F$66</f>
        <v>2.1299999999999999E-3</v>
      </c>
      <c r="E13" s="262"/>
      <c r="F13" s="69"/>
      <c r="G13" s="69"/>
    </row>
    <row r="14" spans="2:11" s="143" customFormat="1" ht="15.75">
      <c r="B14" s="48"/>
      <c r="C14" s="261" t="s">
        <v>2071</v>
      </c>
      <c r="D14" s="262">
        <f>RAT1000PT!$F$67</f>
        <v>2.1299999999999999E-3</v>
      </c>
      <c r="E14" s="262"/>
      <c r="F14" s="69"/>
      <c r="G14" s="69"/>
    </row>
    <row r="15" spans="2:11" s="143" customFormat="1" ht="15.75">
      <c r="B15" s="48"/>
      <c r="C15" s="261" t="s">
        <v>1178</v>
      </c>
      <c r="D15" s="262">
        <f>RAT1000PT!$F$68</f>
        <v>2.1299999999999999E-3</v>
      </c>
      <c r="E15" s="262"/>
      <c r="F15" s="69"/>
      <c r="G15" s="69"/>
    </row>
    <row r="16" spans="2:11" s="143" customFormat="1" ht="13.5">
      <c r="B16" s="48"/>
      <c r="C16" s="147"/>
    </row>
    <row r="17" spans="2:11" s="143" customFormat="1" ht="39" customHeight="1">
      <c r="B17" s="48"/>
      <c r="C17" s="149" t="s">
        <v>671</v>
      </c>
      <c r="D17" s="149"/>
      <c r="E17" s="149"/>
      <c r="F17" s="149"/>
      <c r="G17" s="149"/>
      <c r="H17" s="149"/>
      <c r="I17" s="264"/>
      <c r="J17" s="264"/>
    </row>
    <row r="18" spans="2:11" s="37" customFormat="1" ht="15.75">
      <c r="B18" s="48"/>
      <c r="C18" s="150" t="s">
        <v>310</v>
      </c>
      <c r="D18" s="151">
        <f>F821EO!D4</f>
        <v>45839</v>
      </c>
      <c r="E18" s="151">
        <f>F821EO!E4</f>
        <v>45870</v>
      </c>
      <c r="F18" s="151">
        <f>F821EO!F4</f>
        <v>45901</v>
      </c>
      <c r="G18" s="151">
        <f>F821EO!G4</f>
        <v>45931</v>
      </c>
      <c r="H18" s="151">
        <f>F821EO!H4</f>
        <v>45962</v>
      </c>
      <c r="I18" s="151">
        <f>F821EO!I4</f>
        <v>45992</v>
      </c>
      <c r="J18" s="151" t="s">
        <v>111</v>
      </c>
      <c r="K18" s="69"/>
    </row>
    <row r="19" spans="2:11" s="37" customFormat="1" ht="15.75">
      <c r="B19" s="48"/>
      <c r="C19" s="153" t="s">
        <v>446</v>
      </c>
      <c r="D19" s="154">
        <f t="shared" ref="D19:I19" si="0">SUM(D20:D21)</f>
        <v>40495.444191799914</v>
      </c>
      <c r="E19" s="154">
        <f t="shared" si="0"/>
        <v>40660.658163498047</v>
      </c>
      <c r="F19" s="154">
        <f t="shared" si="0"/>
        <v>40197.123841815497</v>
      </c>
      <c r="G19" s="154">
        <f t="shared" si="0"/>
        <v>39917.502209795588</v>
      </c>
      <c r="H19" s="154">
        <f t="shared" si="0"/>
        <v>37252.713305703306</v>
      </c>
      <c r="I19" s="154">
        <f t="shared" si="0"/>
        <v>39746.68212698766</v>
      </c>
      <c r="J19" s="154">
        <f>SUM(D19:I19)</f>
        <v>238270.12383960001</v>
      </c>
      <c r="K19" s="69"/>
    </row>
    <row r="20" spans="2:11" s="37" customFormat="1" ht="15.75">
      <c r="B20" s="48" t="s">
        <v>279</v>
      </c>
      <c r="C20" s="155" t="s">
        <v>279</v>
      </c>
      <c r="D20" s="156">
        <f>$D$7*F821EO!D6</f>
        <v>40494.414191799915</v>
      </c>
      <c r="E20" s="156">
        <f>$D$7*F821EO!E6</f>
        <v>40659.628163498048</v>
      </c>
      <c r="F20" s="156">
        <f>$D$7*F821EO!F6</f>
        <v>40196.093841815498</v>
      </c>
      <c r="G20" s="156">
        <f>$D$7*F821EO!G6</f>
        <v>39916.472209795589</v>
      </c>
      <c r="H20" s="156">
        <f>$D$7*F821EO!H6</f>
        <v>37251.683305703307</v>
      </c>
      <c r="I20" s="156">
        <f>$D$7*F821EO!I6</f>
        <v>39745.652126987661</v>
      </c>
      <c r="J20" s="156">
        <f t="shared" ref="J20:J83" si="1">SUM(D20:I20)</f>
        <v>238263.94383960002</v>
      </c>
      <c r="K20" s="69"/>
    </row>
    <row r="21" spans="2:11" s="37" customFormat="1" ht="15.75">
      <c r="B21" s="48" t="s">
        <v>278</v>
      </c>
      <c r="C21" s="155" t="s">
        <v>278</v>
      </c>
      <c r="D21" s="156">
        <f>$D$8*F821EO!D7</f>
        <v>1.03</v>
      </c>
      <c r="E21" s="156">
        <f>$D$8*F821EO!E7</f>
        <v>1.03</v>
      </c>
      <c r="F21" s="156">
        <f>$D$8*F821EO!F7</f>
        <v>1.03</v>
      </c>
      <c r="G21" s="156">
        <f>$D$8*F821EO!G7</f>
        <v>1.03</v>
      </c>
      <c r="H21" s="156">
        <f>$D$8*F821EO!H7</f>
        <v>1.03</v>
      </c>
      <c r="I21" s="156">
        <f>$D$8*F821EO!I7</f>
        <v>1.03</v>
      </c>
      <c r="J21" s="156">
        <f t="shared" si="1"/>
        <v>6.1800000000000006</v>
      </c>
      <c r="K21" s="69"/>
    </row>
    <row r="22" spans="2:11" s="37" customFormat="1" ht="15.75">
      <c r="B22" s="48"/>
      <c r="C22" s="157"/>
      <c r="D22" s="156"/>
      <c r="E22" s="156"/>
      <c r="F22" s="156"/>
      <c r="G22" s="156"/>
      <c r="H22" s="156"/>
      <c r="I22" s="156"/>
      <c r="J22" s="156">
        <f t="shared" si="1"/>
        <v>0</v>
      </c>
      <c r="K22" s="69"/>
    </row>
    <row r="23" spans="2:11" s="37" customFormat="1" ht="15.75">
      <c r="B23" s="48"/>
      <c r="C23" s="153" t="s">
        <v>630</v>
      </c>
      <c r="D23" s="154">
        <f>SUBTOTAL(9,D24:D31)</f>
        <v>64962.326983455845</v>
      </c>
      <c r="E23" s="154">
        <f t="shared" ref="E23:I23" si="2">SUBTOTAL(9,E24:E31)</f>
        <v>65227.361341416123</v>
      </c>
      <c r="F23" s="154">
        <f t="shared" si="2"/>
        <v>64483.764900528229</v>
      </c>
      <c r="G23" s="154">
        <f t="shared" si="2"/>
        <v>64035.19908643591</v>
      </c>
      <c r="H23" s="154">
        <f t="shared" si="2"/>
        <v>59760.375298613842</v>
      </c>
      <c r="I23" s="154">
        <f t="shared" si="2"/>
        <v>63761.17146935012</v>
      </c>
      <c r="J23" s="154">
        <f t="shared" si="1"/>
        <v>382230.19907980005</v>
      </c>
      <c r="K23" s="69"/>
    </row>
    <row r="24" spans="2:11" s="37" customFormat="1" ht="15.75">
      <c r="B24" s="48" t="s">
        <v>277</v>
      </c>
      <c r="C24" s="155" t="s">
        <v>277</v>
      </c>
      <c r="D24" s="154">
        <f>SUBTOTAL(9,D25:D26)</f>
        <v>9064.1108265827115</v>
      </c>
      <c r="E24" s="154">
        <f t="shared" ref="E24:I24" si="3">SUBTOTAL(9,E25:E26)</f>
        <v>9101.0907333218274</v>
      </c>
      <c r="F24" s="154">
        <f t="shared" si="3"/>
        <v>8997.3376680694564</v>
      </c>
      <c r="G24" s="154">
        <f t="shared" si="3"/>
        <v>8934.7498507798373</v>
      </c>
      <c r="H24" s="154">
        <f t="shared" si="3"/>
        <v>8338.2891269083048</v>
      </c>
      <c r="I24" s="154">
        <f t="shared" si="3"/>
        <v>8896.5151260378716</v>
      </c>
      <c r="J24" s="154">
        <f t="shared" si="1"/>
        <v>53332.093331700009</v>
      </c>
      <c r="K24" s="69"/>
    </row>
    <row r="25" spans="2:11" s="37" customFormat="1" ht="15.75">
      <c r="B25" s="48"/>
      <c r="C25" s="160" t="s">
        <v>304</v>
      </c>
      <c r="D25" s="156">
        <f>$D$9*F821EO!D11</f>
        <v>7696.8486633498387</v>
      </c>
      <c r="E25" s="156">
        <f>$D$9*F821EO!E11</f>
        <v>7728.2503916827518</v>
      </c>
      <c r="F25" s="156">
        <f>$D$9*F821EO!F11</f>
        <v>7640.1478014910972</v>
      </c>
      <c r="G25" s="156">
        <f>$D$9*F821EO!G11</f>
        <v>7587.0009493547796</v>
      </c>
      <c r="H25" s="156">
        <f>$D$9*F821EO!H11</f>
        <v>7080.5124461684045</v>
      </c>
      <c r="I25" s="156">
        <f>$D$9*F821EO!I11</f>
        <v>7554.5336841531353</v>
      </c>
      <c r="J25" s="156">
        <f t="shared" si="1"/>
        <v>45287.293936200003</v>
      </c>
      <c r="K25" s="69"/>
    </row>
    <row r="26" spans="2:11" s="37" customFormat="1" ht="15.75">
      <c r="B26" s="48"/>
      <c r="C26" s="160" t="s">
        <v>305</v>
      </c>
      <c r="D26" s="156">
        <f>($D$9*F821EO!D12)*95%</f>
        <v>1367.2621632328726</v>
      </c>
      <c r="E26" s="156">
        <f>($D$9*F821EO!E12)*95%</f>
        <v>1372.8403416390752</v>
      </c>
      <c r="F26" s="156">
        <f>($D$9*F821EO!F12)*95%</f>
        <v>1357.1898665783597</v>
      </c>
      <c r="G26" s="156">
        <f>($D$9*F821EO!G12)*95%</f>
        <v>1347.7489014250582</v>
      </c>
      <c r="H26" s="156">
        <f>($D$9*F821EO!H12)*95%</f>
        <v>1257.7766807398993</v>
      </c>
      <c r="I26" s="156">
        <f>($D$9*F821EO!I12)*95%</f>
        <v>1341.9814418847359</v>
      </c>
      <c r="J26" s="156">
        <f t="shared" si="1"/>
        <v>8044.7993955000002</v>
      </c>
      <c r="K26" s="69"/>
    </row>
    <row r="27" spans="2:11" s="37" customFormat="1" ht="15.75">
      <c r="B27" s="48" t="s">
        <v>276</v>
      </c>
      <c r="C27" s="158" t="s">
        <v>276</v>
      </c>
      <c r="D27" s="154">
        <f>SUBTOTAL(9,D28:D31)</f>
        <v>55898.216156873132</v>
      </c>
      <c r="E27" s="154">
        <f t="shared" ref="E27:I27" si="4">SUBTOTAL(9,E28:E31)</f>
        <v>56126.270608094295</v>
      </c>
      <c r="F27" s="154">
        <f t="shared" si="4"/>
        <v>55486.427232458773</v>
      </c>
      <c r="G27" s="154">
        <f t="shared" si="4"/>
        <v>55100.449235656073</v>
      </c>
      <c r="H27" s="154">
        <f t="shared" si="4"/>
        <v>51422.086171705538</v>
      </c>
      <c r="I27" s="154">
        <f t="shared" si="4"/>
        <v>54864.65634331225</v>
      </c>
      <c r="J27" s="154">
        <f t="shared" si="1"/>
        <v>328898.10574810003</v>
      </c>
      <c r="K27" s="69"/>
    </row>
    <row r="28" spans="2:11" s="37" customFormat="1" ht="15.75">
      <c r="B28" s="48"/>
      <c r="C28" s="160" t="s">
        <v>304</v>
      </c>
      <c r="D28" s="156">
        <f>($D$10*F821EO!D15)*1</f>
        <v>55721.214279703585</v>
      </c>
      <c r="E28" s="156">
        <f>($D$10*F821EO!E15)*1</f>
        <v>55948.546595788095</v>
      </c>
      <c r="F28" s="156">
        <f>($D$10*F821EO!F15)*1</f>
        <v>55310.729286212787</v>
      </c>
      <c r="G28" s="156">
        <f>($D$10*F821EO!G15)*1</f>
        <v>54925.973489950236</v>
      </c>
      <c r="H28" s="156">
        <f>($D$10*F821EO!H15)*1</f>
        <v>51259.257974204156</v>
      </c>
      <c r="I28" s="156">
        <f>($D$10*F821EO!I15)*1</f>
        <v>54690.927236541203</v>
      </c>
      <c r="J28" s="156">
        <f t="shared" si="1"/>
        <v>327856.64886240009</v>
      </c>
      <c r="K28" s="69"/>
    </row>
    <row r="29" spans="2:11" s="37" customFormat="1" ht="15.75">
      <c r="B29" s="48"/>
      <c r="C29" s="161" t="s">
        <v>306</v>
      </c>
      <c r="D29" s="156">
        <f>($D$10*F821EO!D16)*1</f>
        <v>0</v>
      </c>
      <c r="E29" s="156">
        <f>($D$10*F821EO!E16)*1</f>
        <v>0</v>
      </c>
      <c r="F29" s="156">
        <f>($D$10*F821EO!F16)*1</f>
        <v>0</v>
      </c>
      <c r="G29" s="156">
        <f>($D$10*F821EO!G16)*1</f>
        <v>0</v>
      </c>
      <c r="H29" s="156">
        <f>($D$10*F821EO!H16)*1</f>
        <v>0</v>
      </c>
      <c r="I29" s="156">
        <f>($D$10*F821EO!I16)*1</f>
        <v>0</v>
      </c>
      <c r="J29" s="156">
        <f t="shared" si="1"/>
        <v>0</v>
      </c>
      <c r="K29" s="69"/>
    </row>
    <row r="30" spans="2:11" s="37" customFormat="1" ht="15.75">
      <c r="B30" s="48"/>
      <c r="C30" s="160" t="s">
        <v>305</v>
      </c>
      <c r="D30" s="156">
        <f>($D$10*F821EO!D17)*0.95</f>
        <v>177.00187716954892</v>
      </c>
      <c r="E30" s="156">
        <f>($D$10*F821EO!E17)*0.95</f>
        <v>177.72401230620036</v>
      </c>
      <c r="F30" s="156">
        <f>($D$10*F821EO!F17)*0.95</f>
        <v>175.69794624598563</v>
      </c>
      <c r="G30" s="156">
        <f>($D$10*F821EO!G17)*0.95</f>
        <v>174.47574570583799</v>
      </c>
      <c r="H30" s="156">
        <f>($D$10*F821EO!H17)*0.95</f>
        <v>162.82819750138023</v>
      </c>
      <c r="I30" s="156">
        <f>($D$10*F821EO!I17)*0.95</f>
        <v>173.72910677104682</v>
      </c>
      <c r="J30" s="156">
        <f t="shared" si="1"/>
        <v>1041.4568856999999</v>
      </c>
      <c r="K30" s="69"/>
    </row>
    <row r="31" spans="2:11" s="37" customFormat="1" ht="15.75">
      <c r="B31" s="48"/>
      <c r="C31" s="160" t="s">
        <v>307</v>
      </c>
      <c r="D31" s="156">
        <f>($D$10*F821EO!D18)*0.5</f>
        <v>0</v>
      </c>
      <c r="E31" s="156">
        <f>($D$10*F821EO!E18)*0.5</f>
        <v>0</v>
      </c>
      <c r="F31" s="156">
        <f>($D$10*F821EO!F18)*0.5</f>
        <v>0</v>
      </c>
      <c r="G31" s="156">
        <f>($D$10*F821EO!G18)*0.5</f>
        <v>0</v>
      </c>
      <c r="H31" s="156">
        <f>($D$10*F821EO!H18)*0.5</f>
        <v>0</v>
      </c>
      <c r="I31" s="156">
        <f>($D$10*F821EO!I18)*0.5</f>
        <v>0</v>
      </c>
      <c r="J31" s="156">
        <f t="shared" si="1"/>
        <v>0</v>
      </c>
      <c r="K31" s="69"/>
    </row>
    <row r="32" spans="2:11" s="37" customFormat="1" ht="15.75">
      <c r="B32" s="48"/>
      <c r="C32" s="157"/>
      <c r="D32" s="156"/>
      <c r="E32" s="156"/>
      <c r="F32" s="156"/>
      <c r="G32" s="156"/>
      <c r="H32" s="156"/>
      <c r="I32" s="156"/>
      <c r="J32" s="156">
        <f t="shared" si="1"/>
        <v>0</v>
      </c>
      <c r="K32" s="69"/>
    </row>
    <row r="33" spans="2:11" s="37" customFormat="1" ht="15.75">
      <c r="B33" s="48"/>
      <c r="C33" s="153" t="s">
        <v>443</v>
      </c>
      <c r="D33" s="154">
        <f t="shared" ref="D33:I33" si="5">SUBTOTAL(9,D34:D108)</f>
        <v>460866.86542269011</v>
      </c>
      <c r="E33" s="154">
        <f t="shared" si="5"/>
        <v>462765.64478305721</v>
      </c>
      <c r="F33" s="154">
        <f t="shared" si="5"/>
        <v>457420.90087506449</v>
      </c>
      <c r="G33" s="154">
        <f t="shared" si="5"/>
        <v>454192.01608568145</v>
      </c>
      <c r="H33" s="154">
        <f t="shared" si="5"/>
        <v>423457.05929595337</v>
      </c>
      <c r="I33" s="154">
        <f t="shared" si="5"/>
        <v>452226.05305870884</v>
      </c>
      <c r="J33" s="154">
        <f t="shared" si="1"/>
        <v>2710928.5395211559</v>
      </c>
      <c r="K33" s="69"/>
    </row>
    <row r="34" spans="2:11" s="37" customFormat="1" ht="15.75">
      <c r="B34" s="48" t="s">
        <v>275</v>
      </c>
      <c r="C34" s="155" t="s">
        <v>275</v>
      </c>
      <c r="D34" s="154">
        <f>SUBTOTAL(9,D35:D37)</f>
        <v>6270.8868657968487</v>
      </c>
      <c r="E34" s="154">
        <f t="shared" ref="E34:I34" si="6">SUBTOTAL(9,E35:E37)</f>
        <v>6296.4709320009615</v>
      </c>
      <c r="F34" s="154">
        <f t="shared" si="6"/>
        <v>6224.6907269014027</v>
      </c>
      <c r="G34" s="154">
        <f t="shared" si="6"/>
        <v>6181.3901617484116</v>
      </c>
      <c r="H34" s="154">
        <f t="shared" si="6"/>
        <v>5768.7365886786483</v>
      </c>
      <c r="I34" s="154">
        <f t="shared" si="6"/>
        <v>6154.9379660737313</v>
      </c>
      <c r="J34" s="154">
        <f t="shared" si="1"/>
        <v>36897.113241200001</v>
      </c>
      <c r="K34" s="69"/>
    </row>
    <row r="35" spans="2:11" s="37" customFormat="1" ht="15.75">
      <c r="B35" s="48"/>
      <c r="C35" s="160" t="s">
        <v>304</v>
      </c>
      <c r="D35" s="156">
        <f>$D$11*F821EO!D22</f>
        <v>6177.2198797770079</v>
      </c>
      <c r="E35" s="156">
        <f>$D$11*F821EO!E22</f>
        <v>6202.4218018884667</v>
      </c>
      <c r="F35" s="156">
        <f>$D$11*F821EO!F22</f>
        <v>6131.7137633917264</v>
      </c>
      <c r="G35" s="156">
        <f>$D$11*F821EO!G22</f>
        <v>6089.0599701415995</v>
      </c>
      <c r="H35" s="156">
        <f>$D$11*F821EO!H22</f>
        <v>5682.5701211649275</v>
      </c>
      <c r="I35" s="156">
        <f>$D$11*F821EO!I22</f>
        <v>6063.0028856362769</v>
      </c>
      <c r="J35" s="156">
        <f t="shared" si="1"/>
        <v>36345.988422000009</v>
      </c>
      <c r="K35" s="69"/>
    </row>
    <row r="36" spans="2:11" s="37" customFormat="1" ht="15.75">
      <c r="B36" s="48"/>
      <c r="C36" s="161" t="s">
        <v>306</v>
      </c>
      <c r="D36" s="156">
        <f>$D$11*F821EO!D23</f>
        <v>26.630526917246065</v>
      </c>
      <c r="E36" s="156">
        <f>$D$11*F821EO!E23</f>
        <v>26.739174573994166</v>
      </c>
      <c r="F36" s="156">
        <f>$D$11*F821EO!F23</f>
        <v>26.43434613027668</v>
      </c>
      <c r="G36" s="156">
        <f>$D$11*F821EO!G23</f>
        <v>26.250461954000418</v>
      </c>
      <c r="H36" s="156">
        <f>$D$11*F821EO!H23</f>
        <v>24.498049205961518</v>
      </c>
      <c r="I36" s="156">
        <f>$D$11*F821EO!I23</f>
        <v>26.138127618521171</v>
      </c>
      <c r="J36" s="156">
        <f t="shared" si="1"/>
        <v>156.6906864</v>
      </c>
      <c r="K36" s="69"/>
    </row>
    <row r="37" spans="2:11" s="37" customFormat="1" ht="15.75">
      <c r="B37" s="48"/>
      <c r="C37" s="160" t="s">
        <v>305</v>
      </c>
      <c r="D37" s="156">
        <f>($D$11*F821EO!D24)*95%</f>
        <v>67.036459102594179</v>
      </c>
      <c r="E37" s="156">
        <f>($D$11*F821EO!E24)*95%</f>
        <v>67.309955538500958</v>
      </c>
      <c r="F37" s="156">
        <f>($D$11*F821EO!F24)*95%</f>
        <v>66.542617379399758</v>
      </c>
      <c r="G37" s="156">
        <f>($D$11*F821EO!G24)*95%</f>
        <v>66.079729652812006</v>
      </c>
      <c r="H37" s="156">
        <f>($D$11*F821EO!H24)*95%</f>
        <v>61.668418307759474</v>
      </c>
      <c r="I37" s="156">
        <f>($D$11*F821EO!I24)*95%</f>
        <v>65.796952818933633</v>
      </c>
      <c r="J37" s="156">
        <f t="shared" si="1"/>
        <v>394.43413279999993</v>
      </c>
      <c r="K37" s="69"/>
    </row>
    <row r="38" spans="2:11" s="37" customFormat="1" ht="15.75">
      <c r="B38" s="48" t="s">
        <v>274</v>
      </c>
      <c r="C38" s="158" t="s">
        <v>627</v>
      </c>
      <c r="D38" s="154">
        <f t="shared" ref="D38:I38" si="7">SUBTOTAL(9,D39:D44)</f>
        <v>72972.636147641984</v>
      </c>
      <c r="E38" s="154">
        <f t="shared" si="7"/>
        <v>73270.351095183563</v>
      </c>
      <c r="F38" s="154">
        <f t="shared" si="7"/>
        <v>72435.064013558382</v>
      </c>
      <c r="G38" s="154">
        <f t="shared" si="7"/>
        <v>71931.186898005442</v>
      </c>
      <c r="H38" s="154">
        <f t="shared" si="7"/>
        <v>67129.247445567584</v>
      </c>
      <c r="I38" s="154">
        <f t="shared" si="7"/>
        <v>71623.369759603069</v>
      </c>
      <c r="J38" s="154">
        <f t="shared" si="1"/>
        <v>429361.85535956</v>
      </c>
      <c r="K38" s="69"/>
    </row>
    <row r="39" spans="2:11" s="37" customFormat="1" ht="15.75">
      <c r="B39" s="48"/>
      <c r="C39" s="160" t="s">
        <v>304</v>
      </c>
      <c r="D39" s="156">
        <f>$D$12*F821EO!D28*1</f>
        <v>72852.31368030583</v>
      </c>
      <c r="E39" s="156">
        <f>$D$12*F821EO!E28*1</f>
        <v>73149.53773428865</v>
      </c>
      <c r="F39" s="156">
        <f>$D$12*F821EO!F28*1</f>
        <v>72315.627933352502</v>
      </c>
      <c r="G39" s="156">
        <f>$D$12*F821EO!G28*1</f>
        <v>71812.581646189195</v>
      </c>
      <c r="H39" s="156">
        <f>$D$12*F821EO!H28*1</f>
        <v>67018.559972708201</v>
      </c>
      <c r="I39" s="156">
        <f>$D$12*F821EO!I28*1</f>
        <v>71505.272058555653</v>
      </c>
      <c r="J39" s="156">
        <f t="shared" si="1"/>
        <v>428653.8930254</v>
      </c>
      <c r="K39" s="69"/>
    </row>
    <row r="40" spans="2:11" s="37" customFormat="1" ht="15.75">
      <c r="B40" s="48"/>
      <c r="C40" s="161" t="s">
        <v>628</v>
      </c>
      <c r="D40" s="156">
        <f>$D$12*F821EO!D29*0.75</f>
        <v>0</v>
      </c>
      <c r="E40" s="156">
        <f>$D$12*F821EO!E29*0.75</f>
        <v>0</v>
      </c>
      <c r="F40" s="156">
        <f>$D$12*F821EO!F29*0.75</f>
        <v>0</v>
      </c>
      <c r="G40" s="156">
        <f>$D$12*F821EO!G29*0.75</f>
        <v>0</v>
      </c>
      <c r="H40" s="156">
        <f>$D$12*F821EO!H29*0.75</f>
        <v>0</v>
      </c>
      <c r="I40" s="156">
        <f>$D$12*F821EO!I29*0.75</f>
        <v>0</v>
      </c>
      <c r="J40" s="156">
        <f t="shared" si="1"/>
        <v>0</v>
      </c>
      <c r="K40" s="69"/>
    </row>
    <row r="41" spans="2:11" s="37" customFormat="1" ht="15.75">
      <c r="B41" s="48"/>
      <c r="C41" s="161" t="s">
        <v>629</v>
      </c>
      <c r="D41" s="156">
        <f>$D$12*F821EO!D30*1</f>
        <v>57.542247848704378</v>
      </c>
      <c r="E41" s="156">
        <f>$D$12*F821EO!E30*1</f>
        <v>57.777009647154983</v>
      </c>
      <c r="F41" s="156">
        <f>$D$12*F821EO!F30*1</f>
        <v>57.11834773204405</v>
      </c>
      <c r="G41" s="156">
        <f>$D$12*F821EO!G30*1</f>
        <v>56.721017672461528</v>
      </c>
      <c r="H41" s="156">
        <f>$D$12*F821EO!H30*1</f>
        <v>52.934469663320165</v>
      </c>
      <c r="I41" s="156">
        <f>$D$12*F821EO!I30*1</f>
        <v>56.47828983631495</v>
      </c>
      <c r="J41" s="156">
        <f t="shared" si="1"/>
        <v>338.57138240000006</v>
      </c>
      <c r="K41" s="69"/>
    </row>
    <row r="42" spans="2:11" s="37" customFormat="1" ht="15.75">
      <c r="B42" s="48"/>
      <c r="C42" s="160" t="s">
        <v>305</v>
      </c>
      <c r="D42" s="156">
        <f>$D$12*F821EO!D31*0.95</f>
        <v>62.780219487454005</v>
      </c>
      <c r="E42" s="156">
        <f>$D$12*F821EO!E31*0.95</f>
        <v>63.036351247769481</v>
      </c>
      <c r="F42" s="156">
        <f>$D$12*F821EO!F31*0.95</f>
        <v>62.317732473831157</v>
      </c>
      <c r="G42" s="156">
        <f>$D$12*F821EO!G31*0.95</f>
        <v>61.884234143784333</v>
      </c>
      <c r="H42" s="156">
        <f>$D$12*F821EO!H31*0.95</f>
        <v>57.753003196068946</v>
      </c>
      <c r="I42" s="156">
        <f>$D$12*F821EO!I31*0.95</f>
        <v>61.619411211092107</v>
      </c>
      <c r="J42" s="156">
        <f t="shared" si="1"/>
        <v>369.39095176000001</v>
      </c>
      <c r="K42" s="69"/>
    </row>
    <row r="43" spans="2:11" s="37" customFormat="1" ht="15.75">
      <c r="B43" s="48"/>
      <c r="C43" s="160" t="s">
        <v>307</v>
      </c>
      <c r="D43" s="156">
        <f>$D$12*F821EO!D32*0.5</f>
        <v>0</v>
      </c>
      <c r="E43" s="156">
        <f>$D$12*F821EO!E32*0.5</f>
        <v>0</v>
      </c>
      <c r="F43" s="156">
        <f>$D$12*F821EO!F32*0.5</f>
        <v>0</v>
      </c>
      <c r="G43" s="156">
        <f>$D$12*F821EO!G32*0.5</f>
        <v>0</v>
      </c>
      <c r="H43" s="156">
        <f>$D$12*F821EO!H32*0.5</f>
        <v>0</v>
      </c>
      <c r="I43" s="156">
        <f>$D$12*F821EO!I32*0.5</f>
        <v>0</v>
      </c>
      <c r="J43" s="156">
        <f t="shared" si="1"/>
        <v>0</v>
      </c>
      <c r="K43" s="69"/>
    </row>
    <row r="44" spans="2:11" s="37" customFormat="1" ht="15.75">
      <c r="B44" s="48"/>
      <c r="C44" s="160" t="s">
        <v>624</v>
      </c>
      <c r="D44" s="156">
        <f>$D$12*F821EO!D33*0</f>
        <v>0</v>
      </c>
      <c r="E44" s="156">
        <f>$D$12*F821EO!E33*0</f>
        <v>0</v>
      </c>
      <c r="F44" s="156">
        <f>$D$12*F821EO!F33*0</f>
        <v>0</v>
      </c>
      <c r="G44" s="156">
        <f>$D$12*F821EO!G33*0</f>
        <v>0</v>
      </c>
      <c r="H44" s="156">
        <f>$D$12*F821EO!H33*0</f>
        <v>0</v>
      </c>
      <c r="I44" s="156">
        <f>$D$12*F821EO!I33*0</f>
        <v>0</v>
      </c>
      <c r="J44" s="156">
        <f t="shared" si="1"/>
        <v>0</v>
      </c>
      <c r="K44" s="69"/>
    </row>
    <row r="45" spans="2:11" s="37" customFormat="1" ht="15.75">
      <c r="B45" s="48" t="s">
        <v>274</v>
      </c>
      <c r="C45" s="158" t="s">
        <v>631</v>
      </c>
      <c r="D45" s="154">
        <f t="shared" ref="D45:I45" si="8">SUBTOTAL(9,D46:D49)</f>
        <v>32854.668387716425</v>
      </c>
      <c r="E45" s="154">
        <f t="shared" si="8"/>
        <v>32988.709398044666</v>
      </c>
      <c r="F45" s="154">
        <f t="shared" si="8"/>
        <v>32612.635824111898</v>
      </c>
      <c r="G45" s="154">
        <f t="shared" si="8"/>
        <v>32385.773860318288</v>
      </c>
      <c r="H45" s="154">
        <f t="shared" si="8"/>
        <v>30223.783604018136</v>
      </c>
      <c r="I45" s="154">
        <f t="shared" si="8"/>
        <v>32247.184513130607</v>
      </c>
      <c r="J45" s="154">
        <f t="shared" si="1"/>
        <v>193312.75558734001</v>
      </c>
      <c r="K45" s="69"/>
    </row>
    <row r="46" spans="2:11" s="37" customFormat="1" ht="15.75">
      <c r="B46" s="48"/>
      <c r="C46" s="160" t="s">
        <v>304</v>
      </c>
      <c r="D46" s="156">
        <f>$D$12*F821EO!D35*1</f>
        <v>32765.379852956892</v>
      </c>
      <c r="E46" s="156">
        <f>$D$12*F821EO!E35*1</f>
        <v>32899.056582469129</v>
      </c>
      <c r="F46" s="156">
        <f>$D$12*F821EO!F35*1</f>
        <v>32524.005056848699</v>
      </c>
      <c r="G46" s="156">
        <f>$D$12*F821EO!G35*1</f>
        <v>32297.759631688223</v>
      </c>
      <c r="H46" s="156">
        <f>$D$12*F821EO!H35*1</f>
        <v>30141.644976988166</v>
      </c>
      <c r="I46" s="156">
        <f>$D$12*F821EO!I35*1</f>
        <v>32159.546926248913</v>
      </c>
      <c r="J46" s="156">
        <f t="shared" si="1"/>
        <v>192787.39302720001</v>
      </c>
      <c r="K46" s="69"/>
    </row>
    <row r="47" spans="2:11" s="37" customFormat="1" ht="15.75">
      <c r="B47" s="48"/>
      <c r="C47" s="161" t="s">
        <v>306</v>
      </c>
      <c r="D47" s="156">
        <f>$D$12*F821EO!D36*1</f>
        <v>0</v>
      </c>
      <c r="E47" s="156">
        <f>$D$12*F821EO!E36*1</f>
        <v>0</v>
      </c>
      <c r="F47" s="156">
        <f>$D$12*F821EO!F36*1</f>
        <v>0</v>
      </c>
      <c r="G47" s="156">
        <f>$D$12*F821EO!G36*1</f>
        <v>0</v>
      </c>
      <c r="H47" s="156">
        <f>$D$12*F821EO!H36*1</f>
        <v>0</v>
      </c>
      <c r="I47" s="156">
        <f>$D$12*F821EO!I36*1</f>
        <v>0</v>
      </c>
      <c r="J47" s="156">
        <f t="shared" si="1"/>
        <v>0</v>
      </c>
      <c r="K47" s="69"/>
    </row>
    <row r="48" spans="2:11" s="37" customFormat="1" ht="15.75">
      <c r="B48" s="48"/>
      <c r="C48" s="160" t="s">
        <v>305</v>
      </c>
      <c r="D48" s="156">
        <f>$D$12*F821EO!D37*0.95</f>
        <v>89.28853475953359</v>
      </c>
      <c r="E48" s="156">
        <f>$D$12*F821EO!E37*0.95</f>
        <v>89.652815575539961</v>
      </c>
      <c r="F48" s="156">
        <f>$D$12*F821EO!F37*0.95</f>
        <v>88.630767263197441</v>
      </c>
      <c r="G48" s="156">
        <f>$D$12*F821EO!G37*0.95</f>
        <v>88.014228630064423</v>
      </c>
      <c r="H48" s="156">
        <f>$D$12*F821EO!H37*0.95</f>
        <v>82.13862702997028</v>
      </c>
      <c r="I48" s="156">
        <f>$D$12*F821EO!I37*0.95</f>
        <v>87.637586881694361</v>
      </c>
      <c r="J48" s="156">
        <f t="shared" si="1"/>
        <v>525.36256014000003</v>
      </c>
      <c r="K48" s="69"/>
    </row>
    <row r="49" spans="2:11" s="37" customFormat="1" ht="15.75">
      <c r="B49" s="48"/>
      <c r="C49" s="160" t="s">
        <v>307</v>
      </c>
      <c r="D49" s="156">
        <f>$D$12*F821EO!D38*0.5</f>
        <v>0</v>
      </c>
      <c r="E49" s="156">
        <f>$D$12*F821EO!E38*0.5</f>
        <v>0</v>
      </c>
      <c r="F49" s="156">
        <f>$D$12*F821EO!F38*0.5</f>
        <v>0</v>
      </c>
      <c r="G49" s="156">
        <f>$D$12*F821EO!G38*0.5</f>
        <v>0</v>
      </c>
      <c r="H49" s="156">
        <f>$D$12*F821EO!H38*0.5</f>
        <v>0</v>
      </c>
      <c r="I49" s="156">
        <f>$D$12*F821EO!I38*0.5</f>
        <v>0</v>
      </c>
      <c r="J49" s="156">
        <f t="shared" si="1"/>
        <v>0</v>
      </c>
      <c r="K49" s="69"/>
    </row>
    <row r="50" spans="2:11" s="37" customFormat="1" ht="15.75">
      <c r="B50" s="48" t="s">
        <v>274</v>
      </c>
      <c r="C50" s="158" t="s">
        <v>632</v>
      </c>
      <c r="D50" s="154">
        <f t="shared" ref="D50:I50" si="9">SUBTOTAL(9,D51:D54)</f>
        <v>9058.0931020955013</v>
      </c>
      <c r="E50" s="154">
        <f t="shared" si="9"/>
        <v>9095.0484576244016</v>
      </c>
      <c r="F50" s="154">
        <f t="shared" si="9"/>
        <v>8991.3642747338363</v>
      </c>
      <c r="G50" s="154">
        <f t="shared" si="9"/>
        <v>8928.818009919456</v>
      </c>
      <c r="H50" s="154">
        <f t="shared" si="9"/>
        <v>8332.7532803569484</v>
      </c>
      <c r="I50" s="154">
        <f t="shared" si="9"/>
        <v>8890.6086694698661</v>
      </c>
      <c r="J50" s="154">
        <f t="shared" si="1"/>
        <v>53296.685794200013</v>
      </c>
      <c r="K50" s="69"/>
    </row>
    <row r="51" spans="2:11" s="37" customFormat="1" ht="15.75">
      <c r="B51" s="48"/>
      <c r="C51" s="160" t="s">
        <v>304</v>
      </c>
      <c r="D51" s="156">
        <f>$D$12*F821EO!D40*1</f>
        <v>9058.0931020955013</v>
      </c>
      <c r="E51" s="156">
        <f>$D$12*F821EO!E40*1</f>
        <v>9095.0484576244016</v>
      </c>
      <c r="F51" s="156">
        <f>$D$12*F821EO!F40*1</f>
        <v>8991.3642747338363</v>
      </c>
      <c r="G51" s="156">
        <f>$D$12*F821EO!G40*1</f>
        <v>8928.818009919456</v>
      </c>
      <c r="H51" s="156">
        <f>$D$12*F821EO!H40*1</f>
        <v>8332.7532803569484</v>
      </c>
      <c r="I51" s="156">
        <f>$D$12*F821EO!I40*1</f>
        <v>8890.6086694698661</v>
      </c>
      <c r="J51" s="156">
        <f t="shared" si="1"/>
        <v>53296.685794200013</v>
      </c>
      <c r="K51" s="69"/>
    </row>
    <row r="52" spans="2:11" s="37" customFormat="1" ht="15.75">
      <c r="B52" s="48"/>
      <c r="C52" s="161" t="s">
        <v>306</v>
      </c>
      <c r="D52" s="156">
        <f>$D$12*F821EO!D41*1</f>
        <v>0</v>
      </c>
      <c r="E52" s="156">
        <f>$D$12*F821EO!E41*1</f>
        <v>0</v>
      </c>
      <c r="F52" s="156">
        <f>$D$12*F821EO!F41*1</f>
        <v>0</v>
      </c>
      <c r="G52" s="156">
        <f>$D$12*F821EO!G41*1</f>
        <v>0</v>
      </c>
      <c r="H52" s="156">
        <f>$D$12*F821EO!H41*1</f>
        <v>0</v>
      </c>
      <c r="I52" s="156">
        <f>$D$12*F821EO!I41*1</f>
        <v>0</v>
      </c>
      <c r="J52" s="156">
        <f t="shared" si="1"/>
        <v>0</v>
      </c>
      <c r="K52" s="69"/>
    </row>
    <row r="53" spans="2:11" s="37" customFormat="1" ht="15.75">
      <c r="B53" s="48"/>
      <c r="C53" s="160" t="s">
        <v>305</v>
      </c>
      <c r="D53" s="156">
        <f>$D$12*F821EO!D42*0.95</f>
        <v>0</v>
      </c>
      <c r="E53" s="156">
        <f>$D$12*F821EO!E42*0.95</f>
        <v>0</v>
      </c>
      <c r="F53" s="156">
        <f>$D$12*F821EO!F42*0.95</f>
        <v>0</v>
      </c>
      <c r="G53" s="156">
        <f>$D$12*F821EO!G42*0.95</f>
        <v>0</v>
      </c>
      <c r="H53" s="156">
        <f>$D$12*F821EO!H42*0.95</f>
        <v>0</v>
      </c>
      <c r="I53" s="156">
        <f>$D$12*F821EO!I42*0.95</f>
        <v>0</v>
      </c>
      <c r="J53" s="156">
        <f t="shared" si="1"/>
        <v>0</v>
      </c>
      <c r="K53" s="69"/>
    </row>
    <row r="54" spans="2:11" s="37" customFormat="1" ht="15.75">
      <c r="B54" s="48"/>
      <c r="C54" s="160" t="s">
        <v>307</v>
      </c>
      <c r="D54" s="156">
        <f>$D$12*F821EO!D43*0.5</f>
        <v>0</v>
      </c>
      <c r="E54" s="156">
        <f>$D$12*F821EO!E43*0.5</f>
        <v>0</v>
      </c>
      <c r="F54" s="156">
        <f>$D$12*F821EO!F43*0.5</f>
        <v>0</v>
      </c>
      <c r="G54" s="156">
        <f>$D$12*F821EO!G43*0.5</f>
        <v>0</v>
      </c>
      <c r="H54" s="156">
        <f>$D$12*F821EO!H43*0.5</f>
        <v>0</v>
      </c>
      <c r="I54" s="156">
        <f>$D$12*F821EO!I43*0.5</f>
        <v>0</v>
      </c>
      <c r="J54" s="156">
        <f t="shared" si="1"/>
        <v>0</v>
      </c>
      <c r="K54" s="69"/>
    </row>
    <row r="55" spans="2:11" s="37" customFormat="1" ht="15.75">
      <c r="B55" s="48" t="s">
        <v>274</v>
      </c>
      <c r="C55" s="158" t="s">
        <v>633</v>
      </c>
      <c r="D55" s="154">
        <f t="shared" ref="D55:I55" si="10">SUBTOTAL(9,D56:D59)</f>
        <v>8809.7546396422204</v>
      </c>
      <c r="E55" s="154">
        <f t="shared" si="10"/>
        <v>8845.6968198738432</v>
      </c>
      <c r="F55" s="154">
        <f t="shared" si="10"/>
        <v>8744.855262938825</v>
      </c>
      <c r="G55" s="154">
        <f t="shared" si="10"/>
        <v>8684.0237788251015</v>
      </c>
      <c r="H55" s="154">
        <f t="shared" si="10"/>
        <v>8104.3008771499581</v>
      </c>
      <c r="I55" s="154">
        <f t="shared" si="10"/>
        <v>8646.8619931700614</v>
      </c>
      <c r="J55" s="154">
        <f t="shared" si="1"/>
        <v>51835.493371600009</v>
      </c>
      <c r="K55" s="69"/>
    </row>
    <row r="56" spans="2:11" s="37" customFormat="1" ht="15.75">
      <c r="B56" s="48"/>
      <c r="C56" s="160" t="s">
        <v>304</v>
      </c>
      <c r="D56" s="156">
        <f>$D$12*F821EO!D45*1</f>
        <v>8809.7546396422204</v>
      </c>
      <c r="E56" s="156">
        <f>$D$12*F821EO!E45*1</f>
        <v>8845.6968198738432</v>
      </c>
      <c r="F56" s="156">
        <f>$D$12*F821EO!F45*1</f>
        <v>8744.855262938825</v>
      </c>
      <c r="G56" s="156">
        <f>$D$12*F821EO!G45*1</f>
        <v>8684.0237788251015</v>
      </c>
      <c r="H56" s="156">
        <f>$D$12*F821EO!H45*1</f>
        <v>8104.3008771499581</v>
      </c>
      <c r="I56" s="156">
        <f>$D$12*F821EO!I45*1</f>
        <v>8646.8619931700614</v>
      </c>
      <c r="J56" s="156">
        <f t="shared" si="1"/>
        <v>51835.493371600009</v>
      </c>
      <c r="K56" s="69"/>
    </row>
    <row r="57" spans="2:11" s="37" customFormat="1" ht="15.75">
      <c r="B57" s="48"/>
      <c r="C57" s="161" t="s">
        <v>306</v>
      </c>
      <c r="D57" s="156">
        <f>$D$12*F821EO!D46*1</f>
        <v>0</v>
      </c>
      <c r="E57" s="156">
        <f>$D$12*F821EO!E46*1</f>
        <v>0</v>
      </c>
      <c r="F57" s="156">
        <f>$D$12*F821EO!F46*1</f>
        <v>0</v>
      </c>
      <c r="G57" s="156">
        <f>$D$12*F821EO!G46*1</f>
        <v>0</v>
      </c>
      <c r="H57" s="156">
        <f>$D$12*F821EO!H46*1</f>
        <v>0</v>
      </c>
      <c r="I57" s="156">
        <f>$D$12*F821EO!I46*1</f>
        <v>0</v>
      </c>
      <c r="J57" s="156">
        <f t="shared" si="1"/>
        <v>0</v>
      </c>
      <c r="K57" s="69"/>
    </row>
    <row r="58" spans="2:11" s="37" customFormat="1" ht="15.75">
      <c r="B58" s="48"/>
      <c r="C58" s="160" t="s">
        <v>305</v>
      </c>
      <c r="D58" s="156">
        <f>$D$12*F821EO!D47*0.95</f>
        <v>0</v>
      </c>
      <c r="E58" s="156">
        <f>$D$12*F821EO!E47*0.95</f>
        <v>0</v>
      </c>
      <c r="F58" s="156">
        <f>$D$12*F821EO!F47*0.95</f>
        <v>0</v>
      </c>
      <c r="G58" s="156">
        <f>$D$12*F821EO!G47*0.95</f>
        <v>0</v>
      </c>
      <c r="H58" s="156">
        <f>$D$12*F821EO!H47*0.95</f>
        <v>0</v>
      </c>
      <c r="I58" s="156">
        <f>$D$12*F821EO!I47*0.95</f>
        <v>0</v>
      </c>
      <c r="J58" s="156">
        <f t="shared" si="1"/>
        <v>0</v>
      </c>
      <c r="K58" s="69"/>
    </row>
    <row r="59" spans="2:11" s="37" customFormat="1" ht="15.75">
      <c r="B59" s="48"/>
      <c r="C59" s="160" t="s">
        <v>307</v>
      </c>
      <c r="D59" s="156">
        <f>$D$12*F821EO!D48*0.5</f>
        <v>0</v>
      </c>
      <c r="E59" s="156">
        <f>$D$12*F821EO!E48*0.5</f>
        <v>0</v>
      </c>
      <c r="F59" s="156">
        <f>$D$12*F821EO!F48*0.5</f>
        <v>0</v>
      </c>
      <c r="G59" s="156">
        <f>$D$12*F821EO!G48*0.5</f>
        <v>0</v>
      </c>
      <c r="H59" s="156">
        <f>$D$12*F821EO!H48*0.5</f>
        <v>0</v>
      </c>
      <c r="I59" s="156">
        <f>$D$12*F821EO!I48*0.5</f>
        <v>0</v>
      </c>
      <c r="J59" s="156">
        <f t="shared" si="1"/>
        <v>0</v>
      </c>
      <c r="K59" s="69"/>
    </row>
    <row r="60" spans="2:11" s="37" customFormat="1" ht="15.75">
      <c r="B60" s="48"/>
      <c r="C60" s="157"/>
      <c r="D60" s="156"/>
      <c r="E60" s="156"/>
      <c r="F60" s="156"/>
      <c r="G60" s="156"/>
      <c r="H60" s="156"/>
      <c r="I60" s="156"/>
      <c r="J60" s="156">
        <f t="shared" si="1"/>
        <v>0</v>
      </c>
      <c r="K60" s="69"/>
    </row>
    <row r="61" spans="2:11" s="37" customFormat="1" ht="15.75">
      <c r="B61" s="48" t="s">
        <v>1176</v>
      </c>
      <c r="C61" s="158" t="s">
        <v>1176</v>
      </c>
      <c r="D61" s="154">
        <f t="shared" ref="D61:I61" si="11">SUBTOTAL(9,D62:D67)</f>
        <v>4.5870040899385902</v>
      </c>
      <c r="E61" s="154">
        <f t="shared" si="11"/>
        <v>4.6057182238126373</v>
      </c>
      <c r="F61" s="154">
        <f t="shared" si="11"/>
        <v>4.5532127167903109</v>
      </c>
      <c r="G61" s="154">
        <f t="shared" si="11"/>
        <v>4.5215393867328437</v>
      </c>
      <c r="H61" s="154">
        <f t="shared" si="11"/>
        <v>4.2196931458569527</v>
      </c>
      <c r="I61" s="154">
        <f t="shared" si="11"/>
        <v>4.5021902368686657</v>
      </c>
      <c r="J61" s="154">
        <f t="shared" si="1"/>
        <v>26.989357800000001</v>
      </c>
      <c r="K61" s="69"/>
    </row>
    <row r="62" spans="2:11" s="37" customFormat="1" ht="15.75">
      <c r="B62" s="48"/>
      <c r="C62" s="160" t="s">
        <v>304</v>
      </c>
      <c r="D62" s="156">
        <f>$D$15*F821EO!D51*1</f>
        <v>1.5485147118773341</v>
      </c>
      <c r="E62" s="156">
        <f>$D$15*F821EO!E51*1</f>
        <v>1.5548323673787907</v>
      </c>
      <c r="F62" s="156">
        <f>$D$15*F821EO!F51*1</f>
        <v>1.537107170608857</v>
      </c>
      <c r="G62" s="156">
        <f>$D$15*F821EO!G51*1</f>
        <v>1.5264146539669565</v>
      </c>
      <c r="H62" s="156">
        <f>$D$15*F821EO!H51*1</f>
        <v>1.4245151710895727</v>
      </c>
      <c r="I62" s="156">
        <f>$D$15*F821EO!I51*1</f>
        <v>1.5198826250784885</v>
      </c>
      <c r="J62" s="156">
        <f t="shared" si="1"/>
        <v>9.1112666999999981</v>
      </c>
      <c r="K62" s="69"/>
    </row>
    <row r="63" spans="2:11" s="37" customFormat="1" ht="15.75">
      <c r="B63" s="48"/>
      <c r="C63" s="162" t="s">
        <v>642</v>
      </c>
      <c r="D63" s="156">
        <f>$D$15*F821EO!D52*0.75</f>
        <v>0</v>
      </c>
      <c r="E63" s="156">
        <f>$D$15*F821EO!E52*0.75</f>
        <v>0</v>
      </c>
      <c r="F63" s="156">
        <f>$D$15*F821EO!F52*0.75</f>
        <v>0</v>
      </c>
      <c r="G63" s="156">
        <f>$D$15*F821EO!G52*0.75</f>
        <v>0</v>
      </c>
      <c r="H63" s="156">
        <f>$D$15*F821EO!H52*0.75</f>
        <v>0</v>
      </c>
      <c r="I63" s="156">
        <f>$D$15*F821EO!I52*0.75</f>
        <v>0</v>
      </c>
      <c r="J63" s="156">
        <f t="shared" si="1"/>
        <v>0</v>
      </c>
      <c r="K63" s="69"/>
    </row>
    <row r="64" spans="2:11" s="37" customFormat="1" ht="15.75">
      <c r="B64" s="48"/>
      <c r="C64" s="162" t="s">
        <v>1177</v>
      </c>
      <c r="D64" s="156">
        <f>$D$15*F821EO!D53*1</f>
        <v>3.0384893780612559</v>
      </c>
      <c r="E64" s="156">
        <f>$D$15*F821EO!E53*1</f>
        <v>3.050885856433847</v>
      </c>
      <c r="F64" s="156">
        <f>$D$15*F821EO!F53*1</f>
        <v>3.0161055461814539</v>
      </c>
      <c r="G64" s="156">
        <f>$D$15*F821EO!G53*1</f>
        <v>2.9951247327658868</v>
      </c>
      <c r="H64" s="156">
        <f>$D$15*F821EO!H53*1</f>
        <v>2.7951779747673799</v>
      </c>
      <c r="I64" s="156">
        <f>$D$15*F821EO!I53*1</f>
        <v>2.9823076117901768</v>
      </c>
      <c r="J64" s="156">
        <f t="shared" si="1"/>
        <v>17.878091099999999</v>
      </c>
      <c r="K64" s="69"/>
    </row>
    <row r="65" spans="2:11" s="37" customFormat="1" ht="15.75">
      <c r="B65" s="48"/>
      <c r="C65" s="160" t="s">
        <v>305</v>
      </c>
      <c r="D65" s="156">
        <f>$D$15*F821EO!D54*0.95</f>
        <v>0</v>
      </c>
      <c r="E65" s="156">
        <f>$D$15*F821EO!E54*0.95</f>
        <v>0</v>
      </c>
      <c r="F65" s="156">
        <f>$D$15*F821EO!F54*0.95</f>
        <v>0</v>
      </c>
      <c r="G65" s="156">
        <f>$D$15*F821EO!G54*0.95</f>
        <v>0</v>
      </c>
      <c r="H65" s="156">
        <f>$D$15*F821EO!H54*0.95</f>
        <v>0</v>
      </c>
      <c r="I65" s="156">
        <f>$D$15*F821EO!I54*0.95</f>
        <v>0</v>
      </c>
      <c r="J65" s="156">
        <f t="shared" si="1"/>
        <v>0</v>
      </c>
      <c r="K65" s="69"/>
    </row>
    <row r="66" spans="2:11" s="37" customFormat="1" ht="15.75">
      <c r="B66" s="48"/>
      <c r="C66" s="160" t="s">
        <v>307</v>
      </c>
      <c r="D66" s="156">
        <f>$D$15*F821EO!D55*0.5</f>
        <v>0</v>
      </c>
      <c r="E66" s="156">
        <f>$D$15*F821EO!E55*0.5</f>
        <v>0</v>
      </c>
      <c r="F66" s="156">
        <f>$D$15*F821EO!F55*0.5</f>
        <v>0</v>
      </c>
      <c r="G66" s="156">
        <f>$D$15*F821EO!G55*0.5</f>
        <v>0</v>
      </c>
      <c r="H66" s="156">
        <f>$D$15*F821EO!H55*0.5</f>
        <v>0</v>
      </c>
      <c r="I66" s="156">
        <f>$D$15*F821EO!I55*0.5</f>
        <v>0</v>
      </c>
      <c r="J66" s="156">
        <f t="shared" si="1"/>
        <v>0</v>
      </c>
      <c r="K66" s="69"/>
    </row>
    <row r="67" spans="2:11" s="37" customFormat="1" ht="15.75">
      <c r="B67" s="48"/>
      <c r="C67" s="160" t="s">
        <v>624</v>
      </c>
      <c r="D67" s="156">
        <f>$D$15*F821EO!D56*0</f>
        <v>0</v>
      </c>
      <c r="E67" s="156">
        <f>$D$15*F821EO!E56*0</f>
        <v>0</v>
      </c>
      <c r="F67" s="156">
        <f>$D$15*F821EO!F56*0</f>
        <v>0</v>
      </c>
      <c r="G67" s="156">
        <f>$D$15*F821EO!G56*0</f>
        <v>0</v>
      </c>
      <c r="H67" s="156">
        <f>$D$15*F821EO!H56*0</f>
        <v>0</v>
      </c>
      <c r="I67" s="156">
        <f>$D$15*F821EO!I56*0</f>
        <v>0</v>
      </c>
      <c r="J67" s="156">
        <f t="shared" si="1"/>
        <v>0</v>
      </c>
      <c r="K67" s="69"/>
    </row>
    <row r="68" spans="2:11" s="37" customFormat="1" ht="15.75">
      <c r="B68" s="48" t="s">
        <v>751</v>
      </c>
      <c r="C68" s="158" t="s">
        <v>634</v>
      </c>
      <c r="D68" s="154">
        <f t="shared" ref="D68" si="12">SUBTOTAL(9,D69:D73)</f>
        <v>87231.990111037856</v>
      </c>
      <c r="E68" s="154">
        <f t="shared" ref="E68:I68" si="13">SUBTOTAL(9,E69:E73)</f>
        <v>87606.407831542252</v>
      </c>
      <c r="F68" s="154">
        <f t="shared" si="13"/>
        <v>86538.505231036805</v>
      </c>
      <c r="G68" s="154">
        <f t="shared" si="13"/>
        <v>85889.574698220677</v>
      </c>
      <c r="H68" s="154">
        <f t="shared" si="13"/>
        <v>79741.533542671532</v>
      </c>
      <c r="I68" s="154">
        <f t="shared" si="13"/>
        <v>85499.698601875964</v>
      </c>
      <c r="J68" s="154">
        <f t="shared" si="1"/>
        <v>512507.71001638507</v>
      </c>
      <c r="K68" s="69"/>
    </row>
    <row r="69" spans="2:11" s="37" customFormat="1" ht="15.75">
      <c r="B69" s="48"/>
      <c r="C69" s="160" t="s">
        <v>304</v>
      </c>
      <c r="D69" s="156">
        <f>($D$14*(F821EO!D66))*1</f>
        <v>64061.007488515788</v>
      </c>
      <c r="E69" s="156">
        <f>($D$14*(F821EO!E66))*1</f>
        <v>64336.989761736855</v>
      </c>
      <c r="F69" s="156">
        <f>($D$14*(F821EO!F66))*1</f>
        <v>63548.950461215791</v>
      </c>
      <c r="G69" s="156">
        <f>($D$14*(F821EO!G66))*1</f>
        <v>63069.831390705134</v>
      </c>
      <c r="H69" s="156">
        <f>($D$14*(F821EO!H66))*1</f>
        <v>58532.530121973497</v>
      </c>
      <c r="I69" s="156">
        <f>($D$14*(F821EO!I66))*1</f>
        <v>62782.314445653028</v>
      </c>
      <c r="J69" s="156">
        <f t="shared" si="1"/>
        <v>376331.62366980012</v>
      </c>
      <c r="K69" s="69"/>
    </row>
    <row r="70" spans="2:11" s="37" customFormat="1" ht="15.75">
      <c r="B70" s="48"/>
      <c r="C70" s="162" t="s">
        <v>644</v>
      </c>
      <c r="D70" s="156">
        <f>($D$14*(F821EO!D67))*0.75</f>
        <v>23169.47314460246</v>
      </c>
      <c r="E70" s="156">
        <f>($D$14*(F821EO!E67))*0.75</f>
        <v>23267.902020717815</v>
      </c>
      <c r="F70" s="156">
        <f>($D$14*(F821EO!F67))*0.75</f>
        <v>22988.057157200135</v>
      </c>
      <c r="G70" s="156">
        <f>($D$14*(F821EO!G67))*0.75</f>
        <v>22818.256816476518</v>
      </c>
      <c r="H70" s="156">
        <f>($D$14*(F821EO!H67))*0.75</f>
        <v>21207.622918125497</v>
      </c>
      <c r="I70" s="156">
        <f>($D$14*(F821EO!I67))*0.75</f>
        <v>22715.904459327568</v>
      </c>
      <c r="J70" s="156">
        <f t="shared" si="1"/>
        <v>136167.21651645002</v>
      </c>
      <c r="K70" s="69"/>
    </row>
    <row r="71" spans="2:11" s="37" customFormat="1" ht="15.75">
      <c r="B71" s="48"/>
      <c r="C71" s="160" t="s">
        <v>305</v>
      </c>
      <c r="D71" s="156">
        <f>($D$14*(F821EO!D68))*0.95</f>
        <v>1.5094779196149593</v>
      </c>
      <c r="E71" s="156">
        <f>($D$14*(F821EO!E68))*0.95</f>
        <v>1.5160490875867549</v>
      </c>
      <c r="F71" s="156">
        <f>($D$14*(F821EO!F68))*0.95</f>
        <v>1.4976126208814231</v>
      </c>
      <c r="G71" s="156">
        <f>($D$14*(F821EO!G68))*0.95</f>
        <v>1.4864910390099599</v>
      </c>
      <c r="H71" s="156">
        <f>($D$14*(F821EO!H68))*0.95</f>
        <v>1.380502572549259</v>
      </c>
      <c r="I71" s="156">
        <f>($D$14*(F821EO!I68))*0.95</f>
        <v>1.479696895357643</v>
      </c>
      <c r="J71" s="156">
        <f t="shared" si="1"/>
        <v>8.8698301349999991</v>
      </c>
      <c r="K71" s="69"/>
    </row>
    <row r="72" spans="2:11" s="37" customFormat="1" ht="15.75">
      <c r="B72" s="48"/>
      <c r="C72" s="160" t="s">
        <v>307</v>
      </c>
      <c r="D72" s="156">
        <f>($D$14*(F821EO!D69))*0.5</f>
        <v>0</v>
      </c>
      <c r="E72" s="156">
        <f>($D$14*(F821EO!E69))*0.5</f>
        <v>0</v>
      </c>
      <c r="F72" s="156">
        <f>($D$14*(F821EO!F69))*0.5</f>
        <v>0</v>
      </c>
      <c r="G72" s="156">
        <f>($D$14*(F821EO!G69))*0.5</f>
        <v>0</v>
      </c>
      <c r="H72" s="156">
        <f>($D$14*(F821EO!H69))*0.5</f>
        <v>0</v>
      </c>
      <c r="I72" s="156">
        <f>($D$14*(F821EO!I69))*0.5</f>
        <v>0</v>
      </c>
      <c r="J72" s="156">
        <f t="shared" si="1"/>
        <v>0</v>
      </c>
      <c r="K72" s="69"/>
    </row>
    <row r="73" spans="2:11" s="37" customFormat="1" ht="15.75">
      <c r="B73" s="48"/>
      <c r="C73" s="160" t="s">
        <v>624</v>
      </c>
      <c r="D73" s="156">
        <f>($D$14*(F821EO!D70))*0</f>
        <v>0</v>
      </c>
      <c r="E73" s="156">
        <f>($D$14*(F821EO!E70))*0</f>
        <v>0</v>
      </c>
      <c r="F73" s="156">
        <f>($D$14*(F821EO!F70))*0</f>
        <v>0</v>
      </c>
      <c r="G73" s="156">
        <f>($D$14*(F821EO!G70))*0</f>
        <v>0</v>
      </c>
      <c r="H73" s="156">
        <f>($D$14*(F821EO!H70))*0</f>
        <v>0</v>
      </c>
      <c r="I73" s="156">
        <f>($D$14*(F821EO!I70))*0</f>
        <v>0</v>
      </c>
      <c r="J73" s="156">
        <f t="shared" si="1"/>
        <v>0</v>
      </c>
      <c r="K73" s="69"/>
    </row>
    <row r="74" spans="2:11" s="37" customFormat="1" ht="15.75">
      <c r="B74" s="48" t="s">
        <v>750</v>
      </c>
      <c r="C74" s="158" t="s">
        <v>635</v>
      </c>
      <c r="D74" s="154">
        <f t="shared" ref="D74" si="14">SUBTOTAL(9,D75:D80)</f>
        <v>101301.06274247752</v>
      </c>
      <c r="E74" s="154">
        <f t="shared" ref="E74:I74" si="15">SUBTOTAL(9,E75:E80)</f>
        <v>101714.35246548087</v>
      </c>
      <c r="F74" s="154">
        <f t="shared" si="15"/>
        <v>100554.80179648081</v>
      </c>
      <c r="G74" s="154">
        <f t="shared" si="15"/>
        <v>99855.316482645459</v>
      </c>
      <c r="H74" s="154">
        <f t="shared" si="15"/>
        <v>93189.234572533416</v>
      </c>
      <c r="I74" s="154">
        <f t="shared" si="15"/>
        <v>99428.00283609693</v>
      </c>
      <c r="J74" s="154">
        <f t="shared" si="1"/>
        <v>596042.77089571499</v>
      </c>
      <c r="K74" s="69"/>
    </row>
    <row r="75" spans="2:11" s="37" customFormat="1" ht="15.75">
      <c r="B75" s="48"/>
      <c r="C75" s="160" t="s">
        <v>304</v>
      </c>
      <c r="D75" s="156">
        <f>($D$14*(F821EO!D72))*1</f>
        <v>63927.18892395022</v>
      </c>
      <c r="E75" s="156">
        <f>($D$14*(F821EO!E72))*1</f>
        <v>64188.000108823246</v>
      </c>
      <c r="F75" s="156">
        <f>($D$14*(F821EO!F72))*1</f>
        <v>63456.252458036004</v>
      </c>
      <c r="G75" s="156">
        <f>($D$14*(F821EO!G72))*1</f>
        <v>63014.834287322861</v>
      </c>
      <c r="H75" s="156">
        <f>($D$14*(F821EO!H72))*1</f>
        <v>58808.127406728912</v>
      </c>
      <c r="I75" s="156">
        <f>($D$14*(F821EO!I72))*1</f>
        <v>62745.173145838751</v>
      </c>
      <c r="J75" s="156">
        <f t="shared" si="1"/>
        <v>376139.57633069996</v>
      </c>
      <c r="K75" s="69"/>
    </row>
    <row r="76" spans="2:11" s="37" customFormat="1" ht="15.75">
      <c r="B76" s="48"/>
      <c r="C76" s="162" t="s">
        <v>642</v>
      </c>
      <c r="D76" s="156">
        <f>($D$14*(F821EO!D73))*0.75</f>
        <v>27143.539933281951</v>
      </c>
      <c r="E76" s="156">
        <f>($D$14*(F821EO!E73))*0.75</f>
        <v>27254.280588874815</v>
      </c>
      <c r="F76" s="156">
        <f>($D$14*(F821EO!F73))*0.75</f>
        <v>26943.579900880264</v>
      </c>
      <c r="G76" s="156">
        <f>($D$14*(F821EO!G73))*0.75</f>
        <v>26756.153362255493</v>
      </c>
      <c r="H76" s="156">
        <f>($D$14*(F821EO!H73))*0.75</f>
        <v>24969.981967532472</v>
      </c>
      <c r="I76" s="156">
        <f>($D$14*(F821EO!I73))*0.75</f>
        <v>26641.655007399997</v>
      </c>
      <c r="J76" s="156">
        <f t="shared" si="1"/>
        <v>159709.190760225</v>
      </c>
      <c r="K76" s="69"/>
    </row>
    <row r="77" spans="2:11" s="37" customFormat="1" ht="15.75">
      <c r="B77" s="48"/>
      <c r="C77" s="162" t="s">
        <v>1177</v>
      </c>
      <c r="D77" s="156">
        <f>($D$14*(F821EO!D74))*1</f>
        <v>10224.705800508396</v>
      </c>
      <c r="E77" s="156">
        <f>($D$14*(F821EO!E74))*1</f>
        <v>10266.420721494227</v>
      </c>
      <c r="F77" s="156">
        <f>($D$14*(F821EO!F74))*1</f>
        <v>10149.382813595392</v>
      </c>
      <c r="G77" s="156">
        <f>($D$14*(F821EO!G74))*1</f>
        <v>10078.781071105046</v>
      </c>
      <c r="H77" s="156">
        <f>($D$14*(F821EO!H74))*1</f>
        <v>9405.9477905080148</v>
      </c>
      <c r="I77" s="156">
        <f>($D$14*(F821EO!I74))*1</f>
        <v>10035.650661588925</v>
      </c>
      <c r="J77" s="156">
        <f t="shared" si="1"/>
        <v>60160.888858799997</v>
      </c>
      <c r="K77" s="69"/>
    </row>
    <row r="78" spans="2:11" s="37" customFormat="1" ht="15.75">
      <c r="B78" s="48"/>
      <c r="C78" s="160" t="s">
        <v>305</v>
      </c>
      <c r="D78" s="156">
        <f>($D$14*(F821EO!D75))*0.95</f>
        <v>5.1744925994579551</v>
      </c>
      <c r="E78" s="156">
        <f>($D$14*(F821EO!E75))*0.95</f>
        <v>5.195603578506117</v>
      </c>
      <c r="F78" s="156">
        <f>($D$14*(F821EO!F75))*0.95</f>
        <v>5.1363733375491147</v>
      </c>
      <c r="G78" s="156">
        <f>($D$14*(F821EO!G75))*0.95</f>
        <v>5.100643390775784</v>
      </c>
      <c r="H78" s="156">
        <f>($D$14*(F821EO!H75))*0.95</f>
        <v>4.7601376687485315</v>
      </c>
      <c r="I78" s="156">
        <f>($D$14*(F821EO!I75))*0.95</f>
        <v>5.078816064962492</v>
      </c>
      <c r="J78" s="156">
        <f t="shared" si="1"/>
        <v>30.446066639999994</v>
      </c>
      <c r="K78" s="69"/>
    </row>
    <row r="79" spans="2:11" s="37" customFormat="1" ht="15.75">
      <c r="B79" s="48"/>
      <c r="C79" s="160" t="s">
        <v>307</v>
      </c>
      <c r="D79" s="156">
        <f>($D$14*(F821EO!D76))*0.5</f>
        <v>0.4535921374906759</v>
      </c>
      <c r="E79" s="156">
        <f>($D$14*(F821EO!E76))*0.5</f>
        <v>0.45544271006893783</v>
      </c>
      <c r="F79" s="156">
        <f>($D$14*(F821EO!F76))*0.5</f>
        <v>0.45025063160261852</v>
      </c>
      <c r="G79" s="156">
        <f>($D$14*(F821EO!G76))*0.5</f>
        <v>0.44711857128601079</v>
      </c>
      <c r="H79" s="156">
        <f>($D$14*(F821EO!H76))*0.5</f>
        <v>0.41727009526377684</v>
      </c>
      <c r="I79" s="156">
        <f>($D$14*(F821EO!I76))*0.5</f>
        <v>0.44520520428798011</v>
      </c>
      <c r="J79" s="156">
        <f t="shared" si="1"/>
        <v>2.6688793499999997</v>
      </c>
      <c r="K79" s="69"/>
    </row>
    <row r="80" spans="2:11" s="37" customFormat="1" ht="15.75">
      <c r="B80" s="48"/>
      <c r="C80" s="160" t="s">
        <v>624</v>
      </c>
      <c r="D80" s="156">
        <f>($D$14*(F821EO!D77))*0</f>
        <v>0</v>
      </c>
      <c r="E80" s="156">
        <f>($D$14*(F821EO!E77))*0</f>
        <v>0</v>
      </c>
      <c r="F80" s="156">
        <f>($D$14*(F821EO!F77))*0</f>
        <v>0</v>
      </c>
      <c r="G80" s="156">
        <f>($D$14*(F821EO!G77))*0</f>
        <v>0</v>
      </c>
      <c r="H80" s="156">
        <f>($D$14*(F821EO!H77))*0</f>
        <v>0</v>
      </c>
      <c r="I80" s="156">
        <f>($D$14*(F821EO!I77))*0</f>
        <v>0</v>
      </c>
      <c r="J80" s="156">
        <f t="shared" si="1"/>
        <v>0</v>
      </c>
      <c r="K80" s="69"/>
    </row>
    <row r="81" spans="2:11" s="37" customFormat="1" ht="15.75">
      <c r="B81" s="48" t="s">
        <v>749</v>
      </c>
      <c r="C81" s="158" t="s">
        <v>636</v>
      </c>
      <c r="D81" s="154">
        <f t="shared" ref="D81" si="16">SUBTOTAL(9,D82:D87)</f>
        <v>113283.35589597837</v>
      </c>
      <c r="E81" s="154">
        <f t="shared" ref="E81:I81" si="17">SUBTOTAL(9,E82:E87)</f>
        <v>113745.53117342993</v>
      </c>
      <c r="F81" s="154">
        <f t="shared" si="17"/>
        <v>112448.82423315148</v>
      </c>
      <c r="G81" s="154">
        <f t="shared" si="17"/>
        <v>111666.60101055155</v>
      </c>
      <c r="H81" s="154">
        <f t="shared" si="17"/>
        <v>104212.02838306896</v>
      </c>
      <c r="I81" s="154">
        <f t="shared" si="17"/>
        <v>111188.74300402473</v>
      </c>
      <c r="J81" s="154">
        <f t="shared" si="1"/>
        <v>666545.08370020508</v>
      </c>
      <c r="K81" s="69"/>
    </row>
    <row r="82" spans="2:11" s="37" customFormat="1" ht="15.75">
      <c r="B82" s="48"/>
      <c r="C82" s="160" t="s">
        <v>304</v>
      </c>
      <c r="D82" s="156">
        <f>($D$14*(F821EO!D79))*1</f>
        <v>98622.230037891364</v>
      </c>
      <c r="E82" s="156">
        <f>($D$14*(F821EO!E79))*1</f>
        <v>99024.590615666864</v>
      </c>
      <c r="F82" s="156">
        <f>($D$14*(F821EO!F79))*1</f>
        <v>97895.703418210411</v>
      </c>
      <c r="G82" s="156">
        <f>($D$14*(F821EO!G79))*1</f>
        <v>97214.715483221371</v>
      </c>
      <c r="H82" s="156">
        <f>($D$14*(F821EO!H79))*1</f>
        <v>90724.913246281692</v>
      </c>
      <c r="I82" s="156">
        <f>($D$14*(F821EO!I79))*1</f>
        <v>96798.701834328327</v>
      </c>
      <c r="J82" s="156">
        <f t="shared" si="1"/>
        <v>580280.8546356</v>
      </c>
      <c r="K82" s="69"/>
    </row>
    <row r="83" spans="2:11" s="37" customFormat="1" ht="15.75">
      <c r="B83" s="48"/>
      <c r="C83" s="162" t="s">
        <v>642</v>
      </c>
      <c r="D83" s="156">
        <f>($D$14*(F821EO!D80))*0.75</f>
        <v>14625.875167909679</v>
      </c>
      <c r="E83" s="156">
        <f>($D$14*(F821EO!E80))*0.75</f>
        <v>14685.546051246745</v>
      </c>
      <c r="F83" s="156">
        <f>($D$14*(F821EO!F80))*0.75</f>
        <v>14518.12980825259</v>
      </c>
      <c r="G83" s="156">
        <f>($D$14*(F821EO!G80))*0.75</f>
        <v>14417.137927170854</v>
      </c>
      <c r="H83" s="156">
        <f>($D$14*(F821EO!H80))*0.75</f>
        <v>13454.687196281557</v>
      </c>
      <c r="I83" s="156">
        <f>($D$14*(F821EO!I80))*0.75</f>
        <v>14355.442265913562</v>
      </c>
      <c r="J83" s="156">
        <f t="shared" si="1"/>
        <v>86056.818416774971</v>
      </c>
      <c r="K83" s="69"/>
    </row>
    <row r="84" spans="2:11" s="37" customFormat="1" ht="15.75">
      <c r="B84" s="48"/>
      <c r="C84" s="162" t="s">
        <v>1177</v>
      </c>
      <c r="D84" s="156">
        <f>($D$14*(F821EO!D81))*1</f>
        <v>0</v>
      </c>
      <c r="E84" s="156">
        <f>($D$14*(F821EO!E81))*1</f>
        <v>0</v>
      </c>
      <c r="F84" s="156">
        <f>($D$14*(F821EO!F81))*1</f>
        <v>0</v>
      </c>
      <c r="G84" s="156">
        <f>($D$14*(F821EO!G81))*1</f>
        <v>0</v>
      </c>
      <c r="H84" s="156">
        <f>($D$14*(F821EO!H81))*1</f>
        <v>0</v>
      </c>
      <c r="I84" s="156">
        <f>($D$14*(F821EO!I81))*1</f>
        <v>0</v>
      </c>
      <c r="J84" s="156">
        <f t="shared" ref="J84:J110" si="18">SUM(D84:I84)</f>
        <v>0</v>
      </c>
      <c r="K84" s="69"/>
    </row>
    <row r="85" spans="2:11" s="37" customFormat="1" ht="15.75">
      <c r="B85" s="48"/>
      <c r="C85" s="160" t="s">
        <v>305</v>
      </c>
      <c r="D85" s="156">
        <f>($D$14*(F821EO!D82))*0.95</f>
        <v>33.341613527969571</v>
      </c>
      <c r="E85" s="156">
        <f>($D$14*(F821EO!E82))*0.95</f>
        <v>33.477641184999094</v>
      </c>
      <c r="F85" s="156">
        <f>($D$14*(F821EO!F82))*0.95</f>
        <v>33.095993754802031</v>
      </c>
      <c r="G85" s="156">
        <f>($D$14*(F821EO!G82))*0.95</f>
        <v>32.865769427721901</v>
      </c>
      <c r="H85" s="156">
        <f>($D$14*(F821EO!H82))*0.95</f>
        <v>30.671735912419521</v>
      </c>
      <c r="I85" s="156">
        <f>($D$14*(F821EO!I82))*0.95</f>
        <v>32.725126022087863</v>
      </c>
      <c r="J85" s="156">
        <f t="shared" si="18"/>
        <v>196.17787982999999</v>
      </c>
      <c r="K85" s="69"/>
    </row>
    <row r="86" spans="2:11" s="37" customFormat="1" ht="15.75">
      <c r="B86" s="48"/>
      <c r="C86" s="160" t="s">
        <v>307</v>
      </c>
      <c r="D86" s="156">
        <f>($D$14*(F821EO!D83))*0.5</f>
        <v>1.9090766493647846</v>
      </c>
      <c r="E86" s="156">
        <f>($D$14*(F821EO!E83))*0.5</f>
        <v>1.9168653313217936</v>
      </c>
      <c r="F86" s="156">
        <f>($D$14*(F821EO!F83))*0.5</f>
        <v>1.89501293366659</v>
      </c>
      <c r="G86" s="156">
        <f>($D$14*(F821EO!G83))*0.5</f>
        <v>1.8818307315942253</v>
      </c>
      <c r="H86" s="156">
        <f>($D$14*(F821EO!H83))*0.5</f>
        <v>1.7562045933008938</v>
      </c>
      <c r="I86" s="156">
        <f>($D$14*(F821EO!I83))*0.5</f>
        <v>1.8737777607517123</v>
      </c>
      <c r="J86" s="156">
        <f t="shared" si="18"/>
        <v>11.232768</v>
      </c>
      <c r="K86" s="69"/>
    </row>
    <row r="87" spans="2:11" s="37" customFormat="1" ht="15.75">
      <c r="B87" s="48"/>
      <c r="C87" s="160" t="s">
        <v>624</v>
      </c>
      <c r="D87" s="156">
        <f>($D$14*(F821EO!D84))*0</f>
        <v>0</v>
      </c>
      <c r="E87" s="156">
        <f>($D$14*(F821EO!E84))*0</f>
        <v>0</v>
      </c>
      <c r="F87" s="156">
        <f>($D$14*(F821EO!F84))*0</f>
        <v>0</v>
      </c>
      <c r="G87" s="156">
        <f>($D$14*(F821EO!G84))*0</f>
        <v>0</v>
      </c>
      <c r="H87" s="156">
        <f>($D$14*(F821EO!H84))*0</f>
        <v>0</v>
      </c>
      <c r="I87" s="156">
        <f>($D$14*(F821EO!I84))*0</f>
        <v>0</v>
      </c>
      <c r="J87" s="156">
        <f t="shared" si="18"/>
        <v>0</v>
      </c>
      <c r="K87" s="69"/>
    </row>
    <row r="88" spans="2:11" s="37" customFormat="1" ht="15.75">
      <c r="B88" s="48"/>
      <c r="C88" s="157"/>
      <c r="D88" s="156"/>
      <c r="E88" s="156"/>
      <c r="F88" s="156"/>
      <c r="G88" s="156"/>
      <c r="H88" s="156"/>
      <c r="I88" s="156"/>
      <c r="J88" s="156">
        <f t="shared" si="18"/>
        <v>0</v>
      </c>
      <c r="K88" s="69"/>
    </row>
    <row r="89" spans="2:11" s="37" customFormat="1" ht="15.75">
      <c r="B89" s="48" t="s">
        <v>902</v>
      </c>
      <c r="C89" s="158" t="s">
        <v>910</v>
      </c>
      <c r="D89" s="154">
        <f t="shared" ref="D89:I89" si="19">SUBTOTAL(9,D90:D94)</f>
        <v>19809.440262633889</v>
      </c>
      <c r="E89" s="154">
        <f t="shared" si="19"/>
        <v>19890.259139132824</v>
      </c>
      <c r="F89" s="154">
        <f t="shared" si="19"/>
        <v>19663.508806143254</v>
      </c>
      <c r="G89" s="154">
        <f t="shared" si="19"/>
        <v>19526.724332576225</v>
      </c>
      <c r="H89" s="154">
        <f t="shared" si="19"/>
        <v>18223.17086720061</v>
      </c>
      <c r="I89" s="154">
        <f t="shared" si="19"/>
        <v>19443.163075413198</v>
      </c>
      <c r="J89" s="154">
        <f t="shared" si="18"/>
        <v>116556.26648309999</v>
      </c>
      <c r="K89" s="69"/>
    </row>
    <row r="90" spans="2:11" s="37" customFormat="1" ht="15.75">
      <c r="B90" s="48"/>
      <c r="C90" s="160" t="s">
        <v>304</v>
      </c>
      <c r="D90" s="156">
        <f>($D$13*(F821EO!D87))*1</f>
        <v>19261.953993382842</v>
      </c>
      <c r="E90" s="156">
        <f>($D$13*(F821EO!E87))*1</f>
        <v>19340.539226497975</v>
      </c>
      <c r="F90" s="156">
        <f>($D$13*(F821EO!F87))*1</f>
        <v>19120.055738619325</v>
      </c>
      <c r="G90" s="156">
        <f>($D$13*(F821EO!G87))*1</f>
        <v>18987.051665716412</v>
      </c>
      <c r="H90" s="156">
        <f>($D$13*(F821EO!H87))*1</f>
        <v>17719.525347704166</v>
      </c>
      <c r="I90" s="156">
        <f>($D$13*(F821EO!I87))*1</f>
        <v>18905.799844879279</v>
      </c>
      <c r="J90" s="156">
        <f t="shared" si="18"/>
        <v>113334.92581679999</v>
      </c>
      <c r="K90" s="69"/>
    </row>
    <row r="91" spans="2:11" s="37" customFormat="1" ht="15.75">
      <c r="B91" s="48"/>
      <c r="C91" s="162" t="s">
        <v>644</v>
      </c>
      <c r="D91" s="156">
        <f>($D$13*(F821EO!D88))*0.75</f>
        <v>547.48626925104554</v>
      </c>
      <c r="E91" s="156">
        <f>($D$13*(F821EO!E88))*0.75</f>
        <v>549.71991263484801</v>
      </c>
      <c r="F91" s="156">
        <f>($D$13*(F821EO!F88))*0.75</f>
        <v>543.45306752393094</v>
      </c>
      <c r="G91" s="156">
        <f>($D$13*(F821EO!G88))*0.75</f>
        <v>539.67266685981213</v>
      </c>
      <c r="H91" s="156">
        <f>($D$13*(F821EO!H88))*0.75</f>
        <v>503.64551949644306</v>
      </c>
      <c r="I91" s="156">
        <f>($D$13*(F821EO!I88))*0.75</f>
        <v>537.36323053392027</v>
      </c>
      <c r="J91" s="156">
        <f t="shared" si="18"/>
        <v>3221.3406663000001</v>
      </c>
      <c r="K91" s="69"/>
    </row>
    <row r="92" spans="2:11" s="37" customFormat="1" ht="15.75">
      <c r="B92" s="48"/>
      <c r="C92" s="160" t="s">
        <v>305</v>
      </c>
      <c r="D92" s="156">
        <f>($D$13*(F821EO!D89))*0.95</f>
        <v>0</v>
      </c>
      <c r="E92" s="156">
        <f>($D$13*(F821EO!E89))*0.95</f>
        <v>0</v>
      </c>
      <c r="F92" s="156">
        <f>($D$13*(F821EO!F89))*0.95</f>
        <v>0</v>
      </c>
      <c r="G92" s="156">
        <f>($D$13*(F821EO!G89))*0.95</f>
        <v>0</v>
      </c>
      <c r="H92" s="156">
        <f>($D$13*(F821EO!H89))*0.95</f>
        <v>0</v>
      </c>
      <c r="I92" s="156">
        <f>($D$13*(F821EO!I89))*0.95</f>
        <v>0</v>
      </c>
      <c r="J92" s="156">
        <f t="shared" si="18"/>
        <v>0</v>
      </c>
      <c r="K92" s="69"/>
    </row>
    <row r="93" spans="2:11" s="37" customFormat="1" ht="15.75">
      <c r="B93" s="48"/>
      <c r="C93" s="160" t="s">
        <v>307</v>
      </c>
      <c r="D93" s="156">
        <f>($D$13*(F821EO!D90))*0.5</f>
        <v>0</v>
      </c>
      <c r="E93" s="156">
        <f>($D$13*(F821EO!E90))*0.5</f>
        <v>0</v>
      </c>
      <c r="F93" s="156">
        <f>($D$13*(F821EO!F90))*0.5</f>
        <v>0</v>
      </c>
      <c r="G93" s="156">
        <f>($D$13*(F821EO!G90))*0.5</f>
        <v>0</v>
      </c>
      <c r="H93" s="156">
        <f>($D$13*(F821EO!H90))*0.5</f>
        <v>0</v>
      </c>
      <c r="I93" s="156">
        <f>($D$13*(F821EO!I90))*0.5</f>
        <v>0</v>
      </c>
      <c r="J93" s="156">
        <f t="shared" si="18"/>
        <v>0</v>
      </c>
      <c r="K93" s="69"/>
    </row>
    <row r="94" spans="2:11" s="37" customFormat="1" ht="15.75">
      <c r="B94" s="48"/>
      <c r="C94" s="160" t="s">
        <v>624</v>
      </c>
      <c r="D94" s="156">
        <f>($D$13*(F821EO!D91))*0</f>
        <v>0</v>
      </c>
      <c r="E94" s="156">
        <f>($D$13*(F821EO!E91))*0</f>
        <v>0</v>
      </c>
      <c r="F94" s="156">
        <f>($D$13*(F821EO!F91))*0</f>
        <v>0</v>
      </c>
      <c r="G94" s="156">
        <f>($D$13*(F821EO!G91))*0</f>
        <v>0</v>
      </c>
      <c r="H94" s="156">
        <f>($D$13*(F821EO!H91))*0</f>
        <v>0</v>
      </c>
      <c r="I94" s="156">
        <f>($D$13*(F821EO!I91))*0</f>
        <v>0</v>
      </c>
      <c r="J94" s="156">
        <f t="shared" si="18"/>
        <v>0</v>
      </c>
      <c r="K94" s="69"/>
    </row>
    <row r="95" spans="2:11" s="37" customFormat="1" ht="15.75">
      <c r="B95" s="48" t="s">
        <v>902</v>
      </c>
      <c r="C95" s="158" t="s">
        <v>911</v>
      </c>
      <c r="D95" s="154">
        <f t="shared" ref="D95:I95" si="20">SUBTOTAL(9,D96:D101)</f>
        <v>8276.9538496498881</v>
      </c>
      <c r="E95" s="154">
        <f t="shared" si="20"/>
        <v>8310.7223005547858</v>
      </c>
      <c r="F95" s="154">
        <f t="shared" si="20"/>
        <v>8215.9794902247268</v>
      </c>
      <c r="G95" s="154">
        <f t="shared" si="20"/>
        <v>8158.8270033269218</v>
      </c>
      <c r="H95" s="154">
        <f t="shared" si="20"/>
        <v>7614.1648760573771</v>
      </c>
      <c r="I95" s="154">
        <f t="shared" si="20"/>
        <v>8123.9127069113047</v>
      </c>
      <c r="J95" s="154">
        <f t="shared" si="18"/>
        <v>48700.560226724992</v>
      </c>
      <c r="K95" s="69"/>
    </row>
    <row r="96" spans="2:11" s="37" customFormat="1" ht="15.75">
      <c r="B96" s="48"/>
      <c r="C96" s="160" t="s">
        <v>304</v>
      </c>
      <c r="D96" s="156">
        <f>($D$13*(F821EO!D93))*1</f>
        <v>7663.310710384324</v>
      </c>
      <c r="E96" s="156">
        <f>($D$13*(F821EO!E93))*1</f>
        <v>7694.5756100313774</v>
      </c>
      <c r="F96" s="156">
        <f>($D$13*(F821EO!F93))*1</f>
        <v>7606.856914684904</v>
      </c>
      <c r="G96" s="156">
        <f>($D$13*(F821EO!G93))*1</f>
        <v>7553.9416426023408</v>
      </c>
      <c r="H96" s="156">
        <f>($D$13*(F821EO!H93))*1</f>
        <v>7049.6600929810429</v>
      </c>
      <c r="I96" s="156">
        <f>($D$13*(F821EO!I93))*1</f>
        <v>7521.6158490160142</v>
      </c>
      <c r="J96" s="156">
        <f t="shared" si="18"/>
        <v>45089.960819700005</v>
      </c>
      <c r="K96" s="69"/>
    </row>
    <row r="97" spans="2:11" s="37" customFormat="1" ht="15.75">
      <c r="B97" s="48"/>
      <c r="C97" s="162" t="s">
        <v>642</v>
      </c>
      <c r="D97" s="156">
        <f>($D$13*(F821EO!D94))*0.75</f>
        <v>503.14973518558048</v>
      </c>
      <c r="E97" s="156">
        <f>($D$13*(F821EO!E94))*0.75</f>
        <v>505.20249365675954</v>
      </c>
      <c r="F97" s="156">
        <f>($D$13*(F821EO!F94))*0.75</f>
        <v>499.44315020816401</v>
      </c>
      <c r="G97" s="156">
        <f>($D$13*(F821EO!G94))*0.75</f>
        <v>495.96889395759393</v>
      </c>
      <c r="H97" s="156">
        <f>($D$13*(F821EO!H94))*0.75</f>
        <v>462.8592971084006</v>
      </c>
      <c r="I97" s="156">
        <f>($D$13*(F821EO!I94))*0.75</f>
        <v>493.84648040850152</v>
      </c>
      <c r="J97" s="156">
        <f t="shared" si="18"/>
        <v>2960.4700505250003</v>
      </c>
      <c r="K97" s="69"/>
    </row>
    <row r="98" spans="2:11" s="37" customFormat="1" ht="15.75">
      <c r="B98" s="48"/>
      <c r="C98" s="162" t="s">
        <v>1177</v>
      </c>
      <c r="D98" s="156">
        <f>($D$13*(F821EO!D95))*1</f>
        <v>110.49340407998311</v>
      </c>
      <c r="E98" s="156">
        <f>($D$13*(F821EO!E95))*1</f>
        <v>110.94419686664915</v>
      </c>
      <c r="F98" s="156">
        <f>($D$13*(F821EO!F95))*1</f>
        <v>109.67942533165801</v>
      </c>
      <c r="G98" s="156">
        <f>($D$13*(F821EO!G95))*1</f>
        <v>108.91646676698726</v>
      </c>
      <c r="H98" s="156">
        <f>($D$13*(F821EO!H95))*1</f>
        <v>101.64548596793368</v>
      </c>
      <c r="I98" s="156">
        <f>($D$13*(F821EO!I95))*1</f>
        <v>108.45037748678881</v>
      </c>
      <c r="J98" s="156">
        <f t="shared" si="18"/>
        <v>650.12935650000009</v>
      </c>
      <c r="K98" s="69"/>
    </row>
    <row r="99" spans="2:11" s="37" customFormat="1" ht="15.75">
      <c r="B99" s="48"/>
      <c r="C99" s="160" t="s">
        <v>305</v>
      </c>
      <c r="D99" s="156">
        <f>($D$13*(F821EO!D96))*0.95</f>
        <v>0</v>
      </c>
      <c r="E99" s="156">
        <f>($D$13*(F821EO!E96))*0.95</f>
        <v>0</v>
      </c>
      <c r="F99" s="156">
        <f>($D$13*(F821EO!F96))*0.95</f>
        <v>0</v>
      </c>
      <c r="G99" s="156">
        <f>($D$13*(F821EO!G96))*0.95</f>
        <v>0</v>
      </c>
      <c r="H99" s="156">
        <f>($D$13*(F821EO!H96))*0.95</f>
        <v>0</v>
      </c>
      <c r="I99" s="156">
        <f>($D$13*(F821EO!I96))*0.95</f>
        <v>0</v>
      </c>
      <c r="J99" s="156">
        <f t="shared" si="18"/>
        <v>0</v>
      </c>
      <c r="K99" s="69"/>
    </row>
    <row r="100" spans="2:11" s="37" customFormat="1" ht="15.75">
      <c r="B100" s="48"/>
      <c r="C100" s="160" t="s">
        <v>307</v>
      </c>
      <c r="D100" s="156">
        <f>($D$13*(F821EO!D97))*0.5</f>
        <v>0</v>
      </c>
      <c r="E100" s="156">
        <f>($D$13*(F821EO!E97))*0.5</f>
        <v>0</v>
      </c>
      <c r="F100" s="156">
        <f>($D$13*(F821EO!F97))*0.5</f>
        <v>0</v>
      </c>
      <c r="G100" s="156">
        <f>($D$13*(F821EO!G97))*0.5</f>
        <v>0</v>
      </c>
      <c r="H100" s="156">
        <f>($D$13*(F821EO!H97))*0.5</f>
        <v>0</v>
      </c>
      <c r="I100" s="156">
        <f>($D$13*(F821EO!I97))*0.5</f>
        <v>0</v>
      </c>
      <c r="J100" s="156">
        <f t="shared" si="18"/>
        <v>0</v>
      </c>
      <c r="K100" s="69"/>
    </row>
    <row r="101" spans="2:11" s="37" customFormat="1" ht="15.75">
      <c r="B101" s="48"/>
      <c r="C101" s="160" t="s">
        <v>624</v>
      </c>
      <c r="D101" s="156">
        <f>($D$13*(F821EO!D98))*0</f>
        <v>0</v>
      </c>
      <c r="E101" s="156">
        <f>($D$13*(F821EO!E98))*0</f>
        <v>0</v>
      </c>
      <c r="F101" s="156">
        <f>($D$13*(F821EO!F98))*0</f>
        <v>0</v>
      </c>
      <c r="G101" s="156">
        <f>($D$13*(F821EO!G98))*0</f>
        <v>0</v>
      </c>
      <c r="H101" s="156">
        <f>($D$13*(F821EO!H98))*0</f>
        <v>0</v>
      </c>
      <c r="I101" s="156">
        <f>($D$13*(F821EO!I98))*0</f>
        <v>0</v>
      </c>
      <c r="J101" s="156">
        <f t="shared" si="18"/>
        <v>0</v>
      </c>
      <c r="K101" s="69"/>
    </row>
    <row r="102" spans="2:11" s="37" customFormat="1" ht="15.75">
      <c r="B102" s="48" t="s">
        <v>902</v>
      </c>
      <c r="C102" s="158" t="s">
        <v>912</v>
      </c>
      <c r="D102" s="154">
        <f t="shared" ref="D102:I102" si="21">SUBTOTAL(9,D103:D108)</f>
        <v>993.43641392963264</v>
      </c>
      <c r="E102" s="154">
        <f t="shared" si="21"/>
        <v>997.48945196515831</v>
      </c>
      <c r="F102" s="154">
        <f t="shared" si="21"/>
        <v>986.11800306625071</v>
      </c>
      <c r="G102" s="154">
        <f t="shared" si="21"/>
        <v>979.25831015720837</v>
      </c>
      <c r="H102" s="154">
        <f t="shared" si="21"/>
        <v>913.88556550419446</v>
      </c>
      <c r="I102" s="154">
        <f t="shared" si="21"/>
        <v>975.06774270255528</v>
      </c>
      <c r="J102" s="154">
        <f t="shared" si="18"/>
        <v>5845.2554873249992</v>
      </c>
      <c r="K102" s="69"/>
    </row>
    <row r="103" spans="2:11" s="37" customFormat="1" ht="15.75">
      <c r="B103" s="48"/>
      <c r="C103" s="160" t="s">
        <v>304</v>
      </c>
      <c r="D103" s="156">
        <f>($D$13*(F821EO!D100))*1</f>
        <v>933.82819883558204</v>
      </c>
      <c r="E103" s="156">
        <f>($D$13*(F821EO!E100))*1</f>
        <v>937.6380463058955</v>
      </c>
      <c r="F103" s="156">
        <f>($D$13*(F821EO!F100))*1</f>
        <v>926.94890758043505</v>
      </c>
      <c r="G103" s="156">
        <f>($D$13*(F821EO!G100))*1</f>
        <v>920.50081026489818</v>
      </c>
      <c r="H103" s="156">
        <f>($D$13*(F821EO!H100))*1</f>
        <v>859.05056389151889</v>
      </c>
      <c r="I103" s="156">
        <f>($D$13*(F821EO!I100))*1</f>
        <v>916.56168542167006</v>
      </c>
      <c r="J103" s="156">
        <f t="shared" si="18"/>
        <v>5494.5282122999997</v>
      </c>
      <c r="K103" s="69"/>
    </row>
    <row r="104" spans="2:11" s="37" customFormat="1" ht="15.75">
      <c r="B104" s="48"/>
      <c r="C104" s="162" t="s">
        <v>642</v>
      </c>
      <c r="D104" s="156">
        <f>($D$13*(F821EO!D101))*0.75</f>
        <v>59.608215094050578</v>
      </c>
      <c r="E104" s="156">
        <f>($D$13*(F821EO!E101))*0.75</f>
        <v>59.851405659262831</v>
      </c>
      <c r="F104" s="156">
        <f>($D$13*(F821EO!F101))*0.75</f>
        <v>59.169095485815632</v>
      </c>
      <c r="G104" s="156">
        <f>($D$13*(F821EO!G101))*0.75</f>
        <v>58.757499892310143</v>
      </c>
      <c r="H104" s="156">
        <f>($D$13*(F821EO!H101))*0.75</f>
        <v>54.835001612675597</v>
      </c>
      <c r="I104" s="156">
        <f>($D$13*(F821EO!I101))*0.75</f>
        <v>58.506057280885216</v>
      </c>
      <c r="J104" s="156">
        <f t="shared" si="18"/>
        <v>350.72727502499998</v>
      </c>
      <c r="K104" s="69"/>
    </row>
    <row r="105" spans="2:11" s="37" customFormat="1" ht="15.75">
      <c r="B105" s="48"/>
      <c r="C105" s="162" t="s">
        <v>1177</v>
      </c>
      <c r="D105" s="156">
        <f>($D$13*(F821EO!D102))*1</f>
        <v>0</v>
      </c>
      <c r="E105" s="156">
        <f>($D$13*(F821EO!E102))*1</f>
        <v>0</v>
      </c>
      <c r="F105" s="156">
        <f>($D$13*(F821EO!F102))*1</f>
        <v>0</v>
      </c>
      <c r="G105" s="156">
        <f>($D$13*(F821EO!G102))*1</f>
        <v>0</v>
      </c>
      <c r="H105" s="156">
        <f>($D$13*(F821EO!H102))*1</f>
        <v>0</v>
      </c>
      <c r="I105" s="156">
        <f>($D$13*(F821EO!I102))*1</f>
        <v>0</v>
      </c>
      <c r="J105" s="156">
        <f t="shared" si="18"/>
        <v>0</v>
      </c>
      <c r="K105" s="69"/>
    </row>
    <row r="106" spans="2:11" s="37" customFormat="1" ht="15.75">
      <c r="B106" s="48"/>
      <c r="C106" s="160" t="s">
        <v>305</v>
      </c>
      <c r="D106" s="156">
        <f>($D$13*(F821EO!D103))*0.95</f>
        <v>0</v>
      </c>
      <c r="E106" s="156">
        <f>($D$13*(F821EO!E103))*0.95</f>
        <v>0</v>
      </c>
      <c r="F106" s="156">
        <f>($D$13*(F821EO!F103))*0.95</f>
        <v>0</v>
      </c>
      <c r="G106" s="156">
        <f>($D$13*(F821EO!G103))*0.95</f>
        <v>0</v>
      </c>
      <c r="H106" s="156">
        <f>($D$13*(F821EO!H103))*0.95</f>
        <v>0</v>
      </c>
      <c r="I106" s="156">
        <f>($D$13*(F821EO!I103))*0.95</f>
        <v>0</v>
      </c>
      <c r="J106" s="156">
        <f t="shared" si="18"/>
        <v>0</v>
      </c>
      <c r="K106" s="69"/>
    </row>
    <row r="107" spans="2:11" s="37" customFormat="1" ht="15.75">
      <c r="B107" s="48"/>
      <c r="C107" s="160" t="s">
        <v>307</v>
      </c>
      <c r="D107" s="156">
        <f>($D$13*(F821EO!D104))*0.5</f>
        <v>0</v>
      </c>
      <c r="E107" s="156">
        <f>($D$13*(F821EO!E104))*0.5</f>
        <v>0</v>
      </c>
      <c r="F107" s="156">
        <f>($D$13*(F821EO!F104))*0.5</f>
        <v>0</v>
      </c>
      <c r="G107" s="156">
        <f>($D$13*(F821EO!G104))*0.5</f>
        <v>0</v>
      </c>
      <c r="H107" s="156">
        <f>($D$13*(F821EO!H104))*0.5</f>
        <v>0</v>
      </c>
      <c r="I107" s="156">
        <f>($D$13*(F821EO!I104))*0.5</f>
        <v>0</v>
      </c>
      <c r="J107" s="156">
        <f t="shared" si="18"/>
        <v>0</v>
      </c>
      <c r="K107" s="69"/>
    </row>
    <row r="108" spans="2:11" s="37" customFormat="1" ht="15.75">
      <c r="B108" s="48"/>
      <c r="C108" s="160" t="s">
        <v>624</v>
      </c>
      <c r="D108" s="156">
        <f>($D$13*(F821EO!D105))*0</f>
        <v>0</v>
      </c>
      <c r="E108" s="156">
        <f>($D$13*(F821EO!E105))*0</f>
        <v>0</v>
      </c>
      <c r="F108" s="156">
        <f>($D$13*(F821EO!F105))*0</f>
        <v>0</v>
      </c>
      <c r="G108" s="156">
        <f>($D$13*(F821EO!G105))*0</f>
        <v>0</v>
      </c>
      <c r="H108" s="156">
        <f>($D$13*(F821EO!H105))*0</f>
        <v>0</v>
      </c>
      <c r="I108" s="156">
        <f>($D$13*(F821EO!I105))*0</f>
        <v>0</v>
      </c>
      <c r="J108" s="156">
        <f t="shared" si="18"/>
        <v>0</v>
      </c>
      <c r="K108" s="69"/>
    </row>
    <row r="109" spans="2:11" s="37" customFormat="1" ht="15.75">
      <c r="B109" s="48"/>
      <c r="C109" s="157"/>
      <c r="D109" s="156"/>
      <c r="E109" s="156"/>
      <c r="F109" s="156"/>
      <c r="G109" s="156"/>
      <c r="H109" s="156"/>
      <c r="I109" s="156"/>
      <c r="J109" s="156">
        <f t="shared" si="18"/>
        <v>0</v>
      </c>
      <c r="K109" s="69"/>
    </row>
    <row r="110" spans="2:11" s="37" customFormat="1" ht="15.75">
      <c r="B110" s="48"/>
      <c r="C110" s="179" t="s">
        <v>112</v>
      </c>
      <c r="D110" s="180">
        <f t="shared" ref="D110:I110" si="22">D33+D23+D19</f>
        <v>566324.63659794594</v>
      </c>
      <c r="E110" s="180">
        <f t="shared" si="22"/>
        <v>568653.66428797133</v>
      </c>
      <c r="F110" s="180">
        <f t="shared" si="22"/>
        <v>562101.78961740818</v>
      </c>
      <c r="G110" s="180">
        <f t="shared" si="22"/>
        <v>558144.71738191298</v>
      </c>
      <c r="H110" s="180">
        <f t="shared" si="22"/>
        <v>520470.14790027053</v>
      </c>
      <c r="I110" s="180">
        <f t="shared" si="22"/>
        <v>555733.90665504662</v>
      </c>
      <c r="J110" s="180">
        <f t="shared" si="18"/>
        <v>3331428.8624405549</v>
      </c>
      <c r="K110" s="69"/>
    </row>
    <row r="112" spans="2:11">
      <c r="C112" s="52" t="str">
        <f>'PORTADA PORTADA PORTADA'!$B$23</f>
        <v>1 DE JULIO DE 2026</v>
      </c>
    </row>
    <row r="114" spans="2:10">
      <c r="B114" s="48" t="s">
        <v>902</v>
      </c>
      <c r="D114" s="163">
        <f t="shared" ref="D114:J123" si="23">SUMIF($B$18:$B$110,$B114,D$18:D$110)</f>
        <v>29079.830526213413</v>
      </c>
      <c r="E114" s="163">
        <f t="shared" si="23"/>
        <v>29198.470891652767</v>
      </c>
      <c r="F114" s="163">
        <f t="shared" si="23"/>
        <v>28865.606299434232</v>
      </c>
      <c r="G114" s="163">
        <f t="shared" si="23"/>
        <v>28664.809646060356</v>
      </c>
      <c r="H114" s="163">
        <f t="shared" si="23"/>
        <v>26751.221308762182</v>
      </c>
      <c r="I114" s="163">
        <f t="shared" si="23"/>
        <v>28542.143525027059</v>
      </c>
      <c r="J114" s="163">
        <f t="shared" si="23"/>
        <v>171102.08219714995</v>
      </c>
    </row>
    <row r="115" spans="2:10">
      <c r="B115" s="48" t="s">
        <v>751</v>
      </c>
      <c r="D115" s="163">
        <f t="shared" si="23"/>
        <v>87231.990111037856</v>
      </c>
      <c r="E115" s="163">
        <f t="shared" si="23"/>
        <v>87606.407831542252</v>
      </c>
      <c r="F115" s="163">
        <f t="shared" si="23"/>
        <v>86538.505231036805</v>
      </c>
      <c r="G115" s="163">
        <f t="shared" si="23"/>
        <v>85889.574698220677</v>
      </c>
      <c r="H115" s="163">
        <f t="shared" si="23"/>
        <v>79741.533542671532</v>
      </c>
      <c r="I115" s="163">
        <f t="shared" si="23"/>
        <v>85499.698601875964</v>
      </c>
      <c r="J115" s="163">
        <f t="shared" si="23"/>
        <v>512507.71001638507</v>
      </c>
    </row>
    <row r="116" spans="2:10">
      <c r="B116" s="48" t="s">
        <v>750</v>
      </c>
      <c r="D116" s="163">
        <f t="shared" si="23"/>
        <v>101301.06274247752</v>
      </c>
      <c r="E116" s="163">
        <f t="shared" si="23"/>
        <v>101714.35246548087</v>
      </c>
      <c r="F116" s="163">
        <f t="shared" si="23"/>
        <v>100554.80179648081</v>
      </c>
      <c r="G116" s="163">
        <f t="shared" si="23"/>
        <v>99855.316482645459</v>
      </c>
      <c r="H116" s="163">
        <f t="shared" si="23"/>
        <v>93189.234572533416</v>
      </c>
      <c r="I116" s="163">
        <f t="shared" si="23"/>
        <v>99428.00283609693</v>
      </c>
      <c r="J116" s="163">
        <f t="shared" si="23"/>
        <v>596042.77089571499</v>
      </c>
    </row>
    <row r="117" spans="2:10">
      <c r="B117" s="48" t="s">
        <v>749</v>
      </c>
      <c r="D117" s="163">
        <f t="shared" si="23"/>
        <v>113283.35589597837</v>
      </c>
      <c r="E117" s="163">
        <f t="shared" si="23"/>
        <v>113745.53117342993</v>
      </c>
      <c r="F117" s="163">
        <f t="shared" si="23"/>
        <v>112448.82423315148</v>
      </c>
      <c r="G117" s="163">
        <f t="shared" si="23"/>
        <v>111666.60101055155</v>
      </c>
      <c r="H117" s="163">
        <f t="shared" si="23"/>
        <v>104212.02838306896</v>
      </c>
      <c r="I117" s="163">
        <f t="shared" si="23"/>
        <v>111188.74300402473</v>
      </c>
      <c r="J117" s="163">
        <f t="shared" si="23"/>
        <v>666545.08370020508</v>
      </c>
    </row>
    <row r="118" spans="2:10">
      <c r="B118" s="48" t="s">
        <v>1176</v>
      </c>
      <c r="D118" s="163">
        <f t="shared" si="23"/>
        <v>4.5870040899385902</v>
      </c>
      <c r="E118" s="163">
        <f t="shared" si="23"/>
        <v>4.6057182238126373</v>
      </c>
      <c r="F118" s="163">
        <f t="shared" si="23"/>
        <v>4.5532127167903109</v>
      </c>
      <c r="G118" s="163">
        <f t="shared" si="23"/>
        <v>4.5215393867328437</v>
      </c>
      <c r="H118" s="163">
        <f t="shared" si="23"/>
        <v>4.2196931458569527</v>
      </c>
      <c r="I118" s="163">
        <f t="shared" si="23"/>
        <v>4.5021902368686657</v>
      </c>
      <c r="J118" s="163">
        <f t="shared" si="23"/>
        <v>26.989357800000001</v>
      </c>
    </row>
    <row r="119" spans="2:10">
      <c r="B119" s="48" t="s">
        <v>274</v>
      </c>
      <c r="D119" s="163">
        <f t="shared" si="23"/>
        <v>123695.15227709615</v>
      </c>
      <c r="E119" s="163">
        <f t="shared" si="23"/>
        <v>124199.80577072648</v>
      </c>
      <c r="F119" s="163">
        <f t="shared" si="23"/>
        <v>122783.91937534294</v>
      </c>
      <c r="G119" s="163">
        <f t="shared" si="23"/>
        <v>121929.80254706828</v>
      </c>
      <c r="H119" s="163">
        <f t="shared" si="23"/>
        <v>113790.08520709263</v>
      </c>
      <c r="I119" s="163">
        <f t="shared" si="23"/>
        <v>121408.0249353736</v>
      </c>
      <c r="J119" s="163">
        <f t="shared" si="23"/>
        <v>727806.79011270008</v>
      </c>
    </row>
    <row r="120" spans="2:10">
      <c r="B120" s="48" t="s">
        <v>275</v>
      </c>
      <c r="D120" s="163">
        <f t="shared" si="23"/>
        <v>6270.8868657968487</v>
      </c>
      <c r="E120" s="163">
        <f t="shared" si="23"/>
        <v>6296.4709320009615</v>
      </c>
      <c r="F120" s="163">
        <f t="shared" si="23"/>
        <v>6224.6907269014027</v>
      </c>
      <c r="G120" s="163">
        <f t="shared" si="23"/>
        <v>6181.3901617484116</v>
      </c>
      <c r="H120" s="163">
        <f t="shared" si="23"/>
        <v>5768.7365886786483</v>
      </c>
      <c r="I120" s="163">
        <f t="shared" si="23"/>
        <v>6154.9379660737313</v>
      </c>
      <c r="J120" s="163">
        <f t="shared" si="23"/>
        <v>36897.113241200001</v>
      </c>
    </row>
    <row r="121" spans="2:10">
      <c r="B121" s="48" t="s">
        <v>276</v>
      </c>
      <c r="D121" s="163">
        <f t="shared" si="23"/>
        <v>55898.216156873132</v>
      </c>
      <c r="E121" s="163">
        <f t="shared" si="23"/>
        <v>56126.270608094295</v>
      </c>
      <c r="F121" s="163">
        <f t="shared" si="23"/>
        <v>55486.427232458773</v>
      </c>
      <c r="G121" s="163">
        <f t="shared" si="23"/>
        <v>55100.449235656073</v>
      </c>
      <c r="H121" s="163">
        <f t="shared" si="23"/>
        <v>51422.086171705538</v>
      </c>
      <c r="I121" s="163">
        <f t="shared" si="23"/>
        <v>54864.65634331225</v>
      </c>
      <c r="J121" s="163">
        <f t="shared" si="23"/>
        <v>328898.10574810003</v>
      </c>
    </row>
    <row r="122" spans="2:10">
      <c r="B122" s="48" t="s">
        <v>277</v>
      </c>
      <c r="D122" s="163">
        <f t="shared" si="23"/>
        <v>9064.1108265827115</v>
      </c>
      <c r="E122" s="163">
        <f t="shared" si="23"/>
        <v>9101.0907333218274</v>
      </c>
      <c r="F122" s="163">
        <f t="shared" si="23"/>
        <v>8997.3376680694564</v>
      </c>
      <c r="G122" s="163">
        <f t="shared" si="23"/>
        <v>8934.7498507798373</v>
      </c>
      <c r="H122" s="163">
        <f t="shared" si="23"/>
        <v>8338.2891269083048</v>
      </c>
      <c r="I122" s="163">
        <f t="shared" si="23"/>
        <v>8896.5151260378716</v>
      </c>
      <c r="J122" s="163">
        <f t="shared" si="23"/>
        <v>53332.093331700009</v>
      </c>
    </row>
    <row r="123" spans="2:10">
      <c r="B123" s="48" t="s">
        <v>278</v>
      </c>
      <c r="D123" s="163">
        <f t="shared" si="23"/>
        <v>1.03</v>
      </c>
      <c r="E123" s="163">
        <f t="shared" si="23"/>
        <v>1.03</v>
      </c>
      <c r="F123" s="163">
        <f t="shared" si="23"/>
        <v>1.03</v>
      </c>
      <c r="G123" s="163">
        <f t="shared" si="23"/>
        <v>1.03</v>
      </c>
      <c r="H123" s="163">
        <f t="shared" si="23"/>
        <v>1.03</v>
      </c>
      <c r="I123" s="163">
        <f t="shared" si="23"/>
        <v>1.03</v>
      </c>
      <c r="J123" s="163">
        <f t="shared" si="23"/>
        <v>6.1800000000000006</v>
      </c>
    </row>
    <row r="124" spans="2:10">
      <c r="B124" s="48" t="s">
        <v>279</v>
      </c>
      <c r="D124" s="163">
        <f t="shared" ref="D124:J132" si="24">SUMIF($B$18:$B$110,$B124,D$18:D$110)</f>
        <v>40494.414191799915</v>
      </c>
      <c r="E124" s="163">
        <f t="shared" si="24"/>
        <v>40659.628163498048</v>
      </c>
      <c r="F124" s="163">
        <f t="shared" si="24"/>
        <v>40196.093841815498</v>
      </c>
      <c r="G124" s="163">
        <f t="shared" si="24"/>
        <v>39916.472209795589</v>
      </c>
      <c r="H124" s="163">
        <f t="shared" si="24"/>
        <v>37251.683305703307</v>
      </c>
      <c r="I124" s="163">
        <f t="shared" si="24"/>
        <v>39745.652126987661</v>
      </c>
      <c r="J124" s="163">
        <f t="shared" si="24"/>
        <v>238263.94383960002</v>
      </c>
    </row>
    <row r="125" spans="2:10">
      <c r="B125" s="48" t="s">
        <v>875</v>
      </c>
      <c r="D125" s="163">
        <f t="shared" si="24"/>
        <v>0</v>
      </c>
      <c r="E125" s="163">
        <f t="shared" si="24"/>
        <v>0</v>
      </c>
      <c r="F125" s="163">
        <f t="shared" si="24"/>
        <v>0</v>
      </c>
      <c r="G125" s="163">
        <f t="shared" si="24"/>
        <v>0</v>
      </c>
      <c r="H125" s="163">
        <f t="shared" si="24"/>
        <v>0</v>
      </c>
      <c r="I125" s="163">
        <f t="shared" si="24"/>
        <v>0</v>
      </c>
      <c r="J125" s="163">
        <f t="shared" si="24"/>
        <v>0</v>
      </c>
    </row>
    <row r="126" spans="2:10">
      <c r="B126" s="48" t="s">
        <v>874</v>
      </c>
      <c r="D126" s="163">
        <f t="shared" si="24"/>
        <v>0</v>
      </c>
      <c r="E126" s="163">
        <f t="shared" si="24"/>
        <v>0</v>
      </c>
      <c r="F126" s="163">
        <f t="shared" si="24"/>
        <v>0</v>
      </c>
      <c r="G126" s="163">
        <f t="shared" si="24"/>
        <v>0</v>
      </c>
      <c r="H126" s="163">
        <f t="shared" si="24"/>
        <v>0</v>
      </c>
      <c r="I126" s="163">
        <f t="shared" si="24"/>
        <v>0</v>
      </c>
      <c r="J126" s="163">
        <f t="shared" si="24"/>
        <v>0</v>
      </c>
    </row>
    <row r="127" spans="2:10">
      <c r="B127" s="48" t="s">
        <v>873</v>
      </c>
      <c r="D127" s="163">
        <f t="shared" si="24"/>
        <v>0</v>
      </c>
      <c r="E127" s="163">
        <f t="shared" si="24"/>
        <v>0</v>
      </c>
      <c r="F127" s="163">
        <f t="shared" si="24"/>
        <v>0</v>
      </c>
      <c r="G127" s="163">
        <f t="shared" si="24"/>
        <v>0</v>
      </c>
      <c r="H127" s="163">
        <f t="shared" si="24"/>
        <v>0</v>
      </c>
      <c r="I127" s="163">
        <f t="shared" si="24"/>
        <v>0</v>
      </c>
      <c r="J127" s="163">
        <f t="shared" si="24"/>
        <v>0</v>
      </c>
    </row>
    <row r="128" spans="2:10">
      <c r="B128" s="48" t="s">
        <v>872</v>
      </c>
      <c r="D128" s="163">
        <f t="shared" si="24"/>
        <v>0</v>
      </c>
      <c r="E128" s="163">
        <f t="shared" si="24"/>
        <v>0</v>
      </c>
      <c r="F128" s="163">
        <f t="shared" si="24"/>
        <v>0</v>
      </c>
      <c r="G128" s="163">
        <f t="shared" si="24"/>
        <v>0</v>
      </c>
      <c r="H128" s="163">
        <f t="shared" si="24"/>
        <v>0</v>
      </c>
      <c r="I128" s="163">
        <f t="shared" si="24"/>
        <v>0</v>
      </c>
      <c r="J128" s="163">
        <f t="shared" si="24"/>
        <v>0</v>
      </c>
    </row>
    <row r="129" spans="2:10">
      <c r="B129" s="48" t="s">
        <v>871</v>
      </c>
      <c r="D129" s="163">
        <f t="shared" si="24"/>
        <v>0</v>
      </c>
      <c r="E129" s="163">
        <f t="shared" si="24"/>
        <v>0</v>
      </c>
      <c r="F129" s="163">
        <f t="shared" si="24"/>
        <v>0</v>
      </c>
      <c r="G129" s="163">
        <f t="shared" si="24"/>
        <v>0</v>
      </c>
      <c r="H129" s="163">
        <f t="shared" si="24"/>
        <v>0</v>
      </c>
      <c r="I129" s="163">
        <f t="shared" si="24"/>
        <v>0</v>
      </c>
      <c r="J129" s="163">
        <f t="shared" si="24"/>
        <v>0</v>
      </c>
    </row>
    <row r="130" spans="2:10">
      <c r="B130" s="48" t="s">
        <v>870</v>
      </c>
      <c r="D130" s="163">
        <f t="shared" si="24"/>
        <v>0</v>
      </c>
      <c r="E130" s="163">
        <f t="shared" si="24"/>
        <v>0</v>
      </c>
      <c r="F130" s="163">
        <f t="shared" si="24"/>
        <v>0</v>
      </c>
      <c r="G130" s="163">
        <f t="shared" si="24"/>
        <v>0</v>
      </c>
      <c r="H130" s="163">
        <f t="shared" si="24"/>
        <v>0</v>
      </c>
      <c r="I130" s="163">
        <f t="shared" si="24"/>
        <v>0</v>
      </c>
      <c r="J130" s="163">
        <f t="shared" si="24"/>
        <v>0</v>
      </c>
    </row>
    <row r="131" spans="2:10">
      <c r="B131" s="48" t="s">
        <v>893</v>
      </c>
      <c r="D131" s="163">
        <f t="shared" si="24"/>
        <v>0</v>
      </c>
      <c r="E131" s="163">
        <f t="shared" si="24"/>
        <v>0</v>
      </c>
      <c r="F131" s="163">
        <f t="shared" si="24"/>
        <v>0</v>
      </c>
      <c r="G131" s="163">
        <f t="shared" si="24"/>
        <v>0</v>
      </c>
      <c r="H131" s="163">
        <f t="shared" si="24"/>
        <v>0</v>
      </c>
      <c r="I131" s="163">
        <f t="shared" si="24"/>
        <v>0</v>
      </c>
      <c r="J131" s="163">
        <f t="shared" si="24"/>
        <v>0</v>
      </c>
    </row>
    <row r="132" spans="2:10">
      <c r="D132" s="163">
        <f t="shared" si="24"/>
        <v>0</v>
      </c>
      <c r="E132" s="163">
        <f t="shared" si="24"/>
        <v>0</v>
      </c>
      <c r="F132" s="163">
        <f t="shared" si="24"/>
        <v>0</v>
      </c>
      <c r="G132" s="163">
        <f t="shared" si="24"/>
        <v>0</v>
      </c>
      <c r="H132" s="163">
        <f t="shared" si="24"/>
        <v>0</v>
      </c>
      <c r="I132" s="163">
        <f t="shared" si="24"/>
        <v>0</v>
      </c>
      <c r="J132" s="163">
        <f t="shared" si="24"/>
        <v>0</v>
      </c>
    </row>
    <row r="133" spans="2:10">
      <c r="B133" s="48" t="s">
        <v>111</v>
      </c>
      <c r="C133" s="139"/>
      <c r="D133" s="165">
        <f t="shared" ref="D133:J133" si="25">SUM(D114:D132)</f>
        <v>566324.63659794605</v>
      </c>
      <c r="E133" s="165">
        <f t="shared" si="25"/>
        <v>568653.66428797122</v>
      </c>
      <c r="F133" s="165">
        <f t="shared" si="25"/>
        <v>562101.78961740818</v>
      </c>
      <c r="G133" s="165">
        <f t="shared" si="25"/>
        <v>558144.71738191298</v>
      </c>
      <c r="H133" s="165">
        <f t="shared" si="25"/>
        <v>520470.14790027041</v>
      </c>
      <c r="I133" s="165">
        <f t="shared" si="25"/>
        <v>555733.90665504674</v>
      </c>
      <c r="J133" s="165">
        <f t="shared" si="25"/>
        <v>3331428.8624405554</v>
      </c>
    </row>
    <row r="134" spans="2:10">
      <c r="D134" s="166">
        <f t="shared" ref="D134:J134" si="26">D133-D110</f>
        <v>0</v>
      </c>
      <c r="E134" s="166">
        <f t="shared" si="26"/>
        <v>0</v>
      </c>
      <c r="F134" s="166">
        <f t="shared" si="26"/>
        <v>0</v>
      </c>
      <c r="G134" s="166">
        <f t="shared" si="26"/>
        <v>0</v>
      </c>
      <c r="H134" s="166">
        <f t="shared" si="26"/>
        <v>0</v>
      </c>
      <c r="I134" s="166">
        <f t="shared" si="26"/>
        <v>0</v>
      </c>
      <c r="J134" s="166">
        <f t="shared" si="26"/>
        <v>0</v>
      </c>
    </row>
  </sheetData>
  <printOptions horizontalCentered="1" verticalCentered="1"/>
  <pageMargins left="0.51181102362204722" right="0.31496062992125984" top="0.78740157480314965" bottom="0.82677165354330717" header="0.31496062992125984" footer="0.23622047244094491"/>
  <pageSetup scale="54" orientation="portrait" horizontalDpi="300" r:id="rId1"/>
  <headerFooter alignWithMargins="0">
    <oddHeader>&amp;L
NOMBRE DE LA DISTRIBUIDORA: &amp;UELEKTRA NORESTE, S.A.&amp;R&amp;9&amp;A</oddHeader>
  </headerFooter>
  <rowBreaks count="1" manualBreakCount="1">
    <brk id="112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64681-64F9-4DE9-98BE-A9C2C9A1671B}">
  <sheetPr codeName="Hoja50">
    <tabColor theme="5" tint="0.79998168889431442"/>
  </sheetPr>
  <dimension ref="B1:K134"/>
  <sheetViews>
    <sheetView topLeftCell="A58" zoomScale="85" zoomScaleNormal="85" zoomScaleSheetLayoutView="70" workbookViewId="0">
      <selection activeCell="D89" sqref="D89:I108"/>
    </sheetView>
  </sheetViews>
  <sheetFormatPr baseColWidth="10" defaultColWidth="8" defaultRowHeight="15"/>
  <cols>
    <col min="1" max="1" width="3.5" style="63" customWidth="1"/>
    <col min="2" max="2" width="5.625" style="48" bestFit="1" customWidth="1"/>
    <col min="3" max="3" width="30.125" style="63" customWidth="1"/>
    <col min="4" max="10" width="11.25" style="63" customWidth="1"/>
    <col min="11" max="11" width="4.625" style="63" customWidth="1"/>
    <col min="12" max="16384" width="8" style="63"/>
  </cols>
  <sheetData>
    <row r="1" spans="2:11" s="69" customFormat="1" ht="15.75">
      <c r="B1" s="48"/>
      <c r="C1" s="136"/>
    </row>
    <row r="2" spans="2:11" s="69" customFormat="1" ht="15.75">
      <c r="B2" s="48"/>
      <c r="D2" s="137" t="s">
        <v>316</v>
      </c>
    </row>
    <row r="3" spans="2:11" s="69" customFormat="1" ht="15.75">
      <c r="B3" s="48"/>
      <c r="D3" s="137"/>
    </row>
    <row r="4" spans="2:11" ht="15.75">
      <c r="C4" s="219" t="s">
        <v>1532</v>
      </c>
      <c r="D4" s="219"/>
      <c r="E4" s="219"/>
      <c r="F4" s="219"/>
      <c r="G4" s="219"/>
      <c r="H4" s="219"/>
      <c r="I4" s="219"/>
      <c r="J4" s="219"/>
    </row>
    <row r="5" spans="2:11" ht="15" customHeight="1">
      <c r="C5" s="259"/>
      <c r="D5" s="259"/>
      <c r="E5" s="259"/>
      <c r="F5" s="259"/>
      <c r="G5" s="259"/>
      <c r="H5" s="259"/>
      <c r="I5" s="259"/>
      <c r="J5" s="259"/>
    </row>
    <row r="6" spans="2:11" s="143" customFormat="1" ht="49.5" customHeight="1">
      <c r="B6" s="48"/>
      <c r="C6" s="220" t="s">
        <v>670</v>
      </c>
      <c r="D6" s="260" t="s">
        <v>259</v>
      </c>
      <c r="E6" s="260" t="s">
        <v>260</v>
      </c>
      <c r="F6" s="221"/>
      <c r="G6" s="69"/>
    </row>
    <row r="7" spans="2:11" s="143" customFormat="1" ht="15.75">
      <c r="B7" s="48"/>
      <c r="C7" s="261" t="s">
        <v>266</v>
      </c>
      <c r="D7" s="262">
        <f>RAT1000PT!$F$74</f>
        <v>2.0600000000000002E-3</v>
      </c>
      <c r="E7" s="263"/>
      <c r="F7" s="69"/>
      <c r="G7" s="69"/>
    </row>
    <row r="8" spans="2:11" s="143" customFormat="1" ht="15.75">
      <c r="B8" s="48"/>
      <c r="C8" s="261" t="s">
        <v>265</v>
      </c>
      <c r="D8" s="262">
        <f>RAT1000PT!$F$73</f>
        <v>2.0600000000000002E-3</v>
      </c>
      <c r="E8" s="262"/>
      <c r="F8" s="69"/>
      <c r="G8" s="69"/>
    </row>
    <row r="9" spans="2:11" s="143" customFormat="1" ht="15.75">
      <c r="B9" s="48"/>
      <c r="C9" s="261" t="s">
        <v>264</v>
      </c>
      <c r="D9" s="262">
        <f>RAT1000PT!$F$72</f>
        <v>2.0600000000000002E-3</v>
      </c>
      <c r="E9" s="262"/>
      <c r="F9" s="69"/>
      <c r="G9" s="69"/>
    </row>
    <row r="10" spans="2:11" s="143" customFormat="1" ht="14.25" customHeight="1">
      <c r="B10" s="48"/>
      <c r="C10" s="261" t="s">
        <v>262</v>
      </c>
      <c r="D10" s="262">
        <f>RAT1000PT!$F$71</f>
        <v>2.0600000000000002E-3</v>
      </c>
      <c r="E10" s="262"/>
      <c r="F10" s="69"/>
      <c r="G10" s="69"/>
      <c r="H10" s="69"/>
      <c r="I10" s="69"/>
      <c r="J10" s="69"/>
      <c r="K10" s="69"/>
    </row>
    <row r="11" spans="2:11" s="143" customFormat="1" ht="15.75">
      <c r="B11" s="48"/>
      <c r="C11" s="261" t="s">
        <v>263</v>
      </c>
      <c r="D11" s="262">
        <f>RAT1000PT!$F$70</f>
        <v>2.0600000000000002E-3</v>
      </c>
      <c r="E11" s="262"/>
      <c r="F11" s="69"/>
      <c r="G11" s="69"/>
    </row>
    <row r="12" spans="2:11" s="143" customFormat="1" ht="15.75">
      <c r="B12" s="48"/>
      <c r="C12" s="261" t="s">
        <v>261</v>
      </c>
      <c r="D12" s="262">
        <f>RAT1000PT!$F$69</f>
        <v>2.0600000000000002E-3</v>
      </c>
      <c r="E12" s="262"/>
      <c r="F12" s="69"/>
      <c r="G12" s="69"/>
    </row>
    <row r="13" spans="2:11" s="143" customFormat="1" ht="15.75">
      <c r="B13" s="48"/>
      <c r="C13" s="261" t="s">
        <v>1768</v>
      </c>
      <c r="D13" s="262">
        <f>RAT1000PT!$F$66</f>
        <v>2.1299999999999999E-3</v>
      </c>
      <c r="E13" s="262"/>
      <c r="F13" s="69"/>
      <c r="G13" s="69"/>
    </row>
    <row r="14" spans="2:11" s="143" customFormat="1" ht="15.75">
      <c r="B14" s="48"/>
      <c r="C14" s="261" t="s">
        <v>2071</v>
      </c>
      <c r="D14" s="262">
        <f>RAT1000PT!$F$67</f>
        <v>2.1299999999999999E-3</v>
      </c>
      <c r="E14" s="262"/>
      <c r="F14" s="69"/>
      <c r="G14" s="69"/>
    </row>
    <row r="15" spans="2:11" s="143" customFormat="1" ht="15.75">
      <c r="B15" s="48"/>
      <c r="C15" s="261" t="s">
        <v>1178</v>
      </c>
      <c r="D15" s="262">
        <f>RAT1000PT!$F$68</f>
        <v>2.1299999999999999E-3</v>
      </c>
      <c r="E15" s="262"/>
      <c r="F15" s="69"/>
      <c r="G15" s="69"/>
    </row>
    <row r="16" spans="2:11" s="143" customFormat="1" ht="13.5">
      <c r="B16" s="48"/>
      <c r="C16" s="147"/>
    </row>
    <row r="17" spans="2:11" s="143" customFormat="1" ht="39" customHeight="1">
      <c r="B17" s="48"/>
      <c r="C17" s="149" t="s">
        <v>672</v>
      </c>
      <c r="D17" s="149"/>
      <c r="E17" s="149"/>
      <c r="F17" s="149"/>
      <c r="G17" s="149"/>
      <c r="H17" s="149"/>
      <c r="I17" s="264"/>
      <c r="J17" s="264"/>
    </row>
    <row r="18" spans="2:11" s="37" customFormat="1" ht="15.75">
      <c r="B18" s="48"/>
      <c r="C18" s="150" t="s">
        <v>310</v>
      </c>
      <c r="D18" s="151">
        <f>F821EVE!D4</f>
        <v>45839</v>
      </c>
      <c r="E18" s="151">
        <f>F821EVE!E4</f>
        <v>45870</v>
      </c>
      <c r="F18" s="151">
        <f>F821EVE!F4</f>
        <v>45901</v>
      </c>
      <c r="G18" s="151">
        <f>F821EVE!G4</f>
        <v>45931</v>
      </c>
      <c r="H18" s="151">
        <f>F821EVE!H4</f>
        <v>45962</v>
      </c>
      <c r="I18" s="151">
        <f>F821EVE!I4</f>
        <v>45992</v>
      </c>
      <c r="J18" s="151" t="s">
        <v>111</v>
      </c>
      <c r="K18" s="69"/>
    </row>
    <row r="19" spans="2:11" s="37" customFormat="1" ht="15.75">
      <c r="B19" s="48"/>
      <c r="C19" s="153" t="s">
        <v>446</v>
      </c>
      <c r="D19" s="154">
        <f t="shared" ref="D19:I19" si="0">SUM(D20:D21)</f>
        <v>37845.081940000004</v>
      </c>
      <c r="E19" s="154">
        <f t="shared" si="0"/>
        <v>37950.347940000007</v>
      </c>
      <c r="F19" s="154">
        <f t="shared" si="0"/>
        <v>37087.580800000003</v>
      </c>
      <c r="G19" s="154">
        <f t="shared" si="0"/>
        <v>38501.301120000004</v>
      </c>
      <c r="H19" s="154">
        <f t="shared" si="0"/>
        <v>36715.676640000005</v>
      </c>
      <c r="I19" s="154">
        <f t="shared" si="0"/>
        <v>38106.252860000001</v>
      </c>
      <c r="J19" s="154">
        <f>SUM(D19:I19)</f>
        <v>226206.24130000005</v>
      </c>
      <c r="K19" s="69"/>
    </row>
    <row r="20" spans="2:11" s="37" customFormat="1" ht="15.75">
      <c r="B20" s="48" t="s">
        <v>279</v>
      </c>
      <c r="C20" s="155" t="s">
        <v>279</v>
      </c>
      <c r="D20" s="156">
        <f>$D$7*F821EVE!D6</f>
        <v>37845.081940000004</v>
      </c>
      <c r="E20" s="156">
        <f>$D$7*F821EVE!E6</f>
        <v>37950.347940000007</v>
      </c>
      <c r="F20" s="156">
        <f>$D$7*F821EVE!F6</f>
        <v>37087.580800000003</v>
      </c>
      <c r="G20" s="156">
        <f>$D$7*F821EVE!G6</f>
        <v>38501.301120000004</v>
      </c>
      <c r="H20" s="156">
        <f>$D$7*F821EVE!H6</f>
        <v>36715.676640000005</v>
      </c>
      <c r="I20" s="156">
        <f>$D$7*F821EVE!I6</f>
        <v>38106.252860000001</v>
      </c>
      <c r="J20" s="156">
        <f t="shared" ref="J20:J83" si="1">SUM(D20:I20)</f>
        <v>226206.24130000005</v>
      </c>
      <c r="K20" s="69"/>
    </row>
    <row r="21" spans="2:11" s="37" customFormat="1" ht="15.75">
      <c r="B21" s="48" t="s">
        <v>278</v>
      </c>
      <c r="C21" s="155" t="s">
        <v>278</v>
      </c>
      <c r="D21" s="156">
        <f>$D$8*F821EVE!D7</f>
        <v>0</v>
      </c>
      <c r="E21" s="156">
        <f>$D$8*F821EVE!E7</f>
        <v>0</v>
      </c>
      <c r="F21" s="156">
        <f>$D$8*F821EVE!F7</f>
        <v>0</v>
      </c>
      <c r="G21" s="156">
        <f>$D$8*F821EVE!G7</f>
        <v>0</v>
      </c>
      <c r="H21" s="156">
        <f>$D$8*F821EVE!H7</f>
        <v>0</v>
      </c>
      <c r="I21" s="156">
        <f>$D$8*F821EVE!I7</f>
        <v>0</v>
      </c>
      <c r="J21" s="156">
        <f t="shared" si="1"/>
        <v>0</v>
      </c>
      <c r="K21" s="69"/>
    </row>
    <row r="22" spans="2:11" s="37" customFormat="1" ht="15.75">
      <c r="B22" s="48"/>
      <c r="C22" s="157"/>
      <c r="D22" s="156"/>
      <c r="E22" s="156"/>
      <c r="F22" s="156"/>
      <c r="G22" s="156"/>
      <c r="H22" s="156"/>
      <c r="I22" s="156"/>
      <c r="J22" s="156">
        <f t="shared" si="1"/>
        <v>0</v>
      </c>
      <c r="K22" s="69"/>
    </row>
    <row r="23" spans="2:11" s="37" customFormat="1" ht="15.75">
      <c r="B23" s="48"/>
      <c r="C23" s="153" t="s">
        <v>630</v>
      </c>
      <c r="D23" s="154">
        <f>D24+D27</f>
        <v>60729.962870000003</v>
      </c>
      <c r="E23" s="154">
        <f t="shared" ref="E23:I23" si="2">E24+E27</f>
        <v>62317.995240000004</v>
      </c>
      <c r="F23" s="154">
        <f t="shared" si="2"/>
        <v>60270.455150000009</v>
      </c>
      <c r="G23" s="154">
        <f t="shared" si="2"/>
        <v>62578.184570000005</v>
      </c>
      <c r="H23" s="154">
        <f t="shared" si="2"/>
        <v>58868.145170000011</v>
      </c>
      <c r="I23" s="154">
        <f t="shared" si="2"/>
        <v>57356.716990000015</v>
      </c>
      <c r="J23" s="154">
        <f t="shared" si="1"/>
        <v>362121.45999</v>
      </c>
      <c r="K23" s="69"/>
    </row>
    <row r="24" spans="2:11" s="37" customFormat="1" ht="15.75">
      <c r="B24" s="48" t="s">
        <v>277</v>
      </c>
      <c r="C24" s="155" t="s">
        <v>277</v>
      </c>
      <c r="D24" s="154">
        <f>SUM(D25:D26)</f>
        <v>8735.8636300000016</v>
      </c>
      <c r="E24" s="154">
        <f t="shared" ref="E24:I24" si="3">SUM(E25:E26)</f>
        <v>8923.9354500000009</v>
      </c>
      <c r="F24" s="154">
        <f t="shared" si="3"/>
        <v>8883.7314600000009</v>
      </c>
      <c r="G24" s="154">
        <f t="shared" si="3"/>
        <v>8376.4595500000014</v>
      </c>
      <c r="H24" s="154">
        <f t="shared" si="3"/>
        <v>10198.115490000002</v>
      </c>
      <c r="I24" s="154">
        <f t="shared" si="3"/>
        <v>6685.4580800000003</v>
      </c>
      <c r="J24" s="154">
        <f t="shared" si="1"/>
        <v>51803.563660000014</v>
      </c>
      <c r="K24" s="69"/>
    </row>
    <row r="25" spans="2:11" s="37" customFormat="1" ht="15.75">
      <c r="B25" s="48"/>
      <c r="C25" s="160" t="s">
        <v>304</v>
      </c>
      <c r="D25" s="156">
        <f>$D$9*F821EVE!D11</f>
        <v>7451.5823800000007</v>
      </c>
      <c r="E25" s="156">
        <f>$D$9*F821EVE!E11</f>
        <v>7602.6669000000011</v>
      </c>
      <c r="F25" s="156">
        <f>$D$9*F821EVE!F11</f>
        <v>7564.5177600000006</v>
      </c>
      <c r="G25" s="156">
        <f>$D$9*F821EVE!G11</f>
        <v>7009.984300000001</v>
      </c>
      <c r="H25" s="156">
        <f>$D$9*F821EVE!H11</f>
        <v>8852.1887400000014</v>
      </c>
      <c r="I25" s="156">
        <f>$D$9*F821EVE!I11</f>
        <v>6685.4580800000003</v>
      </c>
      <c r="J25" s="156">
        <f t="shared" si="1"/>
        <v>45166.398159999997</v>
      </c>
      <c r="K25" s="69"/>
    </row>
    <row r="26" spans="2:11" s="37" customFormat="1" ht="15.75">
      <c r="B26" s="48"/>
      <c r="C26" s="160" t="s">
        <v>305</v>
      </c>
      <c r="D26" s="156">
        <f>($D$9*F821EVE!D12)*95%</f>
        <v>1284.2812500000002</v>
      </c>
      <c r="E26" s="156">
        <f>($D$9*F821EVE!E12)*95%</f>
        <v>1321.2685500000002</v>
      </c>
      <c r="F26" s="156">
        <f>($D$9*F821EVE!F12)*95%</f>
        <v>1319.2137</v>
      </c>
      <c r="G26" s="156">
        <f>($D$9*F821EVE!G12)*95%</f>
        <v>1366.4752500000002</v>
      </c>
      <c r="H26" s="156">
        <f>($D$9*F821EVE!H12)*95%</f>
        <v>1345.9267500000001</v>
      </c>
      <c r="I26" s="156">
        <f>($D$9*F821EVE!I12)*95%</f>
        <v>0</v>
      </c>
      <c r="J26" s="156">
        <f t="shared" si="1"/>
        <v>6637.165500000001</v>
      </c>
      <c r="K26" s="69"/>
    </row>
    <row r="27" spans="2:11" s="37" customFormat="1" ht="15.75">
      <c r="B27" s="48" t="s">
        <v>276</v>
      </c>
      <c r="C27" s="158" t="s">
        <v>276</v>
      </c>
      <c r="D27" s="154">
        <f>SUBTOTAL(9,D28:D31)</f>
        <v>51994.099240000003</v>
      </c>
      <c r="E27" s="154">
        <f t="shared" ref="E27:I27" si="4">SUBTOTAL(9,E28:E31)</f>
        <v>53394.059790000007</v>
      </c>
      <c r="F27" s="154">
        <f t="shared" si="4"/>
        <v>51386.723690000006</v>
      </c>
      <c r="G27" s="154">
        <f t="shared" si="4"/>
        <v>54201.725020000005</v>
      </c>
      <c r="H27" s="154">
        <f t="shared" si="4"/>
        <v>48670.029680000007</v>
      </c>
      <c r="I27" s="154">
        <f t="shared" si="4"/>
        <v>50671.258910000011</v>
      </c>
      <c r="J27" s="154">
        <f t="shared" si="1"/>
        <v>310317.89633000008</v>
      </c>
      <c r="K27" s="69"/>
    </row>
    <row r="28" spans="2:11" s="37" customFormat="1" ht="15.75">
      <c r="B28" s="48"/>
      <c r="C28" s="160" t="s">
        <v>304</v>
      </c>
      <c r="D28" s="156">
        <f>($D$10*F821EVE!D15)*1</f>
        <v>51846.424020000006</v>
      </c>
      <c r="E28" s="156">
        <f>($D$10*F821EVE!E15)*1</f>
        <v>53172.546960000007</v>
      </c>
      <c r="F28" s="156">
        <f>($D$10*F821EVE!F15)*1</f>
        <v>51229.596160000008</v>
      </c>
      <c r="G28" s="156">
        <f>($D$10*F821EVE!G15)*1</f>
        <v>54087.475360000004</v>
      </c>
      <c r="H28" s="156">
        <f>($D$10*F821EVE!H15)*1</f>
        <v>48385.364460000004</v>
      </c>
      <c r="I28" s="156">
        <f>($D$10*F821EVE!I15)*1</f>
        <v>50386.730680000008</v>
      </c>
      <c r="J28" s="156">
        <f t="shared" si="1"/>
        <v>309108.13764000009</v>
      </c>
      <c r="K28" s="69"/>
    </row>
    <row r="29" spans="2:11" s="37" customFormat="1" ht="15.75">
      <c r="B29" s="48"/>
      <c r="C29" s="161" t="s">
        <v>306</v>
      </c>
      <c r="D29" s="156">
        <f>($D$10*F821EVE!D16)*1</f>
        <v>0</v>
      </c>
      <c r="E29" s="156">
        <f>($D$10*F821EVE!E16)*1</f>
        <v>0</v>
      </c>
      <c r="F29" s="156">
        <f>($D$10*F821EVE!F16)*1</f>
        <v>0</v>
      </c>
      <c r="G29" s="156">
        <f>($D$10*F821EVE!G16)*1</f>
        <v>0</v>
      </c>
      <c r="H29" s="156">
        <f>($D$10*F821EVE!H16)*1</f>
        <v>0</v>
      </c>
      <c r="I29" s="156">
        <f>($D$10*F821EVE!I16)*1</f>
        <v>0</v>
      </c>
      <c r="J29" s="156">
        <f t="shared" si="1"/>
        <v>0</v>
      </c>
      <c r="K29" s="69"/>
    </row>
    <row r="30" spans="2:11" s="37" customFormat="1" ht="15.75">
      <c r="B30" s="48"/>
      <c r="C30" s="160" t="s">
        <v>305</v>
      </c>
      <c r="D30" s="156">
        <f>($D$10*F821EVE!D17)*0.95</f>
        <v>147.67522000000002</v>
      </c>
      <c r="E30" s="156">
        <f>($D$10*F821EVE!E17)*0.95</f>
        <v>221.51283000000001</v>
      </c>
      <c r="F30" s="156">
        <f>($D$10*F821EVE!F17)*0.95</f>
        <v>157.12753000000001</v>
      </c>
      <c r="G30" s="156">
        <f>($D$10*F821EVE!G17)*0.95</f>
        <v>114.24966000000001</v>
      </c>
      <c r="H30" s="156">
        <f>($D$10*F821EVE!H17)*0.95</f>
        <v>284.66521999999998</v>
      </c>
      <c r="I30" s="156">
        <f>($D$10*F821EVE!I17)*0.95</f>
        <v>284.52823000000006</v>
      </c>
      <c r="J30" s="156">
        <f t="shared" si="1"/>
        <v>1209.7586900000001</v>
      </c>
      <c r="K30" s="69"/>
    </row>
    <row r="31" spans="2:11" s="37" customFormat="1" ht="15.75">
      <c r="B31" s="48"/>
      <c r="C31" s="160" t="s">
        <v>307</v>
      </c>
      <c r="D31" s="156">
        <f>($D$10*F821EVE!D18)*0.5</f>
        <v>0</v>
      </c>
      <c r="E31" s="156">
        <f>($D$10*F821EVE!E18)*0.5</f>
        <v>0</v>
      </c>
      <c r="F31" s="156">
        <f>($D$10*F821EVE!F18)*0.5</f>
        <v>0</v>
      </c>
      <c r="G31" s="156">
        <f>($D$10*F821EVE!G18)*0.5</f>
        <v>0</v>
      </c>
      <c r="H31" s="156">
        <f>($D$10*F821EVE!H18)*0.5</f>
        <v>0</v>
      </c>
      <c r="I31" s="156">
        <f>($D$10*F821EVE!I18)*0.5</f>
        <v>0</v>
      </c>
      <c r="J31" s="156">
        <f t="shared" si="1"/>
        <v>0</v>
      </c>
      <c r="K31" s="69"/>
    </row>
    <row r="32" spans="2:11" s="37" customFormat="1" ht="15.75">
      <c r="B32" s="48"/>
      <c r="C32" s="157"/>
      <c r="D32" s="156"/>
      <c r="E32" s="156"/>
      <c r="F32" s="156"/>
      <c r="G32" s="156"/>
      <c r="H32" s="156"/>
      <c r="I32" s="156"/>
      <c r="J32" s="156">
        <f t="shared" si="1"/>
        <v>0</v>
      </c>
      <c r="K32" s="69"/>
    </row>
    <row r="33" spans="2:11" s="37" customFormat="1" ht="15.75">
      <c r="B33" s="48"/>
      <c r="C33" s="153" t="s">
        <v>443</v>
      </c>
      <c r="D33" s="154">
        <f t="shared" ref="D33:I33" si="5">SUBTOTAL(9,D34:D108)</f>
        <v>451381.28984449996</v>
      </c>
      <c r="E33" s="154">
        <f t="shared" si="5"/>
        <v>449885.0232864999</v>
      </c>
      <c r="F33" s="154">
        <f t="shared" si="5"/>
        <v>442122.68671649997</v>
      </c>
      <c r="G33" s="154">
        <f t="shared" si="5"/>
        <v>447172.09774149995</v>
      </c>
      <c r="H33" s="154">
        <f t="shared" si="5"/>
        <v>428125.85687350004</v>
      </c>
      <c r="I33" s="154">
        <f t="shared" si="5"/>
        <v>431005.46724550007</v>
      </c>
      <c r="J33" s="154">
        <f t="shared" si="1"/>
        <v>2649692.4217079999</v>
      </c>
      <c r="K33" s="69"/>
    </row>
    <row r="34" spans="2:11" s="37" customFormat="1" ht="15.75">
      <c r="B34" s="48" t="s">
        <v>275</v>
      </c>
      <c r="C34" s="155" t="s">
        <v>275</v>
      </c>
      <c r="D34" s="154">
        <f>SUBTOTAL(9,D35:D37)</f>
        <v>5758.8330000000005</v>
      </c>
      <c r="E34" s="154">
        <f t="shared" ref="E34:I34" si="6">SUBTOTAL(9,E35:E37)</f>
        <v>5718.261300000001</v>
      </c>
      <c r="F34" s="154">
        <f t="shared" si="6"/>
        <v>5654.8812800000005</v>
      </c>
      <c r="G34" s="154">
        <f t="shared" si="6"/>
        <v>5823.8692600000004</v>
      </c>
      <c r="H34" s="154">
        <f t="shared" si="6"/>
        <v>5744.2399599999999</v>
      </c>
      <c r="I34" s="154">
        <f t="shared" si="6"/>
        <v>6007.751040000001</v>
      </c>
      <c r="J34" s="154">
        <f t="shared" si="1"/>
        <v>34707.83584</v>
      </c>
      <c r="K34" s="69"/>
    </row>
    <row r="35" spans="2:11" s="37" customFormat="1" ht="15.75">
      <c r="B35" s="48"/>
      <c r="C35" s="160" t="s">
        <v>304</v>
      </c>
      <c r="D35" s="156">
        <f>$D$11*F821EVE!D22</f>
        <v>5696.4953400000004</v>
      </c>
      <c r="E35" s="156">
        <f>$D$11*F821EVE!E22</f>
        <v>5679.1377800000009</v>
      </c>
      <c r="F35" s="156">
        <f>$D$11*F821EVE!F22</f>
        <v>5605.0869600000005</v>
      </c>
      <c r="G35" s="156">
        <f>$D$11*F821EVE!G22</f>
        <v>5772.0108200000004</v>
      </c>
      <c r="H35" s="156">
        <f>$D$11*F821EVE!H22</f>
        <v>5704.8259800000005</v>
      </c>
      <c r="I35" s="156">
        <f>$D$11*F821EVE!I22</f>
        <v>5959.0835400000005</v>
      </c>
      <c r="J35" s="156">
        <f t="shared" si="1"/>
        <v>34416.640420000003</v>
      </c>
      <c r="K35" s="69"/>
    </row>
    <row r="36" spans="2:11" s="37" customFormat="1" ht="15.75">
      <c r="B36" s="48"/>
      <c r="C36" s="161" t="s">
        <v>306</v>
      </c>
      <c r="D36" s="156">
        <f>$D$11*F821EVE!D23</f>
        <v>41.671740000000007</v>
      </c>
      <c r="E36" s="156">
        <f>$D$11*F821EVE!E23</f>
        <v>21.90192</v>
      </c>
      <c r="F36" s="156">
        <f>$D$11*F821EVE!F23</f>
        <v>32.259600000000006</v>
      </c>
      <c r="G36" s="156">
        <f>$D$11*F821EVE!G23</f>
        <v>33.697480000000006</v>
      </c>
      <c r="H36" s="156">
        <f>$D$11*F821EVE!H23</f>
        <v>23.444860000000002</v>
      </c>
      <c r="I36" s="156">
        <f>$D$11*F821EVE!I23</f>
        <v>30.819660000000002</v>
      </c>
      <c r="J36" s="156">
        <f t="shared" si="1"/>
        <v>183.79526000000001</v>
      </c>
      <c r="K36" s="69"/>
    </row>
    <row r="37" spans="2:11" s="37" customFormat="1" ht="15.75">
      <c r="B37" s="48"/>
      <c r="C37" s="160" t="s">
        <v>305</v>
      </c>
      <c r="D37" s="156">
        <f>($D$11*F821EVE!D24)*95%</f>
        <v>20.66592</v>
      </c>
      <c r="E37" s="156">
        <f>($D$11*F821EVE!E24)*95%</f>
        <v>17.221599999999999</v>
      </c>
      <c r="F37" s="156">
        <f>($D$11*F821EVE!F24)*95%</f>
        <v>17.534720000000004</v>
      </c>
      <c r="G37" s="156">
        <f>($D$11*F821EVE!G24)*95%</f>
        <v>18.160959999999999</v>
      </c>
      <c r="H37" s="156">
        <f>($D$11*F821EVE!H24)*95%</f>
        <v>15.969120000000002</v>
      </c>
      <c r="I37" s="156">
        <f>($D$11*F821EVE!I24)*95%</f>
        <v>17.847840000000001</v>
      </c>
      <c r="J37" s="156">
        <f t="shared" si="1"/>
        <v>107.40016000000001</v>
      </c>
      <c r="K37" s="69"/>
    </row>
    <row r="38" spans="2:11" s="37" customFormat="1" ht="15.75">
      <c r="B38" s="48" t="s">
        <v>274</v>
      </c>
      <c r="C38" s="158" t="s">
        <v>627</v>
      </c>
      <c r="D38" s="154">
        <f t="shared" ref="D38:I38" si="7">SUBTOTAL(9,D39:D44)</f>
        <v>70701.888300000021</v>
      </c>
      <c r="E38" s="154">
        <f t="shared" si="7"/>
        <v>70695.477580000021</v>
      </c>
      <c r="F38" s="154">
        <f t="shared" si="7"/>
        <v>69660.442940000008</v>
      </c>
      <c r="G38" s="154">
        <f t="shared" si="7"/>
        <v>71033.22282000001</v>
      </c>
      <c r="H38" s="154">
        <f t="shared" si="7"/>
        <v>68504.457460000005</v>
      </c>
      <c r="I38" s="154">
        <f t="shared" si="7"/>
        <v>67962.403274000011</v>
      </c>
      <c r="J38" s="154">
        <f t="shared" si="1"/>
        <v>418557.89237400005</v>
      </c>
      <c r="K38" s="69"/>
    </row>
    <row r="39" spans="2:11" s="37" customFormat="1" ht="15.75">
      <c r="B39" s="48"/>
      <c r="C39" s="160" t="s">
        <v>304</v>
      </c>
      <c r="D39" s="156">
        <f>$D$12*F821EVE!D28*1</f>
        <v>70583.191100000011</v>
      </c>
      <c r="E39" s="156">
        <f>$D$12*F821EVE!E28*1</f>
        <v>70571.31932000001</v>
      </c>
      <c r="F39" s="156">
        <f>$D$12*F821EVE!F28*1</f>
        <v>69519.578080000007</v>
      </c>
      <c r="G39" s="156">
        <f>$D$12*F821EVE!G28*1</f>
        <v>70914.496780000001</v>
      </c>
      <c r="H39" s="156">
        <f>$D$12*F821EVE!H28*1</f>
        <v>68387.894420000011</v>
      </c>
      <c r="I39" s="156">
        <f>$D$12*F821EVE!I28*1</f>
        <v>67828.388120000003</v>
      </c>
      <c r="J39" s="156">
        <f t="shared" si="1"/>
        <v>417804.86782000004</v>
      </c>
      <c r="K39" s="69"/>
    </row>
    <row r="40" spans="2:11" s="37" customFormat="1" ht="15.75">
      <c r="B40" s="48"/>
      <c r="C40" s="161" t="s">
        <v>628</v>
      </c>
      <c r="D40" s="156">
        <f>$D$12*F821EVE!D29*0.75</f>
        <v>5.5620000000000003</v>
      </c>
      <c r="E40" s="156">
        <f>$D$12*F821EVE!E29*0.75</f>
        <v>5.5620000000000003</v>
      </c>
      <c r="F40" s="156">
        <f>$D$12*F821EVE!F29*0.75</f>
        <v>6.4890000000000008</v>
      </c>
      <c r="G40" s="156">
        <f>$D$12*F821EVE!G29*0.75</f>
        <v>6.4890000000000008</v>
      </c>
      <c r="H40" s="156">
        <f>$D$12*F821EVE!H29*0.75</f>
        <v>6.4890000000000008</v>
      </c>
      <c r="I40" s="156">
        <f>$D$12*F821EVE!I29*0.75</f>
        <v>5.5620000000000003</v>
      </c>
      <c r="J40" s="156">
        <f t="shared" si="1"/>
        <v>36.152999999999999</v>
      </c>
      <c r="K40" s="69"/>
    </row>
    <row r="41" spans="2:11" s="37" customFormat="1" ht="15.75">
      <c r="B41" s="48"/>
      <c r="C41" s="161" t="s">
        <v>629</v>
      </c>
      <c r="D41" s="156">
        <f>$D$12*F821EVE!D30*1</f>
        <v>30.957680000000003</v>
      </c>
      <c r="E41" s="156">
        <f>$D$12*F821EVE!E30*1</f>
        <v>33.641860000000001</v>
      </c>
      <c r="F41" s="156">
        <f>$D$12*F821EVE!F30*1</f>
        <v>33.382300000000001</v>
      </c>
      <c r="G41" s="156">
        <f>$D$12*F821EVE!G30*1</f>
        <v>31.200760000000002</v>
      </c>
      <c r="H41" s="156">
        <f>$D$12*F821EVE!H30*1</f>
        <v>30.809360000000002</v>
      </c>
      <c r="I41" s="156">
        <f>$D$12*F821EVE!I30*1</f>
        <v>32.082440000000005</v>
      </c>
      <c r="J41" s="156">
        <f t="shared" si="1"/>
        <v>192.07440000000003</v>
      </c>
      <c r="K41" s="69"/>
    </row>
    <row r="42" spans="2:11" s="37" customFormat="1" ht="15.75">
      <c r="B42" s="48"/>
      <c r="C42" s="160" t="s">
        <v>305</v>
      </c>
      <c r="D42" s="156">
        <f>$D$12*F821EVE!D31*0.95</f>
        <v>74.679120000000012</v>
      </c>
      <c r="E42" s="156">
        <f>$D$12*F821EVE!E31*0.95</f>
        <v>78.28</v>
      </c>
      <c r="F42" s="156">
        <f>$D$12*F821EVE!F31*0.95</f>
        <v>92.918360000000007</v>
      </c>
      <c r="G42" s="156">
        <f>$D$12*F821EVE!G31*0.95</f>
        <v>72.878680000000003</v>
      </c>
      <c r="H42" s="156">
        <f>$D$12*F821EVE!H31*0.95</f>
        <v>72.095880000000008</v>
      </c>
      <c r="I42" s="156">
        <f>$D$12*F821EVE!I31*0.95</f>
        <v>90.025914</v>
      </c>
      <c r="J42" s="156">
        <f t="shared" si="1"/>
        <v>480.87795400000005</v>
      </c>
      <c r="K42" s="69"/>
    </row>
    <row r="43" spans="2:11" s="37" customFormat="1" ht="15.75">
      <c r="B43" s="48"/>
      <c r="C43" s="160" t="s">
        <v>307</v>
      </c>
      <c r="D43" s="156">
        <f>$D$12*F821EVE!D32*0.5</f>
        <v>7.4984000000000011</v>
      </c>
      <c r="E43" s="156">
        <f>$D$12*F821EVE!E32*0.5</f>
        <v>6.6744000000000003</v>
      </c>
      <c r="F43" s="156">
        <f>$D$12*F821EVE!F32*0.5</f>
        <v>8.0752000000000006</v>
      </c>
      <c r="G43" s="156">
        <f>$D$12*F821EVE!G32*0.5</f>
        <v>8.1576000000000004</v>
      </c>
      <c r="H43" s="156">
        <f>$D$12*F821EVE!H32*0.5</f>
        <v>7.1688000000000009</v>
      </c>
      <c r="I43" s="156">
        <f>$D$12*F821EVE!I32*0.5</f>
        <v>6.3448000000000002</v>
      </c>
      <c r="J43" s="156">
        <f t="shared" si="1"/>
        <v>43.919200000000011</v>
      </c>
      <c r="K43" s="69"/>
    </row>
    <row r="44" spans="2:11" s="37" customFormat="1" ht="15.75">
      <c r="B44" s="48"/>
      <c r="C44" s="160" t="s">
        <v>624</v>
      </c>
      <c r="D44" s="156">
        <f>$D$12*F821EVE!D33*0</f>
        <v>0</v>
      </c>
      <c r="E44" s="156">
        <f>$D$12*F821EVE!E33*0</f>
        <v>0</v>
      </c>
      <c r="F44" s="156">
        <f>$D$12*F821EVE!F33*0</f>
        <v>0</v>
      </c>
      <c r="G44" s="156">
        <f>$D$12*F821EVE!G33*0</f>
        <v>0</v>
      </c>
      <c r="H44" s="156">
        <f>$D$12*F821EVE!H33*0</f>
        <v>0</v>
      </c>
      <c r="I44" s="156">
        <f>$D$12*F821EVE!I33*0</f>
        <v>0</v>
      </c>
      <c r="J44" s="156">
        <f t="shared" si="1"/>
        <v>0</v>
      </c>
      <c r="K44" s="69"/>
    </row>
    <row r="45" spans="2:11" s="37" customFormat="1" ht="15.75">
      <c r="B45" s="48" t="s">
        <v>274</v>
      </c>
      <c r="C45" s="158" t="s">
        <v>631</v>
      </c>
      <c r="D45" s="154">
        <f t="shared" ref="D45:I45" si="8">SUBTOTAL(9,D46:D49)</f>
        <v>32967.195580000007</v>
      </c>
      <c r="E45" s="154">
        <f t="shared" si="8"/>
        <v>33185.872820000004</v>
      </c>
      <c r="F45" s="154">
        <f t="shared" si="8"/>
        <v>31702.833500000001</v>
      </c>
      <c r="G45" s="154">
        <f t="shared" si="8"/>
        <v>32834.074260000001</v>
      </c>
      <c r="H45" s="154">
        <f t="shared" si="8"/>
        <v>30457.287460000003</v>
      </c>
      <c r="I45" s="154">
        <f t="shared" si="8"/>
        <v>29920.288720000004</v>
      </c>
      <c r="J45" s="154">
        <f t="shared" si="1"/>
        <v>191067.55234000002</v>
      </c>
      <c r="K45" s="69"/>
    </row>
    <row r="46" spans="2:11" s="37" customFormat="1" ht="15.75">
      <c r="B46" s="48"/>
      <c r="C46" s="160" t="s">
        <v>304</v>
      </c>
      <c r="D46" s="156">
        <f>$D$12*F821EVE!D35*1</f>
        <v>32947.155900000005</v>
      </c>
      <c r="E46" s="156">
        <f>$D$12*F821EVE!E35*1</f>
        <v>33166.302820000004</v>
      </c>
      <c r="F46" s="156">
        <f>$D$12*F821EVE!F35*1</f>
        <v>31682.950380000002</v>
      </c>
      <c r="G46" s="156">
        <f>$D$12*F821EVE!G35*1</f>
        <v>32807.77218</v>
      </c>
      <c r="H46" s="156">
        <f>$D$12*F821EVE!H35*1</f>
        <v>30442.570820000004</v>
      </c>
      <c r="I46" s="156">
        <f>$D$12*F821EVE!I35*1</f>
        <v>29886.471760000004</v>
      </c>
      <c r="J46" s="156">
        <f t="shared" si="1"/>
        <v>190933.22386000003</v>
      </c>
      <c r="K46" s="69"/>
    </row>
    <row r="47" spans="2:11" s="37" customFormat="1" ht="15.75">
      <c r="B47" s="48"/>
      <c r="C47" s="161" t="s">
        <v>306</v>
      </c>
      <c r="D47" s="156">
        <f>$D$12*F821EVE!D36*1</f>
        <v>0</v>
      </c>
      <c r="E47" s="156">
        <f>$D$12*F821EVE!E36*1</f>
        <v>0</v>
      </c>
      <c r="F47" s="156">
        <f>$D$12*F821EVE!F36*1</f>
        <v>0</v>
      </c>
      <c r="G47" s="156">
        <f>$D$12*F821EVE!G36*1</f>
        <v>0</v>
      </c>
      <c r="H47" s="156">
        <f>$D$12*F821EVE!H36*1</f>
        <v>0</v>
      </c>
      <c r="I47" s="156">
        <f>$D$12*F821EVE!I36*1</f>
        <v>0</v>
      </c>
      <c r="J47" s="156">
        <f t="shared" si="1"/>
        <v>0</v>
      </c>
      <c r="K47" s="69"/>
    </row>
    <row r="48" spans="2:11" s="37" customFormat="1" ht="15.75">
      <c r="B48" s="48"/>
      <c r="C48" s="160" t="s">
        <v>305</v>
      </c>
      <c r="D48" s="156">
        <f>$D$12*F821EVE!D37*0.95</f>
        <v>20.039680000000001</v>
      </c>
      <c r="E48" s="156">
        <f>$D$12*F821EVE!E37*0.95</f>
        <v>19.57</v>
      </c>
      <c r="F48" s="156">
        <f>$D$12*F821EVE!F37*0.95</f>
        <v>19.883119999999998</v>
      </c>
      <c r="G48" s="156">
        <f>$D$12*F821EVE!G37*0.95</f>
        <v>26.30208</v>
      </c>
      <c r="H48" s="156">
        <f>$D$12*F821EVE!H37*0.95</f>
        <v>14.71664</v>
      </c>
      <c r="I48" s="156">
        <f>$D$12*F821EVE!I37*0.95</f>
        <v>33.816960000000002</v>
      </c>
      <c r="J48" s="156">
        <f t="shared" si="1"/>
        <v>134.32847999999998</v>
      </c>
      <c r="K48" s="69"/>
    </row>
    <row r="49" spans="2:11" s="37" customFormat="1" ht="15.75">
      <c r="B49" s="48"/>
      <c r="C49" s="160" t="s">
        <v>307</v>
      </c>
      <c r="D49" s="156">
        <f>$D$12*F821EVE!D38*0.5</f>
        <v>0</v>
      </c>
      <c r="E49" s="156">
        <f>$D$12*F821EVE!E38*0.5</f>
        <v>0</v>
      </c>
      <c r="F49" s="156">
        <f>$D$12*F821EVE!F38*0.5</f>
        <v>0</v>
      </c>
      <c r="G49" s="156">
        <f>$D$12*F821EVE!G38*0.5</f>
        <v>0</v>
      </c>
      <c r="H49" s="156">
        <f>$D$12*F821EVE!H38*0.5</f>
        <v>0</v>
      </c>
      <c r="I49" s="156">
        <f>$D$12*F821EVE!I38*0.5</f>
        <v>0</v>
      </c>
      <c r="J49" s="156">
        <f t="shared" si="1"/>
        <v>0</v>
      </c>
      <c r="K49" s="69"/>
    </row>
    <row r="50" spans="2:11" s="37" customFormat="1" ht="15.75">
      <c r="B50" s="48" t="s">
        <v>274</v>
      </c>
      <c r="C50" s="158" t="s">
        <v>632</v>
      </c>
      <c r="D50" s="154">
        <f t="shared" ref="D50:I50" si="9">SUBTOTAL(9,D51:D54)</f>
        <v>9739.4698800000006</v>
      </c>
      <c r="E50" s="154">
        <f t="shared" si="9"/>
        <v>9387.42</v>
      </c>
      <c r="F50" s="154">
        <f t="shared" si="9"/>
        <v>8613.5192000000006</v>
      </c>
      <c r="G50" s="154">
        <f t="shared" si="9"/>
        <v>9420.5015400000011</v>
      </c>
      <c r="H50" s="154">
        <f t="shared" si="9"/>
        <v>8119.8978800000004</v>
      </c>
      <c r="I50" s="154">
        <f t="shared" si="9"/>
        <v>8474.0736800000013</v>
      </c>
      <c r="J50" s="154">
        <f t="shared" si="1"/>
        <v>53754.882180000015</v>
      </c>
      <c r="K50" s="69"/>
    </row>
    <row r="51" spans="2:11" s="37" customFormat="1" ht="15.75">
      <c r="B51" s="48"/>
      <c r="C51" s="160" t="s">
        <v>304</v>
      </c>
      <c r="D51" s="156">
        <f>$D$12*F821EVE!D40*1</f>
        <v>9739.4698800000006</v>
      </c>
      <c r="E51" s="156">
        <f>$D$12*F821EVE!E40*1</f>
        <v>9387.42</v>
      </c>
      <c r="F51" s="156">
        <f>$D$12*F821EVE!F40*1</f>
        <v>8613.5192000000006</v>
      </c>
      <c r="G51" s="156">
        <f>$D$12*F821EVE!G40*1</f>
        <v>9420.5015400000011</v>
      </c>
      <c r="H51" s="156">
        <f>$D$12*F821EVE!H40*1</f>
        <v>8119.8978800000004</v>
      </c>
      <c r="I51" s="156">
        <f>$D$12*F821EVE!I40*1</f>
        <v>8474.0736800000013</v>
      </c>
      <c r="J51" s="156">
        <f t="shared" si="1"/>
        <v>53754.882180000015</v>
      </c>
      <c r="K51" s="69"/>
    </row>
    <row r="52" spans="2:11" s="37" customFormat="1" ht="15.75">
      <c r="B52" s="48"/>
      <c r="C52" s="161" t="s">
        <v>306</v>
      </c>
      <c r="D52" s="156">
        <f>$D$12*F821EVE!D41*1</f>
        <v>0</v>
      </c>
      <c r="E52" s="156">
        <f>$D$12*F821EVE!E41*1</f>
        <v>0</v>
      </c>
      <c r="F52" s="156">
        <f>$D$12*F821EVE!F41*1</f>
        <v>0</v>
      </c>
      <c r="G52" s="156">
        <f>$D$12*F821EVE!G41*1</f>
        <v>0</v>
      </c>
      <c r="H52" s="156">
        <f>$D$12*F821EVE!H41*1</f>
        <v>0</v>
      </c>
      <c r="I52" s="156">
        <f>$D$12*F821EVE!I41*1</f>
        <v>0</v>
      </c>
      <c r="J52" s="156">
        <f t="shared" si="1"/>
        <v>0</v>
      </c>
      <c r="K52" s="69"/>
    </row>
    <row r="53" spans="2:11" s="37" customFormat="1" ht="15.75">
      <c r="B53" s="48"/>
      <c r="C53" s="160" t="s">
        <v>305</v>
      </c>
      <c r="D53" s="156">
        <f>$D$12*F821EVE!D42*0.95</f>
        <v>0</v>
      </c>
      <c r="E53" s="156">
        <f>$D$12*F821EVE!E42*0.95</f>
        <v>0</v>
      </c>
      <c r="F53" s="156">
        <f>$D$12*F821EVE!F42*0.95</f>
        <v>0</v>
      </c>
      <c r="G53" s="156">
        <f>$D$12*F821EVE!G42*0.95</f>
        <v>0</v>
      </c>
      <c r="H53" s="156">
        <f>$D$12*F821EVE!H42*0.95</f>
        <v>0</v>
      </c>
      <c r="I53" s="156">
        <f>$D$12*F821EVE!I42*0.95</f>
        <v>0</v>
      </c>
      <c r="J53" s="156">
        <f t="shared" si="1"/>
        <v>0</v>
      </c>
      <c r="K53" s="69"/>
    </row>
    <row r="54" spans="2:11" s="37" customFormat="1" ht="15.75">
      <c r="B54" s="48"/>
      <c r="C54" s="160" t="s">
        <v>307</v>
      </c>
      <c r="D54" s="156">
        <f>$D$12*F821EVE!D43*0.5</f>
        <v>0</v>
      </c>
      <c r="E54" s="156">
        <f>$D$12*F821EVE!E43*0.5</f>
        <v>0</v>
      </c>
      <c r="F54" s="156">
        <f>$D$12*F821EVE!F43*0.5</f>
        <v>0</v>
      </c>
      <c r="G54" s="156">
        <f>$D$12*F821EVE!G43*0.5</f>
        <v>0</v>
      </c>
      <c r="H54" s="156">
        <f>$D$12*F821EVE!H43*0.5</f>
        <v>0</v>
      </c>
      <c r="I54" s="156">
        <f>$D$12*F821EVE!I43*0.5</f>
        <v>0</v>
      </c>
      <c r="J54" s="156">
        <f t="shared" si="1"/>
        <v>0</v>
      </c>
      <c r="K54" s="69"/>
    </row>
    <row r="55" spans="2:11" s="37" customFormat="1" ht="15.75">
      <c r="B55" s="48" t="s">
        <v>274</v>
      </c>
      <c r="C55" s="158" t="s">
        <v>633</v>
      </c>
      <c r="D55" s="154">
        <f t="shared" ref="D55:I55" si="10">SUBTOTAL(9,D56:D59)</f>
        <v>10252.537600000001</v>
      </c>
      <c r="E55" s="154">
        <f t="shared" si="10"/>
        <v>9444.6323800000009</v>
      </c>
      <c r="F55" s="154">
        <f t="shared" si="10"/>
        <v>8130.3317800000004</v>
      </c>
      <c r="G55" s="154">
        <f t="shared" si="10"/>
        <v>9315.3241200000011</v>
      </c>
      <c r="H55" s="154">
        <f t="shared" si="10"/>
        <v>8452.4127800000006</v>
      </c>
      <c r="I55" s="154">
        <f t="shared" si="10"/>
        <v>8735.1168800000014</v>
      </c>
      <c r="J55" s="154">
        <f t="shared" si="1"/>
        <v>54330.355540000004</v>
      </c>
      <c r="K55" s="69"/>
    </row>
    <row r="56" spans="2:11" s="37" customFormat="1" ht="15.75">
      <c r="B56" s="48"/>
      <c r="C56" s="160" t="s">
        <v>304</v>
      </c>
      <c r="D56" s="156">
        <f>$D$12*F821EVE!D45*1</f>
        <v>10252.537600000001</v>
      </c>
      <c r="E56" s="156">
        <f>$D$12*F821EVE!E45*1</f>
        <v>9444.6323800000009</v>
      </c>
      <c r="F56" s="156">
        <f>$D$12*F821EVE!F45*1</f>
        <v>8130.3317800000004</v>
      </c>
      <c r="G56" s="156">
        <f>$D$12*F821EVE!G45*1</f>
        <v>9315.3241200000011</v>
      </c>
      <c r="H56" s="156">
        <f>$D$12*F821EVE!H45*1</f>
        <v>8452.4127800000006</v>
      </c>
      <c r="I56" s="156">
        <f>$D$12*F821EVE!I45*1</f>
        <v>8735.1168800000014</v>
      </c>
      <c r="J56" s="156">
        <f t="shared" si="1"/>
        <v>54330.355540000004</v>
      </c>
      <c r="K56" s="69"/>
    </row>
    <row r="57" spans="2:11" s="37" customFormat="1" ht="15.75">
      <c r="B57" s="48"/>
      <c r="C57" s="161" t="s">
        <v>306</v>
      </c>
      <c r="D57" s="156">
        <f>$D$12*F821EVE!D46*1</f>
        <v>0</v>
      </c>
      <c r="E57" s="156">
        <f>$D$12*F821EVE!E46*1</f>
        <v>0</v>
      </c>
      <c r="F57" s="156">
        <f>$D$12*F821EVE!F46*1</f>
        <v>0</v>
      </c>
      <c r="G57" s="156">
        <f>$D$12*F821EVE!G46*1</f>
        <v>0</v>
      </c>
      <c r="H57" s="156">
        <f>$D$12*F821EVE!H46*1</f>
        <v>0</v>
      </c>
      <c r="I57" s="156">
        <f>$D$12*F821EVE!I46*1</f>
        <v>0</v>
      </c>
      <c r="J57" s="156">
        <f t="shared" si="1"/>
        <v>0</v>
      </c>
      <c r="K57" s="69"/>
    </row>
    <row r="58" spans="2:11" s="37" customFormat="1" ht="15.75">
      <c r="B58" s="48"/>
      <c r="C58" s="160" t="s">
        <v>305</v>
      </c>
      <c r="D58" s="156">
        <f>$D$12*F821EVE!D47*0.95</f>
        <v>0</v>
      </c>
      <c r="E58" s="156">
        <f>$D$12*F821EVE!E47*0.95</f>
        <v>0</v>
      </c>
      <c r="F58" s="156">
        <f>$D$12*F821EVE!F47*0.95</f>
        <v>0</v>
      </c>
      <c r="G58" s="156">
        <f>$D$12*F821EVE!G47*0.95</f>
        <v>0</v>
      </c>
      <c r="H58" s="156">
        <f>$D$12*F821EVE!H47*0.95</f>
        <v>0</v>
      </c>
      <c r="I58" s="156">
        <f>$D$12*F821EVE!I47*0.95</f>
        <v>0</v>
      </c>
      <c r="J58" s="156">
        <f t="shared" si="1"/>
        <v>0</v>
      </c>
      <c r="K58" s="69"/>
    </row>
    <row r="59" spans="2:11" s="37" customFormat="1" ht="15.75">
      <c r="B59" s="48"/>
      <c r="C59" s="160" t="s">
        <v>307</v>
      </c>
      <c r="D59" s="156">
        <f>$D$12*F821EVE!D48*0.5</f>
        <v>0</v>
      </c>
      <c r="E59" s="156">
        <f>$D$12*F821EVE!E48*0.5</f>
        <v>0</v>
      </c>
      <c r="F59" s="156">
        <f>$D$12*F821EVE!F48*0.5</f>
        <v>0</v>
      </c>
      <c r="G59" s="156">
        <f>$D$12*F821EVE!G48*0.5</f>
        <v>0</v>
      </c>
      <c r="H59" s="156">
        <f>$D$12*F821EVE!H48*0.5</f>
        <v>0</v>
      </c>
      <c r="I59" s="156">
        <f>$D$12*F821EVE!I48*0.5</f>
        <v>0</v>
      </c>
      <c r="J59" s="156">
        <f t="shared" si="1"/>
        <v>0</v>
      </c>
      <c r="K59" s="69"/>
    </row>
    <row r="60" spans="2:11" s="37" customFormat="1" ht="15.75">
      <c r="B60" s="48"/>
      <c r="C60" s="157"/>
      <c r="D60" s="156"/>
      <c r="E60" s="156"/>
      <c r="F60" s="156"/>
      <c r="G60" s="156"/>
      <c r="H60" s="156"/>
      <c r="I60" s="156"/>
      <c r="J60" s="156">
        <f t="shared" si="1"/>
        <v>0</v>
      </c>
      <c r="K60" s="69"/>
    </row>
    <row r="61" spans="2:11" s="37" customFormat="1" ht="15.75">
      <c r="B61" s="48" t="s">
        <v>1176</v>
      </c>
      <c r="C61" s="158" t="s">
        <v>1176</v>
      </c>
      <c r="D61" s="154">
        <f t="shared" ref="D61:I61" si="11">SUBTOTAL(9,D62:D67)</f>
        <v>0</v>
      </c>
      <c r="E61" s="154">
        <f t="shared" si="11"/>
        <v>0</v>
      </c>
      <c r="F61" s="154">
        <f t="shared" si="11"/>
        <v>0</v>
      </c>
      <c r="G61" s="154">
        <f t="shared" si="11"/>
        <v>0</v>
      </c>
      <c r="H61" s="154">
        <f t="shared" si="11"/>
        <v>0</v>
      </c>
      <c r="I61" s="154">
        <f t="shared" si="11"/>
        <v>0</v>
      </c>
      <c r="J61" s="154">
        <f t="shared" si="1"/>
        <v>0</v>
      </c>
      <c r="K61" s="69"/>
    </row>
    <row r="62" spans="2:11" s="37" customFormat="1" ht="15.75">
      <c r="B62" s="48"/>
      <c r="C62" s="160" t="s">
        <v>304</v>
      </c>
      <c r="D62" s="156">
        <f>$D$15*F821EVE!D51*1</f>
        <v>0</v>
      </c>
      <c r="E62" s="156">
        <f>$D$15*F821EVE!E51*1</f>
        <v>0</v>
      </c>
      <c r="F62" s="156">
        <f>$D$15*F821EVE!F51*1</f>
        <v>0</v>
      </c>
      <c r="G62" s="156">
        <f>$D$15*F821EVE!G51*1</f>
        <v>0</v>
      </c>
      <c r="H62" s="156">
        <f>$D$15*F821EVE!H51*1</f>
        <v>0</v>
      </c>
      <c r="I62" s="156">
        <f>$D$15*F821EVE!I51*1</f>
        <v>0</v>
      </c>
      <c r="J62" s="156">
        <f t="shared" si="1"/>
        <v>0</v>
      </c>
      <c r="K62" s="69"/>
    </row>
    <row r="63" spans="2:11" s="37" customFormat="1" ht="15.75">
      <c r="B63" s="48"/>
      <c r="C63" s="162" t="s">
        <v>642</v>
      </c>
      <c r="D63" s="156">
        <f>$D$15*F821EVE!D52*0.75</f>
        <v>0</v>
      </c>
      <c r="E63" s="156">
        <f>$D$15*F821EVE!E52*0.75</f>
        <v>0</v>
      </c>
      <c r="F63" s="156">
        <f>$D$15*F821EVE!F52*0.75</f>
        <v>0</v>
      </c>
      <c r="G63" s="156">
        <f>$D$15*F821EVE!G52*0.75</f>
        <v>0</v>
      </c>
      <c r="H63" s="156">
        <f>$D$15*F821EVE!H52*0.75</f>
        <v>0</v>
      </c>
      <c r="I63" s="156">
        <f>$D$15*F821EVE!I52*0.75</f>
        <v>0</v>
      </c>
      <c r="J63" s="156">
        <f t="shared" si="1"/>
        <v>0</v>
      </c>
      <c r="K63" s="69"/>
    </row>
    <row r="64" spans="2:11" s="37" customFormat="1" ht="15.75">
      <c r="B64" s="48"/>
      <c r="C64" s="162" t="s">
        <v>1177</v>
      </c>
      <c r="D64" s="156">
        <f>$D$15*F821EVE!D53*1</f>
        <v>0</v>
      </c>
      <c r="E64" s="156">
        <f>$D$15*F821EVE!E53*1</f>
        <v>0</v>
      </c>
      <c r="F64" s="156">
        <f>$D$15*F821EVE!F53*1</f>
        <v>0</v>
      </c>
      <c r="G64" s="156">
        <f>$D$15*F821EVE!G53*1</f>
        <v>0</v>
      </c>
      <c r="H64" s="156">
        <f>$D$15*F821EVE!H53*1</f>
        <v>0</v>
      </c>
      <c r="I64" s="156">
        <f>$D$15*F821EVE!I53*1</f>
        <v>0</v>
      </c>
      <c r="J64" s="156">
        <f t="shared" si="1"/>
        <v>0</v>
      </c>
      <c r="K64" s="69"/>
    </row>
    <row r="65" spans="2:11" s="37" customFormat="1" ht="15.75">
      <c r="B65" s="48"/>
      <c r="C65" s="160" t="s">
        <v>305</v>
      </c>
      <c r="D65" s="156">
        <f>$D$15*F821EVE!D54*0.95</f>
        <v>0</v>
      </c>
      <c r="E65" s="156">
        <f>$D$15*F821EVE!E54*0.95</f>
        <v>0</v>
      </c>
      <c r="F65" s="156">
        <f>$D$15*F821EVE!F54*0.95</f>
        <v>0</v>
      </c>
      <c r="G65" s="156">
        <f>$D$15*F821EVE!G54*0.95</f>
        <v>0</v>
      </c>
      <c r="H65" s="156">
        <f>$D$15*F821EVE!H54*0.95</f>
        <v>0</v>
      </c>
      <c r="I65" s="156">
        <f>$D$15*F821EVE!I54*0.95</f>
        <v>0</v>
      </c>
      <c r="J65" s="156">
        <f t="shared" si="1"/>
        <v>0</v>
      </c>
      <c r="K65" s="69"/>
    </row>
    <row r="66" spans="2:11" s="37" customFormat="1" ht="15.75">
      <c r="B66" s="48"/>
      <c r="C66" s="160" t="s">
        <v>307</v>
      </c>
      <c r="D66" s="156">
        <f>$D$15*F821EVE!D55*0.5</f>
        <v>0</v>
      </c>
      <c r="E66" s="156">
        <f>$D$15*F821EVE!E55*0.5</f>
        <v>0</v>
      </c>
      <c r="F66" s="156">
        <f>$D$15*F821EVE!F55*0.5</f>
        <v>0</v>
      </c>
      <c r="G66" s="156">
        <f>$D$15*F821EVE!G55*0.5</f>
        <v>0</v>
      </c>
      <c r="H66" s="156">
        <f>$D$15*F821EVE!H55*0.5</f>
        <v>0</v>
      </c>
      <c r="I66" s="156">
        <f>$D$15*F821EVE!I55*0.5</f>
        <v>0</v>
      </c>
      <c r="J66" s="156">
        <f t="shared" si="1"/>
        <v>0</v>
      </c>
      <c r="K66" s="69"/>
    </row>
    <row r="67" spans="2:11" s="37" customFormat="1" ht="15.75">
      <c r="B67" s="48"/>
      <c r="C67" s="160" t="s">
        <v>624</v>
      </c>
      <c r="D67" s="156">
        <f>$D$15*F821EVE!D56*0</f>
        <v>0</v>
      </c>
      <c r="E67" s="156">
        <f>$D$15*F821EVE!E56*0</f>
        <v>0</v>
      </c>
      <c r="F67" s="156">
        <f>$D$15*F821EVE!F56*0</f>
        <v>0</v>
      </c>
      <c r="G67" s="156">
        <f>$D$15*F821EVE!G56*0</f>
        <v>0</v>
      </c>
      <c r="H67" s="156">
        <f>$D$15*F821EVE!H56*0</f>
        <v>0</v>
      </c>
      <c r="I67" s="156">
        <f>$D$15*F821EVE!I56*0</f>
        <v>0</v>
      </c>
      <c r="J67" s="156">
        <f t="shared" si="1"/>
        <v>0</v>
      </c>
      <c r="K67" s="69"/>
    </row>
    <row r="68" spans="2:11" s="37" customFormat="1" ht="15.75">
      <c r="B68" s="48" t="s">
        <v>751</v>
      </c>
      <c r="C68" s="158" t="s">
        <v>634</v>
      </c>
      <c r="D68" s="154">
        <f t="shared" ref="D68" si="12">SUBTOTAL(9,D69:D73)</f>
        <v>83138.883667499991</v>
      </c>
      <c r="E68" s="154">
        <f t="shared" ref="E68:I68" si="13">SUBTOTAL(9,E69:E73)</f>
        <v>82650.085836000013</v>
      </c>
      <c r="F68" s="154">
        <f t="shared" si="13"/>
        <v>83900.513199000008</v>
      </c>
      <c r="G68" s="154">
        <f t="shared" si="13"/>
        <v>83399.426012999989</v>
      </c>
      <c r="H68" s="154">
        <f t="shared" si="13"/>
        <v>85597.029337500004</v>
      </c>
      <c r="I68" s="154">
        <f t="shared" si="13"/>
        <v>84405.975298499994</v>
      </c>
      <c r="J68" s="154">
        <f t="shared" si="1"/>
        <v>503091.9133515</v>
      </c>
      <c r="K68" s="69"/>
    </row>
    <row r="69" spans="2:11" s="37" customFormat="1" ht="15.75">
      <c r="B69" s="48"/>
      <c r="C69" s="160" t="s">
        <v>304</v>
      </c>
      <c r="D69" s="156">
        <f>($D$14*(F821EVE!D66))*1</f>
        <v>60452.053979999997</v>
      </c>
      <c r="E69" s="156">
        <f>($D$14*(F821EVE!E66))*1</f>
        <v>59924.08023</v>
      </c>
      <c r="F69" s="156">
        <f>($D$14*(F821EVE!F66))*1</f>
        <v>60864.743609999998</v>
      </c>
      <c r="G69" s="156">
        <f>($D$14*(F821EVE!G66))*1</f>
        <v>60396.624989999997</v>
      </c>
      <c r="H69" s="156">
        <f>($D$14*(F821EVE!H66))*1</f>
        <v>62074.624080000001</v>
      </c>
      <c r="I69" s="156">
        <f>($D$14*(F821EVE!I66))*1</f>
        <v>60838.052579999996</v>
      </c>
      <c r="J69" s="156">
        <f t="shared" si="1"/>
        <v>364550.17946999997</v>
      </c>
      <c r="K69" s="69"/>
    </row>
    <row r="70" spans="2:11" s="37" customFormat="1" ht="15.75">
      <c r="B70" s="48"/>
      <c r="C70" s="162" t="s">
        <v>644</v>
      </c>
      <c r="D70" s="156">
        <f>($D$14*(F821EVE!D67))*0.75</f>
        <v>22684.846657499998</v>
      </c>
      <c r="E70" s="156">
        <f>($D$14*(F821EVE!E67))*0.75</f>
        <v>22724.23302</v>
      </c>
      <c r="F70" s="156">
        <f>($D$14*(F821EVE!F67))*0.75</f>
        <v>23033.879639999999</v>
      </c>
      <c r="G70" s="156">
        <f>($D$14*(F821EVE!G67))*0.75</f>
        <v>23000.517449999999</v>
      </c>
      <c r="H70" s="156">
        <f>($D$14*(F821EVE!H67))*0.75</f>
        <v>23519.986109999998</v>
      </c>
      <c r="I70" s="156">
        <f>($D$14*(F821EVE!I67))*0.75</f>
        <v>23564.700134999999</v>
      </c>
      <c r="J70" s="156">
        <f t="shared" si="1"/>
        <v>138528.16301250001</v>
      </c>
      <c r="K70" s="69"/>
    </row>
    <row r="71" spans="2:11" s="37" customFormat="1" ht="15.75">
      <c r="B71" s="48"/>
      <c r="C71" s="160" t="s">
        <v>305</v>
      </c>
      <c r="D71" s="156">
        <f>($D$14*(F821EVE!D68))*0.95</f>
        <v>1.9830300000000001</v>
      </c>
      <c r="E71" s="156">
        <f>($D$14*(F821EVE!E68))*0.95</f>
        <v>1.772586</v>
      </c>
      <c r="F71" s="156">
        <f>($D$14*(F821EVE!F68))*0.95</f>
        <v>1.8899489999999999</v>
      </c>
      <c r="G71" s="156">
        <f>($D$14*(F821EVE!G68))*0.95</f>
        <v>2.140863</v>
      </c>
      <c r="H71" s="156">
        <f>($D$14*(F821EVE!H68))*0.95</f>
        <v>2.3573775000000001</v>
      </c>
      <c r="I71" s="156">
        <f>($D$14*(F821EVE!I68))*0.95</f>
        <v>3.1384485</v>
      </c>
      <c r="J71" s="156">
        <f t="shared" si="1"/>
        <v>13.282253999999998</v>
      </c>
      <c r="K71" s="69"/>
    </row>
    <row r="72" spans="2:11" s="37" customFormat="1" ht="15.75">
      <c r="B72" s="48"/>
      <c r="C72" s="160" t="s">
        <v>307</v>
      </c>
      <c r="D72" s="156">
        <f>($D$14*(F821EVE!D69))*0.5</f>
        <v>0</v>
      </c>
      <c r="E72" s="156">
        <f>($D$14*(F821EVE!E69))*0.5</f>
        <v>0</v>
      </c>
      <c r="F72" s="156">
        <f>($D$14*(F821EVE!F69))*0.5</f>
        <v>0</v>
      </c>
      <c r="G72" s="156">
        <f>($D$14*(F821EVE!G69))*0.5</f>
        <v>0.14271</v>
      </c>
      <c r="H72" s="156">
        <f>($D$14*(F821EVE!H69))*0.5</f>
        <v>6.1769999999999999E-2</v>
      </c>
      <c r="I72" s="156">
        <f>($D$14*(F821EVE!I69))*0.5</f>
        <v>8.4135000000000001E-2</v>
      </c>
      <c r="J72" s="156">
        <f t="shared" si="1"/>
        <v>0.28861500000000001</v>
      </c>
      <c r="K72" s="69"/>
    </row>
    <row r="73" spans="2:11" s="37" customFormat="1" ht="15.75">
      <c r="B73" s="48"/>
      <c r="C73" s="160" t="s">
        <v>624</v>
      </c>
      <c r="D73" s="156">
        <f>($D$14*(F821EVE!D70))*0</f>
        <v>0</v>
      </c>
      <c r="E73" s="156">
        <f>($D$14*(F821EVE!E70))*0</f>
        <v>0</v>
      </c>
      <c r="F73" s="156">
        <f>($D$14*(F821EVE!F70))*0</f>
        <v>0</v>
      </c>
      <c r="G73" s="156">
        <f>($D$14*(F821EVE!G70))*0</f>
        <v>0</v>
      </c>
      <c r="H73" s="156">
        <f>($D$14*(F821EVE!H70))*0</f>
        <v>0</v>
      </c>
      <c r="I73" s="156">
        <f>($D$14*(F821EVE!I70))*0</f>
        <v>0</v>
      </c>
      <c r="J73" s="156">
        <f t="shared" si="1"/>
        <v>0</v>
      </c>
      <c r="K73" s="69"/>
    </row>
    <row r="74" spans="2:11" s="37" customFormat="1" ht="15.75">
      <c r="B74" s="48" t="s">
        <v>750</v>
      </c>
      <c r="C74" s="158" t="s">
        <v>635</v>
      </c>
      <c r="D74" s="154">
        <f t="shared" ref="D74" si="14">SUBTOTAL(9,D75:D80)</f>
        <v>94159.040179499993</v>
      </c>
      <c r="E74" s="154">
        <f t="shared" ref="E74:I74" si="15">SUBTOTAL(9,E75:E80)</f>
        <v>95227.404514499998</v>
      </c>
      <c r="F74" s="154">
        <f t="shared" si="15"/>
        <v>92678.37675000001</v>
      </c>
      <c r="G74" s="154">
        <f t="shared" si="15"/>
        <v>92579.003410499994</v>
      </c>
      <c r="H74" s="154">
        <f t="shared" si="15"/>
        <v>89335.268584500009</v>
      </c>
      <c r="I74" s="154">
        <f t="shared" si="15"/>
        <v>87235.159300499989</v>
      </c>
      <c r="J74" s="154">
        <f t="shared" si="1"/>
        <v>551214.25273950002</v>
      </c>
      <c r="K74" s="69"/>
    </row>
    <row r="75" spans="2:11" s="37" customFormat="1" ht="15.75">
      <c r="B75" s="48"/>
      <c r="C75" s="160" t="s">
        <v>304</v>
      </c>
      <c r="D75" s="156">
        <f>($D$14*(F821EVE!D72))*1</f>
        <v>60958.8321</v>
      </c>
      <c r="E75" s="156">
        <f>($D$14*(F821EVE!E72))*1</f>
        <v>61753.12614</v>
      </c>
      <c r="F75" s="156">
        <f>($D$14*(F821EVE!F72))*1</f>
        <v>59838.694920000002</v>
      </c>
      <c r="G75" s="156">
        <f>($D$14*(F821EVE!G72))*1</f>
        <v>59665.724009999998</v>
      </c>
      <c r="H75" s="156">
        <f>($D$14*(F821EVE!H72))*1</f>
        <v>57391.16517</v>
      </c>
      <c r="I75" s="156">
        <f>($D$14*(F821EVE!I72))*1</f>
        <v>55867.784910000002</v>
      </c>
      <c r="J75" s="156">
        <f t="shared" si="1"/>
        <v>355475.32725000003</v>
      </c>
      <c r="K75" s="69"/>
    </row>
    <row r="76" spans="2:11" s="37" customFormat="1" ht="15.75">
      <c r="B76" s="48"/>
      <c r="C76" s="162" t="s">
        <v>642</v>
      </c>
      <c r="D76" s="156">
        <f>($D$14*(F821EVE!D73))*0.75</f>
        <v>32231.958749999998</v>
      </c>
      <c r="E76" s="156">
        <f>($D$14*(F821EVE!E73))*0.75</f>
        <v>32482.633657499999</v>
      </c>
      <c r="F76" s="156">
        <f>($D$14*(F821EVE!F73))*0.75</f>
        <v>31918.730534999999</v>
      </c>
      <c r="G76" s="156">
        <f>($D$14*(F821EVE!G73))*0.75</f>
        <v>31998.950594999995</v>
      </c>
      <c r="H76" s="156">
        <f>($D$14*(F821EVE!H73))*0.75</f>
        <v>31076.244180000002</v>
      </c>
      <c r="I76" s="156">
        <f>($D$14*(F821EVE!I73))*0.75</f>
        <v>30478.752022499997</v>
      </c>
      <c r="J76" s="156">
        <f t="shared" si="1"/>
        <v>190187.26973999999</v>
      </c>
      <c r="K76" s="69"/>
    </row>
    <row r="77" spans="2:11" s="37" customFormat="1" ht="15.75">
      <c r="B77" s="48"/>
      <c r="C77" s="162" t="s">
        <v>1177</v>
      </c>
      <c r="D77" s="156">
        <f>($D$14*(F821EVE!D74))*1</f>
        <v>965.50343999999996</v>
      </c>
      <c r="E77" s="156">
        <f>($D$14*(F821EVE!E74))*1</f>
        <v>988.80777</v>
      </c>
      <c r="F77" s="156">
        <f>($D$14*(F821EVE!F74))*1</f>
        <v>916.68170999999995</v>
      </c>
      <c r="G77" s="156">
        <f>($D$14*(F821EVE!G74))*1</f>
        <v>911.63148000000001</v>
      </c>
      <c r="H77" s="156">
        <f>($D$14*(F821EVE!H74))*1</f>
        <v>861.72131999999999</v>
      </c>
      <c r="I77" s="156">
        <f>($D$14*(F821EVE!I74))*1</f>
        <v>883.26414</v>
      </c>
      <c r="J77" s="156">
        <f t="shared" si="1"/>
        <v>5527.6098599999996</v>
      </c>
      <c r="K77" s="69"/>
    </row>
    <row r="78" spans="2:11" s="37" customFormat="1" ht="15.75">
      <c r="B78" s="48"/>
      <c r="C78" s="160" t="s">
        <v>305</v>
      </c>
      <c r="D78" s="156">
        <f>($D$14*(F821EVE!D75))*0.95</f>
        <v>2.7458895000000001</v>
      </c>
      <c r="E78" s="156">
        <f>($D$14*(F821EVE!E75))*0.95</f>
        <v>2.8369469999999999</v>
      </c>
      <c r="F78" s="156">
        <f>($D$14*(F821EVE!F75))*0.95</f>
        <v>4.2695850000000002</v>
      </c>
      <c r="G78" s="156">
        <f>($D$14*(F821EVE!G75))*0.95</f>
        <v>2.6973254999999998</v>
      </c>
      <c r="H78" s="156">
        <f>($D$14*(F821EVE!H75))*0.95</f>
        <v>5.3764395</v>
      </c>
      <c r="I78" s="156">
        <f>($D$14*(F821EVE!I75))*0.95</f>
        <v>5.3582279999999995</v>
      </c>
      <c r="J78" s="156">
        <f t="shared" si="1"/>
        <v>23.2844145</v>
      </c>
      <c r="K78" s="69"/>
    </row>
    <row r="79" spans="2:11" s="37" customFormat="1" ht="15.75">
      <c r="B79" s="48"/>
      <c r="C79" s="160" t="s">
        <v>307</v>
      </c>
      <c r="D79" s="156">
        <f>($D$14*(F821EVE!D76))*0.5</f>
        <v>0</v>
      </c>
      <c r="E79" s="156">
        <f>($D$14*(F821EVE!E76))*0.5</f>
        <v>0</v>
      </c>
      <c r="F79" s="156">
        <f>($D$14*(F821EVE!F76))*0.5</f>
        <v>0</v>
      </c>
      <c r="G79" s="156">
        <f>($D$14*(F821EVE!G76))*0.5</f>
        <v>0</v>
      </c>
      <c r="H79" s="156">
        <f>($D$14*(F821EVE!H76))*0.5</f>
        <v>0.76147500000000001</v>
      </c>
      <c r="I79" s="156">
        <f>($D$14*(F821EVE!I76))*0.5</f>
        <v>0</v>
      </c>
      <c r="J79" s="156">
        <f t="shared" si="1"/>
        <v>0.76147500000000001</v>
      </c>
      <c r="K79" s="69"/>
    </row>
    <row r="80" spans="2:11" s="37" customFormat="1" ht="15.75">
      <c r="B80" s="48"/>
      <c r="C80" s="160" t="s">
        <v>624</v>
      </c>
      <c r="D80" s="156">
        <f>($D$14*(F821EVE!D77))*0</f>
        <v>0</v>
      </c>
      <c r="E80" s="156">
        <f>($D$14*(F821EVE!E77))*0</f>
        <v>0</v>
      </c>
      <c r="F80" s="156">
        <f>($D$14*(F821EVE!F77))*0</f>
        <v>0</v>
      </c>
      <c r="G80" s="156">
        <f>($D$14*(F821EVE!G77))*0</f>
        <v>0</v>
      </c>
      <c r="H80" s="156">
        <f>($D$14*(F821EVE!H77))*0</f>
        <v>0</v>
      </c>
      <c r="I80" s="156">
        <f>($D$14*(F821EVE!I77))*0</f>
        <v>0</v>
      </c>
      <c r="J80" s="156">
        <f t="shared" si="1"/>
        <v>0</v>
      </c>
      <c r="K80" s="69"/>
    </row>
    <row r="81" spans="2:11" s="37" customFormat="1" ht="15.75">
      <c r="B81" s="48" t="s">
        <v>749</v>
      </c>
      <c r="C81" s="158" t="s">
        <v>636</v>
      </c>
      <c r="D81" s="154">
        <f t="shared" ref="D81" si="16">SUBTOTAL(9,D82:D87)</f>
        <v>113776.8292275</v>
      </c>
      <c r="E81" s="154">
        <f t="shared" ref="E81:I81" si="17">SUBTOTAL(9,E82:E87)</f>
        <v>113215.92503850001</v>
      </c>
      <c r="F81" s="154">
        <f t="shared" si="17"/>
        <v>110505.723795</v>
      </c>
      <c r="G81" s="154">
        <f t="shared" si="17"/>
        <v>112049.71521299997</v>
      </c>
      <c r="H81" s="154">
        <f t="shared" si="17"/>
        <v>103260.376074</v>
      </c>
      <c r="I81" s="154">
        <f t="shared" si="17"/>
        <v>107186.85471000001</v>
      </c>
      <c r="J81" s="154">
        <f t="shared" si="1"/>
        <v>659995.42405799998</v>
      </c>
      <c r="K81" s="69"/>
    </row>
    <row r="82" spans="2:11" s="37" customFormat="1" ht="15.75">
      <c r="B82" s="48"/>
      <c r="C82" s="160" t="s">
        <v>304</v>
      </c>
      <c r="D82" s="156">
        <f>($D$14*(F821EVE!D79))*1</f>
        <v>97729.876229999994</v>
      </c>
      <c r="E82" s="156">
        <f>($D$14*(F821EVE!E79))*1</f>
        <v>97558.211009999999</v>
      </c>
      <c r="F82" s="156">
        <f>($D$14*(F821EVE!F79))*1</f>
        <v>95616.394379999998</v>
      </c>
      <c r="G82" s="156">
        <f>($D$14*(F821EVE!G79))*1</f>
        <v>96912.052079999994</v>
      </c>
      <c r="H82" s="156">
        <f>($D$14*(F821EVE!H79))*1</f>
        <v>89877.249960000001</v>
      </c>
      <c r="I82" s="156">
        <f>($D$14*(F821EVE!I79))*1</f>
        <v>92867.371650000001</v>
      </c>
      <c r="J82" s="156">
        <f t="shared" si="1"/>
        <v>570561.15530999994</v>
      </c>
      <c r="K82" s="69"/>
    </row>
    <row r="83" spans="2:11" s="37" customFormat="1" ht="15.75">
      <c r="B83" s="48"/>
      <c r="C83" s="162" t="s">
        <v>642</v>
      </c>
      <c r="D83" s="156">
        <f>($D$14*(F821EVE!D80))*0.75</f>
        <v>7605.7454249999992</v>
      </c>
      <c r="E83" s="156">
        <f>($D$14*(F821EVE!E80))*0.75</f>
        <v>7454.3024249999999</v>
      </c>
      <c r="F83" s="156">
        <f>($D$14*(F821EVE!F80))*0.75</f>
        <v>7093.1076749999993</v>
      </c>
      <c r="G83" s="156">
        <f>($D$14*(F821EVE!G80))*0.75</f>
        <v>7181.5293000000001</v>
      </c>
      <c r="H83" s="156">
        <f>($D$14*(F821EVE!H80))*0.75</f>
        <v>6369.1526249999997</v>
      </c>
      <c r="I83" s="156">
        <f>($D$14*(F821EVE!I80))*0.75</f>
        <v>6631.3023749999993</v>
      </c>
      <c r="J83" s="156">
        <f t="shared" si="1"/>
        <v>42335.139824999998</v>
      </c>
      <c r="K83" s="69"/>
    </row>
    <row r="84" spans="2:11" s="37" customFormat="1" ht="15.75">
      <c r="B84" s="48"/>
      <c r="C84" s="162" t="s">
        <v>1177</v>
      </c>
      <c r="D84" s="156">
        <f>($D$14*(F821EVE!D81))*1</f>
        <v>8376.9193799999994</v>
      </c>
      <c r="E84" s="156">
        <f>($D$14*(F821EVE!E81))*1</f>
        <v>8134.3656300000002</v>
      </c>
      <c r="F84" s="156">
        <f>($D$14*(F821EVE!F81))*1</f>
        <v>7737.7511100000002</v>
      </c>
      <c r="G84" s="156">
        <f>($D$14*(F821EVE!G81))*1</f>
        <v>7901.5651499999994</v>
      </c>
      <c r="H84" s="156">
        <f>($D$14*(F821EVE!H81))*1</f>
        <v>6966.2714999999998</v>
      </c>
      <c r="I84" s="156">
        <f>($D$14*(F821EVE!I81))*1</f>
        <v>7666.2044099999994</v>
      </c>
      <c r="J84" s="156">
        <f t="shared" ref="J84:J110" si="18">SUM(D84:I84)</f>
        <v>46783.07718</v>
      </c>
      <c r="K84" s="69"/>
    </row>
    <row r="85" spans="2:11" s="37" customFormat="1" ht="15.75">
      <c r="B85" s="48"/>
      <c r="C85" s="160" t="s">
        <v>305</v>
      </c>
      <c r="D85" s="156">
        <f>($D$14*(F821EVE!D82))*0.95</f>
        <v>63.244492499999993</v>
      </c>
      <c r="E85" s="156">
        <f>($D$14*(F821EVE!E82))*0.95</f>
        <v>68.173738499999999</v>
      </c>
      <c r="F85" s="156">
        <f>($D$14*(F821EVE!F82))*0.95</f>
        <v>57.447164999999998</v>
      </c>
      <c r="G85" s="156">
        <f>($D$14*(F821EVE!G82))*0.95</f>
        <v>53.598467999999997</v>
      </c>
      <c r="H85" s="156">
        <f>($D$14*(F821EVE!H82))*0.95</f>
        <v>47.701988999999998</v>
      </c>
      <c r="I85" s="156">
        <f>($D$14*(F821EVE!I82))*0.95</f>
        <v>20.983695000000001</v>
      </c>
      <c r="J85" s="156">
        <f t="shared" si="18"/>
        <v>311.14954799999998</v>
      </c>
      <c r="K85" s="69"/>
    </row>
    <row r="86" spans="2:11" s="37" customFormat="1" ht="15.75">
      <c r="B86" s="48"/>
      <c r="C86" s="160" t="s">
        <v>307</v>
      </c>
      <c r="D86" s="156">
        <f>($D$14*(F821EVE!D83))*0.5</f>
        <v>1.0437000000000001</v>
      </c>
      <c r="E86" s="156">
        <f>($D$14*(F821EVE!E83))*0.5</f>
        <v>0.87223499999999998</v>
      </c>
      <c r="F86" s="156">
        <f>($D$14*(F821EVE!F83))*0.5</f>
        <v>1.0234650000000001</v>
      </c>
      <c r="G86" s="156">
        <f>($D$14*(F821EVE!G83))*0.5</f>
        <v>0.97021499999999994</v>
      </c>
      <c r="H86" s="156">
        <f>($D$14*(F821EVE!H83))*0.5</f>
        <v>0</v>
      </c>
      <c r="I86" s="156">
        <f>($D$14*(F821EVE!I83))*0.5</f>
        <v>0.99258000000000002</v>
      </c>
      <c r="J86" s="156">
        <f t="shared" si="18"/>
        <v>4.9021949999999999</v>
      </c>
      <c r="K86" s="69"/>
    </row>
    <row r="87" spans="2:11" s="37" customFormat="1" ht="15.75">
      <c r="B87" s="48"/>
      <c r="C87" s="160" t="s">
        <v>624</v>
      </c>
      <c r="D87" s="156">
        <f>($D$14*(F821EVE!D84))*0</f>
        <v>0</v>
      </c>
      <c r="E87" s="156">
        <f>($D$14*(F821EVE!E84))*0</f>
        <v>0</v>
      </c>
      <c r="F87" s="156">
        <f>($D$14*(F821EVE!F84))*0</f>
        <v>0</v>
      </c>
      <c r="G87" s="156">
        <f>($D$14*(F821EVE!G84))*0</f>
        <v>0</v>
      </c>
      <c r="H87" s="156">
        <f>($D$14*(F821EVE!H84))*0</f>
        <v>0</v>
      </c>
      <c r="I87" s="156">
        <f>($D$14*(F821EVE!I84))*0</f>
        <v>0</v>
      </c>
      <c r="J87" s="156">
        <f t="shared" si="18"/>
        <v>0</v>
      </c>
      <c r="K87" s="69"/>
    </row>
    <row r="88" spans="2:11" s="37" customFormat="1" ht="15.75">
      <c r="B88" s="48"/>
      <c r="C88" s="157"/>
      <c r="D88" s="156"/>
      <c r="E88" s="156"/>
      <c r="F88" s="156"/>
      <c r="G88" s="156"/>
      <c r="H88" s="156"/>
      <c r="I88" s="156"/>
      <c r="J88" s="156">
        <f t="shared" si="18"/>
        <v>0</v>
      </c>
      <c r="K88" s="69"/>
    </row>
    <row r="89" spans="2:11" s="37" customFormat="1" ht="15.75">
      <c r="B89" s="48" t="s">
        <v>902</v>
      </c>
      <c r="C89" s="158" t="s">
        <v>910</v>
      </c>
      <c r="D89" s="154">
        <f t="shared" ref="D89:I89" si="19">SUBTOTAL(9,D90:D94)</f>
        <v>28148.069812499998</v>
      </c>
      <c r="E89" s="154">
        <f t="shared" si="19"/>
        <v>27797.052735000001</v>
      </c>
      <c r="F89" s="154">
        <f t="shared" si="19"/>
        <v>28832.474490000001</v>
      </c>
      <c r="G89" s="154">
        <f t="shared" si="19"/>
        <v>28175.338072500002</v>
      </c>
      <c r="H89" s="154">
        <f t="shared" si="19"/>
        <v>26701.791292500002</v>
      </c>
      <c r="I89" s="154">
        <f t="shared" si="19"/>
        <v>28533.494377499999</v>
      </c>
      <c r="J89" s="154">
        <f t="shared" si="18"/>
        <v>168188.22078</v>
      </c>
      <c r="K89" s="69"/>
    </row>
    <row r="90" spans="2:11" s="37" customFormat="1" ht="15.75">
      <c r="B90" s="48"/>
      <c r="C90" s="160" t="s">
        <v>304</v>
      </c>
      <c r="D90" s="156">
        <f>($D$13*(F821EVE!D87))*1</f>
        <v>27076.54509</v>
      </c>
      <c r="E90" s="156">
        <f>($D$13*(F821EVE!E87))*1</f>
        <v>26766.1764</v>
      </c>
      <c r="F90" s="156">
        <f>($D$13*(F821EVE!F87))*1</f>
        <v>27747.644189999999</v>
      </c>
      <c r="G90" s="156">
        <f>($D$13*(F821EVE!G87))*1</f>
        <v>27080.975490000001</v>
      </c>
      <c r="H90" s="156">
        <f>($D$13*(F821EVE!H87))*1</f>
        <v>25688.72868</v>
      </c>
      <c r="I90" s="156">
        <f>($D$13*(F821EVE!I87))*1</f>
        <v>27405.351060000001</v>
      </c>
      <c r="J90" s="156">
        <f t="shared" si="18"/>
        <v>161765.42090999999</v>
      </c>
      <c r="K90" s="69"/>
    </row>
    <row r="91" spans="2:11" s="37" customFormat="1" ht="15.75">
      <c r="B91" s="48"/>
      <c r="C91" s="162" t="s">
        <v>644</v>
      </c>
      <c r="D91" s="156">
        <f>($D$13*(F821EVE!D88))*0.75</f>
        <v>1071.5247225000001</v>
      </c>
      <c r="E91" s="156">
        <f>($D$13*(F821EVE!E88))*0.75</f>
        <v>1030.8763349999999</v>
      </c>
      <c r="F91" s="156">
        <f>($D$13*(F821EVE!F88))*0.75</f>
        <v>1084.8303000000001</v>
      </c>
      <c r="G91" s="156">
        <f>($D$13*(F821EVE!G88))*0.75</f>
        <v>1094.3625824999999</v>
      </c>
      <c r="H91" s="156">
        <f>($D$13*(F821EVE!H88))*0.75</f>
        <v>1013.0626125000001</v>
      </c>
      <c r="I91" s="156">
        <f>($D$13*(F821EVE!I88))*0.75</f>
        <v>1128.1433175</v>
      </c>
      <c r="J91" s="156">
        <f t="shared" si="18"/>
        <v>6422.7998700000007</v>
      </c>
      <c r="K91" s="69"/>
    </row>
    <row r="92" spans="2:11" s="37" customFormat="1" ht="15.75">
      <c r="B92" s="48"/>
      <c r="C92" s="160" t="s">
        <v>305</v>
      </c>
      <c r="D92" s="156">
        <f>($D$13*(F821EVE!D89))*0.95</f>
        <v>0</v>
      </c>
      <c r="E92" s="156">
        <f>($D$13*(F821EVE!E89))*0.95</f>
        <v>0</v>
      </c>
      <c r="F92" s="156">
        <f>($D$13*(F821EVE!F89))*0.95</f>
        <v>0</v>
      </c>
      <c r="G92" s="156">
        <f>($D$13*(F821EVE!G89))*0.95</f>
        <v>0</v>
      </c>
      <c r="H92" s="156">
        <f>($D$13*(F821EVE!H89))*0.95</f>
        <v>0</v>
      </c>
      <c r="I92" s="156">
        <f>($D$13*(F821EVE!I89))*0.95</f>
        <v>0</v>
      </c>
      <c r="J92" s="156">
        <f t="shared" si="18"/>
        <v>0</v>
      </c>
      <c r="K92" s="69"/>
    </row>
    <row r="93" spans="2:11" s="37" customFormat="1" ht="15.75">
      <c r="B93" s="48"/>
      <c r="C93" s="160" t="s">
        <v>307</v>
      </c>
      <c r="D93" s="156">
        <f>($D$13*(F821EVE!D90))*0.5</f>
        <v>0</v>
      </c>
      <c r="E93" s="156">
        <f>($D$13*(F821EVE!E90))*0.5</f>
        <v>0</v>
      </c>
      <c r="F93" s="156">
        <f>($D$13*(F821EVE!F90))*0.5</f>
        <v>0</v>
      </c>
      <c r="G93" s="156">
        <f>($D$13*(F821EVE!G90))*0.5</f>
        <v>0</v>
      </c>
      <c r="H93" s="156">
        <f>($D$13*(F821EVE!H90))*0.5</f>
        <v>0</v>
      </c>
      <c r="I93" s="156">
        <f>($D$13*(F821EVE!I90))*0.5</f>
        <v>0</v>
      </c>
      <c r="J93" s="156">
        <f t="shared" si="18"/>
        <v>0</v>
      </c>
      <c r="K93" s="69"/>
    </row>
    <row r="94" spans="2:11" s="37" customFormat="1" ht="15.75">
      <c r="B94" s="48"/>
      <c r="C94" s="160" t="s">
        <v>624</v>
      </c>
      <c r="D94" s="156">
        <f>($D$13*(F821EVE!D91))*0</f>
        <v>0</v>
      </c>
      <c r="E94" s="156">
        <f>($D$13*(F821EVE!E91))*0</f>
        <v>0</v>
      </c>
      <c r="F94" s="156">
        <f>($D$13*(F821EVE!F91))*0</f>
        <v>0</v>
      </c>
      <c r="G94" s="156">
        <f>($D$13*(F821EVE!G91))*0</f>
        <v>0</v>
      </c>
      <c r="H94" s="156">
        <f>($D$13*(F821EVE!H91))*0</f>
        <v>0</v>
      </c>
      <c r="I94" s="156">
        <f>($D$13*(F821EVE!I91))*0</f>
        <v>0</v>
      </c>
      <c r="J94" s="156">
        <f t="shared" si="18"/>
        <v>0</v>
      </c>
      <c r="K94" s="69"/>
    </row>
    <row r="95" spans="2:11" s="37" customFormat="1" ht="15.75">
      <c r="B95" s="48" t="s">
        <v>902</v>
      </c>
      <c r="C95" s="158" t="s">
        <v>911</v>
      </c>
      <c r="D95" s="154">
        <f t="shared" ref="D95:I95" si="20">SUBTOTAL(9,D96:D101)</f>
        <v>2474.6675475000002</v>
      </c>
      <c r="E95" s="154">
        <f t="shared" si="20"/>
        <v>2301.0081150000001</v>
      </c>
      <c r="F95" s="154">
        <f t="shared" si="20"/>
        <v>2147.7588749999995</v>
      </c>
      <c r="G95" s="154">
        <f t="shared" si="20"/>
        <v>2317.336695</v>
      </c>
      <c r="H95" s="154">
        <f t="shared" si="20"/>
        <v>1775.9343599999997</v>
      </c>
      <c r="I95" s="154">
        <f t="shared" si="20"/>
        <v>2295.2794800000001</v>
      </c>
      <c r="J95" s="154">
        <f t="shared" si="18"/>
        <v>13311.9850725</v>
      </c>
      <c r="K95" s="69"/>
    </row>
    <row r="96" spans="2:11" s="37" customFormat="1" ht="15.75">
      <c r="B96" s="48"/>
      <c r="C96" s="160" t="s">
        <v>304</v>
      </c>
      <c r="D96" s="156">
        <f>($D$13*(F821EVE!D93))*1</f>
        <v>2254.9117200000001</v>
      </c>
      <c r="E96" s="156">
        <f>($D$13*(F821EVE!E93))*1</f>
        <v>2102.7530400000001</v>
      </c>
      <c r="F96" s="156">
        <f>($D$13*(F821EVE!F93))*1</f>
        <v>1938.0656999999999</v>
      </c>
      <c r="G96" s="156">
        <f>($D$13*(F821EVE!G93))*1</f>
        <v>2110.0269899999998</v>
      </c>
      <c r="H96" s="156">
        <f>($D$13*(F821EVE!H93))*1</f>
        <v>1608.0349799999999</v>
      </c>
      <c r="I96" s="156">
        <f>($D$13*(F821EVE!I93))*1</f>
        <v>2078.43057</v>
      </c>
      <c r="J96" s="156">
        <f t="shared" si="18"/>
        <v>12092.223</v>
      </c>
      <c r="K96" s="69"/>
    </row>
    <row r="97" spans="2:11" s="37" customFormat="1" ht="15.75">
      <c r="B97" s="48"/>
      <c r="C97" s="162" t="s">
        <v>642</v>
      </c>
      <c r="D97" s="156">
        <f>($D$13*(F821EVE!D94))*0.75</f>
        <v>195.44613750000002</v>
      </c>
      <c r="E97" s="156">
        <f>($D$13*(F821EVE!E94))*0.75</f>
        <v>180.706005</v>
      </c>
      <c r="F97" s="156">
        <f>($D$13*(F821EVE!F94))*0.75</f>
        <v>192.22078499999998</v>
      </c>
      <c r="G97" s="156">
        <f>($D$13*(F821EVE!G94))*0.75</f>
        <v>187.805295</v>
      </c>
      <c r="H97" s="156">
        <f>($D$13*(F821EVE!H94))*0.75</f>
        <v>152.65710000000001</v>
      </c>
      <c r="I97" s="156">
        <f>($D$13*(F821EVE!I94))*0.75</f>
        <v>197.25290999999999</v>
      </c>
      <c r="J97" s="156">
        <f t="shared" si="18"/>
        <v>1106.0882325</v>
      </c>
      <c r="K97" s="69"/>
    </row>
    <row r="98" spans="2:11" s="37" customFormat="1" ht="15.75">
      <c r="B98" s="48"/>
      <c r="C98" s="162" t="s">
        <v>1177</v>
      </c>
      <c r="D98" s="156">
        <f>($D$13*(F821EVE!D95))*1</f>
        <v>24.30969</v>
      </c>
      <c r="E98" s="156">
        <f>($D$13*(F821EVE!E95))*1</f>
        <v>17.54907</v>
      </c>
      <c r="F98" s="156">
        <f>($D$13*(F821EVE!F95))*1</f>
        <v>17.472390000000001</v>
      </c>
      <c r="G98" s="156">
        <f>($D$13*(F821EVE!G95))*1</f>
        <v>19.50441</v>
      </c>
      <c r="H98" s="156">
        <f>($D$13*(F821EVE!H95))*1</f>
        <v>15.242279999999999</v>
      </c>
      <c r="I98" s="156">
        <f>($D$13*(F821EVE!I95))*1</f>
        <v>19.596</v>
      </c>
      <c r="J98" s="156">
        <f t="shared" si="18"/>
        <v>113.67384000000001</v>
      </c>
      <c r="K98" s="69"/>
    </row>
    <row r="99" spans="2:11" s="37" customFormat="1" ht="15.75">
      <c r="B99" s="48"/>
      <c r="C99" s="160" t="s">
        <v>305</v>
      </c>
      <c r="D99" s="156">
        <f>($D$13*(F821EVE!D96))*0.95</f>
        <v>0</v>
      </c>
      <c r="E99" s="156">
        <f>($D$13*(F821EVE!E96))*0.95</f>
        <v>0</v>
      </c>
      <c r="F99" s="156">
        <f>($D$13*(F821EVE!F96))*0.95</f>
        <v>0</v>
      </c>
      <c r="G99" s="156">
        <f>($D$13*(F821EVE!G96))*0.95</f>
        <v>0</v>
      </c>
      <c r="H99" s="156">
        <f>($D$13*(F821EVE!H96))*0.95</f>
        <v>0</v>
      </c>
      <c r="I99" s="156">
        <f>($D$13*(F821EVE!I96))*0.95</f>
        <v>0</v>
      </c>
      <c r="J99" s="156">
        <f t="shared" si="18"/>
        <v>0</v>
      </c>
      <c r="K99" s="69"/>
    </row>
    <row r="100" spans="2:11" s="37" customFormat="1" ht="15.75">
      <c r="B100" s="48"/>
      <c r="C100" s="160" t="s">
        <v>307</v>
      </c>
      <c r="D100" s="156">
        <f>($D$13*(F821EVE!D97))*0.5</f>
        <v>0</v>
      </c>
      <c r="E100" s="156">
        <f>($D$13*(F821EVE!E97))*0.5</f>
        <v>0</v>
      </c>
      <c r="F100" s="156">
        <f>($D$13*(F821EVE!F97))*0.5</f>
        <v>0</v>
      </c>
      <c r="G100" s="156">
        <f>($D$13*(F821EVE!G97))*0.5</f>
        <v>0</v>
      </c>
      <c r="H100" s="156">
        <f>($D$13*(F821EVE!H97))*0.5</f>
        <v>0</v>
      </c>
      <c r="I100" s="156">
        <f>($D$13*(F821EVE!I97))*0.5</f>
        <v>0</v>
      </c>
      <c r="J100" s="156">
        <f t="shared" si="18"/>
        <v>0</v>
      </c>
      <c r="K100" s="69"/>
    </row>
    <row r="101" spans="2:11" s="37" customFormat="1" ht="15.75">
      <c r="B101" s="48"/>
      <c r="C101" s="160" t="s">
        <v>624</v>
      </c>
      <c r="D101" s="156">
        <f>($D$13*(F821EVE!D98))*0</f>
        <v>0</v>
      </c>
      <c r="E101" s="156">
        <f>($D$13*(F821EVE!E98))*0</f>
        <v>0</v>
      </c>
      <c r="F101" s="156">
        <f>($D$13*(F821EVE!F98))*0</f>
        <v>0</v>
      </c>
      <c r="G101" s="156">
        <f>($D$13*(F821EVE!G98))*0</f>
        <v>0</v>
      </c>
      <c r="H101" s="156">
        <f>($D$13*(F821EVE!H98))*0</f>
        <v>0</v>
      </c>
      <c r="I101" s="156">
        <f>($D$13*(F821EVE!I98))*0</f>
        <v>0</v>
      </c>
      <c r="J101" s="156">
        <f t="shared" si="18"/>
        <v>0</v>
      </c>
      <c r="K101" s="69"/>
    </row>
    <row r="102" spans="2:11" s="37" customFormat="1" ht="15.75">
      <c r="B102" s="48" t="s">
        <v>902</v>
      </c>
      <c r="C102" s="158" t="s">
        <v>912</v>
      </c>
      <c r="D102" s="154">
        <f t="shared" ref="D102:I102" si="21">SUBTOTAL(9,D103:D108)</f>
        <v>263.87504999999999</v>
      </c>
      <c r="E102" s="154">
        <f t="shared" si="21"/>
        <v>261.88296750000001</v>
      </c>
      <c r="F102" s="154">
        <f t="shared" si="21"/>
        <v>295.83090749999997</v>
      </c>
      <c r="G102" s="154">
        <f t="shared" si="21"/>
        <v>224.2863375</v>
      </c>
      <c r="H102" s="154">
        <f t="shared" si="21"/>
        <v>177.16168500000001</v>
      </c>
      <c r="I102" s="154">
        <f t="shared" si="21"/>
        <v>249.07048499999999</v>
      </c>
      <c r="J102" s="154">
        <f t="shared" si="18"/>
        <v>1472.1074325</v>
      </c>
      <c r="K102" s="69"/>
    </row>
    <row r="103" spans="2:11" s="37" customFormat="1" ht="15.75">
      <c r="B103" s="48"/>
      <c r="C103" s="160" t="s">
        <v>304</v>
      </c>
      <c r="D103" s="156">
        <f>($D$13*(F821EVE!D100))*1</f>
        <v>254.11113</v>
      </c>
      <c r="E103" s="156">
        <f>($D$13*(F821EVE!E100))*1</f>
        <v>256.72464000000002</v>
      </c>
      <c r="F103" s="156">
        <f>($D$13*(F821EVE!F100))*1</f>
        <v>288.70445999999998</v>
      </c>
      <c r="G103" s="156">
        <f>($D$13*(F821EVE!G100))*1</f>
        <v>215.28762</v>
      </c>
      <c r="H103" s="156">
        <f>($D$13*(F821EVE!H100))*1</f>
        <v>173.23502999999999</v>
      </c>
      <c r="I103" s="156">
        <f>($D$13*(F821EVE!I100))*1</f>
        <v>242.0958</v>
      </c>
      <c r="J103" s="156">
        <f t="shared" si="18"/>
        <v>1430.1586800000002</v>
      </c>
      <c r="K103" s="69"/>
    </row>
    <row r="104" spans="2:11" s="37" customFormat="1" ht="15.75">
      <c r="B104" s="48"/>
      <c r="C104" s="162" t="s">
        <v>642</v>
      </c>
      <c r="D104" s="156">
        <f>($D$13*(F821EVE!D101))*0.75</f>
        <v>9.7639199999999988</v>
      </c>
      <c r="E104" s="156">
        <f>($D$13*(F821EVE!E101))*0.75</f>
        <v>5.1583275000000004</v>
      </c>
      <c r="F104" s="156">
        <f>($D$13*(F821EVE!F101))*0.75</f>
        <v>7.1264474999999994</v>
      </c>
      <c r="G104" s="156">
        <f>($D$13*(F821EVE!G101))*0.75</f>
        <v>8.9987174999999997</v>
      </c>
      <c r="H104" s="156">
        <f>($D$13*(F821EVE!H101))*0.75</f>
        <v>3.9266550000000002</v>
      </c>
      <c r="I104" s="156">
        <f>($D$13*(F821EVE!I101))*0.75</f>
        <v>6.9746850000000009</v>
      </c>
      <c r="J104" s="156">
        <f t="shared" si="18"/>
        <v>41.948752500000005</v>
      </c>
      <c r="K104" s="69"/>
    </row>
    <row r="105" spans="2:11" s="37" customFormat="1" ht="15.75">
      <c r="B105" s="48"/>
      <c r="C105" s="162" t="s">
        <v>1177</v>
      </c>
      <c r="D105" s="156">
        <f>($D$13*(F821EVE!D102))*1</f>
        <v>0</v>
      </c>
      <c r="E105" s="156">
        <f>($D$13*(F821EVE!E102))*1</f>
        <v>0</v>
      </c>
      <c r="F105" s="156">
        <f>($D$13*(F821EVE!F102))*1</f>
        <v>0</v>
      </c>
      <c r="G105" s="156">
        <f>($D$13*(F821EVE!G102))*1</f>
        <v>0</v>
      </c>
      <c r="H105" s="156">
        <f>($D$13*(F821EVE!H102))*1</f>
        <v>0</v>
      </c>
      <c r="I105" s="156">
        <f>($D$13*(F821EVE!I102))*1</f>
        <v>0</v>
      </c>
      <c r="J105" s="156">
        <f t="shared" si="18"/>
        <v>0</v>
      </c>
      <c r="K105" s="69"/>
    </row>
    <row r="106" spans="2:11" s="37" customFormat="1" ht="15.75">
      <c r="B106" s="48"/>
      <c r="C106" s="160" t="s">
        <v>305</v>
      </c>
      <c r="D106" s="156">
        <f>($D$13*(F821EVE!D103))*0.95</f>
        <v>0</v>
      </c>
      <c r="E106" s="156">
        <f>($D$13*(F821EVE!E103))*0.95</f>
        <v>0</v>
      </c>
      <c r="F106" s="156">
        <f>($D$13*(F821EVE!F103))*0.95</f>
        <v>0</v>
      </c>
      <c r="G106" s="156">
        <f>($D$13*(F821EVE!G103))*0.95</f>
        <v>0</v>
      </c>
      <c r="H106" s="156">
        <f>($D$13*(F821EVE!H103))*0.95</f>
        <v>0</v>
      </c>
      <c r="I106" s="156">
        <f>($D$13*(F821EVE!I103))*0.95</f>
        <v>0</v>
      </c>
      <c r="J106" s="156">
        <f t="shared" si="18"/>
        <v>0</v>
      </c>
      <c r="K106" s="69"/>
    </row>
    <row r="107" spans="2:11" s="37" customFormat="1" ht="15.75">
      <c r="B107" s="48"/>
      <c r="C107" s="160" t="s">
        <v>307</v>
      </c>
      <c r="D107" s="156">
        <f>($D$13*(F821EVE!D104))*0.5</f>
        <v>0</v>
      </c>
      <c r="E107" s="156">
        <f>($D$13*(F821EVE!E104))*0.5</f>
        <v>0</v>
      </c>
      <c r="F107" s="156">
        <f>($D$13*(F821EVE!F104))*0.5</f>
        <v>0</v>
      </c>
      <c r="G107" s="156">
        <f>($D$13*(F821EVE!G104))*0.5</f>
        <v>0</v>
      </c>
      <c r="H107" s="156">
        <f>($D$13*(F821EVE!H104))*0.5</f>
        <v>0</v>
      </c>
      <c r="I107" s="156">
        <f>($D$13*(F821EVE!I104))*0.5</f>
        <v>0</v>
      </c>
      <c r="J107" s="156">
        <f t="shared" si="18"/>
        <v>0</v>
      </c>
      <c r="K107" s="69"/>
    </row>
    <row r="108" spans="2:11" s="37" customFormat="1" ht="15.75">
      <c r="B108" s="48"/>
      <c r="C108" s="160" t="s">
        <v>624</v>
      </c>
      <c r="D108" s="156">
        <f>($D$13*(F821EVE!D105))*0</f>
        <v>0</v>
      </c>
      <c r="E108" s="156">
        <f>($D$13*(F821EVE!E105))*0</f>
        <v>0</v>
      </c>
      <c r="F108" s="156">
        <f>($D$13*(F821EVE!F105))*0</f>
        <v>0</v>
      </c>
      <c r="G108" s="156">
        <f>($D$13*(F821EVE!G105))*0</f>
        <v>0</v>
      </c>
      <c r="H108" s="156">
        <f>($D$13*(F821EVE!H105))*0</f>
        <v>0</v>
      </c>
      <c r="I108" s="156">
        <f>($D$13*(F821EVE!I105))*0</f>
        <v>0</v>
      </c>
      <c r="J108" s="156">
        <f t="shared" si="18"/>
        <v>0</v>
      </c>
      <c r="K108" s="69"/>
    </row>
    <row r="109" spans="2:11" s="37" customFormat="1" ht="15.75">
      <c r="B109" s="48"/>
      <c r="C109" s="157"/>
      <c r="D109" s="156"/>
      <c r="E109" s="156"/>
      <c r="F109" s="156"/>
      <c r="G109" s="156"/>
      <c r="H109" s="156"/>
      <c r="I109" s="156"/>
      <c r="J109" s="156">
        <f t="shared" si="18"/>
        <v>0</v>
      </c>
      <c r="K109" s="69"/>
    </row>
    <row r="110" spans="2:11" s="37" customFormat="1" ht="15.75">
      <c r="B110" s="48"/>
      <c r="C110" s="179" t="s">
        <v>112</v>
      </c>
      <c r="D110" s="180">
        <f t="shared" ref="D110:I110" si="22">D33+D23+D19</f>
        <v>549956.33465450001</v>
      </c>
      <c r="E110" s="180">
        <f t="shared" si="22"/>
        <v>550153.36646649987</v>
      </c>
      <c r="F110" s="180">
        <f t="shared" si="22"/>
        <v>539480.72266650002</v>
      </c>
      <c r="G110" s="180">
        <f t="shared" si="22"/>
        <v>548251.58343149989</v>
      </c>
      <c r="H110" s="180">
        <f t="shared" si="22"/>
        <v>523709.6786835001</v>
      </c>
      <c r="I110" s="180">
        <f t="shared" si="22"/>
        <v>526468.43709550006</v>
      </c>
      <c r="J110" s="180">
        <f t="shared" si="18"/>
        <v>3238020.1229980001</v>
      </c>
      <c r="K110" s="69"/>
    </row>
    <row r="111" spans="2:11">
      <c r="J111" s="180">
        <f>J110</f>
        <v>3238020.1229980001</v>
      </c>
    </row>
    <row r="112" spans="2:11">
      <c r="C112" s="52" t="s">
        <v>664</v>
      </c>
    </row>
    <row r="114" spans="2:10">
      <c r="B114" s="48" t="s">
        <v>902</v>
      </c>
      <c r="D114" s="163">
        <f t="shared" ref="D114:I123" si="23">SUMIF($B$18:$B$110,$B114,D$18:D$110)</f>
        <v>30886.612409999998</v>
      </c>
      <c r="E114" s="163">
        <f t="shared" si="23"/>
        <v>30359.943817500003</v>
      </c>
      <c r="F114" s="163">
        <f t="shared" si="23"/>
        <v>31276.0642725</v>
      </c>
      <c r="G114" s="163">
        <f t="shared" si="23"/>
        <v>30716.961105000002</v>
      </c>
      <c r="H114" s="163">
        <f t="shared" si="23"/>
        <v>28654.8873375</v>
      </c>
      <c r="I114" s="163">
        <f t="shared" si="23"/>
        <v>31077.8443425</v>
      </c>
      <c r="J114" s="163">
        <f t="shared" ref="J114:J132" si="24">SUMIF($B$18:$B$110,$B114,J$18:J$111)</f>
        <v>182972.31328499998</v>
      </c>
    </row>
    <row r="115" spans="2:10">
      <c r="B115" s="48" t="s">
        <v>751</v>
      </c>
      <c r="D115" s="163">
        <f t="shared" si="23"/>
        <v>83138.883667499991</v>
      </c>
      <c r="E115" s="163">
        <f t="shared" si="23"/>
        <v>82650.085836000013</v>
      </c>
      <c r="F115" s="163">
        <f t="shared" si="23"/>
        <v>83900.513199000008</v>
      </c>
      <c r="G115" s="163">
        <f t="shared" si="23"/>
        <v>83399.426012999989</v>
      </c>
      <c r="H115" s="163">
        <f t="shared" si="23"/>
        <v>85597.029337500004</v>
      </c>
      <c r="I115" s="163">
        <f t="shared" si="23"/>
        <v>84405.975298499994</v>
      </c>
      <c r="J115" s="163">
        <f t="shared" si="24"/>
        <v>503091.9133515</v>
      </c>
    </row>
    <row r="116" spans="2:10">
      <c r="B116" s="48" t="s">
        <v>750</v>
      </c>
      <c r="D116" s="163">
        <f t="shared" si="23"/>
        <v>94159.040179499993</v>
      </c>
      <c r="E116" s="163">
        <f t="shared" si="23"/>
        <v>95227.404514499998</v>
      </c>
      <c r="F116" s="163">
        <f t="shared" si="23"/>
        <v>92678.37675000001</v>
      </c>
      <c r="G116" s="163">
        <f t="shared" si="23"/>
        <v>92579.003410499994</v>
      </c>
      <c r="H116" s="163">
        <f t="shared" si="23"/>
        <v>89335.268584500009</v>
      </c>
      <c r="I116" s="163">
        <f t="shared" si="23"/>
        <v>87235.159300499989</v>
      </c>
      <c r="J116" s="163">
        <f t="shared" si="24"/>
        <v>551214.25273950002</v>
      </c>
    </row>
    <row r="117" spans="2:10">
      <c r="B117" s="48" t="s">
        <v>749</v>
      </c>
      <c r="D117" s="163">
        <f t="shared" si="23"/>
        <v>113776.8292275</v>
      </c>
      <c r="E117" s="163">
        <f t="shared" si="23"/>
        <v>113215.92503850001</v>
      </c>
      <c r="F117" s="163">
        <f t="shared" si="23"/>
        <v>110505.723795</v>
      </c>
      <c r="G117" s="163">
        <f t="shared" si="23"/>
        <v>112049.71521299997</v>
      </c>
      <c r="H117" s="163">
        <f t="shared" si="23"/>
        <v>103260.376074</v>
      </c>
      <c r="I117" s="163">
        <f t="shared" si="23"/>
        <v>107186.85471000001</v>
      </c>
      <c r="J117" s="163">
        <f t="shared" si="24"/>
        <v>659995.42405799998</v>
      </c>
    </row>
    <row r="118" spans="2:10">
      <c r="B118" s="48" t="s">
        <v>1176</v>
      </c>
      <c r="D118" s="163">
        <f t="shared" si="23"/>
        <v>0</v>
      </c>
      <c r="E118" s="163">
        <f t="shared" si="23"/>
        <v>0</v>
      </c>
      <c r="F118" s="163">
        <f t="shared" si="23"/>
        <v>0</v>
      </c>
      <c r="G118" s="163">
        <f t="shared" si="23"/>
        <v>0</v>
      </c>
      <c r="H118" s="163">
        <f t="shared" si="23"/>
        <v>0</v>
      </c>
      <c r="I118" s="163">
        <f t="shared" si="23"/>
        <v>0</v>
      </c>
      <c r="J118" s="163">
        <f t="shared" si="24"/>
        <v>0</v>
      </c>
    </row>
    <row r="119" spans="2:10">
      <c r="B119" s="48" t="s">
        <v>274</v>
      </c>
      <c r="D119" s="163">
        <f t="shared" si="23"/>
        <v>123661.09136000002</v>
      </c>
      <c r="E119" s="163">
        <f t="shared" si="23"/>
        <v>122713.40278000002</v>
      </c>
      <c r="F119" s="163">
        <f t="shared" si="23"/>
        <v>118107.12742</v>
      </c>
      <c r="G119" s="163">
        <f t="shared" si="23"/>
        <v>122603.12274000002</v>
      </c>
      <c r="H119" s="163">
        <f t="shared" si="23"/>
        <v>115534.05558000001</v>
      </c>
      <c r="I119" s="163">
        <f t="shared" si="23"/>
        <v>115091.88255400003</v>
      </c>
      <c r="J119" s="163">
        <f t="shared" si="24"/>
        <v>717710.68243400019</v>
      </c>
    </row>
    <row r="120" spans="2:10">
      <c r="B120" s="48" t="s">
        <v>275</v>
      </c>
      <c r="D120" s="163">
        <f t="shared" si="23"/>
        <v>5758.8330000000005</v>
      </c>
      <c r="E120" s="163">
        <f t="shared" si="23"/>
        <v>5718.261300000001</v>
      </c>
      <c r="F120" s="163">
        <f t="shared" si="23"/>
        <v>5654.8812800000005</v>
      </c>
      <c r="G120" s="163">
        <f t="shared" si="23"/>
        <v>5823.8692600000004</v>
      </c>
      <c r="H120" s="163">
        <f t="shared" si="23"/>
        <v>5744.2399599999999</v>
      </c>
      <c r="I120" s="163">
        <f t="shared" si="23"/>
        <v>6007.751040000001</v>
      </c>
      <c r="J120" s="163">
        <f t="shared" si="24"/>
        <v>34707.83584</v>
      </c>
    </row>
    <row r="121" spans="2:10">
      <c r="B121" s="48" t="s">
        <v>276</v>
      </c>
      <c r="D121" s="163">
        <f t="shared" si="23"/>
        <v>51994.099240000003</v>
      </c>
      <c r="E121" s="163">
        <f t="shared" si="23"/>
        <v>53394.059790000007</v>
      </c>
      <c r="F121" s="163">
        <f t="shared" si="23"/>
        <v>51386.723690000006</v>
      </c>
      <c r="G121" s="163">
        <f t="shared" si="23"/>
        <v>54201.725020000005</v>
      </c>
      <c r="H121" s="163">
        <f t="shared" si="23"/>
        <v>48670.029680000007</v>
      </c>
      <c r="I121" s="163">
        <f t="shared" si="23"/>
        <v>50671.258910000011</v>
      </c>
      <c r="J121" s="163">
        <f t="shared" si="24"/>
        <v>310317.89633000008</v>
      </c>
    </row>
    <row r="122" spans="2:10">
      <c r="B122" s="48" t="s">
        <v>277</v>
      </c>
      <c r="D122" s="163">
        <f t="shared" si="23"/>
        <v>8735.8636300000016</v>
      </c>
      <c r="E122" s="163">
        <f t="shared" si="23"/>
        <v>8923.9354500000009</v>
      </c>
      <c r="F122" s="163">
        <f t="shared" si="23"/>
        <v>8883.7314600000009</v>
      </c>
      <c r="G122" s="163">
        <f t="shared" si="23"/>
        <v>8376.4595500000014</v>
      </c>
      <c r="H122" s="163">
        <f t="shared" si="23"/>
        <v>10198.115490000002</v>
      </c>
      <c r="I122" s="163">
        <f t="shared" si="23"/>
        <v>6685.4580800000003</v>
      </c>
      <c r="J122" s="163">
        <f t="shared" si="24"/>
        <v>51803.563660000014</v>
      </c>
    </row>
    <row r="123" spans="2:10">
      <c r="B123" s="48" t="s">
        <v>278</v>
      </c>
      <c r="D123" s="163">
        <f t="shared" si="23"/>
        <v>0</v>
      </c>
      <c r="E123" s="163">
        <f t="shared" si="23"/>
        <v>0</v>
      </c>
      <c r="F123" s="163">
        <f t="shared" si="23"/>
        <v>0</v>
      </c>
      <c r="G123" s="163">
        <f t="shared" si="23"/>
        <v>0</v>
      </c>
      <c r="H123" s="163">
        <f t="shared" si="23"/>
        <v>0</v>
      </c>
      <c r="I123" s="163">
        <f t="shared" si="23"/>
        <v>0</v>
      </c>
      <c r="J123" s="163">
        <f t="shared" si="24"/>
        <v>0</v>
      </c>
    </row>
    <row r="124" spans="2:10">
      <c r="B124" s="48" t="s">
        <v>279</v>
      </c>
      <c r="D124" s="163">
        <f t="shared" ref="D124:I132" si="25">SUMIF($B$18:$B$110,$B124,D$18:D$110)</f>
        <v>37845.081940000004</v>
      </c>
      <c r="E124" s="163">
        <f t="shared" si="25"/>
        <v>37950.347940000007</v>
      </c>
      <c r="F124" s="163">
        <f t="shared" si="25"/>
        <v>37087.580800000003</v>
      </c>
      <c r="G124" s="163">
        <f t="shared" si="25"/>
        <v>38501.301120000004</v>
      </c>
      <c r="H124" s="163">
        <f t="shared" si="25"/>
        <v>36715.676640000005</v>
      </c>
      <c r="I124" s="163">
        <f t="shared" si="25"/>
        <v>38106.252860000001</v>
      </c>
      <c r="J124" s="163">
        <f t="shared" si="24"/>
        <v>226206.24130000005</v>
      </c>
    </row>
    <row r="125" spans="2:10">
      <c r="B125" s="48" t="s">
        <v>875</v>
      </c>
      <c r="D125" s="163">
        <f t="shared" si="25"/>
        <v>0</v>
      </c>
      <c r="E125" s="163">
        <f t="shared" si="25"/>
        <v>0</v>
      </c>
      <c r="F125" s="163">
        <f t="shared" si="25"/>
        <v>0</v>
      </c>
      <c r="G125" s="163">
        <f t="shared" si="25"/>
        <v>0</v>
      </c>
      <c r="H125" s="163">
        <f t="shared" si="25"/>
        <v>0</v>
      </c>
      <c r="I125" s="163">
        <f t="shared" si="25"/>
        <v>0</v>
      </c>
      <c r="J125" s="163">
        <f t="shared" si="24"/>
        <v>0</v>
      </c>
    </row>
    <row r="126" spans="2:10">
      <c r="B126" s="48" t="s">
        <v>874</v>
      </c>
      <c r="D126" s="163">
        <f t="shared" si="25"/>
        <v>0</v>
      </c>
      <c r="E126" s="163">
        <f t="shared" si="25"/>
        <v>0</v>
      </c>
      <c r="F126" s="163">
        <f t="shared" si="25"/>
        <v>0</v>
      </c>
      <c r="G126" s="163">
        <f t="shared" si="25"/>
        <v>0</v>
      </c>
      <c r="H126" s="163">
        <f t="shared" si="25"/>
        <v>0</v>
      </c>
      <c r="I126" s="163">
        <f t="shared" si="25"/>
        <v>0</v>
      </c>
      <c r="J126" s="163">
        <f t="shared" si="24"/>
        <v>0</v>
      </c>
    </row>
    <row r="127" spans="2:10">
      <c r="B127" s="48" t="s">
        <v>873</v>
      </c>
      <c r="D127" s="163">
        <f t="shared" si="25"/>
        <v>0</v>
      </c>
      <c r="E127" s="163">
        <f t="shared" si="25"/>
        <v>0</v>
      </c>
      <c r="F127" s="163">
        <f t="shared" si="25"/>
        <v>0</v>
      </c>
      <c r="G127" s="163">
        <f t="shared" si="25"/>
        <v>0</v>
      </c>
      <c r="H127" s="163">
        <f t="shared" si="25"/>
        <v>0</v>
      </c>
      <c r="I127" s="163">
        <f t="shared" si="25"/>
        <v>0</v>
      </c>
      <c r="J127" s="163">
        <f t="shared" si="24"/>
        <v>0</v>
      </c>
    </row>
    <row r="128" spans="2:10">
      <c r="B128" s="48" t="s">
        <v>872</v>
      </c>
      <c r="D128" s="163">
        <f t="shared" si="25"/>
        <v>0</v>
      </c>
      <c r="E128" s="163">
        <f t="shared" si="25"/>
        <v>0</v>
      </c>
      <c r="F128" s="163">
        <f t="shared" si="25"/>
        <v>0</v>
      </c>
      <c r="G128" s="163">
        <f t="shared" si="25"/>
        <v>0</v>
      </c>
      <c r="H128" s="163">
        <f t="shared" si="25"/>
        <v>0</v>
      </c>
      <c r="I128" s="163">
        <f t="shared" si="25"/>
        <v>0</v>
      </c>
      <c r="J128" s="163">
        <f t="shared" si="24"/>
        <v>0</v>
      </c>
    </row>
    <row r="129" spans="2:10">
      <c r="B129" s="48" t="s">
        <v>871</v>
      </c>
      <c r="D129" s="163">
        <f t="shared" si="25"/>
        <v>0</v>
      </c>
      <c r="E129" s="163">
        <f t="shared" si="25"/>
        <v>0</v>
      </c>
      <c r="F129" s="163">
        <f t="shared" si="25"/>
        <v>0</v>
      </c>
      <c r="G129" s="163">
        <f t="shared" si="25"/>
        <v>0</v>
      </c>
      <c r="H129" s="163">
        <f t="shared" si="25"/>
        <v>0</v>
      </c>
      <c r="I129" s="163">
        <f t="shared" si="25"/>
        <v>0</v>
      </c>
      <c r="J129" s="163">
        <f t="shared" si="24"/>
        <v>0</v>
      </c>
    </row>
    <row r="130" spans="2:10">
      <c r="B130" s="48" t="s">
        <v>870</v>
      </c>
      <c r="D130" s="163">
        <f t="shared" si="25"/>
        <v>0</v>
      </c>
      <c r="E130" s="163">
        <f t="shared" si="25"/>
        <v>0</v>
      </c>
      <c r="F130" s="163">
        <f t="shared" si="25"/>
        <v>0</v>
      </c>
      <c r="G130" s="163">
        <f t="shared" si="25"/>
        <v>0</v>
      </c>
      <c r="H130" s="163">
        <f t="shared" si="25"/>
        <v>0</v>
      </c>
      <c r="I130" s="163">
        <f t="shared" si="25"/>
        <v>0</v>
      </c>
      <c r="J130" s="163">
        <f t="shared" si="24"/>
        <v>0</v>
      </c>
    </row>
    <row r="131" spans="2:10">
      <c r="B131" s="48" t="s">
        <v>893</v>
      </c>
      <c r="D131" s="163">
        <f t="shared" si="25"/>
        <v>0</v>
      </c>
      <c r="E131" s="163">
        <f t="shared" si="25"/>
        <v>0</v>
      </c>
      <c r="F131" s="163">
        <f t="shared" si="25"/>
        <v>0</v>
      </c>
      <c r="G131" s="163">
        <f t="shared" si="25"/>
        <v>0</v>
      </c>
      <c r="H131" s="163">
        <f t="shared" si="25"/>
        <v>0</v>
      </c>
      <c r="I131" s="163">
        <f t="shared" si="25"/>
        <v>0</v>
      </c>
      <c r="J131" s="163">
        <f t="shared" si="24"/>
        <v>0</v>
      </c>
    </row>
    <row r="132" spans="2:10">
      <c r="D132" s="163">
        <f t="shared" si="25"/>
        <v>0</v>
      </c>
      <c r="E132" s="163">
        <f t="shared" si="25"/>
        <v>0</v>
      </c>
      <c r="F132" s="163">
        <f t="shared" si="25"/>
        <v>0</v>
      </c>
      <c r="G132" s="163">
        <f t="shared" si="25"/>
        <v>0</v>
      </c>
      <c r="H132" s="163">
        <f t="shared" si="25"/>
        <v>0</v>
      </c>
      <c r="I132" s="163">
        <f t="shared" si="25"/>
        <v>0</v>
      </c>
      <c r="J132" s="163">
        <f t="shared" si="24"/>
        <v>0</v>
      </c>
    </row>
    <row r="133" spans="2:10">
      <c r="B133" s="48" t="s">
        <v>111</v>
      </c>
      <c r="C133" s="139"/>
      <c r="D133" s="165">
        <f t="shared" ref="D133:J133" si="26">SUM(D114:D132)</f>
        <v>549956.33465450001</v>
      </c>
      <c r="E133" s="165">
        <f t="shared" si="26"/>
        <v>550153.3664665001</v>
      </c>
      <c r="F133" s="165">
        <f t="shared" si="26"/>
        <v>539480.72266650002</v>
      </c>
      <c r="G133" s="165">
        <f t="shared" si="26"/>
        <v>548251.58343150001</v>
      </c>
      <c r="H133" s="165">
        <f t="shared" si="26"/>
        <v>523709.67868349998</v>
      </c>
      <c r="I133" s="165">
        <f t="shared" si="26"/>
        <v>526468.43709550006</v>
      </c>
      <c r="J133" s="165">
        <f t="shared" si="26"/>
        <v>3238020.1229979997</v>
      </c>
    </row>
    <row r="134" spans="2:10">
      <c r="D134" s="166">
        <f t="shared" ref="D134:J134" si="27">D133-D110</f>
        <v>0</v>
      </c>
      <c r="E134" s="166">
        <f t="shared" si="27"/>
        <v>0</v>
      </c>
      <c r="F134" s="166">
        <f t="shared" si="27"/>
        <v>0</v>
      </c>
      <c r="G134" s="166">
        <f t="shared" si="27"/>
        <v>0</v>
      </c>
      <c r="H134" s="166">
        <f t="shared" si="27"/>
        <v>0</v>
      </c>
      <c r="I134" s="166">
        <f t="shared" si="27"/>
        <v>0</v>
      </c>
      <c r="J134" s="166">
        <f t="shared" si="27"/>
        <v>0</v>
      </c>
    </row>
  </sheetData>
  <printOptions horizontalCentered="1" verticalCentered="1"/>
  <pageMargins left="0.51181102362204722" right="0.31496062992125984" top="0.78740157480314965" bottom="0.82677165354330717" header="0.31496062992125984" footer="0.23622047244094491"/>
  <pageSetup scale="55" orientation="portrait" horizontalDpi="300" r:id="rId1"/>
  <headerFooter alignWithMargins="0">
    <oddHeader>&amp;L
NOMBRE DE LA DISTRIBUIDORA: &amp;UELEKTRA NORESTE, S.A.&amp;R&amp;9&amp;A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3">
    <tabColor theme="5" tint="0.59999389629810485"/>
    <pageSetUpPr fitToPage="1"/>
  </sheetPr>
  <dimension ref="C1:H22"/>
  <sheetViews>
    <sheetView view="pageBreakPreview" zoomScaleNormal="100" zoomScaleSheetLayoutView="100" workbookViewId="0">
      <selection activeCell="F17" sqref="F17"/>
    </sheetView>
  </sheetViews>
  <sheetFormatPr baseColWidth="10" defaultColWidth="11.25" defaultRowHeight="15.75"/>
  <cols>
    <col min="1" max="2" width="4.375" style="69" customWidth="1"/>
    <col min="3" max="3" width="15.125" style="69" customWidth="1"/>
    <col min="4" max="4" width="18.5" style="69" customWidth="1"/>
    <col min="5" max="5" width="19.625" style="69" customWidth="1"/>
    <col min="6" max="6" width="14" style="69" customWidth="1"/>
    <col min="7" max="16384" width="11.25" style="69"/>
  </cols>
  <sheetData>
    <row r="1" spans="3:8">
      <c r="C1" s="136" t="s">
        <v>151</v>
      </c>
    </row>
    <row r="2" spans="3:8">
      <c r="D2" s="137" t="s">
        <v>316</v>
      </c>
    </row>
    <row r="3" spans="3:8" ht="16.5" thickBot="1"/>
    <row r="4" spans="3:8" ht="16.5" thickBot="1">
      <c r="C4" s="265" t="s">
        <v>76</v>
      </c>
      <c r="D4" s="201" t="s">
        <v>114</v>
      </c>
    </row>
    <row r="6" spans="3:8">
      <c r="C6" s="69" t="s">
        <v>77</v>
      </c>
    </row>
    <row r="8" spans="3:8">
      <c r="C8" s="70" t="s">
        <v>14</v>
      </c>
    </row>
    <row r="9" spans="3:8">
      <c r="C9" s="70"/>
    </row>
    <row r="10" spans="3:8" ht="47.25">
      <c r="C10" s="266" t="s">
        <v>153</v>
      </c>
      <c r="D10" s="266" t="s">
        <v>101</v>
      </c>
      <c r="E10" s="266" t="s">
        <v>315</v>
      </c>
      <c r="F10" s="266" t="s">
        <v>470</v>
      </c>
    </row>
    <row r="11" spans="3:8">
      <c r="C11" s="267"/>
      <c r="D11" s="267"/>
      <c r="E11" s="267"/>
      <c r="F11" s="267"/>
      <c r="H11" s="241" t="s">
        <v>515</v>
      </c>
    </row>
    <row r="12" spans="3:8">
      <c r="C12" s="268">
        <f>F821C!D4</f>
        <v>45839</v>
      </c>
      <c r="D12" s="269">
        <f>'DTE Reconstrucción'!C17</f>
        <v>19469.409</v>
      </c>
      <c r="E12" s="269">
        <f>'DTE Reconstrucción'!C4</f>
        <v>1602246.19</v>
      </c>
      <c r="F12" s="270">
        <f t="shared" ref="F12:F17" si="0">E12/D12</f>
        <v>82.295574046443832</v>
      </c>
    </row>
    <row r="13" spans="3:8">
      <c r="C13" s="268">
        <f>C12+31</f>
        <v>45870</v>
      </c>
      <c r="D13" s="269">
        <f>'DTE Reconstrucción'!D17</f>
        <v>16466.013999999999</v>
      </c>
      <c r="E13" s="269">
        <f>'DTE Reconstrucción'!D4</f>
        <v>1354369.61</v>
      </c>
      <c r="F13" s="252">
        <f t="shared" si="0"/>
        <v>82.252426725739468</v>
      </c>
    </row>
    <row r="14" spans="3:8">
      <c r="C14" s="268">
        <f>C13+31</f>
        <v>45901</v>
      </c>
      <c r="D14" s="269">
        <f>'DTE Reconstrucción'!E17</f>
        <v>14593.031000000001</v>
      </c>
      <c r="E14" s="269">
        <f>'DTE Reconstrucción'!E4</f>
        <v>1219146.5900000001</v>
      </c>
      <c r="F14" s="252">
        <f t="shared" si="0"/>
        <v>83.543068605829731</v>
      </c>
    </row>
    <row r="15" spans="3:8">
      <c r="C15" s="268">
        <f>C14+31</f>
        <v>45932</v>
      </c>
      <c r="D15" s="269">
        <f>'DTE Reconstrucción'!F17</f>
        <v>23480.06</v>
      </c>
      <c r="E15" s="269">
        <f>'DTE Reconstrucción'!F4</f>
        <v>1964828.56</v>
      </c>
      <c r="F15" s="252">
        <f t="shared" si="0"/>
        <v>83.680729947027388</v>
      </c>
    </row>
    <row r="16" spans="3:8">
      <c r="C16" s="268">
        <f>C15+31</f>
        <v>45963</v>
      </c>
      <c r="D16" s="269">
        <f>'DTE Reconstrucción'!G17</f>
        <v>17439.516</v>
      </c>
      <c r="E16" s="269">
        <f>'DTE Reconstrucción'!G4</f>
        <v>1540760.78</v>
      </c>
      <c r="F16" s="252">
        <f t="shared" si="0"/>
        <v>88.348826882580923</v>
      </c>
    </row>
    <row r="17" spans="3:6">
      <c r="C17" s="268">
        <f>C16+31</f>
        <v>45994</v>
      </c>
      <c r="D17" s="269">
        <f>'DTE Reconstrucción'!H17</f>
        <v>13952.062</v>
      </c>
      <c r="E17" s="269">
        <f>'DTE Reconstrucción'!H4</f>
        <v>1152247.6100000001</v>
      </c>
      <c r="F17" s="252">
        <f t="shared" si="0"/>
        <v>82.586187618719023</v>
      </c>
    </row>
    <row r="18" spans="3:6">
      <c r="C18" s="249"/>
      <c r="D18" s="249"/>
      <c r="E18" s="249"/>
      <c r="F18" s="252"/>
    </row>
    <row r="19" spans="3:6">
      <c r="C19" s="255" t="s">
        <v>112</v>
      </c>
      <c r="D19" s="256">
        <f>SUM(D12:D18)</f>
        <v>105400.092</v>
      </c>
      <c r="E19" s="256">
        <f>SUM(E12:E18)</f>
        <v>8833599.3399999999</v>
      </c>
      <c r="F19" s="257">
        <f>E19/D19</f>
        <v>83.810167262472589</v>
      </c>
    </row>
    <row r="22" spans="3:6">
      <c r="C22" s="52" t="str">
        <f>'PORTADA PORTADA PORTADA'!$B$23</f>
        <v>1 DE JULIO DE 2026</v>
      </c>
    </row>
  </sheetData>
  <phoneticPr fontId="0" type="noConversion"/>
  <printOptions horizontalCentered="1" verticalCentered="1"/>
  <pageMargins left="0.59055118110236227" right="0.59055118110236227" top="0.78740157480314965" bottom="0.59055118110236227" header="0.59055118110236227" footer="0.47244094488188981"/>
  <pageSetup orientation="landscape" r:id="rId1"/>
  <headerFooter>
    <oddHeader>&amp;L&amp;"Times New Roman,Negrita"&amp;14Nombre de la Distribuidora: &amp;K06-048ENSA&amp;RASEP FORM: &amp;A</oddHeader>
    <oddFooter>&amp;R&amp;A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F13C5-F58C-43C0-A8F6-7971DF1C71FC}">
  <sheetPr codeName="Hoja51">
    <tabColor rgb="FFC00000"/>
  </sheetPr>
  <dimension ref="A1:R647"/>
  <sheetViews>
    <sheetView zoomScaleNormal="100" workbookViewId="0">
      <pane xSplit="6" ySplit="4" topLeftCell="G502" activePane="bottomRight" state="frozen"/>
      <selection pane="topRight" activeCell="F1" sqref="F1"/>
      <selection pane="bottomLeft" activeCell="A5" sqref="A5"/>
      <selection pane="bottomRight" activeCell="H520" sqref="H520:L520"/>
    </sheetView>
  </sheetViews>
  <sheetFormatPr baseColWidth="10" defaultColWidth="8.875" defaultRowHeight="12"/>
  <cols>
    <col min="1" max="1" width="1.75" style="853" customWidth="1"/>
    <col min="2" max="2" width="10.25" style="854" customWidth="1"/>
    <col min="3" max="3" width="26.375" style="1880" customWidth="1"/>
    <col min="4" max="4" width="5" style="853" customWidth="1"/>
    <col min="5" max="5" width="11" style="2103" bestFit="1" customWidth="1"/>
    <col min="6" max="6" width="8.75" style="852" bestFit="1" customWidth="1"/>
    <col min="7" max="7" width="7.5" style="1259" bestFit="1" customWidth="1"/>
    <col min="8" max="12" width="6.625" style="1259" bestFit="1" customWidth="1"/>
    <col min="13" max="13" width="9.375" style="854" customWidth="1"/>
    <col min="14" max="14" width="5.625" style="337" customWidth="1"/>
    <col min="15" max="15" width="7.625" style="337" bestFit="1" customWidth="1"/>
    <col min="16" max="16" width="19.875" style="337" bestFit="1" customWidth="1"/>
    <col min="17" max="18" width="4.75" style="337" bestFit="1" customWidth="1"/>
    <col min="19" max="20" width="4.875" style="337" bestFit="1" customWidth="1"/>
    <col min="21" max="21" width="5.25" style="337" bestFit="1" customWidth="1"/>
    <col min="22" max="16384" width="8.875" style="337"/>
  </cols>
  <sheetData>
    <row r="1" spans="1:13" s="1383" customFormat="1">
      <c r="A1" s="1739"/>
      <c r="B1" s="1746"/>
      <c r="C1" s="1820"/>
      <c r="D1" s="1745"/>
      <c r="E1" s="2190"/>
      <c r="F1" s="1764"/>
      <c r="G1" s="1744"/>
      <c r="H1" s="1744"/>
      <c r="I1" s="1744"/>
      <c r="J1" s="1744"/>
      <c r="K1" s="1744"/>
      <c r="L1" s="1744"/>
      <c r="M1" s="1744"/>
    </row>
    <row r="2" spans="1:13" s="74" customFormat="1" ht="15">
      <c r="A2" s="1743"/>
      <c r="B2" s="1742"/>
      <c r="C2" s="1820" t="s">
        <v>543</v>
      </c>
      <c r="D2" s="1741"/>
      <c r="E2" s="2190"/>
      <c r="F2" s="1764"/>
      <c r="G2" s="1740">
        <f t="shared" ref="G2:L2" si="0">YEAR(G3)</f>
        <v>2026</v>
      </c>
      <c r="H2" s="1740">
        <f t="shared" si="0"/>
        <v>2026</v>
      </c>
      <c r="I2" s="1740">
        <f t="shared" si="0"/>
        <v>2026</v>
      </c>
      <c r="J2" s="1740">
        <f t="shared" si="0"/>
        <v>2026</v>
      </c>
      <c r="K2" s="1740">
        <f t="shared" si="0"/>
        <v>2026</v>
      </c>
      <c r="L2" s="1740">
        <f t="shared" si="0"/>
        <v>2026</v>
      </c>
      <c r="M2" s="1740"/>
    </row>
    <row r="3" spans="1:13" s="1373" customFormat="1" ht="16.5">
      <c r="A3" s="1739"/>
      <c r="B3" s="1738" t="s">
        <v>477</v>
      </c>
      <c r="C3" s="1821" t="s">
        <v>1013</v>
      </c>
      <c r="D3" s="1738" t="s">
        <v>544</v>
      </c>
      <c r="E3" s="1384" t="s">
        <v>1109</v>
      </c>
      <c r="F3" s="1384" t="s">
        <v>1886</v>
      </c>
      <c r="G3" s="1737">
        <v>46204</v>
      </c>
      <c r="H3" s="1737">
        <v>46235</v>
      </c>
      <c r="I3" s="1737">
        <v>46266</v>
      </c>
      <c r="J3" s="1737">
        <v>46296</v>
      </c>
      <c r="K3" s="1737">
        <v>46327</v>
      </c>
      <c r="L3" s="1737">
        <v>46357</v>
      </c>
      <c r="M3" s="1737" t="s">
        <v>112</v>
      </c>
    </row>
    <row r="4" spans="1:13" s="1383" customFormat="1">
      <c r="A4" s="853"/>
      <c r="B4" s="854"/>
      <c r="C4" s="1822"/>
      <c r="D4" s="853"/>
      <c r="E4" s="2103"/>
      <c r="F4" s="852"/>
      <c r="G4" s="1259"/>
      <c r="H4" s="1259"/>
      <c r="I4" s="1259"/>
      <c r="J4" s="1259"/>
      <c r="K4" s="1259"/>
      <c r="L4" s="1259"/>
      <c r="M4" s="854"/>
    </row>
    <row r="5" spans="1:13" s="693" customFormat="1" ht="9">
      <c r="A5" s="1736"/>
      <c r="B5" s="1382" t="s">
        <v>1730</v>
      </c>
      <c r="C5" s="1382"/>
      <c r="D5" s="1542"/>
      <c r="E5" s="2191"/>
      <c r="F5" s="2253" t="s">
        <v>1380</v>
      </c>
      <c r="G5" s="1543"/>
      <c r="H5" s="1543"/>
      <c r="I5" s="1543"/>
      <c r="J5" s="1543"/>
      <c r="K5" s="1543"/>
      <c r="L5" s="1543"/>
      <c r="M5" s="1747"/>
    </row>
    <row r="6" spans="1:13" s="1374" customFormat="1" ht="9">
      <c r="A6" s="1544"/>
      <c r="B6" s="1545" t="s">
        <v>545</v>
      </c>
      <c r="C6" s="1545" t="str">
        <f t="shared" ref="C6:C33" si="1">VLOOKUP($B6,$B$236:$E$311,2,0)</f>
        <v>ELECTRO INVEST. - ENMIENDA 5</v>
      </c>
      <c r="D6" s="1544"/>
      <c r="E6" s="2103" t="str">
        <f t="shared" ref="E6:E33" si="2">VLOOKUP(B6,$B$236:$E$311,4,0)</f>
        <v>2016-Jun27</v>
      </c>
      <c r="F6" s="1765"/>
      <c r="G6" s="1732">
        <v>15.000000000000004</v>
      </c>
      <c r="H6" s="1732">
        <f>AVERAGE($G6:G6)</f>
        <v>15.000000000000004</v>
      </c>
      <c r="I6" s="1732">
        <f>AVERAGE($G6:H6)</f>
        <v>15.000000000000004</v>
      </c>
      <c r="J6" s="1732">
        <f>AVERAGE($G6:I6)</f>
        <v>15.000000000000005</v>
      </c>
      <c r="K6" s="1732">
        <f>AVERAGE($G6:J6)</f>
        <v>15.000000000000005</v>
      </c>
      <c r="L6" s="1732">
        <f>AVERAGE($G6:K6)</f>
        <v>15.000000000000005</v>
      </c>
      <c r="M6" s="1748"/>
    </row>
    <row r="7" spans="1:13" s="1374" customFormat="1" ht="9">
      <c r="A7" s="1544"/>
      <c r="B7" s="1545" t="s">
        <v>547</v>
      </c>
      <c r="C7" s="1545" t="str">
        <f t="shared" si="1"/>
        <v>FORTUNA</v>
      </c>
      <c r="D7" s="1544"/>
      <c r="E7" s="2103" t="str">
        <f t="shared" si="2"/>
        <v>2015-2029</v>
      </c>
      <c r="F7" s="1765"/>
      <c r="G7" s="1732">
        <v>8.7041667958003188</v>
      </c>
      <c r="H7" s="1732">
        <f>AVERAGE($G7:G7)</f>
        <v>8.7041667958003188</v>
      </c>
      <c r="I7" s="1732">
        <f>AVERAGE($G7:H7)</f>
        <v>8.7041667958003188</v>
      </c>
      <c r="J7" s="1732">
        <f>AVERAGE($G7:I7)</f>
        <v>8.7041667958003188</v>
      </c>
      <c r="K7" s="1732">
        <f>AVERAGE($G7:J7)</f>
        <v>8.7041667958003188</v>
      </c>
      <c r="L7" s="1732">
        <f>AVERAGE($G7:K7)</f>
        <v>8.7041667958003188</v>
      </c>
      <c r="M7" s="1748"/>
    </row>
    <row r="8" spans="1:13" s="1374" customFormat="1" ht="9">
      <c r="A8" s="1544"/>
      <c r="B8" s="1545" t="s">
        <v>558</v>
      </c>
      <c r="C8" s="1545" t="str">
        <f t="shared" si="1"/>
        <v xml:space="preserve">HIDROECOLOGICA DEL TERIBE </v>
      </c>
      <c r="D8" s="1544"/>
      <c r="E8" s="2103" t="str">
        <f t="shared" si="2"/>
        <v>2015-2029</v>
      </c>
      <c r="F8" s="1765"/>
      <c r="G8" s="1732">
        <v>8.5</v>
      </c>
      <c r="H8" s="1732">
        <f>AVERAGE($G8:G8)</f>
        <v>8.5</v>
      </c>
      <c r="I8" s="1732">
        <f>AVERAGE($G8:H8)</f>
        <v>8.5</v>
      </c>
      <c r="J8" s="1732">
        <f>AVERAGE($G8:I8)</f>
        <v>8.5</v>
      </c>
      <c r="K8" s="1732">
        <f>AVERAGE($G8:J8)</f>
        <v>8.5</v>
      </c>
      <c r="L8" s="1732">
        <f>AVERAGE($G8:K8)</f>
        <v>8.5</v>
      </c>
      <c r="M8" s="1748"/>
    </row>
    <row r="9" spans="1:13" s="1374" customFormat="1" ht="9">
      <c r="A9" s="1544"/>
      <c r="B9" s="1545" t="s">
        <v>559</v>
      </c>
      <c r="C9" s="1545" t="str">
        <f t="shared" si="1"/>
        <v xml:space="preserve">ESEPSA </v>
      </c>
      <c r="D9" s="1544"/>
      <c r="E9" s="2103" t="str">
        <f t="shared" si="2"/>
        <v>2015-2029</v>
      </c>
      <c r="F9" s="1765"/>
      <c r="G9" s="1732">
        <v>11.916666666666664</v>
      </c>
      <c r="H9" s="1732">
        <f>AVERAGE($G9:G9)</f>
        <v>11.916666666666664</v>
      </c>
      <c r="I9" s="1732">
        <f>AVERAGE($G9:H9)</f>
        <v>11.916666666666664</v>
      </c>
      <c r="J9" s="1732">
        <f>AVERAGE($G9:I9)</f>
        <v>11.916666666666664</v>
      </c>
      <c r="K9" s="1732">
        <f>AVERAGE($G9:J9)</f>
        <v>11.916666666666664</v>
      </c>
      <c r="L9" s="1732">
        <f>AVERAGE($G9:K9)</f>
        <v>11.916666666666664</v>
      </c>
      <c r="M9" s="1748"/>
    </row>
    <row r="10" spans="1:13" s="1374" customFormat="1" ht="9">
      <c r="A10" s="1544"/>
      <c r="B10" s="1545" t="s">
        <v>560</v>
      </c>
      <c r="C10" s="1545" t="str">
        <f t="shared" si="1"/>
        <v xml:space="preserve">PEDREGALITO </v>
      </c>
      <c r="D10" s="1544"/>
      <c r="E10" s="2103" t="str">
        <f t="shared" si="2"/>
        <v>2015-2029</v>
      </c>
      <c r="F10" s="1765"/>
      <c r="G10" s="1732">
        <v>30.724998302935756</v>
      </c>
      <c r="H10" s="1732">
        <f>AVERAGE($G10:G10)</f>
        <v>30.724998302935756</v>
      </c>
      <c r="I10" s="1732">
        <f>AVERAGE($G10:H10)</f>
        <v>30.724998302935756</v>
      </c>
      <c r="J10" s="1732">
        <f>AVERAGE($G10:I10)</f>
        <v>30.724998302935756</v>
      </c>
      <c r="K10" s="1732">
        <f>AVERAGE($G10:J10)</f>
        <v>30.724998302935756</v>
      </c>
      <c r="L10" s="1732">
        <f>AVERAGE($G10:K10)</f>
        <v>30.724998302935756</v>
      </c>
      <c r="M10" s="1748"/>
    </row>
    <row r="11" spans="1:13" s="1374" customFormat="1" ht="9">
      <c r="A11" s="1544"/>
      <c r="B11" s="1545" t="s">
        <v>561</v>
      </c>
      <c r="C11" s="1545" t="str">
        <f t="shared" si="1"/>
        <v xml:space="preserve">CALDERA </v>
      </c>
      <c r="D11" s="1544"/>
      <c r="E11" s="2103" t="str">
        <f t="shared" si="2"/>
        <v>2015-2029</v>
      </c>
      <c r="F11" s="1765"/>
      <c r="G11" s="1732">
        <v>26.735529517143686</v>
      </c>
      <c r="H11" s="1732">
        <f>AVERAGE($G11:G11)</f>
        <v>26.735529517143686</v>
      </c>
      <c r="I11" s="1732">
        <f>AVERAGE($G11:H11)</f>
        <v>26.735529517143686</v>
      </c>
      <c r="J11" s="1732">
        <f>AVERAGE($G11:I11)</f>
        <v>26.735529517143686</v>
      </c>
      <c r="K11" s="1732">
        <f>AVERAGE($G11:J11)</f>
        <v>26.735529517143686</v>
      </c>
      <c r="L11" s="1732">
        <f>AVERAGE($G11:K11)</f>
        <v>26.735529517143686</v>
      </c>
      <c r="M11" s="1748"/>
    </row>
    <row r="12" spans="1:13" s="1374" customFormat="1" ht="9">
      <c r="A12" s="1544"/>
      <c r="B12" s="1545" t="s">
        <v>562</v>
      </c>
      <c r="C12" s="1545" t="str">
        <f t="shared" si="1"/>
        <v xml:space="preserve">RIO CHICO </v>
      </c>
      <c r="D12" s="1544"/>
      <c r="E12" s="2103" t="str">
        <f t="shared" si="2"/>
        <v>2015-2029</v>
      </c>
      <c r="F12" s="1765"/>
      <c r="G12" s="1732">
        <v>30.725024441837622</v>
      </c>
      <c r="H12" s="1732">
        <f>AVERAGE($G12:G12)</f>
        <v>30.725024441837622</v>
      </c>
      <c r="I12" s="1732">
        <f>AVERAGE($G12:H12)</f>
        <v>30.725024441837622</v>
      </c>
      <c r="J12" s="1732">
        <f>AVERAGE($G12:I12)</f>
        <v>30.725024441837622</v>
      </c>
      <c r="K12" s="1732">
        <f>AVERAGE($G12:J12)</f>
        <v>30.725024441837622</v>
      </c>
      <c r="L12" s="1732">
        <f>AVERAGE($G12:K12)</f>
        <v>30.725024441837622</v>
      </c>
      <c r="M12" s="1748"/>
    </row>
    <row r="13" spans="1:13" s="1374" customFormat="1" ht="9">
      <c r="A13" s="1544"/>
      <c r="B13" s="1545" t="s">
        <v>563</v>
      </c>
      <c r="C13" s="1545" t="str">
        <f t="shared" si="1"/>
        <v xml:space="preserve">ALTO VALLE </v>
      </c>
      <c r="D13" s="1544"/>
      <c r="E13" s="2103" t="str">
        <f t="shared" si="2"/>
        <v>2015-2029</v>
      </c>
      <c r="F13" s="1765"/>
      <c r="G13" s="1732">
        <v>30.731798775181648</v>
      </c>
      <c r="H13" s="1732">
        <f>AVERAGE($G13:G13)</f>
        <v>30.731798775181648</v>
      </c>
      <c r="I13" s="1732">
        <f>AVERAGE($G13:H13)</f>
        <v>30.731798775181648</v>
      </c>
      <c r="J13" s="1732">
        <f>AVERAGE($G13:I13)</f>
        <v>30.731798775181648</v>
      </c>
      <c r="K13" s="1732">
        <f>AVERAGE($G13:J13)</f>
        <v>30.731798775181648</v>
      </c>
      <c r="L13" s="1732">
        <f>AVERAGE($G13:K13)</f>
        <v>30.731798775181648</v>
      </c>
      <c r="M13" s="1748"/>
    </row>
    <row r="14" spans="1:13" s="1374" customFormat="1" ht="9">
      <c r="A14" s="1544"/>
      <c r="B14" s="1545" t="s">
        <v>564</v>
      </c>
      <c r="C14" s="1545" t="str">
        <f t="shared" si="1"/>
        <v xml:space="preserve">DESARROLLO HIDRO CORP </v>
      </c>
      <c r="D14" s="1544"/>
      <c r="E14" s="2103" t="str">
        <f t="shared" si="2"/>
        <v>2015-2029</v>
      </c>
      <c r="F14" s="1765"/>
      <c r="G14" s="1732">
        <v>10.349999999999998</v>
      </c>
      <c r="H14" s="1732">
        <f>AVERAGE($G14:G14)</f>
        <v>10.349999999999998</v>
      </c>
      <c r="I14" s="1732">
        <f>AVERAGE($G14:H14)</f>
        <v>10.349999999999998</v>
      </c>
      <c r="J14" s="1732">
        <f>AVERAGE($G14:I14)</f>
        <v>10.349999999999998</v>
      </c>
      <c r="K14" s="1732">
        <f>AVERAGE($G14:J14)</f>
        <v>10.349999999999998</v>
      </c>
      <c r="L14" s="1732">
        <f>AVERAGE($G14:K14)</f>
        <v>10.349999999999998</v>
      </c>
      <c r="M14" s="1748"/>
    </row>
    <row r="15" spans="1:13" s="1374" customFormat="1" ht="9">
      <c r="A15" s="1544"/>
      <c r="B15" s="1545" t="s">
        <v>565</v>
      </c>
      <c r="C15" s="1545" t="str">
        <f t="shared" si="1"/>
        <v xml:space="preserve">SAN LORENZO </v>
      </c>
      <c r="D15" s="1544"/>
      <c r="E15" s="2103" t="str">
        <f t="shared" si="2"/>
        <v>2015-2029</v>
      </c>
      <c r="F15" s="1765"/>
      <c r="G15" s="1732">
        <v>15</v>
      </c>
      <c r="H15" s="1732">
        <f>AVERAGE($G15:G15)</f>
        <v>15</v>
      </c>
      <c r="I15" s="1732">
        <f>AVERAGE($G15:H15)</f>
        <v>15</v>
      </c>
      <c r="J15" s="1732">
        <f>AVERAGE($G15:I15)</f>
        <v>15</v>
      </c>
      <c r="K15" s="1732">
        <f>AVERAGE($G15:J15)</f>
        <v>15</v>
      </c>
      <c r="L15" s="1732">
        <f>AVERAGE($G15:K15)</f>
        <v>15</v>
      </c>
      <c r="M15" s="1748"/>
    </row>
    <row r="16" spans="1:13" s="1374" customFormat="1" ht="9">
      <c r="A16" s="1544"/>
      <c r="B16" s="1545" t="s">
        <v>566</v>
      </c>
      <c r="C16" s="1545" t="str">
        <f t="shared" si="1"/>
        <v xml:space="preserve">ELECTROGENERADORA ISTMO </v>
      </c>
      <c r="D16" s="1544"/>
      <c r="E16" s="2103" t="str">
        <f t="shared" si="2"/>
        <v>2015-2029</v>
      </c>
      <c r="F16" s="1765"/>
      <c r="G16" s="1732">
        <v>25.603335633011383</v>
      </c>
      <c r="H16" s="1732">
        <f>AVERAGE($G16:G16)</f>
        <v>25.603335633011383</v>
      </c>
      <c r="I16" s="1732">
        <f>AVERAGE($G16:H16)</f>
        <v>25.603335633011383</v>
      </c>
      <c r="J16" s="1732">
        <f>AVERAGE($G16:I16)</f>
        <v>25.603335633011383</v>
      </c>
      <c r="K16" s="1732">
        <f>AVERAGE($G16:J16)</f>
        <v>25.603335633011383</v>
      </c>
      <c r="L16" s="1732">
        <f>AVERAGE($G16:K16)</f>
        <v>25.603335633011387</v>
      </c>
      <c r="M16" s="1748"/>
    </row>
    <row r="17" spans="1:18" s="1374" customFormat="1" ht="9">
      <c r="A17" s="1544"/>
      <c r="B17" s="1545" t="s">
        <v>831</v>
      </c>
      <c r="C17" s="1545" t="str">
        <f t="shared" si="1"/>
        <v>AES PANAMA (CHAN 2)</v>
      </c>
      <c r="D17" s="1544"/>
      <c r="E17" s="2103" t="str">
        <f t="shared" si="2"/>
        <v>2019-2030</v>
      </c>
      <c r="F17" s="1765"/>
      <c r="G17" s="1732">
        <v>11.197030230880225</v>
      </c>
      <c r="H17" s="1732">
        <f>AVERAGE($G17:G17)</f>
        <v>11.197030230880225</v>
      </c>
      <c r="I17" s="1732">
        <f>AVERAGE($G17:H17)</f>
        <v>11.197030230880225</v>
      </c>
      <c r="J17" s="1732">
        <f>AVERAGE($G17:I17)</f>
        <v>11.197030230880225</v>
      </c>
      <c r="K17" s="1732">
        <f>AVERAGE($G17:J17)</f>
        <v>11.197030230880225</v>
      </c>
      <c r="L17" s="1732">
        <f>AVERAGE($G17:K17)</f>
        <v>11.197030230880225</v>
      </c>
      <c r="M17" s="1748"/>
    </row>
    <row r="18" spans="1:18" s="1374" customFormat="1" ht="9">
      <c r="A18" s="1544"/>
      <c r="B18" s="1545" t="s">
        <v>687</v>
      </c>
      <c r="C18" s="1545" t="str">
        <f t="shared" si="1"/>
        <v>HIDRO PIEDRA</v>
      </c>
      <c r="D18" s="1544"/>
      <c r="E18" s="2103" t="str">
        <f t="shared" si="2"/>
        <v>2019-2030</v>
      </c>
      <c r="F18" s="1765"/>
      <c r="G18" s="1732">
        <v>13.069483879595076</v>
      </c>
      <c r="H18" s="1732">
        <f>AVERAGE($G18:G18)</f>
        <v>13.069483879595076</v>
      </c>
      <c r="I18" s="1732">
        <f>AVERAGE($G18:H18)</f>
        <v>13.069483879595076</v>
      </c>
      <c r="J18" s="1732">
        <f>AVERAGE($G18:I18)</f>
        <v>13.069483879595076</v>
      </c>
      <c r="K18" s="1732">
        <f>AVERAGE($G18:J18)</f>
        <v>13.069483879595076</v>
      </c>
      <c r="L18" s="1732">
        <f>AVERAGE($G18:K18)</f>
        <v>13.069483879595078</v>
      </c>
      <c r="M18" s="1748"/>
    </row>
    <row r="19" spans="1:18" s="1374" customFormat="1" ht="9">
      <c r="A19" s="1544"/>
      <c r="B19" s="1545" t="s">
        <v>688</v>
      </c>
      <c r="C19" s="1545" t="str">
        <f t="shared" si="1"/>
        <v>CORPORACION ENERGIA DEL ISTMO</v>
      </c>
      <c r="D19" s="1544"/>
      <c r="E19" s="2103" t="str">
        <f t="shared" si="2"/>
        <v>2019-2030</v>
      </c>
      <c r="F19" s="1765"/>
      <c r="G19" s="1732">
        <v>10.036333198614981</v>
      </c>
      <c r="H19" s="1732">
        <f>AVERAGE($G19:G19)</f>
        <v>10.036333198614981</v>
      </c>
      <c r="I19" s="1732">
        <f>AVERAGE($G19:H19)</f>
        <v>10.036333198614981</v>
      </c>
      <c r="J19" s="1732">
        <f>AVERAGE($G19:I19)</f>
        <v>10.036333198614981</v>
      </c>
      <c r="K19" s="1732">
        <f>AVERAGE($G19:J19)</f>
        <v>10.036333198614981</v>
      </c>
      <c r="L19" s="1732">
        <f>AVERAGE($G19:K19)</f>
        <v>10.036333198614981</v>
      </c>
      <c r="M19" s="1748"/>
    </row>
    <row r="20" spans="1:18" s="1374" customFormat="1" ht="9">
      <c r="A20" s="1544"/>
      <c r="B20" s="1545" t="s">
        <v>800</v>
      </c>
      <c r="C20" s="1545" t="str">
        <f t="shared" si="1"/>
        <v>SALTOS DE FRANCOLI</v>
      </c>
      <c r="D20" s="1544"/>
      <c r="E20" s="2103" t="str">
        <f t="shared" si="2"/>
        <v>2019-2030</v>
      </c>
      <c r="F20" s="1765"/>
      <c r="G20" s="1732">
        <v>13.53</v>
      </c>
      <c r="H20" s="1732">
        <f>AVERAGE($G20:G20)</f>
        <v>13.53</v>
      </c>
      <c r="I20" s="1732">
        <f>AVERAGE($G20:H20)</f>
        <v>13.53</v>
      </c>
      <c r="J20" s="1732">
        <f>AVERAGE($G20:I20)</f>
        <v>13.53</v>
      </c>
      <c r="K20" s="1732">
        <f>AVERAGE($G20:J20)</f>
        <v>13.53</v>
      </c>
      <c r="L20" s="1732">
        <f>AVERAGE($G20:K20)</f>
        <v>13.529999999999998</v>
      </c>
      <c r="M20" s="1748"/>
    </row>
    <row r="21" spans="1:18" s="1374" customFormat="1" ht="9">
      <c r="A21" s="1544"/>
      <c r="B21" s="1545" t="s">
        <v>1273</v>
      </c>
      <c r="C21" s="1545" t="str">
        <f t="shared" si="1"/>
        <v>Generadora Gatún (NG Power)</v>
      </c>
      <c r="D21" s="1544"/>
      <c r="E21" s="2103" t="str">
        <f t="shared" si="2"/>
        <v>Oct24-Sep44</v>
      </c>
      <c r="F21" s="1765"/>
      <c r="G21" s="1732">
        <v>20.424630083333334</v>
      </c>
      <c r="H21" s="1732">
        <f>AVERAGE($G21:G21)</f>
        <v>20.424630083333334</v>
      </c>
      <c r="I21" s="1732">
        <f>AVERAGE($G21:H21)</f>
        <v>20.424630083333334</v>
      </c>
      <c r="J21" s="1732">
        <f>AVERAGE($G21:I21)</f>
        <v>20.424630083333334</v>
      </c>
      <c r="K21" s="1732">
        <f>AVERAGE($G21:J21)</f>
        <v>20.424630083333334</v>
      </c>
      <c r="L21" s="1732">
        <f>AVERAGE($G21:K21)</f>
        <v>20.424630083333334</v>
      </c>
      <c r="M21" s="1748"/>
    </row>
    <row r="22" spans="1:18" s="1374" customFormat="1" ht="9">
      <c r="A22" s="1544"/>
      <c r="B22" s="1545" t="s">
        <v>1515</v>
      </c>
      <c r="C22" s="1545" t="str">
        <f t="shared" si="1"/>
        <v>Electron (SECCION)</v>
      </c>
      <c r="D22" s="1544"/>
      <c r="E22" s="2103" t="str">
        <f t="shared" si="2"/>
        <v>Ene26-Dic40</v>
      </c>
      <c r="F22" s="1765"/>
      <c r="G22" s="1732">
        <v>10</v>
      </c>
      <c r="H22" s="1732">
        <v>10</v>
      </c>
      <c r="I22" s="1732">
        <v>10</v>
      </c>
      <c r="J22" s="1732">
        <v>10</v>
      </c>
      <c r="K22" s="1732">
        <v>10</v>
      </c>
      <c r="L22" s="1732">
        <v>10</v>
      </c>
      <c r="M22" s="1748"/>
    </row>
    <row r="23" spans="1:18" s="1374" customFormat="1" ht="9">
      <c r="A23" s="1544"/>
      <c r="B23" s="1545" t="s">
        <v>792</v>
      </c>
      <c r="C23" s="1545" t="str">
        <f t="shared" si="1"/>
        <v>Gas Natural Atlántico</v>
      </c>
      <c r="D23" s="1544"/>
      <c r="E23" s="2103" t="str">
        <f t="shared" si="2"/>
        <v>May18- Abr28</v>
      </c>
      <c r="F23" s="1765"/>
      <c r="G23" s="1732">
        <v>39.537994841269857</v>
      </c>
      <c r="H23" s="1732">
        <f>AVERAGE($G23:G23)</f>
        <v>39.537994841269857</v>
      </c>
      <c r="I23" s="1732">
        <f>AVERAGE($G23:H23)</f>
        <v>39.537994841269857</v>
      </c>
      <c r="J23" s="1732">
        <f>AVERAGE($G23:I23)</f>
        <v>39.537994841269857</v>
      </c>
      <c r="K23" s="1732">
        <f>AVERAGE($G23:J23)</f>
        <v>39.537994841269857</v>
      </c>
      <c r="L23" s="1732">
        <f>AVERAGE($G23:K23)</f>
        <v>39.537994841269857</v>
      </c>
      <c r="M23" s="1748"/>
    </row>
    <row r="24" spans="1:18" s="1374" customFormat="1" ht="9">
      <c r="A24" s="1544"/>
      <c r="B24" s="1735" t="s">
        <v>1323</v>
      </c>
      <c r="C24" s="1734" t="str">
        <f t="shared" si="1"/>
        <v>ALTERNEGY ENMIIENDA 7</v>
      </c>
      <c r="D24" s="1733"/>
      <c r="E24" s="2192" t="str">
        <f t="shared" si="2"/>
        <v>Abr24-Mar39</v>
      </c>
      <c r="F24" s="1766" t="s">
        <v>1854</v>
      </c>
      <c r="G24" s="1732">
        <v>32.357686157407421</v>
      </c>
      <c r="H24" s="1732">
        <f>AVERAGE($G24:G24)</f>
        <v>32.357686157407421</v>
      </c>
      <c r="I24" s="1732">
        <f>AVERAGE($G24:H24)</f>
        <v>32.357686157407421</v>
      </c>
      <c r="J24" s="1732">
        <f>AVERAGE($G24:I24)</f>
        <v>32.357686157407421</v>
      </c>
      <c r="K24" s="1732">
        <f>AVERAGE($G24:J24)</f>
        <v>32.357686157407421</v>
      </c>
      <c r="L24" s="1732">
        <f>AVERAGE($G24:K24)</f>
        <v>32.357686157407421</v>
      </c>
      <c r="M24" s="1748"/>
    </row>
    <row r="25" spans="1:18" s="1547" customFormat="1" ht="9">
      <c r="A25" s="1544"/>
      <c r="B25" s="1549" t="s">
        <v>1568</v>
      </c>
      <c r="C25" s="1549" t="str">
        <f t="shared" si="1"/>
        <v>Generadora del Istmo</v>
      </c>
      <c r="D25" s="1548"/>
      <c r="E25" s="2193" t="str">
        <f t="shared" si="2"/>
        <v>Mar25-Feb30</v>
      </c>
      <c r="F25" s="1767"/>
      <c r="G25" s="1550">
        <v>8</v>
      </c>
      <c r="H25" s="1550">
        <v>8</v>
      </c>
      <c r="I25" s="1550">
        <v>8</v>
      </c>
      <c r="J25" s="1550">
        <v>8</v>
      </c>
      <c r="K25" s="1550"/>
      <c r="L25" s="1550">
        <v>8</v>
      </c>
      <c r="M25" s="1749"/>
    </row>
    <row r="26" spans="1:18" s="1547" customFormat="1" ht="9">
      <c r="A26" s="1544"/>
      <c r="B26" s="1545" t="s">
        <v>1570</v>
      </c>
      <c r="C26" s="1545" t="str">
        <f t="shared" si="1"/>
        <v>Caldera Energy Corp</v>
      </c>
      <c r="D26" s="1544"/>
      <c r="E26" s="2103" t="str">
        <f t="shared" si="2"/>
        <v>Mar25-Feb30</v>
      </c>
      <c r="F26" s="1765"/>
      <c r="G26" s="1546">
        <v>7</v>
      </c>
      <c r="H26" s="1546">
        <v>7</v>
      </c>
      <c r="I26" s="1546">
        <v>7</v>
      </c>
      <c r="J26" s="1546">
        <v>7</v>
      </c>
      <c r="K26" s="1546">
        <v>7</v>
      </c>
      <c r="L26" s="1546">
        <v>7</v>
      </c>
      <c r="M26" s="1750"/>
      <c r="O26" s="1374"/>
      <c r="P26" s="1374"/>
      <c r="Q26" s="1374"/>
      <c r="R26" s="1374"/>
    </row>
    <row r="27" spans="1:18" s="1374" customFormat="1" ht="9">
      <c r="A27" s="1544"/>
      <c r="B27" s="1545" t="s">
        <v>1572</v>
      </c>
      <c r="C27" s="1545" t="str">
        <f t="shared" si="1"/>
        <v>Autoridad del Canal de Panamá</v>
      </c>
      <c r="D27" s="1544"/>
      <c r="E27" s="2103" t="str">
        <f t="shared" si="2"/>
        <v>Mar25-Feb30</v>
      </c>
      <c r="F27" s="1765"/>
      <c r="G27" s="1546">
        <v>3</v>
      </c>
      <c r="H27" s="1546">
        <v>3</v>
      </c>
      <c r="I27" s="1546">
        <v>3</v>
      </c>
      <c r="J27" s="1546">
        <v>3</v>
      </c>
      <c r="K27" s="1546">
        <v>3</v>
      </c>
      <c r="L27" s="1546">
        <v>4.657</v>
      </c>
      <c r="M27" s="1750"/>
    </row>
    <row r="28" spans="1:18" s="1374" customFormat="1" ht="9">
      <c r="A28" s="1544"/>
      <c r="B28" s="1545" t="s">
        <v>1574</v>
      </c>
      <c r="C28" s="1545" t="str">
        <f t="shared" si="1"/>
        <v>Hidroelectrica del Teribe</v>
      </c>
      <c r="D28" s="1544"/>
      <c r="E28" s="2103" t="str">
        <f t="shared" si="2"/>
        <v>Mar25-Feb30</v>
      </c>
      <c r="F28" s="1765"/>
      <c r="G28" s="1546">
        <v>5.99</v>
      </c>
      <c r="H28" s="1546">
        <v>5.99</v>
      </c>
      <c r="I28" s="1546">
        <v>5.99</v>
      </c>
      <c r="J28" s="1546">
        <v>5.99</v>
      </c>
      <c r="K28" s="1546">
        <v>5.99</v>
      </c>
      <c r="L28" s="1546">
        <v>5.99</v>
      </c>
      <c r="M28" s="1750"/>
    </row>
    <row r="29" spans="1:18" s="1374" customFormat="1" ht="9">
      <c r="A29" s="1544"/>
      <c r="B29" s="1545" t="s">
        <v>1576</v>
      </c>
      <c r="C29" s="1545" t="str">
        <f t="shared" si="1"/>
        <v>Celsia Centroamérica</v>
      </c>
      <c r="D29" s="1544"/>
      <c r="E29" s="2103" t="str">
        <f t="shared" si="2"/>
        <v>Mar25-Feb30</v>
      </c>
      <c r="F29" s="1765"/>
      <c r="G29" s="1546">
        <v>8</v>
      </c>
      <c r="H29" s="1546">
        <v>8</v>
      </c>
      <c r="I29" s="1546">
        <v>8</v>
      </c>
      <c r="J29" s="1546">
        <v>8</v>
      </c>
      <c r="K29" s="1546"/>
      <c r="L29" s="1546">
        <v>8</v>
      </c>
      <c r="M29" s="1750"/>
    </row>
    <row r="30" spans="1:18" s="1374" customFormat="1" ht="9">
      <c r="A30" s="1544"/>
      <c r="B30" s="1545" t="s">
        <v>1578</v>
      </c>
      <c r="C30" s="1545" t="str">
        <f t="shared" si="1"/>
        <v>FOUNTAIN HYDRO POWER, CORP</v>
      </c>
      <c r="D30" s="1544"/>
      <c r="E30" s="2103" t="str">
        <f t="shared" si="2"/>
        <v>Mar25-Feb30</v>
      </c>
      <c r="F30" s="1765"/>
      <c r="G30" s="1546">
        <v>5.0999999999999996</v>
      </c>
      <c r="H30" s="1546">
        <v>5.0999999999999996</v>
      </c>
      <c r="I30" s="1546">
        <v>5.0999999999999996</v>
      </c>
      <c r="J30" s="1546">
        <v>5.0999999999999996</v>
      </c>
      <c r="K30" s="1546">
        <v>5.0999999999999996</v>
      </c>
      <c r="L30" s="1546">
        <v>5.0999999999999996</v>
      </c>
      <c r="M30" s="1750"/>
    </row>
    <row r="31" spans="1:18" s="1374" customFormat="1" ht="9">
      <c r="A31" s="1544"/>
      <c r="B31" s="1545" t="s">
        <v>1580</v>
      </c>
      <c r="C31" s="1545" t="str">
        <f t="shared" si="1"/>
        <v>Generadora del Atlántico</v>
      </c>
      <c r="D31" s="1544"/>
      <c r="E31" s="2103" t="str">
        <f t="shared" si="2"/>
        <v>Mar25-Feb30</v>
      </c>
      <c r="F31" s="1765"/>
      <c r="G31" s="1546">
        <v>4.45</v>
      </c>
      <c r="H31" s="1546">
        <v>4.45</v>
      </c>
      <c r="I31" s="1546">
        <v>4.45</v>
      </c>
      <c r="J31" s="1546">
        <v>4.45</v>
      </c>
      <c r="K31" s="1546">
        <v>4.45</v>
      </c>
      <c r="L31" s="1546">
        <v>4.45</v>
      </c>
      <c r="M31" s="1750"/>
    </row>
    <row r="32" spans="1:18" s="1374" customFormat="1">
      <c r="A32" s="1544"/>
      <c r="B32" s="1545" t="s">
        <v>1582</v>
      </c>
      <c r="C32" s="1545" t="str">
        <f t="shared" si="1"/>
        <v>Generadora del Atlántico</v>
      </c>
      <c r="D32" s="1544"/>
      <c r="E32" s="2103" t="str">
        <f t="shared" si="2"/>
        <v>Mar25-Feb30</v>
      </c>
      <c r="F32" s="1765"/>
      <c r="G32" s="1546">
        <v>3.95</v>
      </c>
      <c r="H32" s="1546">
        <v>3.95</v>
      </c>
      <c r="I32" s="1546">
        <v>3.95</v>
      </c>
      <c r="J32" s="1546">
        <v>3.95</v>
      </c>
      <c r="K32" s="1546">
        <v>3.95</v>
      </c>
      <c r="L32" s="1546">
        <v>3.95</v>
      </c>
      <c r="M32" s="1750"/>
      <c r="O32" s="337"/>
      <c r="P32" s="337"/>
      <c r="Q32" s="337"/>
      <c r="R32" s="337"/>
    </row>
    <row r="33" spans="1:18">
      <c r="A33" s="1544"/>
      <c r="B33" s="1545" t="s">
        <v>1583</v>
      </c>
      <c r="C33" s="1545" t="str">
        <f t="shared" si="1"/>
        <v>HIDRO PANAMÁ</v>
      </c>
      <c r="D33" s="1544"/>
      <c r="E33" s="2103" t="str">
        <f t="shared" si="2"/>
        <v>Mar25-Feb30</v>
      </c>
      <c r="F33" s="1765"/>
      <c r="G33" s="1546">
        <v>7.25</v>
      </c>
      <c r="H33" s="1546">
        <v>7.25</v>
      </c>
      <c r="I33" s="1546">
        <v>7.25</v>
      </c>
      <c r="J33" s="1546">
        <v>7.25</v>
      </c>
      <c r="K33" s="1546"/>
      <c r="L33" s="1546">
        <v>7.25</v>
      </c>
      <c r="M33" s="1750"/>
    </row>
    <row r="34" spans="1:18" s="687" customFormat="1" ht="15.75">
      <c r="A34" s="1686"/>
      <c r="B34" s="1685" t="s">
        <v>1110</v>
      </c>
      <c r="C34" s="1382"/>
      <c r="D34" s="1288"/>
      <c r="E34" s="2191"/>
      <c r="F34" s="2253"/>
      <c r="G34" s="1684"/>
      <c r="H34" s="1684"/>
      <c r="I34" s="1684"/>
      <c r="J34" s="1684"/>
      <c r="K34" s="1684"/>
      <c r="L34" s="1684"/>
      <c r="M34" s="1751"/>
    </row>
    <row r="35" spans="1:18" s="687" customFormat="1">
      <c r="A35" s="1679"/>
      <c r="B35" s="1372" t="s">
        <v>545</v>
      </c>
      <c r="C35" s="1823" t="str">
        <f t="shared" ref="C35:C62" si="3">VLOOKUP(B35,$B$236:$E$311,2,0)</f>
        <v>ELECTRO INVEST. - ENMIENDA 5</v>
      </c>
      <c r="D35" s="1369" t="str">
        <f t="shared" ref="D35:D62" si="4">VLOOKUP(B35,$B$236:$E$311,3,0)</f>
        <v>H</v>
      </c>
      <c r="E35" s="2103" t="str">
        <f t="shared" ref="E35:E62" si="5">VLOOKUP(B35,$B$236:$E$311,4,0)</f>
        <v>2016-Jun27</v>
      </c>
      <c r="F35" s="1769"/>
      <c r="G35" s="1362">
        <f t="shared" ref="G35:L44" si="6">IF(SUMIF($B$236:$B$311,$B35,G$236:G$311)*G6=0,"", SUMIF($B$236:$B$311,$B35,G$236:G$311)*G6)</f>
        <v>69.000000000000014</v>
      </c>
      <c r="H35" s="1362">
        <f t="shared" si="6"/>
        <v>69.000000000000014</v>
      </c>
      <c r="I35" s="1362">
        <f t="shared" si="6"/>
        <v>69.000000000000014</v>
      </c>
      <c r="J35" s="1362">
        <f t="shared" si="6"/>
        <v>69.000000000000014</v>
      </c>
      <c r="K35" s="1362">
        <f t="shared" si="6"/>
        <v>69.000000000000014</v>
      </c>
      <c r="L35" s="1362">
        <f t="shared" si="6"/>
        <v>69.000000000000014</v>
      </c>
      <c r="M35" s="1752">
        <f t="shared" ref="M35:M70" si="7">SUM(G35:L35)</f>
        <v>414.00000000000006</v>
      </c>
    </row>
    <row r="36" spans="1:18" s="687" customFormat="1">
      <c r="A36" s="1679"/>
      <c r="B36" s="1370" t="s">
        <v>547</v>
      </c>
      <c r="C36" s="1823" t="str">
        <f t="shared" si="3"/>
        <v>FORTUNA</v>
      </c>
      <c r="D36" s="1369" t="str">
        <f t="shared" si="4"/>
        <v>H</v>
      </c>
      <c r="E36" s="2103" t="str">
        <f t="shared" si="5"/>
        <v>2015-2029</v>
      </c>
      <c r="F36" s="1769"/>
      <c r="G36" s="1362">
        <f t="shared" si="6"/>
        <v>68.527731099999997</v>
      </c>
      <c r="H36" s="1362">
        <f t="shared" si="6"/>
        <v>68.527731099999997</v>
      </c>
      <c r="I36" s="1362">
        <f t="shared" si="6"/>
        <v>68.527731099999997</v>
      </c>
      <c r="J36" s="1362">
        <f t="shared" si="6"/>
        <v>68.527731099999997</v>
      </c>
      <c r="K36" s="1362">
        <f t="shared" si="6"/>
        <v>68.527731099999997</v>
      </c>
      <c r="L36" s="1362">
        <f t="shared" si="6"/>
        <v>68.527731099999997</v>
      </c>
      <c r="M36" s="1752">
        <f t="shared" si="7"/>
        <v>411.16638659999995</v>
      </c>
    </row>
    <row r="37" spans="1:18" s="687" customFormat="1">
      <c r="A37" s="1679"/>
      <c r="B37" s="1370" t="s">
        <v>558</v>
      </c>
      <c r="C37" s="1823" t="str">
        <f t="shared" si="3"/>
        <v xml:space="preserve">HIDROECOLOGICA DEL TERIBE </v>
      </c>
      <c r="D37" s="1369" t="str">
        <f t="shared" si="4"/>
        <v>H</v>
      </c>
      <c r="E37" s="2103" t="str">
        <f t="shared" si="5"/>
        <v>2015-2029</v>
      </c>
      <c r="F37" s="1769"/>
      <c r="G37" s="1362">
        <f t="shared" si="6"/>
        <v>22.669499999999999</v>
      </c>
      <c r="H37" s="1362">
        <f t="shared" si="6"/>
        <v>22.669499999999999</v>
      </c>
      <c r="I37" s="1362">
        <f t="shared" si="6"/>
        <v>22.669499999999999</v>
      </c>
      <c r="J37" s="1362">
        <f t="shared" si="6"/>
        <v>22.669499999999999</v>
      </c>
      <c r="K37" s="1362">
        <f t="shared" si="6"/>
        <v>22.669499999999999</v>
      </c>
      <c r="L37" s="1362">
        <f t="shared" si="6"/>
        <v>22.669499999999999</v>
      </c>
      <c r="M37" s="1752">
        <f t="shared" si="7"/>
        <v>136.017</v>
      </c>
    </row>
    <row r="38" spans="1:18" s="687" customFormat="1">
      <c r="A38" s="1679"/>
      <c r="B38" s="1370" t="s">
        <v>559</v>
      </c>
      <c r="C38" s="1823" t="str">
        <f t="shared" si="3"/>
        <v xml:space="preserve">ESEPSA </v>
      </c>
      <c r="D38" s="1369" t="str">
        <f t="shared" si="4"/>
        <v>H</v>
      </c>
      <c r="E38" s="2103" t="str">
        <f t="shared" si="5"/>
        <v>2015-2029</v>
      </c>
      <c r="F38" s="1769"/>
      <c r="G38" s="1362">
        <f t="shared" si="6"/>
        <v>17.416446666666662</v>
      </c>
      <c r="H38" s="1362">
        <f t="shared" si="6"/>
        <v>17.416446666666662</v>
      </c>
      <c r="I38" s="1362">
        <f t="shared" si="6"/>
        <v>17.416446666666662</v>
      </c>
      <c r="J38" s="1362">
        <f t="shared" si="6"/>
        <v>17.416446666666662</v>
      </c>
      <c r="K38" s="1362">
        <f t="shared" si="6"/>
        <v>17.416446666666662</v>
      </c>
      <c r="L38" s="1362">
        <f t="shared" si="6"/>
        <v>17.416446666666662</v>
      </c>
      <c r="M38" s="1752">
        <f t="shared" si="7"/>
        <v>104.49867999999996</v>
      </c>
    </row>
    <row r="39" spans="1:18" s="687" customFormat="1">
      <c r="A39" s="1679"/>
      <c r="B39" s="1370" t="s">
        <v>560</v>
      </c>
      <c r="C39" s="1823" t="str">
        <f t="shared" si="3"/>
        <v xml:space="preserve">PEDREGALITO </v>
      </c>
      <c r="D39" s="1369" t="str">
        <f t="shared" si="4"/>
        <v>H</v>
      </c>
      <c r="E39" s="2103" t="str">
        <f t="shared" si="5"/>
        <v>2015-2029</v>
      </c>
      <c r="F39" s="1769"/>
      <c r="G39" s="1362">
        <f t="shared" si="6"/>
        <v>32.269236717641306</v>
      </c>
      <c r="H39" s="1362">
        <f t="shared" si="6"/>
        <v>32.269236717641306</v>
      </c>
      <c r="I39" s="1362">
        <f t="shared" si="6"/>
        <v>32.269236717641306</v>
      </c>
      <c r="J39" s="1362">
        <f t="shared" si="6"/>
        <v>32.269236717641306</v>
      </c>
      <c r="K39" s="1362">
        <f t="shared" si="6"/>
        <v>32.269236717641306</v>
      </c>
      <c r="L39" s="1362">
        <f t="shared" si="6"/>
        <v>32.269236717641306</v>
      </c>
      <c r="M39" s="1752">
        <f t="shared" si="7"/>
        <v>193.61542030584786</v>
      </c>
    </row>
    <row r="40" spans="1:18" s="687" customFormat="1">
      <c r="A40" s="1679"/>
      <c r="B40" s="1370" t="s">
        <v>561</v>
      </c>
      <c r="C40" s="1823" t="str">
        <f t="shared" si="3"/>
        <v xml:space="preserve">CALDERA </v>
      </c>
      <c r="D40" s="1369" t="str">
        <f t="shared" si="4"/>
        <v>H</v>
      </c>
      <c r="E40" s="2103" t="str">
        <f t="shared" si="5"/>
        <v>2015-2029</v>
      </c>
      <c r="F40" s="1769"/>
      <c r="G40" s="1362">
        <f t="shared" si="6"/>
        <v>21.391097166666665</v>
      </c>
      <c r="H40" s="1362">
        <f t="shared" si="6"/>
        <v>21.391097166666665</v>
      </c>
      <c r="I40" s="1362">
        <f t="shared" si="6"/>
        <v>21.391097166666665</v>
      </c>
      <c r="J40" s="1362">
        <f t="shared" si="6"/>
        <v>21.391097166666665</v>
      </c>
      <c r="K40" s="1362">
        <f t="shared" si="6"/>
        <v>21.391097166666665</v>
      </c>
      <c r="L40" s="1362">
        <f t="shared" si="6"/>
        <v>21.391097166666665</v>
      </c>
      <c r="M40" s="1752">
        <f t="shared" si="7"/>
        <v>128.34658299999998</v>
      </c>
    </row>
    <row r="41" spans="1:18" s="687" customFormat="1">
      <c r="A41" s="1679"/>
      <c r="B41" s="1370" t="s">
        <v>562</v>
      </c>
      <c r="C41" s="1823" t="str">
        <f t="shared" si="3"/>
        <v xml:space="preserve">RIO CHICO </v>
      </c>
      <c r="D41" s="1369" t="str">
        <f t="shared" si="4"/>
        <v>H</v>
      </c>
      <c r="E41" s="2103" t="str">
        <f t="shared" si="5"/>
        <v>2015-2029</v>
      </c>
      <c r="F41" s="1769"/>
      <c r="G41" s="1362">
        <f t="shared" si="6"/>
        <v>19.789373742498775</v>
      </c>
      <c r="H41" s="1362">
        <f t="shared" si="6"/>
        <v>19.789373742498775</v>
      </c>
      <c r="I41" s="1362">
        <f t="shared" si="6"/>
        <v>19.789373742498775</v>
      </c>
      <c r="J41" s="1362">
        <f t="shared" si="6"/>
        <v>19.789373742498775</v>
      </c>
      <c r="K41" s="1362">
        <f t="shared" si="6"/>
        <v>19.789373742498775</v>
      </c>
      <c r="L41" s="1362">
        <f t="shared" si="6"/>
        <v>19.789373742498775</v>
      </c>
      <c r="M41" s="1752">
        <f t="shared" si="7"/>
        <v>118.73624245499266</v>
      </c>
    </row>
    <row r="42" spans="1:18" s="687" customFormat="1">
      <c r="A42" s="1679"/>
      <c r="B42" s="1370" t="s">
        <v>563</v>
      </c>
      <c r="C42" s="1823" t="str">
        <f t="shared" si="3"/>
        <v xml:space="preserve">ALTO VALLE </v>
      </c>
      <c r="D42" s="1369" t="str">
        <f t="shared" si="4"/>
        <v>H</v>
      </c>
      <c r="E42" s="2103" t="str">
        <f t="shared" si="5"/>
        <v>2015-2029</v>
      </c>
      <c r="F42" s="1769"/>
      <c r="G42" s="1362">
        <f t="shared" si="6"/>
        <v>18.834904833333329</v>
      </c>
      <c r="H42" s="1362">
        <f t="shared" si="6"/>
        <v>18.834904833333329</v>
      </c>
      <c r="I42" s="1362">
        <f t="shared" si="6"/>
        <v>18.834904833333329</v>
      </c>
      <c r="J42" s="1362">
        <f t="shared" si="6"/>
        <v>18.834904833333329</v>
      </c>
      <c r="K42" s="1362">
        <f t="shared" si="6"/>
        <v>18.834904833333329</v>
      </c>
      <c r="L42" s="1362">
        <f t="shared" si="6"/>
        <v>18.834904833333329</v>
      </c>
      <c r="M42" s="1752">
        <f t="shared" si="7"/>
        <v>113.00942899999997</v>
      </c>
    </row>
    <row r="43" spans="1:18" s="687" customFormat="1">
      <c r="A43" s="1679"/>
      <c r="B43" s="1370" t="s">
        <v>564</v>
      </c>
      <c r="C43" s="1823" t="str">
        <f t="shared" si="3"/>
        <v xml:space="preserve">DESARROLLO HIDRO CORP </v>
      </c>
      <c r="D43" s="1369" t="str">
        <f t="shared" si="4"/>
        <v>H</v>
      </c>
      <c r="E43" s="2103" t="str">
        <f t="shared" si="5"/>
        <v>2015-2029</v>
      </c>
      <c r="F43" s="1769"/>
      <c r="G43" s="1362">
        <f t="shared" si="6"/>
        <v>5.2529354999999995</v>
      </c>
      <c r="H43" s="1362">
        <f t="shared" si="6"/>
        <v>5.2529354999999995</v>
      </c>
      <c r="I43" s="1362">
        <f t="shared" si="6"/>
        <v>5.2529354999999995</v>
      </c>
      <c r="J43" s="1362">
        <f t="shared" si="6"/>
        <v>5.2529354999999995</v>
      </c>
      <c r="K43" s="1362">
        <f t="shared" si="6"/>
        <v>5.2529354999999995</v>
      </c>
      <c r="L43" s="1362">
        <f t="shared" si="6"/>
        <v>5.2529354999999995</v>
      </c>
      <c r="M43" s="1752">
        <f t="shared" si="7"/>
        <v>31.517612999999997</v>
      </c>
    </row>
    <row r="44" spans="1:18" s="687" customFormat="1">
      <c r="A44" s="1679"/>
      <c r="B44" s="1370" t="s">
        <v>565</v>
      </c>
      <c r="C44" s="1823" t="str">
        <f t="shared" si="3"/>
        <v xml:space="preserve">SAN LORENZO </v>
      </c>
      <c r="D44" s="1369" t="str">
        <f t="shared" si="4"/>
        <v>H</v>
      </c>
      <c r="E44" s="2103" t="str">
        <f t="shared" si="5"/>
        <v>2015-2029</v>
      </c>
      <c r="F44" s="1769"/>
      <c r="G44" s="1362">
        <f t="shared" si="6"/>
        <v>5.3326500000000001</v>
      </c>
      <c r="H44" s="1362">
        <f t="shared" si="6"/>
        <v>5.3326500000000001</v>
      </c>
      <c r="I44" s="1362">
        <f t="shared" si="6"/>
        <v>5.3326500000000001</v>
      </c>
      <c r="J44" s="1362">
        <f t="shared" si="6"/>
        <v>5.3326500000000001</v>
      </c>
      <c r="K44" s="1362">
        <f t="shared" si="6"/>
        <v>5.3326500000000001</v>
      </c>
      <c r="L44" s="1362">
        <f t="shared" si="6"/>
        <v>5.3326500000000001</v>
      </c>
      <c r="M44" s="1752">
        <f t="shared" si="7"/>
        <v>31.995900000000002</v>
      </c>
    </row>
    <row r="45" spans="1:18" s="687" customFormat="1">
      <c r="A45" s="1679"/>
      <c r="B45" s="1370" t="s">
        <v>566</v>
      </c>
      <c r="C45" s="1823" t="str">
        <f t="shared" si="3"/>
        <v xml:space="preserve">ELECTROGENERADORA ISTMO </v>
      </c>
      <c r="D45" s="1369" t="str">
        <f t="shared" si="4"/>
        <v>H</v>
      </c>
      <c r="E45" s="2103" t="str">
        <f t="shared" si="5"/>
        <v>2015-2029</v>
      </c>
      <c r="F45" s="1769"/>
      <c r="G45" s="1362">
        <f t="shared" ref="G45:L54" si="8">IF(SUMIF($B$236:$B$311,$B45,G$236:G$311)*G16=0,"", SUMIF($B$236:$B$311,$B45,G$236:G$311)*G16)</f>
        <v>8.5356400333333351</v>
      </c>
      <c r="H45" s="1362">
        <f t="shared" si="8"/>
        <v>8.5356400333333351</v>
      </c>
      <c r="I45" s="1362">
        <f t="shared" si="8"/>
        <v>8.5356400333333351</v>
      </c>
      <c r="J45" s="1362">
        <f t="shared" si="8"/>
        <v>8.5356400333333351</v>
      </c>
      <c r="K45" s="1362">
        <f t="shared" si="8"/>
        <v>8.5356400333333351</v>
      </c>
      <c r="L45" s="1362">
        <f t="shared" si="8"/>
        <v>8.5356400333333369</v>
      </c>
      <c r="M45" s="1752">
        <f t="shared" si="7"/>
        <v>51.213840200000014</v>
      </c>
    </row>
    <row r="46" spans="1:18" s="687" customFormat="1">
      <c r="A46" s="1679"/>
      <c r="B46" s="1371" t="s">
        <v>831</v>
      </c>
      <c r="C46" s="1823" t="str">
        <f t="shared" si="3"/>
        <v>AES PANAMA (CHAN 2)</v>
      </c>
      <c r="D46" s="1369" t="str">
        <f t="shared" si="4"/>
        <v>H</v>
      </c>
      <c r="E46" s="2103" t="str">
        <f t="shared" si="5"/>
        <v>2019-2030</v>
      </c>
      <c r="F46" s="1769"/>
      <c r="G46" s="1362">
        <f t="shared" si="8"/>
        <v>1293.256991666666</v>
      </c>
      <c r="H46" s="1362">
        <f t="shared" si="8"/>
        <v>1293.256991666666</v>
      </c>
      <c r="I46" s="1362">
        <f t="shared" si="8"/>
        <v>1293.256991666666</v>
      </c>
      <c r="J46" s="1362">
        <f t="shared" si="8"/>
        <v>1293.256991666666</v>
      </c>
      <c r="K46" s="1362">
        <f t="shared" si="8"/>
        <v>1293.256991666666</v>
      </c>
      <c r="L46" s="1362">
        <f t="shared" si="8"/>
        <v>1293.256991666666</v>
      </c>
      <c r="M46" s="1752">
        <f t="shared" si="7"/>
        <v>7759.5419499999962</v>
      </c>
    </row>
    <row r="47" spans="1:18" s="687" customFormat="1">
      <c r="A47" s="1679"/>
      <c r="B47" s="1371" t="s">
        <v>687</v>
      </c>
      <c r="C47" s="1823" t="str">
        <f t="shared" si="3"/>
        <v>HIDRO PIEDRA</v>
      </c>
      <c r="D47" s="1369" t="str">
        <f t="shared" si="4"/>
        <v>H</v>
      </c>
      <c r="E47" s="2103" t="str">
        <f t="shared" si="5"/>
        <v>2019-2030</v>
      </c>
      <c r="F47" s="1769"/>
      <c r="G47" s="1362">
        <f t="shared" si="8"/>
        <v>7.7031537986333385</v>
      </c>
      <c r="H47" s="1362">
        <f t="shared" si="8"/>
        <v>7.7031537986333385</v>
      </c>
      <c r="I47" s="1362">
        <f t="shared" si="8"/>
        <v>7.7031537986333385</v>
      </c>
      <c r="J47" s="1362">
        <f t="shared" si="8"/>
        <v>7.7031537986333385</v>
      </c>
      <c r="K47" s="1362">
        <f t="shared" si="8"/>
        <v>7.7031537986333385</v>
      </c>
      <c r="L47" s="1362">
        <f t="shared" si="8"/>
        <v>7.7031537986333394</v>
      </c>
      <c r="M47" s="1752">
        <f t="shared" si="7"/>
        <v>46.218922791800033</v>
      </c>
    </row>
    <row r="48" spans="1:18" s="687" customFormat="1">
      <c r="A48" s="1679"/>
      <c r="B48" s="1371" t="s">
        <v>688</v>
      </c>
      <c r="C48" s="1823" t="str">
        <f t="shared" si="3"/>
        <v>CORPORACION ENERGIA DEL ISTMO</v>
      </c>
      <c r="D48" s="1369" t="str">
        <f t="shared" si="4"/>
        <v>H</v>
      </c>
      <c r="E48" s="2103" t="str">
        <f t="shared" si="5"/>
        <v>2019-2030</v>
      </c>
      <c r="F48" s="1769"/>
      <c r="G48" s="1362">
        <f t="shared" si="8"/>
        <v>29.178631508333336</v>
      </c>
      <c r="H48" s="1362">
        <f t="shared" si="8"/>
        <v>29.178631508333336</v>
      </c>
      <c r="I48" s="1362">
        <f t="shared" si="8"/>
        <v>29.178631508333336</v>
      </c>
      <c r="J48" s="1362">
        <f t="shared" si="8"/>
        <v>29.178631508333336</v>
      </c>
      <c r="K48" s="1362">
        <f t="shared" si="8"/>
        <v>29.178631508333336</v>
      </c>
      <c r="L48" s="1362">
        <f t="shared" si="8"/>
        <v>29.178631508333336</v>
      </c>
      <c r="M48" s="1752">
        <f t="shared" si="7"/>
        <v>175.07178905000001</v>
      </c>
      <c r="O48" s="337"/>
      <c r="P48" s="337"/>
      <c r="Q48" s="337"/>
      <c r="R48" s="337"/>
    </row>
    <row r="49" spans="1:13">
      <c r="A49" s="1679"/>
      <c r="B49" s="1371" t="s">
        <v>800</v>
      </c>
      <c r="C49" s="1823" t="str">
        <f t="shared" si="3"/>
        <v>SALTOS DE FRANCOLI</v>
      </c>
      <c r="D49" s="1369" t="str">
        <f t="shared" si="4"/>
        <v>H</v>
      </c>
      <c r="E49" s="2103" t="str">
        <f t="shared" si="5"/>
        <v>2019-2030</v>
      </c>
      <c r="F49" s="1769"/>
      <c r="G49" s="1362">
        <f t="shared" si="8"/>
        <v>4.1158260000000002</v>
      </c>
      <c r="H49" s="1362">
        <f t="shared" si="8"/>
        <v>4.1158260000000002</v>
      </c>
      <c r="I49" s="1362">
        <f t="shared" si="8"/>
        <v>4.1158260000000002</v>
      </c>
      <c r="J49" s="1362">
        <f t="shared" si="8"/>
        <v>4.1158260000000002</v>
      </c>
      <c r="K49" s="1362">
        <f t="shared" si="8"/>
        <v>4.1158260000000002</v>
      </c>
      <c r="L49" s="1362">
        <f t="shared" si="8"/>
        <v>4.1158259999999993</v>
      </c>
      <c r="M49" s="1752">
        <f t="shared" si="7"/>
        <v>24.694955999999998</v>
      </c>
    </row>
    <row r="50" spans="1:13">
      <c r="A50" s="1679"/>
      <c r="B50" s="1370" t="s">
        <v>1273</v>
      </c>
      <c r="C50" s="1823" t="str">
        <f t="shared" si="3"/>
        <v>Generadora Gatún (NG Power)</v>
      </c>
      <c r="D50" s="1369" t="str">
        <f t="shared" si="4"/>
        <v>Gas2</v>
      </c>
      <c r="E50" s="2103" t="str">
        <f t="shared" si="5"/>
        <v>Oct24-Sep44</v>
      </c>
      <c r="F50" s="1769"/>
      <c r="G50" s="1362">
        <f t="shared" si="8"/>
        <v>3267.9408133333336</v>
      </c>
      <c r="H50" s="1362">
        <f t="shared" si="8"/>
        <v>3267.9408133333336</v>
      </c>
      <c r="I50" s="1362">
        <f t="shared" si="8"/>
        <v>3267.9408133333336</v>
      </c>
      <c r="J50" s="1362">
        <f t="shared" si="8"/>
        <v>3267.9408133333336</v>
      </c>
      <c r="K50" s="1362">
        <f t="shared" si="8"/>
        <v>3267.9408133333336</v>
      </c>
      <c r="L50" s="1362">
        <f t="shared" si="8"/>
        <v>3267.9408133333336</v>
      </c>
      <c r="M50" s="1752">
        <f t="shared" si="7"/>
        <v>19607.644880000003</v>
      </c>
    </row>
    <row r="51" spans="1:13">
      <c r="A51" s="1679"/>
      <c r="B51" s="1370" t="s">
        <v>1515</v>
      </c>
      <c r="C51" s="1823" t="str">
        <f t="shared" si="3"/>
        <v>Electron (SECCION)</v>
      </c>
      <c r="D51" s="1369" t="str">
        <f t="shared" si="4"/>
        <v>H3</v>
      </c>
      <c r="E51" s="2103" t="str">
        <f t="shared" si="5"/>
        <v>Ene26-Dic40</v>
      </c>
      <c r="F51" s="1769"/>
      <c r="G51" s="1362">
        <f t="shared" si="8"/>
        <v>499.5</v>
      </c>
      <c r="H51" s="1362">
        <f t="shared" si="8"/>
        <v>499.5</v>
      </c>
      <c r="I51" s="1362">
        <f t="shared" si="8"/>
        <v>499.5</v>
      </c>
      <c r="J51" s="1362">
        <f t="shared" si="8"/>
        <v>499.5</v>
      </c>
      <c r="K51" s="1362">
        <f t="shared" si="8"/>
        <v>499.5</v>
      </c>
      <c r="L51" s="1362">
        <f t="shared" si="8"/>
        <v>499.5</v>
      </c>
      <c r="M51" s="1752">
        <f t="shared" si="7"/>
        <v>2997</v>
      </c>
    </row>
    <row r="52" spans="1:13" ht="12.75" thickBot="1">
      <c r="A52" s="1679"/>
      <c r="B52" s="1368" t="s">
        <v>792</v>
      </c>
      <c r="C52" s="1824" t="str">
        <f t="shared" si="3"/>
        <v>Gas Natural Atlántico</v>
      </c>
      <c r="D52" s="1317" t="str">
        <f t="shared" si="4"/>
        <v>Gas</v>
      </c>
      <c r="E52" s="2194" t="str">
        <f t="shared" si="5"/>
        <v>May18- Abr28</v>
      </c>
      <c r="F52" s="1770"/>
      <c r="G52" s="1362">
        <f t="shared" si="8"/>
        <v>4981.7873500000023</v>
      </c>
      <c r="H52" s="1362">
        <f t="shared" si="8"/>
        <v>4981.7873500000023</v>
      </c>
      <c r="I52" s="1362">
        <f t="shared" si="8"/>
        <v>4981.7873500000023</v>
      </c>
      <c r="J52" s="1362">
        <f t="shared" si="8"/>
        <v>4981.7873500000023</v>
      </c>
      <c r="K52" s="1362">
        <f t="shared" si="8"/>
        <v>4981.7873500000023</v>
      </c>
      <c r="L52" s="1362">
        <f t="shared" si="8"/>
        <v>4981.7873500000023</v>
      </c>
      <c r="M52" s="1752">
        <f t="shared" si="7"/>
        <v>29890.724100000014</v>
      </c>
    </row>
    <row r="53" spans="1:13" ht="12.75" thickBot="1">
      <c r="A53" s="1679"/>
      <c r="B53" s="1284" t="s">
        <v>1323</v>
      </c>
      <c r="C53" s="1825" t="str">
        <f t="shared" si="3"/>
        <v>ALTERNEGY ENMIIENDA 7</v>
      </c>
      <c r="D53" s="1339" t="str">
        <f t="shared" si="4"/>
        <v>H2</v>
      </c>
      <c r="E53" s="2195" t="str">
        <f t="shared" si="5"/>
        <v>Abr24-Mar39</v>
      </c>
      <c r="F53" s="1771"/>
      <c r="G53" s="1362">
        <f t="shared" si="8"/>
        <v>4077.0684558333351</v>
      </c>
      <c r="H53" s="1362">
        <f t="shared" si="8"/>
        <v>4077.0684558333351</v>
      </c>
      <c r="I53" s="1362">
        <f t="shared" si="8"/>
        <v>4077.0684558333351</v>
      </c>
      <c r="J53" s="1362">
        <f t="shared" si="8"/>
        <v>4077.0684558333351</v>
      </c>
      <c r="K53" s="1362">
        <f t="shared" si="8"/>
        <v>4077.0684558333351</v>
      </c>
      <c r="L53" s="1362">
        <f t="shared" si="8"/>
        <v>4077.0684558333351</v>
      </c>
      <c r="M53" s="1752">
        <f t="shared" si="7"/>
        <v>24462.410735000009</v>
      </c>
    </row>
    <row r="54" spans="1:13">
      <c r="A54" s="1302"/>
      <c r="B54" s="1338" t="s">
        <v>1568</v>
      </c>
      <c r="C54" s="1826" t="str">
        <f t="shared" si="3"/>
        <v>Generadora del Istmo</v>
      </c>
      <c r="D54" s="1337" t="str">
        <f t="shared" si="4"/>
        <v>H SP</v>
      </c>
      <c r="E54" s="2196" t="str">
        <f t="shared" si="5"/>
        <v>Mar25-Feb30</v>
      </c>
      <c r="F54" s="1772"/>
      <c r="G54" s="1362">
        <f t="shared" si="8"/>
        <v>70.345600000000005</v>
      </c>
      <c r="H54" s="1362">
        <f t="shared" si="8"/>
        <v>66.643199999999993</v>
      </c>
      <c r="I54" s="1362">
        <f t="shared" si="8"/>
        <v>65.717600000000004</v>
      </c>
      <c r="J54" s="1362">
        <f t="shared" si="8"/>
        <v>67.568799999999996</v>
      </c>
      <c r="K54" s="1362" t="str">
        <f t="shared" si="8"/>
        <v/>
      </c>
      <c r="L54" s="1362">
        <f t="shared" si="8"/>
        <v>63.866399999999999</v>
      </c>
      <c r="M54" s="1752">
        <f t="shared" si="7"/>
        <v>334.14159999999998</v>
      </c>
    </row>
    <row r="55" spans="1:13">
      <c r="A55" s="1302"/>
      <c r="B55" s="1336" t="s">
        <v>1570</v>
      </c>
      <c r="C55" s="1827" t="str">
        <f t="shared" si="3"/>
        <v>Caldera Energy Corp</v>
      </c>
      <c r="D55" s="1320" t="str">
        <f t="shared" si="4"/>
        <v>H SP</v>
      </c>
      <c r="E55" s="2197" t="str">
        <f t="shared" si="5"/>
        <v>Mar25-Feb30</v>
      </c>
      <c r="F55" s="1773"/>
      <c r="G55" s="1362">
        <f t="shared" ref="G55:L62" si="9">IF(SUMIF($B$236:$B$311,$B55,G$236:G$311)*G26=0,"", SUMIF($B$236:$B$311,$B55,G$236:G$311)*G26)</f>
        <v>4.7880000000000003</v>
      </c>
      <c r="H55" s="1362">
        <f t="shared" si="9"/>
        <v>4.5360000000000005</v>
      </c>
      <c r="I55" s="1362">
        <f t="shared" si="9"/>
        <v>4.4729999999999999</v>
      </c>
      <c r="J55" s="1362">
        <f t="shared" si="9"/>
        <v>4.5990000000000002</v>
      </c>
      <c r="K55" s="1362">
        <f t="shared" si="9"/>
        <v>4.41</v>
      </c>
      <c r="L55" s="1362">
        <f t="shared" si="9"/>
        <v>4.3469999999999995</v>
      </c>
      <c r="M55" s="1752">
        <f t="shared" si="7"/>
        <v>27.152999999999999</v>
      </c>
    </row>
    <row r="56" spans="1:13">
      <c r="A56" s="1302"/>
      <c r="B56" s="1336" t="s">
        <v>1572</v>
      </c>
      <c r="C56" s="1827" t="str">
        <f t="shared" si="3"/>
        <v>Autoridad del Canal de Panamá</v>
      </c>
      <c r="D56" s="1320" t="str">
        <f t="shared" si="4"/>
        <v>T SP</v>
      </c>
      <c r="E56" s="2197" t="str">
        <f t="shared" si="5"/>
        <v>Mar25-Feb30</v>
      </c>
      <c r="F56" s="1773"/>
      <c r="G56" s="1362">
        <f t="shared" si="9"/>
        <v>114</v>
      </c>
      <c r="H56" s="1362">
        <f t="shared" si="9"/>
        <v>108</v>
      </c>
      <c r="I56" s="1362">
        <f t="shared" si="9"/>
        <v>106.5</v>
      </c>
      <c r="J56" s="1362">
        <f t="shared" si="9"/>
        <v>109.5</v>
      </c>
      <c r="K56" s="1362">
        <f t="shared" si="9"/>
        <v>105</v>
      </c>
      <c r="L56" s="1362">
        <f t="shared" si="9"/>
        <v>160.66650000000001</v>
      </c>
      <c r="M56" s="1752">
        <f t="shared" si="7"/>
        <v>703.66650000000004</v>
      </c>
    </row>
    <row r="57" spans="1:13">
      <c r="A57" s="1302"/>
      <c r="B57" s="1336" t="s">
        <v>1574</v>
      </c>
      <c r="C57" s="1827" t="str">
        <f t="shared" si="3"/>
        <v>Hidroelectrica del Teribe</v>
      </c>
      <c r="D57" s="1320" t="str">
        <f t="shared" si="4"/>
        <v>H SP</v>
      </c>
      <c r="E57" s="2197" t="str">
        <f t="shared" si="5"/>
        <v>Mar25-Feb30</v>
      </c>
      <c r="F57" s="1773"/>
      <c r="G57" s="1362">
        <f t="shared" si="9"/>
        <v>55.630328000000006</v>
      </c>
      <c r="H57" s="1362">
        <f t="shared" si="9"/>
        <v>52.702416000000007</v>
      </c>
      <c r="I57" s="1362">
        <f t="shared" si="9"/>
        <v>51.970438000000001</v>
      </c>
      <c r="J57" s="1362">
        <f t="shared" si="9"/>
        <v>53.434394000000005</v>
      </c>
      <c r="K57" s="1362">
        <f t="shared" si="9"/>
        <v>50.19021</v>
      </c>
      <c r="L57" s="1362">
        <f t="shared" si="9"/>
        <v>50.506482000000005</v>
      </c>
      <c r="M57" s="1752">
        <f t="shared" si="7"/>
        <v>314.43426800000003</v>
      </c>
    </row>
    <row r="58" spans="1:13">
      <c r="A58" s="1302"/>
      <c r="B58" s="1336" t="s">
        <v>1576</v>
      </c>
      <c r="C58" s="1827" t="str">
        <f t="shared" si="3"/>
        <v>Celsia Centroamérica</v>
      </c>
      <c r="D58" s="1320" t="str">
        <f t="shared" si="4"/>
        <v>T SP</v>
      </c>
      <c r="E58" s="2197" t="str">
        <f t="shared" si="5"/>
        <v>Mar25-Feb30</v>
      </c>
      <c r="F58" s="1773"/>
      <c r="G58" s="1362">
        <f t="shared" si="9"/>
        <v>18.726400000000002</v>
      </c>
      <c r="H58" s="1362">
        <f t="shared" si="9"/>
        <v>17.7408</v>
      </c>
      <c r="I58" s="1362">
        <f t="shared" si="9"/>
        <v>17.494399999999999</v>
      </c>
      <c r="J58" s="1362">
        <f t="shared" si="9"/>
        <v>17.987200000000001</v>
      </c>
      <c r="K58" s="1362" t="str">
        <f t="shared" si="9"/>
        <v/>
      </c>
      <c r="L58" s="1362">
        <f t="shared" si="9"/>
        <v>17.0016</v>
      </c>
      <c r="M58" s="1752">
        <f t="shared" si="7"/>
        <v>88.950400000000002</v>
      </c>
    </row>
    <row r="59" spans="1:13">
      <c r="A59" s="1302"/>
      <c r="B59" s="1336" t="s">
        <v>1578</v>
      </c>
      <c r="C59" s="1827" t="str">
        <f t="shared" si="3"/>
        <v>FOUNTAIN HYDRO POWER, CORP</v>
      </c>
      <c r="D59" s="1320" t="str">
        <f t="shared" si="4"/>
        <v>H SP</v>
      </c>
      <c r="E59" s="2197" t="str">
        <f t="shared" si="5"/>
        <v>Mar25-Feb30</v>
      </c>
      <c r="F59" s="1773"/>
      <c r="G59" s="1362">
        <f t="shared" si="9"/>
        <v>73.643999999999991</v>
      </c>
      <c r="H59" s="1362">
        <f t="shared" si="9"/>
        <v>69.768000000000001</v>
      </c>
      <c r="I59" s="1362">
        <f t="shared" si="9"/>
        <v>68.798999999999992</v>
      </c>
      <c r="J59" s="1362">
        <f t="shared" si="9"/>
        <v>70.736999999999995</v>
      </c>
      <c r="K59" s="1362">
        <f t="shared" si="9"/>
        <v>67.83</v>
      </c>
      <c r="L59" s="1362">
        <f t="shared" si="9"/>
        <v>66.86099999999999</v>
      </c>
      <c r="M59" s="1752">
        <f t="shared" si="7"/>
        <v>417.63899999999995</v>
      </c>
    </row>
    <row r="60" spans="1:13">
      <c r="A60" s="1302"/>
      <c r="B60" s="1336" t="s">
        <v>1580</v>
      </c>
      <c r="C60" s="1827" t="str">
        <f t="shared" si="3"/>
        <v>Generadora del Atlántico</v>
      </c>
      <c r="D60" s="1320" t="str">
        <f t="shared" si="4"/>
        <v>T SP</v>
      </c>
      <c r="E60" s="2197" t="str">
        <f t="shared" si="5"/>
        <v>Mar25-Feb30</v>
      </c>
      <c r="F60" s="1773"/>
      <c r="G60" s="1362">
        <f t="shared" si="9"/>
        <v>67.64</v>
      </c>
      <c r="H60" s="1362">
        <f t="shared" si="9"/>
        <v>64.08</v>
      </c>
      <c r="I60" s="1362">
        <f t="shared" si="9"/>
        <v>63.19</v>
      </c>
      <c r="J60" s="1362">
        <f t="shared" si="9"/>
        <v>64.97</v>
      </c>
      <c r="K60" s="1362">
        <f t="shared" si="9"/>
        <v>62.300000000000004</v>
      </c>
      <c r="L60" s="1362">
        <f t="shared" si="9"/>
        <v>61.410000000000004</v>
      </c>
      <c r="M60" s="1752">
        <f t="shared" si="7"/>
        <v>383.59000000000003</v>
      </c>
    </row>
    <row r="61" spans="1:13">
      <c r="A61" s="1302"/>
      <c r="B61" s="1336" t="s">
        <v>1582</v>
      </c>
      <c r="C61" s="1827" t="str">
        <f t="shared" si="3"/>
        <v>Generadora del Atlántico</v>
      </c>
      <c r="D61" s="1320" t="str">
        <f t="shared" si="4"/>
        <v>T SP</v>
      </c>
      <c r="E61" s="2197" t="str">
        <f t="shared" si="5"/>
        <v>Mar25-Feb30</v>
      </c>
      <c r="F61" s="1773"/>
      <c r="G61" s="1362">
        <f t="shared" si="9"/>
        <v>345.23</v>
      </c>
      <c r="H61" s="1362">
        <f t="shared" si="9"/>
        <v>327.06</v>
      </c>
      <c r="I61" s="1362">
        <f t="shared" si="9"/>
        <v>322.51750000000004</v>
      </c>
      <c r="J61" s="1362">
        <f t="shared" si="9"/>
        <v>331.60250000000002</v>
      </c>
      <c r="K61" s="1362">
        <f t="shared" si="9"/>
        <v>317.97500000000002</v>
      </c>
      <c r="L61" s="1362">
        <f t="shared" si="9"/>
        <v>313.4325</v>
      </c>
      <c r="M61" s="1752">
        <f t="shared" si="7"/>
        <v>1957.8175000000001</v>
      </c>
    </row>
    <row r="62" spans="1:13" ht="12.75" thickBot="1">
      <c r="A62" s="1302"/>
      <c r="B62" s="1367" t="s">
        <v>1583</v>
      </c>
      <c r="C62" s="1828" t="str">
        <f t="shared" si="3"/>
        <v>HIDRO PANAMÁ</v>
      </c>
      <c r="D62" s="1366" t="str">
        <f t="shared" si="4"/>
        <v>H SP</v>
      </c>
      <c r="E62" s="2198" t="str">
        <f t="shared" si="5"/>
        <v>Mar25-Feb30</v>
      </c>
      <c r="F62" s="1774"/>
      <c r="G62" s="1362">
        <f t="shared" si="9"/>
        <v>4.0773999999999999</v>
      </c>
      <c r="H62" s="1362">
        <f t="shared" si="9"/>
        <v>3.8628000000000005</v>
      </c>
      <c r="I62" s="1362">
        <f t="shared" si="9"/>
        <v>3.8091499999999998</v>
      </c>
      <c r="J62" s="1362">
        <f t="shared" si="9"/>
        <v>3.9164500000000002</v>
      </c>
      <c r="K62" s="1362" t="str">
        <f t="shared" si="9"/>
        <v/>
      </c>
      <c r="L62" s="1362">
        <f t="shared" si="9"/>
        <v>3.7018500000000003</v>
      </c>
      <c r="M62" s="1752">
        <f t="shared" si="7"/>
        <v>19.367650000000001</v>
      </c>
    </row>
    <row r="63" spans="1:13" s="1486" customFormat="1" ht="9" thickBot="1">
      <c r="A63" s="1912"/>
      <c r="B63" s="1913"/>
      <c r="C63" s="1914"/>
      <c r="D63" s="1915"/>
      <c r="E63" s="2199"/>
      <c r="F63" s="2200"/>
      <c r="G63" s="1916"/>
      <c r="H63" s="1916"/>
      <c r="I63" s="1916"/>
      <c r="J63" s="1916"/>
      <c r="K63" s="1916"/>
      <c r="L63" s="1916"/>
      <c r="M63" s="1916">
        <f t="shared" si="7"/>
        <v>0</v>
      </c>
    </row>
    <row r="64" spans="1:13" ht="12.75" thickBot="1">
      <c r="A64" s="1353"/>
      <c r="B64" s="1354" t="s">
        <v>714</v>
      </c>
      <c r="C64" s="1829" t="s">
        <v>388</v>
      </c>
      <c r="D64" s="1353" t="s">
        <v>389</v>
      </c>
      <c r="E64" s="2201" t="s">
        <v>715</v>
      </c>
      <c r="F64" s="1775">
        <v>8.9600000000000009</v>
      </c>
      <c r="G64" s="1365" t="str">
        <f t="shared" ref="G64:L66" si="10">IF(SUMIF($B$236:$B$311,$B64,G$236:G$311)*$F64=0,"", SUMIF($B$236:$B$311,$B64,G$236:G$311)*$F64)</f>
        <v/>
      </c>
      <c r="H64" s="1365" t="str">
        <f t="shared" si="10"/>
        <v/>
      </c>
      <c r="I64" s="1365" t="str">
        <f t="shared" si="10"/>
        <v/>
      </c>
      <c r="J64" s="1365" t="str">
        <f t="shared" si="10"/>
        <v/>
      </c>
      <c r="K64" s="1365" t="str">
        <f t="shared" si="10"/>
        <v/>
      </c>
      <c r="L64" s="1365" t="str">
        <f t="shared" si="10"/>
        <v/>
      </c>
      <c r="M64" s="1365">
        <f t="shared" si="7"/>
        <v>0</v>
      </c>
    </row>
    <row r="65" spans="1:18">
      <c r="A65" s="1731"/>
      <c r="B65" s="1363" t="s">
        <v>825</v>
      </c>
      <c r="C65" s="1830" t="s">
        <v>1000</v>
      </c>
      <c r="D65" s="1296" t="s">
        <v>1090</v>
      </c>
      <c r="E65" s="2202" t="str">
        <f>VLOOKUP(B65,$B$236:$E$311,4,0)</f>
        <v>A Jun 2030</v>
      </c>
      <c r="F65" s="1776">
        <v>21</v>
      </c>
      <c r="G65" s="1362">
        <f t="shared" si="10"/>
        <v>115.5</v>
      </c>
      <c r="H65" s="1362">
        <f t="shared" si="10"/>
        <v>115.5</v>
      </c>
      <c r="I65" s="1362">
        <f t="shared" si="10"/>
        <v>115.5</v>
      </c>
      <c r="J65" s="1362">
        <f t="shared" si="10"/>
        <v>115.5</v>
      </c>
      <c r="K65" s="1362">
        <f t="shared" si="10"/>
        <v>115.5</v>
      </c>
      <c r="L65" s="1362">
        <f t="shared" si="10"/>
        <v>115.5</v>
      </c>
      <c r="M65" s="1752">
        <f t="shared" si="7"/>
        <v>693</v>
      </c>
    </row>
    <row r="66" spans="1:18" ht="12.75" thickBot="1">
      <c r="A66" s="1730"/>
      <c r="B66" s="1364" t="s">
        <v>897</v>
      </c>
      <c r="C66" s="1831" t="s">
        <v>1001</v>
      </c>
      <c r="D66" s="1292" t="s">
        <v>1090</v>
      </c>
      <c r="E66" s="2203" t="str">
        <f>VLOOKUP(B66,$B$236:$E$311,4,0)</f>
        <v>A Jun 2030</v>
      </c>
      <c r="F66" s="1777">
        <v>38.9</v>
      </c>
      <c r="G66" s="1362">
        <f t="shared" si="10"/>
        <v>879.91800000000001</v>
      </c>
      <c r="H66" s="1362">
        <f t="shared" si="10"/>
        <v>879.91800000000001</v>
      </c>
      <c r="I66" s="1362">
        <f t="shared" si="10"/>
        <v>879.91800000000001</v>
      </c>
      <c r="J66" s="1362">
        <f t="shared" si="10"/>
        <v>879.91800000000001</v>
      </c>
      <c r="K66" s="1362">
        <f t="shared" si="10"/>
        <v>879.91800000000001</v>
      </c>
      <c r="L66" s="1362">
        <f t="shared" si="10"/>
        <v>879.91800000000001</v>
      </c>
      <c r="M66" s="1752">
        <f t="shared" si="7"/>
        <v>5279.5079999999998</v>
      </c>
    </row>
    <row r="67" spans="1:18" ht="12.75" thickBot="1">
      <c r="A67" s="1361"/>
      <c r="B67" s="1361"/>
      <c r="C67" s="1832"/>
      <c r="D67" s="1361"/>
      <c r="E67" s="2204"/>
      <c r="F67" s="1778"/>
      <c r="G67" s="1360"/>
      <c r="H67" s="1360"/>
      <c r="I67" s="1360"/>
      <c r="J67" s="1360"/>
      <c r="K67" s="1360"/>
      <c r="L67" s="1360"/>
      <c r="M67" s="1345">
        <f t="shared" si="7"/>
        <v>0</v>
      </c>
    </row>
    <row r="68" spans="1:18">
      <c r="A68" s="1725"/>
      <c r="B68" s="1297"/>
      <c r="C68" s="1833" t="s">
        <v>549</v>
      </c>
      <c r="D68" s="1296"/>
      <c r="E68" s="2202"/>
      <c r="F68" s="1776"/>
      <c r="G68" s="1359">
        <f t="shared" ref="G68:L68" si="11">SUM(G35:G67)</f>
        <v>16199.070465900444</v>
      </c>
      <c r="H68" s="1359">
        <f t="shared" si="11"/>
        <v>16159.381953900445</v>
      </c>
      <c r="I68" s="1359">
        <f t="shared" si="11"/>
        <v>16149.459825900445</v>
      </c>
      <c r="J68" s="1359">
        <f t="shared" si="11"/>
        <v>16169.304081900444</v>
      </c>
      <c r="K68" s="1359">
        <f t="shared" si="11"/>
        <v>16052.693947900445</v>
      </c>
      <c r="L68" s="1359">
        <f t="shared" si="11"/>
        <v>16186.782069900446</v>
      </c>
      <c r="M68" s="1359">
        <f t="shared" si="7"/>
        <v>96916.692345402669</v>
      </c>
    </row>
    <row r="69" spans="1:18">
      <c r="A69" s="1729"/>
      <c r="B69" s="1351"/>
      <c r="C69" s="1834"/>
      <c r="D69" s="1358"/>
      <c r="E69" s="2205"/>
      <c r="F69" s="2254"/>
      <c r="G69" s="1347"/>
      <c r="H69" s="1347"/>
      <c r="I69" s="1347"/>
      <c r="J69" s="1347"/>
      <c r="K69" s="1347"/>
      <c r="L69" s="1347"/>
      <c r="M69" s="1347">
        <f t="shared" si="7"/>
        <v>0</v>
      </c>
    </row>
    <row r="70" spans="1:18" ht="12.75" thickBot="1">
      <c r="A70" s="1723"/>
      <c r="B70" s="1293"/>
      <c r="C70" s="1835" t="s">
        <v>103</v>
      </c>
      <c r="D70" s="1292"/>
      <c r="E70" s="2203"/>
      <c r="F70" s="1779"/>
      <c r="G70" s="1357">
        <f t="shared" ref="G70:L70" si="12">+G68</f>
        <v>16199.070465900444</v>
      </c>
      <c r="H70" s="1357">
        <f t="shared" si="12"/>
        <v>16159.381953900445</v>
      </c>
      <c r="I70" s="1357">
        <f t="shared" si="12"/>
        <v>16149.459825900445</v>
      </c>
      <c r="J70" s="1357">
        <f t="shared" si="12"/>
        <v>16169.304081900444</v>
      </c>
      <c r="K70" s="1357">
        <f t="shared" si="12"/>
        <v>16052.693947900445</v>
      </c>
      <c r="L70" s="1357">
        <f t="shared" si="12"/>
        <v>16186.782069900446</v>
      </c>
      <c r="M70" s="1357">
        <f t="shared" si="7"/>
        <v>96916.692345402669</v>
      </c>
    </row>
    <row r="71" spans="1:18">
      <c r="A71" s="1728"/>
      <c r="B71" s="1356"/>
      <c r="C71" s="851"/>
      <c r="F71" s="1768"/>
      <c r="G71" s="1355"/>
      <c r="H71" s="1355"/>
      <c r="I71" s="1355"/>
      <c r="J71" s="1355"/>
      <c r="K71" s="1355"/>
      <c r="L71" s="1355"/>
      <c r="M71" s="1355"/>
    </row>
    <row r="72" spans="1:18" ht="15.75">
      <c r="A72" s="1686"/>
      <c r="B72" s="1685" t="s">
        <v>1111</v>
      </c>
      <c r="C72" s="1382"/>
      <c r="D72" s="1288"/>
      <c r="E72" s="2191"/>
      <c r="F72" s="2253" t="s">
        <v>1729</v>
      </c>
      <c r="G72" s="1684"/>
      <c r="H72" s="1684"/>
      <c r="I72" s="1684"/>
      <c r="J72" s="1684"/>
      <c r="K72" s="1684"/>
      <c r="L72" s="1684"/>
      <c r="M72" s="1751"/>
    </row>
    <row r="73" spans="1:18">
      <c r="A73" s="1679"/>
      <c r="B73" s="1261" t="s">
        <v>545</v>
      </c>
      <c r="C73" s="1836" t="str">
        <f t="shared" ref="C73:C113" si="13">VLOOKUP(B73,$B$236:$E$311,2,0)</f>
        <v>ELECTRO INVEST. - ENMIENDA 5</v>
      </c>
      <c r="D73" s="1276" t="str">
        <f t="shared" ref="D73:D108" si="14">VLOOKUP(B73,$B$236:$D$311,3,0)</f>
        <v>H</v>
      </c>
      <c r="E73" s="2206" t="str">
        <f t="shared" ref="E73:E104" si="15">VLOOKUP(B73,$B$236:$E$311,4,0)</f>
        <v>2016-Jun27</v>
      </c>
      <c r="F73" s="1780"/>
      <c r="G73" s="1350">
        <f t="shared" ref="G73:L82" si="16">IF(SUMIF($B$317:$B$380,$B73,G$317:G$380)*SUMIF($B$461:$B$522,$B73,G$461:G$522)=0,"",SUMIF($B$317:$B$380,$B73,G$317:G$380)*SUMIF($B$461:$B$522,$B73,G$461:G$522))</f>
        <v>40.643330957042437</v>
      </c>
      <c r="H73" s="1350">
        <f t="shared" si="16"/>
        <v>40.382709332846019</v>
      </c>
      <c r="I73" s="1350">
        <f t="shared" si="16"/>
        <v>40.545960135741709</v>
      </c>
      <c r="J73" s="1350">
        <f t="shared" si="16"/>
        <v>44.608160844533344</v>
      </c>
      <c r="K73" s="1350">
        <f t="shared" si="16"/>
        <v>39.933174611799807</v>
      </c>
      <c r="L73" s="1350">
        <f t="shared" si="16"/>
        <v>39.240126003345175</v>
      </c>
      <c r="M73" s="1753">
        <f t="shared" ref="M73:M113" si="17">SUM(G73:L73)</f>
        <v>245.35346188530852</v>
      </c>
    </row>
    <row r="74" spans="1:18">
      <c r="A74" s="1679"/>
      <c r="B74" s="1286" t="s">
        <v>547</v>
      </c>
      <c r="C74" s="1836" t="str">
        <f t="shared" si="13"/>
        <v>FORTUNA</v>
      </c>
      <c r="D74" s="1276" t="str">
        <f t="shared" si="14"/>
        <v>H</v>
      </c>
      <c r="E74" s="2206" t="str">
        <f t="shared" si="15"/>
        <v>2015-2029</v>
      </c>
      <c r="F74" s="1780"/>
      <c r="G74" s="1350">
        <f t="shared" si="16"/>
        <v>93.883364275623705</v>
      </c>
      <c r="H74" s="1350">
        <f t="shared" si="16"/>
        <v>93.281345831111921</v>
      </c>
      <c r="I74" s="1350">
        <f t="shared" si="16"/>
        <v>93.6584442193504</v>
      </c>
      <c r="J74" s="1350">
        <f t="shared" si="16"/>
        <v>103.04185497638878</v>
      </c>
      <c r="K74" s="1350">
        <f t="shared" si="16"/>
        <v>92.242950823204495</v>
      </c>
      <c r="L74" s="1350">
        <f t="shared" si="16"/>
        <v>90.642055093545167</v>
      </c>
      <c r="M74" s="1753">
        <f t="shared" si="17"/>
        <v>566.75001521922457</v>
      </c>
    </row>
    <row r="75" spans="1:18">
      <c r="A75" s="1679"/>
      <c r="B75" s="1286" t="s">
        <v>558</v>
      </c>
      <c r="C75" s="1836" t="str">
        <f t="shared" si="13"/>
        <v xml:space="preserve">HIDROECOLOGICA DEL TERIBE </v>
      </c>
      <c r="D75" s="1276" t="str">
        <f t="shared" si="14"/>
        <v>H</v>
      </c>
      <c r="E75" s="2206" t="str">
        <f t="shared" si="15"/>
        <v>2015-2029</v>
      </c>
      <c r="F75" s="1780"/>
      <c r="G75" s="1350">
        <f t="shared" si="16"/>
        <v>34.210611678259014</v>
      </c>
      <c r="H75" s="1350">
        <f t="shared" si="16"/>
        <v>33.991239275200698</v>
      </c>
      <c r="I75" s="1350">
        <f t="shared" si="16"/>
        <v>34.128651974714217</v>
      </c>
      <c r="J75" s="1350">
        <f t="shared" si="16"/>
        <v>37.547918253713419</v>
      </c>
      <c r="K75" s="1350">
        <f t="shared" si="16"/>
        <v>33.612853512629691</v>
      </c>
      <c r="L75" s="1350">
        <f t="shared" si="16"/>
        <v>33.02949540049417</v>
      </c>
      <c r="M75" s="1753">
        <f t="shared" si="17"/>
        <v>206.52077009501122</v>
      </c>
    </row>
    <row r="76" spans="1:18">
      <c r="A76" s="1679"/>
      <c r="B76" s="1286" t="s">
        <v>559</v>
      </c>
      <c r="C76" s="1836" t="str">
        <f t="shared" si="13"/>
        <v xml:space="preserve">ESEPSA </v>
      </c>
      <c r="D76" s="1276" t="str">
        <f t="shared" si="14"/>
        <v>H</v>
      </c>
      <c r="E76" s="2206" t="str">
        <f t="shared" si="15"/>
        <v>2015-2029</v>
      </c>
      <c r="F76" s="1780"/>
      <c r="G76" s="1350">
        <f t="shared" si="16"/>
        <v>16.908022322460539</v>
      </c>
      <c r="H76" s="1350">
        <f t="shared" si="16"/>
        <v>16.799601183349516</v>
      </c>
      <c r="I76" s="1350">
        <f t="shared" si="16"/>
        <v>16.867515110543067</v>
      </c>
      <c r="J76" s="1350">
        <f t="shared" si="16"/>
        <v>18.557430249023199</v>
      </c>
      <c r="K76" s="1350">
        <f t="shared" si="16"/>
        <v>16.612590352317881</v>
      </c>
      <c r="L76" s="1350">
        <f t="shared" si="16"/>
        <v>16.324275367635977</v>
      </c>
      <c r="M76" s="1753">
        <f t="shared" si="17"/>
        <v>102.06943458533019</v>
      </c>
    </row>
    <row r="77" spans="1:18">
      <c r="A77" s="1679"/>
      <c r="B77" s="1286" t="s">
        <v>560</v>
      </c>
      <c r="C77" s="1836" t="str">
        <f t="shared" si="13"/>
        <v xml:space="preserve">PEDREGALITO </v>
      </c>
      <c r="D77" s="1276" t="str">
        <f t="shared" si="14"/>
        <v>H</v>
      </c>
      <c r="E77" s="2206" t="str">
        <f t="shared" si="15"/>
        <v>2015-2029</v>
      </c>
      <c r="F77" s="1780"/>
      <c r="G77" s="1350">
        <f t="shared" si="16"/>
        <v>7.2367366611984085</v>
      </c>
      <c r="H77" s="1350">
        <f t="shared" si="16"/>
        <v>7.1903317524935408</v>
      </c>
      <c r="I77" s="1350">
        <f t="shared" si="16"/>
        <v>7.2193993274798043</v>
      </c>
      <c r="J77" s="1350">
        <f t="shared" si="16"/>
        <v>7.942693312058223</v>
      </c>
      <c r="K77" s="1350">
        <f t="shared" si="16"/>
        <v>7.1102899763971106</v>
      </c>
      <c r="L77" s="1350">
        <f t="shared" si="16"/>
        <v>6.9868894047732644</v>
      </c>
      <c r="M77" s="1753">
        <f t="shared" si="17"/>
        <v>43.686340434400357</v>
      </c>
    </row>
    <row r="78" spans="1:18">
      <c r="A78" s="1679"/>
      <c r="B78" s="1286" t="s">
        <v>561</v>
      </c>
      <c r="C78" s="1836" t="str">
        <f t="shared" si="13"/>
        <v xml:space="preserve">CALDERA </v>
      </c>
      <c r="D78" s="1276" t="str">
        <f t="shared" si="14"/>
        <v>H</v>
      </c>
      <c r="E78" s="2206" t="str">
        <f t="shared" si="15"/>
        <v>2015-2029</v>
      </c>
      <c r="F78" s="1780"/>
      <c r="G78" s="1350">
        <f t="shared" si="16"/>
        <v>6.4386473317159423</v>
      </c>
      <c r="H78" s="1350">
        <f t="shared" si="16"/>
        <v>6.3973600974832623</v>
      </c>
      <c r="I78" s="1350">
        <f t="shared" si="16"/>
        <v>6.4232220118912089</v>
      </c>
      <c r="J78" s="1350">
        <f t="shared" si="16"/>
        <v>7.0667489359565678</v>
      </c>
      <c r="K78" s="1350">
        <f t="shared" si="16"/>
        <v>6.3261455719012663</v>
      </c>
      <c r="L78" s="1350">
        <f t="shared" si="16"/>
        <v>6.2163539906381002</v>
      </c>
      <c r="M78" s="1753">
        <f t="shared" si="17"/>
        <v>38.868477939586342</v>
      </c>
      <c r="O78" s="687"/>
      <c r="P78" s="687"/>
      <c r="Q78" s="687"/>
      <c r="R78" s="687"/>
    </row>
    <row r="79" spans="1:18" s="687" customFormat="1">
      <c r="A79" s="1679"/>
      <c r="B79" s="1286" t="s">
        <v>562</v>
      </c>
      <c r="C79" s="1836" t="str">
        <f t="shared" si="13"/>
        <v xml:space="preserve">RIO CHICO </v>
      </c>
      <c r="D79" s="1276" t="str">
        <f t="shared" si="14"/>
        <v>H</v>
      </c>
      <c r="E79" s="2206" t="str">
        <f t="shared" si="15"/>
        <v>2015-2029</v>
      </c>
      <c r="F79" s="1780"/>
      <c r="G79" s="1350">
        <f t="shared" si="16"/>
        <v>4.4379842598448684</v>
      </c>
      <c r="H79" s="1350">
        <f t="shared" si="16"/>
        <v>4.409526093677794</v>
      </c>
      <c r="I79" s="1350">
        <f t="shared" si="16"/>
        <v>4.4273520069727423</v>
      </c>
      <c r="J79" s="1350">
        <f t="shared" si="16"/>
        <v>4.8709175903399737</v>
      </c>
      <c r="K79" s="1350">
        <f t="shared" si="16"/>
        <v>4.3604398606038988</v>
      </c>
      <c r="L79" s="1350">
        <f t="shared" si="16"/>
        <v>4.2847635136312574</v>
      </c>
      <c r="M79" s="1753">
        <f t="shared" si="17"/>
        <v>26.790983325070538</v>
      </c>
    </row>
    <row r="80" spans="1:18" s="687" customFormat="1">
      <c r="A80" s="1679"/>
      <c r="B80" s="1286" t="s">
        <v>563</v>
      </c>
      <c r="C80" s="1836" t="str">
        <f t="shared" si="13"/>
        <v xml:space="preserve">ALTO VALLE </v>
      </c>
      <c r="D80" s="1276" t="str">
        <f t="shared" si="14"/>
        <v>H</v>
      </c>
      <c r="E80" s="2206" t="str">
        <f t="shared" si="15"/>
        <v>2015-2029</v>
      </c>
      <c r="F80" s="1780"/>
      <c r="G80" s="1350">
        <f t="shared" si="16"/>
        <v>4.2230030325017438</v>
      </c>
      <c r="H80" s="1350">
        <f t="shared" si="16"/>
        <v>4.1959234136958861</v>
      </c>
      <c r="I80" s="1350">
        <f t="shared" si="16"/>
        <v>4.2128858185837998</v>
      </c>
      <c r="J80" s="1350">
        <f t="shared" si="16"/>
        <v>4.6349645583895844</v>
      </c>
      <c r="K80" s="1350">
        <f t="shared" si="16"/>
        <v>4.1492149760385626</v>
      </c>
      <c r="L80" s="1350">
        <f t="shared" si="16"/>
        <v>4.0772044811736512</v>
      </c>
      <c r="M80" s="1753">
        <f t="shared" si="17"/>
        <v>25.493196280383231</v>
      </c>
      <c r="O80" s="337"/>
      <c r="P80" s="337"/>
      <c r="Q80" s="337"/>
      <c r="R80" s="337"/>
    </row>
    <row r="81" spans="1:18">
      <c r="A81" s="1679"/>
      <c r="B81" s="1286" t="s">
        <v>564</v>
      </c>
      <c r="C81" s="1836" t="str">
        <f t="shared" si="13"/>
        <v xml:space="preserve">DESARROLLO HIDRO CORP </v>
      </c>
      <c r="D81" s="1276" t="str">
        <f t="shared" si="14"/>
        <v>H</v>
      </c>
      <c r="E81" s="2206" t="str">
        <f t="shared" si="15"/>
        <v>2015-2029</v>
      </c>
      <c r="F81" s="1780"/>
      <c r="G81" s="1350">
        <f t="shared" si="16"/>
        <v>6.2263809568363389</v>
      </c>
      <c r="H81" s="1350">
        <f t="shared" si="16"/>
        <v>6.1864548612229795</v>
      </c>
      <c r="I81" s="1350">
        <f t="shared" si="16"/>
        <v>6.2114641718873118</v>
      </c>
      <c r="J81" s="1350">
        <f t="shared" si="16"/>
        <v>6.8337755952005335</v>
      </c>
      <c r="K81" s="1350">
        <f t="shared" si="16"/>
        <v>6.1175881034880586</v>
      </c>
      <c r="L81" s="1350">
        <f t="shared" si="16"/>
        <v>6.0114160807666739</v>
      </c>
      <c r="M81" s="1753">
        <f t="shared" si="17"/>
        <v>37.587079769401896</v>
      </c>
    </row>
    <row r="82" spans="1:18">
      <c r="A82" s="1679"/>
      <c r="B82" s="1286" t="s">
        <v>565</v>
      </c>
      <c r="C82" s="1836" t="str">
        <f t="shared" si="13"/>
        <v xml:space="preserve">SAN LORENZO </v>
      </c>
      <c r="D82" s="1276" t="str">
        <f t="shared" si="14"/>
        <v>H</v>
      </c>
      <c r="E82" s="2206" t="str">
        <f t="shared" si="15"/>
        <v>2015-2029</v>
      </c>
      <c r="F82" s="1780"/>
      <c r="G82" s="1350">
        <f t="shared" si="16"/>
        <v>4.0450278313236305</v>
      </c>
      <c r="H82" s="1350">
        <f t="shared" si="16"/>
        <v>4.0190894621374653</v>
      </c>
      <c r="I82" s="1350">
        <f t="shared" si="16"/>
        <v>4.0353369995722534</v>
      </c>
      <c r="J82" s="1350">
        <f t="shared" si="16"/>
        <v>4.4396275568804642</v>
      </c>
      <c r="K82" s="1350">
        <f t="shared" si="16"/>
        <v>3.9743495155100561</v>
      </c>
      <c r="L82" s="1350">
        <f t="shared" si="16"/>
        <v>3.9053738473340851</v>
      </c>
      <c r="M82" s="1753">
        <f t="shared" si="17"/>
        <v>24.418805212757956</v>
      </c>
    </row>
    <row r="83" spans="1:18">
      <c r="A83" s="1679"/>
      <c r="B83" s="1286" t="s">
        <v>566</v>
      </c>
      <c r="C83" s="1836" t="str">
        <f t="shared" si="13"/>
        <v xml:space="preserve">ELECTROGENERADORA ISTMO </v>
      </c>
      <c r="D83" s="1276" t="str">
        <f t="shared" si="14"/>
        <v>H</v>
      </c>
      <c r="E83" s="2206" t="str">
        <f t="shared" si="15"/>
        <v>2015-2029</v>
      </c>
      <c r="F83" s="1780"/>
      <c r="G83" s="1350">
        <f t="shared" ref="G83:L92" si="18">IF(SUMIF($B$317:$B$380,$B83,G$317:G$380)*SUMIF($B$461:$B$522,$B83,G$461:G$522)=0,"",SUMIF($B$317:$B$380,$B83,G$317:G$380)*SUMIF($B$461:$B$522,$B83,G$461:G$522))</f>
        <v>2.6828099580645683</v>
      </c>
      <c r="H83" s="1350">
        <f t="shared" si="18"/>
        <v>2.665606685787989</v>
      </c>
      <c r="I83" s="1350">
        <f t="shared" si="18"/>
        <v>2.6763826450747294</v>
      </c>
      <c r="J83" s="1350">
        <f t="shared" si="18"/>
        <v>2.9445228849758789</v>
      </c>
      <c r="K83" s="1350">
        <f t="shared" si="18"/>
        <v>2.635933521760335</v>
      </c>
      <c r="L83" s="1350">
        <f t="shared" si="18"/>
        <v>2.5901863434557306</v>
      </c>
      <c r="M83" s="1753">
        <f t="shared" si="17"/>
        <v>16.195442039119232</v>
      </c>
    </row>
    <row r="84" spans="1:18">
      <c r="A84" s="1679"/>
      <c r="B84" s="1313" t="s">
        <v>568</v>
      </c>
      <c r="C84" s="1836" t="str">
        <f t="shared" si="13"/>
        <v>UEP NUEVO CHAGRES</v>
      </c>
      <c r="D84" s="1276" t="str">
        <f t="shared" si="14"/>
        <v>Eo</v>
      </c>
      <c r="E84" s="2206" t="str">
        <f t="shared" si="15"/>
        <v>Hasta-2029</v>
      </c>
      <c r="F84" s="1780"/>
      <c r="G84" s="1350">
        <f t="shared" si="18"/>
        <v>28.475664954495908</v>
      </c>
      <c r="H84" s="1350">
        <f t="shared" si="18"/>
        <v>25.069228124183773</v>
      </c>
      <c r="I84" s="1350">
        <f t="shared" si="18"/>
        <v>15.997222241117866</v>
      </c>
      <c r="J84" s="1350">
        <f t="shared" si="18"/>
        <v>24.241433490244223</v>
      </c>
      <c r="K84" s="1350">
        <f t="shared" si="18"/>
        <v>43.749021573799517</v>
      </c>
      <c r="L84" s="1350">
        <f t="shared" si="18"/>
        <v>93.780093115115918</v>
      </c>
      <c r="M84" s="1753">
        <f t="shared" si="17"/>
        <v>231.31266349895719</v>
      </c>
    </row>
    <row r="85" spans="1:18">
      <c r="A85" s="1679"/>
      <c r="B85" s="1313" t="s">
        <v>571</v>
      </c>
      <c r="C85" s="1836" t="str">
        <f t="shared" si="13"/>
        <v>UEP ROSA DE LOS VIENTOS</v>
      </c>
      <c r="D85" s="1276" t="str">
        <f t="shared" si="14"/>
        <v>Eo</v>
      </c>
      <c r="E85" s="2206" t="str">
        <f t="shared" si="15"/>
        <v>Hasta-2029</v>
      </c>
      <c r="F85" s="1780"/>
      <c r="G85" s="1350">
        <f t="shared" si="18"/>
        <v>29.37489647937473</v>
      </c>
      <c r="H85" s="1350">
        <f t="shared" si="18"/>
        <v>25.86088795968432</v>
      </c>
      <c r="I85" s="1350">
        <f t="shared" si="18"/>
        <v>16.502397680311063</v>
      </c>
      <c r="J85" s="1350">
        <f t="shared" si="18"/>
        <v>25.006952442567727</v>
      </c>
      <c r="K85" s="1350">
        <f t="shared" si="18"/>
        <v>45.130569623498452</v>
      </c>
      <c r="L85" s="1350">
        <f t="shared" si="18"/>
        <v>96.741569739803808</v>
      </c>
      <c r="M85" s="1753">
        <f t="shared" si="17"/>
        <v>238.61727392524011</v>
      </c>
    </row>
    <row r="86" spans="1:18">
      <c r="A86" s="1679"/>
      <c r="B86" s="1313" t="s">
        <v>573</v>
      </c>
      <c r="C86" s="1836" t="str">
        <f t="shared" si="13"/>
        <v>UEP PORTOBELO</v>
      </c>
      <c r="D86" s="1276" t="str">
        <f t="shared" si="14"/>
        <v>Eo</v>
      </c>
      <c r="E86" s="2206" t="str">
        <f t="shared" si="15"/>
        <v>Hasta-2029</v>
      </c>
      <c r="F86" s="1780"/>
      <c r="G86" s="1350">
        <f t="shared" si="18"/>
        <v>32.372334895637472</v>
      </c>
      <c r="H86" s="1350">
        <f t="shared" si="18"/>
        <v>28.499754078019464</v>
      </c>
      <c r="I86" s="1350">
        <f t="shared" si="18"/>
        <v>18.186315810955058</v>
      </c>
      <c r="J86" s="1350">
        <f t="shared" si="18"/>
        <v>27.558682283646078</v>
      </c>
      <c r="K86" s="1350">
        <f t="shared" si="18"/>
        <v>49.735729789161581</v>
      </c>
      <c r="L86" s="1350">
        <f t="shared" si="18"/>
        <v>106.61315848876342</v>
      </c>
      <c r="M86" s="1753">
        <f t="shared" si="17"/>
        <v>262.96597534618309</v>
      </c>
    </row>
    <row r="87" spans="1:18">
      <c r="A87" s="1679"/>
      <c r="B87" s="1313" t="s">
        <v>575</v>
      </c>
      <c r="C87" s="1836" t="str">
        <f t="shared" si="13"/>
        <v>UEP MARAÑON</v>
      </c>
      <c r="D87" s="1276" t="str">
        <f t="shared" si="14"/>
        <v>Eo</v>
      </c>
      <c r="E87" s="2206" t="str">
        <f t="shared" si="15"/>
        <v>Hasta-2029</v>
      </c>
      <c r="F87" s="1780"/>
      <c r="G87" s="1350">
        <f t="shared" si="18"/>
        <v>32.97182257889002</v>
      </c>
      <c r="H87" s="1350">
        <f t="shared" si="18"/>
        <v>29.027527301686494</v>
      </c>
      <c r="I87" s="1350">
        <f t="shared" si="18"/>
        <v>18.523099437083854</v>
      </c>
      <c r="J87" s="1350">
        <f t="shared" si="18"/>
        <v>28.069028251861749</v>
      </c>
      <c r="K87" s="1350">
        <f t="shared" si="18"/>
        <v>50.6567618222942</v>
      </c>
      <c r="L87" s="1350">
        <f t="shared" si="18"/>
        <v>108.58747623855534</v>
      </c>
      <c r="M87" s="1753">
        <f t="shared" si="17"/>
        <v>267.83571563037168</v>
      </c>
    </row>
    <row r="88" spans="1:18">
      <c r="A88" s="1679"/>
      <c r="B88" s="1313" t="s">
        <v>831</v>
      </c>
      <c r="C88" s="1836" t="str">
        <f t="shared" si="13"/>
        <v>AES PANAMA (CHAN 2)</v>
      </c>
      <c r="D88" s="1276" t="str">
        <f t="shared" si="14"/>
        <v>H</v>
      </c>
      <c r="E88" s="2206" t="str">
        <f t="shared" si="15"/>
        <v>2019-2030</v>
      </c>
      <c r="F88" s="1780"/>
      <c r="G88" s="1350">
        <f t="shared" si="18"/>
        <v>1289.2084920308778</v>
      </c>
      <c r="H88" s="1350">
        <f t="shared" si="18"/>
        <v>1280.941561068058</v>
      </c>
      <c r="I88" s="1350">
        <f t="shared" si="18"/>
        <v>1286.1198847061091</v>
      </c>
      <c r="J88" s="1350">
        <f t="shared" si="18"/>
        <v>1414.9730944896098</v>
      </c>
      <c r="K88" s="1350">
        <f t="shared" si="18"/>
        <v>1266.6822972186446</v>
      </c>
      <c r="L88" s="1350">
        <f t="shared" si="18"/>
        <v>1244.6987606735161</v>
      </c>
      <c r="M88" s="1753">
        <f t="shared" si="17"/>
        <v>7782.624090186815</v>
      </c>
    </row>
    <row r="89" spans="1:18">
      <c r="A89" s="1679"/>
      <c r="B89" s="1313" t="s">
        <v>687</v>
      </c>
      <c r="C89" s="1836" t="str">
        <f t="shared" si="13"/>
        <v>HIDRO PIEDRA</v>
      </c>
      <c r="D89" s="1276" t="str">
        <f t="shared" si="14"/>
        <v>H</v>
      </c>
      <c r="E89" s="2206" t="str">
        <f t="shared" si="15"/>
        <v>2019-2030</v>
      </c>
      <c r="F89" s="1780"/>
      <c r="G89" s="1350">
        <f t="shared" si="18"/>
        <v>7.4930182252364119</v>
      </c>
      <c r="H89" s="1350">
        <f t="shared" si="18"/>
        <v>7.4449699345572249</v>
      </c>
      <c r="I89" s="1350">
        <f t="shared" si="18"/>
        <v>7.475066907727923</v>
      </c>
      <c r="J89" s="1350">
        <f t="shared" si="18"/>
        <v>8.2239756026799995</v>
      </c>
      <c r="K89" s="1350">
        <f t="shared" si="18"/>
        <v>7.3620935615248078</v>
      </c>
      <c r="L89" s="1350">
        <f t="shared" si="18"/>
        <v>7.2343228859467148</v>
      </c>
      <c r="M89" s="1753">
        <f t="shared" si="17"/>
        <v>45.233447117673087</v>
      </c>
    </row>
    <row r="90" spans="1:18">
      <c r="A90" s="1679"/>
      <c r="B90" s="1313" t="s">
        <v>688</v>
      </c>
      <c r="C90" s="1836" t="str">
        <f t="shared" si="13"/>
        <v>CORPORACION ENERGIA DEL ISTMO</v>
      </c>
      <c r="D90" s="1276" t="str">
        <f t="shared" si="14"/>
        <v>H</v>
      </c>
      <c r="E90" s="2206" t="str">
        <f t="shared" si="15"/>
        <v>2019-2030</v>
      </c>
      <c r="F90" s="1780"/>
      <c r="G90" s="1350">
        <f t="shared" si="18"/>
        <v>36.960386641041438</v>
      </c>
      <c r="H90" s="1350">
        <f t="shared" si="18"/>
        <v>36.723381558768608</v>
      </c>
      <c r="I90" s="1350">
        <f t="shared" si="18"/>
        <v>36.871839193819788</v>
      </c>
      <c r="J90" s="1350">
        <f t="shared" si="18"/>
        <v>40.565938699816023</v>
      </c>
      <c r="K90" s="1350">
        <f t="shared" si="18"/>
        <v>36.31458196712093</v>
      </c>
      <c r="L90" s="1350">
        <f t="shared" si="18"/>
        <v>35.684334791844051</v>
      </c>
      <c r="M90" s="1753">
        <f t="shared" si="17"/>
        <v>223.12046285241081</v>
      </c>
    </row>
    <row r="91" spans="1:18">
      <c r="A91" s="1679"/>
      <c r="B91" s="1313" t="s">
        <v>800</v>
      </c>
      <c r="C91" s="1836" t="str">
        <f t="shared" si="13"/>
        <v>SALTOS DE FRANCOLI</v>
      </c>
      <c r="D91" s="1276" t="str">
        <f t="shared" si="14"/>
        <v>H</v>
      </c>
      <c r="E91" s="2206" t="str">
        <f t="shared" si="15"/>
        <v>2019-2030</v>
      </c>
      <c r="F91" s="1780"/>
      <c r="G91" s="1350">
        <f t="shared" si="18"/>
        <v>4.0026371041075821</v>
      </c>
      <c r="H91" s="1350">
        <f t="shared" si="18"/>
        <v>3.9769705615635189</v>
      </c>
      <c r="I91" s="1350">
        <f t="shared" si="18"/>
        <v>3.9930478294832241</v>
      </c>
      <c r="J91" s="1350">
        <f t="shared" si="18"/>
        <v>4.3931015381353742</v>
      </c>
      <c r="K91" s="1350">
        <f t="shared" si="18"/>
        <v>3.9326994766973202</v>
      </c>
      <c r="L91" s="1350">
        <f t="shared" si="18"/>
        <v>3.864446653667569</v>
      </c>
      <c r="M91" s="1753">
        <f t="shared" si="17"/>
        <v>24.162903163654583</v>
      </c>
    </row>
    <row r="92" spans="1:18">
      <c r="A92" s="1679"/>
      <c r="B92" s="1261" t="s">
        <v>690</v>
      </c>
      <c r="C92" s="1836" t="str">
        <f t="shared" si="13"/>
        <v>ISTMUS HIDRO POWER</v>
      </c>
      <c r="D92" s="1276" t="str">
        <f t="shared" si="14"/>
        <v>H SE</v>
      </c>
      <c r="E92" s="2206" t="str">
        <f t="shared" si="15"/>
        <v>2016-2027</v>
      </c>
      <c r="F92" s="1780"/>
      <c r="G92" s="1350">
        <f t="shared" si="18"/>
        <v>14.0351070930794</v>
      </c>
      <c r="H92" s="1350">
        <f t="shared" si="18"/>
        <v>9.362927577691206</v>
      </c>
      <c r="I92" s="1350">
        <f t="shared" si="18"/>
        <v>12.653078982867308</v>
      </c>
      <c r="J92" s="1350">
        <f t="shared" si="18"/>
        <v>12.730278895251312</v>
      </c>
      <c r="K92" s="1350">
        <f t="shared" si="18"/>
        <v>13.07339939809013</v>
      </c>
      <c r="L92" s="1350">
        <f t="shared" si="18"/>
        <v>12.255880705930627</v>
      </c>
      <c r="M92" s="1753">
        <f t="shared" si="17"/>
        <v>74.110672652909983</v>
      </c>
    </row>
    <row r="93" spans="1:18">
      <c r="A93" s="1679"/>
      <c r="B93" s="1261" t="s">
        <v>579</v>
      </c>
      <c r="C93" s="1836" t="str">
        <f t="shared" si="13"/>
        <v>CALDERA ENERGY CORP</v>
      </c>
      <c r="D93" s="1276" t="str">
        <f t="shared" si="14"/>
        <v>H SE</v>
      </c>
      <c r="E93" s="2206" t="str">
        <f t="shared" si="15"/>
        <v>2016-2027</v>
      </c>
      <c r="F93" s="1780"/>
      <c r="G93" s="1350">
        <f t="shared" ref="G93:L102" si="19">IF(SUMIF($B$317:$B$380,$B93,G$317:G$380)*SUMIF($B$461:$B$522,$B93,G$461:G$522)=0,"",SUMIF($B$317:$B$380,$B93,G$317:G$380)*SUMIF($B$461:$B$522,$B93,G$461:G$522))</f>
        <v>15.789495479714324</v>
      </c>
      <c r="H93" s="1350">
        <f t="shared" si="19"/>
        <v>26.677598408186046</v>
      </c>
      <c r="I93" s="1350">
        <f t="shared" si="19"/>
        <v>30.361910717849749</v>
      </c>
      <c r="J93" s="1350">
        <f t="shared" si="19"/>
        <v>47.887146705798706</v>
      </c>
      <c r="K93" s="1350">
        <f t="shared" si="19"/>
        <v>30.577545026489187</v>
      </c>
      <c r="L93" s="1350">
        <f t="shared" si="19"/>
        <v>8.4690919431680225</v>
      </c>
      <c r="M93" s="1753">
        <f t="shared" si="17"/>
        <v>159.76278828120604</v>
      </c>
    </row>
    <row r="94" spans="1:18">
      <c r="A94" s="1679"/>
      <c r="B94" s="1261" t="s">
        <v>581</v>
      </c>
      <c r="C94" s="1836" t="str">
        <f t="shared" si="13"/>
        <v>ELECTROGENERADORA DEL ISTMO</v>
      </c>
      <c r="D94" s="1276" t="str">
        <f t="shared" si="14"/>
        <v>H SE</v>
      </c>
      <c r="E94" s="2206" t="str">
        <f t="shared" si="15"/>
        <v>2016-2027</v>
      </c>
      <c r="F94" s="1780"/>
      <c r="G94" s="1350">
        <f t="shared" si="19"/>
        <v>5.3728144340694577</v>
      </c>
      <c r="H94" s="1350">
        <f t="shared" si="19"/>
        <v>8.510431783861435</v>
      </c>
      <c r="I94" s="1350">
        <f t="shared" si="19"/>
        <v>12.234651522817744</v>
      </c>
      <c r="J94" s="1350">
        <f t="shared" si="19"/>
        <v>16.921660013827907</v>
      </c>
      <c r="K94" s="1350">
        <f t="shared" si="19"/>
        <v>11.934985405559809</v>
      </c>
      <c r="L94" s="1350">
        <f t="shared" si="19"/>
        <v>4.3227656793253448</v>
      </c>
      <c r="M94" s="1753">
        <f t="shared" si="17"/>
        <v>59.297308839461699</v>
      </c>
      <c r="O94" s="687"/>
      <c r="P94" s="687"/>
      <c r="Q94" s="687"/>
      <c r="R94" s="687"/>
    </row>
    <row r="95" spans="1:18" s="687" customFormat="1">
      <c r="A95" s="1679"/>
      <c r="B95" s="1261" t="s">
        <v>582</v>
      </c>
      <c r="C95" s="1836" t="str">
        <f t="shared" si="13"/>
        <v>FOUNTAIN INTERTRADE CORP</v>
      </c>
      <c r="D95" s="1276" t="str">
        <f t="shared" si="14"/>
        <v>H SE</v>
      </c>
      <c r="E95" s="2206" t="str">
        <f t="shared" si="15"/>
        <v>2016-2027</v>
      </c>
      <c r="F95" s="1780"/>
      <c r="G95" s="1350">
        <f t="shared" si="19"/>
        <v>71.065727388326749</v>
      </c>
      <c r="H95" s="1350">
        <f t="shared" si="19"/>
        <v>75.281029900816421</v>
      </c>
      <c r="I95" s="1350">
        <f t="shared" si="19"/>
        <v>104.53890455509264</v>
      </c>
      <c r="J95" s="1350">
        <f t="shared" si="19"/>
        <v>163.10742251292319</v>
      </c>
      <c r="K95" s="1350">
        <f t="shared" si="19"/>
        <v>106.7872945163549</v>
      </c>
      <c r="L95" s="1350">
        <f t="shared" si="19"/>
        <v>56.243843477656519</v>
      </c>
      <c r="M95" s="1753">
        <f t="shared" si="17"/>
        <v>577.02422235117035</v>
      </c>
      <c r="O95" s="337"/>
      <c r="P95" s="337"/>
      <c r="Q95" s="337"/>
      <c r="R95" s="337"/>
    </row>
    <row r="96" spans="1:18">
      <c r="A96" s="1679"/>
      <c r="B96" s="1261" t="s">
        <v>482</v>
      </c>
      <c r="C96" s="1836" t="str">
        <f t="shared" si="13"/>
        <v>HIDROIBÉRICA</v>
      </c>
      <c r="D96" s="1276" t="str">
        <f t="shared" si="14"/>
        <v>H SE</v>
      </c>
      <c r="E96" s="2206" t="str">
        <f t="shared" si="15"/>
        <v>2016-2027</v>
      </c>
      <c r="F96" s="1780"/>
      <c r="G96" s="1350">
        <f t="shared" si="19"/>
        <v>2.5659837098434291</v>
      </c>
      <c r="H96" s="1350">
        <f t="shared" si="19"/>
        <v>2.5495295751459617</v>
      </c>
      <c r="I96" s="1350">
        <f t="shared" si="19"/>
        <v>2.5598362820763549</v>
      </c>
      <c r="J96" s="1350">
        <f t="shared" si="19"/>
        <v>2.8163000265438258</v>
      </c>
      <c r="K96" s="1350">
        <f t="shared" si="19"/>
        <v>2.5211485654193533</v>
      </c>
      <c r="L96" s="1350">
        <f t="shared" si="19"/>
        <v>2.4773935040710628</v>
      </c>
      <c r="M96" s="1753">
        <f t="shared" si="17"/>
        <v>15.490191663099989</v>
      </c>
      <c r="O96" s="1375"/>
      <c r="P96" s="1375"/>
      <c r="Q96" s="1375"/>
      <c r="R96" s="1375"/>
    </row>
    <row r="97" spans="1:18">
      <c r="A97" s="1679"/>
      <c r="B97" s="1261" t="s">
        <v>584</v>
      </c>
      <c r="C97" s="1836" t="str">
        <f t="shared" si="13"/>
        <v>HIDROECOLOGICA DEL TERIBE</v>
      </c>
      <c r="D97" s="1276" t="str">
        <f t="shared" si="14"/>
        <v>H SE</v>
      </c>
      <c r="E97" s="2206" t="str">
        <f t="shared" si="15"/>
        <v>2016-2027</v>
      </c>
      <c r="F97" s="1780"/>
      <c r="G97" s="1350" t="str">
        <f t="shared" si="19"/>
        <v/>
      </c>
      <c r="H97" s="1350" t="str">
        <f t="shared" si="19"/>
        <v/>
      </c>
      <c r="I97" s="1350">
        <f t="shared" si="19"/>
        <v>3.6221226821294445</v>
      </c>
      <c r="J97" s="1350">
        <f t="shared" si="19"/>
        <v>20.873884461502005</v>
      </c>
      <c r="K97" s="1350">
        <f t="shared" si="19"/>
        <v>8.154012007063784</v>
      </c>
      <c r="L97" s="1350">
        <f t="shared" si="19"/>
        <v>7.6786433618056735</v>
      </c>
      <c r="M97" s="1753">
        <f t="shared" si="17"/>
        <v>40.328662512500905</v>
      </c>
    </row>
    <row r="98" spans="1:18" s="1376" customFormat="1">
      <c r="A98" s="1679"/>
      <c r="B98" s="1261" t="s">
        <v>1273</v>
      </c>
      <c r="C98" s="1836" t="str">
        <f t="shared" si="13"/>
        <v>Generadora Gatún (NG Power)</v>
      </c>
      <c r="D98" s="1276" t="str">
        <f t="shared" si="14"/>
        <v>Gas2</v>
      </c>
      <c r="E98" s="2206" t="str">
        <f t="shared" si="15"/>
        <v>Oct24-Sep44</v>
      </c>
      <c r="F98" s="1780"/>
      <c r="G98" s="1350">
        <f t="shared" si="19"/>
        <v>1637.7655037201041</v>
      </c>
      <c r="H98" s="1350">
        <f t="shared" si="19"/>
        <v>1627.26348295602</v>
      </c>
      <c r="I98" s="1350">
        <f t="shared" si="19"/>
        <v>1633.8418446980675</v>
      </c>
      <c r="J98" s="1350">
        <f t="shared" si="19"/>
        <v>1797.5324683105378</v>
      </c>
      <c r="K98" s="1350">
        <f t="shared" si="19"/>
        <v>1609.1490114912654</v>
      </c>
      <c r="L98" s="1350">
        <f t="shared" si="19"/>
        <v>1581.2218933983143</v>
      </c>
      <c r="M98" s="1753">
        <f t="shared" si="17"/>
        <v>9886.7742045743089</v>
      </c>
      <c r="O98" s="1377"/>
      <c r="P98" s="1377"/>
      <c r="Q98" s="1377"/>
      <c r="R98" s="1377"/>
    </row>
    <row r="99" spans="1:18" s="1377" customFormat="1">
      <c r="A99" s="1679"/>
      <c r="B99" s="1261" t="s">
        <v>586</v>
      </c>
      <c r="C99" s="1836" t="str">
        <f t="shared" si="13"/>
        <v>GENERADORA ALTO VALLE</v>
      </c>
      <c r="D99" s="1276" t="str">
        <f t="shared" si="14"/>
        <v>H SE</v>
      </c>
      <c r="E99" s="2206" t="str">
        <f t="shared" si="15"/>
        <v>2016-2027</v>
      </c>
      <c r="F99" s="1780"/>
      <c r="G99" s="1350">
        <f t="shared" si="19"/>
        <v>15.790700032610221</v>
      </c>
      <c r="H99" s="1350">
        <f t="shared" si="19"/>
        <v>19.656700605237926</v>
      </c>
      <c r="I99" s="1350">
        <f t="shared" si="19"/>
        <v>18.915777927903314</v>
      </c>
      <c r="J99" s="1350">
        <f t="shared" si="19"/>
        <v>22.264052376779425</v>
      </c>
      <c r="K99" s="1350">
        <f t="shared" si="19"/>
        <v>20.578865797115057</v>
      </c>
      <c r="L99" s="1350">
        <f t="shared" si="19"/>
        <v>9.7824241022085108</v>
      </c>
      <c r="M99" s="1753">
        <f t="shared" si="17"/>
        <v>106.98852084185445</v>
      </c>
      <c r="O99" s="337"/>
      <c r="P99" s="337"/>
      <c r="Q99" s="337"/>
      <c r="R99" s="337"/>
    </row>
    <row r="100" spans="1:18">
      <c r="A100" s="1679"/>
      <c r="B100" s="1261" t="s">
        <v>483</v>
      </c>
      <c r="C100" s="1836" t="str">
        <f t="shared" si="13"/>
        <v>CAFÉ DE ELETA</v>
      </c>
      <c r="D100" s="1276" t="str">
        <f t="shared" si="14"/>
        <v>H SE</v>
      </c>
      <c r="E100" s="2206" t="str">
        <f t="shared" si="15"/>
        <v>2016-2027</v>
      </c>
      <c r="F100" s="1780"/>
      <c r="G100" s="1350">
        <f t="shared" si="19"/>
        <v>0.86098262758820998</v>
      </c>
      <c r="H100" s="1350">
        <f t="shared" si="19"/>
        <v>0.87146821466741076</v>
      </c>
      <c r="I100" s="1350">
        <f t="shared" si="19"/>
        <v>0.80567371972698831</v>
      </c>
      <c r="J100" s="1350">
        <f t="shared" si="19"/>
        <v>0.90871721189409349</v>
      </c>
      <c r="K100" s="1350">
        <f t="shared" si="19"/>
        <v>1.4039290085103346</v>
      </c>
      <c r="L100" s="1350">
        <f t="shared" si="19"/>
        <v>0.98475164382195335</v>
      </c>
      <c r="M100" s="1753">
        <f t="shared" si="17"/>
        <v>5.8355224262089909</v>
      </c>
    </row>
    <row r="101" spans="1:18">
      <c r="A101" s="1679"/>
      <c r="B101" s="1261" t="s">
        <v>490</v>
      </c>
      <c r="C101" s="1836" t="str">
        <f t="shared" si="13"/>
        <v>EMNADESA</v>
      </c>
      <c r="D101" s="1276" t="str">
        <f t="shared" si="14"/>
        <v>H SE</v>
      </c>
      <c r="E101" s="2206" t="str">
        <f t="shared" si="15"/>
        <v>2016-2027</v>
      </c>
      <c r="F101" s="1780"/>
      <c r="G101" s="1350">
        <f t="shared" si="19"/>
        <v>7.1579046174704946</v>
      </c>
      <c r="H101" s="1350">
        <f t="shared" si="19"/>
        <v>11.585997621180175</v>
      </c>
      <c r="I101" s="1350">
        <f t="shared" si="19"/>
        <v>11.104069847403077</v>
      </c>
      <c r="J101" s="1350">
        <f t="shared" si="19"/>
        <v>9.1619748559717582</v>
      </c>
      <c r="K101" s="1350">
        <f t="shared" si="19"/>
        <v>12.498571529577456</v>
      </c>
      <c r="L101" s="1350">
        <f t="shared" si="19"/>
        <v>7.8106200445867096</v>
      </c>
      <c r="M101" s="1753">
        <f t="shared" si="17"/>
        <v>59.319138516189668</v>
      </c>
      <c r="O101" s="687"/>
      <c r="P101" s="687"/>
      <c r="Q101" s="687"/>
      <c r="R101" s="687"/>
    </row>
    <row r="102" spans="1:18" s="687" customFormat="1">
      <c r="A102" s="1679"/>
      <c r="B102" s="1261" t="s">
        <v>484</v>
      </c>
      <c r="C102" s="1836" t="str">
        <f t="shared" si="13"/>
        <v xml:space="preserve">ESEPSA </v>
      </c>
      <c r="D102" s="1276" t="str">
        <f t="shared" si="14"/>
        <v>H SE</v>
      </c>
      <c r="E102" s="2206" t="str">
        <f t="shared" si="15"/>
        <v>2016-2027</v>
      </c>
      <c r="F102" s="1780"/>
      <c r="G102" s="1350">
        <f t="shared" si="19"/>
        <v>33.742304660514712</v>
      </c>
      <c r="H102" s="1350">
        <f t="shared" si="19"/>
        <v>33.525935233165157</v>
      </c>
      <c r="I102" s="1350">
        <f t="shared" si="19"/>
        <v>33.661466898451209</v>
      </c>
      <c r="J102" s="1350">
        <f t="shared" si="19"/>
        <v>37.033927045801811</v>
      </c>
      <c r="K102" s="1350">
        <f t="shared" si="19"/>
        <v>33.15272917067356</v>
      </c>
      <c r="L102" s="1350">
        <f t="shared" si="19"/>
        <v>32.577356612854949</v>
      </c>
      <c r="M102" s="1753">
        <f t="shared" si="17"/>
        <v>203.69371962146138</v>
      </c>
      <c r="O102" s="337"/>
      <c r="P102" s="337"/>
      <c r="Q102" s="337"/>
      <c r="R102" s="337"/>
    </row>
    <row r="103" spans="1:18">
      <c r="A103" s="1679"/>
      <c r="B103" s="1261" t="s">
        <v>692</v>
      </c>
      <c r="C103" s="1836" t="str">
        <f t="shared" si="13"/>
        <v>Fuerza Eléctrica del Istmo (2016-27)</v>
      </c>
      <c r="D103" s="1276" t="str">
        <f t="shared" si="14"/>
        <v>H SE</v>
      </c>
      <c r="E103" s="2206" t="str">
        <f t="shared" si="15"/>
        <v>2016-2027</v>
      </c>
      <c r="F103" s="1780"/>
      <c r="G103" s="1350">
        <f t="shared" ref="G103:L112" si="20">IF(SUMIF($B$317:$B$380,$B103,G$317:G$380)*SUMIF($B$461:$B$522,$B103,G$461:G$522)=0,"",SUMIF($B$317:$B$380,$B103,G$317:G$380)*SUMIF($B$461:$B$522,$B103,G$461:G$522))</f>
        <v>2.8235283487667471</v>
      </c>
      <c r="H103" s="1350">
        <f t="shared" si="20"/>
        <v>2.8054227327433456</v>
      </c>
      <c r="I103" s="1350">
        <f t="shared" si="20"/>
        <v>2.8167639112117673</v>
      </c>
      <c r="J103" s="1350">
        <f t="shared" si="20"/>
        <v>3.0989686072731311</v>
      </c>
      <c r="K103" s="1350">
        <f t="shared" si="20"/>
        <v>2.7741931558671187</v>
      </c>
      <c r="L103" s="1350">
        <f t="shared" si="20"/>
        <v>2.7260464526573527</v>
      </c>
      <c r="M103" s="1753">
        <f t="shared" si="17"/>
        <v>17.044923208519464</v>
      </c>
      <c r="O103" s="1376"/>
      <c r="P103" s="1376"/>
      <c r="Q103" s="1376"/>
      <c r="R103" s="1376"/>
    </row>
    <row r="104" spans="1:18" s="1376" customFormat="1">
      <c r="A104" s="1679"/>
      <c r="B104" s="1261" t="s">
        <v>587</v>
      </c>
      <c r="C104" s="1836" t="str">
        <f t="shared" si="13"/>
        <v>Hidro CAISÀN (2016-27)</v>
      </c>
      <c r="D104" s="1276" t="str">
        <f t="shared" si="14"/>
        <v>H SE</v>
      </c>
      <c r="E104" s="2206" t="str">
        <f t="shared" si="15"/>
        <v>2016-2027</v>
      </c>
      <c r="F104" s="1780"/>
      <c r="G104" s="1350">
        <f t="shared" si="20"/>
        <v>30.708958399863398</v>
      </c>
      <c r="H104" s="1350">
        <f t="shared" si="20"/>
        <v>30.512040026612642</v>
      </c>
      <c r="I104" s="1350">
        <f t="shared" si="20"/>
        <v>30.635387744351796</v>
      </c>
      <c r="J104" s="1350">
        <f t="shared" si="20"/>
        <v>33.704672412727703</v>
      </c>
      <c r="K104" s="1350">
        <f t="shared" si="20"/>
        <v>30.172384227670058</v>
      </c>
      <c r="L104" s="1350">
        <f t="shared" si="20"/>
        <v>29.648736180500617</v>
      </c>
      <c r="M104" s="1753">
        <f t="shared" si="17"/>
        <v>185.38217899172622</v>
      </c>
      <c r="O104" s="337"/>
      <c r="P104" s="337"/>
      <c r="Q104" s="337"/>
      <c r="R104" s="337"/>
    </row>
    <row r="105" spans="1:18">
      <c r="A105" s="1679"/>
      <c r="B105" s="1261" t="s">
        <v>1274</v>
      </c>
      <c r="C105" s="1836" t="str">
        <f t="shared" si="13"/>
        <v>PASO ANCHO (2024-27)</v>
      </c>
      <c r="D105" s="1276" t="str">
        <f t="shared" si="14"/>
        <v>H SE</v>
      </c>
      <c r="E105" s="2206" t="str">
        <f t="shared" ref="E105:E129" si="21">VLOOKUP(B105,$B$236:$E$311,4,0)</f>
        <v>2024-2027</v>
      </c>
      <c r="F105" s="1780"/>
      <c r="G105" s="1350">
        <f t="shared" si="20"/>
        <v>10.771563305158736</v>
      </c>
      <c r="H105" s="1350">
        <f t="shared" si="20"/>
        <v>9.8888248940389403</v>
      </c>
      <c r="I105" s="1350">
        <f t="shared" si="20"/>
        <v>1.7161492979405899</v>
      </c>
      <c r="J105" s="1350" t="str">
        <f t="shared" si="20"/>
        <v/>
      </c>
      <c r="K105" s="1350">
        <f t="shared" si="20"/>
        <v>12.800599731677334</v>
      </c>
      <c r="L105" s="1350">
        <f t="shared" si="20"/>
        <v>12.054340865775819</v>
      </c>
      <c r="M105" s="1753">
        <f t="shared" si="17"/>
        <v>47.231478094591417</v>
      </c>
    </row>
    <row r="106" spans="1:18">
      <c r="A106" s="1679"/>
      <c r="B106" s="1261" t="s">
        <v>588</v>
      </c>
      <c r="C106" s="1836" t="str">
        <f t="shared" si="13"/>
        <v>PEDREGALITO</v>
      </c>
      <c r="D106" s="1276" t="str">
        <f t="shared" si="14"/>
        <v>H SE</v>
      </c>
      <c r="E106" s="2206" t="str">
        <f t="shared" si="21"/>
        <v>2016-2027</v>
      </c>
      <c r="F106" s="1780"/>
      <c r="G106" s="1350">
        <f t="shared" si="20"/>
        <v>12.437149128327562</v>
      </c>
      <c r="H106" s="1350">
        <f t="shared" si="20"/>
        <v>12.357397052651878</v>
      </c>
      <c r="I106" s="1350">
        <f t="shared" si="20"/>
        <v>12.407352962591419</v>
      </c>
      <c r="J106" s="1350">
        <f t="shared" si="20"/>
        <v>13.650415349821403</v>
      </c>
      <c r="K106" s="1350">
        <f t="shared" si="20"/>
        <v>12.219836222071285</v>
      </c>
      <c r="L106" s="1350">
        <f t="shared" si="20"/>
        <v>12.007758405279137</v>
      </c>
      <c r="M106" s="1753">
        <f t="shared" si="17"/>
        <v>75.079909120742684</v>
      </c>
    </row>
    <row r="107" spans="1:18">
      <c r="A107" s="1679"/>
      <c r="B107" s="1261" t="s">
        <v>589</v>
      </c>
      <c r="C107" s="1836" t="str">
        <f t="shared" si="13"/>
        <v>RÍO CHICO</v>
      </c>
      <c r="D107" s="1276" t="str">
        <f t="shared" si="14"/>
        <v>H SE</v>
      </c>
      <c r="E107" s="2206" t="str">
        <f t="shared" si="21"/>
        <v>2016-2027</v>
      </c>
      <c r="F107" s="1780"/>
      <c r="G107" s="1350">
        <f t="shared" si="20"/>
        <v>7.6643088252726654</v>
      </c>
      <c r="H107" s="1350">
        <f t="shared" si="20"/>
        <v>7.6151621493642194</v>
      </c>
      <c r="I107" s="1350">
        <f t="shared" si="20"/>
        <v>7.6459471401586194</v>
      </c>
      <c r="J107" s="1350">
        <f t="shared" si="20"/>
        <v>8.4119759082073653</v>
      </c>
      <c r="K107" s="1350">
        <f t="shared" si="20"/>
        <v>7.530391220194498</v>
      </c>
      <c r="L107" s="1350">
        <f t="shared" si="20"/>
        <v>7.3996997035041963</v>
      </c>
      <c r="M107" s="1753">
        <f t="shared" si="17"/>
        <v>46.267484946701565</v>
      </c>
    </row>
    <row r="108" spans="1:18" ht="12.75" thickBot="1">
      <c r="A108" s="1679"/>
      <c r="B108" s="1285" t="s">
        <v>945</v>
      </c>
      <c r="C108" s="1836" t="str">
        <f t="shared" si="13"/>
        <v>PARQUE EOLICO TOABRE (Enmienda 1)</v>
      </c>
      <c r="D108" s="1276" t="str">
        <f t="shared" si="14"/>
        <v>Eo</v>
      </c>
      <c r="E108" s="2206" t="str">
        <f t="shared" si="21"/>
        <v>Al 2036</v>
      </c>
      <c r="F108" s="1780"/>
      <c r="G108" s="1350">
        <f t="shared" si="20"/>
        <v>89.454975426771838</v>
      </c>
      <c r="H108" s="1350">
        <f t="shared" si="20"/>
        <v>75.966968904902615</v>
      </c>
      <c r="I108" s="1350">
        <f t="shared" si="20"/>
        <v>89.36778808916479</v>
      </c>
      <c r="J108" s="1350">
        <f t="shared" si="20"/>
        <v>83.216487127822532</v>
      </c>
      <c r="K108" s="1350">
        <f t="shared" si="20"/>
        <v>125.07698970846684</v>
      </c>
      <c r="L108" s="1350">
        <f t="shared" si="20"/>
        <v>219.73029700774276</v>
      </c>
      <c r="M108" s="1753">
        <f t="shared" si="17"/>
        <v>682.81350626487142</v>
      </c>
    </row>
    <row r="109" spans="1:18" ht="12.75" thickBot="1">
      <c r="A109" s="1679"/>
      <c r="B109" s="1284" t="s">
        <v>1515</v>
      </c>
      <c r="C109" s="1829" t="str">
        <f t="shared" si="13"/>
        <v>Electron (SECCION)</v>
      </c>
      <c r="D109" s="1283" t="str">
        <f>VLOOKUP(B109,$B$236:$E$311,3,0)</f>
        <v>H3</v>
      </c>
      <c r="E109" s="2195" t="str">
        <f t="shared" si="21"/>
        <v>Ene26-Dic40</v>
      </c>
      <c r="F109" s="1780"/>
      <c r="G109" s="1350">
        <f t="shared" si="20"/>
        <v>637.55236747872584</v>
      </c>
      <c r="H109" s="1350">
        <f t="shared" si="20"/>
        <v>633.46412152028813</v>
      </c>
      <c r="I109" s="1350">
        <f t="shared" si="20"/>
        <v>636.02495827820439</v>
      </c>
      <c r="J109" s="1350">
        <f t="shared" si="20"/>
        <v>699.74674529908634</v>
      </c>
      <c r="K109" s="1350">
        <f t="shared" si="20"/>
        <v>626.41248675221709</v>
      </c>
      <c r="L109" s="1350">
        <f t="shared" si="20"/>
        <v>615.54096685722857</v>
      </c>
      <c r="M109" s="1753">
        <f t="shared" si="17"/>
        <v>3848.7416461857501</v>
      </c>
    </row>
    <row r="110" spans="1:18">
      <c r="A110" s="1679"/>
      <c r="B110" s="1261" t="s">
        <v>759</v>
      </c>
      <c r="C110" s="1836" t="str">
        <f t="shared" si="13"/>
        <v>PANAMA SOLAR (Ene-17  - Dic36)</v>
      </c>
      <c r="D110" s="1276" t="str">
        <f>VLOOKUP(B110,$B$236:$D$311,3,0)</f>
        <v>Sol1</v>
      </c>
      <c r="E110" s="2206" t="str">
        <f t="shared" si="21"/>
        <v>2017-2036</v>
      </c>
      <c r="F110" s="1780"/>
      <c r="G110" s="1350">
        <f t="shared" si="20"/>
        <v>21.47316326822601</v>
      </c>
      <c r="H110" s="1350">
        <f t="shared" si="20"/>
        <v>21.335468582386532</v>
      </c>
      <c r="I110" s="1350">
        <f t="shared" si="20"/>
        <v>21.42171916917907</v>
      </c>
      <c r="J110" s="1350">
        <f t="shared" si="20"/>
        <v>23.567908888234861</v>
      </c>
      <c r="K110" s="1350">
        <f t="shared" si="20"/>
        <v>21.097965104387541</v>
      </c>
      <c r="L110" s="1350">
        <f t="shared" si="20"/>
        <v>20.731805501526924</v>
      </c>
      <c r="M110" s="1753">
        <f t="shared" si="17"/>
        <v>129.62803051394093</v>
      </c>
    </row>
    <row r="111" spans="1:18">
      <c r="A111" s="1679"/>
      <c r="B111" s="1261" t="s">
        <v>760</v>
      </c>
      <c r="C111" s="1836" t="str">
        <f t="shared" si="13"/>
        <v>SOLPAC (Ene-17  - Dic36)</v>
      </c>
      <c r="D111" s="1276" t="str">
        <f>VLOOKUP(B111,$B$236:$D$311,3,0)</f>
        <v>Sol1</v>
      </c>
      <c r="E111" s="2206" t="str">
        <f t="shared" si="21"/>
        <v>2017-2036</v>
      </c>
      <c r="F111" s="1780"/>
      <c r="G111" s="1350">
        <f t="shared" si="20"/>
        <v>4.0762556417921987</v>
      </c>
      <c r="H111" s="1350">
        <f t="shared" si="20"/>
        <v>4.0501170271415798</v>
      </c>
      <c r="I111" s="1350">
        <f t="shared" si="20"/>
        <v>4.0664899963510672</v>
      </c>
      <c r="J111" s="1350">
        <f t="shared" si="20"/>
        <v>4.4739016963125104</v>
      </c>
      <c r="K111" s="1350">
        <f t="shared" si="20"/>
        <v>4.005031685962658</v>
      </c>
      <c r="L111" s="1350">
        <f t="shared" si="20"/>
        <v>3.9355235222928218</v>
      </c>
      <c r="M111" s="1753">
        <f t="shared" si="17"/>
        <v>24.607319569852837</v>
      </c>
    </row>
    <row r="112" spans="1:18" ht="12.75" thickBot="1">
      <c r="A112" s="1679"/>
      <c r="B112" s="1261" t="s">
        <v>792</v>
      </c>
      <c r="C112" s="1836" t="str">
        <f t="shared" si="13"/>
        <v>Gas Natural Atlántico</v>
      </c>
      <c r="D112" s="1276" t="str">
        <f>VLOOKUP(B112,$B$236:$D$311,3,0)</f>
        <v>Gas</v>
      </c>
      <c r="E112" s="2206" t="str">
        <f t="shared" si="21"/>
        <v>May18- Abr28</v>
      </c>
      <c r="F112" s="1780"/>
      <c r="G112" s="1350">
        <f t="shared" si="20"/>
        <v>455.04868306001043</v>
      </c>
      <c r="H112" s="1350">
        <f t="shared" si="20"/>
        <v>452.13072520382764</v>
      </c>
      <c r="I112" s="1350">
        <f t="shared" si="20"/>
        <v>453.95850509088206</v>
      </c>
      <c r="J112" s="1350">
        <f t="shared" si="20"/>
        <v>499.43949888085535</v>
      </c>
      <c r="K112" s="1350">
        <f t="shared" si="20"/>
        <v>447.09766866084806</v>
      </c>
      <c r="L112" s="1350">
        <f t="shared" si="20"/>
        <v>439.33819498711841</v>
      </c>
      <c r="M112" s="1753">
        <f t="shared" si="17"/>
        <v>2747.0132758835416</v>
      </c>
    </row>
    <row r="113" spans="1:18" ht="12.75" thickBot="1">
      <c r="A113" s="1679"/>
      <c r="B113" s="1284" t="s">
        <v>1324</v>
      </c>
      <c r="C113" s="1829" t="str">
        <f t="shared" si="13"/>
        <v>ALTERNEGY ENMIEDA 7</v>
      </c>
      <c r="D113" s="1283" t="str">
        <f>VLOOKUP(B113,$B$236:$D$311,3,0)</f>
        <v>H2</v>
      </c>
      <c r="E113" s="2195" t="str">
        <f t="shared" si="21"/>
        <v>Abr24-Mar39</v>
      </c>
      <c r="F113" s="1780"/>
      <c r="G113" s="1350">
        <f t="shared" ref="G113:L122" si="22">IF(SUMIF($B$317:$B$380,$B113,G$317:G$380)*SUMIF($B$461:$B$522,$B113,G$461:G$522)=0,"",SUMIF($B$317:$B$380,$B113,G$317:G$380)*SUMIF($B$461:$B$522,$B113,G$461:G$522))</f>
        <v>32.654634447785035</v>
      </c>
      <c r="H113" s="1350">
        <f t="shared" si="22"/>
        <v>28.881279193362243</v>
      </c>
      <c r="I113" s="1350">
        <f t="shared" si="22"/>
        <v>28.41489295118129</v>
      </c>
      <c r="J113" s="1350">
        <f t="shared" si="22"/>
        <v>33.273892738301612</v>
      </c>
      <c r="K113" s="1350">
        <f t="shared" si="22"/>
        <v>27.907131075830225</v>
      </c>
      <c r="L113" s="1350">
        <f t="shared" si="22"/>
        <v>30.47547502540688</v>
      </c>
      <c r="M113" s="1753">
        <f t="shared" si="17"/>
        <v>181.6073054318673</v>
      </c>
    </row>
    <row r="114" spans="1:18">
      <c r="A114" s="1682"/>
      <c r="B114" s="1727" t="s">
        <v>1743</v>
      </c>
      <c r="C114" s="1837" t="s">
        <v>1744</v>
      </c>
      <c r="D114" s="1726" t="s">
        <v>702</v>
      </c>
      <c r="E114" s="2206" t="str">
        <f t="shared" si="21"/>
        <v>Jul25-Jun28</v>
      </c>
      <c r="F114" s="1780"/>
      <c r="G114" s="1350">
        <f t="shared" si="22"/>
        <v>30.612186421209675</v>
      </c>
      <c r="H114" s="1350">
        <f t="shared" si="22"/>
        <v>30.415888589377648</v>
      </c>
      <c r="I114" s="1350">
        <f t="shared" si="22"/>
        <v>30.53884760612106</v>
      </c>
      <c r="J114" s="1350">
        <f t="shared" si="22"/>
        <v>33.598460153855733</v>
      </c>
      <c r="K114" s="1350">
        <f t="shared" si="22"/>
        <v>30.077303134902522</v>
      </c>
      <c r="L114" s="1350">
        <f t="shared" si="22"/>
        <v>29.555305240010565</v>
      </c>
      <c r="M114" s="1753">
        <f t="shared" ref="M114:M146" si="23">SUM(G114:L114)</f>
        <v>184.79799114547723</v>
      </c>
    </row>
    <row r="115" spans="1:18">
      <c r="A115" s="1682"/>
      <c r="B115" s="1303" t="s">
        <v>1586</v>
      </c>
      <c r="C115" s="1838" t="s">
        <v>1587</v>
      </c>
      <c r="D115" s="1279" t="s">
        <v>1063</v>
      </c>
      <c r="E115" s="2206" t="str">
        <f t="shared" si="21"/>
        <v>Mar25-Feb30</v>
      </c>
      <c r="F115" s="1780"/>
      <c r="G115" s="1350">
        <f t="shared" si="22"/>
        <v>3.854124313291138</v>
      </c>
      <c r="H115" s="1350">
        <f t="shared" si="22"/>
        <v>3.1522955113388758</v>
      </c>
      <c r="I115" s="1350">
        <f t="shared" si="22"/>
        <v>3.1650389548000106</v>
      </c>
      <c r="J115" s="1350">
        <f t="shared" si="22"/>
        <v>3.6022101483981706</v>
      </c>
      <c r="K115" s="1350">
        <f t="shared" si="22"/>
        <v>3.2246944084001559</v>
      </c>
      <c r="L115" s="1350">
        <f t="shared" si="22"/>
        <v>3.8195727404150732</v>
      </c>
      <c r="M115" s="1753">
        <f t="shared" si="23"/>
        <v>20.817936076643424</v>
      </c>
    </row>
    <row r="116" spans="1:18">
      <c r="A116" s="1682"/>
      <c r="B116" s="1303" t="s">
        <v>1588</v>
      </c>
      <c r="C116" s="1838" t="s">
        <v>815</v>
      </c>
      <c r="D116" s="1279" t="s">
        <v>1063</v>
      </c>
      <c r="E116" s="2206" t="str">
        <f t="shared" si="21"/>
        <v>Mar25-Feb30</v>
      </c>
      <c r="F116" s="1780"/>
      <c r="G116" s="1350">
        <f t="shared" si="22"/>
        <v>6.9908563319604733</v>
      </c>
      <c r="H116" s="1350">
        <f t="shared" si="22"/>
        <v>1.9945673184870352</v>
      </c>
      <c r="I116" s="1350">
        <f t="shared" si="22"/>
        <v>6.3113204885675653</v>
      </c>
      <c r="J116" s="1350">
        <f t="shared" si="22"/>
        <v>17.19793201405367</v>
      </c>
      <c r="K116" s="1350">
        <f t="shared" si="22"/>
        <v>6.8630850142175177</v>
      </c>
      <c r="L116" s="1350" t="str">
        <f t="shared" si="22"/>
        <v/>
      </c>
      <c r="M116" s="1753">
        <f t="shared" si="23"/>
        <v>39.357761167286263</v>
      </c>
    </row>
    <row r="117" spans="1:18">
      <c r="A117" s="1682"/>
      <c r="B117" s="1303" t="s">
        <v>1589</v>
      </c>
      <c r="C117" s="1838" t="s">
        <v>815</v>
      </c>
      <c r="D117" s="1279" t="s">
        <v>1063</v>
      </c>
      <c r="E117" s="2206" t="str">
        <f t="shared" si="21"/>
        <v>Mar25-Feb30</v>
      </c>
      <c r="F117" s="1780"/>
      <c r="G117" s="1350">
        <f t="shared" si="22"/>
        <v>7.0446321498986313</v>
      </c>
      <c r="H117" s="1350">
        <f t="shared" si="22"/>
        <v>2.0126997486550988</v>
      </c>
      <c r="I117" s="1350">
        <f t="shared" si="22"/>
        <v>6.3686961293727249</v>
      </c>
      <c r="J117" s="1350">
        <f t="shared" si="22"/>
        <v>17.354276850545066</v>
      </c>
      <c r="K117" s="1350">
        <f t="shared" si="22"/>
        <v>6.9254766961649494</v>
      </c>
      <c r="L117" s="1350" t="str">
        <f t="shared" si="22"/>
        <v/>
      </c>
      <c r="M117" s="1753">
        <f t="shared" si="23"/>
        <v>39.705781574636475</v>
      </c>
    </row>
    <row r="118" spans="1:18">
      <c r="A118" s="1682"/>
      <c r="B118" s="1303" t="s">
        <v>1590</v>
      </c>
      <c r="C118" s="1838" t="s">
        <v>1591</v>
      </c>
      <c r="D118" s="1279" t="s">
        <v>702</v>
      </c>
      <c r="E118" s="2206" t="str">
        <f t="shared" si="21"/>
        <v>Mar25-Feb30</v>
      </c>
      <c r="F118" s="1780"/>
      <c r="G118" s="1350">
        <f t="shared" si="22"/>
        <v>15.707115503298425</v>
      </c>
      <c r="H118" s="1350">
        <f t="shared" si="22"/>
        <v>13.600421561209666</v>
      </c>
      <c r="I118" s="1350">
        <f t="shared" si="22"/>
        <v>14.087926573082283</v>
      </c>
      <c r="J118" s="1350">
        <f t="shared" si="22"/>
        <v>16.104146049523493</v>
      </c>
      <c r="K118" s="1350">
        <f t="shared" si="22"/>
        <v>15.045950832151886</v>
      </c>
      <c r="L118" s="1350">
        <f t="shared" si="22"/>
        <v>13.133060153218796</v>
      </c>
      <c r="M118" s="1753">
        <f t="shared" si="23"/>
        <v>87.678620672484541</v>
      </c>
    </row>
    <row r="119" spans="1:18">
      <c r="A119" s="1682"/>
      <c r="B119" s="1303" t="s">
        <v>1592</v>
      </c>
      <c r="C119" s="1838" t="s">
        <v>1591</v>
      </c>
      <c r="D119" s="1279" t="s">
        <v>702</v>
      </c>
      <c r="E119" s="2206" t="str">
        <f t="shared" si="21"/>
        <v>Mar25-Feb30</v>
      </c>
      <c r="F119" s="1780"/>
      <c r="G119" s="1350">
        <f t="shared" si="22"/>
        <v>16.183088700368074</v>
      </c>
      <c r="H119" s="1350">
        <f t="shared" si="22"/>
        <v>14.086150902681441</v>
      </c>
      <c r="I119" s="1350">
        <f t="shared" si="22"/>
        <v>14.591066807835222</v>
      </c>
      <c r="J119" s="1350">
        <f t="shared" si="22"/>
        <v>16.679294122720762</v>
      </c>
      <c r="K119" s="1350">
        <f t="shared" si="22"/>
        <v>15.583306219014453</v>
      </c>
      <c r="L119" s="1350">
        <f t="shared" si="22"/>
        <v>13.133060153218796</v>
      </c>
      <c r="M119" s="1753">
        <f t="shared" si="23"/>
        <v>90.255966905838733</v>
      </c>
      <c r="O119" s="1176"/>
      <c r="P119" s="1176"/>
      <c r="Q119" s="1176"/>
      <c r="R119" s="1176"/>
    </row>
    <row r="120" spans="1:18" s="1176" customFormat="1">
      <c r="A120" s="1682"/>
      <c r="B120" s="1303" t="s">
        <v>1593</v>
      </c>
      <c r="C120" s="1838" t="s">
        <v>838</v>
      </c>
      <c r="D120" s="1279" t="s">
        <v>1063</v>
      </c>
      <c r="E120" s="2206" t="str">
        <f t="shared" si="21"/>
        <v>Mar25-Feb30</v>
      </c>
      <c r="F120" s="1780"/>
      <c r="G120" s="1350">
        <f t="shared" si="22"/>
        <v>43.281524275843012</v>
      </c>
      <c r="H120" s="1350">
        <f t="shared" si="22"/>
        <v>35.434944502011419</v>
      </c>
      <c r="I120" s="1350">
        <f t="shared" si="22"/>
        <v>35.5781935121964</v>
      </c>
      <c r="J120" s="1350">
        <f t="shared" si="22"/>
        <v>40.492433603998371</v>
      </c>
      <c r="K120" s="1350">
        <f t="shared" si="22"/>
        <v>36.248780289343323</v>
      </c>
      <c r="L120" s="1350">
        <f t="shared" si="22"/>
        <v>42.885615945166109</v>
      </c>
      <c r="M120" s="1753">
        <f t="shared" si="23"/>
        <v>233.92149212855864</v>
      </c>
      <c r="O120" s="337"/>
      <c r="P120" s="337"/>
      <c r="Q120" s="337"/>
      <c r="R120" s="337"/>
    </row>
    <row r="121" spans="1:18">
      <c r="A121" s="1682"/>
      <c r="B121" s="1303" t="s">
        <v>1594</v>
      </c>
      <c r="C121" s="1838" t="s">
        <v>1595</v>
      </c>
      <c r="D121" s="1279" t="s">
        <v>702</v>
      </c>
      <c r="E121" s="2206" t="str">
        <f t="shared" si="21"/>
        <v>Mar25-Feb30</v>
      </c>
      <c r="F121" s="1780"/>
      <c r="G121" s="1350">
        <f t="shared" si="22"/>
        <v>55.815866520790145</v>
      </c>
      <c r="H121" s="1350">
        <f t="shared" si="22"/>
        <v>45.839882400027371</v>
      </c>
      <c r="I121" s="1350">
        <f t="shared" si="22"/>
        <v>59.175249846567667</v>
      </c>
      <c r="J121" s="1350">
        <f t="shared" si="22"/>
        <v>67.348834745944671</v>
      </c>
      <c r="K121" s="1350">
        <f t="shared" si="22"/>
        <v>60.290599901310344</v>
      </c>
      <c r="L121" s="1350">
        <f t="shared" si="22"/>
        <v>31.557260369614212</v>
      </c>
      <c r="M121" s="1753">
        <f t="shared" si="23"/>
        <v>320.02769378425438</v>
      </c>
    </row>
    <row r="122" spans="1:18">
      <c r="A122" s="1682"/>
      <c r="B122" s="1303" t="s">
        <v>1596</v>
      </c>
      <c r="C122" s="1838" t="s">
        <v>1597</v>
      </c>
      <c r="D122" s="1279" t="s">
        <v>1063</v>
      </c>
      <c r="E122" s="2206" t="str">
        <f t="shared" si="21"/>
        <v>Mar25-Feb30</v>
      </c>
      <c r="F122" s="1780"/>
      <c r="G122" s="1350">
        <f t="shared" si="22"/>
        <v>20.022910934420345</v>
      </c>
      <c r="H122" s="1350">
        <f t="shared" si="22"/>
        <v>24.897475023494362</v>
      </c>
      <c r="I122" s="1350">
        <f t="shared" si="22"/>
        <v>39.815384585657441</v>
      </c>
      <c r="J122" s="1350">
        <f t="shared" si="22"/>
        <v>50.699051495975311</v>
      </c>
      <c r="K122" s="1350">
        <f t="shared" si="22"/>
        <v>50.031383875143419</v>
      </c>
      <c r="L122" s="1350">
        <f t="shared" si="22"/>
        <v>19.791899649794836</v>
      </c>
      <c r="M122" s="1753">
        <f t="shared" si="23"/>
        <v>205.2581055644857</v>
      </c>
    </row>
    <row r="123" spans="1:18">
      <c r="A123" s="1682"/>
      <c r="B123" s="1303" t="s">
        <v>1598</v>
      </c>
      <c r="C123" s="1838" t="s">
        <v>1509</v>
      </c>
      <c r="D123" s="1279" t="s">
        <v>1063</v>
      </c>
      <c r="E123" s="2206" t="str">
        <f t="shared" si="21"/>
        <v>Mar25-Feb30</v>
      </c>
      <c r="F123" s="1780"/>
      <c r="G123" s="1350" t="str">
        <f t="shared" ref="G123:L129" si="24">IF(SUMIF($B$317:$B$380,$B123,G$317:G$380)*SUMIF($B$461:$B$522,$B123,G$461:G$522)=0,"",SUMIF($B$317:$B$380,$B123,G$317:G$380)*SUMIF($B$461:$B$522,$B123,G$461:G$522))</f>
        <v/>
      </c>
      <c r="H123" s="1350" t="str">
        <f t="shared" si="24"/>
        <v/>
      </c>
      <c r="I123" s="1350" t="str">
        <f t="shared" si="24"/>
        <v/>
      </c>
      <c r="J123" s="1350">
        <f t="shared" si="24"/>
        <v>218.01628163270226</v>
      </c>
      <c r="K123" s="1350">
        <f t="shared" si="24"/>
        <v>19.516792617826425</v>
      </c>
      <c r="L123" s="1350">
        <f t="shared" si="24"/>
        <v>23.075771639688799</v>
      </c>
      <c r="M123" s="1753">
        <f t="shared" si="23"/>
        <v>260.60884589021748</v>
      </c>
    </row>
    <row r="124" spans="1:18">
      <c r="A124" s="1682"/>
      <c r="B124" s="1303" t="s">
        <v>1599</v>
      </c>
      <c r="C124" s="1838" t="s">
        <v>1600</v>
      </c>
      <c r="D124" s="1279" t="s">
        <v>702</v>
      </c>
      <c r="E124" s="2206" t="str">
        <f t="shared" si="21"/>
        <v>Mar25-Feb30</v>
      </c>
      <c r="F124" s="1780"/>
      <c r="G124" s="1350">
        <f t="shared" si="24"/>
        <v>79.234091066518616</v>
      </c>
      <c r="H124" s="1350">
        <f t="shared" si="24"/>
        <v>65.222351314526023</v>
      </c>
      <c r="I124" s="1350">
        <f t="shared" si="24"/>
        <v>65.486018646281337</v>
      </c>
      <c r="J124" s="1350">
        <f t="shared" si="24"/>
        <v>74.531278860904891</v>
      </c>
      <c r="K124" s="1350">
        <f t="shared" si="24"/>
        <v>66.720315665244357</v>
      </c>
      <c r="L124" s="1350">
        <f t="shared" si="24"/>
        <v>78.323671998112104</v>
      </c>
      <c r="M124" s="1753">
        <f t="shared" si="23"/>
        <v>429.51772755158731</v>
      </c>
    </row>
    <row r="125" spans="1:18">
      <c r="A125" s="1682"/>
      <c r="B125" s="1303" t="s">
        <v>1601</v>
      </c>
      <c r="C125" s="1838" t="s">
        <v>1150</v>
      </c>
      <c r="D125" s="1279" t="s">
        <v>702</v>
      </c>
      <c r="E125" s="2206" t="str">
        <f t="shared" si="21"/>
        <v>Mar25-Feb30</v>
      </c>
      <c r="F125" s="1780"/>
      <c r="G125" s="1350">
        <f t="shared" si="24"/>
        <v>74.916407760937176</v>
      </c>
      <c r="H125" s="1350">
        <f t="shared" si="24"/>
        <v>61.51492870625399</v>
      </c>
      <c r="I125" s="1350">
        <f t="shared" si="24"/>
        <v>61.763608442390428</v>
      </c>
      <c r="J125" s="1350">
        <f t="shared" si="24"/>
        <v>70.294710526533805</v>
      </c>
      <c r="K125" s="1350">
        <f t="shared" si="24"/>
        <v>62.927744533677625</v>
      </c>
      <c r="L125" s="1350">
        <f t="shared" si="24"/>
        <v>74.129214289130374</v>
      </c>
      <c r="M125" s="1753">
        <f t="shared" si="23"/>
        <v>405.54661425892346</v>
      </c>
    </row>
    <row r="126" spans="1:18">
      <c r="A126" s="1682"/>
      <c r="B126" s="1303" t="s">
        <v>1602</v>
      </c>
      <c r="C126" s="1838" t="s">
        <v>1603</v>
      </c>
      <c r="D126" s="1279" t="s">
        <v>1063</v>
      </c>
      <c r="E126" s="2206" t="str">
        <f t="shared" si="21"/>
        <v>Mar25-Feb30</v>
      </c>
      <c r="F126" s="1780"/>
      <c r="G126" s="1350">
        <f t="shared" si="24"/>
        <v>3.2036657495072549</v>
      </c>
      <c r="H126" s="1350">
        <f t="shared" si="24"/>
        <v>2.6374443880820291</v>
      </c>
      <c r="I126" s="1350">
        <f t="shared" si="24"/>
        <v>2.648106498699677</v>
      </c>
      <c r="J126" s="1350">
        <f t="shared" si="24"/>
        <v>3.0138763660992192</v>
      </c>
      <c r="K126" s="1350">
        <f t="shared" si="24"/>
        <v>2.6980186788078688</v>
      </c>
      <c r="L126" s="1350">
        <f t="shared" si="24"/>
        <v>3.1667039439671734</v>
      </c>
      <c r="M126" s="1753">
        <f t="shared" si="23"/>
        <v>17.367815625163225</v>
      </c>
    </row>
    <row r="127" spans="1:18">
      <c r="A127" s="1682"/>
      <c r="B127" s="1303" t="s">
        <v>1604</v>
      </c>
      <c r="C127" s="1838" t="s">
        <v>843</v>
      </c>
      <c r="D127" s="1279" t="s">
        <v>1063</v>
      </c>
      <c r="E127" s="2206" t="str">
        <f t="shared" si="21"/>
        <v>Mar25-Feb30</v>
      </c>
      <c r="F127" s="1780"/>
      <c r="G127" s="1350" t="str">
        <f t="shared" si="24"/>
        <v/>
      </c>
      <c r="H127" s="1350" t="str">
        <f t="shared" si="24"/>
        <v/>
      </c>
      <c r="I127" s="1350" t="str">
        <f t="shared" si="24"/>
        <v/>
      </c>
      <c r="J127" s="1350" t="str">
        <f t="shared" si="24"/>
        <v/>
      </c>
      <c r="K127" s="1350" t="str">
        <f t="shared" si="24"/>
        <v/>
      </c>
      <c r="L127" s="1350" t="str">
        <f t="shared" si="24"/>
        <v/>
      </c>
      <c r="M127" s="1753">
        <f t="shared" si="23"/>
        <v>0</v>
      </c>
    </row>
    <row r="128" spans="1:18">
      <c r="A128" s="1682"/>
      <c r="B128" s="1303" t="s">
        <v>1605</v>
      </c>
      <c r="C128" s="1838" t="s">
        <v>1606</v>
      </c>
      <c r="D128" s="1279" t="s">
        <v>1063</v>
      </c>
      <c r="E128" s="2206" t="str">
        <f t="shared" si="21"/>
        <v>Mar25-Feb30</v>
      </c>
      <c r="F128" s="1780"/>
      <c r="G128" s="1350">
        <f t="shared" si="24"/>
        <v>7.963397720203746</v>
      </c>
      <c r="H128" s="1350">
        <f t="shared" si="24"/>
        <v>6.5496535637370403</v>
      </c>
      <c r="I128" s="1350">
        <f t="shared" si="24"/>
        <v>6.5761311384375327</v>
      </c>
      <c r="J128" s="1350">
        <f t="shared" si="24"/>
        <v>7.4844596424797274</v>
      </c>
      <c r="K128" s="1350">
        <f t="shared" si="24"/>
        <v>6.7000797190395422</v>
      </c>
      <c r="L128" s="1350">
        <f t="shared" si="24"/>
        <v>7.8745371406650397</v>
      </c>
      <c r="M128" s="1753">
        <f t="shared" si="23"/>
        <v>43.148258924562626</v>
      </c>
    </row>
    <row r="129" spans="1:13" ht="12.75" thickBot="1">
      <c r="A129" s="1682"/>
      <c r="B129" s="1303" t="s">
        <v>1607</v>
      </c>
      <c r="C129" s="1838" t="s">
        <v>1608</v>
      </c>
      <c r="D129" s="1279" t="s">
        <v>1063</v>
      </c>
      <c r="E129" s="2206" t="str">
        <f t="shared" si="21"/>
        <v>Mar25-Feb30</v>
      </c>
      <c r="F129" s="1780"/>
      <c r="G129" s="1350">
        <f t="shared" si="24"/>
        <v>331.32082348136208</v>
      </c>
      <c r="H129" s="1350">
        <f t="shared" si="24"/>
        <v>93.33256328325281</v>
      </c>
      <c r="I129" s="1350">
        <f t="shared" si="24"/>
        <v>132.38877426936699</v>
      </c>
      <c r="J129" s="1350">
        <f t="shared" si="24"/>
        <v>110.59042590855323</v>
      </c>
      <c r="K129" s="1350">
        <f t="shared" si="24"/>
        <v>170.83179769541727</v>
      </c>
      <c r="L129" s="1350">
        <f t="shared" si="24"/>
        <v>286.14125724091116</v>
      </c>
      <c r="M129" s="1753">
        <f t="shared" si="23"/>
        <v>1124.6056418788635</v>
      </c>
    </row>
    <row r="130" spans="1:13" ht="12.75" thickBot="1">
      <c r="A130" s="1682"/>
      <c r="B130" s="1284" t="s">
        <v>389</v>
      </c>
      <c r="C130" s="1829" t="s">
        <v>450</v>
      </c>
      <c r="D130" s="1353" t="s">
        <v>389</v>
      </c>
      <c r="E130" s="2207"/>
      <c r="F130" s="1781"/>
      <c r="G130" s="1352">
        <f t="shared" ref="G130:L130" si="25">SUMIF($B$317:$B$380,$B130,G$317:G$380)*SUMIF($B$461:$B$522,$B130,G$461:G$522)</f>
        <v>1004.7727071690786</v>
      </c>
      <c r="H130" s="1352">
        <f t="shared" si="25"/>
        <v>1134.9731003130066</v>
      </c>
      <c r="I130" s="1352">
        <f t="shared" si="25"/>
        <v>845.80969317725067</v>
      </c>
      <c r="J130" s="1352">
        <f t="shared" si="25"/>
        <v>258.02976163268204</v>
      </c>
      <c r="K130" s="1352">
        <f t="shared" si="25"/>
        <v>468.33430568771263</v>
      </c>
      <c r="L130" s="1352">
        <f t="shared" si="25"/>
        <v>739.18737903387114</v>
      </c>
      <c r="M130" s="1352">
        <f t="shared" si="23"/>
        <v>4451.1069470136017</v>
      </c>
    </row>
    <row r="131" spans="1:13">
      <c r="A131" s="1679"/>
      <c r="B131" s="1351" t="s">
        <v>825</v>
      </c>
      <c r="C131" s="1839" t="s">
        <v>833</v>
      </c>
      <c r="D131" s="1331" t="s">
        <v>1090</v>
      </c>
      <c r="E131" s="2206" t="str">
        <f>VLOOKUP(B131,$B$236:$E$267,4,0)</f>
        <v>A Jun 2030</v>
      </c>
      <c r="F131" s="1780"/>
      <c r="G131" s="1350">
        <f t="shared" ref="G131:L132" si="26">IF(SUMIF($B$317:$B$380,$B131,G$317:G$380)*SUMIF($B$461:$B$522,$B131,G$461:G$522)=0,"",SUMIF($B$317:$B$380,$B131,G$317:G$380)*SUMIF($B$461:$B$522,$B131,G$461:G$522))</f>
        <v>3.8637616640873484</v>
      </c>
      <c r="H131" s="1350">
        <f t="shared" si="26"/>
        <v>5.2404559576950387</v>
      </c>
      <c r="I131" s="1350">
        <f t="shared" si="26"/>
        <v>1.293011997842882</v>
      </c>
      <c r="J131" s="1350">
        <f t="shared" si="26"/>
        <v>1.3031840715887115</v>
      </c>
      <c r="K131" s="1350">
        <f t="shared" si="26"/>
        <v>22.162324772763181</v>
      </c>
      <c r="L131" s="1350">
        <f t="shared" si="26"/>
        <v>6.045109152305419</v>
      </c>
      <c r="M131" s="1753">
        <f t="shared" si="23"/>
        <v>39.907847616282588</v>
      </c>
    </row>
    <row r="132" spans="1:13">
      <c r="A132" s="1679"/>
      <c r="B132" s="1351" t="s">
        <v>897</v>
      </c>
      <c r="C132" s="1839" t="s">
        <v>1001</v>
      </c>
      <c r="D132" s="1331" t="s">
        <v>1090</v>
      </c>
      <c r="E132" s="2206" t="str">
        <f>VLOOKUP(B132,$B$236:$E$267,4,0)</f>
        <v>A Jun 2030</v>
      </c>
      <c r="F132" s="1780"/>
      <c r="G132" s="1350">
        <f t="shared" si="26"/>
        <v>324.79903367567937</v>
      </c>
      <c r="H132" s="1350">
        <f t="shared" si="26"/>
        <v>291.5140225230432</v>
      </c>
      <c r="I132" s="1350">
        <f t="shared" si="26"/>
        <v>300.21928435832837</v>
      </c>
      <c r="J132" s="1350">
        <f t="shared" si="26"/>
        <v>257.65453124497247</v>
      </c>
      <c r="K132" s="1350">
        <f t="shared" si="26"/>
        <v>266.27992319577174</v>
      </c>
      <c r="L132" s="1350">
        <f t="shared" si="26"/>
        <v>273.60828142732271</v>
      </c>
      <c r="M132" s="1753">
        <f t="shared" si="23"/>
        <v>1714.0750764251179</v>
      </c>
    </row>
    <row r="133" spans="1:13">
      <c r="A133" s="1718"/>
      <c r="B133" s="1332" t="s">
        <v>391</v>
      </c>
      <c r="C133" s="1840" t="s">
        <v>390</v>
      </c>
      <c r="D133" s="1331" t="s">
        <v>387</v>
      </c>
      <c r="E133" s="2206"/>
      <c r="F133" s="1780"/>
      <c r="G133" s="1350">
        <f t="shared" ref="G133:L134" si="27">SUMIF($B$317:$B$380,$B133,G$317:G$380)*SUMIF($B$461:$B$522,$B133,G$461:G$522)</f>
        <v>0</v>
      </c>
      <c r="H133" s="1350">
        <f t="shared" si="27"/>
        <v>0</v>
      </c>
      <c r="I133" s="1350">
        <f t="shared" si="27"/>
        <v>0</v>
      </c>
      <c r="J133" s="1350">
        <f t="shared" si="27"/>
        <v>0</v>
      </c>
      <c r="K133" s="1350">
        <f t="shared" si="27"/>
        <v>0</v>
      </c>
      <c r="L133" s="1350">
        <f t="shared" si="27"/>
        <v>0</v>
      </c>
      <c r="M133" s="1753">
        <f t="shared" si="23"/>
        <v>0</v>
      </c>
    </row>
    <row r="134" spans="1:13">
      <c r="A134" s="1718"/>
      <c r="B134" s="1332" t="s">
        <v>393</v>
      </c>
      <c r="C134" s="1839" t="s">
        <v>392</v>
      </c>
      <c r="D134" s="1331" t="s">
        <v>387</v>
      </c>
      <c r="E134" s="2206"/>
      <c r="F134" s="1780"/>
      <c r="G134" s="1350">
        <f t="shared" si="27"/>
        <v>0</v>
      </c>
      <c r="H134" s="1350">
        <f t="shared" si="27"/>
        <v>0</v>
      </c>
      <c r="I134" s="1350">
        <f t="shared" si="27"/>
        <v>0</v>
      </c>
      <c r="J134" s="1350">
        <f t="shared" si="27"/>
        <v>0</v>
      </c>
      <c r="K134" s="1350">
        <f t="shared" si="27"/>
        <v>0</v>
      </c>
      <c r="L134" s="1350">
        <f t="shared" si="27"/>
        <v>0</v>
      </c>
      <c r="M134" s="1753">
        <f t="shared" si="23"/>
        <v>0</v>
      </c>
    </row>
    <row r="135" spans="1:13">
      <c r="A135" s="1718"/>
      <c r="B135" s="1332" t="s">
        <v>456</v>
      </c>
      <c r="C135" s="1839" t="s">
        <v>394</v>
      </c>
      <c r="D135" s="1331" t="s">
        <v>590</v>
      </c>
      <c r="E135" s="2206"/>
      <c r="F135" s="1780"/>
      <c r="G135" s="1360">
        <v>155.79354000000001</v>
      </c>
      <c r="H135" s="1360">
        <v>189.25935999999999</v>
      </c>
      <c r="I135" s="1360">
        <v>213.69198</v>
      </c>
      <c r="J135" s="1360">
        <v>142.70433</v>
      </c>
      <c r="K135" s="1360">
        <v>118.57706</v>
      </c>
      <c r="L135" s="1360">
        <v>150.83295000000001</v>
      </c>
      <c r="M135" s="1753">
        <f t="shared" si="23"/>
        <v>970.85921999999994</v>
      </c>
    </row>
    <row r="136" spans="1:13">
      <c r="A136" s="1718"/>
      <c r="B136" s="1332" t="s">
        <v>466</v>
      </c>
      <c r="C136" s="1839" t="s">
        <v>591</v>
      </c>
      <c r="D136" s="1331" t="s">
        <v>776</v>
      </c>
      <c r="E136" s="2206"/>
      <c r="F136" s="1780"/>
      <c r="G136" s="1360">
        <v>324.51683000000003</v>
      </c>
      <c r="H136" s="1360">
        <v>217.02255</v>
      </c>
      <c r="I136" s="1360">
        <v>129.95687000000001</v>
      </c>
      <c r="J136" s="1360">
        <v>182.24185</v>
      </c>
      <c r="K136" s="1360">
        <v>78.234309999999994</v>
      </c>
      <c r="L136" s="1360">
        <v>190.89532</v>
      </c>
      <c r="M136" s="1753">
        <f t="shared" si="23"/>
        <v>1122.8677300000002</v>
      </c>
    </row>
    <row r="137" spans="1:13">
      <c r="A137" s="1718"/>
      <c r="B137" s="1332" t="s">
        <v>465</v>
      </c>
      <c r="C137" s="1839" t="s">
        <v>395</v>
      </c>
      <c r="D137" s="1331" t="s">
        <v>590</v>
      </c>
      <c r="E137" s="2206"/>
      <c r="F137" s="1780"/>
      <c r="G137" s="1360">
        <v>53.39029</v>
      </c>
      <c r="H137" s="1360">
        <v>66.012009999999989</v>
      </c>
      <c r="I137" s="1360">
        <v>244.84816000000001</v>
      </c>
      <c r="J137" s="1360">
        <v>211.83142000000001</v>
      </c>
      <c r="K137" s="1360">
        <v>213.46884</v>
      </c>
      <c r="L137" s="1360">
        <v>137.98230999999998</v>
      </c>
      <c r="M137" s="1753">
        <f t="shared" si="23"/>
        <v>927.53302999999994</v>
      </c>
    </row>
    <row r="138" spans="1:13">
      <c r="A138" s="1718"/>
      <c r="B138" s="1332" t="s">
        <v>467</v>
      </c>
      <c r="C138" s="1839" t="s">
        <v>397</v>
      </c>
      <c r="D138" s="1331" t="s">
        <v>590</v>
      </c>
      <c r="E138" s="2206"/>
      <c r="F138" s="1780"/>
      <c r="G138" s="1360">
        <v>0</v>
      </c>
      <c r="H138" s="1360">
        <v>0</v>
      </c>
      <c r="I138" s="1360">
        <v>0</v>
      </c>
      <c r="J138" s="1360">
        <v>0</v>
      </c>
      <c r="K138" s="1360">
        <v>0</v>
      </c>
      <c r="L138" s="1360">
        <v>0</v>
      </c>
      <c r="M138" s="1753">
        <f t="shared" si="23"/>
        <v>0</v>
      </c>
    </row>
    <row r="139" spans="1:13">
      <c r="A139" s="1264"/>
      <c r="B139" s="1263" t="s">
        <v>592</v>
      </c>
      <c r="C139" s="1839" t="s">
        <v>481</v>
      </c>
      <c r="D139" s="1331" t="s">
        <v>473</v>
      </c>
      <c r="E139" s="2206"/>
      <c r="F139" s="1780"/>
      <c r="G139" s="1360"/>
      <c r="H139" s="1360"/>
      <c r="I139" s="1360"/>
      <c r="J139" s="1360"/>
      <c r="K139" s="1360"/>
      <c r="L139" s="1360"/>
      <c r="M139" s="1753">
        <f t="shared" si="23"/>
        <v>0</v>
      </c>
    </row>
    <row r="140" spans="1:13">
      <c r="A140" s="1718"/>
      <c r="B140" s="1332" t="s">
        <v>462</v>
      </c>
      <c r="C140" s="1839" t="s">
        <v>396</v>
      </c>
      <c r="D140" s="1331" t="s">
        <v>590</v>
      </c>
      <c r="E140" s="2206"/>
      <c r="F140" s="1780"/>
      <c r="G140" s="1360">
        <v>0</v>
      </c>
      <c r="H140" s="1360">
        <f>+G140</f>
        <v>0</v>
      </c>
      <c r="I140" s="1360">
        <f>+H140</f>
        <v>0</v>
      </c>
      <c r="J140" s="1360">
        <f>+I140</f>
        <v>0</v>
      </c>
      <c r="K140" s="1360">
        <f>+J140</f>
        <v>0</v>
      </c>
      <c r="L140" s="1360">
        <f>+K140</f>
        <v>0</v>
      </c>
      <c r="M140" s="1753">
        <f t="shared" si="23"/>
        <v>0</v>
      </c>
    </row>
    <row r="141" spans="1:13">
      <c r="A141" s="1718"/>
      <c r="B141" s="1332" t="s">
        <v>829</v>
      </c>
      <c r="C141" s="1839" t="s">
        <v>828</v>
      </c>
      <c r="D141" s="1331" t="s">
        <v>776</v>
      </c>
      <c r="E141" s="2206"/>
      <c r="F141" s="1780"/>
      <c r="G141" s="1360"/>
      <c r="H141" s="1360"/>
      <c r="I141" s="1360"/>
      <c r="J141" s="1360"/>
      <c r="K141" s="1360"/>
      <c r="L141" s="1360"/>
      <c r="M141" s="1753">
        <f t="shared" si="23"/>
        <v>0</v>
      </c>
    </row>
    <row r="142" spans="1:13">
      <c r="A142" s="1718"/>
      <c r="B142" s="1332" t="s">
        <v>761</v>
      </c>
      <c r="C142" s="1839" t="s">
        <v>699</v>
      </c>
      <c r="D142" s="1331" t="s">
        <v>684</v>
      </c>
      <c r="E142" s="2206"/>
      <c r="F142" s="1780"/>
      <c r="G142" s="1360">
        <v>22.537846906770838</v>
      </c>
      <c r="H142" s="1360">
        <v>22.537846906770838</v>
      </c>
      <c r="I142" s="1360">
        <v>23.967106906770837</v>
      </c>
      <c r="J142" s="1360">
        <v>24.013074406770837</v>
      </c>
      <c r="K142" s="1360">
        <v>23.906400833333336</v>
      </c>
      <c r="L142" s="1360">
        <v>24.187680833333335</v>
      </c>
      <c r="M142" s="1753">
        <f t="shared" si="23"/>
        <v>141.14995679375002</v>
      </c>
    </row>
    <row r="143" spans="1:13" ht="12.75" thickBot="1">
      <c r="A143" s="1264"/>
      <c r="B143" s="1261" t="s">
        <v>449</v>
      </c>
      <c r="C143" s="1839" t="s">
        <v>398</v>
      </c>
      <c r="D143" s="1331" t="s">
        <v>389</v>
      </c>
      <c r="E143" s="2206"/>
      <c r="F143" s="1780"/>
      <c r="G143" s="1360">
        <f>0</f>
        <v>0</v>
      </c>
      <c r="H143" s="1360">
        <f>0</f>
        <v>0</v>
      </c>
      <c r="I143" s="1360">
        <f>0</f>
        <v>0</v>
      </c>
      <c r="J143" s="1360">
        <f>0</f>
        <v>0</v>
      </c>
      <c r="K143" s="1360">
        <f>0</f>
        <v>0</v>
      </c>
      <c r="L143" s="1360">
        <f>0</f>
        <v>0</v>
      </c>
      <c r="M143" s="1753">
        <f t="shared" si="23"/>
        <v>0</v>
      </c>
    </row>
    <row r="144" spans="1:13">
      <c r="A144" s="1725"/>
      <c r="B144" s="1703"/>
      <c r="C144" s="1841" t="s">
        <v>1853</v>
      </c>
      <c r="D144" s="1702"/>
      <c r="E144" s="2208"/>
      <c r="F144" s="1782"/>
      <c r="G144" s="1724">
        <f t="shared" ref="G144:L144" si="28">SUM(G73:G143)</f>
        <v>7376.4319836137793</v>
      </c>
      <c r="H144" s="1724">
        <f t="shared" si="28"/>
        <v>7078.6067102524721</v>
      </c>
      <c r="I144" s="1724">
        <f t="shared" si="28"/>
        <v>7015.131250633588</v>
      </c>
      <c r="J144" s="1724">
        <f t="shared" si="28"/>
        <v>7174.1289443597962</v>
      </c>
      <c r="K144" s="1724">
        <f t="shared" si="28"/>
        <v>6632.2139490899426</v>
      </c>
      <c r="L144" s="1724">
        <f t="shared" si="28"/>
        <v>7177.2517720475316</v>
      </c>
      <c r="M144" s="1724">
        <f t="shared" si="23"/>
        <v>42453.76460999711</v>
      </c>
    </row>
    <row r="145" spans="1:13" ht="12.75" thickBot="1">
      <c r="A145" s="1723"/>
      <c r="B145" s="1698"/>
      <c r="C145" s="1842"/>
      <c r="D145" s="1722"/>
      <c r="E145" s="2209"/>
      <c r="F145" s="1783"/>
      <c r="G145" s="1721"/>
      <c r="H145" s="1721"/>
      <c r="I145" s="1721"/>
      <c r="J145" s="1721"/>
      <c r="K145" s="1721"/>
      <c r="L145" s="1721"/>
      <c r="M145" s="1754">
        <f t="shared" si="23"/>
        <v>0</v>
      </c>
    </row>
    <row r="146" spans="1:13">
      <c r="A146" s="1264"/>
      <c r="B146" s="1717"/>
      <c r="C146" s="1843" t="s">
        <v>1852</v>
      </c>
      <c r="D146" s="1716"/>
      <c r="E146" s="2210"/>
      <c r="F146" s="1784"/>
      <c r="G146" s="1720">
        <f t="shared" ref="G146:L146" si="29">+G144</f>
        <v>7376.4319836137793</v>
      </c>
      <c r="H146" s="1720">
        <f t="shared" si="29"/>
        <v>7078.6067102524721</v>
      </c>
      <c r="I146" s="1720">
        <f t="shared" si="29"/>
        <v>7015.131250633588</v>
      </c>
      <c r="J146" s="1720">
        <f t="shared" si="29"/>
        <v>7174.1289443597962</v>
      </c>
      <c r="K146" s="1720">
        <f t="shared" si="29"/>
        <v>6632.2139490899426</v>
      </c>
      <c r="L146" s="1720">
        <f t="shared" si="29"/>
        <v>7177.2517720475316</v>
      </c>
      <c r="M146" s="1720">
        <f t="shared" si="23"/>
        <v>42453.76460999711</v>
      </c>
    </row>
    <row r="147" spans="1:13">
      <c r="C147" s="1844"/>
    </row>
    <row r="148" spans="1:13">
      <c r="A148" s="1355"/>
      <c r="B148" s="1355"/>
      <c r="C148" s="1034"/>
      <c r="D148" s="1355"/>
      <c r="E148" s="1785"/>
      <c r="F148" s="2255"/>
      <c r="G148" s="1355"/>
      <c r="H148" s="1355"/>
      <c r="I148" s="1355"/>
      <c r="J148" s="1355"/>
      <c r="K148" s="1355"/>
      <c r="L148" s="1355"/>
      <c r="M148" s="1355"/>
    </row>
    <row r="149" spans="1:13" ht="15.75">
      <c r="A149" s="1686"/>
      <c r="B149" s="1685" t="s">
        <v>1112</v>
      </c>
      <c r="C149" s="1382"/>
      <c r="D149" s="1288"/>
      <c r="E149" s="2191"/>
      <c r="F149" s="2253" t="s">
        <v>1729</v>
      </c>
      <c r="G149" s="1684"/>
      <c r="H149" s="1684"/>
      <c r="I149" s="1684"/>
      <c r="J149" s="1684"/>
      <c r="K149" s="1684"/>
      <c r="L149" s="1684"/>
      <c r="M149" s="1751"/>
    </row>
    <row r="150" spans="1:13">
      <c r="A150" s="1679"/>
      <c r="B150" s="1261" t="s">
        <v>545</v>
      </c>
      <c r="C150" s="1836" t="str">
        <f t="shared" ref="C150:C190" si="30">VLOOKUP(B150,$B$236:$E$311,2,0)</f>
        <v>ELECTRO INVEST. - ENMIENDA 5</v>
      </c>
      <c r="D150" s="1276" t="str">
        <f t="shared" ref="D150:D185" si="31">VLOOKUP(B150,$B$236:$D$311,3,0)</f>
        <v>H</v>
      </c>
      <c r="E150" s="2206" t="str">
        <f t="shared" ref="E150:E181" si="32">VLOOKUP(B150,$B$236:$E$311,4,0)</f>
        <v>2016-Jun27</v>
      </c>
      <c r="F150" s="1780"/>
      <c r="G150" s="1350">
        <f t="shared" ref="G150:L159" si="33">IF(SUMIF($B$387:$B$450,$B150,G$387:G$450)*SUMIF($B$461:$B$522,$B150,G$461:G$522)=0,"",SUMIF($B$387:$B$450,$B150,G$387:G$450)*SUMIF($B$461:$B$522,$B150,G$461:G$522))</f>
        <v>104.51142246096626</v>
      </c>
      <c r="H150" s="1350">
        <f t="shared" si="33"/>
        <v>103.84125257017547</v>
      </c>
      <c r="I150" s="1350">
        <f t="shared" si="33"/>
        <v>104.26104034905011</v>
      </c>
      <c r="J150" s="1350">
        <f t="shared" si="33"/>
        <v>114.70669931451431</v>
      </c>
      <c r="K150" s="1350">
        <f t="shared" si="33"/>
        <v>102.68530614462806</v>
      </c>
      <c r="L150" s="1350">
        <f t="shared" si="33"/>
        <v>100.90318115145901</v>
      </c>
      <c r="M150" s="1753">
        <f t="shared" ref="M150:M190" si="34">SUM(G150:L150)</f>
        <v>630.9089019907932</v>
      </c>
    </row>
    <row r="151" spans="1:13">
      <c r="A151" s="1679"/>
      <c r="B151" s="1286" t="s">
        <v>547</v>
      </c>
      <c r="C151" s="1836" t="str">
        <f t="shared" si="30"/>
        <v>FORTUNA</v>
      </c>
      <c r="D151" s="1276" t="str">
        <f t="shared" si="31"/>
        <v>H</v>
      </c>
      <c r="E151" s="2206" t="str">
        <f t="shared" si="32"/>
        <v>2015-2029</v>
      </c>
      <c r="F151" s="1780"/>
      <c r="G151" s="1350">
        <f t="shared" si="33"/>
        <v>241.41436528017522</v>
      </c>
      <c r="H151" s="1350">
        <f t="shared" si="33"/>
        <v>239.86631785143061</v>
      </c>
      <c r="I151" s="1350">
        <f t="shared" si="33"/>
        <v>240.83599942118673</v>
      </c>
      <c r="J151" s="1350">
        <f t="shared" si="33"/>
        <v>264.96476993928542</v>
      </c>
      <c r="K151" s="1350">
        <f t="shared" si="33"/>
        <v>237.19615925966863</v>
      </c>
      <c r="L151" s="1350">
        <f t="shared" si="33"/>
        <v>233.07957024054468</v>
      </c>
      <c r="M151" s="1753">
        <f t="shared" si="34"/>
        <v>1457.3571819922911</v>
      </c>
    </row>
    <row r="152" spans="1:13">
      <c r="A152" s="1679"/>
      <c r="B152" s="1286" t="s">
        <v>558</v>
      </c>
      <c r="C152" s="1836" t="str">
        <f t="shared" si="30"/>
        <v xml:space="preserve">HIDROECOLOGICA DEL TERIBE </v>
      </c>
      <c r="D152" s="1276" t="str">
        <f t="shared" si="31"/>
        <v>H</v>
      </c>
      <c r="E152" s="2206" t="str">
        <f t="shared" si="32"/>
        <v>2015-2029</v>
      </c>
      <c r="F152" s="1780"/>
      <c r="G152" s="1350">
        <f t="shared" si="33"/>
        <v>87.970144315523157</v>
      </c>
      <c r="H152" s="1350">
        <f t="shared" si="33"/>
        <v>87.40604385051607</v>
      </c>
      <c r="I152" s="1350">
        <f t="shared" si="33"/>
        <v>87.759390792122261</v>
      </c>
      <c r="J152" s="1350">
        <f t="shared" si="33"/>
        <v>96.551789795263048</v>
      </c>
      <c r="K152" s="1350">
        <f t="shared" si="33"/>
        <v>86.433051889619193</v>
      </c>
      <c r="L152" s="1350">
        <f t="shared" si="33"/>
        <v>84.932988172699282</v>
      </c>
      <c r="M152" s="1753">
        <f t="shared" si="34"/>
        <v>531.05340881574307</v>
      </c>
    </row>
    <row r="153" spans="1:13">
      <c r="A153" s="1679"/>
      <c r="B153" s="1286" t="s">
        <v>559</v>
      </c>
      <c r="C153" s="1836" t="str">
        <f t="shared" si="30"/>
        <v xml:space="preserve">ESEPSA </v>
      </c>
      <c r="D153" s="1276" t="str">
        <f t="shared" si="31"/>
        <v>H</v>
      </c>
      <c r="E153" s="2206" t="str">
        <f t="shared" si="32"/>
        <v>2015-2029</v>
      </c>
      <c r="F153" s="1780"/>
      <c r="G153" s="1350">
        <f t="shared" si="33"/>
        <v>43.477771686327102</v>
      </c>
      <c r="H153" s="1350">
        <f t="shared" si="33"/>
        <v>43.19897447147018</v>
      </c>
      <c r="I153" s="1350">
        <f t="shared" si="33"/>
        <v>43.373610284253601</v>
      </c>
      <c r="J153" s="1350">
        <f t="shared" si="33"/>
        <v>47.719106354631073</v>
      </c>
      <c r="K153" s="1350">
        <f t="shared" si="33"/>
        <v>42.718089477388837</v>
      </c>
      <c r="L153" s="1350">
        <f t="shared" si="33"/>
        <v>41.976708088206792</v>
      </c>
      <c r="M153" s="1753">
        <f t="shared" si="34"/>
        <v>262.46426036227757</v>
      </c>
    </row>
    <row r="154" spans="1:13">
      <c r="A154" s="1679"/>
      <c r="B154" s="1286" t="s">
        <v>560</v>
      </c>
      <c r="C154" s="1836" t="str">
        <f t="shared" si="30"/>
        <v xml:space="preserve">PEDREGALITO </v>
      </c>
      <c r="D154" s="1276" t="str">
        <f t="shared" si="31"/>
        <v>H</v>
      </c>
      <c r="E154" s="2206" t="str">
        <f t="shared" si="32"/>
        <v>2015-2029</v>
      </c>
      <c r="F154" s="1780"/>
      <c r="G154" s="1350">
        <f t="shared" si="33"/>
        <v>18.608751414510191</v>
      </c>
      <c r="H154" s="1350">
        <f t="shared" si="33"/>
        <v>18.489424506411961</v>
      </c>
      <c r="I154" s="1350">
        <f t="shared" si="33"/>
        <v>18.56416969923378</v>
      </c>
      <c r="J154" s="1350">
        <f t="shared" si="33"/>
        <v>20.424068516721142</v>
      </c>
      <c r="K154" s="1350">
        <f t="shared" si="33"/>
        <v>18.283602796449713</v>
      </c>
      <c r="L154" s="1350">
        <f t="shared" si="33"/>
        <v>17.966287040845536</v>
      </c>
      <c r="M154" s="1753">
        <f t="shared" si="34"/>
        <v>112.33630397417232</v>
      </c>
    </row>
    <row r="155" spans="1:13">
      <c r="A155" s="1679"/>
      <c r="B155" s="1286" t="s">
        <v>561</v>
      </c>
      <c r="C155" s="1836" t="str">
        <f t="shared" si="30"/>
        <v xml:space="preserve">CALDERA </v>
      </c>
      <c r="D155" s="1276" t="str">
        <f t="shared" si="31"/>
        <v>H</v>
      </c>
      <c r="E155" s="2206" t="str">
        <f t="shared" si="32"/>
        <v>2015-2029</v>
      </c>
      <c r="F155" s="1780"/>
      <c r="G155" s="1350">
        <f t="shared" si="33"/>
        <v>16.556521710126702</v>
      </c>
      <c r="H155" s="1350">
        <f t="shared" si="33"/>
        <v>16.450354536385532</v>
      </c>
      <c r="I155" s="1350">
        <f t="shared" si="33"/>
        <v>16.516856602005962</v>
      </c>
      <c r="J155" s="1350">
        <f t="shared" si="33"/>
        <v>18.171640121031174</v>
      </c>
      <c r="K155" s="1350">
        <f t="shared" si="33"/>
        <v>16.267231470603253</v>
      </c>
      <c r="L155" s="1350">
        <f t="shared" si="33"/>
        <v>15.984910261640827</v>
      </c>
      <c r="M155" s="1753">
        <f t="shared" si="34"/>
        <v>99.947514701793438</v>
      </c>
    </row>
    <row r="156" spans="1:13">
      <c r="A156" s="1679"/>
      <c r="B156" s="1286" t="s">
        <v>562</v>
      </c>
      <c r="C156" s="1836" t="str">
        <f t="shared" si="30"/>
        <v xml:space="preserve">RIO CHICO </v>
      </c>
      <c r="D156" s="1276" t="str">
        <f t="shared" si="31"/>
        <v>H</v>
      </c>
      <c r="E156" s="2206" t="str">
        <f t="shared" si="32"/>
        <v>2015-2029</v>
      </c>
      <c r="F156" s="1780"/>
      <c r="G156" s="1350">
        <f t="shared" si="33"/>
        <v>11.411959525315373</v>
      </c>
      <c r="H156" s="1350">
        <f t="shared" si="33"/>
        <v>11.338781383742898</v>
      </c>
      <c r="I156" s="1350">
        <f t="shared" si="33"/>
        <v>11.384619446501336</v>
      </c>
      <c r="J156" s="1350">
        <f t="shared" si="33"/>
        <v>12.525216660874214</v>
      </c>
      <c r="K156" s="1350">
        <f t="shared" si="33"/>
        <v>11.212559641552881</v>
      </c>
      <c r="L156" s="1350">
        <f t="shared" si="33"/>
        <v>11.017963320766091</v>
      </c>
      <c r="M156" s="1753">
        <f t="shared" si="34"/>
        <v>68.891099978752791</v>
      </c>
    </row>
    <row r="157" spans="1:13">
      <c r="A157" s="1679"/>
      <c r="B157" s="1286" t="s">
        <v>563</v>
      </c>
      <c r="C157" s="1836" t="str">
        <f t="shared" si="30"/>
        <v xml:space="preserve">ALTO VALLE </v>
      </c>
      <c r="D157" s="1276" t="str">
        <f t="shared" si="31"/>
        <v>H</v>
      </c>
      <c r="E157" s="2206" t="str">
        <f t="shared" si="32"/>
        <v>2015-2029</v>
      </c>
      <c r="F157" s="1780"/>
      <c r="G157" s="1350">
        <f t="shared" si="33"/>
        <v>10.859150655004482</v>
      </c>
      <c r="H157" s="1350">
        <f t="shared" si="33"/>
        <v>10.789517349503704</v>
      </c>
      <c r="I157" s="1350">
        <f t="shared" si="33"/>
        <v>10.833134962072629</v>
      </c>
      <c r="J157" s="1350">
        <f t="shared" si="33"/>
        <v>11.918480293001787</v>
      </c>
      <c r="K157" s="1350">
        <f t="shared" si="33"/>
        <v>10.669409938384874</v>
      </c>
      <c r="L157" s="1350">
        <f t="shared" si="33"/>
        <v>10.48424009444653</v>
      </c>
      <c r="M157" s="1753">
        <f t="shared" si="34"/>
        <v>65.553933292414001</v>
      </c>
    </row>
    <row r="158" spans="1:13">
      <c r="A158" s="1679"/>
      <c r="B158" s="1286" t="s">
        <v>564</v>
      </c>
      <c r="C158" s="1836" t="str">
        <f t="shared" si="30"/>
        <v xml:space="preserve">DESARROLLO HIDRO CORP </v>
      </c>
      <c r="D158" s="1276" t="str">
        <f t="shared" si="31"/>
        <v>H</v>
      </c>
      <c r="E158" s="2206" t="str">
        <f t="shared" si="32"/>
        <v>2015-2029</v>
      </c>
      <c r="F158" s="1780"/>
      <c r="G158" s="1350">
        <f t="shared" si="33"/>
        <v>16.010693889007726</v>
      </c>
      <c r="H158" s="1350">
        <f t="shared" si="33"/>
        <v>15.908026786001944</v>
      </c>
      <c r="I158" s="1350">
        <f t="shared" si="33"/>
        <v>15.972336441995942</v>
      </c>
      <c r="J158" s="1350">
        <f t="shared" si="33"/>
        <v>17.57256581622994</v>
      </c>
      <c r="K158" s="1350">
        <f t="shared" si="33"/>
        <v>15.73094083754072</v>
      </c>
      <c r="L158" s="1350">
        <f t="shared" si="33"/>
        <v>15.457927064828587</v>
      </c>
      <c r="M158" s="1753">
        <f t="shared" si="34"/>
        <v>96.652490835604851</v>
      </c>
    </row>
    <row r="159" spans="1:13">
      <c r="A159" s="1679"/>
      <c r="B159" s="1286" t="s">
        <v>565</v>
      </c>
      <c r="C159" s="1836" t="str">
        <f t="shared" si="30"/>
        <v xml:space="preserve">SAN LORENZO </v>
      </c>
      <c r="D159" s="1276" t="str">
        <f t="shared" si="31"/>
        <v>H</v>
      </c>
      <c r="E159" s="2206" t="str">
        <f t="shared" si="32"/>
        <v>2015-2029</v>
      </c>
      <c r="F159" s="1780"/>
      <c r="G159" s="1350">
        <f t="shared" si="33"/>
        <v>10.401500137689336</v>
      </c>
      <c r="H159" s="1350">
        <f t="shared" si="33"/>
        <v>10.334801474067767</v>
      </c>
      <c r="I159" s="1350">
        <f t="shared" si="33"/>
        <v>10.376580856042935</v>
      </c>
      <c r="J159" s="1350">
        <f t="shared" si="33"/>
        <v>11.41618514626405</v>
      </c>
      <c r="K159" s="1350">
        <f t="shared" si="33"/>
        <v>10.219755897025857</v>
      </c>
      <c r="L159" s="1350">
        <f t="shared" si="33"/>
        <v>10.04238989314479</v>
      </c>
      <c r="M159" s="1753">
        <f t="shared" si="34"/>
        <v>62.791213404234739</v>
      </c>
    </row>
    <row r="160" spans="1:13">
      <c r="A160" s="1679"/>
      <c r="B160" s="1286" t="s">
        <v>566</v>
      </c>
      <c r="C160" s="1836" t="str">
        <f t="shared" si="30"/>
        <v xml:space="preserve">ELECTROGENERADORA ISTMO </v>
      </c>
      <c r="D160" s="1276" t="str">
        <f t="shared" si="31"/>
        <v>H</v>
      </c>
      <c r="E160" s="2206" t="str">
        <f t="shared" si="32"/>
        <v>2015-2029</v>
      </c>
      <c r="F160" s="1780"/>
      <c r="G160" s="1350">
        <f t="shared" ref="G160:L169" si="35">IF(SUMIF($B$387:$B$450,$B160,G$387:G$450)*SUMIF($B$461:$B$522,$B160,G$461:G$522)=0,"",SUMIF($B$387:$B$450,$B160,G$387:G$450)*SUMIF($B$461:$B$522,$B160,G$461:G$522))</f>
        <v>6.8986541778803172</v>
      </c>
      <c r="H160" s="1350">
        <f t="shared" si="35"/>
        <v>6.854417192026256</v>
      </c>
      <c r="I160" s="1350">
        <f t="shared" si="35"/>
        <v>6.882126801620732</v>
      </c>
      <c r="J160" s="1350">
        <f t="shared" si="35"/>
        <v>7.5716302756522591</v>
      </c>
      <c r="K160" s="1350">
        <f t="shared" si="35"/>
        <v>6.7781147702408608</v>
      </c>
      <c r="L160" s="1350">
        <f t="shared" si="35"/>
        <v>6.6604791688861642</v>
      </c>
      <c r="M160" s="1753">
        <f t="shared" si="34"/>
        <v>41.645422386306592</v>
      </c>
    </row>
    <row r="161" spans="1:13">
      <c r="A161" s="1679"/>
      <c r="B161" s="1313" t="s">
        <v>568</v>
      </c>
      <c r="C161" s="1836" t="str">
        <f t="shared" si="30"/>
        <v>UEP NUEVO CHAGRES</v>
      </c>
      <c r="D161" s="1276" t="str">
        <f t="shared" si="31"/>
        <v>Eo</v>
      </c>
      <c r="E161" s="2206" t="str">
        <f t="shared" si="32"/>
        <v>Hasta-2029</v>
      </c>
      <c r="F161" s="1780"/>
      <c r="G161" s="1350">
        <f t="shared" si="35"/>
        <v>73.223138454418034</v>
      </c>
      <c r="H161" s="1350">
        <f t="shared" si="35"/>
        <v>64.463729462186834</v>
      </c>
      <c r="I161" s="1350">
        <f t="shared" si="35"/>
        <v>41.135714334303081</v>
      </c>
      <c r="J161" s="1350">
        <f t="shared" si="35"/>
        <v>62.335114689199422</v>
      </c>
      <c r="K161" s="1350">
        <f t="shared" si="35"/>
        <v>112.49748404691303</v>
      </c>
      <c r="L161" s="1350">
        <f t="shared" si="35"/>
        <v>241.14881086744089</v>
      </c>
      <c r="M161" s="1753">
        <f t="shared" si="34"/>
        <v>594.80399185446129</v>
      </c>
    </row>
    <row r="162" spans="1:13">
      <c r="A162" s="1679"/>
      <c r="B162" s="1313" t="s">
        <v>571</v>
      </c>
      <c r="C162" s="1836" t="str">
        <f t="shared" si="30"/>
        <v>UEP ROSA DE LOS VIENTOS</v>
      </c>
      <c r="D162" s="1276" t="str">
        <f t="shared" si="31"/>
        <v>Eo</v>
      </c>
      <c r="E162" s="2206" t="str">
        <f t="shared" si="32"/>
        <v>Hasta-2029</v>
      </c>
      <c r="F162" s="1780"/>
      <c r="G162" s="1350">
        <f t="shared" si="35"/>
        <v>75.535448089820719</v>
      </c>
      <c r="H162" s="1350">
        <f t="shared" si="35"/>
        <v>66.499426182045383</v>
      </c>
      <c r="I162" s="1350">
        <f t="shared" si="35"/>
        <v>42.434736892228443</v>
      </c>
      <c r="J162" s="1350">
        <f t="shared" si="35"/>
        <v>64.303591995174145</v>
      </c>
      <c r="K162" s="1350">
        <f t="shared" si="35"/>
        <v>116.0500361747103</v>
      </c>
      <c r="L162" s="1350">
        <f t="shared" si="35"/>
        <v>248.76403647378118</v>
      </c>
      <c r="M162" s="1753">
        <f t="shared" si="34"/>
        <v>613.58727580776019</v>
      </c>
    </row>
    <row r="163" spans="1:13">
      <c r="A163" s="1679"/>
      <c r="B163" s="1313" t="s">
        <v>573</v>
      </c>
      <c r="C163" s="1836" t="str">
        <f t="shared" si="30"/>
        <v>UEP PORTOBELO</v>
      </c>
      <c r="D163" s="1276" t="str">
        <f t="shared" si="31"/>
        <v>Eo</v>
      </c>
      <c r="E163" s="2206" t="str">
        <f t="shared" si="32"/>
        <v>Hasta-2029</v>
      </c>
      <c r="F163" s="1780"/>
      <c r="G163" s="1350">
        <f t="shared" si="35"/>
        <v>83.243146874496347</v>
      </c>
      <c r="H163" s="1350">
        <f t="shared" si="35"/>
        <v>73.285081914907181</v>
      </c>
      <c r="I163" s="1350">
        <f t="shared" si="35"/>
        <v>46.764812085313004</v>
      </c>
      <c r="J163" s="1350">
        <f t="shared" si="35"/>
        <v>70.865183015089912</v>
      </c>
      <c r="K163" s="1350">
        <f t="shared" si="35"/>
        <v>127.89187660070121</v>
      </c>
      <c r="L163" s="1350">
        <f t="shared" si="35"/>
        <v>274.14812182824875</v>
      </c>
      <c r="M163" s="1753">
        <f t="shared" si="34"/>
        <v>676.19822231875639</v>
      </c>
    </row>
    <row r="164" spans="1:13">
      <c r="A164" s="1679"/>
      <c r="B164" s="1313" t="s">
        <v>575</v>
      </c>
      <c r="C164" s="1836" t="str">
        <f t="shared" si="30"/>
        <v>UEP MARAÑON</v>
      </c>
      <c r="D164" s="1276" t="str">
        <f t="shared" si="31"/>
        <v>Eo</v>
      </c>
      <c r="E164" s="2206" t="str">
        <f t="shared" si="32"/>
        <v>Hasta-2029</v>
      </c>
      <c r="F164" s="1780"/>
      <c r="G164" s="1350">
        <f t="shared" si="35"/>
        <v>84.784686631431455</v>
      </c>
      <c r="H164" s="1350">
        <f t="shared" si="35"/>
        <v>74.642213061479538</v>
      </c>
      <c r="I164" s="1350">
        <f t="shared" si="35"/>
        <v>47.630827123929912</v>
      </c>
      <c r="J164" s="1350">
        <f t="shared" si="35"/>
        <v>72.177501219073051</v>
      </c>
      <c r="K164" s="1350">
        <f t="shared" si="35"/>
        <v>130.26024468589938</v>
      </c>
      <c r="L164" s="1350">
        <f t="shared" si="35"/>
        <v>279.22493889914227</v>
      </c>
      <c r="M164" s="1753">
        <f t="shared" si="34"/>
        <v>688.7204116209557</v>
      </c>
    </row>
    <row r="165" spans="1:13">
      <c r="A165" s="1679"/>
      <c r="B165" s="1313" t="s">
        <v>831</v>
      </c>
      <c r="C165" s="1836" t="str">
        <f t="shared" si="30"/>
        <v>AES PANAMA (CHAN 2)</v>
      </c>
      <c r="D165" s="1276" t="str">
        <f t="shared" si="31"/>
        <v>H</v>
      </c>
      <c r="E165" s="2206" t="str">
        <f t="shared" si="32"/>
        <v>2019-2030</v>
      </c>
      <c r="F165" s="1780"/>
      <c r="G165" s="1350">
        <f t="shared" si="35"/>
        <v>3315.1075509365419</v>
      </c>
      <c r="H165" s="1350">
        <f t="shared" si="35"/>
        <v>3293.8497284607197</v>
      </c>
      <c r="I165" s="1350">
        <f t="shared" si="35"/>
        <v>3307.1654178157087</v>
      </c>
      <c r="J165" s="1350">
        <f t="shared" si="35"/>
        <v>3638.5022429732821</v>
      </c>
      <c r="K165" s="1350">
        <f t="shared" si="35"/>
        <v>3257.1830499907996</v>
      </c>
      <c r="L165" s="1350">
        <f t="shared" si="35"/>
        <v>3200.6539560176125</v>
      </c>
      <c r="M165" s="1753">
        <f t="shared" si="34"/>
        <v>20012.461946194664</v>
      </c>
    </row>
    <row r="166" spans="1:13">
      <c r="A166" s="1679"/>
      <c r="B166" s="1313" t="s">
        <v>687</v>
      </c>
      <c r="C166" s="1836" t="str">
        <f t="shared" si="30"/>
        <v>HIDRO PIEDRA</v>
      </c>
      <c r="D166" s="1276" t="str">
        <f t="shared" si="31"/>
        <v>H</v>
      </c>
      <c r="E166" s="2206" t="str">
        <f t="shared" si="32"/>
        <v>2019-2030</v>
      </c>
      <c r="F166" s="1780"/>
      <c r="G166" s="1350">
        <f t="shared" si="35"/>
        <v>19.267761150607917</v>
      </c>
      <c r="H166" s="1350">
        <f t="shared" si="35"/>
        <v>19.144208403147143</v>
      </c>
      <c r="I166" s="1350">
        <f t="shared" si="35"/>
        <v>19.221600619871801</v>
      </c>
      <c r="J166" s="1350">
        <f t="shared" si="35"/>
        <v>21.147365835462857</v>
      </c>
      <c r="K166" s="1350">
        <f t="shared" si="35"/>
        <v>18.931097729635219</v>
      </c>
      <c r="L166" s="1350">
        <f t="shared" si="35"/>
        <v>18.602544563862978</v>
      </c>
      <c r="M166" s="1753">
        <f t="shared" si="34"/>
        <v>116.3145783025879</v>
      </c>
    </row>
    <row r="167" spans="1:13">
      <c r="A167" s="1679"/>
      <c r="B167" s="1313" t="s">
        <v>688</v>
      </c>
      <c r="C167" s="1836" t="str">
        <f t="shared" si="30"/>
        <v>CORPORACION ENERGIA DEL ISTMO</v>
      </c>
      <c r="D167" s="1276" t="str">
        <f t="shared" si="31"/>
        <v>H</v>
      </c>
      <c r="E167" s="2206" t="str">
        <f t="shared" si="32"/>
        <v>2019-2030</v>
      </c>
      <c r="F167" s="1780"/>
      <c r="G167" s="1350">
        <f t="shared" si="35"/>
        <v>95.040994219820831</v>
      </c>
      <c r="H167" s="1350">
        <f t="shared" si="35"/>
        <v>94.431552579690688</v>
      </c>
      <c r="I167" s="1350">
        <f t="shared" si="35"/>
        <v>94.813300784108037</v>
      </c>
      <c r="J167" s="1350">
        <f t="shared" si="35"/>
        <v>104.31241379952689</v>
      </c>
      <c r="K167" s="1350">
        <f t="shared" si="35"/>
        <v>93.380353629739517</v>
      </c>
      <c r="L167" s="1350">
        <f t="shared" si="35"/>
        <v>91.759718036170398</v>
      </c>
      <c r="M167" s="1753">
        <f t="shared" si="34"/>
        <v>573.73833304905634</v>
      </c>
    </row>
    <row r="168" spans="1:13">
      <c r="A168" s="1679"/>
      <c r="B168" s="1313" t="s">
        <v>800</v>
      </c>
      <c r="C168" s="1836" t="str">
        <f t="shared" si="30"/>
        <v>SALTOS DE FRANCOLI</v>
      </c>
      <c r="D168" s="1276" t="str">
        <f t="shared" si="31"/>
        <v>H</v>
      </c>
      <c r="E168" s="2206" t="str">
        <f t="shared" si="32"/>
        <v>2019-2030</v>
      </c>
      <c r="F168" s="1780"/>
      <c r="G168" s="1350">
        <f t="shared" si="35"/>
        <v>10.292495410562353</v>
      </c>
      <c r="H168" s="1350">
        <f t="shared" si="35"/>
        <v>10.226495729734761</v>
      </c>
      <c r="I168" s="1350">
        <f t="shared" si="35"/>
        <v>10.267837275814005</v>
      </c>
      <c r="J168" s="1350">
        <f t="shared" si="35"/>
        <v>11.296546812348105</v>
      </c>
      <c r="K168" s="1350">
        <f t="shared" si="35"/>
        <v>10.112655797221681</v>
      </c>
      <c r="L168" s="1350">
        <f t="shared" si="35"/>
        <v>9.9371485380023188</v>
      </c>
      <c r="M168" s="1753">
        <f t="shared" si="34"/>
        <v>62.133179563683228</v>
      </c>
    </row>
    <row r="169" spans="1:13">
      <c r="A169" s="1679"/>
      <c r="B169" s="1261" t="s">
        <v>690</v>
      </c>
      <c r="C169" s="1836" t="str">
        <f t="shared" si="30"/>
        <v>ISTMUS HIDRO POWER</v>
      </c>
      <c r="D169" s="1276" t="str">
        <f t="shared" si="31"/>
        <v>H SE</v>
      </c>
      <c r="E169" s="2206" t="str">
        <f t="shared" si="32"/>
        <v>2016-2027</v>
      </c>
      <c r="F169" s="1780"/>
      <c r="G169" s="1350">
        <f t="shared" si="35"/>
        <v>36.090275382204169</v>
      </c>
      <c r="H169" s="1350">
        <f t="shared" si="35"/>
        <v>24.076099485491667</v>
      </c>
      <c r="I169" s="1350">
        <f t="shared" si="35"/>
        <v>32.536488813087367</v>
      </c>
      <c r="J169" s="1350">
        <f t="shared" si="35"/>
        <v>32.735002873503369</v>
      </c>
      <c r="K169" s="1350">
        <f t="shared" si="35"/>
        <v>33.617312737946044</v>
      </c>
      <c r="L169" s="1350">
        <f t="shared" si="35"/>
        <v>31.515121815250186</v>
      </c>
      <c r="M169" s="1753">
        <f t="shared" si="34"/>
        <v>190.57030110748278</v>
      </c>
    </row>
    <row r="170" spans="1:13">
      <c r="A170" s="1679"/>
      <c r="B170" s="1261" t="s">
        <v>579</v>
      </c>
      <c r="C170" s="1836" t="str">
        <f t="shared" si="30"/>
        <v>CALDERA ENERGY CORP</v>
      </c>
      <c r="D170" s="1276" t="str">
        <f t="shared" si="31"/>
        <v>H SE</v>
      </c>
      <c r="E170" s="2206" t="str">
        <f t="shared" si="32"/>
        <v>2016-2027</v>
      </c>
      <c r="F170" s="1780"/>
      <c r="G170" s="1350">
        <f t="shared" ref="G170:L179" si="36">IF(SUMIF($B$387:$B$450,$B170,G$387:G$450)*SUMIF($B$461:$B$522,$B170,G$461:G$522)=0,"",SUMIF($B$387:$B$450,$B170,G$387:G$450)*SUMIF($B$461:$B$522,$B170,G$461:G$522))</f>
        <v>40.601559804979679</v>
      </c>
      <c r="H170" s="1350">
        <f t="shared" si="36"/>
        <v>68.599538763906949</v>
      </c>
      <c r="I170" s="1350">
        <f t="shared" si="36"/>
        <v>78.073484703042197</v>
      </c>
      <c r="J170" s="1350">
        <f t="shared" si="36"/>
        <v>123.13837724348238</v>
      </c>
      <c r="K170" s="1350">
        <f t="shared" si="36"/>
        <v>78.627972925257893</v>
      </c>
      <c r="L170" s="1350">
        <f t="shared" si="36"/>
        <v>21.777664996717768</v>
      </c>
      <c r="M170" s="1753">
        <f t="shared" si="34"/>
        <v>410.81859843738687</v>
      </c>
    </row>
    <row r="171" spans="1:13">
      <c r="A171" s="1679"/>
      <c r="B171" s="1261" t="s">
        <v>581</v>
      </c>
      <c r="C171" s="1836" t="str">
        <f t="shared" si="30"/>
        <v>ELECTROGENERADORA DEL ISTMO</v>
      </c>
      <c r="D171" s="1276" t="str">
        <f t="shared" si="31"/>
        <v>H SE</v>
      </c>
      <c r="E171" s="2206" t="str">
        <f t="shared" si="32"/>
        <v>2016-2027</v>
      </c>
      <c r="F171" s="1780"/>
      <c r="G171" s="1350">
        <f t="shared" si="36"/>
        <v>13.815808544750032</v>
      </c>
      <c r="H171" s="1350">
        <f t="shared" si="36"/>
        <v>21.883967444215116</v>
      </c>
      <c r="I171" s="1350">
        <f t="shared" si="36"/>
        <v>31.460532487245626</v>
      </c>
      <c r="J171" s="1350">
        <f t="shared" si="36"/>
        <v>43.512840035557467</v>
      </c>
      <c r="K171" s="1350">
        <f t="shared" si="36"/>
        <v>30.689962471439507</v>
      </c>
      <c r="L171" s="1350">
        <f t="shared" si="36"/>
        <v>11.115683175408028</v>
      </c>
      <c r="M171" s="1753">
        <f t="shared" si="34"/>
        <v>152.47879415861578</v>
      </c>
    </row>
    <row r="172" spans="1:13">
      <c r="A172" s="1679"/>
      <c r="B172" s="1261" t="s">
        <v>582</v>
      </c>
      <c r="C172" s="1836" t="str">
        <f t="shared" si="30"/>
        <v>FOUNTAIN INTERTRADE CORP</v>
      </c>
      <c r="D172" s="1276" t="str">
        <f t="shared" si="31"/>
        <v>H SE</v>
      </c>
      <c r="E172" s="2206" t="str">
        <f t="shared" si="32"/>
        <v>2016-2027</v>
      </c>
      <c r="F172" s="1780"/>
      <c r="G172" s="1350">
        <f t="shared" si="36"/>
        <v>182.74044185569733</v>
      </c>
      <c r="H172" s="1350">
        <f t="shared" si="36"/>
        <v>193.57979117352789</v>
      </c>
      <c r="I172" s="1350">
        <f t="shared" si="36"/>
        <v>268.81432599880964</v>
      </c>
      <c r="J172" s="1350">
        <f t="shared" si="36"/>
        <v>419.41908646180246</v>
      </c>
      <c r="K172" s="1350">
        <f t="shared" si="36"/>
        <v>274.59590018491258</v>
      </c>
      <c r="L172" s="1350">
        <f t="shared" si="36"/>
        <v>144.62702608540246</v>
      </c>
      <c r="M172" s="1753">
        <f t="shared" si="34"/>
        <v>1483.7765717601524</v>
      </c>
    </row>
    <row r="173" spans="1:13">
      <c r="A173" s="1679"/>
      <c r="B173" s="1261" t="s">
        <v>482</v>
      </c>
      <c r="C173" s="1836" t="str">
        <f t="shared" si="30"/>
        <v>HIDROIBÉRICA</v>
      </c>
      <c r="D173" s="1276" t="str">
        <f t="shared" si="31"/>
        <v>H SE</v>
      </c>
      <c r="E173" s="2206" t="str">
        <f t="shared" si="32"/>
        <v>2016-2027</v>
      </c>
      <c r="F173" s="1780"/>
      <c r="G173" s="1350">
        <f t="shared" si="36"/>
        <v>6.5982438253116742</v>
      </c>
      <c r="H173" s="1350">
        <f t="shared" si="36"/>
        <v>6.5559331932324723</v>
      </c>
      <c r="I173" s="1350">
        <f t="shared" si="36"/>
        <v>6.582436153910626</v>
      </c>
      <c r="J173" s="1350">
        <f t="shared" si="36"/>
        <v>7.241914353969837</v>
      </c>
      <c r="K173" s="1350">
        <f t="shared" si="36"/>
        <v>6.4829534539354787</v>
      </c>
      <c r="L173" s="1350">
        <f t="shared" si="36"/>
        <v>6.370440439039875</v>
      </c>
      <c r="M173" s="1753">
        <f t="shared" si="34"/>
        <v>39.831921419399961</v>
      </c>
    </row>
    <row r="174" spans="1:13">
      <c r="A174" s="1679"/>
      <c r="B174" s="1261" t="s">
        <v>584</v>
      </c>
      <c r="C174" s="1836" t="str">
        <f t="shared" si="30"/>
        <v>HIDROECOLOGICA DEL TERIBE</v>
      </c>
      <c r="D174" s="1276" t="str">
        <f t="shared" si="31"/>
        <v>H SE</v>
      </c>
      <c r="E174" s="2206" t="str">
        <f t="shared" si="32"/>
        <v>2016-2027</v>
      </c>
      <c r="F174" s="1780"/>
      <c r="G174" s="1350" t="str">
        <f t="shared" si="36"/>
        <v/>
      </c>
      <c r="H174" s="1350" t="str">
        <f t="shared" si="36"/>
        <v/>
      </c>
      <c r="I174" s="1350">
        <f t="shared" si="36"/>
        <v>9.3140297540471408</v>
      </c>
      <c r="J174" s="1350">
        <f t="shared" si="36"/>
        <v>53.675702901005138</v>
      </c>
      <c r="K174" s="1350">
        <f t="shared" si="36"/>
        <v>20.96745944673544</v>
      </c>
      <c r="L174" s="1350">
        <f t="shared" si="36"/>
        <v>19.745082930357444</v>
      </c>
      <c r="M174" s="1753">
        <f t="shared" si="34"/>
        <v>103.70227503214515</v>
      </c>
    </row>
    <row r="175" spans="1:13">
      <c r="A175" s="1679"/>
      <c r="B175" s="1261" t="s">
        <v>1273</v>
      </c>
      <c r="C175" s="1836" t="str">
        <f t="shared" si="30"/>
        <v>Generadora Gatún (NG Power)</v>
      </c>
      <c r="D175" s="1276" t="str">
        <f t="shared" si="31"/>
        <v>Gas2</v>
      </c>
      <c r="E175" s="2206" t="str">
        <f t="shared" si="32"/>
        <v>Oct24-Sep44</v>
      </c>
      <c r="F175" s="1780"/>
      <c r="G175" s="1350">
        <f t="shared" si="36"/>
        <v>4211.3970095659815</v>
      </c>
      <c r="H175" s="1350">
        <f t="shared" si="36"/>
        <v>4184.3918133154793</v>
      </c>
      <c r="I175" s="1350">
        <f t="shared" si="36"/>
        <v>4201.3076006521733</v>
      </c>
      <c r="J175" s="1350">
        <f t="shared" si="36"/>
        <v>4622.2263470842399</v>
      </c>
      <c r="K175" s="1350">
        <f t="shared" si="36"/>
        <v>4137.8117438346817</v>
      </c>
      <c r="L175" s="1350">
        <f t="shared" si="36"/>
        <v>4065.9991544528075</v>
      </c>
      <c r="M175" s="1753">
        <f t="shared" si="34"/>
        <v>25423.133668905364</v>
      </c>
    </row>
    <row r="176" spans="1:13">
      <c r="A176" s="1679"/>
      <c r="B176" s="1261" t="s">
        <v>586</v>
      </c>
      <c r="C176" s="1836" t="str">
        <f t="shared" si="30"/>
        <v>GENERADORA ALTO VALLE</v>
      </c>
      <c r="D176" s="1276" t="str">
        <f t="shared" si="31"/>
        <v>H SE</v>
      </c>
      <c r="E176" s="2206" t="str">
        <f t="shared" si="32"/>
        <v>2016-2027</v>
      </c>
      <c r="F176" s="1780"/>
      <c r="G176" s="1350">
        <f t="shared" si="36"/>
        <v>40.604657226712</v>
      </c>
      <c r="H176" s="1350">
        <f t="shared" si="36"/>
        <v>50.54580155632609</v>
      </c>
      <c r="I176" s="1350">
        <f t="shared" si="36"/>
        <v>48.640571814608521</v>
      </c>
      <c r="J176" s="1350">
        <f t="shared" si="36"/>
        <v>57.250420397432798</v>
      </c>
      <c r="K176" s="1350">
        <f t="shared" si="36"/>
        <v>52.917083478295858</v>
      </c>
      <c r="L176" s="1350">
        <f t="shared" si="36"/>
        <v>25.154804834250456</v>
      </c>
      <c r="M176" s="1753">
        <f t="shared" si="34"/>
        <v>275.11333930762578</v>
      </c>
    </row>
    <row r="177" spans="1:18">
      <c r="A177" s="1679"/>
      <c r="B177" s="1261" t="s">
        <v>483</v>
      </c>
      <c r="C177" s="1836" t="str">
        <f t="shared" si="30"/>
        <v>CAFÉ DE ELETA</v>
      </c>
      <c r="D177" s="1276" t="str">
        <f t="shared" si="31"/>
        <v>H SE</v>
      </c>
      <c r="E177" s="2206" t="str">
        <f t="shared" si="32"/>
        <v>2016-2027</v>
      </c>
      <c r="F177" s="1780"/>
      <c r="G177" s="1350">
        <f t="shared" si="36"/>
        <v>2.2139553280839683</v>
      </c>
      <c r="H177" s="1350">
        <f t="shared" si="36"/>
        <v>2.2409182662876272</v>
      </c>
      <c r="I177" s="1350">
        <f t="shared" si="36"/>
        <v>2.0717324221551126</v>
      </c>
      <c r="J177" s="1350">
        <f t="shared" si="36"/>
        <v>2.3367014020133832</v>
      </c>
      <c r="K177" s="1350">
        <f t="shared" si="36"/>
        <v>3.6101031647408601</v>
      </c>
      <c r="L177" s="1350">
        <f t="shared" si="36"/>
        <v>2.5322185126850227</v>
      </c>
      <c r="M177" s="1753">
        <f t="shared" si="34"/>
        <v>15.005629095965975</v>
      </c>
    </row>
    <row r="178" spans="1:18">
      <c r="A178" s="1679"/>
      <c r="B178" s="1261" t="s">
        <v>490</v>
      </c>
      <c r="C178" s="1836" t="str">
        <f t="shared" si="30"/>
        <v>EMNADESA</v>
      </c>
      <c r="D178" s="1276" t="str">
        <f t="shared" si="31"/>
        <v>H SE</v>
      </c>
      <c r="E178" s="2206" t="str">
        <f t="shared" si="32"/>
        <v>2016-2027</v>
      </c>
      <c r="F178" s="1780"/>
      <c r="G178" s="1350">
        <f t="shared" si="36"/>
        <v>18.406040444924127</v>
      </c>
      <c r="H178" s="1350">
        <f t="shared" si="36"/>
        <v>29.792565311606161</v>
      </c>
      <c r="I178" s="1350">
        <f t="shared" si="36"/>
        <v>28.553322464750764</v>
      </c>
      <c r="J178" s="1350">
        <f t="shared" si="36"/>
        <v>23.559363915355949</v>
      </c>
      <c r="K178" s="1350">
        <f t="shared" si="36"/>
        <v>32.139183933199163</v>
      </c>
      <c r="L178" s="1350">
        <f t="shared" si="36"/>
        <v>20.084451543222968</v>
      </c>
      <c r="M178" s="1753">
        <f t="shared" si="34"/>
        <v>152.53492761305912</v>
      </c>
    </row>
    <row r="179" spans="1:18">
      <c r="A179" s="1679"/>
      <c r="B179" s="1261" t="s">
        <v>484</v>
      </c>
      <c r="C179" s="1836" t="str">
        <f t="shared" si="30"/>
        <v xml:space="preserve">ESEPSA </v>
      </c>
      <c r="D179" s="1276" t="str">
        <f t="shared" si="31"/>
        <v>H SE</v>
      </c>
      <c r="E179" s="2206" t="str">
        <f t="shared" si="32"/>
        <v>2016-2027</v>
      </c>
      <c r="F179" s="1780"/>
      <c r="G179" s="1350">
        <f t="shared" si="36"/>
        <v>86.765926269894976</v>
      </c>
      <c r="H179" s="1350">
        <f t="shared" si="36"/>
        <v>86.209547742424689</v>
      </c>
      <c r="I179" s="1350">
        <f t="shared" si="36"/>
        <v>86.558057738874538</v>
      </c>
      <c r="J179" s="1350">
        <f t="shared" si="36"/>
        <v>95.23009811777608</v>
      </c>
      <c r="K179" s="1350">
        <f t="shared" si="36"/>
        <v>85.249875010303427</v>
      </c>
      <c r="L179" s="1350">
        <f t="shared" si="36"/>
        <v>83.770345575912714</v>
      </c>
      <c r="M179" s="1753">
        <f t="shared" si="34"/>
        <v>523.78385045518644</v>
      </c>
    </row>
    <row r="180" spans="1:18">
      <c r="A180" s="1679"/>
      <c r="B180" s="1261" t="s">
        <v>692</v>
      </c>
      <c r="C180" s="1836" t="str">
        <f t="shared" si="30"/>
        <v>Fuerza Eléctrica del Istmo (2016-27)</v>
      </c>
      <c r="D180" s="1276" t="str">
        <f t="shared" si="31"/>
        <v>H SE</v>
      </c>
      <c r="E180" s="2206" t="str">
        <f t="shared" si="32"/>
        <v>2016-2027</v>
      </c>
      <c r="F180" s="1780"/>
      <c r="G180" s="1350">
        <f t="shared" ref="G180:L189" si="37">IF(SUMIF($B$387:$B$450,$B180,G$387:G$450)*SUMIF($B$461:$B$522,$B180,G$461:G$522)=0,"",SUMIF($B$387:$B$450,$B180,G$387:G$450)*SUMIF($B$461:$B$522,$B180,G$461:G$522))</f>
        <v>7.2605014682573481</v>
      </c>
      <c r="H180" s="1350">
        <f t="shared" si="37"/>
        <v>7.2139441699114597</v>
      </c>
      <c r="I180" s="1350">
        <f t="shared" si="37"/>
        <v>7.2431072002588293</v>
      </c>
      <c r="J180" s="1350">
        <f t="shared" si="37"/>
        <v>7.968776418702336</v>
      </c>
      <c r="K180" s="1350">
        <f t="shared" si="37"/>
        <v>7.1336395436583029</v>
      </c>
      <c r="L180" s="1350">
        <f t="shared" si="37"/>
        <v>7.0098337354046203</v>
      </c>
      <c r="M180" s="1753">
        <f t="shared" si="34"/>
        <v>43.829802536192894</v>
      </c>
      <c r="O180" s="1000"/>
      <c r="P180" s="1000"/>
      <c r="Q180" s="1000"/>
      <c r="R180" s="1000"/>
    </row>
    <row r="181" spans="1:18" s="1000" customFormat="1">
      <c r="A181" s="1679"/>
      <c r="B181" s="1261" t="s">
        <v>587</v>
      </c>
      <c r="C181" s="1836" t="str">
        <f t="shared" si="30"/>
        <v>Hidro CAISÀN (2016-27)</v>
      </c>
      <c r="D181" s="1276" t="str">
        <f t="shared" si="31"/>
        <v>H SE</v>
      </c>
      <c r="E181" s="2206" t="str">
        <f t="shared" si="32"/>
        <v>2016-2027</v>
      </c>
      <c r="F181" s="1780"/>
      <c r="G181" s="1350">
        <f t="shared" si="37"/>
        <v>78.965893028220151</v>
      </c>
      <c r="H181" s="1350">
        <f t="shared" si="37"/>
        <v>78.459531497003937</v>
      </c>
      <c r="I181" s="1350">
        <f t="shared" si="37"/>
        <v>78.776711342618896</v>
      </c>
      <c r="J181" s="1350">
        <f t="shared" si="37"/>
        <v>86.669157632728371</v>
      </c>
      <c r="K181" s="1350">
        <f t="shared" si="37"/>
        <v>77.586130871151568</v>
      </c>
      <c r="L181" s="1350">
        <f t="shared" si="37"/>
        <v>76.239607321287295</v>
      </c>
      <c r="M181" s="1753">
        <f t="shared" si="34"/>
        <v>476.69703169301022</v>
      </c>
    </row>
    <row r="182" spans="1:18" s="1000" customFormat="1">
      <c r="A182" s="1679"/>
      <c r="B182" s="1261" t="s">
        <v>1274</v>
      </c>
      <c r="C182" s="1836" t="str">
        <f t="shared" si="30"/>
        <v>PASO ANCHO (2024-27)</v>
      </c>
      <c r="D182" s="1276" t="str">
        <f t="shared" si="31"/>
        <v>H SE</v>
      </c>
      <c r="E182" s="2206" t="str">
        <f t="shared" ref="E182:E206" si="38">VLOOKUP(B182,$B$236:$E$311,4,0)</f>
        <v>2024-2027</v>
      </c>
      <c r="F182" s="1780"/>
      <c r="G182" s="1350">
        <f t="shared" si="37"/>
        <v>27.698305641836747</v>
      </c>
      <c r="H182" s="1350">
        <f t="shared" si="37"/>
        <v>25.428406870385842</v>
      </c>
      <c r="I182" s="1350">
        <f t="shared" si="37"/>
        <v>4.4129553375615158</v>
      </c>
      <c r="J182" s="1350" t="str">
        <f t="shared" si="37"/>
        <v/>
      </c>
      <c r="K182" s="1350">
        <f t="shared" si="37"/>
        <v>32.915827881455996</v>
      </c>
      <c r="L182" s="1350">
        <f t="shared" si="37"/>
        <v>30.996876511994962</v>
      </c>
      <c r="M182" s="1753">
        <f t="shared" si="34"/>
        <v>121.45237224323506</v>
      </c>
      <c r="O182" s="337"/>
      <c r="P182" s="337"/>
      <c r="Q182" s="337"/>
      <c r="R182" s="337"/>
    </row>
    <row r="183" spans="1:18">
      <c r="A183" s="1679"/>
      <c r="B183" s="1261" t="s">
        <v>588</v>
      </c>
      <c r="C183" s="1836" t="str">
        <f t="shared" si="30"/>
        <v>PEDREGALITO</v>
      </c>
      <c r="D183" s="1276" t="str">
        <f t="shared" si="31"/>
        <v>H SE</v>
      </c>
      <c r="E183" s="2206" t="str">
        <f t="shared" si="38"/>
        <v>2016-2027</v>
      </c>
      <c r="F183" s="1780"/>
      <c r="G183" s="1350">
        <f t="shared" si="37"/>
        <v>31.981240615699438</v>
      </c>
      <c r="H183" s="1350">
        <f t="shared" si="37"/>
        <v>31.776163849676252</v>
      </c>
      <c r="I183" s="1350">
        <f t="shared" si="37"/>
        <v>31.904621903806504</v>
      </c>
      <c r="J183" s="1350">
        <f t="shared" si="37"/>
        <v>35.101068042397891</v>
      </c>
      <c r="K183" s="1350">
        <f t="shared" si="37"/>
        <v>31.422435999611871</v>
      </c>
      <c r="L183" s="1350">
        <f t="shared" si="37"/>
        <v>30.877093042146349</v>
      </c>
      <c r="M183" s="1753">
        <f t="shared" si="34"/>
        <v>193.06262345333832</v>
      </c>
    </row>
    <row r="184" spans="1:18">
      <c r="A184" s="1679"/>
      <c r="B184" s="1261" t="s">
        <v>589</v>
      </c>
      <c r="C184" s="1836" t="str">
        <f t="shared" si="30"/>
        <v>RÍO CHICO</v>
      </c>
      <c r="D184" s="1276" t="str">
        <f t="shared" si="31"/>
        <v>H SE</v>
      </c>
      <c r="E184" s="2206" t="str">
        <f t="shared" si="38"/>
        <v>2016-2027</v>
      </c>
      <c r="F184" s="1780"/>
      <c r="G184" s="1350">
        <f t="shared" si="37"/>
        <v>19.708222693558284</v>
      </c>
      <c r="H184" s="1350">
        <f t="shared" si="37"/>
        <v>19.581845526936558</v>
      </c>
      <c r="I184" s="1350">
        <f t="shared" si="37"/>
        <v>19.66100693183645</v>
      </c>
      <c r="J184" s="1350">
        <f t="shared" si="37"/>
        <v>21.630795192533224</v>
      </c>
      <c r="K184" s="1350">
        <f t="shared" si="37"/>
        <v>19.363863137642991</v>
      </c>
      <c r="L184" s="1350">
        <f t="shared" si="37"/>
        <v>19.027799237582219</v>
      </c>
      <c r="M184" s="1753">
        <f t="shared" si="34"/>
        <v>118.97353272008974</v>
      </c>
    </row>
    <row r="185" spans="1:18" ht="12.75" thickBot="1">
      <c r="A185" s="1679"/>
      <c r="B185" s="1285" t="s">
        <v>945</v>
      </c>
      <c r="C185" s="1836" t="str">
        <f t="shared" si="30"/>
        <v>PARQUE EOLICO TOABRE (Enmienda 1)</v>
      </c>
      <c r="D185" s="1276" t="str">
        <f t="shared" si="31"/>
        <v>Eo</v>
      </c>
      <c r="E185" s="2206" t="str">
        <f t="shared" si="38"/>
        <v>Al 2036</v>
      </c>
      <c r="F185" s="1780"/>
      <c r="G185" s="1350">
        <f t="shared" si="37"/>
        <v>230.02707966884185</v>
      </c>
      <c r="H185" s="1350">
        <f t="shared" si="37"/>
        <v>195.34363432689238</v>
      </c>
      <c r="I185" s="1350">
        <f t="shared" si="37"/>
        <v>229.80288365785228</v>
      </c>
      <c r="J185" s="1350">
        <f t="shared" si="37"/>
        <v>213.98525261440079</v>
      </c>
      <c r="K185" s="1350">
        <f t="shared" si="37"/>
        <v>321.62654496462898</v>
      </c>
      <c r="L185" s="1350">
        <f t="shared" si="37"/>
        <v>565.02076373419561</v>
      </c>
      <c r="M185" s="1753">
        <f t="shared" si="34"/>
        <v>1755.8061589668118</v>
      </c>
    </row>
    <row r="186" spans="1:18" ht="12.75" thickBot="1">
      <c r="A186" s="1679"/>
      <c r="B186" s="1284" t="s">
        <v>1515</v>
      </c>
      <c r="C186" s="1829" t="str">
        <f t="shared" si="30"/>
        <v>Electron (SECCION)</v>
      </c>
      <c r="D186" s="1283" t="str">
        <f>VLOOKUP(B186,$B$236:$E$311,3,0)</f>
        <v>H3</v>
      </c>
      <c r="E186" s="2195" t="str">
        <f t="shared" si="38"/>
        <v>Ene26-Dic40</v>
      </c>
      <c r="F186" s="1780"/>
      <c r="G186" s="1350">
        <f t="shared" si="37"/>
        <v>1639.4203735167234</v>
      </c>
      <c r="H186" s="1350">
        <f t="shared" si="37"/>
        <v>1628.9077410521693</v>
      </c>
      <c r="I186" s="1350">
        <f t="shared" si="37"/>
        <v>1635.4927498582399</v>
      </c>
      <c r="J186" s="1350">
        <f t="shared" si="37"/>
        <v>1799.3487736262216</v>
      </c>
      <c r="K186" s="1350">
        <f t="shared" si="37"/>
        <v>1610.7749659342724</v>
      </c>
      <c r="L186" s="1350">
        <f t="shared" si="37"/>
        <v>1582.8196290614449</v>
      </c>
      <c r="M186" s="1753">
        <f t="shared" si="34"/>
        <v>9896.7642330490708</v>
      </c>
    </row>
    <row r="187" spans="1:18">
      <c r="A187" s="1679"/>
      <c r="B187" s="1304" t="s">
        <v>759</v>
      </c>
      <c r="C187" s="1836" t="str">
        <f t="shared" si="30"/>
        <v>PANAMA SOLAR (Ene-17  - Dic36)</v>
      </c>
      <c r="D187" s="1276" t="str">
        <f>VLOOKUP(B187,$B$236:$D$311,3,0)</f>
        <v>Sol1</v>
      </c>
      <c r="E187" s="2206" t="str">
        <f t="shared" si="38"/>
        <v>2017-2036</v>
      </c>
      <c r="F187" s="1780"/>
      <c r="G187" s="1350">
        <f t="shared" si="37"/>
        <v>55.216705546866876</v>
      </c>
      <c r="H187" s="1350">
        <f t="shared" si="37"/>
        <v>54.862633497565355</v>
      </c>
      <c r="I187" s="1350">
        <f t="shared" si="37"/>
        <v>55.084420720746166</v>
      </c>
      <c r="J187" s="1350">
        <f t="shared" si="37"/>
        <v>60.60319428403249</v>
      </c>
      <c r="K187" s="1350">
        <f t="shared" si="37"/>
        <v>54.2519102684251</v>
      </c>
      <c r="L187" s="1350">
        <f t="shared" si="37"/>
        <v>53.31035700392637</v>
      </c>
      <c r="M187" s="1753">
        <f t="shared" si="34"/>
        <v>333.32922132156233</v>
      </c>
    </row>
    <row r="188" spans="1:18">
      <c r="A188" s="1679"/>
      <c r="B188" s="1304" t="s">
        <v>760</v>
      </c>
      <c r="C188" s="1836" t="str">
        <f t="shared" si="30"/>
        <v>SOLPAC (Ene-17  - Dic36)</v>
      </c>
      <c r="D188" s="1276" t="str">
        <f>VLOOKUP(B188,$B$236:$D$311,3,0)</f>
        <v>Sol1</v>
      </c>
      <c r="E188" s="2206" t="str">
        <f t="shared" si="38"/>
        <v>2017-2036</v>
      </c>
      <c r="F188" s="1780"/>
      <c r="G188" s="1350">
        <f t="shared" si="37"/>
        <v>10.481800221751365</v>
      </c>
      <c r="H188" s="1350">
        <f t="shared" si="37"/>
        <v>10.414586641221204</v>
      </c>
      <c r="I188" s="1350">
        <f t="shared" si="37"/>
        <v>10.456688562045601</v>
      </c>
      <c r="J188" s="1350">
        <f t="shared" si="37"/>
        <v>11.504318647660741</v>
      </c>
      <c r="K188" s="1350">
        <f t="shared" si="37"/>
        <v>10.29865290676112</v>
      </c>
      <c r="L188" s="1350">
        <f t="shared" si="37"/>
        <v>10.119917628752971</v>
      </c>
      <c r="M188" s="1753">
        <f t="shared" si="34"/>
        <v>63.275964608193</v>
      </c>
    </row>
    <row r="189" spans="1:18" ht="12.75" thickBot="1">
      <c r="A189" s="1679"/>
      <c r="B189" s="1261" t="s">
        <v>792</v>
      </c>
      <c r="C189" s="1836" t="str">
        <f t="shared" si="30"/>
        <v>Gas Natural Atlántico</v>
      </c>
      <c r="D189" s="1276" t="str">
        <f>VLOOKUP(B189,$B$236:$D$311,3,0)</f>
        <v>Gas</v>
      </c>
      <c r="E189" s="2206" t="str">
        <f t="shared" si="38"/>
        <v>May18- Abr28</v>
      </c>
      <c r="F189" s="1780"/>
      <c r="G189" s="1350">
        <f t="shared" si="37"/>
        <v>1170.1251850114552</v>
      </c>
      <c r="H189" s="1350">
        <f t="shared" si="37"/>
        <v>1162.6218648098422</v>
      </c>
      <c r="I189" s="1350">
        <f t="shared" si="37"/>
        <v>1167.3218702336965</v>
      </c>
      <c r="J189" s="1350">
        <f t="shared" si="37"/>
        <v>1284.2729971221993</v>
      </c>
      <c r="K189" s="1350">
        <f t="shared" si="37"/>
        <v>1149.6797194136093</v>
      </c>
      <c r="L189" s="1350">
        <f t="shared" si="37"/>
        <v>1129.7267871097329</v>
      </c>
      <c r="M189" s="1753">
        <f t="shared" si="34"/>
        <v>7063.7484237005347</v>
      </c>
    </row>
    <row r="190" spans="1:18" ht="12.75" thickBot="1">
      <c r="A190" s="1679"/>
      <c r="B190" s="1284" t="s">
        <v>1324</v>
      </c>
      <c r="C190" s="1829" t="str">
        <f t="shared" si="30"/>
        <v>ALTERNEGY ENMIEDA 7</v>
      </c>
      <c r="D190" s="1283" t="str">
        <f>VLOOKUP(B190,$B$236:$D$311,3,0)</f>
        <v>H2</v>
      </c>
      <c r="E190" s="2195" t="str">
        <f t="shared" si="38"/>
        <v>Abr24-Mar39</v>
      </c>
      <c r="F190" s="1780"/>
      <c r="G190" s="1350">
        <f t="shared" ref="G190:L199" si="39">IF(SUMIF($B$387:$B$450,$B190,G$387:G$450)*SUMIF($B$461:$B$522,$B190,G$461:G$522)=0,"",SUMIF($B$387:$B$450,$B190,G$387:G$450)*SUMIF($B$461:$B$522,$B190,G$461:G$522))</f>
        <v>83.969060008590077</v>
      </c>
      <c r="H190" s="1350">
        <f t="shared" si="39"/>
        <v>74.266146497217193</v>
      </c>
      <c r="I190" s="1350">
        <f t="shared" si="39"/>
        <v>73.066867588751876</v>
      </c>
      <c r="J190" s="1350">
        <f t="shared" si="39"/>
        <v>85.561438469918414</v>
      </c>
      <c r="K190" s="1350">
        <f t="shared" si="39"/>
        <v>71.761194194992001</v>
      </c>
      <c r="L190" s="1350">
        <f t="shared" si="39"/>
        <v>78.365507208189101</v>
      </c>
      <c r="M190" s="1753">
        <f t="shared" si="34"/>
        <v>466.99021396765869</v>
      </c>
    </row>
    <row r="191" spans="1:18" ht="12.75" thickBot="1">
      <c r="A191" s="1682"/>
      <c r="B191" s="1683" t="s">
        <v>1743</v>
      </c>
      <c r="C191" s="1845" t="s">
        <v>1744</v>
      </c>
      <c r="D191" s="1334" t="s">
        <v>702</v>
      </c>
      <c r="E191" s="2211" t="str">
        <f t="shared" si="38"/>
        <v>Jul25-Jun28</v>
      </c>
      <c r="F191" s="1780"/>
      <c r="G191" s="1350">
        <f t="shared" si="39"/>
        <v>78.717050797396311</v>
      </c>
      <c r="H191" s="1350">
        <f t="shared" si="39"/>
        <v>78.212284944113946</v>
      </c>
      <c r="I191" s="1350">
        <f t="shared" si="39"/>
        <v>78.528465272882713</v>
      </c>
      <c r="J191" s="1350">
        <f t="shared" si="39"/>
        <v>86.396040395629015</v>
      </c>
      <c r="K191" s="1350">
        <f t="shared" si="39"/>
        <v>77.341636632606466</v>
      </c>
      <c r="L191" s="1350">
        <f t="shared" si="39"/>
        <v>75.999356331455729</v>
      </c>
      <c r="M191" s="1753">
        <f t="shared" ref="M191:M215" si="40">SUM(G191:L191)</f>
        <v>475.19483437408422</v>
      </c>
    </row>
    <row r="192" spans="1:18">
      <c r="A192" s="1682"/>
      <c r="B192" s="1303" t="s">
        <v>1586</v>
      </c>
      <c r="C192" s="1838" t="s">
        <v>1587</v>
      </c>
      <c r="D192" s="1279" t="s">
        <v>1063</v>
      </c>
      <c r="E192" s="2206" t="str">
        <f t="shared" si="38"/>
        <v>Mar25-Feb30</v>
      </c>
      <c r="F192" s="1780"/>
      <c r="G192" s="1350">
        <f t="shared" si="39"/>
        <v>9.9106053770343543</v>
      </c>
      <c r="H192" s="1350">
        <f t="shared" si="39"/>
        <v>8.1059027434428224</v>
      </c>
      <c r="I192" s="1350">
        <f t="shared" si="39"/>
        <v>8.1386715980571687</v>
      </c>
      <c r="J192" s="1350">
        <f t="shared" si="39"/>
        <v>9.2628260958810085</v>
      </c>
      <c r="K192" s="1350">
        <f t="shared" si="39"/>
        <v>8.2920713358861136</v>
      </c>
      <c r="L192" s="1350">
        <f t="shared" si="39"/>
        <v>9.8217584753530449</v>
      </c>
      <c r="M192" s="1753">
        <f t="shared" si="40"/>
        <v>53.531835625654509</v>
      </c>
    </row>
    <row r="193" spans="1:18">
      <c r="A193" s="1682"/>
      <c r="B193" s="1303" t="s">
        <v>1588</v>
      </c>
      <c r="C193" s="1838" t="s">
        <v>815</v>
      </c>
      <c r="D193" s="1279" t="s">
        <v>1063</v>
      </c>
      <c r="E193" s="2206" t="str">
        <f t="shared" si="38"/>
        <v>Mar25-Feb30</v>
      </c>
      <c r="F193" s="1780"/>
      <c r="G193" s="1350">
        <f t="shared" si="39"/>
        <v>17.976487710755503</v>
      </c>
      <c r="H193" s="1350">
        <f t="shared" si="39"/>
        <v>5.1288873903952323</v>
      </c>
      <c r="I193" s="1350">
        <f t="shared" si="39"/>
        <v>16.229109827745162</v>
      </c>
      <c r="J193" s="1350">
        <f t="shared" si="39"/>
        <v>44.223253750423716</v>
      </c>
      <c r="K193" s="1350">
        <f t="shared" si="39"/>
        <v>17.647932893702187</v>
      </c>
      <c r="L193" s="1350" t="str">
        <f t="shared" si="39"/>
        <v/>
      </c>
      <c r="M193" s="1753">
        <f t="shared" si="40"/>
        <v>101.2056715730218</v>
      </c>
      <c r="O193" s="1378"/>
      <c r="P193" s="1378"/>
      <c r="Q193" s="1378"/>
      <c r="R193" s="1378"/>
    </row>
    <row r="194" spans="1:18" s="1378" customFormat="1">
      <c r="A194" s="1682"/>
      <c r="B194" s="1303" t="s">
        <v>1589</v>
      </c>
      <c r="C194" s="1838" t="s">
        <v>815</v>
      </c>
      <c r="D194" s="1279" t="s">
        <v>1063</v>
      </c>
      <c r="E194" s="2206" t="str">
        <f t="shared" si="38"/>
        <v>Mar25-Feb30</v>
      </c>
      <c r="F194" s="1780"/>
      <c r="G194" s="1350">
        <f t="shared" si="39"/>
        <v>18.114768385453623</v>
      </c>
      <c r="H194" s="1350">
        <f t="shared" si="39"/>
        <v>5.1755136393988259</v>
      </c>
      <c r="I194" s="1350">
        <f t="shared" si="39"/>
        <v>16.376647189815575</v>
      </c>
      <c r="J194" s="1350">
        <f t="shared" si="39"/>
        <v>44.625283329973023</v>
      </c>
      <c r="K194" s="1350">
        <f t="shared" si="39"/>
        <v>17.808368647281299</v>
      </c>
      <c r="L194" s="1350" t="str">
        <f t="shared" si="39"/>
        <v/>
      </c>
      <c r="M194" s="1753">
        <f t="shared" si="40"/>
        <v>102.10058119192234</v>
      </c>
      <c r="O194" s="337"/>
      <c r="P194" s="337"/>
      <c r="Q194" s="337"/>
      <c r="R194" s="337"/>
    </row>
    <row r="195" spans="1:18">
      <c r="A195" s="1682"/>
      <c r="B195" s="1303" t="s">
        <v>1590</v>
      </c>
      <c r="C195" s="1838" t="s">
        <v>1591</v>
      </c>
      <c r="D195" s="1279" t="s">
        <v>702</v>
      </c>
      <c r="E195" s="2206" t="str">
        <f t="shared" si="38"/>
        <v>Mar25-Feb30</v>
      </c>
      <c r="F195" s="1780"/>
      <c r="G195" s="1350">
        <f t="shared" si="39"/>
        <v>40.389725579910234</v>
      </c>
      <c r="H195" s="1350">
        <f t="shared" si="39"/>
        <v>34.972512585967714</v>
      </c>
      <c r="I195" s="1350">
        <f t="shared" si="39"/>
        <v>36.22609690221158</v>
      </c>
      <c r="J195" s="1350">
        <f t="shared" si="39"/>
        <v>41.410661270203263</v>
      </c>
      <c r="K195" s="1350">
        <f t="shared" si="39"/>
        <v>38.689587854104843</v>
      </c>
      <c r="L195" s="1350">
        <f t="shared" si="39"/>
        <v>33.770726108276897</v>
      </c>
      <c r="M195" s="1753">
        <f t="shared" si="40"/>
        <v>225.45931030067453</v>
      </c>
    </row>
    <row r="196" spans="1:18">
      <c r="A196" s="1682"/>
      <c r="B196" s="1303" t="s">
        <v>1592</v>
      </c>
      <c r="C196" s="1838" t="s">
        <v>1591</v>
      </c>
      <c r="D196" s="1279" t="s">
        <v>702</v>
      </c>
      <c r="E196" s="2206" t="str">
        <f t="shared" si="38"/>
        <v>Mar25-Feb30</v>
      </c>
      <c r="F196" s="1780"/>
      <c r="G196" s="1350">
        <f t="shared" si="39"/>
        <v>41.613656658089333</v>
      </c>
      <c r="H196" s="1350">
        <f t="shared" si="39"/>
        <v>36.221530892609415</v>
      </c>
      <c r="I196" s="1350">
        <f t="shared" si="39"/>
        <v>37.519886077290565</v>
      </c>
      <c r="J196" s="1350">
        <f t="shared" si="39"/>
        <v>42.889613458424812</v>
      </c>
      <c r="K196" s="1350">
        <f t="shared" si="39"/>
        <v>40.071358848894306</v>
      </c>
      <c r="L196" s="1350">
        <f t="shared" si="39"/>
        <v>33.770726108276897</v>
      </c>
      <c r="M196" s="1753">
        <f t="shared" si="40"/>
        <v>232.08677204358534</v>
      </c>
    </row>
    <row r="197" spans="1:18">
      <c r="A197" s="1682"/>
      <c r="B197" s="1303" t="s">
        <v>1593</v>
      </c>
      <c r="C197" s="1838" t="s">
        <v>838</v>
      </c>
      <c r="D197" s="1279" t="s">
        <v>1063</v>
      </c>
      <c r="E197" s="2206" t="str">
        <f t="shared" si="38"/>
        <v>Mar25-Feb30</v>
      </c>
      <c r="F197" s="1780"/>
      <c r="G197" s="1350">
        <f t="shared" si="39"/>
        <v>111.295348137882</v>
      </c>
      <c r="H197" s="1350">
        <f t="shared" si="39"/>
        <v>91.118428719457924</v>
      </c>
      <c r="I197" s="1350">
        <f t="shared" si="39"/>
        <v>91.486783317076444</v>
      </c>
      <c r="J197" s="1350">
        <f t="shared" si="39"/>
        <v>104.1234006959958</v>
      </c>
      <c r="K197" s="1350">
        <f t="shared" si="39"/>
        <v>93.21114931545425</v>
      </c>
      <c r="L197" s="1350">
        <f t="shared" si="39"/>
        <v>110.27729814471284</v>
      </c>
      <c r="M197" s="1753">
        <f t="shared" si="40"/>
        <v>601.51240833057932</v>
      </c>
    </row>
    <row r="198" spans="1:18">
      <c r="A198" s="1682"/>
      <c r="B198" s="1303" t="s">
        <v>1594</v>
      </c>
      <c r="C198" s="1838" t="s">
        <v>1595</v>
      </c>
      <c r="D198" s="1279" t="s">
        <v>702</v>
      </c>
      <c r="E198" s="2206" t="str">
        <f t="shared" si="38"/>
        <v>Mar25-Feb30</v>
      </c>
      <c r="F198" s="1780"/>
      <c r="G198" s="1350">
        <f t="shared" si="39"/>
        <v>143.5265139106032</v>
      </c>
      <c r="H198" s="1350">
        <f t="shared" si="39"/>
        <v>117.87398331435608</v>
      </c>
      <c r="I198" s="1350">
        <f t="shared" si="39"/>
        <v>152.16492817688825</v>
      </c>
      <c r="J198" s="1350">
        <f t="shared" si="39"/>
        <v>173.1827179181434</v>
      </c>
      <c r="K198" s="1350">
        <f t="shared" si="39"/>
        <v>155.03297117479804</v>
      </c>
      <c r="L198" s="1350">
        <f t="shared" si="39"/>
        <v>81.14724095043654</v>
      </c>
      <c r="M198" s="1753">
        <f t="shared" si="40"/>
        <v>822.92835544522552</v>
      </c>
    </row>
    <row r="199" spans="1:18">
      <c r="A199" s="1682"/>
      <c r="B199" s="1303" t="s">
        <v>1596</v>
      </c>
      <c r="C199" s="1838" t="s">
        <v>1597</v>
      </c>
      <c r="D199" s="1279" t="s">
        <v>1063</v>
      </c>
      <c r="E199" s="2206" t="str">
        <f t="shared" si="38"/>
        <v>Mar25-Feb30</v>
      </c>
      <c r="F199" s="1780"/>
      <c r="G199" s="1350">
        <f t="shared" si="39"/>
        <v>51.487485259938019</v>
      </c>
      <c r="H199" s="1350">
        <f t="shared" si="39"/>
        <v>64.022078631842632</v>
      </c>
      <c r="I199" s="1350">
        <f t="shared" si="39"/>
        <v>102.38241750597626</v>
      </c>
      <c r="J199" s="1350">
        <f t="shared" si="39"/>
        <v>130.36898956107936</v>
      </c>
      <c r="K199" s="1350">
        <f t="shared" si="39"/>
        <v>128.65212996465451</v>
      </c>
      <c r="L199" s="1350">
        <f t="shared" si="39"/>
        <v>50.89345624232957</v>
      </c>
      <c r="M199" s="1753">
        <f t="shared" si="40"/>
        <v>527.80655716582032</v>
      </c>
      <c r="O199" s="687"/>
      <c r="P199" s="687"/>
      <c r="Q199" s="687"/>
      <c r="R199" s="687"/>
    </row>
    <row r="200" spans="1:18" s="687" customFormat="1">
      <c r="A200" s="1682"/>
      <c r="B200" s="1303" t="s">
        <v>1598</v>
      </c>
      <c r="C200" s="1838" t="s">
        <v>1509</v>
      </c>
      <c r="D200" s="1279" t="s">
        <v>1063</v>
      </c>
      <c r="E200" s="2206" t="str">
        <f t="shared" si="38"/>
        <v>Mar25-Feb30</v>
      </c>
      <c r="F200" s="1780"/>
      <c r="G200" s="1350" t="str">
        <f t="shared" ref="G200:L206" si="41">IF(SUMIF($B$387:$B$450,$B200,G$387:G$450)*SUMIF($B$461:$B$522,$B200,G$461:G$522)=0,"",SUMIF($B$387:$B$450,$B200,G$387:G$450)*SUMIF($B$461:$B$522,$B200,G$461:G$522))</f>
        <v/>
      </c>
      <c r="H200" s="1350" t="str">
        <f t="shared" si="41"/>
        <v/>
      </c>
      <c r="I200" s="1350" t="str">
        <f t="shared" si="41"/>
        <v/>
      </c>
      <c r="J200" s="1350">
        <f t="shared" si="41"/>
        <v>560.61329562694868</v>
      </c>
      <c r="K200" s="1350">
        <f t="shared" si="41"/>
        <v>50.186038160125086</v>
      </c>
      <c r="L200" s="1350">
        <f t="shared" si="41"/>
        <v>59.337698502056902</v>
      </c>
      <c r="M200" s="1753">
        <f t="shared" si="40"/>
        <v>670.13703228913073</v>
      </c>
      <c r="O200" s="337"/>
      <c r="P200" s="337"/>
      <c r="Q200" s="337"/>
      <c r="R200" s="337"/>
    </row>
    <row r="201" spans="1:18">
      <c r="A201" s="1682"/>
      <c r="B201" s="1303" t="s">
        <v>1599</v>
      </c>
      <c r="C201" s="1838" t="s">
        <v>1600</v>
      </c>
      <c r="D201" s="1279" t="s">
        <v>702</v>
      </c>
      <c r="E201" s="2206" t="str">
        <f t="shared" si="38"/>
        <v>Mar25-Feb30</v>
      </c>
      <c r="F201" s="1780"/>
      <c r="G201" s="1350">
        <f t="shared" si="41"/>
        <v>203.74480559961927</v>
      </c>
      <c r="H201" s="1350">
        <f t="shared" si="41"/>
        <v>167.71461766592407</v>
      </c>
      <c r="I201" s="1350">
        <f t="shared" si="41"/>
        <v>168.392619376152</v>
      </c>
      <c r="J201" s="1350">
        <f t="shared" si="41"/>
        <v>191.65185992804112</v>
      </c>
      <c r="K201" s="1350">
        <f t="shared" si="41"/>
        <v>171.56652599634262</v>
      </c>
      <c r="L201" s="1350">
        <f t="shared" si="41"/>
        <v>201.40372799514537</v>
      </c>
      <c r="M201" s="1753">
        <f t="shared" si="40"/>
        <v>1104.4741565612246</v>
      </c>
    </row>
    <row r="202" spans="1:18">
      <c r="A202" s="1682"/>
      <c r="B202" s="1303" t="s">
        <v>1601</v>
      </c>
      <c r="C202" s="1838" t="s">
        <v>1150</v>
      </c>
      <c r="D202" s="1279" t="s">
        <v>702</v>
      </c>
      <c r="E202" s="2206" t="str">
        <f t="shared" si="38"/>
        <v>Mar25-Feb30</v>
      </c>
      <c r="F202" s="1780"/>
      <c r="G202" s="1350">
        <f t="shared" si="41"/>
        <v>192.64219138526698</v>
      </c>
      <c r="H202" s="1350">
        <f t="shared" si="41"/>
        <v>158.1812452446531</v>
      </c>
      <c r="I202" s="1350">
        <f t="shared" si="41"/>
        <v>158.82070742328966</v>
      </c>
      <c r="J202" s="1350">
        <f t="shared" si="41"/>
        <v>180.75782706822974</v>
      </c>
      <c r="K202" s="1350">
        <f t="shared" si="41"/>
        <v>161.8142002294567</v>
      </c>
      <c r="L202" s="1350">
        <f t="shared" si="41"/>
        <v>190.61797960062094</v>
      </c>
      <c r="M202" s="1753">
        <f t="shared" si="40"/>
        <v>1042.8341509515171</v>
      </c>
    </row>
    <row r="203" spans="1:18">
      <c r="A203" s="1682"/>
      <c r="B203" s="1303" t="s">
        <v>1602</v>
      </c>
      <c r="C203" s="1838" t="s">
        <v>1603</v>
      </c>
      <c r="D203" s="1279" t="s">
        <v>1063</v>
      </c>
      <c r="E203" s="2206" t="str">
        <f t="shared" si="38"/>
        <v>Mar25-Feb30</v>
      </c>
      <c r="F203" s="1780"/>
      <c r="G203" s="1350">
        <f t="shared" si="41"/>
        <v>8.2379976415900824</v>
      </c>
      <c r="H203" s="1350">
        <f t="shared" si="41"/>
        <v>6.7819998550680731</v>
      </c>
      <c r="I203" s="1350">
        <f t="shared" si="41"/>
        <v>6.8094167109420258</v>
      </c>
      <c r="J203" s="1350">
        <f t="shared" si="41"/>
        <v>7.7499677985408475</v>
      </c>
      <c r="K203" s="1350">
        <f t="shared" si="41"/>
        <v>6.9377623169345188</v>
      </c>
      <c r="L203" s="1350">
        <f t="shared" si="41"/>
        <v>8.1429529987727296</v>
      </c>
      <c r="M203" s="1753">
        <f t="shared" si="40"/>
        <v>44.660097321848276</v>
      </c>
    </row>
    <row r="204" spans="1:18">
      <c r="A204" s="1682"/>
      <c r="B204" s="1303" t="s">
        <v>1604</v>
      </c>
      <c r="C204" s="1838" t="s">
        <v>843</v>
      </c>
      <c r="D204" s="1279" t="s">
        <v>1063</v>
      </c>
      <c r="E204" s="2206" t="str">
        <f t="shared" si="38"/>
        <v>Mar25-Feb30</v>
      </c>
      <c r="F204" s="1780"/>
      <c r="G204" s="1350" t="str">
        <f t="shared" si="41"/>
        <v/>
      </c>
      <c r="H204" s="1350" t="str">
        <f t="shared" si="41"/>
        <v/>
      </c>
      <c r="I204" s="1350" t="str">
        <f t="shared" si="41"/>
        <v/>
      </c>
      <c r="J204" s="1350" t="str">
        <f t="shared" si="41"/>
        <v/>
      </c>
      <c r="K204" s="1350" t="str">
        <f t="shared" si="41"/>
        <v/>
      </c>
      <c r="L204" s="1350" t="str">
        <f t="shared" si="41"/>
        <v/>
      </c>
      <c r="M204" s="1753">
        <f t="shared" si="40"/>
        <v>0</v>
      </c>
    </row>
    <row r="205" spans="1:18">
      <c r="A205" s="1682"/>
      <c r="B205" s="1303" t="s">
        <v>1605</v>
      </c>
      <c r="C205" s="1838" t="s">
        <v>1606</v>
      </c>
      <c r="D205" s="1279" t="s">
        <v>1063</v>
      </c>
      <c r="E205" s="2206" t="str">
        <f t="shared" si="38"/>
        <v>Mar25-Feb30</v>
      </c>
      <c r="F205" s="1780"/>
      <c r="G205" s="1350">
        <f t="shared" si="41"/>
        <v>20.477308423381061</v>
      </c>
      <c r="H205" s="1350">
        <f t="shared" si="41"/>
        <v>16.841966306752386</v>
      </c>
      <c r="I205" s="1350">
        <f t="shared" si="41"/>
        <v>16.910051498839366</v>
      </c>
      <c r="J205" s="1350">
        <f t="shared" si="41"/>
        <v>19.245753366376441</v>
      </c>
      <c r="K205" s="1350">
        <f t="shared" si="41"/>
        <v>17.228776420387391</v>
      </c>
      <c r="L205" s="1350">
        <f t="shared" si="41"/>
        <v>20.248809790281527</v>
      </c>
      <c r="M205" s="1753">
        <f t="shared" si="40"/>
        <v>110.95266580601817</v>
      </c>
    </row>
    <row r="206" spans="1:18" ht="12.75" thickBot="1">
      <c r="A206" s="1682"/>
      <c r="B206" s="1303" t="s">
        <v>1607</v>
      </c>
      <c r="C206" s="1838" t="s">
        <v>1608</v>
      </c>
      <c r="D206" s="1279" t="s">
        <v>1063</v>
      </c>
      <c r="E206" s="2206" t="str">
        <f t="shared" si="38"/>
        <v>Mar25-Feb30</v>
      </c>
      <c r="F206" s="1780"/>
      <c r="G206" s="1350">
        <f t="shared" si="41"/>
        <v>851.9678318092167</v>
      </c>
      <c r="H206" s="1350">
        <f t="shared" si="41"/>
        <v>239.99801987122146</v>
      </c>
      <c r="I206" s="1350">
        <f t="shared" si="41"/>
        <v>340.42827669265796</v>
      </c>
      <c r="J206" s="1350">
        <f t="shared" si="41"/>
        <v>284.37538090770823</v>
      </c>
      <c r="K206" s="1350">
        <f t="shared" si="41"/>
        <v>439.28176550250151</v>
      </c>
      <c r="L206" s="1350">
        <f t="shared" si="41"/>
        <v>735.79180433377144</v>
      </c>
      <c r="M206" s="1753">
        <f t="shared" si="40"/>
        <v>2891.8430791170772</v>
      </c>
    </row>
    <row r="207" spans="1:18" ht="12.75" thickBot="1">
      <c r="A207" s="1719"/>
      <c r="B207" s="1354" t="s">
        <v>389</v>
      </c>
      <c r="C207" s="1846" t="s">
        <v>450</v>
      </c>
      <c r="D207" s="1353" t="s">
        <v>389</v>
      </c>
      <c r="E207" s="2195"/>
      <c r="F207" s="1775"/>
      <c r="G207" s="1352">
        <f t="shared" ref="G207:L211" si="42">SUMIF($B$387:$B$450,$B207,G$387:G$450)*SUMIF($B$461:$B$522,$B207,G$461:G$522)</f>
        <v>2583.7012470061991</v>
      </c>
      <c r="H207" s="1352">
        <f t="shared" si="42"/>
        <v>2918.5022579477327</v>
      </c>
      <c r="I207" s="1352">
        <f t="shared" si="42"/>
        <v>2174.9392110272229</v>
      </c>
      <c r="J207" s="1352">
        <f t="shared" si="42"/>
        <v>663.50510134118485</v>
      </c>
      <c r="K207" s="1352">
        <f t="shared" si="42"/>
        <v>1204.2882146255515</v>
      </c>
      <c r="L207" s="1352">
        <f t="shared" si="42"/>
        <v>1900.7675460870953</v>
      </c>
      <c r="M207" s="1352">
        <f t="shared" si="40"/>
        <v>11445.703578034987</v>
      </c>
    </row>
    <row r="208" spans="1:18">
      <c r="A208" s="1679"/>
      <c r="B208" s="1351" t="s">
        <v>825</v>
      </c>
      <c r="C208" s="1839" t="s">
        <v>833</v>
      </c>
      <c r="D208" s="1331" t="s">
        <v>1090</v>
      </c>
      <c r="E208" s="2206" t="str">
        <f>VLOOKUP(B208,$B$236:$E$311,4,0)</f>
        <v>A Jun 2030</v>
      </c>
      <c r="F208" s="1786"/>
      <c r="G208" s="1350">
        <f t="shared" si="42"/>
        <v>9.8781464319126506</v>
      </c>
      <c r="H208" s="1350">
        <f t="shared" si="42"/>
        <v>15.020710450304959</v>
      </c>
      <c r="I208" s="1350">
        <f t="shared" si="42"/>
        <v>3.3854558661571175</v>
      </c>
      <c r="J208" s="1350">
        <f t="shared" si="42"/>
        <v>3.3752837924112877</v>
      </c>
      <c r="K208" s="1350">
        <f t="shared" si="42"/>
        <v>67.709654403236812</v>
      </c>
      <c r="L208" s="1350">
        <f t="shared" si="42"/>
        <v>18.468831935694581</v>
      </c>
      <c r="M208" s="1753">
        <f t="shared" si="40"/>
        <v>117.8380828797174</v>
      </c>
    </row>
    <row r="209" spans="1:13">
      <c r="A209" s="1679"/>
      <c r="B209" s="1351" t="s">
        <v>897</v>
      </c>
      <c r="C209" s="1839" t="s">
        <v>1001</v>
      </c>
      <c r="D209" s="1331" t="s">
        <v>1090</v>
      </c>
      <c r="E209" s="2206" t="str">
        <f>VLOOKUP(B209,$B$236:$E$311,4,0)</f>
        <v>A Jun 2030</v>
      </c>
      <c r="F209" s="1786"/>
      <c r="G209" s="1350">
        <f t="shared" si="42"/>
        <v>830.38569521858471</v>
      </c>
      <c r="H209" s="1350">
        <f t="shared" si="42"/>
        <v>835.56617207947261</v>
      </c>
      <c r="I209" s="1350">
        <f t="shared" si="42"/>
        <v>786.05545738168621</v>
      </c>
      <c r="J209" s="1350">
        <f t="shared" si="42"/>
        <v>667.33256054325796</v>
      </c>
      <c r="K209" s="1350">
        <f t="shared" si="42"/>
        <v>813.53024824652528</v>
      </c>
      <c r="L209" s="1350">
        <f t="shared" si="42"/>
        <v>835.91962338154042</v>
      </c>
      <c r="M209" s="1753">
        <f t="shared" si="40"/>
        <v>4768.7897568510671</v>
      </c>
    </row>
    <row r="210" spans="1:13">
      <c r="A210" s="1718"/>
      <c r="B210" s="1332" t="s">
        <v>391</v>
      </c>
      <c r="C210" s="1840" t="s">
        <v>390</v>
      </c>
      <c r="D210" s="1331" t="s">
        <v>387</v>
      </c>
      <c r="E210" s="2206"/>
      <c r="F210" s="1780"/>
      <c r="G210" s="1350">
        <f t="shared" si="42"/>
        <v>0</v>
      </c>
      <c r="H210" s="1350">
        <f t="shared" si="42"/>
        <v>0</v>
      </c>
      <c r="I210" s="1350">
        <f t="shared" si="42"/>
        <v>0</v>
      </c>
      <c r="J210" s="1350">
        <f t="shared" si="42"/>
        <v>0</v>
      </c>
      <c r="K210" s="1350">
        <f t="shared" si="42"/>
        <v>0</v>
      </c>
      <c r="L210" s="1350">
        <f t="shared" si="42"/>
        <v>0</v>
      </c>
      <c r="M210" s="1753">
        <f t="shared" si="40"/>
        <v>0</v>
      </c>
    </row>
    <row r="211" spans="1:13" ht="12.75" thickBot="1">
      <c r="A211" s="1718"/>
      <c r="B211" s="1332" t="s">
        <v>393</v>
      </c>
      <c r="C211" s="1839" t="s">
        <v>392</v>
      </c>
      <c r="D211" s="1331"/>
      <c r="E211" s="2212"/>
      <c r="F211" s="1780"/>
      <c r="G211" s="1350">
        <f t="shared" si="42"/>
        <v>0</v>
      </c>
      <c r="H211" s="1350">
        <f t="shared" si="42"/>
        <v>0</v>
      </c>
      <c r="I211" s="1350">
        <f t="shared" si="42"/>
        <v>0</v>
      </c>
      <c r="J211" s="1350">
        <f t="shared" si="42"/>
        <v>0</v>
      </c>
      <c r="K211" s="1350">
        <f t="shared" si="42"/>
        <v>0</v>
      </c>
      <c r="L211" s="1350">
        <f t="shared" si="42"/>
        <v>0</v>
      </c>
      <c r="M211" s="1753">
        <f t="shared" si="40"/>
        <v>0</v>
      </c>
    </row>
    <row r="212" spans="1:13">
      <c r="A212" s="1703"/>
      <c r="B212" s="1703"/>
      <c r="C212" s="1841" t="s">
        <v>1851</v>
      </c>
      <c r="D212" s="1702"/>
      <c r="E212" s="2208"/>
      <c r="F212" s="1782"/>
      <c r="G212" s="1349">
        <f t="shared" ref="G212:L212" si="43">SUM(G150:G211)</f>
        <v>17532.771308023399</v>
      </c>
      <c r="H212" s="1349">
        <f t="shared" si="43"/>
        <v>17017.210935039675</v>
      </c>
      <c r="I212" s="1349">
        <f t="shared" si="43"/>
        <v>16478.12478077237</v>
      </c>
      <c r="J212" s="1349">
        <f t="shared" si="43"/>
        <v>17010.543556258013</v>
      </c>
      <c r="K212" s="1349">
        <f t="shared" si="43"/>
        <v>16077.315849104823</v>
      </c>
      <c r="L212" s="1349">
        <f t="shared" si="43"/>
        <v>17295.331622663267</v>
      </c>
      <c r="M212" s="1349">
        <f t="shared" si="40"/>
        <v>101411.29805186155</v>
      </c>
    </row>
    <row r="213" spans="1:13" ht="12.75" thickBot="1">
      <c r="A213" s="1717"/>
      <c r="B213" s="1717"/>
      <c r="C213" s="1842"/>
      <c r="D213" s="1699"/>
      <c r="E213" s="2210"/>
      <c r="F213" s="1784"/>
      <c r="G213" s="1348"/>
      <c r="H213" s="1348"/>
      <c r="I213" s="1348"/>
      <c r="J213" s="1348"/>
      <c r="K213" s="1348"/>
      <c r="L213" s="1348"/>
      <c r="M213" s="1347">
        <f t="shared" si="40"/>
        <v>0</v>
      </c>
    </row>
    <row r="214" spans="1:13" ht="12.75" thickBot="1">
      <c r="A214" s="1717"/>
      <c r="B214" s="1717"/>
      <c r="C214" s="1843" t="s">
        <v>1850</v>
      </c>
      <c r="D214" s="1716"/>
      <c r="E214" s="2210"/>
      <c r="F214" s="1784"/>
      <c r="G214" s="1347">
        <f t="shared" ref="G214:L214" si="44">+G212+G213</f>
        <v>17532.771308023399</v>
      </c>
      <c r="H214" s="1347">
        <f t="shared" si="44"/>
        <v>17017.210935039675</v>
      </c>
      <c r="I214" s="1347">
        <f t="shared" si="44"/>
        <v>16478.12478077237</v>
      </c>
      <c r="J214" s="1347">
        <f t="shared" si="44"/>
        <v>17010.543556258013</v>
      </c>
      <c r="K214" s="1347">
        <f t="shared" si="44"/>
        <v>16077.315849104823</v>
      </c>
      <c r="L214" s="1347">
        <f t="shared" si="44"/>
        <v>17295.331622663267</v>
      </c>
      <c r="M214" s="1347">
        <f t="shared" si="40"/>
        <v>101411.29805186155</v>
      </c>
    </row>
    <row r="215" spans="1:13" ht="12.75" thickBot="1">
      <c r="A215" s="1715"/>
      <c r="B215" s="1715"/>
      <c r="C215" s="1847" t="s">
        <v>1849</v>
      </c>
      <c r="D215" s="1714"/>
      <c r="E215" s="2213"/>
      <c r="F215" s="1787"/>
      <c r="G215" s="1346">
        <f t="shared" ref="G215:L215" si="45">+G70+G146+G214</f>
        <v>41108.273757537623</v>
      </c>
      <c r="H215" s="1346">
        <f t="shared" si="45"/>
        <v>40255.199599192594</v>
      </c>
      <c r="I215" s="1346">
        <f t="shared" si="45"/>
        <v>39642.715857306408</v>
      </c>
      <c r="J215" s="1346">
        <f t="shared" si="45"/>
        <v>40353.976582518255</v>
      </c>
      <c r="K215" s="1346">
        <f t="shared" si="45"/>
        <v>38762.223746095209</v>
      </c>
      <c r="L215" s="1346">
        <f t="shared" si="45"/>
        <v>40659.365464611241</v>
      </c>
      <c r="M215" s="1346">
        <f t="shared" si="40"/>
        <v>240781.75500726132</v>
      </c>
    </row>
    <row r="216" spans="1:13">
      <c r="C216" s="1822"/>
      <c r="D216" s="1315"/>
      <c r="F216" s="1788"/>
      <c r="G216" s="1345"/>
      <c r="H216" s="1345"/>
      <c r="I216" s="1345"/>
      <c r="J216" s="1345"/>
      <c r="K216" s="1345"/>
      <c r="L216" s="1345"/>
      <c r="M216" s="1345"/>
    </row>
    <row r="217" spans="1:13">
      <c r="A217" s="1812"/>
      <c r="B217" s="1813" t="s">
        <v>1728</v>
      </c>
      <c r="C217" s="1848" t="s">
        <v>1379</v>
      </c>
      <c r="D217" s="1812"/>
      <c r="E217" s="2214"/>
      <c r="F217" s="1814"/>
      <c r="G217" s="1815">
        <v>786.82154500444324</v>
      </c>
      <c r="H217" s="1815">
        <v>775.25400071010915</v>
      </c>
      <c r="I217" s="1815">
        <v>745.49133019597957</v>
      </c>
      <c r="J217" s="1815">
        <v>694.81125256720975</v>
      </c>
      <c r="K217" s="1815">
        <v>719.60874232132369</v>
      </c>
      <c r="L217" s="1815">
        <v>776.70765207107229</v>
      </c>
      <c r="M217" s="1815">
        <f>AVERAGE(G217:L217)</f>
        <v>749.78242047835636</v>
      </c>
    </row>
    <row r="218" spans="1:13">
      <c r="A218" s="1816"/>
      <c r="B218" s="1817" t="s">
        <v>1885</v>
      </c>
      <c r="C218" s="1849" t="s">
        <v>1378</v>
      </c>
      <c r="D218" s="1816"/>
      <c r="E218" s="2215"/>
      <c r="F218" s="1818"/>
      <c r="G218" s="1819">
        <v>732.74496647834155</v>
      </c>
      <c r="H218" s="1819">
        <v>721.97243500662046</v>
      </c>
      <c r="I218" s="1819">
        <v>694.25528980813885</v>
      </c>
      <c r="J218" s="1819">
        <v>647.05834658894548</v>
      </c>
      <c r="K218" s="1819">
        <v>670.15155738622059</v>
      </c>
      <c r="L218" s="1819">
        <v>723.3261799879607</v>
      </c>
      <c r="M218" s="1819">
        <f>AVERAGE(G218:L218)</f>
        <v>698.25146254270464</v>
      </c>
    </row>
    <row r="219" spans="1:13">
      <c r="A219" s="1343"/>
      <c r="B219" s="1344"/>
      <c r="C219" s="1822" t="s">
        <v>1377</v>
      </c>
      <c r="D219" s="1343"/>
      <c r="E219" s="2216"/>
      <c r="F219" s="1789"/>
      <c r="G219" s="1259">
        <f>F801ENE!D107/1000</f>
        <v>283277.65915800002</v>
      </c>
      <c r="H219" s="1259">
        <f>F801ENE!E107/1000</f>
        <v>283395.88308599999</v>
      </c>
      <c r="I219" s="1259">
        <f>F801ENE!F107/1000</f>
        <v>278043.29854199995</v>
      </c>
      <c r="J219" s="1259">
        <f>F801ENE!G107/1000</f>
        <v>282424.44268799998</v>
      </c>
      <c r="K219" s="1259">
        <f>F801ENE!H107/1000</f>
        <v>270187.05648600007</v>
      </c>
      <c r="L219" s="1259">
        <f>F801ENE!I107/1000</f>
        <v>271453.11791400006</v>
      </c>
      <c r="M219" s="854">
        <f t="shared" ref="M219:M231" si="46">SUM(G219:L219)</f>
        <v>1668781.4578740001</v>
      </c>
    </row>
    <row r="220" spans="1:13">
      <c r="A220" s="1343"/>
      <c r="B220" s="1344"/>
      <c r="C220" s="1822" t="s">
        <v>799</v>
      </c>
      <c r="D220" s="1343"/>
      <c r="E220" s="2216"/>
      <c r="F220" s="1789"/>
      <c r="G220" s="1259">
        <f>F801ENE!D108/1000</f>
        <v>6366.4229999999998</v>
      </c>
      <c r="H220" s="1259">
        <f>F801ENE!E108/1000</f>
        <v>6431.7290000000003</v>
      </c>
      <c r="I220" s="1259">
        <f>F801ENE!F108/1000</f>
        <v>6497.0349999999999</v>
      </c>
      <c r="J220" s="1259">
        <f>F801ENE!G108/1000</f>
        <v>6562.3410000000003</v>
      </c>
      <c r="K220" s="1259">
        <f>F801ENE!H108/1000</f>
        <v>6627.6469999999999</v>
      </c>
      <c r="L220" s="1259">
        <f>F801ENE!I108/1000</f>
        <v>6692.9530000000004</v>
      </c>
      <c r="M220" s="854">
        <f t="shared" si="46"/>
        <v>39178.127999999997</v>
      </c>
    </row>
    <row r="221" spans="1:13">
      <c r="A221" s="1343"/>
      <c r="B221" s="2084"/>
      <c r="C221" s="2085" t="s">
        <v>798</v>
      </c>
      <c r="D221" s="2086"/>
      <c r="E221" s="2217"/>
      <c r="F221" s="2087"/>
      <c r="G221" s="1689">
        <f>G219+G220</f>
        <v>289644.08215800003</v>
      </c>
      <c r="H221" s="1689">
        <f t="shared" ref="H221:L221" si="47">H219+H220</f>
        <v>289827.61208599998</v>
      </c>
      <c r="I221" s="1689">
        <f t="shared" si="47"/>
        <v>284540.33354199992</v>
      </c>
      <c r="J221" s="1689">
        <f t="shared" si="47"/>
        <v>288986.783688</v>
      </c>
      <c r="K221" s="1689">
        <f t="shared" si="47"/>
        <v>276814.70348600007</v>
      </c>
      <c r="L221" s="1689">
        <f t="shared" si="47"/>
        <v>278146.07091400004</v>
      </c>
      <c r="M221" s="1689">
        <f t="shared" si="46"/>
        <v>1707959.5858739999</v>
      </c>
    </row>
    <row r="222" spans="1:13">
      <c r="A222" s="1343"/>
      <c r="B222" s="1344"/>
      <c r="C222" s="1822" t="s">
        <v>595</v>
      </c>
      <c r="D222" s="1343"/>
      <c r="E222" s="2216"/>
      <c r="F222" s="1789"/>
      <c r="G222" s="1259">
        <f>+G224-G221</f>
        <v>50258.510802558914</v>
      </c>
      <c r="H222" s="1259">
        <f t="shared" ref="H222:L222" si="48">+H224-H221</f>
        <v>42921.739021517918</v>
      </c>
      <c r="I222" s="1259">
        <f t="shared" si="48"/>
        <v>36677.911403603561</v>
      </c>
      <c r="J222" s="1259">
        <f t="shared" si="48"/>
        <v>39207.022451679222</v>
      </c>
      <c r="K222" s="1259">
        <f t="shared" si="48"/>
        <v>29064.788868134608</v>
      </c>
      <c r="L222" s="1259">
        <f t="shared" si="48"/>
        <v>45881.859177332313</v>
      </c>
      <c r="M222" s="854">
        <f t="shared" si="46"/>
        <v>244011.83172482654</v>
      </c>
    </row>
    <row r="223" spans="1:13">
      <c r="A223" s="1343"/>
      <c r="B223" s="1344"/>
      <c r="C223" s="2091" t="s">
        <v>596</v>
      </c>
      <c r="D223" s="1343"/>
      <c r="E223" s="2216"/>
      <c r="F223" s="1789"/>
      <c r="G223" s="2092">
        <f>+G222/G224</f>
        <v>0.14786151045452817</v>
      </c>
      <c r="H223" s="2092">
        <f t="shared" ref="H223" si="49">+H222/H224</f>
        <v>0.1289912027736729</v>
      </c>
      <c r="I223" s="2092">
        <f t="shared" ref="I223" si="50">+I222/I224</f>
        <v>0.11418377374490282</v>
      </c>
      <c r="J223" s="2092">
        <f t="shared" ref="J223" si="51">+J222/J224</f>
        <v>0.11946301763840333</v>
      </c>
      <c r="K223" s="2092">
        <f t="shared" ref="K223" si="52">+K222/K224</f>
        <v>9.5020390691915341E-2</v>
      </c>
      <c r="L223" s="2092">
        <f t="shared" ref="L223" si="53">+L222/L224</f>
        <v>0.14159847012076951</v>
      </c>
      <c r="M223" s="2093">
        <f t="shared" ref="M223" si="54">+M222/M224</f>
        <v>0.12500789177794017</v>
      </c>
    </row>
    <row r="224" spans="1:13">
      <c r="A224" s="1343"/>
      <c r="B224" s="2084"/>
      <c r="C224" s="2085" t="s">
        <v>597</v>
      </c>
      <c r="D224" s="2086"/>
      <c r="E224" s="2217"/>
      <c r="F224" s="2087"/>
      <c r="G224" s="1689">
        <f>G221/(1-G232)</f>
        <v>339902.59296055895</v>
      </c>
      <c r="H224" s="1689">
        <f t="shared" ref="H224:L224" si="55">H221/(1-H232)</f>
        <v>332749.3511075179</v>
      </c>
      <c r="I224" s="1689">
        <f t="shared" si="55"/>
        <v>321218.24494560348</v>
      </c>
      <c r="J224" s="1689">
        <f t="shared" si="55"/>
        <v>328193.80613967922</v>
      </c>
      <c r="K224" s="1689">
        <f t="shared" si="55"/>
        <v>305879.49235413468</v>
      </c>
      <c r="L224" s="1689">
        <f t="shared" si="55"/>
        <v>324027.93009133235</v>
      </c>
      <c r="M224" s="1689">
        <f t="shared" si="46"/>
        <v>1951971.4175988266</v>
      </c>
    </row>
    <row r="225" spans="1:13">
      <c r="A225" s="1343"/>
      <c r="B225" s="1344"/>
      <c r="C225" s="1822" t="s">
        <v>598</v>
      </c>
      <c r="D225" s="1343"/>
      <c r="E225" s="2216"/>
      <c r="F225" s="1789"/>
      <c r="G225" s="1259">
        <f t="shared" ref="G225:L225" si="56">SUM(G377:G378,G447:G448)</f>
        <v>7267.2731999999996</v>
      </c>
      <c r="H225" s="1259">
        <f t="shared" si="56"/>
        <v>7107.1185100000002</v>
      </c>
      <c r="I225" s="1259">
        <f t="shared" si="56"/>
        <v>6813.7316900000005</v>
      </c>
      <c r="J225" s="1259">
        <f t="shared" si="56"/>
        <v>5803.7316900000005</v>
      </c>
      <c r="K225" s="1259">
        <f t="shared" si="56"/>
        <v>6980.2312000000002</v>
      </c>
      <c r="L225" s="1259">
        <f t="shared" si="56"/>
        <v>7007.5365500000007</v>
      </c>
      <c r="M225" s="854">
        <f t="shared" si="46"/>
        <v>40979.622839999996</v>
      </c>
    </row>
    <row r="226" spans="1:13">
      <c r="A226" s="1343"/>
      <c r="B226" s="1344"/>
      <c r="C226" s="1822" t="s">
        <v>700</v>
      </c>
      <c r="D226" s="1343"/>
      <c r="E226" s="2216"/>
      <c r="F226" s="1789"/>
      <c r="G226" s="1259">
        <f t="shared" ref="G226:L227" si="57">G379+G449</f>
        <v>0</v>
      </c>
      <c r="H226" s="1259">
        <f t="shared" si="57"/>
        <v>0</v>
      </c>
      <c r="I226" s="1259">
        <f t="shared" si="57"/>
        <v>0</v>
      </c>
      <c r="J226" s="1259">
        <f t="shared" si="57"/>
        <v>0</v>
      </c>
      <c r="K226" s="1259">
        <f t="shared" si="57"/>
        <v>0</v>
      </c>
      <c r="L226" s="1259">
        <f t="shared" si="57"/>
        <v>0</v>
      </c>
      <c r="M226" s="854">
        <f t="shared" si="46"/>
        <v>0</v>
      </c>
    </row>
    <row r="227" spans="1:13">
      <c r="A227" s="1343"/>
      <c r="B227" s="1344"/>
      <c r="C227" s="1822" t="s">
        <v>1376</v>
      </c>
      <c r="D227" s="1343"/>
      <c r="E227" s="2216"/>
      <c r="F227" s="1789"/>
      <c r="G227" s="1259">
        <f t="shared" si="57"/>
        <v>-56</v>
      </c>
      <c r="H227" s="1259">
        <f t="shared" si="57"/>
        <v>-56</v>
      </c>
      <c r="I227" s="1259">
        <f t="shared" si="57"/>
        <v>-56</v>
      </c>
      <c r="J227" s="1259">
        <f t="shared" si="57"/>
        <v>-56</v>
      </c>
      <c r="K227" s="1259">
        <f t="shared" si="57"/>
        <v>-56</v>
      </c>
      <c r="L227" s="1259">
        <f t="shared" si="57"/>
        <v>-56</v>
      </c>
      <c r="M227" s="854">
        <f t="shared" si="46"/>
        <v>-336</v>
      </c>
    </row>
    <row r="228" spans="1:13">
      <c r="A228" s="1343"/>
      <c r="B228" s="2084"/>
      <c r="C228" s="2085" t="s">
        <v>599</v>
      </c>
      <c r="D228" s="2086"/>
      <c r="E228" s="2217"/>
      <c r="F228" s="2087"/>
      <c r="G228" s="1689">
        <f>G224-SUM(G225:G227)</f>
        <v>332691.31976055895</v>
      </c>
      <c r="H228" s="1689">
        <f t="shared" ref="H228:L228" si="58">H224-SUM(H225:H227)</f>
        <v>325698.2325975179</v>
      </c>
      <c r="I228" s="1689">
        <f t="shared" si="58"/>
        <v>314460.5132556035</v>
      </c>
      <c r="J228" s="1689">
        <f t="shared" si="58"/>
        <v>322446.07444967923</v>
      </c>
      <c r="K228" s="1689">
        <f t="shared" si="58"/>
        <v>298955.2611541347</v>
      </c>
      <c r="L228" s="1689">
        <f t="shared" si="58"/>
        <v>317076.39354133233</v>
      </c>
      <c r="M228" s="1689">
        <f t="shared" si="46"/>
        <v>1911327.7947588267</v>
      </c>
    </row>
    <row r="229" spans="1:13">
      <c r="A229" s="1343"/>
      <c r="B229" s="1344"/>
      <c r="C229" s="2088" t="s">
        <v>600</v>
      </c>
      <c r="D229" s="1343"/>
      <c r="E229" s="2216"/>
      <c r="F229" s="1789"/>
      <c r="G229" s="2094">
        <f>G231-G228</f>
        <v>19953.766297219554</v>
      </c>
      <c r="H229" s="2094">
        <f t="shared" ref="H229:L229" si="59">H231-H228</f>
        <v>16888.998694591981</v>
      </c>
      <c r="I229" s="2094">
        <f t="shared" si="59"/>
        <v>14975.432330543757</v>
      </c>
      <c r="J229" s="2094">
        <f t="shared" si="59"/>
        <v>24094.659939220117</v>
      </c>
      <c r="K229" s="2094">
        <f t="shared" si="59"/>
        <v>17901.487376394041</v>
      </c>
      <c r="L229" s="2094">
        <f t="shared" si="59"/>
        <v>14324.68380448356</v>
      </c>
      <c r="M229" s="2095">
        <f t="shared" si="46"/>
        <v>108139.02844245301</v>
      </c>
    </row>
    <row r="230" spans="1:13">
      <c r="A230" s="1343"/>
      <c r="B230" s="1344"/>
      <c r="C230" s="2091" t="s">
        <v>601</v>
      </c>
      <c r="D230" s="1343"/>
      <c r="E230" s="2216"/>
      <c r="F230" s="1789"/>
      <c r="G230" s="2092">
        <f t="shared" ref="G230" si="60">G229/G231</f>
        <v>5.658314006380416E-2</v>
      </c>
      <c r="H230" s="2092">
        <f t="shared" ref="H230" si="61">H229/H231</f>
        <v>4.9298389291664621E-2</v>
      </c>
      <c r="I230" s="2092">
        <f t="shared" ref="I230" si="62">I229/I231</f>
        <v>4.5457796974458252E-2</v>
      </c>
      <c r="J230" s="2092">
        <f t="shared" ref="J230" si="63">J229/J231</f>
        <v>6.9529084313015577E-2</v>
      </c>
      <c r="K230" s="2092">
        <f t="shared" ref="K230" si="64">K229/K231</f>
        <v>5.6497099902132135E-2</v>
      </c>
      <c r="L230" s="2092">
        <f t="shared" ref="L230" si="65">L229/L231</f>
        <v>4.322461447382623E-2</v>
      </c>
      <c r="M230" s="2093">
        <f t="shared" ref="M230" si="66">M229/M231</f>
        <v>5.3548306513414225E-2</v>
      </c>
    </row>
    <row r="231" spans="1:13">
      <c r="A231" s="1343"/>
      <c r="B231" s="2084"/>
      <c r="C231" s="2089" t="s">
        <v>602</v>
      </c>
      <c r="D231" s="2086"/>
      <c r="E231" s="2217"/>
      <c r="F231" s="2087"/>
      <c r="G231" s="2090">
        <f>G228/(1-G233)</f>
        <v>352645.08605777851</v>
      </c>
      <c r="H231" s="2090">
        <f t="shared" ref="H231:L231" si="67">H228/(1-H233)</f>
        <v>342587.23129210988</v>
      </c>
      <c r="I231" s="2090">
        <f t="shared" si="67"/>
        <v>329435.94558614725</v>
      </c>
      <c r="J231" s="2090">
        <f t="shared" si="67"/>
        <v>346540.73438889935</v>
      </c>
      <c r="K231" s="2090">
        <f t="shared" si="67"/>
        <v>316856.74853052874</v>
      </c>
      <c r="L231" s="2090">
        <f t="shared" si="67"/>
        <v>331401.07734581589</v>
      </c>
      <c r="M231" s="2090">
        <f t="shared" si="46"/>
        <v>2019466.8232012796</v>
      </c>
    </row>
    <row r="232" spans="1:13" s="693" customFormat="1" ht="8.25">
      <c r="A232" s="2096"/>
      <c r="B232" s="2097"/>
      <c r="C232" s="2098" t="s">
        <v>1856</v>
      </c>
      <c r="D232" s="2096"/>
      <c r="E232" s="2096"/>
      <c r="F232" s="2099"/>
      <c r="G232" s="2100">
        <v>0.14786151045452822</v>
      </c>
      <c r="H232" s="2100">
        <v>0.12899120277367293</v>
      </c>
      <c r="I232" s="2100">
        <v>0.1141837737449027</v>
      </c>
      <c r="J232" s="2100">
        <v>0.11946301763840335</v>
      </c>
      <c r="K232" s="2100">
        <v>9.5020390691915355E-2</v>
      </c>
      <c r="L232" s="2100">
        <v>0.14159847012076957</v>
      </c>
      <c r="M232" s="2100">
        <v>0.12501254391368735</v>
      </c>
    </row>
    <row r="233" spans="1:13" s="693" customFormat="1" ht="8.25">
      <c r="A233" s="2096"/>
      <c r="B233" s="2097"/>
      <c r="C233" s="2098" t="s">
        <v>1855</v>
      </c>
      <c r="D233" s="2096"/>
      <c r="E233" s="2096"/>
      <c r="F233" s="2099"/>
      <c r="G233" s="2100">
        <v>5.6583140063804112E-2</v>
      </c>
      <c r="H233" s="2100">
        <v>4.9298389291664649E-2</v>
      </c>
      <c r="I233" s="2100">
        <v>4.5457796974458183E-2</v>
      </c>
      <c r="J233" s="2100">
        <v>6.9529084313015535E-2</v>
      </c>
      <c r="K233" s="2100">
        <v>5.6497099902132135E-2</v>
      </c>
      <c r="L233" s="2100">
        <v>4.3224614473826216E-2</v>
      </c>
      <c r="M233" s="2100">
        <v>5.354906241330476E-2</v>
      </c>
    </row>
    <row r="234" spans="1:13" s="693" customFormat="1" ht="8.25">
      <c r="A234" s="2096"/>
      <c r="B234" s="2101"/>
      <c r="C234" s="2102"/>
      <c r="D234" s="2096"/>
      <c r="E234" s="2103"/>
      <c r="F234" s="852"/>
      <c r="G234" s="2104"/>
      <c r="H234" s="2104"/>
      <c r="I234" s="2104"/>
      <c r="J234" s="2104"/>
      <c r="K234" s="2104"/>
      <c r="L234" s="2104"/>
      <c r="M234" s="2105"/>
    </row>
    <row r="235" spans="1:13" ht="15.75">
      <c r="A235" s="1686"/>
      <c r="B235" s="1685" t="s">
        <v>603</v>
      </c>
      <c r="C235" s="1382"/>
      <c r="D235" s="1288"/>
      <c r="E235" s="2191"/>
      <c r="F235" s="2253" t="s">
        <v>1727</v>
      </c>
      <c r="G235" s="1684"/>
      <c r="H235" s="1684"/>
      <c r="I235" s="1684"/>
      <c r="J235" s="1684"/>
      <c r="K235" s="1684"/>
      <c r="L235" s="1684"/>
      <c r="M235" s="1751"/>
    </row>
    <row r="236" spans="1:13">
      <c r="A236" s="1708"/>
      <c r="B236" s="1261" t="s">
        <v>545</v>
      </c>
      <c r="C236" s="1836" t="s">
        <v>2114</v>
      </c>
      <c r="D236" s="1323" t="s">
        <v>386</v>
      </c>
      <c r="E236" s="2218" t="s">
        <v>1115</v>
      </c>
      <c r="F236" s="1780"/>
      <c r="G236" s="1330">
        <f t="shared" ref="G236:L236" si="68">4.6</f>
        <v>4.5999999999999996</v>
      </c>
      <c r="H236" s="1330">
        <f t="shared" si="68"/>
        <v>4.5999999999999996</v>
      </c>
      <c r="I236" s="1330">
        <f t="shared" si="68"/>
        <v>4.5999999999999996</v>
      </c>
      <c r="J236" s="1330">
        <f t="shared" si="68"/>
        <v>4.5999999999999996</v>
      </c>
      <c r="K236" s="1330">
        <f t="shared" si="68"/>
        <v>4.5999999999999996</v>
      </c>
      <c r="L236" s="1330">
        <f t="shared" si="68"/>
        <v>4.5999999999999996</v>
      </c>
      <c r="M236" s="1713">
        <f t="shared" ref="M236:M286" si="69">AVERAGE(G236:L236)</f>
        <v>4.6000000000000005</v>
      </c>
    </row>
    <row r="237" spans="1:13">
      <c r="A237" s="1712"/>
      <c r="B237" s="1261" t="s">
        <v>547</v>
      </c>
      <c r="C237" s="1836" t="s">
        <v>1113</v>
      </c>
      <c r="D237" s="1323" t="s">
        <v>386</v>
      </c>
      <c r="E237" s="2219" t="s">
        <v>1116</v>
      </c>
      <c r="F237" s="1780"/>
      <c r="G237" s="1330">
        <v>7.8729800000000001</v>
      </c>
      <c r="H237" s="1330">
        <f t="shared" ref="H237:L246" si="70">+G237</f>
        <v>7.8729800000000001</v>
      </c>
      <c r="I237" s="1330">
        <f t="shared" si="70"/>
        <v>7.8729800000000001</v>
      </c>
      <c r="J237" s="1330">
        <f t="shared" si="70"/>
        <v>7.8729800000000001</v>
      </c>
      <c r="K237" s="1330">
        <f t="shared" si="70"/>
        <v>7.8729800000000001</v>
      </c>
      <c r="L237" s="1330">
        <f t="shared" si="70"/>
        <v>7.8729800000000001</v>
      </c>
      <c r="M237" s="1713">
        <f t="shared" si="69"/>
        <v>7.8729799999999992</v>
      </c>
    </row>
    <row r="238" spans="1:13">
      <c r="A238" s="1712"/>
      <c r="B238" s="1261" t="s">
        <v>558</v>
      </c>
      <c r="C238" s="1850" t="s">
        <v>952</v>
      </c>
      <c r="D238" s="1323" t="s">
        <v>386</v>
      </c>
      <c r="E238" s="2220" t="s">
        <v>1116</v>
      </c>
      <c r="F238" s="1780"/>
      <c r="G238" s="1330">
        <v>2.6669999999999998</v>
      </c>
      <c r="H238" s="1330">
        <f t="shared" si="70"/>
        <v>2.6669999999999998</v>
      </c>
      <c r="I238" s="1330">
        <f t="shared" si="70"/>
        <v>2.6669999999999998</v>
      </c>
      <c r="J238" s="1330">
        <f t="shared" si="70"/>
        <v>2.6669999999999998</v>
      </c>
      <c r="K238" s="1330">
        <f t="shared" si="70"/>
        <v>2.6669999999999998</v>
      </c>
      <c r="L238" s="1330">
        <f t="shared" si="70"/>
        <v>2.6669999999999998</v>
      </c>
      <c r="M238" s="1713">
        <f t="shared" si="69"/>
        <v>2.6669999999999998</v>
      </c>
    </row>
    <row r="239" spans="1:13">
      <c r="A239" s="1712"/>
      <c r="B239" s="1261" t="s">
        <v>559</v>
      </c>
      <c r="C239" s="1850" t="s">
        <v>551</v>
      </c>
      <c r="D239" s="1323" t="s">
        <v>386</v>
      </c>
      <c r="E239" s="2220" t="s">
        <v>1116</v>
      </c>
      <c r="F239" s="1780"/>
      <c r="G239" s="1330">
        <v>1.4615199999999999</v>
      </c>
      <c r="H239" s="1330">
        <f t="shared" si="70"/>
        <v>1.4615199999999999</v>
      </c>
      <c r="I239" s="1330">
        <f t="shared" si="70"/>
        <v>1.4615199999999999</v>
      </c>
      <c r="J239" s="1330">
        <f t="shared" si="70"/>
        <v>1.4615199999999999</v>
      </c>
      <c r="K239" s="1330">
        <f t="shared" si="70"/>
        <v>1.4615199999999999</v>
      </c>
      <c r="L239" s="1330">
        <f t="shared" si="70"/>
        <v>1.4615199999999999</v>
      </c>
      <c r="M239" s="1713">
        <f t="shared" si="69"/>
        <v>1.4615199999999999</v>
      </c>
    </row>
    <row r="240" spans="1:13">
      <c r="A240" s="1712"/>
      <c r="B240" s="1261" t="s">
        <v>560</v>
      </c>
      <c r="C240" s="1850" t="s">
        <v>552</v>
      </c>
      <c r="D240" s="1323" t="s">
        <v>386</v>
      </c>
      <c r="E240" s="2220" t="s">
        <v>1116</v>
      </c>
      <c r="F240" s="1780"/>
      <c r="G240" s="1330">
        <v>1.05026</v>
      </c>
      <c r="H240" s="1330">
        <f t="shared" si="70"/>
        <v>1.05026</v>
      </c>
      <c r="I240" s="1330">
        <f t="shared" si="70"/>
        <v>1.05026</v>
      </c>
      <c r="J240" s="1330">
        <f t="shared" si="70"/>
        <v>1.05026</v>
      </c>
      <c r="K240" s="1330">
        <f t="shared" si="70"/>
        <v>1.05026</v>
      </c>
      <c r="L240" s="1330">
        <f t="shared" si="70"/>
        <v>1.05026</v>
      </c>
      <c r="M240" s="1713">
        <f t="shared" si="69"/>
        <v>1.05026</v>
      </c>
    </row>
    <row r="241" spans="1:13">
      <c r="A241" s="1712"/>
      <c r="B241" s="1261" t="s">
        <v>561</v>
      </c>
      <c r="C241" s="1850" t="s">
        <v>553</v>
      </c>
      <c r="D241" s="1323" t="s">
        <v>386</v>
      </c>
      <c r="E241" s="2220" t="s">
        <v>1116</v>
      </c>
      <c r="F241" s="1780"/>
      <c r="G241" s="1330">
        <v>0.80010000000000003</v>
      </c>
      <c r="H241" s="1330">
        <f t="shared" si="70"/>
        <v>0.80010000000000003</v>
      </c>
      <c r="I241" s="1330">
        <f t="shared" si="70"/>
        <v>0.80010000000000003</v>
      </c>
      <c r="J241" s="1330">
        <f t="shared" si="70"/>
        <v>0.80010000000000003</v>
      </c>
      <c r="K241" s="1330">
        <f t="shared" si="70"/>
        <v>0.80010000000000003</v>
      </c>
      <c r="L241" s="1330">
        <f t="shared" si="70"/>
        <v>0.80010000000000003</v>
      </c>
      <c r="M241" s="1713">
        <f t="shared" si="69"/>
        <v>0.80010000000000014</v>
      </c>
    </row>
    <row r="242" spans="1:13">
      <c r="A242" s="1712"/>
      <c r="B242" s="1261" t="s">
        <v>562</v>
      </c>
      <c r="C242" s="1850" t="s">
        <v>554</v>
      </c>
      <c r="D242" s="1323" t="s">
        <v>386</v>
      </c>
      <c r="E242" s="2220" t="s">
        <v>1116</v>
      </c>
      <c r="F242" s="1780"/>
      <c r="G242" s="1330">
        <v>0.64407999999999999</v>
      </c>
      <c r="H242" s="1330">
        <f t="shared" si="70"/>
        <v>0.64407999999999999</v>
      </c>
      <c r="I242" s="1330">
        <f t="shared" si="70"/>
        <v>0.64407999999999999</v>
      </c>
      <c r="J242" s="1330">
        <f t="shared" si="70"/>
        <v>0.64407999999999999</v>
      </c>
      <c r="K242" s="1330">
        <f t="shared" si="70"/>
        <v>0.64407999999999999</v>
      </c>
      <c r="L242" s="1330">
        <f t="shared" si="70"/>
        <v>0.64407999999999999</v>
      </c>
      <c r="M242" s="1713">
        <f t="shared" si="69"/>
        <v>0.64407999999999987</v>
      </c>
    </row>
    <row r="243" spans="1:13">
      <c r="A243" s="1712"/>
      <c r="B243" s="1261" t="s">
        <v>563</v>
      </c>
      <c r="C243" s="1850" t="s">
        <v>555</v>
      </c>
      <c r="D243" s="1323" t="s">
        <v>386</v>
      </c>
      <c r="E243" s="2220" t="s">
        <v>1116</v>
      </c>
      <c r="F243" s="1780"/>
      <c r="G243" s="1330">
        <v>0.61287999999999998</v>
      </c>
      <c r="H243" s="1330">
        <f t="shared" si="70"/>
        <v>0.61287999999999998</v>
      </c>
      <c r="I243" s="1330">
        <f t="shared" si="70"/>
        <v>0.61287999999999998</v>
      </c>
      <c r="J243" s="1330">
        <f t="shared" si="70"/>
        <v>0.61287999999999998</v>
      </c>
      <c r="K243" s="1330">
        <f t="shared" si="70"/>
        <v>0.61287999999999998</v>
      </c>
      <c r="L243" s="1330">
        <f t="shared" si="70"/>
        <v>0.61287999999999998</v>
      </c>
      <c r="M243" s="1713">
        <f t="shared" si="69"/>
        <v>0.61287999999999998</v>
      </c>
    </row>
    <row r="244" spans="1:13">
      <c r="A244" s="1712"/>
      <c r="B244" s="1261" t="s">
        <v>564</v>
      </c>
      <c r="C244" s="1850" t="s">
        <v>556</v>
      </c>
      <c r="D244" s="1323" t="s">
        <v>386</v>
      </c>
      <c r="E244" s="2220" t="s">
        <v>1116</v>
      </c>
      <c r="F244" s="1780"/>
      <c r="G244" s="1330">
        <v>0.50753000000000004</v>
      </c>
      <c r="H244" s="1330">
        <f t="shared" si="70"/>
        <v>0.50753000000000004</v>
      </c>
      <c r="I244" s="1330">
        <f t="shared" si="70"/>
        <v>0.50753000000000004</v>
      </c>
      <c r="J244" s="1330">
        <f t="shared" si="70"/>
        <v>0.50753000000000004</v>
      </c>
      <c r="K244" s="1330">
        <f t="shared" si="70"/>
        <v>0.50753000000000004</v>
      </c>
      <c r="L244" s="1330">
        <f t="shared" si="70"/>
        <v>0.50753000000000004</v>
      </c>
      <c r="M244" s="1713">
        <f t="shared" si="69"/>
        <v>0.50753000000000004</v>
      </c>
    </row>
    <row r="245" spans="1:13">
      <c r="A245" s="1712"/>
      <c r="B245" s="1261" t="s">
        <v>565</v>
      </c>
      <c r="C245" s="1850" t="s">
        <v>557</v>
      </c>
      <c r="D245" s="1323" t="s">
        <v>386</v>
      </c>
      <c r="E245" s="2220" t="s">
        <v>1116</v>
      </c>
      <c r="F245" s="1780"/>
      <c r="G245" s="1330">
        <v>0.35550999999999999</v>
      </c>
      <c r="H245" s="1330">
        <f t="shared" si="70"/>
        <v>0.35550999999999999</v>
      </c>
      <c r="I245" s="1330">
        <f t="shared" si="70"/>
        <v>0.35550999999999999</v>
      </c>
      <c r="J245" s="1330">
        <f t="shared" si="70"/>
        <v>0.35550999999999999</v>
      </c>
      <c r="K245" s="1330">
        <f t="shared" si="70"/>
        <v>0.35550999999999999</v>
      </c>
      <c r="L245" s="1330">
        <f t="shared" si="70"/>
        <v>0.35550999999999999</v>
      </c>
      <c r="M245" s="1713">
        <f t="shared" si="69"/>
        <v>0.35550999999999999</v>
      </c>
    </row>
    <row r="246" spans="1:13">
      <c r="A246" s="1712"/>
      <c r="B246" s="1261" t="s">
        <v>566</v>
      </c>
      <c r="C246" s="1850" t="s">
        <v>1091</v>
      </c>
      <c r="D246" s="1323" t="s">
        <v>386</v>
      </c>
      <c r="E246" s="2221" t="s">
        <v>1116</v>
      </c>
      <c r="F246" s="1780"/>
      <c r="G246" s="1330">
        <v>0.33338000000000001</v>
      </c>
      <c r="H246" s="1330">
        <f t="shared" si="70"/>
        <v>0.33338000000000001</v>
      </c>
      <c r="I246" s="1330">
        <f t="shared" si="70"/>
        <v>0.33338000000000001</v>
      </c>
      <c r="J246" s="1330">
        <f t="shared" si="70"/>
        <v>0.33338000000000001</v>
      </c>
      <c r="K246" s="1330">
        <f t="shared" si="70"/>
        <v>0.33338000000000001</v>
      </c>
      <c r="L246" s="1330">
        <f t="shared" si="70"/>
        <v>0.33338000000000001</v>
      </c>
      <c r="M246" s="1713">
        <f t="shared" si="69"/>
        <v>0.33338000000000001</v>
      </c>
    </row>
    <row r="247" spans="1:13">
      <c r="A247" s="1708"/>
      <c r="B247" s="1326" t="s">
        <v>831</v>
      </c>
      <c r="C247" s="1851" t="s">
        <v>1117</v>
      </c>
      <c r="D247" s="1323" t="s">
        <v>386</v>
      </c>
      <c r="E247" s="2219" t="s">
        <v>1118</v>
      </c>
      <c r="F247" s="1780"/>
      <c r="G247" s="1330">
        <f t="shared" ref="G247:L247" si="71">115.5</f>
        <v>115.5</v>
      </c>
      <c r="H247" s="1330">
        <f t="shared" si="71"/>
        <v>115.5</v>
      </c>
      <c r="I247" s="1330">
        <f t="shared" si="71"/>
        <v>115.5</v>
      </c>
      <c r="J247" s="1330">
        <f t="shared" si="71"/>
        <v>115.5</v>
      </c>
      <c r="K247" s="1330">
        <f t="shared" si="71"/>
        <v>115.5</v>
      </c>
      <c r="L247" s="1330">
        <f t="shared" si="71"/>
        <v>115.5</v>
      </c>
      <c r="M247" s="1713">
        <f t="shared" si="69"/>
        <v>115.5</v>
      </c>
    </row>
    <row r="248" spans="1:13">
      <c r="A248" s="1708"/>
      <c r="B248" s="1326" t="s">
        <v>687</v>
      </c>
      <c r="C248" s="1851" t="s">
        <v>689</v>
      </c>
      <c r="D248" s="1323" t="s">
        <v>386</v>
      </c>
      <c r="E248" s="2220" t="s">
        <v>1118</v>
      </c>
      <c r="F248" s="1780"/>
      <c r="G248" s="1330">
        <v>0.58940000000000003</v>
      </c>
      <c r="H248" s="1330">
        <v>0.58940000000000003</v>
      </c>
      <c r="I248" s="1330">
        <v>0.58940000000000003</v>
      </c>
      <c r="J248" s="1330">
        <v>0.58940000000000003</v>
      </c>
      <c r="K248" s="1330">
        <v>0.58940000000000003</v>
      </c>
      <c r="L248" s="1330">
        <v>0.58940000000000003</v>
      </c>
      <c r="M248" s="1713">
        <f t="shared" si="69"/>
        <v>0.58940000000000003</v>
      </c>
    </row>
    <row r="249" spans="1:13">
      <c r="A249" s="1708"/>
      <c r="B249" s="1326" t="s">
        <v>688</v>
      </c>
      <c r="C249" s="1851" t="s">
        <v>1119</v>
      </c>
      <c r="D249" s="1323" t="s">
        <v>386</v>
      </c>
      <c r="E249" s="2220" t="s">
        <v>1118</v>
      </c>
      <c r="F249" s="1780"/>
      <c r="G249" s="1330">
        <v>2.9073000000000002</v>
      </c>
      <c r="H249" s="1330">
        <v>2.9073000000000002</v>
      </c>
      <c r="I249" s="1330">
        <v>2.9073000000000002</v>
      </c>
      <c r="J249" s="1330">
        <v>2.9073000000000002</v>
      </c>
      <c r="K249" s="1330">
        <v>2.9073000000000002</v>
      </c>
      <c r="L249" s="1330">
        <v>2.9073000000000002</v>
      </c>
      <c r="M249" s="1713">
        <f t="shared" si="69"/>
        <v>2.9072999999999998</v>
      </c>
    </row>
    <row r="250" spans="1:13">
      <c r="A250" s="1708"/>
      <c r="B250" s="1326" t="s">
        <v>800</v>
      </c>
      <c r="C250" s="1851" t="s">
        <v>1120</v>
      </c>
      <c r="D250" s="1323" t="s">
        <v>386</v>
      </c>
      <c r="E250" s="2221" t="s">
        <v>1118</v>
      </c>
      <c r="F250" s="1780"/>
      <c r="G250" s="1330">
        <v>0.30420000000000003</v>
      </c>
      <c r="H250" s="1330">
        <v>0.30420000000000003</v>
      </c>
      <c r="I250" s="1330">
        <v>0.30420000000000003</v>
      </c>
      <c r="J250" s="1330">
        <v>0.30420000000000003</v>
      </c>
      <c r="K250" s="1330">
        <v>0.30420000000000003</v>
      </c>
      <c r="L250" s="1330">
        <v>0.30420000000000003</v>
      </c>
      <c r="M250" s="1713">
        <f t="shared" si="69"/>
        <v>0.30420000000000003</v>
      </c>
    </row>
    <row r="251" spans="1:13" ht="12.75" thickBot="1">
      <c r="A251" s="1708"/>
      <c r="B251" s="1342" t="s">
        <v>1273</v>
      </c>
      <c r="C251" s="1852" t="s">
        <v>1316</v>
      </c>
      <c r="D251" s="1341" t="s">
        <v>1367</v>
      </c>
      <c r="E251" s="2210" t="s">
        <v>1315</v>
      </c>
      <c r="F251" s="1790"/>
      <c r="G251" s="1330">
        <f>160</f>
        <v>160</v>
      </c>
      <c r="H251" s="1330">
        <f>160</f>
        <v>160</v>
      </c>
      <c r="I251" s="1330">
        <f>160</f>
        <v>160</v>
      </c>
      <c r="J251" s="1330">
        <f>160</f>
        <v>160</v>
      </c>
      <c r="K251" s="1330">
        <f>160</f>
        <v>160</v>
      </c>
      <c r="L251" s="1330">
        <f>160</f>
        <v>160</v>
      </c>
      <c r="M251" s="1713">
        <f t="shared" si="69"/>
        <v>160</v>
      </c>
    </row>
    <row r="252" spans="1:13" ht="12.75" thickBot="1">
      <c r="A252" s="1708"/>
      <c r="B252" s="1340" t="s">
        <v>1515</v>
      </c>
      <c r="C252" s="1853" t="s">
        <v>2112</v>
      </c>
      <c r="D252" s="1339" t="s">
        <v>1506</v>
      </c>
      <c r="E252" s="2195" t="s">
        <v>1516</v>
      </c>
      <c r="F252" s="1790"/>
      <c r="G252" s="1330">
        <v>49.95</v>
      </c>
      <c r="H252" s="1330">
        <v>49.95</v>
      </c>
      <c r="I252" s="1330">
        <v>49.95</v>
      </c>
      <c r="J252" s="1330">
        <v>49.95</v>
      </c>
      <c r="K252" s="1330">
        <v>49.95</v>
      </c>
      <c r="L252" s="1330">
        <v>49.95</v>
      </c>
      <c r="M252" s="1713">
        <f t="shared" si="69"/>
        <v>49.949999999999996</v>
      </c>
    </row>
    <row r="253" spans="1:13" ht="12.75" thickBot="1">
      <c r="A253" s="1667"/>
      <c r="B253" s="1304" t="s">
        <v>792</v>
      </c>
      <c r="C253" s="1850" t="s">
        <v>1275</v>
      </c>
      <c r="D253" s="1323" t="s">
        <v>548</v>
      </c>
      <c r="E253" s="2206" t="s">
        <v>1121</v>
      </c>
      <c r="F253" s="1780"/>
      <c r="G253" s="1330">
        <v>126</v>
      </c>
      <c r="H253" s="1330">
        <v>126</v>
      </c>
      <c r="I253" s="1330">
        <v>126</v>
      </c>
      <c r="J253" s="1330">
        <v>126</v>
      </c>
      <c r="K253" s="1330">
        <v>126</v>
      </c>
      <c r="L253" s="1330">
        <v>126</v>
      </c>
      <c r="M253" s="1713">
        <f t="shared" si="69"/>
        <v>126</v>
      </c>
    </row>
    <row r="254" spans="1:13" ht="12.75" thickBot="1">
      <c r="A254" s="1705"/>
      <c r="B254" s="1284" t="s">
        <v>1323</v>
      </c>
      <c r="C254" s="1854" t="s">
        <v>2113</v>
      </c>
      <c r="D254" s="1283" t="s">
        <v>1325</v>
      </c>
      <c r="E254" s="2222" t="s">
        <v>1322</v>
      </c>
      <c r="F254" s="1780"/>
      <c r="G254" s="1330">
        <v>126</v>
      </c>
      <c r="H254" s="1330">
        <v>126</v>
      </c>
      <c r="I254" s="1330">
        <v>126</v>
      </c>
      <c r="J254" s="1330">
        <v>126</v>
      </c>
      <c r="K254" s="1330">
        <v>126</v>
      </c>
      <c r="L254" s="1330">
        <v>126</v>
      </c>
      <c r="M254" s="1713">
        <f t="shared" si="69"/>
        <v>126</v>
      </c>
    </row>
    <row r="255" spans="1:13">
      <c r="A255" s="1302"/>
      <c r="B255" s="1338" t="s">
        <v>1568</v>
      </c>
      <c r="C255" s="1826" t="s">
        <v>1569</v>
      </c>
      <c r="D255" s="1337" t="s">
        <v>1061</v>
      </c>
      <c r="E255" s="2223" t="s">
        <v>1585</v>
      </c>
      <c r="F255" s="1791"/>
      <c r="G255" s="1330">
        <v>8.7932000000000006</v>
      </c>
      <c r="H255" s="1330">
        <v>8.3303999999999991</v>
      </c>
      <c r="I255" s="1330">
        <v>8.2147000000000006</v>
      </c>
      <c r="J255" s="1330">
        <v>8.4460999999999995</v>
      </c>
      <c r="K255" s="1330">
        <v>0</v>
      </c>
      <c r="L255" s="1330">
        <v>7.9832999999999998</v>
      </c>
      <c r="M255" s="1713">
        <f t="shared" si="69"/>
        <v>6.9612833333333333</v>
      </c>
    </row>
    <row r="256" spans="1:13">
      <c r="A256" s="1302"/>
      <c r="B256" s="1336" t="s">
        <v>1570</v>
      </c>
      <c r="C256" s="1827" t="s">
        <v>1571</v>
      </c>
      <c r="D256" s="1320" t="s">
        <v>1061</v>
      </c>
      <c r="E256" s="2224" t="s">
        <v>1585</v>
      </c>
      <c r="F256" s="1791"/>
      <c r="G256" s="1330">
        <v>0.68400000000000005</v>
      </c>
      <c r="H256" s="1330">
        <v>0.64800000000000002</v>
      </c>
      <c r="I256" s="1330">
        <v>0.63900000000000001</v>
      </c>
      <c r="J256" s="1330">
        <v>0.65700000000000003</v>
      </c>
      <c r="K256" s="1330">
        <v>0.63</v>
      </c>
      <c r="L256" s="1330">
        <v>0.621</v>
      </c>
      <c r="M256" s="1713">
        <f t="shared" si="69"/>
        <v>0.64649999999999996</v>
      </c>
    </row>
    <row r="257" spans="1:18">
      <c r="A257" s="1302"/>
      <c r="B257" s="1336" t="s">
        <v>1572</v>
      </c>
      <c r="C257" s="1827" t="s">
        <v>1573</v>
      </c>
      <c r="D257" s="1320" t="s">
        <v>1060</v>
      </c>
      <c r="E257" s="2224" t="s">
        <v>1585</v>
      </c>
      <c r="F257" s="1791"/>
      <c r="G257" s="1330">
        <v>38</v>
      </c>
      <c r="H257" s="1330">
        <v>36</v>
      </c>
      <c r="I257" s="1330">
        <v>35.5</v>
      </c>
      <c r="J257" s="1330">
        <v>36.5</v>
      </c>
      <c r="K257" s="1330">
        <v>35</v>
      </c>
      <c r="L257" s="1330">
        <v>34.5</v>
      </c>
      <c r="M257" s="1713">
        <f t="shared" si="69"/>
        <v>35.916666666666664</v>
      </c>
    </row>
    <row r="258" spans="1:18">
      <c r="A258" s="1302"/>
      <c r="B258" s="1336" t="s">
        <v>1574</v>
      </c>
      <c r="C258" s="1827" t="s">
        <v>1575</v>
      </c>
      <c r="D258" s="1320" t="s">
        <v>1061</v>
      </c>
      <c r="E258" s="2224" t="s">
        <v>1585</v>
      </c>
      <c r="F258" s="1791"/>
      <c r="G258" s="1330">
        <v>9.2872000000000003</v>
      </c>
      <c r="H258" s="1330">
        <v>8.7984000000000009</v>
      </c>
      <c r="I258" s="1330">
        <v>8.6761999999999997</v>
      </c>
      <c r="J258" s="1330">
        <v>8.9206000000000003</v>
      </c>
      <c r="K258" s="1330">
        <v>8.3789999999999996</v>
      </c>
      <c r="L258" s="1330">
        <v>8.4318000000000008</v>
      </c>
      <c r="M258" s="1713">
        <f t="shared" si="69"/>
        <v>8.7488666666666663</v>
      </c>
    </row>
    <row r="259" spans="1:18">
      <c r="A259" s="1302"/>
      <c r="B259" s="1336" t="s">
        <v>1576</v>
      </c>
      <c r="C259" s="1827" t="s">
        <v>1577</v>
      </c>
      <c r="D259" s="1320" t="s">
        <v>1060</v>
      </c>
      <c r="E259" s="2224" t="s">
        <v>1585</v>
      </c>
      <c r="F259" s="1791"/>
      <c r="G259" s="1330">
        <v>2.3408000000000002</v>
      </c>
      <c r="H259" s="1330">
        <v>2.2176</v>
      </c>
      <c r="I259" s="1330">
        <v>2.1867999999999999</v>
      </c>
      <c r="J259" s="1330">
        <v>2.2484000000000002</v>
      </c>
      <c r="K259" s="1330">
        <v>0</v>
      </c>
      <c r="L259" s="1330">
        <v>2.1252</v>
      </c>
      <c r="M259" s="1713">
        <f t="shared" si="69"/>
        <v>1.8531333333333333</v>
      </c>
    </row>
    <row r="260" spans="1:18">
      <c r="A260" s="1302"/>
      <c r="B260" s="1336" t="s">
        <v>1578</v>
      </c>
      <c r="C260" s="1827" t="s">
        <v>1579</v>
      </c>
      <c r="D260" s="1320" t="s">
        <v>1061</v>
      </c>
      <c r="E260" s="2224" t="s">
        <v>1585</v>
      </c>
      <c r="F260" s="1791"/>
      <c r="G260" s="1330">
        <v>14.44</v>
      </c>
      <c r="H260" s="1330">
        <v>13.68</v>
      </c>
      <c r="I260" s="1330">
        <v>13.49</v>
      </c>
      <c r="J260" s="1330">
        <v>13.87</v>
      </c>
      <c r="K260" s="1330">
        <v>13.3</v>
      </c>
      <c r="L260" s="1330">
        <v>13.11</v>
      </c>
      <c r="M260" s="1713">
        <f t="shared" si="69"/>
        <v>13.648333333333333</v>
      </c>
    </row>
    <row r="261" spans="1:18">
      <c r="A261" s="1302"/>
      <c r="B261" s="1336" t="s">
        <v>1580</v>
      </c>
      <c r="C261" s="1827" t="s">
        <v>1581</v>
      </c>
      <c r="D261" s="1320" t="s">
        <v>1060</v>
      </c>
      <c r="E261" s="2224" t="s">
        <v>1585</v>
      </c>
      <c r="F261" s="1791"/>
      <c r="G261" s="1330">
        <v>15.2</v>
      </c>
      <c r="H261" s="1330">
        <v>14.4</v>
      </c>
      <c r="I261" s="1330">
        <v>14.2</v>
      </c>
      <c r="J261" s="1330">
        <v>14.6</v>
      </c>
      <c r="K261" s="1330">
        <v>14</v>
      </c>
      <c r="L261" s="1330">
        <v>13.8</v>
      </c>
      <c r="M261" s="1713">
        <f t="shared" si="69"/>
        <v>14.366666666666667</v>
      </c>
    </row>
    <row r="262" spans="1:18">
      <c r="A262" s="1302"/>
      <c r="B262" s="1336" t="s">
        <v>1582</v>
      </c>
      <c r="C262" s="1827" t="s">
        <v>1581</v>
      </c>
      <c r="D262" s="1320" t="s">
        <v>1060</v>
      </c>
      <c r="E262" s="2224" t="s">
        <v>1585</v>
      </c>
      <c r="F262" s="1791"/>
      <c r="G262" s="1330">
        <v>87.4</v>
      </c>
      <c r="H262" s="1330">
        <v>82.8</v>
      </c>
      <c r="I262" s="1330">
        <v>81.650000000000006</v>
      </c>
      <c r="J262" s="1330">
        <v>83.95</v>
      </c>
      <c r="K262" s="1330">
        <v>80.5</v>
      </c>
      <c r="L262" s="1330">
        <v>79.349999999999994</v>
      </c>
      <c r="M262" s="1713">
        <f t="shared" si="69"/>
        <v>82.608333333333334</v>
      </c>
      <c r="O262" s="1379"/>
      <c r="P262" s="1379"/>
      <c r="Q262" s="1379"/>
      <c r="R262" s="1379"/>
    </row>
    <row r="263" spans="1:18" s="1379" customFormat="1">
      <c r="A263" s="1302"/>
      <c r="B263" s="1336" t="s">
        <v>1583</v>
      </c>
      <c r="C263" s="1827" t="s">
        <v>1584</v>
      </c>
      <c r="D263" s="1320" t="s">
        <v>1061</v>
      </c>
      <c r="E263" s="2224" t="s">
        <v>1585</v>
      </c>
      <c r="F263" s="1791"/>
      <c r="G263" s="1330">
        <v>0.56240000000000001</v>
      </c>
      <c r="H263" s="1330">
        <v>0.53280000000000005</v>
      </c>
      <c r="I263" s="1330">
        <v>0.52539999999999998</v>
      </c>
      <c r="J263" s="1330">
        <v>0.54020000000000001</v>
      </c>
      <c r="K263" s="1330">
        <v>0</v>
      </c>
      <c r="L263" s="1330">
        <v>0.51060000000000005</v>
      </c>
      <c r="M263" s="1713">
        <f t="shared" si="69"/>
        <v>0.44523333333333337</v>
      </c>
    </row>
    <row r="264" spans="1:18" s="1486" customFormat="1" ht="9" thickBot="1">
      <c r="A264" s="1912"/>
      <c r="B264" s="1913"/>
      <c r="C264" s="1914"/>
      <c r="D264" s="1915"/>
      <c r="E264" s="2199"/>
      <c r="F264" s="2200"/>
      <c r="G264" s="1916"/>
      <c r="H264" s="1916"/>
      <c r="I264" s="1916"/>
      <c r="J264" s="1916"/>
      <c r="K264" s="1916"/>
      <c r="L264" s="1916"/>
      <c r="M264" s="1916"/>
    </row>
    <row r="265" spans="1:18" s="1379" customFormat="1" ht="12.75" thickBot="1">
      <c r="A265" s="1711"/>
      <c r="B265" s="1335" t="s">
        <v>1014</v>
      </c>
      <c r="C265" s="1855" t="s">
        <v>604</v>
      </c>
      <c r="D265" s="1334" t="s">
        <v>389</v>
      </c>
      <c r="E265" s="2225" t="s">
        <v>714</v>
      </c>
      <c r="F265" s="1792"/>
      <c r="G265" s="1333">
        <f t="shared" ref="G265:L265" si="72">IF(G218-SUM(G236:G263)&lt;=0,0,G218-SUM(G236:G263))</f>
        <v>0</v>
      </c>
      <c r="H265" s="1333">
        <f t="shared" si="72"/>
        <v>0</v>
      </c>
      <c r="I265" s="1333">
        <f t="shared" si="72"/>
        <v>0</v>
      </c>
      <c r="J265" s="1333">
        <f t="shared" si="72"/>
        <v>0</v>
      </c>
      <c r="K265" s="1333">
        <f t="shared" si="72"/>
        <v>0</v>
      </c>
      <c r="L265" s="1333">
        <f t="shared" si="72"/>
        <v>0</v>
      </c>
      <c r="M265" s="1333">
        <f t="shared" si="69"/>
        <v>0</v>
      </c>
    </row>
    <row r="266" spans="1:18" s="1379" customFormat="1">
      <c r="A266" s="1679"/>
      <c r="B266" s="1285" t="s">
        <v>825</v>
      </c>
      <c r="C266" s="1836" t="s">
        <v>1002</v>
      </c>
      <c r="D266" s="1323" t="s">
        <v>1090</v>
      </c>
      <c r="E266" s="2206" t="s">
        <v>1122</v>
      </c>
      <c r="F266" s="1780"/>
      <c r="G266" s="1330">
        <v>5.5</v>
      </c>
      <c r="H266" s="1330">
        <f t="shared" ref="H266:L267" si="73">+G266</f>
        <v>5.5</v>
      </c>
      <c r="I266" s="1330">
        <f t="shared" si="73"/>
        <v>5.5</v>
      </c>
      <c r="J266" s="1330">
        <f t="shared" si="73"/>
        <v>5.5</v>
      </c>
      <c r="K266" s="1330">
        <f t="shared" si="73"/>
        <v>5.5</v>
      </c>
      <c r="L266" s="1330">
        <f t="shared" si="73"/>
        <v>5.5</v>
      </c>
      <c r="M266" s="1713">
        <f t="shared" si="69"/>
        <v>5.5</v>
      </c>
    </row>
    <row r="267" spans="1:18" s="1379" customFormat="1">
      <c r="A267" s="1679"/>
      <c r="B267" s="1332" t="s">
        <v>897</v>
      </c>
      <c r="C267" s="1840" t="s">
        <v>1003</v>
      </c>
      <c r="D267" s="1331" t="s">
        <v>1090</v>
      </c>
      <c r="E267" s="2206" t="s">
        <v>1122</v>
      </c>
      <c r="F267" s="1780"/>
      <c r="G267" s="1330">
        <v>22.62</v>
      </c>
      <c r="H267" s="1330">
        <f t="shared" si="73"/>
        <v>22.62</v>
      </c>
      <c r="I267" s="1330">
        <f t="shared" si="73"/>
        <v>22.62</v>
      </c>
      <c r="J267" s="1330">
        <f t="shared" si="73"/>
        <v>22.62</v>
      </c>
      <c r="K267" s="1330">
        <f t="shared" si="73"/>
        <v>22.62</v>
      </c>
      <c r="L267" s="1330">
        <f t="shared" si="73"/>
        <v>22.62</v>
      </c>
      <c r="M267" s="1713">
        <f t="shared" si="69"/>
        <v>22.62</v>
      </c>
    </row>
    <row r="268" spans="1:18" s="1379" customFormat="1">
      <c r="A268" s="1710"/>
      <c r="B268" s="1329"/>
      <c r="C268" s="1856" t="s">
        <v>946</v>
      </c>
      <c r="D268" s="1328"/>
      <c r="E268" s="2226" t="s">
        <v>1277</v>
      </c>
      <c r="F268" s="1793"/>
      <c r="G268" s="1327"/>
      <c r="H268" s="1327"/>
      <c r="I268" s="1327"/>
      <c r="J268" s="1327"/>
      <c r="K268" s="1327"/>
      <c r="L268" s="1327"/>
      <c r="M268" s="1327"/>
    </row>
    <row r="269" spans="1:18" s="1379" customFormat="1">
      <c r="A269" s="1708"/>
      <c r="B269" s="1326" t="s">
        <v>568</v>
      </c>
      <c r="C269" s="1851" t="s">
        <v>567</v>
      </c>
      <c r="D269" s="1323" t="s">
        <v>569</v>
      </c>
      <c r="E269" s="2218" t="s">
        <v>1123</v>
      </c>
      <c r="F269" s="1780"/>
      <c r="G269" s="1319">
        <f>2.3529</f>
        <v>2.3529</v>
      </c>
      <c r="H269" s="1319">
        <f>2.0848</f>
        <v>2.0848</v>
      </c>
      <c r="I269" s="1319">
        <f>1.325</f>
        <v>1.325</v>
      </c>
      <c r="J269" s="1319">
        <f>1.825</f>
        <v>1.825</v>
      </c>
      <c r="K269" s="1319">
        <f>3.6792</f>
        <v>3.6791999999999998</v>
      </c>
      <c r="L269" s="1319">
        <f>8.026</f>
        <v>8.0259999999999998</v>
      </c>
      <c r="M269" s="1755">
        <f t="shared" si="69"/>
        <v>3.2154833333333332</v>
      </c>
    </row>
    <row r="270" spans="1:18" s="1379" customFormat="1">
      <c r="A270" s="1708"/>
      <c r="B270" s="1326" t="s">
        <v>571</v>
      </c>
      <c r="C270" s="1851" t="s">
        <v>570</v>
      </c>
      <c r="D270" s="1323" t="s">
        <v>569</v>
      </c>
      <c r="E270" s="2218" t="s">
        <v>1123</v>
      </c>
      <c r="F270" s="1780"/>
      <c r="G270" s="1319">
        <f>2.3529</f>
        <v>2.3529</v>
      </c>
      <c r="H270" s="1319">
        <f>2.0848</f>
        <v>2.0848</v>
      </c>
      <c r="I270" s="1319">
        <f>1.325</f>
        <v>1.325</v>
      </c>
      <c r="J270" s="1319">
        <f>1.825</f>
        <v>1.825</v>
      </c>
      <c r="K270" s="1319">
        <f>3.6792</f>
        <v>3.6791999999999998</v>
      </c>
      <c r="L270" s="1319">
        <f>8.026</f>
        <v>8.0259999999999998</v>
      </c>
      <c r="M270" s="1755">
        <f t="shared" si="69"/>
        <v>3.2154833333333332</v>
      </c>
      <c r="O270" s="1380"/>
      <c r="P270" s="1380"/>
      <c r="Q270" s="1380"/>
      <c r="R270" s="1380"/>
    </row>
    <row r="271" spans="1:18" s="1380" customFormat="1">
      <c r="A271" s="1708"/>
      <c r="B271" s="1326" t="s">
        <v>573</v>
      </c>
      <c r="C271" s="1851" t="s">
        <v>572</v>
      </c>
      <c r="D271" s="1323" t="s">
        <v>569</v>
      </c>
      <c r="E271" s="2218" t="s">
        <v>1123</v>
      </c>
      <c r="F271" s="1780"/>
      <c r="G271" s="1319">
        <f>2.3529</f>
        <v>2.3529</v>
      </c>
      <c r="H271" s="1319">
        <f>2.0848</f>
        <v>2.0848</v>
      </c>
      <c r="I271" s="1319">
        <f>1.325</f>
        <v>1.325</v>
      </c>
      <c r="J271" s="1319">
        <f>1.825</f>
        <v>1.825</v>
      </c>
      <c r="K271" s="1319">
        <f>3.6792</f>
        <v>3.6791999999999998</v>
      </c>
      <c r="L271" s="1319">
        <f>8.026</f>
        <v>8.0259999999999998</v>
      </c>
      <c r="M271" s="1755">
        <f t="shared" si="69"/>
        <v>3.2154833333333332</v>
      </c>
    </row>
    <row r="272" spans="1:18" s="1380" customFormat="1">
      <c r="A272" s="1708"/>
      <c r="B272" s="1326" t="s">
        <v>575</v>
      </c>
      <c r="C272" s="1851" t="s">
        <v>574</v>
      </c>
      <c r="D272" s="1323" t="s">
        <v>569</v>
      </c>
      <c r="E272" s="2218" t="s">
        <v>1123</v>
      </c>
      <c r="F272" s="1780"/>
      <c r="G272" s="1319">
        <f>2.3529</f>
        <v>2.3529</v>
      </c>
      <c r="H272" s="1319">
        <f>2.0848</f>
        <v>2.0848</v>
      </c>
      <c r="I272" s="1319">
        <f>1.325</f>
        <v>1.325</v>
      </c>
      <c r="J272" s="1319">
        <f>1.825</f>
        <v>1.825</v>
      </c>
      <c r="K272" s="1319">
        <f>3.6792</f>
        <v>3.6791999999999998</v>
      </c>
      <c r="L272" s="1319">
        <f>8.026</f>
        <v>8.0259999999999998</v>
      </c>
      <c r="M272" s="1755">
        <f t="shared" si="69"/>
        <v>3.2154833333333332</v>
      </c>
    </row>
    <row r="273" spans="1:18" s="1380" customFormat="1">
      <c r="A273" s="1707"/>
      <c r="B273" s="1325" t="s">
        <v>690</v>
      </c>
      <c r="C273" s="1857" t="s">
        <v>904</v>
      </c>
      <c r="D273" s="1324" t="s">
        <v>1063</v>
      </c>
      <c r="E273" s="2218" t="s">
        <v>1124</v>
      </c>
      <c r="F273" s="1790"/>
      <c r="G273" s="1319">
        <v>0.92</v>
      </c>
      <c r="H273" s="1319">
        <v>0.61770000000000003</v>
      </c>
      <c r="I273" s="1319">
        <v>0.83140000000000003</v>
      </c>
      <c r="J273" s="1319">
        <v>0.76029999999999998</v>
      </c>
      <c r="K273" s="1319">
        <v>0.87219999999999998</v>
      </c>
      <c r="L273" s="1319">
        <v>0.83209999999999995</v>
      </c>
      <c r="M273" s="1755">
        <f t="shared" si="69"/>
        <v>0.80561666666666654</v>
      </c>
    </row>
    <row r="274" spans="1:18" s="1380" customFormat="1">
      <c r="A274" s="1707"/>
      <c r="B274" s="1325" t="s">
        <v>579</v>
      </c>
      <c r="C274" s="1857" t="s">
        <v>578</v>
      </c>
      <c r="D274" s="1324" t="s">
        <v>1063</v>
      </c>
      <c r="E274" s="2218" t="s">
        <v>1124</v>
      </c>
      <c r="F274" s="1790"/>
      <c r="G274" s="1319">
        <v>1.0349999999999999</v>
      </c>
      <c r="H274" s="1319">
        <v>1.76</v>
      </c>
      <c r="I274" s="1319">
        <v>1.9950000000000001</v>
      </c>
      <c r="J274" s="1319">
        <v>2.86</v>
      </c>
      <c r="K274" s="1319">
        <v>2.04</v>
      </c>
      <c r="L274" s="1319">
        <v>0.57499999999999996</v>
      </c>
      <c r="M274" s="1755">
        <f t="shared" si="69"/>
        <v>1.7108333333333334</v>
      </c>
    </row>
    <row r="275" spans="1:18" s="1380" customFormat="1">
      <c r="A275" s="1707"/>
      <c r="B275" s="1325" t="s">
        <v>581</v>
      </c>
      <c r="C275" s="1857" t="s">
        <v>580</v>
      </c>
      <c r="D275" s="1324" t="s">
        <v>1063</v>
      </c>
      <c r="E275" s="2218" t="s">
        <v>1124</v>
      </c>
      <c r="F275" s="1790"/>
      <c r="G275" s="1319">
        <v>0.34499999999999997</v>
      </c>
      <c r="H275" s="1319">
        <v>0.55000000000000004</v>
      </c>
      <c r="I275" s="1319">
        <v>0.78749999999999998</v>
      </c>
      <c r="J275" s="1319">
        <v>0.99</v>
      </c>
      <c r="K275" s="1319">
        <v>0.78</v>
      </c>
      <c r="L275" s="1319">
        <v>0.28749999999999998</v>
      </c>
      <c r="M275" s="1755">
        <f t="shared" si="69"/>
        <v>0.62333333333333341</v>
      </c>
      <c r="O275" s="337"/>
      <c r="P275" s="337"/>
      <c r="Q275" s="337"/>
      <c r="R275" s="337"/>
    </row>
    <row r="276" spans="1:18">
      <c r="A276" s="1707"/>
      <c r="B276" s="1325" t="s">
        <v>582</v>
      </c>
      <c r="C276" s="1857" t="s">
        <v>577</v>
      </c>
      <c r="D276" s="1324" t="s">
        <v>1063</v>
      </c>
      <c r="E276" s="2218" t="s">
        <v>1124</v>
      </c>
      <c r="F276" s="1790"/>
      <c r="G276" s="1319">
        <v>4.3536000000000001</v>
      </c>
      <c r="H276" s="1319">
        <v>4.6416000000000004</v>
      </c>
      <c r="I276" s="1319">
        <v>6.4196</v>
      </c>
      <c r="J276" s="1319">
        <v>9.1041000000000007</v>
      </c>
      <c r="K276" s="1319">
        <v>6.6582999999999997</v>
      </c>
      <c r="L276" s="1319">
        <v>3.5688</v>
      </c>
      <c r="M276" s="1755">
        <f t="shared" si="69"/>
        <v>5.7910000000000004</v>
      </c>
    </row>
    <row r="277" spans="1:18" ht="12.75" thickBot="1">
      <c r="A277" s="1707"/>
      <c r="B277" s="1286" t="s">
        <v>482</v>
      </c>
      <c r="C277" s="1858" t="s">
        <v>583</v>
      </c>
      <c r="D277" s="1323" t="s">
        <v>1063</v>
      </c>
      <c r="E277" s="2218" t="s">
        <v>1124</v>
      </c>
      <c r="F277" s="1780"/>
      <c r="G277" s="1319">
        <v>0.16819999999999999</v>
      </c>
      <c r="H277" s="1319">
        <v>0.16819999999999999</v>
      </c>
      <c r="I277" s="1319">
        <v>0.16819999999999999</v>
      </c>
      <c r="J277" s="1319">
        <v>0.16819999999999999</v>
      </c>
      <c r="K277" s="1319">
        <v>0.16819999999999999</v>
      </c>
      <c r="L277" s="1319">
        <v>0.16819999999999999</v>
      </c>
      <c r="M277" s="1755">
        <f t="shared" si="69"/>
        <v>0.16819999999999999</v>
      </c>
    </row>
    <row r="278" spans="1:18" ht="12.75" thickBot="1">
      <c r="A278" s="1707"/>
      <c r="B278" s="1761" t="s">
        <v>691</v>
      </c>
      <c r="C278" s="1859" t="s">
        <v>1860</v>
      </c>
      <c r="D278" s="1762" t="s">
        <v>1063</v>
      </c>
      <c r="E278" s="2227" t="s">
        <v>1124</v>
      </c>
      <c r="F278" s="1780"/>
      <c r="G278" s="1763">
        <v>0</v>
      </c>
      <c r="H278" s="1763">
        <v>0</v>
      </c>
      <c r="I278" s="1763">
        <v>0</v>
      </c>
      <c r="J278" s="1763">
        <v>0</v>
      </c>
      <c r="K278" s="1763">
        <v>0</v>
      </c>
      <c r="L278" s="1763">
        <v>0</v>
      </c>
      <c r="M278" s="1763">
        <f t="shared" si="69"/>
        <v>0</v>
      </c>
    </row>
    <row r="279" spans="1:18" ht="12.75" thickBot="1">
      <c r="A279" s="1707"/>
      <c r="B279" s="1325" t="s">
        <v>584</v>
      </c>
      <c r="C279" s="1857" t="s">
        <v>814</v>
      </c>
      <c r="D279" s="1324" t="s">
        <v>1063</v>
      </c>
      <c r="E279" s="2218" t="s">
        <v>1124</v>
      </c>
      <c r="F279" s="1790"/>
      <c r="G279" s="1319">
        <v>0</v>
      </c>
      <c r="H279" s="1319">
        <v>0</v>
      </c>
      <c r="I279" s="1319">
        <v>0.21</v>
      </c>
      <c r="J279" s="1319">
        <v>1.1000000000000001</v>
      </c>
      <c r="K279" s="1319">
        <v>0.48</v>
      </c>
      <c r="L279" s="1319">
        <v>0.46</v>
      </c>
      <c r="M279" s="1755">
        <f t="shared" si="69"/>
        <v>0.375</v>
      </c>
    </row>
    <row r="280" spans="1:18" ht="12.75" thickBot="1">
      <c r="A280" s="1709"/>
      <c r="B280" s="1322" t="s">
        <v>1062</v>
      </c>
      <c r="C280" s="1860" t="s">
        <v>1517</v>
      </c>
      <c r="D280" s="1321" t="s">
        <v>1063</v>
      </c>
      <c r="E280" s="2228" t="s">
        <v>1124</v>
      </c>
      <c r="F280" s="1790"/>
      <c r="G280" s="1763">
        <v>0</v>
      </c>
      <c r="H280" s="1763">
        <v>0</v>
      </c>
      <c r="I280" s="1763">
        <v>0</v>
      </c>
      <c r="J280" s="1763">
        <v>0</v>
      </c>
      <c r="K280" s="1763">
        <v>0</v>
      </c>
      <c r="L280" s="1763">
        <v>0</v>
      </c>
      <c r="M280" s="1763">
        <f t="shared" ref="M280" si="74">AVERAGE(G280:L280)</f>
        <v>0</v>
      </c>
    </row>
    <row r="281" spans="1:18">
      <c r="A281" s="1707"/>
      <c r="B281" s="1325" t="s">
        <v>586</v>
      </c>
      <c r="C281" s="1857" t="s">
        <v>585</v>
      </c>
      <c r="D281" s="1324" t="s">
        <v>1063</v>
      </c>
      <c r="E281" s="2218" t="s">
        <v>1124</v>
      </c>
      <c r="F281" s="1790"/>
      <c r="G281" s="1319">
        <v>0.93742999999999999</v>
      </c>
      <c r="H281" s="1319">
        <v>1.1744699999999999</v>
      </c>
      <c r="I281" s="1319">
        <v>1.12565</v>
      </c>
      <c r="J281" s="1319">
        <v>1.20425</v>
      </c>
      <c r="K281" s="1319">
        <v>1.2434099999999999</v>
      </c>
      <c r="L281" s="1319">
        <v>0.60150999999999999</v>
      </c>
      <c r="M281" s="1755">
        <f t="shared" si="69"/>
        <v>1.0477866666666666</v>
      </c>
    </row>
    <row r="282" spans="1:18">
      <c r="A282" s="1707"/>
      <c r="B282" s="1325" t="s">
        <v>483</v>
      </c>
      <c r="C282" s="1857" t="s">
        <v>932</v>
      </c>
      <c r="D282" s="1324" t="s">
        <v>1063</v>
      </c>
      <c r="E282" s="2218" t="s">
        <v>1124</v>
      </c>
      <c r="F282" s="1790"/>
      <c r="G282" s="1319">
        <v>5.2909999999999999E-2</v>
      </c>
      <c r="H282" s="1319">
        <v>5.3900000000000003E-2</v>
      </c>
      <c r="I282" s="1319">
        <v>4.9630000000000001E-2</v>
      </c>
      <c r="J282" s="1319">
        <v>5.0880000000000002E-2</v>
      </c>
      <c r="K282" s="1319">
        <v>8.7809999999999999E-2</v>
      </c>
      <c r="L282" s="1319">
        <v>6.268E-2</v>
      </c>
      <c r="M282" s="1755">
        <f t="shared" si="69"/>
        <v>5.9635000000000001E-2</v>
      </c>
    </row>
    <row r="283" spans="1:18">
      <c r="A283" s="1707"/>
      <c r="B283" s="1325" t="s">
        <v>490</v>
      </c>
      <c r="C283" s="1857" t="s">
        <v>903</v>
      </c>
      <c r="D283" s="1324" t="s">
        <v>1063</v>
      </c>
      <c r="E283" s="2218" t="s">
        <v>1124</v>
      </c>
      <c r="F283" s="1790"/>
      <c r="G283" s="1319">
        <v>0.44159999999999999</v>
      </c>
      <c r="H283" s="1319">
        <v>0.71940000000000004</v>
      </c>
      <c r="I283" s="1319">
        <v>0.68669999999999998</v>
      </c>
      <c r="J283" s="1319">
        <v>0.51500000000000001</v>
      </c>
      <c r="K283" s="1319">
        <v>0.78480000000000005</v>
      </c>
      <c r="L283" s="1319">
        <v>0.49909999999999999</v>
      </c>
      <c r="M283" s="1755">
        <f t="shared" si="69"/>
        <v>0.60776666666666668</v>
      </c>
    </row>
    <row r="284" spans="1:18">
      <c r="A284" s="1707"/>
      <c r="B284" s="1286" t="s">
        <v>484</v>
      </c>
      <c r="C284" s="1858" t="s">
        <v>551</v>
      </c>
      <c r="D284" s="1323" t="s">
        <v>1063</v>
      </c>
      <c r="E284" s="2218" t="s">
        <v>1124</v>
      </c>
      <c r="F284" s="1780"/>
      <c r="G284" s="1319">
        <v>2.0031441666666665</v>
      </c>
      <c r="H284" s="1319">
        <v>2.0031441666666665</v>
      </c>
      <c r="I284" s="1319">
        <v>2.0031441666666665</v>
      </c>
      <c r="J284" s="1319">
        <v>2.0031441666666665</v>
      </c>
      <c r="K284" s="1319">
        <v>2.0031441666666665</v>
      </c>
      <c r="L284" s="1319">
        <v>2.0031441666666665</v>
      </c>
      <c r="M284" s="1755">
        <f t="shared" si="69"/>
        <v>2.0031441666666665</v>
      </c>
    </row>
    <row r="285" spans="1:18">
      <c r="A285" s="1707"/>
      <c r="B285" s="1286" t="s">
        <v>692</v>
      </c>
      <c r="C285" s="1858" t="s">
        <v>693</v>
      </c>
      <c r="D285" s="1323" t="s">
        <v>1063</v>
      </c>
      <c r="E285" s="2218" t="s">
        <v>1124</v>
      </c>
      <c r="F285" s="1780"/>
      <c r="G285" s="1319">
        <v>0.17405833333333331</v>
      </c>
      <c r="H285" s="1319">
        <v>0.17405833333333331</v>
      </c>
      <c r="I285" s="1319">
        <v>0.17405833333333331</v>
      </c>
      <c r="J285" s="1319">
        <v>0.17405833333333331</v>
      </c>
      <c r="K285" s="1319">
        <v>0.17405833333333331</v>
      </c>
      <c r="L285" s="1319">
        <v>0.17405833333333331</v>
      </c>
      <c r="M285" s="1755">
        <f t="shared" si="69"/>
        <v>0.17405833333333331</v>
      </c>
    </row>
    <row r="286" spans="1:18">
      <c r="A286" s="1707"/>
      <c r="B286" s="1286" t="s">
        <v>587</v>
      </c>
      <c r="C286" s="1858" t="s">
        <v>694</v>
      </c>
      <c r="D286" s="1323" t="s">
        <v>1063</v>
      </c>
      <c r="E286" s="2218" t="s">
        <v>1124</v>
      </c>
      <c r="F286" s="1780"/>
      <c r="G286" s="1319">
        <v>1.8230666666666666</v>
      </c>
      <c r="H286" s="1319">
        <v>1.8230666666666666</v>
      </c>
      <c r="I286" s="1319">
        <v>1.8230666666666666</v>
      </c>
      <c r="J286" s="1319">
        <v>1.8230666666666666</v>
      </c>
      <c r="K286" s="1319">
        <v>1.8230666666666666</v>
      </c>
      <c r="L286" s="1319">
        <v>1.8230666666666666</v>
      </c>
      <c r="M286" s="1755">
        <f t="shared" si="69"/>
        <v>1.8230666666666664</v>
      </c>
    </row>
    <row r="287" spans="1:18">
      <c r="A287" s="1708"/>
      <c r="B287" s="1286" t="s">
        <v>1274</v>
      </c>
      <c r="C287" s="1858" t="s">
        <v>1276</v>
      </c>
      <c r="D287" s="1323" t="s">
        <v>1063</v>
      </c>
      <c r="E287" s="2218" t="s">
        <v>1278</v>
      </c>
      <c r="F287" s="1780"/>
      <c r="G287" s="1319">
        <v>0.69450000000000001</v>
      </c>
      <c r="H287" s="1319">
        <v>0.64170000000000005</v>
      </c>
      <c r="I287" s="1319">
        <v>0.110915</v>
      </c>
      <c r="J287" s="1319">
        <v>0</v>
      </c>
      <c r="K287" s="1319">
        <v>0.84</v>
      </c>
      <c r="L287" s="1319">
        <v>0.80500000000000005</v>
      </c>
      <c r="M287" s="1755">
        <f t="shared" ref="M287:M314" si="75">AVERAGE(G287:L287)</f>
        <v>0.51535249999999999</v>
      </c>
    </row>
    <row r="288" spans="1:18">
      <c r="A288" s="1707"/>
      <c r="B288" s="1286" t="s">
        <v>588</v>
      </c>
      <c r="C288" s="1858" t="s">
        <v>546</v>
      </c>
      <c r="D288" s="1323" t="s">
        <v>1063</v>
      </c>
      <c r="E288" s="2218" t="s">
        <v>1124</v>
      </c>
      <c r="F288" s="1780"/>
      <c r="G288" s="1319">
        <v>0.74114000000000002</v>
      </c>
      <c r="H288" s="1319">
        <v>0.74114000000000002</v>
      </c>
      <c r="I288" s="1319">
        <v>0.74114000000000002</v>
      </c>
      <c r="J288" s="1319">
        <v>0.74114000000000002</v>
      </c>
      <c r="K288" s="1319">
        <v>0.74114000000000002</v>
      </c>
      <c r="L288" s="1319">
        <v>0.74114000000000002</v>
      </c>
      <c r="M288" s="1755">
        <f t="shared" si="75"/>
        <v>0.74114000000000002</v>
      </c>
    </row>
    <row r="289" spans="1:13">
      <c r="A289" s="1707"/>
      <c r="B289" s="1286" t="s">
        <v>589</v>
      </c>
      <c r="C289" s="1858" t="s">
        <v>605</v>
      </c>
      <c r="D289" s="1323" t="s">
        <v>1063</v>
      </c>
      <c r="E289" s="2218" t="s">
        <v>1124</v>
      </c>
      <c r="F289" s="1780"/>
      <c r="G289" s="1319">
        <v>0.45672249999999998</v>
      </c>
      <c r="H289" s="1319">
        <v>0.45672249999999998</v>
      </c>
      <c r="I289" s="1319">
        <v>0.45672249999999998</v>
      </c>
      <c r="J289" s="1319">
        <v>0.45672249999999998</v>
      </c>
      <c r="K289" s="1319">
        <v>0.45672249999999998</v>
      </c>
      <c r="L289" s="1319">
        <v>0.45672249999999998</v>
      </c>
      <c r="M289" s="1755">
        <f t="shared" si="75"/>
        <v>0.45672249999999998</v>
      </c>
    </row>
    <row r="290" spans="1:13" ht="12.75" thickBot="1">
      <c r="A290" s="1667"/>
      <c r="B290" s="1304" t="s">
        <v>945</v>
      </c>
      <c r="C290" s="1850" t="s">
        <v>1314</v>
      </c>
      <c r="D290" s="1323" t="s">
        <v>569</v>
      </c>
      <c r="E290" s="2206" t="s">
        <v>1125</v>
      </c>
      <c r="F290" s="1780"/>
      <c r="G290" s="1319">
        <v>7.02</v>
      </c>
      <c r="H290" s="1319">
        <v>6</v>
      </c>
      <c r="I290" s="1319">
        <v>7.03</v>
      </c>
      <c r="J290" s="1319">
        <v>5.95</v>
      </c>
      <c r="K290" s="1319">
        <v>9.99</v>
      </c>
      <c r="L290" s="1319">
        <v>17.86</v>
      </c>
      <c r="M290" s="1755">
        <f t="shared" si="75"/>
        <v>8.9749999999999996</v>
      </c>
    </row>
    <row r="291" spans="1:13" ht="12.75" thickBot="1">
      <c r="A291" s="1667"/>
      <c r="B291" s="1322" t="s">
        <v>832</v>
      </c>
      <c r="C291" s="1861" t="s">
        <v>1857</v>
      </c>
      <c r="D291" s="1321" t="s">
        <v>569</v>
      </c>
      <c r="E291" s="2228" t="s">
        <v>1125</v>
      </c>
      <c r="F291" s="1780"/>
      <c r="G291" s="1763">
        <v>0</v>
      </c>
      <c r="H291" s="1763">
        <v>0</v>
      </c>
      <c r="I291" s="1763">
        <v>0</v>
      </c>
      <c r="J291" s="1763">
        <v>0</v>
      </c>
      <c r="K291" s="1763">
        <v>0</v>
      </c>
      <c r="L291" s="1763">
        <v>0</v>
      </c>
      <c r="M291" s="1763">
        <f t="shared" si="75"/>
        <v>0</v>
      </c>
    </row>
    <row r="292" spans="1:13">
      <c r="A292" s="1707"/>
      <c r="B292" s="1304" t="s">
        <v>759</v>
      </c>
      <c r="C292" s="1850" t="s">
        <v>1858</v>
      </c>
      <c r="D292" s="1279" t="s">
        <v>2126</v>
      </c>
      <c r="E292" s="2218" t="s">
        <v>1126</v>
      </c>
      <c r="F292" s="1780"/>
      <c r="G292" s="1319">
        <v>1.92583333333333</v>
      </c>
      <c r="H292" s="1319">
        <v>1.92583333333333</v>
      </c>
      <c r="I292" s="1319">
        <v>1.92583333333333</v>
      </c>
      <c r="J292" s="1319">
        <v>1.92583333333333</v>
      </c>
      <c r="K292" s="1319">
        <v>1.92583333333333</v>
      </c>
      <c r="L292" s="1319">
        <v>1.92583333333333</v>
      </c>
      <c r="M292" s="1755">
        <f t="shared" si="75"/>
        <v>1.92583333333333</v>
      </c>
    </row>
    <row r="293" spans="1:13" ht="12.75" thickBot="1">
      <c r="A293" s="1707"/>
      <c r="B293" s="1304" t="s">
        <v>760</v>
      </c>
      <c r="C293" s="1850" t="s">
        <v>1859</v>
      </c>
      <c r="D293" s="1279" t="s">
        <v>2126</v>
      </c>
      <c r="E293" s="2218" t="s">
        <v>1126</v>
      </c>
      <c r="F293" s="1780"/>
      <c r="G293" s="1319">
        <v>0.3</v>
      </c>
      <c r="H293" s="1319">
        <v>0.3</v>
      </c>
      <c r="I293" s="1319">
        <v>0.3</v>
      </c>
      <c r="J293" s="1319">
        <v>0.3</v>
      </c>
      <c r="K293" s="1319">
        <v>0.3</v>
      </c>
      <c r="L293" s="1319">
        <v>0.3</v>
      </c>
      <c r="M293" s="1755">
        <f t="shared" si="75"/>
        <v>0.3</v>
      </c>
    </row>
    <row r="294" spans="1:13" ht="12.75" thickBot="1">
      <c r="A294" s="1705"/>
      <c r="B294" s="1284" t="s">
        <v>1324</v>
      </c>
      <c r="C294" s="1854" t="s">
        <v>2115</v>
      </c>
      <c r="D294" s="1283" t="s">
        <v>1325</v>
      </c>
      <c r="E294" s="2222" t="s">
        <v>1322</v>
      </c>
      <c r="F294" s="1780"/>
      <c r="G294" s="1319">
        <v>12.29</v>
      </c>
      <c r="H294" s="1319">
        <v>10.94</v>
      </c>
      <c r="I294" s="1319">
        <v>10.72</v>
      </c>
      <c r="J294" s="1319">
        <v>11.41</v>
      </c>
      <c r="K294" s="1319">
        <v>10.69</v>
      </c>
      <c r="L294" s="1319">
        <v>11.88</v>
      </c>
      <c r="M294" s="1755">
        <f t="shared" si="75"/>
        <v>11.321666666666665</v>
      </c>
    </row>
    <row r="295" spans="1:13" ht="12.75" thickBot="1">
      <c r="A295" s="1682"/>
      <c r="B295" s="1683" t="s">
        <v>1743</v>
      </c>
      <c r="C295" s="1845" t="s">
        <v>1744</v>
      </c>
      <c r="D295" s="1334" t="s">
        <v>702</v>
      </c>
      <c r="E295" s="2229" t="s">
        <v>1746</v>
      </c>
      <c r="F295" s="1780"/>
      <c r="G295" s="1706">
        <f t="shared" ref="G295:L295" si="76">8.10758*33%</f>
        <v>2.6755014000000004</v>
      </c>
      <c r="H295" s="1706">
        <f t="shared" si="76"/>
        <v>2.6755014000000004</v>
      </c>
      <c r="I295" s="1706">
        <f t="shared" si="76"/>
        <v>2.6755014000000004</v>
      </c>
      <c r="J295" s="1706">
        <f t="shared" si="76"/>
        <v>2.6755014000000004</v>
      </c>
      <c r="K295" s="1706">
        <f t="shared" si="76"/>
        <v>2.6755014000000004</v>
      </c>
      <c r="L295" s="1706">
        <f t="shared" si="76"/>
        <v>2.6755014000000004</v>
      </c>
      <c r="M295" s="1756">
        <f t="shared" si="75"/>
        <v>2.6755014000000004</v>
      </c>
    </row>
    <row r="296" spans="1:13">
      <c r="A296" s="1682"/>
      <c r="B296" s="1303" t="s">
        <v>1586</v>
      </c>
      <c r="C296" s="1838" t="s">
        <v>1587</v>
      </c>
      <c r="D296" s="1279" t="s">
        <v>1063</v>
      </c>
      <c r="E296" s="2230" t="s">
        <v>1585</v>
      </c>
      <c r="F296" s="1780"/>
      <c r="G296" s="1318">
        <v>0.45</v>
      </c>
      <c r="H296" s="1318">
        <v>0.435</v>
      </c>
      <c r="I296" s="1318">
        <v>0.435</v>
      </c>
      <c r="J296" s="1318">
        <v>0.45</v>
      </c>
      <c r="K296" s="1318">
        <v>0.45</v>
      </c>
      <c r="L296" s="1318">
        <v>0.43</v>
      </c>
      <c r="M296" s="1757">
        <f t="shared" si="75"/>
        <v>0.44166666666666671</v>
      </c>
    </row>
    <row r="297" spans="1:13">
      <c r="A297" s="1682"/>
      <c r="B297" s="1303" t="s">
        <v>1588</v>
      </c>
      <c r="C297" s="1838" t="s">
        <v>815</v>
      </c>
      <c r="D297" s="1279" t="s">
        <v>1063</v>
      </c>
      <c r="E297" s="2231" t="s">
        <v>1585</v>
      </c>
      <c r="F297" s="1780"/>
      <c r="G297" s="1318">
        <v>0.84599999999999997</v>
      </c>
      <c r="H297" s="1318">
        <v>0.28710000000000002</v>
      </c>
      <c r="I297" s="1318">
        <v>0.90480000000000005</v>
      </c>
      <c r="J297" s="1318">
        <v>2.2410000000000001</v>
      </c>
      <c r="K297" s="1318">
        <v>0.999</v>
      </c>
      <c r="L297" s="1318">
        <v>0</v>
      </c>
      <c r="M297" s="1757">
        <f t="shared" si="75"/>
        <v>0.87964999999999993</v>
      </c>
    </row>
    <row r="298" spans="1:13">
      <c r="A298" s="1682"/>
      <c r="B298" s="1303" t="s">
        <v>1589</v>
      </c>
      <c r="C298" s="1838" t="s">
        <v>815</v>
      </c>
      <c r="D298" s="1279" t="s">
        <v>1063</v>
      </c>
      <c r="E298" s="2231" t="s">
        <v>1585</v>
      </c>
      <c r="F298" s="1780"/>
      <c r="G298" s="1318">
        <v>0.84599999999999997</v>
      </c>
      <c r="H298" s="1318">
        <v>0.28710000000000002</v>
      </c>
      <c r="I298" s="1318">
        <v>0.90480000000000005</v>
      </c>
      <c r="J298" s="1318">
        <v>2.2410000000000001</v>
      </c>
      <c r="K298" s="1318">
        <v>0.999</v>
      </c>
      <c r="L298" s="1318">
        <v>0</v>
      </c>
      <c r="M298" s="1757">
        <f t="shared" si="75"/>
        <v>0.87964999999999993</v>
      </c>
    </row>
    <row r="299" spans="1:13">
      <c r="A299" s="1682"/>
      <c r="B299" s="1303" t="s">
        <v>1590</v>
      </c>
      <c r="C299" s="1838" t="s">
        <v>1591</v>
      </c>
      <c r="D299" s="1279" t="s">
        <v>702</v>
      </c>
      <c r="E299" s="2231" t="s">
        <v>1585</v>
      </c>
      <c r="F299" s="1780"/>
      <c r="G299" s="1318">
        <v>1.8720000000000001</v>
      </c>
      <c r="H299" s="1318">
        <v>1.9227000000000001</v>
      </c>
      <c r="I299" s="1318">
        <v>1.9836</v>
      </c>
      <c r="J299" s="1318">
        <v>2.0609999999999999</v>
      </c>
      <c r="K299" s="1318">
        <v>2.1509999999999998</v>
      </c>
      <c r="L299" s="1318">
        <v>1.4276</v>
      </c>
      <c r="M299" s="1757">
        <f t="shared" si="75"/>
        <v>1.9029833333333332</v>
      </c>
    </row>
    <row r="300" spans="1:13">
      <c r="A300" s="1682"/>
      <c r="B300" s="1303" t="s">
        <v>1592</v>
      </c>
      <c r="C300" s="1838" t="s">
        <v>1591</v>
      </c>
      <c r="D300" s="1279" t="s">
        <v>702</v>
      </c>
      <c r="E300" s="2231" t="s">
        <v>1585</v>
      </c>
      <c r="F300" s="1780"/>
      <c r="G300" s="1318">
        <v>1.8720000000000001</v>
      </c>
      <c r="H300" s="1318">
        <v>1.9227000000000001</v>
      </c>
      <c r="I300" s="1318">
        <v>1.9836</v>
      </c>
      <c r="J300" s="1318">
        <v>2.0609999999999999</v>
      </c>
      <c r="K300" s="1318">
        <v>2.1509999999999998</v>
      </c>
      <c r="L300" s="1318">
        <v>1.4276</v>
      </c>
      <c r="M300" s="1757">
        <f t="shared" si="75"/>
        <v>1.9029833333333332</v>
      </c>
    </row>
    <row r="301" spans="1:13">
      <c r="A301" s="1682"/>
      <c r="B301" s="1303" t="s">
        <v>1593</v>
      </c>
      <c r="C301" s="1838" t="s">
        <v>838</v>
      </c>
      <c r="D301" s="1279" t="s">
        <v>1063</v>
      </c>
      <c r="E301" s="2231" t="s">
        <v>1585</v>
      </c>
      <c r="F301" s="1780"/>
      <c r="G301" s="1318">
        <v>5.04</v>
      </c>
      <c r="H301" s="1318">
        <v>4.8719999999999999</v>
      </c>
      <c r="I301" s="1318">
        <v>4.8719999999999999</v>
      </c>
      <c r="J301" s="1318">
        <v>5.04</v>
      </c>
      <c r="K301" s="1318">
        <v>5.04</v>
      </c>
      <c r="L301" s="1318">
        <v>4.8159999999999998</v>
      </c>
      <c r="M301" s="1757">
        <f t="shared" si="75"/>
        <v>4.9466666666666663</v>
      </c>
    </row>
    <row r="302" spans="1:13">
      <c r="A302" s="1682"/>
      <c r="B302" s="1303" t="s">
        <v>1594</v>
      </c>
      <c r="C302" s="1838" t="s">
        <v>1595</v>
      </c>
      <c r="D302" s="1279" t="s">
        <v>702</v>
      </c>
      <c r="E302" s="2231" t="s">
        <v>1585</v>
      </c>
      <c r="F302" s="1780"/>
      <c r="G302" s="1318">
        <v>6.3</v>
      </c>
      <c r="H302" s="1318">
        <v>6.09</v>
      </c>
      <c r="I302" s="1318">
        <v>7.83</v>
      </c>
      <c r="J302" s="1318">
        <v>8.1</v>
      </c>
      <c r="K302" s="1318">
        <v>8.1</v>
      </c>
      <c r="L302" s="1318">
        <v>3.44</v>
      </c>
      <c r="M302" s="1757">
        <f t="shared" si="75"/>
        <v>6.6433333333333335</v>
      </c>
    </row>
    <row r="303" spans="1:13">
      <c r="A303" s="1682"/>
      <c r="B303" s="1303" t="s">
        <v>1596</v>
      </c>
      <c r="C303" s="1838" t="s">
        <v>1597</v>
      </c>
      <c r="D303" s="1279" t="s">
        <v>1063</v>
      </c>
      <c r="E303" s="2231" t="s">
        <v>1585</v>
      </c>
      <c r="F303" s="1780"/>
      <c r="G303" s="1318">
        <v>2.25</v>
      </c>
      <c r="H303" s="1318">
        <v>3.48</v>
      </c>
      <c r="I303" s="1318">
        <v>6.09</v>
      </c>
      <c r="J303" s="1318">
        <v>6.75</v>
      </c>
      <c r="K303" s="1318">
        <v>6.75</v>
      </c>
      <c r="L303" s="1318">
        <v>2.15</v>
      </c>
      <c r="M303" s="1757">
        <f t="shared" si="75"/>
        <v>4.5783333333333331</v>
      </c>
    </row>
    <row r="304" spans="1:13">
      <c r="A304" s="1682"/>
      <c r="B304" s="1303" t="s">
        <v>1598</v>
      </c>
      <c r="C304" s="1838" t="s">
        <v>1509</v>
      </c>
      <c r="D304" s="1279" t="s">
        <v>1063</v>
      </c>
      <c r="E304" s="2231" t="s">
        <v>1585</v>
      </c>
      <c r="F304" s="1780"/>
      <c r="G304" s="1318">
        <v>0</v>
      </c>
      <c r="H304" s="1318">
        <v>0</v>
      </c>
      <c r="I304" s="1318">
        <v>0</v>
      </c>
      <c r="J304" s="1318">
        <v>27</v>
      </c>
      <c r="K304" s="1318">
        <v>2.7</v>
      </c>
      <c r="L304" s="1318">
        <v>2.58</v>
      </c>
      <c r="M304" s="1757">
        <f t="shared" si="75"/>
        <v>5.38</v>
      </c>
    </row>
    <row r="305" spans="1:13">
      <c r="A305" s="1682"/>
      <c r="B305" s="1303" t="s">
        <v>1599</v>
      </c>
      <c r="C305" s="1838" t="s">
        <v>1600</v>
      </c>
      <c r="D305" s="1279" t="s">
        <v>702</v>
      </c>
      <c r="E305" s="2231" t="s">
        <v>1585</v>
      </c>
      <c r="F305" s="1780"/>
      <c r="G305" s="1318">
        <v>8.91</v>
      </c>
      <c r="H305" s="1318">
        <v>8.6129999999999995</v>
      </c>
      <c r="I305" s="1318">
        <v>8.6129999999999995</v>
      </c>
      <c r="J305" s="1318">
        <v>8.91</v>
      </c>
      <c r="K305" s="1318">
        <v>8.91</v>
      </c>
      <c r="L305" s="1318">
        <v>8.5139999999999993</v>
      </c>
      <c r="M305" s="1757">
        <f t="shared" si="75"/>
        <v>8.7449999999999992</v>
      </c>
    </row>
    <row r="306" spans="1:13">
      <c r="A306" s="1682"/>
      <c r="B306" s="1303" t="s">
        <v>1601</v>
      </c>
      <c r="C306" s="1838" t="s">
        <v>1150</v>
      </c>
      <c r="D306" s="1279" t="s">
        <v>702</v>
      </c>
      <c r="E306" s="2231" t="s">
        <v>1585</v>
      </c>
      <c r="F306" s="1780"/>
      <c r="G306" s="1318">
        <v>8.5500000000000007</v>
      </c>
      <c r="H306" s="1318">
        <v>8.2650000000000006</v>
      </c>
      <c r="I306" s="1318">
        <v>8.2650000000000006</v>
      </c>
      <c r="J306" s="1318">
        <v>8.5500000000000007</v>
      </c>
      <c r="K306" s="1318">
        <v>8.5500000000000007</v>
      </c>
      <c r="L306" s="1318">
        <v>8.17</v>
      </c>
      <c r="M306" s="1757">
        <f t="shared" si="75"/>
        <v>8.3916666666666675</v>
      </c>
    </row>
    <row r="307" spans="1:13">
      <c r="A307" s="1682"/>
      <c r="B307" s="1303" t="s">
        <v>1602</v>
      </c>
      <c r="C307" s="1838" t="s">
        <v>1603</v>
      </c>
      <c r="D307" s="1279" t="s">
        <v>1063</v>
      </c>
      <c r="E307" s="2231" t="s">
        <v>1585</v>
      </c>
      <c r="F307" s="1780"/>
      <c r="G307" s="1318">
        <v>0.36</v>
      </c>
      <c r="H307" s="1318">
        <v>0.34799999999999998</v>
      </c>
      <c r="I307" s="1318">
        <v>0.34799999999999998</v>
      </c>
      <c r="J307" s="1318">
        <v>0.36</v>
      </c>
      <c r="K307" s="1318">
        <v>0.36</v>
      </c>
      <c r="L307" s="1318">
        <v>0.34399999999999997</v>
      </c>
      <c r="M307" s="1757">
        <f t="shared" si="75"/>
        <v>0.35333333333333328</v>
      </c>
    </row>
    <row r="308" spans="1:13">
      <c r="A308" s="1682"/>
      <c r="B308" s="1303" t="s">
        <v>1604</v>
      </c>
      <c r="C308" s="1838" t="s">
        <v>843</v>
      </c>
      <c r="D308" s="1279" t="s">
        <v>1063</v>
      </c>
      <c r="E308" s="2231" t="s">
        <v>1585</v>
      </c>
      <c r="F308" s="1780"/>
      <c r="G308" s="1318">
        <v>0</v>
      </c>
      <c r="H308" s="1318">
        <v>0</v>
      </c>
      <c r="I308" s="1318">
        <v>0</v>
      </c>
      <c r="J308" s="1318">
        <v>0</v>
      </c>
      <c r="K308" s="1318">
        <v>0</v>
      </c>
      <c r="L308" s="1318">
        <v>0</v>
      </c>
      <c r="M308" s="1757">
        <f t="shared" si="75"/>
        <v>0</v>
      </c>
    </row>
    <row r="309" spans="1:13">
      <c r="A309" s="1682"/>
      <c r="B309" s="1303" t="s">
        <v>1605</v>
      </c>
      <c r="C309" s="1838" t="s">
        <v>1606</v>
      </c>
      <c r="D309" s="1279" t="s">
        <v>1063</v>
      </c>
      <c r="E309" s="2231" t="s">
        <v>1585</v>
      </c>
      <c r="F309" s="1780"/>
      <c r="G309" s="1318">
        <v>0.9</v>
      </c>
      <c r="H309" s="1318">
        <v>0.87</v>
      </c>
      <c r="I309" s="1318">
        <v>0.87</v>
      </c>
      <c r="J309" s="1318">
        <v>0.9</v>
      </c>
      <c r="K309" s="1318">
        <v>0.9</v>
      </c>
      <c r="L309" s="1318">
        <v>0.86</v>
      </c>
      <c r="M309" s="1757">
        <f t="shared" si="75"/>
        <v>0.88333333333333341</v>
      </c>
    </row>
    <row r="310" spans="1:13">
      <c r="A310" s="1682"/>
      <c r="B310" s="1303" t="s">
        <v>1607</v>
      </c>
      <c r="C310" s="1838" t="s">
        <v>1608</v>
      </c>
      <c r="D310" s="1279" t="s">
        <v>1063</v>
      </c>
      <c r="E310" s="2231" t="s">
        <v>1585</v>
      </c>
      <c r="F310" s="1780"/>
      <c r="G310" s="1318">
        <v>38.898000000000003</v>
      </c>
      <c r="H310" s="1318">
        <v>12.962999999999999</v>
      </c>
      <c r="I310" s="1318">
        <v>18.313500000000001</v>
      </c>
      <c r="J310" s="1318">
        <v>13.904999999999999</v>
      </c>
      <c r="K310" s="1318">
        <v>23.994</v>
      </c>
      <c r="L310" s="1318">
        <v>32.834800000000001</v>
      </c>
      <c r="M310" s="1757">
        <f t="shared" si="75"/>
        <v>23.484716666666667</v>
      </c>
    </row>
    <row r="311" spans="1:13" s="1486" customFormat="1" ht="8.25">
      <c r="A311" s="1912"/>
      <c r="B311" s="1913"/>
      <c r="C311" s="1914"/>
      <c r="D311" s="1915"/>
      <c r="E311" s="2199"/>
      <c r="F311" s="2200"/>
      <c r="G311" s="1916"/>
      <c r="H311" s="1916"/>
      <c r="I311" s="1916"/>
      <c r="J311" s="1916"/>
      <c r="K311" s="1916"/>
      <c r="L311" s="1916"/>
      <c r="M311" s="1916"/>
    </row>
    <row r="312" spans="1:13">
      <c r="A312" s="1705"/>
      <c r="B312" s="1286"/>
      <c r="C312" s="1862" t="s">
        <v>115</v>
      </c>
      <c r="D312" s="1705"/>
      <c r="E312" s="2206"/>
      <c r="F312" s="1794"/>
      <c r="G312" s="1316">
        <f t="shared" ref="G312:L312" si="77">SUM(G236:G263,G266:G267)</f>
        <v>806.98374000000001</v>
      </c>
      <c r="H312" s="1316">
        <f t="shared" si="77"/>
        <v>797.68333999999993</v>
      </c>
      <c r="I312" s="1316">
        <f t="shared" si="77"/>
        <v>795.35824000000002</v>
      </c>
      <c r="J312" s="1316">
        <f t="shared" si="77"/>
        <v>800.00844000000018</v>
      </c>
      <c r="K312" s="1316">
        <f t="shared" si="77"/>
        <v>782.08514000000002</v>
      </c>
      <c r="L312" s="1316">
        <f t="shared" si="77"/>
        <v>790.70803999999987</v>
      </c>
      <c r="M312" s="1316">
        <f t="shared" si="75"/>
        <v>795.47115666666662</v>
      </c>
    </row>
    <row r="313" spans="1:13">
      <c r="A313" s="1705"/>
      <c r="B313" s="1286"/>
      <c r="C313" s="1862" t="s">
        <v>1375</v>
      </c>
      <c r="D313" s="1705"/>
      <c r="E313" s="2206"/>
      <c r="F313" s="1794"/>
      <c r="G313" s="1316">
        <f t="shared" ref="G313:L313" si="78">SUM(G236:G265)</f>
        <v>778.86374000000001</v>
      </c>
      <c r="H313" s="1316">
        <f t="shared" si="78"/>
        <v>769.56333999999993</v>
      </c>
      <c r="I313" s="1316">
        <f t="shared" si="78"/>
        <v>767.23824000000002</v>
      </c>
      <c r="J313" s="1316">
        <f t="shared" si="78"/>
        <v>771.88844000000017</v>
      </c>
      <c r="K313" s="1316">
        <f t="shared" si="78"/>
        <v>753.96514000000002</v>
      </c>
      <c r="L313" s="1316">
        <f t="shared" si="78"/>
        <v>762.58803999999986</v>
      </c>
      <c r="M313" s="1316">
        <f t="shared" si="75"/>
        <v>767.35115666666661</v>
      </c>
    </row>
    <row r="314" spans="1:13">
      <c r="A314" s="1705"/>
      <c r="B314" s="1286"/>
      <c r="C314" s="1862" t="s">
        <v>1374</v>
      </c>
      <c r="D314" s="1705"/>
      <c r="E314" s="2206"/>
      <c r="F314" s="1794"/>
      <c r="G314" s="1316">
        <f t="shared" ref="G314:L314" si="79">SUM(G236:G268)</f>
        <v>806.98374000000001</v>
      </c>
      <c r="H314" s="1316">
        <f t="shared" si="79"/>
        <v>797.68333999999993</v>
      </c>
      <c r="I314" s="1316">
        <f t="shared" si="79"/>
        <v>795.35824000000002</v>
      </c>
      <c r="J314" s="1316">
        <f t="shared" si="79"/>
        <v>800.00844000000018</v>
      </c>
      <c r="K314" s="1316">
        <f t="shared" si="79"/>
        <v>782.08514000000002</v>
      </c>
      <c r="L314" s="1316">
        <f t="shared" si="79"/>
        <v>790.70803999999987</v>
      </c>
      <c r="M314" s="1316">
        <f t="shared" si="75"/>
        <v>795.47115666666662</v>
      </c>
    </row>
    <row r="315" spans="1:13">
      <c r="C315" s="1822"/>
      <c r="D315" s="1315"/>
      <c r="G315" s="1314"/>
      <c r="H315" s="1314"/>
      <c r="I315" s="1314"/>
      <c r="J315" s="1314"/>
      <c r="K315" s="1314"/>
      <c r="L315" s="1314"/>
      <c r="M315" s="1314"/>
    </row>
    <row r="316" spans="1:13" ht="15.75">
      <c r="A316" s="1686"/>
      <c r="B316" s="1685" t="s">
        <v>1129</v>
      </c>
      <c r="C316" s="1382"/>
      <c r="D316" s="1288"/>
      <c r="E316" s="2191"/>
      <c r="F316" s="2253">
        <v>0.28000000000000003</v>
      </c>
      <c r="G316" s="1684"/>
      <c r="H316" s="1684"/>
      <c r="I316" s="1684"/>
      <c r="J316" s="1684"/>
      <c r="K316" s="1684"/>
      <c r="L316" s="1684"/>
      <c r="M316" s="1751"/>
    </row>
    <row r="317" spans="1:13">
      <c r="A317" s="1679"/>
      <c r="B317" s="1261" t="s">
        <v>545</v>
      </c>
      <c r="C317" s="1836" t="str">
        <f t="shared" ref="C317:C357" si="80">VLOOKUP(B317,$B$236:$E$311,2,0)</f>
        <v>ELECTRO INVEST. - ENMIENDA 5</v>
      </c>
      <c r="D317" s="1276" t="str">
        <f t="shared" ref="D317:D352" si="81">VLOOKUP(B317,$B$236:$D$311,3,0)</f>
        <v>H</v>
      </c>
      <c r="E317" s="2206" t="str">
        <f t="shared" ref="E317:E346" si="82">VLOOKUP(B317,$B$236:$E$311,4,0)</f>
        <v>2016-Jun27</v>
      </c>
      <c r="F317" s="1780"/>
      <c r="G317" s="1259">
        <f t="shared" ref="G317:L326" si="83">IF((SUMIF($B$236:$B$311,$B317,G$236:G$311)/G$218)*G$228*$F$316=0,"",(SUMIF($B$236:$B$311,$B317,G$236:G$311)/G$218)*G$228*$F$316)</f>
        <v>584.79612887830842</v>
      </c>
      <c r="H317" s="1259">
        <f t="shared" si="83"/>
        <v>581.04617745102178</v>
      </c>
      <c r="I317" s="1259">
        <f t="shared" si="83"/>
        <v>583.39510986678715</v>
      </c>
      <c r="J317" s="1259">
        <f t="shared" si="83"/>
        <v>641.84404092853731</v>
      </c>
      <c r="K317" s="1259">
        <f t="shared" si="83"/>
        <v>574.57805196834249</v>
      </c>
      <c r="L317" s="1259">
        <f t="shared" si="83"/>
        <v>564.60612954453484</v>
      </c>
      <c r="M317" s="854">
        <f t="shared" ref="M317:M357" si="84">SUM(G317:L317)</f>
        <v>3530.265638637532</v>
      </c>
    </row>
    <row r="318" spans="1:13">
      <c r="A318" s="1679"/>
      <c r="B318" s="1286" t="s">
        <v>547</v>
      </c>
      <c r="C318" s="1836" t="str">
        <f t="shared" si="80"/>
        <v>FORTUNA</v>
      </c>
      <c r="D318" s="1276" t="str">
        <f t="shared" si="81"/>
        <v>H</v>
      </c>
      <c r="E318" s="2206" t="str">
        <f t="shared" si="82"/>
        <v>2015-2029</v>
      </c>
      <c r="F318" s="1780"/>
      <c r="G318" s="1259">
        <f t="shared" si="83"/>
        <v>1000.8887449426835</v>
      </c>
      <c r="H318" s="1259">
        <f t="shared" si="83"/>
        <v>994.47063785833609</v>
      </c>
      <c r="I318" s="1259">
        <f t="shared" si="83"/>
        <v>998.49087653891695</v>
      </c>
      <c r="J318" s="1259">
        <f t="shared" si="83"/>
        <v>1098.5272385542514</v>
      </c>
      <c r="K318" s="1259">
        <f t="shared" si="83"/>
        <v>983.40032860559165</v>
      </c>
      <c r="L318" s="1259">
        <f t="shared" si="83"/>
        <v>966.3332099525071</v>
      </c>
      <c r="M318" s="854">
        <f t="shared" si="84"/>
        <v>6042.1110364522865</v>
      </c>
    </row>
    <row r="319" spans="1:13">
      <c r="A319" s="1679"/>
      <c r="B319" s="1286" t="s">
        <v>558</v>
      </c>
      <c r="C319" s="1836" t="str">
        <f t="shared" si="80"/>
        <v xml:space="preserve">HIDROECOLOGICA DEL TERIBE </v>
      </c>
      <c r="D319" s="1276" t="str">
        <f t="shared" si="81"/>
        <v>H</v>
      </c>
      <c r="E319" s="2206" t="str">
        <f t="shared" si="82"/>
        <v>2015-2029</v>
      </c>
      <c r="F319" s="1780"/>
      <c r="G319" s="1259">
        <f t="shared" si="83"/>
        <v>339.05462515618444</v>
      </c>
      <c r="H319" s="1259">
        <f t="shared" si="83"/>
        <v>336.88046853519023</v>
      </c>
      <c r="I319" s="1259">
        <f t="shared" si="83"/>
        <v>338.24233869885245</v>
      </c>
      <c r="J319" s="1259">
        <f t="shared" si="83"/>
        <v>372.1300124253064</v>
      </c>
      <c r="K319" s="1259">
        <f t="shared" si="83"/>
        <v>333.13036186947164</v>
      </c>
      <c r="L319" s="1259">
        <f t="shared" si="83"/>
        <v>327.34881467288574</v>
      </c>
      <c r="M319" s="854">
        <f t="shared" si="84"/>
        <v>2046.7866213578909</v>
      </c>
    </row>
    <row r="320" spans="1:13">
      <c r="A320" s="1679"/>
      <c r="B320" s="1286" t="s">
        <v>559</v>
      </c>
      <c r="C320" s="1836" t="str">
        <f t="shared" si="80"/>
        <v xml:space="preserve">ESEPSA </v>
      </c>
      <c r="D320" s="1276" t="str">
        <f t="shared" si="81"/>
        <v>H</v>
      </c>
      <c r="E320" s="2206" t="str">
        <f t="shared" si="82"/>
        <v>2015-2029</v>
      </c>
      <c r="F320" s="1780"/>
      <c r="G320" s="1259">
        <f t="shared" si="83"/>
        <v>185.80244310396199</v>
      </c>
      <c r="H320" s="1259">
        <f t="shared" si="83"/>
        <v>184.61100201482984</v>
      </c>
      <c r="I320" s="1259">
        <f t="shared" si="83"/>
        <v>185.35730890706668</v>
      </c>
      <c r="J320" s="1259">
        <f t="shared" si="83"/>
        <v>203.92780493432087</v>
      </c>
      <c r="K320" s="1259">
        <f t="shared" si="83"/>
        <v>182.55593793755915</v>
      </c>
      <c r="L320" s="1259">
        <f t="shared" si="83"/>
        <v>179.38764140259318</v>
      </c>
      <c r="M320" s="854">
        <f t="shared" si="84"/>
        <v>1121.6421383003317</v>
      </c>
    </row>
    <row r="321" spans="1:13">
      <c r="A321" s="1679"/>
      <c r="B321" s="1286" t="s">
        <v>560</v>
      </c>
      <c r="C321" s="1836" t="str">
        <f t="shared" si="80"/>
        <v xml:space="preserve">PEDREGALITO </v>
      </c>
      <c r="D321" s="1276" t="str">
        <f t="shared" si="81"/>
        <v>H</v>
      </c>
      <c r="E321" s="2206" t="str">
        <f t="shared" si="82"/>
        <v>2015-2029</v>
      </c>
      <c r="F321" s="1780"/>
      <c r="G321" s="1259">
        <f t="shared" si="83"/>
        <v>133.51912659037654</v>
      </c>
      <c r="H321" s="1259">
        <f t="shared" si="83"/>
        <v>132.66294746298047</v>
      </c>
      <c r="I321" s="1259">
        <f t="shared" si="83"/>
        <v>133.19924958449823</v>
      </c>
      <c r="J321" s="1259">
        <f t="shared" si="83"/>
        <v>146.54415704904471</v>
      </c>
      <c r="K321" s="1259">
        <f t="shared" si="83"/>
        <v>131.18616192614596</v>
      </c>
      <c r="L321" s="1259">
        <f t="shared" si="83"/>
        <v>128.90939861205285</v>
      </c>
      <c r="M321" s="854">
        <f t="shared" si="84"/>
        <v>806.02104122509888</v>
      </c>
    </row>
    <row r="322" spans="1:13">
      <c r="A322" s="1679"/>
      <c r="B322" s="1286" t="s">
        <v>561</v>
      </c>
      <c r="C322" s="1836" t="str">
        <f t="shared" si="80"/>
        <v xml:space="preserve">CALDERA </v>
      </c>
      <c r="D322" s="1276" t="str">
        <f t="shared" si="81"/>
        <v>H</v>
      </c>
      <c r="E322" s="2206" t="str">
        <f t="shared" si="82"/>
        <v>2015-2029</v>
      </c>
      <c r="F322" s="1780"/>
      <c r="G322" s="1259">
        <f t="shared" si="83"/>
        <v>101.71638754685533</v>
      </c>
      <c r="H322" s="1259">
        <f t="shared" si="83"/>
        <v>101.06414056055708</v>
      </c>
      <c r="I322" s="1259">
        <f t="shared" si="83"/>
        <v>101.47270160965576</v>
      </c>
      <c r="J322" s="1259">
        <f t="shared" si="83"/>
        <v>111.63900372759191</v>
      </c>
      <c r="K322" s="1259">
        <f t="shared" si="83"/>
        <v>99.93910856084149</v>
      </c>
      <c r="L322" s="1259">
        <f t="shared" si="83"/>
        <v>98.204644401865735</v>
      </c>
      <c r="M322" s="854">
        <f t="shared" si="84"/>
        <v>614.03598640736732</v>
      </c>
    </row>
    <row r="323" spans="1:13">
      <c r="A323" s="1679"/>
      <c r="B323" s="1286" t="s">
        <v>562</v>
      </c>
      <c r="C323" s="1836" t="str">
        <f t="shared" si="80"/>
        <v xml:space="preserve">RIO CHICO </v>
      </c>
      <c r="D323" s="1276" t="str">
        <f t="shared" si="81"/>
        <v>H</v>
      </c>
      <c r="E323" s="2206" t="str">
        <f t="shared" si="82"/>
        <v>2015-2029</v>
      </c>
      <c r="F323" s="1780"/>
      <c r="G323" s="1259">
        <f t="shared" si="83"/>
        <v>81.881628410421925</v>
      </c>
      <c r="H323" s="1259">
        <f t="shared" si="83"/>
        <v>81.356569994055235</v>
      </c>
      <c r="I323" s="1259">
        <f t="shared" si="83"/>
        <v>81.685461383260929</v>
      </c>
      <c r="J323" s="1259">
        <f t="shared" si="83"/>
        <v>89.869328235054866</v>
      </c>
      <c r="K323" s="1259">
        <f t="shared" si="83"/>
        <v>80.450919937341311</v>
      </c>
      <c r="L323" s="1259">
        <f t="shared" si="83"/>
        <v>79.054677373270437</v>
      </c>
      <c r="M323" s="854">
        <f t="shared" si="84"/>
        <v>494.29858533340473</v>
      </c>
    </row>
    <row r="324" spans="1:13">
      <c r="A324" s="1679"/>
      <c r="B324" s="1286" t="s">
        <v>563</v>
      </c>
      <c r="C324" s="1836" t="str">
        <f t="shared" si="80"/>
        <v xml:space="preserve">ALTO VALLE </v>
      </c>
      <c r="D324" s="1276" t="str">
        <f t="shared" si="81"/>
        <v>H</v>
      </c>
      <c r="E324" s="2206" t="str">
        <f t="shared" si="82"/>
        <v>2015-2029</v>
      </c>
      <c r="F324" s="1780"/>
      <c r="G324" s="1259">
        <f t="shared" si="83"/>
        <v>77.915185101508186</v>
      </c>
      <c r="H324" s="1259">
        <f t="shared" si="83"/>
        <v>77.415561138300475</v>
      </c>
      <c r="I324" s="1259">
        <f t="shared" si="83"/>
        <v>77.728520638077498</v>
      </c>
      <c r="J324" s="1259">
        <f t="shared" si="83"/>
        <v>85.515951261800453</v>
      </c>
      <c r="K324" s="1259">
        <f t="shared" si="83"/>
        <v>76.553781845729944</v>
      </c>
      <c r="L324" s="1259">
        <f t="shared" si="83"/>
        <v>75.225174929403167</v>
      </c>
      <c r="M324" s="854">
        <f t="shared" si="84"/>
        <v>470.35417491481974</v>
      </c>
    </row>
    <row r="325" spans="1:13">
      <c r="A325" s="1679"/>
      <c r="B325" s="1286" t="s">
        <v>564</v>
      </c>
      <c r="C325" s="1836" t="str">
        <f t="shared" si="80"/>
        <v xml:space="preserve">DESARROLLO HIDRO CORP </v>
      </c>
      <c r="D325" s="1276" t="str">
        <f t="shared" si="81"/>
        <v>H</v>
      </c>
      <c r="E325" s="2206" t="str">
        <f t="shared" si="82"/>
        <v>2015-2029</v>
      </c>
      <c r="F325" s="1780"/>
      <c r="G325" s="1259">
        <f t="shared" si="83"/>
        <v>64.522082454262573</v>
      </c>
      <c r="H325" s="1259">
        <f t="shared" si="83"/>
        <v>64.108340530808078</v>
      </c>
      <c r="I325" s="1259">
        <f t="shared" si="83"/>
        <v>64.36750437188924</v>
      </c>
      <c r="J325" s="1259">
        <f t="shared" si="83"/>
        <v>70.816327411404487</v>
      </c>
      <c r="K325" s="1259">
        <f t="shared" si="83"/>
        <v>63.394695372933249</v>
      </c>
      <c r="L325" s="1259">
        <f t="shared" si="83"/>
        <v>62.294467158203872</v>
      </c>
      <c r="M325" s="854">
        <f t="shared" si="84"/>
        <v>389.50341729950151</v>
      </c>
    </row>
    <row r="326" spans="1:13">
      <c r="A326" s="1679"/>
      <c r="B326" s="1286" t="s">
        <v>565</v>
      </c>
      <c r="C326" s="1836" t="str">
        <f t="shared" si="80"/>
        <v xml:space="preserve">SAN LORENZO </v>
      </c>
      <c r="D326" s="1276" t="str">
        <f t="shared" si="81"/>
        <v>H</v>
      </c>
      <c r="E326" s="2206" t="str">
        <f t="shared" si="82"/>
        <v>2015-2029</v>
      </c>
      <c r="F326" s="1780"/>
      <c r="G326" s="1259">
        <f t="shared" si="83"/>
        <v>45.195841690766827</v>
      </c>
      <c r="H326" s="1259">
        <f t="shared" si="83"/>
        <v>44.906027509915816</v>
      </c>
      <c r="I326" s="1259">
        <f t="shared" si="83"/>
        <v>45.087564241030762</v>
      </c>
      <c r="J326" s="1259">
        <f t="shared" si="83"/>
        <v>49.604777171848767</v>
      </c>
      <c r="K326" s="1259">
        <f t="shared" si="83"/>
        <v>44.40613983810119</v>
      </c>
      <c r="L326" s="1259">
        <f t="shared" si="83"/>
        <v>43.635461981386428</v>
      </c>
      <c r="M326" s="854">
        <f t="shared" si="84"/>
        <v>272.83581243304974</v>
      </c>
    </row>
    <row r="327" spans="1:13">
      <c r="A327" s="1679"/>
      <c r="B327" s="1286" t="s">
        <v>566</v>
      </c>
      <c r="C327" s="1836" t="str">
        <f t="shared" si="80"/>
        <v xml:space="preserve">ELECTROGENERADORA ISTMO </v>
      </c>
      <c r="D327" s="1276" t="str">
        <f t="shared" si="81"/>
        <v>H</v>
      </c>
      <c r="E327" s="2206" t="str">
        <f t="shared" si="82"/>
        <v>2015-2029</v>
      </c>
      <c r="F327" s="1780"/>
      <c r="G327" s="1259">
        <f t="shared" ref="G327:L336" si="85">IF((SUMIF($B$236:$B$311,$B327,G$236:G$311)/G$218)*G$228*$F$316=0,"",(SUMIF($B$236:$B$311,$B327,G$236:G$311)/G$218)*G$228*$F$316)</f>
        <v>42.382463792489233</v>
      </c>
      <c r="H327" s="1259">
        <f t="shared" si="85"/>
        <v>42.11069013883079</v>
      </c>
      <c r="I327" s="1259">
        <f t="shared" si="85"/>
        <v>42.280926462475982</v>
      </c>
      <c r="J327" s="1259">
        <f t="shared" si="85"/>
        <v>46.516949209729525</v>
      </c>
      <c r="K327" s="1259">
        <f t="shared" si="85"/>
        <v>41.641919775044791</v>
      </c>
      <c r="L327" s="1259">
        <f t="shared" si="85"/>
        <v>40.919215536425448</v>
      </c>
      <c r="M327" s="854">
        <f t="shared" si="84"/>
        <v>255.85216491499574</v>
      </c>
    </row>
    <row r="328" spans="1:13">
      <c r="A328" s="1679"/>
      <c r="B328" s="1313" t="s">
        <v>568</v>
      </c>
      <c r="C328" s="1836" t="str">
        <f t="shared" si="80"/>
        <v>UEP NUEVO CHAGRES</v>
      </c>
      <c r="D328" s="1276" t="str">
        <f t="shared" si="81"/>
        <v>Eo</v>
      </c>
      <c r="E328" s="2206" t="str">
        <f t="shared" si="82"/>
        <v>Hasta-2029</v>
      </c>
      <c r="F328" s="1780"/>
      <c r="G328" s="1259">
        <f t="shared" si="85"/>
        <v>299.1232199212547</v>
      </c>
      <c r="H328" s="1259">
        <f t="shared" si="85"/>
        <v>263.34023277171525</v>
      </c>
      <c r="I328" s="1259">
        <f t="shared" si="85"/>
        <v>168.04315664641152</v>
      </c>
      <c r="J328" s="1259">
        <f t="shared" si="85"/>
        <v>254.64464667273495</v>
      </c>
      <c r="K328" s="1259">
        <f t="shared" si="85"/>
        <v>459.56251495694039</v>
      </c>
      <c r="L328" s="1259">
        <f t="shared" si="85"/>
        <v>985.11495559226887</v>
      </c>
      <c r="M328" s="854">
        <f t="shared" si="84"/>
        <v>2429.8287265613258</v>
      </c>
    </row>
    <row r="329" spans="1:13">
      <c r="A329" s="1679"/>
      <c r="B329" s="1313" t="s">
        <v>571</v>
      </c>
      <c r="C329" s="1836" t="str">
        <f t="shared" si="80"/>
        <v>UEP ROSA DE LOS VIENTOS</v>
      </c>
      <c r="D329" s="1276" t="str">
        <f t="shared" si="81"/>
        <v>Eo</v>
      </c>
      <c r="E329" s="2206" t="str">
        <f t="shared" si="82"/>
        <v>Hasta-2029</v>
      </c>
      <c r="F329" s="1780"/>
      <c r="G329" s="1259">
        <f t="shared" si="85"/>
        <v>299.1232199212547</v>
      </c>
      <c r="H329" s="1259">
        <f t="shared" si="85"/>
        <v>263.34023277171525</v>
      </c>
      <c r="I329" s="1259">
        <f t="shared" si="85"/>
        <v>168.04315664641152</v>
      </c>
      <c r="J329" s="1259">
        <f t="shared" si="85"/>
        <v>254.64464667273495</v>
      </c>
      <c r="K329" s="1259">
        <f t="shared" si="85"/>
        <v>459.56251495694039</v>
      </c>
      <c r="L329" s="1259">
        <f t="shared" si="85"/>
        <v>985.11495559226887</v>
      </c>
      <c r="M329" s="854">
        <f t="shared" si="84"/>
        <v>2429.8287265613258</v>
      </c>
    </row>
    <row r="330" spans="1:13">
      <c r="A330" s="1679"/>
      <c r="B330" s="1313" t="s">
        <v>573</v>
      </c>
      <c r="C330" s="1836" t="str">
        <f t="shared" si="80"/>
        <v>UEP PORTOBELO</v>
      </c>
      <c r="D330" s="1276" t="str">
        <f t="shared" si="81"/>
        <v>Eo</v>
      </c>
      <c r="E330" s="2206" t="str">
        <f t="shared" si="82"/>
        <v>Hasta-2029</v>
      </c>
      <c r="F330" s="1780"/>
      <c r="G330" s="1259">
        <f t="shared" si="85"/>
        <v>299.1232199212547</v>
      </c>
      <c r="H330" s="1259">
        <f t="shared" si="85"/>
        <v>263.34023277171525</v>
      </c>
      <c r="I330" s="1259">
        <f t="shared" si="85"/>
        <v>168.04315664641152</v>
      </c>
      <c r="J330" s="1259">
        <f t="shared" si="85"/>
        <v>254.64464667273495</v>
      </c>
      <c r="K330" s="1259">
        <f t="shared" si="85"/>
        <v>459.56251495694039</v>
      </c>
      <c r="L330" s="1259">
        <f t="shared" si="85"/>
        <v>985.11495559226887</v>
      </c>
      <c r="M330" s="854">
        <f t="shared" si="84"/>
        <v>2429.8287265613258</v>
      </c>
    </row>
    <row r="331" spans="1:13">
      <c r="A331" s="1679"/>
      <c r="B331" s="1313" t="s">
        <v>575</v>
      </c>
      <c r="C331" s="1836" t="str">
        <f t="shared" si="80"/>
        <v>UEP MARAÑON</v>
      </c>
      <c r="D331" s="1276" t="str">
        <f t="shared" si="81"/>
        <v>Eo</v>
      </c>
      <c r="E331" s="2206" t="str">
        <f t="shared" si="82"/>
        <v>Hasta-2029</v>
      </c>
      <c r="F331" s="1780"/>
      <c r="G331" s="1259">
        <f t="shared" si="85"/>
        <v>299.1232199212547</v>
      </c>
      <c r="H331" s="1259">
        <f t="shared" si="85"/>
        <v>263.34023277171525</v>
      </c>
      <c r="I331" s="1259">
        <f t="shared" si="85"/>
        <v>168.04315664641152</v>
      </c>
      <c r="J331" s="1259">
        <f t="shared" si="85"/>
        <v>254.64464667273495</v>
      </c>
      <c r="K331" s="1259">
        <f t="shared" si="85"/>
        <v>459.56251495694039</v>
      </c>
      <c r="L331" s="1259">
        <f t="shared" si="85"/>
        <v>985.11495559226887</v>
      </c>
      <c r="M331" s="854">
        <f t="shared" si="84"/>
        <v>2429.8287265613258</v>
      </c>
    </row>
    <row r="332" spans="1:13">
      <c r="A332" s="1679"/>
      <c r="B332" s="1313" t="s">
        <v>831</v>
      </c>
      <c r="C332" s="1836" t="str">
        <f t="shared" si="80"/>
        <v>AES PANAMA (CHAN 2)</v>
      </c>
      <c r="D332" s="1276" t="str">
        <f t="shared" si="81"/>
        <v>H</v>
      </c>
      <c r="E332" s="2206" t="str">
        <f t="shared" si="82"/>
        <v>2019-2030</v>
      </c>
      <c r="F332" s="1780"/>
      <c r="G332" s="1259">
        <f t="shared" si="85"/>
        <v>14683.468018574917</v>
      </c>
      <c r="H332" s="1259">
        <f t="shared" si="85"/>
        <v>14589.311629476742</v>
      </c>
      <c r="I332" s="1259">
        <f t="shared" si="85"/>
        <v>14648.29025861172</v>
      </c>
      <c r="J332" s="1259">
        <f t="shared" si="85"/>
        <v>16115.866679836103</v>
      </c>
      <c r="K332" s="1259">
        <f t="shared" si="85"/>
        <v>14426.905435292079</v>
      </c>
      <c r="L332" s="1259">
        <f t="shared" si="85"/>
        <v>14176.523470085604</v>
      </c>
      <c r="M332" s="854">
        <f t="shared" si="84"/>
        <v>88640.365491877164</v>
      </c>
    </row>
    <row r="333" spans="1:13">
      <c r="A333" s="1679"/>
      <c r="B333" s="1313" t="s">
        <v>687</v>
      </c>
      <c r="C333" s="1836" t="str">
        <f t="shared" si="80"/>
        <v>HIDRO PIEDRA</v>
      </c>
      <c r="D333" s="1276" t="str">
        <f t="shared" si="81"/>
        <v>H</v>
      </c>
      <c r="E333" s="2206" t="str">
        <f t="shared" si="82"/>
        <v>2019-2030</v>
      </c>
      <c r="F333" s="1780"/>
      <c r="G333" s="1259">
        <f t="shared" si="85"/>
        <v>74.930182252364119</v>
      </c>
      <c r="H333" s="1259">
        <f t="shared" si="85"/>
        <v>74.449699345572242</v>
      </c>
      <c r="I333" s="1259">
        <f t="shared" si="85"/>
        <v>74.750669077279227</v>
      </c>
      <c r="J333" s="1259">
        <f t="shared" si="85"/>
        <v>82.239756026799995</v>
      </c>
      <c r="K333" s="1259">
        <f t="shared" si="85"/>
        <v>73.620935615248072</v>
      </c>
      <c r="L333" s="1259">
        <f t="shared" si="85"/>
        <v>72.343228859467146</v>
      </c>
      <c r="M333" s="854">
        <f t="shared" si="84"/>
        <v>452.3344711767308</v>
      </c>
    </row>
    <row r="334" spans="1:13">
      <c r="A334" s="1679"/>
      <c r="B334" s="1313" t="s">
        <v>688</v>
      </c>
      <c r="C334" s="1836" t="str">
        <f t="shared" si="80"/>
        <v>CORPORACION ENERGIA DEL ISTMO</v>
      </c>
      <c r="D334" s="1276" t="str">
        <f t="shared" si="81"/>
        <v>H</v>
      </c>
      <c r="E334" s="2206" t="str">
        <f t="shared" si="82"/>
        <v>2019-2030</v>
      </c>
      <c r="F334" s="1780"/>
      <c r="G334" s="1259">
        <f t="shared" si="85"/>
        <v>369.60386641041435</v>
      </c>
      <c r="H334" s="1259">
        <f t="shared" si="85"/>
        <v>367.23381558768608</v>
      </c>
      <c r="I334" s="1259">
        <f t="shared" si="85"/>
        <v>368.7183919381979</v>
      </c>
      <c r="J334" s="1259">
        <f t="shared" si="85"/>
        <v>405.65938699816019</v>
      </c>
      <c r="K334" s="1259">
        <f t="shared" si="85"/>
        <v>363.14581967120927</v>
      </c>
      <c r="L334" s="1259">
        <f t="shared" si="85"/>
        <v>356.84334791844049</v>
      </c>
      <c r="M334" s="854">
        <f t="shared" si="84"/>
        <v>2231.2046285241081</v>
      </c>
    </row>
    <row r="335" spans="1:13">
      <c r="A335" s="1679"/>
      <c r="B335" s="1313" t="s">
        <v>800</v>
      </c>
      <c r="C335" s="1836" t="str">
        <f t="shared" si="80"/>
        <v>SALTOS DE FRANCOLI</v>
      </c>
      <c r="D335" s="1276" t="str">
        <f t="shared" si="81"/>
        <v>H</v>
      </c>
      <c r="E335" s="2206" t="str">
        <f t="shared" si="82"/>
        <v>2019-2030</v>
      </c>
      <c r="F335" s="1780"/>
      <c r="G335" s="1259">
        <f t="shared" si="85"/>
        <v>38.672822261909012</v>
      </c>
      <c r="H335" s="1259">
        <f t="shared" si="85"/>
        <v>38.424836343608881</v>
      </c>
      <c r="I335" s="1259">
        <f t="shared" si="85"/>
        <v>38.580172265538401</v>
      </c>
      <c r="J335" s="1259">
        <f t="shared" si="85"/>
        <v>42.445425489230672</v>
      </c>
      <c r="K335" s="1259">
        <f t="shared" si="85"/>
        <v>37.997096393210825</v>
      </c>
      <c r="L335" s="1259">
        <f t="shared" si="85"/>
        <v>37.337648827705983</v>
      </c>
      <c r="M335" s="854">
        <f t="shared" si="84"/>
        <v>233.45800158120377</v>
      </c>
    </row>
    <row r="336" spans="1:13">
      <c r="A336" s="1679"/>
      <c r="B336" s="1286" t="s">
        <v>690</v>
      </c>
      <c r="C336" s="1836" t="str">
        <f t="shared" si="80"/>
        <v>ISTMUS HIDRO POWER</v>
      </c>
      <c r="D336" s="1276" t="str">
        <f t="shared" si="81"/>
        <v>H SE</v>
      </c>
      <c r="E336" s="2206" t="str">
        <f t="shared" si="82"/>
        <v>2016-2027</v>
      </c>
      <c r="F336" s="1780"/>
      <c r="G336" s="1259">
        <f t="shared" si="85"/>
        <v>116.95922577566168</v>
      </c>
      <c r="H336" s="1259">
        <f t="shared" si="85"/>
        <v>78.024396480760046</v>
      </c>
      <c r="I336" s="1259">
        <f t="shared" si="85"/>
        <v>105.44232485722758</v>
      </c>
      <c r="J336" s="1259">
        <f t="shared" si="85"/>
        <v>106.0856574604276</v>
      </c>
      <c r="K336" s="1259">
        <f t="shared" si="85"/>
        <v>108.94499498408442</v>
      </c>
      <c r="L336" s="1259">
        <f t="shared" si="85"/>
        <v>102.13233921608857</v>
      </c>
      <c r="M336" s="854">
        <f t="shared" si="84"/>
        <v>617.58893877424987</v>
      </c>
    </row>
    <row r="337" spans="1:13">
      <c r="A337" s="1679"/>
      <c r="B337" s="1286" t="s">
        <v>579</v>
      </c>
      <c r="C337" s="1836" t="str">
        <f t="shared" si="80"/>
        <v>CALDERA ENERGY CORP</v>
      </c>
      <c r="D337" s="1276" t="str">
        <f t="shared" si="81"/>
        <v>H SE</v>
      </c>
      <c r="E337" s="2206" t="str">
        <f t="shared" si="82"/>
        <v>2016-2027</v>
      </c>
      <c r="F337" s="1780"/>
      <c r="G337" s="1259">
        <f t="shared" ref="G337:L344" si="86">IF((SUMIF($B$236:$B$311,$B337,G$236:G$311)/G$218)*G$228*$F$316=0,"",(SUMIF($B$236:$B$311,$B337,G$236:G$311)/G$218)*G$228*$F$316)</f>
        <v>131.57912899761936</v>
      </c>
      <c r="H337" s="1259">
        <f t="shared" si="86"/>
        <v>222.31332006821705</v>
      </c>
      <c r="I337" s="1259">
        <f t="shared" si="86"/>
        <v>253.01592264874793</v>
      </c>
      <c r="J337" s="1259">
        <f t="shared" si="86"/>
        <v>399.05955588165591</v>
      </c>
      <c r="K337" s="1259">
        <f t="shared" si="86"/>
        <v>254.81287522074322</v>
      </c>
      <c r="L337" s="1259">
        <f t="shared" si="86"/>
        <v>70.575766193066855</v>
      </c>
      <c r="M337" s="854">
        <f t="shared" si="84"/>
        <v>1331.3565690100504</v>
      </c>
    </row>
    <row r="338" spans="1:13">
      <c r="A338" s="1679"/>
      <c r="B338" s="1286" t="s">
        <v>581</v>
      </c>
      <c r="C338" s="1836" t="str">
        <f t="shared" si="80"/>
        <v>ELECTROGENERADORA DEL ISTMO</v>
      </c>
      <c r="D338" s="1276" t="str">
        <f t="shared" si="81"/>
        <v>H SE</v>
      </c>
      <c r="E338" s="2206" t="str">
        <f t="shared" si="82"/>
        <v>2016-2027</v>
      </c>
      <c r="F338" s="1780"/>
      <c r="G338" s="1259">
        <f t="shared" si="86"/>
        <v>43.859709665873126</v>
      </c>
      <c r="H338" s="1259">
        <f t="shared" si="86"/>
        <v>69.472912521317838</v>
      </c>
      <c r="I338" s="1259">
        <f t="shared" si="86"/>
        <v>99.874706308716284</v>
      </c>
      <c r="J338" s="1259">
        <f t="shared" si="86"/>
        <v>138.13600011288088</v>
      </c>
      <c r="K338" s="1259">
        <f t="shared" si="86"/>
        <v>97.428452290284156</v>
      </c>
      <c r="L338" s="1259">
        <f t="shared" si="86"/>
        <v>35.287883096533427</v>
      </c>
      <c r="M338" s="854">
        <f t="shared" si="84"/>
        <v>484.05966399560572</v>
      </c>
    </row>
    <row r="339" spans="1:13">
      <c r="A339" s="1679"/>
      <c r="B339" s="1286" t="s">
        <v>582</v>
      </c>
      <c r="C339" s="1836" t="str">
        <f t="shared" si="80"/>
        <v>FOUNTAIN INTERTRADE CORP</v>
      </c>
      <c r="D339" s="1276" t="str">
        <f t="shared" si="81"/>
        <v>H SE</v>
      </c>
      <c r="E339" s="2206" t="str">
        <f t="shared" si="82"/>
        <v>2016-2027</v>
      </c>
      <c r="F339" s="1780"/>
      <c r="G339" s="1259">
        <f t="shared" si="86"/>
        <v>553.47139710534861</v>
      </c>
      <c r="H339" s="1259">
        <f t="shared" si="86"/>
        <v>586.30085592536159</v>
      </c>
      <c r="I339" s="1259">
        <f t="shared" si="86"/>
        <v>814.16592332626681</v>
      </c>
      <c r="J339" s="1259">
        <f t="shared" si="86"/>
        <v>1270.3070289168475</v>
      </c>
      <c r="K339" s="1259">
        <f t="shared" si="86"/>
        <v>831.67674856974236</v>
      </c>
      <c r="L339" s="1259">
        <f t="shared" si="86"/>
        <v>438.03616415620348</v>
      </c>
      <c r="M339" s="854">
        <f t="shared" si="84"/>
        <v>4493.9581179997704</v>
      </c>
    </row>
    <row r="340" spans="1:13">
      <c r="A340" s="1679"/>
      <c r="B340" s="1286" t="s">
        <v>482</v>
      </c>
      <c r="C340" s="1836" t="str">
        <f t="shared" si="80"/>
        <v>HIDROIBÉRICA</v>
      </c>
      <c r="D340" s="1276" t="str">
        <f t="shared" si="81"/>
        <v>H SE</v>
      </c>
      <c r="E340" s="2206" t="str">
        <f t="shared" si="82"/>
        <v>2016-2027</v>
      </c>
      <c r="F340" s="1780"/>
      <c r="G340" s="1259">
        <f t="shared" si="86"/>
        <v>21.383197582028576</v>
      </c>
      <c r="H340" s="1259">
        <f t="shared" si="86"/>
        <v>21.246079792883016</v>
      </c>
      <c r="I340" s="1259">
        <f t="shared" si="86"/>
        <v>21.33196901730296</v>
      </c>
      <c r="J340" s="1259">
        <f t="shared" si="86"/>
        <v>23.469166887865217</v>
      </c>
      <c r="K340" s="1259">
        <f t="shared" si="86"/>
        <v>21.009571378494613</v>
      </c>
      <c r="L340" s="1259">
        <f t="shared" si="86"/>
        <v>20.644945867258858</v>
      </c>
      <c r="M340" s="854">
        <f t="shared" si="84"/>
        <v>129.08493052583324</v>
      </c>
    </row>
    <row r="341" spans="1:13">
      <c r="A341" s="1679"/>
      <c r="B341" s="1286" t="s">
        <v>584</v>
      </c>
      <c r="C341" s="1836" t="str">
        <f t="shared" si="80"/>
        <v>HIDROECOLOGICA DEL TERIBE</v>
      </c>
      <c r="D341" s="1276" t="str">
        <f t="shared" si="81"/>
        <v>H SE</v>
      </c>
      <c r="E341" s="2206" t="str">
        <f t="shared" si="82"/>
        <v>2016-2027</v>
      </c>
      <c r="F341" s="1780"/>
      <c r="G341" s="1259" t="str">
        <f t="shared" si="86"/>
        <v/>
      </c>
      <c r="H341" s="1259" t="str">
        <f t="shared" si="86"/>
        <v/>
      </c>
      <c r="I341" s="1259">
        <f t="shared" si="86"/>
        <v>26.633255015657678</v>
      </c>
      <c r="J341" s="1259">
        <f t="shared" si="86"/>
        <v>153.48444456986766</v>
      </c>
      <c r="K341" s="1259">
        <f t="shared" si="86"/>
        <v>59.955970640174876</v>
      </c>
      <c r="L341" s="1259">
        <f t="shared" si="86"/>
        <v>56.460612954453481</v>
      </c>
      <c r="M341" s="854">
        <f t="shared" si="84"/>
        <v>296.53428318015369</v>
      </c>
    </row>
    <row r="342" spans="1:13">
      <c r="A342" s="1679"/>
      <c r="B342" s="1286" t="s">
        <v>1273</v>
      </c>
      <c r="C342" s="1836" t="str">
        <f t="shared" si="80"/>
        <v>Generadora Gatún (NG Power)</v>
      </c>
      <c r="D342" s="1276" t="str">
        <f t="shared" si="81"/>
        <v>Gas2</v>
      </c>
      <c r="E342" s="2206" t="str">
        <f t="shared" si="82"/>
        <v>Oct24-Sep44</v>
      </c>
      <c r="F342" s="1780"/>
      <c r="G342" s="1259">
        <f t="shared" si="86"/>
        <v>20340.734917506379</v>
      </c>
      <c r="H342" s="1259">
        <f t="shared" si="86"/>
        <v>20210.301824383369</v>
      </c>
      <c r="I342" s="1259">
        <f t="shared" si="86"/>
        <v>20292.003821453469</v>
      </c>
      <c r="J342" s="1259">
        <f t="shared" si="86"/>
        <v>22325.010119253475</v>
      </c>
      <c r="K342" s="1259">
        <f t="shared" si="86"/>
        <v>19985.323546724958</v>
      </c>
      <c r="L342" s="1259">
        <f t="shared" si="86"/>
        <v>19638.474071114255</v>
      </c>
      <c r="M342" s="854">
        <f t="shared" si="84"/>
        <v>122791.84830043592</v>
      </c>
    </row>
    <row r="343" spans="1:13">
      <c r="A343" s="1679"/>
      <c r="B343" s="1286" t="s">
        <v>586</v>
      </c>
      <c r="C343" s="1836" t="str">
        <f t="shared" si="80"/>
        <v>GENERADORA ALTO VALLE</v>
      </c>
      <c r="D343" s="1276" t="str">
        <f t="shared" si="81"/>
        <v>H SE</v>
      </c>
      <c r="E343" s="2206" t="str">
        <f t="shared" si="82"/>
        <v>2016-2027</v>
      </c>
      <c r="F343" s="1780"/>
      <c r="G343" s="1259">
        <f t="shared" si="86"/>
        <v>119.17509458573751</v>
      </c>
      <c r="H343" s="1259">
        <f t="shared" si="86"/>
        <v>148.35245739802207</v>
      </c>
      <c r="I343" s="1259">
        <f t="shared" si="86"/>
        <v>142.76058813511935</v>
      </c>
      <c r="J343" s="1259">
        <f t="shared" si="86"/>
        <v>168.03058397569376</v>
      </c>
      <c r="K343" s="1259">
        <f t="shared" si="86"/>
        <v>155.31219469520798</v>
      </c>
      <c r="L343" s="1259">
        <f t="shared" si="86"/>
        <v>73.829615865724605</v>
      </c>
      <c r="M343" s="854">
        <f t="shared" si="84"/>
        <v>807.46053465550517</v>
      </c>
    </row>
    <row r="344" spans="1:13">
      <c r="A344" s="1679"/>
      <c r="B344" s="1286" t="s">
        <v>483</v>
      </c>
      <c r="C344" s="1836" t="str">
        <f t="shared" si="80"/>
        <v>CAFÉ DE ELETA</v>
      </c>
      <c r="D344" s="1276" t="str">
        <f t="shared" si="81"/>
        <v>H SE</v>
      </c>
      <c r="E344" s="2206" t="str">
        <f t="shared" si="82"/>
        <v>2016-2027</v>
      </c>
      <c r="F344" s="1780"/>
      <c r="G344" s="1259">
        <f t="shared" si="86"/>
        <v>6.7264267780328906</v>
      </c>
      <c r="H344" s="1259">
        <f t="shared" si="86"/>
        <v>6.8083454270891464</v>
      </c>
      <c r="I344" s="1259">
        <f t="shared" si="86"/>
        <v>6.2943259353670964</v>
      </c>
      <c r="J344" s="1259">
        <f t="shared" si="86"/>
        <v>7.0993532179226051</v>
      </c>
      <c r="K344" s="1259">
        <f t="shared" si="86"/>
        <v>10.968195378986989</v>
      </c>
      <c r="L344" s="1259">
        <f t="shared" si="86"/>
        <v>7.69337221735901</v>
      </c>
      <c r="M344" s="854">
        <f t="shared" si="84"/>
        <v>45.590018954757738</v>
      </c>
    </row>
    <row r="345" spans="1:13">
      <c r="A345" s="1679"/>
      <c r="B345" s="1286" t="s">
        <v>490</v>
      </c>
      <c r="C345" s="1836" t="str">
        <f t="shared" si="80"/>
        <v>EMNADESA</v>
      </c>
      <c r="D345" s="1276" t="str">
        <f t="shared" si="81"/>
        <v>H SE</v>
      </c>
      <c r="E345" s="2206" t="str">
        <f t="shared" si="82"/>
        <v>2016-2027</v>
      </c>
      <c r="F345" s="1780"/>
      <c r="G345" s="1259">
        <f t="shared" ref="G345:L353" si="87">IF((SUMIF($B$236:$B$311,$B345,G$236:G$311)/G$218)*G$228*$F$316=0,"",(SUMIF($B$236:$B$311,$B345,G$236:G$311)/G$218)*G$228*$F$316)</f>
        <v>56.140428372317601</v>
      </c>
      <c r="H345" s="1259">
        <f t="shared" si="87"/>
        <v>90.870569577883728</v>
      </c>
      <c r="I345" s="1259">
        <f t="shared" si="87"/>
        <v>87.090743901200597</v>
      </c>
      <c r="J345" s="1259">
        <f t="shared" si="87"/>
        <v>71.858626321347117</v>
      </c>
      <c r="K345" s="1259">
        <f t="shared" si="87"/>
        <v>98.028011996685919</v>
      </c>
      <c r="L345" s="1259">
        <f t="shared" si="87"/>
        <v>61.259765055582037</v>
      </c>
      <c r="M345" s="854">
        <f t="shared" si="84"/>
        <v>465.24814522501697</v>
      </c>
    </row>
    <row r="346" spans="1:13">
      <c r="A346" s="1679"/>
      <c r="B346" s="1286" t="s">
        <v>484</v>
      </c>
      <c r="C346" s="1836" t="str">
        <f t="shared" si="80"/>
        <v xml:space="preserve">ESEPSA </v>
      </c>
      <c r="D346" s="1276" t="str">
        <f t="shared" si="81"/>
        <v>H SE</v>
      </c>
      <c r="E346" s="2206" t="str">
        <f t="shared" si="82"/>
        <v>2016-2027</v>
      </c>
      <c r="F346" s="1780"/>
      <c r="G346" s="1259">
        <f t="shared" si="87"/>
        <v>254.65890309822424</v>
      </c>
      <c r="H346" s="1259">
        <f t="shared" si="87"/>
        <v>253.02592628803893</v>
      </c>
      <c r="I346" s="1259">
        <f t="shared" si="87"/>
        <v>254.04880678076384</v>
      </c>
      <c r="J346" s="1259">
        <f t="shared" si="87"/>
        <v>279.50133619473064</v>
      </c>
      <c r="K346" s="1259">
        <f t="shared" si="87"/>
        <v>250.20927675980042</v>
      </c>
      <c r="L346" s="1259">
        <f t="shared" si="87"/>
        <v>245.86684236116943</v>
      </c>
      <c r="M346" s="854">
        <f t="shared" si="84"/>
        <v>1537.3110914827273</v>
      </c>
    </row>
    <row r="347" spans="1:13">
      <c r="A347" s="1679"/>
      <c r="B347" s="1286" t="s">
        <v>692</v>
      </c>
      <c r="C347" s="1836" t="str">
        <f t="shared" si="80"/>
        <v>Fuerza Eléctrica del Istmo (2016-27)</v>
      </c>
      <c r="D347" s="1276" t="str">
        <f t="shared" si="81"/>
        <v>H SE</v>
      </c>
      <c r="E347" s="2206" t="str">
        <f t="shared" ref="E347:E373" si="88">VLOOKUP(B347,$B$236:$E$311,4,0)</f>
        <v>2016-2027</v>
      </c>
      <c r="F347" s="1780"/>
      <c r="G347" s="1259">
        <f t="shared" si="87"/>
        <v>22.127965115726859</v>
      </c>
      <c r="H347" s="1259">
        <f t="shared" si="87"/>
        <v>21.986071573223715</v>
      </c>
      <c r="I347" s="1259">
        <f t="shared" si="87"/>
        <v>22.074952282223883</v>
      </c>
      <c r="J347" s="1259">
        <f t="shared" si="87"/>
        <v>24.286587831294131</v>
      </c>
      <c r="K347" s="1259">
        <f t="shared" si="87"/>
        <v>21.741325672939801</v>
      </c>
      <c r="L347" s="1259">
        <f t="shared" si="87"/>
        <v>21.364000412675178</v>
      </c>
      <c r="M347" s="854">
        <f t="shared" si="84"/>
        <v>133.58090288808359</v>
      </c>
    </row>
    <row r="348" spans="1:13">
      <c r="A348" s="1679"/>
      <c r="B348" s="1286" t="s">
        <v>587</v>
      </c>
      <c r="C348" s="1836" t="str">
        <f t="shared" si="80"/>
        <v>Hidro CAISÀN (2016-27)</v>
      </c>
      <c r="D348" s="1276" t="str">
        <f t="shared" si="81"/>
        <v>H SE</v>
      </c>
      <c r="E348" s="2206" t="str">
        <f t="shared" si="88"/>
        <v>2016-2027</v>
      </c>
      <c r="F348" s="1780"/>
      <c r="G348" s="1259">
        <f t="shared" si="87"/>
        <v>231.76572377255394</v>
      </c>
      <c r="H348" s="1259">
        <f t="shared" si="87"/>
        <v>230.27954737066145</v>
      </c>
      <c r="I348" s="1259">
        <f t="shared" si="87"/>
        <v>231.2104735422777</v>
      </c>
      <c r="J348" s="1259">
        <f t="shared" si="87"/>
        <v>254.37488613379398</v>
      </c>
      <c r="K348" s="1259">
        <f t="shared" si="87"/>
        <v>227.71610737864194</v>
      </c>
      <c r="L348" s="1259">
        <f t="shared" si="87"/>
        <v>223.76404664528766</v>
      </c>
      <c r="M348" s="854">
        <f t="shared" si="84"/>
        <v>1399.1107848432166</v>
      </c>
    </row>
    <row r="349" spans="1:13">
      <c r="A349" s="1679"/>
      <c r="B349" s="1286" t="s">
        <v>1274</v>
      </c>
      <c r="C349" s="1836" t="str">
        <f t="shared" si="80"/>
        <v>PASO ANCHO (2024-27)</v>
      </c>
      <c r="D349" s="1276" t="str">
        <f t="shared" si="81"/>
        <v>H SE</v>
      </c>
      <c r="E349" s="2206" t="str">
        <f t="shared" si="88"/>
        <v>2024-2027</v>
      </c>
      <c r="F349" s="1780"/>
      <c r="G349" s="1259">
        <f t="shared" si="87"/>
        <v>88.29150250130111</v>
      </c>
      <c r="H349" s="1259">
        <f t="shared" si="87"/>
        <v>81.055941754417546</v>
      </c>
      <c r="I349" s="1259">
        <f t="shared" si="87"/>
        <v>14.066797524103196</v>
      </c>
      <c r="J349" s="1259" t="str">
        <f t="shared" si="87"/>
        <v/>
      </c>
      <c r="K349" s="1259">
        <f t="shared" si="87"/>
        <v>104.92294862030602</v>
      </c>
      <c r="L349" s="1259">
        <f t="shared" si="87"/>
        <v>98.806072670293602</v>
      </c>
      <c r="M349" s="854">
        <f t="shared" si="84"/>
        <v>387.14326307042143</v>
      </c>
    </row>
    <row r="350" spans="1:13">
      <c r="A350" s="1679"/>
      <c r="B350" s="1286" t="s">
        <v>588</v>
      </c>
      <c r="C350" s="1836" t="str">
        <f t="shared" si="80"/>
        <v>PEDREGALITO</v>
      </c>
      <c r="D350" s="1276" t="str">
        <f t="shared" si="81"/>
        <v>H SE</v>
      </c>
      <c r="E350" s="2206" t="str">
        <f t="shared" si="88"/>
        <v>2016-2027</v>
      </c>
      <c r="F350" s="1780"/>
      <c r="G350" s="1259">
        <f t="shared" si="87"/>
        <v>94.220826729754251</v>
      </c>
      <c r="H350" s="1259">
        <f t="shared" si="87"/>
        <v>93.616644338271797</v>
      </c>
      <c r="I350" s="1259">
        <f t="shared" si="87"/>
        <v>93.995098201450148</v>
      </c>
      <c r="J350" s="1259">
        <f t="shared" si="87"/>
        <v>103.41223749864699</v>
      </c>
      <c r="K350" s="1259">
        <f t="shared" si="87"/>
        <v>92.574516833873361</v>
      </c>
      <c r="L350" s="1259">
        <f t="shared" si="87"/>
        <v>90.967866706660132</v>
      </c>
      <c r="M350" s="854">
        <f t="shared" si="84"/>
        <v>568.7871903086567</v>
      </c>
    </row>
    <row r="351" spans="1:13">
      <c r="A351" s="1679"/>
      <c r="B351" s="1286" t="s">
        <v>589</v>
      </c>
      <c r="C351" s="1836" t="str">
        <f t="shared" si="80"/>
        <v>RÍO CHICO</v>
      </c>
      <c r="D351" s="1276" t="str">
        <f t="shared" si="81"/>
        <v>H SE</v>
      </c>
      <c r="E351" s="2206" t="str">
        <f t="shared" si="88"/>
        <v>2016-2027</v>
      </c>
      <c r="F351" s="1780"/>
      <c r="G351" s="1259">
        <f t="shared" si="87"/>
        <v>58.062945646005041</v>
      </c>
      <c r="H351" s="1259">
        <f t="shared" si="87"/>
        <v>57.690622343668323</v>
      </c>
      <c r="I351" s="1259">
        <f t="shared" si="87"/>
        <v>57.923841970898629</v>
      </c>
      <c r="J351" s="1259">
        <f t="shared" si="87"/>
        <v>63.727090213692158</v>
      </c>
      <c r="K351" s="1259">
        <f t="shared" si="87"/>
        <v>57.048418334806797</v>
      </c>
      <c r="L351" s="1259">
        <f t="shared" si="87"/>
        <v>56.058331087153</v>
      </c>
      <c r="M351" s="854">
        <f t="shared" si="84"/>
        <v>350.51124959622399</v>
      </c>
    </row>
    <row r="352" spans="1:13" ht="12.75" thickBot="1">
      <c r="A352" s="1679"/>
      <c r="B352" s="1261" t="s">
        <v>945</v>
      </c>
      <c r="C352" s="1836" t="str">
        <f t="shared" si="80"/>
        <v>PARQUE EOLICO TOABRE (Enmienda 1)</v>
      </c>
      <c r="D352" s="1276" t="str">
        <f t="shared" si="81"/>
        <v>Eo</v>
      </c>
      <c r="E352" s="2206" t="str">
        <f t="shared" si="88"/>
        <v>Al 2036</v>
      </c>
      <c r="F352" s="1780"/>
      <c r="G352" s="1259">
        <f t="shared" si="87"/>
        <v>892.44974450559232</v>
      </c>
      <c r="H352" s="1259">
        <f t="shared" si="87"/>
        <v>757.88631841437632</v>
      </c>
      <c r="I352" s="1259">
        <f t="shared" si="87"/>
        <v>891.57991790511176</v>
      </c>
      <c r="J352" s="1259">
        <f t="shared" si="87"/>
        <v>830.2113138097385</v>
      </c>
      <c r="K352" s="1259">
        <f t="shared" si="87"/>
        <v>1247.8336389486394</v>
      </c>
      <c r="L352" s="1259">
        <f t="shared" si="87"/>
        <v>2192.1446681881284</v>
      </c>
      <c r="M352" s="854">
        <f t="shared" si="84"/>
        <v>6812.1056017715873</v>
      </c>
    </row>
    <row r="353" spans="1:13" ht="12.75" thickBot="1">
      <c r="A353" s="1679"/>
      <c r="B353" s="1284" t="s">
        <v>1515</v>
      </c>
      <c r="C353" s="1829" t="str">
        <f t="shared" si="80"/>
        <v>Electron (SECCION)</v>
      </c>
      <c r="D353" s="1283" t="str">
        <f>VLOOKUP(B353,$B$236:$E$311,3,0)</f>
        <v>H3</v>
      </c>
      <c r="E353" s="2195" t="str">
        <f t="shared" si="88"/>
        <v>Ene26-Dic40</v>
      </c>
      <c r="F353" s="1780"/>
      <c r="G353" s="1259">
        <f t="shared" si="87"/>
        <v>6350.1231820590219</v>
      </c>
      <c r="H353" s="1259">
        <f t="shared" si="87"/>
        <v>6309.403600799682</v>
      </c>
      <c r="I353" s="1259">
        <f t="shared" si="87"/>
        <v>6334.9099430100041</v>
      </c>
      <c r="J353" s="1259">
        <f t="shared" si="87"/>
        <v>6969.5890966044453</v>
      </c>
      <c r="K353" s="1259">
        <f t="shared" si="87"/>
        <v>6239.168194743198</v>
      </c>
      <c r="L353" s="1259">
        <f t="shared" si="87"/>
        <v>6130.8861240759816</v>
      </c>
      <c r="M353" s="854">
        <f t="shared" si="84"/>
        <v>38334.080141292332</v>
      </c>
    </row>
    <row r="354" spans="1:13">
      <c r="A354" s="1679"/>
      <c r="B354" s="1286" t="s">
        <v>759</v>
      </c>
      <c r="C354" s="1836" t="str">
        <f t="shared" si="80"/>
        <v>PANAMA SOLAR (Ene-17  - Dic36)</v>
      </c>
      <c r="D354" s="1276" t="str">
        <f>VLOOKUP(B354,$B$236:$D$311,3,0)</f>
        <v>Sol1</v>
      </c>
      <c r="E354" s="2206" t="str">
        <f t="shared" si="88"/>
        <v>2017-2036</v>
      </c>
      <c r="F354" s="1780"/>
      <c r="G354" s="1259">
        <f t="shared" ref="G354:L363" si="89">IF((SUMIF($B$236:$B$311,$B354,G$236:G$311)/G$218)*G$228*$F$316=0,"",(SUMIF($B$236:$B$311,$B354,G$236:G$311)/G$218)*G$228*$F$316)</f>
        <v>244.8304083039435</v>
      </c>
      <c r="H354" s="1259">
        <f t="shared" si="89"/>
        <v>243.2604558132806</v>
      </c>
      <c r="I354" s="1259">
        <f t="shared" si="89"/>
        <v>244.243858496765</v>
      </c>
      <c r="J354" s="1259">
        <f t="shared" si="89"/>
        <v>268.71405409163901</v>
      </c>
      <c r="K354" s="1259">
        <f t="shared" si="89"/>
        <v>240.55251414834009</v>
      </c>
      <c r="L354" s="1259">
        <f t="shared" si="89"/>
        <v>236.37767488721335</v>
      </c>
      <c r="M354" s="854">
        <f t="shared" si="84"/>
        <v>1477.9789657411816</v>
      </c>
    </row>
    <row r="355" spans="1:13">
      <c r="A355" s="1679"/>
      <c r="B355" s="1286" t="s">
        <v>760</v>
      </c>
      <c r="C355" s="1836" t="str">
        <f t="shared" si="80"/>
        <v>SOLPAC (Ene-17  - Dic36)</v>
      </c>
      <c r="D355" s="1276" t="str">
        <f>VLOOKUP(B355,$B$236:$D$311,3,0)</f>
        <v>Sol1</v>
      </c>
      <c r="E355" s="2206" t="str">
        <f t="shared" si="88"/>
        <v>2017-2036</v>
      </c>
      <c r="F355" s="1780"/>
      <c r="G355" s="1259">
        <f t="shared" si="89"/>
        <v>38.138877970324458</v>
      </c>
      <c r="H355" s="1259">
        <f t="shared" si="89"/>
        <v>37.89431592071881</v>
      </c>
      <c r="I355" s="1259">
        <f t="shared" si="89"/>
        <v>38.047507165225241</v>
      </c>
      <c r="J355" s="1259">
        <f t="shared" si="89"/>
        <v>41.859393973600262</v>
      </c>
      <c r="K355" s="1259">
        <f t="shared" si="89"/>
        <v>37.472481650109295</v>
      </c>
      <c r="L355" s="1259">
        <f t="shared" si="89"/>
        <v>36.822138883339228</v>
      </c>
      <c r="M355" s="854">
        <f t="shared" si="84"/>
        <v>230.23471556331728</v>
      </c>
    </row>
    <row r="356" spans="1:13" ht="12.75" thickBot="1">
      <c r="A356" s="1679"/>
      <c r="B356" s="1286" t="s">
        <v>792</v>
      </c>
      <c r="C356" s="1836" t="str">
        <f t="shared" si="80"/>
        <v>Gas Natural Atlántico</v>
      </c>
      <c r="D356" s="1276" t="str">
        <f>VLOOKUP(B356,$B$236:$D$311,3,0)</f>
        <v>Gas</v>
      </c>
      <c r="E356" s="2206" t="str">
        <f t="shared" si="88"/>
        <v>May18- Abr28</v>
      </c>
      <c r="F356" s="1780"/>
      <c r="G356" s="1259">
        <f t="shared" si="89"/>
        <v>16018.32874753627</v>
      </c>
      <c r="H356" s="1259">
        <f t="shared" si="89"/>
        <v>15915.612686701901</v>
      </c>
      <c r="I356" s="1259">
        <f t="shared" si="89"/>
        <v>15979.953009394607</v>
      </c>
      <c r="J356" s="1259">
        <f t="shared" si="89"/>
        <v>17580.945468912112</v>
      </c>
      <c r="K356" s="1259">
        <f t="shared" si="89"/>
        <v>15738.442293045904</v>
      </c>
      <c r="L356" s="1259">
        <f t="shared" si="89"/>
        <v>15465.298331002477</v>
      </c>
      <c r="M356" s="854">
        <f t="shared" si="84"/>
        <v>96698.580536593276</v>
      </c>
    </row>
    <row r="357" spans="1:13" ht="12.75" thickBot="1">
      <c r="A357" s="1679"/>
      <c r="B357" s="1284" t="s">
        <v>1324</v>
      </c>
      <c r="C357" s="1829" t="str">
        <f t="shared" si="80"/>
        <v>ALTERNEGY ENMIEDA 7</v>
      </c>
      <c r="D357" s="1283" t="str">
        <f>VLOOKUP(B357,$B$236:$D$311,3,0)</f>
        <v>H2</v>
      </c>
      <c r="E357" s="2195" t="str">
        <f t="shared" si="88"/>
        <v>Abr24-Mar39</v>
      </c>
      <c r="F357" s="1780"/>
      <c r="G357" s="1259">
        <f t="shared" si="89"/>
        <v>1562.4227008509588</v>
      </c>
      <c r="H357" s="1259">
        <f t="shared" si="89"/>
        <v>1381.8793872422127</v>
      </c>
      <c r="I357" s="1259">
        <f t="shared" si="89"/>
        <v>1359.5642560373824</v>
      </c>
      <c r="J357" s="1259">
        <f t="shared" si="89"/>
        <v>1592.0522841292639</v>
      </c>
      <c r="K357" s="1259">
        <f t="shared" si="89"/>
        <v>1335.2694294655612</v>
      </c>
      <c r="L357" s="1259">
        <f t="shared" si="89"/>
        <v>1458.1566997802336</v>
      </c>
      <c r="M357" s="854">
        <f t="shared" si="84"/>
        <v>8689.3447575056125</v>
      </c>
    </row>
    <row r="358" spans="1:13" ht="12.75" thickBot="1">
      <c r="A358" s="1682"/>
      <c r="B358" s="1683" t="s">
        <v>1743</v>
      </c>
      <c r="C358" s="1845" t="s">
        <v>1744</v>
      </c>
      <c r="D358" s="1334" t="s">
        <v>702</v>
      </c>
      <c r="E358" s="2206" t="str">
        <f t="shared" si="88"/>
        <v>Jul25-Jun28</v>
      </c>
      <c r="F358" s="1780"/>
      <c r="G358" s="1259">
        <f t="shared" si="89"/>
        <v>340.13540468010751</v>
      </c>
      <c r="H358" s="1259">
        <f t="shared" si="89"/>
        <v>337.95431765975167</v>
      </c>
      <c r="I358" s="1259">
        <f t="shared" si="89"/>
        <v>339.32052895690066</v>
      </c>
      <c r="J358" s="1259">
        <f t="shared" si="89"/>
        <v>373.31622393173035</v>
      </c>
      <c r="K358" s="1259">
        <f t="shared" si="89"/>
        <v>334.19225705447246</v>
      </c>
      <c r="L358" s="1259">
        <f t="shared" si="89"/>
        <v>328.39228044456183</v>
      </c>
      <c r="M358" s="854">
        <f t="shared" ref="M358:M383" si="90">SUM(G358:L358)</f>
        <v>2053.3110127275245</v>
      </c>
    </row>
    <row r="359" spans="1:13">
      <c r="A359" s="1682"/>
      <c r="B359" s="1303" t="s">
        <v>1586</v>
      </c>
      <c r="C359" s="1838" t="s">
        <v>1587</v>
      </c>
      <c r="D359" s="1279" t="s">
        <v>1063</v>
      </c>
      <c r="E359" s="2206" t="str">
        <f t="shared" si="88"/>
        <v>Mar25-Feb30</v>
      </c>
      <c r="F359" s="1780"/>
      <c r="G359" s="1259">
        <f t="shared" si="89"/>
        <v>57.208316955486687</v>
      </c>
      <c r="H359" s="1259">
        <f t="shared" si="89"/>
        <v>54.946758085042283</v>
      </c>
      <c r="I359" s="1259">
        <f t="shared" si="89"/>
        <v>55.168885389576616</v>
      </c>
      <c r="J359" s="1259">
        <f t="shared" si="89"/>
        <v>62.789090960400401</v>
      </c>
      <c r="K359" s="1259">
        <f t="shared" si="89"/>
        <v>56.208722475163945</v>
      </c>
      <c r="L359" s="1259">
        <f t="shared" si="89"/>
        <v>52.778399066119569</v>
      </c>
      <c r="M359" s="854">
        <f t="shared" si="90"/>
        <v>339.10017293178947</v>
      </c>
    </row>
    <row r="360" spans="1:13">
      <c r="A360" s="1682"/>
      <c r="B360" s="1303" t="s">
        <v>1588</v>
      </c>
      <c r="C360" s="1838" t="s">
        <v>815</v>
      </c>
      <c r="D360" s="1279" t="s">
        <v>1063</v>
      </c>
      <c r="E360" s="2206" t="str">
        <f t="shared" si="88"/>
        <v>Mar25-Feb30</v>
      </c>
      <c r="F360" s="1780"/>
      <c r="G360" s="1259">
        <f t="shared" si="89"/>
        <v>107.55163587631498</v>
      </c>
      <c r="H360" s="1259">
        <f t="shared" si="89"/>
        <v>36.26486033612791</v>
      </c>
      <c r="I360" s="1259">
        <f t="shared" si="89"/>
        <v>114.75128161031937</v>
      </c>
      <c r="J360" s="1259">
        <f t="shared" si="89"/>
        <v>312.68967298279398</v>
      </c>
      <c r="K360" s="1259">
        <f t="shared" si="89"/>
        <v>124.78336389486395</v>
      </c>
      <c r="L360" s="1259" t="str">
        <f t="shared" si="89"/>
        <v/>
      </c>
      <c r="M360" s="854">
        <f t="shared" si="90"/>
        <v>696.04081470042024</v>
      </c>
    </row>
    <row r="361" spans="1:13">
      <c r="A361" s="1682"/>
      <c r="B361" s="1303" t="s">
        <v>1589</v>
      </c>
      <c r="C361" s="1838" t="s">
        <v>815</v>
      </c>
      <c r="D361" s="1279" t="s">
        <v>1063</v>
      </c>
      <c r="E361" s="2206" t="str">
        <f t="shared" si="88"/>
        <v>Mar25-Feb30</v>
      </c>
      <c r="F361" s="1780"/>
      <c r="G361" s="1259">
        <f t="shared" si="89"/>
        <v>107.55163587631498</v>
      </c>
      <c r="H361" s="1259">
        <f t="shared" si="89"/>
        <v>36.26486033612791</v>
      </c>
      <c r="I361" s="1259">
        <f t="shared" si="89"/>
        <v>114.75128161031937</v>
      </c>
      <c r="J361" s="1259">
        <f t="shared" si="89"/>
        <v>312.68967298279398</v>
      </c>
      <c r="K361" s="1259">
        <f t="shared" si="89"/>
        <v>124.78336389486395</v>
      </c>
      <c r="L361" s="1259" t="str">
        <f t="shared" si="89"/>
        <v/>
      </c>
      <c r="M361" s="854">
        <f t="shared" si="90"/>
        <v>696.04081470042024</v>
      </c>
    </row>
    <row r="362" spans="1:13">
      <c r="A362" s="1682"/>
      <c r="B362" s="1303" t="s">
        <v>1590</v>
      </c>
      <c r="C362" s="1838" t="s">
        <v>1591</v>
      </c>
      <c r="D362" s="1279" t="s">
        <v>702</v>
      </c>
      <c r="E362" s="2206" t="str">
        <f t="shared" si="88"/>
        <v>Mar25-Feb30</v>
      </c>
      <c r="F362" s="1780"/>
      <c r="G362" s="1259">
        <f t="shared" si="89"/>
        <v>237.98659853482462</v>
      </c>
      <c r="H362" s="1259">
        <f t="shared" si="89"/>
        <v>242.8646707358869</v>
      </c>
      <c r="I362" s="1259">
        <f t="shared" si="89"/>
        <v>251.57011737646934</v>
      </c>
      <c r="J362" s="1259">
        <f t="shared" si="89"/>
        <v>287.57403659863382</v>
      </c>
      <c r="K362" s="1259">
        <f t="shared" si="89"/>
        <v>268.67769343128367</v>
      </c>
      <c r="L362" s="1259">
        <f t="shared" si="89"/>
        <v>175.22428489951696</v>
      </c>
      <c r="M362" s="854">
        <f t="shared" si="90"/>
        <v>1463.8974015766155</v>
      </c>
    </row>
    <row r="363" spans="1:13">
      <c r="A363" s="1682"/>
      <c r="B363" s="1303" t="s">
        <v>1592</v>
      </c>
      <c r="C363" s="1838" t="s">
        <v>1591</v>
      </c>
      <c r="D363" s="1279" t="s">
        <v>702</v>
      </c>
      <c r="E363" s="2206" t="str">
        <f t="shared" si="88"/>
        <v>Mar25-Feb30</v>
      </c>
      <c r="F363" s="1780"/>
      <c r="G363" s="1259">
        <f t="shared" si="89"/>
        <v>237.98659853482462</v>
      </c>
      <c r="H363" s="1259">
        <f t="shared" si="89"/>
        <v>242.8646707358869</v>
      </c>
      <c r="I363" s="1259">
        <f t="shared" si="89"/>
        <v>251.57011737646934</v>
      </c>
      <c r="J363" s="1259">
        <f t="shared" si="89"/>
        <v>287.57403659863382</v>
      </c>
      <c r="K363" s="1259">
        <f t="shared" si="89"/>
        <v>268.67769343128367</v>
      </c>
      <c r="L363" s="1259">
        <f t="shared" si="89"/>
        <v>175.22428489951696</v>
      </c>
      <c r="M363" s="854">
        <f t="shared" si="90"/>
        <v>1463.8974015766155</v>
      </c>
    </row>
    <row r="364" spans="1:13">
      <c r="A364" s="1682"/>
      <c r="B364" s="1303" t="s">
        <v>1593</v>
      </c>
      <c r="C364" s="1838" t="s">
        <v>838</v>
      </c>
      <c r="D364" s="1279" t="s">
        <v>1063</v>
      </c>
      <c r="E364" s="2206" t="str">
        <f t="shared" si="88"/>
        <v>Mar25-Feb30</v>
      </c>
      <c r="F364" s="1780"/>
      <c r="G364" s="1259">
        <f t="shared" ref="G364:L373" si="91">IF((SUMIF($B$236:$B$311,$B364,G$236:G$311)/G$218)*G$228*$F$316=0,"",(SUMIF($B$236:$B$311,$B364,G$236:G$311)/G$218)*G$228*$F$316)</f>
        <v>640.73314990145093</v>
      </c>
      <c r="H364" s="1259">
        <f t="shared" si="91"/>
        <v>615.40369055247345</v>
      </c>
      <c r="I364" s="1259">
        <f t="shared" si="91"/>
        <v>617.89151636325812</v>
      </c>
      <c r="J364" s="1259">
        <f t="shared" si="91"/>
        <v>703.23781875648444</v>
      </c>
      <c r="K364" s="1259">
        <f t="shared" si="91"/>
        <v>629.53769172183615</v>
      </c>
      <c r="L364" s="1259">
        <f t="shared" si="91"/>
        <v>591.11806954053907</v>
      </c>
      <c r="M364" s="854">
        <f t="shared" si="90"/>
        <v>3797.9219368360427</v>
      </c>
    </row>
    <row r="365" spans="1:13">
      <c r="A365" s="1682"/>
      <c r="B365" s="1303" t="s">
        <v>1594</v>
      </c>
      <c r="C365" s="1838" t="s">
        <v>1595</v>
      </c>
      <c r="D365" s="1279" t="s">
        <v>702</v>
      </c>
      <c r="E365" s="2206" t="str">
        <f t="shared" si="88"/>
        <v>Mar25-Feb30</v>
      </c>
      <c r="F365" s="1780"/>
      <c r="G365" s="1259">
        <f t="shared" si="91"/>
        <v>800.91643737681363</v>
      </c>
      <c r="H365" s="1259">
        <f t="shared" si="91"/>
        <v>769.25461319059195</v>
      </c>
      <c r="I365" s="1259">
        <f t="shared" si="91"/>
        <v>993.03993701237903</v>
      </c>
      <c r="J365" s="1259">
        <f t="shared" si="91"/>
        <v>1130.2036372872071</v>
      </c>
      <c r="K365" s="1259">
        <f t="shared" si="91"/>
        <v>1011.757004552951</v>
      </c>
      <c r="L365" s="1259">
        <f t="shared" si="91"/>
        <v>422.22719252895655</v>
      </c>
      <c r="M365" s="854">
        <f t="shared" si="90"/>
        <v>5127.3988219489001</v>
      </c>
    </row>
    <row r="366" spans="1:13">
      <c r="A366" s="1682"/>
      <c r="B366" s="1303" t="s">
        <v>1596</v>
      </c>
      <c r="C366" s="1838" t="s">
        <v>1597</v>
      </c>
      <c r="D366" s="1279" t="s">
        <v>1063</v>
      </c>
      <c r="E366" s="2206" t="str">
        <f t="shared" si="88"/>
        <v>Mar25-Feb30</v>
      </c>
      <c r="F366" s="1780"/>
      <c r="G366" s="1259">
        <f t="shared" si="91"/>
        <v>286.04158477743346</v>
      </c>
      <c r="H366" s="1259">
        <f t="shared" si="91"/>
        <v>439.57406468033827</v>
      </c>
      <c r="I366" s="1259">
        <f t="shared" si="91"/>
        <v>772.36439545407256</v>
      </c>
      <c r="J366" s="1259">
        <f t="shared" si="91"/>
        <v>941.83636440600606</v>
      </c>
      <c r="K366" s="1259">
        <f t="shared" si="91"/>
        <v>843.13083712745913</v>
      </c>
      <c r="L366" s="1259">
        <f t="shared" si="91"/>
        <v>263.89199533059781</v>
      </c>
      <c r="M366" s="854">
        <f t="shared" si="90"/>
        <v>3546.8392417759069</v>
      </c>
    </row>
    <row r="367" spans="1:13">
      <c r="A367" s="1682"/>
      <c r="B367" s="1303" t="s">
        <v>1598</v>
      </c>
      <c r="C367" s="1838" t="s">
        <v>1509</v>
      </c>
      <c r="D367" s="1279" t="s">
        <v>1063</v>
      </c>
      <c r="E367" s="2206" t="str">
        <f t="shared" si="88"/>
        <v>Mar25-Feb30</v>
      </c>
      <c r="F367" s="1780"/>
      <c r="G367" s="1259" t="str">
        <f t="shared" si="91"/>
        <v/>
      </c>
      <c r="H367" s="1259" t="str">
        <f t="shared" si="91"/>
        <v/>
      </c>
      <c r="I367" s="1259" t="str">
        <f t="shared" si="91"/>
        <v/>
      </c>
      <c r="J367" s="1259">
        <f t="shared" si="91"/>
        <v>3767.3454576240242</v>
      </c>
      <c r="K367" s="1259">
        <f t="shared" si="91"/>
        <v>337.25233485098369</v>
      </c>
      <c r="L367" s="1259">
        <f t="shared" si="91"/>
        <v>316.67039439671743</v>
      </c>
      <c r="M367" s="854">
        <f t="shared" si="90"/>
        <v>4421.2681868717254</v>
      </c>
    </row>
    <row r="368" spans="1:13">
      <c r="A368" s="1682"/>
      <c r="B368" s="1303" t="s">
        <v>1599</v>
      </c>
      <c r="C368" s="1838" t="s">
        <v>1600</v>
      </c>
      <c r="D368" s="1279" t="s">
        <v>702</v>
      </c>
      <c r="E368" s="2206" t="str">
        <f t="shared" si="88"/>
        <v>Mar25-Feb30</v>
      </c>
      <c r="F368" s="1780"/>
      <c r="G368" s="1259">
        <f t="shared" si="91"/>
        <v>1132.7246757186365</v>
      </c>
      <c r="H368" s="1259">
        <f t="shared" si="91"/>
        <v>1087.9458100838369</v>
      </c>
      <c r="I368" s="1259">
        <f t="shared" si="91"/>
        <v>1092.3439307136168</v>
      </c>
      <c r="J368" s="1259">
        <f t="shared" si="91"/>
        <v>1243.224001015928</v>
      </c>
      <c r="K368" s="1259">
        <f t="shared" si="91"/>
        <v>1112.9327050082461</v>
      </c>
      <c r="L368" s="1259">
        <f t="shared" si="91"/>
        <v>1045.0123015091674</v>
      </c>
      <c r="M368" s="854">
        <f t="shared" si="90"/>
        <v>6714.1834240494327</v>
      </c>
    </row>
    <row r="369" spans="1:13">
      <c r="A369" s="1682"/>
      <c r="B369" s="1303" t="s">
        <v>1601</v>
      </c>
      <c r="C369" s="1838" t="s">
        <v>1150</v>
      </c>
      <c r="D369" s="1279" t="s">
        <v>702</v>
      </c>
      <c r="E369" s="2206" t="str">
        <f t="shared" si="88"/>
        <v>Mar25-Feb30</v>
      </c>
      <c r="F369" s="1780"/>
      <c r="G369" s="1259">
        <f t="shared" si="91"/>
        <v>1086.9580221542471</v>
      </c>
      <c r="H369" s="1259">
        <f t="shared" si="91"/>
        <v>1043.9884036158035</v>
      </c>
      <c r="I369" s="1259">
        <f t="shared" si="91"/>
        <v>1048.2088224019556</v>
      </c>
      <c r="J369" s="1259">
        <f t="shared" si="91"/>
        <v>1192.9927282476078</v>
      </c>
      <c r="K369" s="1259">
        <f t="shared" si="91"/>
        <v>1067.965727028115</v>
      </c>
      <c r="L369" s="1259">
        <f t="shared" si="91"/>
        <v>1002.7895822562717</v>
      </c>
      <c r="M369" s="854">
        <f t="shared" si="90"/>
        <v>6442.9032857040002</v>
      </c>
    </row>
    <row r="370" spans="1:13">
      <c r="A370" s="1682"/>
      <c r="B370" s="1303" t="s">
        <v>1602</v>
      </c>
      <c r="C370" s="1838" t="s">
        <v>1603</v>
      </c>
      <c r="D370" s="1279" t="s">
        <v>1063</v>
      </c>
      <c r="E370" s="2206" t="str">
        <f t="shared" si="88"/>
        <v>Mar25-Feb30</v>
      </c>
      <c r="F370" s="1780"/>
      <c r="G370" s="1259">
        <f t="shared" si="91"/>
        <v>45.766653564389351</v>
      </c>
      <c r="H370" s="1259">
        <f t="shared" si="91"/>
        <v>43.957406468033817</v>
      </c>
      <c r="I370" s="1259">
        <f t="shared" si="91"/>
        <v>44.135108311661284</v>
      </c>
      <c r="J370" s="1259">
        <f t="shared" si="91"/>
        <v>50.231272768320324</v>
      </c>
      <c r="K370" s="1259">
        <f t="shared" si="91"/>
        <v>44.966977980131148</v>
      </c>
      <c r="L370" s="1259">
        <f t="shared" si="91"/>
        <v>42.222719252895644</v>
      </c>
      <c r="M370" s="854">
        <f t="shared" si="90"/>
        <v>271.28013834543162</v>
      </c>
    </row>
    <row r="371" spans="1:13">
      <c r="A371" s="1682"/>
      <c r="B371" s="1303" t="s">
        <v>1604</v>
      </c>
      <c r="C371" s="1838" t="s">
        <v>843</v>
      </c>
      <c r="D371" s="1279" t="s">
        <v>1063</v>
      </c>
      <c r="E371" s="2206" t="str">
        <f t="shared" si="88"/>
        <v>Mar25-Feb30</v>
      </c>
      <c r="F371" s="1780"/>
      <c r="G371" s="1259" t="str">
        <f t="shared" si="91"/>
        <v/>
      </c>
      <c r="H371" s="1259" t="str">
        <f t="shared" si="91"/>
        <v/>
      </c>
      <c r="I371" s="1259" t="str">
        <f t="shared" si="91"/>
        <v/>
      </c>
      <c r="J371" s="1259" t="str">
        <f t="shared" si="91"/>
        <v/>
      </c>
      <c r="K371" s="1259" t="str">
        <f t="shared" si="91"/>
        <v/>
      </c>
      <c r="L371" s="1259" t="str">
        <f t="shared" si="91"/>
        <v/>
      </c>
      <c r="M371" s="854">
        <f t="shared" si="90"/>
        <v>0</v>
      </c>
    </row>
    <row r="372" spans="1:13">
      <c r="A372" s="1682"/>
      <c r="B372" s="1303" t="s">
        <v>1605</v>
      </c>
      <c r="C372" s="1838" t="s">
        <v>1606</v>
      </c>
      <c r="D372" s="1279" t="s">
        <v>1063</v>
      </c>
      <c r="E372" s="2206" t="str">
        <f t="shared" si="88"/>
        <v>Mar25-Feb30</v>
      </c>
      <c r="F372" s="1780"/>
      <c r="G372" s="1259">
        <f t="shared" si="91"/>
        <v>114.41663391097337</v>
      </c>
      <c r="H372" s="1259">
        <f t="shared" si="91"/>
        <v>109.89351617008457</v>
      </c>
      <c r="I372" s="1259">
        <f t="shared" si="91"/>
        <v>110.33777077915323</v>
      </c>
      <c r="J372" s="1259">
        <f t="shared" si="91"/>
        <v>125.5781819208008</v>
      </c>
      <c r="K372" s="1259">
        <f t="shared" si="91"/>
        <v>112.41744495032789</v>
      </c>
      <c r="L372" s="1259">
        <f t="shared" si="91"/>
        <v>105.55679813223914</v>
      </c>
      <c r="M372" s="854">
        <f t="shared" si="90"/>
        <v>678.20034586357895</v>
      </c>
    </row>
    <row r="373" spans="1:13">
      <c r="A373" s="1682"/>
      <c r="B373" s="1303" t="s">
        <v>1607</v>
      </c>
      <c r="C373" s="1838" t="s">
        <v>1608</v>
      </c>
      <c r="D373" s="1279" t="s">
        <v>1063</v>
      </c>
      <c r="E373" s="2206" t="str">
        <f t="shared" si="88"/>
        <v>Mar25-Feb30</v>
      </c>
      <c r="F373" s="1780"/>
      <c r="G373" s="1259">
        <f t="shared" si="91"/>
        <v>4945.0869176322694</v>
      </c>
      <c r="H373" s="1259">
        <f t="shared" si="91"/>
        <v>1637.4133909342597</v>
      </c>
      <c r="I373" s="1259">
        <f t="shared" si="91"/>
        <v>2322.6100749011753</v>
      </c>
      <c r="J373" s="1259">
        <f t="shared" si="91"/>
        <v>1940.1829106763723</v>
      </c>
      <c r="K373" s="1259">
        <f t="shared" si="91"/>
        <v>2997.0490823757414</v>
      </c>
      <c r="L373" s="1259">
        <f t="shared" si="91"/>
        <v>4030.1585526888898</v>
      </c>
      <c r="M373" s="854">
        <f t="shared" si="90"/>
        <v>17872.500929208709</v>
      </c>
    </row>
    <row r="374" spans="1:13" s="1486" customFormat="1" ht="9" thickBot="1">
      <c r="A374" s="1912"/>
      <c r="B374" s="1913"/>
      <c r="C374" s="1914"/>
      <c r="D374" s="1915"/>
      <c r="E374" s="2199"/>
      <c r="F374" s="2200"/>
      <c r="G374" s="1916"/>
      <c r="H374" s="1916"/>
      <c r="I374" s="1916"/>
      <c r="J374" s="1916"/>
      <c r="K374" s="1916"/>
      <c r="L374" s="1916"/>
      <c r="M374" s="1916">
        <f t="shared" si="90"/>
        <v>0</v>
      </c>
    </row>
    <row r="375" spans="1:13">
      <c r="A375" s="1704"/>
      <c r="B375" s="1312" t="s">
        <v>389</v>
      </c>
      <c r="C375" s="1863" t="s">
        <v>1373</v>
      </c>
      <c r="D375" s="1311" t="s">
        <v>389</v>
      </c>
      <c r="E375" s="2232"/>
      <c r="F375" s="1795"/>
      <c r="G375" s="1310">
        <f t="shared" ref="G375:L375" si="92">((G228*$F$316)-(SUM(G317:G374)))</f>
        <v>16746.211786151311</v>
      </c>
      <c r="H375" s="1310">
        <f t="shared" si="92"/>
        <v>18916.218338550112</v>
      </c>
      <c r="I375" s="1310">
        <f t="shared" si="92"/>
        <v>14096.828219620846</v>
      </c>
      <c r="J375" s="1310">
        <f t="shared" si="92"/>
        <v>4300.4960272113676</v>
      </c>
      <c r="K375" s="1310">
        <f t="shared" si="92"/>
        <v>7805.571761461877</v>
      </c>
      <c r="L375" s="1310">
        <f t="shared" si="92"/>
        <v>12319.789650564519</v>
      </c>
      <c r="M375" s="1310">
        <f t="shared" si="90"/>
        <v>74185.115783560032</v>
      </c>
    </row>
    <row r="376" spans="1:13" ht="12.75" thickBot="1">
      <c r="A376" s="1704"/>
      <c r="B376" s="1309" t="s">
        <v>449</v>
      </c>
      <c r="C376" s="1864" t="s">
        <v>1372</v>
      </c>
      <c r="D376" s="1308" t="s">
        <v>389</v>
      </c>
      <c r="E376" s="2233"/>
      <c r="F376" s="1796"/>
      <c r="G376" s="1307"/>
      <c r="H376" s="1307"/>
      <c r="I376" s="1307"/>
      <c r="J376" s="1307"/>
      <c r="K376" s="1307"/>
      <c r="L376" s="1307"/>
      <c r="M376" s="1307">
        <f t="shared" si="90"/>
        <v>0</v>
      </c>
    </row>
    <row r="377" spans="1:13">
      <c r="A377" s="1679"/>
      <c r="B377" s="1261" t="s">
        <v>825</v>
      </c>
      <c r="C377" s="1836" t="s">
        <v>1002</v>
      </c>
      <c r="D377" s="1276" t="str">
        <f>VLOOKUP(B377,$B$236:$D$311,3,0)</f>
        <v>T SA</v>
      </c>
      <c r="E377" s="2206" t="str">
        <f>VLOOKUP(B377,$B$236:$E$311,4,0)</f>
        <v>A Jun 2030</v>
      </c>
      <c r="F377" s="1797"/>
      <c r="G377" s="1294">
        <v>9.3871760546339864</v>
      </c>
      <c r="H377" s="1294">
        <v>12.731914377296013</v>
      </c>
      <c r="I377" s="1294">
        <v>3.1414285661877601</v>
      </c>
      <c r="J377" s="1294">
        <v>3.1661420592534295</v>
      </c>
      <c r="K377" s="1294">
        <v>53.84432646443922</v>
      </c>
      <c r="L377" s="1294">
        <v>14.686854111529202</v>
      </c>
      <c r="M377" s="1289">
        <f t="shared" si="90"/>
        <v>96.957841633339612</v>
      </c>
    </row>
    <row r="378" spans="1:13">
      <c r="A378" s="1679"/>
      <c r="B378" s="1261" t="s">
        <v>897</v>
      </c>
      <c r="C378" s="1836" t="s">
        <v>1001</v>
      </c>
      <c r="D378" s="1276" t="str">
        <f>VLOOKUP(B378,$B$236:$D$311,3,0)</f>
        <v>T SA</v>
      </c>
      <c r="E378" s="2206" t="str">
        <f>VLOOKUP(B378,$B$236:$E$311,4,0)</f>
        <v>A Jun 2030</v>
      </c>
      <c r="F378" s="1797"/>
      <c r="G378" s="1294">
        <v>2033.925251626544</v>
      </c>
      <c r="H378" s="1294">
        <v>1825.4910579718382</v>
      </c>
      <c r="I378" s="1294">
        <v>1880.0043108852906</v>
      </c>
      <c r="J378" s="1294">
        <v>1613.4594101607704</v>
      </c>
      <c r="K378" s="1294">
        <v>1667.4725095698793</v>
      </c>
      <c r="L378" s="1294">
        <v>1713.3634492424405</v>
      </c>
      <c r="M378" s="1289">
        <f t="shared" si="90"/>
        <v>10733.715989456763</v>
      </c>
    </row>
    <row r="379" spans="1:13">
      <c r="A379" s="1679"/>
      <c r="B379" s="1261" t="s">
        <v>391</v>
      </c>
      <c r="C379" s="1836" t="s">
        <v>390</v>
      </c>
      <c r="D379" s="1276" t="s">
        <v>1090</v>
      </c>
      <c r="E379" s="2206"/>
      <c r="F379" s="2256"/>
      <c r="G379" s="1294"/>
      <c r="H379" s="1294"/>
      <c r="I379" s="1294"/>
      <c r="J379" s="1294"/>
      <c r="K379" s="1294"/>
      <c r="L379" s="1294"/>
      <c r="M379" s="1289">
        <f t="shared" si="90"/>
        <v>0</v>
      </c>
    </row>
    <row r="380" spans="1:13" ht="12.75" thickBot="1">
      <c r="A380" s="1679"/>
      <c r="B380" s="1306" t="s">
        <v>393</v>
      </c>
      <c r="C380" s="1865" t="s">
        <v>400</v>
      </c>
      <c r="D380" s="1276" t="s">
        <v>1090</v>
      </c>
      <c r="E380" s="2206"/>
      <c r="F380" s="1798"/>
      <c r="G380" s="1305">
        <v>-13.809534391629009</v>
      </c>
      <c r="H380" s="1305">
        <f>G380</f>
        <v>-13.809534391629009</v>
      </c>
      <c r="I380" s="1305">
        <f>H380</f>
        <v>-13.809534391629009</v>
      </c>
      <c r="J380" s="1305">
        <f>I380</f>
        <v>-13.809534391629009</v>
      </c>
      <c r="K380" s="1305">
        <f>J380</f>
        <v>-13.809534391629009</v>
      </c>
      <c r="L380" s="1305">
        <f>K380</f>
        <v>-13.809534391629009</v>
      </c>
      <c r="M380" s="1305">
        <f t="shared" si="90"/>
        <v>-82.85720634977406</v>
      </c>
    </row>
    <row r="381" spans="1:13">
      <c r="A381" s="1699"/>
      <c r="B381" s="1703"/>
      <c r="C381" s="1866" t="s">
        <v>606</v>
      </c>
      <c r="D381" s="1702"/>
      <c r="E381" s="2208"/>
      <c r="F381" s="1799"/>
      <c r="G381" s="1295">
        <f t="shared" ref="G381:L381" si="93">SUM(G317:G380)</f>
        <v>95183.072426246057</v>
      </c>
      <c r="H381" s="1295">
        <f t="shared" si="93"/>
        <v>93019.918565262516</v>
      </c>
      <c r="I381" s="1295">
        <f t="shared" si="93"/>
        <v>89918.279916628817</v>
      </c>
      <c r="J381" s="1295">
        <f t="shared" si="93"/>
        <v>91887.716863738577</v>
      </c>
      <c r="K381" s="1295">
        <f t="shared" si="93"/>
        <v>85414.980424800407</v>
      </c>
      <c r="L381" s="1295">
        <f t="shared" si="93"/>
        <v>90495.630960535404</v>
      </c>
      <c r="M381" s="1295">
        <f t="shared" si="90"/>
        <v>545919.59915721184</v>
      </c>
    </row>
    <row r="382" spans="1:13">
      <c r="A382" s="1699"/>
      <c r="B382" s="1701"/>
      <c r="C382" s="1867"/>
      <c r="D382" s="1700"/>
      <c r="E382" s="2234"/>
      <c r="F382" s="1800"/>
      <c r="G382" s="1294"/>
      <c r="H382" s="1294"/>
      <c r="I382" s="1294"/>
      <c r="J382" s="1294"/>
      <c r="K382" s="1294"/>
      <c r="L382" s="1294"/>
      <c r="M382" s="1289">
        <f t="shared" si="90"/>
        <v>0</v>
      </c>
    </row>
    <row r="383" spans="1:13" ht="12.75" thickBot="1">
      <c r="A383" s="1699"/>
      <c r="B383" s="1698"/>
      <c r="C383" s="1868" t="s">
        <v>593</v>
      </c>
      <c r="D383" s="1697"/>
      <c r="E383" s="2209"/>
      <c r="F383" s="1783"/>
      <c r="G383" s="1291">
        <f t="shared" ref="G383:L383" si="94">G381</f>
        <v>95183.072426246057</v>
      </c>
      <c r="H383" s="1291">
        <f t="shared" si="94"/>
        <v>93019.918565262516</v>
      </c>
      <c r="I383" s="1291">
        <f t="shared" si="94"/>
        <v>89918.279916628817</v>
      </c>
      <c r="J383" s="1291">
        <f t="shared" si="94"/>
        <v>91887.716863738577</v>
      </c>
      <c r="K383" s="1291">
        <f t="shared" si="94"/>
        <v>85414.980424800407</v>
      </c>
      <c r="L383" s="1291">
        <f t="shared" si="94"/>
        <v>90495.630960535404</v>
      </c>
      <c r="M383" s="1291">
        <f t="shared" si="90"/>
        <v>545919.59915721184</v>
      </c>
    </row>
    <row r="384" spans="1:13">
      <c r="A384" s="854"/>
      <c r="B384" s="1687"/>
      <c r="C384" s="1869"/>
      <c r="D384" s="1687"/>
      <c r="E384" s="2235"/>
      <c r="F384" s="2257"/>
    </row>
    <row r="385" spans="1:13">
      <c r="A385" s="854"/>
      <c r="C385" s="1822"/>
    </row>
    <row r="386" spans="1:13" ht="15.75">
      <c r="A386" s="1686"/>
      <c r="B386" s="1685" t="s">
        <v>1130</v>
      </c>
      <c r="C386" s="1382"/>
      <c r="D386" s="1288"/>
      <c r="E386" s="2191"/>
      <c r="F386" s="2253">
        <f>1-F316</f>
        <v>0.72</v>
      </c>
      <c r="G386" s="1684"/>
      <c r="H386" s="1684"/>
      <c r="I386" s="1684"/>
      <c r="J386" s="1684"/>
      <c r="K386" s="1684"/>
      <c r="L386" s="1684"/>
      <c r="M386" s="1751"/>
    </row>
    <row r="387" spans="1:13">
      <c r="A387" s="1679"/>
      <c r="B387" s="1261" t="s">
        <v>545</v>
      </c>
      <c r="C387" s="1836" t="str">
        <f t="shared" ref="C387:C427" si="95">VLOOKUP(B387,$B$236:$E$311,2,0)</f>
        <v>ELECTRO INVEST. - ENMIENDA 5</v>
      </c>
      <c r="D387" s="1276" t="str">
        <f t="shared" ref="D387:D422" si="96">VLOOKUP(B387,$B$236:$D$311,3,0)</f>
        <v>H</v>
      </c>
      <c r="E387" s="2206" t="str">
        <f t="shared" ref="E387:E418" si="97">VLOOKUP(B387,$B$236:$E$311,4,0)</f>
        <v>2016-Jun27</v>
      </c>
      <c r="F387" s="1780"/>
      <c r="G387" s="1259">
        <f t="shared" ref="G387:L396" si="98">IF((SUMIF($B$236:$B$311,$B387,G$236:G$311)/G$218)*G$228*$F$386=0,"",(SUMIF($B$236:$B$311,$B387,G$236:G$311)/G$218)*G$228*$F$386)</f>
        <v>1503.7614742585072</v>
      </c>
      <c r="H387" s="1259">
        <f t="shared" si="98"/>
        <v>1494.1187420169131</v>
      </c>
      <c r="I387" s="1259">
        <f t="shared" si="98"/>
        <v>1500.1588539431668</v>
      </c>
      <c r="J387" s="1259">
        <f t="shared" si="98"/>
        <v>1650.45610524481</v>
      </c>
      <c r="K387" s="1259">
        <f t="shared" si="98"/>
        <v>1477.4864193471662</v>
      </c>
      <c r="L387" s="1259">
        <f t="shared" si="98"/>
        <v>1451.8443331145179</v>
      </c>
      <c r="M387" s="854">
        <f t="shared" ref="M387:M427" si="99">SUM(G387:L387)</f>
        <v>9077.8259279250797</v>
      </c>
    </row>
    <row r="388" spans="1:13">
      <c r="A388" s="1679"/>
      <c r="B388" s="1261" t="s">
        <v>547</v>
      </c>
      <c r="C388" s="1836" t="str">
        <f t="shared" si="95"/>
        <v>FORTUNA</v>
      </c>
      <c r="D388" s="1276" t="str">
        <f t="shared" si="96"/>
        <v>H</v>
      </c>
      <c r="E388" s="2206" t="str">
        <f t="shared" si="97"/>
        <v>2015-2029</v>
      </c>
      <c r="F388" s="1780"/>
      <c r="G388" s="1259">
        <f t="shared" si="98"/>
        <v>2573.7139155669001</v>
      </c>
      <c r="H388" s="1259">
        <f t="shared" si="98"/>
        <v>2557.210211635721</v>
      </c>
      <c r="I388" s="1259">
        <f t="shared" si="98"/>
        <v>2567.5479682429291</v>
      </c>
      <c r="J388" s="1259">
        <f t="shared" si="98"/>
        <v>2824.7843277109318</v>
      </c>
      <c r="K388" s="1259">
        <f t="shared" si="98"/>
        <v>2528.7437021286637</v>
      </c>
      <c r="L388" s="1259">
        <f t="shared" si="98"/>
        <v>2484.8568255921609</v>
      </c>
      <c r="M388" s="854">
        <f t="shared" si="99"/>
        <v>15536.856950877307</v>
      </c>
    </row>
    <row r="389" spans="1:13">
      <c r="A389" s="1679"/>
      <c r="B389" s="1261" t="s">
        <v>558</v>
      </c>
      <c r="C389" s="1836" t="str">
        <f t="shared" si="95"/>
        <v xml:space="preserve">HIDROECOLOGICA DEL TERIBE </v>
      </c>
      <c r="D389" s="1276" t="str">
        <f t="shared" si="96"/>
        <v>H</v>
      </c>
      <c r="E389" s="2206" t="str">
        <f t="shared" si="97"/>
        <v>2015-2029</v>
      </c>
      <c r="F389" s="1780"/>
      <c r="G389" s="1259">
        <f t="shared" si="98"/>
        <v>871.85475040161703</v>
      </c>
      <c r="H389" s="1259">
        <f t="shared" si="98"/>
        <v>866.26406194763194</v>
      </c>
      <c r="I389" s="1259">
        <f t="shared" si="98"/>
        <v>869.76601379704914</v>
      </c>
      <c r="J389" s="1259">
        <f t="shared" si="98"/>
        <v>956.90574623650195</v>
      </c>
      <c r="K389" s="1259">
        <f t="shared" si="98"/>
        <v>856.62093052149839</v>
      </c>
      <c r="L389" s="1259">
        <f t="shared" si="98"/>
        <v>841.75409487313459</v>
      </c>
      <c r="M389" s="854">
        <f t="shared" si="99"/>
        <v>5263.1655977774335</v>
      </c>
    </row>
    <row r="390" spans="1:13">
      <c r="A390" s="1679"/>
      <c r="B390" s="1261" t="s">
        <v>559</v>
      </c>
      <c r="C390" s="1836" t="str">
        <f t="shared" si="95"/>
        <v xml:space="preserve">ESEPSA </v>
      </c>
      <c r="D390" s="1276" t="str">
        <f t="shared" si="96"/>
        <v>H</v>
      </c>
      <c r="E390" s="2206" t="str">
        <f t="shared" si="97"/>
        <v>2015-2029</v>
      </c>
      <c r="F390" s="1780"/>
      <c r="G390" s="1259">
        <f t="shared" si="98"/>
        <v>477.77771083875939</v>
      </c>
      <c r="H390" s="1259">
        <f t="shared" si="98"/>
        <v>474.71400518099097</v>
      </c>
      <c r="I390" s="1259">
        <f t="shared" si="98"/>
        <v>476.63308004674286</v>
      </c>
      <c r="J390" s="1259">
        <f t="shared" si="98"/>
        <v>524.38578411682499</v>
      </c>
      <c r="K390" s="1259">
        <f t="shared" si="98"/>
        <v>469.42955469658062</v>
      </c>
      <c r="L390" s="1259">
        <f t="shared" si="98"/>
        <v>461.28250646381093</v>
      </c>
      <c r="M390" s="854">
        <f t="shared" si="99"/>
        <v>2884.2226413437097</v>
      </c>
    </row>
    <row r="391" spans="1:13">
      <c r="A391" s="1679"/>
      <c r="B391" s="1261" t="s">
        <v>560</v>
      </c>
      <c r="C391" s="1836" t="str">
        <f t="shared" si="95"/>
        <v xml:space="preserve">PEDREGALITO </v>
      </c>
      <c r="D391" s="1276" t="str">
        <f t="shared" si="96"/>
        <v>H</v>
      </c>
      <c r="E391" s="2206" t="str">
        <f t="shared" si="97"/>
        <v>2015-2029</v>
      </c>
      <c r="F391" s="1780"/>
      <c r="G391" s="1259">
        <f t="shared" si="98"/>
        <v>343.33489694668248</v>
      </c>
      <c r="H391" s="1259">
        <f t="shared" si="98"/>
        <v>341.13329347623545</v>
      </c>
      <c r="I391" s="1259">
        <f t="shared" si="98"/>
        <v>342.51235607442396</v>
      </c>
      <c r="J391" s="1259">
        <f t="shared" si="98"/>
        <v>376.82783241182921</v>
      </c>
      <c r="K391" s="1259">
        <f t="shared" si="98"/>
        <v>337.33584495294673</v>
      </c>
      <c r="L391" s="1259">
        <f t="shared" si="98"/>
        <v>331.4813107167073</v>
      </c>
      <c r="M391" s="854">
        <f t="shared" si="99"/>
        <v>2072.625534578825</v>
      </c>
    </row>
    <row r="392" spans="1:13">
      <c r="A392" s="1679"/>
      <c r="B392" s="1261" t="s">
        <v>561</v>
      </c>
      <c r="C392" s="1836" t="str">
        <f t="shared" si="95"/>
        <v xml:space="preserve">CALDERA </v>
      </c>
      <c r="D392" s="1276" t="str">
        <f t="shared" si="96"/>
        <v>H</v>
      </c>
      <c r="E392" s="2206" t="str">
        <f t="shared" si="97"/>
        <v>2015-2029</v>
      </c>
      <c r="F392" s="1780"/>
      <c r="G392" s="1259">
        <f t="shared" si="98"/>
        <v>261.55642512048507</v>
      </c>
      <c r="H392" s="1259">
        <f t="shared" si="98"/>
        <v>259.87921858428962</v>
      </c>
      <c r="I392" s="1259">
        <f t="shared" si="98"/>
        <v>260.92980413911476</v>
      </c>
      <c r="J392" s="1259">
        <f t="shared" si="98"/>
        <v>287.07172387095062</v>
      </c>
      <c r="K392" s="1259">
        <f t="shared" si="98"/>
        <v>256.98627915644954</v>
      </c>
      <c r="L392" s="1259">
        <f t="shared" si="98"/>
        <v>252.52622846194043</v>
      </c>
      <c r="M392" s="854">
        <f t="shared" si="99"/>
        <v>1578.9496793332303</v>
      </c>
    </row>
    <row r="393" spans="1:13">
      <c r="A393" s="1679"/>
      <c r="B393" s="1261" t="s">
        <v>562</v>
      </c>
      <c r="C393" s="1836" t="str">
        <f t="shared" si="95"/>
        <v xml:space="preserve">RIO CHICO </v>
      </c>
      <c r="D393" s="1276" t="str">
        <f t="shared" si="96"/>
        <v>H</v>
      </c>
      <c r="E393" s="2206" t="str">
        <f t="shared" si="97"/>
        <v>2015-2029</v>
      </c>
      <c r="F393" s="1780"/>
      <c r="G393" s="1259">
        <f t="shared" si="98"/>
        <v>210.55275876965635</v>
      </c>
      <c r="H393" s="1259">
        <f t="shared" si="98"/>
        <v>209.20260855614202</v>
      </c>
      <c r="I393" s="1259">
        <f t="shared" si="98"/>
        <v>210.04832927124238</v>
      </c>
      <c r="J393" s="1259">
        <f t="shared" si="98"/>
        <v>231.09255831871246</v>
      </c>
      <c r="K393" s="1259">
        <f t="shared" si="98"/>
        <v>206.87379412459191</v>
      </c>
      <c r="L393" s="1259">
        <f t="shared" si="98"/>
        <v>203.2834561026954</v>
      </c>
      <c r="M393" s="854">
        <f t="shared" si="99"/>
        <v>1271.0535051430406</v>
      </c>
    </row>
    <row r="394" spans="1:13">
      <c r="A394" s="1679"/>
      <c r="B394" s="1261" t="s">
        <v>563</v>
      </c>
      <c r="C394" s="1836" t="str">
        <f t="shared" si="95"/>
        <v xml:space="preserve">ALTO VALLE </v>
      </c>
      <c r="D394" s="1276" t="str">
        <f t="shared" si="96"/>
        <v>H</v>
      </c>
      <c r="E394" s="2206" t="str">
        <f t="shared" si="97"/>
        <v>2015-2029</v>
      </c>
      <c r="F394" s="1780"/>
      <c r="G394" s="1259">
        <f t="shared" si="98"/>
        <v>200.35333311816387</v>
      </c>
      <c r="H394" s="1259">
        <f t="shared" si="98"/>
        <v>199.06858578420119</v>
      </c>
      <c r="I394" s="1259">
        <f t="shared" si="98"/>
        <v>199.87333878362784</v>
      </c>
      <c r="J394" s="1259">
        <f t="shared" si="98"/>
        <v>219.89816038748685</v>
      </c>
      <c r="K394" s="1259">
        <f t="shared" si="98"/>
        <v>196.85258188901983</v>
      </c>
      <c r="L394" s="1259">
        <f t="shared" si="98"/>
        <v>193.43616410417954</v>
      </c>
      <c r="M394" s="854">
        <f t="shared" si="99"/>
        <v>1209.4821640666792</v>
      </c>
    </row>
    <row r="395" spans="1:13">
      <c r="A395" s="1679"/>
      <c r="B395" s="1261" t="s">
        <v>564</v>
      </c>
      <c r="C395" s="1836" t="str">
        <f t="shared" si="95"/>
        <v xml:space="preserve">DESARROLLO HIDRO CORP </v>
      </c>
      <c r="D395" s="1276" t="str">
        <f t="shared" si="96"/>
        <v>H</v>
      </c>
      <c r="E395" s="2206" t="str">
        <f t="shared" si="97"/>
        <v>2015-2029</v>
      </c>
      <c r="F395" s="1780"/>
      <c r="G395" s="1259">
        <f t="shared" si="98"/>
        <v>165.9139263109609</v>
      </c>
      <c r="H395" s="1259">
        <f t="shared" si="98"/>
        <v>164.85001850779216</v>
      </c>
      <c r="I395" s="1259">
        <f t="shared" si="98"/>
        <v>165.51643981342946</v>
      </c>
      <c r="J395" s="1259">
        <f t="shared" si="98"/>
        <v>182.09912762932581</v>
      </c>
      <c r="K395" s="1259">
        <f t="shared" si="98"/>
        <v>163.01493095897118</v>
      </c>
      <c r="L395" s="1259">
        <f t="shared" si="98"/>
        <v>160.18577269252421</v>
      </c>
      <c r="M395" s="854">
        <f t="shared" si="99"/>
        <v>1001.5802159130037</v>
      </c>
    </row>
    <row r="396" spans="1:13">
      <c r="A396" s="1679"/>
      <c r="B396" s="1261" t="s">
        <v>565</v>
      </c>
      <c r="C396" s="1836" t="str">
        <f t="shared" si="95"/>
        <v xml:space="preserve">SAN LORENZO </v>
      </c>
      <c r="D396" s="1276" t="str">
        <f t="shared" si="96"/>
        <v>H</v>
      </c>
      <c r="E396" s="2206" t="str">
        <f t="shared" si="97"/>
        <v>2015-2029</v>
      </c>
      <c r="F396" s="1780"/>
      <c r="G396" s="1259">
        <f t="shared" si="98"/>
        <v>116.2178786334004</v>
      </c>
      <c r="H396" s="1259">
        <f t="shared" si="98"/>
        <v>115.47264216835495</v>
      </c>
      <c r="I396" s="1259">
        <f t="shared" si="98"/>
        <v>115.93945090550766</v>
      </c>
      <c r="J396" s="1259">
        <f t="shared" si="98"/>
        <v>127.55514129903968</v>
      </c>
      <c r="K396" s="1259">
        <f t="shared" si="98"/>
        <v>114.1872167265459</v>
      </c>
      <c r="L396" s="1259">
        <f t="shared" si="98"/>
        <v>112.20547366642224</v>
      </c>
      <c r="M396" s="854">
        <f t="shared" si="99"/>
        <v>701.57780339927081</v>
      </c>
    </row>
    <row r="397" spans="1:13">
      <c r="A397" s="1679"/>
      <c r="B397" s="1261" t="s">
        <v>566</v>
      </c>
      <c r="C397" s="1836" t="str">
        <f t="shared" si="95"/>
        <v xml:space="preserve">ELECTROGENERADORA ISTMO </v>
      </c>
      <c r="D397" s="1276" t="str">
        <f t="shared" si="96"/>
        <v>H</v>
      </c>
      <c r="E397" s="2206" t="str">
        <f t="shared" si="97"/>
        <v>2015-2029</v>
      </c>
      <c r="F397" s="1780"/>
      <c r="G397" s="1259">
        <f t="shared" ref="G397:L406" si="100">IF((SUMIF($B$236:$B$311,$B397,G$236:G$311)/G$218)*G$228*$F$386=0,"",(SUMIF($B$236:$B$311,$B397,G$236:G$311)/G$218)*G$228*$F$386)</f>
        <v>108.98347832354372</v>
      </c>
      <c r="H397" s="1259">
        <f t="shared" si="100"/>
        <v>108.28463178556487</v>
      </c>
      <c r="I397" s="1259">
        <f t="shared" si="100"/>
        <v>108.72238233208108</v>
      </c>
      <c r="J397" s="1259">
        <f t="shared" si="100"/>
        <v>119.61501225359019</v>
      </c>
      <c r="K397" s="1259">
        <f t="shared" si="100"/>
        <v>107.07922227868659</v>
      </c>
      <c r="L397" s="1259">
        <f t="shared" si="100"/>
        <v>105.22083995080828</v>
      </c>
      <c r="M397" s="854">
        <f t="shared" si="99"/>
        <v>657.90556692427481</v>
      </c>
    </row>
    <row r="398" spans="1:13">
      <c r="A398" s="1679"/>
      <c r="B398" s="1287" t="s">
        <v>568</v>
      </c>
      <c r="C398" s="1836" t="str">
        <f t="shared" si="95"/>
        <v>UEP NUEVO CHAGRES</v>
      </c>
      <c r="D398" s="1276" t="str">
        <f t="shared" si="96"/>
        <v>Eo</v>
      </c>
      <c r="E398" s="2206" t="str">
        <f t="shared" si="97"/>
        <v>Hasta-2029</v>
      </c>
      <c r="F398" s="1780"/>
      <c r="G398" s="1259">
        <f t="shared" si="100"/>
        <v>769.17399408322626</v>
      </c>
      <c r="H398" s="1259">
        <f t="shared" si="100"/>
        <v>677.1605985558391</v>
      </c>
      <c r="I398" s="1259">
        <f t="shared" si="100"/>
        <v>432.11097423362958</v>
      </c>
      <c r="J398" s="1259">
        <f t="shared" si="100"/>
        <v>654.80052001560409</v>
      </c>
      <c r="K398" s="1259">
        <f t="shared" si="100"/>
        <v>1181.7321813178467</v>
      </c>
      <c r="L398" s="1259">
        <f t="shared" si="100"/>
        <v>2533.1527429515481</v>
      </c>
      <c r="M398" s="854">
        <f t="shared" si="99"/>
        <v>6248.131011157694</v>
      </c>
    </row>
    <row r="399" spans="1:13">
      <c r="A399" s="1679"/>
      <c r="B399" s="1287" t="s">
        <v>571</v>
      </c>
      <c r="C399" s="1836" t="str">
        <f t="shared" si="95"/>
        <v>UEP ROSA DE LOS VIENTOS</v>
      </c>
      <c r="D399" s="1276" t="str">
        <f t="shared" si="96"/>
        <v>Eo</v>
      </c>
      <c r="E399" s="2206" t="str">
        <f t="shared" si="97"/>
        <v>Hasta-2029</v>
      </c>
      <c r="F399" s="1780"/>
      <c r="G399" s="1259">
        <f t="shared" si="100"/>
        <v>769.17399408322626</v>
      </c>
      <c r="H399" s="1259">
        <f t="shared" si="100"/>
        <v>677.1605985558391</v>
      </c>
      <c r="I399" s="1259">
        <f t="shared" si="100"/>
        <v>432.11097423362958</v>
      </c>
      <c r="J399" s="1259">
        <f t="shared" si="100"/>
        <v>654.80052001560409</v>
      </c>
      <c r="K399" s="1259">
        <f t="shared" si="100"/>
        <v>1181.7321813178467</v>
      </c>
      <c r="L399" s="1259">
        <f t="shared" si="100"/>
        <v>2533.1527429515481</v>
      </c>
      <c r="M399" s="854">
        <f t="shared" si="99"/>
        <v>6248.131011157694</v>
      </c>
    </row>
    <row r="400" spans="1:13">
      <c r="A400" s="1679"/>
      <c r="B400" s="1287" t="s">
        <v>573</v>
      </c>
      <c r="C400" s="1836" t="str">
        <f t="shared" si="95"/>
        <v>UEP PORTOBELO</v>
      </c>
      <c r="D400" s="1276" t="str">
        <f t="shared" si="96"/>
        <v>Eo</v>
      </c>
      <c r="E400" s="2206" t="str">
        <f t="shared" si="97"/>
        <v>Hasta-2029</v>
      </c>
      <c r="F400" s="1780"/>
      <c r="G400" s="1259">
        <f t="shared" si="100"/>
        <v>769.17399408322626</v>
      </c>
      <c r="H400" s="1259">
        <f t="shared" si="100"/>
        <v>677.1605985558391</v>
      </c>
      <c r="I400" s="1259">
        <f t="shared" si="100"/>
        <v>432.11097423362958</v>
      </c>
      <c r="J400" s="1259">
        <f t="shared" si="100"/>
        <v>654.80052001560409</v>
      </c>
      <c r="K400" s="1259">
        <f t="shared" si="100"/>
        <v>1181.7321813178467</v>
      </c>
      <c r="L400" s="1259">
        <f t="shared" si="100"/>
        <v>2533.1527429515481</v>
      </c>
      <c r="M400" s="854">
        <f t="shared" si="99"/>
        <v>6248.131011157694</v>
      </c>
    </row>
    <row r="401" spans="1:13">
      <c r="A401" s="1679"/>
      <c r="B401" s="1287" t="s">
        <v>575</v>
      </c>
      <c r="C401" s="1836" t="str">
        <f t="shared" si="95"/>
        <v>UEP MARAÑON</v>
      </c>
      <c r="D401" s="1276" t="str">
        <f t="shared" si="96"/>
        <v>Eo</v>
      </c>
      <c r="E401" s="2206" t="str">
        <f t="shared" si="97"/>
        <v>Hasta-2029</v>
      </c>
      <c r="F401" s="1780"/>
      <c r="G401" s="1259">
        <f t="shared" si="100"/>
        <v>769.17399408322626</v>
      </c>
      <c r="H401" s="1259">
        <f t="shared" si="100"/>
        <v>677.1605985558391</v>
      </c>
      <c r="I401" s="1259">
        <f t="shared" si="100"/>
        <v>432.11097423362958</v>
      </c>
      <c r="J401" s="1259">
        <f t="shared" si="100"/>
        <v>654.80052001560409</v>
      </c>
      <c r="K401" s="1259">
        <f t="shared" si="100"/>
        <v>1181.7321813178467</v>
      </c>
      <c r="L401" s="1259">
        <f t="shared" si="100"/>
        <v>2533.1527429515481</v>
      </c>
      <c r="M401" s="854">
        <f t="shared" si="99"/>
        <v>6248.131011157694</v>
      </c>
    </row>
    <row r="402" spans="1:13">
      <c r="A402" s="1679"/>
      <c r="B402" s="1287" t="s">
        <v>831</v>
      </c>
      <c r="C402" s="1836" t="str">
        <f t="shared" si="95"/>
        <v>AES PANAMA (CHAN 2)</v>
      </c>
      <c r="D402" s="1276" t="str">
        <f t="shared" si="96"/>
        <v>H</v>
      </c>
      <c r="E402" s="2206" t="str">
        <f t="shared" si="97"/>
        <v>2019-2030</v>
      </c>
      <c r="F402" s="1780"/>
      <c r="G402" s="1259">
        <f t="shared" si="100"/>
        <v>37757.489190621207</v>
      </c>
      <c r="H402" s="1259">
        <f t="shared" si="100"/>
        <v>37515.372761511615</v>
      </c>
      <c r="I402" s="1259">
        <f t="shared" si="100"/>
        <v>37667.032093572991</v>
      </c>
      <c r="J402" s="1259">
        <f t="shared" si="100"/>
        <v>41440.80003386426</v>
      </c>
      <c r="K402" s="1259">
        <f t="shared" si="100"/>
        <v>37097.756833608197</v>
      </c>
      <c r="L402" s="1259">
        <f t="shared" si="100"/>
        <v>36453.917494505833</v>
      </c>
      <c r="M402" s="854">
        <f t="shared" si="99"/>
        <v>227932.36840768409</v>
      </c>
    </row>
    <row r="403" spans="1:13">
      <c r="A403" s="1679"/>
      <c r="B403" s="1287" t="s">
        <v>687</v>
      </c>
      <c r="C403" s="1836" t="str">
        <f t="shared" si="95"/>
        <v>HIDRO PIEDRA</v>
      </c>
      <c r="D403" s="1276" t="str">
        <f t="shared" si="96"/>
        <v>H</v>
      </c>
      <c r="E403" s="2206" t="str">
        <f t="shared" si="97"/>
        <v>2019-2030</v>
      </c>
      <c r="F403" s="1780"/>
      <c r="G403" s="1259">
        <f t="shared" si="100"/>
        <v>192.67761150607916</v>
      </c>
      <c r="H403" s="1259">
        <f t="shared" si="100"/>
        <v>191.44208403147144</v>
      </c>
      <c r="I403" s="1259">
        <f t="shared" si="100"/>
        <v>192.21600619871799</v>
      </c>
      <c r="J403" s="1259">
        <f t="shared" si="100"/>
        <v>211.47365835462855</v>
      </c>
      <c r="K403" s="1259">
        <f t="shared" si="100"/>
        <v>189.31097729635218</v>
      </c>
      <c r="L403" s="1259">
        <f t="shared" si="100"/>
        <v>186.02544563862978</v>
      </c>
      <c r="M403" s="854">
        <f t="shared" si="99"/>
        <v>1163.1457830258792</v>
      </c>
    </row>
    <row r="404" spans="1:13">
      <c r="A404" s="1679"/>
      <c r="B404" s="1287" t="s">
        <v>688</v>
      </c>
      <c r="C404" s="1836" t="str">
        <f t="shared" si="95"/>
        <v>CORPORACION ENERGIA DEL ISTMO</v>
      </c>
      <c r="D404" s="1276" t="str">
        <f t="shared" si="96"/>
        <v>H</v>
      </c>
      <c r="E404" s="2206" t="str">
        <f t="shared" si="97"/>
        <v>2019-2030</v>
      </c>
      <c r="F404" s="1780"/>
      <c r="G404" s="1259">
        <f t="shared" si="100"/>
        <v>950.40994219820823</v>
      </c>
      <c r="H404" s="1259">
        <f t="shared" si="100"/>
        <v>944.31552579690685</v>
      </c>
      <c r="I404" s="1259">
        <f t="shared" si="100"/>
        <v>948.13300784108026</v>
      </c>
      <c r="J404" s="1259">
        <f t="shared" si="100"/>
        <v>1043.1241379952689</v>
      </c>
      <c r="K404" s="1259">
        <f t="shared" si="100"/>
        <v>933.80353629739511</v>
      </c>
      <c r="L404" s="1259">
        <f t="shared" si="100"/>
        <v>917.59718036170398</v>
      </c>
      <c r="M404" s="854">
        <f t="shared" si="99"/>
        <v>5737.3833304905629</v>
      </c>
    </row>
    <row r="405" spans="1:13">
      <c r="A405" s="1679"/>
      <c r="B405" s="1287" t="s">
        <v>800</v>
      </c>
      <c r="C405" s="1836" t="str">
        <f t="shared" si="95"/>
        <v>SALTOS DE FRANCOLI</v>
      </c>
      <c r="D405" s="1276" t="str">
        <f t="shared" si="96"/>
        <v>H</v>
      </c>
      <c r="E405" s="2206" t="str">
        <f t="shared" si="97"/>
        <v>2019-2030</v>
      </c>
      <c r="F405" s="1780"/>
      <c r="G405" s="1259">
        <f t="shared" si="100"/>
        <v>99.444400102051731</v>
      </c>
      <c r="H405" s="1259">
        <f t="shared" si="100"/>
        <v>98.806722026422818</v>
      </c>
      <c r="I405" s="1259">
        <f t="shared" si="100"/>
        <v>99.206157254241589</v>
      </c>
      <c r="J405" s="1259">
        <f t="shared" si="100"/>
        <v>109.14537982945029</v>
      </c>
      <c r="K405" s="1259">
        <f t="shared" si="100"/>
        <v>97.706819296827831</v>
      </c>
      <c r="L405" s="1259">
        <f t="shared" si="100"/>
        <v>96.011096985529662</v>
      </c>
      <c r="M405" s="854">
        <f t="shared" si="99"/>
        <v>600.32057549452395</v>
      </c>
    </row>
    <row r="406" spans="1:13">
      <c r="A406" s="1679"/>
      <c r="B406" s="1286" t="s">
        <v>690</v>
      </c>
      <c r="C406" s="1836" t="str">
        <f t="shared" si="95"/>
        <v>ISTMUS HIDRO POWER</v>
      </c>
      <c r="D406" s="1276" t="str">
        <f t="shared" si="96"/>
        <v>H SE</v>
      </c>
      <c r="E406" s="2206" t="str">
        <f t="shared" si="97"/>
        <v>2016-2027</v>
      </c>
      <c r="F406" s="1780"/>
      <c r="G406" s="1259">
        <f t="shared" si="100"/>
        <v>300.75229485170144</v>
      </c>
      <c r="H406" s="1259">
        <f t="shared" si="100"/>
        <v>200.63416237909723</v>
      </c>
      <c r="I406" s="1259">
        <f t="shared" si="100"/>
        <v>271.13740677572804</v>
      </c>
      <c r="J406" s="1259">
        <f t="shared" si="100"/>
        <v>272.7916906125281</v>
      </c>
      <c r="K406" s="1259">
        <f t="shared" si="100"/>
        <v>280.14427281621704</v>
      </c>
      <c r="L406" s="1259">
        <f t="shared" si="100"/>
        <v>262.62601512708488</v>
      </c>
      <c r="M406" s="854">
        <f t="shared" si="99"/>
        <v>1588.0858425623569</v>
      </c>
    </row>
    <row r="407" spans="1:13">
      <c r="A407" s="1679"/>
      <c r="B407" s="1286" t="s">
        <v>579</v>
      </c>
      <c r="C407" s="1836" t="str">
        <f t="shared" si="95"/>
        <v>CALDERA ENERGY CORP</v>
      </c>
      <c r="D407" s="1276" t="str">
        <f t="shared" si="96"/>
        <v>H SE</v>
      </c>
      <c r="E407" s="2206" t="str">
        <f t="shared" si="97"/>
        <v>2016-2027</v>
      </c>
      <c r="F407" s="1780"/>
      <c r="G407" s="1259">
        <f t="shared" ref="G407:L416" si="101">IF((SUMIF($B$236:$B$311,$B407,G$236:G$311)/G$218)*G$228*$F$386=0,"",(SUMIF($B$236:$B$311,$B407,G$236:G$311)/G$218)*G$228*$F$386)</f>
        <v>338.34633170816403</v>
      </c>
      <c r="H407" s="1259">
        <f t="shared" si="101"/>
        <v>571.66282303255798</v>
      </c>
      <c r="I407" s="1259">
        <f t="shared" si="101"/>
        <v>650.6123725253517</v>
      </c>
      <c r="J407" s="1259">
        <f t="shared" si="101"/>
        <v>1026.1531436956866</v>
      </c>
      <c r="K407" s="1259">
        <f t="shared" si="101"/>
        <v>655.2331077104825</v>
      </c>
      <c r="L407" s="1259">
        <f t="shared" si="101"/>
        <v>181.48054163931474</v>
      </c>
      <c r="M407" s="854">
        <f t="shared" si="99"/>
        <v>3423.4883203115578</v>
      </c>
    </row>
    <row r="408" spans="1:13">
      <c r="A408" s="1679"/>
      <c r="B408" s="1286" t="s">
        <v>581</v>
      </c>
      <c r="C408" s="1836" t="str">
        <f t="shared" si="95"/>
        <v>ELECTROGENERADORA DEL ISTMO</v>
      </c>
      <c r="D408" s="1276" t="str">
        <f t="shared" si="96"/>
        <v>H SE</v>
      </c>
      <c r="E408" s="2206" t="str">
        <f t="shared" si="97"/>
        <v>2016-2027</v>
      </c>
      <c r="F408" s="1780"/>
      <c r="G408" s="1259">
        <f t="shared" si="101"/>
        <v>112.78211056938802</v>
      </c>
      <c r="H408" s="1259">
        <f t="shared" si="101"/>
        <v>178.64463219767441</v>
      </c>
      <c r="I408" s="1259">
        <f t="shared" si="101"/>
        <v>256.82067336527041</v>
      </c>
      <c r="J408" s="1259">
        <f t="shared" si="101"/>
        <v>355.2068574331222</v>
      </c>
      <c r="K408" s="1259">
        <f t="shared" si="101"/>
        <v>250.5303058893021</v>
      </c>
      <c r="L408" s="1259">
        <f t="shared" si="101"/>
        <v>90.740270819657368</v>
      </c>
      <c r="M408" s="854">
        <f t="shared" si="99"/>
        <v>1244.7248502744144</v>
      </c>
    </row>
    <row r="409" spans="1:13">
      <c r="A409" s="1679"/>
      <c r="B409" s="1286" t="s">
        <v>582</v>
      </c>
      <c r="C409" s="1836" t="str">
        <f t="shared" si="95"/>
        <v>FOUNTAIN INTERTRADE CORP</v>
      </c>
      <c r="D409" s="1276" t="str">
        <f t="shared" si="96"/>
        <v>H SE</v>
      </c>
      <c r="E409" s="2206" t="str">
        <f t="shared" si="97"/>
        <v>2016-2027</v>
      </c>
      <c r="F409" s="1780"/>
      <c r="G409" s="1259">
        <f t="shared" si="101"/>
        <v>1423.2121639851819</v>
      </c>
      <c r="H409" s="1259">
        <f t="shared" si="101"/>
        <v>1507.630772379501</v>
      </c>
      <c r="I409" s="1259">
        <f t="shared" si="101"/>
        <v>2093.5695171246857</v>
      </c>
      <c r="J409" s="1259">
        <f t="shared" si="101"/>
        <v>3266.5037886433215</v>
      </c>
      <c r="K409" s="1259">
        <f t="shared" si="101"/>
        <v>2138.5973534650516</v>
      </c>
      <c r="L409" s="1259">
        <f t="shared" si="101"/>
        <v>1126.3787078302373</v>
      </c>
      <c r="M409" s="854">
        <f t="shared" si="99"/>
        <v>11555.89230342798</v>
      </c>
    </row>
    <row r="410" spans="1:13">
      <c r="A410" s="1679"/>
      <c r="B410" s="1286" t="s">
        <v>482</v>
      </c>
      <c r="C410" s="1836" t="str">
        <f t="shared" si="95"/>
        <v>HIDROIBÉRICA</v>
      </c>
      <c r="D410" s="1276" t="str">
        <f t="shared" si="96"/>
        <v>H SE</v>
      </c>
      <c r="E410" s="2206" t="str">
        <f t="shared" si="97"/>
        <v>2016-2027</v>
      </c>
      <c r="F410" s="1780"/>
      <c r="G410" s="1259">
        <f t="shared" si="101"/>
        <v>54.985365210930617</v>
      </c>
      <c r="H410" s="1259">
        <f t="shared" si="101"/>
        <v>54.632776610270604</v>
      </c>
      <c r="I410" s="1259">
        <f t="shared" si="101"/>
        <v>54.853634615921884</v>
      </c>
      <c r="J410" s="1259">
        <f t="shared" si="101"/>
        <v>60.34928628308198</v>
      </c>
      <c r="K410" s="1259">
        <f t="shared" si="101"/>
        <v>54.024612116128992</v>
      </c>
      <c r="L410" s="1259">
        <f t="shared" si="101"/>
        <v>53.08700365866563</v>
      </c>
      <c r="M410" s="854">
        <f t="shared" si="99"/>
        <v>331.93267849499972</v>
      </c>
    </row>
    <row r="411" spans="1:13">
      <c r="A411" s="1679"/>
      <c r="B411" s="1286" t="s">
        <v>584</v>
      </c>
      <c r="C411" s="1836" t="str">
        <f t="shared" si="95"/>
        <v>HIDROECOLOGICA DEL TERIBE</v>
      </c>
      <c r="D411" s="1276" t="str">
        <f t="shared" si="96"/>
        <v>H SE</v>
      </c>
      <c r="E411" s="2206" t="str">
        <f t="shared" si="97"/>
        <v>2016-2027</v>
      </c>
      <c r="F411" s="1780"/>
      <c r="G411" s="1259" t="str">
        <f t="shared" si="101"/>
        <v/>
      </c>
      <c r="H411" s="1259" t="str">
        <f t="shared" si="101"/>
        <v/>
      </c>
      <c r="I411" s="1259">
        <f t="shared" si="101"/>
        <v>68.485512897405442</v>
      </c>
      <c r="J411" s="1259">
        <f t="shared" si="101"/>
        <v>394.67428603680247</v>
      </c>
      <c r="K411" s="1259">
        <f t="shared" si="101"/>
        <v>154.17249593187822</v>
      </c>
      <c r="L411" s="1259">
        <f t="shared" si="101"/>
        <v>145.18443331145178</v>
      </c>
      <c r="M411" s="854">
        <f t="shared" si="99"/>
        <v>762.51672817753797</v>
      </c>
    </row>
    <row r="412" spans="1:13">
      <c r="A412" s="1679"/>
      <c r="B412" s="1286" t="s">
        <v>1273</v>
      </c>
      <c r="C412" s="1836" t="str">
        <f t="shared" si="95"/>
        <v>Generadora Gatún (NG Power)</v>
      </c>
      <c r="D412" s="1276" t="str">
        <f t="shared" si="96"/>
        <v>Gas2</v>
      </c>
      <c r="E412" s="2206" t="str">
        <f t="shared" si="97"/>
        <v>Oct24-Sep44</v>
      </c>
      <c r="F412" s="1780"/>
      <c r="G412" s="1259">
        <f t="shared" si="101"/>
        <v>52304.746930730682</v>
      </c>
      <c r="H412" s="1259">
        <f t="shared" si="101"/>
        <v>51969.347548414371</v>
      </c>
      <c r="I412" s="1259">
        <f t="shared" si="101"/>
        <v>52179.438398023201</v>
      </c>
      <c r="J412" s="1259">
        <f t="shared" si="101"/>
        <v>57407.16887808036</v>
      </c>
      <c r="K412" s="1259">
        <f t="shared" si="101"/>
        <v>51390.831977292743</v>
      </c>
      <c r="L412" s="1259">
        <f t="shared" si="101"/>
        <v>50498.933325722362</v>
      </c>
      <c r="M412" s="854">
        <f t="shared" si="99"/>
        <v>315750.46705826366</v>
      </c>
    </row>
    <row r="413" spans="1:13">
      <c r="A413" s="1679"/>
      <c r="B413" s="1286" t="s">
        <v>586</v>
      </c>
      <c r="C413" s="1836" t="str">
        <f t="shared" si="95"/>
        <v>GENERADORA ALTO VALLE</v>
      </c>
      <c r="D413" s="1276" t="str">
        <f t="shared" si="96"/>
        <v>H SE</v>
      </c>
      <c r="E413" s="2206" t="str">
        <f t="shared" si="97"/>
        <v>2016-2027</v>
      </c>
      <c r="F413" s="1780"/>
      <c r="G413" s="1259">
        <f t="shared" si="101"/>
        <v>306.45024322046788</v>
      </c>
      <c r="H413" s="1259">
        <f t="shared" si="101"/>
        <v>381.47774759491386</v>
      </c>
      <c r="I413" s="1259">
        <f t="shared" si="101"/>
        <v>367.0986552045926</v>
      </c>
      <c r="J413" s="1259">
        <f t="shared" si="101"/>
        <v>432.07864450892674</v>
      </c>
      <c r="K413" s="1259">
        <f t="shared" si="101"/>
        <v>399.37421493053478</v>
      </c>
      <c r="L413" s="1259">
        <f t="shared" si="101"/>
        <v>189.84758365472041</v>
      </c>
      <c r="M413" s="854">
        <f t="shared" si="99"/>
        <v>2076.3270891141565</v>
      </c>
    </row>
    <row r="414" spans="1:13">
      <c r="A414" s="1679"/>
      <c r="B414" s="1286" t="s">
        <v>483</v>
      </c>
      <c r="C414" s="1836" t="str">
        <f t="shared" si="95"/>
        <v>CAFÉ DE ELETA</v>
      </c>
      <c r="D414" s="1276" t="str">
        <f t="shared" si="96"/>
        <v>H SE</v>
      </c>
      <c r="E414" s="2206" t="str">
        <f t="shared" si="97"/>
        <v>2016-2027</v>
      </c>
      <c r="F414" s="1780"/>
      <c r="G414" s="1259">
        <f t="shared" si="101"/>
        <v>17.296526000656002</v>
      </c>
      <c r="H414" s="1259">
        <f t="shared" si="101"/>
        <v>17.507173955372089</v>
      </c>
      <c r="I414" s="1259">
        <f t="shared" si="101"/>
        <v>16.185409548086817</v>
      </c>
      <c r="J414" s="1259">
        <f t="shared" si="101"/>
        <v>18.255479703229554</v>
      </c>
      <c r="K414" s="1259">
        <f t="shared" si="101"/>
        <v>28.203930974537968</v>
      </c>
      <c r="L414" s="1259">
        <f t="shared" si="101"/>
        <v>19.78295713035174</v>
      </c>
      <c r="M414" s="854">
        <f t="shared" si="99"/>
        <v>117.23147731223418</v>
      </c>
    </row>
    <row r="415" spans="1:13">
      <c r="A415" s="1679"/>
      <c r="B415" s="1286" t="s">
        <v>490</v>
      </c>
      <c r="C415" s="1836" t="str">
        <f t="shared" si="95"/>
        <v>EMNADESA</v>
      </c>
      <c r="D415" s="1276" t="str">
        <f t="shared" si="96"/>
        <v>H SE</v>
      </c>
      <c r="E415" s="2206" t="str">
        <f t="shared" si="97"/>
        <v>2016-2027</v>
      </c>
      <c r="F415" s="1780"/>
      <c r="G415" s="1259">
        <f t="shared" si="101"/>
        <v>144.36110152881668</v>
      </c>
      <c r="H415" s="1259">
        <f t="shared" si="101"/>
        <v>233.66717891455812</v>
      </c>
      <c r="I415" s="1259">
        <f t="shared" si="101"/>
        <v>223.94762717451579</v>
      </c>
      <c r="J415" s="1259">
        <f t="shared" si="101"/>
        <v>184.77932482632116</v>
      </c>
      <c r="K415" s="1259">
        <f t="shared" si="101"/>
        <v>252.0720308486209</v>
      </c>
      <c r="L415" s="1259">
        <f t="shared" si="101"/>
        <v>157.52511014292523</v>
      </c>
      <c r="M415" s="854">
        <f t="shared" si="99"/>
        <v>1196.352373435758</v>
      </c>
    </row>
    <row r="416" spans="1:13">
      <c r="A416" s="1679"/>
      <c r="B416" s="1286" t="s">
        <v>484</v>
      </c>
      <c r="C416" s="1836" t="str">
        <f t="shared" si="95"/>
        <v xml:space="preserve">ESEPSA </v>
      </c>
      <c r="D416" s="1276" t="str">
        <f t="shared" si="96"/>
        <v>H SE</v>
      </c>
      <c r="E416" s="2206" t="str">
        <f t="shared" si="97"/>
        <v>2016-2027</v>
      </c>
      <c r="F416" s="1780"/>
      <c r="G416" s="1259">
        <f t="shared" si="101"/>
        <v>654.83717939543374</v>
      </c>
      <c r="H416" s="1259">
        <f t="shared" si="101"/>
        <v>650.63809616924289</v>
      </c>
      <c r="I416" s="1259">
        <f t="shared" si="101"/>
        <v>653.26836029339267</v>
      </c>
      <c r="J416" s="1259">
        <f t="shared" si="101"/>
        <v>718.71772164359299</v>
      </c>
      <c r="K416" s="1259">
        <f t="shared" si="101"/>
        <v>643.39528309662956</v>
      </c>
      <c r="L416" s="1259">
        <f t="shared" si="101"/>
        <v>632.22902321443553</v>
      </c>
      <c r="M416" s="854">
        <f t="shared" si="99"/>
        <v>3953.0856638127275</v>
      </c>
    </row>
    <row r="417" spans="1:18">
      <c r="A417" s="1679"/>
      <c r="B417" s="1286" t="s">
        <v>692</v>
      </c>
      <c r="C417" s="1836" t="str">
        <f t="shared" si="95"/>
        <v>Fuerza Eléctrica del Istmo (2016-27)</v>
      </c>
      <c r="D417" s="1276" t="str">
        <f t="shared" si="96"/>
        <v>H SE</v>
      </c>
      <c r="E417" s="2206" t="str">
        <f t="shared" si="97"/>
        <v>2016-2027</v>
      </c>
      <c r="F417" s="1780"/>
      <c r="G417" s="1259">
        <f t="shared" ref="G417:L426" si="102">IF((SUMIF($B$236:$B$311,$B417,G$236:G$311)/G$218)*G$228*$F$386=0,"",(SUMIF($B$236:$B$311,$B417,G$236:G$311)/G$218)*G$228*$F$386)</f>
        <v>56.900481726154773</v>
      </c>
      <c r="H417" s="1259">
        <f t="shared" si="102"/>
        <v>56.535612616860973</v>
      </c>
      <c r="I417" s="1259">
        <f t="shared" si="102"/>
        <v>56.764163011432835</v>
      </c>
      <c r="J417" s="1259">
        <f t="shared" si="102"/>
        <v>62.451225851899189</v>
      </c>
      <c r="K417" s="1259">
        <f t="shared" si="102"/>
        <v>55.906266016130907</v>
      </c>
      <c r="L417" s="1259">
        <f t="shared" si="102"/>
        <v>54.936001061164738</v>
      </c>
      <c r="M417" s="854">
        <f t="shared" si="99"/>
        <v>343.49375028364341</v>
      </c>
    </row>
    <row r="418" spans="1:18">
      <c r="A418" s="1679"/>
      <c r="B418" s="1286" t="s">
        <v>587</v>
      </c>
      <c r="C418" s="1836" t="str">
        <f t="shared" si="95"/>
        <v>Hidro CAISÀN (2016-27)</v>
      </c>
      <c r="D418" s="1276" t="str">
        <f t="shared" si="96"/>
        <v>H SE</v>
      </c>
      <c r="E418" s="2206" t="str">
        <f t="shared" si="97"/>
        <v>2016-2027</v>
      </c>
      <c r="F418" s="1780"/>
      <c r="G418" s="1259">
        <f t="shared" si="102"/>
        <v>595.96900398656715</v>
      </c>
      <c r="H418" s="1259">
        <f t="shared" si="102"/>
        <v>592.14740752455793</v>
      </c>
      <c r="I418" s="1259">
        <f t="shared" si="102"/>
        <v>594.54121768014261</v>
      </c>
      <c r="J418" s="1259">
        <f t="shared" si="102"/>
        <v>654.10685005832727</v>
      </c>
      <c r="K418" s="1259">
        <f t="shared" si="102"/>
        <v>585.55570468793633</v>
      </c>
      <c r="L418" s="1259">
        <f t="shared" si="102"/>
        <v>575.39326280216824</v>
      </c>
      <c r="M418" s="854">
        <f t="shared" si="99"/>
        <v>3597.7134467396991</v>
      </c>
    </row>
    <row r="419" spans="1:18">
      <c r="A419" s="1679"/>
      <c r="B419" s="1286" t="s">
        <v>1274</v>
      </c>
      <c r="C419" s="1836" t="str">
        <f t="shared" si="95"/>
        <v>PASO ANCHO (2024-27)</v>
      </c>
      <c r="D419" s="1276" t="str">
        <f t="shared" si="96"/>
        <v>H SE</v>
      </c>
      <c r="E419" s="2206" t="str">
        <f t="shared" ref="E419:E443" si="103">VLOOKUP(B419,$B$236:$E$311,4,0)</f>
        <v>2024-2027</v>
      </c>
      <c r="F419" s="1780"/>
      <c r="G419" s="1259">
        <f t="shared" si="102"/>
        <v>227.03529214620283</v>
      </c>
      <c r="H419" s="1259">
        <f t="shared" si="102"/>
        <v>208.42956451135936</v>
      </c>
      <c r="I419" s="1259">
        <f t="shared" si="102"/>
        <v>36.171765061979642</v>
      </c>
      <c r="J419" s="1259" t="str">
        <f t="shared" si="102"/>
        <v/>
      </c>
      <c r="K419" s="1259">
        <f t="shared" si="102"/>
        <v>269.80186788078686</v>
      </c>
      <c r="L419" s="1259">
        <f t="shared" si="102"/>
        <v>254.07275829504067</v>
      </c>
      <c r="M419" s="854">
        <f t="shared" si="99"/>
        <v>995.51124789536937</v>
      </c>
      <c r="O419" s="1380"/>
      <c r="P419" s="1380"/>
      <c r="Q419" s="1380"/>
      <c r="R419" s="1380"/>
    </row>
    <row r="420" spans="1:18" s="1380" customFormat="1">
      <c r="A420" s="1679"/>
      <c r="B420" s="1286" t="s">
        <v>588</v>
      </c>
      <c r="C420" s="1836" t="str">
        <f t="shared" si="95"/>
        <v>PEDREGALITO</v>
      </c>
      <c r="D420" s="1276" t="str">
        <f t="shared" si="96"/>
        <v>H SE</v>
      </c>
      <c r="E420" s="2206" t="str">
        <f t="shared" si="103"/>
        <v>2016-2027</v>
      </c>
      <c r="F420" s="1780"/>
      <c r="G420" s="1259">
        <f t="shared" si="102"/>
        <v>242.28212587651089</v>
      </c>
      <c r="H420" s="1259">
        <f t="shared" si="102"/>
        <v>240.72851401269887</v>
      </c>
      <c r="I420" s="1259">
        <f t="shared" si="102"/>
        <v>241.70168108944321</v>
      </c>
      <c r="J420" s="1259">
        <f t="shared" si="102"/>
        <v>265.91718213937793</v>
      </c>
      <c r="K420" s="1259">
        <f t="shared" si="102"/>
        <v>238.04875757281718</v>
      </c>
      <c r="L420" s="1259">
        <f t="shared" si="102"/>
        <v>233.91737153141173</v>
      </c>
      <c r="M420" s="854">
        <f t="shared" si="99"/>
        <v>1462.5956322222601</v>
      </c>
      <c r="O420" s="337"/>
      <c r="P420" s="337"/>
      <c r="Q420" s="337"/>
      <c r="R420" s="337"/>
    </row>
    <row r="421" spans="1:18">
      <c r="A421" s="1679"/>
      <c r="B421" s="1286" t="s">
        <v>589</v>
      </c>
      <c r="C421" s="1836" t="str">
        <f t="shared" si="95"/>
        <v>RÍO CHICO</v>
      </c>
      <c r="D421" s="1276" t="str">
        <f t="shared" si="96"/>
        <v>H SE</v>
      </c>
      <c r="E421" s="2206" t="str">
        <f t="shared" si="103"/>
        <v>2016-2027</v>
      </c>
      <c r="F421" s="1780"/>
      <c r="G421" s="1259">
        <f t="shared" si="102"/>
        <v>149.30471737544153</v>
      </c>
      <c r="H421" s="1259">
        <f t="shared" si="102"/>
        <v>148.34731459800423</v>
      </c>
      <c r="I421" s="1259">
        <f t="shared" si="102"/>
        <v>148.94702221088218</v>
      </c>
      <c r="J421" s="1259">
        <f t="shared" si="102"/>
        <v>163.86966054949411</v>
      </c>
      <c r="K421" s="1259">
        <f t="shared" si="102"/>
        <v>146.69593286093175</v>
      </c>
      <c r="L421" s="1259">
        <f t="shared" si="102"/>
        <v>144.1499942241077</v>
      </c>
      <c r="M421" s="854">
        <f t="shared" si="99"/>
        <v>901.31464181886156</v>
      </c>
    </row>
    <row r="422" spans="1:18" ht="12.75" thickBot="1">
      <c r="A422" s="1679"/>
      <c r="B422" s="1261" t="s">
        <v>945</v>
      </c>
      <c r="C422" s="1836" t="str">
        <f t="shared" si="95"/>
        <v>PARQUE EOLICO TOABRE (Enmienda 1)</v>
      </c>
      <c r="D422" s="1276" t="str">
        <f t="shared" si="96"/>
        <v>Eo</v>
      </c>
      <c r="E422" s="2206" t="str">
        <f t="shared" si="103"/>
        <v>Al 2036</v>
      </c>
      <c r="F422" s="1780"/>
      <c r="G422" s="1259">
        <f t="shared" si="102"/>
        <v>2294.8707715858086</v>
      </c>
      <c r="H422" s="1259">
        <f t="shared" si="102"/>
        <v>1948.8505330655387</v>
      </c>
      <c r="I422" s="1259">
        <f t="shared" si="102"/>
        <v>2292.6340746131441</v>
      </c>
      <c r="J422" s="1259">
        <f t="shared" si="102"/>
        <v>2134.8290926536133</v>
      </c>
      <c r="K422" s="1259">
        <f t="shared" si="102"/>
        <v>3208.7150715822154</v>
      </c>
      <c r="L422" s="1259">
        <f t="shared" si="102"/>
        <v>5636.9434324837584</v>
      </c>
      <c r="M422" s="854">
        <f t="shared" si="99"/>
        <v>17516.84297598408</v>
      </c>
    </row>
    <row r="423" spans="1:18" ht="12.75" thickBot="1">
      <c r="A423" s="1679"/>
      <c r="B423" s="1284" t="s">
        <v>1515</v>
      </c>
      <c r="C423" s="1829" t="str">
        <f t="shared" si="95"/>
        <v>Electron (SECCION)</v>
      </c>
      <c r="D423" s="1283" t="str">
        <f>VLOOKUP(B423,$B$236:$E$311,3,0)</f>
        <v>H3</v>
      </c>
      <c r="E423" s="2195" t="str">
        <f t="shared" si="103"/>
        <v>Ene26-Dic40</v>
      </c>
      <c r="F423" s="1780"/>
      <c r="G423" s="1259">
        <f t="shared" si="102"/>
        <v>16328.888182437484</v>
      </c>
      <c r="H423" s="1259">
        <f t="shared" si="102"/>
        <v>16224.180687770609</v>
      </c>
      <c r="I423" s="1259">
        <f t="shared" si="102"/>
        <v>16289.768424882866</v>
      </c>
      <c r="J423" s="1259">
        <f t="shared" si="102"/>
        <v>17921.800534125712</v>
      </c>
      <c r="K423" s="1259">
        <f t="shared" si="102"/>
        <v>16043.575357911079</v>
      </c>
      <c r="L423" s="1259">
        <f t="shared" si="102"/>
        <v>15765.135747623952</v>
      </c>
      <c r="M423" s="854">
        <f t="shared" si="99"/>
        <v>98573.348934751702</v>
      </c>
    </row>
    <row r="424" spans="1:18">
      <c r="A424" s="1679"/>
      <c r="B424" s="1304" t="s">
        <v>759</v>
      </c>
      <c r="C424" s="1836" t="str">
        <f t="shared" si="95"/>
        <v>PANAMA SOLAR (Ene-17  - Dic36)</v>
      </c>
      <c r="D424" s="1276" t="str">
        <f>VLOOKUP(B424,$B$236:$D$311,3,0)</f>
        <v>Sol1</v>
      </c>
      <c r="E424" s="2206" t="str">
        <f t="shared" si="103"/>
        <v>2017-2036</v>
      </c>
      <c r="F424" s="1780"/>
      <c r="G424" s="1259">
        <f t="shared" si="102"/>
        <v>629.56390706728325</v>
      </c>
      <c r="H424" s="1259">
        <f t="shared" si="102"/>
        <v>625.52688637700714</v>
      </c>
      <c r="I424" s="1259">
        <f t="shared" si="102"/>
        <v>628.05563613453842</v>
      </c>
      <c r="J424" s="1259">
        <f t="shared" si="102"/>
        <v>690.97899623564308</v>
      </c>
      <c r="K424" s="1259">
        <f t="shared" si="102"/>
        <v>618.56360781001729</v>
      </c>
      <c r="L424" s="1259">
        <f t="shared" si="102"/>
        <v>607.8283068528342</v>
      </c>
      <c r="M424" s="854">
        <f t="shared" si="99"/>
        <v>3800.5173404773232</v>
      </c>
    </row>
    <row r="425" spans="1:18">
      <c r="A425" s="1679"/>
      <c r="B425" s="1304" t="s">
        <v>760</v>
      </c>
      <c r="C425" s="1836" t="str">
        <f t="shared" si="95"/>
        <v>SOLPAC (Ene-17  - Dic36)</v>
      </c>
      <c r="D425" s="1276" t="str">
        <f>VLOOKUP(B425,$B$236:$D$311,3,0)</f>
        <v>Sol1</v>
      </c>
      <c r="E425" s="2206" t="str">
        <f t="shared" si="103"/>
        <v>2017-2036</v>
      </c>
      <c r="F425" s="1780"/>
      <c r="G425" s="1259">
        <f t="shared" si="102"/>
        <v>98.071400495120017</v>
      </c>
      <c r="H425" s="1259">
        <f t="shared" si="102"/>
        <v>97.442526653276929</v>
      </c>
      <c r="I425" s="1259">
        <f t="shared" si="102"/>
        <v>97.836446996293475</v>
      </c>
      <c r="J425" s="1259">
        <f t="shared" si="102"/>
        <v>107.63844164640066</v>
      </c>
      <c r="K425" s="1259">
        <f t="shared" si="102"/>
        <v>96.357809957423882</v>
      </c>
      <c r="L425" s="1259">
        <f t="shared" si="102"/>
        <v>94.685499985729436</v>
      </c>
      <c r="M425" s="854">
        <f t="shared" si="99"/>
        <v>592.03212573424435</v>
      </c>
    </row>
    <row r="426" spans="1:18" ht="12.75" thickBot="1">
      <c r="A426" s="1679"/>
      <c r="B426" s="1285" t="s">
        <v>792</v>
      </c>
      <c r="C426" s="1836" t="str">
        <f t="shared" si="95"/>
        <v>Gas Natural Atlántico</v>
      </c>
      <c r="D426" s="1276" t="str">
        <f>VLOOKUP(B426,$B$236:$D$311,3,0)</f>
        <v>Gas</v>
      </c>
      <c r="E426" s="2206" t="str">
        <f t="shared" si="103"/>
        <v>May18- Abr28</v>
      </c>
      <c r="F426" s="1780"/>
      <c r="G426" s="1259">
        <f t="shared" si="102"/>
        <v>41189.988207950402</v>
      </c>
      <c r="H426" s="1259">
        <f t="shared" si="102"/>
        <v>40925.86119437631</v>
      </c>
      <c r="I426" s="1259">
        <f t="shared" si="102"/>
        <v>41091.307738443269</v>
      </c>
      <c r="J426" s="1259">
        <f t="shared" si="102"/>
        <v>45208.145491488285</v>
      </c>
      <c r="K426" s="1259">
        <f t="shared" si="102"/>
        <v>40470.280182118033</v>
      </c>
      <c r="L426" s="1259">
        <f t="shared" si="102"/>
        <v>39767.909994006361</v>
      </c>
      <c r="M426" s="854">
        <f t="shared" si="99"/>
        <v>248653.49280838267</v>
      </c>
    </row>
    <row r="427" spans="1:18" ht="12.75" thickBot="1">
      <c r="A427" s="1679"/>
      <c r="B427" s="1284" t="s">
        <v>1324</v>
      </c>
      <c r="C427" s="1829" t="str">
        <f t="shared" si="95"/>
        <v>ALTERNEGY ENMIEDA 7</v>
      </c>
      <c r="D427" s="1283" t="str">
        <f>VLOOKUP(B427,$B$236:$D$311,3,0)</f>
        <v>H2</v>
      </c>
      <c r="E427" s="2195" t="str">
        <f t="shared" si="103"/>
        <v>Abr24-Mar39</v>
      </c>
      <c r="F427" s="1780"/>
      <c r="G427" s="1259">
        <f t="shared" ref="G427:L436" si="104">IF((SUMIF($B$236:$B$311,$B427,G$236:G$311)/G$218)*G$228*$F$386=0,"",(SUMIF($B$236:$B$311,$B427,G$236:G$311)/G$218)*G$228*$F$386)</f>
        <v>4017.6583736167504</v>
      </c>
      <c r="H427" s="1259">
        <f t="shared" si="104"/>
        <v>3553.4041386228323</v>
      </c>
      <c r="I427" s="1259">
        <f t="shared" si="104"/>
        <v>3496.0223726675545</v>
      </c>
      <c r="J427" s="1259">
        <f t="shared" si="104"/>
        <v>4093.8487306181064</v>
      </c>
      <c r="K427" s="1259">
        <f t="shared" si="104"/>
        <v>3433.5499614828714</v>
      </c>
      <c r="L427" s="1259">
        <f t="shared" si="104"/>
        <v>3749.5457994348858</v>
      </c>
      <c r="M427" s="854">
        <f t="shared" si="99"/>
        <v>22344.029376443003</v>
      </c>
    </row>
    <row r="428" spans="1:18" ht="12.75" thickBot="1">
      <c r="A428" s="1682"/>
      <c r="B428" s="1683" t="s">
        <v>1743</v>
      </c>
      <c r="C428" s="1845" t="s">
        <v>1744</v>
      </c>
      <c r="D428" s="1334" t="s">
        <v>702</v>
      </c>
      <c r="E428" s="2206" t="str">
        <f t="shared" si="103"/>
        <v>Jul25-Jun28</v>
      </c>
      <c r="F428" s="1780"/>
      <c r="G428" s="1259">
        <f t="shared" si="104"/>
        <v>874.63389774884786</v>
      </c>
      <c r="H428" s="1259">
        <f t="shared" si="104"/>
        <v>869.02538826793273</v>
      </c>
      <c r="I428" s="1259">
        <f t="shared" si="104"/>
        <v>872.53850303203012</v>
      </c>
      <c r="J428" s="1259">
        <f t="shared" si="104"/>
        <v>959.95600439587793</v>
      </c>
      <c r="K428" s="1259">
        <f t="shared" si="104"/>
        <v>859.3515181400719</v>
      </c>
      <c r="L428" s="1259">
        <f t="shared" si="104"/>
        <v>844.43729257173038</v>
      </c>
      <c r="M428" s="854">
        <f t="shared" ref="M428:M454" si="105">SUM(G428:L428)</f>
        <v>5279.9426041564911</v>
      </c>
    </row>
    <row r="429" spans="1:18">
      <c r="A429" s="1682"/>
      <c r="B429" s="1303" t="s">
        <v>1586</v>
      </c>
      <c r="C429" s="1838" t="s">
        <v>1587</v>
      </c>
      <c r="D429" s="1279" t="s">
        <v>1063</v>
      </c>
      <c r="E429" s="2206" t="str">
        <f t="shared" si="103"/>
        <v>Mar25-Feb30</v>
      </c>
      <c r="F429" s="1780"/>
      <c r="G429" s="1259">
        <f t="shared" si="104"/>
        <v>147.10710074268005</v>
      </c>
      <c r="H429" s="1259">
        <f t="shared" si="104"/>
        <v>141.29166364725157</v>
      </c>
      <c r="I429" s="1259">
        <f t="shared" si="104"/>
        <v>141.86284814462556</v>
      </c>
      <c r="J429" s="1259">
        <f t="shared" si="104"/>
        <v>161.45766246960102</v>
      </c>
      <c r="K429" s="1259">
        <f t="shared" si="104"/>
        <v>144.53671493613584</v>
      </c>
      <c r="L429" s="1259">
        <f t="shared" si="104"/>
        <v>135.71588331287887</v>
      </c>
      <c r="M429" s="854">
        <f t="shared" si="105"/>
        <v>871.97187325317282</v>
      </c>
    </row>
    <row r="430" spans="1:18">
      <c r="A430" s="1682"/>
      <c r="B430" s="1303" t="s">
        <v>1588</v>
      </c>
      <c r="C430" s="1838" t="s">
        <v>815</v>
      </c>
      <c r="D430" s="1279" t="s">
        <v>1063</v>
      </c>
      <c r="E430" s="2206" t="str">
        <f t="shared" si="103"/>
        <v>Mar25-Feb30</v>
      </c>
      <c r="F430" s="1780"/>
      <c r="G430" s="1259">
        <f t="shared" si="104"/>
        <v>276.56134939623848</v>
      </c>
      <c r="H430" s="1259">
        <f t="shared" si="104"/>
        <v>93.252498007186048</v>
      </c>
      <c r="I430" s="1259">
        <f t="shared" si="104"/>
        <v>295.07472414082116</v>
      </c>
      <c r="J430" s="1259">
        <f t="shared" si="104"/>
        <v>804.05915909861301</v>
      </c>
      <c r="K430" s="1259">
        <f t="shared" si="104"/>
        <v>320.87150715822156</v>
      </c>
      <c r="L430" s="1259" t="str">
        <f t="shared" si="104"/>
        <v/>
      </c>
      <c r="M430" s="854">
        <f t="shared" si="105"/>
        <v>1789.8192378010804</v>
      </c>
    </row>
    <row r="431" spans="1:18">
      <c r="A431" s="1682"/>
      <c r="B431" s="1303" t="s">
        <v>1589</v>
      </c>
      <c r="C431" s="1838" t="s">
        <v>815</v>
      </c>
      <c r="D431" s="1279" t="s">
        <v>1063</v>
      </c>
      <c r="E431" s="2206" t="str">
        <f t="shared" si="103"/>
        <v>Mar25-Feb30</v>
      </c>
      <c r="F431" s="1780"/>
      <c r="G431" s="1259">
        <f t="shared" si="104"/>
        <v>276.56134939623848</v>
      </c>
      <c r="H431" s="1259">
        <f t="shared" si="104"/>
        <v>93.252498007186048</v>
      </c>
      <c r="I431" s="1259">
        <f t="shared" si="104"/>
        <v>295.07472414082116</v>
      </c>
      <c r="J431" s="1259">
        <f t="shared" si="104"/>
        <v>804.05915909861301</v>
      </c>
      <c r="K431" s="1259">
        <f t="shared" si="104"/>
        <v>320.87150715822156</v>
      </c>
      <c r="L431" s="1259" t="str">
        <f t="shared" si="104"/>
        <v/>
      </c>
      <c r="M431" s="854">
        <f t="shared" si="105"/>
        <v>1789.8192378010804</v>
      </c>
    </row>
    <row r="432" spans="1:18">
      <c r="A432" s="1682"/>
      <c r="B432" s="1303" t="s">
        <v>1590</v>
      </c>
      <c r="C432" s="1838" t="s">
        <v>1591</v>
      </c>
      <c r="D432" s="1279" t="s">
        <v>702</v>
      </c>
      <c r="E432" s="2206" t="str">
        <f t="shared" si="103"/>
        <v>Mar25-Feb30</v>
      </c>
      <c r="F432" s="1780"/>
      <c r="G432" s="1259">
        <f t="shared" si="104"/>
        <v>611.965539089549</v>
      </c>
      <c r="H432" s="1259">
        <f t="shared" si="104"/>
        <v>624.50915332085196</v>
      </c>
      <c r="I432" s="1259">
        <f t="shared" si="104"/>
        <v>646.89458753949248</v>
      </c>
      <c r="J432" s="1259">
        <f t="shared" si="104"/>
        <v>739.47609411077258</v>
      </c>
      <c r="K432" s="1259">
        <f t="shared" si="104"/>
        <v>690.88549739472933</v>
      </c>
      <c r="L432" s="1259">
        <f t="shared" si="104"/>
        <v>450.57673259875781</v>
      </c>
      <c r="M432" s="854">
        <f t="shared" si="105"/>
        <v>3764.3076040541532</v>
      </c>
    </row>
    <row r="433" spans="1:18">
      <c r="A433" s="1682"/>
      <c r="B433" s="1303" t="s">
        <v>1592</v>
      </c>
      <c r="C433" s="1838" t="s">
        <v>1591</v>
      </c>
      <c r="D433" s="1279" t="s">
        <v>702</v>
      </c>
      <c r="E433" s="2206" t="str">
        <f t="shared" si="103"/>
        <v>Mar25-Feb30</v>
      </c>
      <c r="F433" s="1780"/>
      <c r="G433" s="1259">
        <f t="shared" si="104"/>
        <v>611.965539089549</v>
      </c>
      <c r="H433" s="1259">
        <f t="shared" si="104"/>
        <v>624.50915332085196</v>
      </c>
      <c r="I433" s="1259">
        <f t="shared" si="104"/>
        <v>646.89458753949248</v>
      </c>
      <c r="J433" s="1259">
        <f t="shared" si="104"/>
        <v>739.47609411077258</v>
      </c>
      <c r="K433" s="1259">
        <f t="shared" si="104"/>
        <v>690.88549739472933</v>
      </c>
      <c r="L433" s="1259">
        <f t="shared" si="104"/>
        <v>450.57673259875781</v>
      </c>
      <c r="M433" s="854">
        <f t="shared" si="105"/>
        <v>3764.3076040541532</v>
      </c>
    </row>
    <row r="434" spans="1:18">
      <c r="A434" s="1682"/>
      <c r="B434" s="1303" t="s">
        <v>1593</v>
      </c>
      <c r="C434" s="1838" t="s">
        <v>838</v>
      </c>
      <c r="D434" s="1279" t="s">
        <v>1063</v>
      </c>
      <c r="E434" s="2206" t="str">
        <f t="shared" si="103"/>
        <v>Mar25-Feb30</v>
      </c>
      <c r="F434" s="1780"/>
      <c r="G434" s="1259">
        <f t="shared" si="104"/>
        <v>1647.5995283180164</v>
      </c>
      <c r="H434" s="1259">
        <f t="shared" si="104"/>
        <v>1582.4666328492171</v>
      </c>
      <c r="I434" s="1259">
        <f t="shared" si="104"/>
        <v>1588.8638992198064</v>
      </c>
      <c r="J434" s="1259">
        <f t="shared" si="104"/>
        <v>1808.3258196595311</v>
      </c>
      <c r="K434" s="1259">
        <f t="shared" si="104"/>
        <v>1618.8112072847214</v>
      </c>
      <c r="L434" s="1259">
        <f t="shared" si="104"/>
        <v>1520.0178931042431</v>
      </c>
      <c r="M434" s="854">
        <f t="shared" si="105"/>
        <v>9766.0849804355348</v>
      </c>
    </row>
    <row r="435" spans="1:18">
      <c r="A435" s="1682"/>
      <c r="B435" s="1303" t="s">
        <v>1594</v>
      </c>
      <c r="C435" s="1838" t="s">
        <v>1595</v>
      </c>
      <c r="D435" s="1279" t="s">
        <v>702</v>
      </c>
      <c r="E435" s="2206" t="str">
        <f t="shared" si="103"/>
        <v>Mar25-Feb30</v>
      </c>
      <c r="F435" s="1780"/>
      <c r="G435" s="1259">
        <f t="shared" si="104"/>
        <v>2059.4994103975205</v>
      </c>
      <c r="H435" s="1259">
        <f t="shared" si="104"/>
        <v>1978.0832910615218</v>
      </c>
      <c r="I435" s="1259">
        <f t="shared" si="104"/>
        <v>2553.5312666032601</v>
      </c>
      <c r="J435" s="1259">
        <f t="shared" si="104"/>
        <v>2906.2379244528179</v>
      </c>
      <c r="K435" s="1259">
        <f t="shared" si="104"/>
        <v>2601.6608688504452</v>
      </c>
      <c r="L435" s="1259">
        <f t="shared" si="104"/>
        <v>1085.727066503031</v>
      </c>
      <c r="M435" s="854">
        <f t="shared" si="105"/>
        <v>13184.739827868598</v>
      </c>
    </row>
    <row r="436" spans="1:18">
      <c r="A436" s="1682"/>
      <c r="B436" s="1303" t="s">
        <v>1596</v>
      </c>
      <c r="C436" s="1838" t="s">
        <v>1597</v>
      </c>
      <c r="D436" s="1279" t="s">
        <v>1063</v>
      </c>
      <c r="E436" s="2206" t="str">
        <f t="shared" si="103"/>
        <v>Mar25-Feb30</v>
      </c>
      <c r="F436" s="1780"/>
      <c r="G436" s="1259">
        <f t="shared" si="104"/>
        <v>735.5355037134002</v>
      </c>
      <c r="H436" s="1259">
        <f t="shared" si="104"/>
        <v>1130.3333091780125</v>
      </c>
      <c r="I436" s="1259">
        <f t="shared" si="104"/>
        <v>1986.0798740247578</v>
      </c>
      <c r="J436" s="1259">
        <f t="shared" si="104"/>
        <v>2421.8649370440153</v>
      </c>
      <c r="K436" s="1259">
        <f t="shared" si="104"/>
        <v>2168.0507240420375</v>
      </c>
      <c r="L436" s="1259">
        <f t="shared" si="104"/>
        <v>678.57941656439425</v>
      </c>
      <c r="M436" s="854">
        <f t="shared" si="105"/>
        <v>9120.4437645666185</v>
      </c>
    </row>
    <row r="437" spans="1:18">
      <c r="A437" s="1682"/>
      <c r="B437" s="1303" t="s">
        <v>1598</v>
      </c>
      <c r="C437" s="1838" t="s">
        <v>1509</v>
      </c>
      <c r="D437" s="1279" t="s">
        <v>1063</v>
      </c>
      <c r="E437" s="2206" t="str">
        <f t="shared" si="103"/>
        <v>Mar25-Feb30</v>
      </c>
      <c r="F437" s="1780"/>
      <c r="G437" s="1259" t="str">
        <f t="shared" ref="G437:L443" si="106">IF((SUMIF($B$236:$B$311,$B437,G$236:G$311)/G$218)*G$228*$F$386=0,"",(SUMIF($B$236:$B$311,$B437,G$236:G$311)/G$218)*G$228*$F$386)</f>
        <v/>
      </c>
      <c r="H437" s="1259" t="str">
        <f t="shared" si="106"/>
        <v/>
      </c>
      <c r="I437" s="1259" t="str">
        <f t="shared" si="106"/>
        <v/>
      </c>
      <c r="J437" s="1259">
        <f t="shared" si="106"/>
        <v>9687.4597481760611</v>
      </c>
      <c r="K437" s="1259">
        <f t="shared" si="106"/>
        <v>867.22028961681508</v>
      </c>
      <c r="L437" s="1259">
        <f t="shared" si="106"/>
        <v>814.29529987727324</v>
      </c>
      <c r="M437" s="854">
        <f t="shared" si="105"/>
        <v>11368.975337670148</v>
      </c>
    </row>
    <row r="438" spans="1:18">
      <c r="A438" s="1682"/>
      <c r="B438" s="1303" t="s">
        <v>1599</v>
      </c>
      <c r="C438" s="1838" t="s">
        <v>1600</v>
      </c>
      <c r="D438" s="1279" t="s">
        <v>702</v>
      </c>
      <c r="E438" s="2206" t="str">
        <f t="shared" si="103"/>
        <v>Mar25-Feb30</v>
      </c>
      <c r="F438" s="1780"/>
      <c r="G438" s="1259">
        <f t="shared" si="106"/>
        <v>2912.7205947050647</v>
      </c>
      <c r="H438" s="1259">
        <f t="shared" si="106"/>
        <v>2797.5749402155807</v>
      </c>
      <c r="I438" s="1259">
        <f t="shared" si="106"/>
        <v>2808.8843932635859</v>
      </c>
      <c r="J438" s="1259">
        <f t="shared" si="106"/>
        <v>3196.8617168981004</v>
      </c>
      <c r="K438" s="1259">
        <f t="shared" si="106"/>
        <v>2861.8269557354897</v>
      </c>
      <c r="L438" s="1259">
        <f t="shared" si="106"/>
        <v>2687.1744895950014</v>
      </c>
      <c r="M438" s="854">
        <f t="shared" si="105"/>
        <v>17265.043090412822</v>
      </c>
    </row>
    <row r="439" spans="1:18">
      <c r="A439" s="1682"/>
      <c r="B439" s="1303" t="s">
        <v>1601</v>
      </c>
      <c r="C439" s="1838" t="s">
        <v>1150</v>
      </c>
      <c r="D439" s="1279" t="s">
        <v>702</v>
      </c>
      <c r="E439" s="2206" t="str">
        <f t="shared" si="103"/>
        <v>Mar25-Feb30</v>
      </c>
      <c r="F439" s="1780"/>
      <c r="G439" s="1259">
        <f t="shared" si="106"/>
        <v>2795.0349141109209</v>
      </c>
      <c r="H439" s="1259">
        <f t="shared" si="106"/>
        <v>2684.5416092977798</v>
      </c>
      <c r="I439" s="1259">
        <f t="shared" si="106"/>
        <v>2695.3941147478854</v>
      </c>
      <c r="J439" s="1259">
        <f t="shared" si="106"/>
        <v>3067.6955869224198</v>
      </c>
      <c r="K439" s="1259">
        <f t="shared" si="106"/>
        <v>2746.1975837865807</v>
      </c>
      <c r="L439" s="1259">
        <f t="shared" si="106"/>
        <v>2578.6017829446982</v>
      </c>
      <c r="M439" s="854">
        <f t="shared" si="105"/>
        <v>16567.465591810287</v>
      </c>
      <c r="O439" s="1172"/>
      <c r="P439" s="1172"/>
      <c r="Q439" s="1172"/>
      <c r="R439" s="1172"/>
    </row>
    <row r="440" spans="1:18" s="1172" customFormat="1">
      <c r="A440" s="1682"/>
      <c r="B440" s="1303" t="s">
        <v>1602</v>
      </c>
      <c r="C440" s="1838" t="s">
        <v>1603</v>
      </c>
      <c r="D440" s="1279" t="s">
        <v>1063</v>
      </c>
      <c r="E440" s="2206" t="str">
        <f t="shared" si="103"/>
        <v>Mar25-Feb30</v>
      </c>
      <c r="F440" s="1780"/>
      <c r="G440" s="1259">
        <f t="shared" si="106"/>
        <v>117.68568059414403</v>
      </c>
      <c r="H440" s="1259">
        <f t="shared" si="106"/>
        <v>113.03333091780122</v>
      </c>
      <c r="I440" s="1259">
        <f t="shared" si="106"/>
        <v>113.49027851570044</v>
      </c>
      <c r="J440" s="1259">
        <f t="shared" si="106"/>
        <v>129.1661299756808</v>
      </c>
      <c r="K440" s="1259">
        <f t="shared" si="106"/>
        <v>115.62937194890866</v>
      </c>
      <c r="L440" s="1259">
        <f t="shared" si="106"/>
        <v>108.57270665030308</v>
      </c>
      <c r="M440" s="854">
        <f t="shared" si="105"/>
        <v>697.57749860253818</v>
      </c>
      <c r="O440" s="337"/>
      <c r="P440" s="337"/>
      <c r="Q440" s="337"/>
      <c r="R440" s="337"/>
    </row>
    <row r="441" spans="1:18">
      <c r="A441" s="1682"/>
      <c r="B441" s="1303" t="s">
        <v>1604</v>
      </c>
      <c r="C441" s="1838" t="s">
        <v>843</v>
      </c>
      <c r="D441" s="1279" t="s">
        <v>1063</v>
      </c>
      <c r="E441" s="2206" t="str">
        <f t="shared" si="103"/>
        <v>Mar25-Feb30</v>
      </c>
      <c r="F441" s="1780"/>
      <c r="G441" s="1259" t="str">
        <f t="shared" si="106"/>
        <v/>
      </c>
      <c r="H441" s="1259" t="str">
        <f t="shared" si="106"/>
        <v/>
      </c>
      <c r="I441" s="1259" t="str">
        <f t="shared" si="106"/>
        <v/>
      </c>
      <c r="J441" s="1259" t="str">
        <f t="shared" si="106"/>
        <v/>
      </c>
      <c r="K441" s="1259" t="str">
        <f t="shared" si="106"/>
        <v/>
      </c>
      <c r="L441" s="1259" t="str">
        <f t="shared" si="106"/>
        <v/>
      </c>
      <c r="M441" s="854">
        <f t="shared" si="105"/>
        <v>0</v>
      </c>
    </row>
    <row r="442" spans="1:18">
      <c r="A442" s="1682"/>
      <c r="B442" s="1303" t="s">
        <v>1605</v>
      </c>
      <c r="C442" s="1838" t="s">
        <v>1606</v>
      </c>
      <c r="D442" s="1279" t="s">
        <v>1063</v>
      </c>
      <c r="E442" s="2206" t="str">
        <f t="shared" si="103"/>
        <v>Mar25-Feb30</v>
      </c>
      <c r="F442" s="1780"/>
      <c r="G442" s="1259">
        <f t="shared" si="106"/>
        <v>294.21420148536009</v>
      </c>
      <c r="H442" s="1259">
        <f t="shared" si="106"/>
        <v>282.58332729450314</v>
      </c>
      <c r="I442" s="1259">
        <f t="shared" si="106"/>
        <v>283.72569628925112</v>
      </c>
      <c r="J442" s="1259">
        <f t="shared" si="106"/>
        <v>322.91532493920204</v>
      </c>
      <c r="K442" s="1259">
        <f t="shared" si="106"/>
        <v>289.07342987227167</v>
      </c>
      <c r="L442" s="1259">
        <f t="shared" si="106"/>
        <v>271.43176662575775</v>
      </c>
      <c r="M442" s="854">
        <f t="shared" si="105"/>
        <v>1743.9437465063456</v>
      </c>
    </row>
    <row r="443" spans="1:18">
      <c r="A443" s="1682"/>
      <c r="B443" s="1303" t="s">
        <v>1607</v>
      </c>
      <c r="C443" s="1838" t="s">
        <v>1608</v>
      </c>
      <c r="D443" s="1279" t="s">
        <v>1063</v>
      </c>
      <c r="E443" s="2206" t="str">
        <f t="shared" si="103"/>
        <v>Mar25-Feb30</v>
      </c>
      <c r="F443" s="1780"/>
      <c r="G443" s="1259">
        <f t="shared" si="106"/>
        <v>12715.937788197263</v>
      </c>
      <c r="H443" s="1259">
        <f t="shared" si="106"/>
        <v>4210.4915766880958</v>
      </c>
      <c r="I443" s="1259">
        <f t="shared" si="106"/>
        <v>5972.4259068887359</v>
      </c>
      <c r="J443" s="1259">
        <f t="shared" si="106"/>
        <v>4989.0417703106705</v>
      </c>
      <c r="K443" s="1259">
        <f t="shared" si="106"/>
        <v>7706.6976403947629</v>
      </c>
      <c r="L443" s="1259">
        <f t="shared" si="106"/>
        <v>10363.264849771429</v>
      </c>
      <c r="M443" s="854">
        <f t="shared" si="105"/>
        <v>45957.859532250965</v>
      </c>
    </row>
    <row r="444" spans="1:18" s="1486" customFormat="1" ht="8.25">
      <c r="A444" s="1912"/>
      <c r="B444" s="1913"/>
      <c r="C444" s="1914"/>
      <c r="D444" s="1915"/>
      <c r="E444" s="2199"/>
      <c r="F444" s="2200"/>
      <c r="G444" s="1916"/>
      <c r="H444" s="1916"/>
      <c r="I444" s="1916"/>
      <c r="J444" s="1916"/>
      <c r="K444" s="1916"/>
      <c r="L444" s="1916"/>
      <c r="M444" s="1916">
        <f t="shared" si="105"/>
        <v>0</v>
      </c>
    </row>
    <row r="445" spans="1:18">
      <c r="A445" s="1696"/>
      <c r="B445" s="1696" t="s">
        <v>389</v>
      </c>
      <c r="C445" s="1870" t="s">
        <v>1373</v>
      </c>
      <c r="D445" s="1695" t="s">
        <v>389</v>
      </c>
      <c r="E445" s="2236"/>
      <c r="F445" s="1801"/>
      <c r="G445" s="1301">
        <f t="shared" ref="G445:L445" si="107">((G228*$F$386)-(SUM(G387:G444)))</f>
        <v>43061.687450103316</v>
      </c>
      <c r="H445" s="1301">
        <f t="shared" si="107"/>
        <v>48641.704299128876</v>
      </c>
      <c r="I445" s="1301">
        <f t="shared" si="107"/>
        <v>36248.986850453715</v>
      </c>
      <c r="J445" s="1301">
        <f t="shared" si="107"/>
        <v>11058.418355686415</v>
      </c>
      <c r="K445" s="1301">
        <f t="shared" si="107"/>
        <v>20071.470243759191</v>
      </c>
      <c r="L445" s="1301">
        <f t="shared" si="107"/>
        <v>31679.45910145159</v>
      </c>
      <c r="M445" s="1301">
        <f t="shared" si="105"/>
        <v>190761.7263005831</v>
      </c>
    </row>
    <row r="446" spans="1:18">
      <c r="A446" s="1694"/>
      <c r="B446" s="1694" t="s">
        <v>449</v>
      </c>
      <c r="C446" s="1871" t="s">
        <v>1372</v>
      </c>
      <c r="D446" s="1693" t="s">
        <v>389</v>
      </c>
      <c r="E446" s="2237"/>
      <c r="F446" s="1802"/>
      <c r="G446" s="1301"/>
      <c r="H446" s="1301"/>
      <c r="I446" s="1301"/>
      <c r="J446" s="1301"/>
      <c r="K446" s="1301"/>
      <c r="L446" s="1301"/>
      <c r="M446" s="1301">
        <f t="shared" si="105"/>
        <v>0</v>
      </c>
    </row>
    <row r="447" spans="1:18">
      <c r="A447" s="1679"/>
      <c r="B447" s="1261" t="s">
        <v>825</v>
      </c>
      <c r="C447" s="1836" t="s">
        <v>1002</v>
      </c>
      <c r="D447" s="1276" t="str">
        <f>VLOOKUP(B447,$B$236:$D$311,3,0)</f>
        <v>T SA</v>
      </c>
      <c r="E447" s="2206" t="str">
        <f>VLOOKUP(B447,$B$236:$E$311,4,0)</f>
        <v>A Jun 2030</v>
      </c>
      <c r="F447" s="1797"/>
      <c r="G447" s="1294">
        <v>23.999383945366013</v>
      </c>
      <c r="H447" s="1294">
        <v>36.493465622703987</v>
      </c>
      <c r="I447" s="1294">
        <v>8.2251114338122395</v>
      </c>
      <c r="J447" s="1294">
        <v>8.2003979407465692</v>
      </c>
      <c r="K447" s="1294">
        <v>164.50353353556079</v>
      </c>
      <c r="L447" s="1294">
        <v>44.870825888470804</v>
      </c>
      <c r="M447" s="1289">
        <f t="shared" si="105"/>
        <v>286.29271836666038</v>
      </c>
    </row>
    <row r="448" spans="1:18">
      <c r="A448" s="1679"/>
      <c r="B448" s="1261" t="s">
        <v>897</v>
      </c>
      <c r="C448" s="1836" t="s">
        <v>1001</v>
      </c>
      <c r="D448" s="1276" t="str">
        <f>VLOOKUP(B448,$B$236:$D$311,3,0)</f>
        <v>T SA</v>
      </c>
      <c r="E448" s="2206" t="str">
        <f>VLOOKUP(B448,$B$236:$E$311,4,0)</f>
        <v>A Jun 2030</v>
      </c>
      <c r="F448" s="1797"/>
      <c r="G448" s="1294">
        <v>5199.9613883734555</v>
      </c>
      <c r="H448" s="1294">
        <v>5232.4020720281615</v>
      </c>
      <c r="I448" s="1294">
        <v>4922.36083911471</v>
      </c>
      <c r="J448" s="1294">
        <v>4178.9057398392297</v>
      </c>
      <c r="K448" s="1294">
        <v>5094.4108304301208</v>
      </c>
      <c r="L448" s="1294">
        <v>5234.6154207575601</v>
      </c>
      <c r="M448" s="1289">
        <f t="shared" si="105"/>
        <v>29862.656290543237</v>
      </c>
    </row>
    <row r="449" spans="1:18">
      <c r="A449" s="1679"/>
      <c r="B449" s="1261" t="s">
        <v>391</v>
      </c>
      <c r="C449" s="1836" t="s">
        <v>390</v>
      </c>
      <c r="D449" s="1276" t="s">
        <v>1090</v>
      </c>
      <c r="E449" s="2206"/>
      <c r="F449" s="1797"/>
      <c r="G449" s="1294"/>
      <c r="H449" s="1294"/>
      <c r="I449" s="1294"/>
      <c r="J449" s="1294"/>
      <c r="K449" s="1294"/>
      <c r="L449" s="1294"/>
      <c r="M449" s="1289">
        <f t="shared" si="105"/>
        <v>0</v>
      </c>
    </row>
    <row r="450" spans="1:18" ht="12.75" thickBot="1">
      <c r="A450" s="1692"/>
      <c r="B450" s="1300" t="s">
        <v>393</v>
      </c>
      <c r="C450" s="1872" t="s">
        <v>400</v>
      </c>
      <c r="D450" s="1299" t="s">
        <v>1090</v>
      </c>
      <c r="E450" s="2206"/>
      <c r="F450" s="1803"/>
      <c r="G450" s="1298">
        <v>-42.190465608370992</v>
      </c>
      <c r="H450" s="1298">
        <f>G450</f>
        <v>-42.190465608370992</v>
      </c>
      <c r="I450" s="1298">
        <f>H450</f>
        <v>-42.190465608370992</v>
      </c>
      <c r="J450" s="1298">
        <f>I450</f>
        <v>-42.190465608370992</v>
      </c>
      <c r="K450" s="1298">
        <f>J450</f>
        <v>-42.190465608370992</v>
      </c>
      <c r="L450" s="1298">
        <f>K450</f>
        <v>-42.190465608370992</v>
      </c>
      <c r="M450" s="1758">
        <f t="shared" si="105"/>
        <v>-253.14279365022597</v>
      </c>
    </row>
    <row r="451" spans="1:18">
      <c r="A451" s="1264"/>
      <c r="B451" s="1297"/>
      <c r="C451" s="1873" t="s">
        <v>607</v>
      </c>
      <c r="D451" s="1296"/>
      <c r="E451" s="2202"/>
      <c r="F451" s="1804"/>
      <c r="G451" s="1295">
        <f t="shared" ref="G451:L451" si="108">SUM(G387:G450)</f>
        <v>244719.52053431288</v>
      </c>
      <c r="H451" s="1295">
        <f t="shared" si="108"/>
        <v>239729.43254225538</v>
      </c>
      <c r="I451" s="1295">
        <f t="shared" si="108"/>
        <v>231299.96502897464</v>
      </c>
      <c r="J451" s="1295">
        <f t="shared" si="108"/>
        <v>236306.08927594064</v>
      </c>
      <c r="K451" s="1295">
        <f t="shared" si="108"/>
        <v>220464.51192933429</v>
      </c>
      <c r="L451" s="1295">
        <f t="shared" si="108"/>
        <v>233532.29913079692</v>
      </c>
      <c r="M451" s="1295">
        <f t="shared" si="105"/>
        <v>1406051.8184416147</v>
      </c>
    </row>
    <row r="452" spans="1:18">
      <c r="A452" s="1264"/>
      <c r="B452" s="1691"/>
      <c r="C452" s="1874"/>
      <c r="D452" s="1690"/>
      <c r="E452" s="2238"/>
      <c r="F452" s="1805"/>
      <c r="G452" s="1294"/>
      <c r="H452" s="1294"/>
      <c r="I452" s="1294"/>
      <c r="J452" s="1294"/>
      <c r="K452" s="1294"/>
      <c r="L452" s="1294"/>
      <c r="M452" s="1289">
        <f t="shared" si="105"/>
        <v>0</v>
      </c>
    </row>
    <row r="453" spans="1:18" ht="12.75" thickBot="1">
      <c r="A453" s="1264"/>
      <c r="B453" s="1293"/>
      <c r="C453" s="1835" t="s">
        <v>594</v>
      </c>
      <c r="D453" s="1292"/>
      <c r="E453" s="2203"/>
      <c r="F453" s="1806"/>
      <c r="G453" s="1291">
        <f t="shared" ref="G453:L453" si="109">G451</f>
        <v>244719.52053431288</v>
      </c>
      <c r="H453" s="1291">
        <f t="shared" si="109"/>
        <v>239729.43254225538</v>
      </c>
      <c r="I453" s="1291">
        <f t="shared" si="109"/>
        <v>231299.96502897464</v>
      </c>
      <c r="J453" s="1291">
        <f t="shared" si="109"/>
        <v>236306.08927594064</v>
      </c>
      <c r="K453" s="1291">
        <f t="shared" si="109"/>
        <v>220464.51192933429</v>
      </c>
      <c r="L453" s="1291">
        <f t="shared" si="109"/>
        <v>233532.29913079692</v>
      </c>
      <c r="M453" s="1291">
        <f t="shared" si="105"/>
        <v>1406051.8184416147</v>
      </c>
    </row>
    <row r="454" spans="1:18" ht="12.75" thickBot="1">
      <c r="A454" s="1264"/>
      <c r="B454" s="1293"/>
      <c r="C454" s="1835" t="s">
        <v>682</v>
      </c>
      <c r="D454" s="1292"/>
      <c r="E454" s="2203"/>
      <c r="F454" s="1806"/>
      <c r="G454" s="1291">
        <f t="shared" ref="G454:L454" si="110">G383+G453</f>
        <v>339902.59296055895</v>
      </c>
      <c r="H454" s="1291">
        <f t="shared" si="110"/>
        <v>332749.3511075179</v>
      </c>
      <c r="I454" s="1291">
        <f t="shared" si="110"/>
        <v>321218.24494560342</v>
      </c>
      <c r="J454" s="1291">
        <f t="shared" si="110"/>
        <v>328193.80613967922</v>
      </c>
      <c r="K454" s="1291">
        <f t="shared" si="110"/>
        <v>305879.49235413468</v>
      </c>
      <c r="L454" s="1291">
        <f t="shared" si="110"/>
        <v>324027.93009133229</v>
      </c>
      <c r="M454" s="1291">
        <f t="shared" si="105"/>
        <v>1951971.4175988263</v>
      </c>
    </row>
    <row r="455" spans="1:18">
      <c r="A455" s="856"/>
      <c r="B455" s="856"/>
      <c r="C455" s="1875"/>
      <c r="D455" s="856"/>
      <c r="E455" s="2239"/>
      <c r="F455" s="2251"/>
      <c r="G455" s="856"/>
      <c r="H455" s="856"/>
      <c r="I455" s="856"/>
      <c r="J455" s="856"/>
      <c r="K455" s="856"/>
      <c r="L455" s="856"/>
      <c r="M455" s="1381"/>
    </row>
    <row r="456" spans="1:18">
      <c r="A456" s="856"/>
      <c r="C456" s="1822" t="s">
        <v>608</v>
      </c>
      <c r="E456" s="2240"/>
      <c r="F456" s="1807">
        <f>F316</f>
        <v>0.28000000000000003</v>
      </c>
      <c r="G456" s="2030">
        <f t="shared" ref="G456:L456" si="111">+G229*$F$316</f>
        <v>5587.0545632214753</v>
      </c>
      <c r="H456" s="2030">
        <f t="shared" si="111"/>
        <v>4728.9196344857555</v>
      </c>
      <c r="I456" s="2030">
        <f t="shared" si="111"/>
        <v>4193.1210525522529</v>
      </c>
      <c r="J456" s="2030">
        <f t="shared" si="111"/>
        <v>6746.5047829816331</v>
      </c>
      <c r="K456" s="2030">
        <f t="shared" si="111"/>
        <v>5012.4164653903317</v>
      </c>
      <c r="L456" s="2030">
        <f t="shared" si="111"/>
        <v>4010.9114652553972</v>
      </c>
      <c r="M456" s="2031">
        <f t="shared" ref="M456:M458" si="112">SUM(G456:L456)</f>
        <v>30278.927963886847</v>
      </c>
    </row>
    <row r="457" spans="1:18">
      <c r="A457" s="856"/>
      <c r="B457" s="1689"/>
      <c r="C457" s="1876" t="s">
        <v>609</v>
      </c>
      <c r="D457" s="1688"/>
      <c r="E457" s="2241"/>
      <c r="F457" s="1808">
        <f>1-F456</f>
        <v>0.72</v>
      </c>
      <c r="G457" s="2032">
        <f t="shared" ref="G457:L457" si="113">+G229*$F$386</f>
        <v>14366.711733998078</v>
      </c>
      <c r="H457" s="2032">
        <f t="shared" si="113"/>
        <v>12160.079060106225</v>
      </c>
      <c r="I457" s="2032">
        <f t="shared" si="113"/>
        <v>10782.311277991505</v>
      </c>
      <c r="J457" s="2032">
        <f t="shared" si="113"/>
        <v>17348.155156238485</v>
      </c>
      <c r="K457" s="2032">
        <f t="shared" si="113"/>
        <v>12889.07091100371</v>
      </c>
      <c r="L457" s="2032">
        <f t="shared" si="113"/>
        <v>10313.772339228162</v>
      </c>
      <c r="M457" s="1689">
        <f t="shared" si="112"/>
        <v>77860.100478566164</v>
      </c>
    </row>
    <row r="458" spans="1:18">
      <c r="A458" s="856"/>
      <c r="C458" s="1877" t="s">
        <v>610</v>
      </c>
      <c r="D458" s="1290"/>
      <c r="E458" s="2242"/>
      <c r="F458" s="1809"/>
      <c r="G458" s="1289">
        <f t="shared" ref="G458:L458" si="114">+G456+G457</f>
        <v>19953.766297219554</v>
      </c>
      <c r="H458" s="1289">
        <f t="shared" si="114"/>
        <v>16888.998694591981</v>
      </c>
      <c r="I458" s="1289">
        <f t="shared" si="114"/>
        <v>14975.432330543757</v>
      </c>
      <c r="J458" s="1289">
        <f t="shared" si="114"/>
        <v>24094.659939220117</v>
      </c>
      <c r="K458" s="1289">
        <f t="shared" si="114"/>
        <v>17901.487376394041</v>
      </c>
      <c r="L458" s="1289">
        <f t="shared" si="114"/>
        <v>14324.68380448356</v>
      </c>
      <c r="M458" s="1289">
        <f t="shared" si="112"/>
        <v>108139.02844245301</v>
      </c>
    </row>
    <row r="459" spans="1:18">
      <c r="C459" s="1869"/>
    </row>
    <row r="460" spans="1:18" ht="15.75">
      <c r="A460" s="1686"/>
      <c r="B460" s="1685" t="s">
        <v>611</v>
      </c>
      <c r="C460" s="1382"/>
      <c r="D460" s="1288"/>
      <c r="E460" s="2191"/>
      <c r="F460" s="2253" t="s">
        <v>1726</v>
      </c>
      <c r="G460" s="1684"/>
      <c r="H460" s="1684"/>
      <c r="I460" s="1684"/>
      <c r="J460" s="1684"/>
      <c r="K460" s="1684"/>
      <c r="L460" s="1684"/>
      <c r="M460" s="1751"/>
    </row>
    <row r="461" spans="1:18">
      <c r="A461" s="1679"/>
      <c r="B461" s="1261" t="s">
        <v>545</v>
      </c>
      <c r="C461" s="1836" t="str">
        <f t="shared" ref="C461:C489" si="115">VLOOKUP(B461,$B$236:$E$311,2,0)</f>
        <v>ELECTRO INVEST. - ENMIENDA 5</v>
      </c>
      <c r="D461" s="1276" t="str">
        <f t="shared" ref="D461:D498" si="116">VLOOKUP(B461,$B$236:$D$311,3,0)</f>
        <v>H</v>
      </c>
      <c r="E461" s="2206" t="str">
        <f t="shared" ref="E461:E489" si="117">VLOOKUP(B461,$B$236:$E$311,4,0)</f>
        <v>2016-Jun27</v>
      </c>
      <c r="F461" s="1780"/>
      <c r="G461" s="1275">
        <f t="shared" ref="G461:L461" si="118">0.0695</f>
        <v>6.9500000000000006E-2</v>
      </c>
      <c r="H461" s="1275">
        <f t="shared" si="118"/>
        <v>6.9500000000000006E-2</v>
      </c>
      <c r="I461" s="1275">
        <f t="shared" si="118"/>
        <v>6.9500000000000006E-2</v>
      </c>
      <c r="J461" s="1275">
        <f t="shared" si="118"/>
        <v>6.9500000000000006E-2</v>
      </c>
      <c r="K461" s="1275">
        <f t="shared" si="118"/>
        <v>6.9500000000000006E-2</v>
      </c>
      <c r="L461" s="1275">
        <f t="shared" si="118"/>
        <v>6.9500000000000006E-2</v>
      </c>
      <c r="M461" s="1759">
        <f t="shared" ref="M461:M503" si="119">AVERAGE(G461:L461)</f>
        <v>6.9500000000000006E-2</v>
      </c>
    </row>
    <row r="462" spans="1:18">
      <c r="A462" s="1679"/>
      <c r="B462" s="1286" t="s">
        <v>547</v>
      </c>
      <c r="C462" s="1836" t="str">
        <f t="shared" si="115"/>
        <v>FORTUNA</v>
      </c>
      <c r="D462" s="1276" t="str">
        <f t="shared" si="116"/>
        <v>H</v>
      </c>
      <c r="E462" s="2206" t="str">
        <f t="shared" si="117"/>
        <v>2015-2029</v>
      </c>
      <c r="F462" s="1780"/>
      <c r="G462" s="1275">
        <v>9.3799999999999994E-2</v>
      </c>
      <c r="H462" s="1275">
        <v>9.3799999999999994E-2</v>
      </c>
      <c r="I462" s="1275">
        <v>9.3799999999999994E-2</v>
      </c>
      <c r="J462" s="1275">
        <v>9.3799999999999994E-2</v>
      </c>
      <c r="K462" s="1275">
        <v>9.3799999999999994E-2</v>
      </c>
      <c r="L462" s="1275">
        <v>9.3799999999999994E-2</v>
      </c>
      <c r="M462" s="1759">
        <f t="shared" si="119"/>
        <v>9.3799999999999994E-2</v>
      </c>
      <c r="O462" s="1172"/>
      <c r="P462" s="1172"/>
      <c r="Q462" s="1172"/>
      <c r="R462" s="1172"/>
    </row>
    <row r="463" spans="1:18" s="1172" customFormat="1">
      <c r="A463" s="1679"/>
      <c r="B463" s="1286" t="s">
        <v>558</v>
      </c>
      <c r="C463" s="1836" t="str">
        <f t="shared" si="115"/>
        <v xml:space="preserve">HIDROECOLOGICA DEL TERIBE </v>
      </c>
      <c r="D463" s="1276" t="str">
        <f t="shared" si="116"/>
        <v>H</v>
      </c>
      <c r="E463" s="2206" t="str">
        <f t="shared" si="117"/>
        <v>2015-2029</v>
      </c>
      <c r="F463" s="1780"/>
      <c r="G463" s="1275">
        <v>0.1009</v>
      </c>
      <c r="H463" s="1275">
        <v>0.1009</v>
      </c>
      <c r="I463" s="1275">
        <v>0.1009</v>
      </c>
      <c r="J463" s="1275">
        <v>0.1009</v>
      </c>
      <c r="K463" s="1275">
        <v>0.1009</v>
      </c>
      <c r="L463" s="1275">
        <v>0.1009</v>
      </c>
      <c r="M463" s="1759">
        <f t="shared" si="119"/>
        <v>0.1009</v>
      </c>
      <c r="O463" s="337"/>
      <c r="P463" s="337"/>
      <c r="Q463" s="337"/>
      <c r="R463" s="337"/>
    </row>
    <row r="464" spans="1:18">
      <c r="A464" s="1679"/>
      <c r="B464" s="1286" t="s">
        <v>559</v>
      </c>
      <c r="C464" s="1836" t="str">
        <f t="shared" si="115"/>
        <v xml:space="preserve">ESEPSA </v>
      </c>
      <c r="D464" s="1276" t="str">
        <f t="shared" si="116"/>
        <v>H</v>
      </c>
      <c r="E464" s="2206" t="str">
        <f t="shared" si="117"/>
        <v>2015-2029</v>
      </c>
      <c r="F464" s="1780"/>
      <c r="G464" s="1275">
        <v>9.0999999999999998E-2</v>
      </c>
      <c r="H464" s="1275">
        <v>9.0999999999999998E-2</v>
      </c>
      <c r="I464" s="1275">
        <v>9.0999999999999998E-2</v>
      </c>
      <c r="J464" s="1275">
        <v>9.0999999999999998E-2</v>
      </c>
      <c r="K464" s="1275">
        <v>9.0999999999999998E-2</v>
      </c>
      <c r="L464" s="1275">
        <v>9.0999999999999998E-2</v>
      </c>
      <c r="M464" s="1759">
        <f t="shared" si="119"/>
        <v>9.0999999999999984E-2</v>
      </c>
    </row>
    <row r="465" spans="1:13">
      <c r="A465" s="1679"/>
      <c r="B465" s="1286" t="s">
        <v>560</v>
      </c>
      <c r="C465" s="1836" t="str">
        <f t="shared" si="115"/>
        <v xml:space="preserve">PEDREGALITO </v>
      </c>
      <c r="D465" s="1276" t="str">
        <f t="shared" si="116"/>
        <v>H</v>
      </c>
      <c r="E465" s="2206" t="str">
        <f t="shared" si="117"/>
        <v>2015-2029</v>
      </c>
      <c r="F465" s="1780"/>
      <c r="G465" s="1275">
        <v>5.4199999999999998E-2</v>
      </c>
      <c r="H465" s="1275">
        <v>5.4199999999999998E-2</v>
      </c>
      <c r="I465" s="1275">
        <v>5.4199999999999998E-2</v>
      </c>
      <c r="J465" s="1275">
        <v>5.4199999999999998E-2</v>
      </c>
      <c r="K465" s="1275">
        <v>5.4199999999999998E-2</v>
      </c>
      <c r="L465" s="1275">
        <v>5.4199999999999998E-2</v>
      </c>
      <c r="M465" s="1759">
        <f t="shared" si="119"/>
        <v>5.4200000000000005E-2</v>
      </c>
    </row>
    <row r="466" spans="1:13">
      <c r="A466" s="1679"/>
      <c r="B466" s="1286" t="s">
        <v>561</v>
      </c>
      <c r="C466" s="1836" t="str">
        <f t="shared" si="115"/>
        <v xml:space="preserve">CALDERA </v>
      </c>
      <c r="D466" s="1276" t="str">
        <f t="shared" si="116"/>
        <v>H</v>
      </c>
      <c r="E466" s="2206" t="str">
        <f t="shared" si="117"/>
        <v>2015-2029</v>
      </c>
      <c r="F466" s="1780"/>
      <c r="G466" s="1275">
        <v>6.3299999999999995E-2</v>
      </c>
      <c r="H466" s="1275">
        <v>6.3299999999999995E-2</v>
      </c>
      <c r="I466" s="1275">
        <v>6.3299999999999995E-2</v>
      </c>
      <c r="J466" s="1275">
        <v>6.3299999999999995E-2</v>
      </c>
      <c r="K466" s="1275">
        <v>6.3299999999999995E-2</v>
      </c>
      <c r="L466" s="1275">
        <v>6.3299999999999995E-2</v>
      </c>
      <c r="M466" s="1759">
        <f t="shared" si="119"/>
        <v>6.3300000000000009E-2</v>
      </c>
    </row>
    <row r="467" spans="1:13">
      <c r="A467" s="1679"/>
      <c r="B467" s="1286" t="s">
        <v>562</v>
      </c>
      <c r="C467" s="1836" t="str">
        <f t="shared" si="115"/>
        <v xml:space="preserve">RIO CHICO </v>
      </c>
      <c r="D467" s="1276" t="str">
        <f t="shared" si="116"/>
        <v>H</v>
      </c>
      <c r="E467" s="2206" t="str">
        <f t="shared" si="117"/>
        <v>2015-2029</v>
      </c>
      <c r="F467" s="1780"/>
      <c r="G467" s="1275">
        <v>5.4199999999999998E-2</v>
      </c>
      <c r="H467" s="1275">
        <v>5.4199999999999998E-2</v>
      </c>
      <c r="I467" s="1275">
        <v>5.4199999999999998E-2</v>
      </c>
      <c r="J467" s="1275">
        <v>5.4199999999999998E-2</v>
      </c>
      <c r="K467" s="1275">
        <v>5.4199999999999998E-2</v>
      </c>
      <c r="L467" s="1275">
        <v>5.4199999999999998E-2</v>
      </c>
      <c r="M467" s="1759">
        <f t="shared" si="119"/>
        <v>5.4200000000000005E-2</v>
      </c>
    </row>
    <row r="468" spans="1:13">
      <c r="A468" s="1679"/>
      <c r="B468" s="1286" t="s">
        <v>563</v>
      </c>
      <c r="C468" s="1836" t="str">
        <f t="shared" si="115"/>
        <v xml:space="preserve">ALTO VALLE </v>
      </c>
      <c r="D468" s="1276" t="str">
        <f t="shared" si="116"/>
        <v>H</v>
      </c>
      <c r="E468" s="2206" t="str">
        <f t="shared" si="117"/>
        <v>2015-2029</v>
      </c>
      <c r="F468" s="1780"/>
      <c r="G468" s="1275">
        <v>5.4199999999999998E-2</v>
      </c>
      <c r="H468" s="1275">
        <v>5.4199999999999998E-2</v>
      </c>
      <c r="I468" s="1275">
        <v>5.4199999999999998E-2</v>
      </c>
      <c r="J468" s="1275">
        <v>5.4199999999999998E-2</v>
      </c>
      <c r="K468" s="1275">
        <v>5.4199999999999998E-2</v>
      </c>
      <c r="L468" s="1275">
        <v>5.4199999999999998E-2</v>
      </c>
      <c r="M468" s="1759">
        <f t="shared" si="119"/>
        <v>5.4200000000000005E-2</v>
      </c>
    </row>
    <row r="469" spans="1:13">
      <c r="A469" s="1679"/>
      <c r="B469" s="1286" t="s">
        <v>564</v>
      </c>
      <c r="C469" s="1836" t="str">
        <f t="shared" si="115"/>
        <v xml:space="preserve">DESARROLLO HIDRO CORP </v>
      </c>
      <c r="D469" s="1276" t="str">
        <f t="shared" si="116"/>
        <v>H</v>
      </c>
      <c r="E469" s="2206" t="str">
        <f t="shared" si="117"/>
        <v>2015-2029</v>
      </c>
      <c r="F469" s="1780"/>
      <c r="G469" s="1275">
        <v>9.6500000000000002E-2</v>
      </c>
      <c r="H469" s="1275">
        <v>9.6500000000000002E-2</v>
      </c>
      <c r="I469" s="1275">
        <v>9.6500000000000002E-2</v>
      </c>
      <c r="J469" s="1275">
        <v>9.6500000000000002E-2</v>
      </c>
      <c r="K469" s="1275">
        <v>9.6500000000000002E-2</v>
      </c>
      <c r="L469" s="1275">
        <v>9.6500000000000002E-2</v>
      </c>
      <c r="M469" s="1759">
        <f t="shared" si="119"/>
        <v>9.6500000000000016E-2</v>
      </c>
    </row>
    <row r="470" spans="1:13">
      <c r="A470" s="1679"/>
      <c r="B470" s="1286" t="s">
        <v>565</v>
      </c>
      <c r="C470" s="1836" t="str">
        <f t="shared" si="115"/>
        <v xml:space="preserve">SAN LORENZO </v>
      </c>
      <c r="D470" s="1276" t="str">
        <f t="shared" si="116"/>
        <v>H</v>
      </c>
      <c r="E470" s="2206" t="str">
        <f t="shared" si="117"/>
        <v>2015-2029</v>
      </c>
      <c r="F470" s="1780"/>
      <c r="G470" s="1275">
        <v>8.9499999999999996E-2</v>
      </c>
      <c r="H470" s="1275">
        <v>8.9499999999999996E-2</v>
      </c>
      <c r="I470" s="1275">
        <v>8.9499999999999996E-2</v>
      </c>
      <c r="J470" s="1275">
        <v>8.9499999999999996E-2</v>
      </c>
      <c r="K470" s="1275">
        <v>8.9499999999999996E-2</v>
      </c>
      <c r="L470" s="1275">
        <v>8.9499999999999996E-2</v>
      </c>
      <c r="M470" s="1759">
        <f t="shared" si="119"/>
        <v>8.950000000000001E-2</v>
      </c>
    </row>
    <row r="471" spans="1:13">
      <c r="A471" s="1679"/>
      <c r="B471" s="1286" t="s">
        <v>566</v>
      </c>
      <c r="C471" s="1836" t="str">
        <f t="shared" si="115"/>
        <v xml:space="preserve">ELECTROGENERADORA ISTMO </v>
      </c>
      <c r="D471" s="1276" t="str">
        <f t="shared" si="116"/>
        <v>H</v>
      </c>
      <c r="E471" s="2206" t="str">
        <f t="shared" si="117"/>
        <v>2015-2029</v>
      </c>
      <c r="F471" s="1780"/>
      <c r="G471" s="1275">
        <v>6.3299999999999995E-2</v>
      </c>
      <c r="H471" s="1275">
        <v>6.3299999999999995E-2</v>
      </c>
      <c r="I471" s="1275">
        <v>6.3299999999999995E-2</v>
      </c>
      <c r="J471" s="1275">
        <v>6.3299999999999995E-2</v>
      </c>
      <c r="K471" s="1275">
        <v>6.3299999999999995E-2</v>
      </c>
      <c r="L471" s="1275">
        <v>6.3299999999999995E-2</v>
      </c>
      <c r="M471" s="1759">
        <f t="shared" si="119"/>
        <v>6.3300000000000009E-2</v>
      </c>
    </row>
    <row r="472" spans="1:13">
      <c r="A472" s="1679"/>
      <c r="B472" s="1287" t="s">
        <v>568</v>
      </c>
      <c r="C472" s="1836" t="str">
        <f t="shared" si="115"/>
        <v>UEP NUEVO CHAGRES</v>
      </c>
      <c r="D472" s="1276" t="str">
        <f t="shared" si="116"/>
        <v>Eo</v>
      </c>
      <c r="E472" s="2206" t="str">
        <f t="shared" si="117"/>
        <v>Hasta-2029</v>
      </c>
      <c r="F472" s="1780"/>
      <c r="G472" s="1275">
        <v>9.5197106269423792E-2</v>
      </c>
      <c r="H472" s="1275">
        <f t="shared" ref="H472:L475" si="120">+G472</f>
        <v>9.5197106269423792E-2</v>
      </c>
      <c r="I472" s="1275">
        <f t="shared" si="120"/>
        <v>9.5197106269423792E-2</v>
      </c>
      <c r="J472" s="1275">
        <f t="shared" si="120"/>
        <v>9.5197106269423792E-2</v>
      </c>
      <c r="K472" s="1275">
        <f t="shared" si="120"/>
        <v>9.5197106269423792E-2</v>
      </c>
      <c r="L472" s="1275">
        <f t="shared" si="120"/>
        <v>9.5197106269423792E-2</v>
      </c>
      <c r="M472" s="1759">
        <f t="shared" si="119"/>
        <v>9.5197106269423792E-2</v>
      </c>
    </row>
    <row r="473" spans="1:13">
      <c r="A473" s="1679"/>
      <c r="B473" s="1287" t="s">
        <v>571</v>
      </c>
      <c r="C473" s="1836" t="str">
        <f t="shared" si="115"/>
        <v>UEP ROSA DE LOS VIENTOS</v>
      </c>
      <c r="D473" s="1276" t="str">
        <f t="shared" si="116"/>
        <v>Eo</v>
      </c>
      <c r="E473" s="2206" t="str">
        <f t="shared" si="117"/>
        <v>Hasta-2029</v>
      </c>
      <c r="F473" s="1780"/>
      <c r="G473" s="1275">
        <v>9.8203330677931924E-2</v>
      </c>
      <c r="H473" s="1275">
        <f t="shared" si="120"/>
        <v>9.8203330677931924E-2</v>
      </c>
      <c r="I473" s="1275">
        <f t="shared" si="120"/>
        <v>9.8203330677931924E-2</v>
      </c>
      <c r="J473" s="1275">
        <f t="shared" si="120"/>
        <v>9.8203330677931924E-2</v>
      </c>
      <c r="K473" s="1275">
        <f t="shared" si="120"/>
        <v>9.8203330677931924E-2</v>
      </c>
      <c r="L473" s="1275">
        <f t="shared" si="120"/>
        <v>9.8203330677931924E-2</v>
      </c>
      <c r="M473" s="1759">
        <f t="shared" si="119"/>
        <v>9.8203330677931924E-2</v>
      </c>
    </row>
    <row r="474" spans="1:13">
      <c r="A474" s="1679"/>
      <c r="B474" s="1287" t="s">
        <v>573</v>
      </c>
      <c r="C474" s="1836" t="str">
        <f t="shared" si="115"/>
        <v>UEP PORTOBELO</v>
      </c>
      <c r="D474" s="1276" t="str">
        <f t="shared" si="116"/>
        <v>Eo</v>
      </c>
      <c r="E474" s="2206" t="str">
        <f t="shared" si="117"/>
        <v>Hasta-2029</v>
      </c>
      <c r="F474" s="1780"/>
      <c r="G474" s="1275">
        <v>0.10822407870629237</v>
      </c>
      <c r="H474" s="1275">
        <f t="shared" si="120"/>
        <v>0.10822407870629237</v>
      </c>
      <c r="I474" s="1275">
        <f t="shared" si="120"/>
        <v>0.10822407870629237</v>
      </c>
      <c r="J474" s="1275">
        <f t="shared" si="120"/>
        <v>0.10822407870629237</v>
      </c>
      <c r="K474" s="1275">
        <f t="shared" si="120"/>
        <v>0.10822407870629237</v>
      </c>
      <c r="L474" s="1275">
        <f t="shared" si="120"/>
        <v>0.10822407870629237</v>
      </c>
      <c r="M474" s="1759">
        <f t="shared" si="119"/>
        <v>0.10822407870629237</v>
      </c>
    </row>
    <row r="475" spans="1:13">
      <c r="A475" s="1679"/>
      <c r="B475" s="1287" t="s">
        <v>575</v>
      </c>
      <c r="C475" s="1836" t="str">
        <f t="shared" si="115"/>
        <v>UEP MARAÑON</v>
      </c>
      <c r="D475" s="1276" t="str">
        <f t="shared" si="116"/>
        <v>Eo</v>
      </c>
      <c r="E475" s="2206" t="str">
        <f t="shared" si="117"/>
        <v>Hasta-2029</v>
      </c>
      <c r="F475" s="1780"/>
      <c r="G475" s="1275">
        <v>0.11022822831196445</v>
      </c>
      <c r="H475" s="1275">
        <f t="shared" si="120"/>
        <v>0.11022822831196445</v>
      </c>
      <c r="I475" s="1275">
        <f t="shared" si="120"/>
        <v>0.11022822831196445</v>
      </c>
      <c r="J475" s="1275">
        <f t="shared" si="120"/>
        <v>0.11022822831196445</v>
      </c>
      <c r="K475" s="1275">
        <f t="shared" si="120"/>
        <v>0.11022822831196445</v>
      </c>
      <c r="L475" s="1275">
        <f t="shared" si="120"/>
        <v>0.11022822831196445</v>
      </c>
      <c r="M475" s="1759">
        <f t="shared" si="119"/>
        <v>0.11022822831196445</v>
      </c>
    </row>
    <row r="476" spans="1:13">
      <c r="A476" s="1679"/>
      <c r="B476" s="1287" t="s">
        <v>831</v>
      </c>
      <c r="C476" s="1836" t="str">
        <f t="shared" si="115"/>
        <v>AES PANAMA (CHAN 2)</v>
      </c>
      <c r="D476" s="1276" t="str">
        <f t="shared" si="116"/>
        <v>H</v>
      </c>
      <c r="E476" s="2206" t="str">
        <f t="shared" si="117"/>
        <v>2019-2030</v>
      </c>
      <c r="F476" s="1780"/>
      <c r="G476" s="1275">
        <f t="shared" ref="G476:L476" si="121">0.0878</f>
        <v>8.7800000000000003E-2</v>
      </c>
      <c r="H476" s="1275">
        <f t="shared" si="121"/>
        <v>8.7800000000000003E-2</v>
      </c>
      <c r="I476" s="1275">
        <f t="shared" si="121"/>
        <v>8.7800000000000003E-2</v>
      </c>
      <c r="J476" s="1275">
        <f t="shared" si="121"/>
        <v>8.7800000000000003E-2</v>
      </c>
      <c r="K476" s="1275">
        <f t="shared" si="121"/>
        <v>8.7800000000000003E-2</v>
      </c>
      <c r="L476" s="1275">
        <f t="shared" si="121"/>
        <v>8.7800000000000003E-2</v>
      </c>
      <c r="M476" s="1759">
        <f t="shared" si="119"/>
        <v>8.7800000000000003E-2</v>
      </c>
    </row>
    <row r="477" spans="1:13">
      <c r="A477" s="1679"/>
      <c r="B477" s="1287" t="s">
        <v>687</v>
      </c>
      <c r="C477" s="1836" t="str">
        <f t="shared" si="115"/>
        <v>HIDRO PIEDRA</v>
      </c>
      <c r="D477" s="1276" t="str">
        <f t="shared" si="116"/>
        <v>H</v>
      </c>
      <c r="E477" s="2206" t="str">
        <f t="shared" si="117"/>
        <v>2019-2030</v>
      </c>
      <c r="F477" s="1780"/>
      <c r="G477" s="1275">
        <f t="shared" ref="G477:L478" si="122">0.1</f>
        <v>0.1</v>
      </c>
      <c r="H477" s="1275">
        <f t="shared" si="122"/>
        <v>0.1</v>
      </c>
      <c r="I477" s="1275">
        <f t="shared" si="122"/>
        <v>0.1</v>
      </c>
      <c r="J477" s="1275">
        <f t="shared" si="122"/>
        <v>0.1</v>
      </c>
      <c r="K477" s="1275">
        <f t="shared" si="122"/>
        <v>0.1</v>
      </c>
      <c r="L477" s="1275">
        <f t="shared" si="122"/>
        <v>0.1</v>
      </c>
      <c r="M477" s="1759">
        <f t="shared" si="119"/>
        <v>9.9999999999999992E-2</v>
      </c>
    </row>
    <row r="478" spans="1:13">
      <c r="A478" s="1679"/>
      <c r="B478" s="1287" t="s">
        <v>688</v>
      </c>
      <c r="C478" s="1836" t="str">
        <f t="shared" si="115"/>
        <v>CORPORACION ENERGIA DEL ISTMO</v>
      </c>
      <c r="D478" s="1276" t="str">
        <f t="shared" si="116"/>
        <v>H</v>
      </c>
      <c r="E478" s="2206" t="str">
        <f t="shared" si="117"/>
        <v>2019-2030</v>
      </c>
      <c r="F478" s="1780"/>
      <c r="G478" s="1275">
        <f t="shared" si="122"/>
        <v>0.1</v>
      </c>
      <c r="H478" s="1275">
        <f t="shared" si="122"/>
        <v>0.1</v>
      </c>
      <c r="I478" s="1275">
        <f t="shared" si="122"/>
        <v>0.1</v>
      </c>
      <c r="J478" s="1275">
        <f t="shared" si="122"/>
        <v>0.1</v>
      </c>
      <c r="K478" s="1275">
        <f t="shared" si="122"/>
        <v>0.1</v>
      </c>
      <c r="L478" s="1275">
        <f t="shared" si="122"/>
        <v>0.1</v>
      </c>
      <c r="M478" s="1759">
        <f t="shared" si="119"/>
        <v>9.9999999999999992E-2</v>
      </c>
    </row>
    <row r="479" spans="1:13">
      <c r="A479" s="1679"/>
      <c r="B479" s="1287" t="s">
        <v>800</v>
      </c>
      <c r="C479" s="1836" t="str">
        <f t="shared" si="115"/>
        <v>SALTOS DE FRANCOLI</v>
      </c>
      <c r="D479" s="1276" t="str">
        <f t="shared" si="116"/>
        <v>H</v>
      </c>
      <c r="E479" s="2206" t="str">
        <f t="shared" si="117"/>
        <v>2019-2030</v>
      </c>
      <c r="F479" s="1780"/>
      <c r="G479" s="1275">
        <f t="shared" ref="G479:L479" si="123">0.1035</f>
        <v>0.10349999999999999</v>
      </c>
      <c r="H479" s="1275">
        <f t="shared" si="123"/>
        <v>0.10349999999999999</v>
      </c>
      <c r="I479" s="1275">
        <f t="shared" si="123"/>
        <v>0.10349999999999999</v>
      </c>
      <c r="J479" s="1275">
        <f t="shared" si="123"/>
        <v>0.10349999999999999</v>
      </c>
      <c r="K479" s="1275">
        <f t="shared" si="123"/>
        <v>0.10349999999999999</v>
      </c>
      <c r="L479" s="1275">
        <f t="shared" si="123"/>
        <v>0.10349999999999999</v>
      </c>
      <c r="M479" s="1759">
        <f t="shared" si="119"/>
        <v>0.10349999999999999</v>
      </c>
    </row>
    <row r="480" spans="1:13">
      <c r="A480" s="1679"/>
      <c r="B480" s="1286" t="s">
        <v>690</v>
      </c>
      <c r="C480" s="1836" t="str">
        <f t="shared" si="115"/>
        <v>ISTMUS HIDRO POWER</v>
      </c>
      <c r="D480" s="1276" t="str">
        <f t="shared" si="116"/>
        <v>H SE</v>
      </c>
      <c r="E480" s="2206" t="str">
        <f t="shared" si="117"/>
        <v>2016-2027</v>
      </c>
      <c r="F480" s="1780"/>
      <c r="G480" s="1275">
        <f t="shared" ref="G480:L481" si="124">0.12</f>
        <v>0.12</v>
      </c>
      <c r="H480" s="1275">
        <f t="shared" si="124"/>
        <v>0.12</v>
      </c>
      <c r="I480" s="1275">
        <f t="shared" si="124"/>
        <v>0.12</v>
      </c>
      <c r="J480" s="1275">
        <f t="shared" si="124"/>
        <v>0.12</v>
      </c>
      <c r="K480" s="1275">
        <f t="shared" si="124"/>
        <v>0.12</v>
      </c>
      <c r="L480" s="1275">
        <f t="shared" si="124"/>
        <v>0.12</v>
      </c>
      <c r="M480" s="1759">
        <f t="shared" si="119"/>
        <v>0.12</v>
      </c>
    </row>
    <row r="481" spans="1:13">
      <c r="A481" s="1679"/>
      <c r="B481" s="1286" t="s">
        <v>579</v>
      </c>
      <c r="C481" s="1836" t="str">
        <f t="shared" si="115"/>
        <v>CALDERA ENERGY CORP</v>
      </c>
      <c r="D481" s="1276" t="str">
        <f t="shared" si="116"/>
        <v>H SE</v>
      </c>
      <c r="E481" s="2206" t="str">
        <f t="shared" si="117"/>
        <v>2016-2027</v>
      </c>
      <c r="F481" s="1780"/>
      <c r="G481" s="1275">
        <f t="shared" si="124"/>
        <v>0.12</v>
      </c>
      <c r="H481" s="1275">
        <f t="shared" si="124"/>
        <v>0.12</v>
      </c>
      <c r="I481" s="1275">
        <f t="shared" si="124"/>
        <v>0.12</v>
      </c>
      <c r="J481" s="1275">
        <f t="shared" si="124"/>
        <v>0.12</v>
      </c>
      <c r="K481" s="1275">
        <f t="shared" si="124"/>
        <v>0.12</v>
      </c>
      <c r="L481" s="1275">
        <f t="shared" si="124"/>
        <v>0.12</v>
      </c>
      <c r="M481" s="1759">
        <f t="shared" si="119"/>
        <v>0.12</v>
      </c>
    </row>
    <row r="482" spans="1:13">
      <c r="A482" s="1679"/>
      <c r="B482" s="1286" t="s">
        <v>581</v>
      </c>
      <c r="C482" s="1836" t="str">
        <f t="shared" si="115"/>
        <v>ELECTROGENERADORA DEL ISTMO</v>
      </c>
      <c r="D482" s="1276" t="str">
        <f t="shared" si="116"/>
        <v>H SE</v>
      </c>
      <c r="E482" s="2206" t="str">
        <f t="shared" si="117"/>
        <v>2016-2027</v>
      </c>
      <c r="F482" s="1780"/>
      <c r="G482" s="1275">
        <f t="shared" ref="G482:L482" si="125">0.1225</f>
        <v>0.1225</v>
      </c>
      <c r="H482" s="1275">
        <f t="shared" si="125"/>
        <v>0.1225</v>
      </c>
      <c r="I482" s="1275">
        <f t="shared" si="125"/>
        <v>0.1225</v>
      </c>
      <c r="J482" s="1275">
        <f t="shared" si="125"/>
        <v>0.1225</v>
      </c>
      <c r="K482" s="1275">
        <f t="shared" si="125"/>
        <v>0.1225</v>
      </c>
      <c r="L482" s="1275">
        <f t="shared" si="125"/>
        <v>0.1225</v>
      </c>
      <c r="M482" s="1759">
        <f t="shared" si="119"/>
        <v>0.12250000000000001</v>
      </c>
    </row>
    <row r="483" spans="1:13">
      <c r="A483" s="1679"/>
      <c r="B483" s="1286" t="s">
        <v>582</v>
      </c>
      <c r="C483" s="1836" t="str">
        <f t="shared" si="115"/>
        <v>FOUNTAIN INTERTRADE CORP</v>
      </c>
      <c r="D483" s="1276" t="str">
        <f t="shared" si="116"/>
        <v>H SE</v>
      </c>
      <c r="E483" s="2206" t="str">
        <f t="shared" si="117"/>
        <v>2016-2027</v>
      </c>
      <c r="F483" s="1780"/>
      <c r="G483" s="1275">
        <f t="shared" ref="G483:L483" si="126">0.1284</f>
        <v>0.12839999999999999</v>
      </c>
      <c r="H483" s="1275">
        <f t="shared" si="126"/>
        <v>0.12839999999999999</v>
      </c>
      <c r="I483" s="1275">
        <f t="shared" si="126"/>
        <v>0.12839999999999999</v>
      </c>
      <c r="J483" s="1275">
        <f t="shared" si="126"/>
        <v>0.12839999999999999</v>
      </c>
      <c r="K483" s="1275">
        <f t="shared" si="126"/>
        <v>0.12839999999999999</v>
      </c>
      <c r="L483" s="1275">
        <f t="shared" si="126"/>
        <v>0.12839999999999999</v>
      </c>
      <c r="M483" s="1759">
        <f t="shared" si="119"/>
        <v>0.12839999999999999</v>
      </c>
    </row>
    <row r="484" spans="1:13">
      <c r="A484" s="1679"/>
      <c r="B484" s="1286" t="s">
        <v>482</v>
      </c>
      <c r="C484" s="1836" t="str">
        <f t="shared" si="115"/>
        <v>HIDROIBÉRICA</v>
      </c>
      <c r="D484" s="1276" t="str">
        <f t="shared" si="116"/>
        <v>H SE</v>
      </c>
      <c r="E484" s="2206" t="str">
        <f t="shared" si="117"/>
        <v>2016-2027</v>
      </c>
      <c r="F484" s="1780"/>
      <c r="G484" s="1275">
        <f t="shared" ref="G484:L484" si="127">0.12</f>
        <v>0.12</v>
      </c>
      <c r="H484" s="1275">
        <f t="shared" si="127"/>
        <v>0.12</v>
      </c>
      <c r="I484" s="1275">
        <f t="shared" si="127"/>
        <v>0.12</v>
      </c>
      <c r="J484" s="1275">
        <f t="shared" si="127"/>
        <v>0.12</v>
      </c>
      <c r="K484" s="1275">
        <f t="shared" si="127"/>
        <v>0.12</v>
      </c>
      <c r="L484" s="1275">
        <f t="shared" si="127"/>
        <v>0.12</v>
      </c>
      <c r="M484" s="1759">
        <f t="shared" si="119"/>
        <v>0.12</v>
      </c>
    </row>
    <row r="485" spans="1:13">
      <c r="A485" s="1679"/>
      <c r="B485" s="1286" t="s">
        <v>691</v>
      </c>
      <c r="C485" s="1836" t="str">
        <f t="shared" si="115"/>
        <v>NAVITAS INT'l Sin Definir ASEP</v>
      </c>
      <c r="D485" s="1276" t="str">
        <f t="shared" si="116"/>
        <v>H SE</v>
      </c>
      <c r="E485" s="2206" t="str">
        <f t="shared" si="117"/>
        <v>2016-2027</v>
      </c>
      <c r="F485" s="1780"/>
      <c r="G485" s="1275">
        <f t="shared" ref="G485:L485" si="128">0.085</f>
        <v>8.5000000000000006E-2</v>
      </c>
      <c r="H485" s="1275">
        <f t="shared" si="128"/>
        <v>8.5000000000000006E-2</v>
      </c>
      <c r="I485" s="1275">
        <f t="shared" si="128"/>
        <v>8.5000000000000006E-2</v>
      </c>
      <c r="J485" s="1275">
        <f t="shared" si="128"/>
        <v>8.5000000000000006E-2</v>
      </c>
      <c r="K485" s="1275">
        <f t="shared" si="128"/>
        <v>8.5000000000000006E-2</v>
      </c>
      <c r="L485" s="1275">
        <f t="shared" si="128"/>
        <v>8.5000000000000006E-2</v>
      </c>
      <c r="M485" s="1759">
        <f t="shared" si="119"/>
        <v>8.5000000000000006E-2</v>
      </c>
    </row>
    <row r="486" spans="1:13">
      <c r="A486" s="1679"/>
      <c r="B486" s="1286" t="s">
        <v>584</v>
      </c>
      <c r="C486" s="1836" t="str">
        <f t="shared" si="115"/>
        <v>HIDROECOLOGICA DEL TERIBE</v>
      </c>
      <c r="D486" s="1276" t="str">
        <f t="shared" si="116"/>
        <v>H SE</v>
      </c>
      <c r="E486" s="2206" t="str">
        <f t="shared" si="117"/>
        <v>2016-2027</v>
      </c>
      <c r="F486" s="1780"/>
      <c r="G486" s="1275">
        <f t="shared" ref="G486:L486" si="129">0.136</f>
        <v>0.13600000000000001</v>
      </c>
      <c r="H486" s="1275">
        <f t="shared" si="129"/>
        <v>0.13600000000000001</v>
      </c>
      <c r="I486" s="1275">
        <f t="shared" si="129"/>
        <v>0.13600000000000001</v>
      </c>
      <c r="J486" s="1275">
        <f t="shared" si="129"/>
        <v>0.13600000000000001</v>
      </c>
      <c r="K486" s="1275">
        <f t="shared" si="129"/>
        <v>0.13600000000000001</v>
      </c>
      <c r="L486" s="1275">
        <f t="shared" si="129"/>
        <v>0.13600000000000001</v>
      </c>
      <c r="M486" s="1759">
        <f t="shared" si="119"/>
        <v>0.13600000000000001</v>
      </c>
    </row>
    <row r="487" spans="1:13">
      <c r="A487" s="1679"/>
      <c r="B487" s="1286" t="s">
        <v>1273</v>
      </c>
      <c r="C487" s="1836" t="str">
        <f t="shared" si="115"/>
        <v>Generadora Gatún (NG Power)</v>
      </c>
      <c r="D487" s="1276" t="str">
        <f t="shared" si="116"/>
        <v>Gas2</v>
      </c>
      <c r="E487" s="2206" t="str">
        <f t="shared" si="117"/>
        <v>Oct24-Sep44</v>
      </c>
      <c r="F487" s="2258" t="s">
        <v>1725</v>
      </c>
      <c r="G487" s="1275">
        <f t="shared" ref="G487:L487" si="130">(0.088*0.6)+(0.088*0.4*G526/3.81)</f>
        <v>8.0516535433070857E-2</v>
      </c>
      <c r="H487" s="1275">
        <f t="shared" si="130"/>
        <v>8.0516535433070857E-2</v>
      </c>
      <c r="I487" s="1275">
        <f t="shared" si="130"/>
        <v>8.0516535433070857E-2</v>
      </c>
      <c r="J487" s="1275">
        <f t="shared" si="130"/>
        <v>8.0516535433070857E-2</v>
      </c>
      <c r="K487" s="1275">
        <f t="shared" si="130"/>
        <v>8.0516535433070857E-2</v>
      </c>
      <c r="L487" s="1275">
        <f t="shared" si="130"/>
        <v>8.0516535433070857E-2</v>
      </c>
      <c r="M487" s="1759">
        <f t="shared" si="119"/>
        <v>8.0516535433070857E-2</v>
      </c>
    </row>
    <row r="488" spans="1:13">
      <c r="A488" s="1679"/>
      <c r="B488" s="1286" t="s">
        <v>586</v>
      </c>
      <c r="C488" s="1836" t="str">
        <f t="shared" si="115"/>
        <v>GENERADORA ALTO VALLE</v>
      </c>
      <c r="D488" s="1276" t="str">
        <f t="shared" si="116"/>
        <v>H SE</v>
      </c>
      <c r="E488" s="2206" t="str">
        <f t="shared" si="117"/>
        <v>2016-2027</v>
      </c>
      <c r="F488" s="2258"/>
      <c r="G488" s="1275">
        <f t="shared" ref="G488:L488" si="131">0.1325</f>
        <v>0.13250000000000001</v>
      </c>
      <c r="H488" s="1275">
        <f t="shared" si="131"/>
        <v>0.13250000000000001</v>
      </c>
      <c r="I488" s="1275">
        <f t="shared" si="131"/>
        <v>0.13250000000000001</v>
      </c>
      <c r="J488" s="1275">
        <f t="shared" si="131"/>
        <v>0.13250000000000001</v>
      </c>
      <c r="K488" s="1275">
        <f t="shared" si="131"/>
        <v>0.13250000000000001</v>
      </c>
      <c r="L488" s="1275">
        <f t="shared" si="131"/>
        <v>0.13250000000000001</v>
      </c>
      <c r="M488" s="1759">
        <f t="shared" si="119"/>
        <v>0.13250000000000003</v>
      </c>
    </row>
    <row r="489" spans="1:13">
      <c r="A489" s="1679"/>
      <c r="B489" s="1286" t="s">
        <v>483</v>
      </c>
      <c r="C489" s="1836" t="str">
        <f t="shared" si="115"/>
        <v>CAFÉ DE ELETA</v>
      </c>
      <c r="D489" s="1276" t="str">
        <f t="shared" si="116"/>
        <v>H SE</v>
      </c>
      <c r="E489" s="2206" t="str">
        <f t="shared" si="117"/>
        <v>2016-2027</v>
      </c>
      <c r="F489" s="2258"/>
      <c r="G489" s="1275">
        <f t="shared" ref="G489:L489" si="132">0.128</f>
        <v>0.128</v>
      </c>
      <c r="H489" s="1275">
        <f t="shared" si="132"/>
        <v>0.128</v>
      </c>
      <c r="I489" s="1275">
        <f t="shared" si="132"/>
        <v>0.128</v>
      </c>
      <c r="J489" s="1275">
        <f t="shared" si="132"/>
        <v>0.128</v>
      </c>
      <c r="K489" s="1275">
        <f t="shared" si="132"/>
        <v>0.128</v>
      </c>
      <c r="L489" s="1275">
        <f t="shared" si="132"/>
        <v>0.128</v>
      </c>
      <c r="M489" s="1759">
        <f t="shared" si="119"/>
        <v>0.128</v>
      </c>
    </row>
    <row r="490" spans="1:13">
      <c r="A490" s="1679"/>
      <c r="B490" s="1286" t="s">
        <v>490</v>
      </c>
      <c r="C490" s="1836" t="str">
        <f t="shared" ref="C490:C503" si="133">VLOOKUP(B490,$B$236:$E$311,2,0)</f>
        <v>EMNADESA</v>
      </c>
      <c r="D490" s="1276" t="str">
        <f t="shared" si="116"/>
        <v>H SE</v>
      </c>
      <c r="E490" s="2206" t="str">
        <f t="shared" ref="E490:E503" si="134">VLOOKUP(B490,$B$236:$E$311,4,0)</f>
        <v>2016-2027</v>
      </c>
      <c r="F490" s="2258"/>
      <c r="G490" s="1275">
        <f t="shared" ref="G490:L490" si="135">0.1275</f>
        <v>0.1275</v>
      </c>
      <c r="H490" s="1275">
        <f t="shared" si="135"/>
        <v>0.1275</v>
      </c>
      <c r="I490" s="1275">
        <f t="shared" si="135"/>
        <v>0.1275</v>
      </c>
      <c r="J490" s="1275">
        <f t="shared" si="135"/>
        <v>0.1275</v>
      </c>
      <c r="K490" s="1275">
        <f t="shared" si="135"/>
        <v>0.1275</v>
      </c>
      <c r="L490" s="1275">
        <f t="shared" si="135"/>
        <v>0.1275</v>
      </c>
      <c r="M490" s="1759">
        <f t="shared" si="119"/>
        <v>0.12749999999999997</v>
      </c>
    </row>
    <row r="491" spans="1:13">
      <c r="A491" s="1679"/>
      <c r="B491" s="1286" t="s">
        <v>484</v>
      </c>
      <c r="C491" s="1836" t="str">
        <f t="shared" si="133"/>
        <v xml:space="preserve">ESEPSA </v>
      </c>
      <c r="D491" s="1276" t="str">
        <f t="shared" si="116"/>
        <v>H SE</v>
      </c>
      <c r="E491" s="2206" t="str">
        <f t="shared" si="134"/>
        <v>2016-2027</v>
      </c>
      <c r="F491" s="2258"/>
      <c r="G491" s="1275">
        <f t="shared" ref="G491:L491" si="136">0.1325</f>
        <v>0.13250000000000001</v>
      </c>
      <c r="H491" s="1275">
        <f t="shared" si="136"/>
        <v>0.13250000000000001</v>
      </c>
      <c r="I491" s="1275">
        <f t="shared" si="136"/>
        <v>0.13250000000000001</v>
      </c>
      <c r="J491" s="1275">
        <f t="shared" si="136"/>
        <v>0.13250000000000001</v>
      </c>
      <c r="K491" s="1275">
        <f t="shared" si="136"/>
        <v>0.13250000000000001</v>
      </c>
      <c r="L491" s="1275">
        <f t="shared" si="136"/>
        <v>0.13250000000000001</v>
      </c>
      <c r="M491" s="1759">
        <f t="shared" si="119"/>
        <v>0.13250000000000003</v>
      </c>
    </row>
    <row r="492" spans="1:13">
      <c r="A492" s="1679"/>
      <c r="B492" s="1286" t="s">
        <v>692</v>
      </c>
      <c r="C492" s="1836" t="str">
        <f t="shared" si="133"/>
        <v>Fuerza Eléctrica del Istmo (2016-27)</v>
      </c>
      <c r="D492" s="1276" t="str">
        <f t="shared" si="116"/>
        <v>H SE</v>
      </c>
      <c r="E492" s="2206" t="str">
        <f t="shared" si="134"/>
        <v>2016-2027</v>
      </c>
      <c r="F492" s="2258"/>
      <c r="G492" s="1275">
        <f t="shared" ref="G492:L492" si="137">0.1276</f>
        <v>0.12759999999999999</v>
      </c>
      <c r="H492" s="1275">
        <f t="shared" si="137"/>
        <v>0.12759999999999999</v>
      </c>
      <c r="I492" s="1275">
        <f t="shared" si="137"/>
        <v>0.12759999999999999</v>
      </c>
      <c r="J492" s="1275">
        <f t="shared" si="137"/>
        <v>0.12759999999999999</v>
      </c>
      <c r="K492" s="1275">
        <f t="shared" si="137"/>
        <v>0.12759999999999999</v>
      </c>
      <c r="L492" s="1275">
        <f t="shared" si="137"/>
        <v>0.12759999999999999</v>
      </c>
      <c r="M492" s="1759">
        <f t="shared" si="119"/>
        <v>0.12759999999999996</v>
      </c>
    </row>
    <row r="493" spans="1:13">
      <c r="A493" s="1679"/>
      <c r="B493" s="1286" t="s">
        <v>587</v>
      </c>
      <c r="C493" s="1836" t="str">
        <f t="shared" si="133"/>
        <v>Hidro CAISÀN (2016-27)</v>
      </c>
      <c r="D493" s="1276" t="str">
        <f t="shared" si="116"/>
        <v>H SE</v>
      </c>
      <c r="E493" s="2206" t="str">
        <f t="shared" si="134"/>
        <v>2016-2027</v>
      </c>
      <c r="F493" s="2258"/>
      <c r="G493" s="1275">
        <f t="shared" ref="G493:L493" si="138">0.1325</f>
        <v>0.13250000000000001</v>
      </c>
      <c r="H493" s="1275">
        <f t="shared" si="138"/>
        <v>0.13250000000000001</v>
      </c>
      <c r="I493" s="1275">
        <f t="shared" si="138"/>
        <v>0.13250000000000001</v>
      </c>
      <c r="J493" s="1275">
        <f t="shared" si="138"/>
        <v>0.13250000000000001</v>
      </c>
      <c r="K493" s="1275">
        <f t="shared" si="138"/>
        <v>0.13250000000000001</v>
      </c>
      <c r="L493" s="1275">
        <f t="shared" si="138"/>
        <v>0.13250000000000001</v>
      </c>
      <c r="M493" s="1759">
        <f t="shared" si="119"/>
        <v>0.13250000000000003</v>
      </c>
    </row>
    <row r="494" spans="1:13">
      <c r="A494" s="1679"/>
      <c r="B494" s="1286" t="s">
        <v>1274</v>
      </c>
      <c r="C494" s="1836" t="str">
        <f t="shared" si="133"/>
        <v>PASO ANCHO (2024-27)</v>
      </c>
      <c r="D494" s="1276" t="str">
        <f t="shared" si="116"/>
        <v>H SE</v>
      </c>
      <c r="E494" s="2206" t="str">
        <f t="shared" si="134"/>
        <v>2024-2027</v>
      </c>
      <c r="F494" s="2258"/>
      <c r="G494" s="1275">
        <f t="shared" ref="G494:L494" si="139">0.122</f>
        <v>0.122</v>
      </c>
      <c r="H494" s="1275">
        <f t="shared" si="139"/>
        <v>0.122</v>
      </c>
      <c r="I494" s="1275">
        <f t="shared" si="139"/>
        <v>0.122</v>
      </c>
      <c r="J494" s="1275">
        <f t="shared" si="139"/>
        <v>0.122</v>
      </c>
      <c r="K494" s="1275">
        <f t="shared" si="139"/>
        <v>0.122</v>
      </c>
      <c r="L494" s="1275">
        <f t="shared" si="139"/>
        <v>0.122</v>
      </c>
      <c r="M494" s="1759">
        <f t="shared" si="119"/>
        <v>0.122</v>
      </c>
    </row>
    <row r="495" spans="1:13">
      <c r="A495" s="1679"/>
      <c r="B495" s="1286" t="s">
        <v>588</v>
      </c>
      <c r="C495" s="1836" t="str">
        <f t="shared" si="133"/>
        <v>PEDREGALITO</v>
      </c>
      <c r="D495" s="1276" t="str">
        <f t="shared" si="116"/>
        <v>H SE</v>
      </c>
      <c r="E495" s="2206" t="str">
        <f t="shared" si="134"/>
        <v>2016-2027</v>
      </c>
      <c r="F495" s="2258"/>
      <c r="G495" s="1275">
        <f t="shared" ref="G495:L496" si="140">0.132</f>
        <v>0.13200000000000001</v>
      </c>
      <c r="H495" s="1275">
        <f t="shared" si="140"/>
        <v>0.13200000000000001</v>
      </c>
      <c r="I495" s="1275">
        <f t="shared" si="140"/>
        <v>0.13200000000000001</v>
      </c>
      <c r="J495" s="1275">
        <f t="shared" si="140"/>
        <v>0.13200000000000001</v>
      </c>
      <c r="K495" s="1275">
        <f t="shared" si="140"/>
        <v>0.13200000000000001</v>
      </c>
      <c r="L495" s="1275">
        <f t="shared" si="140"/>
        <v>0.13200000000000001</v>
      </c>
      <c r="M495" s="1759">
        <f t="shared" si="119"/>
        <v>0.13200000000000001</v>
      </c>
    </row>
    <row r="496" spans="1:13">
      <c r="A496" s="1679"/>
      <c r="B496" s="1286" t="s">
        <v>589</v>
      </c>
      <c r="C496" s="1836" t="str">
        <f t="shared" si="133"/>
        <v>RÍO CHICO</v>
      </c>
      <c r="D496" s="1276" t="str">
        <f t="shared" si="116"/>
        <v>H SE</v>
      </c>
      <c r="E496" s="2206" t="str">
        <f t="shared" si="134"/>
        <v>2016-2027</v>
      </c>
      <c r="F496" s="2258"/>
      <c r="G496" s="1275">
        <f t="shared" si="140"/>
        <v>0.13200000000000001</v>
      </c>
      <c r="H496" s="1275">
        <f t="shared" si="140"/>
        <v>0.13200000000000001</v>
      </c>
      <c r="I496" s="1275">
        <f t="shared" si="140"/>
        <v>0.13200000000000001</v>
      </c>
      <c r="J496" s="1275">
        <f t="shared" si="140"/>
        <v>0.13200000000000001</v>
      </c>
      <c r="K496" s="1275">
        <f t="shared" si="140"/>
        <v>0.13200000000000001</v>
      </c>
      <c r="L496" s="1275">
        <f t="shared" si="140"/>
        <v>0.13200000000000001</v>
      </c>
      <c r="M496" s="1759">
        <f t="shared" si="119"/>
        <v>0.13200000000000001</v>
      </c>
    </row>
    <row r="497" spans="1:13">
      <c r="A497" s="1679"/>
      <c r="B497" s="1261" t="s">
        <v>945</v>
      </c>
      <c r="C497" s="1836" t="str">
        <f t="shared" si="133"/>
        <v>PARQUE EOLICO TOABRE (Enmienda 1)</v>
      </c>
      <c r="D497" s="1276" t="str">
        <f t="shared" si="116"/>
        <v>Eo</v>
      </c>
      <c r="E497" s="2206" t="str">
        <f t="shared" si="134"/>
        <v>Al 2036</v>
      </c>
      <c r="F497" s="2258" t="s">
        <v>1720</v>
      </c>
      <c r="G497" s="1275">
        <f>(0.095*0.75)+(0.095*0.25*G527/82.02)</f>
        <v>0.1002353084613509</v>
      </c>
      <c r="H497" s="1275">
        <f t="shared" ref="H497:L497" si="141">(0.095*0.75)+(0.095*0.25*H527/82.02)</f>
        <v>0.1002353084613509</v>
      </c>
      <c r="I497" s="1275">
        <f t="shared" si="141"/>
        <v>0.1002353084613509</v>
      </c>
      <c r="J497" s="1275">
        <f t="shared" si="141"/>
        <v>0.1002353084613509</v>
      </c>
      <c r="K497" s="1275">
        <f t="shared" si="141"/>
        <v>0.1002353084613509</v>
      </c>
      <c r="L497" s="1275">
        <f t="shared" si="141"/>
        <v>0.1002353084613509</v>
      </c>
      <c r="M497" s="1759">
        <f t="shared" si="119"/>
        <v>0.10023530846135088</v>
      </c>
    </row>
    <row r="498" spans="1:13" ht="12.75" thickBot="1">
      <c r="A498" s="1679"/>
      <c r="B498" s="1261" t="s">
        <v>832</v>
      </c>
      <c r="C498" s="1836" t="str">
        <f t="shared" si="133"/>
        <v>NAURA Energy - Finalizado</v>
      </c>
      <c r="D498" s="1276" t="str">
        <f t="shared" si="116"/>
        <v>Eo</v>
      </c>
      <c r="E498" s="2206" t="str">
        <f t="shared" si="134"/>
        <v>Al 2036</v>
      </c>
      <c r="F498" s="2258" t="s">
        <v>1720</v>
      </c>
      <c r="G498" s="1275">
        <f>(0.095*0.75)+(0.095*0.25*G527/92.02)</f>
        <v>9.7085416213866557E-2</v>
      </c>
      <c r="H498" s="1275">
        <f t="shared" ref="H498:L498" si="142">(0.095*0.75)+(0.095*0.25*H527/92.02)</f>
        <v>9.7085416213866557E-2</v>
      </c>
      <c r="I498" s="1275">
        <f t="shared" si="142"/>
        <v>9.7085416213866557E-2</v>
      </c>
      <c r="J498" s="1275">
        <f t="shared" si="142"/>
        <v>9.7085416213866557E-2</v>
      </c>
      <c r="K498" s="1275">
        <f t="shared" si="142"/>
        <v>9.7085416213866557E-2</v>
      </c>
      <c r="L498" s="1275">
        <f t="shared" si="142"/>
        <v>9.7085416213866557E-2</v>
      </c>
      <c r="M498" s="1759">
        <f t="shared" si="119"/>
        <v>9.7085416213866557E-2</v>
      </c>
    </row>
    <row r="499" spans="1:13" ht="12.75" thickBot="1">
      <c r="A499" s="1679"/>
      <c r="B499" s="1284" t="s">
        <v>1515</v>
      </c>
      <c r="C499" s="1829" t="str">
        <f t="shared" si="133"/>
        <v>Electron (SECCION)</v>
      </c>
      <c r="D499" s="1283" t="str">
        <f>VLOOKUP(B499,$B$236:$E$311,3,0)</f>
        <v>H3</v>
      </c>
      <c r="E499" s="2195" t="str">
        <f t="shared" si="134"/>
        <v>Ene26-Dic40</v>
      </c>
      <c r="F499" s="1780"/>
      <c r="G499" s="1275">
        <f t="shared" ref="G499:L499" si="143">0.1004</f>
        <v>0.1004</v>
      </c>
      <c r="H499" s="1275">
        <f t="shared" si="143"/>
        <v>0.1004</v>
      </c>
      <c r="I499" s="1275">
        <f t="shared" si="143"/>
        <v>0.1004</v>
      </c>
      <c r="J499" s="1275">
        <f t="shared" si="143"/>
        <v>0.1004</v>
      </c>
      <c r="K499" s="1275">
        <f t="shared" si="143"/>
        <v>0.1004</v>
      </c>
      <c r="L499" s="1275">
        <f t="shared" si="143"/>
        <v>0.1004</v>
      </c>
      <c r="M499" s="1759">
        <f t="shared" si="119"/>
        <v>0.1004</v>
      </c>
    </row>
    <row r="500" spans="1:13">
      <c r="A500" s="1679"/>
      <c r="B500" s="1285" t="s">
        <v>759</v>
      </c>
      <c r="C500" s="1836" t="str">
        <f t="shared" si="133"/>
        <v>PANAMA SOLAR (Ene-17  - Dic36)</v>
      </c>
      <c r="D500" s="1276" t="str">
        <f t="shared" ref="D500:D503" si="144">VLOOKUP(B500,$B$236:$D$311,3,0)</f>
        <v>Sol1</v>
      </c>
      <c r="E500" s="2206" t="str">
        <f t="shared" si="134"/>
        <v>2017-2036</v>
      </c>
      <c r="F500" s="2258" t="s">
        <v>1720</v>
      </c>
      <c r="G500" s="1275">
        <f>0.086*(1-0.25)+0.086*0.25*(G$527/92.74)</f>
        <v>8.7706275609230111E-2</v>
      </c>
      <c r="H500" s="1275">
        <f t="shared" ref="H500:L500" si="145">0.086*(1-0.25)+0.086*0.25*(H$527/92.74)</f>
        <v>8.7706275609230111E-2</v>
      </c>
      <c r="I500" s="1275">
        <f t="shared" si="145"/>
        <v>8.7706275609230111E-2</v>
      </c>
      <c r="J500" s="1275">
        <f t="shared" si="145"/>
        <v>8.7706275609230111E-2</v>
      </c>
      <c r="K500" s="1275">
        <f t="shared" si="145"/>
        <v>8.7706275609230111E-2</v>
      </c>
      <c r="L500" s="1275">
        <f t="shared" si="145"/>
        <v>8.7706275609230111E-2</v>
      </c>
      <c r="M500" s="1759">
        <f t="shared" si="119"/>
        <v>8.7706275609230111E-2</v>
      </c>
    </row>
    <row r="501" spans="1:13">
      <c r="A501" s="1679"/>
      <c r="B501" s="1285" t="s">
        <v>760</v>
      </c>
      <c r="C501" s="1836" t="str">
        <f t="shared" si="133"/>
        <v>SOLPAC (Ene-17  - Dic36)</v>
      </c>
      <c r="D501" s="1276" t="str">
        <f t="shared" si="144"/>
        <v>Sol1</v>
      </c>
      <c r="E501" s="2206" t="str">
        <f t="shared" si="134"/>
        <v>2017-2036</v>
      </c>
      <c r="F501" s="2258" t="s">
        <v>1720</v>
      </c>
      <c r="G501" s="1275">
        <f>0.1048*(1-0.25)+0.1048*0.25*(G$527/92.74)</f>
        <v>0.10687927539357343</v>
      </c>
      <c r="H501" s="1275">
        <f t="shared" ref="H501:L501" si="146">0.1048*(1-0.25)+0.1048*0.25*(H$527/92.74)</f>
        <v>0.10687927539357343</v>
      </c>
      <c r="I501" s="1275">
        <f t="shared" si="146"/>
        <v>0.10687927539357343</v>
      </c>
      <c r="J501" s="1275">
        <f t="shared" si="146"/>
        <v>0.10687927539357343</v>
      </c>
      <c r="K501" s="1275">
        <f t="shared" si="146"/>
        <v>0.10687927539357343</v>
      </c>
      <c r="L501" s="1275">
        <f t="shared" si="146"/>
        <v>0.10687927539357343</v>
      </c>
      <c r="M501" s="1759">
        <f t="shared" si="119"/>
        <v>0.10687927539357343</v>
      </c>
    </row>
    <row r="502" spans="1:13" ht="12.75" thickBot="1">
      <c r="A502" s="1679"/>
      <c r="B502" s="1285" t="s">
        <v>792</v>
      </c>
      <c r="C502" s="1836" t="str">
        <f t="shared" si="133"/>
        <v>Gas Natural Atlántico</v>
      </c>
      <c r="D502" s="1276" t="str">
        <f t="shared" si="144"/>
        <v>Gas</v>
      </c>
      <c r="E502" s="2206" t="str">
        <f t="shared" si="134"/>
        <v>May18- Abr28</v>
      </c>
      <c r="F502" s="2258" t="s">
        <v>1725</v>
      </c>
      <c r="G502" s="1275">
        <f t="shared" ref="G502:L502" si="147">(0.0268*0.16)+(0.0268*0.84*G525/2.8)</f>
        <v>2.8408000000000003E-2</v>
      </c>
      <c r="H502" s="1275">
        <f t="shared" si="147"/>
        <v>2.8408000000000003E-2</v>
      </c>
      <c r="I502" s="1275">
        <f t="shared" si="147"/>
        <v>2.8408000000000003E-2</v>
      </c>
      <c r="J502" s="1275">
        <f t="shared" si="147"/>
        <v>2.8408000000000003E-2</v>
      </c>
      <c r="K502" s="1275">
        <f t="shared" si="147"/>
        <v>2.8408000000000003E-2</v>
      </c>
      <c r="L502" s="1275">
        <f t="shared" si="147"/>
        <v>2.8408000000000003E-2</v>
      </c>
      <c r="M502" s="1759">
        <f t="shared" si="119"/>
        <v>2.8407999999999999E-2</v>
      </c>
    </row>
    <row r="503" spans="1:13" ht="12.75" thickBot="1">
      <c r="A503" s="1679"/>
      <c r="B503" s="1284" t="s">
        <v>1324</v>
      </c>
      <c r="C503" s="1829" t="str">
        <f t="shared" si="133"/>
        <v>ALTERNEGY ENMIEDA 7</v>
      </c>
      <c r="D503" s="1283" t="str">
        <f t="shared" si="144"/>
        <v>H2</v>
      </c>
      <c r="E503" s="2195" t="str">
        <f t="shared" si="134"/>
        <v>Abr24-Mar39</v>
      </c>
      <c r="F503" s="1780"/>
      <c r="G503" s="1275">
        <f t="shared" ref="G503:L503" si="148">0.0209</f>
        <v>2.0899999999999998E-2</v>
      </c>
      <c r="H503" s="1275">
        <f t="shared" si="148"/>
        <v>2.0899999999999998E-2</v>
      </c>
      <c r="I503" s="1275">
        <f t="shared" si="148"/>
        <v>2.0899999999999998E-2</v>
      </c>
      <c r="J503" s="1275">
        <f t="shared" si="148"/>
        <v>2.0899999999999998E-2</v>
      </c>
      <c r="K503" s="1275">
        <f t="shared" si="148"/>
        <v>2.0899999999999998E-2</v>
      </c>
      <c r="L503" s="1275">
        <f t="shared" si="148"/>
        <v>2.0899999999999998E-2</v>
      </c>
      <c r="M503" s="1759">
        <f t="shared" si="119"/>
        <v>2.0899999999999998E-2</v>
      </c>
    </row>
    <row r="504" spans="1:13" ht="12.75" thickBot="1">
      <c r="A504" s="1679"/>
      <c r="B504" s="1683" t="s">
        <v>1743</v>
      </c>
      <c r="C504" s="1845" t="s">
        <v>1744</v>
      </c>
      <c r="D504" s="1334" t="s">
        <v>702</v>
      </c>
      <c r="E504" s="2243" t="str">
        <f t="shared" ref="E504" si="149">VLOOKUP(B504,$B$236:$E$311,4,0)</f>
        <v>Jul25-Jun28</v>
      </c>
      <c r="F504" s="1780"/>
      <c r="G504" s="1275">
        <v>0.09</v>
      </c>
      <c r="H504" s="1275">
        <v>0.09</v>
      </c>
      <c r="I504" s="1275">
        <v>0.09</v>
      </c>
      <c r="J504" s="1275">
        <v>0.09</v>
      </c>
      <c r="K504" s="1275">
        <v>0.09</v>
      </c>
      <c r="L504" s="1275">
        <v>0.09</v>
      </c>
      <c r="M504" s="1759">
        <f t="shared" ref="M504:M527" si="150">AVERAGE(G504:L504)</f>
        <v>8.9999999999999983E-2</v>
      </c>
    </row>
    <row r="505" spans="1:13">
      <c r="A505" s="1682"/>
      <c r="B505" s="1282" t="s">
        <v>1586</v>
      </c>
      <c r="C505" s="1878" t="s">
        <v>1587</v>
      </c>
      <c r="D505" s="1281" t="s">
        <v>1063</v>
      </c>
      <c r="E505" s="2230" t="s">
        <v>1585</v>
      </c>
      <c r="F505" s="1780"/>
      <c r="G505" s="1275">
        <v>6.7369999999999999E-2</v>
      </c>
      <c r="H505" s="1275">
        <v>5.7369999999999997E-2</v>
      </c>
      <c r="I505" s="1275">
        <v>5.7370000000000004E-2</v>
      </c>
      <c r="J505" s="1275">
        <v>5.736999999999999E-2</v>
      </c>
      <c r="K505" s="1275">
        <v>5.7370000000000004E-2</v>
      </c>
      <c r="L505" s="1275">
        <v>7.2370000000000004E-2</v>
      </c>
      <c r="M505" s="1759">
        <f t="shared" si="150"/>
        <v>6.1536666666666656E-2</v>
      </c>
    </row>
    <row r="506" spans="1:13">
      <c r="A506" s="1682"/>
      <c r="B506" s="1280" t="s">
        <v>1588</v>
      </c>
      <c r="C506" s="1838" t="s">
        <v>815</v>
      </c>
      <c r="D506" s="1279" t="s">
        <v>1063</v>
      </c>
      <c r="E506" s="2231" t="s">
        <v>1585</v>
      </c>
      <c r="F506" s="1780"/>
      <c r="G506" s="1275">
        <v>6.5000000000000002E-2</v>
      </c>
      <c r="H506" s="1275">
        <v>5.5E-2</v>
      </c>
      <c r="I506" s="1275">
        <v>5.5E-2</v>
      </c>
      <c r="J506" s="1275">
        <v>5.5E-2</v>
      </c>
      <c r="K506" s="1275">
        <v>5.5E-2</v>
      </c>
      <c r="L506" s="1275">
        <v>0</v>
      </c>
      <c r="M506" s="1759">
        <f t="shared" si="150"/>
        <v>4.7499999999999994E-2</v>
      </c>
    </row>
    <row r="507" spans="1:13">
      <c r="A507" s="1682"/>
      <c r="B507" s="1280" t="s">
        <v>1589</v>
      </c>
      <c r="C507" s="1838" t="s">
        <v>815</v>
      </c>
      <c r="D507" s="1279" t="s">
        <v>1063</v>
      </c>
      <c r="E507" s="2231" t="s">
        <v>1585</v>
      </c>
      <c r="F507" s="1780"/>
      <c r="G507" s="1275">
        <v>6.5500000000000003E-2</v>
      </c>
      <c r="H507" s="1275">
        <v>5.5500000000000001E-2</v>
      </c>
      <c r="I507" s="1275">
        <v>5.5500000000000001E-2</v>
      </c>
      <c r="J507" s="1275">
        <v>5.5500000000000001E-2</v>
      </c>
      <c r="K507" s="1275">
        <v>5.5500000000000001E-2</v>
      </c>
      <c r="L507" s="1275">
        <v>0</v>
      </c>
      <c r="M507" s="1759">
        <f t="shared" si="150"/>
        <v>4.7916666666666663E-2</v>
      </c>
    </row>
    <row r="508" spans="1:13">
      <c r="A508" s="1682"/>
      <c r="B508" s="1280" t="s">
        <v>1590</v>
      </c>
      <c r="C508" s="1838" t="s">
        <v>1591</v>
      </c>
      <c r="D508" s="1279" t="s">
        <v>702</v>
      </c>
      <c r="E508" s="2231" t="s">
        <v>1585</v>
      </c>
      <c r="F508" s="2362"/>
      <c r="G508" s="1275">
        <v>6.6000000000000003E-2</v>
      </c>
      <c r="H508" s="1275">
        <v>5.6000000000000001E-2</v>
      </c>
      <c r="I508" s="1275">
        <v>5.6000000000000001E-2</v>
      </c>
      <c r="J508" s="1275">
        <v>5.6000000000000001E-2</v>
      </c>
      <c r="K508" s="1275">
        <v>5.6000000000000001E-2</v>
      </c>
      <c r="L508" s="1275">
        <v>7.4950000000000003E-2</v>
      </c>
      <c r="M508" s="1759">
        <f t="shared" si="150"/>
        <v>6.0824999999999997E-2</v>
      </c>
    </row>
    <row r="509" spans="1:13">
      <c r="A509" s="1682"/>
      <c r="B509" s="1280" t="s">
        <v>1592</v>
      </c>
      <c r="C509" s="1838" t="s">
        <v>1591</v>
      </c>
      <c r="D509" s="1279" t="s">
        <v>702</v>
      </c>
      <c r="E509" s="2231" t="s">
        <v>1585</v>
      </c>
      <c r="F509" s="2362"/>
      <c r="G509" s="1275">
        <v>6.8000000000000005E-2</v>
      </c>
      <c r="H509" s="1275">
        <v>5.8000000000000003E-2</v>
      </c>
      <c r="I509" s="1275">
        <v>5.8000000000000003E-2</v>
      </c>
      <c r="J509" s="1275">
        <v>5.8000000000000003E-2</v>
      </c>
      <c r="K509" s="1275">
        <v>5.8000000000000003E-2</v>
      </c>
      <c r="L509" s="1275">
        <v>7.4950000000000003E-2</v>
      </c>
      <c r="M509" s="1759">
        <f t="shared" si="150"/>
        <v>6.2491666666666668E-2</v>
      </c>
    </row>
    <row r="510" spans="1:13">
      <c r="A510" s="1682"/>
      <c r="B510" s="1280" t="s">
        <v>1593</v>
      </c>
      <c r="C510" s="1838" t="s">
        <v>838</v>
      </c>
      <c r="D510" s="1279" t="s">
        <v>1063</v>
      </c>
      <c r="E510" s="2231" t="s">
        <v>1585</v>
      </c>
      <c r="F510" s="2258"/>
      <c r="G510" s="1275">
        <v>6.7549999999999999E-2</v>
      </c>
      <c r="H510" s="1275">
        <v>5.7579999999999999E-2</v>
      </c>
      <c r="I510" s="1275">
        <v>5.7579999999999999E-2</v>
      </c>
      <c r="J510" s="1275">
        <v>5.7579999999999999E-2</v>
      </c>
      <c r="K510" s="1275">
        <v>5.7579999999999999E-2</v>
      </c>
      <c r="L510" s="1275">
        <v>7.2550000000000003E-2</v>
      </c>
      <c r="M510" s="1759">
        <f t="shared" si="150"/>
        <v>6.1736666666666662E-2</v>
      </c>
    </row>
    <row r="511" spans="1:13">
      <c r="A511" s="1682"/>
      <c r="B511" s="1280" t="s">
        <v>1594</v>
      </c>
      <c r="C511" s="1838" t="s">
        <v>1595</v>
      </c>
      <c r="D511" s="1279" t="s">
        <v>702</v>
      </c>
      <c r="E511" s="2231" t="s">
        <v>1585</v>
      </c>
      <c r="F511" s="2362"/>
      <c r="G511" s="1275">
        <v>6.9690000000000002E-2</v>
      </c>
      <c r="H511" s="1275">
        <v>5.9589999999999997E-2</v>
      </c>
      <c r="I511" s="1275">
        <v>5.9589999999999997E-2</v>
      </c>
      <c r="J511" s="1275">
        <v>5.9589999999999997E-2</v>
      </c>
      <c r="K511" s="1275">
        <v>5.9589999999999997E-2</v>
      </c>
      <c r="L511" s="1275">
        <v>7.4740000000000001E-2</v>
      </c>
      <c r="M511" s="1759">
        <f t="shared" si="150"/>
        <v>6.3798333333333332E-2</v>
      </c>
    </row>
    <row r="512" spans="1:13">
      <c r="A512" s="1682"/>
      <c r="B512" s="1280" t="s">
        <v>1596</v>
      </c>
      <c r="C512" s="1838" t="s">
        <v>1597</v>
      </c>
      <c r="D512" s="1279" t="s">
        <v>1063</v>
      </c>
      <c r="E512" s="2231" t="s">
        <v>1585</v>
      </c>
      <c r="F512" s="2258"/>
      <c r="G512" s="1275">
        <v>7.0000000000000007E-2</v>
      </c>
      <c r="H512" s="1275">
        <v>5.6640000000000003E-2</v>
      </c>
      <c r="I512" s="1275">
        <v>5.1549999999999999E-2</v>
      </c>
      <c r="J512" s="1275">
        <v>5.3830000000000003E-2</v>
      </c>
      <c r="K512" s="1275">
        <v>5.9339999999999997E-2</v>
      </c>
      <c r="L512" s="1275">
        <v>7.4999999999999997E-2</v>
      </c>
      <c r="M512" s="1759">
        <f t="shared" si="150"/>
        <v>6.1060000000000003E-2</v>
      </c>
    </row>
    <row r="513" spans="1:13">
      <c r="A513" s="1682"/>
      <c r="B513" s="1280" t="s">
        <v>1598</v>
      </c>
      <c r="C513" s="1838" t="s">
        <v>1509</v>
      </c>
      <c r="D513" s="1279" t="s">
        <v>1063</v>
      </c>
      <c r="E513" s="2231" t="s">
        <v>1585</v>
      </c>
      <c r="F513" s="2258"/>
      <c r="G513" s="1275"/>
      <c r="H513" s="1275"/>
      <c r="I513" s="1275"/>
      <c r="J513" s="1275">
        <v>5.7869999999999998E-2</v>
      </c>
      <c r="K513" s="1275">
        <v>5.7869999999999998E-2</v>
      </c>
      <c r="L513" s="1275">
        <v>7.2870000000000004E-2</v>
      </c>
      <c r="M513" s="1759">
        <f t="shared" si="150"/>
        <v>6.2869999999999995E-2</v>
      </c>
    </row>
    <row r="514" spans="1:13">
      <c r="A514" s="1682"/>
      <c r="B514" s="1280" t="s">
        <v>1599</v>
      </c>
      <c r="C514" s="1838" t="s">
        <v>1600</v>
      </c>
      <c r="D514" s="1279" t="s">
        <v>702</v>
      </c>
      <c r="E514" s="2231" t="s">
        <v>1585</v>
      </c>
      <c r="F514" s="2362"/>
      <c r="G514" s="1275">
        <v>6.9949999999999998E-2</v>
      </c>
      <c r="H514" s="1275">
        <v>5.9950000000000003E-2</v>
      </c>
      <c r="I514" s="1275">
        <v>5.9950000000000003E-2</v>
      </c>
      <c r="J514" s="1275">
        <v>5.9950000000000003E-2</v>
      </c>
      <c r="K514" s="1275">
        <v>5.9950000000000003E-2</v>
      </c>
      <c r="L514" s="1275">
        <v>7.4950000000000003E-2</v>
      </c>
      <c r="M514" s="1759">
        <f t="shared" si="150"/>
        <v>6.4116666666666669E-2</v>
      </c>
    </row>
    <row r="515" spans="1:13">
      <c r="A515" s="1682"/>
      <c r="B515" s="1280" t="s">
        <v>1601</v>
      </c>
      <c r="C515" s="1838" t="s">
        <v>1150</v>
      </c>
      <c r="D515" s="1279" t="s">
        <v>702</v>
      </c>
      <c r="E515" s="2231" t="s">
        <v>1585</v>
      </c>
      <c r="F515" s="2362"/>
      <c r="G515" s="1275">
        <v>6.8922999999999998E-2</v>
      </c>
      <c r="H515" s="1275">
        <v>5.8923000000000003E-2</v>
      </c>
      <c r="I515" s="1275">
        <v>5.8923000000000003E-2</v>
      </c>
      <c r="J515" s="1275">
        <v>5.8923000000000003E-2</v>
      </c>
      <c r="K515" s="1275">
        <v>5.8923000000000003E-2</v>
      </c>
      <c r="L515" s="1275">
        <v>7.3923000000000003E-2</v>
      </c>
      <c r="M515" s="1759">
        <f t="shared" si="150"/>
        <v>6.3089666666666669E-2</v>
      </c>
    </row>
    <row r="516" spans="1:13">
      <c r="A516" s="1682"/>
      <c r="B516" s="1280" t="s">
        <v>1602</v>
      </c>
      <c r="C516" s="1838" t="s">
        <v>1603</v>
      </c>
      <c r="D516" s="1279" t="s">
        <v>1063</v>
      </c>
      <c r="E516" s="2231" t="s">
        <v>1585</v>
      </c>
      <c r="F516" s="1780"/>
      <c r="G516" s="1275">
        <v>7.0000000000000007E-2</v>
      </c>
      <c r="H516" s="1275">
        <v>0.06</v>
      </c>
      <c r="I516" s="1275">
        <v>0.06</v>
      </c>
      <c r="J516" s="1275">
        <v>0.06</v>
      </c>
      <c r="K516" s="1275">
        <v>0.06</v>
      </c>
      <c r="L516" s="1275">
        <v>7.4999999999999997E-2</v>
      </c>
      <c r="M516" s="1759">
        <f t="shared" si="150"/>
        <v>6.4166666666666664E-2</v>
      </c>
    </row>
    <row r="517" spans="1:13">
      <c r="A517" s="1682"/>
      <c r="B517" s="1280" t="s">
        <v>1604</v>
      </c>
      <c r="C517" s="1838" t="s">
        <v>843</v>
      </c>
      <c r="D517" s="1279" t="s">
        <v>1063</v>
      </c>
      <c r="E517" s="2231" t="s">
        <v>1585</v>
      </c>
      <c r="F517" s="1780"/>
      <c r="G517" s="1275"/>
      <c r="H517" s="1275"/>
      <c r="I517" s="1275"/>
      <c r="J517" s="1275"/>
      <c r="K517" s="1275"/>
      <c r="L517" s="1275"/>
      <c r="M517" s="1759"/>
    </row>
    <row r="518" spans="1:13">
      <c r="A518" s="1682"/>
      <c r="B518" s="1280" t="s">
        <v>1605</v>
      </c>
      <c r="C518" s="1838" t="s">
        <v>1606</v>
      </c>
      <c r="D518" s="1279" t="s">
        <v>1063</v>
      </c>
      <c r="E518" s="2231" t="s">
        <v>1585</v>
      </c>
      <c r="F518" s="1780"/>
      <c r="G518" s="1275">
        <v>6.9599999999999995E-2</v>
      </c>
      <c r="H518" s="1275">
        <v>5.96E-2</v>
      </c>
      <c r="I518" s="1275">
        <v>5.96E-2</v>
      </c>
      <c r="J518" s="1275">
        <v>5.96E-2</v>
      </c>
      <c r="K518" s="1275">
        <v>5.96E-2</v>
      </c>
      <c r="L518" s="1275">
        <v>7.46E-2</v>
      </c>
      <c r="M518" s="1759">
        <f t="shared" si="150"/>
        <v>6.3766666666666652E-2</v>
      </c>
    </row>
    <row r="519" spans="1:13" ht="12.75" thickBot="1">
      <c r="A519" s="1682"/>
      <c r="B519" s="1280" t="s">
        <v>1607</v>
      </c>
      <c r="C519" s="1838" t="s">
        <v>1608</v>
      </c>
      <c r="D519" s="1279" t="s">
        <v>1063</v>
      </c>
      <c r="E519" s="2231" t="s">
        <v>1585</v>
      </c>
      <c r="F519" s="1780"/>
      <c r="G519" s="1275">
        <v>6.7000000000000004E-2</v>
      </c>
      <c r="H519" s="1275">
        <v>5.7000000000000002E-2</v>
      </c>
      <c r="I519" s="1275">
        <v>5.7000000000000002E-2</v>
      </c>
      <c r="J519" s="1275">
        <v>5.7000000000000002E-2</v>
      </c>
      <c r="K519" s="1275">
        <v>5.7000000000000002E-2</v>
      </c>
      <c r="L519" s="1275">
        <v>7.0999999999999994E-2</v>
      </c>
      <c r="M519" s="1759">
        <f t="shared" si="150"/>
        <v>6.0999999999999999E-2</v>
      </c>
    </row>
    <row r="520" spans="1:13" ht="12.75" thickBot="1">
      <c r="A520" s="1681"/>
      <c r="B520" s="1680" t="s">
        <v>389</v>
      </c>
      <c r="C520" s="1879" t="s">
        <v>612</v>
      </c>
      <c r="D520" s="1680" t="s">
        <v>389</v>
      </c>
      <c r="E520" s="2244" t="s">
        <v>389</v>
      </c>
      <c r="F520" s="2259"/>
      <c r="G520" s="1278">
        <v>0.06</v>
      </c>
      <c r="H520" s="1278">
        <f>G520</f>
        <v>0.06</v>
      </c>
      <c r="I520" s="1278">
        <f t="shared" ref="I520:L520" si="151">H520</f>
        <v>0.06</v>
      </c>
      <c r="J520" s="1278">
        <f t="shared" si="151"/>
        <v>0.06</v>
      </c>
      <c r="K520" s="1278">
        <f t="shared" si="151"/>
        <v>0.06</v>
      </c>
      <c r="L520" s="1278">
        <f t="shared" si="151"/>
        <v>0.06</v>
      </c>
      <c r="M520" s="1278">
        <f t="shared" si="150"/>
        <v>0.06</v>
      </c>
    </row>
    <row r="521" spans="1:13">
      <c r="A521" s="1679"/>
      <c r="B521" s="1261" t="s">
        <v>825</v>
      </c>
      <c r="C521" s="1836" t="s">
        <v>833</v>
      </c>
      <c r="D521" s="1276" t="str">
        <f>VLOOKUP(B521,$B$236:$D$311,3,0)</f>
        <v>T SA</v>
      </c>
      <c r="E521" s="2206" t="str">
        <f>VLOOKUP(B521,$B$236:$E$311,4,0)</f>
        <v>A Jun 2030</v>
      </c>
      <c r="F521" s="2258" t="s">
        <v>1724</v>
      </c>
      <c r="G521" s="1277">
        <f t="shared" ref="G521:L521" si="152">0.21+(G524*42*2.4/1000)</f>
        <v>0.41159999999999997</v>
      </c>
      <c r="H521" s="1277">
        <f t="shared" si="152"/>
        <v>0.41159999999999997</v>
      </c>
      <c r="I521" s="1277">
        <f t="shared" si="152"/>
        <v>0.41159999999999997</v>
      </c>
      <c r="J521" s="1277">
        <f t="shared" si="152"/>
        <v>0.41159999999999997</v>
      </c>
      <c r="K521" s="1277">
        <f t="shared" si="152"/>
        <v>0.41159999999999997</v>
      </c>
      <c r="L521" s="1277">
        <f t="shared" si="152"/>
        <v>0.41159999999999997</v>
      </c>
      <c r="M521" s="1760">
        <f t="shared" si="150"/>
        <v>0.41159999999999997</v>
      </c>
    </row>
    <row r="522" spans="1:13">
      <c r="A522" s="1679"/>
      <c r="B522" s="1261" t="s">
        <v>897</v>
      </c>
      <c r="C522" s="1836" t="s">
        <v>1001</v>
      </c>
      <c r="D522" s="1276" t="str">
        <f>VLOOKUP(B522,$B$236:$D$311,3,0)</f>
        <v>T SA</v>
      </c>
      <c r="E522" s="2206" t="str">
        <f>VLOOKUP(B522,$B$236:$E$311,4,0)</f>
        <v>A Jun 2030</v>
      </c>
      <c r="F522" s="2258" t="s">
        <v>1724</v>
      </c>
      <c r="G522" s="1275">
        <f t="shared" ref="G522:L522" si="153">0.0189+0.1387*G524/1.9703</f>
        <v>0.1596907425265188</v>
      </c>
      <c r="H522" s="1275">
        <f t="shared" si="153"/>
        <v>0.1596907425265188</v>
      </c>
      <c r="I522" s="1275">
        <f t="shared" si="153"/>
        <v>0.1596907425265188</v>
      </c>
      <c r="J522" s="1275">
        <f t="shared" si="153"/>
        <v>0.1596907425265188</v>
      </c>
      <c r="K522" s="1275">
        <f t="shared" si="153"/>
        <v>0.1596907425265188</v>
      </c>
      <c r="L522" s="1275">
        <f t="shared" si="153"/>
        <v>0.1596907425265188</v>
      </c>
      <c r="M522" s="1759">
        <f t="shared" si="150"/>
        <v>0.1596907425265188</v>
      </c>
    </row>
    <row r="523" spans="1:13" s="1486" customFormat="1" ht="8.25">
      <c r="A523" s="1912"/>
      <c r="B523" s="1913"/>
      <c r="C523" s="1914"/>
      <c r="D523" s="1915"/>
      <c r="E523" s="2199"/>
      <c r="F523" s="2200"/>
      <c r="G523" s="1916"/>
      <c r="H523" s="1916"/>
      <c r="I523" s="1916"/>
      <c r="J523" s="1916"/>
      <c r="K523" s="1916"/>
      <c r="L523" s="1916"/>
      <c r="M523" s="1916"/>
    </row>
    <row r="524" spans="1:13">
      <c r="A524" s="1678"/>
      <c r="B524" s="1909"/>
      <c r="C524" s="1911" t="s">
        <v>1371</v>
      </c>
      <c r="D524" s="1678"/>
      <c r="E524" s="2245"/>
      <c r="F524" s="2099" t="s">
        <v>1724</v>
      </c>
      <c r="G524" s="1910">
        <v>2</v>
      </c>
      <c r="H524" s="1910">
        <f>G524</f>
        <v>2</v>
      </c>
      <c r="I524" s="1910">
        <f t="shared" ref="I524:L524" si="154">H524</f>
        <v>2</v>
      </c>
      <c r="J524" s="1910">
        <f t="shared" si="154"/>
        <v>2</v>
      </c>
      <c r="K524" s="1910">
        <f t="shared" si="154"/>
        <v>2</v>
      </c>
      <c r="L524" s="1910">
        <f t="shared" si="154"/>
        <v>2</v>
      </c>
      <c r="M524" s="1910">
        <f t="shared" si="150"/>
        <v>2</v>
      </c>
    </row>
    <row r="525" spans="1:13">
      <c r="A525" s="1678"/>
      <c r="B525" s="1909"/>
      <c r="C525" s="1911" t="s">
        <v>1723</v>
      </c>
      <c r="D525" s="1678"/>
      <c r="E525" s="2245"/>
      <c r="F525" s="2099" t="s">
        <v>1721</v>
      </c>
      <c r="G525" s="1910">
        <v>3</v>
      </c>
      <c r="H525" s="1910">
        <f t="shared" ref="H525:L525" si="155">G525</f>
        <v>3</v>
      </c>
      <c r="I525" s="1910">
        <f t="shared" si="155"/>
        <v>3</v>
      </c>
      <c r="J525" s="1910">
        <f t="shared" si="155"/>
        <v>3</v>
      </c>
      <c r="K525" s="1910">
        <f t="shared" si="155"/>
        <v>3</v>
      </c>
      <c r="L525" s="1910">
        <f t="shared" si="155"/>
        <v>3</v>
      </c>
      <c r="M525" s="1910">
        <f t="shared" si="150"/>
        <v>3</v>
      </c>
    </row>
    <row r="526" spans="1:13">
      <c r="A526" s="1678"/>
      <c r="B526" s="1909"/>
      <c r="C526" s="1911" t="s">
        <v>1722</v>
      </c>
      <c r="D526" s="1678"/>
      <c r="E526" s="2245"/>
      <c r="F526" s="2099" t="s">
        <v>1721</v>
      </c>
      <c r="G526" s="1910">
        <f>G525</f>
        <v>3</v>
      </c>
      <c r="H526" s="1910">
        <f t="shared" ref="H526:L526" si="156">G526</f>
        <v>3</v>
      </c>
      <c r="I526" s="1910">
        <f t="shared" si="156"/>
        <v>3</v>
      </c>
      <c r="J526" s="1910">
        <f t="shared" si="156"/>
        <v>3</v>
      </c>
      <c r="K526" s="1910">
        <f t="shared" si="156"/>
        <v>3</v>
      </c>
      <c r="L526" s="1910">
        <f t="shared" si="156"/>
        <v>3</v>
      </c>
      <c r="M526" s="1910">
        <f t="shared" si="150"/>
        <v>3</v>
      </c>
    </row>
    <row r="527" spans="1:13">
      <c r="A527" s="1678"/>
      <c r="B527" s="1909"/>
      <c r="C527" s="1911" t="s">
        <v>1370</v>
      </c>
      <c r="D527" s="1678"/>
      <c r="E527" s="2245"/>
      <c r="F527" s="2099" t="s">
        <v>1720</v>
      </c>
      <c r="G527" s="1910">
        <f>100.1</f>
        <v>100.1</v>
      </c>
      <c r="H527" s="1910">
        <f>G527</f>
        <v>100.1</v>
      </c>
      <c r="I527" s="1910">
        <f>H527</f>
        <v>100.1</v>
      </c>
      <c r="J527" s="1910">
        <f>I527</f>
        <v>100.1</v>
      </c>
      <c r="K527" s="1910">
        <f>J527</f>
        <v>100.1</v>
      </c>
      <c r="L527" s="1910">
        <f>K527</f>
        <v>100.1</v>
      </c>
      <c r="M527" s="1910">
        <f t="shared" si="150"/>
        <v>100.10000000000001</v>
      </c>
    </row>
    <row r="528" spans="1:13" s="1486" customFormat="1" ht="8.25">
      <c r="A528" s="1912"/>
      <c r="B528" s="1913"/>
      <c r="C528" s="1914"/>
      <c r="D528" s="1915"/>
      <c r="E528" s="2199"/>
      <c r="F528" s="2200"/>
      <c r="G528" s="1916"/>
      <c r="H528" s="1916"/>
      <c r="I528" s="1916"/>
      <c r="J528" s="1916"/>
      <c r="K528" s="1916"/>
      <c r="L528" s="1916"/>
      <c r="M528" s="1916"/>
    </row>
    <row r="529" spans="1:13">
      <c r="A529" s="1670"/>
      <c r="B529" s="1268"/>
      <c r="C529" s="1268" t="s">
        <v>1092</v>
      </c>
      <c r="D529" s="1268" t="s">
        <v>386</v>
      </c>
      <c r="E529" s="2246"/>
      <c r="F529" s="2260"/>
      <c r="G529" s="2335">
        <f t="shared" ref="G529:L539" si="157">SUMIF($D$35:$D$214,$D529,G$35:G$214)</f>
        <v>7189.7043089699664</v>
      </c>
      <c r="H529" s="2335">
        <f t="shared" si="157"/>
        <v>7154.0100869907519</v>
      </c>
      <c r="I529" s="2335">
        <f t="shared" si="157"/>
        <v>7176.368593944313</v>
      </c>
      <c r="J529" s="2335">
        <f t="shared" si="157"/>
        <v>7732.7195654755624</v>
      </c>
      <c r="K529" s="2335">
        <f t="shared" si="157"/>
        <v>7092.4427010539112</v>
      </c>
      <c r="L529" s="2335">
        <f t="shared" si="157"/>
        <v>6997.524134918659</v>
      </c>
      <c r="M529" s="2335">
        <f>SUM(G529:L529)</f>
        <v>43342.769391353162</v>
      </c>
    </row>
    <row r="530" spans="1:13">
      <c r="A530" s="1670"/>
      <c r="B530" s="1268"/>
      <c r="C530" s="1268" t="s">
        <v>1093</v>
      </c>
      <c r="D530" s="1268" t="s">
        <v>1063</v>
      </c>
      <c r="E530" s="2246"/>
      <c r="F530" s="2260"/>
      <c r="G530" s="2335">
        <f t="shared" si="157"/>
        <v>2337.3873678824739</v>
      </c>
      <c r="H530" s="2335">
        <f t="shared" si="157"/>
        <v>1504.3289611229332</v>
      </c>
      <c r="I530" s="2335">
        <f t="shared" si="157"/>
        <v>1851.8954991773944</v>
      </c>
      <c r="J530" s="2335">
        <f t="shared" si="157"/>
        <v>3075.0798001683165</v>
      </c>
      <c r="K530" s="2335">
        <f t="shared" si="157"/>
        <v>2175.7856927739081</v>
      </c>
      <c r="L530" s="2335">
        <f t="shared" si="157"/>
        <v>2118.552539227695</v>
      </c>
      <c r="M530" s="2335">
        <f t="shared" ref="M530:M548" si="158">SUM(G530:L530)</f>
        <v>13063.029860352723</v>
      </c>
    </row>
    <row r="531" spans="1:13">
      <c r="A531" s="1670"/>
      <c r="B531" s="1268"/>
      <c r="C531" s="1268" t="s">
        <v>1094</v>
      </c>
      <c r="D531" s="1268" t="s">
        <v>1061</v>
      </c>
      <c r="E531" s="2246"/>
      <c r="F531" s="2260"/>
      <c r="G531" s="2335">
        <f t="shared" si="157"/>
        <v>208.48532800000004</v>
      </c>
      <c r="H531" s="2335">
        <f t="shared" si="157"/>
        <v>197.512416</v>
      </c>
      <c r="I531" s="2335">
        <f t="shared" si="157"/>
        <v>194.76918799999999</v>
      </c>
      <c r="J531" s="2335">
        <f t="shared" si="157"/>
        <v>200.25564399999999</v>
      </c>
      <c r="K531" s="2335">
        <f t="shared" si="157"/>
        <v>122.43021</v>
      </c>
      <c r="L531" s="2335">
        <f t="shared" si="157"/>
        <v>189.28273199999998</v>
      </c>
      <c r="M531" s="2335">
        <f t="shared" si="158"/>
        <v>1112.735518</v>
      </c>
    </row>
    <row r="532" spans="1:13">
      <c r="A532" s="1669"/>
      <c r="B532" s="1267"/>
      <c r="C532" s="1268" t="s">
        <v>2124</v>
      </c>
      <c r="D532" s="1268" t="s">
        <v>1325</v>
      </c>
      <c r="E532" s="2247"/>
      <c r="F532" s="2260"/>
      <c r="G532" s="2335">
        <f t="shared" si="157"/>
        <v>4193.6921502897094</v>
      </c>
      <c r="H532" s="2335">
        <f t="shared" si="157"/>
        <v>4180.2158815239145</v>
      </c>
      <c r="I532" s="2335">
        <f t="shared" si="157"/>
        <v>4178.5502163732681</v>
      </c>
      <c r="J532" s="2335">
        <f t="shared" si="157"/>
        <v>4195.903787041555</v>
      </c>
      <c r="K532" s="2335">
        <f t="shared" si="157"/>
        <v>4176.7367811041568</v>
      </c>
      <c r="L532" s="2335">
        <f t="shared" si="157"/>
        <v>4185.9094380669312</v>
      </c>
      <c r="M532" s="2335">
        <f t="shared" si="158"/>
        <v>25111.008254399534</v>
      </c>
    </row>
    <row r="533" spans="1:13">
      <c r="A533" s="1669"/>
      <c r="B533" s="1267"/>
      <c r="C533" s="1268" t="s">
        <v>1518</v>
      </c>
      <c r="D533" s="1268" t="s">
        <v>1506</v>
      </c>
      <c r="E533" s="2247"/>
      <c r="F533" s="2260"/>
      <c r="G533" s="2335">
        <f t="shared" si="157"/>
        <v>2776.4727409954494</v>
      </c>
      <c r="H533" s="2335">
        <f t="shared" si="157"/>
        <v>2761.8718625724578</v>
      </c>
      <c r="I533" s="2335">
        <f t="shared" si="157"/>
        <v>2771.0177081364445</v>
      </c>
      <c r="J533" s="2335">
        <f t="shared" si="157"/>
        <v>2998.5955189253082</v>
      </c>
      <c r="K533" s="2335">
        <f t="shared" si="157"/>
        <v>2736.6874526864895</v>
      </c>
      <c r="L533" s="2335">
        <f t="shared" si="157"/>
        <v>2697.8605959186734</v>
      </c>
      <c r="M533" s="2335">
        <f t="shared" si="158"/>
        <v>16742.505879234821</v>
      </c>
    </row>
    <row r="534" spans="1:13">
      <c r="A534" s="1671"/>
      <c r="B534" s="1267"/>
      <c r="C534" s="1267" t="s">
        <v>1095</v>
      </c>
      <c r="D534" s="1267" t="s">
        <v>569</v>
      </c>
      <c r="E534" s="2246"/>
      <c r="F534" s="2260"/>
      <c r="G534" s="2336">
        <f t="shared" si="157"/>
        <v>759.4631940541783</v>
      </c>
      <c r="H534" s="2336">
        <f t="shared" si="157"/>
        <v>658.65845131598792</v>
      </c>
      <c r="I534" s="2336">
        <f t="shared" si="157"/>
        <v>566.34579735225941</v>
      </c>
      <c r="J534" s="2336">
        <f t="shared" si="157"/>
        <v>671.75922712907959</v>
      </c>
      <c r="K534" s="2336">
        <f t="shared" si="157"/>
        <v>1122.6752589900734</v>
      </c>
      <c r="L534" s="2336">
        <f t="shared" si="157"/>
        <v>2233.7592663927899</v>
      </c>
      <c r="M534" s="2336">
        <f t="shared" si="158"/>
        <v>6012.6611952343683</v>
      </c>
    </row>
    <row r="535" spans="1:13">
      <c r="A535" s="1671"/>
      <c r="B535" s="1267"/>
      <c r="C535" s="1267" t="s">
        <v>1097</v>
      </c>
      <c r="D535" s="1267" t="s">
        <v>2126</v>
      </c>
      <c r="E535" s="1267" t="s">
        <v>2127</v>
      </c>
      <c r="F535" s="2260"/>
      <c r="G535" s="2336">
        <f t="shared" si="157"/>
        <v>91.247924678636451</v>
      </c>
      <c r="H535" s="2336">
        <f t="shared" si="157"/>
        <v>90.662805748314668</v>
      </c>
      <c r="I535" s="2336">
        <f t="shared" si="157"/>
        <v>91.029318448321902</v>
      </c>
      <c r="J535" s="2336">
        <f t="shared" si="157"/>
        <v>100.1493235162406</v>
      </c>
      <c r="K535" s="2336">
        <f t="shared" si="157"/>
        <v>89.653559965536417</v>
      </c>
      <c r="L535" s="2336">
        <f t="shared" si="157"/>
        <v>88.097603656499089</v>
      </c>
      <c r="M535" s="2336">
        <f t="shared" ref="M535" si="159">SUM(G535:L535)</f>
        <v>550.84053601354913</v>
      </c>
    </row>
    <row r="536" spans="1:13">
      <c r="A536" s="1671"/>
      <c r="B536" s="1267"/>
      <c r="C536" s="1267" t="s">
        <v>1097</v>
      </c>
      <c r="D536" s="1267" t="s">
        <v>702</v>
      </c>
      <c r="E536" s="2246"/>
      <c r="F536" s="2260"/>
      <c r="G536" s="2336">
        <f t="shared" si="157"/>
        <v>973.10269990400741</v>
      </c>
      <c r="H536" s="2336">
        <f t="shared" si="157"/>
        <v>823.85579812170045</v>
      </c>
      <c r="I536" s="2336">
        <f t="shared" si="157"/>
        <v>877.29542115099275</v>
      </c>
      <c r="J536" s="2336">
        <f t="shared" si="157"/>
        <v>994.84544449815485</v>
      </c>
      <c r="K536" s="2336">
        <f t="shared" si="157"/>
        <v>895.16150102250424</v>
      </c>
      <c r="L536" s="2336">
        <f t="shared" si="157"/>
        <v>856.54132929751722</v>
      </c>
      <c r="M536" s="2336">
        <f t="shared" si="158"/>
        <v>5420.8021939948767</v>
      </c>
    </row>
    <row r="537" spans="1:13">
      <c r="A537" s="1671"/>
      <c r="B537" s="1267"/>
      <c r="C537" s="1267" t="s">
        <v>1096</v>
      </c>
      <c r="D537" s="1267" t="s">
        <v>548</v>
      </c>
      <c r="E537" s="2246"/>
      <c r="F537" s="2260"/>
      <c r="G537" s="2336">
        <f t="shared" si="157"/>
        <v>6606.9612180714676</v>
      </c>
      <c r="H537" s="2336">
        <f t="shared" si="157"/>
        <v>6596.5399400136721</v>
      </c>
      <c r="I537" s="2336">
        <f t="shared" si="157"/>
        <v>6603.0677253245804</v>
      </c>
      <c r="J537" s="2336">
        <f t="shared" si="157"/>
        <v>6765.4998460030565</v>
      </c>
      <c r="K537" s="2336">
        <f t="shared" si="157"/>
        <v>6578.5647380744595</v>
      </c>
      <c r="L537" s="2336">
        <f t="shared" si="157"/>
        <v>6550.8523320968534</v>
      </c>
      <c r="M537" s="2336">
        <f t="shared" si="158"/>
        <v>39701.485799584087</v>
      </c>
    </row>
    <row r="538" spans="1:13">
      <c r="A538" s="1671"/>
      <c r="B538" s="1267"/>
      <c r="C538" s="2337" t="s">
        <v>1316</v>
      </c>
      <c r="D538" s="1267" t="s">
        <v>1367</v>
      </c>
      <c r="E538" s="2246"/>
      <c r="F538" s="2260"/>
      <c r="G538" s="2336">
        <f t="shared" si="157"/>
        <v>9117.103326619419</v>
      </c>
      <c r="H538" s="2336">
        <f t="shared" si="157"/>
        <v>9079.5961096048341</v>
      </c>
      <c r="I538" s="2336">
        <f t="shared" si="157"/>
        <v>9103.0902586835746</v>
      </c>
      <c r="J538" s="2336">
        <f t="shared" si="157"/>
        <v>9687.6996287281108</v>
      </c>
      <c r="K538" s="2336">
        <f t="shared" si="157"/>
        <v>9014.9015686592811</v>
      </c>
      <c r="L538" s="2336">
        <f t="shared" si="157"/>
        <v>8915.1618611844551</v>
      </c>
      <c r="M538" s="2336">
        <f t="shared" si="158"/>
        <v>54917.552753479671</v>
      </c>
    </row>
    <row r="539" spans="1:13">
      <c r="A539" s="1668"/>
      <c r="B539" s="1266"/>
      <c r="C539" s="2338" t="s">
        <v>1098</v>
      </c>
      <c r="D539" s="2338" t="s">
        <v>758</v>
      </c>
      <c r="F539" s="1810"/>
      <c r="G539" s="2339">
        <f t="shared" si="157"/>
        <v>0</v>
      </c>
      <c r="H539" s="2339">
        <f t="shared" si="157"/>
        <v>0</v>
      </c>
      <c r="I539" s="2339">
        <f t="shared" si="157"/>
        <v>0</v>
      </c>
      <c r="J539" s="2339">
        <f t="shared" si="157"/>
        <v>0</v>
      </c>
      <c r="K539" s="2339">
        <f t="shared" si="157"/>
        <v>0</v>
      </c>
      <c r="L539" s="2339">
        <f t="shared" si="157"/>
        <v>0</v>
      </c>
      <c r="M539" s="2339">
        <f t="shared" si="158"/>
        <v>0</v>
      </c>
    </row>
    <row r="540" spans="1:13">
      <c r="A540" s="1668"/>
      <c r="B540" s="1266"/>
      <c r="C540" s="2338" t="s">
        <v>1099</v>
      </c>
      <c r="D540" s="2338" t="s">
        <v>387</v>
      </c>
      <c r="F540" s="2261"/>
      <c r="G540" s="2339">
        <f t="shared" ref="G540:L547" si="160">SUMIF($D$35:$D$214,$D540,G$35:G$214)</f>
        <v>0</v>
      </c>
      <c r="H540" s="2339">
        <f t="shared" si="160"/>
        <v>0</v>
      </c>
      <c r="I540" s="2339">
        <f t="shared" si="160"/>
        <v>0</v>
      </c>
      <c r="J540" s="2339">
        <f t="shared" si="160"/>
        <v>0</v>
      </c>
      <c r="K540" s="2339">
        <f t="shared" si="160"/>
        <v>0</v>
      </c>
      <c r="L540" s="2339">
        <f t="shared" si="160"/>
        <v>0</v>
      </c>
      <c r="M540" s="2339">
        <f t="shared" si="158"/>
        <v>0</v>
      </c>
    </row>
    <row r="541" spans="1:13">
      <c r="A541" s="1668"/>
      <c r="B541" s="1266"/>
      <c r="C541" s="2338" t="s">
        <v>1100</v>
      </c>
      <c r="D541" s="2338" t="s">
        <v>1064</v>
      </c>
      <c r="F541" s="1810"/>
      <c r="G541" s="2339">
        <f t="shared" si="160"/>
        <v>0</v>
      </c>
      <c r="H541" s="2339">
        <f t="shared" si="160"/>
        <v>0</v>
      </c>
      <c r="I541" s="2339">
        <f t="shared" si="160"/>
        <v>0</v>
      </c>
      <c r="J541" s="2339">
        <f t="shared" si="160"/>
        <v>0</v>
      </c>
      <c r="K541" s="2339">
        <f t="shared" si="160"/>
        <v>0</v>
      </c>
      <c r="L541" s="2339">
        <f t="shared" si="160"/>
        <v>0</v>
      </c>
      <c r="M541" s="2339">
        <f t="shared" si="158"/>
        <v>0</v>
      </c>
    </row>
    <row r="542" spans="1:13">
      <c r="A542" s="1668"/>
      <c r="B542" s="1266"/>
      <c r="C542" s="2338" t="s">
        <v>1101</v>
      </c>
      <c r="D542" s="2338" t="s">
        <v>1060</v>
      </c>
      <c r="F542" s="1810"/>
      <c r="G542" s="2339">
        <f t="shared" si="160"/>
        <v>545.59640000000002</v>
      </c>
      <c r="H542" s="2339">
        <f t="shared" si="160"/>
        <v>516.88080000000002</v>
      </c>
      <c r="I542" s="2339">
        <f t="shared" si="160"/>
        <v>509.70190000000002</v>
      </c>
      <c r="J542" s="2339">
        <f t="shared" si="160"/>
        <v>524.05970000000002</v>
      </c>
      <c r="K542" s="2339">
        <f t="shared" si="160"/>
        <v>485.27500000000003</v>
      </c>
      <c r="L542" s="2339">
        <f t="shared" si="160"/>
        <v>552.51060000000007</v>
      </c>
      <c r="M542" s="2339">
        <f t="shared" si="158"/>
        <v>3134.0244000000002</v>
      </c>
    </row>
    <row r="543" spans="1:13">
      <c r="A543" s="1668"/>
      <c r="B543" s="1266"/>
      <c r="C543" s="2338" t="s">
        <v>1102</v>
      </c>
      <c r="D543" s="2338" t="s">
        <v>1090</v>
      </c>
      <c r="F543" s="1810"/>
      <c r="G543" s="2339">
        <f t="shared" si="160"/>
        <v>2164.344636990264</v>
      </c>
      <c r="H543" s="2339">
        <f t="shared" si="160"/>
        <v>2142.7593610105159</v>
      </c>
      <c r="I543" s="2339">
        <f t="shared" si="160"/>
        <v>2086.3712096040144</v>
      </c>
      <c r="J543" s="2339">
        <f t="shared" si="160"/>
        <v>1925.0835596522302</v>
      </c>
      <c r="K543" s="2339">
        <f t="shared" si="160"/>
        <v>2165.100150618297</v>
      </c>
      <c r="L543" s="2339">
        <f t="shared" si="160"/>
        <v>2129.459845896863</v>
      </c>
      <c r="M543" s="2339">
        <f t="shared" si="158"/>
        <v>12613.118763772185</v>
      </c>
    </row>
    <row r="544" spans="1:13">
      <c r="B544" s="1265"/>
      <c r="C544" s="1265" t="s">
        <v>620</v>
      </c>
      <c r="D544" s="1265" t="s">
        <v>590</v>
      </c>
      <c r="F544" s="1807"/>
      <c r="G544" s="2340">
        <f t="shared" si="160"/>
        <v>209.18383</v>
      </c>
      <c r="H544" s="2340">
        <f t="shared" si="160"/>
        <v>255.27136999999999</v>
      </c>
      <c r="I544" s="2340">
        <f t="shared" si="160"/>
        <v>458.54014000000001</v>
      </c>
      <c r="J544" s="2340">
        <f t="shared" si="160"/>
        <v>354.53575000000001</v>
      </c>
      <c r="K544" s="2340">
        <f t="shared" si="160"/>
        <v>332.04590000000002</v>
      </c>
      <c r="L544" s="2340">
        <f t="shared" si="160"/>
        <v>288.81525999999997</v>
      </c>
      <c r="M544" s="2340">
        <f t="shared" si="158"/>
        <v>1898.3922499999999</v>
      </c>
    </row>
    <row r="545" spans="1:13">
      <c r="B545" s="1265"/>
      <c r="C545" s="1265" t="s">
        <v>621</v>
      </c>
      <c r="D545" s="1265" t="s">
        <v>473</v>
      </c>
      <c r="F545" s="1807"/>
      <c r="G545" s="2340">
        <f t="shared" si="160"/>
        <v>324.51683000000003</v>
      </c>
      <c r="H545" s="2340">
        <f t="shared" si="160"/>
        <v>217.02255</v>
      </c>
      <c r="I545" s="2340">
        <f t="shared" si="160"/>
        <v>129.95687000000001</v>
      </c>
      <c r="J545" s="2340">
        <f t="shared" si="160"/>
        <v>182.24185</v>
      </c>
      <c r="K545" s="2340">
        <f t="shared" si="160"/>
        <v>78.234309999999994</v>
      </c>
      <c r="L545" s="2340">
        <f t="shared" si="160"/>
        <v>190.89532</v>
      </c>
      <c r="M545" s="2340">
        <f t="shared" si="158"/>
        <v>1122.8677300000002</v>
      </c>
    </row>
    <row r="546" spans="1:13">
      <c r="B546" s="1265"/>
      <c r="C546" s="1265" t="s">
        <v>703</v>
      </c>
      <c r="D546" s="1265" t="s">
        <v>684</v>
      </c>
      <c r="F546" s="1807"/>
      <c r="G546" s="2340">
        <f t="shared" si="160"/>
        <v>22.537846906770838</v>
      </c>
      <c r="H546" s="2340">
        <f t="shared" si="160"/>
        <v>22.537846906770838</v>
      </c>
      <c r="I546" s="2340">
        <f t="shared" si="160"/>
        <v>23.967106906770837</v>
      </c>
      <c r="J546" s="2340">
        <f t="shared" si="160"/>
        <v>24.013074406770837</v>
      </c>
      <c r="K546" s="2340">
        <f t="shared" si="160"/>
        <v>23.906400833333336</v>
      </c>
      <c r="L546" s="2340">
        <f t="shared" si="160"/>
        <v>24.187680833333335</v>
      </c>
      <c r="M546" s="2340">
        <f t="shared" si="158"/>
        <v>141.14995679375002</v>
      </c>
    </row>
    <row r="547" spans="1:13">
      <c r="B547" s="1265"/>
      <c r="C547" s="1265" t="s">
        <v>622</v>
      </c>
      <c r="D547" s="1265" t="s">
        <v>389</v>
      </c>
      <c r="F547" s="1807"/>
      <c r="G547" s="2340">
        <f t="shared" si="160"/>
        <v>3588.4739541752779</v>
      </c>
      <c r="H547" s="2340">
        <f t="shared" si="160"/>
        <v>4053.4753582607391</v>
      </c>
      <c r="I547" s="2340">
        <f t="shared" si="160"/>
        <v>3020.7489042044735</v>
      </c>
      <c r="J547" s="2340">
        <f t="shared" si="160"/>
        <v>921.53486297386689</v>
      </c>
      <c r="K547" s="2340">
        <f t="shared" si="160"/>
        <v>1672.6225203132642</v>
      </c>
      <c r="L547" s="2340">
        <f t="shared" si="160"/>
        <v>2639.9549251209664</v>
      </c>
      <c r="M547" s="2340">
        <f t="shared" si="158"/>
        <v>15896.810525048588</v>
      </c>
    </row>
    <row r="548" spans="1:13">
      <c r="A548" s="1264"/>
      <c r="B548" s="1263"/>
      <c r="C548" s="1262"/>
      <c r="D548" s="1262"/>
      <c r="E548" s="2206"/>
      <c r="F548" s="1797"/>
      <c r="G548" s="1273">
        <f t="shared" ref="G548:L548" si="161">SUM(G529:G547)</f>
        <v>41108.27375753763</v>
      </c>
      <c r="H548" s="1273">
        <f t="shared" si="161"/>
        <v>40255.199599192594</v>
      </c>
      <c r="I548" s="1273">
        <f t="shared" si="161"/>
        <v>39642.715857306415</v>
      </c>
      <c r="J548" s="1273">
        <f t="shared" si="161"/>
        <v>40353.976582518255</v>
      </c>
      <c r="K548" s="1273">
        <f t="shared" si="161"/>
        <v>38762.223746095202</v>
      </c>
      <c r="L548" s="1273">
        <f t="shared" si="161"/>
        <v>40659.365464611241</v>
      </c>
      <c r="M548" s="1273">
        <f t="shared" si="158"/>
        <v>240781.75500726132</v>
      </c>
    </row>
    <row r="549" spans="1:13">
      <c r="A549" s="1675"/>
      <c r="B549" s="1676"/>
      <c r="C549" s="2341"/>
      <c r="D549" s="1674">
        <f>SUM(G549:L549)</f>
        <v>0</v>
      </c>
      <c r="E549" s="2248"/>
      <c r="F549" s="2262"/>
      <c r="G549" s="1674">
        <f t="shared" ref="G549:M549" si="162">G215-G548</f>
        <v>0</v>
      </c>
      <c r="H549" s="1674">
        <f t="shared" si="162"/>
        <v>0</v>
      </c>
      <c r="I549" s="1674">
        <f t="shared" si="162"/>
        <v>0</v>
      </c>
      <c r="J549" s="1674">
        <f t="shared" si="162"/>
        <v>0</v>
      </c>
      <c r="K549" s="1674">
        <f t="shared" si="162"/>
        <v>0</v>
      </c>
      <c r="L549" s="1674">
        <f t="shared" si="162"/>
        <v>0</v>
      </c>
      <c r="M549" s="1674">
        <f t="shared" si="162"/>
        <v>0</v>
      </c>
    </row>
    <row r="550" spans="1:13">
      <c r="A550" s="1673"/>
      <c r="B550" s="1271"/>
      <c r="C550" s="2342"/>
      <c r="D550" s="1272"/>
      <c r="E550" s="2249"/>
      <c r="F550" s="2263"/>
      <c r="G550" s="1271"/>
      <c r="H550" s="1271"/>
      <c r="I550" s="1271"/>
      <c r="J550" s="1271"/>
      <c r="K550" s="1271"/>
      <c r="L550" s="1271"/>
      <c r="M550" s="1271"/>
    </row>
    <row r="551" spans="1:13">
      <c r="A551" s="1670"/>
      <c r="B551" s="1268"/>
      <c r="C551" s="1268" t="s">
        <v>1092</v>
      </c>
      <c r="D551" s="1268" t="s">
        <v>386</v>
      </c>
      <c r="E551" s="2246"/>
      <c r="F551" s="2260"/>
      <c r="G551" s="2335">
        <f t="shared" ref="G551:L560" si="163">SUMIF($D$35:$D$70,$D551,G$35:G$70)</f>
        <v>1623.2741187337729</v>
      </c>
      <c r="H551" s="2335">
        <f t="shared" si="163"/>
        <v>1623.2741187337729</v>
      </c>
      <c r="I551" s="2335">
        <f t="shared" si="163"/>
        <v>1623.2741187337729</v>
      </c>
      <c r="J551" s="2335">
        <f t="shared" si="163"/>
        <v>1623.2741187337729</v>
      </c>
      <c r="K551" s="2335">
        <f t="shared" si="163"/>
        <v>1623.2741187337729</v>
      </c>
      <c r="L551" s="2335">
        <f t="shared" si="163"/>
        <v>1623.2741187337729</v>
      </c>
      <c r="M551" s="2335">
        <f t="shared" ref="M551:M569" si="164">SUM(G551:L551)</f>
        <v>9739.6447124026363</v>
      </c>
    </row>
    <row r="552" spans="1:13">
      <c r="A552" s="1670"/>
      <c r="B552" s="1268"/>
      <c r="C552" s="1268" t="s">
        <v>1093</v>
      </c>
      <c r="D552" s="1268" t="s">
        <v>1063</v>
      </c>
      <c r="E552" s="2246"/>
      <c r="F552" s="2260"/>
      <c r="G552" s="2335">
        <f t="shared" si="163"/>
        <v>0</v>
      </c>
      <c r="H552" s="2335">
        <f t="shared" si="163"/>
        <v>0</v>
      </c>
      <c r="I552" s="2335">
        <f t="shared" si="163"/>
        <v>0</v>
      </c>
      <c r="J552" s="2335">
        <f t="shared" si="163"/>
        <v>0</v>
      </c>
      <c r="K552" s="2335">
        <f t="shared" si="163"/>
        <v>0</v>
      </c>
      <c r="L552" s="2335">
        <f t="shared" si="163"/>
        <v>0</v>
      </c>
      <c r="M552" s="2335">
        <f t="shared" si="164"/>
        <v>0</v>
      </c>
    </row>
    <row r="553" spans="1:13">
      <c r="A553" s="1670"/>
      <c r="B553" s="1268"/>
      <c r="C553" s="1268" t="s">
        <v>1094</v>
      </c>
      <c r="D553" s="1268" t="s">
        <v>1061</v>
      </c>
      <c r="E553" s="2246"/>
      <c r="F553" s="2260"/>
      <c r="G553" s="2335">
        <f t="shared" si="163"/>
        <v>208.48532800000004</v>
      </c>
      <c r="H553" s="2335">
        <f t="shared" si="163"/>
        <v>197.512416</v>
      </c>
      <c r="I553" s="2335">
        <f t="shared" si="163"/>
        <v>194.76918799999999</v>
      </c>
      <c r="J553" s="2335">
        <f t="shared" si="163"/>
        <v>200.25564399999999</v>
      </c>
      <c r="K553" s="2335">
        <f t="shared" si="163"/>
        <v>122.43021</v>
      </c>
      <c r="L553" s="2335">
        <f t="shared" si="163"/>
        <v>189.28273199999998</v>
      </c>
      <c r="M553" s="2335">
        <f t="shared" si="164"/>
        <v>1112.735518</v>
      </c>
    </row>
    <row r="554" spans="1:13">
      <c r="A554" s="1670"/>
      <c r="B554" s="1268"/>
      <c r="C554" s="1268" t="s">
        <v>2124</v>
      </c>
      <c r="D554" s="1268" t="s">
        <v>1325</v>
      </c>
      <c r="E554" s="2246"/>
      <c r="F554" s="2260"/>
      <c r="G554" s="2335">
        <f t="shared" si="163"/>
        <v>4077.0684558333351</v>
      </c>
      <c r="H554" s="2335">
        <f t="shared" si="163"/>
        <v>4077.0684558333351</v>
      </c>
      <c r="I554" s="2335">
        <f t="shared" si="163"/>
        <v>4077.0684558333351</v>
      </c>
      <c r="J554" s="2335">
        <f t="shared" si="163"/>
        <v>4077.0684558333351</v>
      </c>
      <c r="K554" s="2335">
        <f t="shared" si="163"/>
        <v>4077.0684558333351</v>
      </c>
      <c r="L554" s="2335">
        <f t="shared" si="163"/>
        <v>4077.0684558333351</v>
      </c>
      <c r="M554" s="2335">
        <f t="shared" si="164"/>
        <v>24462.410735000009</v>
      </c>
    </row>
    <row r="555" spans="1:13">
      <c r="A555" s="1670"/>
      <c r="B555" s="1268"/>
      <c r="C555" s="1268" t="s">
        <v>1518</v>
      </c>
      <c r="D555" s="1268" t="s">
        <v>1506</v>
      </c>
      <c r="E555" s="2246"/>
      <c r="F555" s="2260"/>
      <c r="G555" s="2335">
        <f t="shared" si="163"/>
        <v>499.5</v>
      </c>
      <c r="H555" s="2335">
        <f t="shared" si="163"/>
        <v>499.5</v>
      </c>
      <c r="I555" s="2335">
        <f t="shared" si="163"/>
        <v>499.5</v>
      </c>
      <c r="J555" s="2335">
        <f t="shared" si="163"/>
        <v>499.5</v>
      </c>
      <c r="K555" s="2335">
        <f t="shared" si="163"/>
        <v>499.5</v>
      </c>
      <c r="L555" s="2335">
        <f t="shared" si="163"/>
        <v>499.5</v>
      </c>
      <c r="M555" s="2335">
        <f t="shared" si="164"/>
        <v>2997</v>
      </c>
    </row>
    <row r="556" spans="1:13">
      <c r="A556" s="1671"/>
      <c r="B556" s="1267"/>
      <c r="C556" s="1267" t="s">
        <v>1095</v>
      </c>
      <c r="D556" s="1267" t="s">
        <v>569</v>
      </c>
      <c r="E556" s="2246"/>
      <c r="F556" s="2260"/>
      <c r="G556" s="2336">
        <f t="shared" si="163"/>
        <v>0</v>
      </c>
      <c r="H556" s="2336">
        <f t="shared" si="163"/>
        <v>0</v>
      </c>
      <c r="I556" s="2336">
        <f t="shared" si="163"/>
        <v>0</v>
      </c>
      <c r="J556" s="2336">
        <f t="shared" si="163"/>
        <v>0</v>
      </c>
      <c r="K556" s="2336">
        <f t="shared" si="163"/>
        <v>0</v>
      </c>
      <c r="L556" s="2336">
        <f t="shared" si="163"/>
        <v>0</v>
      </c>
      <c r="M556" s="2336">
        <f t="shared" si="164"/>
        <v>0</v>
      </c>
    </row>
    <row r="557" spans="1:13">
      <c r="A557" s="1671"/>
      <c r="B557" s="1267"/>
      <c r="C557" s="1267" t="s">
        <v>1097</v>
      </c>
      <c r="D557" s="1267" t="s">
        <v>702</v>
      </c>
      <c r="E557" s="2246"/>
      <c r="F557" s="2260"/>
      <c r="G557" s="2336">
        <f t="shared" si="163"/>
        <v>0</v>
      </c>
      <c r="H557" s="2336">
        <f t="shared" si="163"/>
        <v>0</v>
      </c>
      <c r="I557" s="2336">
        <f t="shared" si="163"/>
        <v>0</v>
      </c>
      <c r="J557" s="2336">
        <f t="shared" si="163"/>
        <v>0</v>
      </c>
      <c r="K557" s="2336">
        <f t="shared" si="163"/>
        <v>0</v>
      </c>
      <c r="L557" s="2336">
        <f t="shared" si="163"/>
        <v>0</v>
      </c>
      <c r="M557" s="2336">
        <f t="shared" si="164"/>
        <v>0</v>
      </c>
    </row>
    <row r="558" spans="1:13">
      <c r="A558" s="1671"/>
      <c r="B558" s="1267"/>
      <c r="C558" s="1267" t="s">
        <v>1096</v>
      </c>
      <c r="D558" s="1267" t="s">
        <v>548</v>
      </c>
      <c r="E558" s="2246"/>
      <c r="F558" s="2260"/>
      <c r="G558" s="2336">
        <f t="shared" si="163"/>
        <v>4981.7873500000023</v>
      </c>
      <c r="H558" s="2336">
        <f t="shared" si="163"/>
        <v>4981.7873500000023</v>
      </c>
      <c r="I558" s="2336">
        <f t="shared" si="163"/>
        <v>4981.7873500000023</v>
      </c>
      <c r="J558" s="2336">
        <f t="shared" si="163"/>
        <v>4981.7873500000023</v>
      </c>
      <c r="K558" s="2336">
        <f t="shared" si="163"/>
        <v>4981.7873500000023</v>
      </c>
      <c r="L558" s="2336">
        <f t="shared" si="163"/>
        <v>4981.7873500000023</v>
      </c>
      <c r="M558" s="2336">
        <f t="shared" si="164"/>
        <v>29890.724100000014</v>
      </c>
    </row>
    <row r="559" spans="1:13">
      <c r="A559" s="1671"/>
      <c r="B559" s="1267"/>
      <c r="C559" s="1267" t="s">
        <v>1316</v>
      </c>
      <c r="D559" s="1267" t="s">
        <v>1367</v>
      </c>
      <c r="E559" s="2246"/>
      <c r="F559" s="2260"/>
      <c r="G559" s="2336">
        <f t="shared" si="163"/>
        <v>3267.9408133333336</v>
      </c>
      <c r="H559" s="2336">
        <f t="shared" si="163"/>
        <v>3267.9408133333336</v>
      </c>
      <c r="I559" s="2336">
        <f t="shared" si="163"/>
        <v>3267.9408133333336</v>
      </c>
      <c r="J559" s="2336">
        <f t="shared" si="163"/>
        <v>3267.9408133333336</v>
      </c>
      <c r="K559" s="2336">
        <f t="shared" si="163"/>
        <v>3267.9408133333336</v>
      </c>
      <c r="L559" s="2336">
        <f t="shared" si="163"/>
        <v>3267.9408133333336</v>
      </c>
      <c r="M559" s="2336">
        <f t="shared" si="164"/>
        <v>19607.644880000003</v>
      </c>
    </row>
    <row r="560" spans="1:13">
      <c r="A560" s="1668"/>
      <c r="B560" s="1266"/>
      <c r="C560" s="2338" t="s">
        <v>1098</v>
      </c>
      <c r="D560" s="2338" t="s">
        <v>758</v>
      </c>
      <c r="F560" s="1810"/>
      <c r="G560" s="2339">
        <f t="shared" si="163"/>
        <v>0</v>
      </c>
      <c r="H560" s="2339">
        <f t="shared" si="163"/>
        <v>0</v>
      </c>
      <c r="I560" s="2339">
        <f t="shared" si="163"/>
        <v>0</v>
      </c>
      <c r="J560" s="2339">
        <f t="shared" si="163"/>
        <v>0</v>
      </c>
      <c r="K560" s="2339">
        <f t="shared" si="163"/>
        <v>0</v>
      </c>
      <c r="L560" s="2339">
        <f t="shared" si="163"/>
        <v>0</v>
      </c>
      <c r="M560" s="2339">
        <f t="shared" si="164"/>
        <v>0</v>
      </c>
    </row>
    <row r="561" spans="1:13">
      <c r="A561" s="1668"/>
      <c r="B561" s="1266"/>
      <c r="C561" s="2338" t="s">
        <v>1099</v>
      </c>
      <c r="D561" s="2338" t="s">
        <v>387</v>
      </c>
      <c r="F561" s="1810"/>
      <c r="G561" s="2339">
        <f t="shared" ref="G561:L568" si="165">SUMIF($D$35:$D$70,$D561,G$35:G$70)</f>
        <v>0</v>
      </c>
      <c r="H561" s="2339">
        <f t="shared" si="165"/>
        <v>0</v>
      </c>
      <c r="I561" s="2339">
        <f t="shared" si="165"/>
        <v>0</v>
      </c>
      <c r="J561" s="2339">
        <f t="shared" si="165"/>
        <v>0</v>
      </c>
      <c r="K561" s="2339">
        <f t="shared" si="165"/>
        <v>0</v>
      </c>
      <c r="L561" s="2339">
        <f t="shared" si="165"/>
        <v>0</v>
      </c>
      <c r="M561" s="2339">
        <f t="shared" si="164"/>
        <v>0</v>
      </c>
    </row>
    <row r="562" spans="1:13">
      <c r="A562" s="1668"/>
      <c r="B562" s="1266"/>
      <c r="C562" s="2338" t="s">
        <v>1100</v>
      </c>
      <c r="D562" s="2338" t="s">
        <v>1064</v>
      </c>
      <c r="F562" s="1810"/>
      <c r="G562" s="2339">
        <f t="shared" si="165"/>
        <v>0</v>
      </c>
      <c r="H562" s="2339">
        <f t="shared" si="165"/>
        <v>0</v>
      </c>
      <c r="I562" s="2339">
        <f t="shared" si="165"/>
        <v>0</v>
      </c>
      <c r="J562" s="2339">
        <f t="shared" si="165"/>
        <v>0</v>
      </c>
      <c r="K562" s="2339">
        <f t="shared" si="165"/>
        <v>0</v>
      </c>
      <c r="L562" s="2339">
        <f t="shared" si="165"/>
        <v>0</v>
      </c>
      <c r="M562" s="2339">
        <f t="shared" si="164"/>
        <v>0</v>
      </c>
    </row>
    <row r="563" spans="1:13">
      <c r="A563" s="1668"/>
      <c r="B563" s="1266"/>
      <c r="C563" s="2338" t="s">
        <v>1101</v>
      </c>
      <c r="D563" s="2338" t="s">
        <v>1060</v>
      </c>
      <c r="F563" s="1810"/>
      <c r="G563" s="2339">
        <f t="shared" si="165"/>
        <v>545.59640000000002</v>
      </c>
      <c r="H563" s="2339">
        <f t="shared" si="165"/>
        <v>516.88080000000002</v>
      </c>
      <c r="I563" s="2339">
        <f t="shared" si="165"/>
        <v>509.70190000000002</v>
      </c>
      <c r="J563" s="2339">
        <f t="shared" si="165"/>
        <v>524.05970000000002</v>
      </c>
      <c r="K563" s="2339">
        <f t="shared" si="165"/>
        <v>485.27500000000003</v>
      </c>
      <c r="L563" s="2339">
        <f t="shared" si="165"/>
        <v>552.51060000000007</v>
      </c>
      <c r="M563" s="2339">
        <f t="shared" si="164"/>
        <v>3134.0244000000002</v>
      </c>
    </row>
    <row r="564" spans="1:13">
      <c r="A564" s="1668"/>
      <c r="B564" s="1266"/>
      <c r="C564" s="2338" t="s">
        <v>1102</v>
      </c>
      <c r="D564" s="2338" t="s">
        <v>1090</v>
      </c>
      <c r="F564" s="1810"/>
      <c r="G564" s="2339">
        <f t="shared" si="165"/>
        <v>995.41800000000001</v>
      </c>
      <c r="H564" s="2339">
        <f t="shared" si="165"/>
        <v>995.41800000000001</v>
      </c>
      <c r="I564" s="2339">
        <f t="shared" si="165"/>
        <v>995.41800000000001</v>
      </c>
      <c r="J564" s="2339">
        <f t="shared" si="165"/>
        <v>995.41800000000001</v>
      </c>
      <c r="K564" s="2339">
        <f t="shared" si="165"/>
        <v>995.41800000000001</v>
      </c>
      <c r="L564" s="2339">
        <f t="shared" si="165"/>
        <v>995.41800000000001</v>
      </c>
      <c r="M564" s="2339">
        <f t="shared" si="164"/>
        <v>5972.5079999999998</v>
      </c>
    </row>
    <row r="565" spans="1:13">
      <c r="B565" s="1265"/>
      <c r="C565" s="1265" t="s">
        <v>620</v>
      </c>
      <c r="D565" s="1265" t="s">
        <v>590</v>
      </c>
      <c r="F565" s="1807"/>
      <c r="G565" s="2340">
        <f t="shared" si="165"/>
        <v>0</v>
      </c>
      <c r="H565" s="2340">
        <f t="shared" si="165"/>
        <v>0</v>
      </c>
      <c r="I565" s="2340">
        <f t="shared" si="165"/>
        <v>0</v>
      </c>
      <c r="J565" s="2340">
        <f t="shared" si="165"/>
        <v>0</v>
      </c>
      <c r="K565" s="2340">
        <f t="shared" si="165"/>
        <v>0</v>
      </c>
      <c r="L565" s="2340">
        <f t="shared" si="165"/>
        <v>0</v>
      </c>
      <c r="M565" s="2340">
        <f t="shared" si="164"/>
        <v>0</v>
      </c>
    </row>
    <row r="566" spans="1:13">
      <c r="B566" s="1265"/>
      <c r="C566" s="1265" t="s">
        <v>621</v>
      </c>
      <c r="D566" s="1265" t="s">
        <v>473</v>
      </c>
      <c r="F566" s="1807"/>
      <c r="G566" s="2340">
        <f t="shared" si="165"/>
        <v>0</v>
      </c>
      <c r="H566" s="2340">
        <f t="shared" si="165"/>
        <v>0</v>
      </c>
      <c r="I566" s="2340">
        <f t="shared" si="165"/>
        <v>0</v>
      </c>
      <c r="J566" s="2340">
        <f t="shared" si="165"/>
        <v>0</v>
      </c>
      <c r="K566" s="2340">
        <f t="shared" si="165"/>
        <v>0</v>
      </c>
      <c r="L566" s="2340">
        <f t="shared" si="165"/>
        <v>0</v>
      </c>
      <c r="M566" s="2340">
        <f t="shared" si="164"/>
        <v>0</v>
      </c>
    </row>
    <row r="567" spans="1:13">
      <c r="B567" s="1265"/>
      <c r="C567" s="1265" t="s">
        <v>703</v>
      </c>
      <c r="D567" s="1265" t="s">
        <v>684</v>
      </c>
      <c r="F567" s="1807"/>
      <c r="G567" s="2340">
        <f t="shared" si="165"/>
        <v>0</v>
      </c>
      <c r="H567" s="2340">
        <f t="shared" si="165"/>
        <v>0</v>
      </c>
      <c r="I567" s="2340">
        <f t="shared" si="165"/>
        <v>0</v>
      </c>
      <c r="J567" s="2340">
        <f t="shared" si="165"/>
        <v>0</v>
      </c>
      <c r="K567" s="2340">
        <f t="shared" si="165"/>
        <v>0</v>
      </c>
      <c r="L567" s="2340">
        <f t="shared" si="165"/>
        <v>0</v>
      </c>
      <c r="M567" s="2340">
        <f t="shared" si="164"/>
        <v>0</v>
      </c>
    </row>
    <row r="568" spans="1:13">
      <c r="B568" s="1265"/>
      <c r="C568" s="1265" t="s">
        <v>622</v>
      </c>
      <c r="D568" s="1265" t="s">
        <v>389</v>
      </c>
      <c r="F568" s="1807"/>
      <c r="G568" s="2340">
        <f t="shared" si="165"/>
        <v>0</v>
      </c>
      <c r="H568" s="2340">
        <f t="shared" si="165"/>
        <v>0</v>
      </c>
      <c r="I568" s="2340">
        <f t="shared" si="165"/>
        <v>0</v>
      </c>
      <c r="J568" s="2340">
        <f t="shared" si="165"/>
        <v>0</v>
      </c>
      <c r="K568" s="2340">
        <f t="shared" si="165"/>
        <v>0</v>
      </c>
      <c r="L568" s="2340">
        <f t="shared" si="165"/>
        <v>0</v>
      </c>
      <c r="M568" s="2340">
        <f t="shared" si="164"/>
        <v>0</v>
      </c>
    </row>
    <row r="569" spans="1:13">
      <c r="A569" s="1677"/>
      <c r="B569" s="1274"/>
      <c r="C569" s="1262"/>
      <c r="D569" s="1262"/>
      <c r="E569" s="2250"/>
      <c r="F569" s="2264"/>
      <c r="G569" s="1273">
        <f t="shared" ref="G569:L569" si="166">SUM(G551:G568)</f>
        <v>16199.070465900444</v>
      </c>
      <c r="H569" s="1273">
        <f t="shared" si="166"/>
        <v>16159.381953900443</v>
      </c>
      <c r="I569" s="1273">
        <f t="shared" si="166"/>
        <v>16149.459825900443</v>
      </c>
      <c r="J569" s="1273">
        <f t="shared" si="166"/>
        <v>16169.304081900445</v>
      </c>
      <c r="K569" s="1273">
        <f t="shared" si="166"/>
        <v>16052.693947900443</v>
      </c>
      <c r="L569" s="1273">
        <f t="shared" si="166"/>
        <v>16186.782069900444</v>
      </c>
      <c r="M569" s="1273">
        <f t="shared" si="164"/>
        <v>96916.692345402669</v>
      </c>
    </row>
    <row r="570" spans="1:13">
      <c r="A570" s="1675"/>
      <c r="B570" s="1676"/>
      <c r="C570" s="2341"/>
      <c r="D570" s="1674">
        <f>SUM(G570:L570)</f>
        <v>0</v>
      </c>
      <c r="E570" s="2248"/>
      <c r="F570" s="2262"/>
      <c r="G570" s="1674">
        <f t="shared" ref="G570:M570" si="167">G569-G70</f>
        <v>0</v>
      </c>
      <c r="H570" s="1674">
        <f t="shared" si="167"/>
        <v>0</v>
      </c>
      <c r="I570" s="1674">
        <f t="shared" si="167"/>
        <v>0</v>
      </c>
      <c r="J570" s="1674">
        <f t="shared" si="167"/>
        <v>0</v>
      </c>
      <c r="K570" s="1674">
        <f t="shared" si="167"/>
        <v>0</v>
      </c>
      <c r="L570" s="1674">
        <f t="shared" si="167"/>
        <v>0</v>
      </c>
      <c r="M570" s="1674">
        <f t="shared" si="167"/>
        <v>0</v>
      </c>
    </row>
    <row r="571" spans="1:13">
      <c r="A571" s="1673"/>
      <c r="B571" s="1271"/>
      <c r="C571" s="2342"/>
      <c r="D571" s="1272"/>
      <c r="E571" s="2249"/>
      <c r="F571" s="2263"/>
      <c r="G571" s="1271"/>
      <c r="H571" s="1271"/>
      <c r="I571" s="1271"/>
      <c r="J571" s="1271"/>
      <c r="K571" s="1271"/>
      <c r="L571" s="1271"/>
      <c r="M571" s="1271"/>
    </row>
    <row r="572" spans="1:13">
      <c r="A572" s="1670"/>
      <c r="B572" s="1268"/>
      <c r="C572" s="1268" t="s">
        <v>613</v>
      </c>
      <c r="D572" s="1268" t="s">
        <v>386</v>
      </c>
      <c r="E572" s="2246"/>
      <c r="F572" s="2260"/>
      <c r="G572" s="2343">
        <f t="shared" ref="G572:L585" si="168">SUMIF($D$317:$D$450,$D572,G$317:G$450)</f>
        <v>63658.391239883647</v>
      </c>
      <c r="H572" s="2343">
        <f t="shared" si="168"/>
        <v>63250.187656958682</v>
      </c>
      <c r="I572" s="2343">
        <f t="shared" si="168"/>
        <v>63505.882336411603</v>
      </c>
      <c r="J572" s="2343">
        <f t="shared" si="168"/>
        <v>69868.381568782803</v>
      </c>
      <c r="K572" s="2343">
        <f t="shared" si="168"/>
        <v>62546.095337888743</v>
      </c>
      <c r="L572" s="2343">
        <f t="shared" si="168"/>
        <v>61460.594754486949</v>
      </c>
      <c r="M572" s="2343">
        <f t="shared" ref="M572:M586" si="169">SUM(G572:L572)</f>
        <v>384289.5328944124</v>
      </c>
    </row>
    <row r="573" spans="1:13">
      <c r="A573" s="1670"/>
      <c r="B573" s="1268"/>
      <c r="C573" s="1268" t="s">
        <v>614</v>
      </c>
      <c r="D573" s="1268" t="s">
        <v>1063</v>
      </c>
      <c r="E573" s="2246"/>
      <c r="F573" s="2260"/>
      <c r="G573" s="2343">
        <f t="shared" si="168"/>
        <v>28938.496443645778</v>
      </c>
      <c r="H573" s="2343">
        <f t="shared" si="168"/>
        <v>17624.150851508228</v>
      </c>
      <c r="I573" s="2343">
        <f t="shared" si="168"/>
        <v>22792.643013810208</v>
      </c>
      <c r="J573" s="2343">
        <f t="shared" si="168"/>
        <v>40283.61785105236</v>
      </c>
      <c r="K573" s="2343">
        <f t="shared" si="168"/>
        <v>27365.997957236228</v>
      </c>
      <c r="L573" s="2343">
        <f t="shared" si="168"/>
        <v>25018.373403262525</v>
      </c>
      <c r="M573" s="2343">
        <f t="shared" si="169"/>
        <v>162023.27952051532</v>
      </c>
    </row>
    <row r="574" spans="1:13">
      <c r="A574" s="1670"/>
      <c r="B574" s="1268"/>
      <c r="C574" s="1268" t="s">
        <v>2124</v>
      </c>
      <c r="D574" s="1268" t="s">
        <v>1325</v>
      </c>
      <c r="E574" s="2246"/>
      <c r="F574" s="2260"/>
      <c r="G574" s="2343">
        <f t="shared" si="168"/>
        <v>5580.0810744677092</v>
      </c>
      <c r="H574" s="2343">
        <f t="shared" si="168"/>
        <v>4935.2835258650448</v>
      </c>
      <c r="I574" s="2343">
        <f t="shared" si="168"/>
        <v>4855.5866287049366</v>
      </c>
      <c r="J574" s="2343">
        <f t="shared" si="168"/>
        <v>5685.90101474737</v>
      </c>
      <c r="K574" s="2343">
        <f t="shared" si="168"/>
        <v>4768.8193909484326</v>
      </c>
      <c r="L574" s="2343">
        <f t="shared" si="168"/>
        <v>5207.7024992151191</v>
      </c>
      <c r="M574" s="2343">
        <f t="shared" si="169"/>
        <v>31033.374133948615</v>
      </c>
    </row>
    <row r="575" spans="1:13">
      <c r="A575" s="1670"/>
      <c r="B575" s="1268"/>
      <c r="C575" s="1268" t="s">
        <v>1518</v>
      </c>
      <c r="D575" s="1268" t="s">
        <v>1506</v>
      </c>
      <c r="E575" s="2246"/>
      <c r="F575" s="2260"/>
      <c r="G575" s="2343">
        <f t="shared" si="168"/>
        <v>22679.011364496506</v>
      </c>
      <c r="H575" s="2343">
        <f t="shared" si="168"/>
        <v>22533.584288570291</v>
      </c>
      <c r="I575" s="2343">
        <f t="shared" si="168"/>
        <v>22624.67836789287</v>
      </c>
      <c r="J575" s="2343">
        <f t="shared" si="168"/>
        <v>24891.389630730158</v>
      </c>
      <c r="K575" s="2343">
        <f t="shared" si="168"/>
        <v>22282.743552654276</v>
      </c>
      <c r="L575" s="2343">
        <f t="shared" si="168"/>
        <v>21896.021871699933</v>
      </c>
      <c r="M575" s="2343">
        <f t="shared" si="169"/>
        <v>136907.42907604403</v>
      </c>
    </row>
    <row r="576" spans="1:13">
      <c r="A576" s="1671"/>
      <c r="B576" s="1267"/>
      <c r="C576" s="1267" t="s">
        <v>615</v>
      </c>
      <c r="D576" s="1267" t="s">
        <v>569</v>
      </c>
      <c r="E576" s="2246"/>
      <c r="F576" s="2260"/>
      <c r="G576" s="2344">
        <f t="shared" si="168"/>
        <v>7460.5093721093253</v>
      </c>
      <c r="H576" s="2344">
        <f t="shared" si="168"/>
        <v>6468.7401767901329</v>
      </c>
      <c r="I576" s="2344">
        <f t="shared" si="168"/>
        <v>5584.8305160384207</v>
      </c>
      <c r="J576" s="2344">
        <f t="shared" si="168"/>
        <v>6602.8210732167081</v>
      </c>
      <c r="K576" s="2344">
        <f t="shared" si="168"/>
        <v>11021.727495630003</v>
      </c>
      <c r="L576" s="2344">
        <f t="shared" si="168"/>
        <v>21902.158894847154</v>
      </c>
      <c r="M576" s="2344">
        <f t="shared" si="169"/>
        <v>59040.787528631743</v>
      </c>
    </row>
    <row r="577" spans="1:13">
      <c r="A577" s="1671"/>
      <c r="B577" s="1267"/>
      <c r="C577" s="1267" t="s">
        <v>701</v>
      </c>
      <c r="D577" s="1267" t="s">
        <v>2126</v>
      </c>
      <c r="E577" s="1267" t="s">
        <v>2127</v>
      </c>
      <c r="F577" s="2260"/>
      <c r="G577" s="2344">
        <f t="shared" si="168"/>
        <v>1010.6045938366711</v>
      </c>
      <c r="H577" s="2344">
        <f t="shared" si="168"/>
        <v>1004.1241847642834</v>
      </c>
      <c r="I577" s="2344">
        <f t="shared" si="168"/>
        <v>1008.1834487928222</v>
      </c>
      <c r="J577" s="2344">
        <f t="shared" si="168"/>
        <v>1109.190885947283</v>
      </c>
      <c r="K577" s="2344">
        <f t="shared" si="168"/>
        <v>992.94641356589057</v>
      </c>
      <c r="L577" s="2344">
        <f t="shared" si="168"/>
        <v>975.71362060911611</v>
      </c>
      <c r="M577" s="2344">
        <f t="shared" ref="M577" si="170">SUM(G577:L577)</f>
        <v>6100.763147516067</v>
      </c>
    </row>
    <row r="578" spans="1:13">
      <c r="A578" s="1671"/>
      <c r="B578" s="1267"/>
      <c r="C578" s="1267" t="s">
        <v>701</v>
      </c>
      <c r="D578" s="1267" t="s">
        <v>702</v>
      </c>
      <c r="E578" s="2246"/>
      <c r="F578" s="2260"/>
      <c r="G578" s="2344">
        <f t="shared" si="168"/>
        <v>13702.527632140904</v>
      </c>
      <c r="H578" s="2344">
        <f t="shared" si="168"/>
        <v>13303.116021506277</v>
      </c>
      <c r="I578" s="2344">
        <f t="shared" si="168"/>
        <v>14200.190906563539</v>
      </c>
      <c r="J578" s="2344">
        <f t="shared" si="168"/>
        <v>16124.588084570501</v>
      </c>
      <c r="K578" s="2344">
        <f t="shared" si="168"/>
        <v>14515.0110018084</v>
      </c>
      <c r="L578" s="2344">
        <f t="shared" si="168"/>
        <v>11245.964023349967</v>
      </c>
      <c r="M578" s="2344">
        <f t="shared" si="169"/>
        <v>83091.397669939586</v>
      </c>
    </row>
    <row r="579" spans="1:13">
      <c r="A579" s="1671"/>
      <c r="B579" s="1267"/>
      <c r="C579" s="1267" t="s">
        <v>616</v>
      </c>
      <c r="D579" s="1267" t="s">
        <v>548</v>
      </c>
      <c r="E579" s="2246"/>
      <c r="F579" s="2260"/>
      <c r="G579" s="2344">
        <f t="shared" si="168"/>
        <v>57208.316955486676</v>
      </c>
      <c r="H579" s="2344">
        <f t="shared" si="168"/>
        <v>56841.473881078215</v>
      </c>
      <c r="I579" s="2344">
        <f t="shared" si="168"/>
        <v>57071.260747837878</v>
      </c>
      <c r="J579" s="2344">
        <f t="shared" si="168"/>
        <v>62789.090960400397</v>
      </c>
      <c r="K579" s="2344">
        <f t="shared" si="168"/>
        <v>56208.722475163937</v>
      </c>
      <c r="L579" s="2344">
        <f t="shared" si="168"/>
        <v>55233.20832500884</v>
      </c>
      <c r="M579" s="2344">
        <f t="shared" si="169"/>
        <v>345352.07334497594</v>
      </c>
    </row>
    <row r="580" spans="1:13">
      <c r="A580" s="1671"/>
      <c r="B580" s="1267"/>
      <c r="C580" s="1267" t="s">
        <v>1316</v>
      </c>
      <c r="D580" s="1267" t="s">
        <v>1367</v>
      </c>
      <c r="E580" s="2246"/>
      <c r="F580" s="2260"/>
      <c r="G580" s="2344">
        <f t="shared" si="168"/>
        <v>72645.481848237061</v>
      </c>
      <c r="H580" s="2344">
        <f t="shared" si="168"/>
        <v>72179.649372797736</v>
      </c>
      <c r="I580" s="2344">
        <f t="shared" si="168"/>
        <v>72471.442219476667</v>
      </c>
      <c r="J580" s="2344">
        <f t="shared" si="168"/>
        <v>79732.178997333831</v>
      </c>
      <c r="K580" s="2344">
        <f t="shared" si="168"/>
        <v>71376.155524017697</v>
      </c>
      <c r="L580" s="2344">
        <f t="shared" si="168"/>
        <v>70137.407396836614</v>
      </c>
      <c r="M580" s="2344">
        <f t="shared" si="169"/>
        <v>438542.31535869965</v>
      </c>
    </row>
    <row r="581" spans="1:13">
      <c r="A581" s="1668"/>
      <c r="B581" s="1266"/>
      <c r="C581" s="2338" t="s">
        <v>618</v>
      </c>
      <c r="D581" s="2338" t="s">
        <v>758</v>
      </c>
      <c r="F581" s="1810"/>
      <c r="G581" s="2345">
        <f t="shared" si="168"/>
        <v>0</v>
      </c>
      <c r="H581" s="2345">
        <f t="shared" si="168"/>
        <v>0</v>
      </c>
      <c r="I581" s="2345">
        <f t="shared" si="168"/>
        <v>0</v>
      </c>
      <c r="J581" s="2345">
        <f t="shared" si="168"/>
        <v>0</v>
      </c>
      <c r="K581" s="2345">
        <f t="shared" si="168"/>
        <v>0</v>
      </c>
      <c r="L581" s="2345">
        <f t="shared" si="168"/>
        <v>0</v>
      </c>
      <c r="M581" s="2345">
        <f t="shared" si="169"/>
        <v>0</v>
      </c>
    </row>
    <row r="582" spans="1:13">
      <c r="A582" s="1668"/>
      <c r="B582" s="1266"/>
      <c r="C582" s="2338" t="s">
        <v>617</v>
      </c>
      <c r="D582" s="2338" t="s">
        <v>387</v>
      </c>
      <c r="F582" s="1810"/>
      <c r="G582" s="2345">
        <f t="shared" si="168"/>
        <v>0</v>
      </c>
      <c r="H582" s="2345">
        <f t="shared" si="168"/>
        <v>0</v>
      </c>
      <c r="I582" s="2345">
        <f t="shared" si="168"/>
        <v>0</v>
      </c>
      <c r="J582" s="2345">
        <f t="shared" si="168"/>
        <v>0</v>
      </c>
      <c r="K582" s="2345">
        <f t="shared" si="168"/>
        <v>0</v>
      </c>
      <c r="L582" s="2345">
        <f t="shared" si="168"/>
        <v>0</v>
      </c>
      <c r="M582" s="2345">
        <f t="shared" si="169"/>
        <v>0</v>
      </c>
    </row>
    <row r="583" spans="1:13">
      <c r="A583" s="1668"/>
      <c r="B583" s="1266"/>
      <c r="C583" s="2338" t="s">
        <v>619</v>
      </c>
      <c r="D583" s="2338" t="s">
        <v>1064</v>
      </c>
      <c r="F583" s="1810"/>
      <c r="G583" s="2345">
        <f t="shared" si="168"/>
        <v>0</v>
      </c>
      <c r="H583" s="2345">
        <f t="shared" si="168"/>
        <v>0</v>
      </c>
      <c r="I583" s="2345">
        <f t="shared" si="168"/>
        <v>0</v>
      </c>
      <c r="J583" s="2345">
        <f t="shared" si="168"/>
        <v>0</v>
      </c>
      <c r="K583" s="2345">
        <f t="shared" si="168"/>
        <v>0</v>
      </c>
      <c r="L583" s="2345">
        <f t="shared" si="168"/>
        <v>0</v>
      </c>
      <c r="M583" s="2345">
        <f t="shared" si="169"/>
        <v>0</v>
      </c>
    </row>
    <row r="584" spans="1:13">
      <c r="A584" s="1668"/>
      <c r="B584" s="1266"/>
      <c r="C584" s="2338" t="str">
        <f>C564</f>
        <v>TERMICO Sistemas Aislados</v>
      </c>
      <c r="D584" s="2338" t="s">
        <v>1090</v>
      </c>
      <c r="F584" s="1810"/>
      <c r="G584" s="2345">
        <f t="shared" si="168"/>
        <v>7211.2731999999996</v>
      </c>
      <c r="H584" s="2345">
        <f t="shared" si="168"/>
        <v>7051.1185100000002</v>
      </c>
      <c r="I584" s="2345">
        <f t="shared" si="168"/>
        <v>6757.7316900000014</v>
      </c>
      <c r="J584" s="2345">
        <f t="shared" si="168"/>
        <v>5747.7316900000005</v>
      </c>
      <c r="K584" s="2345">
        <f t="shared" si="168"/>
        <v>6924.2312000000002</v>
      </c>
      <c r="L584" s="2345">
        <f t="shared" si="168"/>
        <v>6951.5365500000007</v>
      </c>
      <c r="M584" s="2345">
        <f t="shared" si="169"/>
        <v>40643.622839999996</v>
      </c>
    </row>
    <row r="585" spans="1:13">
      <c r="B585" s="1265"/>
      <c r="C585" s="1265" t="s">
        <v>622</v>
      </c>
      <c r="D585" s="1265" t="s">
        <v>389</v>
      </c>
      <c r="F585" s="1807"/>
      <c r="G585" s="2346">
        <f t="shared" si="168"/>
        <v>59807.899236254627</v>
      </c>
      <c r="H585" s="2346">
        <f t="shared" si="168"/>
        <v>67557.922637678988</v>
      </c>
      <c r="I585" s="2346">
        <f t="shared" si="168"/>
        <v>50345.815070074561</v>
      </c>
      <c r="J585" s="2346">
        <f t="shared" si="168"/>
        <v>15358.914382897783</v>
      </c>
      <c r="K585" s="2346">
        <f t="shared" si="168"/>
        <v>27877.042005221068</v>
      </c>
      <c r="L585" s="2346">
        <f t="shared" si="168"/>
        <v>43999.248752016108</v>
      </c>
      <c r="M585" s="2346">
        <f t="shared" si="169"/>
        <v>264946.84208414314</v>
      </c>
    </row>
    <row r="586" spans="1:13">
      <c r="A586" s="1264"/>
      <c r="B586" s="1263"/>
      <c r="C586" s="1262"/>
      <c r="D586" s="1262"/>
      <c r="E586" s="2206"/>
      <c r="F586" s="1797"/>
      <c r="G586" s="1261">
        <f t="shared" ref="G586:L586" si="171">SUM(G572:G585)</f>
        <v>339902.59296055889</v>
      </c>
      <c r="H586" s="1261">
        <f t="shared" si="171"/>
        <v>332749.35110751784</v>
      </c>
      <c r="I586" s="1261">
        <f t="shared" si="171"/>
        <v>321218.24494560354</v>
      </c>
      <c r="J586" s="1261">
        <f t="shared" si="171"/>
        <v>328193.80613967922</v>
      </c>
      <c r="K586" s="1261">
        <f t="shared" si="171"/>
        <v>305879.49235413468</v>
      </c>
      <c r="L586" s="1261">
        <f t="shared" si="171"/>
        <v>324027.93009133235</v>
      </c>
      <c r="M586" s="1261">
        <f t="shared" si="169"/>
        <v>1951971.4175988266</v>
      </c>
    </row>
    <row r="587" spans="1:13">
      <c r="A587" s="1668"/>
      <c r="B587" s="1266"/>
      <c r="C587" s="2347"/>
      <c r="D587" s="1664">
        <f>SUM(G587:L587)</f>
        <v>0</v>
      </c>
      <c r="E587" s="2251"/>
      <c r="F587" s="2261"/>
      <c r="G587" s="1664">
        <f t="shared" ref="G587:M587" si="172">G454-G586</f>
        <v>0</v>
      </c>
      <c r="H587" s="1664">
        <f t="shared" si="172"/>
        <v>0</v>
      </c>
      <c r="I587" s="1664">
        <f t="shared" si="172"/>
        <v>0</v>
      </c>
      <c r="J587" s="1664">
        <f t="shared" si="172"/>
        <v>0</v>
      </c>
      <c r="K587" s="1664">
        <f t="shared" si="172"/>
        <v>0</v>
      </c>
      <c r="L587" s="1664">
        <f t="shared" si="172"/>
        <v>0</v>
      </c>
      <c r="M587" s="1664">
        <f t="shared" si="172"/>
        <v>0</v>
      </c>
    </row>
    <row r="588" spans="1:13">
      <c r="B588" s="1265"/>
      <c r="C588" s="855"/>
      <c r="D588" s="855"/>
      <c r="F588" s="1807"/>
      <c r="G588" s="854"/>
      <c r="H588" s="854"/>
      <c r="I588" s="854"/>
      <c r="J588" s="854"/>
      <c r="K588" s="854"/>
      <c r="L588" s="854"/>
    </row>
    <row r="589" spans="1:13">
      <c r="A589" s="1670"/>
      <c r="B589" s="1268"/>
      <c r="C589" s="1268" t="s">
        <v>613</v>
      </c>
      <c r="D589" s="1268" t="s">
        <v>386</v>
      </c>
      <c r="E589" s="2246"/>
      <c r="F589" s="2260"/>
      <c r="G589" s="2348">
        <f t="shared" ref="G589:M603" si="173">G572/G$586</f>
        <v>0.18728421776785428</v>
      </c>
      <c r="H589" s="2348">
        <f t="shared" si="173"/>
        <v>0.19008357926600827</v>
      </c>
      <c r="I589" s="2348">
        <f t="shared" si="173"/>
        <v>0.1977032230755322</v>
      </c>
      <c r="J589" s="2348">
        <f t="shared" si="173"/>
        <v>0.2128875690574332</v>
      </c>
      <c r="K589" s="2348">
        <f t="shared" si="173"/>
        <v>0.20447953164992</v>
      </c>
      <c r="L589" s="2348">
        <f t="shared" si="173"/>
        <v>0.18967684278686506</v>
      </c>
      <c r="M589" s="2348">
        <f t="shared" si="173"/>
        <v>0.19687252048349022</v>
      </c>
    </row>
    <row r="590" spans="1:13">
      <c r="A590" s="1670"/>
      <c r="B590" s="1268"/>
      <c r="C590" s="1268" t="s">
        <v>614</v>
      </c>
      <c r="D590" s="1268" t="s">
        <v>1063</v>
      </c>
      <c r="E590" s="2246"/>
      <c r="F590" s="2260"/>
      <c r="G590" s="2348">
        <f t="shared" si="173"/>
        <v>8.5137616019903967E-2</v>
      </c>
      <c r="H590" s="2348">
        <f t="shared" si="173"/>
        <v>5.2965244839240928E-2</v>
      </c>
      <c r="I590" s="2348">
        <f t="shared" si="173"/>
        <v>7.0956875496502425E-2</v>
      </c>
      <c r="J590" s="2348">
        <f t="shared" si="173"/>
        <v>0.12274338240834338</v>
      </c>
      <c r="K590" s="2348">
        <f t="shared" si="173"/>
        <v>8.9466599236907987E-2</v>
      </c>
      <c r="L590" s="2348">
        <f t="shared" si="173"/>
        <v>7.7210546005125863E-2</v>
      </c>
      <c r="M590" s="2348">
        <f t="shared" si="173"/>
        <v>8.3004944672716879E-2</v>
      </c>
    </row>
    <row r="591" spans="1:13">
      <c r="A591" s="1670"/>
      <c r="B591" s="1268"/>
      <c r="C591" s="1268" t="s">
        <v>2124</v>
      </c>
      <c r="D591" s="1268" t="s">
        <v>1325</v>
      </c>
      <c r="E591" s="2246"/>
      <c r="F591" s="2260"/>
      <c r="G591" s="2348">
        <f t="shared" si="173"/>
        <v>1.6416706403634886E-2</v>
      </c>
      <c r="H591" s="2348">
        <f t="shared" si="173"/>
        <v>1.4831835161927508E-2</v>
      </c>
      <c r="I591" s="2348">
        <f t="shared" si="173"/>
        <v>1.5116160757080291E-2</v>
      </c>
      <c r="J591" s="2348">
        <f t="shared" si="173"/>
        <v>1.732482730745824E-2</v>
      </c>
      <c r="K591" s="2348">
        <f t="shared" si="173"/>
        <v>1.5590516887046778E-2</v>
      </c>
      <c r="L591" s="2348">
        <f t="shared" si="173"/>
        <v>1.6071770411110076E-2</v>
      </c>
      <c r="M591" s="2348">
        <f t="shared" si="173"/>
        <v>1.5898477741095009E-2</v>
      </c>
    </row>
    <row r="592" spans="1:13">
      <c r="A592" s="1670"/>
      <c r="B592" s="1268"/>
      <c r="C592" s="1268" t="s">
        <v>1518</v>
      </c>
      <c r="D592" s="1268" t="s">
        <v>1506</v>
      </c>
      <c r="E592" s="2246"/>
      <c r="F592" s="2260"/>
      <c r="G592" s="2348">
        <f t="shared" si="173"/>
        <v>6.6722089899232104E-2</v>
      </c>
      <c r="H592" s="2348">
        <f t="shared" si="173"/>
        <v>6.7719393632383815E-2</v>
      </c>
      <c r="I592" s="2348">
        <f t="shared" si="173"/>
        <v>7.0433976661955264E-2</v>
      </c>
      <c r="J592" s="2348">
        <f t="shared" si="173"/>
        <v>7.5843569150529269E-2</v>
      </c>
      <c r="K592" s="2348">
        <f t="shared" si="173"/>
        <v>7.2848112114872451E-2</v>
      </c>
      <c r="L592" s="2348">
        <f t="shared" si="173"/>
        <v>6.7574489228531001E-2</v>
      </c>
      <c r="M592" s="2348">
        <f t="shared" si="173"/>
        <v>7.0138029605196578E-2</v>
      </c>
    </row>
    <row r="593" spans="1:13">
      <c r="A593" s="1671"/>
      <c r="B593" s="1267"/>
      <c r="C593" s="1267" t="s">
        <v>615</v>
      </c>
      <c r="D593" s="1267" t="s">
        <v>569</v>
      </c>
      <c r="E593" s="2246"/>
      <c r="F593" s="2260"/>
      <c r="G593" s="2349">
        <f t="shared" si="173"/>
        <v>2.1948962810575019E-2</v>
      </c>
      <c r="H593" s="2349">
        <f t="shared" si="173"/>
        <v>1.9440278862331895E-2</v>
      </c>
      <c r="I593" s="2349">
        <f t="shared" si="173"/>
        <v>1.738640504988806E-2</v>
      </c>
      <c r="J593" s="2349">
        <f t="shared" si="173"/>
        <v>2.0118664489379635E-2</v>
      </c>
      <c r="K593" s="2349">
        <f t="shared" si="173"/>
        <v>3.6032907635630246E-2</v>
      </c>
      <c r="L593" s="2349">
        <f t="shared" si="173"/>
        <v>6.7593429025311763E-2</v>
      </c>
      <c r="M593" s="2349">
        <f t="shared" si="173"/>
        <v>3.0246747978133526E-2</v>
      </c>
    </row>
    <row r="594" spans="1:13">
      <c r="A594" s="1671"/>
      <c r="B594" s="1267"/>
      <c r="C594" s="1267" t="s">
        <v>701</v>
      </c>
      <c r="D594" s="1267" t="s">
        <v>2126</v>
      </c>
      <c r="E594" s="1267" t="s">
        <v>2127</v>
      </c>
      <c r="F594" s="2260"/>
      <c r="G594" s="2349">
        <f t="shared" si="173"/>
        <v>2.9732182536010786E-3</v>
      </c>
      <c r="H594" s="2349">
        <f t="shared" si="173"/>
        <v>3.0176593325341489E-3</v>
      </c>
      <c r="I594" s="2349">
        <f t="shared" si="173"/>
        <v>3.1386244855535908E-3</v>
      </c>
      <c r="J594" s="2349">
        <f t="shared" si="173"/>
        <v>3.3796825692536427E-3</v>
      </c>
      <c r="K594" s="2349">
        <f t="shared" si="173"/>
        <v>3.2462013256393733E-3</v>
      </c>
      <c r="L594" s="2349">
        <f t="shared" si="173"/>
        <v>3.0112022143711373E-3</v>
      </c>
      <c r="M594" s="2349">
        <f t="shared" si="173"/>
        <v>3.1254367213126421E-3</v>
      </c>
    </row>
    <row r="595" spans="1:13">
      <c r="A595" s="1671"/>
      <c r="B595" s="1267"/>
      <c r="C595" s="1267" t="s">
        <v>701</v>
      </c>
      <c r="D595" s="1267" t="s">
        <v>702</v>
      </c>
      <c r="E595" s="2246"/>
      <c r="F595" s="2260"/>
      <c r="G595" s="2349">
        <f t="shared" si="173"/>
        <v>4.0313101211707725E-2</v>
      </c>
      <c r="H595" s="2349">
        <f t="shared" si="173"/>
        <v>3.9979389823686776E-2</v>
      </c>
      <c r="I595" s="2349">
        <f t="shared" si="173"/>
        <v>4.4207298713584156E-2</v>
      </c>
      <c r="J595" s="2349">
        <f t="shared" si="173"/>
        <v>4.9131299198583535E-2</v>
      </c>
      <c r="K595" s="2349">
        <f t="shared" si="173"/>
        <v>4.7453364362863258E-2</v>
      </c>
      <c r="L595" s="2349">
        <f t="shared" si="173"/>
        <v>3.470677364195153E-2</v>
      </c>
      <c r="M595" s="2349">
        <f t="shared" si="173"/>
        <v>4.2567937686378926E-2</v>
      </c>
    </row>
    <row r="596" spans="1:13">
      <c r="A596" s="1671"/>
      <c r="B596" s="1267"/>
      <c r="C596" s="1267" t="s">
        <v>616</v>
      </c>
      <c r="D596" s="1267" t="s">
        <v>548</v>
      </c>
      <c r="E596" s="2246"/>
      <c r="F596" s="2260"/>
      <c r="G596" s="2349">
        <f t="shared" si="173"/>
        <v>0.16830797452058546</v>
      </c>
      <c r="H596" s="2349">
        <f t="shared" si="173"/>
        <v>0.17082369564925648</v>
      </c>
      <c r="I596" s="2349">
        <f t="shared" si="173"/>
        <v>0.1776712924806079</v>
      </c>
      <c r="J596" s="2349">
        <f t="shared" si="173"/>
        <v>0.19131711137070445</v>
      </c>
      <c r="K596" s="2349">
        <f t="shared" si="173"/>
        <v>0.18376100353301159</v>
      </c>
      <c r="L596" s="2349">
        <f t="shared" si="173"/>
        <v>0.17045817102692504</v>
      </c>
      <c r="M596" s="2349">
        <f t="shared" si="173"/>
        <v>0.17692475936445984</v>
      </c>
    </row>
    <row r="597" spans="1:13">
      <c r="A597" s="1671"/>
      <c r="B597" s="1267"/>
      <c r="C597" s="1267" t="s">
        <v>1316</v>
      </c>
      <c r="D597" s="1267" t="s">
        <v>1367</v>
      </c>
      <c r="E597" s="2246"/>
      <c r="F597" s="2260"/>
      <c r="G597" s="2349">
        <f t="shared" si="173"/>
        <v>0.21372441208963236</v>
      </c>
      <c r="H597" s="2349">
        <f t="shared" si="173"/>
        <v>0.21691897860223047</v>
      </c>
      <c r="I597" s="2349">
        <f t="shared" si="173"/>
        <v>0.22561433965791478</v>
      </c>
      <c r="J597" s="2349">
        <f t="shared" si="173"/>
        <v>0.24294236364533897</v>
      </c>
      <c r="K597" s="2349">
        <f t="shared" si="173"/>
        <v>0.23334730607366552</v>
      </c>
      <c r="L597" s="2349">
        <f t="shared" si="173"/>
        <v>0.21645482035165081</v>
      </c>
      <c r="M597" s="2349">
        <f t="shared" si="173"/>
        <v>0.22466636109772681</v>
      </c>
    </row>
    <row r="598" spans="1:13">
      <c r="A598" s="1668"/>
      <c r="B598" s="1266"/>
      <c r="C598" s="2338" t="s">
        <v>618</v>
      </c>
      <c r="D598" s="2338" t="s">
        <v>758</v>
      </c>
      <c r="F598" s="1810"/>
      <c r="G598" s="2350">
        <f t="shared" si="173"/>
        <v>0</v>
      </c>
      <c r="H598" s="2350">
        <f t="shared" si="173"/>
        <v>0</v>
      </c>
      <c r="I598" s="2350">
        <f t="shared" si="173"/>
        <v>0</v>
      </c>
      <c r="J598" s="2350">
        <f t="shared" si="173"/>
        <v>0</v>
      </c>
      <c r="K598" s="2350">
        <f t="shared" si="173"/>
        <v>0</v>
      </c>
      <c r="L598" s="2350">
        <f t="shared" si="173"/>
        <v>0</v>
      </c>
      <c r="M598" s="2350">
        <f t="shared" si="173"/>
        <v>0</v>
      </c>
    </row>
    <row r="599" spans="1:13">
      <c r="A599" s="1668"/>
      <c r="B599" s="1266"/>
      <c r="C599" s="2338" t="s">
        <v>617</v>
      </c>
      <c r="D599" s="2338" t="s">
        <v>387</v>
      </c>
      <c r="F599" s="1810"/>
      <c r="G599" s="2350">
        <f t="shared" si="173"/>
        <v>0</v>
      </c>
      <c r="H599" s="2350">
        <f t="shared" si="173"/>
        <v>0</v>
      </c>
      <c r="I599" s="2350">
        <f t="shared" si="173"/>
        <v>0</v>
      </c>
      <c r="J599" s="2350">
        <f t="shared" si="173"/>
        <v>0</v>
      </c>
      <c r="K599" s="2350">
        <f t="shared" si="173"/>
        <v>0</v>
      </c>
      <c r="L599" s="2350">
        <f t="shared" si="173"/>
        <v>0</v>
      </c>
      <c r="M599" s="2350">
        <f t="shared" si="173"/>
        <v>0</v>
      </c>
    </row>
    <row r="600" spans="1:13">
      <c r="A600" s="1668"/>
      <c r="B600" s="1266"/>
      <c r="C600" s="2338" t="s">
        <v>619</v>
      </c>
      <c r="D600" s="2338" t="s">
        <v>1064</v>
      </c>
      <c r="F600" s="1810"/>
      <c r="G600" s="2350">
        <f t="shared" si="173"/>
        <v>0</v>
      </c>
      <c r="H600" s="2350">
        <f t="shared" si="173"/>
        <v>0</v>
      </c>
      <c r="I600" s="2350">
        <f t="shared" si="173"/>
        <v>0</v>
      </c>
      <c r="J600" s="2350">
        <f t="shared" si="173"/>
        <v>0</v>
      </c>
      <c r="K600" s="2350">
        <f t="shared" si="173"/>
        <v>0</v>
      </c>
      <c r="L600" s="2350">
        <f t="shared" si="173"/>
        <v>0</v>
      </c>
      <c r="M600" s="2350">
        <f t="shared" si="173"/>
        <v>0</v>
      </c>
    </row>
    <row r="601" spans="1:13">
      <c r="A601" s="1668"/>
      <c r="B601" s="1266"/>
      <c r="C601" s="2338" t="s">
        <v>1813</v>
      </c>
      <c r="D601" s="2338" t="s">
        <v>1090</v>
      </c>
      <c r="F601" s="1810"/>
      <c r="G601" s="2350">
        <f t="shared" si="173"/>
        <v>2.1215705173619464E-2</v>
      </c>
      <c r="H601" s="2350">
        <f t="shared" si="173"/>
        <v>2.1190480121241907E-2</v>
      </c>
      <c r="I601" s="2350">
        <f t="shared" si="173"/>
        <v>2.103782022451553E-2</v>
      </c>
      <c r="J601" s="2350">
        <f t="shared" si="173"/>
        <v>1.7513224145228892E-2</v>
      </c>
      <c r="K601" s="2350">
        <f t="shared" si="173"/>
        <v>2.2637121392837314E-2</v>
      </c>
      <c r="L601" s="2350">
        <f t="shared" si="173"/>
        <v>2.1453510344125584E-2</v>
      </c>
      <c r="M601" s="2350">
        <f t="shared" si="173"/>
        <v>2.0821832980524289E-2</v>
      </c>
    </row>
    <row r="602" spans="1:13">
      <c r="B602" s="1265"/>
      <c r="C602" s="855" t="s">
        <v>622</v>
      </c>
      <c r="D602" s="1265" t="s">
        <v>389</v>
      </c>
      <c r="F602" s="1810"/>
      <c r="G602" s="2351">
        <f t="shared" si="173"/>
        <v>0.17595599584965368</v>
      </c>
      <c r="H602" s="2351">
        <f t="shared" si="173"/>
        <v>0.20302946470915792</v>
      </c>
      <c r="I602" s="2351">
        <f t="shared" si="173"/>
        <v>0.1567339833968657</v>
      </c>
      <c r="J602" s="2351">
        <f t="shared" si="173"/>
        <v>4.6798306657746709E-2</v>
      </c>
      <c r="K602" s="2351">
        <f t="shared" si="173"/>
        <v>9.1137335787605453E-2</v>
      </c>
      <c r="L602" s="2351">
        <f t="shared" si="173"/>
        <v>0.13578844496403206</v>
      </c>
      <c r="M602" s="2352">
        <f t="shared" si="173"/>
        <v>0.13573295166896526</v>
      </c>
    </row>
    <row r="603" spans="1:13">
      <c r="A603" s="1264"/>
      <c r="B603" s="1263"/>
      <c r="C603" s="1262"/>
      <c r="D603" s="1264"/>
      <c r="E603" s="2206"/>
      <c r="F603" s="1797"/>
      <c r="G603" s="1270">
        <f t="shared" si="173"/>
        <v>1</v>
      </c>
      <c r="H603" s="1270">
        <f t="shared" si="173"/>
        <v>1</v>
      </c>
      <c r="I603" s="1270">
        <f t="shared" si="173"/>
        <v>1</v>
      </c>
      <c r="J603" s="1270">
        <f t="shared" si="173"/>
        <v>1</v>
      </c>
      <c r="K603" s="1270">
        <f t="shared" si="173"/>
        <v>1</v>
      </c>
      <c r="L603" s="1270">
        <f t="shared" si="173"/>
        <v>1</v>
      </c>
      <c r="M603" s="1270">
        <f t="shared" si="173"/>
        <v>1</v>
      </c>
    </row>
    <row r="604" spans="1:13">
      <c r="A604" s="1668"/>
      <c r="B604" s="1266"/>
      <c r="C604" s="2347"/>
      <c r="D604" s="1672">
        <f>SUM(G604:L604)</f>
        <v>0</v>
      </c>
      <c r="E604" s="2251"/>
      <c r="F604" s="1810"/>
      <c r="G604" s="1672">
        <f t="shared" ref="G604:L604" si="174">G603-SUM(G589:G602)</f>
        <v>0</v>
      </c>
      <c r="H604" s="1672">
        <f t="shared" si="174"/>
        <v>0</v>
      </c>
      <c r="I604" s="1672">
        <f t="shared" si="174"/>
        <v>0</v>
      </c>
      <c r="J604" s="1672">
        <f t="shared" si="174"/>
        <v>0</v>
      </c>
      <c r="K604" s="1672">
        <f t="shared" si="174"/>
        <v>0</v>
      </c>
      <c r="L604" s="1672">
        <f t="shared" si="174"/>
        <v>0</v>
      </c>
      <c r="M604" s="1672">
        <f t="shared" ref="M604" si="175">M603-SUM(M589:M602)</f>
        <v>0</v>
      </c>
    </row>
    <row r="605" spans="1:13">
      <c r="B605" s="1265"/>
      <c r="C605" s="855"/>
      <c r="D605" s="855"/>
    </row>
    <row r="606" spans="1:13">
      <c r="A606" s="1670"/>
      <c r="B606" s="1268"/>
      <c r="C606" s="1268" t="s">
        <v>2125</v>
      </c>
      <c r="D606" s="1268"/>
      <c r="E606" s="2246"/>
      <c r="F606" s="2260"/>
      <c r="G606" s="2353">
        <f t="shared" ref="G606:K606" si="176">SUM(G529:G533)/SUM(G572:G575)*1000</f>
        <v>138.22850866962054</v>
      </c>
      <c r="H606" s="2353">
        <f t="shared" si="176"/>
        <v>145.8138423661419</v>
      </c>
      <c r="I606" s="2353">
        <f t="shared" si="176"/>
        <v>142.14073779774091</v>
      </c>
      <c r="J606" s="2353">
        <f t="shared" si="176"/>
        <v>129.34446203176969</v>
      </c>
      <c r="K606" s="2353">
        <f t="shared" si="176"/>
        <v>139.39443551885174</v>
      </c>
      <c r="L606" s="2353">
        <f>SUM(L529:L533)/SUM(L572:L575)*1000</f>
        <v>142.53165759427966</v>
      </c>
      <c r="M606" s="2353">
        <f>SUM(M529:M533)/SUM(M572:M575)*1000</f>
        <v>139.12712057662722</v>
      </c>
    </row>
    <row r="607" spans="1:13">
      <c r="B607" s="1265"/>
      <c r="C607" s="855"/>
      <c r="D607" s="855"/>
      <c r="G607" s="2354"/>
      <c r="H607" s="2354"/>
      <c r="I607" s="2354"/>
      <c r="J607" s="2354"/>
      <c r="K607" s="2354"/>
      <c r="L607" s="2354"/>
      <c r="M607" s="2355"/>
    </row>
    <row r="608" spans="1:13">
      <c r="A608" s="1670"/>
      <c r="B608" s="1268"/>
      <c r="C608" s="1268" t="s">
        <v>613</v>
      </c>
      <c r="D608" s="1268" t="s">
        <v>386</v>
      </c>
      <c r="E608" s="2246"/>
      <c r="F608" s="2260"/>
      <c r="G608" s="2353">
        <f t="shared" ref="G608:M621" si="177">IF(SUMIF($D$572:$D$585,$D608,G$572:G$585)=0,"",SUMIF($D$529:$D$547,$D608,G$529:G$547)/SUMIF($D$572:$D$585,$D608,G$572:G$585)*1000)</f>
        <v>112.94197306804431</v>
      </c>
      <c r="H608" s="2353">
        <f t="shared" si="177"/>
        <v>113.10654326894601</v>
      </c>
      <c r="I608" s="2353">
        <f t="shared" si="177"/>
        <v>113.00321056762462</v>
      </c>
      <c r="J608" s="2353">
        <f t="shared" si="177"/>
        <v>110.67552148553763</v>
      </c>
      <c r="K608" s="2353">
        <f t="shared" si="177"/>
        <v>113.3954511906597</v>
      </c>
      <c r="L608" s="2353">
        <f t="shared" si="177"/>
        <v>113.85383045626649</v>
      </c>
      <c r="M608" s="2353">
        <f t="shared" si="177"/>
        <v>112.78675498887982</v>
      </c>
    </row>
    <row r="609" spans="1:13">
      <c r="A609" s="1670"/>
      <c r="B609" s="1268"/>
      <c r="C609" s="1268" t="s">
        <v>614</v>
      </c>
      <c r="D609" s="1268" t="s">
        <v>1063</v>
      </c>
      <c r="E609" s="2246"/>
      <c r="F609" s="2260"/>
      <c r="G609" s="2353">
        <f t="shared" si="177"/>
        <v>80.770864251162919</v>
      </c>
      <c r="H609" s="2353">
        <f t="shared" si="177"/>
        <v>85.356110135325849</v>
      </c>
      <c r="I609" s="2353">
        <f t="shared" si="177"/>
        <v>81.249704040699413</v>
      </c>
      <c r="J609" s="2353">
        <f t="shared" si="177"/>
        <v>76.335740536968274</v>
      </c>
      <c r="K609" s="2353">
        <f t="shared" si="177"/>
        <v>79.506901088493933</v>
      </c>
      <c r="L609" s="2353">
        <f t="shared" si="177"/>
        <v>84.679867275121282</v>
      </c>
      <c r="M609" s="2353">
        <f t="shared" si="177"/>
        <v>80.624401005897965</v>
      </c>
    </row>
    <row r="610" spans="1:13">
      <c r="A610" s="1670"/>
      <c r="B610" s="1268"/>
      <c r="C610" s="1268" t="s">
        <v>2124</v>
      </c>
      <c r="D610" s="1268" t="s">
        <v>1325</v>
      </c>
      <c r="E610" s="2246"/>
      <c r="F610" s="2260"/>
      <c r="G610" s="2353">
        <f t="shared" si="177"/>
        <v>751.54681344656831</v>
      </c>
      <c r="H610" s="2353">
        <f t="shared" si="177"/>
        <v>847.00622762928629</v>
      </c>
      <c r="I610" s="2353">
        <f t="shared" si="177"/>
        <v>860.56547558451348</v>
      </c>
      <c r="J610" s="2353">
        <f t="shared" si="177"/>
        <v>737.94879231255538</v>
      </c>
      <c r="K610" s="2353">
        <f t="shared" si="177"/>
        <v>875.84293693988673</v>
      </c>
      <c r="L610" s="2353">
        <f t="shared" si="177"/>
        <v>803.79196751308518</v>
      </c>
      <c r="M610" s="2353">
        <f t="shared" si="177"/>
        <v>809.1613933442585</v>
      </c>
    </row>
    <row r="611" spans="1:13">
      <c r="A611" s="1670"/>
      <c r="B611" s="1268"/>
      <c r="C611" s="1268" t="s">
        <v>1518</v>
      </c>
      <c r="D611" s="1268" t="s">
        <v>1506</v>
      </c>
      <c r="E611" s="2246"/>
      <c r="F611" s="2260"/>
      <c r="G611" s="2353">
        <f t="shared" si="177"/>
        <v>122.42476959740654</v>
      </c>
      <c r="H611" s="2353">
        <f t="shared" si="177"/>
        <v>122.56691288892561</v>
      </c>
      <c r="I611" s="2353">
        <f t="shared" si="177"/>
        <v>122.47766191756568</v>
      </c>
      <c r="J611" s="2353">
        <f t="shared" si="177"/>
        <v>120.46718015386867</v>
      </c>
      <c r="K611" s="2353">
        <f t="shared" si="177"/>
        <v>122.81644969882986</v>
      </c>
      <c r="L611" s="2353">
        <f t="shared" si="177"/>
        <v>123.21236303684879</v>
      </c>
      <c r="M611" s="2353">
        <f t="shared" si="177"/>
        <v>122.29070396125358</v>
      </c>
    </row>
    <row r="612" spans="1:13">
      <c r="A612" s="1671"/>
      <c r="B612" s="1267"/>
      <c r="C612" s="1267" t="s">
        <v>615</v>
      </c>
      <c r="D612" s="1267" t="s">
        <v>569</v>
      </c>
      <c r="E612" s="2246"/>
      <c r="F612" s="2260"/>
      <c r="G612" s="2356">
        <f t="shared" si="177"/>
        <v>101.79776690494978</v>
      </c>
      <c r="H612" s="2356">
        <f t="shared" si="177"/>
        <v>101.82175096153301</v>
      </c>
      <c r="I612" s="2356">
        <f t="shared" si="177"/>
        <v>101.40787544507165</v>
      </c>
      <c r="J612" s="2356">
        <f t="shared" si="177"/>
        <v>101.73821457224759</v>
      </c>
      <c r="K612" s="2356">
        <f t="shared" si="177"/>
        <v>101.86019019570227</v>
      </c>
      <c r="L612" s="2356">
        <f t="shared" si="177"/>
        <v>101.98808606572199</v>
      </c>
      <c r="M612" s="2356">
        <f t="shared" si="177"/>
        <v>101.83910897730721</v>
      </c>
    </row>
    <row r="613" spans="1:13">
      <c r="A613" s="1671"/>
      <c r="B613" s="1267"/>
      <c r="C613" s="1267" t="s">
        <v>701</v>
      </c>
      <c r="D613" s="1267" t="s">
        <v>2126</v>
      </c>
      <c r="E613" s="1267" t="s">
        <v>2127</v>
      </c>
      <c r="F613" s="2260"/>
      <c r="G613" s="2356">
        <f t="shared" si="177"/>
        <v>90.29043132707497</v>
      </c>
      <c r="H613" s="2356">
        <f t="shared" si="177"/>
        <v>90.29043132707497</v>
      </c>
      <c r="I613" s="2356">
        <f t="shared" si="177"/>
        <v>90.290431327074955</v>
      </c>
      <c r="J613" s="2356">
        <f t="shared" si="177"/>
        <v>90.29043132707497</v>
      </c>
      <c r="K613" s="2356">
        <f t="shared" si="177"/>
        <v>90.29043132707497</v>
      </c>
      <c r="L613" s="2356">
        <f t="shared" si="177"/>
        <v>90.290431327074984</v>
      </c>
      <c r="M613" s="2356">
        <f t="shared" si="177"/>
        <v>90.290431327074955</v>
      </c>
    </row>
    <row r="614" spans="1:13">
      <c r="A614" s="1671"/>
      <c r="B614" s="1267"/>
      <c r="C614" s="1267" t="s">
        <v>701</v>
      </c>
      <c r="D614" s="1267" t="s">
        <v>702</v>
      </c>
      <c r="E614" s="2246"/>
      <c r="F614" s="2260"/>
      <c r="G614" s="2356">
        <f t="shared" si="177"/>
        <v>71.016291740326764</v>
      </c>
      <c r="H614" s="2356">
        <f t="shared" si="177"/>
        <v>61.929535665916667</v>
      </c>
      <c r="I614" s="2356">
        <f t="shared" si="177"/>
        <v>61.780537101476135</v>
      </c>
      <c r="J614" s="2356">
        <f t="shared" si="177"/>
        <v>61.697417588615181</v>
      </c>
      <c r="K614" s="2356">
        <f t="shared" si="177"/>
        <v>61.671431107491252</v>
      </c>
      <c r="L614" s="2356">
        <f t="shared" si="177"/>
        <v>76.164331267562531</v>
      </c>
      <c r="M614" s="2356">
        <f t="shared" si="177"/>
        <v>65.239030104267812</v>
      </c>
    </row>
    <row r="615" spans="1:13">
      <c r="A615" s="1671"/>
      <c r="B615" s="1267"/>
      <c r="C615" s="1267" t="s">
        <v>616</v>
      </c>
      <c r="D615" s="1267" t="s">
        <v>548</v>
      </c>
      <c r="E615" s="2246"/>
      <c r="F615" s="2260"/>
      <c r="G615" s="2356">
        <f t="shared" si="177"/>
        <v>115.48952267224169</v>
      </c>
      <c r="H615" s="2356">
        <f t="shared" si="177"/>
        <v>116.05152874492184</v>
      </c>
      <c r="I615" s="2356">
        <f t="shared" si="177"/>
        <v>115.69864830040109</v>
      </c>
      <c r="J615" s="2356">
        <f t="shared" si="177"/>
        <v>107.74960654024913</v>
      </c>
      <c r="K615" s="2356">
        <f t="shared" si="177"/>
        <v>117.03814725519204</v>
      </c>
      <c r="L615" s="2356">
        <f t="shared" si="177"/>
        <v>118.60350920681023</v>
      </c>
      <c r="M615" s="2356">
        <f t="shared" si="177"/>
        <v>114.95945402918093</v>
      </c>
    </row>
    <row r="616" spans="1:13">
      <c r="A616" s="1671"/>
      <c r="B616" s="1267"/>
      <c r="C616" s="1267" t="s">
        <v>1316</v>
      </c>
      <c r="D616" s="1267" t="s">
        <v>1367</v>
      </c>
      <c r="E616" s="2246"/>
      <c r="F616" s="2260"/>
      <c r="G616" s="2356">
        <f t="shared" si="177"/>
        <v>125.50131260283837</v>
      </c>
      <c r="H616" s="2356">
        <f t="shared" si="177"/>
        <v>125.79163501764879</v>
      </c>
      <c r="I616" s="2356">
        <f t="shared" si="177"/>
        <v>125.6093432101883</v>
      </c>
      <c r="J616" s="2356">
        <f t="shared" si="177"/>
        <v>121.50300857890838</v>
      </c>
      <c r="K616" s="2356">
        <f t="shared" si="177"/>
        <v>126.30130472109575</v>
      </c>
      <c r="L616" s="2356">
        <f t="shared" si="177"/>
        <v>127.10994306850517</v>
      </c>
      <c r="M616" s="2356">
        <f t="shared" si="177"/>
        <v>125.22748850030723</v>
      </c>
    </row>
    <row r="617" spans="1:13">
      <c r="A617" s="1668"/>
      <c r="B617" s="1266"/>
      <c r="C617" s="2338" t="s">
        <v>618</v>
      </c>
      <c r="D617" s="2338" t="s">
        <v>758</v>
      </c>
      <c r="F617" s="1810"/>
      <c r="G617" s="2357" t="str">
        <f t="shared" si="177"/>
        <v/>
      </c>
      <c r="H617" s="2357" t="str">
        <f t="shared" si="177"/>
        <v/>
      </c>
      <c r="I617" s="2357" t="str">
        <f t="shared" si="177"/>
        <v/>
      </c>
      <c r="J617" s="2357" t="str">
        <f t="shared" si="177"/>
        <v/>
      </c>
      <c r="K617" s="2357" t="str">
        <f t="shared" si="177"/>
        <v/>
      </c>
      <c r="L617" s="2357" t="str">
        <f t="shared" si="177"/>
        <v/>
      </c>
      <c r="M617" s="2357" t="str">
        <f t="shared" si="177"/>
        <v/>
      </c>
    </row>
    <row r="618" spans="1:13">
      <c r="A618" s="1668"/>
      <c r="B618" s="1266"/>
      <c r="C618" s="2338" t="s">
        <v>617</v>
      </c>
      <c r="D618" s="2338" t="s">
        <v>387</v>
      </c>
      <c r="F618" s="1810"/>
      <c r="G618" s="2357" t="str">
        <f t="shared" si="177"/>
        <v/>
      </c>
      <c r="H618" s="2357" t="str">
        <f t="shared" si="177"/>
        <v/>
      </c>
      <c r="I618" s="2357" t="str">
        <f t="shared" si="177"/>
        <v/>
      </c>
      <c r="J618" s="2357" t="str">
        <f t="shared" si="177"/>
        <v/>
      </c>
      <c r="K618" s="2357" t="str">
        <f t="shared" si="177"/>
        <v/>
      </c>
      <c r="L618" s="2357" t="str">
        <f t="shared" si="177"/>
        <v/>
      </c>
      <c r="M618" s="2357" t="str">
        <f t="shared" si="177"/>
        <v/>
      </c>
    </row>
    <row r="619" spans="1:13">
      <c r="A619" s="1668"/>
      <c r="B619" s="1266"/>
      <c r="C619" s="2338" t="s">
        <v>619</v>
      </c>
      <c r="D619" s="2338" t="s">
        <v>1064</v>
      </c>
      <c r="F619" s="1810"/>
      <c r="G619" s="2357" t="str">
        <f t="shared" si="177"/>
        <v/>
      </c>
      <c r="H619" s="2357" t="str">
        <f t="shared" si="177"/>
        <v/>
      </c>
      <c r="I619" s="2357" t="str">
        <f t="shared" si="177"/>
        <v/>
      </c>
      <c r="J619" s="2357" t="str">
        <f t="shared" si="177"/>
        <v/>
      </c>
      <c r="K619" s="2357" t="str">
        <f t="shared" si="177"/>
        <v/>
      </c>
      <c r="L619" s="2357" t="str">
        <f t="shared" si="177"/>
        <v/>
      </c>
      <c r="M619" s="2357" t="str">
        <f t="shared" si="177"/>
        <v/>
      </c>
    </row>
    <row r="620" spans="1:13">
      <c r="A620" s="1668"/>
      <c r="B620" s="1266"/>
      <c r="C620" s="2338" t="s">
        <v>1813</v>
      </c>
      <c r="D620" s="2338" t="s">
        <v>1090</v>
      </c>
      <c r="F620" s="1810"/>
      <c r="G620" s="2357">
        <f t="shared" si="177"/>
        <v>300.13349611969545</v>
      </c>
      <c r="H620" s="2357">
        <f t="shared" si="177"/>
        <v>303.88928479525953</v>
      </c>
      <c r="I620" s="2357">
        <f t="shared" si="177"/>
        <v>308.73839112189052</v>
      </c>
      <c r="J620" s="2357">
        <f t="shared" si="177"/>
        <v>334.92926661860758</v>
      </c>
      <c r="K620" s="2357">
        <f t="shared" si="177"/>
        <v>312.68455487423603</v>
      </c>
      <c r="L620" s="2357">
        <f t="shared" si="177"/>
        <v>306.32937489149253</v>
      </c>
      <c r="M620" s="2357">
        <f t="shared" si="177"/>
        <v>310.33450963329983</v>
      </c>
    </row>
    <row r="621" spans="1:13" s="687" customFormat="1">
      <c r="A621" s="1315"/>
      <c r="B621" s="1265"/>
      <c r="C621" s="1265" t="s">
        <v>622</v>
      </c>
      <c r="D621" s="1265" t="s">
        <v>389</v>
      </c>
      <c r="E621" s="2334"/>
      <c r="F621" s="1807"/>
      <c r="G621" s="2355">
        <f t="shared" si="177"/>
        <v>60.000000000000007</v>
      </c>
      <c r="H621" s="2355">
        <f t="shared" si="177"/>
        <v>60</v>
      </c>
      <c r="I621" s="2355">
        <f t="shared" si="177"/>
        <v>60</v>
      </c>
      <c r="J621" s="2355">
        <f t="shared" si="177"/>
        <v>59.999999999999993</v>
      </c>
      <c r="K621" s="2355">
        <f t="shared" si="177"/>
        <v>60.000000000000007</v>
      </c>
      <c r="L621" s="2355">
        <f t="shared" si="177"/>
        <v>60</v>
      </c>
      <c r="M621" s="2355">
        <f t="shared" si="177"/>
        <v>60</v>
      </c>
    </row>
    <row r="622" spans="1:13">
      <c r="A622" s="1264"/>
      <c r="B622" s="1263"/>
      <c r="C622" s="1262"/>
      <c r="D622" s="1264"/>
      <c r="E622" s="2206"/>
      <c r="F622" s="1797"/>
      <c r="G622" s="1269">
        <f t="shared" ref="G622:L622" si="178">G548/G586*1000</f>
        <v>120.94133616188003</v>
      </c>
      <c r="H622" s="1269">
        <f t="shared" si="178"/>
        <v>120.97754500559597</v>
      </c>
      <c r="I622" s="1269">
        <f t="shared" si="178"/>
        <v>123.41364938352018</v>
      </c>
      <c r="J622" s="1269">
        <f t="shared" si="178"/>
        <v>122.95776406378495</v>
      </c>
      <c r="K622" s="1269">
        <f t="shared" si="178"/>
        <v>126.72383966564813</v>
      </c>
      <c r="L622" s="1269">
        <f t="shared" si="178"/>
        <v>125.48105175115847</v>
      </c>
      <c r="M622" s="1269">
        <f t="shared" ref="M622" si="179">M548/M586*1000</f>
        <v>123.3531151308832</v>
      </c>
    </row>
    <row r="623" spans="1:13">
      <c r="C623" s="1259"/>
    </row>
    <row r="624" spans="1:13">
      <c r="A624" s="1670"/>
      <c r="B624" s="1268"/>
      <c r="C624" s="1268" t="s">
        <v>613</v>
      </c>
      <c r="D624" s="1268" t="s">
        <v>386</v>
      </c>
      <c r="E624" s="2246"/>
      <c r="F624" s="2260"/>
      <c r="G624" s="2343">
        <f t="shared" ref="G624:M637" si="180">SUMIF($D$235:$D$267,$D624,G$235:G$267)</f>
        <v>140.20614</v>
      </c>
      <c r="H624" s="2343">
        <f t="shared" si="180"/>
        <v>140.20614</v>
      </c>
      <c r="I624" s="2343">
        <f t="shared" si="180"/>
        <v>140.20614</v>
      </c>
      <c r="J624" s="2343">
        <f t="shared" si="180"/>
        <v>140.20614</v>
      </c>
      <c r="K624" s="2343">
        <f t="shared" si="180"/>
        <v>140.20614</v>
      </c>
      <c r="L624" s="2343">
        <f t="shared" si="180"/>
        <v>140.20614</v>
      </c>
      <c r="M624" s="2343">
        <f t="shared" si="180"/>
        <v>140.20614</v>
      </c>
    </row>
    <row r="625" spans="1:13">
      <c r="A625" s="1670"/>
      <c r="B625" s="1268"/>
      <c r="C625" s="1268" t="s">
        <v>614</v>
      </c>
      <c r="D625" s="1268" t="s">
        <v>1061</v>
      </c>
      <c r="E625" s="2246"/>
      <c r="F625" s="2260"/>
      <c r="G625" s="2343">
        <f t="shared" si="180"/>
        <v>33.766799999999996</v>
      </c>
      <c r="H625" s="2343">
        <f t="shared" si="180"/>
        <v>31.989600000000003</v>
      </c>
      <c r="I625" s="2343">
        <f t="shared" si="180"/>
        <v>31.545300000000001</v>
      </c>
      <c r="J625" s="2343">
        <f t="shared" si="180"/>
        <v>32.433899999999994</v>
      </c>
      <c r="K625" s="2343">
        <f t="shared" si="180"/>
        <v>22.309000000000001</v>
      </c>
      <c r="L625" s="2343">
        <f t="shared" si="180"/>
        <v>30.656700000000001</v>
      </c>
      <c r="M625" s="2343">
        <f t="shared" si="180"/>
        <v>30.450216666666666</v>
      </c>
    </row>
    <row r="626" spans="1:13">
      <c r="A626" s="1670"/>
      <c r="B626" s="1268"/>
      <c r="C626" s="1268" t="s">
        <v>1369</v>
      </c>
      <c r="D626" s="1268" t="s">
        <v>1368</v>
      </c>
      <c r="E626" s="2246"/>
      <c r="F626" s="2260"/>
      <c r="G626" s="2343">
        <f t="shared" si="180"/>
        <v>0</v>
      </c>
      <c r="H626" s="2343">
        <f t="shared" si="180"/>
        <v>0</v>
      </c>
      <c r="I626" s="2343">
        <f t="shared" si="180"/>
        <v>0</v>
      </c>
      <c r="J626" s="2343">
        <f t="shared" si="180"/>
        <v>0</v>
      </c>
      <c r="K626" s="2343">
        <f t="shared" si="180"/>
        <v>0</v>
      </c>
      <c r="L626" s="2343">
        <f t="shared" si="180"/>
        <v>0</v>
      </c>
      <c r="M626" s="2343">
        <f t="shared" si="180"/>
        <v>0</v>
      </c>
    </row>
    <row r="627" spans="1:13">
      <c r="A627" s="1670"/>
      <c r="B627" s="1268"/>
      <c r="C627" s="1268" t="s">
        <v>2124</v>
      </c>
      <c r="D627" s="1268" t="s">
        <v>1325</v>
      </c>
      <c r="E627" s="2246"/>
      <c r="F627" s="2260"/>
      <c r="G627" s="2343">
        <f t="shared" si="180"/>
        <v>126</v>
      </c>
      <c r="H627" s="2343">
        <f t="shared" si="180"/>
        <v>126</v>
      </c>
      <c r="I627" s="2343">
        <f t="shared" si="180"/>
        <v>126</v>
      </c>
      <c r="J627" s="2343">
        <f t="shared" si="180"/>
        <v>126</v>
      </c>
      <c r="K627" s="2343">
        <f t="shared" si="180"/>
        <v>126</v>
      </c>
      <c r="L627" s="2343">
        <f t="shared" si="180"/>
        <v>126</v>
      </c>
      <c r="M627" s="2343">
        <f t="shared" si="180"/>
        <v>126</v>
      </c>
    </row>
    <row r="628" spans="1:13">
      <c r="A628" s="1670"/>
      <c r="B628" s="1268"/>
      <c r="C628" s="1268" t="s">
        <v>1519</v>
      </c>
      <c r="D628" s="1268" t="s">
        <v>1506</v>
      </c>
      <c r="E628" s="2246"/>
      <c r="F628" s="2260"/>
      <c r="G628" s="2343">
        <f t="shared" si="180"/>
        <v>49.95</v>
      </c>
      <c r="H628" s="2343">
        <f t="shared" si="180"/>
        <v>49.95</v>
      </c>
      <c r="I628" s="2343">
        <f t="shared" si="180"/>
        <v>49.95</v>
      </c>
      <c r="J628" s="2343">
        <f t="shared" si="180"/>
        <v>49.95</v>
      </c>
      <c r="K628" s="2343">
        <f t="shared" si="180"/>
        <v>49.95</v>
      </c>
      <c r="L628" s="2343">
        <f t="shared" si="180"/>
        <v>49.95</v>
      </c>
      <c r="M628" s="2343">
        <f t="shared" si="180"/>
        <v>49.949999999999996</v>
      </c>
    </row>
    <row r="629" spans="1:13">
      <c r="A629" s="1671"/>
      <c r="B629" s="1267"/>
      <c r="C629" s="1267" t="s">
        <v>615</v>
      </c>
      <c r="D629" s="1267" t="s">
        <v>569</v>
      </c>
      <c r="E629" s="2246"/>
      <c r="F629" s="2260"/>
      <c r="G629" s="2344">
        <f t="shared" si="180"/>
        <v>0</v>
      </c>
      <c r="H629" s="2344">
        <f t="shared" si="180"/>
        <v>0</v>
      </c>
      <c r="I629" s="2344">
        <f t="shared" si="180"/>
        <v>0</v>
      </c>
      <c r="J629" s="2344">
        <f t="shared" si="180"/>
        <v>0</v>
      </c>
      <c r="K629" s="2344">
        <f t="shared" si="180"/>
        <v>0</v>
      </c>
      <c r="L629" s="2344">
        <f t="shared" si="180"/>
        <v>0</v>
      </c>
      <c r="M629" s="2344">
        <f t="shared" si="180"/>
        <v>0</v>
      </c>
    </row>
    <row r="630" spans="1:13">
      <c r="A630" s="1671"/>
      <c r="B630" s="1267"/>
      <c r="C630" s="1267" t="s">
        <v>701</v>
      </c>
      <c r="D630" s="1267" t="s">
        <v>702</v>
      </c>
      <c r="E630" s="2246"/>
      <c r="F630" s="2260"/>
      <c r="G630" s="2344">
        <f t="shared" si="180"/>
        <v>0</v>
      </c>
      <c r="H630" s="2344">
        <f t="shared" si="180"/>
        <v>0</v>
      </c>
      <c r="I630" s="2344">
        <f t="shared" si="180"/>
        <v>0</v>
      </c>
      <c r="J630" s="2344">
        <f t="shared" si="180"/>
        <v>0</v>
      </c>
      <c r="K630" s="2344">
        <f t="shared" si="180"/>
        <v>0</v>
      </c>
      <c r="L630" s="2344">
        <f t="shared" si="180"/>
        <v>0</v>
      </c>
      <c r="M630" s="2344">
        <f t="shared" si="180"/>
        <v>0</v>
      </c>
    </row>
    <row r="631" spans="1:13">
      <c r="A631" s="1671"/>
      <c r="B631" s="1267"/>
      <c r="C631" s="1267" t="s">
        <v>616</v>
      </c>
      <c r="D631" s="1267" t="s">
        <v>548</v>
      </c>
      <c r="E631" s="2246"/>
      <c r="F631" s="2260"/>
      <c r="G631" s="2344">
        <f t="shared" si="180"/>
        <v>126</v>
      </c>
      <c r="H631" s="2344">
        <f t="shared" si="180"/>
        <v>126</v>
      </c>
      <c r="I631" s="2344">
        <f t="shared" si="180"/>
        <v>126</v>
      </c>
      <c r="J631" s="2344">
        <f t="shared" si="180"/>
        <v>126</v>
      </c>
      <c r="K631" s="2344">
        <f t="shared" si="180"/>
        <v>126</v>
      </c>
      <c r="L631" s="2344">
        <f t="shared" si="180"/>
        <v>126</v>
      </c>
      <c r="M631" s="2344">
        <f t="shared" si="180"/>
        <v>126</v>
      </c>
    </row>
    <row r="632" spans="1:13">
      <c r="A632" s="1671"/>
      <c r="B632" s="1267"/>
      <c r="C632" s="1267" t="s">
        <v>1316</v>
      </c>
      <c r="D632" s="1267" t="s">
        <v>1367</v>
      </c>
      <c r="E632" s="2246"/>
      <c r="F632" s="2260"/>
      <c r="G632" s="2344">
        <f t="shared" si="180"/>
        <v>160</v>
      </c>
      <c r="H632" s="2344">
        <f t="shared" si="180"/>
        <v>160</v>
      </c>
      <c r="I632" s="2344">
        <f t="shared" si="180"/>
        <v>160</v>
      </c>
      <c r="J632" s="2344">
        <f t="shared" si="180"/>
        <v>160</v>
      </c>
      <c r="K632" s="2344">
        <f t="shared" si="180"/>
        <v>160</v>
      </c>
      <c r="L632" s="2344">
        <f t="shared" si="180"/>
        <v>160</v>
      </c>
      <c r="M632" s="2344">
        <f t="shared" si="180"/>
        <v>160</v>
      </c>
    </row>
    <row r="633" spans="1:13" s="687" customFormat="1">
      <c r="A633" s="2358"/>
      <c r="B633" s="1266"/>
      <c r="C633" s="2338" t="s">
        <v>618</v>
      </c>
      <c r="D633" s="2338" t="s">
        <v>758</v>
      </c>
      <c r="E633" s="2334"/>
      <c r="F633" s="1810"/>
      <c r="G633" s="2345">
        <f t="shared" si="180"/>
        <v>0</v>
      </c>
      <c r="H633" s="2345">
        <f t="shared" si="180"/>
        <v>0</v>
      </c>
      <c r="I633" s="2345">
        <f t="shared" si="180"/>
        <v>0</v>
      </c>
      <c r="J633" s="2345">
        <f t="shared" si="180"/>
        <v>0</v>
      </c>
      <c r="K633" s="2345">
        <f t="shared" si="180"/>
        <v>0</v>
      </c>
      <c r="L633" s="2345">
        <f t="shared" si="180"/>
        <v>0</v>
      </c>
      <c r="M633" s="2345">
        <f t="shared" si="180"/>
        <v>0</v>
      </c>
    </row>
    <row r="634" spans="1:13" s="687" customFormat="1">
      <c r="A634" s="2358"/>
      <c r="B634" s="1266"/>
      <c r="C634" s="2338" t="s">
        <v>617</v>
      </c>
      <c r="D634" s="2338" t="s">
        <v>387</v>
      </c>
      <c r="E634" s="2334"/>
      <c r="F634" s="1810"/>
      <c r="G634" s="2345">
        <f t="shared" si="180"/>
        <v>0</v>
      </c>
      <c r="H634" s="2345">
        <f t="shared" si="180"/>
        <v>0</v>
      </c>
      <c r="I634" s="2345">
        <f t="shared" si="180"/>
        <v>0</v>
      </c>
      <c r="J634" s="2345">
        <f t="shared" si="180"/>
        <v>0</v>
      </c>
      <c r="K634" s="2345">
        <f t="shared" si="180"/>
        <v>0</v>
      </c>
      <c r="L634" s="2345">
        <f t="shared" si="180"/>
        <v>0</v>
      </c>
      <c r="M634" s="2345">
        <f t="shared" si="180"/>
        <v>0</v>
      </c>
    </row>
    <row r="635" spans="1:13" s="687" customFormat="1">
      <c r="A635" s="2358"/>
      <c r="B635" s="1266"/>
      <c r="C635" s="2338" t="s">
        <v>619</v>
      </c>
      <c r="D635" s="2338" t="s">
        <v>1060</v>
      </c>
      <c r="E635" s="2334"/>
      <c r="F635" s="1810"/>
      <c r="G635" s="2345">
        <f t="shared" si="180"/>
        <v>142.94080000000002</v>
      </c>
      <c r="H635" s="2345">
        <f t="shared" si="180"/>
        <v>135.41759999999999</v>
      </c>
      <c r="I635" s="2345">
        <f t="shared" si="180"/>
        <v>133.5368</v>
      </c>
      <c r="J635" s="2345">
        <f t="shared" si="180"/>
        <v>137.29840000000002</v>
      </c>
      <c r="K635" s="2345">
        <f t="shared" si="180"/>
        <v>129.5</v>
      </c>
      <c r="L635" s="2345">
        <f t="shared" si="180"/>
        <v>129.77519999999998</v>
      </c>
      <c r="M635" s="2345">
        <f t="shared" si="180"/>
        <v>134.7448</v>
      </c>
    </row>
    <row r="636" spans="1:13" s="687" customFormat="1">
      <c r="A636" s="2358"/>
      <c r="B636" s="1266"/>
      <c r="C636" s="2338" t="s">
        <v>1103</v>
      </c>
      <c r="D636" s="2338" t="s">
        <v>1090</v>
      </c>
      <c r="E636" s="2334"/>
      <c r="F636" s="1810"/>
      <c r="G636" s="2345">
        <f t="shared" si="180"/>
        <v>28.12</v>
      </c>
      <c r="H636" s="2345">
        <f t="shared" si="180"/>
        <v>28.12</v>
      </c>
      <c r="I636" s="2345">
        <f t="shared" si="180"/>
        <v>28.12</v>
      </c>
      <c r="J636" s="2345">
        <f t="shared" si="180"/>
        <v>28.12</v>
      </c>
      <c r="K636" s="2345">
        <f t="shared" si="180"/>
        <v>28.12</v>
      </c>
      <c r="L636" s="2345">
        <f t="shared" si="180"/>
        <v>28.12</v>
      </c>
      <c r="M636" s="2345">
        <f t="shared" si="180"/>
        <v>28.12</v>
      </c>
    </row>
    <row r="637" spans="1:13" s="687" customFormat="1">
      <c r="A637" s="1315"/>
      <c r="B637" s="1265"/>
      <c r="C637" s="1265" t="s">
        <v>622</v>
      </c>
      <c r="D637" s="1265" t="s">
        <v>389</v>
      </c>
      <c r="E637" s="2334"/>
      <c r="F637" s="1807"/>
      <c r="G637" s="2346">
        <f t="shared" si="180"/>
        <v>0</v>
      </c>
      <c r="H637" s="2346">
        <f t="shared" si="180"/>
        <v>0</v>
      </c>
      <c r="I637" s="2346">
        <f t="shared" si="180"/>
        <v>0</v>
      </c>
      <c r="J637" s="2346">
        <f t="shared" si="180"/>
        <v>0</v>
      </c>
      <c r="K637" s="2346">
        <f t="shared" si="180"/>
        <v>0</v>
      </c>
      <c r="L637" s="2346">
        <f t="shared" si="180"/>
        <v>0</v>
      </c>
      <c r="M637" s="2346">
        <f t="shared" si="180"/>
        <v>0</v>
      </c>
    </row>
    <row r="638" spans="1:13">
      <c r="A638" s="1264"/>
      <c r="B638" s="1263"/>
      <c r="C638" s="1262"/>
      <c r="D638" s="1262"/>
      <c r="E638" s="2206"/>
      <c r="F638" s="1797"/>
      <c r="G638" s="2359">
        <f t="shared" ref="G638:M638" si="181">SUM(G624:G637)</f>
        <v>806.98374000000001</v>
      </c>
      <c r="H638" s="2359">
        <f t="shared" si="181"/>
        <v>797.68333999999993</v>
      </c>
      <c r="I638" s="2359">
        <f t="shared" si="181"/>
        <v>795.35824000000002</v>
      </c>
      <c r="J638" s="2359">
        <f t="shared" si="181"/>
        <v>800.00844000000006</v>
      </c>
      <c r="K638" s="2359">
        <f t="shared" si="181"/>
        <v>782.08514000000002</v>
      </c>
      <c r="L638" s="2359">
        <f t="shared" si="181"/>
        <v>790.7080400000001</v>
      </c>
      <c r="M638" s="2359">
        <f t="shared" si="181"/>
        <v>795.47115666666662</v>
      </c>
    </row>
    <row r="639" spans="1:13">
      <c r="A639" s="1665"/>
      <c r="B639" s="1666"/>
      <c r="C639" s="2360"/>
      <c r="D639" s="1664">
        <f>SUM(G639:L639)</f>
        <v>0</v>
      </c>
      <c r="E639" s="2252"/>
      <c r="F639" s="1811"/>
      <c r="G639" s="2361">
        <f t="shared" ref="G639:M639" si="182">SUM(G236:G267)-G638</f>
        <v>0</v>
      </c>
      <c r="H639" s="2361">
        <f t="shared" si="182"/>
        <v>0</v>
      </c>
      <c r="I639" s="2361">
        <f t="shared" si="182"/>
        <v>0</v>
      </c>
      <c r="J639" s="2361">
        <f t="shared" si="182"/>
        <v>0</v>
      </c>
      <c r="K639" s="2361">
        <f t="shared" si="182"/>
        <v>0</v>
      </c>
      <c r="L639" s="2361">
        <f t="shared" si="182"/>
        <v>0</v>
      </c>
      <c r="M639" s="2361">
        <f t="shared" si="182"/>
        <v>0</v>
      </c>
    </row>
    <row r="641" spans="1:2">
      <c r="A641" s="1663"/>
      <c r="B641" s="1260"/>
    </row>
    <row r="644" spans="1:2">
      <c r="A644" s="1663"/>
      <c r="B644" s="1260"/>
    </row>
    <row r="645" spans="1:2">
      <c r="A645" s="1663"/>
      <c r="B645" s="1260"/>
    </row>
    <row r="646" spans="1:2">
      <c r="A646" s="1663"/>
      <c r="B646" s="1260"/>
    </row>
    <row r="647" spans="1:2">
      <c r="A647" s="1663"/>
      <c r="B647" s="1260"/>
    </row>
  </sheetData>
  <conditionalFormatting sqref="B6:M33 F73:F147 F150:F234 F236:F315 E455:E456 F456:F459 D461:E498 D487:F487 D500:E502 D521:E522">
    <cfRule type="cellIs" dxfId="24" priority="67" operator="equal">
      <formula>"H"</formula>
    </cfRule>
  </conditionalFormatting>
  <conditionalFormatting sqref="E504">
    <cfRule type="cellIs" dxfId="12" priority="62" operator="equal">
      <formula>"H"</formula>
    </cfRule>
  </conditionalFormatting>
  <conditionalFormatting sqref="F1:F4 B3:E4 F35:F66 F317:F385 F387:F454 F640:F1048576">
    <cfRule type="cellIs" dxfId="9" priority="64" operator="equal">
      <formula>"H"</formula>
    </cfRule>
  </conditionalFormatting>
  <conditionalFormatting sqref="F68:F71">
    <cfRule type="cellIs" dxfId="8" priority="85" operator="equal">
      <formula>"H"</formula>
    </cfRule>
  </conditionalFormatting>
  <conditionalFormatting sqref="F461:F638">
    <cfRule type="cellIs" dxfId="7" priority="16" operator="equal">
      <formula>"H"</formula>
    </cfRule>
  </conditionalFormatting>
  <pageMargins left="0.7" right="0.7" top="0.75" bottom="0.75" header="0.3" footer="0.3"/>
  <pageSetup scale="67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6" operator="containsText" id="{48FFCD27-804B-42F1-9EB3-73F0880A99B3}">
            <xm:f>NOT(ISERROR(SEARCH("H",B130)))</xm:f>
            <xm:f>"H"</xm:f>
            <x14:dxf>
              <font>
                <strike val="0"/>
                <color rgb="FF0000FF"/>
              </font>
            </x14:dxf>
          </x14:cfRule>
          <xm:sqref>B130 E375:F380 D377:D380 D381:F385 E445:F446 D447:F454 C455:E455 D456:F459 D640:F1048576</xm:sqref>
        </x14:conditionalFormatting>
        <x14:conditionalFormatting xmlns:xm="http://schemas.microsoft.com/office/excel/2006/main">
          <x14:cfRule type="containsText" priority="61" operator="containsText" id="{E722ACA0-D2F8-486D-A85C-170580809AEB}">
            <xm:f>NOT(ISERROR(SEARCH("H",A1)))</xm:f>
            <xm:f>"H"</xm:f>
            <x14:dxf>
              <font>
                <strike val="0"/>
                <color rgb="FF0000FF"/>
              </font>
            </x14:dxf>
          </x14:cfRule>
          <xm:sqref>D1:F4 B3:C4 B6:F33 A64:B64 D73:F147 D150:F234 D461:F519</xm:sqref>
        </x14:conditionalFormatting>
        <x14:conditionalFormatting xmlns:xm="http://schemas.microsoft.com/office/excel/2006/main">
          <x14:cfRule type="containsText" priority="53" operator="containsText" id="{DD80DBBE-BC9D-49B9-8500-739202074ECF}">
            <xm:f>NOT(ISERROR(SEARCH("H",D35)))</xm:f>
            <xm:f>"H"</xm:f>
            <x14:dxf>
              <font>
                <strike val="0"/>
                <color rgb="FF0000FF"/>
              </font>
            </x14:dxf>
          </x14:cfRule>
          <xm:sqref>D35:F66</xm:sqref>
        </x14:conditionalFormatting>
        <x14:conditionalFormatting xmlns:xm="http://schemas.microsoft.com/office/excel/2006/main">
          <x14:cfRule type="containsText" priority="87" operator="containsText" id="{12577C9E-D5DF-408F-83F8-AE7C2DBB9924}">
            <xm:f>NOT(ISERROR(SEARCH("H",D68)))</xm:f>
            <xm:f>"H"</xm:f>
            <x14:dxf>
              <font>
                <strike val="0"/>
                <color rgb="FF0000FF"/>
              </font>
            </x14:dxf>
          </x14:cfRule>
          <xm:sqref>D68:F71</xm:sqref>
        </x14:conditionalFormatting>
        <x14:conditionalFormatting xmlns:xm="http://schemas.microsoft.com/office/excel/2006/main">
          <x14:cfRule type="containsText" priority="51" operator="containsText" id="{6C42F4E2-C3B6-4213-A523-1DC4829D68F7}">
            <xm:f>NOT(ISERROR(SEARCH("H",D236)))</xm:f>
            <xm:f>"H"</xm:f>
            <x14:dxf>
              <font>
                <strike val="0"/>
                <color rgb="FF0000FF"/>
              </font>
            </x14:dxf>
          </x14:cfRule>
          <xm:sqref>D236:F315</xm:sqref>
        </x14:conditionalFormatting>
        <x14:conditionalFormatting xmlns:xm="http://schemas.microsoft.com/office/excel/2006/main">
          <x14:cfRule type="containsText" priority="50" operator="containsText" id="{B4CA3622-EBBD-4FC5-8EFB-EDCC4EB7A2CB}">
            <xm:f>NOT(ISERROR(SEARCH("H",D317)))</xm:f>
            <xm:f>"H"</xm:f>
            <x14:dxf>
              <font>
                <strike val="0"/>
                <color rgb="FF0000FF"/>
              </font>
            </x14:dxf>
          </x14:cfRule>
          <xm:sqref>D317:F374</xm:sqref>
        </x14:conditionalFormatting>
        <x14:conditionalFormatting xmlns:xm="http://schemas.microsoft.com/office/excel/2006/main">
          <x14:cfRule type="containsText" priority="49" operator="containsText" id="{1948EB08-4DC6-4484-B510-940359EB1631}">
            <xm:f>NOT(ISERROR(SEARCH("H",D387)))</xm:f>
            <xm:f>"H"</xm:f>
            <x14:dxf>
              <font>
                <strike val="0"/>
                <color rgb="FF0000FF"/>
              </font>
            </x14:dxf>
          </x14:cfRule>
          <xm:sqref>D387:F444</xm:sqref>
        </x14:conditionalFormatting>
        <x14:conditionalFormatting xmlns:xm="http://schemas.microsoft.com/office/excel/2006/main">
          <x14:cfRule type="containsText" priority="45" operator="containsText" id="{B74022F3-834A-4DAE-9011-F88BE7AF43AF}">
            <xm:f>NOT(ISERROR(SEARCH("H",D521)))</xm:f>
            <xm:f>"H"</xm:f>
            <x14:dxf>
              <font>
                <strike val="0"/>
                <color rgb="FF0000FF"/>
              </font>
            </x14:dxf>
          </x14:cfRule>
          <xm:sqref>D521:F548</xm:sqref>
        </x14:conditionalFormatting>
        <x14:conditionalFormatting xmlns:xm="http://schemas.microsoft.com/office/excel/2006/main">
          <x14:cfRule type="containsText" priority="35" operator="containsText" id="{5AF1D548-33F0-49E5-98D4-E54676077185}">
            <xm:f>NOT(ISERROR(SEARCH("H",D550)))</xm:f>
            <xm:f>"H"</xm:f>
            <x14:dxf>
              <font>
                <strike val="0"/>
                <color rgb="FF0000FF"/>
              </font>
            </x14:dxf>
          </x14:cfRule>
          <xm:sqref>D550:F569</xm:sqref>
        </x14:conditionalFormatting>
        <x14:conditionalFormatting xmlns:xm="http://schemas.microsoft.com/office/excel/2006/main">
          <x14:cfRule type="containsText" priority="3" operator="containsText" id="{DC1D8435-262E-4D3B-9E96-35223BE1FAA7}">
            <xm:f>NOT(ISERROR(SEARCH("H",D571)))</xm:f>
            <xm:f>"H"</xm:f>
            <x14:dxf>
              <font>
                <strike val="0"/>
                <color rgb="FF0000FF"/>
              </font>
            </x14:dxf>
          </x14:cfRule>
          <xm:sqref>D571:F586</xm:sqref>
        </x14:conditionalFormatting>
        <x14:conditionalFormatting xmlns:xm="http://schemas.microsoft.com/office/excel/2006/main">
          <x14:cfRule type="containsText" priority="2" operator="containsText" id="{A7A5DD8A-7E93-40B9-BC2F-485E9C0BF51F}">
            <xm:f>NOT(ISERROR(SEARCH("H",D588)))</xm:f>
            <xm:f>"H"</xm:f>
            <x14:dxf>
              <font>
                <strike val="0"/>
                <color rgb="FF0000FF"/>
              </font>
            </x14:dxf>
          </x14:cfRule>
          <xm:sqref>D588:F603</xm:sqref>
        </x14:conditionalFormatting>
        <x14:conditionalFormatting xmlns:xm="http://schemas.microsoft.com/office/excel/2006/main">
          <x14:cfRule type="containsText" priority="1" operator="containsText" id="{7C58E8D1-E737-4354-9E13-FEFF300D0094}">
            <xm:f>NOT(ISERROR(SEARCH("H",D605)))</xm:f>
            <xm:f>"H"</xm:f>
            <x14:dxf>
              <font>
                <strike val="0"/>
                <color rgb="FF0000FF"/>
              </font>
            </x14:dxf>
          </x14:cfRule>
          <xm:sqref>D605:F638</xm:sqref>
        </x14:conditionalFormatting>
        <x14:conditionalFormatting xmlns:xm="http://schemas.microsoft.com/office/excel/2006/main">
          <x14:cfRule type="containsText" priority="47" operator="containsText" id="{B0BD4161-7666-4F97-A78E-18DEEA0300D2}">
            <xm:f>NOT(ISERROR(SEARCH("H",E549)))</xm:f>
            <xm:f>"H"</xm:f>
            <x14:dxf>
              <font>
                <strike val="0"/>
                <color rgb="FF0000FF"/>
              </font>
            </x14:dxf>
          </x14:cfRule>
          <xm:sqref>E549:F549 E570:F570 E587:F587 E604:F604</xm:sqref>
        </x14:conditionalFormatting>
        <x14:conditionalFormatting xmlns:xm="http://schemas.microsoft.com/office/excel/2006/main">
          <x14:cfRule type="containsText" priority="46" operator="containsText" id="{4175870A-FAC5-41B1-9021-378C3FC14E82}">
            <xm:f>NOT(ISERROR(SEARCH("H",E639)))</xm:f>
            <xm:f>"H"</xm:f>
            <x14:dxf>
              <font>
                <strike val="0"/>
                <color rgb="FF0000FF"/>
              </font>
            </x14:dxf>
          </x14:cfRule>
          <xm:sqref>E639:F639</xm:sqref>
        </x14:conditionalFormatting>
        <x14:conditionalFormatting xmlns:xm="http://schemas.microsoft.com/office/excel/2006/main">
          <x14:cfRule type="containsText" priority="42" operator="containsText" id="{5002E052-9883-4B6C-9170-6FF60262BD5A}">
            <xm:f>NOT(ISERROR(SEARCH("H",G529)))</xm:f>
            <xm:f>"H"</xm:f>
            <x14:dxf>
              <font>
                <strike val="0"/>
                <color rgb="FF0000FF"/>
              </font>
            </x14:dxf>
          </x14:cfRule>
          <xm:sqref>G529:M547</xm:sqref>
        </x14:conditionalFormatting>
        <x14:conditionalFormatting xmlns:xm="http://schemas.microsoft.com/office/excel/2006/main">
          <x14:cfRule type="containsText" priority="34" operator="containsText" id="{8CE3897C-6107-4C8A-9D55-DC589D4C9A91}">
            <xm:f>NOT(ISERROR(SEARCH("H",G551)))</xm:f>
            <xm:f>"H"</xm:f>
            <x14:dxf>
              <font>
                <strike val="0"/>
                <color rgb="FF0000FF"/>
              </font>
            </x14:dxf>
          </x14:cfRule>
          <xm:sqref>G551:M568</xm:sqref>
        </x14:conditionalFormatting>
        <x14:conditionalFormatting xmlns:xm="http://schemas.microsoft.com/office/excel/2006/main">
          <x14:cfRule type="containsText" priority="26" operator="containsText" id="{8541DA6C-27DC-4DEB-82AE-0A528AF0987D}">
            <xm:f>NOT(ISERROR(SEARCH("H",G572)))</xm:f>
            <xm:f>"H"</xm:f>
            <x14:dxf>
              <font>
                <strike val="0"/>
                <color rgb="FF0000FF"/>
              </font>
            </x14:dxf>
          </x14:cfRule>
          <xm:sqref>G572:M585</xm:sqref>
        </x14:conditionalFormatting>
        <x14:conditionalFormatting xmlns:xm="http://schemas.microsoft.com/office/excel/2006/main">
          <x14:cfRule type="containsText" priority="20" operator="containsText" id="{64EE25CC-18B5-4E93-82A7-A74FB5497324}">
            <xm:f>NOT(ISERROR(SEARCH("H",G589)))</xm:f>
            <xm:f>"H"</xm:f>
            <x14:dxf>
              <font>
                <strike val="0"/>
                <color rgb="FF0000FF"/>
              </font>
            </x14:dxf>
          </x14:cfRule>
          <xm:sqref>G589:M601</xm:sqref>
        </x14:conditionalFormatting>
        <x14:conditionalFormatting xmlns:xm="http://schemas.microsoft.com/office/excel/2006/main">
          <x14:cfRule type="containsText" priority="17" operator="containsText" id="{E9271DFD-7E7D-4BF0-86C1-A39CFAABE375}">
            <xm:f>NOT(ISERROR(SEARCH("H",G606)))</xm:f>
            <xm:f>"H"</xm:f>
            <x14:dxf>
              <font>
                <strike val="0"/>
                <color rgb="FF0000FF"/>
              </font>
            </x14:dxf>
          </x14:cfRule>
          <xm:sqref>G606:M606</xm:sqref>
        </x14:conditionalFormatting>
        <x14:conditionalFormatting xmlns:xm="http://schemas.microsoft.com/office/excel/2006/main">
          <x14:cfRule type="containsText" priority="10" operator="containsText" id="{8BAFC699-4BBF-441C-9386-68730C594467}">
            <xm:f>NOT(ISERROR(SEARCH("H",G608)))</xm:f>
            <xm:f>"H"</xm:f>
            <x14:dxf>
              <font>
                <strike val="0"/>
                <color rgb="FF0000FF"/>
              </font>
            </x14:dxf>
          </x14:cfRule>
          <xm:sqref>G608:M620</xm:sqref>
        </x14:conditionalFormatting>
        <x14:conditionalFormatting xmlns:xm="http://schemas.microsoft.com/office/excel/2006/main">
          <x14:cfRule type="containsText" priority="4" operator="containsText" id="{75A87FB0-83CA-4C3F-96BC-3D402D78B3D2}">
            <xm:f>NOT(ISERROR(SEARCH("H",G624)))</xm:f>
            <xm:f>"H"</xm:f>
            <x14:dxf>
              <font>
                <strike val="0"/>
                <color rgb="FF0000FF"/>
              </font>
            </x14:dxf>
          </x14:cfRule>
          <xm:sqref>G624:M636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54">
    <tabColor theme="5" tint="0.59999389629810485"/>
  </sheetPr>
  <dimension ref="B1:O392"/>
  <sheetViews>
    <sheetView view="pageBreakPreview" topLeftCell="A205" zoomScale="70" zoomScaleNormal="85" zoomScaleSheetLayoutView="70" workbookViewId="0">
      <selection activeCell="J216" sqref="J216"/>
    </sheetView>
  </sheetViews>
  <sheetFormatPr baseColWidth="10" defaultColWidth="8" defaultRowHeight="13.5"/>
  <cols>
    <col min="1" max="1" width="3" style="143" customWidth="1"/>
    <col min="2" max="2" width="12.5" style="143" bestFit="1" customWidth="1"/>
    <col min="3" max="3" width="38.75" style="143" customWidth="1"/>
    <col min="4" max="4" width="7.625" style="143" bestFit="1" customWidth="1"/>
    <col min="5" max="6" width="1" style="1885" customWidth="1"/>
    <col min="7" max="7" width="11.625" style="314" customWidth="1"/>
    <col min="8" max="12" width="11.625" style="143" customWidth="1"/>
    <col min="13" max="13" width="11.875" style="147" bestFit="1" customWidth="1"/>
    <col min="14" max="14" width="1.625" style="143" customWidth="1"/>
    <col min="15" max="15" width="6.125" style="143" bestFit="1" customWidth="1"/>
    <col min="16" max="16384" width="8" style="143"/>
  </cols>
  <sheetData>
    <row r="1" spans="2:13" s="38" customFormat="1" ht="14.25" thickBot="1">
      <c r="B1" s="271"/>
      <c r="C1" s="271" t="s">
        <v>151</v>
      </c>
      <c r="D1" s="271"/>
      <c r="E1" s="1888"/>
      <c r="F1" s="1888"/>
      <c r="G1" s="272" t="s">
        <v>138</v>
      </c>
      <c r="L1" s="273" t="s">
        <v>76</v>
      </c>
      <c r="M1" s="274" t="s">
        <v>509</v>
      </c>
    </row>
    <row r="2" spans="2:13" s="38" customFormat="1">
      <c r="B2" s="275"/>
      <c r="C2" s="275"/>
      <c r="D2" s="275"/>
      <c r="E2" s="1889"/>
      <c r="F2" s="1889"/>
      <c r="M2" s="246"/>
    </row>
    <row r="3" spans="2:13" ht="15">
      <c r="B3" s="276"/>
      <c r="C3" s="276" t="s">
        <v>352</v>
      </c>
      <c r="D3" s="276"/>
      <c r="E3" s="1890"/>
      <c r="F3" s="1890"/>
      <c r="G3" s="277" t="s">
        <v>115</v>
      </c>
      <c r="H3" s="277"/>
      <c r="I3" s="277"/>
      <c r="J3" s="277"/>
      <c r="K3" s="277"/>
      <c r="L3" s="277"/>
      <c r="M3" s="277"/>
    </row>
    <row r="4" spans="2:13">
      <c r="B4" s="278"/>
      <c r="C4" s="279" t="s">
        <v>137</v>
      </c>
      <c r="D4" s="278"/>
      <c r="E4" s="1881"/>
      <c r="F4" s="1881"/>
      <c r="G4" s="280">
        <f>F801C!D4</f>
        <v>46204</v>
      </c>
      <c r="H4" s="280">
        <f>F801C!E4</f>
        <v>46235</v>
      </c>
      <c r="I4" s="280">
        <f>F801C!F4</f>
        <v>46266</v>
      </c>
      <c r="J4" s="280">
        <f>F801C!G4</f>
        <v>46296</v>
      </c>
      <c r="K4" s="280">
        <f>F801C!H4</f>
        <v>46327</v>
      </c>
      <c r="L4" s="280">
        <f>F801C!I4</f>
        <v>46357</v>
      </c>
      <c r="M4" s="280" t="s">
        <v>154</v>
      </c>
    </row>
    <row r="5" spans="2:13">
      <c r="B5" s="281" t="str">
        <f>ComEne26!B236</f>
        <v>DME-011-08</v>
      </c>
      <c r="C5" s="281" t="str">
        <f>ComEne26!C236</f>
        <v>ELECTRO INVEST. - ENMIENDA 5</v>
      </c>
      <c r="D5" s="281" t="str">
        <f>ComEne26!D236</f>
        <v>H</v>
      </c>
      <c r="E5" s="1882"/>
      <c r="F5" s="1882"/>
      <c r="G5" s="282">
        <f>ComEne26!G236</f>
        <v>4.5999999999999996</v>
      </c>
      <c r="H5" s="282">
        <f>ComEne26!H236</f>
        <v>4.5999999999999996</v>
      </c>
      <c r="I5" s="282">
        <f>ComEne26!I236</f>
        <v>4.5999999999999996</v>
      </c>
      <c r="J5" s="282">
        <f>ComEne26!J236</f>
        <v>4.5999999999999996</v>
      </c>
      <c r="K5" s="282">
        <f>ComEne26!K236</f>
        <v>4.5999999999999996</v>
      </c>
      <c r="L5" s="282">
        <f>ComEne26!L236</f>
        <v>4.5999999999999996</v>
      </c>
      <c r="M5" s="283">
        <f t="shared" ref="M5" si="0">AVERAGE(G5:L5)</f>
        <v>4.6000000000000005</v>
      </c>
    </row>
    <row r="6" spans="2:13">
      <c r="B6" s="281" t="str">
        <f>ComEne26!B237</f>
        <v>DME-016-11</v>
      </c>
      <c r="C6" s="281" t="str">
        <f>ComEne26!C237</f>
        <v>FORTUNA</v>
      </c>
      <c r="D6" s="281" t="str">
        <f>ComEne26!D237</f>
        <v>H</v>
      </c>
      <c r="E6" s="1882"/>
      <c r="F6" s="1882"/>
      <c r="G6" s="282">
        <f>ComEne26!G237</f>
        <v>7.8729800000000001</v>
      </c>
      <c r="H6" s="282">
        <f>ComEne26!H237</f>
        <v>7.8729800000000001</v>
      </c>
      <c r="I6" s="282">
        <f>ComEne26!I237</f>
        <v>7.8729800000000001</v>
      </c>
      <c r="J6" s="282">
        <f>ComEne26!J237</f>
        <v>7.8729800000000001</v>
      </c>
      <c r="K6" s="282">
        <f>ComEne26!K237</f>
        <v>7.8729800000000001</v>
      </c>
      <c r="L6" s="282">
        <f>ComEne26!L237</f>
        <v>7.8729800000000001</v>
      </c>
      <c r="M6" s="283">
        <f t="shared" ref="M6:M32" si="1">AVERAGE(G6:L6)</f>
        <v>7.8729799999999992</v>
      </c>
    </row>
    <row r="7" spans="2:13">
      <c r="B7" s="281" t="str">
        <f>ComEne26!B238</f>
        <v>DME-018-11</v>
      </c>
      <c r="C7" s="281" t="str">
        <f>ComEne26!C238</f>
        <v xml:space="preserve">HIDROECOLOGICA DEL TERIBE </v>
      </c>
      <c r="D7" s="281" t="str">
        <f>ComEne26!D238</f>
        <v>H</v>
      </c>
      <c r="E7" s="1882"/>
      <c r="F7" s="1882"/>
      <c r="G7" s="282">
        <f>ComEne26!G238</f>
        <v>2.6669999999999998</v>
      </c>
      <c r="H7" s="282">
        <f>ComEne26!H238</f>
        <v>2.6669999999999998</v>
      </c>
      <c r="I7" s="282">
        <f>ComEne26!I238</f>
        <v>2.6669999999999998</v>
      </c>
      <c r="J7" s="282">
        <f>ComEne26!J238</f>
        <v>2.6669999999999998</v>
      </c>
      <c r="K7" s="282">
        <f>ComEne26!K238</f>
        <v>2.6669999999999998</v>
      </c>
      <c r="L7" s="282">
        <f>ComEne26!L238</f>
        <v>2.6669999999999998</v>
      </c>
      <c r="M7" s="283">
        <f t="shared" si="1"/>
        <v>2.6669999999999998</v>
      </c>
    </row>
    <row r="8" spans="2:13">
      <c r="B8" s="281" t="str">
        <f>ComEne26!B239</f>
        <v>DME-020-11</v>
      </c>
      <c r="C8" s="281" t="str">
        <f>ComEne26!C239</f>
        <v xml:space="preserve">ESEPSA </v>
      </c>
      <c r="D8" s="281" t="str">
        <f>ComEne26!D239</f>
        <v>H</v>
      </c>
      <c r="E8" s="1882"/>
      <c r="F8" s="1882"/>
      <c r="G8" s="282">
        <f>ComEne26!G239</f>
        <v>1.4615199999999999</v>
      </c>
      <c r="H8" s="282">
        <f>ComEne26!H239</f>
        <v>1.4615199999999999</v>
      </c>
      <c r="I8" s="282">
        <f>ComEne26!I239</f>
        <v>1.4615199999999999</v>
      </c>
      <c r="J8" s="282">
        <f>ComEne26!J239</f>
        <v>1.4615199999999999</v>
      </c>
      <c r="K8" s="282">
        <f>ComEne26!K239</f>
        <v>1.4615199999999999</v>
      </c>
      <c r="L8" s="282">
        <f>ComEne26!L239</f>
        <v>1.4615199999999999</v>
      </c>
      <c r="M8" s="283">
        <f t="shared" si="1"/>
        <v>1.4615199999999999</v>
      </c>
    </row>
    <row r="9" spans="2:13">
      <c r="B9" s="281" t="str">
        <f>ComEne26!B240</f>
        <v>DME-021-11</v>
      </c>
      <c r="C9" s="281" t="str">
        <f>ComEne26!C240</f>
        <v xml:space="preserve">PEDREGALITO </v>
      </c>
      <c r="D9" s="281" t="str">
        <f>ComEne26!D240</f>
        <v>H</v>
      </c>
      <c r="E9" s="1882"/>
      <c r="F9" s="1882"/>
      <c r="G9" s="282">
        <f>ComEne26!G240</f>
        <v>1.05026</v>
      </c>
      <c r="H9" s="282">
        <f>ComEne26!H240</f>
        <v>1.05026</v>
      </c>
      <c r="I9" s="282">
        <f>ComEne26!I240</f>
        <v>1.05026</v>
      </c>
      <c r="J9" s="282">
        <f>ComEne26!J240</f>
        <v>1.05026</v>
      </c>
      <c r="K9" s="282">
        <f>ComEne26!K240</f>
        <v>1.05026</v>
      </c>
      <c r="L9" s="282">
        <f>ComEne26!L240</f>
        <v>1.05026</v>
      </c>
      <c r="M9" s="283">
        <f t="shared" si="1"/>
        <v>1.05026</v>
      </c>
    </row>
    <row r="10" spans="2:13">
      <c r="B10" s="281" t="str">
        <f>ComEne26!B241</f>
        <v>DME-022-11</v>
      </c>
      <c r="C10" s="281" t="str">
        <f>ComEne26!C241</f>
        <v xml:space="preserve">CALDERA </v>
      </c>
      <c r="D10" s="281" t="str">
        <f>ComEne26!D241</f>
        <v>H</v>
      </c>
      <c r="E10" s="1882"/>
      <c r="F10" s="1882"/>
      <c r="G10" s="282">
        <f>ComEne26!G241</f>
        <v>0.80010000000000003</v>
      </c>
      <c r="H10" s="282">
        <f>ComEne26!H241</f>
        <v>0.80010000000000003</v>
      </c>
      <c r="I10" s="282">
        <f>ComEne26!I241</f>
        <v>0.80010000000000003</v>
      </c>
      <c r="J10" s="282">
        <f>ComEne26!J241</f>
        <v>0.80010000000000003</v>
      </c>
      <c r="K10" s="282">
        <f>ComEne26!K241</f>
        <v>0.80010000000000003</v>
      </c>
      <c r="L10" s="282">
        <f>ComEne26!L241</f>
        <v>0.80010000000000003</v>
      </c>
      <c r="M10" s="283">
        <f t="shared" si="1"/>
        <v>0.80010000000000014</v>
      </c>
    </row>
    <row r="11" spans="2:13">
      <c r="B11" s="281" t="str">
        <f>ComEne26!B242</f>
        <v>DME-023-11</v>
      </c>
      <c r="C11" s="281" t="str">
        <f>ComEne26!C242</f>
        <v xml:space="preserve">RIO CHICO </v>
      </c>
      <c r="D11" s="281" t="str">
        <f>ComEne26!D242</f>
        <v>H</v>
      </c>
      <c r="E11" s="1882"/>
      <c r="F11" s="1882"/>
      <c r="G11" s="282">
        <f>ComEne26!G242</f>
        <v>0.64407999999999999</v>
      </c>
      <c r="H11" s="282">
        <f>ComEne26!H242</f>
        <v>0.64407999999999999</v>
      </c>
      <c r="I11" s="282">
        <f>ComEne26!I242</f>
        <v>0.64407999999999999</v>
      </c>
      <c r="J11" s="282">
        <f>ComEne26!J242</f>
        <v>0.64407999999999999</v>
      </c>
      <c r="K11" s="282">
        <f>ComEne26!K242</f>
        <v>0.64407999999999999</v>
      </c>
      <c r="L11" s="282">
        <f>ComEne26!L242</f>
        <v>0.64407999999999999</v>
      </c>
      <c r="M11" s="283">
        <f t="shared" si="1"/>
        <v>0.64407999999999987</v>
      </c>
    </row>
    <row r="12" spans="2:13">
      <c r="B12" s="281" t="str">
        <f>ComEne26!B243</f>
        <v>DME-024-11</v>
      </c>
      <c r="C12" s="281" t="str">
        <f>ComEne26!C243</f>
        <v xml:space="preserve">ALTO VALLE </v>
      </c>
      <c r="D12" s="281" t="str">
        <f>ComEne26!D243</f>
        <v>H</v>
      </c>
      <c r="E12" s="1882"/>
      <c r="F12" s="1882"/>
      <c r="G12" s="282">
        <f>ComEne26!G243</f>
        <v>0.61287999999999998</v>
      </c>
      <c r="H12" s="282">
        <f>ComEne26!H243</f>
        <v>0.61287999999999998</v>
      </c>
      <c r="I12" s="282">
        <f>ComEne26!I243</f>
        <v>0.61287999999999998</v>
      </c>
      <c r="J12" s="282">
        <f>ComEne26!J243</f>
        <v>0.61287999999999998</v>
      </c>
      <c r="K12" s="282">
        <f>ComEne26!K243</f>
        <v>0.61287999999999998</v>
      </c>
      <c r="L12" s="282">
        <f>ComEne26!L243</f>
        <v>0.61287999999999998</v>
      </c>
      <c r="M12" s="283">
        <f t="shared" si="1"/>
        <v>0.61287999999999998</v>
      </c>
    </row>
    <row r="13" spans="2:13">
      <c r="B13" s="281" t="str">
        <f>ComEne26!B244</f>
        <v>DME-025-11</v>
      </c>
      <c r="C13" s="281" t="str">
        <f>ComEne26!C244</f>
        <v xml:space="preserve">DESARROLLO HIDRO CORP </v>
      </c>
      <c r="D13" s="281" t="str">
        <f>ComEne26!D244</f>
        <v>H</v>
      </c>
      <c r="E13" s="1882"/>
      <c r="F13" s="1882"/>
      <c r="G13" s="282">
        <f>ComEne26!G244</f>
        <v>0.50753000000000004</v>
      </c>
      <c r="H13" s="282">
        <f>ComEne26!H244</f>
        <v>0.50753000000000004</v>
      </c>
      <c r="I13" s="282">
        <f>ComEne26!I244</f>
        <v>0.50753000000000004</v>
      </c>
      <c r="J13" s="282">
        <f>ComEne26!J244</f>
        <v>0.50753000000000004</v>
      </c>
      <c r="K13" s="282">
        <f>ComEne26!K244</f>
        <v>0.50753000000000004</v>
      </c>
      <c r="L13" s="282">
        <f>ComEne26!L244</f>
        <v>0.50753000000000004</v>
      </c>
      <c r="M13" s="283">
        <f t="shared" si="1"/>
        <v>0.50753000000000004</v>
      </c>
    </row>
    <row r="14" spans="2:13">
      <c r="B14" s="281" t="str">
        <f>ComEne26!B245</f>
        <v>DME-026-11</v>
      </c>
      <c r="C14" s="281" t="str">
        <f>ComEne26!C245</f>
        <v xml:space="preserve">SAN LORENZO </v>
      </c>
      <c r="D14" s="281" t="str">
        <f>ComEne26!D245</f>
        <v>H</v>
      </c>
      <c r="E14" s="1882"/>
      <c r="F14" s="1882"/>
      <c r="G14" s="282">
        <f>ComEne26!G245</f>
        <v>0.35550999999999999</v>
      </c>
      <c r="H14" s="282">
        <f>ComEne26!H245</f>
        <v>0.35550999999999999</v>
      </c>
      <c r="I14" s="282">
        <f>ComEne26!I245</f>
        <v>0.35550999999999999</v>
      </c>
      <c r="J14" s="282">
        <f>ComEne26!J245</f>
        <v>0.35550999999999999</v>
      </c>
      <c r="K14" s="282">
        <f>ComEne26!K245</f>
        <v>0.35550999999999999</v>
      </c>
      <c r="L14" s="282">
        <f>ComEne26!L245</f>
        <v>0.35550999999999999</v>
      </c>
      <c r="M14" s="283">
        <f t="shared" si="1"/>
        <v>0.35550999999999999</v>
      </c>
    </row>
    <row r="15" spans="2:13">
      <c r="B15" s="281" t="str">
        <f>ComEne26!B246</f>
        <v>DME-027-11</v>
      </c>
      <c r="C15" s="281" t="str">
        <f>ComEne26!C246</f>
        <v xml:space="preserve">ELECTROGENERADORA ISTMO </v>
      </c>
      <c r="D15" s="281" t="str">
        <f>ComEne26!D246</f>
        <v>H</v>
      </c>
      <c r="E15" s="1882"/>
      <c r="F15" s="1882"/>
      <c r="G15" s="282">
        <f>ComEne26!G246</f>
        <v>0.33338000000000001</v>
      </c>
      <c r="H15" s="282">
        <f>ComEne26!H246</f>
        <v>0.33338000000000001</v>
      </c>
      <c r="I15" s="282">
        <f>ComEne26!I246</f>
        <v>0.33338000000000001</v>
      </c>
      <c r="J15" s="282">
        <f>ComEne26!J246</f>
        <v>0.33338000000000001</v>
      </c>
      <c r="K15" s="282">
        <f>ComEne26!K246</f>
        <v>0.33338000000000001</v>
      </c>
      <c r="L15" s="282">
        <f>ComEne26!L246</f>
        <v>0.33338000000000001</v>
      </c>
      <c r="M15" s="283">
        <f t="shared" si="1"/>
        <v>0.33338000000000001</v>
      </c>
    </row>
    <row r="16" spans="2:13">
      <c r="B16" s="281" t="str">
        <f>ComEne26!B247</f>
        <v>DME-062-12</v>
      </c>
      <c r="C16" s="281" t="str">
        <f>ComEne26!C247</f>
        <v>AES PANAMA (CHAN 2)</v>
      </c>
      <c r="D16" s="281" t="str">
        <f>ComEne26!D247</f>
        <v>H</v>
      </c>
      <c r="E16" s="1882"/>
      <c r="F16" s="1882"/>
      <c r="G16" s="282">
        <f>ComEne26!G247</f>
        <v>115.5</v>
      </c>
      <c r="H16" s="282">
        <f>ComEne26!H247</f>
        <v>115.5</v>
      </c>
      <c r="I16" s="282">
        <f>ComEne26!I247</f>
        <v>115.5</v>
      </c>
      <c r="J16" s="282">
        <f>ComEne26!J247</f>
        <v>115.5</v>
      </c>
      <c r="K16" s="282">
        <f>ComEne26!K247</f>
        <v>115.5</v>
      </c>
      <c r="L16" s="282">
        <f>ComEne26!L247</f>
        <v>115.5</v>
      </c>
      <c r="M16" s="283">
        <f t="shared" si="1"/>
        <v>115.5</v>
      </c>
    </row>
    <row r="17" spans="2:13">
      <c r="B17" s="281" t="str">
        <f>ComEne26!B248</f>
        <v>DME-063-12</v>
      </c>
      <c r="C17" s="281" t="str">
        <f>ComEne26!C248</f>
        <v>HIDRO PIEDRA</v>
      </c>
      <c r="D17" s="281" t="str">
        <f>ComEne26!D248</f>
        <v>H</v>
      </c>
      <c r="E17" s="1882"/>
      <c r="F17" s="1882"/>
      <c r="G17" s="282">
        <f>ComEne26!G248</f>
        <v>0.58940000000000003</v>
      </c>
      <c r="H17" s="282">
        <f>ComEne26!H248</f>
        <v>0.58940000000000003</v>
      </c>
      <c r="I17" s="282">
        <f>ComEne26!I248</f>
        <v>0.58940000000000003</v>
      </c>
      <c r="J17" s="282">
        <f>ComEne26!J248</f>
        <v>0.58940000000000003</v>
      </c>
      <c r="K17" s="282">
        <f>ComEne26!K248</f>
        <v>0.58940000000000003</v>
      </c>
      <c r="L17" s="282">
        <f>ComEne26!L248</f>
        <v>0.58940000000000003</v>
      </c>
      <c r="M17" s="283">
        <f t="shared" si="1"/>
        <v>0.58940000000000003</v>
      </c>
    </row>
    <row r="18" spans="2:13">
      <c r="B18" s="281" t="str">
        <f>ComEne26!B249</f>
        <v>DME-064-12</v>
      </c>
      <c r="C18" s="281" t="str">
        <f>ComEne26!C249</f>
        <v>CORPORACION ENERGIA DEL ISTMO</v>
      </c>
      <c r="D18" s="281" t="str">
        <f>ComEne26!D249</f>
        <v>H</v>
      </c>
      <c r="E18" s="1882"/>
      <c r="F18" s="1882"/>
      <c r="G18" s="282">
        <f>ComEne26!G249</f>
        <v>2.9073000000000002</v>
      </c>
      <c r="H18" s="282">
        <f>ComEne26!H249</f>
        <v>2.9073000000000002</v>
      </c>
      <c r="I18" s="282">
        <f>ComEne26!I249</f>
        <v>2.9073000000000002</v>
      </c>
      <c r="J18" s="282">
        <f>ComEne26!J249</f>
        <v>2.9073000000000002</v>
      </c>
      <c r="K18" s="282">
        <f>ComEne26!K249</f>
        <v>2.9073000000000002</v>
      </c>
      <c r="L18" s="282">
        <f>ComEne26!L249</f>
        <v>2.9073000000000002</v>
      </c>
      <c r="M18" s="283">
        <f t="shared" si="1"/>
        <v>2.9072999999999998</v>
      </c>
    </row>
    <row r="19" spans="2:13">
      <c r="B19" s="281" t="str">
        <f>ComEne26!B250</f>
        <v>DME-066-12</v>
      </c>
      <c r="C19" s="281" t="str">
        <f>ComEne26!C250</f>
        <v>SALTOS DE FRANCOLI</v>
      </c>
      <c r="D19" s="281" t="str">
        <f>ComEne26!D250</f>
        <v>H</v>
      </c>
      <c r="E19" s="1882"/>
      <c r="F19" s="1882"/>
      <c r="G19" s="282">
        <f>ComEne26!G250</f>
        <v>0.30420000000000003</v>
      </c>
      <c r="H19" s="282">
        <f>ComEne26!H250</f>
        <v>0.30420000000000003</v>
      </c>
      <c r="I19" s="282">
        <f>ComEne26!I250</f>
        <v>0.30420000000000003</v>
      </c>
      <c r="J19" s="282">
        <f>ComEne26!J250</f>
        <v>0.30420000000000003</v>
      </c>
      <c r="K19" s="282">
        <f>ComEne26!K250</f>
        <v>0.30420000000000003</v>
      </c>
      <c r="L19" s="282">
        <f>ComEne26!L250</f>
        <v>0.30420000000000003</v>
      </c>
      <c r="M19" s="283">
        <f t="shared" si="1"/>
        <v>0.30420000000000003</v>
      </c>
    </row>
    <row r="20" spans="2:13">
      <c r="B20" s="281" t="str">
        <f>ComEne26!B251</f>
        <v>DME-010-13</v>
      </c>
      <c r="C20" s="281" t="str">
        <f>ComEne26!C251</f>
        <v>Generadora Gatún (NG Power)</v>
      </c>
      <c r="D20" s="281" t="str">
        <f>ComEne26!D251</f>
        <v>Gas2</v>
      </c>
      <c r="E20" s="1882"/>
      <c r="F20" s="1882"/>
      <c r="G20" s="282">
        <f>ComEne26!G251</f>
        <v>160</v>
      </c>
      <c r="H20" s="282">
        <f>ComEne26!H251</f>
        <v>160</v>
      </c>
      <c r="I20" s="282">
        <f>ComEne26!I251</f>
        <v>160</v>
      </c>
      <c r="J20" s="282">
        <f>ComEne26!J251</f>
        <v>160</v>
      </c>
      <c r="K20" s="282">
        <f>ComEne26!K251</f>
        <v>160</v>
      </c>
      <c r="L20" s="282">
        <f>ComEne26!L251</f>
        <v>160</v>
      </c>
      <c r="M20" s="283">
        <f t="shared" si="1"/>
        <v>160</v>
      </c>
    </row>
    <row r="21" spans="2:13">
      <c r="B21" s="281" t="str">
        <f>ComEne26!B252</f>
        <v>DME-006-14</v>
      </c>
      <c r="C21" s="281" t="str">
        <f>ComEne26!C252</f>
        <v>Electron (SECCION)</v>
      </c>
      <c r="D21" s="281" t="str">
        <f>ComEne26!D252</f>
        <v>H3</v>
      </c>
      <c r="E21" s="1882"/>
      <c r="F21" s="1882"/>
      <c r="G21" s="282">
        <f>ComEne26!G252</f>
        <v>49.95</v>
      </c>
      <c r="H21" s="282">
        <f>ComEne26!H252</f>
        <v>49.95</v>
      </c>
      <c r="I21" s="282">
        <f>ComEne26!I252</f>
        <v>49.95</v>
      </c>
      <c r="J21" s="282">
        <f>ComEne26!J252</f>
        <v>49.95</v>
      </c>
      <c r="K21" s="282">
        <f>ComEne26!K252</f>
        <v>49.95</v>
      </c>
      <c r="L21" s="282">
        <f>ComEne26!L252</f>
        <v>49.95</v>
      </c>
      <c r="M21" s="283">
        <f t="shared" si="1"/>
        <v>49.949999999999996</v>
      </c>
    </row>
    <row r="22" spans="2:13">
      <c r="B22" s="281" t="str">
        <f>ComEne26!B253</f>
        <v>DME-004-15</v>
      </c>
      <c r="C22" s="281" t="str">
        <f>ComEne26!C253</f>
        <v>Gas Natural Atlántico</v>
      </c>
      <c r="D22" s="281" t="str">
        <f>ComEne26!D253</f>
        <v>Gas</v>
      </c>
      <c r="E22" s="1882"/>
      <c r="F22" s="1882"/>
      <c r="G22" s="282">
        <f>ComEne26!G253</f>
        <v>126</v>
      </c>
      <c r="H22" s="282">
        <f>ComEne26!H253</f>
        <v>126</v>
      </c>
      <c r="I22" s="282">
        <f>ComEne26!I253</f>
        <v>126</v>
      </c>
      <c r="J22" s="282">
        <f>ComEne26!J253</f>
        <v>126</v>
      </c>
      <c r="K22" s="282">
        <f>ComEne26!K253</f>
        <v>126</v>
      </c>
      <c r="L22" s="282">
        <f>ComEne26!L253</f>
        <v>126</v>
      </c>
      <c r="M22" s="283">
        <f t="shared" si="1"/>
        <v>126</v>
      </c>
    </row>
    <row r="23" spans="2:13">
      <c r="B23" s="281" t="str">
        <f>ComEne26!B254</f>
        <v>DME-005-15A</v>
      </c>
      <c r="C23" s="281" t="str">
        <f>ComEne26!C254</f>
        <v>ALTERNEGY ENMIIENDA 7</v>
      </c>
      <c r="D23" s="281" t="str">
        <f>ComEne26!D254</f>
        <v>H2</v>
      </c>
      <c r="E23" s="1882"/>
      <c r="F23" s="1882"/>
      <c r="G23" s="282">
        <f>ComEne26!G254</f>
        <v>126</v>
      </c>
      <c r="H23" s="282">
        <f>ComEne26!H254</f>
        <v>126</v>
      </c>
      <c r="I23" s="282">
        <f>ComEne26!I254</f>
        <v>126</v>
      </c>
      <c r="J23" s="282">
        <f>ComEne26!J254</f>
        <v>126</v>
      </c>
      <c r="K23" s="282">
        <f>ComEne26!K254</f>
        <v>126</v>
      </c>
      <c r="L23" s="282">
        <f>ComEne26!L254</f>
        <v>126</v>
      </c>
      <c r="M23" s="283">
        <f t="shared" si="1"/>
        <v>126</v>
      </c>
    </row>
    <row r="24" spans="2:13">
      <c r="B24" s="281" t="str">
        <f>ComEne26!B255</f>
        <v>DME-016-25</v>
      </c>
      <c r="C24" s="281" t="str">
        <f>ComEne26!C255</f>
        <v>Generadora del Istmo</v>
      </c>
      <c r="D24" s="281" t="str">
        <f>ComEne26!D255</f>
        <v>H SP</v>
      </c>
      <c r="E24" s="1882"/>
      <c r="F24" s="1882"/>
      <c r="G24" s="282">
        <f>ComEne26!G255</f>
        <v>8.7932000000000006</v>
      </c>
      <c r="H24" s="282">
        <f>ComEne26!H255</f>
        <v>8.3303999999999991</v>
      </c>
      <c r="I24" s="282">
        <f>ComEne26!I255</f>
        <v>8.2147000000000006</v>
      </c>
      <c r="J24" s="282">
        <f>ComEne26!J255</f>
        <v>8.4460999999999995</v>
      </c>
      <c r="K24" s="282">
        <f>ComEne26!K255</f>
        <v>0</v>
      </c>
      <c r="L24" s="282">
        <f>ComEne26!L255</f>
        <v>7.9832999999999998</v>
      </c>
      <c r="M24" s="283">
        <f t="shared" si="1"/>
        <v>6.9612833333333333</v>
      </c>
    </row>
    <row r="25" spans="2:13">
      <c r="B25" s="281" t="str">
        <f>ComEne26!B256</f>
        <v>DME-017-25</v>
      </c>
      <c r="C25" s="281" t="str">
        <f>ComEne26!C256</f>
        <v>Caldera Energy Corp</v>
      </c>
      <c r="D25" s="281" t="str">
        <f>ComEne26!D256</f>
        <v>H SP</v>
      </c>
      <c r="E25" s="1882"/>
      <c r="F25" s="1882"/>
      <c r="G25" s="282">
        <f>ComEne26!G256</f>
        <v>0.68400000000000005</v>
      </c>
      <c r="H25" s="282">
        <f>ComEne26!H256</f>
        <v>0.64800000000000002</v>
      </c>
      <c r="I25" s="282">
        <f>ComEne26!I256</f>
        <v>0.63900000000000001</v>
      </c>
      <c r="J25" s="282">
        <f>ComEne26!J256</f>
        <v>0.65700000000000003</v>
      </c>
      <c r="K25" s="282">
        <f>ComEne26!K256</f>
        <v>0.63</v>
      </c>
      <c r="L25" s="282">
        <f>ComEne26!L256</f>
        <v>0.621</v>
      </c>
      <c r="M25" s="283">
        <f t="shared" si="1"/>
        <v>0.64649999999999996</v>
      </c>
    </row>
    <row r="26" spans="2:13">
      <c r="B26" s="281" t="str">
        <f>ComEne26!B257</f>
        <v>DME-018-25</v>
      </c>
      <c r="C26" s="281" t="str">
        <f>ComEne26!C257</f>
        <v>Autoridad del Canal de Panamá</v>
      </c>
      <c r="D26" s="281" t="str">
        <f>ComEne26!D257</f>
        <v>T SP</v>
      </c>
      <c r="E26" s="1882"/>
      <c r="F26" s="1882"/>
      <c r="G26" s="282">
        <f>ComEne26!G257</f>
        <v>38</v>
      </c>
      <c r="H26" s="282">
        <f>ComEne26!H257</f>
        <v>36</v>
      </c>
      <c r="I26" s="282">
        <f>ComEne26!I257</f>
        <v>35.5</v>
      </c>
      <c r="J26" s="282">
        <f>ComEne26!J257</f>
        <v>36.5</v>
      </c>
      <c r="K26" s="282">
        <f>ComEne26!K257</f>
        <v>35</v>
      </c>
      <c r="L26" s="282">
        <f>ComEne26!L257</f>
        <v>34.5</v>
      </c>
      <c r="M26" s="283">
        <f t="shared" si="1"/>
        <v>35.916666666666664</v>
      </c>
    </row>
    <row r="27" spans="2:13">
      <c r="B27" s="281" t="str">
        <f>ComEne26!B258</f>
        <v>DME-019-25</v>
      </c>
      <c r="C27" s="281" t="str">
        <f>ComEne26!C258</f>
        <v>Hidroelectrica del Teribe</v>
      </c>
      <c r="D27" s="281" t="str">
        <f>ComEne26!D258</f>
        <v>H SP</v>
      </c>
      <c r="E27" s="1882"/>
      <c r="F27" s="1882"/>
      <c r="G27" s="282">
        <f>ComEne26!G258</f>
        <v>9.2872000000000003</v>
      </c>
      <c r="H27" s="282">
        <f>ComEne26!H258</f>
        <v>8.7984000000000009</v>
      </c>
      <c r="I27" s="282">
        <f>ComEne26!I258</f>
        <v>8.6761999999999997</v>
      </c>
      <c r="J27" s="282">
        <f>ComEne26!J258</f>
        <v>8.9206000000000003</v>
      </c>
      <c r="K27" s="282">
        <f>ComEne26!K258</f>
        <v>8.3789999999999996</v>
      </c>
      <c r="L27" s="282">
        <f>ComEne26!L258</f>
        <v>8.4318000000000008</v>
      </c>
      <c r="M27" s="283">
        <f t="shared" si="1"/>
        <v>8.7488666666666663</v>
      </c>
    </row>
    <row r="28" spans="2:13">
      <c r="B28" s="281" t="str">
        <f>ComEne26!B259</f>
        <v>DME-020-25</v>
      </c>
      <c r="C28" s="281" t="str">
        <f>ComEne26!C259</f>
        <v>Celsia Centroamérica</v>
      </c>
      <c r="D28" s="281" t="str">
        <f>ComEne26!D259</f>
        <v>T SP</v>
      </c>
      <c r="E28" s="1882"/>
      <c r="F28" s="1882"/>
      <c r="G28" s="282">
        <f>ComEne26!G259</f>
        <v>2.3408000000000002</v>
      </c>
      <c r="H28" s="282">
        <f>ComEne26!H259</f>
        <v>2.2176</v>
      </c>
      <c r="I28" s="282">
        <f>ComEne26!I259</f>
        <v>2.1867999999999999</v>
      </c>
      <c r="J28" s="282">
        <f>ComEne26!J259</f>
        <v>2.2484000000000002</v>
      </c>
      <c r="K28" s="282">
        <f>ComEne26!K259</f>
        <v>0</v>
      </c>
      <c r="L28" s="282">
        <f>ComEne26!L259</f>
        <v>2.1252</v>
      </c>
      <c r="M28" s="283">
        <f t="shared" si="1"/>
        <v>1.8531333333333333</v>
      </c>
    </row>
    <row r="29" spans="2:13">
      <c r="B29" s="281" t="str">
        <f>ComEne26!B260</f>
        <v>DME-021-25</v>
      </c>
      <c r="C29" s="281" t="str">
        <f>ComEne26!C260</f>
        <v>FOUNTAIN HYDRO POWER, CORP</v>
      </c>
      <c r="D29" s="281" t="str">
        <f>ComEne26!D260</f>
        <v>H SP</v>
      </c>
      <c r="E29" s="1882"/>
      <c r="F29" s="1882"/>
      <c r="G29" s="282">
        <f>ComEne26!G260</f>
        <v>14.44</v>
      </c>
      <c r="H29" s="282">
        <f>ComEne26!H260</f>
        <v>13.68</v>
      </c>
      <c r="I29" s="282">
        <f>ComEne26!I260</f>
        <v>13.49</v>
      </c>
      <c r="J29" s="282">
        <f>ComEne26!J260</f>
        <v>13.87</v>
      </c>
      <c r="K29" s="282">
        <f>ComEne26!K260</f>
        <v>13.3</v>
      </c>
      <c r="L29" s="282">
        <f>ComEne26!L260</f>
        <v>13.11</v>
      </c>
      <c r="M29" s="283">
        <f t="shared" si="1"/>
        <v>13.648333333333333</v>
      </c>
    </row>
    <row r="30" spans="2:13">
      <c r="B30" s="281" t="str">
        <f>ComEne26!B261</f>
        <v>DME-022-25</v>
      </c>
      <c r="C30" s="281" t="str">
        <f>ComEne26!C261</f>
        <v>Generadora del Atlántico</v>
      </c>
      <c r="D30" s="281" t="str">
        <f>ComEne26!D261</f>
        <v>T SP</v>
      </c>
      <c r="E30" s="1882"/>
      <c r="F30" s="1882"/>
      <c r="G30" s="282">
        <f>ComEne26!G261</f>
        <v>15.2</v>
      </c>
      <c r="H30" s="282">
        <f>ComEne26!H261</f>
        <v>14.4</v>
      </c>
      <c r="I30" s="282">
        <f>ComEne26!I261</f>
        <v>14.2</v>
      </c>
      <c r="J30" s="282">
        <f>ComEne26!J261</f>
        <v>14.6</v>
      </c>
      <c r="K30" s="282">
        <f>ComEne26!K261</f>
        <v>14</v>
      </c>
      <c r="L30" s="282">
        <f>ComEne26!L261</f>
        <v>13.8</v>
      </c>
      <c r="M30" s="283">
        <f t="shared" si="1"/>
        <v>14.366666666666667</v>
      </c>
    </row>
    <row r="31" spans="2:13">
      <c r="B31" s="281" t="str">
        <f>ComEne26!B262</f>
        <v>DME-023-25</v>
      </c>
      <c r="C31" s="281" t="str">
        <f>ComEne26!C262</f>
        <v>Generadora del Atlántico</v>
      </c>
      <c r="D31" s="281" t="str">
        <f>ComEne26!D262</f>
        <v>T SP</v>
      </c>
      <c r="E31" s="1882"/>
      <c r="F31" s="1882"/>
      <c r="G31" s="282">
        <f>ComEne26!G262</f>
        <v>87.4</v>
      </c>
      <c r="H31" s="282">
        <f>ComEne26!H262</f>
        <v>82.8</v>
      </c>
      <c r="I31" s="282">
        <f>ComEne26!I262</f>
        <v>81.650000000000006</v>
      </c>
      <c r="J31" s="282">
        <f>ComEne26!J262</f>
        <v>83.95</v>
      </c>
      <c r="K31" s="282">
        <f>ComEne26!K262</f>
        <v>80.5</v>
      </c>
      <c r="L31" s="282">
        <f>ComEne26!L262</f>
        <v>79.349999999999994</v>
      </c>
      <c r="M31" s="283">
        <f t="shared" si="1"/>
        <v>82.608333333333334</v>
      </c>
    </row>
    <row r="32" spans="2:13">
      <c r="B32" s="281" t="str">
        <f>ComEne26!B263</f>
        <v>DME-024-25</v>
      </c>
      <c r="C32" s="281" t="str">
        <f>ComEne26!C263</f>
        <v>HIDRO PANAMÁ</v>
      </c>
      <c r="D32" s="281" t="str">
        <f>ComEne26!D263</f>
        <v>H SP</v>
      </c>
      <c r="E32" s="1882"/>
      <c r="F32" s="1882"/>
      <c r="G32" s="282">
        <f>ComEne26!G263</f>
        <v>0.56240000000000001</v>
      </c>
      <c r="H32" s="282">
        <f>ComEne26!H263</f>
        <v>0.53280000000000005</v>
      </c>
      <c r="I32" s="282">
        <f>ComEne26!I263</f>
        <v>0.52539999999999998</v>
      </c>
      <c r="J32" s="282">
        <f>ComEne26!J263</f>
        <v>0.54020000000000001</v>
      </c>
      <c r="K32" s="282">
        <f>ComEne26!K263</f>
        <v>0</v>
      </c>
      <c r="L32" s="282">
        <f>ComEne26!L263</f>
        <v>0.51060000000000005</v>
      </c>
      <c r="M32" s="283">
        <f t="shared" si="1"/>
        <v>0.44523333333333337</v>
      </c>
    </row>
    <row r="33" spans="2:13">
      <c r="B33" s="281"/>
      <c r="C33" s="284"/>
      <c r="D33" s="281"/>
      <c r="E33" s="1882"/>
      <c r="F33" s="1882"/>
      <c r="G33" s="282"/>
      <c r="H33" s="282"/>
      <c r="I33" s="282"/>
      <c r="J33" s="282"/>
      <c r="K33" s="282"/>
      <c r="L33" s="282"/>
      <c r="M33" s="283"/>
    </row>
    <row r="34" spans="2:13">
      <c r="B34" s="285"/>
      <c r="C34" s="286" t="s">
        <v>401</v>
      </c>
      <c r="D34" s="285"/>
      <c r="E34" s="1883"/>
      <c r="F34" s="1883"/>
      <c r="G34" s="287">
        <f t="shared" ref="G34:M34" si="2">SUM(G5:G33)</f>
        <v>778.86374000000001</v>
      </c>
      <c r="H34" s="287">
        <f t="shared" si="2"/>
        <v>769.56333999999993</v>
      </c>
      <c r="I34" s="287">
        <f t="shared" si="2"/>
        <v>767.23824000000002</v>
      </c>
      <c r="J34" s="287">
        <f t="shared" si="2"/>
        <v>771.88844000000017</v>
      </c>
      <c r="K34" s="287">
        <f t="shared" si="2"/>
        <v>753.96514000000002</v>
      </c>
      <c r="L34" s="287">
        <f t="shared" si="2"/>
        <v>762.58803999999986</v>
      </c>
      <c r="M34" s="287">
        <f t="shared" si="2"/>
        <v>767.35115666666661</v>
      </c>
    </row>
    <row r="35" spans="2:13">
      <c r="B35" s="281" t="s">
        <v>825</v>
      </c>
      <c r="C35" s="281" t="s">
        <v>1002</v>
      </c>
      <c r="D35" s="281" t="s">
        <v>1090</v>
      </c>
      <c r="E35" s="1882"/>
      <c r="F35" s="1882"/>
      <c r="G35" s="282">
        <f>ComEne26!G266</f>
        <v>5.5</v>
      </c>
      <c r="H35" s="282">
        <f>ComEne26!H266</f>
        <v>5.5</v>
      </c>
      <c r="I35" s="282">
        <f>ComEne26!I266</f>
        <v>5.5</v>
      </c>
      <c r="J35" s="282">
        <f>ComEne26!J266</f>
        <v>5.5</v>
      </c>
      <c r="K35" s="282">
        <f>ComEne26!K266</f>
        <v>5.5</v>
      </c>
      <c r="L35" s="282">
        <f>ComEne26!L266</f>
        <v>5.5</v>
      </c>
      <c r="M35" s="283">
        <f>AVERAGE(G35:L35)</f>
        <v>5.5</v>
      </c>
    </row>
    <row r="36" spans="2:13">
      <c r="B36" s="281" t="s">
        <v>897</v>
      </c>
      <c r="C36" s="281" t="s">
        <v>1003</v>
      </c>
      <c r="D36" s="281" t="s">
        <v>1090</v>
      </c>
      <c r="E36" s="1882"/>
      <c r="F36" s="1882"/>
      <c r="G36" s="282">
        <f>ComEne26!G267</f>
        <v>22.62</v>
      </c>
      <c r="H36" s="282">
        <f>ComEne26!H267</f>
        <v>22.62</v>
      </c>
      <c r="I36" s="282">
        <f>ComEne26!I267</f>
        <v>22.62</v>
      </c>
      <c r="J36" s="282">
        <f>ComEne26!J267</f>
        <v>22.62</v>
      </c>
      <c r="K36" s="282">
        <f>ComEne26!K267</f>
        <v>22.62</v>
      </c>
      <c r="L36" s="282">
        <f>ComEne26!L267</f>
        <v>22.62</v>
      </c>
      <c r="M36" s="283">
        <f>AVERAGE(G36:L36)</f>
        <v>22.62</v>
      </c>
    </row>
    <row r="37" spans="2:13">
      <c r="B37" s="281"/>
      <c r="C37" s="284"/>
      <c r="D37" s="281"/>
      <c r="E37" s="1882"/>
      <c r="F37" s="1882"/>
      <c r="G37" s="282"/>
      <c r="H37" s="282"/>
      <c r="I37" s="282"/>
      <c r="J37" s="282"/>
      <c r="K37" s="282"/>
      <c r="L37" s="282"/>
      <c r="M37" s="283"/>
    </row>
    <row r="38" spans="2:13">
      <c r="B38" s="286"/>
      <c r="C38" s="286" t="s">
        <v>182</v>
      </c>
      <c r="D38" s="286"/>
      <c r="E38" s="1891"/>
      <c r="F38" s="1891"/>
      <c r="G38" s="287">
        <f t="shared" ref="G38:M38" si="3">SUM(G34:G37)</f>
        <v>806.98374000000001</v>
      </c>
      <c r="H38" s="287">
        <f t="shared" si="3"/>
        <v>797.68333999999993</v>
      </c>
      <c r="I38" s="287">
        <f t="shared" si="3"/>
        <v>795.35824000000002</v>
      </c>
      <c r="J38" s="287">
        <f t="shared" si="3"/>
        <v>800.00844000000018</v>
      </c>
      <c r="K38" s="287">
        <f t="shared" si="3"/>
        <v>782.08514000000002</v>
      </c>
      <c r="L38" s="287">
        <f t="shared" si="3"/>
        <v>790.70803999999987</v>
      </c>
      <c r="M38" s="287">
        <f t="shared" si="3"/>
        <v>795.47115666666662</v>
      </c>
    </row>
    <row r="39" spans="2:13">
      <c r="B39" s="281" t="s">
        <v>1014</v>
      </c>
      <c r="C39" s="281" t="s">
        <v>604</v>
      </c>
      <c r="D39" s="281" t="s">
        <v>389</v>
      </c>
      <c r="E39" s="1882"/>
      <c r="F39" s="1882"/>
      <c r="G39" s="282">
        <f>ComEne26!G265</f>
        <v>0</v>
      </c>
      <c r="H39" s="282">
        <f>ComEne26!H265</f>
        <v>0</v>
      </c>
      <c r="I39" s="282">
        <f>ComEne26!I265</f>
        <v>0</v>
      </c>
      <c r="J39" s="282">
        <f>ComEne26!J265</f>
        <v>0</v>
      </c>
      <c r="K39" s="282">
        <f>ComEne26!K265</f>
        <v>0</v>
      </c>
      <c r="L39" s="282">
        <f>ComEne26!L265</f>
        <v>0</v>
      </c>
      <c r="M39" s="283">
        <f>AVERAGE(G39:L39)</f>
        <v>0</v>
      </c>
    </row>
    <row r="40" spans="2:13">
      <c r="B40" s="281"/>
      <c r="C40" s="281"/>
      <c r="D40" s="281"/>
      <c r="E40" s="1882"/>
      <c r="F40" s="1882"/>
      <c r="G40" s="282"/>
      <c r="H40" s="282"/>
      <c r="I40" s="282"/>
      <c r="J40" s="282"/>
      <c r="K40" s="282"/>
      <c r="L40" s="282"/>
      <c r="M40" s="283"/>
    </row>
    <row r="41" spans="2:13">
      <c r="B41" s="288"/>
      <c r="C41" s="288" t="s">
        <v>245</v>
      </c>
      <c r="D41" s="288"/>
      <c r="E41" s="1892"/>
      <c r="F41" s="1892"/>
      <c r="G41" s="287">
        <f t="shared" ref="G41:M41" si="4">SUM(G38:G40)</f>
        <v>806.98374000000001</v>
      </c>
      <c r="H41" s="287">
        <f t="shared" si="4"/>
        <v>797.68333999999993</v>
      </c>
      <c r="I41" s="287">
        <f t="shared" si="4"/>
        <v>795.35824000000002</v>
      </c>
      <c r="J41" s="287">
        <f t="shared" si="4"/>
        <v>800.00844000000018</v>
      </c>
      <c r="K41" s="287">
        <f t="shared" si="4"/>
        <v>782.08514000000002</v>
      </c>
      <c r="L41" s="287">
        <f t="shared" si="4"/>
        <v>790.70803999999987</v>
      </c>
      <c r="M41" s="287">
        <f t="shared" si="4"/>
        <v>795.47115666666662</v>
      </c>
    </row>
    <row r="42" spans="2:13">
      <c r="B42" s="289"/>
      <c r="C42" s="289" t="s">
        <v>320</v>
      </c>
      <c r="D42" s="289"/>
      <c r="E42" s="1884"/>
      <c r="F42" s="1884"/>
      <c r="G42" s="290"/>
      <c r="H42" s="290"/>
      <c r="I42" s="290"/>
      <c r="J42" s="290"/>
      <c r="K42" s="290"/>
      <c r="L42" s="290"/>
      <c r="M42" s="291"/>
    </row>
    <row r="43" spans="2:13">
      <c r="B43" s="286"/>
      <c r="C43" s="286" t="s">
        <v>104</v>
      </c>
      <c r="D43" s="286"/>
      <c r="E43" s="1891"/>
      <c r="F43" s="1891"/>
      <c r="G43" s="287">
        <f t="shared" ref="G43:M43" si="5">SUM(G41:G42)</f>
        <v>806.98374000000001</v>
      </c>
      <c r="H43" s="287">
        <f t="shared" si="5"/>
        <v>797.68333999999993</v>
      </c>
      <c r="I43" s="287">
        <f t="shared" si="5"/>
        <v>795.35824000000002</v>
      </c>
      <c r="J43" s="287">
        <f t="shared" si="5"/>
        <v>800.00844000000018</v>
      </c>
      <c r="K43" s="287">
        <f t="shared" si="5"/>
        <v>782.08514000000002</v>
      </c>
      <c r="L43" s="287">
        <f t="shared" si="5"/>
        <v>790.70803999999987</v>
      </c>
      <c r="M43" s="287">
        <f t="shared" si="5"/>
        <v>795.47115666666662</v>
      </c>
    </row>
    <row r="44" spans="2:13">
      <c r="B44" s="955"/>
      <c r="C44" s="955"/>
      <c r="D44" s="955"/>
      <c r="G44" s="1897">
        <f>ComEne26!G312-G43</f>
        <v>0</v>
      </c>
      <c r="H44" s="1897">
        <f>ComEne26!H312-H43</f>
        <v>0</v>
      </c>
      <c r="I44" s="1897">
        <f>ComEne26!I312-I43</f>
        <v>0</v>
      </c>
      <c r="J44" s="1897">
        <f>ComEne26!J312-J43</f>
        <v>0</v>
      </c>
      <c r="K44" s="1897">
        <f>ComEne26!K312-K43</f>
        <v>0</v>
      </c>
      <c r="L44" s="1897">
        <f>ComEne26!L312-L43</f>
        <v>0</v>
      </c>
      <c r="M44" s="1897">
        <f>ComEne26!M312-M43</f>
        <v>0</v>
      </c>
    </row>
    <row r="45" spans="2:13">
      <c r="G45" s="956"/>
      <c r="H45" s="956"/>
      <c r="I45" s="956"/>
      <c r="J45" s="956"/>
      <c r="K45" s="956"/>
      <c r="L45" s="956"/>
    </row>
    <row r="46" spans="2:13" ht="30">
      <c r="B46" s="953"/>
      <c r="C46" s="953" t="s">
        <v>15</v>
      </c>
      <c r="D46" s="953"/>
      <c r="E46" s="1893"/>
      <c r="F46" s="1893"/>
      <c r="G46" s="954" t="s">
        <v>105</v>
      </c>
      <c r="H46" s="954"/>
      <c r="I46" s="954"/>
      <c r="J46" s="954"/>
      <c r="K46" s="954"/>
      <c r="L46" s="954"/>
      <c r="M46" s="954"/>
    </row>
    <row r="47" spans="2:13">
      <c r="B47" s="278"/>
      <c r="C47" s="278" t="s">
        <v>137</v>
      </c>
      <c r="D47" s="278"/>
      <c r="E47" s="1881"/>
      <c r="F47" s="1881"/>
      <c r="G47" s="280">
        <f t="shared" ref="G47:L47" si="6">G$4</f>
        <v>46204</v>
      </c>
      <c r="H47" s="280">
        <f t="shared" si="6"/>
        <v>46235</v>
      </c>
      <c r="I47" s="280">
        <f t="shared" si="6"/>
        <v>46266</v>
      </c>
      <c r="J47" s="280">
        <f t="shared" si="6"/>
        <v>46296</v>
      </c>
      <c r="K47" s="280">
        <f t="shared" si="6"/>
        <v>46327</v>
      </c>
      <c r="L47" s="280">
        <f t="shared" si="6"/>
        <v>46357</v>
      </c>
      <c r="M47" s="280" t="s">
        <v>154</v>
      </c>
    </row>
    <row r="48" spans="2:13">
      <c r="B48" s="281" t="str">
        <f t="shared" ref="B48:D70" si="7">B5</f>
        <v>DME-011-08</v>
      </c>
      <c r="C48" s="281" t="str">
        <f t="shared" si="7"/>
        <v>ELECTRO INVEST. - ENMIENDA 5</v>
      </c>
      <c r="D48" s="281" t="str">
        <f t="shared" si="7"/>
        <v>H</v>
      </c>
      <c r="E48" s="1882"/>
      <c r="F48" s="1882"/>
      <c r="G48" s="282">
        <f t="shared" ref="G48:L57" si="8">IF(G5=0,0,SUMIF($B$88:$B$128,$B48,G$88:G$128)/SUMIF($B$5:$B$43,$B48,G$5:G$43)/1000)</f>
        <v>15.000000000000004</v>
      </c>
      <c r="H48" s="282">
        <f t="shared" si="8"/>
        <v>15.000000000000004</v>
      </c>
      <c r="I48" s="282">
        <f t="shared" si="8"/>
        <v>15.000000000000004</v>
      </c>
      <c r="J48" s="282">
        <f t="shared" si="8"/>
        <v>15.000000000000004</v>
      </c>
      <c r="K48" s="282">
        <f t="shared" si="8"/>
        <v>15.000000000000004</v>
      </c>
      <c r="L48" s="282">
        <f t="shared" si="8"/>
        <v>15.000000000000004</v>
      </c>
      <c r="M48" s="283">
        <f t="shared" ref="M48" si="9">AVERAGE(G48:L48)</f>
        <v>15.000000000000002</v>
      </c>
    </row>
    <row r="49" spans="2:13">
      <c r="B49" s="281" t="str">
        <f t="shared" si="7"/>
        <v>DME-016-11</v>
      </c>
      <c r="C49" s="281" t="str">
        <f t="shared" si="7"/>
        <v>FORTUNA</v>
      </c>
      <c r="D49" s="281" t="str">
        <f t="shared" si="7"/>
        <v>H</v>
      </c>
      <c r="E49" s="1882"/>
      <c r="F49" s="1882"/>
      <c r="G49" s="282">
        <f t="shared" si="8"/>
        <v>8.7041667958003188</v>
      </c>
      <c r="H49" s="282">
        <f t="shared" si="8"/>
        <v>8.7041667958003188</v>
      </c>
      <c r="I49" s="282">
        <f t="shared" si="8"/>
        <v>8.7041667958003188</v>
      </c>
      <c r="J49" s="282">
        <f t="shared" si="8"/>
        <v>8.7041667958003188</v>
      </c>
      <c r="K49" s="282">
        <f t="shared" si="8"/>
        <v>8.7041667958003188</v>
      </c>
      <c r="L49" s="282">
        <f t="shared" si="8"/>
        <v>8.7041667958003188</v>
      </c>
      <c r="M49" s="283">
        <f t="shared" ref="M49:M70" si="10">AVERAGE(G49:L49)</f>
        <v>8.7041667958003188</v>
      </c>
    </row>
    <row r="50" spans="2:13">
      <c r="B50" s="281" t="str">
        <f t="shared" si="7"/>
        <v>DME-018-11</v>
      </c>
      <c r="C50" s="281" t="str">
        <f t="shared" si="7"/>
        <v xml:space="preserve">HIDROECOLOGICA DEL TERIBE </v>
      </c>
      <c r="D50" s="281" t="str">
        <f t="shared" si="7"/>
        <v>H</v>
      </c>
      <c r="E50" s="1882"/>
      <c r="F50" s="1882"/>
      <c r="G50" s="282">
        <f t="shared" si="8"/>
        <v>8.5</v>
      </c>
      <c r="H50" s="282">
        <f t="shared" si="8"/>
        <v>8.5</v>
      </c>
      <c r="I50" s="282">
        <f t="shared" si="8"/>
        <v>8.5</v>
      </c>
      <c r="J50" s="282">
        <f t="shared" si="8"/>
        <v>8.5</v>
      </c>
      <c r="K50" s="282">
        <f t="shared" si="8"/>
        <v>8.5</v>
      </c>
      <c r="L50" s="282">
        <f t="shared" si="8"/>
        <v>8.5</v>
      </c>
      <c r="M50" s="283">
        <f t="shared" si="10"/>
        <v>8.5</v>
      </c>
    </row>
    <row r="51" spans="2:13">
      <c r="B51" s="281" t="str">
        <f t="shared" si="7"/>
        <v>DME-020-11</v>
      </c>
      <c r="C51" s="281" t="str">
        <f t="shared" si="7"/>
        <v xml:space="preserve">ESEPSA </v>
      </c>
      <c r="D51" s="281" t="str">
        <f t="shared" si="7"/>
        <v>H</v>
      </c>
      <c r="E51" s="1882"/>
      <c r="F51" s="1882"/>
      <c r="G51" s="282">
        <f t="shared" si="8"/>
        <v>11.916666666666664</v>
      </c>
      <c r="H51" s="282">
        <f t="shared" si="8"/>
        <v>11.916666666666664</v>
      </c>
      <c r="I51" s="282">
        <f t="shared" si="8"/>
        <v>11.916666666666664</v>
      </c>
      <c r="J51" s="282">
        <f t="shared" si="8"/>
        <v>11.916666666666664</v>
      </c>
      <c r="K51" s="282">
        <f t="shared" si="8"/>
        <v>11.916666666666664</v>
      </c>
      <c r="L51" s="282">
        <f t="shared" si="8"/>
        <v>11.916666666666664</v>
      </c>
      <c r="M51" s="283">
        <f t="shared" si="10"/>
        <v>11.916666666666664</v>
      </c>
    </row>
    <row r="52" spans="2:13">
      <c r="B52" s="281" t="str">
        <f t="shared" si="7"/>
        <v>DME-021-11</v>
      </c>
      <c r="C52" s="281" t="str">
        <f t="shared" si="7"/>
        <v xml:space="preserve">PEDREGALITO </v>
      </c>
      <c r="D52" s="281" t="str">
        <f t="shared" si="7"/>
        <v>H</v>
      </c>
      <c r="E52" s="1882"/>
      <c r="F52" s="1882"/>
      <c r="G52" s="282">
        <f t="shared" si="8"/>
        <v>30.724998302935756</v>
      </c>
      <c r="H52" s="282">
        <f t="shared" si="8"/>
        <v>30.724998302935756</v>
      </c>
      <c r="I52" s="282">
        <f t="shared" si="8"/>
        <v>30.724998302935756</v>
      </c>
      <c r="J52" s="282">
        <f t="shared" si="8"/>
        <v>30.724998302935756</v>
      </c>
      <c r="K52" s="282">
        <f t="shared" si="8"/>
        <v>30.724998302935756</v>
      </c>
      <c r="L52" s="282">
        <f t="shared" si="8"/>
        <v>30.724998302935756</v>
      </c>
      <c r="M52" s="283">
        <f t="shared" si="10"/>
        <v>30.724998302935756</v>
      </c>
    </row>
    <row r="53" spans="2:13">
      <c r="B53" s="281" t="str">
        <f t="shared" si="7"/>
        <v>DME-022-11</v>
      </c>
      <c r="C53" s="281" t="str">
        <f t="shared" si="7"/>
        <v xml:space="preserve">CALDERA </v>
      </c>
      <c r="D53" s="281" t="str">
        <f t="shared" si="7"/>
        <v>H</v>
      </c>
      <c r="E53" s="1882"/>
      <c r="F53" s="1882"/>
      <c r="G53" s="282">
        <f t="shared" si="8"/>
        <v>26.735529517143689</v>
      </c>
      <c r="H53" s="282">
        <f t="shared" si="8"/>
        <v>26.735529517143689</v>
      </c>
      <c r="I53" s="282">
        <f t="shared" si="8"/>
        <v>26.735529517143689</v>
      </c>
      <c r="J53" s="282">
        <f t="shared" si="8"/>
        <v>26.735529517143689</v>
      </c>
      <c r="K53" s="282">
        <f t="shared" si="8"/>
        <v>26.735529517143689</v>
      </c>
      <c r="L53" s="282">
        <f t="shared" si="8"/>
        <v>26.735529517143689</v>
      </c>
      <c r="M53" s="283">
        <f t="shared" si="10"/>
        <v>26.735529517143686</v>
      </c>
    </row>
    <row r="54" spans="2:13">
      <c r="B54" s="281" t="str">
        <f t="shared" si="7"/>
        <v>DME-023-11</v>
      </c>
      <c r="C54" s="281" t="str">
        <f t="shared" si="7"/>
        <v xml:space="preserve">RIO CHICO </v>
      </c>
      <c r="D54" s="281" t="str">
        <f t="shared" si="7"/>
        <v>H</v>
      </c>
      <c r="E54" s="1882"/>
      <c r="F54" s="1882"/>
      <c r="G54" s="282">
        <f t="shared" si="8"/>
        <v>30.725024441837622</v>
      </c>
      <c r="H54" s="282">
        <f t="shared" si="8"/>
        <v>30.725024441837622</v>
      </c>
      <c r="I54" s="282">
        <f t="shared" si="8"/>
        <v>30.725024441837622</v>
      </c>
      <c r="J54" s="282">
        <f t="shared" si="8"/>
        <v>30.725024441837622</v>
      </c>
      <c r="K54" s="282">
        <f t="shared" si="8"/>
        <v>30.725024441837622</v>
      </c>
      <c r="L54" s="282">
        <f t="shared" si="8"/>
        <v>30.725024441837622</v>
      </c>
      <c r="M54" s="283">
        <f t="shared" si="10"/>
        <v>30.725024441837622</v>
      </c>
    </row>
    <row r="55" spans="2:13">
      <c r="B55" s="281" t="str">
        <f t="shared" si="7"/>
        <v>DME-024-11</v>
      </c>
      <c r="C55" s="281" t="str">
        <f t="shared" si="7"/>
        <v xml:space="preserve">ALTO VALLE </v>
      </c>
      <c r="D55" s="281" t="str">
        <f t="shared" si="7"/>
        <v>H</v>
      </c>
      <c r="E55" s="1882"/>
      <c r="F55" s="1882"/>
      <c r="G55" s="282">
        <f t="shared" si="8"/>
        <v>30.731798775181652</v>
      </c>
      <c r="H55" s="282">
        <f t="shared" si="8"/>
        <v>30.731798775181652</v>
      </c>
      <c r="I55" s="282">
        <f t="shared" si="8"/>
        <v>30.731798775181652</v>
      </c>
      <c r="J55" s="282">
        <f t="shared" si="8"/>
        <v>30.731798775181652</v>
      </c>
      <c r="K55" s="282">
        <f t="shared" si="8"/>
        <v>30.731798775181652</v>
      </c>
      <c r="L55" s="282">
        <f t="shared" si="8"/>
        <v>30.731798775181652</v>
      </c>
      <c r="M55" s="283">
        <f t="shared" si="10"/>
        <v>30.731798775181655</v>
      </c>
    </row>
    <row r="56" spans="2:13">
      <c r="B56" s="281" t="str">
        <f t="shared" si="7"/>
        <v>DME-025-11</v>
      </c>
      <c r="C56" s="281" t="str">
        <f t="shared" si="7"/>
        <v xml:space="preserve">DESARROLLO HIDRO CORP </v>
      </c>
      <c r="D56" s="281" t="str">
        <f t="shared" si="7"/>
        <v>H</v>
      </c>
      <c r="E56" s="1882"/>
      <c r="F56" s="1882"/>
      <c r="G56" s="282">
        <f t="shared" si="8"/>
        <v>10.349999999999998</v>
      </c>
      <c r="H56" s="282">
        <f t="shared" si="8"/>
        <v>10.349999999999998</v>
      </c>
      <c r="I56" s="282">
        <f t="shared" si="8"/>
        <v>10.349999999999998</v>
      </c>
      <c r="J56" s="282">
        <f t="shared" si="8"/>
        <v>10.349999999999998</v>
      </c>
      <c r="K56" s="282">
        <f t="shared" si="8"/>
        <v>10.349999999999998</v>
      </c>
      <c r="L56" s="282">
        <f t="shared" si="8"/>
        <v>10.349999999999998</v>
      </c>
      <c r="M56" s="283">
        <f t="shared" si="10"/>
        <v>10.349999999999996</v>
      </c>
    </row>
    <row r="57" spans="2:13">
      <c r="B57" s="281" t="str">
        <f t="shared" si="7"/>
        <v>DME-026-11</v>
      </c>
      <c r="C57" s="281" t="str">
        <f t="shared" si="7"/>
        <v xml:space="preserve">SAN LORENZO </v>
      </c>
      <c r="D57" s="281" t="str">
        <f t="shared" si="7"/>
        <v>H</v>
      </c>
      <c r="E57" s="1882"/>
      <c r="F57" s="1882"/>
      <c r="G57" s="282">
        <f t="shared" si="8"/>
        <v>15.000000000000002</v>
      </c>
      <c r="H57" s="282">
        <f t="shared" si="8"/>
        <v>15.000000000000002</v>
      </c>
      <c r="I57" s="282">
        <f t="shared" si="8"/>
        <v>15.000000000000002</v>
      </c>
      <c r="J57" s="282">
        <f t="shared" si="8"/>
        <v>15.000000000000002</v>
      </c>
      <c r="K57" s="282">
        <f t="shared" si="8"/>
        <v>15.000000000000002</v>
      </c>
      <c r="L57" s="282">
        <f t="shared" si="8"/>
        <v>15.000000000000002</v>
      </c>
      <c r="M57" s="283">
        <f t="shared" si="10"/>
        <v>15.000000000000002</v>
      </c>
    </row>
    <row r="58" spans="2:13">
      <c r="B58" s="281" t="str">
        <f t="shared" si="7"/>
        <v>DME-027-11</v>
      </c>
      <c r="C58" s="281" t="str">
        <f t="shared" si="7"/>
        <v xml:space="preserve">ELECTROGENERADORA ISTMO </v>
      </c>
      <c r="D58" s="281" t="str">
        <f t="shared" si="7"/>
        <v>H</v>
      </c>
      <c r="E58" s="1882"/>
      <c r="F58" s="1882"/>
      <c r="G58" s="282">
        <f t="shared" ref="G58:L67" si="11">IF(G15=0,0,SUMIF($B$88:$B$128,$B58,G$88:G$128)/SUMIF($B$5:$B$43,$B58,G$5:G$43)/1000)</f>
        <v>25.603335633011383</v>
      </c>
      <c r="H58" s="282">
        <f t="shared" si="11"/>
        <v>25.603335633011383</v>
      </c>
      <c r="I58" s="282">
        <f t="shared" si="11"/>
        <v>25.603335633011383</v>
      </c>
      <c r="J58" s="282">
        <f t="shared" si="11"/>
        <v>25.603335633011383</v>
      </c>
      <c r="K58" s="282">
        <f t="shared" si="11"/>
        <v>25.603335633011383</v>
      </c>
      <c r="L58" s="282">
        <f t="shared" si="11"/>
        <v>25.60333563301139</v>
      </c>
      <c r="M58" s="283">
        <f t="shared" si="10"/>
        <v>25.603335633011387</v>
      </c>
    </row>
    <row r="59" spans="2:13">
      <c r="B59" s="281" t="str">
        <f t="shared" si="7"/>
        <v>DME-062-12</v>
      </c>
      <c r="C59" s="281" t="str">
        <f t="shared" si="7"/>
        <v>AES PANAMA (CHAN 2)</v>
      </c>
      <c r="D59" s="281" t="str">
        <f t="shared" si="7"/>
        <v>H</v>
      </c>
      <c r="E59" s="1882"/>
      <c r="F59" s="1882"/>
      <c r="G59" s="282">
        <f t="shared" si="11"/>
        <v>11.197030230880225</v>
      </c>
      <c r="H59" s="282">
        <f t="shared" si="11"/>
        <v>11.197030230880225</v>
      </c>
      <c r="I59" s="282">
        <f t="shared" si="11"/>
        <v>11.197030230880225</v>
      </c>
      <c r="J59" s="282">
        <f t="shared" si="11"/>
        <v>11.197030230880225</v>
      </c>
      <c r="K59" s="282">
        <f t="shared" si="11"/>
        <v>11.197030230880225</v>
      </c>
      <c r="L59" s="282">
        <f t="shared" si="11"/>
        <v>11.197030230880225</v>
      </c>
      <c r="M59" s="283">
        <f t="shared" si="10"/>
        <v>11.197030230880225</v>
      </c>
    </row>
    <row r="60" spans="2:13">
      <c r="B60" s="281" t="str">
        <f t="shared" si="7"/>
        <v>DME-063-12</v>
      </c>
      <c r="C60" s="281" t="str">
        <f t="shared" si="7"/>
        <v>HIDRO PIEDRA</v>
      </c>
      <c r="D60" s="281" t="str">
        <f t="shared" si="7"/>
        <v>H</v>
      </c>
      <c r="E60" s="1882"/>
      <c r="F60" s="1882"/>
      <c r="G60" s="282">
        <f t="shared" si="11"/>
        <v>13.069483879595076</v>
      </c>
      <c r="H60" s="282">
        <f t="shared" si="11"/>
        <v>13.069483879595076</v>
      </c>
      <c r="I60" s="282">
        <f t="shared" si="11"/>
        <v>13.069483879595076</v>
      </c>
      <c r="J60" s="282">
        <f t="shared" si="11"/>
        <v>13.069483879595076</v>
      </c>
      <c r="K60" s="282">
        <f t="shared" si="11"/>
        <v>13.069483879595076</v>
      </c>
      <c r="L60" s="282">
        <f t="shared" si="11"/>
        <v>13.069483879595078</v>
      </c>
      <c r="M60" s="283">
        <f t="shared" si="10"/>
        <v>13.069483879595078</v>
      </c>
    </row>
    <row r="61" spans="2:13">
      <c r="B61" s="281" t="str">
        <f t="shared" si="7"/>
        <v>DME-064-12</v>
      </c>
      <c r="C61" s="281" t="str">
        <f t="shared" si="7"/>
        <v>CORPORACION ENERGIA DEL ISTMO</v>
      </c>
      <c r="D61" s="281" t="str">
        <f t="shared" si="7"/>
        <v>H</v>
      </c>
      <c r="E61" s="1882"/>
      <c r="F61" s="1882"/>
      <c r="G61" s="282">
        <f t="shared" si="11"/>
        <v>10.036333198614981</v>
      </c>
      <c r="H61" s="282">
        <f t="shared" si="11"/>
        <v>10.036333198614981</v>
      </c>
      <c r="I61" s="282">
        <f t="shared" si="11"/>
        <v>10.036333198614981</v>
      </c>
      <c r="J61" s="282">
        <f t="shared" si="11"/>
        <v>10.036333198614981</v>
      </c>
      <c r="K61" s="282">
        <f t="shared" si="11"/>
        <v>10.036333198614981</v>
      </c>
      <c r="L61" s="282">
        <f t="shared" si="11"/>
        <v>10.036333198614981</v>
      </c>
      <c r="M61" s="283">
        <f t="shared" si="10"/>
        <v>10.036333198614981</v>
      </c>
    </row>
    <row r="62" spans="2:13">
      <c r="B62" s="281" t="str">
        <f t="shared" si="7"/>
        <v>DME-066-12</v>
      </c>
      <c r="C62" s="281" t="str">
        <f t="shared" si="7"/>
        <v>SALTOS DE FRANCOLI</v>
      </c>
      <c r="D62" s="281" t="str">
        <f t="shared" si="7"/>
        <v>H</v>
      </c>
      <c r="E62" s="1882"/>
      <c r="F62" s="1882"/>
      <c r="G62" s="282">
        <f t="shared" si="11"/>
        <v>13.529999999999998</v>
      </c>
      <c r="H62" s="282">
        <f t="shared" si="11"/>
        <v>13.529999999999998</v>
      </c>
      <c r="I62" s="282">
        <f t="shared" si="11"/>
        <v>13.529999999999998</v>
      </c>
      <c r="J62" s="282">
        <f t="shared" si="11"/>
        <v>13.529999999999998</v>
      </c>
      <c r="K62" s="282">
        <f t="shared" si="11"/>
        <v>13.529999999999998</v>
      </c>
      <c r="L62" s="282">
        <f t="shared" si="11"/>
        <v>13.529999999999996</v>
      </c>
      <c r="M62" s="283">
        <f t="shared" si="10"/>
        <v>13.53</v>
      </c>
    </row>
    <row r="63" spans="2:13">
      <c r="B63" s="281" t="str">
        <f t="shared" si="7"/>
        <v>DME-010-13</v>
      </c>
      <c r="C63" s="281" t="str">
        <f t="shared" si="7"/>
        <v>Generadora Gatún (NG Power)</v>
      </c>
      <c r="D63" s="281" t="str">
        <f t="shared" si="7"/>
        <v>Gas2</v>
      </c>
      <c r="E63" s="1882"/>
      <c r="F63" s="1882"/>
      <c r="G63" s="282">
        <f t="shared" si="11"/>
        <v>20.424630083333334</v>
      </c>
      <c r="H63" s="282">
        <f t="shared" si="11"/>
        <v>20.424630083333334</v>
      </c>
      <c r="I63" s="282">
        <f t="shared" si="11"/>
        <v>20.424630083333334</v>
      </c>
      <c r="J63" s="282">
        <f t="shared" si="11"/>
        <v>20.424630083333334</v>
      </c>
      <c r="K63" s="282">
        <f t="shared" si="11"/>
        <v>20.424630083333334</v>
      </c>
      <c r="L63" s="282">
        <f t="shared" si="11"/>
        <v>20.424630083333334</v>
      </c>
      <c r="M63" s="283">
        <f t="shared" si="10"/>
        <v>20.424630083333337</v>
      </c>
    </row>
    <row r="64" spans="2:13">
      <c r="B64" s="281" t="str">
        <f t="shared" si="7"/>
        <v>DME-006-14</v>
      </c>
      <c r="C64" s="281" t="str">
        <f t="shared" si="7"/>
        <v>Electron (SECCION)</v>
      </c>
      <c r="D64" s="281" t="str">
        <f t="shared" si="7"/>
        <v>H3</v>
      </c>
      <c r="E64" s="1882"/>
      <c r="F64" s="1882"/>
      <c r="G64" s="282">
        <f t="shared" si="11"/>
        <v>10</v>
      </c>
      <c r="H64" s="282">
        <f t="shared" si="11"/>
        <v>10</v>
      </c>
      <c r="I64" s="282">
        <f t="shared" si="11"/>
        <v>10</v>
      </c>
      <c r="J64" s="282">
        <f t="shared" si="11"/>
        <v>10</v>
      </c>
      <c r="K64" s="282">
        <f t="shared" si="11"/>
        <v>10</v>
      </c>
      <c r="L64" s="282">
        <f t="shared" si="11"/>
        <v>10</v>
      </c>
      <c r="M64" s="283">
        <f t="shared" si="10"/>
        <v>10</v>
      </c>
    </row>
    <row r="65" spans="2:13">
      <c r="B65" s="281" t="str">
        <f t="shared" si="7"/>
        <v>DME-004-15</v>
      </c>
      <c r="C65" s="281" t="str">
        <f t="shared" si="7"/>
        <v>Gas Natural Atlántico</v>
      </c>
      <c r="D65" s="281" t="str">
        <f t="shared" si="7"/>
        <v>Gas</v>
      </c>
      <c r="E65" s="1882"/>
      <c r="F65" s="1882"/>
      <c r="G65" s="282">
        <f t="shared" si="11"/>
        <v>39.537994841269857</v>
      </c>
      <c r="H65" s="282">
        <f t="shared" si="11"/>
        <v>39.537994841269857</v>
      </c>
      <c r="I65" s="282">
        <f t="shared" si="11"/>
        <v>39.537994841269857</v>
      </c>
      <c r="J65" s="282">
        <f t="shared" si="11"/>
        <v>39.537994841269857</v>
      </c>
      <c r="K65" s="282">
        <f t="shared" si="11"/>
        <v>39.537994841269857</v>
      </c>
      <c r="L65" s="282">
        <f t="shared" si="11"/>
        <v>39.537994841269857</v>
      </c>
      <c r="M65" s="283">
        <f t="shared" si="10"/>
        <v>39.537994841269857</v>
      </c>
    </row>
    <row r="66" spans="2:13">
      <c r="B66" s="281" t="str">
        <f t="shared" si="7"/>
        <v>DME-005-15A</v>
      </c>
      <c r="C66" s="281" t="str">
        <f t="shared" si="7"/>
        <v>ALTERNEGY ENMIIENDA 7</v>
      </c>
      <c r="D66" s="281" t="str">
        <f t="shared" si="7"/>
        <v>H2</v>
      </c>
      <c r="E66" s="1882"/>
      <c r="F66" s="1882"/>
      <c r="G66" s="282">
        <f t="shared" si="11"/>
        <v>32.357686157407421</v>
      </c>
      <c r="H66" s="282">
        <f t="shared" si="11"/>
        <v>32.357686157407421</v>
      </c>
      <c r="I66" s="282">
        <f t="shared" si="11"/>
        <v>32.357686157407421</v>
      </c>
      <c r="J66" s="282">
        <f t="shared" si="11"/>
        <v>32.357686157407421</v>
      </c>
      <c r="K66" s="282">
        <f t="shared" si="11"/>
        <v>32.357686157407421</v>
      </c>
      <c r="L66" s="282">
        <f t="shared" si="11"/>
        <v>32.357686157407421</v>
      </c>
      <c r="M66" s="283">
        <f t="shared" si="10"/>
        <v>32.357686157407421</v>
      </c>
    </row>
    <row r="67" spans="2:13">
      <c r="B67" s="281" t="str">
        <f t="shared" si="7"/>
        <v>DME-016-25</v>
      </c>
      <c r="C67" s="281" t="str">
        <f t="shared" si="7"/>
        <v>Generadora del Istmo</v>
      </c>
      <c r="D67" s="281" t="str">
        <f t="shared" si="7"/>
        <v>H SP</v>
      </c>
      <c r="E67" s="1882"/>
      <c r="F67" s="1882"/>
      <c r="G67" s="282">
        <f t="shared" si="11"/>
        <v>8</v>
      </c>
      <c r="H67" s="282">
        <f t="shared" si="11"/>
        <v>8.0000000000000018</v>
      </c>
      <c r="I67" s="282">
        <f t="shared" si="11"/>
        <v>8</v>
      </c>
      <c r="J67" s="282">
        <f t="shared" si="11"/>
        <v>8.0000000000000018</v>
      </c>
      <c r="K67" s="282">
        <f t="shared" si="11"/>
        <v>0</v>
      </c>
      <c r="L67" s="282">
        <f t="shared" si="11"/>
        <v>8</v>
      </c>
      <c r="M67" s="283">
        <f t="shared" si="10"/>
        <v>6.666666666666667</v>
      </c>
    </row>
    <row r="68" spans="2:13">
      <c r="B68" s="281" t="str">
        <f t="shared" si="7"/>
        <v>DME-017-25</v>
      </c>
      <c r="C68" s="281" t="str">
        <f t="shared" si="7"/>
        <v>Caldera Energy Corp</v>
      </c>
      <c r="D68" s="281" t="str">
        <f t="shared" si="7"/>
        <v>H SP</v>
      </c>
      <c r="E68" s="1882"/>
      <c r="F68" s="1882"/>
      <c r="G68" s="282">
        <f t="shared" ref="G68:L70" si="12">IF(G25=0,0,SUMIF($B$88:$B$128,$B68,G$88:G$128)/SUMIF($B$5:$B$43,$B68,G$5:G$43)/1000)</f>
        <v>6.9999999999999991</v>
      </c>
      <c r="H68" s="282">
        <f t="shared" si="12"/>
        <v>7.0000000000000009</v>
      </c>
      <c r="I68" s="282">
        <f t="shared" si="12"/>
        <v>7</v>
      </c>
      <c r="J68" s="282">
        <f t="shared" si="12"/>
        <v>7</v>
      </c>
      <c r="K68" s="282">
        <f t="shared" si="12"/>
        <v>7</v>
      </c>
      <c r="L68" s="282">
        <f t="shared" si="12"/>
        <v>6.9999999999999982</v>
      </c>
      <c r="M68" s="283">
        <f t="shared" si="10"/>
        <v>7</v>
      </c>
    </row>
    <row r="69" spans="2:13">
      <c r="B69" s="281" t="str">
        <f t="shared" si="7"/>
        <v>DME-018-25</v>
      </c>
      <c r="C69" s="281" t="str">
        <f t="shared" si="7"/>
        <v>Autoridad del Canal de Panamá</v>
      </c>
      <c r="D69" s="281" t="str">
        <f t="shared" si="7"/>
        <v>T SP</v>
      </c>
      <c r="E69" s="1882"/>
      <c r="F69" s="1882"/>
      <c r="G69" s="282">
        <f t="shared" si="12"/>
        <v>3</v>
      </c>
      <c r="H69" s="282">
        <f t="shared" si="12"/>
        <v>3</v>
      </c>
      <c r="I69" s="282">
        <f t="shared" si="12"/>
        <v>3</v>
      </c>
      <c r="J69" s="282">
        <f t="shared" si="12"/>
        <v>3</v>
      </c>
      <c r="K69" s="282">
        <f t="shared" si="12"/>
        <v>3</v>
      </c>
      <c r="L69" s="282">
        <f t="shared" si="12"/>
        <v>4.657</v>
      </c>
      <c r="M69" s="283">
        <f t="shared" si="10"/>
        <v>3.2761666666666667</v>
      </c>
    </row>
    <row r="70" spans="2:13">
      <c r="B70" s="281" t="str">
        <f t="shared" si="7"/>
        <v>DME-019-25</v>
      </c>
      <c r="C70" s="281" t="str">
        <f t="shared" si="7"/>
        <v>Hidroelectrica del Teribe</v>
      </c>
      <c r="D70" s="281" t="str">
        <f t="shared" si="7"/>
        <v>H SP</v>
      </c>
      <c r="E70" s="1882"/>
      <c r="F70" s="1882"/>
      <c r="G70" s="282">
        <f t="shared" si="12"/>
        <v>5.9900000000000011</v>
      </c>
      <c r="H70" s="282">
        <f t="shared" si="12"/>
        <v>5.99</v>
      </c>
      <c r="I70" s="282">
        <f t="shared" si="12"/>
        <v>5.99</v>
      </c>
      <c r="J70" s="282">
        <f t="shared" si="12"/>
        <v>5.9900000000000011</v>
      </c>
      <c r="K70" s="282">
        <f t="shared" si="12"/>
        <v>5.99</v>
      </c>
      <c r="L70" s="282">
        <f t="shared" si="12"/>
        <v>5.99</v>
      </c>
      <c r="M70" s="283">
        <f t="shared" si="10"/>
        <v>5.9900000000000011</v>
      </c>
    </row>
    <row r="71" spans="2:13">
      <c r="B71" s="281" t="str">
        <f t="shared" ref="B71:D71" si="13">B28</f>
        <v>DME-020-25</v>
      </c>
      <c r="C71" s="281" t="str">
        <f t="shared" si="13"/>
        <v>Celsia Centroamérica</v>
      </c>
      <c r="D71" s="281" t="str">
        <f t="shared" si="13"/>
        <v>T SP</v>
      </c>
      <c r="E71" s="1882"/>
      <c r="F71" s="1882"/>
      <c r="G71" s="282">
        <f t="shared" ref="G71:L71" si="14">IF(G28=0,0,SUMIF($B$88:$B$128,$B71,G$88:G$128)/SUMIF($B$5:$B$43,$B71,G$5:G$43)/1000)</f>
        <v>8</v>
      </c>
      <c r="H71" s="282">
        <f t="shared" si="14"/>
        <v>8</v>
      </c>
      <c r="I71" s="282">
        <f t="shared" si="14"/>
        <v>7.9999999999999991</v>
      </c>
      <c r="J71" s="282">
        <f t="shared" si="14"/>
        <v>8</v>
      </c>
      <c r="K71" s="282">
        <f t="shared" si="14"/>
        <v>0</v>
      </c>
      <c r="L71" s="282">
        <f t="shared" si="14"/>
        <v>7.9999999999999991</v>
      </c>
      <c r="M71" s="283">
        <f t="shared" ref="M71:M75" si="15">AVERAGE(G71:L71)</f>
        <v>6.666666666666667</v>
      </c>
    </row>
    <row r="72" spans="2:13">
      <c r="B72" s="281" t="str">
        <f t="shared" ref="B72:D72" si="16">B29</f>
        <v>DME-021-25</v>
      </c>
      <c r="C72" s="281" t="str">
        <f t="shared" si="16"/>
        <v>FOUNTAIN HYDRO POWER, CORP</v>
      </c>
      <c r="D72" s="281" t="str">
        <f t="shared" si="16"/>
        <v>H SP</v>
      </c>
      <c r="E72" s="1882"/>
      <c r="F72" s="1882"/>
      <c r="G72" s="282">
        <f t="shared" ref="G72:L72" si="17">IF(G29=0,0,SUMIF($B$88:$B$128,$B72,G$88:G$128)/SUMIF($B$5:$B$43,$B72,G$5:G$43)/1000)</f>
        <v>5.0999999999999988</v>
      </c>
      <c r="H72" s="282">
        <f t="shared" si="17"/>
        <v>5.0999999999999996</v>
      </c>
      <c r="I72" s="282">
        <f t="shared" si="17"/>
        <v>5.0999999999999988</v>
      </c>
      <c r="J72" s="282">
        <f t="shared" si="17"/>
        <v>5.0999999999999996</v>
      </c>
      <c r="K72" s="282">
        <f t="shared" si="17"/>
        <v>5.0999999999999996</v>
      </c>
      <c r="L72" s="282">
        <f t="shared" si="17"/>
        <v>5.0999999999999988</v>
      </c>
      <c r="M72" s="283">
        <f t="shared" si="15"/>
        <v>5.0999999999999996</v>
      </c>
    </row>
    <row r="73" spans="2:13">
      <c r="B73" s="281" t="str">
        <f t="shared" ref="B73:D73" si="18">B30</f>
        <v>DME-022-25</v>
      </c>
      <c r="C73" s="281" t="str">
        <f t="shared" si="18"/>
        <v>Generadora del Atlántico</v>
      </c>
      <c r="D73" s="281" t="str">
        <f t="shared" si="18"/>
        <v>T SP</v>
      </c>
      <c r="E73" s="1882"/>
      <c r="F73" s="1882"/>
      <c r="G73" s="282">
        <f t="shared" ref="G73:L73" si="19">IF(G30=0,0,SUMIF($B$88:$B$128,$B73,G$88:G$128)/SUMIF($B$5:$B$43,$B73,G$5:G$43)/1000)</f>
        <v>4.45</v>
      </c>
      <c r="H73" s="282">
        <f t="shared" si="19"/>
        <v>4.45</v>
      </c>
      <c r="I73" s="282">
        <f t="shared" si="19"/>
        <v>4.45</v>
      </c>
      <c r="J73" s="282">
        <f t="shared" si="19"/>
        <v>4.45</v>
      </c>
      <c r="K73" s="282">
        <f t="shared" si="19"/>
        <v>4.4500000000000011</v>
      </c>
      <c r="L73" s="282">
        <f t="shared" si="19"/>
        <v>4.45</v>
      </c>
      <c r="M73" s="283">
        <f t="shared" si="15"/>
        <v>4.45</v>
      </c>
    </row>
    <row r="74" spans="2:13">
      <c r="B74" s="281" t="str">
        <f t="shared" ref="B74:D74" si="20">B31</f>
        <v>DME-023-25</v>
      </c>
      <c r="C74" s="281" t="str">
        <f t="shared" si="20"/>
        <v>Generadora del Atlántico</v>
      </c>
      <c r="D74" s="281" t="str">
        <f t="shared" si="20"/>
        <v>T SP</v>
      </c>
      <c r="E74" s="1882"/>
      <c r="F74" s="1882"/>
      <c r="G74" s="282">
        <f t="shared" ref="G74:L74" si="21">IF(G31=0,0,SUMIF($B$88:$B$128,$B74,G$88:G$128)/SUMIF($B$5:$B$43,$B74,G$5:G$43)/1000)</f>
        <v>3.9499999999999997</v>
      </c>
      <c r="H74" s="282">
        <f t="shared" si="21"/>
        <v>3.95</v>
      </c>
      <c r="I74" s="282">
        <f t="shared" si="21"/>
        <v>3.9500000000000006</v>
      </c>
      <c r="J74" s="282">
        <f t="shared" si="21"/>
        <v>3.95</v>
      </c>
      <c r="K74" s="282">
        <f t="shared" si="21"/>
        <v>3.95</v>
      </c>
      <c r="L74" s="282">
        <f t="shared" si="21"/>
        <v>3.9500000000000006</v>
      </c>
      <c r="M74" s="283">
        <f t="shared" si="15"/>
        <v>3.9499999999999997</v>
      </c>
    </row>
    <row r="75" spans="2:13">
      <c r="B75" s="281" t="str">
        <f t="shared" ref="B75:D75" si="22">B32</f>
        <v>DME-024-25</v>
      </c>
      <c r="C75" s="281" t="str">
        <f t="shared" si="22"/>
        <v>HIDRO PANAMÁ</v>
      </c>
      <c r="D75" s="281" t="str">
        <f t="shared" si="22"/>
        <v>H SP</v>
      </c>
      <c r="E75" s="1882"/>
      <c r="F75" s="1882"/>
      <c r="G75" s="282">
        <f t="shared" ref="G75:L75" si="23">IF(G32=0,0,SUMIF($B$88:$B$128,$B75,G$88:G$128)/SUMIF($B$5:$B$43,$B75,G$5:G$43)/1000)</f>
        <v>7.25</v>
      </c>
      <c r="H75" s="282">
        <f t="shared" si="23"/>
        <v>7.2500000000000009</v>
      </c>
      <c r="I75" s="282">
        <f t="shared" si="23"/>
        <v>7.25</v>
      </c>
      <c r="J75" s="282">
        <f t="shared" si="23"/>
        <v>7.25</v>
      </c>
      <c r="K75" s="282">
        <f t="shared" si="23"/>
        <v>0</v>
      </c>
      <c r="L75" s="282">
        <f t="shared" si="23"/>
        <v>7.25</v>
      </c>
      <c r="M75" s="283">
        <f t="shared" si="15"/>
        <v>6.041666666666667</v>
      </c>
    </row>
    <row r="76" spans="2:13">
      <c r="B76" s="281"/>
      <c r="C76" s="284"/>
      <c r="D76" s="281"/>
      <c r="E76" s="1882"/>
      <c r="F76" s="1882"/>
      <c r="G76" s="282"/>
      <c r="H76" s="282"/>
      <c r="I76" s="282"/>
      <c r="J76" s="282"/>
      <c r="K76" s="282"/>
      <c r="L76" s="282"/>
      <c r="M76" s="283"/>
    </row>
    <row r="77" spans="2:13" s="147" customFormat="1">
      <c r="B77" s="293"/>
      <c r="C77" s="293" t="str">
        <f>C34</f>
        <v>Sub-Total Contratos - SIN</v>
      </c>
      <c r="D77" s="293"/>
      <c r="E77" s="1894"/>
      <c r="F77" s="1894"/>
      <c r="G77" s="287">
        <f t="shared" ref="G77:L77" si="24">G117/G34/1000</f>
        <v>19.52029820504989</v>
      </c>
      <c r="H77" s="287">
        <f t="shared" si="24"/>
        <v>19.704633999198098</v>
      </c>
      <c r="I77" s="287">
        <f t="shared" si="24"/>
        <v>19.751416230114447</v>
      </c>
      <c r="J77" s="287">
        <f t="shared" si="24"/>
        <v>19.658133605292026</v>
      </c>
      <c r="K77" s="287">
        <f t="shared" si="24"/>
        <v>19.970785317608243</v>
      </c>
      <c r="L77" s="287">
        <f t="shared" si="24"/>
        <v>19.920800318216958</v>
      </c>
      <c r="M77" s="287">
        <f>AVERAGE(G77:L77)</f>
        <v>19.754344612579946</v>
      </c>
    </row>
    <row r="78" spans="2:13">
      <c r="B78" s="281" t="str">
        <f>B35</f>
        <v>DME-041-16</v>
      </c>
      <c r="C78" s="281" t="str">
        <f>C35</f>
        <v>Sist. Aisl. - SENECA</v>
      </c>
      <c r="D78" s="281" t="str">
        <f>D35</f>
        <v>T SA</v>
      </c>
      <c r="E78" s="1882"/>
      <c r="F78" s="1882"/>
      <c r="G78" s="282">
        <f t="shared" ref="G78:L79" si="25">IF(G35=0,0,SUMIF($B$88:$B$128,$B78,G$88:G$128)/SUMIF($B$5:$B$43,$B78,G$5:G$43)/1000)</f>
        <v>21</v>
      </c>
      <c r="H78" s="282">
        <f t="shared" si="25"/>
        <v>21</v>
      </c>
      <c r="I78" s="282">
        <f t="shared" si="25"/>
        <v>21</v>
      </c>
      <c r="J78" s="282">
        <f t="shared" si="25"/>
        <v>21</v>
      </c>
      <c r="K78" s="282">
        <f t="shared" si="25"/>
        <v>21</v>
      </c>
      <c r="L78" s="282">
        <f t="shared" si="25"/>
        <v>21</v>
      </c>
      <c r="M78" s="283">
        <f>AVERAGE(G78:L78)</f>
        <v>21</v>
      </c>
    </row>
    <row r="79" spans="2:13">
      <c r="B79" s="281" t="str">
        <f>B36</f>
        <v>DME-001-18</v>
      </c>
      <c r="C79" s="281" t="str">
        <f>C36</f>
        <v>Sist. Aisl. - Pearl Island (La Miel -Pto Obaldia)</v>
      </c>
      <c r="D79" s="281" t="str">
        <f>D36</f>
        <v>T SA</v>
      </c>
      <c r="E79" s="1882"/>
      <c r="F79" s="1882"/>
      <c r="G79" s="282">
        <f t="shared" si="25"/>
        <v>38.9</v>
      </c>
      <c r="H79" s="282">
        <f t="shared" si="25"/>
        <v>38.9</v>
      </c>
      <c r="I79" s="282">
        <f t="shared" si="25"/>
        <v>38.9</v>
      </c>
      <c r="J79" s="282">
        <f t="shared" si="25"/>
        <v>38.9</v>
      </c>
      <c r="K79" s="282">
        <f t="shared" si="25"/>
        <v>38.9</v>
      </c>
      <c r="L79" s="282">
        <f t="shared" si="25"/>
        <v>38.9</v>
      </c>
      <c r="M79" s="283">
        <f>AVERAGE(G79:L79)</f>
        <v>38.9</v>
      </c>
    </row>
    <row r="80" spans="2:13">
      <c r="B80" s="281"/>
      <c r="C80" s="284"/>
      <c r="D80" s="281"/>
      <c r="E80" s="1882"/>
      <c r="F80" s="1882"/>
      <c r="G80" s="282"/>
      <c r="H80" s="282"/>
      <c r="I80" s="282"/>
      <c r="J80" s="282"/>
      <c r="K80" s="282"/>
      <c r="L80" s="282"/>
      <c r="M80" s="283"/>
    </row>
    <row r="81" spans="2:13" s="147" customFormat="1">
      <c r="B81" s="293"/>
      <c r="C81" s="293" t="str">
        <f>C38</f>
        <v>Sub-Total Contratos</v>
      </c>
      <c r="D81" s="293"/>
      <c r="E81" s="1894"/>
      <c r="F81" s="1894"/>
      <c r="G81" s="287">
        <f t="shared" ref="G81:L81" si="26">G121/G38/1000</f>
        <v>20.073602060309721</v>
      </c>
      <c r="H81" s="287">
        <f t="shared" si="26"/>
        <v>20.257890748853356</v>
      </c>
      <c r="I81" s="287">
        <f t="shared" si="26"/>
        <v>20.304636343367036</v>
      </c>
      <c r="J81" s="287">
        <f t="shared" si="26"/>
        <v>20.211416871927547</v>
      </c>
      <c r="K81" s="287">
        <f t="shared" si="26"/>
        <v>20.525506913352739</v>
      </c>
      <c r="L81" s="287">
        <f t="shared" si="26"/>
        <v>20.471250134120865</v>
      </c>
      <c r="M81" s="287">
        <f>AVERAGE(G81:L81)</f>
        <v>20.30738384532188</v>
      </c>
    </row>
    <row r="82" spans="2:13">
      <c r="B82" s="281" t="str">
        <f>B39</f>
        <v>RESERVA</v>
      </c>
      <c r="C82" s="281" t="str">
        <f>C39</f>
        <v>SERV. AUX. DE RES DE LARGO PLAZO</v>
      </c>
      <c r="D82" s="281" t="str">
        <f>D39</f>
        <v>SPOT</v>
      </c>
      <c r="E82" s="1882"/>
      <c r="F82" s="1882"/>
      <c r="G82" s="282">
        <f t="shared" ref="G82:L82" si="27">IF(G39=0,0,SUMIF($B$88:$B$128,$B82,G$88:G$128)/SUMIF($B$5:$B$43,$B82,G$5:G$43)/1000)</f>
        <v>0</v>
      </c>
      <c r="H82" s="282">
        <f t="shared" si="27"/>
        <v>0</v>
      </c>
      <c r="I82" s="282">
        <f t="shared" si="27"/>
        <v>0</v>
      </c>
      <c r="J82" s="282">
        <f t="shared" si="27"/>
        <v>0</v>
      </c>
      <c r="K82" s="282">
        <f t="shared" si="27"/>
        <v>0</v>
      </c>
      <c r="L82" s="282">
        <f t="shared" si="27"/>
        <v>0</v>
      </c>
      <c r="M82" s="283">
        <f>AVERAGE(G82:L82)</f>
        <v>0</v>
      </c>
    </row>
    <row r="83" spans="2:13">
      <c r="B83" s="281"/>
      <c r="C83" s="284"/>
      <c r="D83" s="281"/>
      <c r="E83" s="1882"/>
      <c r="F83" s="1882"/>
      <c r="G83" s="282"/>
      <c r="H83" s="282"/>
      <c r="I83" s="282"/>
      <c r="J83" s="282"/>
      <c r="K83" s="282"/>
      <c r="L83" s="282"/>
      <c r="M83" s="283"/>
    </row>
    <row r="84" spans="2:13">
      <c r="B84" s="293"/>
      <c r="C84" s="293" t="s">
        <v>360</v>
      </c>
      <c r="D84" s="293"/>
      <c r="E84" s="1894"/>
      <c r="F84" s="1894"/>
      <c r="G84" s="287">
        <f t="shared" ref="G84:L84" si="28">G128/G43/1000</f>
        <v>20.139762364853155</v>
      </c>
      <c r="H84" s="287">
        <f t="shared" si="28"/>
        <v>20.340645404353619</v>
      </c>
      <c r="I84" s="287">
        <f t="shared" si="28"/>
        <v>20.612482729669644</v>
      </c>
      <c r="J84" s="287">
        <f t="shared" si="28"/>
        <v>20.476203353430169</v>
      </c>
      <c r="K84" s="287">
        <f t="shared" si="28"/>
        <v>20.798455252455561</v>
      </c>
      <c r="L84" s="287">
        <f t="shared" si="28"/>
        <v>20.645754885583873</v>
      </c>
      <c r="M84" s="287">
        <f>AVERAGE(G84:L84)</f>
        <v>20.502217331724339</v>
      </c>
    </row>
    <row r="85" spans="2:13">
      <c r="G85" s="143"/>
    </row>
    <row r="86" spans="2:13" s="38" customFormat="1" ht="15">
      <c r="B86" s="276"/>
      <c r="C86" s="276" t="s">
        <v>353</v>
      </c>
      <c r="D86" s="276"/>
      <c r="E86" s="1890"/>
      <c r="F86" s="1890"/>
      <c r="G86" s="277" t="s">
        <v>155</v>
      </c>
      <c r="H86" s="277"/>
      <c r="I86" s="277"/>
      <c r="J86" s="277"/>
      <c r="K86" s="277"/>
      <c r="L86" s="277"/>
      <c r="M86" s="294"/>
    </row>
    <row r="87" spans="2:13" s="38" customFormat="1">
      <c r="B87" s="295"/>
      <c r="C87" s="295" t="s">
        <v>153</v>
      </c>
      <c r="D87" s="295"/>
      <c r="E87" s="1886"/>
      <c r="F87" s="1886"/>
      <c r="G87" s="280">
        <f t="shared" ref="G87:L87" si="29">G$4</f>
        <v>46204</v>
      </c>
      <c r="H87" s="280">
        <f t="shared" si="29"/>
        <v>46235</v>
      </c>
      <c r="I87" s="280">
        <f t="shared" si="29"/>
        <v>46266</v>
      </c>
      <c r="J87" s="280">
        <f t="shared" si="29"/>
        <v>46296</v>
      </c>
      <c r="K87" s="280">
        <f t="shared" si="29"/>
        <v>46327</v>
      </c>
      <c r="L87" s="280">
        <f t="shared" si="29"/>
        <v>46357</v>
      </c>
      <c r="M87" s="280" t="s">
        <v>111</v>
      </c>
    </row>
    <row r="88" spans="2:13">
      <c r="B88" s="281" t="str">
        <f>ComEne26!B35</f>
        <v>DME-011-08</v>
      </c>
      <c r="C88" s="281" t="str">
        <f>ComEne26!C35</f>
        <v>ELECTRO INVEST. - ENMIENDA 5</v>
      </c>
      <c r="D88" s="281" t="str">
        <f>ComEne26!D35</f>
        <v>H</v>
      </c>
      <c r="E88" s="1882"/>
      <c r="F88" s="1882"/>
      <c r="G88" s="296">
        <f>IF(ComEne26!G35="",0,ComEne26!G35*1000)</f>
        <v>69000.000000000015</v>
      </c>
      <c r="H88" s="296">
        <f>IF(ComEne26!H35="",0,ComEne26!H35*1000)</f>
        <v>69000.000000000015</v>
      </c>
      <c r="I88" s="296">
        <f>IF(ComEne26!I35="",0,ComEne26!I35*1000)</f>
        <v>69000.000000000015</v>
      </c>
      <c r="J88" s="296">
        <f>IF(ComEne26!J35="",0,ComEne26!J35*1000)</f>
        <v>69000.000000000015</v>
      </c>
      <c r="K88" s="296">
        <f>IF(ComEne26!K35="",0,ComEne26!K35*1000)</f>
        <v>69000.000000000015</v>
      </c>
      <c r="L88" s="296">
        <f>IF(ComEne26!L35="",0,ComEne26!L35*1000)</f>
        <v>69000.000000000015</v>
      </c>
      <c r="M88" s="297">
        <f t="shared" ref="M88" si="30">SUM(G88:L88)</f>
        <v>414000.00000000006</v>
      </c>
    </row>
    <row r="89" spans="2:13">
      <c r="B89" s="281" t="str">
        <f>ComEne26!B36</f>
        <v>DME-016-11</v>
      </c>
      <c r="C89" s="281" t="str">
        <f>ComEne26!C36</f>
        <v>FORTUNA</v>
      </c>
      <c r="D89" s="281" t="str">
        <f>ComEne26!D36</f>
        <v>H</v>
      </c>
      <c r="E89" s="1882"/>
      <c r="F89" s="1882"/>
      <c r="G89" s="296">
        <f>IF(ComEne26!G36="",0,ComEne26!G36*1000)</f>
        <v>68527.73109999999</v>
      </c>
      <c r="H89" s="296">
        <f>IF(ComEne26!H36="",0,ComEne26!H36*1000)</f>
        <v>68527.73109999999</v>
      </c>
      <c r="I89" s="296">
        <f>IF(ComEne26!I36="",0,ComEne26!I36*1000)</f>
        <v>68527.73109999999</v>
      </c>
      <c r="J89" s="296">
        <f>IF(ComEne26!J36="",0,ComEne26!J36*1000)</f>
        <v>68527.73109999999</v>
      </c>
      <c r="K89" s="296">
        <f>IF(ComEne26!K36="",0,ComEne26!K36*1000)</f>
        <v>68527.73109999999</v>
      </c>
      <c r="L89" s="296">
        <f>IF(ComEne26!L36="",0,ComEne26!L36*1000)</f>
        <v>68527.73109999999</v>
      </c>
      <c r="M89" s="297">
        <f t="shared" ref="M89:M115" si="31">SUM(G89:L89)</f>
        <v>411166.38659999991</v>
      </c>
    </row>
    <row r="90" spans="2:13">
      <c r="B90" s="281" t="str">
        <f>ComEne26!B37</f>
        <v>DME-018-11</v>
      </c>
      <c r="C90" s="281" t="str">
        <f>ComEne26!C37</f>
        <v xml:space="preserve">HIDROECOLOGICA DEL TERIBE </v>
      </c>
      <c r="D90" s="281" t="str">
        <f>ComEne26!D37</f>
        <v>H</v>
      </c>
      <c r="E90" s="1882"/>
      <c r="F90" s="1882"/>
      <c r="G90" s="296">
        <f>IF(ComEne26!G37="",0,ComEne26!G37*1000)</f>
        <v>22669.5</v>
      </c>
      <c r="H90" s="296">
        <f>IF(ComEne26!H37="",0,ComEne26!H37*1000)</f>
        <v>22669.5</v>
      </c>
      <c r="I90" s="296">
        <f>IF(ComEne26!I37="",0,ComEne26!I37*1000)</f>
        <v>22669.5</v>
      </c>
      <c r="J90" s="296">
        <f>IF(ComEne26!J37="",0,ComEne26!J37*1000)</f>
        <v>22669.5</v>
      </c>
      <c r="K90" s="296">
        <f>IF(ComEne26!K37="",0,ComEne26!K37*1000)</f>
        <v>22669.5</v>
      </c>
      <c r="L90" s="296">
        <f>IF(ComEne26!L37="",0,ComEne26!L37*1000)</f>
        <v>22669.5</v>
      </c>
      <c r="M90" s="297">
        <f t="shared" si="31"/>
        <v>136017</v>
      </c>
    </row>
    <row r="91" spans="2:13">
      <c r="B91" s="281" t="str">
        <f>ComEne26!B38</f>
        <v>DME-020-11</v>
      </c>
      <c r="C91" s="281" t="str">
        <f>ComEne26!C38</f>
        <v xml:space="preserve">ESEPSA </v>
      </c>
      <c r="D91" s="281" t="str">
        <f>ComEne26!D38</f>
        <v>H</v>
      </c>
      <c r="E91" s="1882"/>
      <c r="F91" s="1882"/>
      <c r="G91" s="296">
        <f>IF(ComEne26!G38="",0,ComEne26!G38*1000)</f>
        <v>17416.446666666663</v>
      </c>
      <c r="H91" s="296">
        <f>IF(ComEne26!H38="",0,ComEne26!H38*1000)</f>
        <v>17416.446666666663</v>
      </c>
      <c r="I91" s="296">
        <f>IF(ComEne26!I38="",0,ComEne26!I38*1000)</f>
        <v>17416.446666666663</v>
      </c>
      <c r="J91" s="296">
        <f>IF(ComEne26!J38="",0,ComEne26!J38*1000)</f>
        <v>17416.446666666663</v>
      </c>
      <c r="K91" s="296">
        <f>IF(ComEne26!K38="",0,ComEne26!K38*1000)</f>
        <v>17416.446666666663</v>
      </c>
      <c r="L91" s="296">
        <f>IF(ComEne26!L38="",0,ComEne26!L38*1000)</f>
        <v>17416.446666666663</v>
      </c>
      <c r="M91" s="297">
        <f t="shared" si="31"/>
        <v>104498.67999999996</v>
      </c>
    </row>
    <row r="92" spans="2:13">
      <c r="B92" s="281" t="str">
        <f>ComEne26!B39</f>
        <v>DME-021-11</v>
      </c>
      <c r="C92" s="281" t="str">
        <f>ComEne26!C39</f>
        <v xml:space="preserve">PEDREGALITO </v>
      </c>
      <c r="D92" s="281" t="str">
        <f>ComEne26!D39</f>
        <v>H</v>
      </c>
      <c r="E92" s="1882"/>
      <c r="F92" s="1882"/>
      <c r="G92" s="296">
        <f>IF(ComEne26!G39="",0,ComEne26!G39*1000)</f>
        <v>32269.236717641306</v>
      </c>
      <c r="H92" s="296">
        <f>IF(ComEne26!H39="",0,ComEne26!H39*1000)</f>
        <v>32269.236717641306</v>
      </c>
      <c r="I92" s="296">
        <f>IF(ComEne26!I39="",0,ComEne26!I39*1000)</f>
        <v>32269.236717641306</v>
      </c>
      <c r="J92" s="296">
        <f>IF(ComEne26!J39="",0,ComEne26!J39*1000)</f>
        <v>32269.236717641306</v>
      </c>
      <c r="K92" s="296">
        <f>IF(ComEne26!K39="",0,ComEne26!K39*1000)</f>
        <v>32269.236717641306</v>
      </c>
      <c r="L92" s="296">
        <f>IF(ComEne26!L39="",0,ComEne26!L39*1000)</f>
        <v>32269.236717641306</v>
      </c>
      <c r="M92" s="297">
        <f t="shared" si="31"/>
        <v>193615.42030584783</v>
      </c>
    </row>
    <row r="93" spans="2:13">
      <c r="B93" s="281" t="str">
        <f>ComEne26!B40</f>
        <v>DME-022-11</v>
      </c>
      <c r="C93" s="281" t="str">
        <f>ComEne26!C40</f>
        <v xml:space="preserve">CALDERA </v>
      </c>
      <c r="D93" s="281" t="str">
        <f>ComEne26!D40</f>
        <v>H</v>
      </c>
      <c r="E93" s="1882"/>
      <c r="F93" s="1882"/>
      <c r="G93" s="296">
        <f>IF(ComEne26!G40="",0,ComEne26!G40*1000)</f>
        <v>21391.097166666666</v>
      </c>
      <c r="H93" s="296">
        <f>IF(ComEne26!H40="",0,ComEne26!H40*1000)</f>
        <v>21391.097166666666</v>
      </c>
      <c r="I93" s="296">
        <f>IF(ComEne26!I40="",0,ComEne26!I40*1000)</f>
        <v>21391.097166666666</v>
      </c>
      <c r="J93" s="296">
        <f>IF(ComEne26!J40="",0,ComEne26!J40*1000)</f>
        <v>21391.097166666666</v>
      </c>
      <c r="K93" s="296">
        <f>IF(ComEne26!K40="",0,ComEne26!K40*1000)</f>
        <v>21391.097166666666</v>
      </c>
      <c r="L93" s="296">
        <f>IF(ComEne26!L40="",0,ComEne26!L40*1000)</f>
        <v>21391.097166666666</v>
      </c>
      <c r="M93" s="297">
        <f t="shared" si="31"/>
        <v>128346.58300000001</v>
      </c>
    </row>
    <row r="94" spans="2:13">
      <c r="B94" s="281" t="str">
        <f>ComEne26!B41</f>
        <v>DME-023-11</v>
      </c>
      <c r="C94" s="281" t="str">
        <f>ComEne26!C41</f>
        <v xml:space="preserve">RIO CHICO </v>
      </c>
      <c r="D94" s="281" t="str">
        <f>ComEne26!D41</f>
        <v>H</v>
      </c>
      <c r="E94" s="1882"/>
      <c r="F94" s="1882"/>
      <c r="G94" s="296">
        <f>IF(ComEne26!G41="",0,ComEne26!G41*1000)</f>
        <v>19789.373742498774</v>
      </c>
      <c r="H94" s="296">
        <f>IF(ComEne26!H41="",0,ComEne26!H41*1000)</f>
        <v>19789.373742498774</v>
      </c>
      <c r="I94" s="296">
        <f>IF(ComEne26!I41="",0,ComEne26!I41*1000)</f>
        <v>19789.373742498774</v>
      </c>
      <c r="J94" s="296">
        <f>IF(ComEne26!J41="",0,ComEne26!J41*1000)</f>
        <v>19789.373742498774</v>
      </c>
      <c r="K94" s="296">
        <f>IF(ComEne26!K41="",0,ComEne26!K41*1000)</f>
        <v>19789.373742498774</v>
      </c>
      <c r="L94" s="296">
        <f>IF(ComEne26!L41="",0,ComEne26!L41*1000)</f>
        <v>19789.373742498774</v>
      </c>
      <c r="M94" s="297">
        <f t="shared" si="31"/>
        <v>118736.24245499265</v>
      </c>
    </row>
    <row r="95" spans="2:13">
      <c r="B95" s="281" t="str">
        <f>ComEne26!B42</f>
        <v>DME-024-11</v>
      </c>
      <c r="C95" s="281" t="str">
        <f>ComEne26!C42</f>
        <v xml:space="preserve">ALTO VALLE </v>
      </c>
      <c r="D95" s="281" t="str">
        <f>ComEne26!D42</f>
        <v>H</v>
      </c>
      <c r="E95" s="1882"/>
      <c r="F95" s="1882"/>
      <c r="G95" s="296">
        <f>IF(ComEne26!G42="",0,ComEne26!G42*1000)</f>
        <v>18834.90483333333</v>
      </c>
      <c r="H95" s="296">
        <f>IF(ComEne26!H42="",0,ComEne26!H42*1000)</f>
        <v>18834.90483333333</v>
      </c>
      <c r="I95" s="296">
        <f>IF(ComEne26!I42="",0,ComEne26!I42*1000)</f>
        <v>18834.90483333333</v>
      </c>
      <c r="J95" s="296">
        <f>IF(ComEne26!J42="",0,ComEne26!J42*1000)</f>
        <v>18834.90483333333</v>
      </c>
      <c r="K95" s="296">
        <f>IF(ComEne26!K42="",0,ComEne26!K42*1000)</f>
        <v>18834.90483333333</v>
      </c>
      <c r="L95" s="296">
        <f>IF(ComEne26!L42="",0,ComEne26!L42*1000)</f>
        <v>18834.90483333333</v>
      </c>
      <c r="M95" s="297">
        <f t="shared" si="31"/>
        <v>113009.42899999999</v>
      </c>
    </row>
    <row r="96" spans="2:13">
      <c r="B96" s="281" t="str">
        <f>ComEne26!B43</f>
        <v>DME-025-11</v>
      </c>
      <c r="C96" s="281" t="str">
        <f>ComEne26!C43</f>
        <v xml:space="preserve">DESARROLLO HIDRO CORP </v>
      </c>
      <c r="D96" s="281" t="str">
        <f>ComEne26!D43</f>
        <v>H</v>
      </c>
      <c r="E96" s="1882"/>
      <c r="F96" s="1882"/>
      <c r="G96" s="296">
        <f>IF(ComEne26!G43="",0,ComEne26!G43*1000)</f>
        <v>5252.9354999999996</v>
      </c>
      <c r="H96" s="296">
        <f>IF(ComEne26!H43="",0,ComEne26!H43*1000)</f>
        <v>5252.9354999999996</v>
      </c>
      <c r="I96" s="296">
        <f>IF(ComEne26!I43="",0,ComEne26!I43*1000)</f>
        <v>5252.9354999999996</v>
      </c>
      <c r="J96" s="296">
        <f>IF(ComEne26!J43="",0,ComEne26!J43*1000)</f>
        <v>5252.9354999999996</v>
      </c>
      <c r="K96" s="296">
        <f>IF(ComEne26!K43="",0,ComEne26!K43*1000)</f>
        <v>5252.9354999999996</v>
      </c>
      <c r="L96" s="296">
        <f>IF(ComEne26!L43="",0,ComEne26!L43*1000)</f>
        <v>5252.9354999999996</v>
      </c>
      <c r="M96" s="297">
        <f t="shared" si="31"/>
        <v>31517.612999999998</v>
      </c>
    </row>
    <row r="97" spans="2:13">
      <c r="B97" s="281" t="str">
        <f>ComEne26!B44</f>
        <v>DME-026-11</v>
      </c>
      <c r="C97" s="281" t="str">
        <f>ComEne26!C44</f>
        <v xml:space="preserve">SAN LORENZO </v>
      </c>
      <c r="D97" s="281" t="str">
        <f>ComEne26!D44</f>
        <v>H</v>
      </c>
      <c r="E97" s="1882"/>
      <c r="F97" s="1882"/>
      <c r="G97" s="296">
        <f>IF(ComEne26!G44="",0,ComEne26!G44*1000)</f>
        <v>5332.6500000000005</v>
      </c>
      <c r="H97" s="296">
        <f>IF(ComEne26!H44="",0,ComEne26!H44*1000)</f>
        <v>5332.6500000000005</v>
      </c>
      <c r="I97" s="296">
        <f>IF(ComEne26!I44="",0,ComEne26!I44*1000)</f>
        <v>5332.6500000000005</v>
      </c>
      <c r="J97" s="296">
        <f>IF(ComEne26!J44="",0,ComEne26!J44*1000)</f>
        <v>5332.6500000000005</v>
      </c>
      <c r="K97" s="296">
        <f>IF(ComEne26!K44="",0,ComEne26!K44*1000)</f>
        <v>5332.6500000000005</v>
      </c>
      <c r="L97" s="296">
        <f>IF(ComEne26!L44="",0,ComEne26!L44*1000)</f>
        <v>5332.6500000000005</v>
      </c>
      <c r="M97" s="297">
        <f t="shared" si="31"/>
        <v>31995.900000000005</v>
      </c>
    </row>
    <row r="98" spans="2:13">
      <c r="B98" s="281" t="str">
        <f>ComEne26!B45</f>
        <v>DME-027-11</v>
      </c>
      <c r="C98" s="281" t="str">
        <f>ComEne26!C45</f>
        <v xml:space="preserve">ELECTROGENERADORA ISTMO </v>
      </c>
      <c r="D98" s="281" t="str">
        <f>ComEne26!D45</f>
        <v>H</v>
      </c>
      <c r="E98" s="1882"/>
      <c r="F98" s="1882"/>
      <c r="G98" s="296">
        <f>IF(ComEne26!G45="",0,ComEne26!G45*1000)</f>
        <v>8535.6400333333349</v>
      </c>
      <c r="H98" s="296">
        <f>IF(ComEne26!H45="",0,ComEne26!H45*1000)</f>
        <v>8535.6400333333349</v>
      </c>
      <c r="I98" s="296">
        <f>IF(ComEne26!I45="",0,ComEne26!I45*1000)</f>
        <v>8535.6400333333349</v>
      </c>
      <c r="J98" s="296">
        <f>IF(ComEne26!J45="",0,ComEne26!J45*1000)</f>
        <v>8535.6400333333349</v>
      </c>
      <c r="K98" s="296">
        <f>IF(ComEne26!K45="",0,ComEne26!K45*1000)</f>
        <v>8535.6400333333349</v>
      </c>
      <c r="L98" s="296">
        <f>IF(ComEne26!L45="",0,ComEne26!L45*1000)</f>
        <v>8535.6400333333368</v>
      </c>
      <c r="M98" s="297">
        <f t="shared" si="31"/>
        <v>51213.840200000013</v>
      </c>
    </row>
    <row r="99" spans="2:13">
      <c r="B99" s="281" t="str">
        <f>ComEne26!B46</f>
        <v>DME-062-12</v>
      </c>
      <c r="C99" s="281" t="str">
        <f>ComEne26!C46</f>
        <v>AES PANAMA (CHAN 2)</v>
      </c>
      <c r="D99" s="281" t="str">
        <f>ComEne26!D46</f>
        <v>H</v>
      </c>
      <c r="E99" s="1882"/>
      <c r="F99" s="1882"/>
      <c r="G99" s="296">
        <f>IF(ComEne26!G46="",0,ComEne26!G46*1000)</f>
        <v>1293256.991666666</v>
      </c>
      <c r="H99" s="296">
        <f>IF(ComEne26!H46="",0,ComEne26!H46*1000)</f>
        <v>1293256.991666666</v>
      </c>
      <c r="I99" s="296">
        <f>IF(ComEne26!I46="",0,ComEne26!I46*1000)</f>
        <v>1293256.991666666</v>
      </c>
      <c r="J99" s="296">
        <f>IF(ComEne26!J46="",0,ComEne26!J46*1000)</f>
        <v>1293256.991666666</v>
      </c>
      <c r="K99" s="296">
        <f>IF(ComEne26!K46="",0,ComEne26!K46*1000)</f>
        <v>1293256.991666666</v>
      </c>
      <c r="L99" s="296">
        <f>IF(ComEne26!L46="",0,ComEne26!L46*1000)</f>
        <v>1293256.991666666</v>
      </c>
      <c r="M99" s="297">
        <f t="shared" si="31"/>
        <v>7759541.9499999965</v>
      </c>
    </row>
    <row r="100" spans="2:13">
      <c r="B100" s="281" t="str">
        <f>ComEne26!B47</f>
        <v>DME-063-12</v>
      </c>
      <c r="C100" s="281" t="str">
        <f>ComEne26!C47</f>
        <v>HIDRO PIEDRA</v>
      </c>
      <c r="D100" s="281" t="str">
        <f>ComEne26!D47</f>
        <v>H</v>
      </c>
      <c r="E100" s="1882"/>
      <c r="F100" s="1882"/>
      <c r="G100" s="296">
        <f>IF(ComEne26!G47="",0,ComEne26!G47*1000)</f>
        <v>7703.1537986333387</v>
      </c>
      <c r="H100" s="296">
        <f>IF(ComEne26!H47="",0,ComEne26!H47*1000)</f>
        <v>7703.1537986333387</v>
      </c>
      <c r="I100" s="296">
        <f>IF(ComEne26!I47="",0,ComEne26!I47*1000)</f>
        <v>7703.1537986333387</v>
      </c>
      <c r="J100" s="296">
        <f>IF(ComEne26!J47="",0,ComEne26!J47*1000)</f>
        <v>7703.1537986333387</v>
      </c>
      <c r="K100" s="296">
        <f>IF(ComEne26!K47="",0,ComEne26!K47*1000)</f>
        <v>7703.1537986333387</v>
      </c>
      <c r="L100" s="296">
        <f>IF(ComEne26!L47="",0,ComEne26!L47*1000)</f>
        <v>7703.1537986333396</v>
      </c>
      <c r="M100" s="297">
        <f t="shared" si="31"/>
        <v>46218.92279180004</v>
      </c>
    </row>
    <row r="101" spans="2:13">
      <c r="B101" s="281" t="str">
        <f>ComEne26!B48</f>
        <v>DME-064-12</v>
      </c>
      <c r="C101" s="281" t="str">
        <f>ComEne26!C48</f>
        <v>CORPORACION ENERGIA DEL ISTMO</v>
      </c>
      <c r="D101" s="281" t="str">
        <f>ComEne26!D48</f>
        <v>H</v>
      </c>
      <c r="E101" s="1882"/>
      <c r="F101" s="1882"/>
      <c r="G101" s="296">
        <f>IF(ComEne26!G48="",0,ComEne26!G48*1000)</f>
        <v>29178.631508333336</v>
      </c>
      <c r="H101" s="296">
        <f>IF(ComEne26!H48="",0,ComEne26!H48*1000)</f>
        <v>29178.631508333336</v>
      </c>
      <c r="I101" s="296">
        <f>IF(ComEne26!I48="",0,ComEne26!I48*1000)</f>
        <v>29178.631508333336</v>
      </c>
      <c r="J101" s="296">
        <f>IF(ComEne26!J48="",0,ComEne26!J48*1000)</f>
        <v>29178.631508333336</v>
      </c>
      <c r="K101" s="296">
        <f>IF(ComEne26!K48="",0,ComEne26!K48*1000)</f>
        <v>29178.631508333336</v>
      </c>
      <c r="L101" s="296">
        <f>IF(ComEne26!L48="",0,ComEne26!L48*1000)</f>
        <v>29178.631508333336</v>
      </c>
      <c r="M101" s="297">
        <f t="shared" si="31"/>
        <v>175071.78905000002</v>
      </c>
    </row>
    <row r="102" spans="2:13">
      <c r="B102" s="281" t="str">
        <f>ComEne26!B49</f>
        <v>DME-066-12</v>
      </c>
      <c r="C102" s="281" t="str">
        <f>ComEne26!C49</f>
        <v>SALTOS DE FRANCOLI</v>
      </c>
      <c r="D102" s="281" t="str">
        <f>ComEne26!D49</f>
        <v>H</v>
      </c>
      <c r="E102" s="1882"/>
      <c r="F102" s="1882"/>
      <c r="G102" s="296">
        <f>IF(ComEne26!G49="",0,ComEne26!G49*1000)</f>
        <v>4115.826</v>
      </c>
      <c r="H102" s="296">
        <f>IF(ComEne26!H49="",0,ComEne26!H49*1000)</f>
        <v>4115.826</v>
      </c>
      <c r="I102" s="296">
        <f>IF(ComEne26!I49="",0,ComEne26!I49*1000)</f>
        <v>4115.826</v>
      </c>
      <c r="J102" s="296">
        <f>IF(ComEne26!J49="",0,ComEne26!J49*1000)</f>
        <v>4115.826</v>
      </c>
      <c r="K102" s="296">
        <f>IF(ComEne26!K49="",0,ComEne26!K49*1000)</f>
        <v>4115.826</v>
      </c>
      <c r="L102" s="296">
        <f>IF(ComEne26!L49="",0,ComEne26!L49*1000)</f>
        <v>4115.8259999999991</v>
      </c>
      <c r="M102" s="297">
        <f t="shared" si="31"/>
        <v>24694.955999999998</v>
      </c>
    </row>
    <row r="103" spans="2:13">
      <c r="B103" s="281" t="str">
        <f>ComEne26!B50</f>
        <v>DME-010-13</v>
      </c>
      <c r="C103" s="281" t="str">
        <f>ComEne26!C50</f>
        <v>Generadora Gatún (NG Power)</v>
      </c>
      <c r="D103" s="281" t="str">
        <f>ComEne26!D50</f>
        <v>Gas2</v>
      </c>
      <c r="E103" s="1882"/>
      <c r="F103" s="1882"/>
      <c r="G103" s="296">
        <f>IF(ComEne26!G50="",0,ComEne26!G50*1000)</f>
        <v>3267940.8133333335</v>
      </c>
      <c r="H103" s="296">
        <f>IF(ComEne26!H50="",0,ComEne26!H50*1000)</f>
        <v>3267940.8133333335</v>
      </c>
      <c r="I103" s="296">
        <f>IF(ComEne26!I50="",0,ComEne26!I50*1000)</f>
        <v>3267940.8133333335</v>
      </c>
      <c r="J103" s="296">
        <f>IF(ComEne26!J50="",0,ComEne26!J50*1000)</f>
        <v>3267940.8133333335</v>
      </c>
      <c r="K103" s="296">
        <f>IF(ComEne26!K50="",0,ComEne26!K50*1000)</f>
        <v>3267940.8133333335</v>
      </c>
      <c r="L103" s="296">
        <f>IF(ComEne26!L50="",0,ComEne26!L50*1000)</f>
        <v>3267940.8133333335</v>
      </c>
      <c r="M103" s="297">
        <f t="shared" si="31"/>
        <v>19607644.879999999</v>
      </c>
    </row>
    <row r="104" spans="2:13">
      <c r="B104" s="281" t="str">
        <f>ComEne26!B51</f>
        <v>DME-006-14</v>
      </c>
      <c r="C104" s="281" t="str">
        <f>ComEne26!C51</f>
        <v>Electron (SECCION)</v>
      </c>
      <c r="D104" s="281" t="str">
        <f>ComEne26!D51</f>
        <v>H3</v>
      </c>
      <c r="E104" s="1882"/>
      <c r="F104" s="1882"/>
      <c r="G104" s="296">
        <f>IF(ComEne26!G51="",0,ComEne26!G51*1000)</f>
        <v>499500</v>
      </c>
      <c r="H104" s="296">
        <f>IF(ComEne26!H51="",0,ComEne26!H51*1000)</f>
        <v>499500</v>
      </c>
      <c r="I104" s="296">
        <f>IF(ComEne26!I51="",0,ComEne26!I51*1000)</f>
        <v>499500</v>
      </c>
      <c r="J104" s="296">
        <f>IF(ComEne26!J51="",0,ComEne26!J51*1000)</f>
        <v>499500</v>
      </c>
      <c r="K104" s="296">
        <f>IF(ComEne26!K51="",0,ComEne26!K51*1000)</f>
        <v>499500</v>
      </c>
      <c r="L104" s="296">
        <f>IF(ComEne26!L51="",0,ComEne26!L51*1000)</f>
        <v>499500</v>
      </c>
      <c r="M104" s="297">
        <f t="shared" si="31"/>
        <v>2997000</v>
      </c>
    </row>
    <row r="105" spans="2:13">
      <c r="B105" s="281" t="str">
        <f>ComEne26!B52</f>
        <v>DME-004-15</v>
      </c>
      <c r="C105" s="281" t="str">
        <f>ComEne26!C52</f>
        <v>Gas Natural Atlántico</v>
      </c>
      <c r="D105" s="281" t="str">
        <f>ComEne26!D52</f>
        <v>Gas</v>
      </c>
      <c r="E105" s="1882"/>
      <c r="F105" s="1882"/>
      <c r="G105" s="296">
        <f>IF(ComEne26!G52="",0,ComEne26!G52*1000)</f>
        <v>4981787.3500000024</v>
      </c>
      <c r="H105" s="296">
        <f>IF(ComEne26!H52="",0,ComEne26!H52*1000)</f>
        <v>4981787.3500000024</v>
      </c>
      <c r="I105" s="296">
        <f>IF(ComEne26!I52="",0,ComEne26!I52*1000)</f>
        <v>4981787.3500000024</v>
      </c>
      <c r="J105" s="296">
        <f>IF(ComEne26!J52="",0,ComEne26!J52*1000)</f>
        <v>4981787.3500000024</v>
      </c>
      <c r="K105" s="296">
        <f>IF(ComEne26!K52="",0,ComEne26!K52*1000)</f>
        <v>4981787.3500000024</v>
      </c>
      <c r="L105" s="296">
        <f>IF(ComEne26!L52="",0,ComEne26!L52*1000)</f>
        <v>4981787.3500000024</v>
      </c>
      <c r="M105" s="297">
        <f t="shared" si="31"/>
        <v>29890724.100000013</v>
      </c>
    </row>
    <row r="106" spans="2:13">
      <c r="B106" s="281" t="str">
        <f>ComEne26!B53</f>
        <v>DME-005-15A</v>
      </c>
      <c r="C106" s="281" t="str">
        <f>ComEne26!C53</f>
        <v>ALTERNEGY ENMIIENDA 7</v>
      </c>
      <c r="D106" s="281" t="str">
        <f>ComEne26!D53</f>
        <v>H2</v>
      </c>
      <c r="E106" s="1882"/>
      <c r="F106" s="1882"/>
      <c r="G106" s="296">
        <f>IF(ComEne26!G53="",0,ComEne26!G53*1000)</f>
        <v>4077068.4558333349</v>
      </c>
      <c r="H106" s="296">
        <f>IF(ComEne26!H53="",0,ComEne26!H53*1000)</f>
        <v>4077068.4558333349</v>
      </c>
      <c r="I106" s="296">
        <f>IF(ComEne26!I53="",0,ComEne26!I53*1000)</f>
        <v>4077068.4558333349</v>
      </c>
      <c r="J106" s="296">
        <f>IF(ComEne26!J53="",0,ComEne26!J53*1000)</f>
        <v>4077068.4558333349</v>
      </c>
      <c r="K106" s="296">
        <f>IF(ComEne26!K53="",0,ComEne26!K53*1000)</f>
        <v>4077068.4558333349</v>
      </c>
      <c r="L106" s="296">
        <f>IF(ComEne26!L53="",0,ComEne26!L53*1000)</f>
        <v>4077068.4558333349</v>
      </c>
      <c r="M106" s="297">
        <f t="shared" si="31"/>
        <v>24462410.735000011</v>
      </c>
    </row>
    <row r="107" spans="2:13">
      <c r="B107" s="281" t="str">
        <f>ComEne26!B54</f>
        <v>DME-016-25</v>
      </c>
      <c r="C107" s="281" t="str">
        <f>ComEne26!C54</f>
        <v>Generadora del Istmo</v>
      </c>
      <c r="D107" s="281" t="str">
        <f>ComEne26!D54</f>
        <v>H SP</v>
      </c>
      <c r="E107" s="1882"/>
      <c r="F107" s="1882"/>
      <c r="G107" s="296">
        <f>IF(ComEne26!G54="",0,ComEne26!G54*1000)</f>
        <v>70345.600000000006</v>
      </c>
      <c r="H107" s="296">
        <f>IF(ComEne26!H54="",0,ComEne26!H54*1000)</f>
        <v>66643.199999999997</v>
      </c>
      <c r="I107" s="296">
        <f>IF(ComEne26!I54="",0,ComEne26!I54*1000)</f>
        <v>65717.600000000006</v>
      </c>
      <c r="J107" s="296">
        <f>IF(ComEne26!J54="",0,ComEne26!J54*1000)</f>
        <v>67568.800000000003</v>
      </c>
      <c r="K107" s="296">
        <f>IF(ComEne26!K54="",0,ComEne26!K54*1000)</f>
        <v>0</v>
      </c>
      <c r="L107" s="296">
        <f>IF(ComEne26!L54="",0,ComEne26!L54*1000)</f>
        <v>63866.400000000001</v>
      </c>
      <c r="M107" s="297">
        <f t="shared" si="31"/>
        <v>334141.60000000003</v>
      </c>
    </row>
    <row r="108" spans="2:13">
      <c r="B108" s="281" t="str">
        <f>ComEne26!B55</f>
        <v>DME-017-25</v>
      </c>
      <c r="C108" s="281" t="str">
        <f>ComEne26!C55</f>
        <v>Caldera Energy Corp</v>
      </c>
      <c r="D108" s="281" t="str">
        <f>ComEne26!D55</f>
        <v>H SP</v>
      </c>
      <c r="E108" s="1882"/>
      <c r="F108" s="1882"/>
      <c r="G108" s="296">
        <f>IF(ComEne26!G55="",0,ComEne26!G55*1000)</f>
        <v>4788</v>
      </c>
      <c r="H108" s="296">
        <f>IF(ComEne26!H55="",0,ComEne26!H55*1000)</f>
        <v>4536.0000000000009</v>
      </c>
      <c r="I108" s="296">
        <f>IF(ComEne26!I55="",0,ComEne26!I55*1000)</f>
        <v>4473</v>
      </c>
      <c r="J108" s="296">
        <f>IF(ComEne26!J55="",0,ComEne26!J55*1000)</f>
        <v>4599</v>
      </c>
      <c r="K108" s="296">
        <f>IF(ComEne26!K55="",0,ComEne26!K55*1000)</f>
        <v>4410</v>
      </c>
      <c r="L108" s="296">
        <f>IF(ComEne26!L55="",0,ComEne26!L55*1000)</f>
        <v>4346.9999999999991</v>
      </c>
      <c r="M108" s="297">
        <f t="shared" si="31"/>
        <v>27153</v>
      </c>
    </row>
    <row r="109" spans="2:13">
      <c r="B109" s="281" t="str">
        <f>ComEne26!B56</f>
        <v>DME-018-25</v>
      </c>
      <c r="C109" s="281" t="str">
        <f>ComEne26!C56</f>
        <v>Autoridad del Canal de Panamá</v>
      </c>
      <c r="D109" s="281" t="str">
        <f>ComEne26!D56</f>
        <v>T SP</v>
      </c>
      <c r="E109" s="1882"/>
      <c r="F109" s="1882"/>
      <c r="G109" s="296">
        <f>IF(ComEne26!G56="",0,ComEne26!G56*1000)</f>
        <v>114000</v>
      </c>
      <c r="H109" s="296">
        <f>IF(ComEne26!H56="",0,ComEne26!H56*1000)</f>
        <v>108000</v>
      </c>
      <c r="I109" s="296">
        <f>IF(ComEne26!I56="",0,ComEne26!I56*1000)</f>
        <v>106500</v>
      </c>
      <c r="J109" s="296">
        <f>IF(ComEne26!J56="",0,ComEne26!J56*1000)</f>
        <v>109500</v>
      </c>
      <c r="K109" s="296">
        <f>IF(ComEne26!K56="",0,ComEne26!K56*1000)</f>
        <v>105000</v>
      </c>
      <c r="L109" s="296">
        <f>IF(ComEne26!L56="",0,ComEne26!L56*1000)</f>
        <v>160666.5</v>
      </c>
      <c r="M109" s="297">
        <f t="shared" si="31"/>
        <v>703666.5</v>
      </c>
    </row>
    <row r="110" spans="2:13">
      <c r="B110" s="281" t="str">
        <f>ComEne26!B57</f>
        <v>DME-019-25</v>
      </c>
      <c r="C110" s="281" t="str">
        <f>ComEne26!C57</f>
        <v>Hidroelectrica del Teribe</v>
      </c>
      <c r="D110" s="281" t="str">
        <f>ComEne26!D57</f>
        <v>H SP</v>
      </c>
      <c r="E110" s="1882"/>
      <c r="F110" s="1882"/>
      <c r="G110" s="296">
        <f>IF(ComEne26!G57="",0,ComEne26!G57*1000)</f>
        <v>55630.328000000009</v>
      </c>
      <c r="H110" s="296">
        <f>IF(ComEne26!H57="",0,ComEne26!H57*1000)</f>
        <v>52702.416000000005</v>
      </c>
      <c r="I110" s="296">
        <f>IF(ComEne26!I57="",0,ComEne26!I57*1000)</f>
        <v>51970.438000000002</v>
      </c>
      <c r="J110" s="296">
        <f>IF(ComEne26!J57="",0,ComEne26!J57*1000)</f>
        <v>53434.394000000008</v>
      </c>
      <c r="K110" s="296">
        <f>IF(ComEne26!K57="",0,ComEne26!K57*1000)</f>
        <v>50190.21</v>
      </c>
      <c r="L110" s="296">
        <f>IF(ComEne26!L57="",0,ComEne26!L57*1000)</f>
        <v>50506.482000000004</v>
      </c>
      <c r="M110" s="297">
        <f t="shared" si="31"/>
        <v>314434.26800000004</v>
      </c>
    </row>
    <row r="111" spans="2:13">
      <c r="B111" s="281" t="str">
        <f>ComEne26!B58</f>
        <v>DME-020-25</v>
      </c>
      <c r="C111" s="281" t="str">
        <f>ComEne26!C58</f>
        <v>Celsia Centroamérica</v>
      </c>
      <c r="D111" s="281" t="str">
        <f>ComEne26!D58</f>
        <v>T SP</v>
      </c>
      <c r="E111" s="1882"/>
      <c r="F111" s="1882"/>
      <c r="G111" s="296">
        <f>IF(ComEne26!G58="",0,ComEne26!G58*1000)</f>
        <v>18726.400000000001</v>
      </c>
      <c r="H111" s="296">
        <f>IF(ComEne26!H58="",0,ComEne26!H58*1000)</f>
        <v>17740.8</v>
      </c>
      <c r="I111" s="296">
        <f>IF(ComEne26!I58="",0,ComEne26!I58*1000)</f>
        <v>17494.399999999998</v>
      </c>
      <c r="J111" s="296">
        <f>IF(ComEne26!J58="",0,ComEne26!J58*1000)</f>
        <v>17987.2</v>
      </c>
      <c r="K111" s="296">
        <f>IF(ComEne26!K58="",0,ComEne26!K58*1000)</f>
        <v>0</v>
      </c>
      <c r="L111" s="296">
        <f>IF(ComEne26!L58="",0,ComEne26!L58*1000)</f>
        <v>17001.599999999999</v>
      </c>
      <c r="M111" s="297">
        <f t="shared" si="31"/>
        <v>88950.399999999994</v>
      </c>
    </row>
    <row r="112" spans="2:13">
      <c r="B112" s="281" t="str">
        <f>ComEne26!B59</f>
        <v>DME-021-25</v>
      </c>
      <c r="C112" s="281" t="str">
        <f>ComEne26!C59</f>
        <v>FOUNTAIN HYDRO POWER, CORP</v>
      </c>
      <c r="D112" s="281" t="str">
        <f>ComEne26!D59</f>
        <v>H SP</v>
      </c>
      <c r="E112" s="1882"/>
      <c r="F112" s="1882"/>
      <c r="G112" s="296">
        <f>IF(ComEne26!G59="",0,ComEne26!G59*1000)</f>
        <v>73643.999999999985</v>
      </c>
      <c r="H112" s="296">
        <f>IF(ComEne26!H59="",0,ComEne26!H59*1000)</f>
        <v>69768</v>
      </c>
      <c r="I112" s="296">
        <f>IF(ComEne26!I59="",0,ComEne26!I59*1000)</f>
        <v>68798.999999999985</v>
      </c>
      <c r="J112" s="296">
        <f>IF(ComEne26!J59="",0,ComEne26!J59*1000)</f>
        <v>70737</v>
      </c>
      <c r="K112" s="296">
        <f>IF(ComEne26!K59="",0,ComEne26!K59*1000)</f>
        <v>67830</v>
      </c>
      <c r="L112" s="296">
        <f>IF(ComEne26!L59="",0,ComEne26!L59*1000)</f>
        <v>66860.999999999985</v>
      </c>
      <c r="M112" s="297">
        <f t="shared" si="31"/>
        <v>417639</v>
      </c>
    </row>
    <row r="113" spans="2:13">
      <c r="B113" s="281" t="str">
        <f>ComEne26!B60</f>
        <v>DME-022-25</v>
      </c>
      <c r="C113" s="281" t="str">
        <f>ComEne26!C60</f>
        <v>Generadora del Atlántico</v>
      </c>
      <c r="D113" s="281" t="str">
        <f>ComEne26!D60</f>
        <v>T SP</v>
      </c>
      <c r="E113" s="1882"/>
      <c r="F113" s="1882"/>
      <c r="G113" s="296">
        <f>IF(ComEne26!G60="",0,ComEne26!G60*1000)</f>
        <v>67640</v>
      </c>
      <c r="H113" s="296">
        <f>IF(ComEne26!H60="",0,ComEne26!H60*1000)</f>
        <v>64080</v>
      </c>
      <c r="I113" s="296">
        <f>IF(ComEne26!I60="",0,ComEne26!I60*1000)</f>
        <v>63190</v>
      </c>
      <c r="J113" s="296">
        <f>IF(ComEne26!J60="",0,ComEne26!J60*1000)</f>
        <v>64970</v>
      </c>
      <c r="K113" s="296">
        <f>IF(ComEne26!K60="",0,ComEne26!K60*1000)</f>
        <v>62300.000000000007</v>
      </c>
      <c r="L113" s="296">
        <f>IF(ComEne26!L60="",0,ComEne26!L60*1000)</f>
        <v>61410.000000000007</v>
      </c>
      <c r="M113" s="297">
        <f t="shared" si="31"/>
        <v>383590</v>
      </c>
    </row>
    <row r="114" spans="2:13">
      <c r="B114" s="281" t="str">
        <f>ComEne26!B61</f>
        <v>DME-023-25</v>
      </c>
      <c r="C114" s="281" t="str">
        <f>ComEne26!C61</f>
        <v>Generadora del Atlántico</v>
      </c>
      <c r="D114" s="281" t="str">
        <f>ComEne26!D61</f>
        <v>T SP</v>
      </c>
      <c r="E114" s="1882"/>
      <c r="F114" s="1882"/>
      <c r="G114" s="296">
        <f>IF(ComEne26!G61="",0,ComEne26!G61*1000)</f>
        <v>345230</v>
      </c>
      <c r="H114" s="296">
        <f>IF(ComEne26!H61="",0,ComEne26!H61*1000)</f>
        <v>327060</v>
      </c>
      <c r="I114" s="296">
        <f>IF(ComEne26!I61="",0,ComEne26!I61*1000)</f>
        <v>322517.50000000006</v>
      </c>
      <c r="J114" s="296">
        <f>IF(ComEne26!J61="",0,ComEne26!J61*1000)</f>
        <v>331602.5</v>
      </c>
      <c r="K114" s="296">
        <f>IF(ComEne26!K61="",0,ComEne26!K61*1000)</f>
        <v>317975</v>
      </c>
      <c r="L114" s="296">
        <f>IF(ComEne26!L61="",0,ComEne26!L61*1000)</f>
        <v>313432.5</v>
      </c>
      <c r="M114" s="297">
        <f t="shared" si="31"/>
        <v>1957817.5</v>
      </c>
    </row>
    <row r="115" spans="2:13">
      <c r="B115" s="281" t="str">
        <f>ComEne26!B62</f>
        <v>DME-024-25</v>
      </c>
      <c r="C115" s="281" t="str">
        <f>ComEne26!C62</f>
        <v>HIDRO PANAMÁ</v>
      </c>
      <c r="D115" s="281" t="str">
        <f>ComEne26!D62</f>
        <v>H SP</v>
      </c>
      <c r="E115" s="1882"/>
      <c r="F115" s="1882"/>
      <c r="G115" s="296">
        <f>IF(ComEne26!G62="",0,ComEne26!G62*1000)</f>
        <v>4077.4</v>
      </c>
      <c r="H115" s="296">
        <f>IF(ComEne26!H62="",0,ComEne26!H62*1000)</f>
        <v>3862.8000000000006</v>
      </c>
      <c r="I115" s="296">
        <f>IF(ComEne26!I62="",0,ComEne26!I62*1000)</f>
        <v>3809.1499999999996</v>
      </c>
      <c r="J115" s="296">
        <f>IF(ComEne26!J62="",0,ComEne26!J62*1000)</f>
        <v>3916.4500000000003</v>
      </c>
      <c r="K115" s="296">
        <f>IF(ComEne26!K62="",0,ComEne26!K62*1000)</f>
        <v>0</v>
      </c>
      <c r="L115" s="296">
        <f>IF(ComEne26!L62="",0,ComEne26!L62*1000)</f>
        <v>3701.8500000000004</v>
      </c>
      <c r="M115" s="297">
        <f t="shared" si="31"/>
        <v>19367.650000000001</v>
      </c>
    </row>
    <row r="116" spans="2:13">
      <c r="B116" s="281"/>
      <c r="C116" s="281"/>
      <c r="D116" s="281"/>
      <c r="E116" s="1882"/>
      <c r="F116" s="1882"/>
      <c r="G116" s="296"/>
      <c r="H116" s="296"/>
      <c r="I116" s="296"/>
      <c r="J116" s="296"/>
      <c r="K116" s="296"/>
      <c r="L116" s="296"/>
      <c r="M116" s="297"/>
    </row>
    <row r="117" spans="2:13">
      <c r="B117" s="285"/>
      <c r="C117" s="286" t="s">
        <v>401</v>
      </c>
      <c r="D117" s="285"/>
      <c r="E117" s="1883"/>
      <c r="F117" s="1883"/>
      <c r="G117" s="298">
        <f t="shared" ref="G117:M117" si="32">SUM(G88:G116)</f>
        <v>15203652.465900443</v>
      </c>
      <c r="H117" s="298">
        <f t="shared" si="32"/>
        <v>15163963.953900443</v>
      </c>
      <c r="I117" s="298">
        <f t="shared" si="32"/>
        <v>15154041.825900443</v>
      </c>
      <c r="J117" s="298">
        <f t="shared" si="32"/>
        <v>15173886.081900442</v>
      </c>
      <c r="K117" s="298">
        <f t="shared" si="32"/>
        <v>15057275.947900444</v>
      </c>
      <c r="L117" s="298">
        <f t="shared" si="32"/>
        <v>15191364.069900444</v>
      </c>
      <c r="M117" s="298">
        <f t="shared" si="32"/>
        <v>90944184.345402673</v>
      </c>
    </row>
    <row r="118" spans="2:13">
      <c r="B118" s="281" t="s">
        <v>825</v>
      </c>
      <c r="C118" s="281" t="s">
        <v>1000</v>
      </c>
      <c r="D118" s="281" t="s">
        <v>1090</v>
      </c>
      <c r="E118" s="1882"/>
      <c r="F118" s="1882"/>
      <c r="G118" s="296">
        <f>IF(ComEne26!G65="",0,ComEne26!G65*1000)</f>
        <v>115500</v>
      </c>
      <c r="H118" s="296">
        <f>IF(ComEne26!H65="",0,ComEne26!H65*1000)</f>
        <v>115500</v>
      </c>
      <c r="I118" s="296">
        <f>IF(ComEne26!I65="",0,ComEne26!I65*1000)</f>
        <v>115500</v>
      </c>
      <c r="J118" s="296">
        <f>IF(ComEne26!J65="",0,ComEne26!J65*1000)</f>
        <v>115500</v>
      </c>
      <c r="K118" s="296">
        <f>IF(ComEne26!K65="",0,ComEne26!K65*1000)</f>
        <v>115500</v>
      </c>
      <c r="L118" s="296">
        <f>IF(ComEne26!L65="",0,ComEne26!L65*1000)</f>
        <v>115500</v>
      </c>
      <c r="M118" s="297">
        <f>SUM(G118:L118)</f>
        <v>693000</v>
      </c>
    </row>
    <row r="119" spans="2:13">
      <c r="B119" s="281" t="s">
        <v>897</v>
      </c>
      <c r="C119" s="281" t="s">
        <v>1001</v>
      </c>
      <c r="D119" s="281" t="s">
        <v>1090</v>
      </c>
      <c r="E119" s="1882"/>
      <c r="F119" s="1882"/>
      <c r="G119" s="296">
        <f>IF(ComEne26!G66="",0,ComEne26!G66*1000)</f>
        <v>879918</v>
      </c>
      <c r="H119" s="296">
        <f>IF(ComEne26!H66="",0,ComEne26!H66*1000)</f>
        <v>879918</v>
      </c>
      <c r="I119" s="296">
        <f>IF(ComEne26!I66="",0,ComEne26!I66*1000)</f>
        <v>879918</v>
      </c>
      <c r="J119" s="296">
        <f>IF(ComEne26!J66="",0,ComEne26!J66*1000)</f>
        <v>879918</v>
      </c>
      <c r="K119" s="296">
        <f>IF(ComEne26!K66="",0,ComEne26!K66*1000)</f>
        <v>879918</v>
      </c>
      <c r="L119" s="296">
        <f>IF(ComEne26!L66="",0,ComEne26!L66*1000)</f>
        <v>879918</v>
      </c>
      <c r="M119" s="297">
        <f>SUM(G119:L119)</f>
        <v>5279508</v>
      </c>
    </row>
    <row r="120" spans="2:13">
      <c r="B120" s="281"/>
      <c r="C120" s="281"/>
      <c r="D120" s="281"/>
      <c r="E120" s="1882"/>
      <c r="F120" s="1882"/>
      <c r="G120" s="296"/>
      <c r="H120" s="296"/>
      <c r="I120" s="296"/>
      <c r="J120" s="296"/>
      <c r="K120" s="296"/>
      <c r="L120" s="296"/>
      <c r="M120" s="297"/>
    </row>
    <row r="121" spans="2:13">
      <c r="B121" s="286"/>
      <c r="C121" s="286" t="s">
        <v>182</v>
      </c>
      <c r="D121" s="286"/>
      <c r="E121" s="1891"/>
      <c r="F121" s="1891"/>
      <c r="G121" s="298">
        <f t="shared" ref="G121:M121" si="33">SUM(G117:G120)</f>
        <v>16199070.465900443</v>
      </c>
      <c r="H121" s="298">
        <f t="shared" si="33"/>
        <v>16159381.953900443</v>
      </c>
      <c r="I121" s="298">
        <f t="shared" si="33"/>
        <v>16149459.825900443</v>
      </c>
      <c r="J121" s="298">
        <f t="shared" si="33"/>
        <v>16169304.081900442</v>
      </c>
      <c r="K121" s="298">
        <f t="shared" si="33"/>
        <v>16052693.947900444</v>
      </c>
      <c r="L121" s="298">
        <f t="shared" si="33"/>
        <v>16186782.069900444</v>
      </c>
      <c r="M121" s="298">
        <f t="shared" si="33"/>
        <v>96916692.345402673</v>
      </c>
    </row>
    <row r="122" spans="2:13">
      <c r="B122" s="281" t="s">
        <v>714</v>
      </c>
      <c r="C122" s="281" t="s">
        <v>388</v>
      </c>
      <c r="D122" s="281" t="s">
        <v>389</v>
      </c>
      <c r="E122" s="1882"/>
      <c r="F122" s="1882"/>
      <c r="G122" s="296">
        <f>IF(ComEne26!G64="",0,ComEne26!G64*1000)</f>
        <v>0</v>
      </c>
      <c r="H122" s="296">
        <f>IF(ComEne26!H64="",0,ComEne26!H64*1000)</f>
        <v>0</v>
      </c>
      <c r="I122" s="296">
        <f>IF(ComEne26!I64="",0,ComEne26!I64*1000)</f>
        <v>0</v>
      </c>
      <c r="J122" s="296">
        <f>IF(ComEne26!J64="",0,ComEne26!J64*1000)</f>
        <v>0</v>
      </c>
      <c r="K122" s="296">
        <f>IF(ComEne26!K64="",0,ComEne26!K64*1000)</f>
        <v>0</v>
      </c>
      <c r="L122" s="296">
        <f>IF(ComEne26!L64="",0,ComEne26!L64*1000)</f>
        <v>0</v>
      </c>
      <c r="M122" s="297">
        <f>SUM(G122:L122)</f>
        <v>0</v>
      </c>
    </row>
    <row r="123" spans="2:13" s="38" customFormat="1">
      <c r="B123" s="281" t="s">
        <v>465</v>
      </c>
      <c r="C123" s="281" t="s">
        <v>395</v>
      </c>
      <c r="D123" s="281" t="s">
        <v>590</v>
      </c>
      <c r="E123" s="1882"/>
      <c r="F123" s="1882"/>
      <c r="G123" s="296">
        <f>IF(ComEne26!G137="",0,ComEne26!G137*1000)</f>
        <v>53390.29</v>
      </c>
      <c r="H123" s="296">
        <f>IF(ComEne26!H137="",0,ComEne26!H137*1000)</f>
        <v>66012.009999999995</v>
      </c>
      <c r="I123" s="296">
        <f>IF(ComEne26!I137="",0,ComEne26!I137*1000)</f>
        <v>244848.16</v>
      </c>
      <c r="J123" s="296">
        <f>IF(ComEne26!J137="",0,ComEne26!J137*1000)</f>
        <v>211831.42</v>
      </c>
      <c r="K123" s="296">
        <f>IF(ComEne26!K137="",0,ComEne26!K137*1000)</f>
        <v>213468.84</v>
      </c>
      <c r="L123" s="296">
        <f>IF(ComEne26!L137="",0,ComEne26!L137*1000)</f>
        <v>137982.31</v>
      </c>
      <c r="M123" s="297">
        <f>SUM(G123:L123)</f>
        <v>927533.03</v>
      </c>
    </row>
    <row r="124" spans="2:13" s="38" customFormat="1">
      <c r="B124" s="281" t="s">
        <v>467</v>
      </c>
      <c r="C124" s="281" t="s">
        <v>397</v>
      </c>
      <c r="D124" s="281" t="s">
        <v>590</v>
      </c>
      <c r="E124" s="1882"/>
      <c r="F124" s="1882"/>
      <c r="G124" s="296">
        <f>IF(ComEne26!G138="",0,ComEne26!G138*1000)</f>
        <v>0</v>
      </c>
      <c r="H124" s="296">
        <f>IF(ComEne26!H138="",0,ComEne26!H138*1000)</f>
        <v>0</v>
      </c>
      <c r="I124" s="296">
        <f>IF(ComEne26!I138="",0,ComEne26!I138*1000)</f>
        <v>0</v>
      </c>
      <c r="J124" s="296">
        <f>IF(ComEne26!J138="",0,ComEne26!J138*1000)</f>
        <v>0</v>
      </c>
      <c r="K124" s="296">
        <f>IF(ComEne26!K138="",0,ComEne26!K138*1000)</f>
        <v>0</v>
      </c>
      <c r="L124" s="296">
        <f>IF(ComEne26!L138="",0,ComEne26!L138*1000)</f>
        <v>0</v>
      </c>
      <c r="M124" s="297">
        <f>SUM(G124:L124)</f>
        <v>0</v>
      </c>
    </row>
    <row r="125" spans="2:13">
      <c r="B125" s="281"/>
      <c r="C125" s="281"/>
      <c r="D125" s="281"/>
      <c r="E125" s="1882"/>
      <c r="F125" s="1882"/>
      <c r="G125" s="296"/>
      <c r="H125" s="296"/>
      <c r="I125" s="296"/>
      <c r="J125" s="296"/>
      <c r="K125" s="296"/>
      <c r="L125" s="296"/>
      <c r="M125" s="297"/>
    </row>
    <row r="126" spans="2:13" s="38" customFormat="1">
      <c r="B126" s="288"/>
      <c r="C126" s="288" t="s">
        <v>246</v>
      </c>
      <c r="D126" s="288"/>
      <c r="E126" s="1892"/>
      <c r="F126" s="1892"/>
      <c r="G126" s="298">
        <f t="shared" ref="G126:M126" si="34">SUM(G121:G125)</f>
        <v>16252460.755900443</v>
      </c>
      <c r="H126" s="298">
        <f t="shared" si="34"/>
        <v>16225393.963900443</v>
      </c>
      <c r="I126" s="298">
        <f t="shared" si="34"/>
        <v>16394307.985900443</v>
      </c>
      <c r="J126" s="298">
        <f t="shared" si="34"/>
        <v>16381135.501900442</v>
      </c>
      <c r="K126" s="298">
        <f t="shared" si="34"/>
        <v>16266162.787900444</v>
      </c>
      <c r="L126" s="298">
        <f t="shared" si="34"/>
        <v>16324764.379900444</v>
      </c>
      <c r="M126" s="298">
        <f t="shared" si="34"/>
        <v>97844225.375402674</v>
      </c>
    </row>
    <row r="127" spans="2:13" s="38" customFormat="1">
      <c r="B127" s="289"/>
      <c r="C127" s="289" t="s">
        <v>320</v>
      </c>
      <c r="D127" s="289"/>
      <c r="E127" s="1884"/>
      <c r="F127" s="1884"/>
      <c r="G127" s="299"/>
      <c r="H127" s="299"/>
      <c r="I127" s="299"/>
      <c r="J127" s="299"/>
      <c r="K127" s="299"/>
      <c r="L127" s="299"/>
      <c r="M127" s="299"/>
    </row>
    <row r="128" spans="2:13" s="38" customFormat="1">
      <c r="B128" s="288"/>
      <c r="C128" s="288" t="s">
        <v>103</v>
      </c>
      <c r="D128" s="288"/>
      <c r="E128" s="1892"/>
      <c r="F128" s="1892"/>
      <c r="G128" s="298">
        <f>G126+G127</f>
        <v>16252460.755900443</v>
      </c>
      <c r="H128" s="298">
        <f t="shared" ref="H128:M128" si="35">H126+H127</f>
        <v>16225393.963900443</v>
      </c>
      <c r="I128" s="298">
        <f t="shared" si="35"/>
        <v>16394307.985900443</v>
      </c>
      <c r="J128" s="298">
        <f t="shared" si="35"/>
        <v>16381135.501900442</v>
      </c>
      <c r="K128" s="298">
        <f t="shared" si="35"/>
        <v>16266162.787900444</v>
      </c>
      <c r="L128" s="298">
        <f t="shared" si="35"/>
        <v>16324764.379900444</v>
      </c>
      <c r="M128" s="298">
        <f t="shared" si="35"/>
        <v>97844225.375402674</v>
      </c>
    </row>
    <row r="129" spans="2:13">
      <c r="G129" s="1535">
        <f>ComEne26!G70*1000-G128+G123</f>
        <v>8.9494278654456139E-10</v>
      </c>
      <c r="H129" s="1535">
        <f>ComEne26!H70*1000-H128+H123</f>
        <v>2.0809238776564598E-9</v>
      </c>
      <c r="I129" s="1535">
        <f>ComEne26!I70*1000-I128+I123</f>
        <v>1.7171259969472885E-9</v>
      </c>
      <c r="J129" s="1535">
        <f>ComEne26!J70*1000-J128+J123</f>
        <v>1.9499566406011581E-9</v>
      </c>
      <c r="K129" s="1535">
        <f>ComEne26!K70*1000-K128+K123</f>
        <v>0</v>
      </c>
      <c r="L129" s="1535">
        <f>ComEne26!L70*1000-L128+L123</f>
        <v>1.3387762010097504E-9</v>
      </c>
      <c r="M129" s="1535">
        <f>ComEne26!M70*1000-M128+M123</f>
        <v>-1.1641532182693481E-9</v>
      </c>
    </row>
    <row r="130" spans="2:13" ht="9.6" customHeight="1">
      <c r="G130" s="1535"/>
      <c r="H130" s="1535"/>
      <c r="I130" s="1535"/>
      <c r="J130" s="1535"/>
      <c r="K130" s="1535"/>
      <c r="L130" s="1535"/>
      <c r="M130" s="1535"/>
    </row>
    <row r="131" spans="2:13" ht="30">
      <c r="B131" s="276"/>
      <c r="C131" s="276" t="s">
        <v>498</v>
      </c>
      <c r="D131" s="276"/>
      <c r="E131" s="1890"/>
      <c r="F131" s="1890"/>
      <c r="G131" s="277" t="s">
        <v>497</v>
      </c>
      <c r="H131" s="277"/>
      <c r="I131" s="277"/>
      <c r="J131" s="277"/>
      <c r="K131" s="277"/>
      <c r="L131" s="277"/>
      <c r="M131" s="277"/>
    </row>
    <row r="132" spans="2:13">
      <c r="B132" s="279"/>
      <c r="C132" s="279" t="s">
        <v>137</v>
      </c>
      <c r="D132" s="279"/>
      <c r="E132" s="1881"/>
      <c r="F132" s="1881"/>
      <c r="G132" s="280">
        <f t="shared" ref="G132:L132" si="36">G$4</f>
        <v>46204</v>
      </c>
      <c r="H132" s="280">
        <f t="shared" si="36"/>
        <v>46235</v>
      </c>
      <c r="I132" s="280">
        <f t="shared" si="36"/>
        <v>46266</v>
      </c>
      <c r="J132" s="280">
        <f t="shared" si="36"/>
        <v>46296</v>
      </c>
      <c r="K132" s="280">
        <f t="shared" si="36"/>
        <v>46327</v>
      </c>
      <c r="L132" s="280">
        <f t="shared" si="36"/>
        <v>46357</v>
      </c>
      <c r="M132" s="280" t="s">
        <v>111</v>
      </c>
    </row>
    <row r="133" spans="2:13">
      <c r="B133" s="281" t="str">
        <f>ComEne26!B317</f>
        <v>DME-011-08</v>
      </c>
      <c r="C133" s="281" t="str">
        <f>ComEne26!C317</f>
        <v>ELECTRO INVEST. - ENMIENDA 5</v>
      </c>
      <c r="D133" s="281" t="str">
        <f>ComEne26!D317</f>
        <v>H</v>
      </c>
      <c r="E133" s="1882"/>
      <c r="F133" s="1882"/>
      <c r="G133" s="296">
        <f>SUMIF(ComEne26!$B$316:$B$454,$B133,ComEne26!G$316:G$454)</f>
        <v>2088.5576031368155</v>
      </c>
      <c r="H133" s="296">
        <f>SUMIF(ComEne26!$B$316:$B$454,$B133,ComEne26!H$316:H$454)</f>
        <v>2075.1649194679349</v>
      </c>
      <c r="I133" s="296">
        <f>SUMIF(ComEne26!$B$316:$B$454,$B133,ComEne26!I$316:I$454)</f>
        <v>2083.553963809954</v>
      </c>
      <c r="J133" s="296">
        <f>SUMIF(ComEne26!$B$316:$B$454,$B133,ComEne26!J$316:J$454)</f>
        <v>2292.3001461733475</v>
      </c>
      <c r="K133" s="296">
        <f>SUMIF(ComEne26!$B$316:$B$454,$B133,ComEne26!K$316:K$454)</f>
        <v>2052.0644713155089</v>
      </c>
      <c r="L133" s="296">
        <f>SUMIF(ComEne26!$B$316:$B$454,$B133,ComEne26!L$316:L$454)</f>
        <v>2016.4504626590528</v>
      </c>
      <c r="M133" s="297">
        <f t="shared" ref="M133" si="37">SUM(G133:L133)</f>
        <v>12608.091566562614</v>
      </c>
    </row>
    <row r="134" spans="2:13">
      <c r="B134" s="281" t="str">
        <f>ComEne26!B318</f>
        <v>DME-016-11</v>
      </c>
      <c r="C134" s="281" t="str">
        <f>ComEne26!C318</f>
        <v>FORTUNA</v>
      </c>
      <c r="D134" s="281" t="str">
        <f>ComEne26!D318</f>
        <v>H</v>
      </c>
      <c r="E134" s="1882"/>
      <c r="F134" s="1882"/>
      <c r="G134" s="296">
        <f>SUMIF(ComEne26!$B$316:$B$454,$B134,ComEne26!G$316:G$454)</f>
        <v>3574.6026605095835</v>
      </c>
      <c r="H134" s="296">
        <f>SUMIF(ComEne26!$B$316:$B$454,$B134,ComEne26!H$316:H$454)</f>
        <v>3551.6808494940569</v>
      </c>
      <c r="I134" s="296">
        <f>SUMIF(ComEne26!$B$316:$B$454,$B134,ComEne26!I$316:I$454)</f>
        <v>3566.0388447818459</v>
      </c>
      <c r="J134" s="296">
        <f>SUMIF(ComEne26!$B$316:$B$454,$B134,ComEne26!J$316:J$454)</f>
        <v>3923.3115662651835</v>
      </c>
      <c r="K134" s="296">
        <f>SUMIF(ComEne26!$B$316:$B$454,$B134,ComEne26!K$316:K$454)</f>
        <v>3512.1440307342555</v>
      </c>
      <c r="L134" s="296">
        <f>SUMIF(ComEne26!$B$316:$B$454,$B134,ComEne26!L$316:L$454)</f>
        <v>3451.1900355446678</v>
      </c>
      <c r="M134" s="297">
        <f t="shared" ref="M134:M189" si="38">SUM(G134:L134)</f>
        <v>21578.967987329594</v>
      </c>
    </row>
    <row r="135" spans="2:13">
      <c r="B135" s="281" t="str">
        <f>ComEne26!B319</f>
        <v>DME-018-11</v>
      </c>
      <c r="C135" s="281" t="str">
        <f>ComEne26!C319</f>
        <v xml:space="preserve">HIDROECOLOGICA DEL TERIBE </v>
      </c>
      <c r="D135" s="281" t="str">
        <f>ComEne26!D319</f>
        <v>H</v>
      </c>
      <c r="E135" s="1882"/>
      <c r="F135" s="1882"/>
      <c r="G135" s="296">
        <f>SUMIF(ComEne26!$B$316:$B$454,$B135,ComEne26!G$316:G$454)</f>
        <v>1210.9093755578015</v>
      </c>
      <c r="H135" s="296">
        <f>SUMIF(ComEne26!$B$316:$B$454,$B135,ComEne26!H$316:H$454)</f>
        <v>1203.1445304828221</v>
      </c>
      <c r="I135" s="296">
        <f>SUMIF(ComEne26!$B$316:$B$454,$B135,ComEne26!I$316:I$454)</f>
        <v>1208.0083524959016</v>
      </c>
      <c r="J135" s="296">
        <f>SUMIF(ComEne26!$B$316:$B$454,$B135,ComEne26!J$316:J$454)</f>
        <v>1329.0357586618084</v>
      </c>
      <c r="K135" s="296">
        <f>SUMIF(ComEne26!$B$316:$B$454,$B135,ComEne26!K$316:K$454)</f>
        <v>1189.7512923909701</v>
      </c>
      <c r="L135" s="296">
        <f>SUMIF(ComEne26!$B$316:$B$454,$B135,ComEne26!L$316:L$454)</f>
        <v>1169.1029095460203</v>
      </c>
      <c r="M135" s="297">
        <f t="shared" si="38"/>
        <v>7309.9522191353244</v>
      </c>
    </row>
    <row r="136" spans="2:13">
      <c r="B136" s="281" t="str">
        <f>ComEne26!B320</f>
        <v>DME-020-11</v>
      </c>
      <c r="C136" s="281" t="str">
        <f>ComEne26!C320</f>
        <v xml:space="preserve">ESEPSA </v>
      </c>
      <c r="D136" s="281" t="str">
        <f>ComEne26!D320</f>
        <v>H</v>
      </c>
      <c r="E136" s="1882"/>
      <c r="F136" s="1882"/>
      <c r="G136" s="296">
        <f>SUMIF(ComEne26!$B$316:$B$454,$B136,ComEne26!G$316:G$454)</f>
        <v>663.58015394272138</v>
      </c>
      <c r="H136" s="296">
        <f>SUMIF(ComEne26!$B$316:$B$454,$B136,ComEne26!H$316:H$454)</f>
        <v>659.32500719582083</v>
      </c>
      <c r="I136" s="296">
        <f>SUMIF(ComEne26!$B$316:$B$454,$B136,ComEne26!I$316:I$454)</f>
        <v>661.99038895380954</v>
      </c>
      <c r="J136" s="296">
        <f>SUMIF(ComEne26!$B$316:$B$454,$B136,ComEne26!J$316:J$454)</f>
        <v>728.31358905114587</v>
      </c>
      <c r="K136" s="296">
        <f>SUMIF(ComEne26!$B$316:$B$454,$B136,ComEne26!K$316:K$454)</f>
        <v>651.98549263413975</v>
      </c>
      <c r="L136" s="296">
        <f>SUMIF(ComEne26!$B$316:$B$454,$B136,ComEne26!L$316:L$454)</f>
        <v>640.67014786640414</v>
      </c>
      <c r="M136" s="297">
        <f t="shared" si="38"/>
        <v>4005.8647796440414</v>
      </c>
    </row>
    <row r="137" spans="2:13">
      <c r="B137" s="281" t="str">
        <f>ComEne26!B321</f>
        <v>DME-021-11</v>
      </c>
      <c r="C137" s="281" t="str">
        <f>ComEne26!C321</f>
        <v xml:space="preserve">PEDREGALITO </v>
      </c>
      <c r="D137" s="281" t="str">
        <f>ComEne26!D321</f>
        <v>H</v>
      </c>
      <c r="E137" s="1882"/>
      <c r="F137" s="1882"/>
      <c r="G137" s="296">
        <f>SUMIF(ComEne26!$B$316:$B$454,$B137,ComEne26!G$316:G$454)</f>
        <v>476.85402353705899</v>
      </c>
      <c r="H137" s="296">
        <f>SUMIF(ComEne26!$B$316:$B$454,$B137,ComEne26!H$316:H$454)</f>
        <v>473.79624093921592</v>
      </c>
      <c r="I137" s="296">
        <f>SUMIF(ComEne26!$B$316:$B$454,$B137,ComEne26!I$316:I$454)</f>
        <v>475.71160565892217</v>
      </c>
      <c r="J137" s="296">
        <f>SUMIF(ComEne26!$B$316:$B$454,$B137,ComEne26!J$316:J$454)</f>
        <v>523.37198946087392</v>
      </c>
      <c r="K137" s="296">
        <f>SUMIF(ComEne26!$B$316:$B$454,$B137,ComEne26!K$316:K$454)</f>
        <v>468.52200687909271</v>
      </c>
      <c r="L137" s="296">
        <f>SUMIF(ComEne26!$B$316:$B$454,$B137,ComEne26!L$316:L$454)</f>
        <v>460.39070932876018</v>
      </c>
      <c r="M137" s="297">
        <f t="shared" si="38"/>
        <v>2878.646575803924</v>
      </c>
    </row>
    <row r="138" spans="2:13">
      <c r="B138" s="281" t="str">
        <f>ComEne26!B322</f>
        <v>DME-022-11</v>
      </c>
      <c r="C138" s="281" t="str">
        <f>ComEne26!C322</f>
        <v xml:space="preserve">CALDERA </v>
      </c>
      <c r="D138" s="281" t="str">
        <f>ComEne26!D322</f>
        <v>H</v>
      </c>
      <c r="E138" s="1882"/>
      <c r="F138" s="1882"/>
      <c r="G138" s="296">
        <f>SUMIF(ComEne26!$B$316:$B$454,$B138,ComEne26!G$316:G$454)</f>
        <v>363.27281266734042</v>
      </c>
      <c r="H138" s="296">
        <f>SUMIF(ComEne26!$B$316:$B$454,$B138,ComEne26!H$316:H$454)</f>
        <v>360.94335914484668</v>
      </c>
      <c r="I138" s="296">
        <f>SUMIF(ComEne26!$B$316:$B$454,$B138,ComEne26!I$316:I$454)</f>
        <v>362.40250574877052</v>
      </c>
      <c r="J138" s="296">
        <f>SUMIF(ComEne26!$B$316:$B$454,$B138,ComEne26!J$316:J$454)</f>
        <v>398.71072759854252</v>
      </c>
      <c r="K138" s="296">
        <f>SUMIF(ComEne26!$B$316:$B$454,$B138,ComEne26!K$316:K$454)</f>
        <v>356.92538771729102</v>
      </c>
      <c r="L138" s="296">
        <f>SUMIF(ComEne26!$B$316:$B$454,$B138,ComEne26!L$316:L$454)</f>
        <v>350.73087286380616</v>
      </c>
      <c r="M138" s="297">
        <f t="shared" si="38"/>
        <v>2192.9856657405971</v>
      </c>
    </row>
    <row r="139" spans="2:13">
      <c r="B139" s="281" t="str">
        <f>ComEne26!B323</f>
        <v>DME-023-11</v>
      </c>
      <c r="C139" s="281" t="str">
        <f>ComEne26!C323</f>
        <v xml:space="preserve">RIO CHICO </v>
      </c>
      <c r="D139" s="281" t="str">
        <f>ComEne26!D323</f>
        <v>H</v>
      </c>
      <c r="E139" s="1882"/>
      <c r="F139" s="1882"/>
      <c r="G139" s="296">
        <f>SUMIF(ComEne26!$B$316:$B$454,$B139,ComEne26!G$316:G$454)</f>
        <v>292.43438718007826</v>
      </c>
      <c r="H139" s="296">
        <f>SUMIF(ComEne26!$B$316:$B$454,$B139,ComEne26!H$316:H$454)</f>
        <v>290.55917855019726</v>
      </c>
      <c r="I139" s="296">
        <f>SUMIF(ComEne26!$B$316:$B$454,$B139,ComEne26!I$316:I$454)</f>
        <v>291.73379065450331</v>
      </c>
      <c r="J139" s="296">
        <f>SUMIF(ComEne26!$B$316:$B$454,$B139,ComEne26!J$316:J$454)</f>
        <v>320.96188655376733</v>
      </c>
      <c r="K139" s="296">
        <f>SUMIF(ComEne26!$B$316:$B$454,$B139,ComEne26!K$316:K$454)</f>
        <v>287.32471406193321</v>
      </c>
      <c r="L139" s="296">
        <f>SUMIF(ComEne26!$B$316:$B$454,$B139,ComEne26!L$316:L$454)</f>
        <v>282.33813347596583</v>
      </c>
      <c r="M139" s="297">
        <f t="shared" si="38"/>
        <v>1765.3520904764453</v>
      </c>
    </row>
    <row r="140" spans="2:13">
      <c r="B140" s="281" t="str">
        <f>ComEne26!B324</f>
        <v>DME-024-11</v>
      </c>
      <c r="C140" s="281" t="str">
        <f>ComEne26!C324</f>
        <v xml:space="preserve">ALTO VALLE </v>
      </c>
      <c r="D140" s="281" t="str">
        <f>ComEne26!D324</f>
        <v>H</v>
      </c>
      <c r="E140" s="1882"/>
      <c r="F140" s="1882"/>
      <c r="G140" s="296">
        <f>SUMIF(ComEne26!$B$316:$B$454,$B140,ComEne26!G$316:G$454)</f>
        <v>278.26851821967205</v>
      </c>
      <c r="H140" s="296">
        <f>SUMIF(ComEne26!$B$316:$B$454,$B140,ComEne26!H$316:H$454)</f>
        <v>276.48414692250168</v>
      </c>
      <c r="I140" s="296">
        <f>SUMIF(ComEne26!$B$316:$B$454,$B140,ComEne26!I$316:I$454)</f>
        <v>277.60185942170534</v>
      </c>
      <c r="J140" s="296">
        <f>SUMIF(ComEne26!$B$316:$B$454,$B140,ComEne26!J$316:J$454)</f>
        <v>305.41411164928729</v>
      </c>
      <c r="K140" s="296">
        <f>SUMIF(ComEne26!$B$316:$B$454,$B140,ComEne26!K$316:K$454)</f>
        <v>273.40636373474979</v>
      </c>
      <c r="L140" s="296">
        <f>SUMIF(ComEne26!$B$316:$B$454,$B140,ComEne26!L$316:L$454)</f>
        <v>268.66133903358269</v>
      </c>
      <c r="M140" s="297">
        <f t="shared" si="38"/>
        <v>1679.8363389814988</v>
      </c>
    </row>
    <row r="141" spans="2:13">
      <c r="B141" s="281" t="str">
        <f>ComEne26!B325</f>
        <v>DME-025-11</v>
      </c>
      <c r="C141" s="281" t="str">
        <f>ComEne26!C325</f>
        <v xml:space="preserve">DESARROLLO HIDRO CORP </v>
      </c>
      <c r="D141" s="281" t="str">
        <f>ComEne26!D325</f>
        <v>H</v>
      </c>
      <c r="E141" s="1882"/>
      <c r="F141" s="1882"/>
      <c r="G141" s="296">
        <f>SUMIF(ComEne26!$B$316:$B$454,$B141,ComEne26!G$316:G$454)</f>
        <v>230.43600876522348</v>
      </c>
      <c r="H141" s="296">
        <f>SUMIF(ComEne26!$B$316:$B$454,$B141,ComEne26!H$316:H$454)</f>
        <v>228.95835903860024</v>
      </c>
      <c r="I141" s="296">
        <f>SUMIF(ComEne26!$B$316:$B$454,$B141,ComEne26!I$316:I$454)</f>
        <v>229.88394418531868</v>
      </c>
      <c r="J141" s="296">
        <f>SUMIF(ComEne26!$B$316:$B$454,$B141,ComEne26!J$316:J$454)</f>
        <v>252.91545504073031</v>
      </c>
      <c r="K141" s="296">
        <f>SUMIF(ComEne26!$B$316:$B$454,$B141,ComEne26!K$316:K$454)</f>
        <v>226.40962633190443</v>
      </c>
      <c r="L141" s="296">
        <f>SUMIF(ComEne26!$B$316:$B$454,$B141,ComEne26!L$316:L$454)</f>
        <v>222.48023985072808</v>
      </c>
      <c r="M141" s="297">
        <f t="shared" si="38"/>
        <v>1391.0836332125052</v>
      </c>
    </row>
    <row r="142" spans="2:13">
      <c r="B142" s="281" t="str">
        <f>ComEne26!B326</f>
        <v>DME-026-11</v>
      </c>
      <c r="C142" s="281" t="str">
        <f>ComEne26!C326</f>
        <v xml:space="preserve">SAN LORENZO </v>
      </c>
      <c r="D142" s="281" t="str">
        <f>ComEne26!D326</f>
        <v>H</v>
      </c>
      <c r="E142" s="1882"/>
      <c r="F142" s="1882"/>
      <c r="G142" s="296">
        <f>SUMIF(ComEne26!$B$316:$B$454,$B142,ComEne26!G$316:G$454)</f>
        <v>161.41372032416723</v>
      </c>
      <c r="H142" s="296">
        <f>SUMIF(ComEne26!$B$316:$B$454,$B142,ComEne26!H$316:H$454)</f>
        <v>160.37866967827077</v>
      </c>
      <c r="I142" s="296">
        <f>SUMIF(ComEne26!$B$316:$B$454,$B142,ComEne26!I$316:I$454)</f>
        <v>161.02701514653842</v>
      </c>
      <c r="J142" s="296">
        <f>SUMIF(ComEne26!$B$316:$B$454,$B142,ComEne26!J$316:J$454)</f>
        <v>177.15991847088844</v>
      </c>
      <c r="K142" s="296">
        <f>SUMIF(ComEne26!$B$316:$B$454,$B142,ComEne26!K$316:K$454)</f>
        <v>158.59335656464708</v>
      </c>
      <c r="L142" s="296">
        <f>SUMIF(ComEne26!$B$316:$B$454,$B142,ComEne26!L$316:L$454)</f>
        <v>155.84093564780866</v>
      </c>
      <c r="M142" s="297">
        <f t="shared" si="38"/>
        <v>974.4136158323206</v>
      </c>
    </row>
    <row r="143" spans="2:13">
      <c r="B143" s="281" t="str">
        <f>ComEne26!B327</f>
        <v>DME-027-11</v>
      </c>
      <c r="C143" s="281" t="str">
        <f>ComEne26!C327</f>
        <v xml:space="preserve">ELECTROGENERADORA ISTMO </v>
      </c>
      <c r="D143" s="281" t="str">
        <f>ComEne26!D327</f>
        <v>H</v>
      </c>
      <c r="E143" s="1882"/>
      <c r="F143" s="1882"/>
      <c r="G143" s="296">
        <f>SUMIF(ComEne26!$B$316:$B$454,$B143,ComEne26!G$316:G$454)</f>
        <v>151.36594211603295</v>
      </c>
      <c r="H143" s="296">
        <f>SUMIF(ComEne26!$B$316:$B$454,$B143,ComEne26!H$316:H$454)</f>
        <v>150.39532192439566</v>
      </c>
      <c r="I143" s="296">
        <f>SUMIF(ComEne26!$B$316:$B$454,$B143,ComEne26!I$316:I$454)</f>
        <v>151.00330879455706</v>
      </c>
      <c r="J143" s="296">
        <f>SUMIF(ComEne26!$B$316:$B$454,$B143,ComEne26!J$316:J$454)</f>
        <v>166.13196146331973</v>
      </c>
      <c r="K143" s="296">
        <f>SUMIF(ComEne26!$B$316:$B$454,$B143,ComEne26!K$316:K$454)</f>
        <v>148.72114205373137</v>
      </c>
      <c r="L143" s="296">
        <f>SUMIF(ComEne26!$B$316:$B$454,$B143,ComEne26!L$316:L$454)</f>
        <v>146.14005548723372</v>
      </c>
      <c r="M143" s="297">
        <f t="shared" si="38"/>
        <v>913.75773183927049</v>
      </c>
    </row>
    <row r="144" spans="2:13">
      <c r="B144" s="281" t="str">
        <f>ComEne26!B328</f>
        <v>DME-008-12</v>
      </c>
      <c r="C144" s="281" t="str">
        <f>ComEne26!C328</f>
        <v>UEP NUEVO CHAGRES</v>
      </c>
      <c r="D144" s="281" t="str">
        <f>ComEne26!D328</f>
        <v>Eo</v>
      </c>
      <c r="E144" s="1882"/>
      <c r="F144" s="1882"/>
      <c r="G144" s="296">
        <f>SUMIF(ComEne26!$B$316:$B$454,$B144,ComEne26!G$316:G$454)</f>
        <v>1068.297214004481</v>
      </c>
      <c r="H144" s="296">
        <f>SUMIF(ComEne26!$B$316:$B$454,$B144,ComEne26!H$316:H$454)</f>
        <v>940.50083132755435</v>
      </c>
      <c r="I144" s="296">
        <f>SUMIF(ComEne26!$B$316:$B$454,$B144,ComEne26!I$316:I$454)</f>
        <v>600.15413088004107</v>
      </c>
      <c r="J144" s="296">
        <f>SUMIF(ComEne26!$B$316:$B$454,$B144,ComEne26!J$316:J$454)</f>
        <v>909.44516668833899</v>
      </c>
      <c r="K144" s="296">
        <f>SUMIF(ComEne26!$B$316:$B$454,$B144,ComEne26!K$316:K$454)</f>
        <v>1641.2946962747869</v>
      </c>
      <c r="L144" s="296">
        <f>SUMIF(ComEne26!$B$316:$B$454,$B144,ComEne26!L$316:L$454)</f>
        <v>3518.267698543817</v>
      </c>
      <c r="M144" s="297">
        <f t="shared" si="38"/>
        <v>8677.9597377190203</v>
      </c>
    </row>
    <row r="145" spans="2:13">
      <c r="B145" s="281" t="str">
        <f>ComEne26!B329</f>
        <v>DME-009-12</v>
      </c>
      <c r="C145" s="281" t="str">
        <f>ComEne26!C329</f>
        <v>UEP ROSA DE LOS VIENTOS</v>
      </c>
      <c r="D145" s="281" t="str">
        <f>ComEne26!D329</f>
        <v>Eo</v>
      </c>
      <c r="E145" s="1882"/>
      <c r="F145" s="1882"/>
      <c r="G145" s="296">
        <f>SUMIF(ComEne26!$B$316:$B$454,$B145,ComEne26!G$316:G$454)</f>
        <v>1068.297214004481</v>
      </c>
      <c r="H145" s="296">
        <f>SUMIF(ComEne26!$B$316:$B$454,$B145,ComEne26!H$316:H$454)</f>
        <v>940.50083132755435</v>
      </c>
      <c r="I145" s="296">
        <f>SUMIF(ComEne26!$B$316:$B$454,$B145,ComEne26!I$316:I$454)</f>
        <v>600.15413088004107</v>
      </c>
      <c r="J145" s="296">
        <f>SUMIF(ComEne26!$B$316:$B$454,$B145,ComEne26!J$316:J$454)</f>
        <v>909.44516668833899</v>
      </c>
      <c r="K145" s="296">
        <f>SUMIF(ComEne26!$B$316:$B$454,$B145,ComEne26!K$316:K$454)</f>
        <v>1641.2946962747869</v>
      </c>
      <c r="L145" s="296">
        <f>SUMIF(ComEne26!$B$316:$B$454,$B145,ComEne26!L$316:L$454)</f>
        <v>3518.267698543817</v>
      </c>
      <c r="M145" s="297">
        <f t="shared" si="38"/>
        <v>8677.9597377190203</v>
      </c>
    </row>
    <row r="146" spans="2:13">
      <c r="B146" s="281" t="str">
        <f>ComEne26!B330</f>
        <v>DME-010-12</v>
      </c>
      <c r="C146" s="281" t="str">
        <f>ComEne26!C330</f>
        <v>UEP PORTOBELO</v>
      </c>
      <c r="D146" s="281" t="str">
        <f>ComEne26!D330</f>
        <v>Eo</v>
      </c>
      <c r="E146" s="1882"/>
      <c r="F146" s="1882"/>
      <c r="G146" s="296">
        <f>SUMIF(ComEne26!$B$316:$B$454,$B146,ComEne26!G$316:G$454)</f>
        <v>1068.297214004481</v>
      </c>
      <c r="H146" s="296">
        <f>SUMIF(ComEne26!$B$316:$B$454,$B146,ComEne26!H$316:H$454)</f>
        <v>940.50083132755435</v>
      </c>
      <c r="I146" s="296">
        <f>SUMIF(ComEne26!$B$316:$B$454,$B146,ComEne26!I$316:I$454)</f>
        <v>600.15413088004107</v>
      </c>
      <c r="J146" s="296">
        <f>SUMIF(ComEne26!$B$316:$B$454,$B146,ComEne26!J$316:J$454)</f>
        <v>909.44516668833899</v>
      </c>
      <c r="K146" s="296">
        <f>SUMIF(ComEne26!$B$316:$B$454,$B146,ComEne26!K$316:K$454)</f>
        <v>1641.2946962747869</v>
      </c>
      <c r="L146" s="296">
        <f>SUMIF(ComEne26!$B$316:$B$454,$B146,ComEne26!L$316:L$454)</f>
        <v>3518.267698543817</v>
      </c>
      <c r="M146" s="297">
        <f t="shared" si="38"/>
        <v>8677.9597377190203</v>
      </c>
    </row>
    <row r="147" spans="2:13">
      <c r="B147" s="281" t="str">
        <f>ComEne26!B331</f>
        <v>DME-011-12</v>
      </c>
      <c r="C147" s="281" t="str">
        <f>ComEne26!C331</f>
        <v>UEP MARAÑON</v>
      </c>
      <c r="D147" s="281" t="str">
        <f>ComEne26!D331</f>
        <v>Eo</v>
      </c>
      <c r="E147" s="1882"/>
      <c r="F147" s="1882"/>
      <c r="G147" s="296">
        <f>SUMIF(ComEne26!$B$316:$B$454,$B147,ComEne26!G$316:G$454)</f>
        <v>1068.297214004481</v>
      </c>
      <c r="H147" s="296">
        <f>SUMIF(ComEne26!$B$316:$B$454,$B147,ComEne26!H$316:H$454)</f>
        <v>940.50083132755435</v>
      </c>
      <c r="I147" s="296">
        <f>SUMIF(ComEne26!$B$316:$B$454,$B147,ComEne26!I$316:I$454)</f>
        <v>600.15413088004107</v>
      </c>
      <c r="J147" s="296">
        <f>SUMIF(ComEne26!$B$316:$B$454,$B147,ComEne26!J$316:J$454)</f>
        <v>909.44516668833899</v>
      </c>
      <c r="K147" s="296">
        <f>SUMIF(ComEne26!$B$316:$B$454,$B147,ComEne26!K$316:K$454)</f>
        <v>1641.2946962747869</v>
      </c>
      <c r="L147" s="296">
        <f>SUMIF(ComEne26!$B$316:$B$454,$B147,ComEne26!L$316:L$454)</f>
        <v>3518.267698543817</v>
      </c>
      <c r="M147" s="297">
        <f t="shared" si="38"/>
        <v>8677.9597377190203</v>
      </c>
    </row>
    <row r="148" spans="2:13">
      <c r="B148" s="281" t="str">
        <f>ComEne26!B332</f>
        <v>DME-062-12</v>
      </c>
      <c r="C148" s="281" t="str">
        <f>ComEne26!C332</f>
        <v>AES PANAMA (CHAN 2)</v>
      </c>
      <c r="D148" s="281" t="str">
        <f>ComEne26!D332</f>
        <v>H</v>
      </c>
      <c r="E148" s="1882"/>
      <c r="F148" s="1882"/>
      <c r="G148" s="296">
        <f>SUMIF(ComEne26!$B$316:$B$454,$B148,ComEne26!G$316:G$454)</f>
        <v>52440.957209196124</v>
      </c>
      <c r="H148" s="296">
        <f>SUMIF(ComEne26!$B$316:$B$454,$B148,ComEne26!H$316:H$454)</f>
        <v>52104.684390988361</v>
      </c>
      <c r="I148" s="296">
        <f>SUMIF(ComEne26!$B$316:$B$454,$B148,ComEne26!I$316:I$454)</f>
        <v>52315.32235218471</v>
      </c>
      <c r="J148" s="296">
        <f>SUMIF(ComEne26!$B$316:$B$454,$B148,ComEne26!J$316:J$454)</f>
        <v>57556.666713700361</v>
      </c>
      <c r="K148" s="296">
        <f>SUMIF(ComEne26!$B$316:$B$454,$B148,ComEne26!K$316:K$454)</f>
        <v>51524.662268900276</v>
      </c>
      <c r="L148" s="296">
        <f>SUMIF(ComEne26!$B$316:$B$454,$B148,ComEne26!L$316:L$454)</f>
        <v>50630.440964591435</v>
      </c>
      <c r="M148" s="297">
        <f t="shared" si="38"/>
        <v>316572.73389956128</v>
      </c>
    </row>
    <row r="149" spans="2:13">
      <c r="B149" s="281" t="str">
        <f>ComEne26!B333</f>
        <v>DME-063-12</v>
      </c>
      <c r="C149" s="281" t="str">
        <f>ComEne26!C333</f>
        <v>HIDRO PIEDRA</v>
      </c>
      <c r="D149" s="281" t="str">
        <f>ComEne26!D333</f>
        <v>H</v>
      </c>
      <c r="E149" s="1882"/>
      <c r="F149" s="1882"/>
      <c r="G149" s="296">
        <f>SUMIF(ComEne26!$B$316:$B$454,$B149,ComEne26!G$316:G$454)</f>
        <v>267.60779375844328</v>
      </c>
      <c r="H149" s="296">
        <f>SUMIF(ComEne26!$B$316:$B$454,$B149,ComEne26!H$316:H$454)</f>
        <v>265.89178337704368</v>
      </c>
      <c r="I149" s="296">
        <f>SUMIF(ComEne26!$B$316:$B$454,$B149,ComEne26!I$316:I$454)</f>
        <v>266.9666752759972</v>
      </c>
      <c r="J149" s="296">
        <f>SUMIF(ComEne26!$B$316:$B$454,$B149,ComEne26!J$316:J$454)</f>
        <v>293.71341438142855</v>
      </c>
      <c r="K149" s="296">
        <f>SUMIF(ComEne26!$B$316:$B$454,$B149,ComEne26!K$316:K$454)</f>
        <v>262.93191291160025</v>
      </c>
      <c r="L149" s="296">
        <f>SUMIF(ComEne26!$B$316:$B$454,$B149,ComEne26!L$316:L$454)</f>
        <v>258.36867449809694</v>
      </c>
      <c r="M149" s="297">
        <f t="shared" si="38"/>
        <v>1615.4802542026098</v>
      </c>
    </row>
    <row r="150" spans="2:13">
      <c r="B150" s="281" t="str">
        <f>ComEne26!B334</f>
        <v>DME-064-12</v>
      </c>
      <c r="C150" s="281" t="str">
        <f>ComEne26!C334</f>
        <v>CORPORACION ENERGIA DEL ISTMO</v>
      </c>
      <c r="D150" s="281" t="str">
        <f>ComEne26!D334</f>
        <v>H</v>
      </c>
      <c r="E150" s="1882"/>
      <c r="F150" s="1882"/>
      <c r="G150" s="296">
        <f>SUMIF(ComEne26!$B$316:$B$454,$B150,ComEne26!G$316:G$454)</f>
        <v>1320.0138086086226</v>
      </c>
      <c r="H150" s="296">
        <f>SUMIF(ComEne26!$B$316:$B$454,$B150,ComEne26!H$316:H$454)</f>
        <v>1311.5493413845929</v>
      </c>
      <c r="I150" s="296">
        <f>SUMIF(ComEne26!$B$316:$B$454,$B150,ComEne26!I$316:I$454)</f>
        <v>1316.8513997792782</v>
      </c>
      <c r="J150" s="296">
        <f>SUMIF(ComEne26!$B$316:$B$454,$B150,ComEne26!J$316:J$454)</f>
        <v>1448.7835249934292</v>
      </c>
      <c r="K150" s="296">
        <f>SUMIF(ComEne26!$B$316:$B$454,$B150,ComEne26!K$316:K$454)</f>
        <v>1296.9493559686043</v>
      </c>
      <c r="L150" s="296">
        <f>SUMIF(ComEne26!$B$316:$B$454,$B150,ComEne26!L$316:L$454)</f>
        <v>1274.4405282801445</v>
      </c>
      <c r="M150" s="297">
        <f t="shared" si="38"/>
        <v>7968.5879590146724</v>
      </c>
    </row>
    <row r="151" spans="2:13">
      <c r="B151" s="281" t="str">
        <f>ComEne26!B335</f>
        <v>DME-066-12</v>
      </c>
      <c r="C151" s="281" t="str">
        <f>ComEne26!C335</f>
        <v>SALTOS DE FRANCOLI</v>
      </c>
      <c r="D151" s="281" t="str">
        <f>ComEne26!D335</f>
        <v>H</v>
      </c>
      <c r="E151" s="1882"/>
      <c r="F151" s="1882"/>
      <c r="G151" s="296">
        <f>SUMIF(ComEne26!$B$316:$B$454,$B151,ComEne26!G$316:G$454)</f>
        <v>138.11722236396074</v>
      </c>
      <c r="H151" s="296">
        <f>SUMIF(ComEne26!$B$316:$B$454,$B151,ComEne26!H$316:H$454)</f>
        <v>137.23155837003171</v>
      </c>
      <c r="I151" s="296">
        <f>SUMIF(ComEne26!$B$316:$B$454,$B151,ComEne26!I$316:I$454)</f>
        <v>137.78632951978</v>
      </c>
      <c r="J151" s="296">
        <f>SUMIF(ComEne26!$B$316:$B$454,$B151,ComEne26!J$316:J$454)</f>
        <v>151.59080531868096</v>
      </c>
      <c r="K151" s="296">
        <f>SUMIF(ComEne26!$B$316:$B$454,$B151,ComEne26!K$316:K$454)</f>
        <v>135.70391569003866</v>
      </c>
      <c r="L151" s="296">
        <f>SUMIF(ComEne26!$B$316:$B$454,$B151,ComEne26!L$316:L$454)</f>
        <v>133.34874581323564</v>
      </c>
      <c r="M151" s="297">
        <f t="shared" si="38"/>
        <v>833.77857707572775</v>
      </c>
    </row>
    <row r="152" spans="2:13">
      <c r="B152" s="281" t="str">
        <f>ComEne26!B336</f>
        <v>DME-001-13</v>
      </c>
      <c r="C152" s="281" t="str">
        <f>ComEne26!C336</f>
        <v>ISTMUS HIDRO POWER</v>
      </c>
      <c r="D152" s="281" t="str">
        <f>ComEne26!D336</f>
        <v>H SE</v>
      </c>
      <c r="E152" s="1882"/>
      <c r="F152" s="1882"/>
      <c r="G152" s="296">
        <f>SUMIF(ComEne26!$B$316:$B$454,$B152,ComEne26!G$316:G$454)</f>
        <v>417.71152062736314</v>
      </c>
      <c r="H152" s="296">
        <f>SUMIF(ComEne26!$B$316:$B$454,$B152,ComEne26!H$316:H$454)</f>
        <v>278.65855885985729</v>
      </c>
      <c r="I152" s="296">
        <f>SUMIF(ComEne26!$B$316:$B$454,$B152,ComEne26!I$316:I$454)</f>
        <v>376.5797316329556</v>
      </c>
      <c r="J152" s="296">
        <f>SUMIF(ComEne26!$B$316:$B$454,$B152,ComEne26!J$316:J$454)</f>
        <v>378.87734807295567</v>
      </c>
      <c r="K152" s="296">
        <f>SUMIF(ComEne26!$B$316:$B$454,$B152,ComEne26!K$316:K$454)</f>
        <v>389.08926780030146</v>
      </c>
      <c r="L152" s="296">
        <f>SUMIF(ComEne26!$B$316:$B$454,$B152,ComEne26!L$316:L$454)</f>
        <v>364.75835434317344</v>
      </c>
      <c r="M152" s="297">
        <f t="shared" si="38"/>
        <v>2205.6747813366064</v>
      </c>
    </row>
    <row r="153" spans="2:13">
      <c r="B153" s="281" t="str">
        <f>ComEne26!B337</f>
        <v>DME-002-13</v>
      </c>
      <c r="C153" s="281" t="str">
        <f>ComEne26!C337</f>
        <v>CALDERA ENERGY CORP</v>
      </c>
      <c r="D153" s="281" t="str">
        <f>ComEne26!D337</f>
        <v>H SE</v>
      </c>
      <c r="E153" s="1882"/>
      <c r="F153" s="1882"/>
      <c r="G153" s="296">
        <f>SUMIF(ComEne26!$B$316:$B$454,$B153,ComEne26!G$316:G$454)</f>
        <v>469.92546070578339</v>
      </c>
      <c r="H153" s="296">
        <f>SUMIF(ComEne26!$B$316:$B$454,$B153,ComEne26!H$316:H$454)</f>
        <v>793.97614310077506</v>
      </c>
      <c r="I153" s="296">
        <f>SUMIF(ComEne26!$B$316:$B$454,$B153,ComEne26!I$316:I$454)</f>
        <v>903.62829517409966</v>
      </c>
      <c r="J153" s="296">
        <f>SUMIF(ComEne26!$B$316:$B$454,$B153,ComEne26!J$316:J$454)</f>
        <v>1425.2126995773424</v>
      </c>
      <c r="K153" s="296">
        <f>SUMIF(ComEne26!$B$316:$B$454,$B153,ComEne26!K$316:K$454)</f>
        <v>910.04598293122569</v>
      </c>
      <c r="L153" s="296">
        <f>SUMIF(ComEne26!$B$316:$B$454,$B153,ComEne26!L$316:L$454)</f>
        <v>252.05630783238161</v>
      </c>
      <c r="M153" s="297">
        <f t="shared" si="38"/>
        <v>4754.8448893216073</v>
      </c>
    </row>
    <row r="154" spans="2:13">
      <c r="B154" s="281" t="str">
        <f>ComEne26!B338</f>
        <v>DME-003-13</v>
      </c>
      <c r="C154" s="281" t="str">
        <f>ComEne26!C338</f>
        <v>ELECTROGENERADORA DEL ISTMO</v>
      </c>
      <c r="D154" s="281" t="str">
        <f>ComEne26!D338</f>
        <v>H SE</v>
      </c>
      <c r="E154" s="1882"/>
      <c r="F154" s="1882"/>
      <c r="G154" s="296">
        <f>SUMIF(ComEne26!$B$316:$B$454,$B154,ComEne26!G$316:G$454)</f>
        <v>156.64182023526115</v>
      </c>
      <c r="H154" s="296">
        <f>SUMIF(ComEne26!$B$316:$B$454,$B154,ComEne26!H$316:H$454)</f>
        <v>248.11754471899224</v>
      </c>
      <c r="I154" s="296">
        <f>SUMIF(ComEne26!$B$316:$B$454,$B154,ComEne26!I$316:I$454)</f>
        <v>356.69537967398668</v>
      </c>
      <c r="J154" s="296">
        <f>SUMIF(ComEne26!$B$316:$B$454,$B154,ComEne26!J$316:J$454)</f>
        <v>493.34285754600307</v>
      </c>
      <c r="K154" s="296">
        <f>SUMIF(ComEne26!$B$316:$B$454,$B154,ComEne26!K$316:K$454)</f>
        <v>347.95875817958625</v>
      </c>
      <c r="L154" s="296">
        <f>SUMIF(ComEne26!$B$316:$B$454,$B154,ComEne26!L$316:L$454)</f>
        <v>126.0281539161908</v>
      </c>
      <c r="M154" s="297">
        <f t="shared" si="38"/>
        <v>1728.7845142700203</v>
      </c>
    </row>
    <row r="155" spans="2:13">
      <c r="B155" s="281" t="str">
        <f>ComEne26!B339</f>
        <v>DME-004-13</v>
      </c>
      <c r="C155" s="281" t="str">
        <f>ComEne26!C339</f>
        <v>FOUNTAIN INTERTRADE CORP</v>
      </c>
      <c r="D155" s="281" t="str">
        <f>ComEne26!D339</f>
        <v>H SE</v>
      </c>
      <c r="E155" s="1882"/>
      <c r="F155" s="1882"/>
      <c r="G155" s="296">
        <f>SUMIF(ComEne26!$B$316:$B$454,$B155,ComEne26!G$316:G$454)</f>
        <v>1976.6835610905305</v>
      </c>
      <c r="H155" s="296">
        <f>SUMIF(ComEne26!$B$316:$B$454,$B155,ComEne26!H$316:H$454)</f>
        <v>2093.9316283048624</v>
      </c>
      <c r="I155" s="296">
        <f>SUMIF(ComEne26!$B$316:$B$454,$B155,ComEne26!I$316:I$454)</f>
        <v>2907.7354404509524</v>
      </c>
      <c r="J155" s="296">
        <f>SUMIF(ComEne26!$B$316:$B$454,$B155,ComEne26!J$316:J$454)</f>
        <v>4536.8108175601692</v>
      </c>
      <c r="K155" s="296">
        <f>SUMIF(ComEne26!$B$316:$B$454,$B155,ComEne26!K$316:K$454)</f>
        <v>2970.2741020347939</v>
      </c>
      <c r="L155" s="296">
        <f>SUMIF(ComEne26!$B$316:$B$454,$B155,ComEne26!L$316:L$454)</f>
        <v>1564.4148719864409</v>
      </c>
      <c r="M155" s="297">
        <f t="shared" si="38"/>
        <v>16049.850421427747</v>
      </c>
    </row>
    <row r="156" spans="2:13">
      <c r="B156" s="281" t="str">
        <f>ComEne26!B340</f>
        <v>DME-005-13</v>
      </c>
      <c r="C156" s="281" t="str">
        <f>ComEne26!C340</f>
        <v>HIDROIBÉRICA</v>
      </c>
      <c r="D156" s="281" t="str">
        <f>ComEne26!D340</f>
        <v>H SE</v>
      </c>
      <c r="E156" s="1882"/>
      <c r="F156" s="1882"/>
      <c r="G156" s="296">
        <f>SUMIF(ComEne26!$B$316:$B$454,$B156,ComEne26!G$316:G$454)</f>
        <v>76.368562792959196</v>
      </c>
      <c r="H156" s="296">
        <f>SUMIF(ComEne26!$B$316:$B$454,$B156,ComEne26!H$316:H$454)</f>
        <v>75.87885640315362</v>
      </c>
      <c r="I156" s="296">
        <f>SUMIF(ComEne26!$B$316:$B$454,$B156,ComEne26!I$316:I$454)</f>
        <v>76.185603633224844</v>
      </c>
      <c r="J156" s="296">
        <f>SUMIF(ComEne26!$B$316:$B$454,$B156,ComEne26!J$316:J$454)</f>
        <v>83.818453170947194</v>
      </c>
      <c r="K156" s="296">
        <f>SUMIF(ComEne26!$B$316:$B$454,$B156,ComEne26!K$316:K$454)</f>
        <v>75.034183494623605</v>
      </c>
      <c r="L156" s="296">
        <f>SUMIF(ComEne26!$B$316:$B$454,$B156,ComEne26!L$316:L$454)</f>
        <v>73.731949525924492</v>
      </c>
      <c r="M156" s="297">
        <f t="shared" si="38"/>
        <v>461.01760902083299</v>
      </c>
    </row>
    <row r="157" spans="2:13">
      <c r="B157" s="281" t="str">
        <f>ComEne26!B341</f>
        <v>DME-007-13</v>
      </c>
      <c r="C157" s="281" t="str">
        <f>ComEne26!C341</f>
        <v>HIDROECOLOGICA DEL TERIBE</v>
      </c>
      <c r="D157" s="281" t="str">
        <f>ComEne26!D341</f>
        <v>H SE</v>
      </c>
      <c r="E157" s="1882"/>
      <c r="F157" s="1882"/>
      <c r="G157" s="296">
        <f>SUMIF(ComEne26!$B$316:$B$454,$B157,ComEne26!G$316:G$454)</f>
        <v>0</v>
      </c>
      <c r="H157" s="296">
        <f>SUMIF(ComEne26!$B$316:$B$454,$B157,ComEne26!H$316:H$454)</f>
        <v>0</v>
      </c>
      <c r="I157" s="296">
        <f>SUMIF(ComEne26!$B$316:$B$454,$B157,ComEne26!I$316:I$454)</f>
        <v>95.118767913063124</v>
      </c>
      <c r="J157" s="296">
        <f>SUMIF(ComEne26!$B$316:$B$454,$B157,ComEne26!J$316:J$454)</f>
        <v>548.15873060667013</v>
      </c>
      <c r="K157" s="296">
        <f>SUMIF(ComEne26!$B$316:$B$454,$B157,ComEne26!K$316:K$454)</f>
        <v>214.1284665720531</v>
      </c>
      <c r="L157" s="296">
        <f>SUMIF(ComEne26!$B$316:$B$454,$B157,ComEne26!L$316:L$454)</f>
        <v>201.64504626590525</v>
      </c>
      <c r="M157" s="297">
        <f t="shared" si="38"/>
        <v>1059.0510113576916</v>
      </c>
    </row>
    <row r="158" spans="2:13">
      <c r="B158" s="281" t="str">
        <f>ComEne26!B342</f>
        <v>DME-010-13</v>
      </c>
      <c r="C158" s="281" t="str">
        <f>ComEne26!C342</f>
        <v>Generadora Gatún (NG Power)</v>
      </c>
      <c r="D158" s="281" t="str">
        <f>ComEne26!D342</f>
        <v>Gas2</v>
      </c>
      <c r="E158" s="1882"/>
      <c r="F158" s="1882"/>
      <c r="G158" s="296">
        <f>SUMIF(ComEne26!$B$316:$B$454,$B158,ComEne26!G$316:G$454)</f>
        <v>72645.481848237061</v>
      </c>
      <c r="H158" s="296">
        <f>SUMIF(ComEne26!$B$316:$B$454,$B158,ComEne26!H$316:H$454)</f>
        <v>72179.649372797736</v>
      </c>
      <c r="I158" s="296">
        <f>SUMIF(ComEne26!$B$316:$B$454,$B158,ComEne26!I$316:I$454)</f>
        <v>72471.442219476667</v>
      </c>
      <c r="J158" s="296">
        <f>SUMIF(ComEne26!$B$316:$B$454,$B158,ComEne26!J$316:J$454)</f>
        <v>79732.178997333831</v>
      </c>
      <c r="K158" s="296">
        <f>SUMIF(ComEne26!$B$316:$B$454,$B158,ComEne26!K$316:K$454)</f>
        <v>71376.155524017697</v>
      </c>
      <c r="L158" s="296">
        <f>SUMIF(ComEne26!$B$316:$B$454,$B158,ComEne26!L$316:L$454)</f>
        <v>70137.407396836614</v>
      </c>
      <c r="M158" s="297">
        <f t="shared" si="38"/>
        <v>438542.31535869965</v>
      </c>
    </row>
    <row r="159" spans="2:13">
      <c r="B159" s="281" t="str">
        <f>ComEne26!B343</f>
        <v>DME-011-13</v>
      </c>
      <c r="C159" s="281" t="str">
        <f>ComEne26!C343</f>
        <v>GENERADORA ALTO VALLE</v>
      </c>
      <c r="D159" s="281" t="str">
        <f>ComEne26!D343</f>
        <v>H SE</v>
      </c>
      <c r="E159" s="1882"/>
      <c r="F159" s="1882"/>
      <c r="G159" s="296">
        <f>SUMIF(ComEne26!$B$316:$B$454,$B159,ComEne26!G$316:G$454)</f>
        <v>425.62533780620538</v>
      </c>
      <c r="H159" s="296">
        <f>SUMIF(ComEne26!$B$316:$B$454,$B159,ComEne26!H$316:H$454)</f>
        <v>529.83020499293593</v>
      </c>
      <c r="I159" s="296">
        <f>SUMIF(ComEne26!$B$316:$B$454,$B159,ComEne26!I$316:I$454)</f>
        <v>509.85924333971195</v>
      </c>
      <c r="J159" s="296">
        <f>SUMIF(ComEne26!$B$316:$B$454,$B159,ComEne26!J$316:J$454)</f>
        <v>600.10922848462053</v>
      </c>
      <c r="K159" s="296">
        <f>SUMIF(ComEne26!$B$316:$B$454,$B159,ComEne26!K$316:K$454)</f>
        <v>554.68640962574273</v>
      </c>
      <c r="L159" s="296">
        <f>SUMIF(ComEne26!$B$316:$B$454,$B159,ComEne26!L$316:L$454)</f>
        <v>263.67719952044501</v>
      </c>
      <c r="M159" s="297">
        <f t="shared" si="38"/>
        <v>2883.7876237696614</v>
      </c>
    </row>
    <row r="160" spans="2:13">
      <c r="B160" s="281" t="str">
        <f>ComEne26!B344</f>
        <v>DME-012-13</v>
      </c>
      <c r="C160" s="281" t="str">
        <f>ComEne26!C344</f>
        <v>CAFÉ DE ELETA</v>
      </c>
      <c r="D160" s="281" t="str">
        <f>ComEne26!D344</f>
        <v>H SE</v>
      </c>
      <c r="E160" s="1882"/>
      <c r="F160" s="1882"/>
      <c r="G160" s="296">
        <f>SUMIF(ComEne26!$B$316:$B$454,$B160,ComEne26!G$316:G$454)</f>
        <v>24.022952778688893</v>
      </c>
      <c r="H160" s="296">
        <f>SUMIF(ComEne26!$B$316:$B$454,$B160,ComEne26!H$316:H$454)</f>
        <v>24.315519382461236</v>
      </c>
      <c r="I160" s="296">
        <f>SUMIF(ComEne26!$B$316:$B$454,$B160,ComEne26!I$316:I$454)</f>
        <v>22.479735483453915</v>
      </c>
      <c r="J160" s="296">
        <f>SUMIF(ComEne26!$B$316:$B$454,$B160,ComEne26!J$316:J$454)</f>
        <v>25.354832921152159</v>
      </c>
      <c r="K160" s="296">
        <f>SUMIF(ComEne26!$B$316:$B$454,$B160,ComEne26!K$316:K$454)</f>
        <v>39.172126353524959</v>
      </c>
      <c r="L160" s="296">
        <f>SUMIF(ComEne26!$B$316:$B$454,$B160,ComEne26!L$316:L$454)</f>
        <v>27.476329347710749</v>
      </c>
      <c r="M160" s="297">
        <f t="shared" si="38"/>
        <v>162.82149626699191</v>
      </c>
    </row>
    <row r="161" spans="2:13">
      <c r="B161" s="281" t="str">
        <f>ComEne26!B345</f>
        <v>DME-013-13</v>
      </c>
      <c r="C161" s="281" t="str">
        <f>ComEne26!C345</f>
        <v>EMNADESA</v>
      </c>
      <c r="D161" s="281" t="str">
        <f>ComEne26!D345</f>
        <v>H SE</v>
      </c>
      <c r="E161" s="1882"/>
      <c r="F161" s="1882"/>
      <c r="G161" s="296">
        <f>SUMIF(ComEne26!$B$316:$B$454,$B161,ComEne26!G$316:G$454)</f>
        <v>200.50152990113429</v>
      </c>
      <c r="H161" s="296">
        <f>SUMIF(ComEne26!$B$316:$B$454,$B161,ComEne26!H$316:H$454)</f>
        <v>324.53774849244184</v>
      </c>
      <c r="I161" s="296">
        <f>SUMIF(ComEne26!$B$316:$B$454,$B161,ComEne26!I$316:I$454)</f>
        <v>311.03837107571638</v>
      </c>
      <c r="J161" s="296">
        <f>SUMIF(ComEne26!$B$316:$B$454,$B161,ComEne26!J$316:J$454)</f>
        <v>256.63795114766828</v>
      </c>
      <c r="K161" s="296">
        <f>SUMIF(ComEne26!$B$316:$B$454,$B161,ComEne26!K$316:K$454)</f>
        <v>350.1000428453068</v>
      </c>
      <c r="L161" s="296">
        <f>SUMIF(ComEne26!$B$316:$B$454,$B161,ComEne26!L$316:L$454)</f>
        <v>218.78487519850728</v>
      </c>
      <c r="M161" s="297">
        <f t="shared" si="38"/>
        <v>1661.6005186607747</v>
      </c>
    </row>
    <row r="162" spans="2:13">
      <c r="B162" s="281" t="str">
        <f>ComEne26!B346</f>
        <v>DME-014-13</v>
      </c>
      <c r="C162" s="281" t="str">
        <f>ComEne26!C346</f>
        <v xml:space="preserve">ESEPSA </v>
      </c>
      <c r="D162" s="281" t="str">
        <f>ComEne26!D346</f>
        <v>H SE</v>
      </c>
      <c r="E162" s="1882"/>
      <c r="F162" s="1882"/>
      <c r="G162" s="296">
        <f>SUMIF(ComEne26!$B$316:$B$454,$B162,ComEne26!G$316:G$454)</f>
        <v>909.49608249365792</v>
      </c>
      <c r="H162" s="296">
        <f>SUMIF(ComEne26!$B$316:$B$454,$B162,ComEne26!H$316:H$454)</f>
        <v>903.66402245728182</v>
      </c>
      <c r="I162" s="296">
        <f>SUMIF(ComEne26!$B$316:$B$454,$B162,ComEne26!I$316:I$454)</f>
        <v>907.31716707415649</v>
      </c>
      <c r="J162" s="296">
        <f>SUMIF(ComEne26!$B$316:$B$454,$B162,ComEne26!J$316:J$454)</f>
        <v>998.21905783832358</v>
      </c>
      <c r="K162" s="296">
        <f>SUMIF(ComEne26!$B$316:$B$454,$B162,ComEne26!K$316:K$454)</f>
        <v>893.60455985643</v>
      </c>
      <c r="L162" s="296">
        <f>SUMIF(ComEne26!$B$316:$B$454,$B162,ComEne26!L$316:L$454)</f>
        <v>878.09586557560499</v>
      </c>
      <c r="M162" s="297">
        <f t="shared" si="38"/>
        <v>5490.3967552954546</v>
      </c>
    </row>
    <row r="163" spans="2:13">
      <c r="B163" s="281" t="str">
        <f>ComEne26!B347</f>
        <v>DME-015-13</v>
      </c>
      <c r="C163" s="281" t="str">
        <f>ComEne26!C347</f>
        <v>Fuerza Eléctrica del Istmo (2016-27)</v>
      </c>
      <c r="D163" s="281" t="str">
        <f>ComEne26!D347</f>
        <v>H SE</v>
      </c>
      <c r="E163" s="1882"/>
      <c r="F163" s="1882"/>
      <c r="G163" s="296">
        <f>SUMIF(ComEne26!$B$316:$B$454,$B163,ComEne26!G$316:G$454)</f>
        <v>79.028446841881632</v>
      </c>
      <c r="H163" s="296">
        <f>SUMIF(ComEne26!$B$316:$B$454,$B163,ComEne26!H$316:H$454)</f>
        <v>78.521684190084684</v>
      </c>
      <c r="I163" s="296">
        <f>SUMIF(ComEne26!$B$316:$B$454,$B163,ComEne26!I$316:I$454)</f>
        <v>78.839115293656718</v>
      </c>
      <c r="J163" s="296">
        <f>SUMIF(ComEne26!$B$316:$B$454,$B163,ComEne26!J$316:J$454)</f>
        <v>86.737813683193323</v>
      </c>
      <c r="K163" s="296">
        <f>SUMIF(ComEne26!$B$316:$B$454,$B163,ComEne26!K$316:K$454)</f>
        <v>77.647591689070708</v>
      </c>
      <c r="L163" s="296">
        <f>SUMIF(ComEne26!$B$316:$B$454,$B163,ComEne26!L$316:L$454)</f>
        <v>76.300001473839913</v>
      </c>
      <c r="M163" s="297">
        <f t="shared" si="38"/>
        <v>477.07465317172699</v>
      </c>
    </row>
    <row r="164" spans="2:13">
      <c r="B164" s="281" t="str">
        <f>ComEne26!B348</f>
        <v>DME-016-13</v>
      </c>
      <c r="C164" s="281" t="str">
        <f>ComEne26!C348</f>
        <v>Hidro CAISÀN (2016-27)</v>
      </c>
      <c r="D164" s="281" t="str">
        <f>ComEne26!D348</f>
        <v>H SE</v>
      </c>
      <c r="E164" s="1882"/>
      <c r="F164" s="1882"/>
      <c r="G164" s="296">
        <f>SUMIF(ComEne26!$B$316:$B$454,$B164,ComEne26!G$316:G$454)</f>
        <v>827.73472775912114</v>
      </c>
      <c r="H164" s="296">
        <f>SUMIF(ComEne26!$B$316:$B$454,$B164,ComEne26!H$316:H$454)</f>
        <v>822.42695489521941</v>
      </c>
      <c r="I164" s="296">
        <f>SUMIF(ComEne26!$B$316:$B$454,$B164,ComEne26!I$316:I$454)</f>
        <v>825.75169122242028</v>
      </c>
      <c r="J164" s="296">
        <f>SUMIF(ComEne26!$B$316:$B$454,$B164,ComEne26!J$316:J$454)</f>
        <v>908.48173619212128</v>
      </c>
      <c r="K164" s="296">
        <f>SUMIF(ComEne26!$B$316:$B$454,$B164,ComEne26!K$316:K$454)</f>
        <v>813.27181206657826</v>
      </c>
      <c r="L164" s="296">
        <f>SUMIF(ComEne26!$B$316:$B$454,$B164,ComEne26!L$316:L$454)</f>
        <v>799.15730944745587</v>
      </c>
      <c r="M164" s="297">
        <f t="shared" si="38"/>
        <v>4996.8242315829166</v>
      </c>
    </row>
    <row r="165" spans="2:13">
      <c r="B165" s="281" t="str">
        <f>ComEne26!B349</f>
        <v>DME-017-13</v>
      </c>
      <c r="C165" s="281" t="str">
        <f>ComEne26!C349</f>
        <v>PASO ANCHO (2024-27)</v>
      </c>
      <c r="D165" s="281" t="str">
        <f>ComEne26!D349</f>
        <v>H SE</v>
      </c>
      <c r="E165" s="1882"/>
      <c r="F165" s="1882"/>
      <c r="G165" s="296">
        <f>SUMIF(ComEne26!$B$316:$B$454,$B165,ComEne26!G$316:G$454)</f>
        <v>315.32679464750396</v>
      </c>
      <c r="H165" s="296">
        <f>SUMIF(ComEne26!$B$316:$B$454,$B165,ComEne26!H$316:H$454)</f>
        <v>289.48550626577691</v>
      </c>
      <c r="I165" s="296">
        <f>SUMIF(ComEne26!$B$316:$B$454,$B165,ComEne26!I$316:I$454)</f>
        <v>50.238562586082836</v>
      </c>
      <c r="J165" s="296">
        <f>SUMIF(ComEne26!$B$316:$B$454,$B165,ComEne26!J$316:J$454)</f>
        <v>0</v>
      </c>
      <c r="K165" s="296">
        <f>SUMIF(ComEne26!$B$316:$B$454,$B165,ComEne26!K$316:K$454)</f>
        <v>374.72481650109285</v>
      </c>
      <c r="L165" s="296">
        <f>SUMIF(ComEne26!$B$316:$B$454,$B165,ComEne26!L$316:L$454)</f>
        <v>352.87883096533426</v>
      </c>
      <c r="M165" s="297">
        <f t="shared" si="38"/>
        <v>1382.6545109657909</v>
      </c>
    </row>
    <row r="166" spans="2:13">
      <c r="B166" s="281" t="str">
        <f>ComEne26!B350</f>
        <v>DME-018-13</v>
      </c>
      <c r="C166" s="281" t="str">
        <f>ComEne26!C350</f>
        <v>PEDREGALITO</v>
      </c>
      <c r="D166" s="281" t="str">
        <f>ComEne26!D350</f>
        <v>H SE</v>
      </c>
      <c r="E166" s="1882"/>
      <c r="F166" s="1882"/>
      <c r="G166" s="296">
        <f>SUMIF(ComEne26!$B$316:$B$454,$B166,ComEne26!G$316:G$454)</f>
        <v>336.50295260626513</v>
      </c>
      <c r="H166" s="296">
        <f>SUMIF(ComEne26!$B$316:$B$454,$B166,ComEne26!H$316:H$454)</f>
        <v>334.34515835097068</v>
      </c>
      <c r="I166" s="296">
        <f>SUMIF(ComEne26!$B$316:$B$454,$B166,ComEne26!I$316:I$454)</f>
        <v>335.69677929089335</v>
      </c>
      <c r="J166" s="296">
        <f>SUMIF(ComEne26!$B$316:$B$454,$B166,ComEne26!J$316:J$454)</f>
        <v>369.32941963802489</v>
      </c>
      <c r="K166" s="296">
        <f>SUMIF(ComEne26!$B$316:$B$454,$B166,ComEne26!K$316:K$454)</f>
        <v>330.62327440669054</v>
      </c>
      <c r="L166" s="296">
        <f>SUMIF(ComEne26!$B$316:$B$454,$B166,ComEne26!L$316:L$454)</f>
        <v>324.88523823807185</v>
      </c>
      <c r="M166" s="297">
        <f t="shared" si="38"/>
        <v>2031.3828225309167</v>
      </c>
    </row>
    <row r="167" spans="2:13">
      <c r="B167" s="281" t="str">
        <f>ComEne26!B351</f>
        <v>DME-019-13</v>
      </c>
      <c r="C167" s="281" t="str">
        <f>ComEne26!C351</f>
        <v>RÍO CHICO</v>
      </c>
      <c r="D167" s="281" t="str">
        <f>ComEne26!D351</f>
        <v>H SE</v>
      </c>
      <c r="E167" s="1882"/>
      <c r="F167" s="1882"/>
      <c r="G167" s="296">
        <f>SUMIF(ComEne26!$B$316:$B$454,$B167,ComEne26!G$316:G$454)</f>
        <v>207.36766302144656</v>
      </c>
      <c r="H167" s="296">
        <f>SUMIF(ComEne26!$B$316:$B$454,$B167,ComEne26!H$316:H$454)</f>
        <v>206.03793694167257</v>
      </c>
      <c r="I167" s="296">
        <f>SUMIF(ComEne26!$B$316:$B$454,$B167,ComEne26!I$316:I$454)</f>
        <v>206.8708641817808</v>
      </c>
      <c r="J167" s="296">
        <f>SUMIF(ComEne26!$B$316:$B$454,$B167,ComEne26!J$316:J$454)</f>
        <v>227.59675076318626</v>
      </c>
      <c r="K167" s="296">
        <f>SUMIF(ComEne26!$B$316:$B$454,$B167,ComEne26!K$316:K$454)</f>
        <v>203.74435119573855</v>
      </c>
      <c r="L167" s="296">
        <f>SUMIF(ComEne26!$B$316:$B$454,$B167,ComEne26!L$316:L$454)</f>
        <v>200.20832531126069</v>
      </c>
      <c r="M167" s="297">
        <f t="shared" si="38"/>
        <v>1251.8258914150854</v>
      </c>
    </row>
    <row r="168" spans="2:13">
      <c r="B168" s="281" t="str">
        <f>ComEne26!B352</f>
        <v>DME-002-14</v>
      </c>
      <c r="C168" s="281" t="str">
        <f>ComEne26!C352</f>
        <v>PARQUE EOLICO TOABRE (Enmienda 1)</v>
      </c>
      <c r="D168" s="281" t="str">
        <f>ComEne26!D352</f>
        <v>Eo</v>
      </c>
      <c r="E168" s="1882"/>
      <c r="F168" s="1882"/>
      <c r="G168" s="296">
        <f>SUMIF(ComEne26!$B$316:$B$454,$B168,ComEne26!G$316:G$454)</f>
        <v>3187.3205160914008</v>
      </c>
      <c r="H168" s="296">
        <f>SUMIF(ComEne26!$B$316:$B$454,$B168,ComEne26!H$316:H$454)</f>
        <v>2706.736851479915</v>
      </c>
      <c r="I168" s="296">
        <f>SUMIF(ComEne26!$B$316:$B$454,$B168,ComEne26!I$316:I$454)</f>
        <v>3184.213992518256</v>
      </c>
      <c r="J168" s="296">
        <f>SUMIF(ComEne26!$B$316:$B$454,$B168,ComEne26!J$316:J$454)</f>
        <v>2965.0404064633517</v>
      </c>
      <c r="K168" s="296">
        <f>SUMIF(ComEne26!$B$316:$B$454,$B168,ComEne26!K$316:K$454)</f>
        <v>4456.5487105308548</v>
      </c>
      <c r="L168" s="296">
        <f>SUMIF(ComEne26!$B$316:$B$454,$B168,ComEne26!L$316:L$454)</f>
        <v>7829.0881006718864</v>
      </c>
      <c r="M168" s="297">
        <f t="shared" si="38"/>
        <v>24328.948577755662</v>
      </c>
    </row>
    <row r="169" spans="2:13">
      <c r="B169" s="281" t="str">
        <f>ComEne26!B353</f>
        <v>DME-006-14</v>
      </c>
      <c r="C169" s="281" t="str">
        <f>ComEne26!C353</f>
        <v>Electron (SECCION)</v>
      </c>
      <c r="D169" s="281" t="str">
        <f>ComEne26!D353</f>
        <v>H3</v>
      </c>
      <c r="E169" s="1882"/>
      <c r="F169" s="1882"/>
      <c r="G169" s="296">
        <f>SUMIF(ComEne26!$B$316:$B$454,$B169,ComEne26!G$316:G$454)</f>
        <v>22679.011364496506</v>
      </c>
      <c r="H169" s="296">
        <f>SUMIF(ComEne26!$B$316:$B$454,$B169,ComEne26!H$316:H$454)</f>
        <v>22533.584288570291</v>
      </c>
      <c r="I169" s="296">
        <f>SUMIF(ComEne26!$B$316:$B$454,$B169,ComEne26!I$316:I$454)</f>
        <v>22624.67836789287</v>
      </c>
      <c r="J169" s="296">
        <f>SUMIF(ComEne26!$B$316:$B$454,$B169,ComEne26!J$316:J$454)</f>
        <v>24891.389630730158</v>
      </c>
      <c r="K169" s="296">
        <f>SUMIF(ComEne26!$B$316:$B$454,$B169,ComEne26!K$316:K$454)</f>
        <v>22282.743552654276</v>
      </c>
      <c r="L169" s="296">
        <f>SUMIF(ComEne26!$B$316:$B$454,$B169,ComEne26!L$316:L$454)</f>
        <v>21896.021871699933</v>
      </c>
      <c r="M169" s="297">
        <f t="shared" si="38"/>
        <v>136907.42907604403</v>
      </c>
    </row>
    <row r="170" spans="2:13">
      <c r="B170" s="281" t="str">
        <f>ComEne26!B354</f>
        <v>DME-002-15</v>
      </c>
      <c r="C170" s="281" t="str">
        <f>ComEne26!C354</f>
        <v>PANAMA SOLAR (Ene-17  - Dic36)</v>
      </c>
      <c r="D170" s="281" t="str">
        <f>ComEne26!D354</f>
        <v>Sol1</v>
      </c>
      <c r="E170" s="1882"/>
      <c r="F170" s="1882"/>
      <c r="G170" s="296">
        <f>SUMIF(ComEne26!$B$316:$B$454,$B170,ComEne26!G$316:G$454)</f>
        <v>874.39431537122675</v>
      </c>
      <c r="H170" s="296">
        <f>SUMIF(ComEne26!$B$316:$B$454,$B170,ComEne26!H$316:H$454)</f>
        <v>868.78734219028775</v>
      </c>
      <c r="I170" s="296">
        <f>SUMIF(ComEne26!$B$316:$B$454,$B170,ComEne26!I$316:I$454)</f>
        <v>872.29949463130345</v>
      </c>
      <c r="J170" s="296">
        <f>SUMIF(ComEne26!$B$316:$B$454,$B170,ComEne26!J$316:J$454)</f>
        <v>959.69305032728209</v>
      </c>
      <c r="K170" s="296">
        <f>SUMIF(ComEne26!$B$316:$B$454,$B170,ComEne26!K$316:K$454)</f>
        <v>859.11612195835733</v>
      </c>
      <c r="L170" s="296">
        <f>SUMIF(ComEne26!$B$316:$B$454,$B170,ComEne26!L$316:L$454)</f>
        <v>844.20598174004749</v>
      </c>
      <c r="M170" s="297">
        <f t="shared" si="38"/>
        <v>5278.4963062185052</v>
      </c>
    </row>
    <row r="171" spans="2:13">
      <c r="B171" s="281" t="str">
        <f>ComEne26!B355</f>
        <v>DME-003-15</v>
      </c>
      <c r="C171" s="281" t="str">
        <f>ComEne26!C355</f>
        <v>SOLPAC (Ene-17  - Dic36)</v>
      </c>
      <c r="D171" s="281" t="str">
        <f>ComEne26!D355</f>
        <v>Sol1</v>
      </c>
      <c r="E171" s="1882"/>
      <c r="F171" s="1882"/>
      <c r="G171" s="296">
        <f>SUMIF(ComEne26!$B$316:$B$454,$B171,ComEne26!G$316:G$454)</f>
        <v>136.21027846544447</v>
      </c>
      <c r="H171" s="296">
        <f>SUMIF(ComEne26!$B$316:$B$454,$B171,ComEne26!H$316:H$454)</f>
        <v>135.33684257399574</v>
      </c>
      <c r="I171" s="296">
        <f>SUMIF(ComEne26!$B$316:$B$454,$B171,ComEne26!I$316:I$454)</f>
        <v>135.88395416151872</v>
      </c>
      <c r="J171" s="296">
        <f>SUMIF(ComEne26!$B$316:$B$454,$B171,ComEne26!J$316:J$454)</f>
        <v>149.49783562000093</v>
      </c>
      <c r="K171" s="296">
        <f>SUMIF(ComEne26!$B$316:$B$454,$B171,ComEne26!K$316:K$454)</f>
        <v>133.83029160753318</v>
      </c>
      <c r="L171" s="296">
        <f>SUMIF(ComEne26!$B$316:$B$454,$B171,ComEne26!L$316:L$454)</f>
        <v>131.50763886906867</v>
      </c>
      <c r="M171" s="297">
        <f t="shared" si="38"/>
        <v>822.26684129756154</v>
      </c>
    </row>
    <row r="172" spans="2:13">
      <c r="B172" s="281" t="str">
        <f>ComEne26!B356</f>
        <v>DME-004-15</v>
      </c>
      <c r="C172" s="281" t="str">
        <f>ComEne26!C356</f>
        <v>Gas Natural Atlántico</v>
      </c>
      <c r="D172" s="281" t="str">
        <f>ComEne26!D356</f>
        <v>Gas</v>
      </c>
      <c r="E172" s="1882"/>
      <c r="F172" s="1882"/>
      <c r="G172" s="296">
        <f>SUMIF(ComEne26!$B$316:$B$454,$B172,ComEne26!G$316:G$454)</f>
        <v>57208.316955486676</v>
      </c>
      <c r="H172" s="296">
        <f>SUMIF(ComEne26!$B$316:$B$454,$B172,ComEne26!H$316:H$454)</f>
        <v>56841.473881078215</v>
      </c>
      <c r="I172" s="296">
        <f>SUMIF(ComEne26!$B$316:$B$454,$B172,ComEne26!I$316:I$454)</f>
        <v>57071.260747837878</v>
      </c>
      <c r="J172" s="296">
        <f>SUMIF(ComEne26!$B$316:$B$454,$B172,ComEne26!J$316:J$454)</f>
        <v>62789.090960400397</v>
      </c>
      <c r="K172" s="296">
        <f>SUMIF(ComEne26!$B$316:$B$454,$B172,ComEne26!K$316:K$454)</f>
        <v>56208.722475163937</v>
      </c>
      <c r="L172" s="296">
        <f>SUMIF(ComEne26!$B$316:$B$454,$B172,ComEne26!L$316:L$454)</f>
        <v>55233.20832500884</v>
      </c>
      <c r="M172" s="297">
        <f t="shared" si="38"/>
        <v>345352.07334497594</v>
      </c>
    </row>
    <row r="173" spans="2:13">
      <c r="B173" s="281" t="str">
        <f>ComEne26!B357</f>
        <v>DME-005-15B</v>
      </c>
      <c r="C173" s="281" t="str">
        <f>ComEne26!C357</f>
        <v>ALTERNEGY ENMIEDA 7</v>
      </c>
      <c r="D173" s="281" t="str">
        <f>ComEne26!D357</f>
        <v>H2</v>
      </c>
      <c r="E173" s="1882"/>
      <c r="F173" s="1882"/>
      <c r="G173" s="296">
        <f>SUMIF(ComEne26!$B$316:$B$454,$B173,ComEne26!G$316:G$454)</f>
        <v>5580.0810744677092</v>
      </c>
      <c r="H173" s="296">
        <f>SUMIF(ComEne26!$B$316:$B$454,$B173,ComEne26!H$316:H$454)</f>
        <v>4935.2835258650448</v>
      </c>
      <c r="I173" s="296">
        <f>SUMIF(ComEne26!$B$316:$B$454,$B173,ComEne26!I$316:I$454)</f>
        <v>4855.5866287049366</v>
      </c>
      <c r="J173" s="296">
        <f>SUMIF(ComEne26!$B$316:$B$454,$B173,ComEne26!J$316:J$454)</f>
        <v>5685.90101474737</v>
      </c>
      <c r="K173" s="296">
        <f>SUMIF(ComEne26!$B$316:$B$454,$B173,ComEne26!K$316:K$454)</f>
        <v>4768.8193909484326</v>
      </c>
      <c r="L173" s="296">
        <f>SUMIF(ComEne26!$B$316:$B$454,$B173,ComEne26!L$316:L$454)</f>
        <v>5207.7024992151191</v>
      </c>
      <c r="M173" s="297">
        <f t="shared" si="38"/>
        <v>31033.374133948615</v>
      </c>
    </row>
    <row r="174" spans="2:13">
      <c r="B174" s="281" t="str">
        <f>ComEne26!B358</f>
        <v>DME-001-24</v>
      </c>
      <c r="C174" s="281" t="str">
        <f>ComEne26!C358</f>
        <v>ORO SOLAR, S.A.</v>
      </c>
      <c r="D174" s="281" t="str">
        <f>ComEne26!D358</f>
        <v>Sol</v>
      </c>
      <c r="E174" s="1882"/>
      <c r="F174" s="1882"/>
      <c r="G174" s="296">
        <f>SUMIF(ComEne26!$B$316:$B$454,$B174,ComEne26!G$316:G$454)</f>
        <v>1214.7693024289554</v>
      </c>
      <c r="H174" s="296">
        <f>SUMIF(ComEne26!$B$316:$B$454,$B174,ComEne26!H$316:H$454)</f>
        <v>1206.9797059276843</v>
      </c>
      <c r="I174" s="296">
        <f>SUMIF(ComEne26!$B$316:$B$454,$B174,ComEne26!I$316:I$454)</f>
        <v>1211.8590319889308</v>
      </c>
      <c r="J174" s="296">
        <f>SUMIF(ComEne26!$B$316:$B$454,$B174,ComEne26!J$316:J$454)</f>
        <v>1333.2722283276082</v>
      </c>
      <c r="K174" s="296">
        <f>SUMIF(ComEne26!$B$316:$B$454,$B174,ComEne26!K$316:K$454)</f>
        <v>1193.5437751945444</v>
      </c>
      <c r="L174" s="296">
        <f>SUMIF(ComEne26!$B$316:$B$454,$B174,ComEne26!L$316:L$454)</f>
        <v>1172.8295730162922</v>
      </c>
      <c r="M174" s="297">
        <f t="shared" si="38"/>
        <v>7333.2536168840161</v>
      </c>
    </row>
    <row r="175" spans="2:13">
      <c r="B175" s="281" t="str">
        <f>ComEne26!B359</f>
        <v>DME-001-25</v>
      </c>
      <c r="C175" s="281" t="str">
        <f>ComEne26!C359</f>
        <v>CALDERA ENERGY CORP.</v>
      </c>
      <c r="D175" s="281" t="str">
        <f>ComEne26!D359</f>
        <v>H SE</v>
      </c>
      <c r="E175" s="1882"/>
      <c r="F175" s="1882"/>
      <c r="G175" s="296">
        <f>SUMIF(ComEne26!$B$316:$B$454,$B175,ComEne26!G$316:G$454)</f>
        <v>204.31541769816673</v>
      </c>
      <c r="H175" s="296">
        <f>SUMIF(ComEne26!$B$316:$B$454,$B175,ComEne26!H$316:H$454)</f>
        <v>196.23842173229386</v>
      </c>
      <c r="I175" s="296">
        <f>SUMIF(ComEne26!$B$316:$B$454,$B175,ComEne26!I$316:I$454)</f>
        <v>197.03173353420217</v>
      </c>
      <c r="J175" s="296">
        <f>SUMIF(ComEne26!$B$316:$B$454,$B175,ComEne26!J$316:J$454)</f>
        <v>224.24675343000143</v>
      </c>
      <c r="K175" s="296">
        <f>SUMIF(ComEne26!$B$316:$B$454,$B175,ComEne26!K$316:K$454)</f>
        <v>200.74543741129978</v>
      </c>
      <c r="L175" s="296">
        <f>SUMIF(ComEne26!$B$316:$B$454,$B175,ComEne26!L$316:L$454)</f>
        <v>188.49428237899843</v>
      </c>
      <c r="M175" s="297">
        <f t="shared" si="38"/>
        <v>1211.0720461849626</v>
      </c>
    </row>
    <row r="176" spans="2:13">
      <c r="B176" s="281" t="str">
        <f>ComEne26!B360</f>
        <v>DME-002-25</v>
      </c>
      <c r="C176" s="281" t="str">
        <f>ComEne26!C360</f>
        <v>EMPRESA NACIONAL DE ENERGÍA, S.A.</v>
      </c>
      <c r="D176" s="281" t="str">
        <f>ComEne26!D360</f>
        <v>H SE</v>
      </c>
      <c r="E176" s="1882"/>
      <c r="F176" s="1882"/>
      <c r="G176" s="296">
        <f>SUMIF(ComEne26!$B$316:$B$454,$B176,ComEne26!G$316:G$454)</f>
        <v>384.11298527255349</v>
      </c>
      <c r="H176" s="296">
        <f>SUMIF(ComEne26!$B$316:$B$454,$B176,ComEne26!H$316:H$454)</f>
        <v>129.51735834331396</v>
      </c>
      <c r="I176" s="296">
        <f>SUMIF(ComEne26!$B$316:$B$454,$B176,ComEne26!I$316:I$454)</f>
        <v>409.82600575114054</v>
      </c>
      <c r="J176" s="296">
        <f>SUMIF(ComEne26!$B$316:$B$454,$B176,ComEne26!J$316:J$454)</f>
        <v>1116.748832081407</v>
      </c>
      <c r="K176" s="296">
        <f>SUMIF(ComEne26!$B$316:$B$454,$B176,ComEne26!K$316:K$454)</f>
        <v>445.65487105308551</v>
      </c>
      <c r="L176" s="296">
        <f>SUMIF(ComEne26!$B$316:$B$454,$B176,ComEne26!L$316:L$454)</f>
        <v>0</v>
      </c>
      <c r="M176" s="297">
        <f t="shared" si="38"/>
        <v>2485.8600525015004</v>
      </c>
    </row>
    <row r="177" spans="2:13">
      <c r="B177" s="281" t="str">
        <f>ComEne26!B361</f>
        <v>DME-003-25</v>
      </c>
      <c r="C177" s="281" t="str">
        <f>ComEne26!C361</f>
        <v>EMPRESA NACIONAL DE ENERGÍA, S.A.</v>
      </c>
      <c r="D177" s="281" t="str">
        <f>ComEne26!D361</f>
        <v>H SE</v>
      </c>
      <c r="E177" s="1882"/>
      <c r="F177" s="1882"/>
      <c r="G177" s="296">
        <f>SUMIF(ComEne26!$B$316:$B$454,$B177,ComEne26!G$316:G$454)</f>
        <v>384.11298527255349</v>
      </c>
      <c r="H177" s="296">
        <f>SUMIF(ComEne26!$B$316:$B$454,$B177,ComEne26!H$316:H$454)</f>
        <v>129.51735834331396</v>
      </c>
      <c r="I177" s="296">
        <f>SUMIF(ComEne26!$B$316:$B$454,$B177,ComEne26!I$316:I$454)</f>
        <v>409.82600575114054</v>
      </c>
      <c r="J177" s="296">
        <f>SUMIF(ComEne26!$B$316:$B$454,$B177,ComEne26!J$316:J$454)</f>
        <v>1116.748832081407</v>
      </c>
      <c r="K177" s="296">
        <f>SUMIF(ComEne26!$B$316:$B$454,$B177,ComEne26!K$316:K$454)</f>
        <v>445.65487105308551</v>
      </c>
      <c r="L177" s="296">
        <f>SUMIF(ComEne26!$B$316:$B$454,$B177,ComEne26!L$316:L$454)</f>
        <v>0</v>
      </c>
      <c r="M177" s="297">
        <f t="shared" si="38"/>
        <v>2485.8600525015004</v>
      </c>
    </row>
    <row r="178" spans="2:13">
      <c r="B178" s="281" t="str">
        <f>ComEne26!B362</f>
        <v>DME-004-25</v>
      </c>
      <c r="C178" s="281" t="str">
        <f>ComEne26!C362</f>
        <v>ARRENDADORA ISTMO ENERGY, S.A.</v>
      </c>
      <c r="D178" s="281" t="str">
        <f>ComEne26!D362</f>
        <v>Sol</v>
      </c>
      <c r="E178" s="1882"/>
      <c r="F178" s="1882"/>
      <c r="G178" s="296">
        <f>SUMIF(ComEne26!$B$316:$B$454,$B178,ComEne26!G$316:G$454)</f>
        <v>849.95213762437356</v>
      </c>
      <c r="H178" s="296">
        <f>SUMIF(ComEne26!$B$316:$B$454,$B178,ComEne26!H$316:H$454)</f>
        <v>867.37382405673884</v>
      </c>
      <c r="I178" s="296">
        <f>SUMIF(ComEne26!$B$316:$B$454,$B178,ComEne26!I$316:I$454)</f>
        <v>898.46470491596187</v>
      </c>
      <c r="J178" s="296">
        <f>SUMIF(ComEne26!$B$316:$B$454,$B178,ComEne26!J$316:J$454)</f>
        <v>1027.0501307094064</v>
      </c>
      <c r="K178" s="296">
        <f>SUMIF(ComEne26!$B$316:$B$454,$B178,ComEne26!K$316:K$454)</f>
        <v>959.56319082601294</v>
      </c>
      <c r="L178" s="296">
        <f>SUMIF(ComEne26!$B$316:$B$454,$B178,ComEne26!L$316:L$454)</f>
        <v>625.80101749827475</v>
      </c>
      <c r="M178" s="297">
        <f t="shared" si="38"/>
        <v>5228.205005630768</v>
      </c>
    </row>
    <row r="179" spans="2:13">
      <c r="B179" s="281" t="str">
        <f>ComEne26!B363</f>
        <v>DME-005-25</v>
      </c>
      <c r="C179" s="281" t="str">
        <f>ComEne26!C363</f>
        <v>ARRENDADORA ISTMO ENERGY, S.A.</v>
      </c>
      <c r="D179" s="281" t="str">
        <f>ComEne26!D363</f>
        <v>Sol</v>
      </c>
      <c r="E179" s="1882"/>
      <c r="F179" s="1882"/>
      <c r="G179" s="296">
        <f>SUMIF(ComEne26!$B$316:$B$454,$B179,ComEne26!G$316:G$454)</f>
        <v>849.95213762437356</v>
      </c>
      <c r="H179" s="296">
        <f>SUMIF(ComEne26!$B$316:$B$454,$B179,ComEne26!H$316:H$454)</f>
        <v>867.37382405673884</v>
      </c>
      <c r="I179" s="296">
        <f>SUMIF(ComEne26!$B$316:$B$454,$B179,ComEne26!I$316:I$454)</f>
        <v>898.46470491596187</v>
      </c>
      <c r="J179" s="296">
        <f>SUMIF(ComEne26!$B$316:$B$454,$B179,ComEne26!J$316:J$454)</f>
        <v>1027.0501307094064</v>
      </c>
      <c r="K179" s="296">
        <f>SUMIF(ComEne26!$B$316:$B$454,$B179,ComEne26!K$316:K$454)</f>
        <v>959.56319082601294</v>
      </c>
      <c r="L179" s="296">
        <f>SUMIF(ComEne26!$B$316:$B$454,$B179,ComEne26!L$316:L$454)</f>
        <v>625.80101749827475</v>
      </c>
      <c r="M179" s="297">
        <f t="shared" si="38"/>
        <v>5228.205005630768</v>
      </c>
    </row>
    <row r="180" spans="2:13">
      <c r="B180" s="281" t="str">
        <f>ComEne26!B364</f>
        <v>DME-006-25</v>
      </c>
      <c r="C180" s="281" t="str">
        <f>ComEne26!C364</f>
        <v>HIDROECOLÓGICA DEL TERIBE, S.A.</v>
      </c>
      <c r="D180" s="281" t="str">
        <f>ComEne26!D364</f>
        <v>H SE</v>
      </c>
      <c r="E180" s="1882"/>
      <c r="F180" s="1882"/>
      <c r="G180" s="296">
        <f>SUMIF(ComEne26!$B$316:$B$454,$B180,ComEne26!G$316:G$454)</f>
        <v>2288.3326782194672</v>
      </c>
      <c r="H180" s="296">
        <f>SUMIF(ComEne26!$B$316:$B$454,$B180,ComEne26!H$316:H$454)</f>
        <v>2197.8703234016907</v>
      </c>
      <c r="I180" s="296">
        <f>SUMIF(ComEne26!$B$316:$B$454,$B180,ComEne26!I$316:I$454)</f>
        <v>2206.7554155830644</v>
      </c>
      <c r="J180" s="296">
        <f>SUMIF(ComEne26!$B$316:$B$454,$B180,ComEne26!J$316:J$454)</f>
        <v>2511.5636384160157</v>
      </c>
      <c r="K180" s="296">
        <f>SUMIF(ComEne26!$B$316:$B$454,$B180,ComEne26!K$316:K$454)</f>
        <v>2248.3488990065575</v>
      </c>
      <c r="L180" s="296">
        <f>SUMIF(ComEne26!$B$316:$B$454,$B180,ComEne26!L$316:L$454)</f>
        <v>2111.135962644782</v>
      </c>
      <c r="M180" s="297">
        <f t="shared" si="38"/>
        <v>13564.006917271578</v>
      </c>
    </row>
    <row r="181" spans="2:13">
      <c r="B181" s="281" t="str">
        <f>ComEne26!B365</f>
        <v>DME-007-25</v>
      </c>
      <c r="C181" s="281" t="str">
        <f>ComEne26!C365</f>
        <v>SOCIEDAD SUPER SERVICIOS, S.A.</v>
      </c>
      <c r="D181" s="281" t="str">
        <f>ComEne26!D365</f>
        <v>Sol</v>
      </c>
      <c r="E181" s="1882"/>
      <c r="F181" s="1882"/>
      <c r="G181" s="296">
        <f>SUMIF(ComEne26!$B$316:$B$454,$B181,ComEne26!G$316:G$454)</f>
        <v>2860.415847774334</v>
      </c>
      <c r="H181" s="296">
        <f>SUMIF(ComEne26!$B$316:$B$454,$B181,ComEne26!H$316:H$454)</f>
        <v>2747.3379042521137</v>
      </c>
      <c r="I181" s="296">
        <f>SUMIF(ComEne26!$B$316:$B$454,$B181,ComEne26!I$316:I$454)</f>
        <v>3546.5712036156392</v>
      </c>
      <c r="J181" s="296">
        <f>SUMIF(ComEne26!$B$316:$B$454,$B181,ComEne26!J$316:J$454)</f>
        <v>4036.441561740025</v>
      </c>
      <c r="K181" s="296">
        <f>SUMIF(ComEne26!$B$316:$B$454,$B181,ComEne26!K$316:K$454)</f>
        <v>3613.4178734033962</v>
      </c>
      <c r="L181" s="296">
        <f>SUMIF(ComEne26!$B$316:$B$454,$B181,ComEne26!L$316:L$454)</f>
        <v>1507.9542590319875</v>
      </c>
      <c r="M181" s="297">
        <f t="shared" si="38"/>
        <v>18312.138649817494</v>
      </c>
    </row>
    <row r="182" spans="2:13">
      <c r="B182" s="281" t="str">
        <f>ComEne26!B366</f>
        <v>DME-008-25</v>
      </c>
      <c r="C182" s="281" t="str">
        <f>ComEne26!C366</f>
        <v>CORPORACION DE ENERGIA DEL ISTMO, S.A.</v>
      </c>
      <c r="D182" s="281" t="str">
        <f>ComEne26!D366</f>
        <v>H SE</v>
      </c>
      <c r="E182" s="1882"/>
      <c r="F182" s="1882"/>
      <c r="G182" s="296">
        <f>SUMIF(ComEne26!$B$316:$B$454,$B182,ComEne26!G$316:G$454)</f>
        <v>1021.5770884908336</v>
      </c>
      <c r="H182" s="296">
        <f>SUMIF(ComEne26!$B$316:$B$454,$B182,ComEne26!H$316:H$454)</f>
        <v>1569.9073738583509</v>
      </c>
      <c r="I182" s="296">
        <f>SUMIF(ComEne26!$B$316:$B$454,$B182,ComEne26!I$316:I$454)</f>
        <v>2758.4442694788304</v>
      </c>
      <c r="J182" s="296">
        <f>SUMIF(ComEne26!$B$316:$B$454,$B182,ComEne26!J$316:J$454)</f>
        <v>3363.7013014500212</v>
      </c>
      <c r="K182" s="296">
        <f>SUMIF(ComEne26!$B$316:$B$454,$B182,ComEne26!K$316:K$454)</f>
        <v>3011.1815611694965</v>
      </c>
      <c r="L182" s="296">
        <f>SUMIF(ComEne26!$B$316:$B$454,$B182,ComEne26!L$316:L$454)</f>
        <v>942.47141189499212</v>
      </c>
      <c r="M182" s="297">
        <f t="shared" si="38"/>
        <v>12667.283006342524</v>
      </c>
    </row>
    <row r="183" spans="2:13">
      <c r="B183" s="281" t="str">
        <f>ComEne26!B367</f>
        <v>DME-009-25</v>
      </c>
      <c r="C183" s="281" t="str">
        <f>ComEne26!C367</f>
        <v>HYDRO CAISAN, S.A.</v>
      </c>
      <c r="D183" s="281" t="str">
        <f>ComEne26!D367</f>
        <v>H SE</v>
      </c>
      <c r="E183" s="1882"/>
      <c r="F183" s="1882"/>
      <c r="G183" s="296">
        <f>SUMIF(ComEne26!$B$316:$B$454,$B183,ComEne26!G$316:G$454)</f>
        <v>0</v>
      </c>
      <c r="H183" s="296">
        <f>SUMIF(ComEne26!$B$316:$B$454,$B183,ComEne26!H$316:H$454)</f>
        <v>0</v>
      </c>
      <c r="I183" s="296">
        <f>SUMIF(ComEne26!$B$316:$B$454,$B183,ComEne26!I$316:I$454)</f>
        <v>0</v>
      </c>
      <c r="J183" s="296">
        <f>SUMIF(ComEne26!$B$316:$B$454,$B183,ComEne26!J$316:J$454)</f>
        <v>13454.805205800085</v>
      </c>
      <c r="K183" s="296">
        <f>SUMIF(ComEne26!$B$316:$B$454,$B183,ComEne26!K$316:K$454)</f>
        <v>1204.4726244677988</v>
      </c>
      <c r="L183" s="296">
        <f>SUMIF(ComEne26!$B$316:$B$454,$B183,ComEne26!L$316:L$454)</f>
        <v>1130.9656942739907</v>
      </c>
      <c r="M183" s="297">
        <f t="shared" si="38"/>
        <v>15790.243524541875</v>
      </c>
    </row>
    <row r="184" spans="2:13">
      <c r="B184" s="281" t="str">
        <f>ComEne26!B368</f>
        <v>DME-010-25</v>
      </c>
      <c r="C184" s="281" t="str">
        <f>ComEne26!C368</f>
        <v>PEDREGALITO SOLAR POWER, S.A.</v>
      </c>
      <c r="D184" s="281" t="str">
        <f>ComEne26!D368</f>
        <v>Sol</v>
      </c>
      <c r="E184" s="1882"/>
      <c r="F184" s="1882"/>
      <c r="G184" s="296">
        <f>SUMIF(ComEne26!$B$316:$B$454,$B184,ComEne26!G$316:G$454)</f>
        <v>4045.445270423701</v>
      </c>
      <c r="H184" s="296">
        <f>SUMIF(ComEne26!$B$316:$B$454,$B184,ComEne26!H$316:H$454)</f>
        <v>3885.5207502994176</v>
      </c>
      <c r="I184" s="296">
        <f>SUMIF(ComEne26!$B$316:$B$454,$B184,ComEne26!I$316:I$454)</f>
        <v>3901.2283239772028</v>
      </c>
      <c r="J184" s="296">
        <f>SUMIF(ComEne26!$B$316:$B$454,$B184,ComEne26!J$316:J$454)</f>
        <v>4440.0857179140285</v>
      </c>
      <c r="K184" s="296">
        <f>SUMIF(ComEne26!$B$316:$B$454,$B184,ComEne26!K$316:K$454)</f>
        <v>3974.7596607437358</v>
      </c>
      <c r="L184" s="296">
        <f>SUMIF(ComEne26!$B$316:$B$454,$B184,ComEne26!L$316:L$454)</f>
        <v>3732.1867911041691</v>
      </c>
      <c r="M184" s="297">
        <f t="shared" si="38"/>
        <v>23979.226514462258</v>
      </c>
    </row>
    <row r="185" spans="2:13">
      <c r="B185" s="281" t="str">
        <f>ComEne26!B369</f>
        <v>DME-011-25</v>
      </c>
      <c r="C185" s="281" t="str">
        <f>ComEne26!C369</f>
        <v>GENA SOLAR, S.A.</v>
      </c>
      <c r="D185" s="281" t="str">
        <f>ComEne26!D369</f>
        <v>Sol</v>
      </c>
      <c r="E185" s="1882"/>
      <c r="F185" s="1882"/>
      <c r="G185" s="296">
        <f>SUMIF(ComEne26!$B$316:$B$454,$B185,ComEne26!G$316:G$454)</f>
        <v>3881.9929362651683</v>
      </c>
      <c r="H185" s="296">
        <f>SUMIF(ComEne26!$B$316:$B$454,$B185,ComEne26!H$316:H$454)</f>
        <v>3728.5300129135831</v>
      </c>
      <c r="I185" s="296">
        <f>SUMIF(ComEne26!$B$316:$B$454,$B185,ComEne26!I$316:I$454)</f>
        <v>3743.6029371498407</v>
      </c>
      <c r="J185" s="296">
        <f>SUMIF(ComEne26!$B$316:$B$454,$B185,ComEne26!J$316:J$454)</f>
        <v>4260.6883151700276</v>
      </c>
      <c r="K185" s="296">
        <f>SUMIF(ComEne26!$B$316:$B$454,$B185,ComEne26!K$316:K$454)</f>
        <v>3814.1633108146957</v>
      </c>
      <c r="L185" s="296">
        <f>SUMIF(ComEne26!$B$316:$B$454,$B185,ComEne26!L$316:L$454)</f>
        <v>3581.3913652009701</v>
      </c>
      <c r="M185" s="297">
        <f t="shared" si="38"/>
        <v>23010.368877514284</v>
      </c>
    </row>
    <row r="186" spans="2:13">
      <c r="B186" s="281" t="str">
        <f>ComEne26!B370</f>
        <v>DME-012-25</v>
      </c>
      <c r="C186" s="281" t="str">
        <f>ComEne26!C370</f>
        <v xml:space="preserve">HIDRO BOQUERÓN, S.A. </v>
      </c>
      <c r="D186" s="281" t="str">
        <f>ComEne26!D370</f>
        <v>H SE</v>
      </c>
      <c r="E186" s="1882"/>
      <c r="F186" s="1882"/>
      <c r="G186" s="296">
        <f>SUMIF(ComEne26!$B$316:$B$454,$B186,ComEne26!G$316:G$454)</f>
        <v>163.45233415853338</v>
      </c>
      <c r="H186" s="296">
        <f>SUMIF(ComEne26!$B$316:$B$454,$B186,ComEne26!H$316:H$454)</f>
        <v>156.99073738583505</v>
      </c>
      <c r="I186" s="296">
        <f>SUMIF(ComEne26!$B$316:$B$454,$B186,ComEne26!I$316:I$454)</f>
        <v>157.62538682736172</v>
      </c>
      <c r="J186" s="296">
        <f>SUMIF(ComEne26!$B$316:$B$454,$B186,ComEne26!J$316:J$454)</f>
        <v>179.39740274400111</v>
      </c>
      <c r="K186" s="296">
        <f>SUMIF(ComEne26!$B$316:$B$454,$B186,ComEne26!K$316:K$454)</f>
        <v>160.5963499290398</v>
      </c>
      <c r="L186" s="296">
        <f>SUMIF(ComEne26!$B$316:$B$454,$B186,ComEne26!L$316:L$454)</f>
        <v>150.79542590319872</v>
      </c>
      <c r="M186" s="297">
        <f t="shared" si="38"/>
        <v>968.85763694796981</v>
      </c>
    </row>
    <row r="187" spans="2:13">
      <c r="B187" s="281" t="str">
        <f>ComEne26!B371</f>
        <v>DME-013-25</v>
      </c>
      <c r="C187" s="281" t="str">
        <f>ComEne26!C371</f>
        <v>HIDROIBÉRICA, S.A.</v>
      </c>
      <c r="D187" s="281" t="str">
        <f>ComEne26!D371</f>
        <v>H SE</v>
      </c>
      <c r="E187" s="1882"/>
      <c r="F187" s="1882"/>
      <c r="G187" s="296">
        <f>SUMIF(ComEne26!$B$316:$B$454,$B187,ComEne26!G$316:G$454)</f>
        <v>0</v>
      </c>
      <c r="H187" s="296">
        <f>SUMIF(ComEne26!$B$316:$B$454,$B187,ComEne26!H$316:H$454)</f>
        <v>0</v>
      </c>
      <c r="I187" s="296">
        <f>SUMIF(ComEne26!$B$316:$B$454,$B187,ComEne26!I$316:I$454)</f>
        <v>0</v>
      </c>
      <c r="J187" s="296">
        <f>SUMIF(ComEne26!$B$316:$B$454,$B187,ComEne26!J$316:J$454)</f>
        <v>0</v>
      </c>
      <c r="K187" s="296">
        <f>SUMIF(ComEne26!$B$316:$B$454,$B187,ComEne26!K$316:K$454)</f>
        <v>0</v>
      </c>
      <c r="L187" s="296">
        <f>SUMIF(ComEne26!$B$316:$B$454,$B187,ComEne26!L$316:L$454)</f>
        <v>0</v>
      </c>
      <c r="M187" s="297">
        <f t="shared" si="38"/>
        <v>0</v>
      </c>
    </row>
    <row r="188" spans="2:13">
      <c r="B188" s="281" t="str">
        <f>ComEne26!B372</f>
        <v>DME-014-25</v>
      </c>
      <c r="C188" s="281" t="str">
        <f>ComEne26!C372</f>
        <v xml:space="preserve">HIDRO PANAMÁ, S.A. </v>
      </c>
      <c r="D188" s="281" t="str">
        <f>ComEne26!D372</f>
        <v>H SE</v>
      </c>
      <c r="E188" s="1882"/>
      <c r="F188" s="1882"/>
      <c r="G188" s="296">
        <f>SUMIF(ComEne26!$B$316:$B$454,$B188,ComEne26!G$316:G$454)</f>
        <v>408.63083539633345</v>
      </c>
      <c r="H188" s="296">
        <f>SUMIF(ComEne26!$B$316:$B$454,$B188,ComEne26!H$316:H$454)</f>
        <v>392.47684346458772</v>
      </c>
      <c r="I188" s="296">
        <f>SUMIF(ComEne26!$B$316:$B$454,$B188,ComEne26!I$316:I$454)</f>
        <v>394.06346706840435</v>
      </c>
      <c r="J188" s="296">
        <f>SUMIF(ComEne26!$B$316:$B$454,$B188,ComEne26!J$316:J$454)</f>
        <v>448.49350686000287</v>
      </c>
      <c r="K188" s="296">
        <f>SUMIF(ComEne26!$B$316:$B$454,$B188,ComEne26!K$316:K$454)</f>
        <v>401.49087482259955</v>
      </c>
      <c r="L188" s="296">
        <f>SUMIF(ComEne26!$B$316:$B$454,$B188,ComEne26!L$316:L$454)</f>
        <v>376.98856475799687</v>
      </c>
      <c r="M188" s="297">
        <f t="shared" si="38"/>
        <v>2422.1440923699251</v>
      </c>
    </row>
    <row r="189" spans="2:13">
      <c r="B189" s="281" t="str">
        <f>ComEne26!B373</f>
        <v>DME-015-25</v>
      </c>
      <c r="C189" s="281" t="str">
        <f>ComEne26!C373</f>
        <v>AES PANAMÁ, S.R.L.</v>
      </c>
      <c r="D189" s="281" t="str">
        <f>ComEne26!D373</f>
        <v>H SE</v>
      </c>
      <c r="E189" s="1882"/>
      <c r="F189" s="1882"/>
      <c r="G189" s="296">
        <f>SUMIF(ComEne26!$B$316:$B$454,$B189,ComEne26!G$316:G$454)</f>
        <v>17661.024705829532</v>
      </c>
      <c r="H189" s="296">
        <f>SUMIF(ComEne26!$B$316:$B$454,$B189,ComEne26!H$316:H$454)</f>
        <v>5847.9049676223558</v>
      </c>
      <c r="I189" s="296">
        <f>SUMIF(ComEne26!$B$316:$B$454,$B189,ComEne26!I$316:I$454)</f>
        <v>8295.0359817899116</v>
      </c>
      <c r="J189" s="296">
        <f>SUMIF(ComEne26!$B$316:$B$454,$B189,ComEne26!J$316:J$454)</f>
        <v>6929.224680987043</v>
      </c>
      <c r="K189" s="296">
        <f>SUMIF(ComEne26!$B$316:$B$454,$B189,ComEne26!K$316:K$454)</f>
        <v>10703.746722770504</v>
      </c>
      <c r="L189" s="296">
        <f>SUMIF(ComEne26!$B$316:$B$454,$B189,ComEne26!L$316:L$454)</f>
        <v>14393.423402460319</v>
      </c>
      <c r="M189" s="297">
        <f t="shared" si="38"/>
        <v>63830.36046145967</v>
      </c>
    </row>
    <row r="190" spans="2:13">
      <c r="B190" s="281"/>
      <c r="C190" s="281"/>
      <c r="D190" s="281"/>
      <c r="E190" s="1882"/>
      <c r="F190" s="1882"/>
      <c r="G190" s="296"/>
      <c r="H190" s="296"/>
      <c r="I190" s="296"/>
      <c r="J190" s="296"/>
      <c r="K190" s="296"/>
      <c r="L190" s="296"/>
      <c r="M190" s="297"/>
    </row>
    <row r="191" spans="2:13">
      <c r="B191" s="286"/>
      <c r="C191" s="286" t="s">
        <v>401</v>
      </c>
      <c r="D191" s="286"/>
      <c r="E191" s="1891"/>
      <c r="F191" s="1891"/>
      <c r="G191" s="298">
        <f t="shared" ref="G191:M191" si="39">SUM(G133:G190)</f>
        <v>272883.42052430427</v>
      </c>
      <c r="H191" s="298">
        <f t="shared" si="39"/>
        <v>258140.30995983895</v>
      </c>
      <c r="I191" s="298">
        <f t="shared" si="39"/>
        <v>264114.69818552892</v>
      </c>
      <c r="J191" s="298">
        <f t="shared" si="39"/>
        <v>307087.16006678133</v>
      </c>
      <c r="K191" s="298">
        <f t="shared" si="39"/>
        <v>271078.21914891363</v>
      </c>
      <c r="L191" s="298">
        <f t="shared" si="39"/>
        <v>273077.14478931617</v>
      </c>
      <c r="M191" s="298">
        <f t="shared" si="39"/>
        <v>1646380.9526746834</v>
      </c>
    </row>
    <row r="192" spans="2:13">
      <c r="B192" s="281" t="s">
        <v>825</v>
      </c>
      <c r="C192" s="281" t="s">
        <v>1002</v>
      </c>
      <c r="D192" s="281" t="s">
        <v>1090</v>
      </c>
      <c r="E192" s="1882"/>
      <c r="F192" s="1882"/>
      <c r="G192" s="296">
        <f>SUMIF(ComEne26!$B$316:$B$454,$B192,ComEne26!G$316:G$454)</f>
        <v>33.386560000000003</v>
      </c>
      <c r="H192" s="296">
        <f>SUMIF(ComEne26!$B$316:$B$454,$B192,ComEne26!H$316:H$454)</f>
        <v>49.225380000000001</v>
      </c>
      <c r="I192" s="296">
        <f>SUMIF(ComEne26!$B$316:$B$454,$B192,ComEne26!I$316:I$454)</f>
        <v>11.366540000000001</v>
      </c>
      <c r="J192" s="296">
        <f>SUMIF(ComEne26!$B$316:$B$454,$B192,ComEne26!J$316:J$454)</f>
        <v>11.366539999999999</v>
      </c>
      <c r="K192" s="296">
        <f>SUMIF(ComEne26!$B$316:$B$454,$B192,ComEne26!K$316:K$454)</f>
        <v>218.34786000000003</v>
      </c>
      <c r="L192" s="296">
        <f>SUMIF(ComEne26!$B$316:$B$454,$B192,ComEne26!L$316:L$454)</f>
        <v>59.557680000000005</v>
      </c>
      <c r="M192" s="297">
        <f t="shared" ref="M192:M195" si="40">SUM(G192:L192)</f>
        <v>383.25056000000006</v>
      </c>
    </row>
    <row r="193" spans="2:13">
      <c r="B193" s="281" t="s">
        <v>897</v>
      </c>
      <c r="C193" s="281" t="s">
        <v>1001</v>
      </c>
      <c r="D193" s="281" t="s">
        <v>1090</v>
      </c>
      <c r="E193" s="1882"/>
      <c r="F193" s="1882"/>
      <c r="G193" s="296">
        <f>SUMIF(ComEne26!$B$316:$B$454,$B193,ComEne26!G$316:G$454)</f>
        <v>7233.8866399999997</v>
      </c>
      <c r="H193" s="296">
        <f>SUMIF(ComEne26!$B$316:$B$454,$B193,ComEne26!H$316:H$454)</f>
        <v>7057.8931299999995</v>
      </c>
      <c r="I193" s="296">
        <f>SUMIF(ComEne26!$B$316:$B$454,$B193,ComEne26!I$316:I$454)</f>
        <v>6802.3651500000005</v>
      </c>
      <c r="J193" s="296">
        <f>SUMIF(ComEne26!$B$316:$B$454,$B193,ComEne26!J$316:J$454)</f>
        <v>5792.3651499999996</v>
      </c>
      <c r="K193" s="296">
        <f>SUMIF(ComEne26!$B$316:$B$454,$B193,ComEne26!K$316:K$454)</f>
        <v>6761.8833400000003</v>
      </c>
      <c r="L193" s="296">
        <f>SUMIF(ComEne26!$B$316:$B$454,$B193,ComEne26!L$316:L$454)</f>
        <v>6947.9788700000008</v>
      </c>
      <c r="M193" s="297">
        <f t="shared" si="40"/>
        <v>40596.372279999996</v>
      </c>
    </row>
    <row r="194" spans="2:13">
      <c r="B194" s="281" t="s">
        <v>391</v>
      </c>
      <c r="C194" s="281" t="s">
        <v>390</v>
      </c>
      <c r="D194" s="281" t="s">
        <v>1090</v>
      </c>
      <c r="E194" s="1882"/>
      <c r="F194" s="1882"/>
      <c r="G194" s="296">
        <f>SUMIF(ComEne26!$B$316:$B$454,$B194,ComEne26!G$316:G$454)</f>
        <v>0</v>
      </c>
      <c r="H194" s="296">
        <f>SUMIF(ComEne26!$B$316:$B$454,$B194,ComEne26!H$316:H$454)</f>
        <v>0</v>
      </c>
      <c r="I194" s="296">
        <f>SUMIF(ComEne26!$B$316:$B$454,$B194,ComEne26!I$316:I$454)</f>
        <v>0</v>
      </c>
      <c r="J194" s="296">
        <f>SUMIF(ComEne26!$B$316:$B$454,$B194,ComEne26!J$316:J$454)</f>
        <v>0</v>
      </c>
      <c r="K194" s="296">
        <f>SUMIF(ComEne26!$B$316:$B$454,$B194,ComEne26!K$316:K$454)</f>
        <v>0</v>
      </c>
      <c r="L194" s="296">
        <f>SUMIF(ComEne26!$B$316:$B$454,$B194,ComEne26!L$316:L$454)</f>
        <v>0</v>
      </c>
      <c r="M194" s="297">
        <f t="shared" si="40"/>
        <v>0</v>
      </c>
    </row>
    <row r="195" spans="2:13">
      <c r="B195" s="281" t="s">
        <v>393</v>
      </c>
      <c r="C195" s="281" t="s">
        <v>400</v>
      </c>
      <c r="D195" s="281" t="s">
        <v>1090</v>
      </c>
      <c r="E195" s="1882"/>
      <c r="F195" s="1882"/>
      <c r="G195" s="296">
        <f>SUMIF(ComEne26!$B$316:$B$454,$B195,ComEne26!G$316:G$454)</f>
        <v>-56</v>
      </c>
      <c r="H195" s="296">
        <f>SUMIF(ComEne26!$B$316:$B$454,$B195,ComEne26!H$316:H$454)</f>
        <v>-56</v>
      </c>
      <c r="I195" s="296">
        <f>SUMIF(ComEne26!$B$316:$B$454,$B195,ComEne26!I$316:I$454)</f>
        <v>-56</v>
      </c>
      <c r="J195" s="296">
        <f>SUMIF(ComEne26!$B$316:$B$454,$B195,ComEne26!J$316:J$454)</f>
        <v>-56</v>
      </c>
      <c r="K195" s="296">
        <f>SUMIF(ComEne26!$B$316:$B$454,$B195,ComEne26!K$316:K$454)</f>
        <v>-56</v>
      </c>
      <c r="L195" s="296">
        <f>SUMIF(ComEne26!$B$316:$B$454,$B195,ComEne26!L$316:L$454)</f>
        <v>-56</v>
      </c>
      <c r="M195" s="297">
        <f t="shared" si="40"/>
        <v>-336</v>
      </c>
    </row>
    <row r="196" spans="2:13">
      <c r="B196" s="281"/>
      <c r="C196" s="284"/>
      <c r="D196" s="281"/>
      <c r="E196" s="1882"/>
      <c r="F196" s="1882"/>
      <c r="G196" s="296"/>
      <c r="H196" s="296"/>
      <c r="I196" s="296"/>
      <c r="J196" s="296"/>
      <c r="K196" s="296"/>
      <c r="L196" s="296"/>
      <c r="M196" s="297"/>
    </row>
    <row r="197" spans="2:13">
      <c r="B197" s="286"/>
      <c r="C197" s="286" t="s">
        <v>182</v>
      </c>
      <c r="D197" s="286"/>
      <c r="E197" s="1891"/>
      <c r="F197" s="1891"/>
      <c r="G197" s="298">
        <f t="shared" ref="G197:M197" si="41">SUM(G191:G196)</f>
        <v>280094.69372430426</v>
      </c>
      <c r="H197" s="298">
        <f t="shared" si="41"/>
        <v>265191.42846983892</v>
      </c>
      <c r="I197" s="298">
        <f t="shared" si="41"/>
        <v>270872.42987552896</v>
      </c>
      <c r="J197" s="298">
        <f t="shared" si="41"/>
        <v>312834.89175678138</v>
      </c>
      <c r="K197" s="298">
        <f t="shared" si="41"/>
        <v>278002.45034891361</v>
      </c>
      <c r="L197" s="298">
        <f t="shared" si="41"/>
        <v>280028.68133931619</v>
      </c>
      <c r="M197" s="298">
        <f t="shared" si="41"/>
        <v>1687024.5755146835</v>
      </c>
    </row>
    <row r="198" spans="2:13">
      <c r="B198" s="281" t="s">
        <v>389</v>
      </c>
      <c r="C198" s="281" t="s">
        <v>1373</v>
      </c>
      <c r="D198" s="281" t="s">
        <v>389</v>
      </c>
      <c r="E198" s="1882"/>
      <c r="F198" s="1882"/>
      <c r="G198" s="296">
        <f>SUMIF(ComEne26!$B$316:$B$454,$B198,ComEne26!G$316:G$454)</f>
        <v>59807.899236254627</v>
      </c>
      <c r="H198" s="296">
        <f>SUMIF(ComEne26!$B$316:$B$454,$B198,ComEne26!H$316:H$454)</f>
        <v>67557.922637678988</v>
      </c>
      <c r="I198" s="296">
        <f>SUMIF(ComEne26!$B$316:$B$454,$B198,ComEne26!I$316:I$454)</f>
        <v>50345.815070074561</v>
      </c>
      <c r="J198" s="296">
        <f>SUMIF(ComEne26!$B$316:$B$454,$B198,ComEne26!J$316:J$454)</f>
        <v>15358.914382897783</v>
      </c>
      <c r="K198" s="296">
        <f>SUMIF(ComEne26!$B$316:$B$454,$B198,ComEne26!K$316:K$454)</f>
        <v>27877.042005221068</v>
      </c>
      <c r="L198" s="296">
        <f>SUMIF(ComEne26!$B$316:$B$454,$B198,ComEne26!L$316:L$454)</f>
        <v>43999.248752016108</v>
      </c>
      <c r="M198" s="297">
        <f t="shared" ref="M198:M199" si="42">SUM(G198:L198)</f>
        <v>264946.84208414314</v>
      </c>
    </row>
    <row r="199" spans="2:13">
      <c r="B199" s="281" t="s">
        <v>449</v>
      </c>
      <c r="C199" s="281" t="s">
        <v>1372</v>
      </c>
      <c r="D199" s="281" t="s">
        <v>389</v>
      </c>
      <c r="E199" s="1882"/>
      <c r="F199" s="1882"/>
      <c r="G199" s="296">
        <f>SUMIF(ComEne26!$B$316:$B$454,$B199,ComEne26!G$316:G$454)</f>
        <v>0</v>
      </c>
      <c r="H199" s="296">
        <f>SUMIF(ComEne26!$B$316:$B$454,$B199,ComEne26!H$316:H$454)</f>
        <v>0</v>
      </c>
      <c r="I199" s="296">
        <f>SUMIF(ComEne26!$B$316:$B$454,$B199,ComEne26!I$316:I$454)</f>
        <v>0</v>
      </c>
      <c r="J199" s="296">
        <f>SUMIF(ComEne26!$B$316:$B$454,$B199,ComEne26!J$316:J$454)</f>
        <v>0</v>
      </c>
      <c r="K199" s="296">
        <f>SUMIF(ComEne26!$B$316:$B$454,$B199,ComEne26!K$316:K$454)</f>
        <v>0</v>
      </c>
      <c r="L199" s="296">
        <f>SUMIF(ComEne26!$B$316:$B$454,$B199,ComEne26!L$316:L$454)</f>
        <v>0</v>
      </c>
      <c r="M199" s="297">
        <f t="shared" si="42"/>
        <v>0</v>
      </c>
    </row>
    <row r="200" spans="2:13">
      <c r="B200" s="281"/>
      <c r="C200" s="284"/>
      <c r="D200" s="281"/>
      <c r="E200" s="1882"/>
      <c r="F200" s="1882"/>
      <c r="G200" s="296"/>
      <c r="H200" s="296"/>
      <c r="I200" s="296"/>
      <c r="J200" s="296"/>
      <c r="K200" s="296"/>
      <c r="L200" s="296"/>
      <c r="M200" s="297"/>
    </row>
    <row r="201" spans="2:13">
      <c r="B201" s="286"/>
      <c r="C201" s="286" t="s">
        <v>244</v>
      </c>
      <c r="D201" s="286"/>
      <c r="E201" s="1891"/>
      <c r="F201" s="1891"/>
      <c r="G201" s="298">
        <f t="shared" ref="G201:M201" si="43">SUM(G197:G200)</f>
        <v>339902.59296055889</v>
      </c>
      <c r="H201" s="298">
        <f t="shared" si="43"/>
        <v>332749.3511075179</v>
      </c>
      <c r="I201" s="298">
        <f t="shared" si="43"/>
        <v>321218.24494560354</v>
      </c>
      <c r="J201" s="298">
        <f t="shared" si="43"/>
        <v>328193.80613967916</v>
      </c>
      <c r="K201" s="298">
        <f t="shared" si="43"/>
        <v>305879.49235413468</v>
      </c>
      <c r="L201" s="298">
        <f t="shared" si="43"/>
        <v>324027.93009133229</v>
      </c>
      <c r="M201" s="298">
        <f t="shared" si="43"/>
        <v>1951971.4175988266</v>
      </c>
    </row>
    <row r="202" spans="2:13">
      <c r="B202" s="289"/>
      <c r="C202" s="289" t="s">
        <v>320</v>
      </c>
      <c r="D202" s="289"/>
      <c r="E202" s="1884"/>
      <c r="F202" s="1884"/>
      <c r="G202" s="290"/>
      <c r="H202" s="290"/>
      <c r="I202" s="290"/>
      <c r="J202" s="290"/>
      <c r="K202" s="290"/>
      <c r="L202" s="290"/>
      <c r="M202" s="291"/>
    </row>
    <row r="203" spans="2:13">
      <c r="B203" s="289"/>
      <c r="C203" s="289" t="s">
        <v>757</v>
      </c>
      <c r="D203" s="289"/>
      <c r="E203" s="1884"/>
      <c r="F203" s="1884"/>
      <c r="G203" s="296"/>
      <c r="H203" s="296"/>
      <c r="I203" s="296"/>
      <c r="J203" s="296"/>
      <c r="K203" s="296"/>
      <c r="L203" s="296"/>
      <c r="M203" s="297"/>
    </row>
    <row r="204" spans="2:13">
      <c r="B204" s="286"/>
      <c r="C204" s="286" t="s">
        <v>1520</v>
      </c>
      <c r="D204" s="286"/>
      <c r="E204" s="1891"/>
      <c r="F204" s="1891"/>
      <c r="G204" s="298">
        <f>G201+G202+G203</f>
        <v>339902.59296055889</v>
      </c>
      <c r="H204" s="298">
        <f t="shared" ref="H204:M204" si="44">H201+H202+H203</f>
        <v>332749.3511075179</v>
      </c>
      <c r="I204" s="298">
        <f t="shared" si="44"/>
        <v>321218.24494560354</v>
      </c>
      <c r="J204" s="298">
        <f t="shared" si="44"/>
        <v>328193.80613967916</v>
      </c>
      <c r="K204" s="298">
        <f t="shared" si="44"/>
        <v>305879.49235413468</v>
      </c>
      <c r="L204" s="298">
        <f t="shared" si="44"/>
        <v>324027.93009133229</v>
      </c>
      <c r="M204" s="298">
        <f t="shared" si="44"/>
        <v>1951971.4175988266</v>
      </c>
    </row>
    <row r="205" spans="2:13">
      <c r="B205" s="286"/>
      <c r="C205" s="286" t="s">
        <v>795</v>
      </c>
      <c r="D205" s="286"/>
      <c r="E205" s="1891"/>
      <c r="F205" s="1891"/>
      <c r="G205" s="298">
        <f t="shared" ref="G205:M205" si="45">SUM(G191:G191,G198:G200)</f>
        <v>332691.31976055889</v>
      </c>
      <c r="H205" s="298">
        <f t="shared" si="45"/>
        <v>325698.23259751796</v>
      </c>
      <c r="I205" s="298">
        <f t="shared" si="45"/>
        <v>314460.5132556035</v>
      </c>
      <c r="J205" s="298">
        <f t="shared" si="45"/>
        <v>322446.07444967912</v>
      </c>
      <c r="K205" s="298">
        <f t="shared" si="45"/>
        <v>298955.2611541347</v>
      </c>
      <c r="L205" s="298">
        <f t="shared" si="45"/>
        <v>317076.39354133228</v>
      </c>
      <c r="M205" s="298">
        <f t="shared" si="45"/>
        <v>1911327.7947588265</v>
      </c>
    </row>
    <row r="206" spans="2:13">
      <c r="G206" s="1535">
        <f>ComEne26!G454-G204</f>
        <v>0</v>
      </c>
      <c r="H206" s="1535">
        <f>ComEne26!H454-H204</f>
        <v>0</v>
      </c>
      <c r="I206" s="1535">
        <f>ComEne26!I454-I204</f>
        <v>0</v>
      </c>
      <c r="J206" s="1535">
        <f>ComEne26!J454-J204</f>
        <v>0</v>
      </c>
      <c r="K206" s="1535">
        <f>ComEne26!K454-K204</f>
        <v>0</v>
      </c>
      <c r="L206" s="1535">
        <f>ComEne26!L454-L204</f>
        <v>0</v>
      </c>
      <c r="M206" s="1535">
        <f>ComEne26!M454-M204</f>
        <v>0</v>
      </c>
    </row>
    <row r="207" spans="2:13">
      <c r="G207" s="301"/>
      <c r="H207" s="301"/>
      <c r="I207" s="301"/>
      <c r="J207" s="301"/>
      <c r="K207" s="301"/>
      <c r="L207" s="301"/>
    </row>
    <row r="208" spans="2:13" ht="15">
      <c r="B208" s="302"/>
      <c r="C208" s="302" t="s">
        <v>495</v>
      </c>
      <c r="D208" s="302"/>
      <c r="E208" s="1895"/>
      <c r="F208" s="1895"/>
      <c r="G208" s="302"/>
      <c r="H208" s="302"/>
      <c r="I208" s="302"/>
      <c r="J208" s="302"/>
      <c r="K208" s="302"/>
      <c r="L208" s="302"/>
      <c r="M208" s="302"/>
    </row>
    <row r="209" spans="2:13" ht="45">
      <c r="B209" s="290"/>
      <c r="C209" s="303" t="s">
        <v>496</v>
      </c>
      <c r="D209" s="290"/>
      <c r="E209" s="1887"/>
      <c r="F209" s="1887"/>
      <c r="G209" s="297">
        <f>ComEne26!G383</f>
        <v>95183.072426246057</v>
      </c>
      <c r="H209" s="297">
        <f>ComEne26!H383</f>
        <v>93019.918565262516</v>
      </c>
      <c r="I209" s="297">
        <f>ComEne26!I383</f>
        <v>89918.279916628817</v>
      </c>
      <c r="J209" s="297">
        <f>ComEne26!J383</f>
        <v>91887.716863738577</v>
      </c>
      <c r="K209" s="297">
        <f>ComEne26!K383</f>
        <v>85414.980424800407</v>
      </c>
      <c r="L209" s="297">
        <f>ComEne26!L383</f>
        <v>90495.630960535404</v>
      </c>
      <c r="M209" s="297">
        <f>SUM(G209:L209)</f>
        <v>545919.59915721184</v>
      </c>
    </row>
    <row r="210" spans="2:13" ht="15">
      <c r="B210" s="290"/>
      <c r="C210" s="303"/>
      <c r="D210" s="290"/>
      <c r="E210" s="1887"/>
      <c r="F210" s="1887"/>
      <c r="G210" s="304">
        <f t="shared" ref="G210:M210" si="46">G209/G204</f>
        <v>0.28003043930085808</v>
      </c>
      <c r="H210" s="304">
        <f t="shared" si="46"/>
        <v>0.27954951153370078</v>
      </c>
      <c r="I210" s="304">
        <f t="shared" si="46"/>
        <v>0.2799289309729463</v>
      </c>
      <c r="J210" s="304">
        <f t="shared" si="46"/>
        <v>0.27998004576793017</v>
      </c>
      <c r="K210" s="304">
        <f t="shared" si="46"/>
        <v>0.27924389362432467</v>
      </c>
      <c r="L210" s="304">
        <f t="shared" si="46"/>
        <v>0.27928342762004438</v>
      </c>
      <c r="M210" s="304">
        <f t="shared" si="46"/>
        <v>0.2796760209884438</v>
      </c>
    </row>
    <row r="211" spans="2:13">
      <c r="G211" s="301"/>
      <c r="H211" s="301"/>
      <c r="I211" s="301"/>
      <c r="J211" s="301"/>
      <c r="K211" s="301"/>
      <c r="L211" s="301"/>
    </row>
    <row r="212" spans="2:13" ht="15">
      <c r="B212" s="276"/>
      <c r="C212" s="276" t="s">
        <v>834</v>
      </c>
      <c r="D212" s="276"/>
      <c r="E212" s="1890"/>
      <c r="F212" s="1890"/>
      <c r="G212" s="277" t="s">
        <v>835</v>
      </c>
      <c r="H212" s="277"/>
      <c r="I212" s="277"/>
      <c r="J212" s="277"/>
      <c r="K212" s="277"/>
      <c r="L212" s="277"/>
      <c r="M212" s="305" t="s">
        <v>941</v>
      </c>
    </row>
    <row r="213" spans="2:13">
      <c r="B213" s="278"/>
      <c r="C213" s="278" t="s">
        <v>137</v>
      </c>
      <c r="D213" s="278"/>
      <c r="E213" s="1881"/>
      <c r="F213" s="1881"/>
      <c r="G213" s="280">
        <f t="shared" ref="G213:L213" si="47">G$4</f>
        <v>46204</v>
      </c>
      <c r="H213" s="280">
        <f t="shared" si="47"/>
        <v>46235</v>
      </c>
      <c r="I213" s="280">
        <f t="shared" si="47"/>
        <v>46266</v>
      </c>
      <c r="J213" s="280">
        <f t="shared" si="47"/>
        <v>46296</v>
      </c>
      <c r="K213" s="280">
        <f t="shared" si="47"/>
        <v>46327</v>
      </c>
      <c r="L213" s="280">
        <f t="shared" si="47"/>
        <v>46357</v>
      </c>
      <c r="M213" s="305" t="s">
        <v>154</v>
      </c>
    </row>
    <row r="214" spans="2:13" s="147" customFormat="1">
      <c r="B214" s="281" t="str">
        <f t="shared" ref="B214:D233" si="48">B133</f>
        <v>DME-011-08</v>
      </c>
      <c r="C214" s="281" t="str">
        <f t="shared" si="48"/>
        <v>ELECTRO INVEST. - ENMIENDA 5</v>
      </c>
      <c r="D214" s="281" t="str">
        <f t="shared" si="48"/>
        <v>H</v>
      </c>
      <c r="E214" s="1882"/>
      <c r="F214" s="1882"/>
      <c r="G214" s="306">
        <f t="shared" ref="G214:M223" si="49">IF(SUMIF($B$282:$B$358,$B214,G$282:G$358)=0,0,IF(SUMIF($B$133:$B$205,$B214,G$133:G$205)=0,0,SUMIF($B$282:$B$358,$B214,G$282:G$358)/SUMIF($B$133:$B$205,$B214,G$133:G$205)/1000))</f>
        <v>6.9500000000000006E-2</v>
      </c>
      <c r="H214" s="306">
        <f t="shared" si="49"/>
        <v>6.950000000000002E-2</v>
      </c>
      <c r="I214" s="306">
        <f t="shared" si="49"/>
        <v>6.950000000000002E-2</v>
      </c>
      <c r="J214" s="306">
        <f t="shared" si="49"/>
        <v>6.950000000000002E-2</v>
      </c>
      <c r="K214" s="306">
        <f t="shared" si="49"/>
        <v>6.9500000000000006E-2</v>
      </c>
      <c r="L214" s="306">
        <f t="shared" si="49"/>
        <v>6.9500000000000006E-2</v>
      </c>
      <c r="M214" s="307">
        <f t="shared" si="49"/>
        <v>6.950000000000002E-2</v>
      </c>
    </row>
    <row r="215" spans="2:13" s="147" customFormat="1">
      <c r="B215" s="281" t="str">
        <f t="shared" si="48"/>
        <v>DME-016-11</v>
      </c>
      <c r="C215" s="281" t="str">
        <f t="shared" si="48"/>
        <v>FORTUNA</v>
      </c>
      <c r="D215" s="281" t="str">
        <f t="shared" si="48"/>
        <v>H</v>
      </c>
      <c r="E215" s="1882"/>
      <c r="F215" s="1882"/>
      <c r="G215" s="306">
        <f t="shared" si="49"/>
        <v>9.3799999999999994E-2</v>
      </c>
      <c r="H215" s="306">
        <f t="shared" si="49"/>
        <v>9.3800000000000008E-2</v>
      </c>
      <c r="I215" s="306">
        <f t="shared" si="49"/>
        <v>9.3799999999999994E-2</v>
      </c>
      <c r="J215" s="306">
        <f t="shared" si="49"/>
        <v>9.3799999999999994E-2</v>
      </c>
      <c r="K215" s="306">
        <f t="shared" si="49"/>
        <v>9.3799999999999994E-2</v>
      </c>
      <c r="L215" s="306">
        <f t="shared" si="49"/>
        <v>9.3799999999999981E-2</v>
      </c>
      <c r="M215" s="307">
        <f t="shared" si="49"/>
        <v>9.3799999999999994E-2</v>
      </c>
    </row>
    <row r="216" spans="2:13" s="147" customFormat="1">
      <c r="B216" s="281" t="str">
        <f t="shared" si="48"/>
        <v>DME-018-11</v>
      </c>
      <c r="C216" s="281" t="str">
        <f t="shared" si="48"/>
        <v xml:space="preserve">HIDROECOLOGICA DEL TERIBE </v>
      </c>
      <c r="D216" s="281" t="str">
        <f t="shared" si="48"/>
        <v>H</v>
      </c>
      <c r="E216" s="1882"/>
      <c r="F216" s="1882"/>
      <c r="G216" s="306">
        <f t="shared" si="49"/>
        <v>0.10089999999999999</v>
      </c>
      <c r="H216" s="306">
        <f t="shared" si="49"/>
        <v>0.10090000000000002</v>
      </c>
      <c r="I216" s="306">
        <f t="shared" si="49"/>
        <v>0.1009</v>
      </c>
      <c r="J216" s="306">
        <f t="shared" si="49"/>
        <v>0.10090000000000002</v>
      </c>
      <c r="K216" s="306">
        <f t="shared" si="49"/>
        <v>0.10089999999999999</v>
      </c>
      <c r="L216" s="306">
        <f t="shared" si="49"/>
        <v>0.1009</v>
      </c>
      <c r="M216" s="307">
        <f t="shared" si="49"/>
        <v>0.10089999999999999</v>
      </c>
    </row>
    <row r="217" spans="2:13" s="147" customFormat="1">
      <c r="B217" s="281" t="str">
        <f t="shared" si="48"/>
        <v>DME-020-11</v>
      </c>
      <c r="C217" s="281" t="str">
        <f t="shared" si="48"/>
        <v xml:space="preserve">ESEPSA </v>
      </c>
      <c r="D217" s="281" t="str">
        <f t="shared" si="48"/>
        <v>H</v>
      </c>
      <c r="E217" s="1882"/>
      <c r="F217" s="1882"/>
      <c r="G217" s="306">
        <f t="shared" si="49"/>
        <v>9.0999999999999998E-2</v>
      </c>
      <c r="H217" s="306">
        <f t="shared" si="49"/>
        <v>9.0999999999999998E-2</v>
      </c>
      <c r="I217" s="306">
        <f t="shared" si="49"/>
        <v>9.0999999999999998E-2</v>
      </c>
      <c r="J217" s="306">
        <f t="shared" si="49"/>
        <v>9.1000000000000011E-2</v>
      </c>
      <c r="K217" s="306">
        <f t="shared" si="49"/>
        <v>9.0999999999999998E-2</v>
      </c>
      <c r="L217" s="306">
        <f t="shared" si="49"/>
        <v>9.0999999999999984E-2</v>
      </c>
      <c r="M217" s="307">
        <f t="shared" si="49"/>
        <v>9.0999999999999998E-2</v>
      </c>
    </row>
    <row r="218" spans="2:13" s="147" customFormat="1">
      <c r="B218" s="281" t="str">
        <f t="shared" si="48"/>
        <v>DME-021-11</v>
      </c>
      <c r="C218" s="281" t="str">
        <f t="shared" si="48"/>
        <v xml:space="preserve">PEDREGALITO </v>
      </c>
      <c r="D218" s="281" t="str">
        <f t="shared" si="48"/>
        <v>H</v>
      </c>
      <c r="E218" s="1882"/>
      <c r="F218" s="1882"/>
      <c r="G218" s="306">
        <f t="shared" si="49"/>
        <v>5.4200000000000012E-2</v>
      </c>
      <c r="H218" s="306">
        <f t="shared" si="49"/>
        <v>5.4199999999999998E-2</v>
      </c>
      <c r="I218" s="306">
        <f t="shared" si="49"/>
        <v>5.4200000000000012E-2</v>
      </c>
      <c r="J218" s="306">
        <f t="shared" si="49"/>
        <v>5.4200000000000005E-2</v>
      </c>
      <c r="K218" s="306">
        <f t="shared" si="49"/>
        <v>5.4200000000000005E-2</v>
      </c>
      <c r="L218" s="306">
        <f t="shared" si="49"/>
        <v>5.4200000000000005E-2</v>
      </c>
      <c r="M218" s="307">
        <f t="shared" si="49"/>
        <v>5.4199999999999998E-2</v>
      </c>
    </row>
    <row r="219" spans="2:13" s="147" customFormat="1">
      <c r="B219" s="281" t="str">
        <f t="shared" si="48"/>
        <v>DME-022-11</v>
      </c>
      <c r="C219" s="281" t="str">
        <f t="shared" si="48"/>
        <v xml:space="preserve">CALDERA </v>
      </c>
      <c r="D219" s="281" t="str">
        <f t="shared" si="48"/>
        <v>H</v>
      </c>
      <c r="E219" s="1882"/>
      <c r="F219" s="1882"/>
      <c r="G219" s="306">
        <f t="shared" si="49"/>
        <v>6.3299999999999995E-2</v>
      </c>
      <c r="H219" s="306">
        <f t="shared" si="49"/>
        <v>6.3299999999999995E-2</v>
      </c>
      <c r="I219" s="306">
        <f t="shared" si="49"/>
        <v>6.3299999999999995E-2</v>
      </c>
      <c r="J219" s="306">
        <f t="shared" si="49"/>
        <v>6.3300000000000009E-2</v>
      </c>
      <c r="K219" s="306">
        <f t="shared" si="49"/>
        <v>6.3300000000000009E-2</v>
      </c>
      <c r="L219" s="306">
        <f t="shared" si="49"/>
        <v>6.3299999999999995E-2</v>
      </c>
      <c r="M219" s="307">
        <f t="shared" si="49"/>
        <v>6.3299999999999995E-2</v>
      </c>
    </row>
    <row r="220" spans="2:13" s="147" customFormat="1">
      <c r="B220" s="281" t="str">
        <f t="shared" si="48"/>
        <v>DME-023-11</v>
      </c>
      <c r="C220" s="281" t="str">
        <f t="shared" si="48"/>
        <v xml:space="preserve">RIO CHICO </v>
      </c>
      <c r="D220" s="281" t="str">
        <f t="shared" si="48"/>
        <v>H</v>
      </c>
      <c r="E220" s="1882"/>
      <c r="F220" s="1882"/>
      <c r="G220" s="306">
        <f t="shared" si="49"/>
        <v>5.4200000000000005E-2</v>
      </c>
      <c r="H220" s="306">
        <f t="shared" si="49"/>
        <v>5.4200000000000005E-2</v>
      </c>
      <c r="I220" s="306">
        <f t="shared" si="49"/>
        <v>5.4200000000000005E-2</v>
      </c>
      <c r="J220" s="306">
        <f t="shared" si="49"/>
        <v>5.4200000000000005E-2</v>
      </c>
      <c r="K220" s="306">
        <f t="shared" si="49"/>
        <v>5.4199999999999998E-2</v>
      </c>
      <c r="L220" s="306">
        <f t="shared" si="49"/>
        <v>5.4200000000000005E-2</v>
      </c>
      <c r="M220" s="307">
        <f t="shared" si="49"/>
        <v>5.4199999999999991E-2</v>
      </c>
    </row>
    <row r="221" spans="2:13" s="147" customFormat="1">
      <c r="B221" s="281" t="str">
        <f t="shared" si="48"/>
        <v>DME-024-11</v>
      </c>
      <c r="C221" s="281" t="str">
        <f t="shared" si="48"/>
        <v xml:space="preserve">ALTO VALLE </v>
      </c>
      <c r="D221" s="281" t="str">
        <f t="shared" si="48"/>
        <v>H</v>
      </c>
      <c r="E221" s="1882"/>
      <c r="F221" s="1882"/>
      <c r="G221" s="306">
        <f t="shared" si="49"/>
        <v>5.4200000000000005E-2</v>
      </c>
      <c r="H221" s="306">
        <f t="shared" si="49"/>
        <v>5.4200000000000005E-2</v>
      </c>
      <c r="I221" s="306">
        <f t="shared" si="49"/>
        <v>5.4199999999999998E-2</v>
      </c>
      <c r="J221" s="306">
        <f t="shared" si="49"/>
        <v>5.4200000000000012E-2</v>
      </c>
      <c r="K221" s="306">
        <f t="shared" si="49"/>
        <v>5.4199999999999998E-2</v>
      </c>
      <c r="L221" s="306">
        <f t="shared" si="49"/>
        <v>5.4200000000000005E-2</v>
      </c>
      <c r="M221" s="307">
        <f t="shared" si="49"/>
        <v>5.4200000000000012E-2</v>
      </c>
    </row>
    <row r="222" spans="2:13" s="147" customFormat="1">
      <c r="B222" s="281" t="str">
        <f t="shared" si="48"/>
        <v>DME-025-11</v>
      </c>
      <c r="C222" s="281" t="str">
        <f t="shared" si="48"/>
        <v xml:space="preserve">DESARROLLO HIDRO CORP </v>
      </c>
      <c r="D222" s="281" t="str">
        <f t="shared" si="48"/>
        <v>H</v>
      </c>
      <c r="E222" s="1882"/>
      <c r="F222" s="1882"/>
      <c r="G222" s="306">
        <f t="shared" si="49"/>
        <v>9.6500000000000002E-2</v>
      </c>
      <c r="H222" s="306">
        <f t="shared" si="49"/>
        <v>9.6500000000000016E-2</v>
      </c>
      <c r="I222" s="306">
        <f t="shared" si="49"/>
        <v>9.6500000000000002E-2</v>
      </c>
      <c r="J222" s="306">
        <f t="shared" si="49"/>
        <v>9.6500000000000002E-2</v>
      </c>
      <c r="K222" s="306">
        <f t="shared" si="49"/>
        <v>9.6500000000000002E-2</v>
      </c>
      <c r="L222" s="306">
        <f t="shared" si="49"/>
        <v>9.6500000000000002E-2</v>
      </c>
      <c r="M222" s="307">
        <f t="shared" si="49"/>
        <v>9.6500000000000016E-2</v>
      </c>
    </row>
    <row r="223" spans="2:13" s="147" customFormat="1">
      <c r="B223" s="281" t="str">
        <f t="shared" si="48"/>
        <v>DME-026-11</v>
      </c>
      <c r="C223" s="281" t="str">
        <f t="shared" si="48"/>
        <v xml:space="preserve">SAN LORENZO </v>
      </c>
      <c r="D223" s="281" t="str">
        <f t="shared" si="48"/>
        <v>H</v>
      </c>
      <c r="E223" s="1882"/>
      <c r="F223" s="1882"/>
      <c r="G223" s="306">
        <f t="shared" si="49"/>
        <v>8.9499999999999996E-2</v>
      </c>
      <c r="H223" s="306">
        <f t="shared" si="49"/>
        <v>8.9499999999999996E-2</v>
      </c>
      <c r="I223" s="306">
        <f t="shared" si="49"/>
        <v>8.9499999999999996E-2</v>
      </c>
      <c r="J223" s="306">
        <f t="shared" si="49"/>
        <v>8.9499999999999996E-2</v>
      </c>
      <c r="K223" s="306">
        <f t="shared" si="49"/>
        <v>8.9499999999999996E-2</v>
      </c>
      <c r="L223" s="306">
        <f t="shared" si="49"/>
        <v>8.9499999999999996E-2</v>
      </c>
      <c r="M223" s="307">
        <f t="shared" si="49"/>
        <v>8.9499999999999982E-2</v>
      </c>
    </row>
    <row r="224" spans="2:13" s="147" customFormat="1">
      <c r="B224" s="281" t="str">
        <f t="shared" si="48"/>
        <v>DME-027-11</v>
      </c>
      <c r="C224" s="281" t="str">
        <f t="shared" si="48"/>
        <v xml:space="preserve">ELECTROGENERADORA ISTMO </v>
      </c>
      <c r="D224" s="281" t="str">
        <f t="shared" si="48"/>
        <v>H</v>
      </c>
      <c r="E224" s="1882"/>
      <c r="F224" s="1882"/>
      <c r="G224" s="306">
        <f t="shared" ref="G224:M233" si="50">IF(SUMIF($B$282:$B$358,$B224,G$282:G$358)=0,0,IF(SUMIF($B$133:$B$205,$B224,G$133:G$205)=0,0,SUMIF($B$282:$B$358,$B224,G$282:G$358)/SUMIF($B$133:$B$205,$B224,G$133:G$205)/1000))</f>
        <v>6.3299999999999995E-2</v>
      </c>
      <c r="H224" s="306">
        <f t="shared" si="50"/>
        <v>6.3299999999999995E-2</v>
      </c>
      <c r="I224" s="306">
        <f t="shared" si="50"/>
        <v>6.3299999999999995E-2</v>
      </c>
      <c r="J224" s="306">
        <f t="shared" si="50"/>
        <v>6.3299999999999995E-2</v>
      </c>
      <c r="K224" s="306">
        <f t="shared" si="50"/>
        <v>6.3300000000000009E-2</v>
      </c>
      <c r="L224" s="306">
        <f t="shared" si="50"/>
        <v>6.3300000000000009E-2</v>
      </c>
      <c r="M224" s="307">
        <f t="shared" si="50"/>
        <v>6.3299999999999995E-2</v>
      </c>
    </row>
    <row r="225" spans="2:13" s="147" customFormat="1">
      <c r="B225" s="281" t="str">
        <f t="shared" si="48"/>
        <v>DME-008-12</v>
      </c>
      <c r="C225" s="281" t="str">
        <f t="shared" si="48"/>
        <v>UEP NUEVO CHAGRES</v>
      </c>
      <c r="D225" s="281" t="str">
        <f t="shared" si="48"/>
        <v>Eo</v>
      </c>
      <c r="E225" s="1882"/>
      <c r="F225" s="1882"/>
      <c r="G225" s="306">
        <f t="shared" si="50"/>
        <v>9.5197106269423779E-2</v>
      </c>
      <c r="H225" s="306">
        <f t="shared" si="50"/>
        <v>9.5197106269423765E-2</v>
      </c>
      <c r="I225" s="306">
        <f t="shared" si="50"/>
        <v>9.5197106269423792E-2</v>
      </c>
      <c r="J225" s="306">
        <f t="shared" si="50"/>
        <v>9.5197106269423792E-2</v>
      </c>
      <c r="K225" s="306">
        <f t="shared" si="50"/>
        <v>9.5197106269423806E-2</v>
      </c>
      <c r="L225" s="306">
        <f t="shared" si="50"/>
        <v>9.5197106269423779E-2</v>
      </c>
      <c r="M225" s="307">
        <f t="shared" si="50"/>
        <v>9.5197106269423765E-2</v>
      </c>
    </row>
    <row r="226" spans="2:13" s="147" customFormat="1">
      <c r="B226" s="281" t="str">
        <f t="shared" si="48"/>
        <v>DME-009-12</v>
      </c>
      <c r="C226" s="281" t="str">
        <f t="shared" si="48"/>
        <v>UEP ROSA DE LOS VIENTOS</v>
      </c>
      <c r="D226" s="281" t="str">
        <f t="shared" si="48"/>
        <v>Eo</v>
      </c>
      <c r="E226" s="1882"/>
      <c r="F226" s="1882"/>
      <c r="G226" s="306">
        <f t="shared" si="50"/>
        <v>9.8203330677931897E-2</v>
      </c>
      <c r="H226" s="306">
        <f t="shared" si="50"/>
        <v>9.8203330677931924E-2</v>
      </c>
      <c r="I226" s="306">
        <f t="shared" si="50"/>
        <v>9.8203330677931924E-2</v>
      </c>
      <c r="J226" s="306">
        <f t="shared" si="50"/>
        <v>9.820333067793191E-2</v>
      </c>
      <c r="K226" s="306">
        <f t="shared" si="50"/>
        <v>9.820333067793191E-2</v>
      </c>
      <c r="L226" s="306">
        <f t="shared" si="50"/>
        <v>9.8203330677931924E-2</v>
      </c>
      <c r="M226" s="307">
        <f t="shared" si="50"/>
        <v>9.820333067793191E-2</v>
      </c>
    </row>
    <row r="227" spans="2:13" s="147" customFormat="1">
      <c r="B227" s="281" t="str">
        <f t="shared" si="48"/>
        <v>DME-010-12</v>
      </c>
      <c r="C227" s="281" t="str">
        <f t="shared" si="48"/>
        <v>UEP PORTOBELO</v>
      </c>
      <c r="D227" s="281" t="str">
        <f t="shared" si="48"/>
        <v>Eo</v>
      </c>
      <c r="E227" s="1882"/>
      <c r="F227" s="1882"/>
      <c r="G227" s="306">
        <f t="shared" si="50"/>
        <v>0.10822407870629237</v>
      </c>
      <c r="H227" s="306">
        <f t="shared" si="50"/>
        <v>0.10822407870629237</v>
      </c>
      <c r="I227" s="306">
        <f t="shared" si="50"/>
        <v>0.10822407870629237</v>
      </c>
      <c r="J227" s="306">
        <f t="shared" si="50"/>
        <v>0.10822407870629239</v>
      </c>
      <c r="K227" s="306">
        <f t="shared" si="50"/>
        <v>0.10822407870629239</v>
      </c>
      <c r="L227" s="306">
        <f t="shared" si="50"/>
        <v>0.10822407870629237</v>
      </c>
      <c r="M227" s="307">
        <f t="shared" si="50"/>
        <v>0.10822407870629237</v>
      </c>
    </row>
    <row r="228" spans="2:13" s="147" customFormat="1">
      <c r="B228" s="281" t="str">
        <f t="shared" si="48"/>
        <v>DME-011-12</v>
      </c>
      <c r="C228" s="281" t="str">
        <f t="shared" si="48"/>
        <v>UEP MARAÑON</v>
      </c>
      <c r="D228" s="281" t="str">
        <f t="shared" si="48"/>
        <v>Eo</v>
      </c>
      <c r="E228" s="1882"/>
      <c r="F228" s="1882"/>
      <c r="G228" s="306">
        <f t="shared" si="50"/>
        <v>0.11022822831196444</v>
      </c>
      <c r="H228" s="306">
        <f t="shared" si="50"/>
        <v>0.11022822831196444</v>
      </c>
      <c r="I228" s="306">
        <f t="shared" si="50"/>
        <v>0.11022822831196445</v>
      </c>
      <c r="J228" s="306">
        <f t="shared" si="50"/>
        <v>0.11022822831196445</v>
      </c>
      <c r="K228" s="306">
        <f t="shared" si="50"/>
        <v>0.11022822831196447</v>
      </c>
      <c r="L228" s="306">
        <f t="shared" si="50"/>
        <v>0.11022822831196445</v>
      </c>
      <c r="M228" s="307">
        <f t="shared" si="50"/>
        <v>0.11022822831196444</v>
      </c>
    </row>
    <row r="229" spans="2:13" s="147" customFormat="1">
      <c r="B229" s="281" t="str">
        <f t="shared" si="48"/>
        <v>DME-062-12</v>
      </c>
      <c r="C229" s="281" t="str">
        <f t="shared" si="48"/>
        <v>AES PANAMA (CHAN 2)</v>
      </c>
      <c r="D229" s="281" t="str">
        <f t="shared" si="48"/>
        <v>H</v>
      </c>
      <c r="E229" s="1882"/>
      <c r="F229" s="1882"/>
      <c r="G229" s="306">
        <f t="shared" si="50"/>
        <v>8.7800000000000017E-2</v>
      </c>
      <c r="H229" s="306">
        <f t="shared" si="50"/>
        <v>8.7799999999999989E-2</v>
      </c>
      <c r="I229" s="306">
        <f t="shared" si="50"/>
        <v>8.7800000000000003E-2</v>
      </c>
      <c r="J229" s="306">
        <f t="shared" si="50"/>
        <v>8.7800000000000003E-2</v>
      </c>
      <c r="K229" s="306">
        <f t="shared" si="50"/>
        <v>8.7800000000000003E-2</v>
      </c>
      <c r="L229" s="306">
        <f t="shared" si="50"/>
        <v>8.7800000000000003E-2</v>
      </c>
      <c r="M229" s="307">
        <f t="shared" si="50"/>
        <v>8.7799999999999989E-2</v>
      </c>
    </row>
    <row r="230" spans="2:13" s="147" customFormat="1">
      <c r="B230" s="281" t="str">
        <f t="shared" si="48"/>
        <v>DME-063-12</v>
      </c>
      <c r="C230" s="281" t="str">
        <f t="shared" si="48"/>
        <v>HIDRO PIEDRA</v>
      </c>
      <c r="D230" s="281" t="str">
        <f t="shared" si="48"/>
        <v>H</v>
      </c>
      <c r="E230" s="1882"/>
      <c r="F230" s="1882"/>
      <c r="G230" s="306">
        <f t="shared" si="50"/>
        <v>0.1</v>
      </c>
      <c r="H230" s="306">
        <f t="shared" si="50"/>
        <v>0.1</v>
      </c>
      <c r="I230" s="306">
        <f t="shared" si="50"/>
        <v>0.1</v>
      </c>
      <c r="J230" s="306">
        <f t="shared" si="50"/>
        <v>0.1</v>
      </c>
      <c r="K230" s="306">
        <f t="shared" si="50"/>
        <v>0.1</v>
      </c>
      <c r="L230" s="306">
        <f t="shared" si="50"/>
        <v>9.9999999999999992E-2</v>
      </c>
      <c r="M230" s="307">
        <f t="shared" si="50"/>
        <v>0.10000000000000002</v>
      </c>
    </row>
    <row r="231" spans="2:13" s="147" customFormat="1">
      <c r="B231" s="281" t="str">
        <f t="shared" si="48"/>
        <v>DME-064-12</v>
      </c>
      <c r="C231" s="281" t="str">
        <f t="shared" si="48"/>
        <v>CORPORACION ENERGIA DEL ISTMO</v>
      </c>
      <c r="D231" s="281" t="str">
        <f t="shared" si="48"/>
        <v>H</v>
      </c>
      <c r="E231" s="1882"/>
      <c r="F231" s="1882"/>
      <c r="G231" s="306">
        <f t="shared" si="50"/>
        <v>0.1</v>
      </c>
      <c r="H231" s="306">
        <f t="shared" si="50"/>
        <v>9.9999999999999992E-2</v>
      </c>
      <c r="I231" s="306">
        <f t="shared" si="50"/>
        <v>0.10000000000000003</v>
      </c>
      <c r="J231" s="306">
        <f t="shared" si="50"/>
        <v>0.10000000000000002</v>
      </c>
      <c r="K231" s="306">
        <f t="shared" si="50"/>
        <v>0.1</v>
      </c>
      <c r="L231" s="306">
        <f t="shared" si="50"/>
        <v>0.1</v>
      </c>
      <c r="M231" s="307">
        <f t="shared" si="50"/>
        <v>0.1</v>
      </c>
    </row>
    <row r="232" spans="2:13" s="147" customFormat="1">
      <c r="B232" s="281" t="str">
        <f t="shared" si="48"/>
        <v>DME-066-12</v>
      </c>
      <c r="C232" s="281" t="str">
        <f t="shared" si="48"/>
        <v>SALTOS DE FRANCOLI</v>
      </c>
      <c r="D232" s="281" t="str">
        <f t="shared" si="48"/>
        <v>H</v>
      </c>
      <c r="E232" s="1882"/>
      <c r="F232" s="1882"/>
      <c r="G232" s="306">
        <f t="shared" si="50"/>
        <v>0.10349999999999998</v>
      </c>
      <c r="H232" s="306">
        <f t="shared" si="50"/>
        <v>0.10349999999999998</v>
      </c>
      <c r="I232" s="306">
        <f t="shared" si="50"/>
        <v>0.10349999999999999</v>
      </c>
      <c r="J232" s="306">
        <f t="shared" si="50"/>
        <v>0.10349999999999999</v>
      </c>
      <c r="K232" s="306">
        <f t="shared" si="50"/>
        <v>0.10349999999999999</v>
      </c>
      <c r="L232" s="306">
        <f t="shared" si="50"/>
        <v>0.10349999999999999</v>
      </c>
      <c r="M232" s="307">
        <f t="shared" si="50"/>
        <v>0.10349999999999998</v>
      </c>
    </row>
    <row r="233" spans="2:13" s="147" customFormat="1">
      <c r="B233" s="281" t="str">
        <f t="shared" si="48"/>
        <v>DME-001-13</v>
      </c>
      <c r="C233" s="281" t="str">
        <f t="shared" si="48"/>
        <v>ISTMUS HIDRO POWER</v>
      </c>
      <c r="D233" s="281" t="str">
        <f t="shared" si="48"/>
        <v>H SE</v>
      </c>
      <c r="E233" s="1882"/>
      <c r="F233" s="1882"/>
      <c r="G233" s="306">
        <f t="shared" si="50"/>
        <v>0.11999999999999998</v>
      </c>
      <c r="H233" s="306">
        <f t="shared" si="50"/>
        <v>0.12</v>
      </c>
      <c r="I233" s="306">
        <f t="shared" si="50"/>
        <v>0.12</v>
      </c>
      <c r="J233" s="306">
        <f t="shared" si="50"/>
        <v>0.11999999999999998</v>
      </c>
      <c r="K233" s="306">
        <f t="shared" si="50"/>
        <v>0.12000000000000001</v>
      </c>
      <c r="L233" s="306">
        <f t="shared" si="50"/>
        <v>0.11999999999999998</v>
      </c>
      <c r="M233" s="307">
        <f t="shared" si="50"/>
        <v>0.11999999999999998</v>
      </c>
    </row>
    <row r="234" spans="2:13" s="147" customFormat="1">
      <c r="B234" s="281" t="str">
        <f t="shared" ref="B234:D253" si="51">B153</f>
        <v>DME-002-13</v>
      </c>
      <c r="C234" s="281" t="str">
        <f t="shared" si="51"/>
        <v>CALDERA ENERGY CORP</v>
      </c>
      <c r="D234" s="281" t="str">
        <f t="shared" si="51"/>
        <v>H SE</v>
      </c>
      <c r="E234" s="1882"/>
      <c r="F234" s="1882"/>
      <c r="G234" s="306">
        <f t="shared" ref="G234:M243" si="52">IF(SUMIF($B$282:$B$358,$B234,G$282:G$358)=0,0,IF(SUMIF($B$133:$B$205,$B234,G$133:G$205)=0,0,SUMIF($B$282:$B$358,$B234,G$282:G$358)/SUMIF($B$133:$B$205,$B234,G$133:G$205)/1000))</f>
        <v>0.12</v>
      </c>
      <c r="H234" s="306">
        <f t="shared" si="52"/>
        <v>0.11999999999999997</v>
      </c>
      <c r="I234" s="306">
        <f t="shared" si="52"/>
        <v>0.11999999999999998</v>
      </c>
      <c r="J234" s="306">
        <f t="shared" si="52"/>
        <v>0.12</v>
      </c>
      <c r="K234" s="306">
        <f t="shared" si="52"/>
        <v>0.12</v>
      </c>
      <c r="L234" s="306">
        <f t="shared" si="52"/>
        <v>0.12</v>
      </c>
      <c r="M234" s="307">
        <f t="shared" si="52"/>
        <v>0.11999999999999998</v>
      </c>
    </row>
    <row r="235" spans="2:13" s="147" customFormat="1">
      <c r="B235" s="281" t="str">
        <f t="shared" si="51"/>
        <v>DME-003-13</v>
      </c>
      <c r="C235" s="281" t="str">
        <f t="shared" si="51"/>
        <v>ELECTROGENERADORA DEL ISTMO</v>
      </c>
      <c r="D235" s="281" t="str">
        <f t="shared" si="51"/>
        <v>H SE</v>
      </c>
      <c r="E235" s="1882"/>
      <c r="F235" s="1882"/>
      <c r="G235" s="306">
        <f t="shared" si="52"/>
        <v>0.12249999999999997</v>
      </c>
      <c r="H235" s="306">
        <f t="shared" si="52"/>
        <v>0.12250000000000001</v>
      </c>
      <c r="I235" s="306">
        <f t="shared" si="52"/>
        <v>0.12250000000000001</v>
      </c>
      <c r="J235" s="306">
        <f t="shared" si="52"/>
        <v>0.12250000000000001</v>
      </c>
      <c r="K235" s="306">
        <f t="shared" si="52"/>
        <v>0.1225</v>
      </c>
      <c r="L235" s="306">
        <f t="shared" si="52"/>
        <v>0.1225</v>
      </c>
      <c r="M235" s="307">
        <f t="shared" si="52"/>
        <v>0.12249999999999998</v>
      </c>
    </row>
    <row r="236" spans="2:13" s="147" customFormat="1">
      <c r="B236" s="281" t="str">
        <f t="shared" si="51"/>
        <v>DME-004-13</v>
      </c>
      <c r="C236" s="281" t="str">
        <f t="shared" si="51"/>
        <v>FOUNTAIN INTERTRADE CORP</v>
      </c>
      <c r="D236" s="281" t="str">
        <f t="shared" si="51"/>
        <v>H SE</v>
      </c>
      <c r="E236" s="1882"/>
      <c r="F236" s="1882"/>
      <c r="G236" s="306">
        <f t="shared" si="52"/>
        <v>0.12839999999999999</v>
      </c>
      <c r="H236" s="306">
        <f t="shared" si="52"/>
        <v>0.12839999999999999</v>
      </c>
      <c r="I236" s="306">
        <f t="shared" si="52"/>
        <v>0.12840000000000001</v>
      </c>
      <c r="J236" s="306">
        <f t="shared" si="52"/>
        <v>0.12839999999999999</v>
      </c>
      <c r="K236" s="306">
        <f t="shared" si="52"/>
        <v>0.12839999999999999</v>
      </c>
      <c r="L236" s="306">
        <f t="shared" si="52"/>
        <v>0.12839999999999999</v>
      </c>
      <c r="M236" s="307">
        <f t="shared" si="52"/>
        <v>0.12839999999999999</v>
      </c>
    </row>
    <row r="237" spans="2:13" s="147" customFormat="1">
      <c r="B237" s="281" t="str">
        <f t="shared" si="51"/>
        <v>DME-005-13</v>
      </c>
      <c r="C237" s="281" t="str">
        <f t="shared" si="51"/>
        <v>HIDROIBÉRICA</v>
      </c>
      <c r="D237" s="281" t="str">
        <f t="shared" si="51"/>
        <v>H SE</v>
      </c>
      <c r="E237" s="1882"/>
      <c r="F237" s="1882"/>
      <c r="G237" s="306">
        <f t="shared" si="52"/>
        <v>0.12</v>
      </c>
      <c r="H237" s="306">
        <f t="shared" si="52"/>
        <v>0.12</v>
      </c>
      <c r="I237" s="306">
        <f t="shared" si="52"/>
        <v>0.12000000000000001</v>
      </c>
      <c r="J237" s="306">
        <f t="shared" si="52"/>
        <v>0.11999999999999998</v>
      </c>
      <c r="K237" s="306">
        <f t="shared" si="52"/>
        <v>0.11999999999999998</v>
      </c>
      <c r="L237" s="306">
        <f t="shared" si="52"/>
        <v>0.11999999999999998</v>
      </c>
      <c r="M237" s="307">
        <f t="shared" si="52"/>
        <v>0.12</v>
      </c>
    </row>
    <row r="238" spans="2:13" s="147" customFormat="1">
      <c r="B238" s="281" t="str">
        <f t="shared" si="51"/>
        <v>DME-007-13</v>
      </c>
      <c r="C238" s="281" t="str">
        <f t="shared" si="51"/>
        <v>HIDROECOLOGICA DEL TERIBE</v>
      </c>
      <c r="D238" s="281" t="str">
        <f t="shared" si="51"/>
        <v>H SE</v>
      </c>
      <c r="E238" s="1882"/>
      <c r="F238" s="1882"/>
      <c r="G238" s="306">
        <f t="shared" si="52"/>
        <v>0</v>
      </c>
      <c r="H238" s="306">
        <f t="shared" si="52"/>
        <v>0</v>
      </c>
      <c r="I238" s="306">
        <f t="shared" si="52"/>
        <v>0.13600000000000001</v>
      </c>
      <c r="J238" s="306">
        <f t="shared" si="52"/>
        <v>0.13600000000000001</v>
      </c>
      <c r="K238" s="306">
        <f t="shared" si="52"/>
        <v>0.13600000000000001</v>
      </c>
      <c r="L238" s="306">
        <f t="shared" si="52"/>
        <v>0.13600000000000001</v>
      </c>
      <c r="M238" s="307">
        <f t="shared" si="52"/>
        <v>0.13600000000000001</v>
      </c>
    </row>
    <row r="239" spans="2:13" s="147" customFormat="1">
      <c r="B239" s="281" t="str">
        <f t="shared" si="51"/>
        <v>DME-010-13</v>
      </c>
      <c r="C239" s="281" t="str">
        <f t="shared" si="51"/>
        <v>Generadora Gatún (NG Power)</v>
      </c>
      <c r="D239" s="281" t="str">
        <f t="shared" si="51"/>
        <v>Gas2</v>
      </c>
      <c r="E239" s="1882"/>
      <c r="F239" s="1882"/>
      <c r="G239" s="306">
        <f t="shared" si="52"/>
        <v>8.0516535433070871E-2</v>
      </c>
      <c r="H239" s="306">
        <f t="shared" si="52"/>
        <v>8.0516535433070857E-2</v>
      </c>
      <c r="I239" s="306">
        <f t="shared" si="52"/>
        <v>8.0516535433070871E-2</v>
      </c>
      <c r="J239" s="306">
        <f t="shared" si="52"/>
        <v>8.0516535433070857E-2</v>
      </c>
      <c r="K239" s="306">
        <f t="shared" si="52"/>
        <v>8.0516535433070857E-2</v>
      </c>
      <c r="L239" s="306">
        <f t="shared" si="52"/>
        <v>8.0516535433070857E-2</v>
      </c>
      <c r="M239" s="307">
        <f t="shared" si="52"/>
        <v>8.0516535433070857E-2</v>
      </c>
    </row>
    <row r="240" spans="2:13" s="147" customFormat="1">
      <c r="B240" s="281" t="str">
        <f t="shared" si="51"/>
        <v>DME-011-13</v>
      </c>
      <c r="C240" s="281" t="str">
        <f t="shared" si="51"/>
        <v>GENERADORA ALTO VALLE</v>
      </c>
      <c r="D240" s="281" t="str">
        <f t="shared" si="51"/>
        <v>H SE</v>
      </c>
      <c r="E240" s="1882"/>
      <c r="F240" s="1882"/>
      <c r="G240" s="306">
        <f t="shared" si="52"/>
        <v>0.13250000000000003</v>
      </c>
      <c r="H240" s="306">
        <f t="shared" si="52"/>
        <v>0.13250000000000001</v>
      </c>
      <c r="I240" s="306">
        <f t="shared" si="52"/>
        <v>0.13249999999999998</v>
      </c>
      <c r="J240" s="306">
        <f t="shared" si="52"/>
        <v>0.13250000000000001</v>
      </c>
      <c r="K240" s="306">
        <f t="shared" si="52"/>
        <v>0.13250000000000001</v>
      </c>
      <c r="L240" s="306">
        <f t="shared" si="52"/>
        <v>0.13250000000000001</v>
      </c>
      <c r="M240" s="307">
        <f t="shared" si="52"/>
        <v>0.13250000000000001</v>
      </c>
    </row>
    <row r="241" spans="2:13" s="147" customFormat="1">
      <c r="B241" s="281" t="str">
        <f t="shared" si="51"/>
        <v>DME-012-13</v>
      </c>
      <c r="C241" s="281" t="str">
        <f t="shared" si="51"/>
        <v>CAFÉ DE ELETA</v>
      </c>
      <c r="D241" s="281" t="str">
        <f t="shared" si="51"/>
        <v>H SE</v>
      </c>
      <c r="E241" s="1882"/>
      <c r="F241" s="1882"/>
      <c r="G241" s="306">
        <f t="shared" si="52"/>
        <v>0.128</v>
      </c>
      <c r="H241" s="306">
        <f t="shared" si="52"/>
        <v>0.12799999999999997</v>
      </c>
      <c r="I241" s="306">
        <f t="shared" si="52"/>
        <v>0.12799999999999997</v>
      </c>
      <c r="J241" s="306">
        <f t="shared" si="52"/>
        <v>0.12800000000000003</v>
      </c>
      <c r="K241" s="306">
        <f t="shared" si="52"/>
        <v>0.128</v>
      </c>
      <c r="L241" s="306">
        <f t="shared" si="52"/>
        <v>0.128</v>
      </c>
      <c r="M241" s="307">
        <f t="shared" si="52"/>
        <v>0.128</v>
      </c>
    </row>
    <row r="242" spans="2:13" s="147" customFormat="1">
      <c r="B242" s="281" t="str">
        <f t="shared" si="51"/>
        <v>DME-013-13</v>
      </c>
      <c r="C242" s="281" t="str">
        <f t="shared" si="51"/>
        <v>EMNADESA</v>
      </c>
      <c r="D242" s="281" t="str">
        <f t="shared" si="51"/>
        <v>H SE</v>
      </c>
      <c r="E242" s="1882"/>
      <c r="F242" s="1882"/>
      <c r="G242" s="306">
        <f t="shared" si="52"/>
        <v>0.1275</v>
      </c>
      <c r="H242" s="306">
        <f t="shared" si="52"/>
        <v>0.1275</v>
      </c>
      <c r="I242" s="306">
        <f t="shared" si="52"/>
        <v>0.1275</v>
      </c>
      <c r="J242" s="306">
        <f t="shared" si="52"/>
        <v>0.1275</v>
      </c>
      <c r="K242" s="306">
        <f t="shared" si="52"/>
        <v>0.1275</v>
      </c>
      <c r="L242" s="306">
        <f t="shared" si="52"/>
        <v>0.1275</v>
      </c>
      <c r="M242" s="307">
        <f t="shared" si="52"/>
        <v>0.1275</v>
      </c>
    </row>
    <row r="243" spans="2:13" s="147" customFormat="1">
      <c r="B243" s="281" t="str">
        <f t="shared" si="51"/>
        <v>DME-014-13</v>
      </c>
      <c r="C243" s="281" t="str">
        <f t="shared" si="51"/>
        <v xml:space="preserve">ESEPSA </v>
      </c>
      <c r="D243" s="281" t="str">
        <f t="shared" si="51"/>
        <v>H SE</v>
      </c>
      <c r="E243" s="1882"/>
      <c r="F243" s="1882"/>
      <c r="G243" s="306">
        <f t="shared" si="52"/>
        <v>0.13250000000000003</v>
      </c>
      <c r="H243" s="306">
        <f t="shared" si="52"/>
        <v>0.13250000000000001</v>
      </c>
      <c r="I243" s="306">
        <f t="shared" si="52"/>
        <v>0.13250000000000003</v>
      </c>
      <c r="J243" s="306">
        <f t="shared" si="52"/>
        <v>0.13250000000000001</v>
      </c>
      <c r="K243" s="306">
        <f t="shared" si="52"/>
        <v>0.13250000000000003</v>
      </c>
      <c r="L243" s="306">
        <f t="shared" si="52"/>
        <v>0.13250000000000001</v>
      </c>
      <c r="M243" s="307">
        <f t="shared" si="52"/>
        <v>0.13250000000000003</v>
      </c>
    </row>
    <row r="244" spans="2:13" s="147" customFormat="1">
      <c r="B244" s="281" t="str">
        <f t="shared" si="51"/>
        <v>DME-015-13</v>
      </c>
      <c r="C244" s="281" t="str">
        <f t="shared" si="51"/>
        <v>Fuerza Eléctrica del Istmo (2016-27)</v>
      </c>
      <c r="D244" s="281" t="str">
        <f t="shared" si="51"/>
        <v>H SE</v>
      </c>
      <c r="E244" s="1882"/>
      <c r="F244" s="1882"/>
      <c r="G244" s="306">
        <f t="shared" ref="G244:M253" si="53">IF(SUMIF($B$282:$B$358,$B244,G$282:G$358)=0,0,IF(SUMIF($B$133:$B$205,$B244,G$133:G$205)=0,0,SUMIF($B$282:$B$358,$B244,G$282:G$358)/SUMIF($B$133:$B$205,$B244,G$133:G$205)/1000))</f>
        <v>0.12759999999999999</v>
      </c>
      <c r="H244" s="306">
        <f t="shared" si="53"/>
        <v>0.12759999999999999</v>
      </c>
      <c r="I244" s="306">
        <f t="shared" si="53"/>
        <v>0.12759999999999996</v>
      </c>
      <c r="J244" s="306">
        <f t="shared" si="53"/>
        <v>0.12759999999999999</v>
      </c>
      <c r="K244" s="306">
        <f t="shared" si="53"/>
        <v>0.12759999999999999</v>
      </c>
      <c r="L244" s="306">
        <f t="shared" si="53"/>
        <v>0.12759999999999999</v>
      </c>
      <c r="M244" s="307">
        <f t="shared" si="53"/>
        <v>0.12759999999999999</v>
      </c>
    </row>
    <row r="245" spans="2:13" s="147" customFormat="1">
      <c r="B245" s="281" t="str">
        <f t="shared" si="51"/>
        <v>DME-016-13</v>
      </c>
      <c r="C245" s="281" t="str">
        <f t="shared" si="51"/>
        <v>Hidro CAISÀN (2016-27)</v>
      </c>
      <c r="D245" s="281" t="str">
        <f t="shared" si="51"/>
        <v>H SE</v>
      </c>
      <c r="E245" s="1882"/>
      <c r="F245" s="1882"/>
      <c r="G245" s="306">
        <f t="shared" si="53"/>
        <v>0.13249999999999998</v>
      </c>
      <c r="H245" s="306">
        <f t="shared" si="53"/>
        <v>0.13250000000000001</v>
      </c>
      <c r="I245" s="306">
        <f t="shared" si="53"/>
        <v>0.13250000000000003</v>
      </c>
      <c r="J245" s="306">
        <f t="shared" si="53"/>
        <v>0.13250000000000001</v>
      </c>
      <c r="K245" s="306">
        <f t="shared" si="53"/>
        <v>0.13250000000000001</v>
      </c>
      <c r="L245" s="306">
        <f t="shared" si="53"/>
        <v>0.13250000000000001</v>
      </c>
      <c r="M245" s="307">
        <f t="shared" si="53"/>
        <v>0.13249999999999998</v>
      </c>
    </row>
    <row r="246" spans="2:13" s="147" customFormat="1">
      <c r="B246" s="281" t="str">
        <f t="shared" si="51"/>
        <v>DME-017-13</v>
      </c>
      <c r="C246" s="281" t="str">
        <f t="shared" si="51"/>
        <v>PASO ANCHO (2024-27)</v>
      </c>
      <c r="D246" s="281" t="str">
        <f t="shared" si="51"/>
        <v>H SE</v>
      </c>
      <c r="E246" s="1882"/>
      <c r="F246" s="1882"/>
      <c r="G246" s="306">
        <f t="shared" si="53"/>
        <v>0.122</v>
      </c>
      <c r="H246" s="306">
        <f t="shared" si="53"/>
        <v>0.122</v>
      </c>
      <c r="I246" s="306">
        <f t="shared" si="53"/>
        <v>0.122</v>
      </c>
      <c r="J246" s="306">
        <f t="shared" si="53"/>
        <v>0</v>
      </c>
      <c r="K246" s="306">
        <f t="shared" si="53"/>
        <v>0.12200000000000001</v>
      </c>
      <c r="L246" s="306">
        <f t="shared" si="53"/>
        <v>0.122</v>
      </c>
      <c r="M246" s="307">
        <f t="shared" si="53"/>
        <v>0.12199999999999998</v>
      </c>
    </row>
    <row r="247" spans="2:13" s="147" customFormat="1">
      <c r="B247" s="281" t="str">
        <f t="shared" si="51"/>
        <v>DME-018-13</v>
      </c>
      <c r="C247" s="281" t="str">
        <f t="shared" si="51"/>
        <v>PEDREGALITO</v>
      </c>
      <c r="D247" s="281" t="str">
        <f t="shared" si="51"/>
        <v>H SE</v>
      </c>
      <c r="E247" s="1882"/>
      <c r="F247" s="1882"/>
      <c r="G247" s="306">
        <f t="shared" si="53"/>
        <v>0.13200000000000001</v>
      </c>
      <c r="H247" s="306">
        <f t="shared" si="53"/>
        <v>0.13200000000000001</v>
      </c>
      <c r="I247" s="306">
        <f t="shared" si="53"/>
        <v>0.13200000000000001</v>
      </c>
      <c r="J247" s="306">
        <f t="shared" si="53"/>
        <v>0.13200000000000003</v>
      </c>
      <c r="K247" s="306">
        <f t="shared" si="53"/>
        <v>0.13200000000000003</v>
      </c>
      <c r="L247" s="306">
        <f t="shared" si="53"/>
        <v>0.13200000000000003</v>
      </c>
      <c r="M247" s="307">
        <f t="shared" si="53"/>
        <v>0.13200000000000001</v>
      </c>
    </row>
    <row r="248" spans="2:13" s="147" customFormat="1">
      <c r="B248" s="281" t="str">
        <f t="shared" si="51"/>
        <v>DME-019-13</v>
      </c>
      <c r="C248" s="281" t="str">
        <f t="shared" si="51"/>
        <v>RÍO CHICO</v>
      </c>
      <c r="D248" s="281" t="str">
        <f t="shared" si="51"/>
        <v>H SE</v>
      </c>
      <c r="E248" s="1882"/>
      <c r="F248" s="1882"/>
      <c r="G248" s="306">
        <f t="shared" si="53"/>
        <v>0.13200000000000003</v>
      </c>
      <c r="H248" s="306">
        <f t="shared" si="53"/>
        <v>0.13200000000000001</v>
      </c>
      <c r="I248" s="306">
        <f t="shared" si="53"/>
        <v>0.13200000000000001</v>
      </c>
      <c r="J248" s="306">
        <f t="shared" si="53"/>
        <v>0.13200000000000001</v>
      </c>
      <c r="K248" s="306">
        <f t="shared" si="53"/>
        <v>0.13200000000000001</v>
      </c>
      <c r="L248" s="306">
        <f t="shared" si="53"/>
        <v>0.13200000000000003</v>
      </c>
      <c r="M248" s="307">
        <f t="shared" si="53"/>
        <v>0.13200000000000001</v>
      </c>
    </row>
    <row r="249" spans="2:13" s="147" customFormat="1">
      <c r="B249" s="281" t="str">
        <f t="shared" si="51"/>
        <v>DME-002-14</v>
      </c>
      <c r="C249" s="281" t="str">
        <f t="shared" si="51"/>
        <v>PARQUE EOLICO TOABRE (Enmienda 1)</v>
      </c>
      <c r="D249" s="281" t="str">
        <f t="shared" si="51"/>
        <v>Eo</v>
      </c>
      <c r="E249" s="1882"/>
      <c r="F249" s="1882"/>
      <c r="G249" s="306">
        <f t="shared" si="53"/>
        <v>0.1002353084613509</v>
      </c>
      <c r="H249" s="306">
        <f t="shared" si="53"/>
        <v>0.10023530846135088</v>
      </c>
      <c r="I249" s="306">
        <f t="shared" si="53"/>
        <v>0.1002353084613509</v>
      </c>
      <c r="J249" s="306">
        <f t="shared" si="53"/>
        <v>0.1002353084613509</v>
      </c>
      <c r="K249" s="306">
        <f t="shared" si="53"/>
        <v>0.1002353084613509</v>
      </c>
      <c r="L249" s="306">
        <f t="shared" si="53"/>
        <v>0.10023530846135088</v>
      </c>
      <c r="M249" s="307">
        <f t="shared" si="53"/>
        <v>0.1002353084613509</v>
      </c>
    </row>
    <row r="250" spans="2:13" s="147" customFormat="1">
      <c r="B250" s="281" t="str">
        <f t="shared" si="51"/>
        <v>DME-006-14</v>
      </c>
      <c r="C250" s="281" t="str">
        <f t="shared" si="51"/>
        <v>Electron (SECCION)</v>
      </c>
      <c r="D250" s="281" t="str">
        <f t="shared" si="51"/>
        <v>H3</v>
      </c>
      <c r="E250" s="1882"/>
      <c r="F250" s="1882"/>
      <c r="G250" s="306">
        <f t="shared" si="53"/>
        <v>0.10040000000000002</v>
      </c>
      <c r="H250" s="306">
        <f t="shared" si="53"/>
        <v>0.10039999999999999</v>
      </c>
      <c r="I250" s="306">
        <f t="shared" si="53"/>
        <v>0.10040000000000002</v>
      </c>
      <c r="J250" s="306">
        <f t="shared" si="53"/>
        <v>0.10040000000000002</v>
      </c>
      <c r="K250" s="306">
        <f t="shared" si="53"/>
        <v>0.1004</v>
      </c>
      <c r="L250" s="306">
        <f t="shared" si="53"/>
        <v>0.1004</v>
      </c>
      <c r="M250" s="307">
        <f t="shared" si="53"/>
        <v>0.10039999999999999</v>
      </c>
    </row>
    <row r="251" spans="2:13" s="147" customFormat="1">
      <c r="B251" s="281" t="str">
        <f t="shared" si="51"/>
        <v>DME-002-15</v>
      </c>
      <c r="C251" s="281" t="str">
        <f t="shared" si="51"/>
        <v>PANAMA SOLAR (Ene-17  - Dic36)</v>
      </c>
      <c r="D251" s="281" t="str">
        <f t="shared" si="51"/>
        <v>Sol1</v>
      </c>
      <c r="E251" s="1882"/>
      <c r="F251" s="1882"/>
      <c r="G251" s="306">
        <f t="shared" si="53"/>
        <v>8.7706275609230125E-2</v>
      </c>
      <c r="H251" s="306">
        <f t="shared" si="53"/>
        <v>8.7706275609230111E-2</v>
      </c>
      <c r="I251" s="306">
        <f t="shared" si="53"/>
        <v>8.7706275609230111E-2</v>
      </c>
      <c r="J251" s="306">
        <f t="shared" si="53"/>
        <v>8.7706275609230125E-2</v>
      </c>
      <c r="K251" s="306">
        <f t="shared" si="53"/>
        <v>8.7706275609230125E-2</v>
      </c>
      <c r="L251" s="306">
        <f t="shared" si="53"/>
        <v>8.7706275609230125E-2</v>
      </c>
      <c r="M251" s="307">
        <f t="shared" si="53"/>
        <v>8.7706275609230125E-2</v>
      </c>
    </row>
    <row r="252" spans="2:13" s="147" customFormat="1">
      <c r="B252" s="281" t="str">
        <f t="shared" si="51"/>
        <v>DME-003-15</v>
      </c>
      <c r="C252" s="281" t="str">
        <f t="shared" si="51"/>
        <v>SOLPAC (Ene-17  - Dic36)</v>
      </c>
      <c r="D252" s="281" t="str">
        <f t="shared" si="51"/>
        <v>Sol1</v>
      </c>
      <c r="E252" s="1882"/>
      <c r="F252" s="1882"/>
      <c r="G252" s="306">
        <f t="shared" si="53"/>
        <v>0.10687927539357343</v>
      </c>
      <c r="H252" s="306">
        <f t="shared" si="53"/>
        <v>0.10687927539357342</v>
      </c>
      <c r="I252" s="306">
        <f t="shared" si="53"/>
        <v>0.10687927539357343</v>
      </c>
      <c r="J252" s="306">
        <f t="shared" si="53"/>
        <v>0.10687927539357343</v>
      </c>
      <c r="K252" s="306">
        <f t="shared" si="53"/>
        <v>0.10687927539357342</v>
      </c>
      <c r="L252" s="306">
        <f t="shared" si="53"/>
        <v>0.10687927539357343</v>
      </c>
      <c r="M252" s="307">
        <f t="shared" si="53"/>
        <v>0.10687927539357343</v>
      </c>
    </row>
    <row r="253" spans="2:13" s="147" customFormat="1">
      <c r="B253" s="281" t="str">
        <f t="shared" si="51"/>
        <v>DME-004-15</v>
      </c>
      <c r="C253" s="281" t="str">
        <f t="shared" si="51"/>
        <v>Gas Natural Atlántico</v>
      </c>
      <c r="D253" s="281" t="str">
        <f t="shared" si="51"/>
        <v>Gas</v>
      </c>
      <c r="E253" s="1882"/>
      <c r="F253" s="1882"/>
      <c r="G253" s="306">
        <f t="shared" si="53"/>
        <v>2.8408000000000006E-2</v>
      </c>
      <c r="H253" s="306">
        <f t="shared" si="53"/>
        <v>2.8407999999999999E-2</v>
      </c>
      <c r="I253" s="306">
        <f t="shared" si="53"/>
        <v>2.8408000000000003E-2</v>
      </c>
      <c r="J253" s="306">
        <f t="shared" si="53"/>
        <v>2.8408000000000003E-2</v>
      </c>
      <c r="K253" s="306">
        <f t="shared" si="53"/>
        <v>2.8408000000000006E-2</v>
      </c>
      <c r="L253" s="306">
        <f t="shared" si="53"/>
        <v>2.8408000000000006E-2</v>
      </c>
      <c r="M253" s="307">
        <f t="shared" si="53"/>
        <v>2.8407999999999999E-2</v>
      </c>
    </row>
    <row r="254" spans="2:13" s="147" customFormat="1">
      <c r="B254" s="281" t="str">
        <f t="shared" ref="B254:D270" si="54">B173</f>
        <v>DME-005-15B</v>
      </c>
      <c r="C254" s="281" t="str">
        <f t="shared" si="54"/>
        <v>ALTERNEGY ENMIEDA 7</v>
      </c>
      <c r="D254" s="281" t="str">
        <f t="shared" si="54"/>
        <v>H2</v>
      </c>
      <c r="E254" s="1882"/>
      <c r="F254" s="1882"/>
      <c r="G254" s="306">
        <f t="shared" ref="G254:M263" si="55">IF(SUMIF($B$282:$B$358,$B254,G$282:G$358)=0,0,IF(SUMIF($B$133:$B$205,$B254,G$133:G$205)=0,0,SUMIF($B$282:$B$358,$B254,G$282:G$358)/SUMIF($B$133:$B$205,$B254,G$133:G$205)/1000))</f>
        <v>2.0899999999999998E-2</v>
      </c>
      <c r="H254" s="306">
        <f t="shared" si="55"/>
        <v>2.0899999999999998E-2</v>
      </c>
      <c r="I254" s="306">
        <f t="shared" si="55"/>
        <v>2.0899999999999998E-2</v>
      </c>
      <c r="J254" s="306">
        <f t="shared" si="55"/>
        <v>2.0899999999999998E-2</v>
      </c>
      <c r="K254" s="306">
        <f t="shared" si="55"/>
        <v>2.0899999999999998E-2</v>
      </c>
      <c r="L254" s="306">
        <f t="shared" si="55"/>
        <v>2.0899999999999998E-2</v>
      </c>
      <c r="M254" s="307">
        <f t="shared" si="55"/>
        <v>2.0899999999999998E-2</v>
      </c>
    </row>
    <row r="255" spans="2:13" s="147" customFormat="1">
      <c r="B255" s="281" t="str">
        <f t="shared" si="54"/>
        <v>DME-001-24</v>
      </c>
      <c r="C255" s="281" t="str">
        <f t="shared" si="54"/>
        <v>ORO SOLAR, S.A.</v>
      </c>
      <c r="D255" s="281" t="str">
        <f t="shared" si="54"/>
        <v>Sol</v>
      </c>
      <c r="E255" s="1882"/>
      <c r="F255" s="1882"/>
      <c r="G255" s="306">
        <f t="shared" si="55"/>
        <v>0.09</v>
      </c>
      <c r="H255" s="306">
        <f t="shared" si="55"/>
        <v>0.09</v>
      </c>
      <c r="I255" s="306">
        <f t="shared" si="55"/>
        <v>8.9999999999999983E-2</v>
      </c>
      <c r="J255" s="306">
        <f t="shared" si="55"/>
        <v>0.09</v>
      </c>
      <c r="K255" s="306">
        <f t="shared" si="55"/>
        <v>8.9999999999999983E-2</v>
      </c>
      <c r="L255" s="306">
        <f t="shared" si="55"/>
        <v>0.09</v>
      </c>
      <c r="M255" s="307">
        <f t="shared" si="55"/>
        <v>8.9999999999999983E-2</v>
      </c>
    </row>
    <row r="256" spans="2:13" s="147" customFormat="1">
      <c r="B256" s="281" t="str">
        <f t="shared" si="54"/>
        <v>DME-001-25</v>
      </c>
      <c r="C256" s="281" t="str">
        <f t="shared" si="54"/>
        <v>CALDERA ENERGY CORP.</v>
      </c>
      <c r="D256" s="281" t="str">
        <f t="shared" si="54"/>
        <v>H SE</v>
      </c>
      <c r="E256" s="1882"/>
      <c r="F256" s="1882"/>
      <c r="G256" s="306">
        <f t="shared" si="55"/>
        <v>6.7369999999999999E-2</v>
      </c>
      <c r="H256" s="306">
        <f t="shared" si="55"/>
        <v>5.7369999999999997E-2</v>
      </c>
      <c r="I256" s="306">
        <f t="shared" si="55"/>
        <v>5.7370000000000004E-2</v>
      </c>
      <c r="J256" s="306">
        <f t="shared" si="55"/>
        <v>5.7369999999999977E-2</v>
      </c>
      <c r="K256" s="306">
        <f t="shared" si="55"/>
        <v>5.7370000000000004E-2</v>
      </c>
      <c r="L256" s="306">
        <f t="shared" si="55"/>
        <v>7.2370000000000018E-2</v>
      </c>
      <c r="M256" s="307">
        <f t="shared" si="55"/>
        <v>6.1391699970707411E-2</v>
      </c>
    </row>
    <row r="257" spans="2:13" s="147" customFormat="1">
      <c r="B257" s="281" t="str">
        <f t="shared" si="54"/>
        <v>DME-002-25</v>
      </c>
      <c r="C257" s="281" t="str">
        <f t="shared" si="54"/>
        <v>EMPRESA NACIONAL DE ENERGÍA, S.A.</v>
      </c>
      <c r="D257" s="281" t="str">
        <f t="shared" si="54"/>
        <v>H SE</v>
      </c>
      <c r="E257" s="1882"/>
      <c r="F257" s="1882"/>
      <c r="G257" s="306">
        <f t="shared" si="55"/>
        <v>6.5000000000000002E-2</v>
      </c>
      <c r="H257" s="306">
        <f t="shared" si="55"/>
        <v>5.5E-2</v>
      </c>
      <c r="I257" s="306">
        <f t="shared" si="55"/>
        <v>5.5E-2</v>
      </c>
      <c r="J257" s="306">
        <f t="shared" si="55"/>
        <v>5.5E-2</v>
      </c>
      <c r="K257" s="306">
        <f t="shared" si="55"/>
        <v>5.5E-2</v>
      </c>
      <c r="L257" s="306">
        <f t="shared" si="55"/>
        <v>0</v>
      </c>
      <c r="M257" s="307">
        <f t="shared" si="55"/>
        <v>5.6545191511831183E-2</v>
      </c>
    </row>
    <row r="258" spans="2:13" s="147" customFormat="1">
      <c r="B258" s="281" t="str">
        <f t="shared" si="54"/>
        <v>DME-003-25</v>
      </c>
      <c r="C258" s="281" t="str">
        <f t="shared" si="54"/>
        <v>EMPRESA NACIONAL DE ENERGÍA, S.A.</v>
      </c>
      <c r="D258" s="281" t="str">
        <f t="shared" si="54"/>
        <v>H SE</v>
      </c>
      <c r="E258" s="1882"/>
      <c r="F258" s="1882"/>
      <c r="G258" s="306">
        <f t="shared" si="55"/>
        <v>6.5500000000000003E-2</v>
      </c>
      <c r="H258" s="306">
        <f t="shared" si="55"/>
        <v>5.5499999999999994E-2</v>
      </c>
      <c r="I258" s="306">
        <f t="shared" si="55"/>
        <v>5.5500000000000001E-2</v>
      </c>
      <c r="J258" s="306">
        <f t="shared" si="55"/>
        <v>5.5500000000000001E-2</v>
      </c>
      <c r="K258" s="306">
        <f t="shared" si="55"/>
        <v>5.5500000000000001E-2</v>
      </c>
      <c r="L258" s="306">
        <f t="shared" si="55"/>
        <v>0</v>
      </c>
      <c r="M258" s="307">
        <f t="shared" si="55"/>
        <v>5.7045191511831191E-2</v>
      </c>
    </row>
    <row r="259" spans="2:13" s="147" customFormat="1">
      <c r="B259" s="281" t="str">
        <f t="shared" si="54"/>
        <v>DME-004-25</v>
      </c>
      <c r="C259" s="281" t="str">
        <f t="shared" si="54"/>
        <v>ARRENDADORA ISTMO ENERGY, S.A.</v>
      </c>
      <c r="D259" s="281" t="str">
        <f t="shared" si="54"/>
        <v>Sol</v>
      </c>
      <c r="E259" s="1882"/>
      <c r="F259" s="1882"/>
      <c r="G259" s="306">
        <f t="shared" si="55"/>
        <v>6.6000000000000003E-2</v>
      </c>
      <c r="H259" s="306">
        <f t="shared" si="55"/>
        <v>5.6000000000000008E-2</v>
      </c>
      <c r="I259" s="306">
        <f t="shared" si="55"/>
        <v>5.6000000000000001E-2</v>
      </c>
      <c r="J259" s="306">
        <f t="shared" si="55"/>
        <v>5.6000000000000001E-2</v>
      </c>
      <c r="K259" s="306">
        <f t="shared" si="55"/>
        <v>5.6000000000000008E-2</v>
      </c>
      <c r="L259" s="306">
        <f t="shared" si="55"/>
        <v>7.4950000000000003E-2</v>
      </c>
      <c r="M259" s="307">
        <f t="shared" si="55"/>
        <v>5.9893965641345359E-2</v>
      </c>
    </row>
    <row r="260" spans="2:13" s="147" customFormat="1">
      <c r="B260" s="281" t="str">
        <f t="shared" si="54"/>
        <v>DME-005-25</v>
      </c>
      <c r="C260" s="281" t="str">
        <f t="shared" si="54"/>
        <v>ARRENDADORA ISTMO ENERGY, S.A.</v>
      </c>
      <c r="D260" s="281" t="str">
        <f t="shared" si="54"/>
        <v>Sol</v>
      </c>
      <c r="E260" s="1882"/>
      <c r="F260" s="1882"/>
      <c r="G260" s="306">
        <f t="shared" si="55"/>
        <v>6.8000000000000019E-2</v>
      </c>
      <c r="H260" s="306">
        <f t="shared" si="55"/>
        <v>5.8000000000000003E-2</v>
      </c>
      <c r="I260" s="306">
        <f t="shared" si="55"/>
        <v>5.8000000000000003E-2</v>
      </c>
      <c r="J260" s="306">
        <f t="shared" si="55"/>
        <v>5.800000000000001E-2</v>
      </c>
      <c r="K260" s="306">
        <f t="shared" si="55"/>
        <v>5.8000000000000017E-2</v>
      </c>
      <c r="L260" s="306">
        <f t="shared" si="55"/>
        <v>7.4950000000000003E-2</v>
      </c>
      <c r="M260" s="307">
        <f t="shared" si="55"/>
        <v>6.1654571425998318E-2</v>
      </c>
    </row>
    <row r="261" spans="2:13" s="147" customFormat="1">
      <c r="B261" s="281" t="str">
        <f t="shared" si="54"/>
        <v>DME-006-25</v>
      </c>
      <c r="C261" s="281" t="str">
        <f t="shared" si="54"/>
        <v>HIDROECOLÓGICA DEL TERIBE, S.A.</v>
      </c>
      <c r="D261" s="281" t="str">
        <f t="shared" si="54"/>
        <v>H SE</v>
      </c>
      <c r="E261" s="1882"/>
      <c r="F261" s="1882"/>
      <c r="G261" s="306">
        <f t="shared" si="55"/>
        <v>6.7550000000000013E-2</v>
      </c>
      <c r="H261" s="306">
        <f t="shared" si="55"/>
        <v>5.7579999999999999E-2</v>
      </c>
      <c r="I261" s="306">
        <f t="shared" si="55"/>
        <v>5.7579999999999999E-2</v>
      </c>
      <c r="J261" s="306">
        <f t="shared" si="55"/>
        <v>5.7579999999999992E-2</v>
      </c>
      <c r="K261" s="306">
        <f t="shared" si="55"/>
        <v>5.7579999999999992E-2</v>
      </c>
      <c r="L261" s="306">
        <f t="shared" si="55"/>
        <v>7.2550000000000003E-2</v>
      </c>
      <c r="M261" s="307">
        <f t="shared" si="55"/>
        <v>6.159196950831302E-2</v>
      </c>
    </row>
    <row r="262" spans="2:13" s="147" customFormat="1">
      <c r="B262" s="281" t="str">
        <f t="shared" si="54"/>
        <v>DME-007-25</v>
      </c>
      <c r="C262" s="281" t="str">
        <f t="shared" si="54"/>
        <v>SOCIEDAD SUPER SERVICIOS, S.A.</v>
      </c>
      <c r="D262" s="281" t="str">
        <f t="shared" si="54"/>
        <v>Sol</v>
      </c>
      <c r="E262" s="1882"/>
      <c r="F262" s="1882"/>
      <c r="G262" s="306">
        <f t="shared" si="55"/>
        <v>6.9690000000000002E-2</v>
      </c>
      <c r="H262" s="306">
        <f t="shared" si="55"/>
        <v>5.9590000000000004E-2</v>
      </c>
      <c r="I262" s="306">
        <f t="shared" si="55"/>
        <v>5.958999999999999E-2</v>
      </c>
      <c r="J262" s="306">
        <f t="shared" si="55"/>
        <v>5.958999999999999E-2</v>
      </c>
      <c r="K262" s="306">
        <f t="shared" si="55"/>
        <v>5.9589999999999997E-2</v>
      </c>
      <c r="L262" s="306">
        <f t="shared" si="55"/>
        <v>7.4740000000000015E-2</v>
      </c>
      <c r="M262" s="307">
        <f t="shared" si="55"/>
        <v>6.2415213814519199E-2</v>
      </c>
    </row>
    <row r="263" spans="2:13" s="147" customFormat="1">
      <c r="B263" s="281" t="str">
        <f t="shared" si="54"/>
        <v>DME-008-25</v>
      </c>
      <c r="C263" s="281" t="str">
        <f t="shared" si="54"/>
        <v>CORPORACION DE ENERGIA DEL ISTMO, S.A.</v>
      </c>
      <c r="D263" s="281" t="str">
        <f t="shared" si="54"/>
        <v>H SE</v>
      </c>
      <c r="E263" s="1882"/>
      <c r="F263" s="1882"/>
      <c r="G263" s="306">
        <f t="shared" si="55"/>
        <v>7.0000000000000021E-2</v>
      </c>
      <c r="H263" s="306">
        <f t="shared" si="55"/>
        <v>5.664000000000001E-2</v>
      </c>
      <c r="I263" s="306">
        <f t="shared" si="55"/>
        <v>5.1550000000000006E-2</v>
      </c>
      <c r="J263" s="306">
        <f t="shared" si="55"/>
        <v>5.383000000000001E-2</v>
      </c>
      <c r="K263" s="306">
        <f t="shared" si="55"/>
        <v>5.9339999999999997E-2</v>
      </c>
      <c r="L263" s="306">
        <f t="shared" si="55"/>
        <v>7.4999999999999997E-2</v>
      </c>
      <c r="M263" s="307">
        <f t="shared" si="55"/>
        <v>5.7870710109125985E-2</v>
      </c>
    </row>
    <row r="264" spans="2:13" s="147" customFormat="1">
      <c r="B264" s="281" t="str">
        <f t="shared" si="54"/>
        <v>DME-009-25</v>
      </c>
      <c r="C264" s="281" t="str">
        <f t="shared" si="54"/>
        <v>HYDRO CAISAN, S.A.</v>
      </c>
      <c r="D264" s="281" t="str">
        <f t="shared" si="54"/>
        <v>H SE</v>
      </c>
      <c r="E264" s="1882"/>
      <c r="F264" s="1882"/>
      <c r="G264" s="306">
        <f t="shared" ref="G264:M270" si="56">IF(SUMIF($B$282:$B$358,$B264,G$282:G$358)=0,0,IF(SUMIF($B$133:$B$205,$B264,G$133:G$205)=0,0,SUMIF($B$282:$B$358,$B264,G$282:G$358)/SUMIF($B$133:$B$205,$B264,G$133:G$205)/1000))</f>
        <v>0</v>
      </c>
      <c r="H264" s="306">
        <f t="shared" si="56"/>
        <v>0</v>
      </c>
      <c r="I264" s="306">
        <f t="shared" si="56"/>
        <v>0</v>
      </c>
      <c r="J264" s="306">
        <f t="shared" si="56"/>
        <v>5.7869999999999998E-2</v>
      </c>
      <c r="K264" s="306">
        <f t="shared" si="56"/>
        <v>5.7869999999999984E-2</v>
      </c>
      <c r="L264" s="306">
        <f t="shared" si="56"/>
        <v>7.2870000000000004E-2</v>
      </c>
      <c r="M264" s="307">
        <f t="shared" si="56"/>
        <v>5.8944365027223486E-2</v>
      </c>
    </row>
    <row r="265" spans="2:13" s="147" customFormat="1">
      <c r="B265" s="281" t="str">
        <f t="shared" si="54"/>
        <v>DME-010-25</v>
      </c>
      <c r="C265" s="281" t="str">
        <f t="shared" si="54"/>
        <v>PEDREGALITO SOLAR POWER, S.A.</v>
      </c>
      <c r="D265" s="281" t="str">
        <f t="shared" si="54"/>
        <v>Sol</v>
      </c>
      <c r="E265" s="1882"/>
      <c r="F265" s="1882"/>
      <c r="G265" s="306">
        <f t="shared" si="56"/>
        <v>6.9949999999999984E-2</v>
      </c>
      <c r="H265" s="306">
        <f t="shared" si="56"/>
        <v>5.9950000000000003E-2</v>
      </c>
      <c r="I265" s="306">
        <f t="shared" si="56"/>
        <v>5.9950000000000003E-2</v>
      </c>
      <c r="J265" s="306">
        <f t="shared" si="56"/>
        <v>5.9949999999999996E-2</v>
      </c>
      <c r="K265" s="306">
        <f t="shared" si="56"/>
        <v>5.9950000000000003E-2</v>
      </c>
      <c r="L265" s="306">
        <f t="shared" si="56"/>
        <v>7.4949999999999989E-2</v>
      </c>
      <c r="M265" s="307">
        <f t="shared" si="56"/>
        <v>6.397169997070741E-2</v>
      </c>
    </row>
    <row r="266" spans="2:13" s="147" customFormat="1">
      <c r="B266" s="281" t="str">
        <f t="shared" si="54"/>
        <v>DME-011-25</v>
      </c>
      <c r="C266" s="281" t="str">
        <f t="shared" si="54"/>
        <v>GENA SOLAR, S.A.</v>
      </c>
      <c r="D266" s="281" t="str">
        <f t="shared" si="54"/>
        <v>Sol</v>
      </c>
      <c r="E266" s="1882"/>
      <c r="F266" s="1882"/>
      <c r="G266" s="306">
        <f t="shared" si="56"/>
        <v>6.8922999999999998E-2</v>
      </c>
      <c r="H266" s="306">
        <f t="shared" si="56"/>
        <v>5.892300000000001E-2</v>
      </c>
      <c r="I266" s="306">
        <f t="shared" si="56"/>
        <v>5.8923000000000003E-2</v>
      </c>
      <c r="J266" s="306">
        <f t="shared" si="56"/>
        <v>5.892300000000001E-2</v>
      </c>
      <c r="K266" s="306">
        <f t="shared" si="56"/>
        <v>5.8923000000000003E-2</v>
      </c>
      <c r="L266" s="306">
        <f t="shared" si="56"/>
        <v>7.3923000000000003E-2</v>
      </c>
      <c r="M266" s="307">
        <f t="shared" si="56"/>
        <v>6.2944699970707438E-2</v>
      </c>
    </row>
    <row r="267" spans="2:13" s="147" customFormat="1">
      <c r="B267" s="281" t="str">
        <f t="shared" si="54"/>
        <v>DME-012-25</v>
      </c>
      <c r="C267" s="281" t="str">
        <f t="shared" si="54"/>
        <v xml:space="preserve">HIDRO BOQUERÓN, S.A. </v>
      </c>
      <c r="D267" s="281" t="str">
        <f t="shared" si="54"/>
        <v>H SE</v>
      </c>
      <c r="E267" s="1882"/>
      <c r="F267" s="1882"/>
      <c r="G267" s="306">
        <f t="shared" si="56"/>
        <v>7.0000000000000021E-2</v>
      </c>
      <c r="H267" s="306">
        <f t="shared" si="56"/>
        <v>0.06</v>
      </c>
      <c r="I267" s="306">
        <f t="shared" si="56"/>
        <v>6.0000000000000005E-2</v>
      </c>
      <c r="J267" s="306">
        <f t="shared" si="56"/>
        <v>5.9999999999999991E-2</v>
      </c>
      <c r="K267" s="306">
        <f t="shared" si="56"/>
        <v>5.9999999999999991E-2</v>
      </c>
      <c r="L267" s="306">
        <f t="shared" si="56"/>
        <v>7.4999999999999983E-2</v>
      </c>
      <c r="M267" s="307">
        <f t="shared" si="56"/>
        <v>6.4021699970707419E-2</v>
      </c>
    </row>
    <row r="268" spans="2:13" s="147" customFormat="1">
      <c r="B268" s="281" t="str">
        <f t="shared" si="54"/>
        <v>DME-013-25</v>
      </c>
      <c r="C268" s="281" t="str">
        <f t="shared" si="54"/>
        <v>HIDROIBÉRICA, S.A.</v>
      </c>
      <c r="D268" s="281" t="str">
        <f t="shared" si="54"/>
        <v>H SE</v>
      </c>
      <c r="E268" s="1882"/>
      <c r="F268" s="1882"/>
      <c r="G268" s="306">
        <f t="shared" si="56"/>
        <v>0</v>
      </c>
      <c r="H268" s="306">
        <f t="shared" si="56"/>
        <v>0</v>
      </c>
      <c r="I268" s="306">
        <f t="shared" si="56"/>
        <v>0</v>
      </c>
      <c r="J268" s="306">
        <f t="shared" si="56"/>
        <v>0</v>
      </c>
      <c r="K268" s="306">
        <f t="shared" si="56"/>
        <v>0</v>
      </c>
      <c r="L268" s="306">
        <f t="shared" si="56"/>
        <v>0</v>
      </c>
      <c r="M268" s="307">
        <f t="shared" si="56"/>
        <v>0</v>
      </c>
    </row>
    <row r="269" spans="2:13" s="147" customFormat="1">
      <c r="B269" s="281" t="str">
        <f t="shared" si="54"/>
        <v>DME-014-25</v>
      </c>
      <c r="C269" s="281" t="str">
        <f t="shared" si="54"/>
        <v xml:space="preserve">HIDRO PANAMÁ, S.A. </v>
      </c>
      <c r="D269" s="281" t="str">
        <f t="shared" si="54"/>
        <v>H SE</v>
      </c>
      <c r="E269" s="1882"/>
      <c r="F269" s="1882"/>
      <c r="G269" s="306">
        <f t="shared" si="56"/>
        <v>6.9599999999999995E-2</v>
      </c>
      <c r="H269" s="306">
        <f t="shared" si="56"/>
        <v>5.9599999999999993E-2</v>
      </c>
      <c r="I269" s="306">
        <f t="shared" si="56"/>
        <v>5.96E-2</v>
      </c>
      <c r="J269" s="306">
        <f t="shared" si="56"/>
        <v>5.9599999999999993E-2</v>
      </c>
      <c r="K269" s="306">
        <f t="shared" si="56"/>
        <v>5.96E-2</v>
      </c>
      <c r="L269" s="306">
        <f t="shared" si="56"/>
        <v>7.4600000000000014E-2</v>
      </c>
      <c r="M269" s="307">
        <f t="shared" si="56"/>
        <v>6.3621699970707407E-2</v>
      </c>
    </row>
    <row r="270" spans="2:13" s="147" customFormat="1">
      <c r="B270" s="281" t="str">
        <f t="shared" si="54"/>
        <v>DME-015-25</v>
      </c>
      <c r="C270" s="281" t="str">
        <f t="shared" si="54"/>
        <v>AES PANAMÁ, S.R.L.</v>
      </c>
      <c r="D270" s="281" t="str">
        <f t="shared" si="54"/>
        <v>H SE</v>
      </c>
      <c r="E270" s="1882"/>
      <c r="F270" s="1882"/>
      <c r="G270" s="306">
        <f t="shared" si="56"/>
        <v>6.7000000000000018E-2</v>
      </c>
      <c r="H270" s="306">
        <f t="shared" si="56"/>
        <v>5.7000000000000002E-2</v>
      </c>
      <c r="I270" s="306">
        <f t="shared" si="56"/>
        <v>5.7000000000000002E-2</v>
      </c>
      <c r="J270" s="306">
        <f t="shared" si="56"/>
        <v>5.7000000000000009E-2</v>
      </c>
      <c r="K270" s="306">
        <f t="shared" si="56"/>
        <v>5.7000000000000009E-2</v>
      </c>
      <c r="L270" s="306">
        <f t="shared" si="56"/>
        <v>7.0999999999999994E-2</v>
      </c>
      <c r="M270" s="307">
        <f t="shared" si="56"/>
        <v>6.2923798204477396E-2</v>
      </c>
    </row>
    <row r="271" spans="2:13" s="147" customFormat="1">
      <c r="B271" s="281"/>
      <c r="C271" s="281"/>
      <c r="D271" s="281"/>
      <c r="E271" s="1882"/>
      <c r="F271" s="1882"/>
      <c r="G271" s="306"/>
      <c r="H271" s="306"/>
      <c r="I271" s="306"/>
      <c r="J271" s="306"/>
      <c r="K271" s="306"/>
      <c r="L271" s="306"/>
      <c r="M271" s="307"/>
    </row>
    <row r="272" spans="2:13" s="147" customFormat="1">
      <c r="B272" s="293"/>
      <c r="C272" s="293" t="str">
        <f>C191</f>
        <v>Sub-Total Contratos - SIN</v>
      </c>
      <c r="D272" s="293"/>
      <c r="E272" s="1894"/>
      <c r="F272" s="1894"/>
      <c r="G272" s="308">
        <f t="shared" ref="G272:M272" si="57">G340/G191/1000</f>
        <v>7.1809288215146788E-2</v>
      </c>
      <c r="H272" s="308">
        <f t="shared" si="57"/>
        <v>7.1279720559632054E-2</v>
      </c>
      <c r="I272" s="308">
        <f t="shared" si="57"/>
        <v>7.106416238715442E-2</v>
      </c>
      <c r="J272" s="308">
        <f t="shared" si="57"/>
        <v>7.0900656995395384E-2</v>
      </c>
      <c r="K272" s="308">
        <f t="shared" si="57"/>
        <v>7.1687937811612076E-2</v>
      </c>
      <c r="L272" s="308">
        <f t="shared" si="57"/>
        <v>7.3952319878106909E-2</v>
      </c>
      <c r="M272" s="308">
        <f t="shared" si="57"/>
        <v>7.1772715327078379E-2</v>
      </c>
    </row>
    <row r="273" spans="2:13" s="147" customFormat="1">
      <c r="B273" s="281" t="str">
        <f t="shared" ref="B273:D274" si="58">B198</f>
        <v>SPOT</v>
      </c>
      <c r="C273" s="281" t="str">
        <f t="shared" si="58"/>
        <v>MERCADO OCASIONAL</v>
      </c>
      <c r="D273" s="281" t="str">
        <f t="shared" si="58"/>
        <v>SPOT</v>
      </c>
      <c r="E273" s="1882"/>
      <c r="F273" s="1882"/>
      <c r="G273" s="306">
        <f t="shared" ref="G273:M276" si="59">IF(SUMIF($B$282:$B$358,$B273,G$282:G$358)=0,0,IF(SUMIF($B$133:$B$205,$B273,G$133:G$205)=0,0,SUMIF($B$282:$B$358,$B273,G$282:G$358)/SUMIF($B$133:$B$205,$B273,G$133:G$205)/1000))</f>
        <v>6.0000000000000005E-2</v>
      </c>
      <c r="H273" s="306">
        <f t="shared" si="59"/>
        <v>0.06</v>
      </c>
      <c r="I273" s="306">
        <f t="shared" si="59"/>
        <v>5.9999999999999991E-2</v>
      </c>
      <c r="J273" s="306">
        <f t="shared" si="59"/>
        <v>5.9999999999999991E-2</v>
      </c>
      <c r="K273" s="306">
        <f t="shared" si="59"/>
        <v>0.06</v>
      </c>
      <c r="L273" s="306">
        <f t="shared" si="59"/>
        <v>0.06</v>
      </c>
      <c r="M273" s="307">
        <f t="shared" si="59"/>
        <v>6.0000000000000005E-2</v>
      </c>
    </row>
    <row r="274" spans="2:13" s="147" customFormat="1">
      <c r="B274" s="281" t="str">
        <f t="shared" si="58"/>
        <v>DTER</v>
      </c>
      <c r="C274" s="281" t="str">
        <f t="shared" si="58"/>
        <v>DTER - OMCA</v>
      </c>
      <c r="D274" s="281" t="str">
        <f t="shared" si="58"/>
        <v>SPOT</v>
      </c>
      <c r="E274" s="1882"/>
      <c r="F274" s="1882"/>
      <c r="G274" s="306">
        <f t="shared" si="59"/>
        <v>0</v>
      </c>
      <c r="H274" s="306">
        <f t="shared" si="59"/>
        <v>0</v>
      </c>
      <c r="I274" s="306">
        <f t="shared" si="59"/>
        <v>0</v>
      </c>
      <c r="J274" s="306">
        <f t="shared" si="59"/>
        <v>0</v>
      </c>
      <c r="K274" s="306">
        <f t="shared" si="59"/>
        <v>0</v>
      </c>
      <c r="L274" s="306">
        <f t="shared" si="59"/>
        <v>0</v>
      </c>
      <c r="M274" s="307">
        <f t="shared" si="59"/>
        <v>0</v>
      </c>
    </row>
    <row r="275" spans="2:13" s="147" customFormat="1">
      <c r="B275" s="281" t="str">
        <f t="shared" ref="B275:D276" si="60">B192</f>
        <v>DME-041-16</v>
      </c>
      <c r="C275" s="281" t="str">
        <f t="shared" si="60"/>
        <v>Sist. Aisl. - SENECA</v>
      </c>
      <c r="D275" s="281" t="str">
        <f t="shared" si="60"/>
        <v>T SA</v>
      </c>
      <c r="E275" s="1882"/>
      <c r="F275" s="1882"/>
      <c r="G275" s="306">
        <f t="shared" si="59"/>
        <v>0.41159999999999997</v>
      </c>
      <c r="H275" s="306">
        <f t="shared" si="59"/>
        <v>0.41159999999999991</v>
      </c>
      <c r="I275" s="306">
        <f t="shared" si="59"/>
        <v>0.41160000000000002</v>
      </c>
      <c r="J275" s="306">
        <f t="shared" si="59"/>
        <v>0.41159999999999997</v>
      </c>
      <c r="K275" s="306">
        <f t="shared" si="59"/>
        <v>0.41159999999999991</v>
      </c>
      <c r="L275" s="306">
        <f t="shared" si="59"/>
        <v>0.41159999999999997</v>
      </c>
      <c r="M275" s="307">
        <f t="shared" si="59"/>
        <v>0.41159999999999991</v>
      </c>
    </row>
    <row r="276" spans="2:13" s="147" customFormat="1">
      <c r="B276" s="281" t="str">
        <f t="shared" si="60"/>
        <v>DME-001-18</v>
      </c>
      <c r="C276" s="281" t="str">
        <f t="shared" si="60"/>
        <v>Sist. Aisl. - Pearl Island Potencia (La Miel -Pto Obaldia)</v>
      </c>
      <c r="D276" s="281" t="str">
        <f t="shared" si="60"/>
        <v>T SA</v>
      </c>
      <c r="E276" s="1882"/>
      <c r="F276" s="1882"/>
      <c r="G276" s="306">
        <f t="shared" si="59"/>
        <v>0.1596907425265188</v>
      </c>
      <c r="H276" s="306">
        <f t="shared" si="59"/>
        <v>0.1596907425265188</v>
      </c>
      <c r="I276" s="306">
        <f t="shared" si="59"/>
        <v>0.15969074252651883</v>
      </c>
      <c r="J276" s="306">
        <f t="shared" si="59"/>
        <v>0.1596907425265188</v>
      </c>
      <c r="K276" s="306">
        <f t="shared" si="59"/>
        <v>0.15969074252651877</v>
      </c>
      <c r="L276" s="306">
        <f t="shared" si="59"/>
        <v>0.15969074252651883</v>
      </c>
      <c r="M276" s="307">
        <f t="shared" si="59"/>
        <v>0.15969074252651883</v>
      </c>
    </row>
    <row r="277" spans="2:13" s="147" customFormat="1">
      <c r="B277" s="281"/>
      <c r="C277" s="281"/>
      <c r="D277" s="281"/>
      <c r="E277" s="1882"/>
      <c r="F277" s="1882"/>
      <c r="G277" s="306"/>
      <c r="H277" s="306"/>
      <c r="I277" s="306"/>
      <c r="J277" s="306"/>
      <c r="K277" s="306"/>
      <c r="L277" s="306"/>
      <c r="M277" s="307"/>
    </row>
    <row r="278" spans="2:13">
      <c r="B278" s="293"/>
      <c r="C278" s="293" t="s">
        <v>359</v>
      </c>
      <c r="D278" s="293"/>
      <c r="E278" s="1894"/>
      <c r="F278" s="1894"/>
      <c r="G278" s="308">
        <f t="shared" ref="G278:M278" si="61">G358/G204/1000</f>
        <v>7.312628240091526E-2</v>
      </c>
      <c r="H278" s="308">
        <f t="shared" si="61"/>
        <v>7.2215935373913437E-2</v>
      </c>
      <c r="I278" s="308">
        <f t="shared" si="61"/>
        <v>7.2375739041046536E-2</v>
      </c>
      <c r="J278" s="308">
        <f t="shared" si="61"/>
        <v>7.3044769986959995E-2</v>
      </c>
      <c r="K278" s="308">
        <f t="shared" si="61"/>
        <v>7.3545502462616055E-2</v>
      </c>
      <c r="L278" s="308">
        <f t="shared" si="61"/>
        <v>7.5100319524467232E-2</v>
      </c>
      <c r="M278" s="308">
        <f t="shared" si="61"/>
        <v>7.3227265698229349E-2</v>
      </c>
    </row>
    <row r="280" spans="2:13" s="38" customFormat="1" ht="28.5">
      <c r="B280" s="309"/>
      <c r="C280" s="309" t="s">
        <v>500</v>
      </c>
      <c r="D280" s="309"/>
      <c r="E280" s="1890"/>
      <c r="F280" s="1890"/>
      <c r="G280" s="277" t="s">
        <v>499</v>
      </c>
      <c r="H280" s="277"/>
      <c r="I280" s="277"/>
      <c r="J280" s="277"/>
      <c r="K280" s="277"/>
      <c r="L280" s="277"/>
      <c r="M280" s="277"/>
    </row>
    <row r="281" spans="2:13" s="38" customFormat="1">
      <c r="B281" s="310"/>
      <c r="C281" s="310" t="s">
        <v>153</v>
      </c>
      <c r="D281" s="310"/>
      <c r="E281" s="1886"/>
      <c r="F281" s="1886"/>
      <c r="G281" s="280">
        <f t="shared" ref="G281:L281" si="62">G$4</f>
        <v>46204</v>
      </c>
      <c r="H281" s="280">
        <f t="shared" si="62"/>
        <v>46235</v>
      </c>
      <c r="I281" s="280">
        <f t="shared" si="62"/>
        <v>46266</v>
      </c>
      <c r="J281" s="280">
        <f t="shared" si="62"/>
        <v>46296</v>
      </c>
      <c r="K281" s="280">
        <f t="shared" si="62"/>
        <v>46327</v>
      </c>
      <c r="L281" s="280">
        <f t="shared" si="62"/>
        <v>46357</v>
      </c>
      <c r="M281" s="280" t="s">
        <v>111</v>
      </c>
    </row>
    <row r="282" spans="2:13" s="38" customFormat="1">
      <c r="B282" s="281" t="str">
        <f>ComEne26!B73</f>
        <v>DME-011-08</v>
      </c>
      <c r="C282" s="281" t="str">
        <f>ComEne26!C73</f>
        <v>ELECTRO INVEST. - ENMIENDA 5</v>
      </c>
      <c r="D282" s="281" t="str">
        <f>ComEne26!D73</f>
        <v>H</v>
      </c>
      <c r="E282" s="1882"/>
      <c r="F282" s="1882"/>
      <c r="G282" s="296">
        <f>SUMIF(ComEne26!$B$72:$B$215,$B282,ComEne26!G$72:G$215)*1000</f>
        <v>145154.75341800868</v>
      </c>
      <c r="H282" s="296">
        <f>SUMIF(ComEne26!$B$72:$B$215,$B282,ComEne26!H$72:H$215)*1000</f>
        <v>144223.9619030215</v>
      </c>
      <c r="I282" s="296">
        <f>SUMIF(ComEne26!$B$72:$B$215,$B282,ComEne26!I$72:I$215)*1000</f>
        <v>144807.00048479182</v>
      </c>
      <c r="J282" s="296">
        <f>SUMIF(ComEne26!$B$72:$B$215,$B282,ComEne26!J$72:J$215)*1000</f>
        <v>159314.86015904768</v>
      </c>
      <c r="K282" s="296">
        <f>SUMIF(ComEne26!$B$72:$B$215,$B282,ComEne26!K$72:K$215)*1000</f>
        <v>142618.48075642786</v>
      </c>
      <c r="L282" s="296">
        <f>SUMIF(ComEne26!$B$72:$B$215,$B282,ComEne26!L$72:L$215)*1000</f>
        <v>140143.30715480418</v>
      </c>
      <c r="M282" s="297">
        <f t="shared" ref="M282" si="63">SUM(G282:L282)</f>
        <v>876262.36387610179</v>
      </c>
    </row>
    <row r="283" spans="2:13" s="38" customFormat="1">
      <c r="B283" s="281" t="str">
        <f>ComEne26!B74</f>
        <v>DME-016-11</v>
      </c>
      <c r="C283" s="281" t="str">
        <f>ComEne26!C74</f>
        <v>FORTUNA</v>
      </c>
      <c r="D283" s="281" t="str">
        <f>ComEne26!D74</f>
        <v>H</v>
      </c>
      <c r="E283" s="1882"/>
      <c r="F283" s="1882"/>
      <c r="G283" s="296">
        <f>SUMIF(ComEne26!$B$72:$B$215,$B283,ComEne26!G$72:G$215)*1000</f>
        <v>335297.72955579893</v>
      </c>
      <c r="H283" s="296">
        <f>SUMIF(ComEne26!$B$72:$B$215,$B283,ComEne26!H$72:H$215)*1000</f>
        <v>333147.66368254257</v>
      </c>
      <c r="I283" s="296">
        <f>SUMIF(ComEne26!$B$72:$B$215,$B283,ComEne26!I$72:I$215)*1000</f>
        <v>334494.44364053715</v>
      </c>
      <c r="J283" s="296">
        <f>SUMIF(ComEne26!$B$72:$B$215,$B283,ComEne26!J$72:J$215)*1000</f>
        <v>368006.62491567421</v>
      </c>
      <c r="K283" s="296">
        <f>SUMIF(ComEne26!$B$72:$B$215,$B283,ComEne26!K$72:K$215)*1000</f>
        <v>329439.11008287314</v>
      </c>
      <c r="L283" s="296">
        <f>SUMIF(ComEne26!$B$72:$B$215,$B283,ComEne26!L$72:L$215)*1000</f>
        <v>323721.6253340898</v>
      </c>
      <c r="M283" s="297">
        <f t="shared" ref="M283:M338" si="64">SUM(G283:L283)</f>
        <v>2024107.1972115159</v>
      </c>
    </row>
    <row r="284" spans="2:13" s="38" customFormat="1">
      <c r="B284" s="281" t="str">
        <f>ComEne26!B75</f>
        <v>DME-018-11</v>
      </c>
      <c r="C284" s="281" t="str">
        <f>ComEne26!C75</f>
        <v xml:space="preserve">HIDROECOLOGICA DEL TERIBE </v>
      </c>
      <c r="D284" s="281" t="str">
        <f>ComEne26!D75</f>
        <v>H</v>
      </c>
      <c r="E284" s="1882"/>
      <c r="F284" s="1882"/>
      <c r="G284" s="296">
        <f>SUMIF(ComEne26!$B$72:$B$215,$B284,ComEne26!G$72:G$215)*1000</f>
        <v>122180.75599378216</v>
      </c>
      <c r="H284" s="296">
        <f>SUMIF(ComEne26!$B$72:$B$215,$B284,ComEne26!H$72:H$215)*1000</f>
        <v>121397.28312571677</v>
      </c>
      <c r="I284" s="296">
        <f>SUMIF(ComEne26!$B$72:$B$215,$B284,ComEne26!I$72:I$215)*1000</f>
        <v>121888.04276683647</v>
      </c>
      <c r="J284" s="296">
        <f>SUMIF(ComEne26!$B$72:$B$215,$B284,ComEne26!J$72:J$215)*1000</f>
        <v>134099.70804897649</v>
      </c>
      <c r="K284" s="296">
        <f>SUMIF(ComEne26!$B$72:$B$215,$B284,ComEne26!K$72:K$215)*1000</f>
        <v>120045.90540224887</v>
      </c>
      <c r="L284" s="296">
        <f>SUMIF(ComEne26!$B$72:$B$215,$B284,ComEne26!L$72:L$215)*1000</f>
        <v>117962.48357319346</v>
      </c>
      <c r="M284" s="297">
        <f t="shared" si="64"/>
        <v>737574.17891075416</v>
      </c>
    </row>
    <row r="285" spans="2:13" s="38" customFormat="1">
      <c r="B285" s="281" t="str">
        <f>ComEne26!B76</f>
        <v>DME-020-11</v>
      </c>
      <c r="C285" s="281" t="str">
        <f>ComEne26!C76</f>
        <v xml:space="preserve">ESEPSA </v>
      </c>
      <c r="D285" s="281" t="str">
        <f>ComEne26!D76</f>
        <v>H</v>
      </c>
      <c r="E285" s="1882"/>
      <c r="F285" s="1882"/>
      <c r="G285" s="296">
        <f>SUMIF(ComEne26!$B$72:$B$215,$B285,ComEne26!G$72:G$215)*1000</f>
        <v>60385.794008787641</v>
      </c>
      <c r="H285" s="296">
        <f>SUMIF(ComEne26!$B$72:$B$215,$B285,ComEne26!H$72:H$215)*1000</f>
        <v>59998.575654819695</v>
      </c>
      <c r="I285" s="296">
        <f>SUMIF(ComEne26!$B$72:$B$215,$B285,ComEne26!I$72:I$215)*1000</f>
        <v>60241.125394796669</v>
      </c>
      <c r="J285" s="296">
        <f>SUMIF(ComEne26!$B$72:$B$215,$B285,ComEne26!J$72:J$215)*1000</f>
        <v>66276.536603654284</v>
      </c>
      <c r="K285" s="296">
        <f>SUMIF(ComEne26!$B$72:$B$215,$B285,ComEne26!K$72:K$215)*1000</f>
        <v>59330.679829706714</v>
      </c>
      <c r="L285" s="296">
        <f>SUMIF(ComEne26!$B$72:$B$215,$B285,ComEne26!L$72:L$215)*1000</f>
        <v>58300.983455842768</v>
      </c>
      <c r="M285" s="297">
        <f t="shared" si="64"/>
        <v>364533.69494760776</v>
      </c>
    </row>
    <row r="286" spans="2:13" s="38" customFormat="1">
      <c r="B286" s="281" t="str">
        <f>ComEne26!B77</f>
        <v>DME-021-11</v>
      </c>
      <c r="C286" s="281" t="str">
        <f>ComEne26!C77</f>
        <v xml:space="preserve">PEDREGALITO </v>
      </c>
      <c r="D286" s="281" t="str">
        <f>ComEne26!D77</f>
        <v>H</v>
      </c>
      <c r="E286" s="1882"/>
      <c r="F286" s="1882"/>
      <c r="G286" s="296">
        <f>SUMIF(ComEne26!$B$72:$B$215,$B286,ComEne26!G$72:G$215)*1000</f>
        <v>25845.488075708603</v>
      </c>
      <c r="H286" s="296">
        <f>SUMIF(ComEne26!$B$72:$B$215,$B286,ComEne26!H$72:H$215)*1000</f>
        <v>25679.756258905501</v>
      </c>
      <c r="I286" s="296">
        <f>SUMIF(ComEne26!$B$72:$B$215,$B286,ComEne26!I$72:I$215)*1000</f>
        <v>25783.569026713587</v>
      </c>
      <c r="J286" s="296">
        <f>SUMIF(ComEne26!$B$72:$B$215,$B286,ComEne26!J$72:J$215)*1000</f>
        <v>28366.761828779367</v>
      </c>
      <c r="K286" s="296">
        <f>SUMIF(ComEne26!$B$72:$B$215,$B286,ComEne26!K$72:K$215)*1000</f>
        <v>25393.892772846826</v>
      </c>
      <c r="L286" s="296">
        <f>SUMIF(ComEne26!$B$72:$B$215,$B286,ComEne26!L$72:L$215)*1000</f>
        <v>24953.176445618803</v>
      </c>
      <c r="M286" s="297">
        <f t="shared" si="64"/>
        <v>156022.64440857267</v>
      </c>
    </row>
    <row r="287" spans="2:13" s="38" customFormat="1">
      <c r="B287" s="281" t="str">
        <f>ComEne26!B78</f>
        <v>DME-022-11</v>
      </c>
      <c r="C287" s="281" t="str">
        <f>ComEne26!C78</f>
        <v xml:space="preserve">CALDERA </v>
      </c>
      <c r="D287" s="281" t="str">
        <f>ComEne26!D78</f>
        <v>H</v>
      </c>
      <c r="E287" s="1882"/>
      <c r="F287" s="1882"/>
      <c r="G287" s="296">
        <f>SUMIF(ComEne26!$B$72:$B$215,$B287,ComEne26!G$72:G$215)*1000</f>
        <v>22995.169041842644</v>
      </c>
      <c r="H287" s="296">
        <f>SUMIF(ComEne26!$B$72:$B$215,$B287,ComEne26!H$72:H$215)*1000</f>
        <v>22847.714633868793</v>
      </c>
      <c r="I287" s="296">
        <f>SUMIF(ComEne26!$B$72:$B$215,$B287,ComEne26!I$72:I$215)*1000</f>
        <v>22940.078613897171</v>
      </c>
      <c r="J287" s="296">
        <f>SUMIF(ComEne26!$B$72:$B$215,$B287,ComEne26!J$72:J$215)*1000</f>
        <v>25238.389056987744</v>
      </c>
      <c r="K287" s="296">
        <f>SUMIF(ComEne26!$B$72:$B$215,$B287,ComEne26!K$72:K$215)*1000</f>
        <v>22593.377042504522</v>
      </c>
      <c r="L287" s="296">
        <f>SUMIF(ComEne26!$B$72:$B$215,$B287,ComEne26!L$72:L$215)*1000</f>
        <v>22201.264252278928</v>
      </c>
      <c r="M287" s="297">
        <f t="shared" si="64"/>
        <v>138815.99264137979</v>
      </c>
    </row>
    <row r="288" spans="2:13" s="38" customFormat="1">
      <c r="B288" s="281" t="str">
        <f>ComEne26!B79</f>
        <v>DME-023-11</v>
      </c>
      <c r="C288" s="281" t="str">
        <f>ComEne26!C79</f>
        <v xml:space="preserve">RIO CHICO </v>
      </c>
      <c r="D288" s="281" t="str">
        <f>ComEne26!D79</f>
        <v>H</v>
      </c>
      <c r="E288" s="1882"/>
      <c r="F288" s="1882"/>
      <c r="G288" s="296">
        <f>SUMIF(ComEne26!$B$72:$B$215,$B288,ComEne26!G$72:G$215)*1000</f>
        <v>15849.943785160242</v>
      </c>
      <c r="H288" s="296">
        <f>SUMIF(ComEne26!$B$72:$B$215,$B288,ComEne26!H$72:H$215)*1000</f>
        <v>15748.307477420693</v>
      </c>
      <c r="I288" s="296">
        <f>SUMIF(ComEne26!$B$72:$B$215,$B288,ComEne26!I$72:I$215)*1000</f>
        <v>15811.97145347408</v>
      </c>
      <c r="J288" s="296">
        <f>SUMIF(ComEne26!$B$72:$B$215,$B288,ComEne26!J$72:J$215)*1000</f>
        <v>17396.134251214189</v>
      </c>
      <c r="K288" s="296">
        <f>SUMIF(ComEne26!$B$72:$B$215,$B288,ComEne26!K$72:K$215)*1000</f>
        <v>15572.999502156779</v>
      </c>
      <c r="L288" s="296">
        <f>SUMIF(ComEne26!$B$72:$B$215,$B288,ComEne26!L$72:L$215)*1000</f>
        <v>15302.726834397348</v>
      </c>
      <c r="M288" s="297">
        <f t="shared" si="64"/>
        <v>95682.08330382331</v>
      </c>
    </row>
    <row r="289" spans="2:13" s="38" customFormat="1">
      <c r="B289" s="281" t="str">
        <f>ComEne26!B80</f>
        <v>DME-024-11</v>
      </c>
      <c r="C289" s="281" t="str">
        <f>ComEne26!C80</f>
        <v xml:space="preserve">ALTO VALLE </v>
      </c>
      <c r="D289" s="281" t="str">
        <f>ComEne26!D80</f>
        <v>H</v>
      </c>
      <c r="E289" s="1882"/>
      <c r="F289" s="1882"/>
      <c r="G289" s="296">
        <f>SUMIF(ComEne26!$B$72:$B$215,$B289,ComEne26!G$72:G$215)*1000</f>
        <v>15082.153687506227</v>
      </c>
      <c r="H289" s="296">
        <f>SUMIF(ComEne26!$B$72:$B$215,$B289,ComEne26!H$72:H$215)*1000</f>
        <v>14985.440763199591</v>
      </c>
      <c r="I289" s="296">
        <f>SUMIF(ComEne26!$B$72:$B$215,$B289,ComEne26!I$72:I$215)*1000</f>
        <v>15046.020780656429</v>
      </c>
      <c r="J289" s="296">
        <f>SUMIF(ComEne26!$B$72:$B$215,$B289,ComEne26!J$72:J$215)*1000</f>
        <v>16553.444851391374</v>
      </c>
      <c r="K289" s="296">
        <f>SUMIF(ComEne26!$B$72:$B$215,$B289,ComEne26!K$72:K$215)*1000</f>
        <v>14818.624914423437</v>
      </c>
      <c r="L289" s="296">
        <f>SUMIF(ComEne26!$B$72:$B$215,$B289,ComEne26!L$72:L$215)*1000</f>
        <v>14561.444575620182</v>
      </c>
      <c r="M289" s="297">
        <f t="shared" si="64"/>
        <v>91047.129572797247</v>
      </c>
    </row>
    <row r="290" spans="2:13" s="38" customFormat="1">
      <c r="B290" s="281" t="str">
        <f>ComEne26!B81</f>
        <v>DME-025-11</v>
      </c>
      <c r="C290" s="281" t="str">
        <f>ComEne26!C81</f>
        <v xml:space="preserve">DESARROLLO HIDRO CORP </v>
      </c>
      <c r="D290" s="281" t="str">
        <f>ComEne26!D81</f>
        <v>H</v>
      </c>
      <c r="E290" s="1882"/>
      <c r="F290" s="1882"/>
      <c r="G290" s="296">
        <f>SUMIF(ComEne26!$B$72:$B$215,$B290,ComEne26!G$72:G$215)*1000</f>
        <v>22237.074845844065</v>
      </c>
      <c r="H290" s="296">
        <f>SUMIF(ComEne26!$B$72:$B$215,$B290,ComEne26!H$72:H$215)*1000</f>
        <v>22094.481647224926</v>
      </c>
      <c r="I290" s="296">
        <f>SUMIF(ComEne26!$B$72:$B$215,$B290,ComEne26!I$72:I$215)*1000</f>
        <v>22183.800613883253</v>
      </c>
      <c r="J290" s="296">
        <f>SUMIF(ComEne26!$B$72:$B$215,$B290,ComEne26!J$72:J$215)*1000</f>
        <v>24406.341411430476</v>
      </c>
      <c r="K290" s="296">
        <f>SUMIF(ComEne26!$B$72:$B$215,$B290,ComEne26!K$72:K$215)*1000</f>
        <v>21848.528941028777</v>
      </c>
      <c r="L290" s="296">
        <f>SUMIF(ComEne26!$B$72:$B$215,$B290,ComEne26!L$72:L$215)*1000</f>
        <v>21469.34314559526</v>
      </c>
      <c r="M290" s="297">
        <f t="shared" si="64"/>
        <v>134239.57060500677</v>
      </c>
    </row>
    <row r="291" spans="2:13" s="38" customFormat="1">
      <c r="B291" s="281" t="str">
        <f>ComEne26!B82</f>
        <v>DME-026-11</v>
      </c>
      <c r="C291" s="281" t="str">
        <f>ComEne26!C82</f>
        <v xml:space="preserve">SAN LORENZO </v>
      </c>
      <c r="D291" s="281" t="str">
        <f>ComEne26!D82</f>
        <v>H</v>
      </c>
      <c r="E291" s="1882"/>
      <c r="F291" s="1882"/>
      <c r="G291" s="296">
        <f>SUMIF(ComEne26!$B$72:$B$215,$B291,ComEne26!G$72:G$215)*1000</f>
        <v>14446.527969012966</v>
      </c>
      <c r="H291" s="296">
        <f>SUMIF(ComEne26!$B$72:$B$215,$B291,ComEne26!H$72:H$215)*1000</f>
        <v>14353.890936205233</v>
      </c>
      <c r="I291" s="296">
        <f>SUMIF(ComEne26!$B$72:$B$215,$B291,ComEne26!I$72:I$215)*1000</f>
        <v>14411.917855615189</v>
      </c>
      <c r="J291" s="296">
        <f>SUMIF(ComEne26!$B$72:$B$215,$B291,ComEne26!J$72:J$215)*1000</f>
        <v>15855.812703144515</v>
      </c>
      <c r="K291" s="296">
        <f>SUMIF(ComEne26!$B$72:$B$215,$B291,ComEne26!K$72:K$215)*1000</f>
        <v>14194.105412535913</v>
      </c>
      <c r="L291" s="296">
        <f>SUMIF(ComEne26!$B$72:$B$215,$B291,ComEne26!L$72:L$215)*1000</f>
        <v>13947.763740478875</v>
      </c>
      <c r="M291" s="297">
        <f t="shared" si="64"/>
        <v>87210.018616992675</v>
      </c>
    </row>
    <row r="292" spans="2:13" s="38" customFormat="1">
      <c r="B292" s="281" t="str">
        <f>ComEne26!B83</f>
        <v>DME-027-11</v>
      </c>
      <c r="C292" s="281" t="str">
        <f>ComEne26!C83</f>
        <v xml:space="preserve">ELECTROGENERADORA ISTMO </v>
      </c>
      <c r="D292" s="281" t="str">
        <f>ComEne26!D83</f>
        <v>H</v>
      </c>
      <c r="E292" s="1882"/>
      <c r="F292" s="1882"/>
      <c r="G292" s="296">
        <f>SUMIF(ComEne26!$B$72:$B$215,$B292,ComEne26!G$72:G$215)*1000</f>
        <v>9581.4641359448851</v>
      </c>
      <c r="H292" s="296">
        <f>SUMIF(ComEne26!$B$72:$B$215,$B292,ComEne26!H$72:H$215)*1000</f>
        <v>9520.0238778142448</v>
      </c>
      <c r="I292" s="296">
        <f>SUMIF(ComEne26!$B$72:$B$215,$B292,ComEne26!I$72:I$215)*1000</f>
        <v>9558.5094466954615</v>
      </c>
      <c r="J292" s="296">
        <f>SUMIF(ComEne26!$B$72:$B$215,$B292,ComEne26!J$72:J$215)*1000</f>
        <v>10516.153160628137</v>
      </c>
      <c r="K292" s="296">
        <f>SUMIF(ComEne26!$B$72:$B$215,$B292,ComEne26!K$72:K$215)*1000</f>
        <v>9414.0482920011964</v>
      </c>
      <c r="L292" s="296">
        <f>SUMIF(ComEne26!$B$72:$B$215,$B292,ComEne26!L$72:L$215)*1000</f>
        <v>9250.665512341895</v>
      </c>
      <c r="M292" s="297">
        <f t="shared" si="64"/>
        <v>57840.864425425818</v>
      </c>
    </row>
    <row r="293" spans="2:13" s="38" customFormat="1">
      <c r="B293" s="281" t="str">
        <f>ComEne26!B84</f>
        <v>DME-008-12</v>
      </c>
      <c r="C293" s="281" t="str">
        <f>ComEne26!C84</f>
        <v>UEP NUEVO CHAGRES</v>
      </c>
      <c r="D293" s="281" t="str">
        <f>ComEne26!D84</f>
        <v>Eo</v>
      </c>
      <c r="E293" s="1882"/>
      <c r="F293" s="1882"/>
      <c r="G293" s="296">
        <f>SUMIF(ComEne26!$B$72:$B$215,$B293,ComEne26!G$72:G$215)*1000</f>
        <v>101698.80340891394</v>
      </c>
      <c r="H293" s="296">
        <f>SUMIF(ComEne26!$B$72:$B$215,$B293,ComEne26!H$72:H$215)*1000</f>
        <v>89532.957586370598</v>
      </c>
      <c r="I293" s="296">
        <f>SUMIF(ComEne26!$B$72:$B$215,$B293,ComEne26!I$72:I$215)*1000</f>
        <v>57132.93657542095</v>
      </c>
      <c r="J293" s="296">
        <f>SUMIF(ComEne26!$B$72:$B$215,$B293,ComEne26!J$72:J$215)*1000</f>
        <v>86576.548179443649</v>
      </c>
      <c r="K293" s="296">
        <f>SUMIF(ComEne26!$B$72:$B$215,$B293,ComEne26!K$72:K$215)*1000</f>
        <v>156246.50562071256</v>
      </c>
      <c r="L293" s="296">
        <f>SUMIF(ComEne26!$B$72:$B$215,$B293,ComEne26!L$72:L$215)*1000</f>
        <v>334928.90398255677</v>
      </c>
      <c r="M293" s="297">
        <f t="shared" si="64"/>
        <v>826116.65535341843</v>
      </c>
    </row>
    <row r="294" spans="2:13" s="38" customFormat="1">
      <c r="B294" s="281" t="str">
        <f>ComEne26!B85</f>
        <v>DME-009-12</v>
      </c>
      <c r="C294" s="281" t="str">
        <f>ComEne26!C85</f>
        <v>UEP ROSA DE LOS VIENTOS</v>
      </c>
      <c r="D294" s="281" t="str">
        <f>ComEne26!D85</f>
        <v>Eo</v>
      </c>
      <c r="E294" s="1882"/>
      <c r="F294" s="1882"/>
      <c r="G294" s="296">
        <f>SUMIF(ComEne26!$B$72:$B$215,$B294,ComEne26!G$72:G$215)*1000</f>
        <v>104910.34456919544</v>
      </c>
      <c r="H294" s="296">
        <f>SUMIF(ComEne26!$B$72:$B$215,$B294,ComEne26!H$72:H$215)*1000</f>
        <v>92360.314141729701</v>
      </c>
      <c r="I294" s="296">
        <f>SUMIF(ComEne26!$B$72:$B$215,$B294,ComEne26!I$72:I$215)*1000</f>
        <v>58937.134572539508</v>
      </c>
      <c r="J294" s="296">
        <f>SUMIF(ComEne26!$B$72:$B$215,$B294,ComEne26!J$72:J$215)*1000</f>
        <v>89310.544437741861</v>
      </c>
      <c r="K294" s="296">
        <f>SUMIF(ComEne26!$B$72:$B$215,$B294,ComEne26!K$72:K$215)*1000</f>
        <v>161180.60579820874</v>
      </c>
      <c r="L294" s="296">
        <f>SUMIF(ComEne26!$B$72:$B$215,$B294,ComEne26!L$72:L$215)*1000</f>
        <v>345505.60621358501</v>
      </c>
      <c r="M294" s="297">
        <f t="shared" si="64"/>
        <v>852204.54973300023</v>
      </c>
    </row>
    <row r="295" spans="2:13" s="38" customFormat="1">
      <c r="B295" s="281" t="str">
        <f>ComEne26!B86</f>
        <v>DME-010-12</v>
      </c>
      <c r="C295" s="281" t="str">
        <f>ComEne26!C86</f>
        <v>UEP PORTOBELO</v>
      </c>
      <c r="D295" s="281" t="str">
        <f>ComEne26!D86</f>
        <v>Eo</v>
      </c>
      <c r="E295" s="1882"/>
      <c r="F295" s="1882"/>
      <c r="G295" s="296">
        <f>SUMIF(ComEne26!$B$72:$B$215,$B295,ComEne26!G$72:G$215)*1000</f>
        <v>115615.48177013382</v>
      </c>
      <c r="H295" s="296">
        <f>SUMIF(ComEne26!$B$72:$B$215,$B295,ComEne26!H$72:H$215)*1000</f>
        <v>101784.83599292664</v>
      </c>
      <c r="I295" s="296">
        <f>SUMIF(ComEne26!$B$72:$B$215,$B295,ComEne26!I$72:I$215)*1000</f>
        <v>64951.127896268059</v>
      </c>
      <c r="J295" s="296">
        <f>SUMIF(ComEne26!$B$72:$B$215,$B295,ComEne26!J$72:J$215)*1000</f>
        <v>98423.865298735996</v>
      </c>
      <c r="K295" s="296">
        <f>SUMIF(ComEne26!$B$72:$B$215,$B295,ComEne26!K$72:K$215)*1000</f>
        <v>177627.60638986281</v>
      </c>
      <c r="L295" s="296">
        <f>SUMIF(ComEne26!$B$72:$B$215,$B295,ComEne26!L$72:L$215)*1000</f>
        <v>380761.28031701216</v>
      </c>
      <c r="M295" s="297">
        <f t="shared" si="64"/>
        <v>939164.19766493957</v>
      </c>
    </row>
    <row r="296" spans="2:13" s="38" customFormat="1">
      <c r="B296" s="281" t="str">
        <f>ComEne26!B87</f>
        <v>DME-011-12</v>
      </c>
      <c r="C296" s="281" t="str">
        <f>ComEne26!C87</f>
        <v>UEP MARAÑON</v>
      </c>
      <c r="D296" s="281" t="str">
        <f>ComEne26!D87</f>
        <v>Eo</v>
      </c>
      <c r="E296" s="1882"/>
      <c r="F296" s="1882"/>
      <c r="G296" s="296">
        <f>SUMIF(ComEne26!$B$72:$B$215,$B296,ComEne26!G$72:G$215)*1000</f>
        <v>117756.50921032147</v>
      </c>
      <c r="H296" s="296">
        <f>SUMIF(ComEne26!$B$72:$B$215,$B296,ComEne26!H$72:H$215)*1000</f>
        <v>103669.74036316603</v>
      </c>
      <c r="I296" s="296">
        <f>SUMIF(ComEne26!$B$72:$B$215,$B296,ComEne26!I$72:I$215)*1000</f>
        <v>66153.926561013766</v>
      </c>
      <c r="J296" s="296">
        <f>SUMIF(ComEne26!$B$72:$B$215,$B296,ComEne26!J$72:J$215)*1000</f>
        <v>100246.52947093481</v>
      </c>
      <c r="K296" s="296">
        <f>SUMIF(ComEne26!$B$72:$B$215,$B296,ComEne26!K$72:K$215)*1000</f>
        <v>180917.00650819359</v>
      </c>
      <c r="L296" s="296">
        <f>SUMIF(ComEne26!$B$72:$B$215,$B296,ComEne26!L$72:L$215)*1000</f>
        <v>387812.41513769759</v>
      </c>
      <c r="M296" s="297">
        <f t="shared" si="64"/>
        <v>956556.12725132727</v>
      </c>
    </row>
    <row r="297" spans="2:13" s="38" customFormat="1">
      <c r="B297" s="281" t="str">
        <f>ComEne26!B88</f>
        <v>DME-062-12</v>
      </c>
      <c r="C297" s="281" t="str">
        <f>ComEne26!C88</f>
        <v>AES PANAMA (CHAN 2)</v>
      </c>
      <c r="D297" s="281" t="str">
        <f>ComEne26!D88</f>
        <v>H</v>
      </c>
      <c r="E297" s="1882"/>
      <c r="F297" s="1882"/>
      <c r="G297" s="296">
        <f>SUMIF(ComEne26!$B$72:$B$215,$B297,ComEne26!G$72:G$215)*1000</f>
        <v>4604316.0429674201</v>
      </c>
      <c r="H297" s="296">
        <f>SUMIF(ComEne26!$B$72:$B$215,$B297,ComEne26!H$72:H$215)*1000</f>
        <v>4574791.2895287769</v>
      </c>
      <c r="I297" s="296">
        <f>SUMIF(ComEne26!$B$72:$B$215,$B297,ComEne26!I$72:I$215)*1000</f>
        <v>4593285.3025218174</v>
      </c>
      <c r="J297" s="296">
        <f>SUMIF(ComEne26!$B$72:$B$215,$B297,ComEne26!J$72:J$215)*1000</f>
        <v>5053475.3374628918</v>
      </c>
      <c r="K297" s="296">
        <f>SUMIF(ComEne26!$B$72:$B$215,$B297,ComEne26!K$72:K$215)*1000</f>
        <v>4523865.3472094443</v>
      </c>
      <c r="L297" s="296">
        <f>SUMIF(ComEne26!$B$72:$B$215,$B297,ComEne26!L$72:L$215)*1000</f>
        <v>4445352.716691128</v>
      </c>
      <c r="M297" s="297">
        <f t="shared" si="64"/>
        <v>27795086.036381476</v>
      </c>
    </row>
    <row r="298" spans="2:13" s="38" customFormat="1">
      <c r="B298" s="281" t="str">
        <f>ComEne26!B89</f>
        <v>DME-063-12</v>
      </c>
      <c r="C298" s="281" t="str">
        <f>ComEne26!C89</f>
        <v>HIDRO PIEDRA</v>
      </c>
      <c r="D298" s="281" t="str">
        <f>ComEne26!D89</f>
        <v>H</v>
      </c>
      <c r="E298" s="1882"/>
      <c r="F298" s="1882"/>
      <c r="G298" s="296">
        <f>SUMIF(ComEne26!$B$72:$B$215,$B298,ComEne26!G$72:G$215)*1000</f>
        <v>26760.779375844329</v>
      </c>
      <c r="H298" s="296">
        <f>SUMIF(ComEne26!$B$72:$B$215,$B298,ComEne26!H$72:H$215)*1000</f>
        <v>26589.178337704368</v>
      </c>
      <c r="I298" s="296">
        <f>SUMIF(ComEne26!$B$72:$B$215,$B298,ComEne26!I$72:I$215)*1000</f>
        <v>26696.667527599722</v>
      </c>
      <c r="J298" s="296">
        <f>SUMIF(ComEne26!$B$72:$B$215,$B298,ComEne26!J$72:J$215)*1000</f>
        <v>29371.341438142856</v>
      </c>
      <c r="K298" s="296">
        <f>SUMIF(ComEne26!$B$72:$B$215,$B298,ComEne26!K$72:K$215)*1000</f>
        <v>26293.191291160027</v>
      </c>
      <c r="L298" s="296">
        <f>SUMIF(ComEne26!$B$72:$B$215,$B298,ComEne26!L$72:L$215)*1000</f>
        <v>25836.867449809692</v>
      </c>
      <c r="M298" s="297">
        <f t="shared" si="64"/>
        <v>161548.02542026099</v>
      </c>
    </row>
    <row r="299" spans="2:13" s="38" customFormat="1">
      <c r="B299" s="281" t="str">
        <f>ComEne26!B90</f>
        <v>DME-064-12</v>
      </c>
      <c r="C299" s="281" t="str">
        <f>ComEne26!C90</f>
        <v>CORPORACION ENERGIA DEL ISTMO</v>
      </c>
      <c r="D299" s="281" t="str">
        <f>ComEne26!D90</f>
        <v>H</v>
      </c>
      <c r="E299" s="1882"/>
      <c r="F299" s="1882"/>
      <c r="G299" s="296">
        <f>SUMIF(ComEne26!$B$72:$B$215,$B299,ComEne26!G$72:G$215)*1000</f>
        <v>132001.38086086226</v>
      </c>
      <c r="H299" s="296">
        <f>SUMIF(ComEne26!$B$72:$B$215,$B299,ComEne26!H$72:H$215)*1000</f>
        <v>131154.93413845927</v>
      </c>
      <c r="I299" s="296">
        <f>SUMIF(ComEne26!$B$72:$B$215,$B299,ComEne26!I$72:I$215)*1000</f>
        <v>131685.13997792784</v>
      </c>
      <c r="J299" s="296">
        <f>SUMIF(ComEne26!$B$72:$B$215,$B299,ComEne26!J$72:J$215)*1000</f>
        <v>144878.35249934293</v>
      </c>
      <c r="K299" s="296">
        <f>SUMIF(ComEne26!$B$72:$B$215,$B299,ComEne26!K$72:K$215)*1000</f>
        <v>129694.93559686044</v>
      </c>
      <c r="L299" s="296">
        <f>SUMIF(ComEne26!$B$72:$B$215,$B299,ComEne26!L$72:L$215)*1000</f>
        <v>127444.05282801445</v>
      </c>
      <c r="M299" s="297">
        <f t="shared" si="64"/>
        <v>796858.79590146721</v>
      </c>
    </row>
    <row r="300" spans="2:13" s="38" customFormat="1">
      <c r="B300" s="281" t="str">
        <f>ComEne26!B91</f>
        <v>DME-066-12</v>
      </c>
      <c r="C300" s="281" t="str">
        <f>ComEne26!C91</f>
        <v>SALTOS DE FRANCOLI</v>
      </c>
      <c r="D300" s="281" t="str">
        <f>ComEne26!D91</f>
        <v>H</v>
      </c>
      <c r="E300" s="1882"/>
      <c r="F300" s="1882"/>
      <c r="G300" s="296">
        <f>SUMIF(ComEne26!$B$72:$B$215,$B300,ComEne26!G$72:G$215)*1000</f>
        <v>14295.132514669935</v>
      </c>
      <c r="H300" s="296">
        <f>SUMIF(ComEne26!$B$72:$B$215,$B300,ComEne26!H$72:H$215)*1000</f>
        <v>14203.46629129828</v>
      </c>
      <c r="I300" s="296">
        <f>SUMIF(ComEne26!$B$72:$B$215,$B300,ComEne26!I$72:I$215)*1000</f>
        <v>14260.88510529723</v>
      </c>
      <c r="J300" s="296">
        <f>SUMIF(ComEne26!$B$72:$B$215,$B300,ComEne26!J$72:J$215)*1000</f>
        <v>15689.64835048348</v>
      </c>
      <c r="K300" s="296">
        <f>SUMIF(ComEne26!$B$72:$B$215,$B300,ComEne26!K$72:K$215)*1000</f>
        <v>14045.355273919</v>
      </c>
      <c r="L300" s="296">
        <f>SUMIF(ComEne26!$B$72:$B$215,$B300,ComEne26!L$72:L$215)*1000</f>
        <v>13801.595191669889</v>
      </c>
      <c r="M300" s="297">
        <f t="shared" si="64"/>
        <v>86296.082727337809</v>
      </c>
    </row>
    <row r="301" spans="2:13" s="38" customFormat="1">
      <c r="B301" s="281" t="str">
        <f>ComEne26!B92</f>
        <v>DME-001-13</v>
      </c>
      <c r="C301" s="281" t="str">
        <f>ComEne26!C92</f>
        <v>ISTMUS HIDRO POWER</v>
      </c>
      <c r="D301" s="281" t="str">
        <f>ComEne26!D92</f>
        <v>H SE</v>
      </c>
      <c r="E301" s="1882"/>
      <c r="F301" s="1882"/>
      <c r="G301" s="296">
        <f>SUMIF(ComEne26!$B$72:$B$215,$B301,ComEne26!G$72:G$215)*1000</f>
        <v>50125.382475283572</v>
      </c>
      <c r="H301" s="296">
        <f>SUMIF(ComEne26!$B$72:$B$215,$B301,ComEne26!H$72:H$215)*1000</f>
        <v>33439.027063182875</v>
      </c>
      <c r="I301" s="296">
        <f>SUMIF(ComEne26!$B$72:$B$215,$B301,ComEne26!I$72:I$215)*1000</f>
        <v>45189.567795954674</v>
      </c>
      <c r="J301" s="296">
        <f>SUMIF(ComEne26!$B$72:$B$215,$B301,ComEne26!J$72:J$215)*1000</f>
        <v>45465.281768754678</v>
      </c>
      <c r="K301" s="296">
        <f>SUMIF(ComEne26!$B$72:$B$215,$B301,ComEne26!K$72:K$215)*1000</f>
        <v>46690.712136036178</v>
      </c>
      <c r="L301" s="296">
        <f>SUMIF(ComEne26!$B$72:$B$215,$B301,ComEne26!L$72:L$215)*1000</f>
        <v>43771.00252118081</v>
      </c>
      <c r="M301" s="297">
        <f t="shared" si="64"/>
        <v>264680.97376039275</v>
      </c>
    </row>
    <row r="302" spans="2:13" s="38" customFormat="1">
      <c r="B302" s="281" t="str">
        <f>ComEne26!B93</f>
        <v>DME-002-13</v>
      </c>
      <c r="C302" s="281" t="str">
        <f>ComEne26!C93</f>
        <v>CALDERA ENERGY CORP</v>
      </c>
      <c r="D302" s="281" t="str">
        <f>ComEne26!D93</f>
        <v>H SE</v>
      </c>
      <c r="E302" s="1882"/>
      <c r="F302" s="1882"/>
      <c r="G302" s="296">
        <f>SUMIF(ComEne26!$B$72:$B$215,$B302,ComEne26!G$72:G$215)*1000</f>
        <v>56391.055284694005</v>
      </c>
      <c r="H302" s="296">
        <f>SUMIF(ComEne26!$B$72:$B$215,$B302,ComEne26!H$72:H$215)*1000</f>
        <v>95277.137172092989</v>
      </c>
      <c r="I302" s="296">
        <f>SUMIF(ComEne26!$B$72:$B$215,$B302,ComEne26!I$72:I$215)*1000</f>
        <v>108435.39542089195</v>
      </c>
      <c r="J302" s="296">
        <f>SUMIF(ComEne26!$B$72:$B$215,$B302,ComEne26!J$72:J$215)*1000</f>
        <v>171025.52394928108</v>
      </c>
      <c r="K302" s="296">
        <f>SUMIF(ComEne26!$B$72:$B$215,$B302,ComEne26!K$72:K$215)*1000</f>
        <v>109205.51795174708</v>
      </c>
      <c r="L302" s="296">
        <f>SUMIF(ComEne26!$B$72:$B$215,$B302,ComEne26!L$72:L$215)*1000</f>
        <v>30246.756939885792</v>
      </c>
      <c r="M302" s="297">
        <f t="shared" si="64"/>
        <v>570581.38671859284</v>
      </c>
    </row>
    <row r="303" spans="2:13" s="38" customFormat="1">
      <c r="B303" s="281" t="str">
        <f>ComEne26!B94</f>
        <v>DME-003-13</v>
      </c>
      <c r="C303" s="281" t="str">
        <f>ComEne26!C94</f>
        <v>ELECTROGENERADORA DEL ISTMO</v>
      </c>
      <c r="D303" s="281" t="str">
        <f>ComEne26!D94</f>
        <v>H SE</v>
      </c>
      <c r="E303" s="1882"/>
      <c r="F303" s="1882"/>
      <c r="G303" s="296">
        <f>SUMIF(ComEne26!$B$72:$B$215,$B303,ComEne26!G$72:G$215)*1000</f>
        <v>19188.622978819487</v>
      </c>
      <c r="H303" s="296">
        <f>SUMIF(ComEne26!$B$72:$B$215,$B303,ComEne26!H$72:H$215)*1000</f>
        <v>30394.399228076552</v>
      </c>
      <c r="I303" s="296">
        <f>SUMIF(ComEne26!$B$72:$B$215,$B303,ComEne26!I$72:I$215)*1000</f>
        <v>43695.184010063371</v>
      </c>
      <c r="J303" s="296">
        <f>SUMIF(ComEne26!$B$72:$B$215,$B303,ComEne26!J$72:J$215)*1000</f>
        <v>60434.50004938538</v>
      </c>
      <c r="K303" s="296">
        <f>SUMIF(ComEne26!$B$72:$B$215,$B303,ComEne26!K$72:K$215)*1000</f>
        <v>42624.947876999315</v>
      </c>
      <c r="L303" s="296">
        <f>SUMIF(ComEne26!$B$72:$B$215,$B303,ComEne26!L$72:L$215)*1000</f>
        <v>15438.448854733373</v>
      </c>
      <c r="M303" s="297">
        <f t="shared" si="64"/>
        <v>211776.10299807746</v>
      </c>
    </row>
    <row r="304" spans="2:13" s="38" customFormat="1">
      <c r="B304" s="281" t="str">
        <f>ComEne26!B95</f>
        <v>DME-004-13</v>
      </c>
      <c r="C304" s="281" t="str">
        <f>ComEne26!C95</f>
        <v>FOUNTAIN INTERTRADE CORP</v>
      </c>
      <c r="D304" s="281" t="str">
        <f>ComEne26!D95</f>
        <v>H SE</v>
      </c>
      <c r="E304" s="1882"/>
      <c r="F304" s="1882"/>
      <c r="G304" s="296">
        <f>SUMIF(ComEne26!$B$72:$B$215,$B304,ComEne26!G$72:G$215)*1000</f>
        <v>253806.16924402409</v>
      </c>
      <c r="H304" s="296">
        <f>SUMIF(ComEne26!$B$72:$B$215,$B304,ComEne26!H$72:H$215)*1000</f>
        <v>268860.82107434428</v>
      </c>
      <c r="I304" s="296">
        <f>SUMIF(ComEne26!$B$72:$B$215,$B304,ComEne26!I$72:I$215)*1000</f>
        <v>373353.23055390228</v>
      </c>
      <c r="J304" s="296">
        <f>SUMIF(ComEne26!$B$72:$B$215,$B304,ComEne26!J$72:J$215)*1000</f>
        <v>582526.50897472561</v>
      </c>
      <c r="K304" s="296">
        <f>SUMIF(ComEne26!$B$72:$B$215,$B304,ComEne26!K$72:K$215)*1000</f>
        <v>381383.19470126746</v>
      </c>
      <c r="L304" s="296">
        <f>SUMIF(ComEne26!$B$72:$B$215,$B304,ComEne26!L$72:L$215)*1000</f>
        <v>200870.86956305898</v>
      </c>
      <c r="M304" s="297">
        <f t="shared" si="64"/>
        <v>2060800.7941113226</v>
      </c>
    </row>
    <row r="305" spans="2:13" s="38" customFormat="1">
      <c r="B305" s="281" t="str">
        <f>ComEne26!B96</f>
        <v>DME-005-13</v>
      </c>
      <c r="C305" s="281" t="str">
        <f>ComEne26!C96</f>
        <v>HIDROIBÉRICA</v>
      </c>
      <c r="D305" s="281" t="str">
        <f>ComEne26!D96</f>
        <v>H SE</v>
      </c>
      <c r="E305" s="1882"/>
      <c r="F305" s="1882"/>
      <c r="G305" s="296">
        <f>SUMIF(ComEne26!$B$72:$B$215,$B305,ComEne26!G$72:G$215)*1000</f>
        <v>9164.2275351551034</v>
      </c>
      <c r="H305" s="296">
        <f>SUMIF(ComEne26!$B$72:$B$215,$B305,ComEne26!H$72:H$215)*1000</f>
        <v>9105.4627683784347</v>
      </c>
      <c r="I305" s="296">
        <f>SUMIF(ComEne26!$B$72:$B$215,$B305,ComEne26!I$72:I$215)*1000</f>
        <v>9142.2724359869826</v>
      </c>
      <c r="J305" s="296">
        <f>SUMIF(ComEne26!$B$72:$B$215,$B305,ComEne26!J$72:J$215)*1000</f>
        <v>10058.214380513662</v>
      </c>
      <c r="K305" s="296">
        <f>SUMIF(ComEne26!$B$72:$B$215,$B305,ComEne26!K$72:K$215)*1000</f>
        <v>9004.102019354832</v>
      </c>
      <c r="L305" s="296">
        <f>SUMIF(ComEne26!$B$72:$B$215,$B305,ComEne26!L$72:L$215)*1000</f>
        <v>8847.833943110938</v>
      </c>
      <c r="M305" s="297">
        <f t="shared" si="64"/>
        <v>55322.113082499956</v>
      </c>
    </row>
    <row r="306" spans="2:13" s="38" customFormat="1">
      <c r="B306" s="281" t="str">
        <f>ComEne26!B97</f>
        <v>DME-007-13</v>
      </c>
      <c r="C306" s="281" t="str">
        <f>ComEne26!C97</f>
        <v>HIDROECOLOGICA DEL TERIBE</v>
      </c>
      <c r="D306" s="281" t="str">
        <f>ComEne26!D97</f>
        <v>H SE</v>
      </c>
      <c r="E306" s="1882"/>
      <c r="F306" s="1882"/>
      <c r="G306" s="296">
        <f>SUMIF(ComEne26!$B$72:$B$215,$B306,ComEne26!G$72:G$215)*1000</f>
        <v>0</v>
      </c>
      <c r="H306" s="296">
        <f>SUMIF(ComEne26!$B$72:$B$215,$B306,ComEne26!H$72:H$215)*1000</f>
        <v>0</v>
      </c>
      <c r="I306" s="296">
        <f>SUMIF(ComEne26!$B$72:$B$215,$B306,ComEne26!I$72:I$215)*1000</f>
        <v>12936.152436176584</v>
      </c>
      <c r="J306" s="296">
        <f>SUMIF(ComEne26!$B$72:$B$215,$B306,ComEne26!J$72:J$215)*1000</f>
        <v>74549.58736250714</v>
      </c>
      <c r="K306" s="296">
        <f>SUMIF(ComEne26!$B$72:$B$215,$B306,ComEne26!K$72:K$215)*1000</f>
        <v>29121.471453799222</v>
      </c>
      <c r="L306" s="296">
        <f>SUMIF(ComEne26!$B$72:$B$215,$B306,ComEne26!L$72:L$215)*1000</f>
        <v>27423.726292163115</v>
      </c>
      <c r="M306" s="297">
        <f t="shared" si="64"/>
        <v>144030.93754464606</v>
      </c>
    </row>
    <row r="307" spans="2:13" s="38" customFormat="1">
      <c r="B307" s="281" t="str">
        <f>ComEne26!B98</f>
        <v>DME-010-13</v>
      </c>
      <c r="C307" s="281" t="str">
        <f>ComEne26!C98</f>
        <v>Generadora Gatún (NG Power)</v>
      </c>
      <c r="D307" s="281" t="str">
        <f>ComEne26!D98</f>
        <v>Gas2</v>
      </c>
      <c r="E307" s="1882"/>
      <c r="F307" s="1882"/>
      <c r="G307" s="296">
        <f>SUMIF(ComEne26!$B$72:$B$215,$B307,ComEne26!G$72:G$215)*1000</f>
        <v>5849162.5132860858</v>
      </c>
      <c r="H307" s="296">
        <f>SUMIF(ComEne26!$B$72:$B$215,$B307,ComEne26!H$72:H$215)*1000</f>
        <v>5811655.2962714992</v>
      </c>
      <c r="I307" s="296">
        <f>SUMIF(ComEne26!$B$72:$B$215,$B307,ComEne26!I$72:I$215)*1000</f>
        <v>5835149.4453502409</v>
      </c>
      <c r="J307" s="296">
        <f>SUMIF(ComEne26!$B$72:$B$215,$B307,ComEne26!J$72:J$215)*1000</f>
        <v>6419758.8153947778</v>
      </c>
      <c r="K307" s="296">
        <f>SUMIF(ComEne26!$B$72:$B$215,$B307,ComEne26!K$72:K$215)*1000</f>
        <v>5746960.755325947</v>
      </c>
      <c r="L307" s="296">
        <f>SUMIF(ComEne26!$B$72:$B$215,$B307,ComEne26!L$72:L$215)*1000</f>
        <v>5647221.0478511211</v>
      </c>
      <c r="M307" s="297">
        <f t="shared" si="64"/>
        <v>35309907.873479672</v>
      </c>
    </row>
    <row r="308" spans="2:13" s="38" customFormat="1">
      <c r="B308" s="281" t="str">
        <f>ComEne26!B99</f>
        <v>DME-011-13</v>
      </c>
      <c r="C308" s="281" t="str">
        <f>ComEne26!C99</f>
        <v>GENERADORA ALTO VALLE</v>
      </c>
      <c r="D308" s="281" t="str">
        <f>ComEne26!D99</f>
        <v>H SE</v>
      </c>
      <c r="E308" s="1882"/>
      <c r="F308" s="1882"/>
      <c r="G308" s="296">
        <f>SUMIF(ComEne26!$B$72:$B$215,$B308,ComEne26!G$72:G$215)*1000</f>
        <v>56395.357259322227</v>
      </c>
      <c r="H308" s="296">
        <f>SUMIF(ComEne26!$B$72:$B$215,$B308,ComEne26!H$72:H$215)*1000</f>
        <v>70202.502161564014</v>
      </c>
      <c r="I308" s="296">
        <f>SUMIF(ComEne26!$B$72:$B$215,$B308,ComEne26!I$72:I$215)*1000</f>
        <v>67556.349742511826</v>
      </c>
      <c r="J308" s="296">
        <f>SUMIF(ComEne26!$B$72:$B$215,$B308,ComEne26!J$72:J$215)*1000</f>
        <v>79514.47277421222</v>
      </c>
      <c r="K308" s="296">
        <f>SUMIF(ComEne26!$B$72:$B$215,$B308,ComEne26!K$72:K$215)*1000</f>
        <v>73495.949275410909</v>
      </c>
      <c r="L308" s="296">
        <f>SUMIF(ComEne26!$B$72:$B$215,$B308,ComEne26!L$72:L$215)*1000</f>
        <v>34937.228936458967</v>
      </c>
      <c r="M308" s="297">
        <f t="shared" si="64"/>
        <v>382101.86014948017</v>
      </c>
    </row>
    <row r="309" spans="2:13" s="38" customFormat="1">
      <c r="B309" s="281" t="str">
        <f>ComEne26!B100</f>
        <v>DME-012-13</v>
      </c>
      <c r="C309" s="281" t="str">
        <f>ComEne26!C100</f>
        <v>CAFÉ DE ELETA</v>
      </c>
      <c r="D309" s="281" t="str">
        <f>ComEne26!D100</f>
        <v>H SE</v>
      </c>
      <c r="E309" s="1882"/>
      <c r="F309" s="1882"/>
      <c r="G309" s="296">
        <f>SUMIF(ComEne26!$B$72:$B$215,$B309,ComEne26!G$72:G$215)*1000</f>
        <v>3074.9379556721783</v>
      </c>
      <c r="H309" s="296">
        <f>SUMIF(ComEne26!$B$72:$B$215,$B309,ComEne26!H$72:H$215)*1000</f>
        <v>3112.3864809550378</v>
      </c>
      <c r="I309" s="296">
        <f>SUMIF(ComEne26!$B$72:$B$215,$B309,ComEne26!I$72:I$215)*1000</f>
        <v>2877.4061418821007</v>
      </c>
      <c r="J309" s="296">
        <f>SUMIF(ComEne26!$B$72:$B$215,$B309,ComEne26!J$72:J$215)*1000</f>
        <v>3245.4186139074768</v>
      </c>
      <c r="K309" s="296">
        <f>SUMIF(ComEne26!$B$72:$B$215,$B309,ComEne26!K$72:K$215)*1000</f>
        <v>5014.0321732511948</v>
      </c>
      <c r="L309" s="296">
        <f>SUMIF(ComEne26!$B$72:$B$215,$B309,ComEne26!L$72:L$215)*1000</f>
        <v>3516.9701565069759</v>
      </c>
      <c r="M309" s="297">
        <f t="shared" si="64"/>
        <v>20841.151522174965</v>
      </c>
    </row>
    <row r="310" spans="2:13" s="38" customFormat="1">
      <c r="B310" s="281" t="str">
        <f>ComEne26!B101</f>
        <v>DME-013-13</v>
      </c>
      <c r="C310" s="281" t="str">
        <f>ComEne26!C101</f>
        <v>EMNADESA</v>
      </c>
      <c r="D310" s="281" t="str">
        <f>ComEne26!D101</f>
        <v>H SE</v>
      </c>
      <c r="E310" s="1882"/>
      <c r="F310" s="1882"/>
      <c r="G310" s="296">
        <f>SUMIF(ComEne26!$B$72:$B$215,$B310,ComEne26!G$72:G$215)*1000</f>
        <v>25563.945062394625</v>
      </c>
      <c r="H310" s="296">
        <f>SUMIF(ComEne26!$B$72:$B$215,$B310,ComEne26!H$72:H$215)*1000</f>
        <v>41378.562932786335</v>
      </c>
      <c r="I310" s="296">
        <f>SUMIF(ComEne26!$B$72:$B$215,$B310,ComEne26!I$72:I$215)*1000</f>
        <v>39657.392312153839</v>
      </c>
      <c r="J310" s="296">
        <f>SUMIF(ComEne26!$B$72:$B$215,$B310,ComEne26!J$72:J$215)*1000</f>
        <v>32721.338771327708</v>
      </c>
      <c r="K310" s="296">
        <f>SUMIF(ComEne26!$B$72:$B$215,$B310,ComEne26!K$72:K$215)*1000</f>
        <v>44637.755462776615</v>
      </c>
      <c r="L310" s="296">
        <f>SUMIF(ComEne26!$B$72:$B$215,$B310,ComEne26!L$72:L$215)*1000</f>
        <v>27895.071587809678</v>
      </c>
      <c r="M310" s="297">
        <f t="shared" si="64"/>
        <v>211854.06612924879</v>
      </c>
    </row>
    <row r="311" spans="2:13" s="38" customFormat="1">
      <c r="B311" s="281" t="str">
        <f>ComEne26!B102</f>
        <v>DME-014-13</v>
      </c>
      <c r="C311" s="281" t="str">
        <f>ComEne26!C102</f>
        <v xml:space="preserve">ESEPSA </v>
      </c>
      <c r="D311" s="281" t="str">
        <f>ComEne26!D102</f>
        <v>H SE</v>
      </c>
      <c r="E311" s="1882"/>
      <c r="F311" s="1882"/>
      <c r="G311" s="296">
        <f>SUMIF(ComEne26!$B$72:$B$215,$B311,ComEne26!G$72:G$215)*1000</f>
        <v>120508.2309304097</v>
      </c>
      <c r="H311" s="296">
        <f>SUMIF(ComEne26!$B$72:$B$215,$B311,ComEne26!H$72:H$215)*1000</f>
        <v>119735.48297558985</v>
      </c>
      <c r="I311" s="296">
        <f>SUMIF(ComEne26!$B$72:$B$215,$B311,ComEne26!I$72:I$215)*1000</f>
        <v>120219.52463732575</v>
      </c>
      <c r="J311" s="296">
        <f>SUMIF(ComEne26!$B$72:$B$215,$B311,ComEne26!J$72:J$215)*1000</f>
        <v>132264.02516357787</v>
      </c>
      <c r="K311" s="296">
        <f>SUMIF(ComEne26!$B$72:$B$215,$B311,ComEne26!K$72:K$215)*1000</f>
        <v>118402.604180977</v>
      </c>
      <c r="L311" s="296">
        <f>SUMIF(ComEne26!$B$72:$B$215,$B311,ComEne26!L$72:L$215)*1000</f>
        <v>116347.70218876767</v>
      </c>
      <c r="M311" s="297">
        <f t="shared" si="64"/>
        <v>727477.57007664791</v>
      </c>
    </row>
    <row r="312" spans="2:13" s="38" customFormat="1">
      <c r="B312" s="281" t="str">
        <f>ComEne26!B103</f>
        <v>DME-015-13</v>
      </c>
      <c r="C312" s="281" t="str">
        <f>ComEne26!C103</f>
        <v>Fuerza Eléctrica del Istmo (2016-27)</v>
      </c>
      <c r="D312" s="281" t="str">
        <f>ComEne26!D103</f>
        <v>H SE</v>
      </c>
      <c r="E312" s="1882"/>
      <c r="F312" s="1882"/>
      <c r="G312" s="296">
        <f>SUMIF(ComEne26!$B$72:$B$215,$B312,ComEne26!G$72:G$215)*1000</f>
        <v>10084.029817024095</v>
      </c>
      <c r="H312" s="296">
        <f>SUMIF(ComEne26!$B$72:$B$215,$B312,ComEne26!H$72:H$215)*1000</f>
        <v>10019.366902654805</v>
      </c>
      <c r="I312" s="296">
        <f>SUMIF(ComEne26!$B$72:$B$215,$B312,ComEne26!I$72:I$215)*1000</f>
        <v>10059.871111470595</v>
      </c>
      <c r="J312" s="296">
        <f>SUMIF(ComEne26!$B$72:$B$215,$B312,ComEne26!J$72:J$215)*1000</f>
        <v>11067.745025975468</v>
      </c>
      <c r="K312" s="296">
        <f>SUMIF(ComEne26!$B$72:$B$215,$B312,ComEne26!K$72:K$215)*1000</f>
        <v>9907.832699525421</v>
      </c>
      <c r="L312" s="296">
        <f>SUMIF(ComEne26!$B$72:$B$215,$B312,ComEne26!L$72:L$215)*1000</f>
        <v>9735.8801880619721</v>
      </c>
      <c r="M312" s="297">
        <f t="shared" si="64"/>
        <v>60874.725744712356</v>
      </c>
    </row>
    <row r="313" spans="2:13" s="38" customFormat="1">
      <c r="B313" s="281" t="str">
        <f>ComEne26!B104</f>
        <v>DME-016-13</v>
      </c>
      <c r="C313" s="281" t="str">
        <f>ComEne26!C104</f>
        <v>Hidro CAISÀN (2016-27)</v>
      </c>
      <c r="D313" s="281" t="str">
        <f>ComEne26!D104</f>
        <v>H SE</v>
      </c>
      <c r="E313" s="1882"/>
      <c r="F313" s="1882"/>
      <c r="G313" s="296">
        <f>SUMIF(ComEne26!$B$72:$B$215,$B313,ComEne26!G$72:G$215)*1000</f>
        <v>109674.85142808354</v>
      </c>
      <c r="H313" s="296">
        <f>SUMIF(ComEne26!$B$72:$B$215,$B313,ComEne26!H$72:H$215)*1000</f>
        <v>108971.57152361657</v>
      </c>
      <c r="I313" s="296">
        <f>SUMIF(ComEne26!$B$72:$B$215,$B313,ComEne26!I$72:I$215)*1000</f>
        <v>109412.0990869707</v>
      </c>
      <c r="J313" s="296">
        <f>SUMIF(ComEne26!$B$72:$B$215,$B313,ComEne26!J$72:J$215)*1000</f>
        <v>120373.83004545608</v>
      </c>
      <c r="K313" s="296">
        <f>SUMIF(ComEne26!$B$72:$B$215,$B313,ComEne26!K$72:K$215)*1000</f>
        <v>107758.51509882162</v>
      </c>
      <c r="L313" s="296">
        <f>SUMIF(ComEne26!$B$72:$B$215,$B313,ComEne26!L$72:L$215)*1000</f>
        <v>105888.34350178791</v>
      </c>
      <c r="M313" s="297">
        <f t="shared" si="64"/>
        <v>662079.21068473638</v>
      </c>
    </row>
    <row r="314" spans="2:13" s="38" customFormat="1">
      <c r="B314" s="281" t="str">
        <f>ComEne26!B105</f>
        <v>DME-017-13</v>
      </c>
      <c r="C314" s="281" t="str">
        <f>ComEne26!C105</f>
        <v>PASO ANCHO (2024-27)</v>
      </c>
      <c r="D314" s="281" t="str">
        <f>ComEne26!D105</f>
        <v>H SE</v>
      </c>
      <c r="E314" s="1882"/>
      <c r="F314" s="1882"/>
      <c r="G314" s="296">
        <f>SUMIF(ComEne26!$B$72:$B$215,$B314,ComEne26!G$72:G$215)*1000</f>
        <v>38469.868946995484</v>
      </c>
      <c r="H314" s="296">
        <f>SUMIF(ComEne26!$B$72:$B$215,$B314,ComEne26!H$72:H$215)*1000</f>
        <v>35317.231764424781</v>
      </c>
      <c r="I314" s="296">
        <f>SUMIF(ComEne26!$B$72:$B$215,$B314,ComEne26!I$72:I$215)*1000</f>
        <v>6129.1046355021062</v>
      </c>
      <c r="J314" s="296">
        <f>SUMIF(ComEne26!$B$72:$B$215,$B314,ComEne26!J$72:J$215)*1000</f>
        <v>0</v>
      </c>
      <c r="K314" s="296">
        <f>SUMIF(ComEne26!$B$72:$B$215,$B314,ComEne26!K$72:K$215)*1000</f>
        <v>45716.427613133332</v>
      </c>
      <c r="L314" s="296">
        <f>SUMIF(ComEne26!$B$72:$B$215,$B314,ComEne26!L$72:L$215)*1000</f>
        <v>43051.217377770779</v>
      </c>
      <c r="M314" s="297">
        <f t="shared" si="64"/>
        <v>168683.85033782647</v>
      </c>
    </row>
    <row r="315" spans="2:13" s="38" customFormat="1">
      <c r="B315" s="281" t="str">
        <f>ComEne26!B106</f>
        <v>DME-018-13</v>
      </c>
      <c r="C315" s="281" t="str">
        <f>ComEne26!C106</f>
        <v>PEDREGALITO</v>
      </c>
      <c r="D315" s="281" t="str">
        <f>ComEne26!D106</f>
        <v>H SE</v>
      </c>
      <c r="E315" s="1882"/>
      <c r="F315" s="1882"/>
      <c r="G315" s="296">
        <f>SUMIF(ComEne26!$B$72:$B$215,$B315,ComEne26!G$72:G$215)*1000</f>
        <v>44418.389744026994</v>
      </c>
      <c r="H315" s="296">
        <f>SUMIF(ComEne26!$B$72:$B$215,$B315,ComEne26!H$72:H$215)*1000</f>
        <v>44133.560902328129</v>
      </c>
      <c r="I315" s="296">
        <f>SUMIF(ComEne26!$B$72:$B$215,$B315,ComEne26!I$72:I$215)*1000</f>
        <v>44311.974866397926</v>
      </c>
      <c r="J315" s="296">
        <f>SUMIF(ComEne26!$B$72:$B$215,$B315,ComEne26!J$72:J$215)*1000</f>
        <v>48751.483392219292</v>
      </c>
      <c r="K315" s="296">
        <f>SUMIF(ComEne26!$B$72:$B$215,$B315,ComEne26!K$72:K$215)*1000</f>
        <v>43642.272221683161</v>
      </c>
      <c r="L315" s="296">
        <f>SUMIF(ComEne26!$B$72:$B$215,$B315,ComEne26!L$72:L$215)*1000</f>
        <v>42884.851447425492</v>
      </c>
      <c r="M315" s="297">
        <f t="shared" si="64"/>
        <v>268142.53257408098</v>
      </c>
    </row>
    <row r="316" spans="2:13" s="38" customFormat="1">
      <c r="B316" s="281" t="str">
        <f>ComEne26!B107</f>
        <v>DME-019-13</v>
      </c>
      <c r="C316" s="281" t="str">
        <f>ComEne26!C107</f>
        <v>RÍO CHICO</v>
      </c>
      <c r="D316" s="281" t="str">
        <f>ComEne26!D107</f>
        <v>H SE</v>
      </c>
      <c r="E316" s="1882"/>
      <c r="F316" s="1882"/>
      <c r="G316" s="296">
        <f>SUMIF(ComEne26!$B$72:$B$215,$B316,ComEne26!G$72:G$215)*1000</f>
        <v>27372.531518830951</v>
      </c>
      <c r="H316" s="296">
        <f>SUMIF(ComEne26!$B$72:$B$215,$B316,ComEne26!H$72:H$215)*1000</f>
        <v>27197.007676300778</v>
      </c>
      <c r="I316" s="296">
        <f>SUMIF(ComEne26!$B$72:$B$215,$B316,ComEne26!I$72:I$215)*1000</f>
        <v>27306.954071995067</v>
      </c>
      <c r="J316" s="296">
        <f>SUMIF(ComEne26!$B$72:$B$215,$B316,ComEne26!J$72:J$215)*1000</f>
        <v>30042.771100740589</v>
      </c>
      <c r="K316" s="296">
        <f>SUMIF(ComEne26!$B$72:$B$215,$B316,ComEne26!K$72:K$215)*1000</f>
        <v>26894.25435783749</v>
      </c>
      <c r="L316" s="296">
        <f>SUMIF(ComEne26!$B$72:$B$215,$B316,ComEne26!L$72:L$215)*1000</f>
        <v>26427.498941086415</v>
      </c>
      <c r="M316" s="297">
        <f t="shared" si="64"/>
        <v>165241.01766679127</v>
      </c>
    </row>
    <row r="317" spans="2:13" s="38" customFormat="1">
      <c r="B317" s="281" t="str">
        <f>ComEne26!B108</f>
        <v>DME-002-14</v>
      </c>
      <c r="C317" s="281" t="str">
        <f>ComEne26!C108</f>
        <v>PARQUE EOLICO TOABRE (Enmienda 1)</v>
      </c>
      <c r="D317" s="281" t="str">
        <f>ComEne26!D108</f>
        <v>Eo</v>
      </c>
      <c r="E317" s="1882"/>
      <c r="F317" s="1882"/>
      <c r="G317" s="296">
        <f>SUMIF(ComEne26!$B$72:$B$215,$B317,ComEne26!G$72:G$215)*1000</f>
        <v>319482.0550956137</v>
      </c>
      <c r="H317" s="296">
        <f>SUMIF(ComEne26!$B$72:$B$215,$B317,ComEne26!H$72:H$215)*1000</f>
        <v>271310.60323179496</v>
      </c>
      <c r="I317" s="296">
        <f>SUMIF(ComEne26!$B$72:$B$215,$B317,ComEne26!I$72:I$215)*1000</f>
        <v>319170.67174701707</v>
      </c>
      <c r="J317" s="296">
        <f>SUMIF(ComEne26!$B$72:$B$215,$B317,ComEne26!J$72:J$215)*1000</f>
        <v>297201.73974222329</v>
      </c>
      <c r="K317" s="296">
        <f>SUMIF(ComEne26!$B$72:$B$215,$B317,ComEne26!K$72:K$215)*1000</f>
        <v>446703.5346730958</v>
      </c>
      <c r="L317" s="296">
        <f>SUMIF(ComEne26!$B$72:$B$215,$B317,ComEne26!L$72:L$215)*1000</f>
        <v>784751.0607419383</v>
      </c>
      <c r="M317" s="297">
        <f t="shared" si="64"/>
        <v>2438619.6652316828</v>
      </c>
    </row>
    <row r="318" spans="2:13" s="38" customFormat="1">
      <c r="B318" s="281" t="str">
        <f>ComEne26!B109</f>
        <v>DME-006-14</v>
      </c>
      <c r="C318" s="281" t="str">
        <f>ComEne26!C109</f>
        <v>Electron (SECCION)</v>
      </c>
      <c r="D318" s="281" t="str">
        <f>ComEne26!D109</f>
        <v>H3</v>
      </c>
      <c r="E318" s="1882"/>
      <c r="F318" s="1882"/>
      <c r="G318" s="296">
        <f>SUMIF(ComEne26!$B$72:$B$215,$B318,ComEne26!G$72:G$215)*1000</f>
        <v>2276972.7409954495</v>
      </c>
      <c r="H318" s="296">
        <f>SUMIF(ComEne26!$B$72:$B$215,$B318,ComEne26!H$72:H$215)*1000</f>
        <v>2262371.8625724572</v>
      </c>
      <c r="I318" s="296">
        <f>SUMIF(ComEne26!$B$72:$B$215,$B318,ComEne26!I$72:I$215)*1000</f>
        <v>2271517.7081364444</v>
      </c>
      <c r="J318" s="296">
        <f>SUMIF(ComEne26!$B$72:$B$215,$B318,ComEne26!J$72:J$215)*1000</f>
        <v>2499095.5189253082</v>
      </c>
      <c r="K318" s="296">
        <f>SUMIF(ComEne26!$B$72:$B$215,$B318,ComEne26!K$72:K$215)*1000</f>
        <v>2237187.4526864896</v>
      </c>
      <c r="L318" s="296">
        <f>SUMIF(ComEne26!$B$72:$B$215,$B318,ComEne26!L$72:L$215)*1000</f>
        <v>2198360.5959186736</v>
      </c>
      <c r="M318" s="297">
        <f t="shared" si="64"/>
        <v>13745505.879234821</v>
      </c>
    </row>
    <row r="319" spans="2:13" s="38" customFormat="1">
      <c r="B319" s="281" t="str">
        <f>ComEne26!B110</f>
        <v>DME-002-15</v>
      </c>
      <c r="C319" s="281" t="str">
        <f>ComEne26!C110</f>
        <v>PANAMA SOLAR (Ene-17  - Dic36)</v>
      </c>
      <c r="D319" s="281" t="str">
        <f>ComEne26!D110</f>
        <v>Sol1</v>
      </c>
      <c r="E319" s="1882"/>
      <c r="F319" s="1882"/>
      <c r="G319" s="296">
        <f>SUMIF(ComEne26!$B$72:$B$215,$B319,ComEne26!G$72:G$215)*1000</f>
        <v>76689.868815092894</v>
      </c>
      <c r="H319" s="296">
        <f>SUMIF(ComEne26!$B$72:$B$215,$B319,ComEne26!H$72:H$215)*1000</f>
        <v>76198.102079951888</v>
      </c>
      <c r="I319" s="296">
        <f>SUMIF(ComEne26!$B$72:$B$215,$B319,ComEne26!I$72:I$215)*1000</f>
        <v>76506.139889925238</v>
      </c>
      <c r="J319" s="296">
        <f>SUMIF(ComEne26!$B$72:$B$215,$B319,ComEne26!J$72:J$215)*1000</f>
        <v>84171.103172267351</v>
      </c>
      <c r="K319" s="296">
        <f>SUMIF(ComEne26!$B$72:$B$215,$B319,ComEne26!K$72:K$215)*1000</f>
        <v>75349.875372812647</v>
      </c>
      <c r="L319" s="296">
        <f>SUMIF(ComEne26!$B$72:$B$215,$B319,ComEne26!L$72:L$215)*1000</f>
        <v>74042.162505453292</v>
      </c>
      <c r="M319" s="297">
        <f t="shared" si="64"/>
        <v>462957.25183550332</v>
      </c>
    </row>
    <row r="320" spans="2:13" s="38" customFormat="1">
      <c r="B320" s="281" t="str">
        <f>ComEne26!B111</f>
        <v>DME-003-15</v>
      </c>
      <c r="C320" s="281" t="str">
        <f>ComEne26!C111</f>
        <v>SOLPAC (Ene-17  - Dic36)</v>
      </c>
      <c r="D320" s="281" t="str">
        <f>ComEne26!D111</f>
        <v>Sol1</v>
      </c>
      <c r="E320" s="1882"/>
      <c r="F320" s="1882"/>
      <c r="G320" s="296">
        <f>SUMIF(ComEne26!$B$72:$B$215,$B320,ComEne26!G$72:G$215)*1000</f>
        <v>14558.055863543565</v>
      </c>
      <c r="H320" s="296">
        <f>SUMIF(ComEne26!$B$72:$B$215,$B320,ComEne26!H$72:H$215)*1000</f>
        <v>14464.703668362783</v>
      </c>
      <c r="I320" s="296">
        <f>SUMIF(ComEne26!$B$72:$B$215,$B320,ComEne26!I$72:I$215)*1000</f>
        <v>14523.178558396668</v>
      </c>
      <c r="J320" s="296">
        <f>SUMIF(ComEne26!$B$72:$B$215,$B320,ComEne26!J$72:J$215)*1000</f>
        <v>15978.220343973251</v>
      </c>
      <c r="K320" s="296">
        <f>SUMIF(ComEne26!$B$72:$B$215,$B320,ComEne26!K$72:K$215)*1000</f>
        <v>14303.684592723777</v>
      </c>
      <c r="L320" s="296">
        <f>SUMIF(ComEne26!$B$72:$B$215,$B320,ComEne26!L$72:L$215)*1000</f>
        <v>14055.441151045792</v>
      </c>
      <c r="M320" s="297">
        <f t="shared" si="64"/>
        <v>87883.284178045826</v>
      </c>
    </row>
    <row r="321" spans="2:13" s="38" customFormat="1">
      <c r="B321" s="281" t="str">
        <f>ComEne26!B112</f>
        <v>DME-004-15</v>
      </c>
      <c r="C321" s="281" t="str">
        <f>ComEne26!C112</f>
        <v>Gas Natural Atlántico</v>
      </c>
      <c r="D321" s="281" t="str">
        <f>ComEne26!D112</f>
        <v>Gas</v>
      </c>
      <c r="E321" s="1882"/>
      <c r="F321" s="1882"/>
      <c r="G321" s="296">
        <f>SUMIF(ComEne26!$B$72:$B$215,$B321,ComEne26!G$72:G$215)*1000</f>
        <v>1625173.8680714658</v>
      </c>
      <c r="H321" s="296">
        <f>SUMIF(ComEne26!$B$72:$B$215,$B321,ComEne26!H$72:H$215)*1000</f>
        <v>1614752.5900136698</v>
      </c>
      <c r="I321" s="296">
        <f>SUMIF(ComEne26!$B$72:$B$215,$B321,ComEne26!I$72:I$215)*1000</f>
        <v>1621280.3753245785</v>
      </c>
      <c r="J321" s="296">
        <f>SUMIF(ComEne26!$B$72:$B$215,$B321,ComEne26!J$72:J$215)*1000</f>
        <v>1783712.4960030545</v>
      </c>
      <c r="K321" s="296">
        <f>SUMIF(ComEne26!$B$72:$B$215,$B321,ComEne26!K$72:K$215)*1000</f>
        <v>1596777.3880744574</v>
      </c>
      <c r="L321" s="296">
        <f>SUMIF(ComEne26!$B$72:$B$215,$B321,ComEne26!L$72:L$215)*1000</f>
        <v>1569064.9820968513</v>
      </c>
      <c r="M321" s="297">
        <f t="shared" si="64"/>
        <v>9810761.6995840762</v>
      </c>
    </row>
    <row r="322" spans="2:13" s="38" customFormat="1">
      <c r="B322" s="281" t="str">
        <f>ComEne26!B113</f>
        <v>DME-005-15B</v>
      </c>
      <c r="C322" s="281" t="str">
        <f>ComEne26!C113</f>
        <v>ALTERNEGY ENMIEDA 7</v>
      </c>
      <c r="D322" s="281" t="str">
        <f>ComEne26!D113</f>
        <v>H2</v>
      </c>
      <c r="E322" s="1882"/>
      <c r="F322" s="1882"/>
      <c r="G322" s="296">
        <f>SUMIF(ComEne26!$B$72:$B$215,$B322,ComEne26!G$72:G$215)*1000</f>
        <v>116623.69445637512</v>
      </c>
      <c r="H322" s="296">
        <f>SUMIF(ComEne26!$B$72:$B$215,$B322,ComEne26!H$72:H$215)*1000</f>
        <v>103147.42569057943</v>
      </c>
      <c r="I322" s="296">
        <f>SUMIF(ComEne26!$B$72:$B$215,$B322,ComEne26!I$72:I$215)*1000</f>
        <v>101481.76053993317</v>
      </c>
      <c r="J322" s="296">
        <f>SUMIF(ComEne26!$B$72:$B$215,$B322,ComEne26!J$72:J$215)*1000</f>
        <v>118835.33120822003</v>
      </c>
      <c r="K322" s="296">
        <f>SUMIF(ComEne26!$B$72:$B$215,$B322,ComEne26!K$72:K$215)*1000</f>
        <v>99668.325270822228</v>
      </c>
      <c r="L322" s="296">
        <f>SUMIF(ComEne26!$B$72:$B$215,$B322,ComEne26!L$72:L$215)*1000</f>
        <v>108840.98223359598</v>
      </c>
      <c r="M322" s="297">
        <f t="shared" si="64"/>
        <v>648597.51939952606</v>
      </c>
    </row>
    <row r="323" spans="2:13" s="38" customFormat="1">
      <c r="B323" s="281" t="str">
        <f>ComEne26!B114</f>
        <v>DME-001-24</v>
      </c>
      <c r="C323" s="281" t="str">
        <f>ComEne26!C114</f>
        <v>ORO SOLAR, S.A.</v>
      </c>
      <c r="D323" s="281" t="str">
        <f>ComEne26!D114</f>
        <v>Sol</v>
      </c>
      <c r="E323" s="1882"/>
      <c r="F323" s="1882"/>
      <c r="G323" s="296">
        <f>SUMIF(ComEne26!$B$72:$B$215,$B323,ComEne26!G$72:G$215)*1000</f>
        <v>109329.23721860598</v>
      </c>
      <c r="H323" s="296">
        <f>SUMIF(ComEne26!$B$72:$B$215,$B323,ComEne26!H$72:H$215)*1000</f>
        <v>108628.17353349159</v>
      </c>
      <c r="I323" s="296">
        <f>SUMIF(ComEne26!$B$72:$B$215,$B323,ComEne26!I$72:I$215)*1000</f>
        <v>109067.31287900376</v>
      </c>
      <c r="J323" s="296">
        <f>SUMIF(ComEne26!$B$72:$B$215,$B323,ComEne26!J$72:J$215)*1000</f>
        <v>119994.50054948474</v>
      </c>
      <c r="K323" s="296">
        <f>SUMIF(ComEne26!$B$72:$B$215,$B323,ComEne26!K$72:K$215)*1000</f>
        <v>107418.93976750899</v>
      </c>
      <c r="L323" s="296">
        <f>SUMIF(ComEne26!$B$72:$B$215,$B323,ComEne26!L$72:L$215)*1000</f>
        <v>105554.66157146629</v>
      </c>
      <c r="M323" s="297">
        <f t="shared" si="64"/>
        <v>659992.8255195613</v>
      </c>
    </row>
    <row r="324" spans="2:13" s="38" customFormat="1">
      <c r="B324" s="281" t="str">
        <f>ComEne26!B115</f>
        <v>DME-001-25</v>
      </c>
      <c r="C324" s="281" t="str">
        <f>ComEne26!C115</f>
        <v>CALDERA ENERGY CORP.</v>
      </c>
      <c r="D324" s="281" t="str">
        <f>ComEne26!D115</f>
        <v>H SE</v>
      </c>
      <c r="E324" s="1882"/>
      <c r="F324" s="1882"/>
      <c r="G324" s="296">
        <f>SUMIF(ComEne26!$B$72:$B$215,$B324,ComEne26!G$72:G$215)*1000</f>
        <v>13764.729690325492</v>
      </c>
      <c r="H324" s="296">
        <f>SUMIF(ComEne26!$B$72:$B$215,$B324,ComEne26!H$72:H$215)*1000</f>
        <v>11258.198254781699</v>
      </c>
      <c r="I324" s="296">
        <f>SUMIF(ComEne26!$B$72:$B$215,$B324,ComEne26!I$72:I$215)*1000</f>
        <v>11303.710552857179</v>
      </c>
      <c r="J324" s="296">
        <f>SUMIF(ComEne26!$B$72:$B$215,$B324,ComEne26!J$72:J$215)*1000</f>
        <v>12865.036244279177</v>
      </c>
      <c r="K324" s="296">
        <f>SUMIF(ComEne26!$B$72:$B$215,$B324,ComEne26!K$72:K$215)*1000</f>
        <v>11516.765744286269</v>
      </c>
      <c r="L324" s="296">
        <f>SUMIF(ComEne26!$B$72:$B$215,$B324,ComEne26!L$72:L$215)*1000</f>
        <v>13641.331215768119</v>
      </c>
      <c r="M324" s="297">
        <f t="shared" si="64"/>
        <v>74349.771702297934</v>
      </c>
    </row>
    <row r="325" spans="2:13" s="38" customFormat="1">
      <c r="B325" s="281" t="str">
        <f>ComEne26!B116</f>
        <v>DME-002-25</v>
      </c>
      <c r="C325" s="281" t="str">
        <f>ComEne26!C116</f>
        <v>EMPRESA NACIONAL DE ENERGÍA, S.A.</v>
      </c>
      <c r="D325" s="281" t="str">
        <f>ComEne26!D116</f>
        <v>H SE</v>
      </c>
      <c r="E325" s="1882"/>
      <c r="F325" s="1882"/>
      <c r="G325" s="296">
        <f>SUMIF(ComEne26!$B$72:$B$215,$B325,ComEne26!G$72:G$215)*1000</f>
        <v>24967.344042715977</v>
      </c>
      <c r="H325" s="296">
        <f>SUMIF(ComEne26!$B$72:$B$215,$B325,ComEne26!H$72:H$215)*1000</f>
        <v>7123.4547088822674</v>
      </c>
      <c r="I325" s="296">
        <f>SUMIF(ComEne26!$B$72:$B$215,$B325,ComEne26!I$72:I$215)*1000</f>
        <v>22540.43031631273</v>
      </c>
      <c r="J325" s="296">
        <f>SUMIF(ComEne26!$B$72:$B$215,$B325,ComEne26!J$72:J$215)*1000</f>
        <v>61421.185764477385</v>
      </c>
      <c r="K325" s="296">
        <f>SUMIF(ComEne26!$B$72:$B$215,$B325,ComEne26!K$72:K$215)*1000</f>
        <v>24511.017907919704</v>
      </c>
      <c r="L325" s="296">
        <f>SUMIF(ComEne26!$B$72:$B$215,$B325,ComEne26!L$72:L$215)*1000</f>
        <v>0</v>
      </c>
      <c r="M325" s="297">
        <f t="shared" si="64"/>
        <v>140563.43274030805</v>
      </c>
    </row>
    <row r="326" spans="2:13" s="38" customFormat="1">
      <c r="B326" s="281" t="str">
        <f>ComEne26!B117</f>
        <v>DME-003-25</v>
      </c>
      <c r="C326" s="281" t="str">
        <f>ComEne26!C117</f>
        <v>EMPRESA NACIONAL DE ENERGÍA, S.A.</v>
      </c>
      <c r="D326" s="281" t="str">
        <f>ComEne26!D117</f>
        <v>H SE</v>
      </c>
      <c r="E326" s="1882"/>
      <c r="F326" s="1882"/>
      <c r="G326" s="296">
        <f>SUMIF(ComEne26!$B$72:$B$215,$B326,ComEne26!G$72:G$215)*1000</f>
        <v>25159.400535352255</v>
      </c>
      <c r="H326" s="296">
        <f>SUMIF(ComEne26!$B$72:$B$215,$B326,ComEne26!H$72:H$215)*1000</f>
        <v>7188.2133880539241</v>
      </c>
      <c r="I326" s="296">
        <f>SUMIF(ComEne26!$B$72:$B$215,$B326,ComEne26!I$72:I$215)*1000</f>
        <v>22745.343319188301</v>
      </c>
      <c r="J326" s="296">
        <f>SUMIF(ComEne26!$B$72:$B$215,$B326,ComEne26!J$72:J$215)*1000</f>
        <v>61979.560180518092</v>
      </c>
      <c r="K326" s="296">
        <f>SUMIF(ComEne26!$B$72:$B$215,$B326,ComEne26!K$72:K$215)*1000</f>
        <v>24733.845343446246</v>
      </c>
      <c r="L326" s="296">
        <f>SUMIF(ComEne26!$B$72:$B$215,$B326,ComEne26!L$72:L$215)*1000</f>
        <v>0</v>
      </c>
      <c r="M326" s="297">
        <f t="shared" si="64"/>
        <v>141806.36276655883</v>
      </c>
    </row>
    <row r="327" spans="2:13" s="38" customFormat="1">
      <c r="B327" s="281" t="str">
        <f>ComEne26!B118</f>
        <v>DME-004-25</v>
      </c>
      <c r="C327" s="281" t="str">
        <f>ComEne26!C118</f>
        <v>ARRENDADORA ISTMO ENERGY, S.A.</v>
      </c>
      <c r="D327" s="281" t="str">
        <f>ComEne26!D118</f>
        <v>Sol</v>
      </c>
      <c r="E327" s="1882"/>
      <c r="F327" s="1882"/>
      <c r="G327" s="296">
        <f>SUMIF(ComEne26!$B$72:$B$215,$B327,ComEne26!G$72:G$215)*1000</f>
        <v>56096.841083208659</v>
      </c>
      <c r="H327" s="296">
        <f>SUMIF(ComEne26!$B$72:$B$215,$B327,ComEne26!H$72:H$215)*1000</f>
        <v>48572.934147177381</v>
      </c>
      <c r="I327" s="296">
        <f>SUMIF(ComEne26!$B$72:$B$215,$B327,ComEne26!I$72:I$215)*1000</f>
        <v>50314.023475293863</v>
      </c>
      <c r="J327" s="296">
        <f>SUMIF(ComEne26!$B$72:$B$215,$B327,ComEne26!J$72:J$215)*1000</f>
        <v>57514.807319726759</v>
      </c>
      <c r="K327" s="296">
        <f>SUMIF(ComEne26!$B$72:$B$215,$B327,ComEne26!K$72:K$215)*1000</f>
        <v>53735.538686256732</v>
      </c>
      <c r="L327" s="296">
        <f>SUMIF(ComEne26!$B$72:$B$215,$B327,ComEne26!L$72:L$215)*1000</f>
        <v>46903.786261495698</v>
      </c>
      <c r="M327" s="297">
        <f t="shared" si="64"/>
        <v>313137.93097315903</v>
      </c>
    </row>
    <row r="328" spans="2:13" s="38" customFormat="1">
      <c r="B328" s="281" t="str">
        <f>ComEne26!B119</f>
        <v>DME-005-25</v>
      </c>
      <c r="C328" s="281" t="str">
        <f>ComEne26!C119</f>
        <v>ARRENDADORA ISTMO ENERGY, S.A.</v>
      </c>
      <c r="D328" s="281" t="str">
        <f>ComEne26!D119</f>
        <v>Sol</v>
      </c>
      <c r="E328" s="1882"/>
      <c r="F328" s="1882"/>
      <c r="G328" s="296">
        <f>SUMIF(ComEne26!$B$72:$B$215,$B328,ComEne26!G$72:G$215)*1000</f>
        <v>57796.74535845741</v>
      </c>
      <c r="H328" s="296">
        <f>SUMIF(ComEne26!$B$72:$B$215,$B328,ComEne26!H$72:H$215)*1000</f>
        <v>50307.681795290853</v>
      </c>
      <c r="I328" s="296">
        <f>SUMIF(ComEne26!$B$72:$B$215,$B328,ComEne26!I$72:I$215)*1000</f>
        <v>52110.952885125786</v>
      </c>
      <c r="J328" s="296">
        <f>SUMIF(ComEne26!$B$72:$B$215,$B328,ComEne26!J$72:J$215)*1000</f>
        <v>59568.907581145577</v>
      </c>
      <c r="K328" s="296">
        <f>SUMIF(ComEne26!$B$72:$B$215,$B328,ComEne26!K$72:K$215)*1000</f>
        <v>55654.665067908762</v>
      </c>
      <c r="L328" s="296">
        <f>SUMIF(ComEne26!$B$72:$B$215,$B328,ComEne26!L$72:L$215)*1000</f>
        <v>46903.786261495698</v>
      </c>
      <c r="M328" s="297">
        <f t="shared" si="64"/>
        <v>322342.73894942412</v>
      </c>
    </row>
    <row r="329" spans="2:13" s="38" customFormat="1">
      <c r="B329" s="281" t="str">
        <f>ComEne26!B120</f>
        <v>DME-006-25</v>
      </c>
      <c r="C329" s="281" t="str">
        <f>ComEne26!C120</f>
        <v>HIDROECOLÓGICA DEL TERIBE, S.A.</v>
      </c>
      <c r="D329" s="281" t="str">
        <f>ComEne26!D120</f>
        <v>H SE</v>
      </c>
      <c r="E329" s="1882"/>
      <c r="F329" s="1882"/>
      <c r="G329" s="296">
        <f>SUMIF(ComEne26!$B$72:$B$215,$B329,ComEne26!G$72:G$215)*1000</f>
        <v>154576.87241372504</v>
      </c>
      <c r="H329" s="296">
        <f>SUMIF(ComEne26!$B$72:$B$215,$B329,ComEne26!H$72:H$215)*1000</f>
        <v>126553.37322146934</v>
      </c>
      <c r="I329" s="296">
        <f>SUMIF(ComEne26!$B$72:$B$215,$B329,ComEne26!I$72:I$215)*1000</f>
        <v>127064.97682927284</v>
      </c>
      <c r="J329" s="296">
        <f>SUMIF(ComEne26!$B$72:$B$215,$B329,ComEne26!J$72:J$215)*1000</f>
        <v>144615.83429999417</v>
      </c>
      <c r="K329" s="296">
        <f>SUMIF(ComEne26!$B$72:$B$215,$B329,ComEne26!K$72:K$215)*1000</f>
        <v>129459.92960479757</v>
      </c>
      <c r="L329" s="296">
        <f>SUMIF(ComEne26!$B$72:$B$215,$B329,ComEne26!L$72:L$215)*1000</f>
        <v>153162.91408987893</v>
      </c>
      <c r="M329" s="297">
        <f t="shared" si="64"/>
        <v>835433.90045913786</v>
      </c>
    </row>
    <row r="330" spans="2:13" s="38" customFormat="1">
      <c r="B330" s="281" t="str">
        <f>ComEne26!B121</f>
        <v>DME-007-25</v>
      </c>
      <c r="C330" s="281" t="str">
        <f>ComEne26!C121</f>
        <v>SOCIEDAD SUPER SERVICIOS, S.A.</v>
      </c>
      <c r="D330" s="281" t="str">
        <f>ComEne26!D121</f>
        <v>Sol</v>
      </c>
      <c r="E330" s="1882"/>
      <c r="F330" s="1882"/>
      <c r="G330" s="296">
        <f>SUMIF(ComEne26!$B$72:$B$215,$B330,ComEne26!G$72:G$215)*1000</f>
        <v>199342.38043139334</v>
      </c>
      <c r="H330" s="296">
        <f>SUMIF(ComEne26!$B$72:$B$215,$B330,ComEne26!H$72:H$215)*1000</f>
        <v>163713.86571438346</v>
      </c>
      <c r="I330" s="296">
        <f>SUMIF(ComEne26!$B$72:$B$215,$B330,ComEne26!I$72:I$215)*1000</f>
        <v>211340.1780234559</v>
      </c>
      <c r="J330" s="296">
        <f>SUMIF(ComEne26!$B$72:$B$215,$B330,ComEne26!J$72:J$215)*1000</f>
        <v>240531.55266408806</v>
      </c>
      <c r="K330" s="296">
        <f>SUMIF(ComEne26!$B$72:$B$215,$B330,ComEne26!K$72:K$215)*1000</f>
        <v>215323.57107610838</v>
      </c>
      <c r="L330" s="296">
        <f>SUMIF(ComEne26!$B$72:$B$215,$B330,ComEne26!L$72:L$215)*1000</f>
        <v>112704.50132005075</v>
      </c>
      <c r="M330" s="297">
        <f t="shared" si="64"/>
        <v>1142956.0492294799</v>
      </c>
    </row>
    <row r="331" spans="2:13" s="38" customFormat="1">
      <c r="B331" s="281" t="str">
        <f>ComEne26!B122</f>
        <v>DME-008-25</v>
      </c>
      <c r="C331" s="281" t="str">
        <f>ComEne26!C122</f>
        <v>CORPORACION DE ENERGIA DEL ISTMO, S.A.</v>
      </c>
      <c r="D331" s="281" t="str">
        <f>ComEne26!D122</f>
        <v>H SE</v>
      </c>
      <c r="E331" s="1882"/>
      <c r="F331" s="1882"/>
      <c r="G331" s="296">
        <f>SUMIF(ComEne26!$B$72:$B$215,$B331,ComEne26!G$72:G$215)*1000</f>
        <v>71510.396194358371</v>
      </c>
      <c r="H331" s="296">
        <f>SUMIF(ComEne26!$B$72:$B$215,$B331,ComEne26!H$72:H$215)*1000</f>
        <v>88919.553655337004</v>
      </c>
      <c r="I331" s="296">
        <f>SUMIF(ComEne26!$B$72:$B$215,$B331,ComEne26!I$72:I$215)*1000</f>
        <v>142197.80209163373</v>
      </c>
      <c r="J331" s="296">
        <f>SUMIF(ComEne26!$B$72:$B$215,$B331,ComEne26!J$72:J$215)*1000</f>
        <v>181068.04105705468</v>
      </c>
      <c r="K331" s="296">
        <f>SUMIF(ComEne26!$B$72:$B$215,$B331,ComEne26!K$72:K$215)*1000</f>
        <v>178683.5138397979</v>
      </c>
      <c r="L331" s="296">
        <f>SUMIF(ComEne26!$B$72:$B$215,$B331,ComEne26!L$72:L$215)*1000</f>
        <v>70685.355892124411</v>
      </c>
      <c r="M331" s="297">
        <f t="shared" si="64"/>
        <v>733064.66273030615</v>
      </c>
    </row>
    <row r="332" spans="2:13" s="38" customFormat="1">
      <c r="B332" s="281" t="str">
        <f>ComEne26!B123</f>
        <v>DME-009-25</v>
      </c>
      <c r="C332" s="281" t="str">
        <f>ComEne26!C123</f>
        <v>HYDRO CAISAN, S.A.</v>
      </c>
      <c r="D332" s="281" t="str">
        <f>ComEne26!D123</f>
        <v>H SE</v>
      </c>
      <c r="E332" s="1882"/>
      <c r="F332" s="1882"/>
      <c r="G332" s="296">
        <f>SUMIF(ComEne26!$B$72:$B$215,$B332,ComEne26!G$72:G$215)*1000</f>
        <v>0</v>
      </c>
      <c r="H332" s="296">
        <f>SUMIF(ComEne26!$B$72:$B$215,$B332,ComEne26!H$72:H$215)*1000</f>
        <v>0</v>
      </c>
      <c r="I332" s="296">
        <f>SUMIF(ComEne26!$B$72:$B$215,$B332,ComEne26!I$72:I$215)*1000</f>
        <v>0</v>
      </c>
      <c r="J332" s="296">
        <f>SUMIF(ComEne26!$B$72:$B$215,$B332,ComEne26!J$72:J$215)*1000</f>
        <v>778629.57725965092</v>
      </c>
      <c r="K332" s="296">
        <f>SUMIF(ComEne26!$B$72:$B$215,$B332,ComEne26!K$72:K$215)*1000</f>
        <v>69702.830777951502</v>
      </c>
      <c r="L332" s="296">
        <f>SUMIF(ComEne26!$B$72:$B$215,$B332,ComEne26!L$72:L$215)*1000</f>
        <v>82413.470141745711</v>
      </c>
      <c r="M332" s="297">
        <f t="shared" si="64"/>
        <v>930745.87817934819</v>
      </c>
    </row>
    <row r="333" spans="2:13" s="38" customFormat="1">
      <c r="B333" s="281" t="str">
        <f>ComEne26!B124</f>
        <v>DME-010-25</v>
      </c>
      <c r="C333" s="281" t="str">
        <f>ComEne26!C124</f>
        <v>PEDREGALITO SOLAR POWER, S.A.</v>
      </c>
      <c r="D333" s="281" t="str">
        <f>ComEne26!D124</f>
        <v>Sol</v>
      </c>
      <c r="E333" s="1882"/>
      <c r="F333" s="1882"/>
      <c r="G333" s="296">
        <f>SUMIF(ComEne26!$B$72:$B$215,$B333,ComEne26!G$72:G$215)*1000</f>
        <v>282978.89666613785</v>
      </c>
      <c r="H333" s="296">
        <f>SUMIF(ComEne26!$B$72:$B$215,$B333,ComEne26!H$72:H$215)*1000</f>
        <v>232936.9689804501</v>
      </c>
      <c r="I333" s="296">
        <f>SUMIF(ComEne26!$B$72:$B$215,$B333,ComEne26!I$72:I$215)*1000</f>
        <v>233878.63802243333</v>
      </c>
      <c r="J333" s="296">
        <f>SUMIF(ComEne26!$B$72:$B$215,$B333,ComEne26!J$72:J$215)*1000</f>
        <v>266183.13878894597</v>
      </c>
      <c r="K333" s="296">
        <f>SUMIF(ComEne26!$B$72:$B$215,$B333,ComEne26!K$72:K$215)*1000</f>
        <v>238286.84166158698</v>
      </c>
      <c r="L333" s="296">
        <f>SUMIF(ComEne26!$B$72:$B$215,$B333,ComEne26!L$72:L$215)*1000</f>
        <v>279727.39999325742</v>
      </c>
      <c r="M333" s="297">
        <f t="shared" si="64"/>
        <v>1533991.8841128114</v>
      </c>
    </row>
    <row r="334" spans="2:13" s="38" customFormat="1">
      <c r="B334" s="281" t="str">
        <f>ComEne26!B125</f>
        <v>DME-011-25</v>
      </c>
      <c r="C334" s="281" t="str">
        <f>ComEne26!C125</f>
        <v>GENA SOLAR, S.A.</v>
      </c>
      <c r="D334" s="281" t="str">
        <f>ComEne26!D125</f>
        <v>Sol</v>
      </c>
      <c r="E334" s="1882"/>
      <c r="F334" s="1882"/>
      <c r="G334" s="296">
        <f>SUMIF(ComEne26!$B$72:$B$215,$B334,ComEne26!G$72:G$215)*1000</f>
        <v>267558.59914620419</v>
      </c>
      <c r="H334" s="296">
        <f>SUMIF(ComEne26!$B$72:$B$215,$B334,ComEne26!H$72:H$215)*1000</f>
        <v>219696.17395090708</v>
      </c>
      <c r="I334" s="296">
        <f>SUMIF(ComEne26!$B$72:$B$215,$B334,ComEne26!I$72:I$215)*1000</f>
        <v>220584.31586568008</v>
      </c>
      <c r="J334" s="296">
        <f>SUMIF(ComEne26!$B$72:$B$215,$B334,ComEne26!J$72:J$215)*1000</f>
        <v>251052.53759476356</v>
      </c>
      <c r="K334" s="296">
        <f>SUMIF(ComEne26!$B$72:$B$215,$B334,ComEne26!K$72:K$215)*1000</f>
        <v>224741.94476313432</v>
      </c>
      <c r="L334" s="296">
        <f>SUMIF(ComEne26!$B$72:$B$215,$B334,ComEne26!L$72:L$215)*1000</f>
        <v>264747.19388975133</v>
      </c>
      <c r="M334" s="297">
        <f t="shared" si="64"/>
        <v>1448380.7652104406</v>
      </c>
    </row>
    <row r="335" spans="2:13" s="38" customFormat="1">
      <c r="B335" s="281" t="str">
        <f>ComEne26!B126</f>
        <v>DME-012-25</v>
      </c>
      <c r="C335" s="281" t="str">
        <f>ComEne26!C126</f>
        <v xml:space="preserve">HIDRO BOQUERÓN, S.A. </v>
      </c>
      <c r="D335" s="281" t="str">
        <f>ComEne26!D126</f>
        <v>H SE</v>
      </c>
      <c r="E335" s="1882"/>
      <c r="F335" s="1882"/>
      <c r="G335" s="296">
        <f>SUMIF(ComEne26!$B$72:$B$215,$B335,ComEne26!G$72:G$215)*1000</f>
        <v>11441.663391097338</v>
      </c>
      <c r="H335" s="296">
        <f>SUMIF(ComEne26!$B$72:$B$215,$B335,ComEne26!H$72:H$215)*1000</f>
        <v>9419.4442431501029</v>
      </c>
      <c r="I335" s="296">
        <f>SUMIF(ComEne26!$B$72:$B$215,$B335,ComEne26!I$72:I$215)*1000</f>
        <v>9457.5232096417039</v>
      </c>
      <c r="J335" s="296">
        <f>SUMIF(ComEne26!$B$72:$B$215,$B335,ComEne26!J$72:J$215)*1000</f>
        <v>10763.844164640066</v>
      </c>
      <c r="K335" s="296">
        <f>SUMIF(ComEne26!$B$72:$B$215,$B335,ComEne26!K$72:K$215)*1000</f>
        <v>9635.7809957423869</v>
      </c>
      <c r="L335" s="296">
        <f>SUMIF(ComEne26!$B$72:$B$215,$B335,ComEne26!L$72:L$215)*1000</f>
        <v>11309.656942739903</v>
      </c>
      <c r="M335" s="297">
        <f t="shared" si="64"/>
        <v>62027.9129470115</v>
      </c>
    </row>
    <row r="336" spans="2:13" s="38" customFormat="1">
      <c r="B336" s="281" t="str">
        <f>ComEne26!B127</f>
        <v>DME-013-25</v>
      </c>
      <c r="C336" s="281" t="str">
        <f>ComEne26!C127</f>
        <v>HIDROIBÉRICA, S.A.</v>
      </c>
      <c r="D336" s="281" t="str">
        <f>ComEne26!D127</f>
        <v>H SE</v>
      </c>
      <c r="E336" s="1882"/>
      <c r="F336" s="1882"/>
      <c r="G336" s="296">
        <f>SUMIF(ComEne26!$B$72:$B$215,$B336,ComEne26!G$72:G$215)*1000</f>
        <v>0</v>
      </c>
      <c r="H336" s="296">
        <f>SUMIF(ComEne26!$B$72:$B$215,$B336,ComEne26!H$72:H$215)*1000</f>
        <v>0</v>
      </c>
      <c r="I336" s="296">
        <f>SUMIF(ComEne26!$B$72:$B$215,$B336,ComEne26!I$72:I$215)*1000</f>
        <v>0</v>
      </c>
      <c r="J336" s="296">
        <f>SUMIF(ComEne26!$B$72:$B$215,$B336,ComEne26!J$72:J$215)*1000</f>
        <v>0</v>
      </c>
      <c r="K336" s="296">
        <f>SUMIF(ComEne26!$B$72:$B$215,$B336,ComEne26!K$72:K$215)*1000</f>
        <v>0</v>
      </c>
      <c r="L336" s="296">
        <f>SUMIF(ComEne26!$B$72:$B$215,$B336,ComEne26!L$72:L$215)*1000</f>
        <v>0</v>
      </c>
      <c r="M336" s="297">
        <f t="shared" si="64"/>
        <v>0</v>
      </c>
    </row>
    <row r="337" spans="2:13" s="38" customFormat="1">
      <c r="B337" s="281" t="str">
        <f>ComEne26!B128</f>
        <v>DME-014-25</v>
      </c>
      <c r="C337" s="281" t="str">
        <f>ComEne26!C128</f>
        <v xml:space="preserve">HIDRO PANAMÁ, S.A. </v>
      </c>
      <c r="D337" s="281" t="str">
        <f>ComEne26!D128</f>
        <v>H SE</v>
      </c>
      <c r="E337" s="1882"/>
      <c r="F337" s="1882"/>
      <c r="G337" s="296">
        <f>SUMIF(ComEne26!$B$72:$B$215,$B337,ComEne26!G$72:G$215)*1000</f>
        <v>28440.706143584805</v>
      </c>
      <c r="H337" s="296">
        <f>SUMIF(ComEne26!$B$72:$B$215,$B337,ComEne26!H$72:H$215)*1000</f>
        <v>23391.619870489427</v>
      </c>
      <c r="I337" s="296">
        <f>SUMIF(ComEne26!$B$72:$B$215,$B337,ComEne26!I$72:I$215)*1000</f>
        <v>23486.182637276899</v>
      </c>
      <c r="J337" s="296">
        <f>SUMIF(ComEne26!$B$72:$B$215,$B337,ComEne26!J$72:J$215)*1000</f>
        <v>26730.213008856168</v>
      </c>
      <c r="K337" s="296">
        <f>SUMIF(ComEne26!$B$72:$B$215,$B337,ComEne26!K$72:K$215)*1000</f>
        <v>23928.856139426935</v>
      </c>
      <c r="L337" s="296">
        <f>SUMIF(ComEne26!$B$72:$B$215,$B337,ComEne26!L$72:L$215)*1000</f>
        <v>28123.346930946569</v>
      </c>
      <c r="M337" s="297">
        <f t="shared" si="64"/>
        <v>154100.92473058079</v>
      </c>
    </row>
    <row r="338" spans="2:13" s="38" customFormat="1">
      <c r="B338" s="281" t="str">
        <f>ComEne26!B129</f>
        <v>DME-015-25</v>
      </c>
      <c r="C338" s="281" t="str">
        <f>ComEne26!C129</f>
        <v>AES PANAMÁ, S.R.L.</v>
      </c>
      <c r="D338" s="281" t="str">
        <f>ComEne26!D129</f>
        <v>H SE</v>
      </c>
      <c r="E338" s="1882"/>
      <c r="F338" s="1882"/>
      <c r="G338" s="296">
        <f>SUMIF(ComEne26!$B$72:$B$215,$B338,ComEne26!G$72:G$215)*1000</f>
        <v>1183288.655290579</v>
      </c>
      <c r="H338" s="296">
        <f>SUMIF(ComEne26!$B$72:$B$215,$B338,ComEne26!H$72:H$215)*1000</f>
        <v>333330.58315447427</v>
      </c>
      <c r="I338" s="296">
        <f>SUMIF(ComEne26!$B$72:$B$215,$B338,ComEne26!I$72:I$215)*1000</f>
        <v>472817.05096202495</v>
      </c>
      <c r="J338" s="296">
        <f>SUMIF(ComEne26!$B$72:$B$215,$B338,ComEne26!J$72:J$215)*1000</f>
        <v>394965.80681626149</v>
      </c>
      <c r="K338" s="296">
        <f>SUMIF(ComEne26!$B$72:$B$215,$B338,ComEne26!K$72:K$215)*1000</f>
        <v>610113.56319791882</v>
      </c>
      <c r="L338" s="296">
        <f>SUMIF(ComEne26!$B$72:$B$215,$B338,ComEne26!L$72:L$215)*1000</f>
        <v>1021933.0615746826</v>
      </c>
      <c r="M338" s="297">
        <f t="shared" si="64"/>
        <v>4016448.7209959407</v>
      </c>
    </row>
    <row r="339" spans="2:13" s="38" customFormat="1">
      <c r="B339" s="281"/>
      <c r="C339" s="284"/>
      <c r="D339" s="281"/>
      <c r="E339" s="1882"/>
      <c r="F339" s="1882"/>
      <c r="G339" s="296"/>
      <c r="H339" s="296"/>
      <c r="I339" s="296"/>
      <c r="J339" s="296"/>
      <c r="K339" s="296"/>
      <c r="L339" s="296"/>
      <c r="M339" s="297"/>
    </row>
    <row r="340" spans="2:13" s="38" customFormat="1">
      <c r="B340" s="286"/>
      <c r="C340" s="286" t="s">
        <v>401</v>
      </c>
      <c r="D340" s="286"/>
      <c r="E340" s="1891"/>
      <c r="F340" s="1891"/>
      <c r="G340" s="298">
        <f t="shared" ref="G340:M340" si="65">SUM(G282:G339)</f>
        <v>19595564.193564869</v>
      </c>
      <c r="H340" s="298">
        <f t="shared" si="65"/>
        <v>18400169.159114122</v>
      </c>
      <c r="I340" s="298">
        <f t="shared" si="65"/>
        <v>18769089.800690707</v>
      </c>
      <c r="J340" s="298">
        <f t="shared" si="65"/>
        <v>21772681.403584942</v>
      </c>
      <c r="K340" s="298">
        <f t="shared" si="65"/>
        <v>19433038.516429871</v>
      </c>
      <c r="L340" s="298">
        <f t="shared" si="65"/>
        <v>20194688.362859625</v>
      </c>
      <c r="M340" s="298">
        <f t="shared" si="65"/>
        <v>118165231.43624415</v>
      </c>
    </row>
    <row r="341" spans="2:13" s="38" customFormat="1">
      <c r="B341" s="281" t="s">
        <v>825</v>
      </c>
      <c r="C341" s="281" t="s">
        <v>833</v>
      </c>
      <c r="D341" s="281" t="s">
        <v>1090</v>
      </c>
      <c r="E341" s="1882"/>
      <c r="F341" s="1882"/>
      <c r="G341" s="296">
        <f>SUMIF(ComEne26!$B$72:$B$215,$B341,ComEne26!G$72:G$215)*1000</f>
        <v>13741.908095999999</v>
      </c>
      <c r="H341" s="296">
        <f>SUMIF(ComEne26!$B$72:$B$215,$B341,ComEne26!H$72:H$215)*1000</f>
        <v>20261.166407999997</v>
      </c>
      <c r="I341" s="296">
        <f>SUMIF(ComEne26!$B$72:$B$215,$B341,ComEne26!I$72:I$215)*1000</f>
        <v>4678.4678640000002</v>
      </c>
      <c r="J341" s="296">
        <f>SUMIF(ComEne26!$B$72:$B$215,$B341,ComEne26!J$72:J$215)*1000</f>
        <v>4678.4678639999993</v>
      </c>
      <c r="K341" s="296">
        <f>SUMIF(ComEne26!$B$72:$B$215,$B341,ComEne26!K$72:K$215)*1000</f>
        <v>89871.979175999993</v>
      </c>
      <c r="L341" s="296">
        <f>SUMIF(ComEne26!$B$72:$B$215,$B341,ComEne26!L$72:L$215)*1000</f>
        <v>24513.941088</v>
      </c>
      <c r="M341" s="297">
        <f t="shared" ref="M341:M344" si="66">SUM(G341:L341)</f>
        <v>157745.93049599999</v>
      </c>
    </row>
    <row r="342" spans="2:13" s="38" customFormat="1">
      <c r="B342" s="281" t="s">
        <v>897</v>
      </c>
      <c r="C342" s="281" t="s">
        <v>1001</v>
      </c>
      <c r="D342" s="281" t="s">
        <v>1090</v>
      </c>
      <c r="E342" s="1882"/>
      <c r="F342" s="1882"/>
      <c r="G342" s="296">
        <f>SUMIF(ComEne26!$B$72:$B$215,$B342,ComEne26!G$72:G$215)*1000</f>
        <v>1155184.728894264</v>
      </c>
      <c r="H342" s="296">
        <f>SUMIF(ComEne26!$B$72:$B$215,$B342,ComEne26!H$72:H$215)*1000</f>
        <v>1127080.1946025158</v>
      </c>
      <c r="I342" s="296">
        <f>SUMIF(ComEne26!$B$72:$B$215,$B342,ComEne26!I$72:I$215)*1000</f>
        <v>1086274.7417400146</v>
      </c>
      <c r="J342" s="296">
        <f>SUMIF(ComEne26!$B$72:$B$215,$B342,ComEne26!J$72:J$215)*1000</f>
        <v>924987.09178823035</v>
      </c>
      <c r="K342" s="296">
        <f>SUMIF(ComEne26!$B$72:$B$215,$B342,ComEne26!K$72:K$215)*1000</f>
        <v>1079810.1714422968</v>
      </c>
      <c r="L342" s="296">
        <f>SUMIF(ComEne26!$B$72:$B$215,$B342,ComEne26!L$72:L$215)*1000</f>
        <v>1109527.9048088633</v>
      </c>
      <c r="M342" s="297">
        <f t="shared" si="66"/>
        <v>6482864.8332761852</v>
      </c>
    </row>
    <row r="343" spans="2:13" s="38" customFormat="1">
      <c r="B343" s="281" t="s">
        <v>391</v>
      </c>
      <c r="C343" s="281" t="s">
        <v>390</v>
      </c>
      <c r="D343" s="281" t="s">
        <v>387</v>
      </c>
      <c r="E343" s="1882"/>
      <c r="F343" s="1882"/>
      <c r="G343" s="296">
        <f>SUMIF(ComEne26!$B$72:$B$215,$B343,ComEne26!G$72:G$215)*1000</f>
        <v>0</v>
      </c>
      <c r="H343" s="296">
        <f>SUMIF(ComEne26!$B$72:$B$215,$B343,ComEne26!H$72:H$215)*1000</f>
        <v>0</v>
      </c>
      <c r="I343" s="296">
        <f>SUMIF(ComEne26!$B$72:$B$215,$B343,ComEne26!I$72:I$215)*1000</f>
        <v>0</v>
      </c>
      <c r="J343" s="296">
        <f>SUMIF(ComEne26!$B$72:$B$215,$B343,ComEne26!J$72:J$215)*1000</f>
        <v>0</v>
      </c>
      <c r="K343" s="296">
        <f>SUMIF(ComEne26!$B$72:$B$215,$B343,ComEne26!K$72:K$215)*1000</f>
        <v>0</v>
      </c>
      <c r="L343" s="296">
        <f>SUMIF(ComEne26!$B$72:$B$215,$B343,ComEne26!L$72:L$215)*1000</f>
        <v>0</v>
      </c>
      <c r="M343" s="297">
        <f t="shared" si="66"/>
        <v>0</v>
      </c>
    </row>
    <row r="344" spans="2:13" s="38" customFormat="1">
      <c r="B344" s="281" t="s">
        <v>393</v>
      </c>
      <c r="C344" s="281" t="s">
        <v>392</v>
      </c>
      <c r="D344" s="281" t="s">
        <v>387</v>
      </c>
      <c r="E344" s="1882"/>
      <c r="F344" s="1882"/>
      <c r="G344" s="296">
        <f>SUMIF(ComEne26!$B$72:$B$215,$B344,ComEne26!G$72:G$215)*1000</f>
        <v>0</v>
      </c>
      <c r="H344" s="296">
        <f>SUMIF(ComEne26!$B$72:$B$215,$B344,ComEne26!H$72:H$215)*1000</f>
        <v>0</v>
      </c>
      <c r="I344" s="296">
        <f>SUMIF(ComEne26!$B$72:$B$215,$B344,ComEne26!I$72:I$215)*1000</f>
        <v>0</v>
      </c>
      <c r="J344" s="296">
        <f>SUMIF(ComEne26!$B$72:$B$215,$B344,ComEne26!J$72:J$215)*1000</f>
        <v>0</v>
      </c>
      <c r="K344" s="296">
        <f>SUMIF(ComEne26!$B$72:$B$215,$B344,ComEne26!K$72:K$215)*1000</f>
        <v>0</v>
      </c>
      <c r="L344" s="296">
        <f>SUMIF(ComEne26!$B$72:$B$215,$B344,ComEne26!L$72:L$215)*1000</f>
        <v>0</v>
      </c>
      <c r="M344" s="297">
        <f t="shared" si="66"/>
        <v>0</v>
      </c>
    </row>
    <row r="345" spans="2:13" s="38" customFormat="1">
      <c r="B345" s="281"/>
      <c r="C345" s="284"/>
      <c r="D345" s="281"/>
      <c r="E345" s="1882"/>
      <c r="F345" s="1882"/>
      <c r="G345" s="296"/>
      <c r="H345" s="296"/>
      <c r="I345" s="296"/>
      <c r="J345" s="296"/>
      <c r="K345" s="296"/>
      <c r="L345" s="296"/>
      <c r="M345" s="297"/>
    </row>
    <row r="346" spans="2:13">
      <c r="B346" s="286"/>
      <c r="C346" s="286" t="s">
        <v>182</v>
      </c>
      <c r="D346" s="286"/>
      <c r="E346" s="1891"/>
      <c r="F346" s="1891"/>
      <c r="G346" s="298">
        <f t="shared" ref="G346:M346" si="67">SUM(G340:G345)</f>
        <v>20764490.830555134</v>
      </c>
      <c r="H346" s="298">
        <f t="shared" si="67"/>
        <v>19547510.520124637</v>
      </c>
      <c r="I346" s="298">
        <f t="shared" si="67"/>
        <v>19860043.010294721</v>
      </c>
      <c r="J346" s="298">
        <f t="shared" si="67"/>
        <v>22702346.96323717</v>
      </c>
      <c r="K346" s="298">
        <f t="shared" si="67"/>
        <v>20602720.667048167</v>
      </c>
      <c r="L346" s="298">
        <f t="shared" si="67"/>
        <v>21328730.208756488</v>
      </c>
      <c r="M346" s="298">
        <f t="shared" si="67"/>
        <v>124805842.20001633</v>
      </c>
    </row>
    <row r="347" spans="2:13" s="38" customFormat="1">
      <c r="B347" s="281" t="s">
        <v>389</v>
      </c>
      <c r="C347" s="281" t="s">
        <v>450</v>
      </c>
      <c r="D347" s="281" t="s">
        <v>389</v>
      </c>
      <c r="E347" s="1882"/>
      <c r="F347" s="1882"/>
      <c r="G347" s="296">
        <f>SUMIF(ComEne26!$B$72:$B$215,$B347,ComEne26!G$72:G$215)*1000</f>
        <v>3588473.9541752781</v>
      </c>
      <c r="H347" s="296">
        <f>SUMIF(ComEne26!$B$72:$B$215,$B347,ComEne26!H$72:H$215)*1000</f>
        <v>4053475.3582607391</v>
      </c>
      <c r="I347" s="296">
        <f>SUMIF(ComEne26!$B$72:$B$215,$B347,ComEne26!I$72:I$215)*1000</f>
        <v>3020748.9042044734</v>
      </c>
      <c r="J347" s="296">
        <f>SUMIF(ComEne26!$B$72:$B$215,$B347,ComEne26!J$72:J$215)*1000</f>
        <v>921534.86297386687</v>
      </c>
      <c r="K347" s="296">
        <f>SUMIF(ComEne26!$B$72:$B$215,$B347,ComEne26!K$72:K$215)*1000</f>
        <v>1672622.5203132641</v>
      </c>
      <c r="L347" s="296">
        <f>SUMIF(ComEne26!$B$72:$B$215,$B347,ComEne26!L$72:L$215)*1000</f>
        <v>2639954.9251209665</v>
      </c>
      <c r="M347" s="297">
        <f t="shared" ref="M347:M354" si="68">SUM(G347:L347)</f>
        <v>15896810.525048589</v>
      </c>
    </row>
    <row r="348" spans="2:13" s="38" customFormat="1">
      <c r="B348" s="281" t="s">
        <v>449</v>
      </c>
      <c r="C348" s="281" t="s">
        <v>398</v>
      </c>
      <c r="D348" s="281" t="s">
        <v>389</v>
      </c>
      <c r="E348" s="1882"/>
      <c r="F348" s="1882"/>
      <c r="G348" s="296">
        <f>SUMIF(ComEne26!$B$72:$B$215,$B348,ComEne26!G$72:G$215)*1000</f>
        <v>0</v>
      </c>
      <c r="H348" s="296">
        <f>SUMIF(ComEne26!$B$72:$B$215,$B348,ComEne26!H$72:H$215)*1000</f>
        <v>0</v>
      </c>
      <c r="I348" s="296">
        <f>SUMIF(ComEne26!$B$72:$B$215,$B348,ComEne26!I$72:I$215)*1000</f>
        <v>0</v>
      </c>
      <c r="J348" s="296">
        <f>SUMIF(ComEne26!$B$72:$B$215,$B348,ComEne26!J$72:J$215)*1000</f>
        <v>0</v>
      </c>
      <c r="K348" s="296">
        <f>SUMIF(ComEne26!$B$72:$B$215,$B348,ComEne26!K$72:K$215)*1000</f>
        <v>0</v>
      </c>
      <c r="L348" s="296">
        <f>SUMIF(ComEne26!$B$72:$B$215,$B348,ComEne26!L$72:L$215)*1000</f>
        <v>0</v>
      </c>
      <c r="M348" s="297">
        <f t="shared" si="68"/>
        <v>0</v>
      </c>
    </row>
    <row r="349" spans="2:13" s="38" customFormat="1">
      <c r="B349" s="281" t="s">
        <v>456</v>
      </c>
      <c r="C349" s="281" t="s">
        <v>394</v>
      </c>
      <c r="D349" s="281" t="s">
        <v>590</v>
      </c>
      <c r="E349" s="1882"/>
      <c r="F349" s="1882"/>
      <c r="G349" s="296">
        <f>SUMIF(ComEne26!$B$72:$B$215,$B349,ComEne26!G$72:G$215)*1000</f>
        <v>155793.54</v>
      </c>
      <c r="H349" s="296">
        <f>SUMIF(ComEne26!$B$72:$B$215,$B349,ComEne26!H$72:H$215)*1000</f>
        <v>189259.36</v>
      </c>
      <c r="I349" s="296">
        <f>SUMIF(ComEne26!$B$72:$B$215,$B349,ComEne26!I$72:I$215)*1000</f>
        <v>213691.98</v>
      </c>
      <c r="J349" s="296">
        <f>SUMIF(ComEne26!$B$72:$B$215,$B349,ComEne26!J$72:J$215)*1000</f>
        <v>142704.32999999999</v>
      </c>
      <c r="K349" s="296">
        <f>SUMIF(ComEne26!$B$72:$B$215,$B349,ComEne26!K$72:K$215)*1000</f>
        <v>118577.06</v>
      </c>
      <c r="L349" s="296">
        <f>SUMIF(ComEne26!$B$72:$B$215,$B349,ComEne26!L$72:L$215)*1000</f>
        <v>150832.95000000001</v>
      </c>
      <c r="M349" s="297">
        <f t="shared" si="68"/>
        <v>970859.22</v>
      </c>
    </row>
    <row r="350" spans="2:13" s="38" customFormat="1">
      <c r="B350" s="281" t="s">
        <v>466</v>
      </c>
      <c r="C350" s="281" t="s">
        <v>591</v>
      </c>
      <c r="D350" s="281" t="s">
        <v>776</v>
      </c>
      <c r="E350" s="1882"/>
      <c r="F350" s="1882"/>
      <c r="G350" s="296">
        <f>SUMIF(ComEne26!$B$72:$B$215,$B350,ComEne26!G$72:G$215)*1000</f>
        <v>324516.83</v>
      </c>
      <c r="H350" s="296">
        <f>SUMIF(ComEne26!$B$72:$B$215,$B350,ComEne26!H$72:H$215)*1000</f>
        <v>217022.55</v>
      </c>
      <c r="I350" s="296">
        <f>SUMIF(ComEne26!$B$72:$B$215,$B350,ComEne26!I$72:I$215)*1000</f>
        <v>129956.87000000001</v>
      </c>
      <c r="J350" s="296">
        <f>SUMIF(ComEne26!$B$72:$B$215,$B350,ComEne26!J$72:J$215)*1000</f>
        <v>182241.85</v>
      </c>
      <c r="K350" s="296">
        <f>SUMIF(ComEne26!$B$72:$B$215,$B350,ComEne26!K$72:K$215)*1000</f>
        <v>78234.31</v>
      </c>
      <c r="L350" s="296">
        <f>SUMIF(ComEne26!$B$72:$B$215,$B350,ComEne26!L$72:L$215)*1000</f>
        <v>190895.32</v>
      </c>
      <c r="M350" s="297">
        <f t="shared" si="68"/>
        <v>1122867.73</v>
      </c>
    </row>
    <row r="351" spans="2:13" s="38" customFormat="1">
      <c r="B351" s="281" t="s">
        <v>592</v>
      </c>
      <c r="C351" s="281" t="s">
        <v>481</v>
      </c>
      <c r="D351" s="281" t="s">
        <v>473</v>
      </c>
      <c r="E351" s="1882"/>
      <c r="F351" s="1882"/>
      <c r="G351" s="296">
        <f>SUMIF(ComEne26!$B$72:$B$215,$B351,ComEne26!G$72:G$215)*1000</f>
        <v>0</v>
      </c>
      <c r="H351" s="296">
        <f>SUMIF(ComEne26!$B$72:$B$215,$B351,ComEne26!H$72:H$215)*1000</f>
        <v>0</v>
      </c>
      <c r="I351" s="296">
        <f>SUMIF(ComEne26!$B$72:$B$215,$B351,ComEne26!I$72:I$215)*1000</f>
        <v>0</v>
      </c>
      <c r="J351" s="296">
        <f>SUMIF(ComEne26!$B$72:$B$215,$B351,ComEne26!J$72:J$215)*1000</f>
        <v>0</v>
      </c>
      <c r="K351" s="296">
        <f>SUMIF(ComEne26!$B$72:$B$215,$B351,ComEne26!K$72:K$215)*1000</f>
        <v>0</v>
      </c>
      <c r="L351" s="296">
        <f>SUMIF(ComEne26!$B$72:$B$215,$B351,ComEne26!L$72:L$215)*1000</f>
        <v>0</v>
      </c>
      <c r="M351" s="297">
        <f t="shared" si="68"/>
        <v>0</v>
      </c>
    </row>
    <row r="352" spans="2:13" s="38" customFormat="1">
      <c r="B352" s="281" t="s">
        <v>462</v>
      </c>
      <c r="C352" s="281" t="s">
        <v>396</v>
      </c>
      <c r="D352" s="281" t="s">
        <v>590</v>
      </c>
      <c r="E352" s="1882"/>
      <c r="F352" s="1882"/>
      <c r="G352" s="296">
        <f>SUMIF(ComEne26!$B$72:$B$215,$B352,ComEne26!G$72:G$215)*1000</f>
        <v>0</v>
      </c>
      <c r="H352" s="296">
        <f>SUMIF(ComEne26!$B$72:$B$215,$B352,ComEne26!H$72:H$215)*1000</f>
        <v>0</v>
      </c>
      <c r="I352" s="296">
        <f>SUMIF(ComEne26!$B$72:$B$215,$B352,ComEne26!I$72:I$215)*1000</f>
        <v>0</v>
      </c>
      <c r="J352" s="296">
        <f>SUMIF(ComEne26!$B$72:$B$215,$B352,ComEne26!J$72:J$215)*1000</f>
        <v>0</v>
      </c>
      <c r="K352" s="296">
        <f>SUMIF(ComEne26!$B$72:$B$215,$B352,ComEne26!K$72:K$215)*1000</f>
        <v>0</v>
      </c>
      <c r="L352" s="296">
        <f>SUMIF(ComEne26!$B$72:$B$215,$B352,ComEne26!L$72:L$215)*1000</f>
        <v>0</v>
      </c>
      <c r="M352" s="297">
        <f t="shared" si="68"/>
        <v>0</v>
      </c>
    </row>
    <row r="353" spans="2:13" s="38" customFormat="1">
      <c r="B353" s="281" t="s">
        <v>829</v>
      </c>
      <c r="C353" s="281" t="s">
        <v>828</v>
      </c>
      <c r="D353" s="281" t="s">
        <v>776</v>
      </c>
      <c r="E353" s="1882"/>
      <c r="F353" s="1882"/>
      <c r="G353" s="296">
        <f>SUMIF(ComEne26!$B$72:$B$215,$B353,ComEne26!G$72:G$215)*1000</f>
        <v>0</v>
      </c>
      <c r="H353" s="296">
        <f>SUMIF(ComEne26!$B$72:$B$215,$B353,ComEne26!H$72:H$215)*1000</f>
        <v>0</v>
      </c>
      <c r="I353" s="296">
        <f>SUMIF(ComEne26!$B$72:$B$215,$B353,ComEne26!I$72:I$215)*1000</f>
        <v>0</v>
      </c>
      <c r="J353" s="296">
        <f>SUMIF(ComEne26!$B$72:$B$215,$B353,ComEne26!J$72:J$215)*1000</f>
        <v>0</v>
      </c>
      <c r="K353" s="296">
        <f>SUMIF(ComEne26!$B$72:$B$215,$B353,ComEne26!K$72:K$215)*1000</f>
        <v>0</v>
      </c>
      <c r="L353" s="296">
        <f>SUMIF(ComEne26!$B$72:$B$215,$B353,ComEne26!L$72:L$215)*1000</f>
        <v>0</v>
      </c>
      <c r="M353" s="297">
        <f t="shared" si="68"/>
        <v>0</v>
      </c>
    </row>
    <row r="354" spans="2:13" s="38" customFormat="1">
      <c r="B354" s="281" t="s">
        <v>761</v>
      </c>
      <c r="C354" s="281" t="s">
        <v>699</v>
      </c>
      <c r="D354" s="281" t="s">
        <v>684</v>
      </c>
      <c r="E354" s="1882"/>
      <c r="F354" s="1882"/>
      <c r="G354" s="296">
        <f>SUMIF(ComEne26!$B$72:$B$215,$B354,ComEne26!G$72:G$215)*1000</f>
        <v>22537.846906770839</v>
      </c>
      <c r="H354" s="296">
        <f>SUMIF(ComEne26!$B$72:$B$215,$B354,ComEne26!H$72:H$215)*1000</f>
        <v>22537.846906770839</v>
      </c>
      <c r="I354" s="296">
        <f>SUMIF(ComEne26!$B$72:$B$215,$B354,ComEne26!I$72:I$215)*1000</f>
        <v>23967.106906770838</v>
      </c>
      <c r="J354" s="296">
        <f>SUMIF(ComEne26!$B$72:$B$215,$B354,ComEne26!J$72:J$215)*1000</f>
        <v>24013.074406770837</v>
      </c>
      <c r="K354" s="296">
        <f>SUMIF(ComEne26!$B$72:$B$215,$B354,ComEne26!K$72:K$215)*1000</f>
        <v>23906.400833333337</v>
      </c>
      <c r="L354" s="296">
        <f>SUMIF(ComEne26!$B$72:$B$215,$B354,ComEne26!L$72:L$215)*1000</f>
        <v>24187.680833333336</v>
      </c>
      <c r="M354" s="297">
        <f t="shared" si="68"/>
        <v>141149.95679375003</v>
      </c>
    </row>
    <row r="355" spans="2:13" s="38" customFormat="1">
      <c r="B355" s="281"/>
      <c r="C355" s="284"/>
      <c r="D355" s="281"/>
      <c r="E355" s="1882"/>
      <c r="F355" s="1882"/>
      <c r="G355" s="296"/>
      <c r="H355" s="296"/>
      <c r="I355" s="296"/>
      <c r="J355" s="296"/>
      <c r="K355" s="296"/>
      <c r="L355" s="296"/>
      <c r="M355" s="297"/>
    </row>
    <row r="356" spans="2:13" s="38" customFormat="1">
      <c r="B356" s="286"/>
      <c r="C356" s="286" t="s">
        <v>246</v>
      </c>
      <c r="D356" s="286"/>
      <c r="E356" s="1891"/>
      <c r="F356" s="1891"/>
      <c r="G356" s="298">
        <f t="shared" ref="G356:M356" si="69">SUM(G346:G355)</f>
        <v>24855813.001637179</v>
      </c>
      <c r="H356" s="298">
        <f t="shared" si="69"/>
        <v>24029805.635292146</v>
      </c>
      <c r="I356" s="298">
        <f t="shared" si="69"/>
        <v>23248407.871405967</v>
      </c>
      <c r="J356" s="298">
        <f t="shared" si="69"/>
        <v>23972841.080617804</v>
      </c>
      <c r="K356" s="298">
        <f t="shared" si="69"/>
        <v>22496060.958194762</v>
      </c>
      <c r="L356" s="298">
        <f t="shared" si="69"/>
        <v>24334601.084710788</v>
      </c>
      <c r="M356" s="298">
        <f t="shared" si="69"/>
        <v>142937529.63185868</v>
      </c>
    </row>
    <row r="357" spans="2:13" s="38" customFormat="1">
      <c r="B357" s="289"/>
      <c r="C357" s="284" t="s">
        <v>320</v>
      </c>
      <c r="D357" s="289"/>
      <c r="E357" s="1884"/>
      <c r="F357" s="1884"/>
      <c r="G357" s="299"/>
      <c r="H357" s="299"/>
      <c r="I357" s="299"/>
      <c r="J357" s="299"/>
      <c r="K357" s="299"/>
      <c r="L357" s="299"/>
      <c r="M357" s="291"/>
    </row>
    <row r="358" spans="2:13">
      <c r="B358" s="286"/>
      <c r="C358" s="286" t="s">
        <v>248</v>
      </c>
      <c r="D358" s="286"/>
      <c r="E358" s="1891"/>
      <c r="F358" s="1891"/>
      <c r="G358" s="298">
        <f>G356+G357</f>
        <v>24855813.001637179</v>
      </c>
      <c r="H358" s="298">
        <f t="shared" ref="H358:M358" si="70">H356+H357</f>
        <v>24029805.635292146</v>
      </c>
      <c r="I358" s="298">
        <f t="shared" si="70"/>
        <v>23248407.871405967</v>
      </c>
      <c r="J358" s="298">
        <f t="shared" si="70"/>
        <v>23972841.080617804</v>
      </c>
      <c r="K358" s="298">
        <f t="shared" si="70"/>
        <v>22496060.958194762</v>
      </c>
      <c r="L358" s="298">
        <f t="shared" si="70"/>
        <v>24334601.084710788</v>
      </c>
      <c r="M358" s="298">
        <f t="shared" si="70"/>
        <v>142937529.63185868</v>
      </c>
    </row>
    <row r="359" spans="2:13">
      <c r="G359" s="143"/>
    </row>
    <row r="360" spans="2:13" s="38" customFormat="1" ht="28.5">
      <c r="B360" s="309"/>
      <c r="C360" s="309" t="s">
        <v>502</v>
      </c>
      <c r="D360" s="309"/>
      <c r="E360" s="1890"/>
      <c r="F360" s="1890"/>
      <c r="G360" s="277" t="s">
        <v>501</v>
      </c>
      <c r="H360" s="277"/>
      <c r="I360" s="277"/>
      <c r="J360" s="277"/>
      <c r="K360" s="277"/>
      <c r="L360" s="277"/>
      <c r="M360" s="277"/>
    </row>
    <row r="361" spans="2:13" s="38" customFormat="1">
      <c r="B361" s="295"/>
      <c r="C361" s="295" t="s">
        <v>153</v>
      </c>
      <c r="D361" s="295"/>
      <c r="E361" s="1886"/>
      <c r="F361" s="1886"/>
      <c r="G361" s="280">
        <f t="shared" ref="G361:L361" si="71">G$4</f>
        <v>46204</v>
      </c>
      <c r="H361" s="280">
        <f t="shared" si="71"/>
        <v>46235</v>
      </c>
      <c r="I361" s="280">
        <f t="shared" si="71"/>
        <v>46266</v>
      </c>
      <c r="J361" s="280">
        <f t="shared" si="71"/>
        <v>46296</v>
      </c>
      <c r="K361" s="280">
        <f t="shared" si="71"/>
        <v>46327</v>
      </c>
      <c r="L361" s="280">
        <f t="shared" si="71"/>
        <v>46357</v>
      </c>
      <c r="M361" s="280" t="s">
        <v>111</v>
      </c>
    </row>
    <row r="362" spans="2:13">
      <c r="B362" s="281"/>
      <c r="C362" s="284"/>
      <c r="D362" s="281"/>
      <c r="E362" s="1882"/>
      <c r="F362" s="1882"/>
      <c r="G362" s="296"/>
      <c r="H362" s="296"/>
      <c r="I362" s="296"/>
      <c r="J362" s="296"/>
      <c r="K362" s="296"/>
      <c r="L362" s="296"/>
      <c r="M362" s="297">
        <f>SUM(G362:L362)</f>
        <v>0</v>
      </c>
    </row>
    <row r="363" spans="2:13">
      <c r="B363" s="281"/>
      <c r="C363" s="284"/>
      <c r="D363" s="281"/>
      <c r="E363" s="1882"/>
      <c r="F363" s="1882"/>
      <c r="G363" s="296"/>
      <c r="H363" s="296"/>
      <c r="I363" s="296"/>
      <c r="J363" s="296"/>
      <c r="K363" s="296"/>
      <c r="L363" s="296"/>
      <c r="M363" s="297">
        <f>SUM(G363:L363)</f>
        <v>0</v>
      </c>
    </row>
    <row r="364" spans="2:13" s="38" customFormat="1">
      <c r="B364" s="281"/>
      <c r="C364" s="284"/>
      <c r="D364" s="281"/>
      <c r="E364" s="1882"/>
      <c r="F364" s="1882"/>
      <c r="G364" s="296"/>
      <c r="H364" s="296"/>
      <c r="I364" s="296"/>
      <c r="J364" s="296"/>
      <c r="K364" s="296"/>
      <c r="L364" s="296"/>
      <c r="M364" s="297"/>
    </row>
    <row r="365" spans="2:13" s="38" customFormat="1" ht="40.5">
      <c r="B365" s="286"/>
      <c r="C365" s="311" t="s">
        <v>503</v>
      </c>
      <c r="D365" s="286"/>
      <c r="E365" s="1891"/>
      <c r="F365" s="1891"/>
      <c r="G365" s="298">
        <f t="shared" ref="G365:M365" si="72">SUM(G362:G364)</f>
        <v>0</v>
      </c>
      <c r="H365" s="298">
        <f t="shared" si="72"/>
        <v>0</v>
      </c>
      <c r="I365" s="298">
        <f t="shared" si="72"/>
        <v>0</v>
      </c>
      <c r="J365" s="298">
        <f t="shared" si="72"/>
        <v>0</v>
      </c>
      <c r="K365" s="298">
        <f t="shared" si="72"/>
        <v>0</v>
      </c>
      <c r="L365" s="298">
        <f t="shared" si="72"/>
        <v>0</v>
      </c>
      <c r="M365" s="298">
        <f t="shared" si="72"/>
        <v>0</v>
      </c>
    </row>
    <row r="366" spans="2:13" s="38" customFormat="1">
      <c r="B366" s="281" t="s">
        <v>592</v>
      </c>
      <c r="C366" s="284" t="s">
        <v>481</v>
      </c>
      <c r="D366" s="281"/>
      <c r="E366" s="1882"/>
      <c r="F366" s="1882"/>
      <c r="G366" s="296"/>
      <c r="H366" s="296"/>
      <c r="I366" s="296"/>
      <c r="J366" s="296"/>
      <c r="K366" s="296"/>
      <c r="L366" s="296"/>
      <c r="M366" s="297">
        <f t="shared" ref="M366:M371" si="73">SUM(G366:L366)</f>
        <v>0</v>
      </c>
    </row>
    <row r="367" spans="2:13" s="38" customFormat="1" ht="40.5">
      <c r="B367" s="281" t="s">
        <v>466</v>
      </c>
      <c r="C367" s="312" t="s">
        <v>505</v>
      </c>
      <c r="D367" s="281"/>
      <c r="E367" s="1882"/>
      <c r="F367" s="1882"/>
      <c r="G367" s="296"/>
      <c r="H367" s="296"/>
      <c r="I367" s="296"/>
      <c r="J367" s="296"/>
      <c r="K367" s="296"/>
      <c r="L367" s="296"/>
      <c r="M367" s="297">
        <f t="shared" si="73"/>
        <v>0</v>
      </c>
    </row>
    <row r="368" spans="2:13" s="38" customFormat="1" ht="40.5">
      <c r="B368" s="281" t="s">
        <v>389</v>
      </c>
      <c r="C368" s="312" t="s">
        <v>506</v>
      </c>
      <c r="D368" s="281"/>
      <c r="E368" s="1882"/>
      <c r="F368" s="1882"/>
      <c r="G368" s="296"/>
      <c r="H368" s="296"/>
      <c r="I368" s="296"/>
      <c r="J368" s="296"/>
      <c r="K368" s="296"/>
      <c r="L368" s="296"/>
      <c r="M368" s="297">
        <f t="shared" si="73"/>
        <v>0</v>
      </c>
    </row>
    <row r="369" spans="2:15" s="38" customFormat="1" ht="27">
      <c r="B369" s="281"/>
      <c r="C369" s="312" t="s">
        <v>697</v>
      </c>
      <c r="D369" s="281"/>
      <c r="E369" s="1882"/>
      <c r="F369" s="1882"/>
      <c r="G369" s="296"/>
      <c r="H369" s="296"/>
      <c r="I369" s="296"/>
      <c r="J369" s="296"/>
      <c r="K369" s="296"/>
      <c r="L369" s="296"/>
      <c r="M369" s="297"/>
    </row>
    <row r="370" spans="2:15" s="38" customFormat="1">
      <c r="B370" s="281"/>
      <c r="C370" s="312"/>
      <c r="D370" s="281"/>
      <c r="E370" s="1882"/>
      <c r="F370" s="1882"/>
      <c r="G370" s="296"/>
      <c r="H370" s="296"/>
      <c r="I370" s="296"/>
      <c r="J370" s="296"/>
      <c r="K370" s="296"/>
      <c r="L370" s="296"/>
      <c r="M370" s="297">
        <f t="shared" si="73"/>
        <v>0</v>
      </c>
    </row>
    <row r="371" spans="2:15" s="38" customFormat="1">
      <c r="B371" s="281"/>
      <c r="C371" s="284"/>
      <c r="D371" s="281"/>
      <c r="E371" s="1882"/>
      <c r="F371" s="1882"/>
      <c r="G371" s="296"/>
      <c r="H371" s="296"/>
      <c r="I371" s="296"/>
      <c r="J371" s="296"/>
      <c r="K371" s="296"/>
      <c r="L371" s="296"/>
      <c r="M371" s="297">
        <f t="shared" si="73"/>
        <v>0</v>
      </c>
    </row>
    <row r="372" spans="2:15">
      <c r="B372" s="286"/>
      <c r="C372" s="286" t="s">
        <v>504</v>
      </c>
      <c r="D372" s="286"/>
      <c r="E372" s="1891"/>
      <c r="F372" s="1891"/>
      <c r="G372" s="298">
        <f t="shared" ref="G372:M372" si="74">SUM(G365:G371)</f>
        <v>0</v>
      </c>
      <c r="H372" s="298">
        <f t="shared" si="74"/>
        <v>0</v>
      </c>
      <c r="I372" s="298">
        <f t="shared" si="74"/>
        <v>0</v>
      </c>
      <c r="J372" s="298">
        <f t="shared" si="74"/>
        <v>0</v>
      </c>
      <c r="K372" s="298">
        <f t="shared" si="74"/>
        <v>0</v>
      </c>
      <c r="L372" s="298">
        <f t="shared" si="74"/>
        <v>0</v>
      </c>
      <c r="M372" s="298">
        <f t="shared" si="74"/>
        <v>0</v>
      </c>
    </row>
    <row r="373" spans="2:15">
      <c r="G373" s="313"/>
      <c r="H373" s="313"/>
      <c r="I373" s="313"/>
      <c r="J373" s="313"/>
      <c r="K373" s="313"/>
      <c r="L373" s="313"/>
    </row>
    <row r="374" spans="2:15">
      <c r="B374" s="286"/>
      <c r="C374" s="286" t="s">
        <v>507</v>
      </c>
      <c r="D374" s="286"/>
      <c r="E374" s="1891"/>
      <c r="F374" s="1891"/>
      <c r="G374" s="298">
        <f t="shared" ref="G374:M374" si="75">G358+G372</f>
        <v>24855813.001637179</v>
      </c>
      <c r="H374" s="298">
        <f t="shared" si="75"/>
        <v>24029805.635292146</v>
      </c>
      <c r="I374" s="298">
        <f t="shared" si="75"/>
        <v>23248407.871405967</v>
      </c>
      <c r="J374" s="298">
        <f t="shared" si="75"/>
        <v>23972841.080617804</v>
      </c>
      <c r="K374" s="298">
        <f t="shared" si="75"/>
        <v>22496060.958194762</v>
      </c>
      <c r="L374" s="298">
        <f t="shared" si="75"/>
        <v>24334601.084710788</v>
      </c>
      <c r="M374" s="298">
        <f t="shared" si="75"/>
        <v>142937529.63185868</v>
      </c>
    </row>
    <row r="375" spans="2:15">
      <c r="G375" s="700"/>
      <c r="H375" s="700"/>
      <c r="I375" s="700"/>
      <c r="J375" s="700"/>
      <c r="K375" s="700"/>
      <c r="L375" s="700"/>
      <c r="M375" s="700"/>
    </row>
    <row r="376" spans="2:15">
      <c r="B376" s="286"/>
      <c r="C376" s="286" t="s">
        <v>508</v>
      </c>
      <c r="D376" s="286"/>
      <c r="E376" s="1891"/>
      <c r="F376" s="1891"/>
      <c r="G376" s="298">
        <f t="shared" ref="G376:M376" si="76">G374+G128</f>
        <v>41108273.757537618</v>
      </c>
      <c r="H376" s="298">
        <f t="shared" si="76"/>
        <v>40255199.59919259</v>
      </c>
      <c r="I376" s="298">
        <f t="shared" si="76"/>
        <v>39642715.857306406</v>
      </c>
      <c r="J376" s="298">
        <f t="shared" si="76"/>
        <v>40353976.58251825</v>
      </c>
      <c r="K376" s="298">
        <f t="shared" si="76"/>
        <v>38762223.74609521</v>
      </c>
      <c r="L376" s="298">
        <f t="shared" si="76"/>
        <v>40659365.464611232</v>
      </c>
      <c r="M376" s="298">
        <f t="shared" si="76"/>
        <v>240781755.00726134</v>
      </c>
    </row>
    <row r="377" spans="2:15">
      <c r="G377" s="1535">
        <f>G376-ComEne26!G215*1000</f>
        <v>0</v>
      </c>
      <c r="H377" s="1535">
        <f>H376-ComEne26!H215*1000</f>
        <v>0</v>
      </c>
      <c r="I377" s="1535">
        <f>I376-ComEne26!I215*1000</f>
        <v>0</v>
      </c>
      <c r="J377" s="1535">
        <f>J376-ComEne26!J215*1000</f>
        <v>0</v>
      </c>
      <c r="K377" s="1535">
        <f>K376-ComEne26!K215*1000</f>
        <v>0</v>
      </c>
      <c r="L377" s="1535">
        <f>L376-ComEne26!L215*1000</f>
        <v>0</v>
      </c>
      <c r="M377" s="1535">
        <f>M376-ComEne26!M215*1000</f>
        <v>0</v>
      </c>
    </row>
    <row r="378" spans="2:15">
      <c r="B378" s="52"/>
      <c r="C378" s="52" t="str">
        <f>'PORTADA PORTADA PORTADA'!$B$23</f>
        <v>1 DE JULIO DE 2026</v>
      </c>
      <c r="D378" s="52"/>
      <c r="E378" s="1896"/>
      <c r="F378" s="1896"/>
    </row>
    <row r="381" spans="2:15">
      <c r="B381" s="147"/>
      <c r="C381" s="315" t="s">
        <v>474</v>
      </c>
      <c r="D381" s="315"/>
      <c r="G381" s="316">
        <f>G376</f>
        <v>41108273.757537618</v>
      </c>
      <c r="H381" s="316">
        <f t="shared" ref="H381:M381" si="77">H376</f>
        <v>40255199.59919259</v>
      </c>
      <c r="I381" s="316">
        <f t="shared" si="77"/>
        <v>39642715.857306406</v>
      </c>
      <c r="J381" s="316">
        <f t="shared" si="77"/>
        <v>40353976.58251825</v>
      </c>
      <c r="K381" s="316">
        <f t="shared" si="77"/>
        <v>38762223.74609521</v>
      </c>
      <c r="L381" s="316">
        <f t="shared" si="77"/>
        <v>40659365.464611232</v>
      </c>
      <c r="M381" s="316">
        <f t="shared" si="77"/>
        <v>240781755.00726134</v>
      </c>
      <c r="O381" s="536">
        <f>M381/M385-1</f>
        <v>-2.3119226634511048E-2</v>
      </c>
    </row>
    <row r="382" spans="2:15">
      <c r="B382" s="147"/>
      <c r="C382" s="315" t="s">
        <v>476</v>
      </c>
      <c r="D382" s="315"/>
      <c r="G382" s="317">
        <f t="shared" ref="G382:M382" si="78">G204</f>
        <v>339902.59296055889</v>
      </c>
      <c r="H382" s="317">
        <f t="shared" si="78"/>
        <v>332749.3511075179</v>
      </c>
      <c r="I382" s="317">
        <f t="shared" si="78"/>
        <v>321218.24494560354</v>
      </c>
      <c r="J382" s="317">
        <f t="shared" si="78"/>
        <v>328193.80613967916</v>
      </c>
      <c r="K382" s="317">
        <f t="shared" si="78"/>
        <v>305879.49235413468</v>
      </c>
      <c r="L382" s="317">
        <f t="shared" si="78"/>
        <v>324027.93009133229</v>
      </c>
      <c r="M382" s="317">
        <f t="shared" si="78"/>
        <v>1951971.4175988266</v>
      </c>
      <c r="O382" s="536">
        <f>M382/M386-1</f>
        <v>2.4363567196060476E-2</v>
      </c>
    </row>
    <row r="383" spans="2:15">
      <c r="B383" s="147"/>
      <c r="C383" s="315" t="s">
        <v>475</v>
      </c>
      <c r="D383" s="315"/>
      <c r="G383" s="318">
        <f>G381/G382</f>
        <v>120.94133616188</v>
      </c>
      <c r="H383" s="318">
        <f t="shared" ref="H383:M383" si="79">H381/H382</f>
        <v>120.97754500559593</v>
      </c>
      <c r="I383" s="318">
        <f t="shared" si="79"/>
        <v>123.41364938352014</v>
      </c>
      <c r="J383" s="318">
        <f t="shared" si="79"/>
        <v>122.95776406378496</v>
      </c>
      <c r="K383" s="318">
        <f t="shared" si="79"/>
        <v>126.72383966564814</v>
      </c>
      <c r="L383" s="318">
        <f t="shared" si="79"/>
        <v>125.48105175115849</v>
      </c>
      <c r="M383" s="318">
        <f t="shared" si="79"/>
        <v>123.3531151308832</v>
      </c>
      <c r="O383" s="536">
        <f>M383/M387-1</f>
        <v>-4.6353458236067402E-2</v>
      </c>
    </row>
    <row r="384" spans="2:15">
      <c r="G384" s="64"/>
      <c r="H384" s="64"/>
      <c r="I384" s="64"/>
      <c r="J384" s="64"/>
      <c r="K384" s="64"/>
      <c r="L384" s="64"/>
      <c r="M384" s="65"/>
    </row>
    <row r="385" spans="3:13">
      <c r="C385" s="315" t="s">
        <v>474</v>
      </c>
      <c r="D385" s="315"/>
      <c r="G385" s="316">
        <f>'G522'!H455</f>
        <v>41801438.940734275</v>
      </c>
      <c r="H385" s="316">
        <f>'G522'!I455</f>
        <v>41905780.1894449</v>
      </c>
      <c r="I385" s="316">
        <f>'G522'!J455</f>
        <v>41217846.040012844</v>
      </c>
      <c r="J385" s="316">
        <f>'G522'!K455</f>
        <v>40907137.856718026</v>
      </c>
      <c r="K385" s="316">
        <f>'G522'!L455</f>
        <v>39559283.837440327</v>
      </c>
      <c r="L385" s="316">
        <f>'G522'!M455</f>
        <v>41088699.43078468</v>
      </c>
      <c r="M385" s="316">
        <f>'G522'!N455</f>
        <v>246480186.29513508</v>
      </c>
    </row>
    <row r="386" spans="3:13">
      <c r="C386" s="315" t="s">
        <v>476</v>
      </c>
      <c r="D386" s="315"/>
      <c r="G386" s="317">
        <f>'G522'!H456</f>
        <v>332138.11144598958</v>
      </c>
      <c r="H386" s="317">
        <f>'G522'!I456</f>
        <v>324914.3339066896</v>
      </c>
      <c r="I386" s="317">
        <f>'G522'!J456</f>
        <v>313596.49021448952</v>
      </c>
      <c r="J386" s="317">
        <f>'G522'!K456</f>
        <v>320304.80250998953</v>
      </c>
      <c r="K386" s="317">
        <f>'G522'!L456</f>
        <v>298487.26219648949</v>
      </c>
      <c r="L386" s="317">
        <f>'G522'!M456</f>
        <v>316104.53073528956</v>
      </c>
      <c r="M386" s="317">
        <f>'G522'!N456</f>
        <v>1905545.5310089376</v>
      </c>
    </row>
    <row r="387" spans="3:13">
      <c r="C387" s="315" t="s">
        <v>475</v>
      </c>
      <c r="D387" s="315"/>
      <c r="G387" s="318">
        <f>'G522'!H457</f>
        <v>125.85559290003908</v>
      </c>
      <c r="H387" s="318">
        <f>'G522'!I457</f>
        <v>128.97485834367527</v>
      </c>
      <c r="I387" s="318">
        <f>'G522'!J457</f>
        <v>131.43592905590626</v>
      </c>
      <c r="J387" s="318">
        <f>'G522'!K457</f>
        <v>127.71315801748626</v>
      </c>
      <c r="K387" s="318">
        <f>'G522'!L457</f>
        <v>132.53256955199336</v>
      </c>
      <c r="L387" s="318">
        <f>'G522'!M457</f>
        <v>129.98453181043755</v>
      </c>
      <c r="M387" s="318">
        <f>'G522'!N457</f>
        <v>129.34888318550443</v>
      </c>
    </row>
    <row r="389" spans="3:13" s="58" customFormat="1" ht="12">
      <c r="G389" s="1898">
        <f t="shared" ref="G389:M389" si="80">G44</f>
        <v>0</v>
      </c>
      <c r="H389" s="1898">
        <f t="shared" si="80"/>
        <v>0</v>
      </c>
      <c r="I389" s="1898">
        <f t="shared" si="80"/>
        <v>0</v>
      </c>
      <c r="J389" s="1898">
        <f t="shared" si="80"/>
        <v>0</v>
      </c>
      <c r="K389" s="1898">
        <f t="shared" si="80"/>
        <v>0</v>
      </c>
      <c r="L389" s="1898">
        <f t="shared" si="80"/>
        <v>0</v>
      </c>
      <c r="M389" s="1898">
        <f t="shared" si="80"/>
        <v>0</v>
      </c>
    </row>
    <row r="390" spans="3:13" s="58" customFormat="1" ht="12">
      <c r="G390" s="1898">
        <f t="shared" ref="G390:M390" si="81">G129</f>
        <v>8.9494278654456139E-10</v>
      </c>
      <c r="H390" s="1898">
        <f t="shared" si="81"/>
        <v>2.0809238776564598E-9</v>
      </c>
      <c r="I390" s="1898">
        <f t="shared" si="81"/>
        <v>1.7171259969472885E-9</v>
      </c>
      <c r="J390" s="1898">
        <f t="shared" si="81"/>
        <v>1.9499566406011581E-9</v>
      </c>
      <c r="K390" s="1898">
        <f t="shared" si="81"/>
        <v>0</v>
      </c>
      <c r="L390" s="1898">
        <f t="shared" si="81"/>
        <v>1.3387762010097504E-9</v>
      </c>
      <c r="M390" s="1898">
        <f t="shared" si="81"/>
        <v>-1.1641532182693481E-9</v>
      </c>
    </row>
    <row r="391" spans="3:13" s="58" customFormat="1" ht="12">
      <c r="G391" s="1898">
        <f t="shared" ref="G391:M391" si="82">G206</f>
        <v>0</v>
      </c>
      <c r="H391" s="1898">
        <f t="shared" si="82"/>
        <v>0</v>
      </c>
      <c r="I391" s="1898">
        <f t="shared" si="82"/>
        <v>0</v>
      </c>
      <c r="J391" s="1898">
        <f t="shared" si="82"/>
        <v>0</v>
      </c>
      <c r="K391" s="1898">
        <f t="shared" si="82"/>
        <v>0</v>
      </c>
      <c r="L391" s="1898">
        <f t="shared" si="82"/>
        <v>0</v>
      </c>
      <c r="M391" s="1898">
        <f t="shared" si="82"/>
        <v>0</v>
      </c>
    </row>
    <row r="392" spans="3:13" s="58" customFormat="1" ht="12">
      <c r="G392" s="1898">
        <f>G377</f>
        <v>0</v>
      </c>
      <c r="H392" s="1898">
        <f t="shared" ref="H392:M392" si="83">H377</f>
        <v>0</v>
      </c>
      <c r="I392" s="1898">
        <f t="shared" si="83"/>
        <v>0</v>
      </c>
      <c r="J392" s="1898">
        <f t="shared" si="83"/>
        <v>0</v>
      </c>
      <c r="K392" s="1898">
        <f t="shared" si="83"/>
        <v>0</v>
      </c>
      <c r="L392" s="1898">
        <f t="shared" si="83"/>
        <v>0</v>
      </c>
      <c r="M392" s="1898">
        <f t="shared" si="83"/>
        <v>0</v>
      </c>
    </row>
  </sheetData>
  <phoneticPr fontId="0" type="noConversion"/>
  <printOptions horizontalCentered="1" verticalCentered="1"/>
  <pageMargins left="0.59055118110236227" right="0.59055118110236227" top="0.78740157480314965" bottom="0.59055118110236227" header="0.59055118110236227" footer="0.47244094488188981"/>
  <pageSetup scale="26" orientation="portrait" r:id="rId1"/>
  <headerFooter>
    <oddHeader>&amp;L&amp;"Times New Roman,Negrita"&amp;14Nombre de la Distribuidora: &amp;K06-048ENSA&amp;RASEP FORM: &amp;A</oddHeader>
    <oddFooter>&amp;R&amp;A</oddFooter>
  </headerFooter>
  <rowBreaks count="4" manualBreakCount="4">
    <brk id="130" max="10" man="1"/>
    <brk id="210" max="10" man="1"/>
    <brk id="503" max="11" man="1"/>
    <brk id="614" max="1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0">
    <tabColor theme="4" tint="0.39997558519241921"/>
    <pageSetUpPr fitToPage="1"/>
  </sheetPr>
  <dimension ref="B1:D17"/>
  <sheetViews>
    <sheetView view="pageBreakPreview" zoomScale="85" zoomScaleNormal="100" zoomScaleSheetLayoutView="85" workbookViewId="0">
      <selection activeCell="D5" sqref="D5"/>
    </sheetView>
  </sheetViews>
  <sheetFormatPr baseColWidth="10" defaultColWidth="10" defaultRowHeight="13.5"/>
  <cols>
    <col min="1" max="1" width="1.375" style="730" customWidth="1"/>
    <col min="2" max="2" width="2.75" style="731" bestFit="1" customWidth="1"/>
    <col min="3" max="3" width="89.125" style="730" customWidth="1"/>
    <col min="4" max="4" width="12" style="730" bestFit="1" customWidth="1"/>
    <col min="5" max="5" width="4.75" style="730" customWidth="1"/>
    <col min="6" max="6" width="14" style="730" bestFit="1" customWidth="1"/>
    <col min="7" max="7" width="11.875" style="730" customWidth="1"/>
    <col min="8" max="11" width="10" style="730"/>
    <col min="12" max="13" width="13.875" style="730" customWidth="1"/>
    <col min="14" max="16384" width="10" style="730"/>
  </cols>
  <sheetData>
    <row r="1" spans="2:4">
      <c r="B1" s="732"/>
      <c r="C1" s="271" t="s">
        <v>311</v>
      </c>
    </row>
    <row r="2" spans="2:4">
      <c r="B2" s="732"/>
      <c r="C2" s="942" t="s">
        <v>25</v>
      </c>
    </row>
    <row r="3" spans="2:4" s="38" customFormat="1">
      <c r="B3" s="573"/>
      <c r="D3" s="1242"/>
    </row>
    <row r="4" spans="2:4" ht="27">
      <c r="B4" s="943">
        <v>1</v>
      </c>
      <c r="C4" s="198" t="s">
        <v>1554</v>
      </c>
      <c r="D4" s="944">
        <f>AjGen500!D31</f>
        <v>147318763.47011015</v>
      </c>
    </row>
    <row r="5" spans="2:4" ht="27">
      <c r="B5" s="945">
        <v>2</v>
      </c>
      <c r="C5" s="198" t="s">
        <v>1555</v>
      </c>
      <c r="D5" s="944">
        <f>AjTran300!D37</f>
        <v>16340463.98716468</v>
      </c>
    </row>
    <row r="6" spans="2:4" ht="27">
      <c r="B6" s="945">
        <v>3</v>
      </c>
      <c r="C6" s="198" t="s">
        <v>1556</v>
      </c>
      <c r="D6" s="944">
        <f>AjPTran400!E12</f>
        <v>8098876.3769502481</v>
      </c>
    </row>
    <row r="7" spans="2:4" ht="27.75" thickBot="1">
      <c r="B7" s="946">
        <v>4</v>
      </c>
      <c r="C7" s="947" t="s">
        <v>1557</v>
      </c>
      <c r="D7" s="948">
        <f>SUM(D4:D6)</f>
        <v>171758103.83422506</v>
      </c>
    </row>
    <row r="8" spans="2:4" ht="54">
      <c r="B8" s="949">
        <v>5</v>
      </c>
      <c r="C8" s="950" t="s">
        <v>1558</v>
      </c>
      <c r="D8" s="951">
        <f>AjGen500PD!D10</f>
        <v>17378294.122429207</v>
      </c>
    </row>
    <row r="9" spans="2:4" ht="54">
      <c r="B9" s="945">
        <v>6</v>
      </c>
      <c r="C9" s="198" t="s">
        <v>1559</v>
      </c>
      <c r="D9" s="944">
        <f>AjTran300!E50</f>
        <v>-821821.4647742298</v>
      </c>
    </row>
    <row r="10" spans="2:4" ht="54">
      <c r="B10" s="945">
        <v>7</v>
      </c>
      <c r="C10" s="198" t="s">
        <v>1560</v>
      </c>
      <c r="D10" s="944">
        <f>AjPTran400!E22</f>
        <v>3642277.056656593</v>
      </c>
    </row>
    <row r="11" spans="2:4" ht="68.25" thickBot="1">
      <c r="B11" s="946">
        <v>8</v>
      </c>
      <c r="C11" s="947" t="s">
        <v>1561</v>
      </c>
      <c r="D11" s="948">
        <f>SUM(D8:D10)</f>
        <v>20198749.71431157</v>
      </c>
    </row>
    <row r="12" spans="2:4" ht="27">
      <c r="B12" s="949">
        <v>9</v>
      </c>
      <c r="C12" s="950" t="s">
        <v>1562</v>
      </c>
      <c r="D12" s="951">
        <f>AjGen500!E36</f>
        <v>152191675.94726148</v>
      </c>
    </row>
    <row r="13" spans="2:4" ht="27">
      <c r="B13" s="945">
        <v>10</v>
      </c>
      <c r="C13" s="198" t="s">
        <v>1563</v>
      </c>
      <c r="D13" s="944">
        <f>AjTran300!E41</f>
        <v>13580707.459459314</v>
      </c>
    </row>
    <row r="14" spans="2:4" ht="27">
      <c r="B14" s="945">
        <v>11</v>
      </c>
      <c r="C14" s="198" t="s">
        <v>1564</v>
      </c>
      <c r="D14" s="944">
        <f>AjPTran400!E13</f>
        <v>6192411.312261492</v>
      </c>
    </row>
    <row r="15" spans="2:4" ht="27.75" thickBot="1">
      <c r="B15" s="946">
        <v>12</v>
      </c>
      <c r="C15" s="947" t="s">
        <v>1565</v>
      </c>
      <c r="D15" s="948">
        <f>SUM(D12:D14)</f>
        <v>171964794.71898228</v>
      </c>
    </row>
    <row r="16" spans="2:4">
      <c r="B16" s="949">
        <v>13</v>
      </c>
      <c r="C16" s="950" t="s">
        <v>1566</v>
      </c>
      <c r="D16" s="1552">
        <f>D7/D$15</f>
        <v>0.99879806279480066</v>
      </c>
    </row>
    <row r="17" spans="2:4">
      <c r="B17" s="945">
        <v>14</v>
      </c>
      <c r="C17" s="198" t="s">
        <v>1567</v>
      </c>
      <c r="D17" s="1236">
        <f>SUM(D11:D11)/D$15</f>
        <v>0.11745863301450467</v>
      </c>
    </row>
  </sheetData>
  <phoneticPr fontId="0" type="noConversion"/>
  <printOptions horizontalCentered="1" verticalCentered="1"/>
  <pageMargins left="0.59055118110236227" right="0.39370078740157483" top="0.78740157480314965" bottom="0.39370078740157483" header="0.59055118110236227" footer="0.47244094488188981"/>
  <pageSetup scale="85" orientation="portrait" r:id="rId1"/>
  <headerFooter>
    <oddHeader>&amp;L&amp;"Times New Roman,Negrita"&amp;14Nombre de la Distribuidora: &amp;K06-048ENSA&amp;RASEP FORM: &amp;A</oddHeader>
    <oddFooter>&amp;R&amp;A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9264" r:id="rId4">
          <objectPr defaultSize="0" autoPict="0" r:id="rId5">
            <anchor>
              <from>
                <xdr:col>2</xdr:col>
                <xdr:colOff>4581525</xdr:colOff>
                <xdr:row>134</xdr:row>
                <xdr:rowOff>47625</xdr:rowOff>
              </from>
              <to>
                <xdr:col>2</xdr:col>
                <xdr:colOff>5886450</xdr:colOff>
                <xdr:row>134</xdr:row>
                <xdr:rowOff>47625</xdr:rowOff>
              </to>
            </anchor>
          </objectPr>
        </oleObject>
      </mc:Choice>
      <mc:Fallback>
        <oleObject progId="Equation.3" shapeId="9264" r:id="rId4"/>
      </mc:Fallback>
    </mc:AlternateContent>
  </oleObjec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55">
    <tabColor theme="5" tint="0.79998168889431442"/>
  </sheetPr>
  <dimension ref="B1:M441"/>
  <sheetViews>
    <sheetView view="pageBreakPreview" zoomScale="70" zoomScaleNormal="85" zoomScaleSheetLayoutView="70" workbookViewId="0">
      <selection activeCell="F18" sqref="F18"/>
    </sheetView>
  </sheetViews>
  <sheetFormatPr baseColWidth="10" defaultColWidth="8" defaultRowHeight="15"/>
  <cols>
    <col min="1" max="1" width="1.875" style="63" customWidth="1"/>
    <col min="2" max="2" width="7" style="48" customWidth="1"/>
    <col min="3" max="3" width="30.25" style="63" customWidth="1"/>
    <col min="4" max="4" width="11.75" style="63" customWidth="1"/>
    <col min="5" max="5" width="12.625" style="63" customWidth="1"/>
    <col min="6" max="6" width="12.75" style="63" customWidth="1"/>
    <col min="7" max="7" width="13.25" style="63" customWidth="1"/>
    <col min="8" max="8" width="13.875" style="63" customWidth="1"/>
    <col min="9" max="9" width="11.5" style="63" customWidth="1"/>
    <col min="10" max="10" width="13.125" style="63" customWidth="1"/>
    <col min="11" max="11" width="2.25" style="63" customWidth="1"/>
    <col min="12" max="12" width="4.25" style="319" bestFit="1" customWidth="1"/>
    <col min="13" max="16384" width="8" style="63"/>
  </cols>
  <sheetData>
    <row r="1" spans="2:10" s="69" customFormat="1" ht="15.75">
      <c r="B1" s="48"/>
      <c r="C1" s="136" t="s">
        <v>151</v>
      </c>
      <c r="E1" s="63"/>
    </row>
    <row r="2" spans="2:10" s="69" customFormat="1" ht="15.75">
      <c r="B2" s="48"/>
      <c r="C2" s="136"/>
      <c r="E2" s="137"/>
    </row>
    <row r="3" spans="2:10" s="69" customFormat="1" ht="15.75">
      <c r="B3" s="48"/>
      <c r="C3" s="70" t="s">
        <v>865</v>
      </c>
      <c r="D3" s="137"/>
    </row>
    <row r="4" spans="2:10" s="69" customFormat="1" ht="15.75">
      <c r="B4" s="48"/>
      <c r="C4" s="219" t="s">
        <v>1528</v>
      </c>
      <c r="D4" s="219"/>
      <c r="E4" s="219"/>
      <c r="F4" s="219"/>
      <c r="G4" s="219"/>
      <c r="H4" s="219"/>
      <c r="I4" s="219"/>
      <c r="J4" s="219"/>
    </row>
    <row r="5" spans="2:10" s="74" customFormat="1" ht="18.75" customHeight="1">
      <c r="B5" s="48"/>
      <c r="C5" s="322"/>
      <c r="D5" s="322"/>
      <c r="E5" s="323"/>
      <c r="F5" s="322"/>
      <c r="G5" s="322"/>
      <c r="H5" s="322"/>
      <c r="I5" s="322"/>
    </row>
    <row r="6" spans="2:10" s="58" customFormat="1" ht="22.5">
      <c r="B6" s="48"/>
      <c r="C6" s="324" t="s">
        <v>1235</v>
      </c>
      <c r="D6" s="325" t="s">
        <v>1449</v>
      </c>
      <c r="E6" s="325" t="s">
        <v>1450</v>
      </c>
      <c r="F6" s="325" t="s">
        <v>1451</v>
      </c>
      <c r="G6" s="325" t="s">
        <v>1234</v>
      </c>
      <c r="H6" s="325" t="s">
        <v>1233</v>
      </c>
      <c r="I6" s="325" t="s">
        <v>1232</v>
      </c>
      <c r="J6" s="325" t="s">
        <v>291</v>
      </c>
    </row>
    <row r="7" spans="2:10" s="143" customFormat="1" ht="13.5">
      <c r="B7" s="48"/>
      <c r="C7" s="144" t="s">
        <v>266</v>
      </c>
      <c r="D7" s="178"/>
      <c r="E7" s="144"/>
      <c r="F7" s="144"/>
      <c r="G7" s="146">
        <f>RAT1000PT!$I$106</f>
        <v>9.2530000000000001E-2</v>
      </c>
      <c r="H7" s="146">
        <f>RAT1000PT!$I$111</f>
        <v>9.2530000000000001E-2</v>
      </c>
      <c r="I7" s="146">
        <f>RAT1000PT!$I$116</f>
        <v>9.2530000000000001E-2</v>
      </c>
      <c r="J7" s="146">
        <f>RAT1000PT!$I$45</f>
        <v>1.8500000000000001E-3</v>
      </c>
    </row>
    <row r="8" spans="2:10" s="143" customFormat="1" ht="13.5">
      <c r="B8" s="48"/>
      <c r="C8" s="326" t="s">
        <v>265</v>
      </c>
      <c r="D8" s="327"/>
      <c r="E8" s="328"/>
      <c r="F8" s="328">
        <f>RAT1000PT!$I$127</f>
        <v>9.2530000000000001E-2</v>
      </c>
      <c r="G8" s="328"/>
      <c r="H8" s="328"/>
      <c r="I8" s="328"/>
      <c r="J8" s="328">
        <f>RAT1000PT!$I$44</f>
        <v>1.8500000000000001E-3</v>
      </c>
    </row>
    <row r="9" spans="2:10" s="143" customFormat="1" ht="13.5">
      <c r="B9" s="48"/>
      <c r="C9" s="144" t="s">
        <v>264</v>
      </c>
      <c r="D9" s="178"/>
      <c r="E9" s="146"/>
      <c r="F9" s="146"/>
      <c r="G9" s="146">
        <f>RAT1000PT!$I$105</f>
        <v>9.2530000000000001E-2</v>
      </c>
      <c r="H9" s="146">
        <f>RAT1000PT!$I$110</f>
        <v>9.2530000000000001E-2</v>
      </c>
      <c r="I9" s="146">
        <f>RAT1000PT!$I$115</f>
        <v>9.2530000000000001E-2</v>
      </c>
      <c r="J9" s="146">
        <f>RAT1000PT!$I$43</f>
        <v>1.8500000000000001E-3</v>
      </c>
    </row>
    <row r="10" spans="2:10" s="143" customFormat="1" ht="13.5">
      <c r="B10" s="48"/>
      <c r="C10" s="326" t="s">
        <v>262</v>
      </c>
      <c r="D10" s="327"/>
      <c r="E10" s="328"/>
      <c r="F10" s="328">
        <f>RAT1000PT!$I126</f>
        <v>9.2530000000000001E-2</v>
      </c>
      <c r="G10" s="328"/>
      <c r="H10" s="328"/>
      <c r="I10" s="328"/>
      <c r="J10" s="328">
        <f>RAT1000PT!$I$42</f>
        <v>1.8500000000000001E-3</v>
      </c>
    </row>
    <row r="11" spans="2:10" s="143" customFormat="1" ht="13.5">
      <c r="B11" s="48"/>
      <c r="C11" s="144" t="s">
        <v>263</v>
      </c>
      <c r="D11" s="178"/>
      <c r="E11" s="146"/>
      <c r="F11" s="146"/>
      <c r="G11" s="146">
        <f>RAT1000PT!$I$104</f>
        <v>9.2530000000000001E-2</v>
      </c>
      <c r="H11" s="146">
        <f>RAT1000PT!$I$109</f>
        <v>9.2530000000000001E-2</v>
      </c>
      <c r="I11" s="146">
        <f>RAT1000PT!$I$114</f>
        <v>9.2530000000000001E-2</v>
      </c>
      <c r="J11" s="146">
        <f>RAT1000PT!$I$41</f>
        <v>1.8500000000000001E-3</v>
      </c>
    </row>
    <row r="12" spans="2:10" s="143" customFormat="1" ht="13.5">
      <c r="B12" s="48"/>
      <c r="C12" s="326" t="s">
        <v>648</v>
      </c>
      <c r="D12" s="327"/>
      <c r="E12" s="328"/>
      <c r="F12" s="328">
        <f>RAT1000PT!$I122</f>
        <v>8.8789999999999994E-2</v>
      </c>
      <c r="G12" s="328"/>
      <c r="H12" s="328"/>
      <c r="I12" s="328"/>
      <c r="J12" s="328">
        <f>RAT1000PT!$I$40</f>
        <v>1.8500000000000001E-3</v>
      </c>
    </row>
    <row r="13" spans="2:10" s="143" customFormat="1" ht="13.5">
      <c r="B13" s="48"/>
      <c r="C13" s="326" t="s">
        <v>649</v>
      </c>
      <c r="D13" s="327"/>
      <c r="E13" s="328"/>
      <c r="F13" s="328">
        <f>RAT1000PT!$I123</f>
        <v>9.3219999999999997E-2</v>
      </c>
      <c r="G13" s="328"/>
      <c r="H13" s="328"/>
      <c r="I13" s="328"/>
      <c r="J13" s="328"/>
    </row>
    <row r="14" spans="2:10" s="143" customFormat="1" ht="13.5">
      <c r="B14" s="48"/>
      <c r="C14" s="326" t="s">
        <v>650</v>
      </c>
      <c r="D14" s="327"/>
      <c r="E14" s="328"/>
      <c r="F14" s="328">
        <f>RAT1000PT!$I124</f>
        <v>9.7909999999999997E-2</v>
      </c>
      <c r="G14" s="328"/>
      <c r="H14" s="328"/>
      <c r="I14" s="328"/>
      <c r="J14" s="328"/>
    </row>
    <row r="15" spans="2:10" s="143" customFormat="1" ht="13.5">
      <c r="B15" s="48"/>
      <c r="C15" s="326" t="s">
        <v>651</v>
      </c>
      <c r="D15" s="327"/>
      <c r="E15" s="328"/>
      <c r="F15" s="328">
        <f>RAT1000PT!$I125</f>
        <v>0.1028</v>
      </c>
      <c r="G15" s="328"/>
      <c r="H15" s="328"/>
      <c r="I15" s="328"/>
      <c r="J15" s="328"/>
    </row>
    <row r="16" spans="2:10" s="143" customFormat="1" ht="13.5">
      <c r="B16" s="48"/>
      <c r="C16" s="144" t="s">
        <v>1178</v>
      </c>
      <c r="D16" s="178"/>
      <c r="E16" s="146"/>
      <c r="F16" s="146"/>
      <c r="G16" s="146">
        <f>RAT1000PT!$I$103</f>
        <v>6.9220000000000004E-2</v>
      </c>
      <c r="H16" s="146">
        <f>RAT1000PT!$I$108</f>
        <v>6.9220000000000004E-2</v>
      </c>
      <c r="I16" s="146">
        <f>RAT1000PT!$I$113</f>
        <v>6.9220000000000004E-2</v>
      </c>
      <c r="J16" s="146">
        <f>RAT1000PT!$I$39</f>
        <v>1.9300000000000001E-3</v>
      </c>
    </row>
    <row r="17" spans="2:13" s="143" customFormat="1" ht="13.5">
      <c r="B17" s="48"/>
      <c r="C17" s="2062" t="s">
        <v>1768</v>
      </c>
      <c r="D17" s="178"/>
      <c r="E17" s="146"/>
      <c r="F17" s="146">
        <f>RAT1000PT!$I118</f>
        <v>6.9220000000000004E-2</v>
      </c>
      <c r="G17" s="146"/>
      <c r="H17" s="146"/>
      <c r="I17" s="146"/>
      <c r="J17" s="146">
        <f>RAT1000PT!$I$37</f>
        <v>1.9300000000000001E-3</v>
      </c>
    </row>
    <row r="18" spans="2:13" s="143" customFormat="1" ht="13.5">
      <c r="B18" s="48"/>
      <c r="C18" s="326" t="s">
        <v>645</v>
      </c>
      <c r="D18" s="327"/>
      <c r="E18" s="328"/>
      <c r="F18" s="328">
        <f>RAT1000PT!$I119</f>
        <v>6.9220000000000004E-2</v>
      </c>
      <c r="G18" s="328"/>
      <c r="H18" s="328"/>
      <c r="I18" s="328"/>
      <c r="J18" s="328">
        <f>RAT1000PT!$I$38</f>
        <v>1.9300000000000001E-3</v>
      </c>
      <c r="L18" s="319"/>
    </row>
    <row r="19" spans="2:13" s="143" customFormat="1" ht="13.5">
      <c r="B19" s="48"/>
      <c r="C19" s="326" t="s">
        <v>646</v>
      </c>
      <c r="D19" s="327"/>
      <c r="E19" s="328"/>
      <c r="F19" s="328">
        <f>RAT1000PT!$I$120</f>
        <v>9.554E-2</v>
      </c>
      <c r="G19" s="328"/>
      <c r="H19" s="328"/>
      <c r="I19" s="328"/>
      <c r="J19" s="328"/>
      <c r="L19" s="319"/>
    </row>
    <row r="20" spans="2:13" s="143" customFormat="1" ht="13.5">
      <c r="B20" s="48"/>
      <c r="C20" s="326" t="s">
        <v>1230</v>
      </c>
      <c r="D20" s="328"/>
      <c r="E20" s="328"/>
      <c r="F20" s="328">
        <f>RAT1000PT!$I$121</f>
        <v>0.12134</v>
      </c>
      <c r="G20" s="328"/>
      <c r="H20" s="328"/>
      <c r="I20" s="328"/>
      <c r="J20" s="328"/>
      <c r="L20" s="319"/>
    </row>
    <row r="21" spans="2:13" s="143" customFormat="1" ht="13.5">
      <c r="B21" s="48"/>
      <c r="C21" s="144" t="s">
        <v>1231</v>
      </c>
      <c r="D21" s="178"/>
      <c r="E21" s="146"/>
      <c r="F21" s="146"/>
      <c r="G21" s="146"/>
      <c r="H21" s="146"/>
      <c r="I21" s="146"/>
      <c r="J21" s="146"/>
      <c r="L21" s="319"/>
    </row>
    <row r="22" spans="2:13" s="143" customFormat="1" ht="13.5">
      <c r="B22" s="48"/>
      <c r="C22" s="144" t="s">
        <v>1231</v>
      </c>
      <c r="D22" s="178"/>
      <c r="E22" s="146"/>
      <c r="F22" s="146"/>
      <c r="G22" s="146"/>
      <c r="H22" s="146"/>
      <c r="I22" s="146"/>
      <c r="J22" s="146"/>
      <c r="L22" s="319"/>
    </row>
    <row r="23" spans="2:13" s="143" customFormat="1" ht="13.5">
      <c r="B23" s="48"/>
      <c r="C23" s="144" t="s">
        <v>1231</v>
      </c>
      <c r="D23" s="178"/>
      <c r="E23" s="146"/>
      <c r="F23" s="146"/>
      <c r="G23" s="146"/>
      <c r="H23" s="146"/>
      <c r="I23" s="146"/>
      <c r="J23" s="146"/>
      <c r="L23" s="319"/>
    </row>
    <row r="24" spans="2:13" s="143" customFormat="1" ht="13.5">
      <c r="B24" s="48"/>
      <c r="C24" s="144" t="s">
        <v>1231</v>
      </c>
      <c r="D24" s="178"/>
      <c r="E24" s="146"/>
      <c r="F24" s="146"/>
      <c r="G24" s="146"/>
      <c r="H24" s="146"/>
      <c r="I24" s="146"/>
      <c r="J24" s="146"/>
      <c r="L24" s="319"/>
    </row>
    <row r="25" spans="2:13" s="143" customFormat="1" ht="13.5">
      <c r="B25" s="52"/>
      <c r="L25" s="958"/>
    </row>
    <row r="26" spans="2:13" s="143" customFormat="1" ht="13.5">
      <c r="B26" s="52"/>
      <c r="L26" s="958"/>
    </row>
    <row r="27" spans="2:13" s="143" customFormat="1" ht="13.5">
      <c r="B27" s="48"/>
      <c r="C27" s="147"/>
      <c r="J27" s="148"/>
      <c r="L27" s="319"/>
    </row>
    <row r="28" spans="2:13" s="69" customFormat="1" ht="33" customHeight="1">
      <c r="B28" s="48"/>
      <c r="C28" s="320" t="s">
        <v>1452</v>
      </c>
      <c r="D28" s="320"/>
      <c r="E28" s="320"/>
      <c r="F28" s="320"/>
      <c r="G28" s="320"/>
      <c r="H28" s="320"/>
      <c r="I28" s="320"/>
      <c r="J28" s="321"/>
      <c r="L28" s="319" t="s">
        <v>678</v>
      </c>
    </row>
    <row r="29" spans="2:13" s="37" customFormat="1" ht="15.75">
      <c r="B29" s="48"/>
      <c r="C29" s="150" t="s">
        <v>310</v>
      </c>
      <c r="D29" s="151">
        <f>F801EVE!D4</f>
        <v>46204</v>
      </c>
      <c r="E29" s="151">
        <f>F801EVE!E4</f>
        <v>46235</v>
      </c>
      <c r="F29" s="151">
        <f>F801EVE!F4</f>
        <v>46266</v>
      </c>
      <c r="G29" s="151">
        <f>F801EVE!G4</f>
        <v>46296</v>
      </c>
      <c r="H29" s="151">
        <f>F801EVE!H4</f>
        <v>46327</v>
      </c>
      <c r="I29" s="151">
        <f>F801EVE!I4</f>
        <v>46357</v>
      </c>
      <c r="J29" s="152" t="s">
        <v>111</v>
      </c>
      <c r="K29" s="69"/>
      <c r="L29" s="319" t="s">
        <v>678</v>
      </c>
      <c r="M29" s="319"/>
    </row>
    <row r="30" spans="2:13" s="37" customFormat="1" ht="15.75" customHeight="1">
      <c r="B30" s="48"/>
      <c r="C30" s="153" t="s">
        <v>446</v>
      </c>
      <c r="D30" s="154">
        <f t="shared" ref="D30:I30" si="0">SUM(D31:D32)</f>
        <v>412935.06824578473</v>
      </c>
      <c r="E30" s="154">
        <f t="shared" si="0"/>
        <v>413107.40377666312</v>
      </c>
      <c r="F30" s="154">
        <f t="shared" si="0"/>
        <v>405304.9181498838</v>
      </c>
      <c r="G30" s="154">
        <f t="shared" si="0"/>
        <v>411691.33090936678</v>
      </c>
      <c r="H30" s="154">
        <f t="shared" si="0"/>
        <v>393852.84014559496</v>
      </c>
      <c r="I30" s="154">
        <f t="shared" si="0"/>
        <v>395698.38336184603</v>
      </c>
      <c r="J30" s="154">
        <f>SUM(D30:I30)</f>
        <v>2432589.9445891394</v>
      </c>
      <c r="K30" s="69"/>
      <c r="L30" s="319"/>
      <c r="M30" s="69"/>
    </row>
    <row r="31" spans="2:13" s="37" customFormat="1" ht="15.75" customHeight="1">
      <c r="B31" s="48" t="s">
        <v>279</v>
      </c>
      <c r="C31" s="155" t="s">
        <v>279</v>
      </c>
      <c r="D31" s="156">
        <f>$D$7*F801D!K6+$G$7*F801EVE!K6</f>
        <v>412924.27246176032</v>
      </c>
      <c r="E31" s="156">
        <f>$D$7*F801D!L6+$G$7*F801EVE!L6</f>
        <v>413096.60799263872</v>
      </c>
      <c r="F31" s="156">
        <f>$D$7*F801D!M6+$G$7*F801EVE!M6</f>
        <v>405294.1223658594</v>
      </c>
      <c r="G31" s="156">
        <f>$D$7*F801D!N6+$G$7*F801EVE!N6</f>
        <v>411680.53512534237</v>
      </c>
      <c r="H31" s="156">
        <f>$D$7*F801D!O6+$G$7*F801EVE!O6</f>
        <v>393842.04436157056</v>
      </c>
      <c r="I31" s="156">
        <f>$D$7*F801D!P6+$G$7*F801EVE!P6</f>
        <v>395687.58757782163</v>
      </c>
      <c r="J31" s="156">
        <f>SUM(D31:I31)</f>
        <v>2432525.1698849932</v>
      </c>
      <c r="K31" s="69"/>
      <c r="L31" s="319"/>
      <c r="M31" s="69"/>
    </row>
    <row r="32" spans="2:13" s="37" customFormat="1" ht="15.75" customHeight="1">
      <c r="B32" s="48" t="s">
        <v>278</v>
      </c>
      <c r="C32" s="155" t="s">
        <v>278</v>
      </c>
      <c r="D32" s="156">
        <f>$D$8*F801D!K7+$F$8*F801EVE!K7</f>
        <v>10.795784024415095</v>
      </c>
      <c r="E32" s="156">
        <f>$D$8*F801D!L7+$F$8*F801EVE!L7</f>
        <v>10.795784024415095</v>
      </c>
      <c r="F32" s="156">
        <f>$D$8*F801D!M7+$F$8*F801EVE!M7</f>
        <v>10.795784024415095</v>
      </c>
      <c r="G32" s="156">
        <f>$D$8*F801D!N7+$F$8*F801EVE!N7</f>
        <v>10.795784024415095</v>
      </c>
      <c r="H32" s="156">
        <f>$D$8*F801D!O7+$F$8*F801EVE!O7</f>
        <v>10.795784024415095</v>
      </c>
      <c r="I32" s="156">
        <f>$D$8*F801D!P7+$F$8*F801EVE!P7</f>
        <v>10.795784024415095</v>
      </c>
      <c r="J32" s="156">
        <f>SUM(D32:I32)</f>
        <v>64.774704146490578</v>
      </c>
      <c r="K32" s="69"/>
      <c r="L32" s="319"/>
      <c r="M32" s="69"/>
    </row>
    <row r="33" spans="2:13" s="37" customFormat="1" ht="15.75" customHeight="1">
      <c r="B33" s="48"/>
      <c r="C33" s="157"/>
      <c r="D33" s="156"/>
      <c r="E33" s="156"/>
      <c r="F33" s="156"/>
      <c r="G33" s="156"/>
      <c r="H33" s="156"/>
      <c r="I33" s="156"/>
      <c r="J33" s="156"/>
      <c r="K33" s="69"/>
      <c r="L33" s="319"/>
      <c r="M33" s="69"/>
    </row>
    <row r="34" spans="2:13" s="37" customFormat="1" ht="15.75" customHeight="1">
      <c r="B34" s="48"/>
      <c r="C34" s="153" t="s">
        <v>630</v>
      </c>
      <c r="D34" s="154">
        <f>D35+D38</f>
        <v>885833.776417644</v>
      </c>
      <c r="E34" s="154">
        <f t="shared" ref="E34:I34" si="1">E35+E38</f>
        <v>886203.47288052237</v>
      </c>
      <c r="F34" s="154">
        <f t="shared" si="1"/>
        <v>869465.47739475174</v>
      </c>
      <c r="G34" s="154">
        <f t="shared" si="1"/>
        <v>883165.69461419946</v>
      </c>
      <c r="H34" s="154">
        <f t="shared" si="1"/>
        <v>844898.32801345887</v>
      </c>
      <c r="I34" s="154">
        <f t="shared" si="1"/>
        <v>848857.41175933392</v>
      </c>
      <c r="J34" s="154">
        <f t="shared" ref="J34:J42" si="2">SUM(D34:I34)</f>
        <v>5218424.1610799106</v>
      </c>
      <c r="K34" s="69"/>
      <c r="L34" s="319"/>
      <c r="M34" s="69"/>
    </row>
    <row r="35" spans="2:13" s="37" customFormat="1" ht="15.75" customHeight="1">
      <c r="B35" s="48" t="s">
        <v>277</v>
      </c>
      <c r="C35" s="155" t="s">
        <v>277</v>
      </c>
      <c r="D35" s="154">
        <f>SUM(D36:D37)</f>
        <v>126723.63143045118</v>
      </c>
      <c r="E35" s="154">
        <f t="shared" ref="E35:I35" si="3">SUM(E36:E37)</f>
        <v>126776.51864196888</v>
      </c>
      <c r="F35" s="154">
        <f t="shared" si="3"/>
        <v>124382.05183872598</v>
      </c>
      <c r="G35" s="154">
        <f t="shared" si="3"/>
        <v>126341.94693829585</v>
      </c>
      <c r="H35" s="154">
        <f t="shared" si="3"/>
        <v>120867.57941018311</v>
      </c>
      <c r="I35" s="154">
        <f t="shared" si="3"/>
        <v>121433.9491770298</v>
      </c>
      <c r="J35" s="154">
        <f t="shared" si="2"/>
        <v>746525.67743665481</v>
      </c>
      <c r="K35" s="69"/>
      <c r="L35" s="319"/>
      <c r="M35" s="69"/>
    </row>
    <row r="36" spans="2:13" s="37" customFormat="1" ht="15.75" customHeight="1">
      <c r="B36" s="48"/>
      <c r="C36" s="160" t="s">
        <v>304</v>
      </c>
      <c r="D36" s="156">
        <f>$D$9*F801D!K11+$G$9*F801EVE!K11</f>
        <v>110487.57245803827</v>
      </c>
      <c r="E36" s="156">
        <f>$D$9*F801D!L11+$G$9*F801EVE!L11</f>
        <v>110533.68366514862</v>
      </c>
      <c r="F36" s="156">
        <f>$D$9*F801D!M11+$G$9*F801EVE!M11</f>
        <v>108446.00024386928</v>
      </c>
      <c r="G36" s="156">
        <f>$D$9*F801D!N11+$G$9*F801EVE!N11</f>
        <v>110154.79006767356</v>
      </c>
      <c r="H36" s="156">
        <f>$D$9*F801D!O11+$G$9*F801EVE!O11</f>
        <v>105381.80832704026</v>
      </c>
      <c r="I36" s="156">
        <f>$D$9*F801D!P11+$G$9*F801EVE!P11</f>
        <v>105875.61378341925</v>
      </c>
      <c r="J36" s="156">
        <f t="shared" si="2"/>
        <v>650879.46854518924</v>
      </c>
      <c r="K36" s="69"/>
      <c r="L36" s="319"/>
      <c r="M36" s="69"/>
    </row>
    <row r="37" spans="2:13" s="37" customFormat="1" ht="15.75" customHeight="1">
      <c r="B37" s="48"/>
      <c r="C37" s="160" t="s">
        <v>305</v>
      </c>
      <c r="D37" s="156">
        <f>($D$9*F801D!K12+$G$9*F801EVE!K12)*$L37</f>
        <v>16236.058972412906</v>
      </c>
      <c r="E37" s="156">
        <f>($D$9*F801D!L12+$G$9*F801EVE!L12)*$L37</f>
        <v>16242.834976820255</v>
      </c>
      <c r="F37" s="156">
        <f>($D$9*F801D!M12+$G$9*F801EVE!M12)*$L37</f>
        <v>15936.051594856704</v>
      </c>
      <c r="G37" s="156">
        <f>($D$9*F801D!N12+$G$9*F801EVE!N12)*$L37</f>
        <v>16187.156870622282</v>
      </c>
      <c r="H37" s="156">
        <f>($D$9*F801D!O12+$G$9*F801EVE!O12)*$L37</f>
        <v>15485.771083142852</v>
      </c>
      <c r="I37" s="156">
        <f>($D$9*F801D!P12+$G$9*F801EVE!P12)*$L37</f>
        <v>15558.335393610554</v>
      </c>
      <c r="J37" s="156">
        <f t="shared" si="2"/>
        <v>95646.208891465561</v>
      </c>
      <c r="K37" s="69"/>
      <c r="L37" s="319">
        <v>0.95</v>
      </c>
      <c r="M37" s="69"/>
    </row>
    <row r="38" spans="2:13" s="37" customFormat="1" ht="15.75" customHeight="1">
      <c r="B38" s="48" t="s">
        <v>276</v>
      </c>
      <c r="C38" s="158" t="s">
        <v>276</v>
      </c>
      <c r="D38" s="159">
        <f t="shared" ref="D38:I38" si="4">SUM(D39:D42)</f>
        <v>759110.14498719282</v>
      </c>
      <c r="E38" s="159">
        <f t="shared" si="4"/>
        <v>759426.95423855353</v>
      </c>
      <c r="F38" s="159">
        <f t="shared" si="4"/>
        <v>745083.42555602582</v>
      </c>
      <c r="G38" s="159">
        <f t="shared" si="4"/>
        <v>756823.74767590361</v>
      </c>
      <c r="H38" s="159">
        <f t="shared" si="4"/>
        <v>724030.74860327574</v>
      </c>
      <c r="I38" s="159">
        <f t="shared" si="4"/>
        <v>727423.46258230414</v>
      </c>
      <c r="J38" s="159">
        <f t="shared" si="2"/>
        <v>4471898.4836432561</v>
      </c>
      <c r="K38" s="69"/>
      <c r="L38" s="319"/>
    </row>
    <row r="39" spans="2:13" s="37" customFormat="1" ht="15.75" customHeight="1">
      <c r="B39" s="48"/>
      <c r="C39" s="160" t="s">
        <v>304</v>
      </c>
      <c r="D39" s="156">
        <f>($D$10*F801D!K15+$F$10*F801EVE!K15)*$L39</f>
        <v>756150.79231876391</v>
      </c>
      <c r="E39" s="156">
        <f>($D$10*F801D!L15+$F$10*F801EVE!L15)*$L39</f>
        <v>756466.36650521401</v>
      </c>
      <c r="F39" s="156">
        <f>($D$10*F801D!M15+$F$10*F801EVE!M15)*$L39</f>
        <v>742178.75534685806</v>
      </c>
      <c r="G39" s="156">
        <f>($D$10*F801D!N15+$F$10*F801EVE!N15)*$L39</f>
        <v>753873.3084122407</v>
      </c>
      <c r="H39" s="156">
        <f>($D$10*F801D!O15+$F$10*F801EVE!O15)*$L39</f>
        <v>721208.1511949118</v>
      </c>
      <c r="I39" s="156">
        <f>($D$10*F801D!P15+$F$10*F801EVE!P15)*$L39</f>
        <v>724587.63884936343</v>
      </c>
      <c r="J39" s="156">
        <f t="shared" si="2"/>
        <v>4454465.012627352</v>
      </c>
      <c r="K39" s="69"/>
      <c r="L39" s="319">
        <v>1</v>
      </c>
    </row>
    <row r="40" spans="2:13" s="37" customFormat="1" ht="15.75" customHeight="1">
      <c r="B40" s="48"/>
      <c r="C40" s="161" t="s">
        <v>306</v>
      </c>
      <c r="D40" s="156">
        <f>($D$10*F801D!K16+$F$10*F801EVE!K16)*$L40</f>
        <v>0</v>
      </c>
      <c r="E40" s="156">
        <f>($D$10*F801D!L16+$F$10*F801EVE!L16)*$L40</f>
        <v>0</v>
      </c>
      <c r="F40" s="156">
        <f>($D$10*F801D!M16+$F$10*F801EVE!M16)*$L40</f>
        <v>0</v>
      </c>
      <c r="G40" s="156">
        <f>($D$10*F801D!N16+$F$10*F801EVE!N16)*$L40</f>
        <v>0</v>
      </c>
      <c r="H40" s="156">
        <f>($D$10*F801D!O16+$F$10*F801EVE!O16)*$L40</f>
        <v>0</v>
      </c>
      <c r="I40" s="156">
        <f>($D$10*F801D!P16+$F$10*F801EVE!P16)*$L40</f>
        <v>0</v>
      </c>
      <c r="J40" s="156">
        <f t="shared" si="2"/>
        <v>0</v>
      </c>
      <c r="K40" s="69"/>
      <c r="L40" s="319">
        <v>1</v>
      </c>
    </row>
    <row r="41" spans="2:13" s="37" customFormat="1" ht="15.75" customHeight="1">
      <c r="B41" s="48"/>
      <c r="C41" s="160" t="s">
        <v>305</v>
      </c>
      <c r="D41" s="156">
        <f>($D$10*F801D!K17+$F$10*F801EVE!K17)*$L41</f>
        <v>2959.3526684288613</v>
      </c>
      <c r="E41" s="156">
        <f>($D$10*F801D!L17+$F$10*F801EVE!L17)*$L41</f>
        <v>2960.5877333395188</v>
      </c>
      <c r="F41" s="156">
        <f>($D$10*F801D!M17+$F$10*F801EVE!M17)*$L41</f>
        <v>2904.6702091677917</v>
      </c>
      <c r="G41" s="156">
        <f>($D$10*F801D!N17+$F$10*F801EVE!N17)*$L41</f>
        <v>2950.4392636628559</v>
      </c>
      <c r="H41" s="156">
        <f>($D$10*F801D!O17+$F$10*F801EVE!O17)*$L41</f>
        <v>2822.5974083639735</v>
      </c>
      <c r="I41" s="156">
        <f>($D$10*F801D!P17+$F$10*F801EVE!P17)*$L41</f>
        <v>2835.8237329406566</v>
      </c>
      <c r="J41" s="156">
        <f t="shared" si="2"/>
        <v>17433.471015903659</v>
      </c>
      <c r="K41" s="69"/>
      <c r="L41" s="319">
        <v>0.95</v>
      </c>
    </row>
    <row r="42" spans="2:13" s="37" customFormat="1" ht="15.75" customHeight="1">
      <c r="B42" s="48"/>
      <c r="C42" s="160" t="s">
        <v>307</v>
      </c>
      <c r="D42" s="156">
        <f>($D$10*F801D!K18+$F$10*F801EVE!K18)*$L42</f>
        <v>0</v>
      </c>
      <c r="E42" s="156">
        <f>($D$10*F801D!L18+$F$10*F801EVE!L18)*$L42</f>
        <v>0</v>
      </c>
      <c r="F42" s="156">
        <f>($D$10*F801D!M18+$F$10*F801EVE!M18)*$L42</f>
        <v>0</v>
      </c>
      <c r="G42" s="156">
        <f>($D$10*F801D!N18+$F$10*F801EVE!N18)*$L42</f>
        <v>0</v>
      </c>
      <c r="H42" s="156">
        <f>($D$10*F801D!O18+$F$10*F801EVE!O18)*$L42</f>
        <v>0</v>
      </c>
      <c r="I42" s="156">
        <f>($D$10*F801D!P18+$F$10*F801EVE!P18)*$L42</f>
        <v>0</v>
      </c>
      <c r="J42" s="156">
        <f t="shared" si="2"/>
        <v>0</v>
      </c>
      <c r="K42" s="69"/>
      <c r="L42" s="319">
        <v>0.5</v>
      </c>
    </row>
    <row r="43" spans="2:13" s="37" customFormat="1" ht="15.75" customHeight="1">
      <c r="B43" s="48"/>
      <c r="C43" s="157"/>
      <c r="D43" s="157"/>
      <c r="E43" s="157"/>
      <c r="F43" s="157"/>
      <c r="G43" s="157"/>
      <c r="H43" s="157"/>
      <c r="I43" s="157"/>
      <c r="J43" s="157"/>
      <c r="K43" s="69"/>
      <c r="L43" s="319"/>
    </row>
    <row r="44" spans="2:13" s="37" customFormat="1" ht="15.75" customHeight="1">
      <c r="B44" s="48"/>
      <c r="C44" s="153" t="s">
        <v>443</v>
      </c>
      <c r="D44" s="154">
        <f t="shared" ref="D44:I44" si="5">D45+D49+D56+D61+D66+D79+D85+D92+D100+D106+D113+D72</f>
        <v>5750749.7798933918</v>
      </c>
      <c r="E44" s="154">
        <f t="shared" si="5"/>
        <v>5753149.8146506157</v>
      </c>
      <c r="F44" s="154">
        <f t="shared" si="5"/>
        <v>5644488.3180830367</v>
      </c>
      <c r="G44" s="154">
        <f t="shared" si="5"/>
        <v>5733428.843107773</v>
      </c>
      <c r="H44" s="154">
        <f t="shared" si="5"/>
        <v>5485000.6888481025</v>
      </c>
      <c r="I44" s="154">
        <f t="shared" si="5"/>
        <v>5510702.6891401261</v>
      </c>
      <c r="J44" s="154">
        <f t="shared" ref="J44:J70" si="6">SUM(D44:I44)</f>
        <v>33877520.133723043</v>
      </c>
      <c r="K44" s="69"/>
      <c r="L44" s="319"/>
    </row>
    <row r="45" spans="2:13" s="37" customFormat="1" ht="15.75" customHeight="1">
      <c r="B45" s="48" t="s">
        <v>275</v>
      </c>
      <c r="C45" s="155" t="s">
        <v>275</v>
      </c>
      <c r="D45" s="154">
        <f>SUM(D46:D48)</f>
        <v>108532.6514260554</v>
      </c>
      <c r="E45" s="154">
        <f t="shared" ref="E45:I45" si="7">SUM(E46:E48)</f>
        <v>108577.94676069627</v>
      </c>
      <c r="F45" s="154">
        <f t="shared" si="7"/>
        <v>106527.20193927558</v>
      </c>
      <c r="G45" s="154">
        <f t="shared" si="7"/>
        <v>108205.75714853019</v>
      </c>
      <c r="H45" s="154">
        <f t="shared" si="7"/>
        <v>103517.22655640576</v>
      </c>
      <c r="I45" s="154">
        <f t="shared" si="7"/>
        <v>104002.29482496434</v>
      </c>
      <c r="J45" s="154">
        <f t="shared" si="6"/>
        <v>639363.07865592756</v>
      </c>
      <c r="K45" s="69"/>
      <c r="L45" s="319"/>
    </row>
    <row r="46" spans="2:13" s="37" customFormat="1" ht="15.75" customHeight="1">
      <c r="B46" s="48"/>
      <c r="C46" s="160" t="s">
        <v>304</v>
      </c>
      <c r="D46" s="156">
        <f>$D$11*F801D!K22+$G$11*F801EVE!K22</f>
        <v>107622.07287078572</v>
      </c>
      <c r="E46" s="156">
        <f>$D$11*F801D!L22+$G$11*F801EVE!L22</f>
        <v>107666.98818190524</v>
      </c>
      <c r="F46" s="156">
        <f>$D$11*F801D!M22+$G$11*F801EVE!M22</f>
        <v>105633.44891321159</v>
      </c>
      <c r="G46" s="156">
        <f>$D$11*F801D!N22+$G$11*F801EVE!N22</f>
        <v>107297.92120495428</v>
      </c>
      <c r="H46" s="156">
        <f>$D$11*F801D!O22+$G$11*F801EVE!O22</f>
        <v>102648.726935649</v>
      </c>
      <c r="I46" s="156">
        <f>$D$11*F801D!P22+$G$11*F801EVE!P22</f>
        <v>103129.72552787159</v>
      </c>
      <c r="J46" s="156">
        <f t="shared" si="6"/>
        <v>633998.8836343775</v>
      </c>
      <c r="K46" s="69"/>
      <c r="L46" s="319"/>
    </row>
    <row r="47" spans="2:13" s="37" customFormat="1" ht="15.75" customHeight="1">
      <c r="B47" s="48"/>
      <c r="C47" s="161" t="s">
        <v>306</v>
      </c>
      <c r="D47" s="156">
        <f>($D$11*F801D!K23+$G$11*F801EVE!K23)*$L47</f>
        <v>574.73439079574769</v>
      </c>
      <c r="E47" s="156">
        <f>($D$11*F801D!L23+$G$11*F801EVE!L23)*$L47</f>
        <v>574.97425212981318</v>
      </c>
      <c r="F47" s="156">
        <f>($D$11*F801D!M23+$G$11*F801EVE!M23)*$L47</f>
        <v>564.11453793200997</v>
      </c>
      <c r="G47" s="156">
        <f>($D$11*F801D!N23+$G$11*F801EVE!N23)*$L47</f>
        <v>573.00332294676912</v>
      </c>
      <c r="H47" s="156">
        <f>($D$11*F801D!O23+$G$11*F801EVE!O23)*$L47</f>
        <v>548.17522063667514</v>
      </c>
      <c r="I47" s="156">
        <f>($D$11*F801D!P23+$G$11*F801EVE!P23)*$L47</f>
        <v>550.74389846921019</v>
      </c>
      <c r="J47" s="156">
        <f t="shared" si="6"/>
        <v>3385.7456229102254</v>
      </c>
      <c r="K47" s="69"/>
      <c r="L47" s="319">
        <v>1</v>
      </c>
    </row>
    <row r="48" spans="2:13" s="37" customFormat="1" ht="15.75" customHeight="1">
      <c r="B48" s="48"/>
      <c r="C48" s="160" t="s">
        <v>305</v>
      </c>
      <c r="D48" s="156">
        <f>($D$11*F801D!K24+$G$11*F801EVE!K24)*$L48</f>
        <v>335.84416447391419</v>
      </c>
      <c r="E48" s="156">
        <f>($D$11*F801D!L24+$G$11*F801EVE!L24)*$L48</f>
        <v>335.98432666121136</v>
      </c>
      <c r="F48" s="156">
        <f>($D$11*F801D!M24+$G$11*F801EVE!M24)*$L48</f>
        <v>329.63848813197859</v>
      </c>
      <c r="G48" s="156">
        <f>($D$11*F801D!N24+$G$11*F801EVE!N24)*$L48</f>
        <v>334.83262062914281</v>
      </c>
      <c r="H48" s="156">
        <f>($D$11*F801D!O24+$G$11*F801EVE!O24)*$L48</f>
        <v>320.32440012008033</v>
      </c>
      <c r="I48" s="156">
        <f>($D$11*F801D!P24+$G$11*F801EVE!P24)*$L48</f>
        <v>321.8253986235386</v>
      </c>
      <c r="J48" s="156">
        <f t="shared" si="6"/>
        <v>1978.4493986398659</v>
      </c>
      <c r="K48" s="69"/>
      <c r="L48" s="319">
        <v>0.95</v>
      </c>
    </row>
    <row r="49" spans="2:12" s="37" customFormat="1" ht="15.75" customHeight="1">
      <c r="B49" s="48" t="s">
        <v>274</v>
      </c>
      <c r="C49" s="158" t="s">
        <v>627</v>
      </c>
      <c r="D49" s="159">
        <f t="shared" ref="D49:I49" si="8">SUM(D50:D55)</f>
        <v>1255942.9355469334</v>
      </c>
      <c r="E49" s="159">
        <f t="shared" si="8"/>
        <v>1256467.0944503415</v>
      </c>
      <c r="F49" s="159">
        <f t="shared" si="8"/>
        <v>1232735.8169294233</v>
      </c>
      <c r="G49" s="159">
        <f t="shared" si="8"/>
        <v>1252160.1056507325</v>
      </c>
      <c r="H49" s="159">
        <f t="shared" si="8"/>
        <v>1197904.296012779</v>
      </c>
      <c r="I49" s="159">
        <f t="shared" si="8"/>
        <v>1203517.5198412712</v>
      </c>
      <c r="J49" s="159">
        <f t="shared" si="6"/>
        <v>7398727.768431481</v>
      </c>
      <c r="K49" s="69"/>
      <c r="L49" s="319"/>
    </row>
    <row r="50" spans="2:12" s="37" customFormat="1" ht="15.75" customHeight="1">
      <c r="B50" s="48"/>
      <c r="C50" s="160" t="s">
        <v>304</v>
      </c>
      <c r="D50" s="156">
        <f>($D$12*F801D!K28+$F$12*F801EVE!K28)*$L50</f>
        <v>1253683.3774639992</v>
      </c>
      <c r="E50" s="156">
        <f>($D$12*F801D!L28+$F$12*F801EVE!L28)*$L50</f>
        <v>1254206.5933568184</v>
      </c>
      <c r="F50" s="156">
        <f>($D$12*F801D!M28+$F$12*F801EVE!M28)*$L50</f>
        <v>1230518.0106100203</v>
      </c>
      <c r="G50" s="156">
        <f>($D$12*F801D!N28+$F$12*F801EVE!N28)*$L50</f>
        <v>1249907.3532304012</v>
      </c>
      <c r="H50" s="156">
        <f>($D$12*F801D!O28+$F$12*F801EVE!O28)*$L50</f>
        <v>1195749.1548371501</v>
      </c>
      <c r="I50" s="156">
        <f>($D$12*F801D!P28+$F$12*F801EVE!P28)*$L50</f>
        <v>1201352.2799542167</v>
      </c>
      <c r="J50" s="156">
        <f t="shared" si="6"/>
        <v>7385416.7694526054</v>
      </c>
      <c r="K50" s="69"/>
      <c r="L50" s="319">
        <v>1</v>
      </c>
    </row>
    <row r="51" spans="2:12" s="37" customFormat="1" ht="15.75" customHeight="1">
      <c r="B51" s="48"/>
      <c r="C51" s="162" t="s">
        <v>628</v>
      </c>
      <c r="D51" s="156">
        <f>($D$12*F801D!K29+$F$12*F801EVE!K29)*$L51</f>
        <v>108.48225723636796</v>
      </c>
      <c r="E51" s="156">
        <f>($D$12*F801D!L29+$F$12*F801EVE!L29)*$L51</f>
        <v>108.52753153935012</v>
      </c>
      <c r="F51" s="156">
        <f>($D$12*F801D!M29+$F$12*F801EVE!M29)*$L51</f>
        <v>106.47773892560309</v>
      </c>
      <c r="G51" s="156">
        <f>($D$12*F801D!N29+$F$12*F801EVE!N29)*$L51</f>
        <v>108.15551474332437</v>
      </c>
      <c r="H51" s="156">
        <f>($D$12*F801D!O29+$F$12*F801EVE!O29)*$L51</f>
        <v>103.46916114307203</v>
      </c>
      <c r="I51" s="156">
        <f>($D$12*F801D!P29+$F$12*F801EVE!P29)*$L51</f>
        <v>103.95400418335124</v>
      </c>
      <c r="J51" s="156">
        <f t="shared" si="6"/>
        <v>639.06620777106878</v>
      </c>
      <c r="K51" s="69"/>
      <c r="L51" s="319">
        <v>0.75</v>
      </c>
    </row>
    <row r="52" spans="2:12" s="37" customFormat="1" ht="15.75" customHeight="1">
      <c r="B52" s="48"/>
      <c r="C52" s="161" t="s">
        <v>629</v>
      </c>
      <c r="D52" s="156">
        <f>($D$12*F801D!K30+$F$12*F801EVE!K30)*$L52</f>
        <v>576.34676152244731</v>
      </c>
      <c r="E52" s="156">
        <f>($D$12*F801D!L30+$F$12*F801EVE!L30)*$L52</f>
        <v>576.58729576803455</v>
      </c>
      <c r="F52" s="156">
        <f>($D$12*F801D!M30+$F$12*F801EVE!M30)*$L52</f>
        <v>565.69711552269121</v>
      </c>
      <c r="G52" s="156">
        <f>($D$12*F801D!N30+$F$12*F801EVE!N30)*$L52</f>
        <v>574.61083730299504</v>
      </c>
      <c r="H52" s="156">
        <f>($D$12*F801D!O30+$F$12*F801EVE!O30)*$L52</f>
        <v>549.71308176524428</v>
      </c>
      <c r="I52" s="156">
        <f>($D$12*F801D!P30+$F$12*F801EVE!P30)*$L52</f>
        <v>552.28896581513789</v>
      </c>
      <c r="J52" s="156">
        <f t="shared" si="6"/>
        <v>3395.2440576965505</v>
      </c>
      <c r="K52" s="69"/>
      <c r="L52" s="319">
        <v>1</v>
      </c>
    </row>
    <row r="53" spans="2:12" s="37" customFormat="1" ht="15.75" customHeight="1">
      <c r="B53" s="48"/>
      <c r="C53" s="160" t="s">
        <v>305</v>
      </c>
      <c r="D53" s="156">
        <f>($D$12*F801D!K31+$F$12*F801EVE!K31)*$L53</f>
        <v>1442.943210940346</v>
      </c>
      <c r="E53" s="156">
        <f>($D$12*F801D!L31+$F$12*F801EVE!L31)*$L53</f>
        <v>1443.5454130864148</v>
      </c>
      <c r="F53" s="156">
        <f>($D$12*F801D!M31+$F$12*F801EVE!M31)*$L53</f>
        <v>1416.2807302600108</v>
      </c>
      <c r="G53" s="156">
        <f>($D$12*F801D!N31+$F$12*F801EVE!N31)*$L53</f>
        <v>1438.5971466707233</v>
      </c>
      <c r="H53" s="156">
        <f>($D$12*F801D!O31+$F$12*F801EVE!O31)*$L53</f>
        <v>1376.2630628876382</v>
      </c>
      <c r="I53" s="156">
        <f>($D$12*F801D!P31+$F$12*F801EVE!P31)*$L53</f>
        <v>1382.7120527147783</v>
      </c>
      <c r="J53" s="156">
        <f t="shared" si="6"/>
        <v>8500.3416165599101</v>
      </c>
      <c r="K53" s="69"/>
      <c r="L53" s="319">
        <v>0.95</v>
      </c>
    </row>
    <row r="54" spans="2:12" s="37" customFormat="1" ht="15.75" customHeight="1">
      <c r="B54" s="48"/>
      <c r="C54" s="160" t="s">
        <v>307</v>
      </c>
      <c r="D54" s="156">
        <f>($D$12*F801D!K32+$F$12*F801EVE!K32)*$L54</f>
        <v>131.78585323529146</v>
      </c>
      <c r="E54" s="156">
        <f>($D$12*F801D!L32+$F$12*F801EVE!L32)*$L54</f>
        <v>131.8408531292846</v>
      </c>
      <c r="F54" s="156">
        <f>($D$12*F801D!M32+$F$12*F801EVE!M32)*$L54</f>
        <v>129.3507346948067</v>
      </c>
      <c r="G54" s="156">
        <f>($D$12*F801D!N32+$F$12*F801EVE!N32)*$L54</f>
        <v>131.38892161411255</v>
      </c>
      <c r="H54" s="156">
        <f>($D$12*F801D!O32+$F$12*F801EVE!O32)*$L54</f>
        <v>125.69586983306527</v>
      </c>
      <c r="I54" s="156">
        <f>($D$12*F801D!P32+$F$12*F801EVE!P32)*$L54</f>
        <v>126.28486434125631</v>
      </c>
      <c r="J54" s="156">
        <f t="shared" si="6"/>
        <v>776.34709684781683</v>
      </c>
      <c r="K54" s="69"/>
      <c r="L54" s="319">
        <v>0.5</v>
      </c>
    </row>
    <row r="55" spans="2:12" s="37" customFormat="1" ht="15.75" customHeight="1">
      <c r="B55" s="48"/>
      <c r="C55" s="160" t="s">
        <v>624</v>
      </c>
      <c r="D55" s="156">
        <f>($D$12*F801D!K33+$F$12*F801EVE!K33)*$L55</f>
        <v>0</v>
      </c>
      <c r="E55" s="156">
        <f>($D$12*F801D!L33+$F$12*F801EVE!L33)*$L55</f>
        <v>0</v>
      </c>
      <c r="F55" s="156">
        <f>($D$12*F801D!M33+$F$12*F801EVE!M33)*$L55</f>
        <v>0</v>
      </c>
      <c r="G55" s="156">
        <f>($D$12*F801D!N33+$F$12*F801EVE!N33)*$L55</f>
        <v>0</v>
      </c>
      <c r="H55" s="156">
        <f>($D$12*F801D!O33+$F$12*F801EVE!O33)*$L55</f>
        <v>0</v>
      </c>
      <c r="I55" s="156">
        <f>($D$12*F801D!P33+$F$12*F801EVE!P33)*$L55</f>
        <v>0</v>
      </c>
      <c r="J55" s="156">
        <f t="shared" si="6"/>
        <v>0</v>
      </c>
      <c r="K55" s="69"/>
      <c r="L55" s="319">
        <v>0</v>
      </c>
    </row>
    <row r="56" spans="2:12" s="37" customFormat="1" ht="15.75" customHeight="1">
      <c r="B56" s="48" t="s">
        <v>274</v>
      </c>
      <c r="C56" s="158" t="s">
        <v>631</v>
      </c>
      <c r="D56" s="159">
        <f t="shared" ref="D56:I56" si="9">SUM(D57:D60)</f>
        <v>601930.50696506107</v>
      </c>
      <c r="E56" s="159">
        <f t="shared" si="9"/>
        <v>602181.71840590658</v>
      </c>
      <c r="F56" s="159">
        <f t="shared" si="9"/>
        <v>590808.12848808593</v>
      </c>
      <c r="G56" s="159">
        <f t="shared" si="9"/>
        <v>600117.525934843</v>
      </c>
      <c r="H56" s="159">
        <f t="shared" si="9"/>
        <v>574114.57143997878</v>
      </c>
      <c r="I56" s="159">
        <f t="shared" si="9"/>
        <v>576804.79769880255</v>
      </c>
      <c r="J56" s="159">
        <f t="shared" si="6"/>
        <v>3545957.2489326783</v>
      </c>
      <c r="K56" s="69"/>
      <c r="L56" s="319"/>
    </row>
    <row r="57" spans="2:12" s="37" customFormat="1" ht="15.75" customHeight="1">
      <c r="B57" s="48"/>
      <c r="C57" s="160" t="s">
        <v>304</v>
      </c>
      <c r="D57" s="156">
        <f>($D$13*F801D!K35+$F$13*F801EVE!K35)*$L57</f>
        <v>601507.32464511192</v>
      </c>
      <c r="E57" s="156">
        <f>($D$13*F801D!L35+$F$13*F801EVE!L35)*$L57</f>
        <v>601758.35947380855</v>
      </c>
      <c r="F57" s="156">
        <f>($D$13*F801D!M35+$F$13*F801EVE!M35)*$L57</f>
        <v>590392.7656653591</v>
      </c>
      <c r="G57" s="156">
        <f>($D$13*F801D!N35+$F$13*F801EVE!N35)*$L57</f>
        <v>599695.61821637943</v>
      </c>
      <c r="H57" s="156">
        <f>($D$13*F801D!O35+$F$13*F801EVE!O35)*$L57</f>
        <v>573710.94488600409</v>
      </c>
      <c r="I57" s="156">
        <f>($D$13*F801D!P35+$F$13*F801EVE!P35)*$L57</f>
        <v>576399.27980325895</v>
      </c>
      <c r="J57" s="156">
        <f t="shared" si="6"/>
        <v>3543464.2926899218</v>
      </c>
      <c r="K57" s="69"/>
      <c r="L57" s="319">
        <v>1</v>
      </c>
    </row>
    <row r="58" spans="2:12" s="37" customFormat="1" ht="15.75" customHeight="1">
      <c r="B58" s="48"/>
      <c r="C58" s="161" t="s">
        <v>306</v>
      </c>
      <c r="D58" s="156">
        <f>($D$13*F801D!K36+$F$13*F801EVE!K36)*$L58</f>
        <v>0</v>
      </c>
      <c r="E58" s="156">
        <f>($D$13*F801D!L36+$F$13*F801EVE!L36)*$L58</f>
        <v>0</v>
      </c>
      <c r="F58" s="156">
        <f>($D$13*F801D!M36+$F$13*F801EVE!M36)*$L58</f>
        <v>0</v>
      </c>
      <c r="G58" s="156">
        <f>($D$13*F801D!N36+$F$13*F801EVE!N36)*$L58</f>
        <v>0</v>
      </c>
      <c r="H58" s="156">
        <f>($D$13*F801D!O36+$F$13*F801EVE!O36)*$L58</f>
        <v>0</v>
      </c>
      <c r="I58" s="156">
        <f>($D$13*F801D!P36+$F$13*F801EVE!P36)*$L58</f>
        <v>0</v>
      </c>
      <c r="J58" s="156">
        <f t="shared" si="6"/>
        <v>0</v>
      </c>
      <c r="K58" s="69"/>
      <c r="L58" s="319">
        <v>1</v>
      </c>
    </row>
    <row r="59" spans="2:12" s="37" customFormat="1" ht="15.75" customHeight="1">
      <c r="B59" s="48"/>
      <c r="C59" s="160" t="s">
        <v>305</v>
      </c>
      <c r="D59" s="156">
        <f>($D$13*F801D!K37+$F$13*F801EVE!K37)*$L59</f>
        <v>423.18231994914589</v>
      </c>
      <c r="E59" s="156">
        <f>($D$13*F801D!L37+$F$13*F801EVE!L37)*$L59</f>
        <v>423.3589320980646</v>
      </c>
      <c r="F59" s="156">
        <f>($D$13*F801D!M37+$F$13*F801EVE!M37)*$L59</f>
        <v>415.36282272683292</v>
      </c>
      <c r="G59" s="156">
        <f>($D$13*F801D!N37+$F$13*F801EVE!N37)*$L59</f>
        <v>421.90771846356944</v>
      </c>
      <c r="H59" s="156">
        <f>($D$13*F801D!O37+$F$13*F801EVE!O37)*$L59</f>
        <v>403.6265539747468</v>
      </c>
      <c r="I59" s="156">
        <f>($D$13*F801D!P37+$F$13*F801EVE!P37)*$L59</f>
        <v>405.51789554362199</v>
      </c>
      <c r="J59" s="156">
        <f t="shared" si="6"/>
        <v>2492.9562427559813</v>
      </c>
      <c r="K59" s="69"/>
      <c r="L59" s="319">
        <v>0.95</v>
      </c>
    </row>
    <row r="60" spans="2:12" s="37" customFormat="1" ht="15.75" customHeight="1">
      <c r="B60" s="48"/>
      <c r="C60" s="160" t="s">
        <v>307</v>
      </c>
      <c r="D60" s="156">
        <f>($D$13*F801D!K38+$F$13*F801EVE!K38)*$L60</f>
        <v>0</v>
      </c>
      <c r="E60" s="156">
        <f>($D$13*F801D!L38+$F$13*F801EVE!L38)*$L60</f>
        <v>0</v>
      </c>
      <c r="F60" s="156">
        <f>($D$13*F801D!M38+$F$13*F801EVE!M38)*$L60</f>
        <v>0</v>
      </c>
      <c r="G60" s="156">
        <f>($D$13*F801D!N38+$F$13*F801EVE!N38)*$L60</f>
        <v>0</v>
      </c>
      <c r="H60" s="156">
        <f>($D$13*F801D!O38+$F$13*F801EVE!O38)*$L60</f>
        <v>0</v>
      </c>
      <c r="I60" s="156">
        <f>($D$13*F801D!P38+$F$13*F801EVE!P38)*$L60</f>
        <v>0</v>
      </c>
      <c r="J60" s="156">
        <f t="shared" si="6"/>
        <v>0</v>
      </c>
      <c r="K60" s="69"/>
      <c r="L60" s="319">
        <v>0.5</v>
      </c>
    </row>
    <row r="61" spans="2:12" s="37" customFormat="1" ht="15.75" customHeight="1">
      <c r="B61" s="48" t="s">
        <v>274</v>
      </c>
      <c r="C61" s="158" t="s">
        <v>632</v>
      </c>
      <c r="D61" s="159">
        <f t="shared" ref="D61:I61" si="10">SUM(D62:D65)</f>
        <v>177866.95937260633</v>
      </c>
      <c r="E61" s="159">
        <f t="shared" si="10"/>
        <v>177941.19089040748</v>
      </c>
      <c r="F61" s="159">
        <f t="shared" si="10"/>
        <v>174580.36130555451</v>
      </c>
      <c r="G61" s="159">
        <f t="shared" si="10"/>
        <v>177331.23403635283</v>
      </c>
      <c r="H61" s="159">
        <f t="shared" si="10"/>
        <v>169647.51241535481</v>
      </c>
      <c r="I61" s="159">
        <f t="shared" si="10"/>
        <v>170442.45860788779</v>
      </c>
      <c r="J61" s="159">
        <f t="shared" si="6"/>
        <v>1047809.7166281638</v>
      </c>
      <c r="K61" s="69"/>
      <c r="L61" s="319"/>
    </row>
    <row r="62" spans="2:12" s="37" customFormat="1" ht="15.75" customHeight="1">
      <c r="B62" s="48"/>
      <c r="C62" s="160" t="s">
        <v>304</v>
      </c>
      <c r="D62" s="156">
        <f>($D$14*F801D!K40+$F$14*F801EVE!K40)*$L62</f>
        <v>177866.95937260633</v>
      </c>
      <c r="E62" s="156">
        <f>($D$14*F801D!L40+$F$14*F801EVE!L40)*$L62</f>
        <v>177941.19089040748</v>
      </c>
      <c r="F62" s="156">
        <f>($D$14*F801D!M40+$F$14*F801EVE!M40)*$L62</f>
        <v>174580.36130555451</v>
      </c>
      <c r="G62" s="156">
        <f>($D$14*F801D!N40+$F$14*F801EVE!N40)*$L62</f>
        <v>177331.23403635283</v>
      </c>
      <c r="H62" s="156">
        <f>($D$14*F801D!O40+$F$14*F801EVE!O40)*$L62</f>
        <v>169647.51241535481</v>
      </c>
      <c r="I62" s="156">
        <f>($D$14*F801D!P40+$F$14*F801EVE!P40)*$L62</f>
        <v>170442.45860788779</v>
      </c>
      <c r="J62" s="156">
        <f t="shared" si="6"/>
        <v>1047809.7166281638</v>
      </c>
      <c r="K62" s="69"/>
      <c r="L62" s="319">
        <v>1</v>
      </c>
    </row>
    <row r="63" spans="2:12" s="37" customFormat="1" ht="15.75" customHeight="1">
      <c r="B63" s="48"/>
      <c r="C63" s="161" t="s">
        <v>306</v>
      </c>
      <c r="D63" s="156">
        <f>($D$14*F801D!K41+$F$14*F801EVE!K41)*$L63</f>
        <v>0</v>
      </c>
      <c r="E63" s="156">
        <f>($D$14*F801D!L41+$F$14*F801EVE!L41)*$L63</f>
        <v>0</v>
      </c>
      <c r="F63" s="156">
        <f>($D$14*F801D!M41+$F$14*F801EVE!M41)*$L63</f>
        <v>0</v>
      </c>
      <c r="G63" s="156">
        <f>($D$14*F801D!N41+$F$14*F801EVE!N41)*$L63</f>
        <v>0</v>
      </c>
      <c r="H63" s="156">
        <f>($D$14*F801D!O41+$F$14*F801EVE!O41)*$L63</f>
        <v>0</v>
      </c>
      <c r="I63" s="156">
        <f>($D$14*F801D!P41+$F$14*F801EVE!P41)*$L63</f>
        <v>0</v>
      </c>
      <c r="J63" s="156">
        <f t="shared" si="6"/>
        <v>0</v>
      </c>
      <c r="K63" s="69"/>
      <c r="L63" s="319">
        <v>1</v>
      </c>
    </row>
    <row r="64" spans="2:12" s="37" customFormat="1" ht="15.75" customHeight="1">
      <c r="B64" s="48"/>
      <c r="C64" s="160" t="s">
        <v>305</v>
      </c>
      <c r="D64" s="156">
        <f>($D$14*F801D!K42+$F$14*F801EVE!K42)*$L64</f>
        <v>0</v>
      </c>
      <c r="E64" s="156">
        <f>($D$14*F801D!L42+$F$14*F801EVE!L42)*$L64</f>
        <v>0</v>
      </c>
      <c r="F64" s="156">
        <f>($D$14*F801D!M42+$F$14*F801EVE!M42)*$L64</f>
        <v>0</v>
      </c>
      <c r="G64" s="156">
        <f>($D$14*F801D!N42+$F$14*F801EVE!N42)*$L64</f>
        <v>0</v>
      </c>
      <c r="H64" s="156">
        <f>($D$14*F801D!O42+$F$14*F801EVE!O42)*$L64</f>
        <v>0</v>
      </c>
      <c r="I64" s="156">
        <f>($D$14*F801D!P42+$F$14*F801EVE!P42)*$L64</f>
        <v>0</v>
      </c>
      <c r="J64" s="156">
        <f t="shared" si="6"/>
        <v>0</v>
      </c>
      <c r="K64" s="69"/>
      <c r="L64" s="319">
        <v>0.95</v>
      </c>
    </row>
    <row r="65" spans="2:13" s="37" customFormat="1" ht="15.75" customHeight="1">
      <c r="B65" s="48"/>
      <c r="C65" s="160" t="s">
        <v>307</v>
      </c>
      <c r="D65" s="156">
        <f>($D$14*F801D!K43+$F$14*F801EVE!K43)*$L65</f>
        <v>0</v>
      </c>
      <c r="E65" s="156">
        <f>($D$14*F801D!L43+$F$14*F801EVE!L43)*$L65</f>
        <v>0</v>
      </c>
      <c r="F65" s="156">
        <f>($D$14*F801D!M43+$F$14*F801EVE!M43)*$L65</f>
        <v>0</v>
      </c>
      <c r="G65" s="156">
        <f>($D$14*F801D!N43+$F$14*F801EVE!N43)*$L65</f>
        <v>0</v>
      </c>
      <c r="H65" s="156">
        <f>($D$14*F801D!O43+$F$14*F801EVE!O43)*$L65</f>
        <v>0</v>
      </c>
      <c r="I65" s="156">
        <f>($D$14*F801D!P43+$F$14*F801EVE!P43)*$L65</f>
        <v>0</v>
      </c>
      <c r="J65" s="156">
        <f t="shared" si="6"/>
        <v>0</v>
      </c>
      <c r="K65" s="69"/>
      <c r="L65" s="319">
        <v>0.5</v>
      </c>
    </row>
    <row r="66" spans="2:13" s="37" customFormat="1" ht="15.75" customHeight="1">
      <c r="B66" s="48" t="s">
        <v>274</v>
      </c>
      <c r="C66" s="158" t="s">
        <v>633</v>
      </c>
      <c r="D66" s="159">
        <f t="shared" ref="D66:I66" si="11">SUM(D67:D70)</f>
        <v>188749.57297093311</v>
      </c>
      <c r="E66" s="159">
        <f t="shared" si="11"/>
        <v>188828.34627056881</v>
      </c>
      <c r="F66" s="159">
        <f t="shared" si="11"/>
        <v>185261.88765899395</v>
      </c>
      <c r="G66" s="159">
        <f t="shared" si="11"/>
        <v>188181.06981101949</v>
      </c>
      <c r="H66" s="159">
        <f t="shared" si="11"/>
        <v>180027.22729914112</v>
      </c>
      <c r="I66" s="159">
        <f t="shared" si="11"/>
        <v>180870.81148647261</v>
      </c>
      <c r="J66" s="159">
        <f t="shared" si="6"/>
        <v>1111918.9154971291</v>
      </c>
      <c r="K66" s="69"/>
      <c r="L66" s="319"/>
    </row>
    <row r="67" spans="2:13" s="37" customFormat="1" ht="15.75" customHeight="1">
      <c r="B67" s="48"/>
      <c r="C67" s="160" t="s">
        <v>304</v>
      </c>
      <c r="D67" s="156">
        <f>($D$15*F801D!K45+$F$15*F801EVE!K45)*$L67</f>
        <v>188749.57297093311</v>
      </c>
      <c r="E67" s="156">
        <f>($D$15*F801D!L45+$F$15*F801EVE!L45)*$L67</f>
        <v>188828.34627056881</v>
      </c>
      <c r="F67" s="156">
        <f>($D$15*F801D!M45+$F$15*F801EVE!M45)*$L67</f>
        <v>185261.88765899395</v>
      </c>
      <c r="G67" s="156">
        <f>($D$15*F801D!N45+$F$15*F801EVE!N45)*$L67</f>
        <v>188181.06981101949</v>
      </c>
      <c r="H67" s="156">
        <f>($D$15*F801D!O45+$F$15*F801EVE!O45)*$L67</f>
        <v>180027.22729914112</v>
      </c>
      <c r="I67" s="156">
        <f>($D$15*F801D!P45+$F$15*F801EVE!P45)*$L67</f>
        <v>180870.81148647261</v>
      </c>
      <c r="J67" s="156">
        <f t="shared" si="6"/>
        <v>1111918.9154971291</v>
      </c>
      <c r="K67" s="69"/>
      <c r="L67" s="319">
        <v>1</v>
      </c>
    </row>
    <row r="68" spans="2:13" s="37" customFormat="1" ht="15.75" customHeight="1">
      <c r="B68" s="48"/>
      <c r="C68" s="161" t="s">
        <v>306</v>
      </c>
      <c r="D68" s="156">
        <f>($D$15*F801D!K46+$F$15*F801EVE!K46)*$L68</f>
        <v>0</v>
      </c>
      <c r="E68" s="156">
        <f>($D$15*F801D!L46+$F$15*F801EVE!L46)*$L68</f>
        <v>0</v>
      </c>
      <c r="F68" s="156">
        <f>($D$15*F801D!M46+$F$15*F801EVE!M46)*$L68</f>
        <v>0</v>
      </c>
      <c r="G68" s="156">
        <f>($D$15*F801D!N46+$F$15*F801EVE!N46)*$L68</f>
        <v>0</v>
      </c>
      <c r="H68" s="156">
        <f>($D$15*F801D!O46+$F$15*F801EVE!O46)*$L68</f>
        <v>0</v>
      </c>
      <c r="I68" s="156">
        <f>($D$15*F801D!P46+$F$15*F801EVE!P46)*$L68</f>
        <v>0</v>
      </c>
      <c r="J68" s="156">
        <f t="shared" si="6"/>
        <v>0</v>
      </c>
      <c r="K68" s="69"/>
      <c r="L68" s="319">
        <v>1</v>
      </c>
    </row>
    <row r="69" spans="2:13" s="37" customFormat="1" ht="15.75" customHeight="1">
      <c r="B69" s="48"/>
      <c r="C69" s="160" t="s">
        <v>305</v>
      </c>
      <c r="D69" s="156">
        <f>($D$15*F801D!K47+$F$15*F801EVE!K47)*$L69</f>
        <v>0</v>
      </c>
      <c r="E69" s="156">
        <f>($D$15*F801D!L47+$F$15*F801EVE!L47)*$L69</f>
        <v>0</v>
      </c>
      <c r="F69" s="156">
        <f>($D$15*F801D!M47+$F$15*F801EVE!M47)*$L69</f>
        <v>0</v>
      </c>
      <c r="G69" s="156">
        <f>($D$15*F801D!N47+$F$15*F801EVE!N47)*$L69</f>
        <v>0</v>
      </c>
      <c r="H69" s="156">
        <f>($D$15*F801D!O47+$F$15*F801EVE!O47)*$L69</f>
        <v>0</v>
      </c>
      <c r="I69" s="156">
        <f>($D$15*F801D!P47+$F$15*F801EVE!P47)*$L69</f>
        <v>0</v>
      </c>
      <c r="J69" s="156">
        <f t="shared" si="6"/>
        <v>0</v>
      </c>
      <c r="K69" s="69"/>
      <c r="L69" s="319">
        <v>0.95</v>
      </c>
    </row>
    <row r="70" spans="2:13" s="37" customFormat="1" ht="15.75" customHeight="1">
      <c r="B70" s="48"/>
      <c r="C70" s="160" t="s">
        <v>307</v>
      </c>
      <c r="D70" s="156">
        <f>($D$15*F801D!K48+$F$15*F801EVE!K48)*$L70</f>
        <v>0</v>
      </c>
      <c r="E70" s="156">
        <f>($D$15*F801D!L48+$F$15*F801EVE!L48)*$L70</f>
        <v>0</v>
      </c>
      <c r="F70" s="156">
        <f>($D$15*F801D!M48+$F$15*F801EVE!M48)*$L70</f>
        <v>0</v>
      </c>
      <c r="G70" s="156">
        <f>($D$15*F801D!N48+$F$15*F801EVE!N48)*$L70</f>
        <v>0</v>
      </c>
      <c r="H70" s="156">
        <f>($D$15*F801D!O48+$F$15*F801EVE!O48)*$L70</f>
        <v>0</v>
      </c>
      <c r="I70" s="156">
        <f>($D$15*F801D!P48+$F$15*F801EVE!P48)*$L70</f>
        <v>0</v>
      </c>
      <c r="J70" s="156">
        <f t="shared" si="6"/>
        <v>0</v>
      </c>
      <c r="K70" s="69"/>
      <c r="L70" s="319">
        <v>0.5</v>
      </c>
    </row>
    <row r="71" spans="2:13" s="37" customFormat="1" ht="15.75">
      <c r="B71" s="48"/>
      <c r="C71" s="157"/>
      <c r="D71" s="156"/>
      <c r="E71" s="156"/>
      <c r="F71" s="156"/>
      <c r="G71" s="156"/>
      <c r="H71" s="156"/>
      <c r="I71" s="156"/>
      <c r="J71" s="156"/>
      <c r="K71" s="69"/>
      <c r="L71" s="319"/>
    </row>
    <row r="72" spans="2:13" s="37" customFormat="1" ht="15.75">
      <c r="B72" s="48" t="s">
        <v>1176</v>
      </c>
      <c r="C72" s="158" t="str">
        <f>F801EVE!$C$50</f>
        <v>BTSH</v>
      </c>
      <c r="D72" s="159">
        <f>SUM(D73:D78)</f>
        <v>16.052633705755113</v>
      </c>
      <c r="E72" s="159">
        <f t="shared" ref="E72:J72" si="12">SUM(E73:E78)</f>
        <v>16.052633705755113</v>
      </c>
      <c r="F72" s="159">
        <f t="shared" si="12"/>
        <v>16.052633705755113</v>
      </c>
      <c r="G72" s="159">
        <f t="shared" si="12"/>
        <v>16.052633705755113</v>
      </c>
      <c r="H72" s="159">
        <f t="shared" si="12"/>
        <v>16.052633705755113</v>
      </c>
      <c r="I72" s="159">
        <f t="shared" si="12"/>
        <v>16.052633705755113</v>
      </c>
      <c r="J72" s="159">
        <f t="shared" si="12"/>
        <v>96.315802234530679</v>
      </c>
      <c r="K72" s="69"/>
      <c r="L72" s="319"/>
    </row>
    <row r="73" spans="2:13" s="37" customFormat="1" ht="15.75">
      <c r="B73" s="48"/>
      <c r="C73" s="160" t="str">
        <f>F801EVE!$C$51</f>
        <v xml:space="preserve">    - Regulares</v>
      </c>
      <c r="D73" s="156">
        <f>($G$16*F801EVE!K51)*$L73</f>
        <v>16.052633705755113</v>
      </c>
      <c r="E73" s="156">
        <f>($G$16*F801EVE!L51)*$L73</f>
        <v>16.052633705755113</v>
      </c>
      <c r="F73" s="156">
        <f>($G$16*F801EVE!M51)*$L73</f>
        <v>16.052633705755113</v>
      </c>
      <c r="G73" s="156">
        <f>($G$16*F801EVE!N51)*$L73</f>
        <v>16.052633705755113</v>
      </c>
      <c r="H73" s="156">
        <f>($G$16*F801EVE!O51)*$L73</f>
        <v>16.052633705755113</v>
      </c>
      <c r="I73" s="156">
        <f>($G$16*F801EVE!P51)*$L73</f>
        <v>16.052633705755113</v>
      </c>
      <c r="J73" s="156">
        <f t="shared" ref="J73:J90" si="13">SUM(D73:I73)</f>
        <v>96.315802234530679</v>
      </c>
      <c r="K73" s="69"/>
      <c r="L73" s="319">
        <v>1</v>
      </c>
      <c r="M73" s="69"/>
    </row>
    <row r="74" spans="2:13" s="37" customFormat="1" ht="15.75">
      <c r="B74" s="48"/>
      <c r="C74" s="162" t="str">
        <f>F801EVE!$C$52</f>
        <v xml:space="preserve">    - Jubilados (0 a 600 KWh)</v>
      </c>
      <c r="D74" s="156">
        <f>($G$16*F801EVE!K52)*$L74</f>
        <v>0</v>
      </c>
      <c r="E74" s="156">
        <f>($G$16*F801EVE!L52)*$L74</f>
        <v>0</v>
      </c>
      <c r="F74" s="156">
        <f>($G$16*F801EVE!M52)*$L74</f>
        <v>0</v>
      </c>
      <c r="G74" s="156">
        <f>($G$16*F801EVE!N52)*$L74</f>
        <v>0</v>
      </c>
      <c r="H74" s="156">
        <f>($G$16*F801EVE!O52)*$L74</f>
        <v>0</v>
      </c>
      <c r="I74" s="156">
        <f>($G$16*F801EVE!P52)*$L74</f>
        <v>0</v>
      </c>
      <c r="J74" s="156">
        <f t="shared" si="13"/>
        <v>0</v>
      </c>
      <c r="K74" s="69"/>
      <c r="L74" s="319">
        <v>0.75</v>
      </c>
      <c r="M74" s="69"/>
    </row>
    <row r="75" spans="2:13" s="37" customFormat="1" ht="15.75">
      <c r="B75" s="48"/>
      <c r="C75" s="162" t="str">
        <f>F801EVE!$C$53</f>
        <v xml:space="preserve">    - Jubilados (601 y Más KWh)</v>
      </c>
      <c r="D75" s="156">
        <f>($G$16*F801EVE!K53)*$L75</f>
        <v>0</v>
      </c>
      <c r="E75" s="156">
        <f>($G$16*F801EVE!L53)*$L75</f>
        <v>0</v>
      </c>
      <c r="F75" s="156">
        <f>($G$16*F801EVE!M53)*$L75</f>
        <v>0</v>
      </c>
      <c r="G75" s="156">
        <f>($G$16*F801EVE!N53)*$L75</f>
        <v>0</v>
      </c>
      <c r="H75" s="156">
        <f>($G$16*F801EVE!O53)*$L75</f>
        <v>0</v>
      </c>
      <c r="I75" s="156">
        <f>($G$16*F801EVE!P53)*$L75</f>
        <v>0</v>
      </c>
      <c r="J75" s="156">
        <f t="shared" si="13"/>
        <v>0</v>
      </c>
      <c r="K75" s="69"/>
      <c r="L75" s="319">
        <v>1</v>
      </c>
      <c r="M75" s="69"/>
    </row>
    <row r="76" spans="2:13" s="37" customFormat="1" ht="15.75">
      <c r="B76" s="48"/>
      <c r="C76" s="160" t="str">
        <f>F801EVE!$C$54</f>
        <v xml:space="preserve">    - Agropecuarios</v>
      </c>
      <c r="D76" s="156">
        <f>($G$16*F801EVE!K54)*$L76</f>
        <v>0</v>
      </c>
      <c r="E76" s="156">
        <f>($G$16*F801EVE!L54)*$L76</f>
        <v>0</v>
      </c>
      <c r="F76" s="156">
        <f>($G$16*F801EVE!M54)*$L76</f>
        <v>0</v>
      </c>
      <c r="G76" s="156">
        <f>($G$16*F801EVE!N54)*$L76</f>
        <v>0</v>
      </c>
      <c r="H76" s="156">
        <f>($G$16*F801EVE!O54)*$L76</f>
        <v>0</v>
      </c>
      <c r="I76" s="156">
        <f>($G$16*F801EVE!P54)*$L76</f>
        <v>0</v>
      </c>
      <c r="J76" s="156">
        <f t="shared" si="13"/>
        <v>0</v>
      </c>
      <c r="K76" s="69"/>
      <c r="L76" s="319">
        <v>0.95</v>
      </c>
      <c r="M76" s="69"/>
    </row>
    <row r="77" spans="2:13" s="37" customFormat="1" ht="15.75">
      <c r="B77" s="48"/>
      <c r="C77" s="160" t="str">
        <f>F801EVE!$C$55</f>
        <v xml:space="preserve">    - Partidos Políticos</v>
      </c>
      <c r="D77" s="156">
        <f>($G$16*F801EVE!K55)*$L77</f>
        <v>0</v>
      </c>
      <c r="E77" s="156">
        <f>($G$16*F801EVE!L55)*$L77</f>
        <v>0</v>
      </c>
      <c r="F77" s="156">
        <f>($G$16*F801EVE!M55)*$L77</f>
        <v>0</v>
      </c>
      <c r="G77" s="156">
        <f>($G$16*F801EVE!N55)*$L77</f>
        <v>0</v>
      </c>
      <c r="H77" s="156">
        <f>($G$16*F801EVE!O55)*$L77</f>
        <v>0</v>
      </c>
      <c r="I77" s="156">
        <f>($G$16*F801EVE!P55)*$L77</f>
        <v>0</v>
      </c>
      <c r="J77" s="156">
        <f t="shared" si="13"/>
        <v>0</v>
      </c>
      <c r="K77" s="69"/>
      <c r="L77" s="319">
        <v>0.5</v>
      </c>
      <c r="M77" s="69"/>
    </row>
    <row r="78" spans="2:13" s="37" customFormat="1" ht="15.75">
      <c r="B78" s="48"/>
      <c r="C78" s="160" t="str">
        <f>F801EVE!$C$56</f>
        <v xml:space="preserve">    - Cruz Roja</v>
      </c>
      <c r="D78" s="156">
        <f>($G$16*F801EVE!K56)*$L78</f>
        <v>0</v>
      </c>
      <c r="E78" s="156">
        <f>($G$16*F801EVE!L56)*$L78</f>
        <v>0</v>
      </c>
      <c r="F78" s="156">
        <f>($G$16*F801EVE!M56)*$L78</f>
        <v>0</v>
      </c>
      <c r="G78" s="156">
        <f>($G$16*F801EVE!N56)*$L78</f>
        <v>0</v>
      </c>
      <c r="H78" s="156">
        <f>($G$16*F801EVE!O56)*$L78</f>
        <v>0</v>
      </c>
      <c r="I78" s="156">
        <f>($G$16*F801EVE!P56)*$L78</f>
        <v>0</v>
      </c>
      <c r="J78" s="156">
        <f t="shared" si="13"/>
        <v>0</v>
      </c>
      <c r="K78" s="69"/>
      <c r="L78" s="319">
        <v>0</v>
      </c>
      <c r="M78" s="69"/>
    </row>
    <row r="79" spans="2:13" s="37" customFormat="1" ht="15.75">
      <c r="B79" s="48" t="s">
        <v>751</v>
      </c>
      <c r="C79" s="158" t="s">
        <v>634</v>
      </c>
      <c r="D79" s="159">
        <f t="shared" ref="D79" si="14">SUM(D80:D84)</f>
        <v>660334.04937924817</v>
      </c>
      <c r="E79" s="159">
        <f t="shared" ref="E79:I79" si="15">SUM(E80:E84)</f>
        <v>660609.64182500355</v>
      </c>
      <c r="F79" s="159">
        <f t="shared" si="15"/>
        <v>648132.20269277762</v>
      </c>
      <c r="G79" s="159">
        <f t="shared" si="15"/>
        <v>658345.11179525976</v>
      </c>
      <c r="H79" s="159">
        <f t="shared" si="15"/>
        <v>629818.4738285311</v>
      </c>
      <c r="I79" s="159">
        <f t="shared" si="15"/>
        <v>632769.79655415483</v>
      </c>
      <c r="J79" s="159">
        <f t="shared" si="13"/>
        <v>3890009.2760749748</v>
      </c>
      <c r="K79" s="69"/>
      <c r="L79" s="319"/>
      <c r="M79" s="69"/>
    </row>
    <row r="80" spans="2:13" s="37" customFormat="1" ht="15.75">
      <c r="B80" s="48"/>
      <c r="C80" s="160" t="s">
        <v>304</v>
      </c>
      <c r="D80" s="156">
        <f>(($E$18+$F$18)*F801EVE!K66)*$L80</f>
        <v>478486.46711095481</v>
      </c>
      <c r="E80" s="156">
        <f>(($E$18+$F$18)*F801EVE!L66)*$L80</f>
        <v>478686.16675409034</v>
      </c>
      <c r="F80" s="156">
        <f>(($E$18+$F$18)*F801EVE!M66)*$L80</f>
        <v>469644.77182353637</v>
      </c>
      <c r="G80" s="156">
        <f>(($E$18+$F$18)*F801EVE!N66)*$L80</f>
        <v>477045.24427680636</v>
      </c>
      <c r="H80" s="156">
        <f>(($E$18+$F$18)*F801EVE!O66)*$L80</f>
        <v>456374.28790788376</v>
      </c>
      <c r="I80" s="156">
        <f>(($E$18+$F$18)*F801EVE!P66)*$L80</f>
        <v>458512.87372241716</v>
      </c>
      <c r="J80" s="156">
        <f t="shared" si="13"/>
        <v>2818749.8115956886</v>
      </c>
      <c r="K80" s="69"/>
      <c r="L80" s="319">
        <v>1</v>
      </c>
      <c r="M80" s="329"/>
    </row>
    <row r="81" spans="2:13" s="37" customFormat="1" ht="15.75">
      <c r="B81" s="48"/>
      <c r="C81" s="162" t="s">
        <v>644</v>
      </c>
      <c r="D81" s="156">
        <f>(($E$18+$F$18)*F801EVE!K67)*$L81</f>
        <v>181829.76937070809</v>
      </c>
      <c r="E81" s="156">
        <f>(($E$18+$F$18)*F801EVE!L67)*$L81</f>
        <v>181905.654739241</v>
      </c>
      <c r="F81" s="156">
        <f>(($E$18+$F$18)*F801EVE!M67)*$L81</f>
        <v>178469.94711561259</v>
      </c>
      <c r="G81" s="156">
        <f>(($E$18+$F$18)*F801EVE!N67)*$L81</f>
        <v>181282.1082723196</v>
      </c>
      <c r="H81" s="156">
        <f>(($E$18+$F$18)*F801EVE!O67)*$L81</f>
        <v>173427.19617856757</v>
      </c>
      <c r="I81" s="156">
        <f>(($E$18+$F$18)*F801EVE!P67)*$L81</f>
        <v>174239.85347793472</v>
      </c>
      <c r="J81" s="156">
        <f t="shared" si="13"/>
        <v>1071154.5291543836</v>
      </c>
      <c r="K81" s="69"/>
      <c r="L81" s="319">
        <v>0.75</v>
      </c>
      <c r="M81" s="329"/>
    </row>
    <row r="82" spans="2:13" s="37" customFormat="1" ht="15.75">
      <c r="B82" s="48"/>
      <c r="C82" s="160" t="s">
        <v>305</v>
      </c>
      <c r="D82" s="156">
        <f>(($E$18+$F$18)*F801EVE!K68)*$L82</f>
        <v>17.434066322854793</v>
      </c>
      <c r="E82" s="156">
        <f>(($E$18+$F$18)*F801EVE!L68)*$L82</f>
        <v>17.441342307158767</v>
      </c>
      <c r="F82" s="156">
        <f>(($E$18+$F$18)*F801EVE!M68)*$L82</f>
        <v>17.111922351429975</v>
      </c>
      <c r="G82" s="156">
        <f>(($E$18+$F$18)*F801EVE!N68)*$L82</f>
        <v>17.381555889910853</v>
      </c>
      <c r="H82" s="156">
        <f>(($E$18+$F$18)*F801EVE!O68)*$L82</f>
        <v>16.628417067392341</v>
      </c>
      <c r="I82" s="156">
        <f>(($E$18+$F$18)*F801EVE!P68)*$L82</f>
        <v>16.706335668422042</v>
      </c>
      <c r="J82" s="156">
        <f t="shared" si="13"/>
        <v>102.70363960716878</v>
      </c>
      <c r="K82" s="69"/>
      <c r="L82" s="319">
        <v>0.95</v>
      </c>
      <c r="M82" s="329"/>
    </row>
    <row r="83" spans="2:13" s="37" customFormat="1" ht="15.75">
      <c r="B83" s="48"/>
      <c r="C83" s="160" t="s">
        <v>307</v>
      </c>
      <c r="D83" s="156">
        <f>(($E$18+$F$18)*F801EVE!K69)*$L83</f>
        <v>0.37883126250790983</v>
      </c>
      <c r="E83" s="156">
        <f>(($E$18+$F$18)*F801EVE!L69)*$L83</f>
        <v>0.37898936505661068</v>
      </c>
      <c r="F83" s="156">
        <f>(($E$18+$F$18)*F801EVE!M69)*$L83</f>
        <v>0.37183127724089321</v>
      </c>
      <c r="G83" s="156">
        <f>(($E$18+$F$18)*F801EVE!N69)*$L83</f>
        <v>0.37769024392747047</v>
      </c>
      <c r="H83" s="156">
        <f>(($E$18+$F$18)*F801EVE!O69)*$L83</f>
        <v>0.36132501244935089</v>
      </c>
      <c r="I83" s="156">
        <f>(($E$18+$F$18)*F801EVE!P69)*$L83</f>
        <v>0.363018134492958</v>
      </c>
      <c r="J83" s="156">
        <f t="shared" si="13"/>
        <v>2.2316852956751929</v>
      </c>
      <c r="K83" s="69"/>
      <c r="L83" s="319">
        <v>0.5</v>
      </c>
      <c r="M83" s="329"/>
    </row>
    <row r="84" spans="2:13" s="37" customFormat="1" ht="15.75">
      <c r="B84" s="48"/>
      <c r="C84" s="160" t="s">
        <v>624</v>
      </c>
      <c r="D84" s="156">
        <f>(($E$18+$F$18)*F801EVE!K70)*$L84</f>
        <v>0</v>
      </c>
      <c r="E84" s="156">
        <f>(($E$18+$F$18)*F801EVE!L70)*$L84</f>
        <v>0</v>
      </c>
      <c r="F84" s="156">
        <f>(($E$18+$F$18)*F801EVE!M70)*$L84</f>
        <v>0</v>
      </c>
      <c r="G84" s="156">
        <f>(($E$18+$F$18)*F801EVE!N70)*$L84</f>
        <v>0</v>
      </c>
      <c r="H84" s="156">
        <f>(($E$18+$F$18)*F801EVE!O70)*$L84</f>
        <v>0</v>
      </c>
      <c r="I84" s="156">
        <f>(($E$18+$F$18)*F801EVE!P70)*$L84</f>
        <v>0</v>
      </c>
      <c r="J84" s="156">
        <f t="shared" si="13"/>
        <v>0</v>
      </c>
      <c r="K84" s="69"/>
      <c r="L84" s="319">
        <v>0</v>
      </c>
      <c r="M84" s="329"/>
    </row>
    <row r="85" spans="2:13" s="37" customFormat="1" ht="15.75">
      <c r="B85" s="48" t="s">
        <v>750</v>
      </c>
      <c r="C85" s="158" t="s">
        <v>635</v>
      </c>
      <c r="D85" s="159">
        <f t="shared" ref="D85" si="16">SUM(D86:D91)</f>
        <v>998621.68678541912</v>
      </c>
      <c r="E85" s="159">
        <f t="shared" ref="E85:I85" si="17">SUM(E86:E91)</f>
        <v>999038.45448516868</v>
      </c>
      <c r="F85" s="159">
        <f t="shared" si="17"/>
        <v>980169.3102615166</v>
      </c>
      <c r="G85" s="159">
        <f t="shared" si="17"/>
        <v>995613.89410244813</v>
      </c>
      <c r="H85" s="159">
        <f t="shared" si="17"/>
        <v>952474.17285789445</v>
      </c>
      <c r="I85" s="159">
        <f t="shared" si="17"/>
        <v>956937.34303008986</v>
      </c>
      <c r="J85" s="159">
        <f t="shared" si="13"/>
        <v>5882854.8615225358</v>
      </c>
      <c r="K85" s="69"/>
      <c r="L85" s="319"/>
      <c r="M85" s="69"/>
    </row>
    <row r="86" spans="2:13" s="37" customFormat="1" ht="15.75">
      <c r="B86" s="48"/>
      <c r="C86" s="160" t="s">
        <v>304</v>
      </c>
      <c r="D86" s="156">
        <f>(($E$19+$F$19)*F801EVE!K72)*$L86</f>
        <v>644006.15394964651</v>
      </c>
      <c r="E86" s="156">
        <f>(($E$19+$F$19)*F801EVE!L72)*$L86</f>
        <v>644274.92536424531</v>
      </c>
      <c r="F86" s="156">
        <f>(($E$19+$F$19)*F801EVE!M72)*$L86</f>
        <v>632106.30819860729</v>
      </c>
      <c r="G86" s="156">
        <f>(($E$19+$F$19)*F801EVE!N72)*$L86</f>
        <v>642066.44342335779</v>
      </c>
      <c r="H86" s="156">
        <f>(($E$19+$F$19)*F801EVE!O72)*$L86</f>
        <v>614245.85197335982</v>
      </c>
      <c r="I86" s="156">
        <f>(($E$19+$F$19)*F801EVE!P72)*$L86</f>
        <v>617124.12819653179</v>
      </c>
      <c r="J86" s="330">
        <f t="shared" si="13"/>
        <v>3793823.8111057491</v>
      </c>
      <c r="K86" s="69"/>
      <c r="L86" s="319">
        <v>1</v>
      </c>
      <c r="M86" s="329"/>
    </row>
    <row r="87" spans="2:13" s="37" customFormat="1" ht="15.75">
      <c r="B87" s="48"/>
      <c r="C87" s="162" t="s">
        <v>642</v>
      </c>
      <c r="D87" s="156">
        <f>(($E$19+$F$19)*F801EVE!K73)*$L87</f>
        <v>344557.73080785986</v>
      </c>
      <c r="E87" s="156">
        <f>(($E$19+$F$19)*F801EVE!L73)*$L87</f>
        <v>344701.52954045305</v>
      </c>
      <c r="F87" s="156">
        <f>(($E$19+$F$19)*F801EVE!M73)*$L87</f>
        <v>338191.046539712</v>
      </c>
      <c r="G87" s="156">
        <f>(($E$19+$F$19)*F801EVE!N73)*$L87</f>
        <v>343519.942188507</v>
      </c>
      <c r="H87" s="156">
        <f>(($E$19+$F$19)*F801EVE!O73)*$L87</f>
        <v>328635.30203257874</v>
      </c>
      <c r="I87" s="156">
        <f>(($E$19+$F$19)*F801EVE!P73)*$L87</f>
        <v>330175.24434215471</v>
      </c>
      <c r="J87" s="330">
        <f t="shared" si="13"/>
        <v>2029780.7954512653</v>
      </c>
      <c r="K87" s="69"/>
      <c r="L87" s="319">
        <v>0.75</v>
      </c>
      <c r="M87" s="329"/>
    </row>
    <row r="88" spans="2:13" s="37" customFormat="1" ht="15.75">
      <c r="B88" s="48"/>
      <c r="C88" s="162" t="s">
        <v>1177</v>
      </c>
      <c r="D88" s="156">
        <f>(($E$19+$F$19)*F801EVE!K74)*$L88</f>
        <v>10014.238664640667</v>
      </c>
      <c r="E88" s="156">
        <f>(($E$19+$F$19)*F801EVE!L74)*$L88</f>
        <v>10018.418036336912</v>
      </c>
      <c r="F88" s="156">
        <f>(($E$19+$F$19)*F801EVE!M74)*$L88</f>
        <v>9829.1971169901226</v>
      </c>
      <c r="G88" s="156">
        <f>(($E$19+$F$19)*F801EVE!N74)*$L88</f>
        <v>9984.07633772587</v>
      </c>
      <c r="H88" s="156">
        <f>(($E$19+$F$19)*F801EVE!O74)*$L88</f>
        <v>9551.4686043011279</v>
      </c>
      <c r="I88" s="156">
        <f>(($E$19+$F$19)*F801EVE!P74)*$L88</f>
        <v>9596.2255446887793</v>
      </c>
      <c r="J88" s="330">
        <f t="shared" si="13"/>
        <v>58993.624304683479</v>
      </c>
      <c r="K88" s="69"/>
      <c r="L88" s="319">
        <v>1</v>
      </c>
      <c r="M88" s="329"/>
    </row>
    <row r="89" spans="2:13" s="37" customFormat="1" ht="15.75">
      <c r="B89" s="48"/>
      <c r="C89" s="160" t="s">
        <v>305</v>
      </c>
      <c r="D89" s="156">
        <f>(($E$19+$F$19)*F801EVE!K75)*$L89</f>
        <v>42.183817214882048</v>
      </c>
      <c r="E89" s="156">
        <f>(($E$19+$F$19)*F801EVE!L75)*$L89</f>
        <v>42.201422332715921</v>
      </c>
      <c r="F89" s="156">
        <f>(($E$19+$F$19)*F801EVE!M75)*$L89</f>
        <v>41.404351188092534</v>
      </c>
      <c r="G89" s="156">
        <f>(($E$19+$F$19)*F801EVE!N75)*$L89</f>
        <v>42.056761916126099</v>
      </c>
      <c r="H89" s="156">
        <f>(($E$19+$F$19)*F801EVE!O75)*$L89</f>
        <v>40.234452086725959</v>
      </c>
      <c r="I89" s="156">
        <f>(($E$19+$F$19)*F801EVE!P75)*$L89</f>
        <v>40.422985499563062</v>
      </c>
      <c r="J89" s="156">
        <f t="shared" si="13"/>
        <v>248.50379023810561</v>
      </c>
      <c r="K89" s="69"/>
      <c r="L89" s="319">
        <v>0.95</v>
      </c>
      <c r="M89" s="329"/>
    </row>
    <row r="90" spans="2:13" s="37" customFormat="1" ht="15.75">
      <c r="B90" s="48"/>
      <c r="C90" s="160" t="s">
        <v>307</v>
      </c>
      <c r="D90" s="156">
        <f>(($E$19+$F$19)*F801EVE!K76)*$L90</f>
        <v>1.3795460570289326</v>
      </c>
      <c r="E90" s="156">
        <f>(($E$19+$F$19)*F801EVE!L76)*$L90</f>
        <v>1.3801218008210965</v>
      </c>
      <c r="F90" s="156">
        <f>(($E$19+$F$19)*F801EVE!M76)*$L90</f>
        <v>1.3540550191181642</v>
      </c>
      <c r="G90" s="156">
        <f>(($E$19+$F$19)*F801EVE!N76)*$L90</f>
        <v>1.3753909414420584</v>
      </c>
      <c r="H90" s="156">
        <f>(($E$19+$F$19)*F801EVE!O76)*$L90</f>
        <v>1.3157955680070736</v>
      </c>
      <c r="I90" s="156">
        <f>(($E$19+$F$19)*F801EVE!P76)*$L90</f>
        <v>1.3219612150127196</v>
      </c>
      <c r="J90" s="156">
        <f t="shared" si="13"/>
        <v>8.1268706014300456</v>
      </c>
      <c r="K90" s="69"/>
      <c r="L90" s="319">
        <v>0.5</v>
      </c>
      <c r="M90" s="329"/>
    </row>
    <row r="91" spans="2:13" s="37" customFormat="1" ht="15.75">
      <c r="B91" s="48"/>
      <c r="C91" s="160" t="s">
        <v>624</v>
      </c>
      <c r="D91" s="156">
        <f>(($E$19+$F$19)*F801EVE!K77)*$L91</f>
        <v>0</v>
      </c>
      <c r="E91" s="156">
        <f>(($E$19+$F$19)*F801EVE!L77)*$L91</f>
        <v>0</v>
      </c>
      <c r="F91" s="156">
        <f>(($E$19+$F$19)*F801EVE!M77)*$L91</f>
        <v>0</v>
      </c>
      <c r="G91" s="156">
        <f>(($E$19+$F$19)*F801EVE!N77)*$L91</f>
        <v>0</v>
      </c>
      <c r="H91" s="156">
        <f>(($E$19+$F$19)*F801EVE!O77)*$L91</f>
        <v>0</v>
      </c>
      <c r="I91" s="156">
        <f>(($E$19+$F$19)*F801EVE!P77)*$L91</f>
        <v>0</v>
      </c>
      <c r="J91" s="156"/>
      <c r="K91" s="69"/>
      <c r="L91" s="319">
        <v>0</v>
      </c>
      <c r="M91" s="329"/>
    </row>
    <row r="92" spans="2:13" s="37" customFormat="1" ht="15.75">
      <c r="B92" s="48" t="s">
        <v>749</v>
      </c>
      <c r="C92" s="158" t="s">
        <v>636</v>
      </c>
      <c r="D92" s="159">
        <f t="shared" ref="D92" si="18">SUM(D93:D98)</f>
        <v>1518588.9408723686</v>
      </c>
      <c r="E92" s="159">
        <f t="shared" ref="E92:I92" si="19">SUM(E93:E98)</f>
        <v>1519222.7132289358</v>
      </c>
      <c r="F92" s="159">
        <f t="shared" si="19"/>
        <v>1490528.6901359635</v>
      </c>
      <c r="G92" s="159">
        <f t="shared" si="19"/>
        <v>1514015.0358938987</v>
      </c>
      <c r="H92" s="159">
        <f t="shared" si="19"/>
        <v>1448413.112301413</v>
      </c>
      <c r="I92" s="159">
        <f t="shared" si="19"/>
        <v>1455200.1878821016</v>
      </c>
      <c r="J92" s="159">
        <f t="shared" ref="J92:J97" si="20">SUM(D92:I92)</f>
        <v>8945968.6803146806</v>
      </c>
      <c r="K92" s="69"/>
      <c r="L92" s="319"/>
      <c r="M92" s="69"/>
    </row>
    <row r="93" spans="2:13" s="37" customFormat="1" ht="15.75">
      <c r="B93" s="48"/>
      <c r="C93" s="160" t="s">
        <v>304</v>
      </c>
      <c r="D93" s="156">
        <f>(($E$20+$F$20)*F801EVE!K79)*$L93</f>
        <v>1312808.8907310136</v>
      </c>
      <c r="E93" s="156">
        <f>(($E$20+$F$20)*F801EVE!L79)*$L93</f>
        <v>1313356.78223872</v>
      </c>
      <c r="F93" s="156">
        <f>(($E$20+$F$20)*F801EVE!M79)*$L93</f>
        <v>1288551.0118202581</v>
      </c>
      <c r="G93" s="156">
        <f>(($E$20+$F$20)*F801EVE!N79)*$L93</f>
        <v>1308854.7837574407</v>
      </c>
      <c r="H93" s="156">
        <f>(($E$20+$F$20)*F801EVE!O79)*$L93</f>
        <v>1252142.4067452666</v>
      </c>
      <c r="I93" s="156">
        <f>(($E$20+$F$20)*F801EVE!P79)*$L93</f>
        <v>1258009.7833108255</v>
      </c>
      <c r="J93" s="330">
        <f t="shared" si="20"/>
        <v>7733723.6586035229</v>
      </c>
      <c r="K93" s="69"/>
      <c r="L93" s="319">
        <v>1</v>
      </c>
      <c r="M93" s="329"/>
    </row>
    <row r="94" spans="2:13" s="37" customFormat="1" ht="15.75">
      <c r="B94" s="48"/>
      <c r="C94" s="162" t="s">
        <v>642</v>
      </c>
      <c r="D94" s="156">
        <f>(($E$20+$F$20)*F801EVE!K80)*$L94</f>
        <v>97409.274072301225</v>
      </c>
      <c r="E94" s="156">
        <f>(($E$20+$F$20)*F801EVE!L80)*$L94</f>
        <v>97449.927144056666</v>
      </c>
      <c r="F94" s="156">
        <f>(($E$20+$F$20)*F801EVE!M80)*$L94</f>
        <v>95609.360625710586</v>
      </c>
      <c r="G94" s="156">
        <f>(($E$20+$F$20)*F801EVE!N80)*$L94</f>
        <v>97115.882785405323</v>
      </c>
      <c r="H94" s="156">
        <f>(($E$20+$F$20)*F801EVE!O80)*$L94</f>
        <v>92907.873901039493</v>
      </c>
      <c r="I94" s="156">
        <f>(($E$20+$F$20)*F801EVE!P80)*$L94</f>
        <v>93343.228122050044</v>
      </c>
      <c r="J94" s="330">
        <f t="shared" si="20"/>
        <v>573835.54665056325</v>
      </c>
      <c r="K94" s="69"/>
      <c r="L94" s="319">
        <v>0.75</v>
      </c>
      <c r="M94" s="329"/>
    </row>
    <row r="95" spans="2:13" s="37" customFormat="1" ht="15.75">
      <c r="B95" s="48"/>
      <c r="C95" s="162" t="s">
        <v>1177</v>
      </c>
      <c r="D95" s="156">
        <f>(($E$20+$F$20)*F801EVE!K81)*$L95</f>
        <v>107643.56999433252</v>
      </c>
      <c r="E95" s="156">
        <f>(($E$20+$F$20)*F801EVE!L81)*$L95</f>
        <v>107688.49427712453</v>
      </c>
      <c r="F95" s="156">
        <f>(($E$20+$F$20)*F801EVE!M81)*$L95</f>
        <v>105654.54881624621</v>
      </c>
      <c r="G95" s="156">
        <f>(($E$20+$F$20)*F801EVE!N81)*$L95</f>
        <v>107319.35358036697</v>
      </c>
      <c r="H95" s="156">
        <f>(($E$20+$F$20)*F801EVE!O81)*$L95</f>
        <v>102669.23065116009</v>
      </c>
      <c r="I95" s="156">
        <f>(($E$20+$F$20)*F801EVE!P81)*$L95</f>
        <v>103150.3253211285</v>
      </c>
      <c r="J95" s="330">
        <f t="shared" si="20"/>
        <v>634125.52264035877</v>
      </c>
      <c r="K95" s="69"/>
      <c r="L95" s="319">
        <v>1</v>
      </c>
      <c r="M95" s="329"/>
    </row>
    <row r="96" spans="2:13" s="37" customFormat="1" ht="15.75">
      <c r="B96" s="48"/>
      <c r="C96" s="160" t="s">
        <v>305</v>
      </c>
      <c r="D96" s="156">
        <f>(($E$20+$F$20)*F801EVE!K82)*$L96</f>
        <v>715.92657361926285</v>
      </c>
      <c r="E96" s="156">
        <f>(($E$20+$F$20)*F801EVE!L82)*$L96</f>
        <v>716.22536051246311</v>
      </c>
      <c r="F96" s="156">
        <f>(($E$20+$F$20)*F801EVE!M82)*$L96</f>
        <v>702.69779351694501</v>
      </c>
      <c r="G96" s="156">
        <f>(($E$20+$F$20)*F801EVE!N82)*$L96</f>
        <v>713.77024281033766</v>
      </c>
      <c r="H96" s="156">
        <f>(($E$20+$F$20)*F801EVE!O82)*$L96</f>
        <v>682.84274221006274</v>
      </c>
      <c r="I96" s="156">
        <f>(($E$20+$F$20)*F801EVE!P82)*$L96</f>
        <v>686.04245454471607</v>
      </c>
      <c r="J96" s="156">
        <f t="shared" si="20"/>
        <v>4217.505167213787</v>
      </c>
      <c r="K96" s="69"/>
      <c r="L96" s="319">
        <v>0.95</v>
      </c>
      <c r="M96" s="329"/>
    </row>
    <row r="97" spans="2:13" s="37" customFormat="1" ht="15.75">
      <c r="B97" s="48"/>
      <c r="C97" s="160" t="s">
        <v>307</v>
      </c>
      <c r="D97" s="156">
        <f>(($E$20+$F$20)*F801EVE!K83)*$L97</f>
        <v>11.279501102034324</v>
      </c>
      <c r="E97" s="156">
        <f>(($E$20+$F$20)*F801EVE!L83)*$L97</f>
        <v>11.284208522062174</v>
      </c>
      <c r="F97" s="156">
        <f>(($E$20+$F$20)*F801EVE!M83)*$L97</f>
        <v>11.071080231457707</v>
      </c>
      <c r="G97" s="156">
        <f>(($E$20+$F$20)*F801EVE!N83)*$L97</f>
        <v>11.245527875404861</v>
      </c>
      <c r="H97" s="156">
        <f>(($E$20+$F$20)*F801EVE!O83)*$L97</f>
        <v>10.758261736727503</v>
      </c>
      <c r="I97" s="156">
        <f>(($E$20+$F$20)*F801EVE!P83)*$L97</f>
        <v>10.808673552875719</v>
      </c>
      <c r="J97" s="156">
        <f t="shared" si="20"/>
        <v>66.447253020562286</v>
      </c>
      <c r="K97" s="69"/>
      <c r="L97" s="319">
        <v>0.5</v>
      </c>
      <c r="M97" s="329"/>
    </row>
    <row r="98" spans="2:13" s="37" customFormat="1" ht="15.75">
      <c r="B98" s="48"/>
      <c r="C98" s="160" t="s">
        <v>624</v>
      </c>
      <c r="D98" s="156">
        <f>(($E$20+$F$20)*F801EVE!K84)*$L98</f>
        <v>0</v>
      </c>
      <c r="E98" s="156">
        <f>(($E$20+$F$20)*F801EVE!L84)*$L98</f>
        <v>0</v>
      </c>
      <c r="F98" s="156">
        <f>(($E$20+$F$20)*F801EVE!M84)*$L98</f>
        <v>0</v>
      </c>
      <c r="G98" s="156">
        <f>(($E$20+$F$20)*F801EVE!N84)*$L98</f>
        <v>0</v>
      </c>
      <c r="H98" s="156">
        <f>(($E$20+$F$20)*F801EVE!O84)*$L98</f>
        <v>0</v>
      </c>
      <c r="I98" s="156">
        <f>(($E$20+$F$20)*F801EVE!P84)*$L98</f>
        <v>0</v>
      </c>
      <c r="J98" s="156"/>
      <c r="K98" s="69"/>
      <c r="L98" s="319">
        <v>0</v>
      </c>
      <c r="M98" s="329"/>
    </row>
    <row r="99" spans="2:13" s="37" customFormat="1" ht="15.75">
      <c r="B99" s="48"/>
      <c r="C99" s="157"/>
      <c r="D99" s="156"/>
      <c r="E99" s="156"/>
      <c r="F99" s="156"/>
      <c r="G99" s="156"/>
      <c r="H99" s="156"/>
      <c r="I99" s="156"/>
      <c r="J99" s="156"/>
      <c r="K99" s="69"/>
      <c r="L99" s="319"/>
      <c r="M99" s="69"/>
    </row>
    <row r="100" spans="2:13" s="37" customFormat="1" ht="15.75">
      <c r="B100" s="48" t="s">
        <v>902</v>
      </c>
      <c r="C100" s="158" t="s">
        <v>898</v>
      </c>
      <c r="D100" s="159">
        <f t="shared" ref="D100" si="21">SUM(D101:D105)</f>
        <v>220761.0693035583</v>
      </c>
      <c r="E100" s="159">
        <f t="shared" ref="E100:I100" si="22">SUM(E101:E105)</f>
        <v>220853.20237483591</v>
      </c>
      <c r="F100" s="159">
        <f t="shared" si="22"/>
        <v>216681.88053115999</v>
      </c>
      <c r="G100" s="159">
        <f t="shared" si="22"/>
        <v>220096.14930660385</v>
      </c>
      <c r="H100" s="159">
        <f t="shared" si="22"/>
        <v>210559.43373410145</v>
      </c>
      <c r="I100" s="159">
        <f t="shared" si="22"/>
        <v>211546.08787223583</v>
      </c>
      <c r="J100" s="159">
        <f t="shared" ref="J100:J119" si="23">SUM(D100:I100)</f>
        <v>1300497.8231224951</v>
      </c>
      <c r="K100" s="69"/>
      <c r="L100" s="319"/>
      <c r="M100" s="69"/>
    </row>
    <row r="101" spans="2:13" s="37" customFormat="1" ht="15.75">
      <c r="B101" s="48"/>
      <c r="C101" s="160" t="s">
        <v>304</v>
      </c>
      <c r="D101" s="156">
        <f>(($E$17+$F$17)*F801EVE!K87)*$L101</f>
        <v>212330.60871215543</v>
      </c>
      <c r="E101" s="156">
        <f>(($E$17+$F$17)*F801EVE!L87)*$L101</f>
        <v>212419.22339031679</v>
      </c>
      <c r="F101" s="156">
        <f>(($E$17+$F$17)*F801EVE!M87)*$L101</f>
        <v>208407.19668200196</v>
      </c>
      <c r="G101" s="156">
        <f>(($E$17+$F$17)*F801EVE!N87)*$L101</f>
        <v>211691.08079111564</v>
      </c>
      <c r="H101" s="156">
        <f>(($E$17+$F$17)*F801EVE!O87)*$L101</f>
        <v>202518.55490594823</v>
      </c>
      <c r="I101" s="156">
        <f>(($E$17+$F$17)*F801EVE!P87)*$L101</f>
        <v>203467.53053104077</v>
      </c>
      <c r="J101" s="156">
        <f t="shared" si="23"/>
        <v>1250834.1950125787</v>
      </c>
      <c r="K101" s="69"/>
      <c r="L101" s="319">
        <v>1</v>
      </c>
      <c r="M101" s="329"/>
    </row>
    <row r="102" spans="2:13" s="37" customFormat="1" ht="15.75">
      <c r="B102" s="48"/>
      <c r="C102" s="162" t="s">
        <v>644</v>
      </c>
      <c r="D102" s="156">
        <f>(($E$17+$F$17)*F801EVE!K88)*$L102</f>
        <v>8430.4605914028689</v>
      </c>
      <c r="E102" s="156">
        <f>(($E$17+$F$17)*F801EVE!L88)*$L102</f>
        <v>8433.9789845191062</v>
      </c>
      <c r="F102" s="156">
        <f>(($E$17+$F$17)*F801EVE!M88)*$L102</f>
        <v>8274.6838491580238</v>
      </c>
      <c r="G102" s="156">
        <f>(($E$17+$F$17)*F801EVE!N88)*$L102</f>
        <v>8405.0685154881958</v>
      </c>
      <c r="H102" s="156">
        <f>(($E$17+$F$17)*F801EVE!O88)*$L102</f>
        <v>8040.8788281532125</v>
      </c>
      <c r="I102" s="156">
        <f>(($E$17+$F$17)*F801EVE!P88)*$L102</f>
        <v>8078.5573411950627</v>
      </c>
      <c r="J102" s="156">
        <f t="shared" si="23"/>
        <v>49663.62810991647</v>
      </c>
      <c r="K102" s="69"/>
      <c r="L102" s="319">
        <v>0.75</v>
      </c>
      <c r="M102" s="329"/>
    </row>
    <row r="103" spans="2:13" s="37" customFormat="1" ht="15.75">
      <c r="B103" s="48"/>
      <c r="C103" s="160" t="s">
        <v>305</v>
      </c>
      <c r="D103" s="156">
        <f>(($E$17+$F$17)*F801EVE!K89)*$L103</f>
        <v>0</v>
      </c>
      <c r="E103" s="156">
        <f>(($E$17+$F$17)*F801EVE!L89)*$L103</f>
        <v>0</v>
      </c>
      <c r="F103" s="156">
        <f>(($E$17+$F$17)*F801EVE!M89)*$L103</f>
        <v>0</v>
      </c>
      <c r="G103" s="156">
        <f>(($E$17+$F$17)*F801EVE!N89)*$L103</f>
        <v>0</v>
      </c>
      <c r="H103" s="156">
        <f>(($E$17+$F$17)*F801EVE!O89)*$L103</f>
        <v>0</v>
      </c>
      <c r="I103" s="156">
        <f>(($E$17+$F$17)*F801EVE!P89)*$L103</f>
        <v>0</v>
      </c>
      <c r="J103" s="156">
        <f t="shared" si="23"/>
        <v>0</v>
      </c>
      <c r="K103" s="69"/>
      <c r="L103" s="319">
        <v>0.95</v>
      </c>
      <c r="M103" s="329"/>
    </row>
    <row r="104" spans="2:13" s="37" customFormat="1" ht="15.75">
      <c r="B104" s="48"/>
      <c r="C104" s="160" t="s">
        <v>307</v>
      </c>
      <c r="D104" s="156">
        <f>(($E$17+$F$17)*F801EVE!K90)*$L104</f>
        <v>0</v>
      </c>
      <c r="E104" s="156">
        <f>(($E$17+$F$17)*F801EVE!L90)*$L104</f>
        <v>0</v>
      </c>
      <c r="F104" s="156">
        <f>(($E$17+$F$17)*F801EVE!M90)*$L104</f>
        <v>0</v>
      </c>
      <c r="G104" s="156">
        <f>(($E$17+$F$17)*F801EVE!N90)*$L104</f>
        <v>0</v>
      </c>
      <c r="H104" s="156">
        <f>(($E$17+$F$17)*F801EVE!O90)*$L104</f>
        <v>0</v>
      </c>
      <c r="I104" s="156">
        <f>(($E$17+$F$17)*F801EVE!P90)*$L104</f>
        <v>0</v>
      </c>
      <c r="J104" s="156">
        <f t="shared" si="23"/>
        <v>0</v>
      </c>
      <c r="K104" s="69"/>
      <c r="L104" s="319">
        <v>0.5</v>
      </c>
      <c r="M104" s="329"/>
    </row>
    <row r="105" spans="2:13" s="37" customFormat="1" ht="15.75">
      <c r="B105" s="48"/>
      <c r="C105" s="160" t="s">
        <v>624</v>
      </c>
      <c r="D105" s="156">
        <f>(($E$17+$F$17)*F801EVE!K91)*$L105</f>
        <v>0</v>
      </c>
      <c r="E105" s="156">
        <f>(($E$17+$F$17)*F801EVE!L91)*$L105</f>
        <v>0</v>
      </c>
      <c r="F105" s="156">
        <f>(($E$17+$F$17)*F801EVE!M91)*$L105</f>
        <v>0</v>
      </c>
      <c r="G105" s="156">
        <f>(($E$17+$F$17)*F801EVE!N91)*$L105</f>
        <v>0</v>
      </c>
      <c r="H105" s="156">
        <f>(($E$17+$F$17)*F801EVE!O91)*$L105</f>
        <v>0</v>
      </c>
      <c r="I105" s="156">
        <f>(($E$17+$F$17)*F801EVE!P91)*$L105</f>
        <v>0</v>
      </c>
      <c r="J105" s="156">
        <f t="shared" si="23"/>
        <v>0</v>
      </c>
      <c r="K105" s="69"/>
      <c r="L105" s="319">
        <v>0</v>
      </c>
      <c r="M105" s="329"/>
    </row>
    <row r="106" spans="2:13" s="37" customFormat="1" ht="15.75">
      <c r="B106" s="48" t="s">
        <v>902</v>
      </c>
      <c r="C106" s="158" t="s">
        <v>899</v>
      </c>
      <c r="D106" s="159">
        <f t="shared" ref="D106:I106" si="24">SUM(D107:D112)</f>
        <v>17473.090835547784</v>
      </c>
      <c r="E106" s="159">
        <f t="shared" si="24"/>
        <v>17480.383106456193</v>
      </c>
      <c r="F106" s="159">
        <f t="shared" si="24"/>
        <v>17150.225775234758</v>
      </c>
      <c r="G106" s="159">
        <f t="shared" si="24"/>
        <v>17420.462862953664</v>
      </c>
      <c r="H106" s="159">
        <f t="shared" si="24"/>
        <v>16665.638210233825</v>
      </c>
      <c r="I106" s="159">
        <f t="shared" si="24"/>
        <v>16743.731224700914</v>
      </c>
      <c r="J106" s="159">
        <f t="shared" si="23"/>
        <v>102933.53201512713</v>
      </c>
      <c r="K106" s="69"/>
      <c r="L106" s="319"/>
      <c r="M106" s="69"/>
    </row>
    <row r="107" spans="2:13" s="37" customFormat="1" ht="15.75">
      <c r="B107" s="48"/>
      <c r="C107" s="160" t="s">
        <v>304</v>
      </c>
      <c r="D107" s="156">
        <f>(($E$17+$F$17)*F801EVE!K93)*$L107</f>
        <v>15872.051368145054</v>
      </c>
      <c r="E107" s="156">
        <f>(($E$17+$F$17)*F801EVE!L93)*$L107</f>
        <v>15878.675456552653</v>
      </c>
      <c r="F107" s="156">
        <f>(($E$17+$F$17)*F801EVE!M93)*$L107</f>
        <v>15578.770066599815</v>
      </c>
      <c r="G107" s="156">
        <f>(($E$17+$F$17)*F801EVE!N93)*$L107</f>
        <v>15824.245636905116</v>
      </c>
      <c r="H107" s="156">
        <f>(($E$17+$F$17)*F801EVE!O93)*$L107</f>
        <v>15138.584709787528</v>
      </c>
      <c r="I107" s="156">
        <f>(($E$17+$F$17)*F801EVE!P93)*$L107</f>
        <v>15209.522150036692</v>
      </c>
      <c r="J107" s="156">
        <f t="shared" si="23"/>
        <v>93501.849388026851</v>
      </c>
      <c r="K107" s="69"/>
      <c r="L107" s="319">
        <v>1</v>
      </c>
      <c r="M107" s="329"/>
    </row>
    <row r="108" spans="2:13" s="37" customFormat="1" ht="15.75">
      <c r="B108" s="48"/>
      <c r="C108" s="162" t="s">
        <v>642</v>
      </c>
      <c r="D108" s="156">
        <f>(($E$17+$F$17)*F801EVE!K94)*$L108</f>
        <v>1451.8330702254475</v>
      </c>
      <c r="E108" s="156">
        <f>(($E$17+$F$17)*F801EVE!L94)*$L108</f>
        <v>1452.4389824914292</v>
      </c>
      <c r="F108" s="156">
        <f>(($E$17+$F$17)*F801EVE!M94)*$L108</f>
        <v>1425.0063241051125</v>
      </c>
      <c r="G108" s="156">
        <f>(($E$17+$F$17)*F801EVE!N94)*$L108</f>
        <v>1447.4602301967316</v>
      </c>
      <c r="H108" s="156">
        <f>(($E$17+$F$17)*F801EVE!O94)*$L108</f>
        <v>1384.7421110411553</v>
      </c>
      <c r="I108" s="156">
        <f>(($E$17+$F$17)*F801EVE!P94)*$L108</f>
        <v>1391.2308325858435</v>
      </c>
      <c r="J108" s="156">
        <f t="shared" si="23"/>
        <v>8552.7115506457194</v>
      </c>
      <c r="K108" s="69"/>
      <c r="L108" s="319">
        <v>0.75</v>
      </c>
      <c r="M108" s="329"/>
    </row>
    <row r="109" spans="2:13" s="37" customFormat="1" ht="15.75">
      <c r="B109" s="48"/>
      <c r="C109" s="162" t="s">
        <v>1177</v>
      </c>
      <c r="D109" s="156">
        <f>(($E$17+$F$17)*F801EVE!K95)*$L109</f>
        <v>149.20639717728511</v>
      </c>
      <c r="E109" s="156">
        <f>(($E$17+$F$17)*F801EVE!L95)*$L109</f>
        <v>149.26866741211219</v>
      </c>
      <c r="F109" s="156">
        <f>(($E$17+$F$17)*F801EVE!M95)*$L109</f>
        <v>146.44938452983016</v>
      </c>
      <c r="G109" s="156">
        <f>(($E$17+$F$17)*F801EVE!N95)*$L109</f>
        <v>148.75699585181729</v>
      </c>
      <c r="H109" s="156">
        <f>(($E$17+$F$17)*F801EVE!O95)*$L109</f>
        <v>142.31138940514361</v>
      </c>
      <c r="I109" s="156">
        <f>(($E$17+$F$17)*F801EVE!P95)*$L109</f>
        <v>142.97824207837775</v>
      </c>
      <c r="J109" s="156">
        <f t="shared" si="23"/>
        <v>878.97107645456617</v>
      </c>
      <c r="K109" s="69"/>
      <c r="L109" s="319">
        <v>1</v>
      </c>
      <c r="M109" s="329"/>
    </row>
    <row r="110" spans="2:13" s="37" customFormat="1" ht="15.75">
      <c r="B110" s="48"/>
      <c r="C110" s="160" t="s">
        <v>305</v>
      </c>
      <c r="D110" s="156">
        <f>(($E$17+$F$17)*F801EVE!K96)*$L110</f>
        <v>0</v>
      </c>
      <c r="E110" s="156">
        <f>(($E$17+$F$17)*F801EVE!L96)*$L110</f>
        <v>0</v>
      </c>
      <c r="F110" s="156">
        <f>(($E$17+$F$17)*F801EVE!M96)*$L110</f>
        <v>0</v>
      </c>
      <c r="G110" s="156">
        <f>(($E$17+$F$17)*F801EVE!N96)*$L110</f>
        <v>0</v>
      </c>
      <c r="H110" s="156">
        <f>(($E$17+$F$17)*F801EVE!O96)*$L110</f>
        <v>0</v>
      </c>
      <c r="I110" s="156">
        <f>(($E$17+$F$17)*F801EVE!P96)*$L110</f>
        <v>0</v>
      </c>
      <c r="J110" s="156">
        <f t="shared" si="23"/>
        <v>0</v>
      </c>
      <c r="K110" s="69"/>
      <c r="L110" s="319">
        <v>0.95</v>
      </c>
      <c r="M110" s="329"/>
    </row>
    <row r="111" spans="2:13" s="37" customFormat="1" ht="15.75">
      <c r="B111" s="48"/>
      <c r="C111" s="160" t="s">
        <v>307</v>
      </c>
      <c r="D111" s="156">
        <f>(($E$17+$F$17)*F801EVE!K97)*$L111</f>
        <v>0</v>
      </c>
      <c r="E111" s="156">
        <f>(($E$17+$F$17)*F801EVE!L97)*$L111</f>
        <v>0</v>
      </c>
      <c r="F111" s="156">
        <f>(($E$17+$F$17)*F801EVE!M97)*$L111</f>
        <v>0</v>
      </c>
      <c r="G111" s="156">
        <f>(($E$17+$F$17)*F801EVE!N97)*$L111</f>
        <v>0</v>
      </c>
      <c r="H111" s="156">
        <f>(($E$17+$F$17)*F801EVE!O97)*$L111</f>
        <v>0</v>
      </c>
      <c r="I111" s="156">
        <f>(($E$17+$F$17)*F801EVE!P97)*$L111</f>
        <v>0</v>
      </c>
      <c r="J111" s="156">
        <f t="shared" si="23"/>
        <v>0</v>
      </c>
      <c r="K111" s="69"/>
      <c r="L111" s="319">
        <v>0.5</v>
      </c>
      <c r="M111" s="329"/>
    </row>
    <row r="112" spans="2:13" s="37" customFormat="1" ht="15.75">
      <c r="B112" s="48"/>
      <c r="C112" s="160" t="s">
        <v>624</v>
      </c>
      <c r="D112" s="156">
        <f>(($E$17+$F$17)*F801EVE!K98)*$L112</f>
        <v>0</v>
      </c>
      <c r="E112" s="156">
        <f>($E$17*F801EVE!L98+$F$17*F801EVE!L98)*$L112</f>
        <v>0</v>
      </c>
      <c r="F112" s="156">
        <f>($E$17*F801EVE!M98+$F$17*F801EVE!M98)*$L112</f>
        <v>0</v>
      </c>
      <c r="G112" s="156">
        <f>($E$17*F801EVE!N98+$F$17*F801EVE!N98)*$L112</f>
        <v>0</v>
      </c>
      <c r="H112" s="156">
        <f>($E$17*F801EVE!O98+$F$17*F801EVE!O98)*$L112</f>
        <v>0</v>
      </c>
      <c r="I112" s="156">
        <f>($E$17*F801EVE!P98+$F$17*F801EVE!P98)*$L112</f>
        <v>0</v>
      </c>
      <c r="J112" s="156">
        <f t="shared" si="23"/>
        <v>0</v>
      </c>
      <c r="K112" s="69"/>
      <c r="L112" s="319">
        <v>0</v>
      </c>
      <c r="M112" s="329"/>
    </row>
    <row r="113" spans="2:13" s="37" customFormat="1" ht="15.75">
      <c r="B113" s="48" t="s">
        <v>902</v>
      </c>
      <c r="C113" s="158" t="s">
        <v>900</v>
      </c>
      <c r="D113" s="159">
        <f t="shared" ref="D113:I113" si="25">SUM(D114:D119)</f>
        <v>1932.2638019550359</v>
      </c>
      <c r="E113" s="159">
        <f t="shared" si="25"/>
        <v>1933.0702185897908</v>
      </c>
      <c r="F113" s="159">
        <f t="shared" si="25"/>
        <v>1896.5597313455194</v>
      </c>
      <c r="G113" s="159">
        <f t="shared" si="25"/>
        <v>1926.4439314254887</v>
      </c>
      <c r="H113" s="159">
        <f t="shared" si="25"/>
        <v>1842.9715585636386</v>
      </c>
      <c r="I113" s="159">
        <f t="shared" si="25"/>
        <v>1851.6074837391268</v>
      </c>
      <c r="J113" s="159">
        <f t="shared" si="23"/>
        <v>11382.916725618599</v>
      </c>
      <c r="K113" s="69"/>
      <c r="L113" s="319"/>
      <c r="M113" s="69"/>
    </row>
    <row r="114" spans="2:13" s="37" customFormat="1" ht="15.75">
      <c r="B114" s="48"/>
      <c r="C114" s="160" t="s">
        <v>304</v>
      </c>
      <c r="D114" s="156">
        <f>(($E$17+$F$17)*F801EVE!K100)*$L114</f>
        <v>1877.2025651163171</v>
      </c>
      <c r="E114" s="156">
        <f>(($E$17+$F$17)*F801EVE!L100)*$L114</f>
        <v>1877.9860023332139</v>
      </c>
      <c r="F114" s="156">
        <f>(($E$17+$F$17)*F801EVE!M100)*$L114</f>
        <v>1842.5159074945861</v>
      </c>
      <c r="G114" s="156">
        <f>(($E$17+$F$17)*F801EVE!N100)*$L114</f>
        <v>1871.5485359533959</v>
      </c>
      <c r="H114" s="156">
        <f>(($E$17+$F$17)*F801EVE!O100)*$L114</f>
        <v>1790.4547679626746</v>
      </c>
      <c r="I114" s="156">
        <f>(($E$17+$F$17)*F801EVE!P100)*$L114</f>
        <v>1798.8446062834962</v>
      </c>
      <c r="J114" s="156">
        <f t="shared" si="23"/>
        <v>11058.552385143683</v>
      </c>
      <c r="K114" s="69"/>
      <c r="L114" s="319">
        <v>1</v>
      </c>
      <c r="M114" s="329"/>
    </row>
    <row r="115" spans="2:13" s="37" customFormat="1" ht="15.75">
      <c r="B115" s="48"/>
      <c r="C115" s="162" t="s">
        <v>642</v>
      </c>
      <c r="D115" s="156">
        <f>(($E$17+$F$17)*F801EVE!K101)*$L115</f>
        <v>55.061236838718841</v>
      </c>
      <c r="E115" s="156">
        <f>(($E$17+$F$17)*F801EVE!L101)*$L115</f>
        <v>55.084216256576788</v>
      </c>
      <c r="F115" s="156">
        <f>(($E$17+$F$17)*F801EVE!M101)*$L115</f>
        <v>54.043823850933286</v>
      </c>
      <c r="G115" s="156">
        <f>(($E$17+$F$17)*F801EVE!N101)*$L115</f>
        <v>54.895395472092886</v>
      </c>
      <c r="H115" s="156">
        <f>(($E$17+$F$17)*F801EVE!O101)*$L115</f>
        <v>52.516790600964057</v>
      </c>
      <c r="I115" s="156">
        <f>(($E$17+$F$17)*F801EVE!P101)*$L115</f>
        <v>52.76287745563053</v>
      </c>
      <c r="J115" s="156">
        <f t="shared" si="23"/>
        <v>324.36434047491639</v>
      </c>
      <c r="K115" s="69"/>
      <c r="L115" s="319">
        <v>0.75</v>
      </c>
      <c r="M115" s="329"/>
    </row>
    <row r="116" spans="2:13" s="37" customFormat="1" ht="15.75">
      <c r="B116" s="48"/>
      <c r="C116" s="162" t="s">
        <v>1177</v>
      </c>
      <c r="D116" s="156">
        <f>(($E$17+$F$17)*F801EVE!K102)*$L116</f>
        <v>0</v>
      </c>
      <c r="E116" s="156">
        <f>(($E$17+$F$17)*F801EVE!L102)*$L116</f>
        <v>0</v>
      </c>
      <c r="F116" s="156">
        <f>(($E$17+$F$17)*F801EVE!M102)*$L116</f>
        <v>0</v>
      </c>
      <c r="G116" s="156">
        <f>(($E$17+$F$17)*F801EVE!N102)*$L116</f>
        <v>0</v>
      </c>
      <c r="H116" s="156">
        <f>(($E$17+$F$17)*F801EVE!O102)*$L116</f>
        <v>0</v>
      </c>
      <c r="I116" s="156">
        <f>(($E$17+$F$17)*F801EVE!P102)*$L116</f>
        <v>0</v>
      </c>
      <c r="J116" s="156">
        <f t="shared" si="23"/>
        <v>0</v>
      </c>
      <c r="K116" s="69"/>
      <c r="L116" s="319">
        <v>1</v>
      </c>
      <c r="M116" s="329"/>
    </row>
    <row r="117" spans="2:13" s="37" customFormat="1" ht="15.75">
      <c r="B117" s="48"/>
      <c r="C117" s="160" t="s">
        <v>305</v>
      </c>
      <c r="D117" s="156">
        <f>(($E$17+$F$17)*F801EVE!K103)*$L117</f>
        <v>0</v>
      </c>
      <c r="E117" s="156">
        <f>(($E$17+$F$17)*F801EVE!L103)*$L117</f>
        <v>0</v>
      </c>
      <c r="F117" s="156">
        <f>(($E$17+$F$17)*F801EVE!M103)*$L117</f>
        <v>0</v>
      </c>
      <c r="G117" s="156">
        <f>(($E$17+$F$17)*F801EVE!N103)*$L117</f>
        <v>0</v>
      </c>
      <c r="H117" s="156">
        <f>(($E$17+$F$17)*F801EVE!O103)*$L117</f>
        <v>0</v>
      </c>
      <c r="I117" s="156">
        <f>(($E$17+$F$17)*F801EVE!P103)*$L117</f>
        <v>0</v>
      </c>
      <c r="J117" s="156">
        <f t="shared" si="23"/>
        <v>0</v>
      </c>
      <c r="K117" s="69"/>
      <c r="L117" s="319">
        <v>0.95</v>
      </c>
      <c r="M117" s="329"/>
    </row>
    <row r="118" spans="2:13" s="37" customFormat="1" ht="15.75">
      <c r="B118" s="48"/>
      <c r="C118" s="160" t="s">
        <v>307</v>
      </c>
      <c r="D118" s="156">
        <f>(($E$17+$F$17)*F801EVE!K104)*$L118</f>
        <v>0</v>
      </c>
      <c r="E118" s="156">
        <f>(($E$17+$F$17)*F801EVE!L104)*$L118</f>
        <v>0</v>
      </c>
      <c r="F118" s="156">
        <f>(($E$17+$F$17)*F801EVE!M104)*$L118</f>
        <v>0</v>
      </c>
      <c r="G118" s="156">
        <f>(($E$17+$F$17)*F801EVE!N104)*$L118</f>
        <v>0</v>
      </c>
      <c r="H118" s="156">
        <f>(($E$17+$F$17)*F801EVE!O104)*$L118</f>
        <v>0</v>
      </c>
      <c r="I118" s="156">
        <f>(($E$17+$F$17)*F801EVE!P104)*$L118</f>
        <v>0</v>
      </c>
      <c r="J118" s="156">
        <f t="shared" si="23"/>
        <v>0</v>
      </c>
      <c r="K118" s="69"/>
      <c r="L118" s="319">
        <v>0.5</v>
      </c>
      <c r="M118" s="329"/>
    </row>
    <row r="119" spans="2:13" s="37" customFormat="1" ht="15.75">
      <c r="B119" s="48"/>
      <c r="C119" s="160" t="s">
        <v>624</v>
      </c>
      <c r="D119" s="156">
        <f>(($E$17+$F$17)*F801EVE!K105)*$L119</f>
        <v>0</v>
      </c>
      <c r="E119" s="156">
        <f>(($E$17+$F$17)*F801EVE!L105)*$L119</f>
        <v>0</v>
      </c>
      <c r="F119" s="156">
        <f>(($E$17+$F$17)*F801EVE!M105)*$L119</f>
        <v>0</v>
      </c>
      <c r="G119" s="156">
        <f>(($E$17+$F$17)*F801EVE!N105)*$L119</f>
        <v>0</v>
      </c>
      <c r="H119" s="156">
        <f>(($E$17+$F$17)*F801EVE!O105)*$L119</f>
        <v>0</v>
      </c>
      <c r="I119" s="156">
        <f>(($E$17+$F$17)*F801EVE!P105)*$L119</f>
        <v>0</v>
      </c>
      <c r="J119" s="156">
        <f t="shared" si="23"/>
        <v>0</v>
      </c>
      <c r="K119" s="69"/>
      <c r="L119" s="319">
        <v>0</v>
      </c>
      <c r="M119" s="329"/>
    </row>
    <row r="120" spans="2:13" s="37" customFormat="1" ht="15.75">
      <c r="B120" s="48"/>
      <c r="C120" s="157"/>
      <c r="D120" s="156"/>
      <c r="E120" s="156"/>
      <c r="F120" s="156"/>
      <c r="G120" s="156"/>
      <c r="H120" s="156"/>
      <c r="I120" s="156"/>
      <c r="J120" s="156"/>
      <c r="K120" s="69"/>
      <c r="L120" s="319"/>
      <c r="M120" s="69"/>
    </row>
    <row r="121" spans="2:13" s="37" customFormat="1" ht="15.75">
      <c r="B121" s="48"/>
      <c r="C121" s="153" t="s">
        <v>112</v>
      </c>
      <c r="D121" s="154">
        <f t="shared" ref="D121:I121" si="26">D44+D34+D30</f>
        <v>7049518.6245568199</v>
      </c>
      <c r="E121" s="154">
        <f t="shared" si="26"/>
        <v>7052460.6913078018</v>
      </c>
      <c r="F121" s="154">
        <f t="shared" si="26"/>
        <v>6919258.7136276728</v>
      </c>
      <c r="G121" s="154">
        <f t="shared" si="26"/>
        <v>7028285.8686313396</v>
      </c>
      <c r="H121" s="154">
        <f t="shared" si="26"/>
        <v>6723751.8570071571</v>
      </c>
      <c r="I121" s="154">
        <f t="shared" si="26"/>
        <v>6755258.484261306</v>
      </c>
      <c r="J121" s="154">
        <f>SUM(D121:I121)</f>
        <v>41528534.239392102</v>
      </c>
      <c r="K121" s="69"/>
      <c r="L121" s="319"/>
    </row>
    <row r="122" spans="2:13">
      <c r="C122" s="48"/>
      <c r="D122" s="48"/>
      <c r="E122" s="48"/>
      <c r="F122" s="48"/>
      <c r="G122" s="48"/>
      <c r="H122" s="48"/>
      <c r="I122" s="48"/>
      <c r="J122" s="48"/>
    </row>
    <row r="123" spans="2:13" s="69" customFormat="1" ht="31.5" customHeight="1">
      <c r="B123" s="48"/>
      <c r="C123" s="320" t="s">
        <v>1453</v>
      </c>
      <c r="D123" s="320"/>
      <c r="E123" s="320"/>
      <c r="F123" s="320"/>
      <c r="G123" s="320"/>
      <c r="H123" s="320"/>
      <c r="I123" s="320"/>
      <c r="J123" s="321"/>
      <c r="L123" s="319"/>
    </row>
    <row r="124" spans="2:13" s="37" customFormat="1" ht="15.75">
      <c r="B124" s="48"/>
      <c r="C124" s="150" t="s">
        <v>310</v>
      </c>
      <c r="D124" s="151">
        <f t="shared" ref="D124:I124" si="27">D$29</f>
        <v>46204</v>
      </c>
      <c r="E124" s="151">
        <f t="shared" si="27"/>
        <v>46235</v>
      </c>
      <c r="F124" s="151">
        <f t="shared" si="27"/>
        <v>46266</v>
      </c>
      <c r="G124" s="151">
        <f t="shared" si="27"/>
        <v>46296</v>
      </c>
      <c r="H124" s="151">
        <f t="shared" si="27"/>
        <v>46327</v>
      </c>
      <c r="I124" s="151">
        <f t="shared" si="27"/>
        <v>46357</v>
      </c>
      <c r="J124" s="152" t="s">
        <v>111</v>
      </c>
      <c r="K124" s="69"/>
      <c r="L124" s="319"/>
    </row>
    <row r="125" spans="2:13" s="37" customFormat="1" ht="15.75" customHeight="1">
      <c r="B125" s="48"/>
      <c r="C125" s="153" t="s">
        <v>446</v>
      </c>
      <c r="D125" s="154">
        <f t="shared" ref="D125:I125" si="28">SUM(D126:D127)</f>
        <v>1356685.4511334265</v>
      </c>
      <c r="E125" s="154">
        <f t="shared" si="28"/>
        <v>1357251.6542133666</v>
      </c>
      <c r="F125" s="154">
        <f t="shared" si="28"/>
        <v>1331616.8279500073</v>
      </c>
      <c r="G125" s="154">
        <f t="shared" si="28"/>
        <v>1352599.1904132657</v>
      </c>
      <c r="H125" s="154">
        <f t="shared" si="28"/>
        <v>1293991.3783129323</v>
      </c>
      <c r="I125" s="154">
        <f t="shared" si="28"/>
        <v>1300054.8537197621</v>
      </c>
      <c r="J125" s="154">
        <f>SUM(D125:I125)</f>
        <v>7992199.35574276</v>
      </c>
      <c r="K125" s="69"/>
      <c r="L125" s="319"/>
    </row>
    <row r="126" spans="2:13" s="37" customFormat="1" ht="15.75" customHeight="1">
      <c r="B126" s="48" t="s">
        <v>279</v>
      </c>
      <c r="C126" s="155" t="s">
        <v>279</v>
      </c>
      <c r="D126" s="156">
        <f>$H$7*F801EVE!R6+$I$7*F801EVE!Y6</f>
        <v>1356649.9819174509</v>
      </c>
      <c r="E126" s="156">
        <f>$H$7*F801EVE!S6+$I$7*F801EVE!Z6</f>
        <v>1357216.184997391</v>
      </c>
      <c r="F126" s="156">
        <f>$H$7*F801EVE!T6+$I$7*F801EVE!AA6</f>
        <v>1331581.3587340317</v>
      </c>
      <c r="G126" s="156">
        <f>$H$7*F801EVE!U6+$I$7*F801EVE!AB6</f>
        <v>1352563.7211972901</v>
      </c>
      <c r="H126" s="156">
        <f>$H$7*F801EVE!V6+$I$7*F801EVE!AC6</f>
        <v>1293955.9090969567</v>
      </c>
      <c r="I126" s="156">
        <f>$H$7*F801EVE!W6+$I$7*F801EVE!AD6</f>
        <v>1300019.3845037865</v>
      </c>
      <c r="J126" s="156">
        <f>SUM(D126:I126)</f>
        <v>7991986.5404469064</v>
      </c>
      <c r="K126" s="69"/>
      <c r="L126" s="319"/>
    </row>
    <row r="127" spans="2:13" s="37" customFormat="1" ht="15.75" customHeight="1">
      <c r="B127" s="48" t="s">
        <v>278</v>
      </c>
      <c r="C127" s="155" t="s">
        <v>278</v>
      </c>
      <c r="D127" s="156">
        <f>$F$8*F801EVE!R7</f>
        <v>35.469215975584909</v>
      </c>
      <c r="E127" s="156">
        <f>$F$8*F801EVE!S7</f>
        <v>35.469215975584909</v>
      </c>
      <c r="F127" s="156">
        <f>$F$8*F801EVE!T7</f>
        <v>35.469215975584909</v>
      </c>
      <c r="G127" s="156">
        <f>$F$8*F801EVE!U7</f>
        <v>35.469215975584909</v>
      </c>
      <c r="H127" s="156">
        <f>$F$8*F801EVE!V7</f>
        <v>35.469215975584909</v>
      </c>
      <c r="I127" s="156">
        <f>$F$8*F801EVE!W7</f>
        <v>35.469215975584909</v>
      </c>
      <c r="J127" s="156">
        <f>SUM(D127:I127)</f>
        <v>212.81529585350947</v>
      </c>
      <c r="K127" s="69"/>
      <c r="L127" s="319"/>
    </row>
    <row r="128" spans="2:13" s="37" customFormat="1" ht="15.75" customHeight="1">
      <c r="B128" s="48"/>
      <c r="C128" s="157"/>
      <c r="D128" s="156"/>
      <c r="E128" s="156"/>
      <c r="F128" s="156"/>
      <c r="G128" s="156"/>
      <c r="H128" s="156"/>
      <c r="I128" s="156"/>
      <c r="J128" s="156"/>
      <c r="K128" s="69"/>
      <c r="L128" s="319"/>
    </row>
    <row r="129" spans="2:12" s="37" customFormat="1" ht="15.75" customHeight="1">
      <c r="B129" s="48"/>
      <c r="C129" s="153" t="s">
        <v>630</v>
      </c>
      <c r="D129" s="154">
        <f>D130+D133</f>
        <v>1947056.9626844432</v>
      </c>
      <c r="E129" s="154">
        <f t="shared" ref="E129:I129" si="29">E130+E133</f>
        <v>1947869.5531402263</v>
      </c>
      <c r="F129" s="154">
        <f t="shared" si="29"/>
        <v>1911079.5463471403</v>
      </c>
      <c r="G129" s="154">
        <f t="shared" si="29"/>
        <v>1941192.5359819341</v>
      </c>
      <c r="H129" s="154">
        <f t="shared" si="29"/>
        <v>1857081.1094738059</v>
      </c>
      <c r="I129" s="154">
        <f t="shared" si="29"/>
        <v>1865783.1501709116</v>
      </c>
      <c r="J129" s="154">
        <f t="shared" ref="J129:J137" si="30">SUM(D129:I129)</f>
        <v>11470062.857798461</v>
      </c>
      <c r="K129" s="69"/>
      <c r="L129" s="319"/>
    </row>
    <row r="130" spans="2:12" s="37" customFormat="1" ht="15.75" customHeight="1">
      <c r="B130" s="48" t="s">
        <v>277</v>
      </c>
      <c r="C130" s="155" t="s">
        <v>277</v>
      </c>
      <c r="D130" s="154">
        <f>SUM(D131:D132)</f>
        <v>278537.72963042615</v>
      </c>
      <c r="E130" s="154">
        <f t="shared" ref="E130:I130" si="31">SUM(E131:E132)</f>
        <v>278653.97538235376</v>
      </c>
      <c r="F130" s="154">
        <f t="shared" si="31"/>
        <v>273390.9526965121</v>
      </c>
      <c r="G130" s="154">
        <f t="shared" si="31"/>
        <v>277698.78956313146</v>
      </c>
      <c r="H130" s="154">
        <f t="shared" si="31"/>
        <v>265666.1648251015</v>
      </c>
      <c r="I130" s="154">
        <f t="shared" si="31"/>
        <v>266911.04194240033</v>
      </c>
      <c r="J130" s="154">
        <f t="shared" si="30"/>
        <v>1640858.6540399254</v>
      </c>
      <c r="K130" s="69"/>
      <c r="L130" s="319"/>
    </row>
    <row r="131" spans="2:12" s="37" customFormat="1" ht="15.75" customHeight="1">
      <c r="B131" s="48"/>
      <c r="C131" s="160" t="s">
        <v>304</v>
      </c>
      <c r="D131" s="156">
        <f>$H$9*F801EVE!R11+$I$9*F801EVE!Y11</f>
        <v>242850.97607646431</v>
      </c>
      <c r="E131" s="156">
        <f>$H$9*F801EVE!S11+$I$9*F801EVE!Z11</f>
        <v>242952.32821413639</v>
      </c>
      <c r="F131" s="156">
        <f>$H$9*F801EVE!T11+$I$9*F801EVE!AA11</f>
        <v>238363.61343547754</v>
      </c>
      <c r="G131" s="156">
        <f>$H$9*F801EVE!U11+$I$9*F801EVE!AB11</f>
        <v>242119.52251546024</v>
      </c>
      <c r="H131" s="156">
        <f>$H$9*F801EVE!V11+$I$9*F801EVE!AC11</f>
        <v>231628.53924267495</v>
      </c>
      <c r="I131" s="156">
        <f>$H$9*F801EVE!W11+$I$9*F801EVE!AD11</f>
        <v>232713.92047067737</v>
      </c>
      <c r="J131" s="156">
        <f t="shared" si="30"/>
        <v>1430628.8999548908</v>
      </c>
      <c r="K131" s="69"/>
      <c r="L131" s="319"/>
    </row>
    <row r="132" spans="2:12" s="37" customFormat="1" ht="15.75" customHeight="1">
      <c r="B132" s="48"/>
      <c r="C132" s="160" t="s">
        <v>305</v>
      </c>
      <c r="D132" s="156">
        <f>($H$9*F801EVE!R12+$I$9*F801EVE!Y12)*$L132</f>
        <v>35686.753553961811</v>
      </c>
      <c r="E132" s="156">
        <f>($H$9*F801EVE!S12+$I$9*F801EVE!Z12)*$L132</f>
        <v>35701.647168217372</v>
      </c>
      <c r="F132" s="156">
        <f>($H$9*F801EVE!T12+$I$9*F801EVE!AA12)*$L132</f>
        <v>35027.339261034584</v>
      </c>
      <c r="G132" s="156">
        <f>($H$9*F801EVE!U12+$I$9*F801EVE!AB12)*$L132</f>
        <v>35579.267047671223</v>
      </c>
      <c r="H132" s="156">
        <f>($H$9*F801EVE!V12+$I$9*F801EVE!AC12)*$L132</f>
        <v>34037.625582426524</v>
      </c>
      <c r="I132" s="156">
        <f>($H$9*F801EVE!W12+$I$9*F801EVE!AD12)*$L132</f>
        <v>34197.121471722945</v>
      </c>
      <c r="J132" s="156">
        <f t="shared" si="30"/>
        <v>210229.75408503448</v>
      </c>
      <c r="K132" s="69"/>
      <c r="L132" s="319">
        <v>0.95</v>
      </c>
    </row>
    <row r="133" spans="2:12" s="37" customFormat="1" ht="15.75" customHeight="1">
      <c r="B133" s="48" t="s">
        <v>276</v>
      </c>
      <c r="C133" s="158" t="s">
        <v>276</v>
      </c>
      <c r="D133" s="159">
        <f t="shared" ref="D133:I133" si="32">SUM(D134:D137)</f>
        <v>1668519.2330540169</v>
      </c>
      <c r="E133" s="159">
        <f t="shared" si="32"/>
        <v>1669215.5777578726</v>
      </c>
      <c r="F133" s="159">
        <f t="shared" si="32"/>
        <v>1637688.5936506283</v>
      </c>
      <c r="G133" s="159">
        <f t="shared" si="32"/>
        <v>1663493.7464188025</v>
      </c>
      <c r="H133" s="159">
        <f t="shared" si="32"/>
        <v>1591414.9446487045</v>
      </c>
      <c r="I133" s="159">
        <f t="shared" si="32"/>
        <v>1598872.1082285112</v>
      </c>
      <c r="J133" s="159">
        <f t="shared" si="30"/>
        <v>9829204.2037585359</v>
      </c>
      <c r="K133" s="69"/>
      <c r="L133" s="319"/>
    </row>
    <row r="134" spans="2:12" s="37" customFormat="1" ht="15.75" customHeight="1">
      <c r="B134" s="48"/>
      <c r="C134" s="160" t="s">
        <v>304</v>
      </c>
      <c r="D134" s="156">
        <f>$F$10*(F801EVE!R15+F801EVE!Y15)*$L134</f>
        <v>1662014.5948572154</v>
      </c>
      <c r="E134" s="156">
        <f>$F$10*(F801EVE!S15+F801EVE!Z15)*$L134</f>
        <v>1662708.2248963139</v>
      </c>
      <c r="F134" s="156">
        <f>$F$10*(F801EVE!T15+F801EVE!AA15)*$L134</f>
        <v>1631304.1471487873</v>
      </c>
      <c r="G134" s="156">
        <f>$F$10*(F801EVE!U15+F801EVE!AB15)*$L134</f>
        <v>1657008.6998285449</v>
      </c>
      <c r="H134" s="156">
        <f>$F$10*(F801EVE!V15+F801EVE!AC15)*$L134</f>
        <v>1585210.8936369726</v>
      </c>
      <c r="I134" s="156">
        <f>$F$10*(F801EVE!W15+F801EVE!AD15)*$L134</f>
        <v>1592638.9858401357</v>
      </c>
      <c r="J134" s="156">
        <f t="shared" si="30"/>
        <v>9790885.54620797</v>
      </c>
      <c r="K134" s="69"/>
      <c r="L134" s="319">
        <v>1</v>
      </c>
    </row>
    <row r="135" spans="2:12" s="37" customFormat="1" ht="15.75" customHeight="1">
      <c r="B135" s="48"/>
      <c r="C135" s="161" t="s">
        <v>306</v>
      </c>
      <c r="D135" s="156">
        <f>$F$10*(F801EVE!R16+F801EVE!Y16)*$L135</f>
        <v>0</v>
      </c>
      <c r="E135" s="156">
        <f>$F$10*(F801EVE!S16+F801EVE!Z16)*$L135</f>
        <v>0</v>
      </c>
      <c r="F135" s="156">
        <f>$F$10*(F801EVE!T16+F801EVE!AA16)*$L135</f>
        <v>0</v>
      </c>
      <c r="G135" s="156">
        <f>$F$10*(F801EVE!U16+F801EVE!AB16)*$L135</f>
        <v>0</v>
      </c>
      <c r="H135" s="156">
        <f>$F$10*(F801EVE!V16+F801EVE!AC16)*$L135</f>
        <v>0</v>
      </c>
      <c r="I135" s="156">
        <f>$F$10*(F801EVE!W16+F801EVE!AD16)*$L135</f>
        <v>0</v>
      </c>
      <c r="J135" s="156">
        <f t="shared" si="30"/>
        <v>0</v>
      </c>
      <c r="K135" s="69"/>
      <c r="L135" s="319">
        <v>1</v>
      </c>
    </row>
    <row r="136" spans="2:12" s="37" customFormat="1" ht="15.75" customHeight="1">
      <c r="B136" s="48"/>
      <c r="C136" s="160" t="s">
        <v>305</v>
      </c>
      <c r="D136" s="156">
        <f>$F$10*(F801EVE!R17+F801EVE!Y17)*$L136</f>
        <v>6504.6381968015839</v>
      </c>
      <c r="E136" s="156">
        <f>$F$10*(F801EVE!S17+F801EVE!Z17)*$L136</f>
        <v>6507.3528615588784</v>
      </c>
      <c r="F136" s="156">
        <f>$F$10*(F801EVE!T17+F801EVE!AA17)*$L136</f>
        <v>6384.4465018409974</v>
      </c>
      <c r="G136" s="156">
        <f>$F$10*(F801EVE!U17+F801EVE!AB17)*$L136</f>
        <v>6485.0465902576807</v>
      </c>
      <c r="H136" s="156">
        <f>$F$10*(F801EVE!V17+F801EVE!AC17)*$L136</f>
        <v>6204.0510117318599</v>
      </c>
      <c r="I136" s="156">
        <f>$F$10*(F801EVE!W17+F801EVE!AD17)*$L136</f>
        <v>6233.1223883753428</v>
      </c>
      <c r="J136" s="156">
        <f t="shared" si="30"/>
        <v>38318.657550566342</v>
      </c>
      <c r="K136" s="69"/>
      <c r="L136" s="319">
        <v>0.95</v>
      </c>
    </row>
    <row r="137" spans="2:12" s="37" customFormat="1" ht="15.75" customHeight="1">
      <c r="B137" s="48"/>
      <c r="C137" s="160" t="s">
        <v>307</v>
      </c>
      <c r="D137" s="156">
        <f>$F$10*(F801EVE!R18+F801EVE!Y18)*$L137</f>
        <v>0</v>
      </c>
      <c r="E137" s="156">
        <f>$F$10*(F801EVE!S18+F801EVE!Z18)*$L137</f>
        <v>0</v>
      </c>
      <c r="F137" s="156">
        <f>$F$10*(F801EVE!T18+F801EVE!AA18)*$L137</f>
        <v>0</v>
      </c>
      <c r="G137" s="156">
        <f>$F$10*(F801EVE!U18+F801EVE!AB18)*$L137</f>
        <v>0</v>
      </c>
      <c r="H137" s="156">
        <f>$F$10*(F801EVE!V18+F801EVE!AC18)*$L137</f>
        <v>0</v>
      </c>
      <c r="I137" s="156">
        <f>$F$10*(F801EVE!W18+F801EVE!AD18)*$L137</f>
        <v>0</v>
      </c>
      <c r="J137" s="156">
        <f t="shared" si="30"/>
        <v>0</v>
      </c>
      <c r="K137" s="69"/>
      <c r="L137" s="319">
        <v>0.5</v>
      </c>
    </row>
    <row r="138" spans="2:12" s="37" customFormat="1" ht="15.75" customHeight="1">
      <c r="B138" s="48"/>
      <c r="C138" s="157"/>
      <c r="D138" s="157"/>
      <c r="E138" s="157"/>
      <c r="F138" s="157"/>
      <c r="G138" s="157"/>
      <c r="H138" s="157"/>
      <c r="I138" s="157"/>
      <c r="J138" s="157"/>
      <c r="K138" s="69"/>
      <c r="L138" s="319"/>
    </row>
    <row r="139" spans="2:12" s="37" customFormat="1" ht="15.75" customHeight="1">
      <c r="B139" s="48"/>
      <c r="C139" s="153" t="s">
        <v>443</v>
      </c>
      <c r="D139" s="154">
        <f t="shared" ref="D139:I139" si="33">D140+D144+D151+D156+D161+D174+D180+D187+D195+D201+D208+D167</f>
        <v>14823118.988342686</v>
      </c>
      <c r="E139" s="154">
        <f t="shared" si="33"/>
        <v>14829305.312238554</v>
      </c>
      <c r="F139" s="154">
        <f t="shared" si="33"/>
        <v>14549219.696497768</v>
      </c>
      <c r="G139" s="154">
        <f t="shared" si="33"/>
        <v>14778472.582779977</v>
      </c>
      <c r="H139" s="154">
        <f t="shared" si="33"/>
        <v>14138124.761784414</v>
      </c>
      <c r="I139" s="154">
        <f t="shared" si="33"/>
        <v>14204374.176756205</v>
      </c>
      <c r="J139" s="154">
        <f t="shared" ref="J139:J165" si="34">SUM(D139:I139)</f>
        <v>87322615.518399611</v>
      </c>
      <c r="K139" s="69"/>
      <c r="L139" s="319"/>
    </row>
    <row r="140" spans="2:12" s="37" customFormat="1" ht="15.75" customHeight="1">
      <c r="B140" s="48" t="s">
        <v>275</v>
      </c>
      <c r="C140" s="155" t="s">
        <v>275</v>
      </c>
      <c r="D140" s="154">
        <f>SUM(D141:D143)</f>
        <v>162772.36780647974</v>
      </c>
      <c r="E140" s="154">
        <f t="shared" ref="E140:I140" si="35">SUM(E141:E143)</f>
        <v>162840.2997032243</v>
      </c>
      <c r="F140" s="154">
        <f t="shared" si="35"/>
        <v>159764.68525942761</v>
      </c>
      <c r="G140" s="154">
        <f t="shared" si="35"/>
        <v>162282.10653601395</v>
      </c>
      <c r="H140" s="154">
        <f t="shared" si="35"/>
        <v>155250.46015139422</v>
      </c>
      <c r="I140" s="154">
        <f t="shared" si="35"/>
        <v>155977.9436283354</v>
      </c>
      <c r="J140" s="154">
        <f t="shared" si="34"/>
        <v>958887.86308487516</v>
      </c>
      <c r="K140" s="69"/>
      <c r="L140" s="319"/>
    </row>
    <row r="141" spans="2:12" s="37" customFormat="1" ht="15.75" customHeight="1">
      <c r="B141" s="48"/>
      <c r="C141" s="160" t="s">
        <v>304</v>
      </c>
      <c r="D141" s="156">
        <f>$H$11*F801EVE!R22+$I$11*F801EVE!Y22</f>
        <v>161620.68871400683</v>
      </c>
      <c r="E141" s="156">
        <f>$H$11*F801EVE!S22+$I$11*F801EVE!Z22</f>
        <v>161688.13996562563</v>
      </c>
      <c r="F141" s="156">
        <f>$H$11*F801EVE!T22+$I$11*F801EVE!AA22</f>
        <v>158634.28671446355</v>
      </c>
      <c r="G141" s="156">
        <f>$H$11*F801EVE!U22+$I$11*F801EVE!AB22</f>
        <v>161133.89623657177</v>
      </c>
      <c r="H141" s="156">
        <f>$H$11*F801EVE!V22+$I$11*F801EVE!AC22</f>
        <v>154152.00154037413</v>
      </c>
      <c r="I141" s="156">
        <f>$H$11*F801EVE!W22+$I$11*F801EVE!AD22</f>
        <v>154874.33778304083</v>
      </c>
      <c r="J141" s="156">
        <f t="shared" si="34"/>
        <v>952103.35095408279</v>
      </c>
      <c r="K141" s="69"/>
      <c r="L141" s="319"/>
    </row>
    <row r="142" spans="2:12" s="37" customFormat="1" ht="15.75" customHeight="1">
      <c r="B142" s="48"/>
      <c r="C142" s="161" t="s">
        <v>306</v>
      </c>
      <c r="D142" s="156">
        <f>($H$11*F801EVE!R23+$I$11*F801EVE!Y23)*$L142</f>
        <v>647.32748768618671</v>
      </c>
      <c r="E142" s="156">
        <f>($H$11*F801EVE!S23+$I$11*F801EVE!Z23)*$L142</f>
        <v>647.59764523593537</v>
      </c>
      <c r="F142" s="156">
        <f>($H$11*F801EVE!T23+$I$11*F801EVE!AA23)*$L142</f>
        <v>635.366270845896</v>
      </c>
      <c r="G142" s="156">
        <f>($H$11*F801EVE!U23+$I$11*F801EVE!AB23)*$L142</f>
        <v>645.37777348839495</v>
      </c>
      <c r="H142" s="156">
        <f>($H$11*F801EVE!V23+$I$11*F801EVE!AC23)*$L142</f>
        <v>617.41370286760548</v>
      </c>
      <c r="I142" s="156">
        <f>($H$11*F801EVE!W23+$I$11*F801EVE!AD23)*$L142</f>
        <v>620.30682322831319</v>
      </c>
      <c r="J142" s="156">
        <f t="shared" si="34"/>
        <v>3813.3897033523313</v>
      </c>
      <c r="K142" s="69"/>
      <c r="L142" s="319">
        <v>0.75</v>
      </c>
    </row>
    <row r="143" spans="2:12" s="37" customFormat="1" ht="15.75" customHeight="1">
      <c r="B143" s="48"/>
      <c r="C143" s="160" t="s">
        <v>305</v>
      </c>
      <c r="D143" s="156">
        <f>($H$11*F801EVE!R24+$I$11*F801EVE!Y24)*$L143</f>
        <v>504.35160478672105</v>
      </c>
      <c r="E143" s="156">
        <f>($H$11*F801EVE!S24+$I$11*F801EVE!Z24)*$L143</f>
        <v>504.56209236272059</v>
      </c>
      <c r="F143" s="156">
        <f>($H$11*F801EVE!T24+$I$11*F801EVE!AA24)*$L143</f>
        <v>495.03227411815044</v>
      </c>
      <c r="G143" s="156">
        <f>($H$11*F801EVE!U24+$I$11*F801EVE!AB24)*$L143</f>
        <v>502.83252595376956</v>
      </c>
      <c r="H143" s="156">
        <f>($H$11*F801EVE!V24+$I$11*F801EVE!AC24)*$L143</f>
        <v>481.04490815249721</v>
      </c>
      <c r="I143" s="156">
        <f>($H$11*F801EVE!W24+$I$11*F801EVE!AD24)*$L143</f>
        <v>483.29902206627486</v>
      </c>
      <c r="J143" s="156">
        <f t="shared" si="34"/>
        <v>2971.1224274401338</v>
      </c>
      <c r="K143" s="69"/>
      <c r="L143" s="319">
        <v>0.95</v>
      </c>
    </row>
    <row r="144" spans="2:12" s="37" customFormat="1" ht="15.75" customHeight="1">
      <c r="B144" s="48" t="s">
        <v>274</v>
      </c>
      <c r="C144" s="158" t="s">
        <v>627</v>
      </c>
      <c r="D144" s="159">
        <f t="shared" ref="D144:I144" si="36">SUM(D145:D150)</f>
        <v>1886103.4434107067</v>
      </c>
      <c r="E144" s="159">
        <f t="shared" si="36"/>
        <v>1886890.5953462217</v>
      </c>
      <c r="F144" s="159">
        <f t="shared" si="36"/>
        <v>1851252.3167414318</v>
      </c>
      <c r="G144" s="159">
        <f t="shared" si="36"/>
        <v>1880422.6053000523</v>
      </c>
      <c r="H144" s="159">
        <f t="shared" si="36"/>
        <v>1798944.3259237555</v>
      </c>
      <c r="I144" s="159">
        <f t="shared" si="36"/>
        <v>1807373.9452097176</v>
      </c>
      <c r="J144" s="159">
        <f t="shared" si="34"/>
        <v>11110987.231931886</v>
      </c>
      <c r="K144" s="69"/>
      <c r="L144" s="319"/>
    </row>
    <row r="145" spans="2:12" s="37" customFormat="1" ht="15.75" customHeight="1">
      <c r="B145" s="48"/>
      <c r="C145" s="160" t="s">
        <v>304</v>
      </c>
      <c r="D145" s="156">
        <f>$F$12*(F801EVE!R28+F801EVE!Y28)*$L145</f>
        <v>1882710.1679997079</v>
      </c>
      <c r="E145" s="156">
        <f>$F$12*(F801EVE!S28+F801EVE!Z28)*$L145</f>
        <v>1883495.9037757237</v>
      </c>
      <c r="F145" s="156">
        <f>$F$12*(F801EVE!T28+F801EVE!AA28)*$L145</f>
        <v>1847921.7417467786</v>
      </c>
      <c r="G145" s="156">
        <f>$F$12*(F801EVE!U28+F801EVE!AB28)*$L145</f>
        <v>1877039.5502448576</v>
      </c>
      <c r="H145" s="156">
        <f>$F$12*(F801EVE!V28+F801EVE!AC28)*$L145</f>
        <v>1795707.8578666938</v>
      </c>
      <c r="I145" s="156">
        <f>$F$12*(F801EVE!W28+F801EVE!AD28)*$L145</f>
        <v>1804122.3114840137</v>
      </c>
      <c r="J145" s="156">
        <f t="shared" si="34"/>
        <v>11090997.533117775</v>
      </c>
      <c r="K145" s="69"/>
      <c r="L145" s="319">
        <v>1</v>
      </c>
    </row>
    <row r="146" spans="2:12" s="37" customFormat="1" ht="15.75" customHeight="1">
      <c r="B146" s="48"/>
      <c r="C146" s="162" t="s">
        <v>628</v>
      </c>
      <c r="D146" s="156">
        <f>$F$12*(F801EVE!R29+F801EVE!Y29)*$L146</f>
        <v>162.91246451685114</v>
      </c>
      <c r="E146" s="156">
        <f>$F$12*(F801EVE!S29+F801EVE!Z29)*$L146</f>
        <v>162.98045488196709</v>
      </c>
      <c r="F146" s="156">
        <f>$F$12*(F801EVE!T29+F801EVE!AA29)*$L146</f>
        <v>159.90219328453034</v>
      </c>
      <c r="G146" s="156">
        <f>$F$12*(F801EVE!U29+F801EVE!AB29)*$L146</f>
        <v>162.42178128292716</v>
      </c>
      <c r="H146" s="156">
        <f>$F$12*(F801EVE!V29+F801EVE!AC29)*$L146</f>
        <v>155.38408282362022</v>
      </c>
      <c r="I146" s="156">
        <f>$F$12*(F801EVE!W29+F801EVE!AD29)*$L146</f>
        <v>156.11219243903528</v>
      </c>
      <c r="J146" s="156">
        <f t="shared" si="34"/>
        <v>959.71316922893118</v>
      </c>
      <c r="K146" s="69"/>
      <c r="L146" s="319">
        <v>0.75</v>
      </c>
    </row>
    <row r="147" spans="2:12" s="37" customFormat="1" ht="15.75" customHeight="1">
      <c r="B147" s="48"/>
      <c r="C147" s="161" t="s">
        <v>629</v>
      </c>
      <c r="D147" s="156">
        <f>$F$12*(F801EVE!R30+F801EVE!Y30)*$L147</f>
        <v>865.52468327927068</v>
      </c>
      <c r="E147" s="156">
        <f>$F$12*(F801EVE!S30+F801EVE!Z30)*$L147</f>
        <v>865.88590388573277</v>
      </c>
      <c r="F147" s="156">
        <f>$F$12*(F801EVE!T30+F801EVE!AA30)*$L147</f>
        <v>849.53165252704321</v>
      </c>
      <c r="G147" s="156">
        <f>$F$12*(F801EVE!U30+F801EVE!AB30)*$L147</f>
        <v>862.91777132878224</v>
      </c>
      <c r="H147" s="156">
        <f>$F$12*(F801EVE!V30+F801EVE!AC30)*$L147</f>
        <v>825.52774259113096</v>
      </c>
      <c r="I147" s="156">
        <f>$F$12*(F801EVE!W30+F801EVE!AD30)*$L147</f>
        <v>829.39605829149002</v>
      </c>
      <c r="J147" s="156">
        <f t="shared" si="34"/>
        <v>5098.7838119034495</v>
      </c>
      <c r="K147" s="69"/>
      <c r="L147" s="319">
        <v>1</v>
      </c>
    </row>
    <row r="148" spans="2:12" s="37" customFormat="1" ht="15.75" customHeight="1">
      <c r="B148" s="48"/>
      <c r="C148" s="160" t="s">
        <v>305</v>
      </c>
      <c r="D148" s="156">
        <f>$F$12*(F801EVE!R31+F801EVE!Y31)*$L148</f>
        <v>2166.9297877896988</v>
      </c>
      <c r="E148" s="156">
        <f>$F$12*(F801EVE!S31+F801EVE!Z31)*$L148</f>
        <v>2167.8341406143236</v>
      </c>
      <c r="F148" s="156">
        <f>$F$12*(F801EVE!T31+F801EVE!AA31)*$L148</f>
        <v>2126.8895955184212</v>
      </c>
      <c r="G148" s="156">
        <f>$F$12*(F801EVE!U31+F801EVE!AB31)*$L148</f>
        <v>2160.4031164320945</v>
      </c>
      <c r="H148" s="156">
        <f>$F$12*(F801EVE!V31+F801EVE!AC31)*$L148</f>
        <v>2066.7933458465141</v>
      </c>
      <c r="I148" s="156">
        <f>$F$12*(F801EVE!W31+F801EVE!AD31)*$L148</f>
        <v>2076.4780708250369</v>
      </c>
      <c r="J148" s="156">
        <f t="shared" si="34"/>
        <v>12765.328057026089</v>
      </c>
      <c r="K148" s="69"/>
      <c r="L148" s="319">
        <v>0.95</v>
      </c>
    </row>
    <row r="149" spans="2:12" s="37" customFormat="1" ht="15.75" customHeight="1">
      <c r="B149" s="48"/>
      <c r="C149" s="160" t="s">
        <v>307</v>
      </c>
      <c r="D149" s="156">
        <f>$F$12*(F801EVE!R32+F801EVE!Y32)*$L149</f>
        <v>197.90847541306357</v>
      </c>
      <c r="E149" s="156">
        <f>$F$12*(F801EVE!S32+F801EVE!Z32)*$L149</f>
        <v>197.99107111587114</v>
      </c>
      <c r="F149" s="156">
        <f>$F$12*(F801EVE!T32+F801EVE!AA32)*$L149</f>
        <v>194.25155332342939</v>
      </c>
      <c r="G149" s="156">
        <f>$F$12*(F801EVE!U32+F801EVE!AB32)*$L149</f>
        <v>197.3123861511115</v>
      </c>
      <c r="H149" s="156">
        <f>$F$12*(F801EVE!V32+F801EVE!AC32)*$L149</f>
        <v>188.76288580054606</v>
      </c>
      <c r="I149" s="156">
        <f>$F$12*(F801EVE!W32+F801EVE!AD32)*$L149</f>
        <v>189.64740414816134</v>
      </c>
      <c r="J149" s="156">
        <f t="shared" si="34"/>
        <v>1165.873775952183</v>
      </c>
      <c r="K149" s="69"/>
      <c r="L149" s="319">
        <v>0.5</v>
      </c>
    </row>
    <row r="150" spans="2:12" s="37" customFormat="1" ht="15.75" customHeight="1">
      <c r="B150" s="48"/>
      <c r="C150" s="160" t="s">
        <v>624</v>
      </c>
      <c r="D150" s="156">
        <f>$F$12*(F801EVE!R33+F801EVE!Y33)*$L150</f>
        <v>0</v>
      </c>
      <c r="E150" s="156">
        <f>$F$12*(F801EVE!S33+F801EVE!Z33)*$L150</f>
        <v>0</v>
      </c>
      <c r="F150" s="156">
        <f>$F$12*(F801EVE!T33+F801EVE!AA33)*$L150</f>
        <v>0</v>
      </c>
      <c r="G150" s="156">
        <f>$F$12*(F801EVE!U33+F801EVE!AB33)*$L150</f>
        <v>0</v>
      </c>
      <c r="H150" s="156">
        <f>$F$12*(F801EVE!V33+F801EVE!AC33)*$L150</f>
        <v>0</v>
      </c>
      <c r="I150" s="156">
        <f>$F$12*(F801EVE!W33+F801EVE!AD33)*$L150</f>
        <v>0</v>
      </c>
      <c r="J150" s="156">
        <f t="shared" si="34"/>
        <v>0</v>
      </c>
      <c r="K150" s="69"/>
      <c r="L150" s="319">
        <v>0</v>
      </c>
    </row>
    <row r="151" spans="2:12" s="37" customFormat="1" ht="15.75" customHeight="1">
      <c r="B151" s="48" t="s">
        <v>274</v>
      </c>
      <c r="C151" s="158" t="s">
        <v>631</v>
      </c>
      <c r="D151" s="159">
        <f t="shared" ref="D151:I151" si="37">SUM(D152:D155)</f>
        <v>903944.89251723525</v>
      </c>
      <c r="E151" s="159">
        <f t="shared" si="37"/>
        <v>904322.14752635476</v>
      </c>
      <c r="F151" s="159">
        <f t="shared" si="37"/>
        <v>887241.93910223455</v>
      </c>
      <c r="G151" s="159">
        <f t="shared" si="37"/>
        <v>901222.26104477642</v>
      </c>
      <c r="H151" s="159">
        <f t="shared" si="37"/>
        <v>862172.50756990421</v>
      </c>
      <c r="I151" s="159">
        <f t="shared" si="37"/>
        <v>866212.53587589681</v>
      </c>
      <c r="J151" s="159">
        <f t="shared" si="34"/>
        <v>5325116.2836364023</v>
      </c>
      <c r="K151" s="69"/>
      <c r="L151" s="319"/>
    </row>
    <row r="152" spans="2:12" s="37" customFormat="1" ht="15.75" customHeight="1">
      <c r="B152" s="48"/>
      <c r="C152" s="160" t="s">
        <v>304</v>
      </c>
      <c r="D152" s="156">
        <f>$F$13*(F801EVE!R35+F801EVE!Y35)*$L152</f>
        <v>903309.38145359047</v>
      </c>
      <c r="E152" s="156">
        <f>$F$13*(F801EVE!S35+F801EVE!Z35)*$L152</f>
        <v>903686.37123666122</v>
      </c>
      <c r="F152" s="156">
        <f>$F$13*(F801EVE!T35+F801EVE!AA35)*$L152</f>
        <v>886618.17091338069</v>
      </c>
      <c r="G152" s="156">
        <f>$F$13*(F801EVE!U35+F801EVE!AB35)*$L152</f>
        <v>900588.66410492093</v>
      </c>
      <c r="H152" s="156">
        <f>$F$13*(F801EVE!V35+F801EVE!AC35)*$L152</f>
        <v>861566.36423985532</v>
      </c>
      <c r="I152" s="156">
        <f>$F$13*(F801EVE!W35+F801EVE!AD35)*$L152</f>
        <v>865603.55223698937</v>
      </c>
      <c r="J152" s="156">
        <f t="shared" si="34"/>
        <v>5321372.5041853981</v>
      </c>
      <c r="K152" s="69"/>
      <c r="L152" s="319">
        <v>1</v>
      </c>
    </row>
    <row r="153" spans="2:12" s="37" customFormat="1" ht="15.75" customHeight="1">
      <c r="B153" s="48"/>
      <c r="C153" s="161" t="s">
        <v>306</v>
      </c>
      <c r="D153" s="156">
        <f>$F$13*(F801EVE!R36+F801EVE!Y36)*$L153</f>
        <v>0</v>
      </c>
      <c r="E153" s="156">
        <f>$F$13*(F801EVE!S36+F801EVE!Z36)*$L153</f>
        <v>0</v>
      </c>
      <c r="F153" s="156">
        <f>$F$13*(F801EVE!T36+F801EVE!AA36)*$L153</f>
        <v>0</v>
      </c>
      <c r="G153" s="156">
        <f>$F$13*(F801EVE!U36+F801EVE!AB36)*$L153</f>
        <v>0</v>
      </c>
      <c r="H153" s="156">
        <f>$F$13*(F801EVE!V36+F801EVE!AC36)*$L153</f>
        <v>0</v>
      </c>
      <c r="I153" s="156">
        <f>$F$13*(F801EVE!W36+F801EVE!AD36)*$L153</f>
        <v>0</v>
      </c>
      <c r="J153" s="156">
        <f t="shared" si="34"/>
        <v>0</v>
      </c>
      <c r="K153" s="69"/>
      <c r="L153" s="319">
        <v>1</v>
      </c>
    </row>
    <row r="154" spans="2:12" s="37" customFormat="1" ht="15.75" customHeight="1">
      <c r="B154" s="48"/>
      <c r="C154" s="160" t="s">
        <v>305</v>
      </c>
      <c r="D154" s="156">
        <f>$F$13*(F801EVE!R37+F801EVE!Y37)*$L154</f>
        <v>635.51106364480893</v>
      </c>
      <c r="E154" s="156">
        <f>$F$13*(F801EVE!S37+F801EVE!Z37)*$L154</f>
        <v>635.77628969353748</v>
      </c>
      <c r="F154" s="156">
        <f>$F$13*(F801EVE!T37+F801EVE!AA37)*$L154</f>
        <v>623.76818885382772</v>
      </c>
      <c r="G154" s="156">
        <f>$F$13*(F801EVE!U37+F801EVE!AB37)*$L154</f>
        <v>633.59693985551803</v>
      </c>
      <c r="H154" s="156">
        <f>$F$13*(F801EVE!V37+F801EVE!AC37)*$L154</f>
        <v>606.14333004886657</v>
      </c>
      <c r="I154" s="156">
        <f>$F$13*(F801EVE!W37+F801EVE!AD37)*$L154</f>
        <v>608.98363890745964</v>
      </c>
      <c r="J154" s="156">
        <f t="shared" si="34"/>
        <v>3743.7794510040185</v>
      </c>
      <c r="K154" s="69"/>
      <c r="L154" s="319">
        <v>0.95</v>
      </c>
    </row>
    <row r="155" spans="2:12" s="37" customFormat="1" ht="15.75" customHeight="1">
      <c r="B155" s="48"/>
      <c r="C155" s="160" t="s">
        <v>307</v>
      </c>
      <c r="D155" s="156">
        <f>$F$13*(F801EVE!R38+F801EVE!Y38)*$L155</f>
        <v>0</v>
      </c>
      <c r="E155" s="156">
        <f>$F$13*(F801EVE!S38+F801EVE!Z38)*$L155</f>
        <v>0</v>
      </c>
      <c r="F155" s="156">
        <f>$F$13*(F801EVE!T38+F801EVE!AA38)*$L155</f>
        <v>0</v>
      </c>
      <c r="G155" s="156">
        <f>$F$13*(F801EVE!U38+F801EVE!AB38)*$L155</f>
        <v>0</v>
      </c>
      <c r="H155" s="156">
        <f>$F$13*(F801EVE!V38+F801EVE!AC38)*$L155</f>
        <v>0</v>
      </c>
      <c r="I155" s="156">
        <f>$F$13*(F801EVE!W38+F801EVE!AD38)*$L155</f>
        <v>0</v>
      </c>
      <c r="J155" s="156">
        <f t="shared" si="34"/>
        <v>0</v>
      </c>
      <c r="K155" s="69"/>
      <c r="L155" s="319">
        <v>0.5</v>
      </c>
    </row>
    <row r="156" spans="2:12" s="37" customFormat="1" ht="15.75" customHeight="1">
      <c r="B156" s="48" t="s">
        <v>274</v>
      </c>
      <c r="C156" s="158" t="s">
        <v>632</v>
      </c>
      <c r="D156" s="159">
        <f t="shared" ref="D156:I156" si="38">SUM(D157:D160)</f>
        <v>267110.45147570607</v>
      </c>
      <c r="E156" s="159">
        <f t="shared" si="38"/>
        <v>267221.92813389789</v>
      </c>
      <c r="F156" s="159">
        <f t="shared" si="38"/>
        <v>262174.82601381041</v>
      </c>
      <c r="G156" s="159">
        <f t="shared" si="38"/>
        <v>266305.92973126069</v>
      </c>
      <c r="H156" s="159">
        <f t="shared" si="38"/>
        <v>254766.95499172554</v>
      </c>
      <c r="I156" s="159">
        <f t="shared" si="38"/>
        <v>255960.75982841564</v>
      </c>
      <c r="J156" s="159">
        <f t="shared" si="34"/>
        <v>1573540.8501748163</v>
      </c>
      <c r="K156" s="69"/>
      <c r="L156" s="319"/>
    </row>
    <row r="157" spans="2:12" s="37" customFormat="1" ht="15.75" customHeight="1">
      <c r="B157" s="48"/>
      <c r="C157" s="160" t="s">
        <v>304</v>
      </c>
      <c r="D157" s="156">
        <f>$F$14*(F801EVE!R40+F801EVE!Y40)*$L157</f>
        <v>267110.45147570607</v>
      </c>
      <c r="E157" s="156">
        <f>$F$14*(F801EVE!S40+F801EVE!Z40)*$L157</f>
        <v>267221.92813389789</v>
      </c>
      <c r="F157" s="156">
        <f>$F$14*(F801EVE!T40+F801EVE!AA40)*$L157</f>
        <v>262174.82601381041</v>
      </c>
      <c r="G157" s="156">
        <f>$F$14*(F801EVE!U40+F801EVE!AB40)*$L157</f>
        <v>266305.92973126069</v>
      </c>
      <c r="H157" s="156">
        <f>$F$14*(F801EVE!V40+F801EVE!AC40)*$L157</f>
        <v>254766.95499172554</v>
      </c>
      <c r="I157" s="156">
        <f>$F$14*(F801EVE!W40+F801EVE!AD40)*$L157</f>
        <v>255960.75982841564</v>
      </c>
      <c r="J157" s="156">
        <f t="shared" si="34"/>
        <v>1573540.8501748163</v>
      </c>
      <c r="K157" s="69"/>
      <c r="L157" s="319">
        <v>1</v>
      </c>
    </row>
    <row r="158" spans="2:12" s="37" customFormat="1" ht="15.75" customHeight="1">
      <c r="B158" s="48"/>
      <c r="C158" s="161" t="s">
        <v>306</v>
      </c>
      <c r="D158" s="156">
        <f>$F$14*(F801EVE!R41+F801EVE!Y41)*$L158</f>
        <v>0</v>
      </c>
      <c r="E158" s="156">
        <f>$F$14*(F801EVE!S41+F801EVE!Z41)*$L158</f>
        <v>0</v>
      </c>
      <c r="F158" s="156">
        <f>$F$14*(F801EVE!T41+F801EVE!AA41)*$L158</f>
        <v>0</v>
      </c>
      <c r="G158" s="156">
        <f>$F$14*(F801EVE!U41+F801EVE!AB41)*$L158</f>
        <v>0</v>
      </c>
      <c r="H158" s="156">
        <f>$F$14*(F801EVE!V41+F801EVE!AC41)*$L158</f>
        <v>0</v>
      </c>
      <c r="I158" s="156">
        <f>$F$14*(F801EVE!W41+F801EVE!AD41)*$L158</f>
        <v>0</v>
      </c>
      <c r="J158" s="156">
        <f t="shared" si="34"/>
        <v>0</v>
      </c>
      <c r="K158" s="69"/>
      <c r="L158" s="319">
        <v>1</v>
      </c>
    </row>
    <row r="159" spans="2:12" s="37" customFormat="1" ht="15.75" customHeight="1">
      <c r="B159" s="48"/>
      <c r="C159" s="160" t="s">
        <v>305</v>
      </c>
      <c r="D159" s="156">
        <f>$F$14*(F801EVE!R42+F801EVE!Y42)*$L159</f>
        <v>0</v>
      </c>
      <c r="E159" s="156">
        <f>$F$14*(F801EVE!S42+F801EVE!Z42)*$L159</f>
        <v>0</v>
      </c>
      <c r="F159" s="156">
        <f>$F$14*(F801EVE!T42+F801EVE!AA42)*$L159</f>
        <v>0</v>
      </c>
      <c r="G159" s="156">
        <f>$F$14*(F801EVE!U42+F801EVE!AB42)*$L159</f>
        <v>0</v>
      </c>
      <c r="H159" s="156">
        <f>$F$14*(F801EVE!V42+F801EVE!AC42)*$L159</f>
        <v>0</v>
      </c>
      <c r="I159" s="156">
        <f>$F$14*(F801EVE!W42+F801EVE!AD42)*$L159</f>
        <v>0</v>
      </c>
      <c r="J159" s="156">
        <f t="shared" si="34"/>
        <v>0</v>
      </c>
      <c r="K159" s="69"/>
      <c r="L159" s="319">
        <v>0.95</v>
      </c>
    </row>
    <row r="160" spans="2:12" s="37" customFormat="1" ht="15.75" customHeight="1">
      <c r="B160" s="48"/>
      <c r="C160" s="160" t="s">
        <v>307</v>
      </c>
      <c r="D160" s="156">
        <f>$F$14*(F801EVE!R43+F801EVE!Y43)*$L160</f>
        <v>0</v>
      </c>
      <c r="E160" s="156">
        <f>$F$14*(F801EVE!S43+F801EVE!Z43)*$L160</f>
        <v>0</v>
      </c>
      <c r="F160" s="156">
        <f>$F$14*(F801EVE!T43+F801EVE!AA43)*$L160</f>
        <v>0</v>
      </c>
      <c r="G160" s="156">
        <f>$F$14*(F801EVE!U43+F801EVE!AB43)*$L160</f>
        <v>0</v>
      </c>
      <c r="H160" s="156">
        <f>$F$14*(F801EVE!V43+F801EVE!AC43)*$L160</f>
        <v>0</v>
      </c>
      <c r="I160" s="156">
        <f>$F$14*(F801EVE!W43+F801EVE!AD43)*$L160</f>
        <v>0</v>
      </c>
      <c r="J160" s="156">
        <f t="shared" si="34"/>
        <v>0</v>
      </c>
      <c r="K160" s="69"/>
      <c r="L160" s="319">
        <v>0.5</v>
      </c>
    </row>
    <row r="161" spans="2:13" s="37" customFormat="1" ht="15.75" customHeight="1">
      <c r="B161" s="48" t="s">
        <v>274</v>
      </c>
      <c r="C161" s="158" t="s">
        <v>633</v>
      </c>
      <c r="D161" s="159">
        <f t="shared" ref="D161:I161" si="39">SUM(D162:D165)</f>
        <v>283453.33967561764</v>
      </c>
      <c r="E161" s="159">
        <f t="shared" si="39"/>
        <v>283571.6369226395</v>
      </c>
      <c r="F161" s="159">
        <f t="shared" si="39"/>
        <v>278215.73286228202</v>
      </c>
      <c r="G161" s="159">
        <f t="shared" si="39"/>
        <v>282599.59406572179</v>
      </c>
      <c r="H161" s="159">
        <f t="shared" si="39"/>
        <v>270354.61859477399</v>
      </c>
      <c r="I161" s="159">
        <f t="shared" si="39"/>
        <v>271621.46519703604</v>
      </c>
      <c r="J161" s="159">
        <f t="shared" si="34"/>
        <v>1669816.3873180712</v>
      </c>
      <c r="K161" s="69"/>
      <c r="L161" s="319"/>
    </row>
    <row r="162" spans="2:13" s="37" customFormat="1" ht="15.75" customHeight="1">
      <c r="B162" s="48"/>
      <c r="C162" s="160" t="s">
        <v>304</v>
      </c>
      <c r="D162" s="156">
        <f>$F$15*(F801EVE!R45+F801EVE!Y45)*$L162</f>
        <v>283453.33967561764</v>
      </c>
      <c r="E162" s="156">
        <f>$F$15*(F801EVE!S45+F801EVE!Z45)*$L162</f>
        <v>283571.6369226395</v>
      </c>
      <c r="F162" s="156">
        <f>$F$15*(F801EVE!T45+F801EVE!AA45)*$L162</f>
        <v>278215.73286228202</v>
      </c>
      <c r="G162" s="156">
        <f>$F$15*(F801EVE!U45+F801EVE!AB45)*$L162</f>
        <v>282599.59406572179</v>
      </c>
      <c r="H162" s="156">
        <f>$F$15*(F801EVE!V45+F801EVE!AC45)*$L162</f>
        <v>270354.61859477399</v>
      </c>
      <c r="I162" s="156">
        <f>$F$15*(F801EVE!W45+F801EVE!AD45)*$L162</f>
        <v>271621.46519703604</v>
      </c>
      <c r="J162" s="156">
        <f t="shared" si="34"/>
        <v>1669816.3873180712</v>
      </c>
      <c r="K162" s="69"/>
      <c r="L162" s="319">
        <v>1</v>
      </c>
    </row>
    <row r="163" spans="2:13" s="37" customFormat="1" ht="15.75" customHeight="1">
      <c r="B163" s="48"/>
      <c r="C163" s="161" t="s">
        <v>306</v>
      </c>
      <c r="D163" s="156">
        <f>$F$15*(F801EVE!R46+F801EVE!Y46)*$L163</f>
        <v>0</v>
      </c>
      <c r="E163" s="156">
        <f>$F$15*(F801EVE!S46+F801EVE!Z46)*$L163</f>
        <v>0</v>
      </c>
      <c r="F163" s="156">
        <f>$F$15*(F801EVE!T46+F801EVE!AA46)*$L163</f>
        <v>0</v>
      </c>
      <c r="G163" s="156">
        <f>$F$15*(F801EVE!U46+F801EVE!AB46)*$L163</f>
        <v>0</v>
      </c>
      <c r="H163" s="156">
        <f>$F$15*(F801EVE!V46+F801EVE!AC46)*$L163</f>
        <v>0</v>
      </c>
      <c r="I163" s="156">
        <f>$F$15*(F801EVE!W46+F801EVE!AD46)*$L163</f>
        <v>0</v>
      </c>
      <c r="J163" s="156">
        <f t="shared" si="34"/>
        <v>0</v>
      </c>
      <c r="K163" s="69"/>
      <c r="L163" s="319">
        <v>1</v>
      </c>
    </row>
    <row r="164" spans="2:13" s="37" customFormat="1" ht="15.75" customHeight="1">
      <c r="B164" s="48"/>
      <c r="C164" s="160" t="s">
        <v>305</v>
      </c>
      <c r="D164" s="156">
        <f>$F$15*(F801EVE!R47+F801EVE!Y47)*$L164</f>
        <v>0</v>
      </c>
      <c r="E164" s="156">
        <f>$F$15*(F801EVE!S47+F801EVE!Z47)*$L164</f>
        <v>0</v>
      </c>
      <c r="F164" s="156">
        <f>$F$15*(F801EVE!T47+F801EVE!AA47)*$L164</f>
        <v>0</v>
      </c>
      <c r="G164" s="156">
        <f>$F$15*(F801EVE!U47+F801EVE!AB47)*$L164</f>
        <v>0</v>
      </c>
      <c r="H164" s="156">
        <f>$F$15*(F801EVE!V47+F801EVE!AC47)*$L164</f>
        <v>0</v>
      </c>
      <c r="I164" s="156">
        <f>$F$15*(F801EVE!W47+F801EVE!AD47)*$L164</f>
        <v>0</v>
      </c>
      <c r="J164" s="156">
        <f t="shared" si="34"/>
        <v>0</v>
      </c>
      <c r="K164" s="69"/>
      <c r="L164" s="319">
        <v>0.95</v>
      </c>
    </row>
    <row r="165" spans="2:13" s="37" customFormat="1" ht="15.75" customHeight="1">
      <c r="B165" s="48"/>
      <c r="C165" s="160" t="s">
        <v>307</v>
      </c>
      <c r="D165" s="156">
        <f>$F$15*(F801EVE!R48+F801EVE!Y48)*$L165</f>
        <v>0</v>
      </c>
      <c r="E165" s="156">
        <f>$F$15*(F801EVE!S48+F801EVE!Z48)*$L165</f>
        <v>0</v>
      </c>
      <c r="F165" s="156">
        <f>$F$15*(F801EVE!T48+F801EVE!AA48)*$L165</f>
        <v>0</v>
      </c>
      <c r="G165" s="156">
        <f>$F$15*(F801EVE!U48+F801EVE!AB48)*$L165</f>
        <v>0</v>
      </c>
      <c r="H165" s="156">
        <f>$F$15*(F801EVE!V48+F801EVE!AC48)*$L165</f>
        <v>0</v>
      </c>
      <c r="I165" s="156">
        <f>$F$15*(F801EVE!W48+F801EVE!AD48)*$L165</f>
        <v>0</v>
      </c>
      <c r="J165" s="156">
        <f t="shared" si="34"/>
        <v>0</v>
      </c>
      <c r="K165" s="69"/>
      <c r="L165" s="319">
        <v>0.5</v>
      </c>
    </row>
    <row r="166" spans="2:13" s="37" customFormat="1" ht="15.75">
      <c r="B166" s="48"/>
      <c r="C166" s="157"/>
      <c r="D166" s="156"/>
      <c r="E166" s="156"/>
      <c r="F166" s="156"/>
      <c r="G166" s="156"/>
      <c r="H166" s="156"/>
      <c r="I166" s="156"/>
      <c r="J166" s="156"/>
      <c r="K166" s="69"/>
      <c r="L166" s="319"/>
    </row>
    <row r="167" spans="2:13" s="37" customFormat="1" ht="15.75">
      <c r="B167" s="48" t="s">
        <v>1176</v>
      </c>
      <c r="C167" s="158" t="str">
        <f>F801EVE!$C$50</f>
        <v>BTSH</v>
      </c>
      <c r="D167" s="159">
        <f>SUM(D168:D173)</f>
        <v>53.167366294244893</v>
      </c>
      <c r="E167" s="159">
        <f t="shared" ref="E167:J167" si="40">SUM(E168:E173)</f>
        <v>53.167366294244893</v>
      </c>
      <c r="F167" s="159">
        <f t="shared" si="40"/>
        <v>53.167366294244893</v>
      </c>
      <c r="G167" s="159">
        <f t="shared" si="40"/>
        <v>53.167366294244893</v>
      </c>
      <c r="H167" s="159">
        <f t="shared" si="40"/>
        <v>53.167366294244893</v>
      </c>
      <c r="I167" s="159">
        <f t="shared" si="40"/>
        <v>53.167366294244893</v>
      </c>
      <c r="J167" s="159">
        <f t="shared" si="40"/>
        <v>319.00419776546937</v>
      </c>
      <c r="K167" s="69"/>
      <c r="L167" s="319"/>
    </row>
    <row r="168" spans="2:13" s="37" customFormat="1" ht="15.75">
      <c r="B168" s="48"/>
      <c r="C168" s="160" t="str">
        <f>F801EVE!$C$51</f>
        <v xml:space="preserve">    - Regulares</v>
      </c>
      <c r="D168" s="156">
        <f>($H$16*F801EVE!R51+$I$16*F801EVE!Y51)*$L168</f>
        <v>53.167366294244893</v>
      </c>
      <c r="E168" s="156">
        <f>($H$16*F801EVE!S51+$I$16*F801EVE!Z51)*$L168</f>
        <v>53.167366294244893</v>
      </c>
      <c r="F168" s="156">
        <f>($H$16*F801EVE!T51+$I$16*F801EVE!AA51)*$L168</f>
        <v>53.167366294244893</v>
      </c>
      <c r="G168" s="156">
        <f>($H$16*F801EVE!U51+$I$16*F801EVE!AB51)*$L168</f>
        <v>53.167366294244893</v>
      </c>
      <c r="H168" s="156">
        <f>($H$16*F801EVE!V51+$I$16*F801EVE!AC51)*$L168</f>
        <v>53.167366294244893</v>
      </c>
      <c r="I168" s="156">
        <f>($H$16*F801EVE!W51+$I$16*F801EVE!AD51)*$L168</f>
        <v>53.167366294244893</v>
      </c>
      <c r="J168" s="156">
        <f t="shared" ref="J168:J185" si="41">SUM(D168:I168)</f>
        <v>319.00419776546937</v>
      </c>
      <c r="K168" s="69"/>
      <c r="L168" s="319">
        <v>1</v>
      </c>
    </row>
    <row r="169" spans="2:13" s="37" customFormat="1" ht="15.75">
      <c r="B169" s="48"/>
      <c r="C169" s="162" t="str">
        <f>F801EVE!$C$52</f>
        <v xml:space="preserve">    - Jubilados (0 a 600 KWh)</v>
      </c>
      <c r="D169" s="156">
        <f>($H$16*F801EVE!R52+$I$16*F801EVE!Y52)*$L169</f>
        <v>0</v>
      </c>
      <c r="E169" s="156">
        <f>($H$16*F801EVE!S52+$I$16*F801EVE!Z52)*$L169</f>
        <v>0</v>
      </c>
      <c r="F169" s="156">
        <f>($H$16*F801EVE!T52+$I$16*F801EVE!AA52)*$L169</f>
        <v>0</v>
      </c>
      <c r="G169" s="156">
        <f>($H$16*F801EVE!U52+$I$16*F801EVE!AB52)*$L169</f>
        <v>0</v>
      </c>
      <c r="H169" s="156">
        <f>($H$16*F801EVE!V52+$I$16*F801EVE!AC52)*$L169</f>
        <v>0</v>
      </c>
      <c r="I169" s="156">
        <f>($H$16*F801EVE!W52+$I$16*F801EVE!AD52)*$L169</f>
        <v>0</v>
      </c>
      <c r="J169" s="156">
        <f t="shared" si="41"/>
        <v>0</v>
      </c>
      <c r="K169" s="69"/>
      <c r="L169" s="319">
        <v>0.75</v>
      </c>
    </row>
    <row r="170" spans="2:13" s="37" customFormat="1" ht="15.75">
      <c r="B170" s="48"/>
      <c r="C170" s="162" t="str">
        <f>F801EVE!$C$53</f>
        <v xml:space="preserve">    - Jubilados (601 y Más KWh)</v>
      </c>
      <c r="D170" s="156">
        <f>($H$16*F801EVE!R53+$I$16*F801EVE!Y53)*$L170</f>
        <v>0</v>
      </c>
      <c r="E170" s="156">
        <f>($H$16*F801EVE!S53+$I$16*F801EVE!Z53)*$L170</f>
        <v>0</v>
      </c>
      <c r="F170" s="156">
        <f>($H$16*F801EVE!T53+$I$16*F801EVE!AA53)*$L170</f>
        <v>0</v>
      </c>
      <c r="G170" s="156">
        <f>($H$16*F801EVE!U53+$I$16*F801EVE!AB53)*$L170</f>
        <v>0</v>
      </c>
      <c r="H170" s="156">
        <f>($H$16*F801EVE!V53+$I$16*F801EVE!AC53)*$L170</f>
        <v>0</v>
      </c>
      <c r="I170" s="156">
        <f>($H$16*F801EVE!W53+$I$16*F801EVE!AD53)*$L170</f>
        <v>0</v>
      </c>
      <c r="J170" s="156">
        <f t="shared" si="41"/>
        <v>0</v>
      </c>
      <c r="K170" s="69"/>
      <c r="L170" s="319">
        <v>1</v>
      </c>
    </row>
    <row r="171" spans="2:13" s="37" customFormat="1" ht="15.75">
      <c r="B171" s="48"/>
      <c r="C171" s="160" t="str">
        <f>F801EVE!$C$54</f>
        <v xml:space="preserve">    - Agropecuarios</v>
      </c>
      <c r="D171" s="156">
        <f>($H$16*F801EVE!R54+$I$16*F801EVE!Y54)*$L171</f>
        <v>0</v>
      </c>
      <c r="E171" s="156">
        <f>($H$16*F801EVE!S54+$I$16*F801EVE!Z54)*$L171</f>
        <v>0</v>
      </c>
      <c r="F171" s="156">
        <f>($H$16*F801EVE!T54+$I$16*F801EVE!AA54)*$L171</f>
        <v>0</v>
      </c>
      <c r="G171" s="156">
        <f>($H$16*F801EVE!U54+$I$16*F801EVE!AB54)*$L171</f>
        <v>0</v>
      </c>
      <c r="H171" s="156">
        <f>($H$16*F801EVE!V54+$I$16*F801EVE!AC54)*$L171</f>
        <v>0</v>
      </c>
      <c r="I171" s="156">
        <f>($H$16*F801EVE!W54+$I$16*F801EVE!AD54)*$L171</f>
        <v>0</v>
      </c>
      <c r="J171" s="156">
        <f t="shared" si="41"/>
        <v>0</v>
      </c>
      <c r="K171" s="69"/>
      <c r="L171" s="319">
        <v>0.95</v>
      </c>
    </row>
    <row r="172" spans="2:13" s="37" customFormat="1" ht="15.75">
      <c r="B172" s="48"/>
      <c r="C172" s="160" t="str">
        <f>F801EVE!$C$55</f>
        <v xml:space="preserve">    - Partidos Políticos</v>
      </c>
      <c r="D172" s="156">
        <f>($H$16*F801EVE!R55+$I$16*F801EVE!Y55)*$L172</f>
        <v>0</v>
      </c>
      <c r="E172" s="156">
        <f>($H$16*F801EVE!S55+$I$16*F801EVE!Z55)*$L172</f>
        <v>0</v>
      </c>
      <c r="F172" s="156">
        <f>($H$16*F801EVE!T55+$I$16*F801EVE!AA55)*$L172</f>
        <v>0</v>
      </c>
      <c r="G172" s="156">
        <f>($H$16*F801EVE!U55+$I$16*F801EVE!AB55)*$L172</f>
        <v>0</v>
      </c>
      <c r="H172" s="156">
        <f>($H$16*F801EVE!V55+$I$16*F801EVE!AC55)*$L172</f>
        <v>0</v>
      </c>
      <c r="I172" s="156">
        <f>($H$16*F801EVE!W55+$I$16*F801EVE!AD55)*$L172</f>
        <v>0</v>
      </c>
      <c r="J172" s="156">
        <f t="shared" si="41"/>
        <v>0</v>
      </c>
      <c r="K172" s="69"/>
      <c r="L172" s="319">
        <v>0.5</v>
      </c>
    </row>
    <row r="173" spans="2:13" s="37" customFormat="1" ht="15.75">
      <c r="B173" s="48"/>
      <c r="C173" s="160" t="str">
        <f>F801EVE!$C$56</f>
        <v xml:space="preserve">    - Cruz Roja</v>
      </c>
      <c r="D173" s="156">
        <f>($H$16*F801EVE!R56+$I$16*F801EVE!Y56)*$L173</f>
        <v>0</v>
      </c>
      <c r="E173" s="156">
        <f>($H$16*F801EVE!S56+$I$16*F801EVE!Z56)*$L173</f>
        <v>0</v>
      </c>
      <c r="F173" s="156">
        <f>($H$16*F801EVE!T56+$I$16*F801EVE!AA56)*$L173</f>
        <v>0</v>
      </c>
      <c r="G173" s="156">
        <f>($H$16*F801EVE!U56+$I$16*F801EVE!AB56)*$L173</f>
        <v>0</v>
      </c>
      <c r="H173" s="156">
        <f>($H$16*F801EVE!V56+$I$16*F801EVE!AC56)*$L173</f>
        <v>0</v>
      </c>
      <c r="I173" s="156">
        <f>($H$16*F801EVE!W56+$I$16*F801EVE!AD56)*$L173</f>
        <v>0</v>
      </c>
      <c r="J173" s="156">
        <f t="shared" si="41"/>
        <v>0</v>
      </c>
      <c r="K173" s="69"/>
      <c r="L173" s="319">
        <v>0</v>
      </c>
    </row>
    <row r="174" spans="2:13" s="37" customFormat="1" ht="15.75">
      <c r="B174" s="48" t="s">
        <v>751</v>
      </c>
      <c r="C174" s="158" t="s">
        <v>634</v>
      </c>
      <c r="D174" s="159">
        <f t="shared" ref="D174:I174" si="42">SUM(D175:D179)</f>
        <v>2187069.2948859632</v>
      </c>
      <c r="E174" s="159">
        <f t="shared" si="42"/>
        <v>2187982.0749804936</v>
      </c>
      <c r="F174" s="159">
        <f t="shared" si="42"/>
        <v>2146655.9855102426</v>
      </c>
      <c r="G174" s="159">
        <f t="shared" si="42"/>
        <v>2180481.8043219447</v>
      </c>
      <c r="H174" s="159">
        <f t="shared" si="42"/>
        <v>2085999.7250743122</v>
      </c>
      <c r="I174" s="159">
        <f t="shared" si="42"/>
        <v>2095774.6977848343</v>
      </c>
      <c r="J174" s="159">
        <f t="shared" si="41"/>
        <v>12883963.58255779</v>
      </c>
      <c r="K174" s="69"/>
      <c r="L174" s="319"/>
      <c r="M174" s="69"/>
    </row>
    <row r="175" spans="2:13" s="37" customFormat="1" ht="15.75">
      <c r="B175" s="48"/>
      <c r="C175" s="160" t="s">
        <v>304</v>
      </c>
      <c r="D175" s="156">
        <f>(($E$18+$F$18)*(F801EVE!R66+F801EVE!Y66)*$L175)</f>
        <v>1584778.2818720094</v>
      </c>
      <c r="E175" s="156">
        <f>(($E$18+$F$18)*(F801EVE!S66+F801EVE!Z66)*$L175)</f>
        <v>1585439.7000710436</v>
      </c>
      <c r="F175" s="156">
        <f>(($E$18+$F$18)*(F801EVE!T66+F801EVE!AA66)*$L175)</f>
        <v>1555494.0123480782</v>
      </c>
      <c r="G175" s="156">
        <f>(($E$18+$F$18)*(F801EVE!U66+F801EVE!AB66)*$L175)</f>
        <v>1580004.8581622709</v>
      </c>
      <c r="H175" s="156">
        <f>(($E$18+$F$18)*(F801EVE!V66+F801EVE!AC66)*$L175)</f>
        <v>1511541.3070052511</v>
      </c>
      <c r="I175" s="156">
        <f>(($E$18+$F$18)*(F801EVE!W66+F801EVE!AD66)*$L175)</f>
        <v>1518624.4422363385</v>
      </c>
      <c r="J175" s="156">
        <f t="shared" si="41"/>
        <v>9335882.6016949918</v>
      </c>
      <c r="K175" s="69"/>
      <c r="L175" s="319">
        <v>1</v>
      </c>
      <c r="M175" s="329"/>
    </row>
    <row r="176" spans="2:13" s="37" customFormat="1" ht="15.75">
      <c r="B176" s="48"/>
      <c r="C176" s="162" t="s">
        <v>644</v>
      </c>
      <c r="D176" s="156">
        <f>(($E$18+$F$18)*(F801EVE!R67+F801EVE!Y67)*$L176)</f>
        <v>602232.01553926896</v>
      </c>
      <c r="E176" s="156">
        <f>(($E$18+$F$18)*(F801EVE!S67+F801EVE!Z67)*$L176)</f>
        <v>602483.35281258612</v>
      </c>
      <c r="F176" s="156">
        <f>(($E$18+$F$18)*(F801EVE!T67+F801EVE!AA67)*$L176)</f>
        <v>591104.06583365938</v>
      </c>
      <c r="G176" s="156">
        <f>(($E$18+$F$18)*(F801EVE!U67+F801EVE!AB67)*$L176)</f>
        <v>600418.12638208421</v>
      </c>
      <c r="H176" s="156">
        <f>(($E$18+$F$18)*(F801EVE!V67+F801EVE!AC67)*$L176)</f>
        <v>574402.14693891758</v>
      </c>
      <c r="I176" s="156">
        <f>(($E$18+$F$18)*(F801EVE!W67+F801EVE!AD67)*$L176)</f>
        <v>577093.72073915042</v>
      </c>
      <c r="J176" s="156">
        <f t="shared" si="41"/>
        <v>3547733.4282456669</v>
      </c>
      <c r="K176" s="69"/>
      <c r="L176" s="319">
        <v>0.75</v>
      </c>
      <c r="M176" s="329"/>
    </row>
    <row r="177" spans="2:13" s="37" customFormat="1" ht="15.75">
      <c r="B177" s="48"/>
      <c r="C177" s="160" t="s">
        <v>305</v>
      </c>
      <c r="D177" s="156">
        <f>(($E$18+$F$18)*(F801EVE!R68+F801EVE!Y68)*$L177)</f>
        <v>57.742760918606365</v>
      </c>
      <c r="E177" s="156">
        <f>(($E$18+$F$18)*(F801EVE!S68+F801EVE!Z68)*$L177)</f>
        <v>57.766859451578071</v>
      </c>
      <c r="F177" s="156">
        <f>(($E$18+$F$18)*(F801EVE!T68+F801EVE!AA68)*$L177)</f>
        <v>56.675799145094693</v>
      </c>
      <c r="G177" s="156">
        <f>(($E$18+$F$18)*(F801EVE!U68+F801EVE!AB68)*$L177)</f>
        <v>57.568842951388397</v>
      </c>
      <c r="H177" s="156">
        <f>(($E$18+$F$18)*(F801EVE!V68+F801EVE!AC68)*$L177)</f>
        <v>55.074398215326042</v>
      </c>
      <c r="I177" s="156">
        <f>(($E$18+$F$18)*(F801EVE!W68+F801EVE!AD68)*$L177)</f>
        <v>55.332469686837662</v>
      </c>
      <c r="J177" s="156">
        <f t="shared" si="41"/>
        <v>340.16113036883127</v>
      </c>
      <c r="K177" s="69"/>
      <c r="L177" s="319">
        <v>0.95</v>
      </c>
      <c r="M177" s="329"/>
    </row>
    <row r="178" spans="2:13" s="37" customFormat="1" ht="15.75">
      <c r="B178" s="48"/>
      <c r="C178" s="160" t="s">
        <v>307</v>
      </c>
      <c r="D178" s="156">
        <f>(($E$18+$F$18)*(F801EVE!R69+F801EVE!Y69)*$L178)</f>
        <v>1.2547137663926302</v>
      </c>
      <c r="E178" s="156">
        <f>(($E$18+$F$18)*(F801EVE!S69+F801EVE!Z69)*$L178)</f>
        <v>1.2552374123109831</v>
      </c>
      <c r="F178" s="156">
        <f>(($E$18+$F$18)*(F801EVE!T69+F801EVE!AA69)*$L178)</f>
        <v>1.2315293601719635</v>
      </c>
      <c r="G178" s="156">
        <f>(($E$18+$F$18)*(F801EVE!U69+F801EVE!AB69)*$L178)</f>
        <v>1.2509346386851932</v>
      </c>
      <c r="H178" s="156">
        <f>(($E$18+$F$18)*(F801EVE!V69+F801EVE!AC69)*$L178)</f>
        <v>1.1967319282492508</v>
      </c>
      <c r="I178" s="156">
        <f>(($E$18+$F$18)*(F801EVE!W69+F801EVE!AD69)*$L178)</f>
        <v>1.2023396585147863</v>
      </c>
      <c r="J178" s="156">
        <f t="shared" si="41"/>
        <v>7.3914867643248066</v>
      </c>
      <c r="K178" s="69"/>
      <c r="L178" s="319">
        <v>0.5</v>
      </c>
      <c r="M178" s="329"/>
    </row>
    <row r="179" spans="2:13" s="37" customFormat="1" ht="15.75">
      <c r="B179" s="48"/>
      <c r="C179" s="160" t="s">
        <v>624</v>
      </c>
      <c r="D179" s="156">
        <f>(($E$18+$F$18)*(F801EVE!R70+F801EVE!Y70)*$L179)</f>
        <v>0</v>
      </c>
      <c r="E179" s="156">
        <f>(($E$18+$F$18)*(F801EVE!S70+F801EVE!Z70)*$L179)</f>
        <v>0</v>
      </c>
      <c r="F179" s="156">
        <f>(($E$18+$F$18)*(F801EVE!T70+F801EVE!AA70)*$L179)</f>
        <v>0</v>
      </c>
      <c r="G179" s="156">
        <f>(($E$18+$F$18)*(F801EVE!U70+F801EVE!AB70)*$L179)</f>
        <v>0</v>
      </c>
      <c r="H179" s="156">
        <f>(($E$18+$F$18)*(F801EVE!V70+F801EVE!AC70)*$L179)</f>
        <v>0</v>
      </c>
      <c r="I179" s="156">
        <f>(($E$18+$F$18)*(F801EVE!W70+F801EVE!AD70)*$L179)</f>
        <v>0</v>
      </c>
      <c r="J179" s="156">
        <f t="shared" si="41"/>
        <v>0</v>
      </c>
      <c r="K179" s="69"/>
      <c r="L179" s="319">
        <v>0</v>
      </c>
      <c r="M179" s="329"/>
    </row>
    <row r="180" spans="2:13" s="37" customFormat="1" ht="15.75">
      <c r="B180" s="48" t="s">
        <v>750</v>
      </c>
      <c r="C180" s="158" t="s">
        <v>635</v>
      </c>
      <c r="D180" s="159">
        <f t="shared" ref="D180:I180" si="43">SUM(D181:D186)</f>
        <v>3307499.9395060036</v>
      </c>
      <c r="E180" s="159">
        <f t="shared" si="43"/>
        <v>3308880.3012185027</v>
      </c>
      <c r="F180" s="159">
        <f t="shared" si="43"/>
        <v>3246384.4690088523</v>
      </c>
      <c r="G180" s="159">
        <f t="shared" si="43"/>
        <v>3297537.934626061</v>
      </c>
      <c r="H180" s="159">
        <f t="shared" si="43"/>
        <v>3154656.3736758153</v>
      </c>
      <c r="I180" s="159">
        <f t="shared" si="43"/>
        <v>3169438.6834031963</v>
      </c>
      <c r="J180" s="159">
        <f t="shared" si="41"/>
        <v>19484397.701438431</v>
      </c>
      <c r="K180" s="69"/>
      <c r="L180" s="319"/>
      <c r="M180" s="69"/>
    </row>
    <row r="181" spans="2:13" s="37" customFormat="1" ht="15.75">
      <c r="B181" s="48"/>
      <c r="C181" s="160" t="s">
        <v>304</v>
      </c>
      <c r="D181" s="156">
        <f>(($E$19+$F$19)*(F801EVE!R72+F801EVE!Y72)*$L181)</f>
        <v>2132990.2438696474</v>
      </c>
      <c r="E181" s="156">
        <f>(($E$19+$F$19)*(F801EVE!S72+F801EVE!Z72)*$L181)</f>
        <v>2133880.4322656034</v>
      </c>
      <c r="F181" s="156">
        <f>(($E$19+$F$19)*(F801EVE!T72+F801EVE!AA72)*$L181)</f>
        <v>2093577.1812228812</v>
      </c>
      <c r="G181" s="156">
        <f>(($E$19+$F$19)*(F801EVE!U72+F801EVE!AB72)*$L181)</f>
        <v>2126565.7965206108</v>
      </c>
      <c r="H181" s="156">
        <f>(($E$19+$F$19)*(F801EVE!V72+F801EVE!AC72)*$L181)</f>
        <v>2034422.189231155</v>
      </c>
      <c r="I181" s="156">
        <f>(($E$19+$F$19)*(F801EVE!W72+F801EVE!AD72)*$L181)</f>
        <v>2043955.2271773543</v>
      </c>
      <c r="J181" s="330">
        <f t="shared" si="41"/>
        <v>12565391.070287252</v>
      </c>
      <c r="K181" s="69"/>
      <c r="L181" s="319">
        <v>1</v>
      </c>
      <c r="M181" s="329"/>
    </row>
    <row r="182" spans="2:13" s="37" customFormat="1" ht="15.75">
      <c r="B182" s="48"/>
      <c r="C182" s="162" t="s">
        <v>642</v>
      </c>
      <c r="D182" s="156">
        <f>(($E$19+$F$19)*(F801EVE!R73+F801EVE!Y73)*$L182)</f>
        <v>1141197.6015379704</v>
      </c>
      <c r="E182" s="156">
        <f>(($E$19+$F$19)*(F801EVE!S73+F801EVE!Z73)*$L182)</f>
        <v>1141673.872287591</v>
      </c>
      <c r="F182" s="156">
        <f>(($E$19+$F$19)*(F801EVE!T73+F801EVE!AA73)*$L182)</f>
        <v>1120110.7293916838</v>
      </c>
      <c r="G182" s="156">
        <f>(($E$19+$F$19)*(F801EVE!U73+F801EVE!AB73)*$L182)</f>
        <v>1137760.3781718537</v>
      </c>
      <c r="H182" s="156">
        <f>(($E$19+$F$19)*(F801EVE!V73+F801EVE!AC73)*$L182)</f>
        <v>1088461.4824370965</v>
      </c>
      <c r="I182" s="156">
        <f>(($E$19+$F$19)*(F801EVE!W73+F801EVE!AD73)*$L182)</f>
        <v>1093561.8714664606</v>
      </c>
      <c r="J182" s="330">
        <f t="shared" si="41"/>
        <v>6722765.9352926565</v>
      </c>
      <c r="K182" s="69"/>
      <c r="L182" s="319">
        <v>0.75</v>
      </c>
      <c r="M182" s="329"/>
    </row>
    <row r="183" spans="2:13" s="37" customFormat="1" ht="15.75">
      <c r="B183" s="48"/>
      <c r="C183" s="162" t="s">
        <v>1177</v>
      </c>
      <c r="D183" s="156">
        <f>(($E$19+$F$19)*(F801EVE!R74+F801EVE!Y74)*$L183)</f>
        <v>33167.809407502747</v>
      </c>
      <c r="E183" s="156">
        <f>(($E$19+$F$19)*(F801EVE!S74+F801EVE!Z74)*$L183)</f>
        <v>33181.651758230182</v>
      </c>
      <c r="F183" s="156">
        <f>(($E$19+$F$19)*(F801EVE!T74+F801EVE!AA74)*$L183)</f>
        <v>32554.939773527156</v>
      </c>
      <c r="G183" s="156">
        <f>(($E$19+$F$19)*(F801EVE!U74+F801EVE!AB74)*$L183)</f>
        <v>33067.909820135297</v>
      </c>
      <c r="H183" s="156">
        <f>(($E$19+$F$19)*(F801EVE!V74+F801EVE!AC74)*$L183)</f>
        <v>31635.084886462879</v>
      </c>
      <c r="I183" s="156">
        <f>(($E$19+$F$19)*(F801EVE!W74+F801EVE!AD74)*$L183)</f>
        <v>31783.322782338295</v>
      </c>
      <c r="J183" s="330">
        <f t="shared" si="41"/>
        <v>195390.71842819656</v>
      </c>
      <c r="K183" s="69"/>
      <c r="L183" s="319">
        <v>1</v>
      </c>
      <c r="M183" s="329"/>
    </row>
    <row r="184" spans="2:13" s="37" customFormat="1" ht="15.75">
      <c r="B184" s="48"/>
      <c r="C184" s="160" t="s">
        <v>305</v>
      </c>
      <c r="D184" s="156">
        <f>(($E$19+$F$19)*(F801EVE!R75+F801EVE!Y75)*$L184)</f>
        <v>139.71554466785275</v>
      </c>
      <c r="E184" s="156">
        <f>(($E$19+$F$19)*(F801EVE!S75+F801EVE!Z75)*$L184)</f>
        <v>139.77385396249463</v>
      </c>
      <c r="F184" s="156">
        <f>(($E$19+$F$19)*(F801EVE!T75+F801EVE!AA75)*$L184)</f>
        <v>137.1339025199116</v>
      </c>
      <c r="G184" s="156">
        <f>(($E$19+$F$19)*(F801EVE!U75+F801EVE!AB75)*$L184)</f>
        <v>139.29472925946527</v>
      </c>
      <c r="H184" s="156">
        <f>(($E$19+$F$19)*(F801EVE!V75+F801EVE!AC75)*$L184)</f>
        <v>133.2591206498584</v>
      </c>
      <c r="I184" s="156">
        <f>(($E$19+$F$19)*(F801EVE!W75+F801EVE!AD75)*$L184)</f>
        <v>133.88355556831178</v>
      </c>
      <c r="J184" s="156">
        <f t="shared" si="41"/>
        <v>823.06070662789443</v>
      </c>
      <c r="K184" s="69"/>
      <c r="L184" s="319">
        <v>0.95</v>
      </c>
      <c r="M184" s="329"/>
    </row>
    <row r="185" spans="2:13" s="37" customFormat="1" ht="15.75">
      <c r="B185" s="48"/>
      <c r="C185" s="160" t="s">
        <v>307</v>
      </c>
      <c r="D185" s="156">
        <f>(($E$19+$F$19)*(F801EVE!R76+F801EVE!Y76)*$L185)</f>
        <v>4.5691462147761186</v>
      </c>
      <c r="E185" s="156">
        <f>(($E$19+$F$19)*(F801EVE!S76+F801EVE!Z76)*$L185)</f>
        <v>4.5710531156405318</v>
      </c>
      <c r="F185" s="156">
        <f>(($E$19+$F$19)*(F801EVE!T76+F801EVE!AA76)*$L185)</f>
        <v>4.484718240235317</v>
      </c>
      <c r="G185" s="156">
        <f>(($E$19+$F$19)*(F801EVE!U76+F801EVE!AB76)*$L185)</f>
        <v>4.5553842018596296</v>
      </c>
      <c r="H185" s="156">
        <f>(($E$19+$F$19)*(F801EVE!V76+F801EVE!AC76)*$L185)</f>
        <v>4.3580004511966974</v>
      </c>
      <c r="I185" s="156">
        <f>(($E$19+$F$19)*(F801EVE!W76+F801EVE!AD76)*$L185)</f>
        <v>4.3784214748616588</v>
      </c>
      <c r="J185" s="156">
        <f t="shared" si="41"/>
        <v>26.916723698569953</v>
      </c>
      <c r="K185" s="69"/>
      <c r="L185" s="319">
        <v>0.5</v>
      </c>
      <c r="M185" s="329"/>
    </row>
    <row r="186" spans="2:13" s="37" customFormat="1" ht="15.75">
      <c r="B186" s="48"/>
      <c r="C186" s="160" t="s">
        <v>624</v>
      </c>
      <c r="D186" s="156">
        <f>(($E$19+$F$19)*(F801EVE!R77+F801EVE!Y77)*$L186)</f>
        <v>0</v>
      </c>
      <c r="E186" s="156">
        <f>(($E$19+$F$19)*(F801EVE!S77+F801EVE!Z77)*$L186)</f>
        <v>0</v>
      </c>
      <c r="F186" s="156">
        <f>(($E$19+$F$19)*(F801EVE!T77+F801EVE!AA77)*$L186)</f>
        <v>0</v>
      </c>
      <c r="G186" s="156">
        <f>(($E$19+$F$19)*(F801EVE!U77+F801EVE!AB77)*$L186)</f>
        <v>0</v>
      </c>
      <c r="H186" s="156">
        <f>(($E$19+$F$19)*(F801EVE!V77+F801EVE!AC77)*$L186)</f>
        <v>0</v>
      </c>
      <c r="I186" s="156">
        <f>(($E$19+$F$19)*(F801EVE!W77+F801EVE!AD77)*$L186)</f>
        <v>0</v>
      </c>
      <c r="J186" s="156"/>
      <c r="K186" s="69"/>
      <c r="L186" s="319">
        <v>0</v>
      </c>
      <c r="M186" s="329"/>
    </row>
    <row r="187" spans="2:13" s="37" customFormat="1" ht="15.75">
      <c r="B187" s="48" t="s">
        <v>749</v>
      </c>
      <c r="C187" s="158" t="s">
        <v>636</v>
      </c>
      <c r="D187" s="159">
        <f t="shared" ref="D187:I187" si="44">SUM(D188:D193)</f>
        <v>5029665.2841959707</v>
      </c>
      <c r="E187" s="159">
        <f t="shared" si="44"/>
        <v>5031764.3794376878</v>
      </c>
      <c r="F187" s="159">
        <f t="shared" si="44"/>
        <v>4936727.9097714899</v>
      </c>
      <c r="G187" s="159">
        <f t="shared" si="44"/>
        <v>5014516.2135921745</v>
      </c>
      <c r="H187" s="159">
        <f t="shared" si="44"/>
        <v>4797238.3783670235</v>
      </c>
      <c r="I187" s="159">
        <f t="shared" si="44"/>
        <v>4819717.6138669178</v>
      </c>
      <c r="J187" s="159">
        <f t="shared" ref="J187:J193" si="45">SUM(D187:I187)</f>
        <v>29629629.779231265</v>
      </c>
      <c r="K187" s="69"/>
      <c r="L187" s="319"/>
      <c r="M187" s="69"/>
    </row>
    <row r="188" spans="2:13" s="37" customFormat="1" ht="15.75">
      <c r="B188" s="48"/>
      <c r="C188" s="160" t="s">
        <v>304</v>
      </c>
      <c r="D188" s="156">
        <f>(($E$20+$F$20)*(F801EVE!R79+F801EVE!Y79)*$L188)</f>
        <v>4348108.381916997</v>
      </c>
      <c r="E188" s="156">
        <f>(($E$20+$F$20)*(F801EVE!S79+F801EVE!Z79)*$L188)</f>
        <v>4349923.0342048202</v>
      </c>
      <c r="F188" s="156">
        <f>(($E$20+$F$20)*(F801EVE!T79+F801EVE!AA79)*$L188)</f>
        <v>4267764.7101426143</v>
      </c>
      <c r="G188" s="156">
        <f>(($E$20+$F$20)*(F801EVE!U79+F801EVE!AB79)*$L188)</f>
        <v>4335012.1225938182</v>
      </c>
      <c r="H188" s="156">
        <f>(($E$20+$F$20)*(F801EVE!V79+F801EVE!AC79)*$L188)</f>
        <v>4147177.0434851125</v>
      </c>
      <c r="I188" s="156">
        <f>(($E$20+$F$20)*(F801EVE!W79+F801EVE!AD79)*$L188)</f>
        <v>4166610.1760641923</v>
      </c>
      <c r="J188" s="330">
        <f t="shared" si="45"/>
        <v>25614595.468407556</v>
      </c>
      <c r="K188" s="69"/>
      <c r="L188" s="319">
        <v>1</v>
      </c>
      <c r="M188" s="329"/>
    </row>
    <row r="189" spans="2:13" s="37" customFormat="1" ht="15.75">
      <c r="B189" s="48"/>
      <c r="C189" s="162" t="s">
        <v>642</v>
      </c>
      <c r="D189" s="156">
        <f>(($E$20+$F$20)*(F801EVE!R80+F801EVE!Y80)*$L189)</f>
        <v>322625.84757053189</v>
      </c>
      <c r="E189" s="156">
        <f>(($E$20+$F$20)*(F801EVE!S80+F801EVE!Z80)*$L189)</f>
        <v>322760.49318673578</v>
      </c>
      <c r="F189" s="156">
        <f>(($E$20+$F$20)*(F801EVE!T80+F801EVE!AA80)*$L189)</f>
        <v>316664.4172366102</v>
      </c>
      <c r="G189" s="156">
        <f>(($E$20+$F$20)*(F801EVE!U80+F801EVE!AB80)*$L189)</f>
        <v>321654.11655717529</v>
      </c>
      <c r="H189" s="156">
        <f>(($E$20+$F$20)*(F801EVE!V80+F801EVE!AC80)*$L189)</f>
        <v>307716.91760119935</v>
      </c>
      <c r="I189" s="156">
        <f>(($E$20+$F$20)*(F801EVE!W80+F801EVE!AD80)*$L189)</f>
        <v>309158.83908028441</v>
      </c>
      <c r="J189" s="330">
        <f t="shared" si="45"/>
        <v>1900580.6312325369</v>
      </c>
      <c r="K189" s="69"/>
      <c r="L189" s="319">
        <v>0.75</v>
      </c>
      <c r="M189" s="329"/>
    </row>
    <row r="190" spans="2:13" s="37" customFormat="1" ht="15.75">
      <c r="B190" s="48"/>
      <c r="C190" s="162" t="s">
        <v>1177</v>
      </c>
      <c r="D190" s="156">
        <f>(($E$20+$F$20)*(F801EVE!R81+F801EVE!Y81)*$L190)</f>
        <v>356522.50091877679</v>
      </c>
      <c r="E190" s="156">
        <f>(($E$20+$F$20)*(F801EVE!S81+F801EVE!Z81)*$L190)</f>
        <v>356671.29306357313</v>
      </c>
      <c r="F190" s="156">
        <f>(($E$20+$F$20)*(F801EVE!T81+F801EVE!AA81)*$L190)</f>
        <v>349934.73348567256</v>
      </c>
      <c r="G190" s="156">
        <f>(($E$20+$F$20)*(F801EVE!U81+F801EVE!AB81)*$L190)</f>
        <v>355448.67508085637</v>
      </c>
      <c r="H190" s="156">
        <f>(($E$20+$F$20)*(F801EVE!V81+F801EVE!AC81)*$L190)</f>
        <v>340047.16566986352</v>
      </c>
      <c r="I190" s="156">
        <f>(($E$20+$F$20)*(F801EVE!W81+F801EVE!AD81)*$L190)</f>
        <v>341640.58248913899</v>
      </c>
      <c r="J190" s="330">
        <f t="shared" si="45"/>
        <v>2100264.9507078812</v>
      </c>
      <c r="K190" s="69"/>
      <c r="L190" s="319">
        <v>1</v>
      </c>
      <c r="M190" s="329"/>
    </row>
    <row r="191" spans="2:13" s="37" customFormat="1" ht="15.75">
      <c r="B191" s="48"/>
      <c r="C191" s="160" t="s">
        <v>305</v>
      </c>
      <c r="D191" s="156">
        <f>(($E$20+$F$20)*(F801EVE!R82+F801EVE!Y82)*$L191)</f>
        <v>2371.1953488200834</v>
      </c>
      <c r="E191" s="156">
        <f>(($E$20+$F$20)*(F801EVE!S82+F801EVE!Z82)*$L191)</f>
        <v>2372.1849504322477</v>
      </c>
      <c r="F191" s="156">
        <f>(($E$20+$F$20)*(F801EVE!T82+F801EVE!AA82)*$L191)</f>
        <v>2327.3807692178725</v>
      </c>
      <c r="G191" s="156">
        <f>(($E$20+$F$20)*(F801EVE!U82+F801EVE!AB82)*$L191)</f>
        <v>2364.0534410141022</v>
      </c>
      <c r="H191" s="156">
        <f>(($E$20+$F$20)*(F801EVE!V82+F801EVE!AC82)*$L191)</f>
        <v>2261.6195486621714</v>
      </c>
      <c r="I191" s="156">
        <f>(($E$20+$F$20)*(F801EVE!W82+F801EVE!AD82)*$L191)</f>
        <v>2272.2172039037368</v>
      </c>
      <c r="J191" s="156">
        <f t="shared" si="45"/>
        <v>13968.651262050214</v>
      </c>
      <c r="K191" s="69"/>
      <c r="L191" s="319">
        <v>0.95</v>
      </c>
      <c r="M191" s="329"/>
    </row>
    <row r="192" spans="2:13" s="37" customFormat="1" ht="15.75">
      <c r="B192" s="48"/>
      <c r="C192" s="160" t="s">
        <v>307</v>
      </c>
      <c r="D192" s="156">
        <f>(($E$20+$F$20)*(F801EVE!R83+F801EVE!Y83)*$L192)</f>
        <v>37.358440845329682</v>
      </c>
      <c r="E192" s="156">
        <f>(($E$20+$F$20)*(F801EVE!S83+F801EVE!Z83)*$L192)</f>
        <v>37.374032126455837</v>
      </c>
      <c r="F192" s="156">
        <f>(($E$20+$F$20)*(F801EVE!T83+F801EVE!AA83)*$L192)</f>
        <v>36.668137374109271</v>
      </c>
      <c r="G192" s="156">
        <f>(($E$20+$F$20)*(F801EVE!U83+F801EVE!AB83)*$L192)</f>
        <v>37.245919310389375</v>
      </c>
      <c r="H192" s="156">
        <f>(($E$20+$F$20)*(F801EVE!V83+F801EVE!AC83)*$L192)</f>
        <v>35.632062185589135</v>
      </c>
      <c r="I192" s="156">
        <f>(($E$20+$F$20)*(F801EVE!W83+F801EVE!AD83)*$L192)</f>
        <v>35.799029397564411</v>
      </c>
      <c r="J192" s="156">
        <f t="shared" si="45"/>
        <v>220.07762123943775</v>
      </c>
      <c r="K192" s="69"/>
      <c r="L192" s="319">
        <v>0.5</v>
      </c>
      <c r="M192" s="329"/>
    </row>
    <row r="193" spans="2:13" s="37" customFormat="1" ht="15.75">
      <c r="B193" s="48"/>
      <c r="C193" s="160" t="s">
        <v>624</v>
      </c>
      <c r="D193" s="156">
        <f>(($E$20+$F$20)*(F801EVE!R84+F801EVE!Y84)*$L193)</f>
        <v>0</v>
      </c>
      <c r="E193" s="156">
        <f>(($E$20+$F$20)*(F801EVE!S84+F801EVE!Z84)*$L193)</f>
        <v>0</v>
      </c>
      <c r="F193" s="156">
        <f>(($E$20+$F$20)*(F801EVE!T84+F801EVE!AA84)*$L193)</f>
        <v>0</v>
      </c>
      <c r="G193" s="156">
        <f>(($E$20+$F$20)*(F801EVE!U84+F801EVE!AB84)*$L193)</f>
        <v>0</v>
      </c>
      <c r="H193" s="156">
        <f>(($E$20+$F$20)*(F801EVE!V84+F801EVE!AC84)*$L193)</f>
        <v>0</v>
      </c>
      <c r="I193" s="156">
        <f>(($E$20+$F$20)*(F801EVE!W84+F801EVE!AD84)*$L193)</f>
        <v>0</v>
      </c>
      <c r="J193" s="156">
        <f t="shared" si="45"/>
        <v>0</v>
      </c>
      <c r="K193" s="69"/>
      <c r="L193" s="319">
        <v>0</v>
      </c>
      <c r="M193" s="329"/>
    </row>
    <row r="194" spans="2:13" s="37" customFormat="1" ht="15.75">
      <c r="B194" s="48"/>
      <c r="C194" s="157"/>
      <c r="D194" s="156"/>
      <c r="E194" s="156"/>
      <c r="F194" s="156"/>
      <c r="G194" s="156"/>
      <c r="H194" s="156"/>
      <c r="I194" s="156"/>
      <c r="J194" s="156"/>
      <c r="K194" s="69"/>
      <c r="L194" s="319"/>
      <c r="M194" s="69"/>
    </row>
    <row r="195" spans="2:13" s="37" customFormat="1" ht="15.75">
      <c r="B195" s="48" t="s">
        <v>902</v>
      </c>
      <c r="C195" s="158" t="s">
        <v>898</v>
      </c>
      <c r="D195" s="159">
        <f t="shared" ref="D195:H195" si="46">SUM(D196:D200)</f>
        <v>731175.01154738688</v>
      </c>
      <c r="E195" s="159">
        <f t="shared" si="46"/>
        <v>731480.162268335</v>
      </c>
      <c r="F195" s="159">
        <f t="shared" si="46"/>
        <v>717664.47317587235</v>
      </c>
      <c r="G195" s="159">
        <f t="shared" si="46"/>
        <v>728972.75329603394</v>
      </c>
      <c r="H195" s="159">
        <f t="shared" si="46"/>
        <v>697386.53140987176</v>
      </c>
      <c r="I195" s="159">
        <f t="shared" ref="I195" si="47">SUM(I196:I200)</f>
        <v>700654.3940503255</v>
      </c>
      <c r="J195" s="159">
        <f t="shared" ref="J195:J214" si="48">SUM(D195:I195)</f>
        <v>4307333.3257478252</v>
      </c>
      <c r="K195" s="69"/>
      <c r="L195" s="319"/>
      <c r="M195" s="69"/>
    </row>
    <row r="196" spans="2:13" s="37" customFormat="1" ht="15.75">
      <c r="B196" s="48"/>
      <c r="C196" s="160" t="s">
        <v>304</v>
      </c>
      <c r="D196" s="156">
        <f>(($E$17+$F$17)*(F801EVE!R87+F801EVE!Y87)*$L196)</f>
        <v>703252.77806792874</v>
      </c>
      <c r="E196" s="156">
        <f>(($E$17+$F$17)*(F801EVE!S87+F801EVE!Z87)*$L196)</f>
        <v>703546.27564217173</v>
      </c>
      <c r="F196" s="156">
        <f>(($E$17+$F$17)*(F801EVE!T87+F801EVE!AA87)*$L196)</f>
        <v>690258.18239260162</v>
      </c>
      <c r="G196" s="156">
        <f>(($E$17+$F$17)*(F801EVE!U87+F801EVE!AB87)*$L196)</f>
        <v>701134.62002255279</v>
      </c>
      <c r="H196" s="156">
        <f>(($E$17+$F$17)*(F801EVE!V87+F801EVE!AC87)*$L196)</f>
        <v>670754.61805407202</v>
      </c>
      <c r="I196" s="156">
        <f>(($E$17+$F$17)*(F801EVE!W87+F801EVE!AD87)*$L196)</f>
        <v>673897.68701013492</v>
      </c>
      <c r="J196" s="156">
        <f t="shared" si="48"/>
        <v>4142844.1611894621</v>
      </c>
      <c r="K196" s="69"/>
      <c r="L196" s="319">
        <v>1</v>
      </c>
      <c r="M196" s="329"/>
    </row>
    <row r="197" spans="2:13" s="37" customFormat="1" ht="15.75">
      <c r="B197" s="48"/>
      <c r="C197" s="162" t="s">
        <v>644</v>
      </c>
      <c r="D197" s="156">
        <f>(($E$17+$F$17)*(F801EVE!R88+F801EVE!Y88)*$L197)</f>
        <v>27922.233479458082</v>
      </c>
      <c r="E197" s="156">
        <f>(($E$17+$F$17)*(F801EVE!S88+F801EVE!Z88)*$L197)</f>
        <v>27933.886626163287</v>
      </c>
      <c r="F197" s="156">
        <f>(($E$17+$F$17)*(F801EVE!T88+F801EVE!AA88)*$L197)</f>
        <v>27406.290783270691</v>
      </c>
      <c r="G197" s="156">
        <f>(($E$17+$F$17)*(F801EVE!U88+F801EVE!AB88)*$L197)</f>
        <v>27838.133273481129</v>
      </c>
      <c r="H197" s="156">
        <f>(($E$17+$F$17)*(F801EVE!V88+F801EVE!AC88)*$L197)</f>
        <v>26631.913355799727</v>
      </c>
      <c r="I197" s="156">
        <f>(($E$17+$F$17)*(F801EVE!W88+F801EVE!AD88)*$L197)</f>
        <v>26756.707040190609</v>
      </c>
      <c r="J197" s="156">
        <f t="shared" si="48"/>
        <v>164489.16455836353</v>
      </c>
      <c r="K197" s="69"/>
      <c r="L197" s="319">
        <v>0.75</v>
      </c>
      <c r="M197" s="329"/>
    </row>
    <row r="198" spans="2:13" s="37" customFormat="1" ht="15.75">
      <c r="B198" s="48"/>
      <c r="C198" s="160" t="s">
        <v>305</v>
      </c>
      <c r="D198" s="156">
        <f>(($E$17+$F$17)*(F801EVE!R89+F801EVE!Y89)*$L198)</f>
        <v>0</v>
      </c>
      <c r="E198" s="156">
        <f>(($E$17+$F$17)*(F801EVE!S89+F801EVE!Z89)*$L198)</f>
        <v>0</v>
      </c>
      <c r="F198" s="156">
        <f>(($E$17+$F$17)*(F801EVE!T89+F801EVE!AA89)*$L198)</f>
        <v>0</v>
      </c>
      <c r="G198" s="156">
        <f>(($E$17+$F$17)*(F801EVE!U89+F801EVE!AB89)*$L198)</f>
        <v>0</v>
      </c>
      <c r="H198" s="156">
        <f>(($E$17+$F$17)*(F801EVE!V89+F801EVE!AC89)*$L198)</f>
        <v>0</v>
      </c>
      <c r="I198" s="156">
        <f>(($E$17+$F$17)*(F801EVE!W89+F801EVE!AD89)*$L198)</f>
        <v>0</v>
      </c>
      <c r="J198" s="156">
        <f t="shared" si="48"/>
        <v>0</v>
      </c>
      <c r="K198" s="69"/>
      <c r="L198" s="319">
        <v>0.95</v>
      </c>
      <c r="M198" s="329"/>
    </row>
    <row r="199" spans="2:13" s="37" customFormat="1" ht="15.75">
      <c r="B199" s="48"/>
      <c r="C199" s="160" t="s">
        <v>307</v>
      </c>
      <c r="D199" s="156">
        <f>(($E$17+$F$17)*(F801EVE!R90+F801EVE!Y90)*$L199)</f>
        <v>0</v>
      </c>
      <c r="E199" s="156">
        <f>(($E$17+$F$17)*(F801EVE!S90+F801EVE!Z90)*$L199)</f>
        <v>0</v>
      </c>
      <c r="F199" s="156">
        <f>(($E$17+$F$17)*(F801EVE!T90+F801EVE!AA90)*$L199)</f>
        <v>0</v>
      </c>
      <c r="G199" s="156">
        <f>(($E$17+$F$17)*(F801EVE!U90+F801EVE!AB90)*$L199)</f>
        <v>0</v>
      </c>
      <c r="H199" s="156">
        <f>(($E$17+$F$17)*(F801EVE!V90+F801EVE!AC90)*$L199)</f>
        <v>0</v>
      </c>
      <c r="I199" s="156">
        <f>(($E$17+$F$17)*(F801EVE!W90+F801EVE!AD90)*$L199)</f>
        <v>0</v>
      </c>
      <c r="J199" s="156">
        <f t="shared" si="48"/>
        <v>0</v>
      </c>
      <c r="K199" s="69"/>
      <c r="L199" s="319">
        <v>0.5</v>
      </c>
      <c r="M199" s="329"/>
    </row>
    <row r="200" spans="2:13" s="37" customFormat="1" ht="15.75">
      <c r="B200" s="48"/>
      <c r="C200" s="160" t="s">
        <v>624</v>
      </c>
      <c r="D200" s="156">
        <f>(($E$17+$F$17)*(F801EVE!R91+F801EVE!Y91)*$L200)</f>
        <v>0</v>
      </c>
      <c r="E200" s="156">
        <f>(($E$17+$F$17)*(F801EVE!S91+F801EVE!Z91)*$L200)</f>
        <v>0</v>
      </c>
      <c r="F200" s="156">
        <f>(($E$17+$F$17)*(F801EVE!T91+F801EVE!AA91)*$L200)</f>
        <v>0</v>
      </c>
      <c r="G200" s="156">
        <f>(($E$17+$F$17)*(F801EVE!U91+F801EVE!AB91)*$L200)</f>
        <v>0</v>
      </c>
      <c r="H200" s="156">
        <f>(($E$17+$F$17)*(F801EVE!V91+F801EVE!AC91)*$L200)</f>
        <v>0</v>
      </c>
      <c r="I200" s="156">
        <f>(($E$17+$F$17)*(F801EVE!W91+F801EVE!AD91)*$L200)</f>
        <v>0</v>
      </c>
      <c r="J200" s="156">
        <f t="shared" si="48"/>
        <v>0</v>
      </c>
      <c r="K200" s="69"/>
      <c r="L200" s="319">
        <v>0</v>
      </c>
      <c r="M200" s="329"/>
    </row>
    <row r="201" spans="2:13" s="37" customFormat="1" ht="15.75">
      <c r="B201" s="48" t="s">
        <v>902</v>
      </c>
      <c r="C201" s="158" t="s">
        <v>899</v>
      </c>
      <c r="D201" s="159">
        <f t="shared" ref="D201:I201" si="49">SUM(D202:D207)</f>
        <v>57872.012641335161</v>
      </c>
      <c r="E201" s="159">
        <f t="shared" si="49"/>
        <v>57896.16511659939</v>
      </c>
      <c r="F201" s="159">
        <f t="shared" si="49"/>
        <v>56802.662574553142</v>
      </c>
      <c r="G201" s="159">
        <f t="shared" si="49"/>
        <v>57697.705375155398</v>
      </c>
      <c r="H201" s="159">
        <f t="shared" si="49"/>
        <v>55197.677059883128</v>
      </c>
      <c r="I201" s="159">
        <f t="shared" si="49"/>
        <v>55456.326200036659</v>
      </c>
      <c r="J201" s="159">
        <f t="shared" si="48"/>
        <v>340922.54896756291</v>
      </c>
      <c r="K201" s="69"/>
      <c r="L201" s="319"/>
      <c r="M201" s="69"/>
    </row>
    <row r="202" spans="2:13" s="37" customFormat="1" ht="15.75">
      <c r="B202" s="48"/>
      <c r="C202" s="160" t="s">
        <v>304</v>
      </c>
      <c r="D202" s="156">
        <f>(($E$17+$F$17)*(F801EVE!R93+F801EVE!Y93)*$L202)</f>
        <v>52569.265853783036</v>
      </c>
      <c r="E202" s="156">
        <f>(($E$17+$F$17)*(F801EVE!S93+F801EVE!Z93)*$L202)</f>
        <v>52591.205265171084</v>
      </c>
      <c r="F202" s="156">
        <f>(($E$17+$F$17)*(F801EVE!T93+F801EVE!AA93)*$L202)</f>
        <v>51597.899119057227</v>
      </c>
      <c r="G202" s="156">
        <f>(($E$17+$F$17)*(F801EVE!U93+F801EVE!AB93)*$L202)</f>
        <v>52410.93016442591</v>
      </c>
      <c r="H202" s="156">
        <f>(($E$17+$F$17)*(F801EVE!V93+F801EVE!AC93)*$L202)</f>
        <v>50139.976604161049</v>
      </c>
      <c r="I202" s="156">
        <f>(($E$17+$F$17)*(F801EVE!W93+F801EVE!AD93)*$L202)</f>
        <v>50374.926017374855</v>
      </c>
      <c r="J202" s="156">
        <f t="shared" si="48"/>
        <v>309684.20302397321</v>
      </c>
      <c r="K202" s="69"/>
      <c r="L202" s="319">
        <v>1</v>
      </c>
      <c r="M202" s="329"/>
    </row>
    <row r="203" spans="2:13" s="37" customFormat="1" ht="15.75">
      <c r="B203" s="48"/>
      <c r="C203" s="162" t="s">
        <v>642</v>
      </c>
      <c r="D203" s="156">
        <f>(($E$17+$F$17)*(F801EVE!R94+F801EVE!Y94)*$L203)</f>
        <v>4808.5655013171263</v>
      </c>
      <c r="E203" s="156">
        <f>(($E$17+$F$17)*(F801EVE!S94+F801EVE!Z94)*$L203)</f>
        <v>4810.5723221278486</v>
      </c>
      <c r="F203" s="156">
        <f>(($E$17+$F$17)*(F801EVE!T94+F801EVE!AA94)*$L203)</f>
        <v>4719.713574361911</v>
      </c>
      <c r="G203" s="156">
        <f>(($E$17+$F$17)*(F801EVE!U94+F801EVE!AB94)*$L203)</f>
        <v>4794.0823708966327</v>
      </c>
      <c r="H203" s="156">
        <f>(($E$17+$F$17)*(F801EVE!V94+F801EVE!AC94)*$L203)</f>
        <v>4586.3558834209261</v>
      </c>
      <c r="I203" s="156">
        <f>(($E$17+$F$17)*(F801EVE!W94+F801EVE!AD94)*$L203)</f>
        <v>4607.8469509598381</v>
      </c>
      <c r="J203" s="156">
        <f t="shared" si="48"/>
        <v>28327.136603084284</v>
      </c>
      <c r="K203" s="69"/>
      <c r="L203" s="319">
        <v>0.75</v>
      </c>
      <c r="M203" s="329"/>
    </row>
    <row r="204" spans="2:13" s="37" customFormat="1" ht="15.75">
      <c r="B204" s="48"/>
      <c r="C204" s="162" t="s">
        <v>1177</v>
      </c>
      <c r="D204" s="156">
        <f>(($E$17+$F$17)*(F801EVE!R95+F801EVE!Y95)*$L204)</f>
        <v>494.18128623499547</v>
      </c>
      <c r="E204" s="156">
        <f>(($E$17+$F$17)*(F801EVE!S95+F801EVE!Z95)*$L204)</f>
        <v>494.38752930046155</v>
      </c>
      <c r="F204" s="156">
        <f>(($E$17+$F$17)*(F801EVE!T95+F801EVE!AA95)*$L204)</f>
        <v>485.04988113400265</v>
      </c>
      <c r="G204" s="156">
        <f>(($E$17+$F$17)*(F801EVE!U95+F801EVE!AB95)*$L204)</f>
        <v>492.69283983285158</v>
      </c>
      <c r="H204" s="156">
        <f>(($E$17+$F$17)*(F801EVE!V95+F801EVE!AC95)*$L204)</f>
        <v>471.34457230115152</v>
      </c>
      <c r="I204" s="156">
        <f>(($E$17+$F$17)*(F801EVE!W95+F801EVE!AD95)*$L204)</f>
        <v>473.55323170197141</v>
      </c>
      <c r="J204" s="156">
        <f t="shared" si="48"/>
        <v>2911.2093405054343</v>
      </c>
      <c r="K204" s="69"/>
      <c r="L204" s="319">
        <v>1</v>
      </c>
      <c r="M204" s="329"/>
    </row>
    <row r="205" spans="2:13" s="37" customFormat="1" ht="15.75">
      <c r="B205" s="48"/>
      <c r="C205" s="160" t="s">
        <v>305</v>
      </c>
      <c r="D205" s="156">
        <f>(($E$17+$F$17)*(F801EVE!R96+F801EVE!Y96)*$L205)</f>
        <v>0</v>
      </c>
      <c r="E205" s="156">
        <f>(($E$17+$F$17)*(F801EVE!S96+F801EVE!Z96)*$L205)</f>
        <v>0</v>
      </c>
      <c r="F205" s="156">
        <f>(($E$17+$F$17)*(F801EVE!T96+F801EVE!AA96)*$L205)</f>
        <v>0</v>
      </c>
      <c r="G205" s="156">
        <f>(($E$17+$F$17)*(F801EVE!U96+F801EVE!AB96)*$L205)</f>
        <v>0</v>
      </c>
      <c r="H205" s="156">
        <f>(($E$17+$F$17)*(F801EVE!V96+F801EVE!AC96)*$L205)</f>
        <v>0</v>
      </c>
      <c r="I205" s="156">
        <f>(($E$17+$F$17)*(F801EVE!W96+F801EVE!AD96)*$L205)</f>
        <v>0</v>
      </c>
      <c r="J205" s="156">
        <f t="shared" si="48"/>
        <v>0</v>
      </c>
      <c r="K205" s="69"/>
      <c r="L205" s="319">
        <v>0.95</v>
      </c>
      <c r="M205" s="329"/>
    </row>
    <row r="206" spans="2:13" s="37" customFormat="1" ht="15.75">
      <c r="B206" s="48"/>
      <c r="C206" s="160" t="s">
        <v>307</v>
      </c>
      <c r="D206" s="156">
        <f>(($E$17+$F$17)*(F801EVE!R97+F801EVE!Y97)*$L206)</f>
        <v>0</v>
      </c>
      <c r="E206" s="156">
        <f>(($E$17+$F$17)*(F801EVE!S97+F801EVE!Z97)*$L206)</f>
        <v>0</v>
      </c>
      <c r="F206" s="156">
        <f>(($E$17+$F$17)*(F801EVE!T97+F801EVE!AA97)*$L206)</f>
        <v>0</v>
      </c>
      <c r="G206" s="156">
        <f>(($E$17+$F$17)*(F801EVE!U97+F801EVE!AB97)*$L206)</f>
        <v>0</v>
      </c>
      <c r="H206" s="156">
        <f>(($E$17+$F$17)*(F801EVE!V97+F801EVE!AC97)*$L206)</f>
        <v>0</v>
      </c>
      <c r="I206" s="156">
        <f>(($E$17+$F$17)*(F801EVE!W97+F801EVE!AD97)*$L206)</f>
        <v>0</v>
      </c>
      <c r="J206" s="156">
        <f t="shared" si="48"/>
        <v>0</v>
      </c>
      <c r="K206" s="69"/>
      <c r="L206" s="319">
        <v>0.5</v>
      </c>
      <c r="M206" s="329"/>
    </row>
    <row r="207" spans="2:13" s="37" customFormat="1" ht="15.75">
      <c r="B207" s="48"/>
      <c r="C207" s="160" t="s">
        <v>624</v>
      </c>
      <c r="D207" s="156">
        <f>(($E$17+$F$17)*(F801EVE!R98+F801EVE!Y98)*$L207)</f>
        <v>0</v>
      </c>
      <c r="E207" s="156">
        <f>(($E$17+$F$17)*(F801EVE!S98+F801EVE!Z98)*$L207)</f>
        <v>0</v>
      </c>
      <c r="F207" s="156">
        <f>(($E$17+$F$17)*(F801EVE!T98+F801EVE!AA98)*$L207)</f>
        <v>0</v>
      </c>
      <c r="G207" s="156">
        <f>(($E$17+$F$17)*(F801EVE!U98+F801EVE!AB98)*$L207)</f>
        <v>0</v>
      </c>
      <c r="H207" s="156">
        <f>(($E$17+$F$17)*(F801EVE!V98+F801EVE!AC98)*$L207)</f>
        <v>0</v>
      </c>
      <c r="I207" s="156">
        <f>(($E$17+$F$17)*(F801EVE!W98+F801EVE!AD98)*$L207)</f>
        <v>0</v>
      </c>
      <c r="J207" s="156">
        <f t="shared" si="48"/>
        <v>0</v>
      </c>
      <c r="K207" s="69"/>
      <c r="L207" s="319">
        <v>0</v>
      </c>
      <c r="M207" s="329"/>
    </row>
    <row r="208" spans="2:13" s="37" customFormat="1" ht="15.75">
      <c r="B208" s="48" t="s">
        <v>902</v>
      </c>
      <c r="C208" s="158" t="s">
        <v>900</v>
      </c>
      <c r="D208" s="159">
        <f t="shared" ref="D208:I208" si="50">SUM(D209:D214)</f>
        <v>6399.7833139880458</v>
      </c>
      <c r="E208" s="159">
        <f t="shared" si="50"/>
        <v>6402.4542183014237</v>
      </c>
      <c r="F208" s="159">
        <f t="shared" si="50"/>
        <v>6281.5291112766736</v>
      </c>
      <c r="G208" s="159">
        <f t="shared" si="50"/>
        <v>6380.5075244882464</v>
      </c>
      <c r="H208" s="159">
        <f t="shared" si="50"/>
        <v>6104.0415996596821</v>
      </c>
      <c r="I208" s="159">
        <f t="shared" si="50"/>
        <v>6132.6443451973355</v>
      </c>
      <c r="J208" s="159">
        <f t="shared" si="48"/>
        <v>37700.960112911409</v>
      </c>
      <c r="K208" s="69"/>
      <c r="L208" s="319"/>
      <c r="M208" s="69"/>
    </row>
    <row r="209" spans="2:13" s="37" customFormat="1" ht="15.75">
      <c r="B209" s="48"/>
      <c r="C209" s="160" t="s">
        <v>304</v>
      </c>
      <c r="D209" s="156">
        <f>(($E$17+$F$17)*(F801EVE!R100+F801EVE!Y100)*$L209)</f>
        <v>6217.4169184620087</v>
      </c>
      <c r="E209" s="156">
        <f>(($E$17+$F$17)*(F801EVE!S100+F801EVE!Z100)*$L209)</f>
        <v>6220.0117134497223</v>
      </c>
      <c r="F209" s="156">
        <f>(($E$17+$F$17)*(F801EVE!T100+F801EVE!AA100)*$L209)</f>
        <v>6102.5324537005354</v>
      </c>
      <c r="G209" s="156">
        <f>(($E$17+$F$17)*(F801EVE!U100+F801EVE!AB100)*$L209)</f>
        <v>6198.6904063485717</v>
      </c>
      <c r="H209" s="156">
        <f>(($E$17+$F$17)*(F801EVE!V100+F801EVE!AC100)*$L209)</f>
        <v>5930.1025754683697</v>
      </c>
      <c r="I209" s="156">
        <f>(($E$17+$F$17)*(F801EVE!W100+F801EVE!AD100)*$L209)</f>
        <v>5957.890265347115</v>
      </c>
      <c r="J209" s="156">
        <f t="shared" si="48"/>
        <v>36626.644332776319</v>
      </c>
      <c r="K209" s="69"/>
      <c r="L209" s="319">
        <v>1</v>
      </c>
      <c r="M209" s="329"/>
    </row>
    <row r="210" spans="2:13" s="37" customFormat="1" ht="15.75">
      <c r="B210" s="48"/>
      <c r="C210" s="162" t="s">
        <v>642</v>
      </c>
      <c r="D210" s="156">
        <f>(($E$17+$F$17)*(F801EVE!R101+F801EVE!Y101)*$L210)</f>
        <v>182.36639552603731</v>
      </c>
      <c r="E210" s="156">
        <f>(($E$17+$F$17)*(F801EVE!S101+F801EVE!Z101)*$L210)</f>
        <v>182.4425048517017</v>
      </c>
      <c r="F210" s="156">
        <f>(($E$17+$F$17)*(F801EVE!T101+F801EVE!AA101)*$L210)</f>
        <v>178.99665757613798</v>
      </c>
      <c r="G210" s="156">
        <f>(($E$17+$F$17)*(F801EVE!U101+F801EVE!AB101)*$L210)</f>
        <v>181.81711813967431</v>
      </c>
      <c r="H210" s="156">
        <f>(($E$17+$F$17)*(F801EVE!V101+F801EVE!AC101)*$L210)</f>
        <v>173.93902419131223</v>
      </c>
      <c r="I210" s="156">
        <f>(($E$17+$F$17)*(F801EVE!W101+F801EVE!AD101)*$L210)</f>
        <v>174.75407985022017</v>
      </c>
      <c r="J210" s="156">
        <f t="shared" si="48"/>
        <v>1074.3157801350837</v>
      </c>
      <c r="K210" s="69"/>
      <c r="L210" s="319">
        <v>0.75</v>
      </c>
      <c r="M210" s="329"/>
    </row>
    <row r="211" spans="2:13" s="37" customFormat="1" ht="15.75">
      <c r="B211" s="48"/>
      <c r="C211" s="162" t="s">
        <v>1177</v>
      </c>
      <c r="D211" s="156">
        <f>(($E$17+$F$17)*(F801EVE!R102+F801EVE!Y102)*$L211)</f>
        <v>0</v>
      </c>
      <c r="E211" s="156">
        <f>(($E$17+$F$17)*(F801EVE!S102+F801EVE!Z102)*$L211)</f>
        <v>0</v>
      </c>
      <c r="F211" s="156">
        <f>(($E$17+$F$17)*(F801EVE!T102+F801EVE!AA102)*$L211)</f>
        <v>0</v>
      </c>
      <c r="G211" s="156">
        <f>(($E$17+$F$17)*(F801EVE!U102+F801EVE!AB102)*$L211)</f>
        <v>0</v>
      </c>
      <c r="H211" s="156">
        <f>(($E$17+$F$17)*(F801EVE!V102+F801EVE!AC102)*$L211)</f>
        <v>0</v>
      </c>
      <c r="I211" s="156">
        <f>(($E$17+$F$17)*(F801EVE!W102+F801EVE!AD102)*$L211)</f>
        <v>0</v>
      </c>
      <c r="J211" s="156">
        <f t="shared" si="48"/>
        <v>0</v>
      </c>
      <c r="K211" s="69"/>
      <c r="L211" s="319">
        <v>1</v>
      </c>
      <c r="M211" s="329"/>
    </row>
    <row r="212" spans="2:13" s="37" customFormat="1" ht="15.75">
      <c r="B212" s="48"/>
      <c r="C212" s="160" t="s">
        <v>305</v>
      </c>
      <c r="D212" s="156">
        <f>(($E$17+$F$17)*(F801EVE!R103+F801EVE!Y103)*$L212)</f>
        <v>0</v>
      </c>
      <c r="E212" s="156">
        <f>(($E$17+$F$17)*(F801EVE!S103+F801EVE!Z103)*$L212)</f>
        <v>0</v>
      </c>
      <c r="F212" s="156">
        <f>(($E$17+$F$17)*(F801EVE!T103+F801EVE!AA103)*$L212)</f>
        <v>0</v>
      </c>
      <c r="G212" s="156">
        <f>(($E$17+$F$17)*(F801EVE!U103+F801EVE!AB103)*$L212)</f>
        <v>0</v>
      </c>
      <c r="H212" s="156">
        <f>(($E$17+$F$17)*(F801EVE!V103+F801EVE!AC103)*$L212)</f>
        <v>0</v>
      </c>
      <c r="I212" s="156">
        <f>(($E$17+$F$17)*(F801EVE!W103+F801EVE!AD103)*$L212)</f>
        <v>0</v>
      </c>
      <c r="J212" s="156">
        <f t="shared" si="48"/>
        <v>0</v>
      </c>
      <c r="K212" s="69"/>
      <c r="L212" s="319">
        <v>0.95</v>
      </c>
      <c r="M212" s="329"/>
    </row>
    <row r="213" spans="2:13" s="37" customFormat="1" ht="15.75">
      <c r="B213" s="48"/>
      <c r="C213" s="160" t="s">
        <v>307</v>
      </c>
      <c r="D213" s="156">
        <f>(($E$17+$F$17)*(F801EVE!R104+F801EVE!Y104)*$L213)</f>
        <v>0</v>
      </c>
      <c r="E213" s="156">
        <f>(($E$17+$F$17)*(F801EVE!S104+F801EVE!Z104)*$L213)</f>
        <v>0</v>
      </c>
      <c r="F213" s="156">
        <f>(($E$17+$F$17)*(F801EVE!T104+F801EVE!AA104)*$L213)</f>
        <v>0</v>
      </c>
      <c r="G213" s="156">
        <f>(($E$17+$F$17)*(F801EVE!U104+F801EVE!AB104)*$L213)</f>
        <v>0</v>
      </c>
      <c r="H213" s="156">
        <f>(($E$17+$F$17)*(F801EVE!V104+F801EVE!AC104)*$L213)</f>
        <v>0</v>
      </c>
      <c r="I213" s="156">
        <f>(($E$17+$F$17)*(F801EVE!W104+F801EVE!AD104)*$L213)</f>
        <v>0</v>
      </c>
      <c r="J213" s="156">
        <f t="shared" si="48"/>
        <v>0</v>
      </c>
      <c r="K213" s="69"/>
      <c r="L213" s="319">
        <v>0.5</v>
      </c>
      <c r="M213" s="329"/>
    </row>
    <row r="214" spans="2:13" s="37" customFormat="1" ht="15.75">
      <c r="B214" s="48"/>
      <c r="C214" s="160" t="s">
        <v>624</v>
      </c>
      <c r="D214" s="156">
        <f>(($E$17+$F$17)*(F801EVE!R105+F801EVE!Y105)*$L214)</f>
        <v>0</v>
      </c>
      <c r="E214" s="156">
        <f>(($E$17+$F$17)*(F801EVE!S105+F801EVE!Z105)*$L214)</f>
        <v>0</v>
      </c>
      <c r="F214" s="156">
        <f>(($E$17+$F$17)*(F801EVE!T105+F801EVE!AA105)*$L214)</f>
        <v>0</v>
      </c>
      <c r="G214" s="156">
        <f>(($E$17+$F$17)*(F801EVE!U105+F801EVE!AB105)*$L214)</f>
        <v>0</v>
      </c>
      <c r="H214" s="156">
        <f>(($E$17+$F$17)*(F801EVE!V105+F801EVE!AC105)*$L214)</f>
        <v>0</v>
      </c>
      <c r="I214" s="156">
        <f>(($E$17+$F$17)*(F801EVE!W105+F801EVE!AD105)*$L214)</f>
        <v>0</v>
      </c>
      <c r="J214" s="156">
        <f t="shared" si="48"/>
        <v>0</v>
      </c>
      <c r="K214" s="69"/>
      <c r="L214" s="319">
        <v>0</v>
      </c>
      <c r="M214" s="329"/>
    </row>
    <row r="215" spans="2:13" s="37" customFormat="1" ht="15.75">
      <c r="B215" s="48"/>
      <c r="C215" s="157"/>
      <c r="D215" s="156"/>
      <c r="E215" s="156"/>
      <c r="F215" s="156"/>
      <c r="G215" s="156"/>
      <c r="H215" s="156"/>
      <c r="I215" s="156"/>
      <c r="J215" s="156"/>
      <c r="K215" s="69"/>
      <c r="L215" s="319"/>
      <c r="M215" s="69"/>
    </row>
    <row r="216" spans="2:13" s="37" customFormat="1" ht="15.75">
      <c r="B216" s="48"/>
      <c r="C216" s="153" t="s">
        <v>112</v>
      </c>
      <c r="D216" s="154">
        <f t="shared" ref="D216:I216" si="51">D125+D129+D139</f>
        <v>18126861.402160555</v>
      </c>
      <c r="E216" s="154">
        <f t="shared" si="51"/>
        <v>18134426.519592147</v>
      </c>
      <c r="F216" s="154">
        <f t="shared" si="51"/>
        <v>17791916.070794918</v>
      </c>
      <c r="G216" s="154">
        <f t="shared" si="51"/>
        <v>18072264.309175178</v>
      </c>
      <c r="H216" s="154">
        <f t="shared" si="51"/>
        <v>17289197.249571152</v>
      </c>
      <c r="I216" s="154">
        <f t="shared" si="51"/>
        <v>17370212.180646878</v>
      </c>
      <c r="J216" s="154">
        <f>SUM(D216:I216)</f>
        <v>106784877.73194082</v>
      </c>
      <c r="K216" s="69"/>
      <c r="L216" s="319"/>
      <c r="M216" s="69"/>
    </row>
    <row r="217" spans="2:13">
      <c r="C217" s="48"/>
      <c r="D217" s="48"/>
      <c r="E217" s="48"/>
      <c r="F217" s="48"/>
      <c r="G217" s="48"/>
      <c r="H217" s="48"/>
      <c r="I217" s="48"/>
      <c r="J217" s="48"/>
    </row>
    <row r="218" spans="2:13" s="69" customFormat="1" ht="30">
      <c r="B218" s="48"/>
      <c r="C218" s="320" t="s">
        <v>1454</v>
      </c>
      <c r="D218" s="320"/>
      <c r="E218" s="320"/>
      <c r="F218" s="320"/>
      <c r="G218" s="320"/>
      <c r="H218" s="320"/>
      <c r="I218" s="320"/>
      <c r="J218" s="321"/>
      <c r="L218" s="319"/>
    </row>
    <row r="219" spans="2:13" s="37" customFormat="1" ht="15.75">
      <c r="B219" s="48"/>
      <c r="C219" s="150" t="s">
        <v>310</v>
      </c>
      <c r="D219" s="151">
        <f t="shared" ref="D219:I219" si="52">D$29</f>
        <v>46204</v>
      </c>
      <c r="E219" s="151">
        <f t="shared" si="52"/>
        <v>46235</v>
      </c>
      <c r="F219" s="151">
        <f t="shared" si="52"/>
        <v>46266</v>
      </c>
      <c r="G219" s="151">
        <f t="shared" si="52"/>
        <v>46296</v>
      </c>
      <c r="H219" s="151">
        <f t="shared" si="52"/>
        <v>46327</v>
      </c>
      <c r="I219" s="151">
        <f t="shared" si="52"/>
        <v>46357</v>
      </c>
      <c r="J219" s="152" t="s">
        <v>111</v>
      </c>
      <c r="K219" s="69"/>
      <c r="L219" s="319"/>
      <c r="M219" s="69"/>
    </row>
    <row r="220" spans="2:13" s="37" customFormat="1" ht="15.75">
      <c r="B220" s="48"/>
      <c r="C220" s="153" t="s">
        <v>446</v>
      </c>
      <c r="D220" s="154">
        <f t="shared" ref="D220:I220" si="53">SUM(D221:D222)</f>
        <v>35380.935489587602</v>
      </c>
      <c r="E220" s="154">
        <f t="shared" si="53"/>
        <v>35395.701472836437</v>
      </c>
      <c r="F220" s="154">
        <f t="shared" si="53"/>
        <v>34727.172055385265</v>
      </c>
      <c r="G220" s="154">
        <f t="shared" si="53"/>
        <v>35274.37009020718</v>
      </c>
      <c r="H220" s="154">
        <f t="shared" si="53"/>
        <v>33745.939740065667</v>
      </c>
      <c r="I220" s="154">
        <f t="shared" si="53"/>
        <v>33904.068827417868</v>
      </c>
      <c r="J220" s="154">
        <f>SUM(D220:I220)</f>
        <v>208428.1876755</v>
      </c>
      <c r="K220" s="69"/>
      <c r="L220" s="319"/>
      <c r="M220" s="69"/>
    </row>
    <row r="221" spans="2:13" s="37" customFormat="1" ht="15.75">
      <c r="B221" s="48" t="s">
        <v>279</v>
      </c>
      <c r="C221" s="155" t="s">
        <v>279</v>
      </c>
      <c r="D221" s="156">
        <f>$J$7*F801EVE!D6</f>
        <v>35380.010489587599</v>
      </c>
      <c r="E221" s="156">
        <f>$J$7*F801EVE!E6</f>
        <v>35394.776472836435</v>
      </c>
      <c r="F221" s="156">
        <f>$J$7*F801EVE!F6</f>
        <v>34726.247055385262</v>
      </c>
      <c r="G221" s="156">
        <f>$J$7*F801EVE!G6</f>
        <v>35273.445090207177</v>
      </c>
      <c r="H221" s="156">
        <f>$J$7*F801EVE!H6</f>
        <v>33745.014740065664</v>
      </c>
      <c r="I221" s="156">
        <f>$J$7*F801EVE!I6</f>
        <v>33903.143827417865</v>
      </c>
      <c r="J221" s="156">
        <f>SUM(D221:I221)</f>
        <v>208422.63767550001</v>
      </c>
      <c r="K221" s="69"/>
      <c r="L221" s="319"/>
      <c r="M221" s="69"/>
    </row>
    <row r="222" spans="2:13" s="37" customFormat="1" ht="15.75">
      <c r="B222" s="48" t="s">
        <v>278</v>
      </c>
      <c r="C222" s="155" t="s">
        <v>278</v>
      </c>
      <c r="D222" s="156">
        <f>$J$8*F801EVE!D7</f>
        <v>0.92500000000000004</v>
      </c>
      <c r="E222" s="156">
        <f>$J$8*F801EVE!E7</f>
        <v>0.92500000000000004</v>
      </c>
      <c r="F222" s="156">
        <f>$J$8*F801EVE!F7</f>
        <v>0.92500000000000004</v>
      </c>
      <c r="G222" s="156">
        <f>$J$8*F801EVE!G7</f>
        <v>0.92500000000000004</v>
      </c>
      <c r="H222" s="156">
        <f>$J$8*F801EVE!H7</f>
        <v>0.92500000000000004</v>
      </c>
      <c r="I222" s="156">
        <f>$J$8*F801EVE!I7</f>
        <v>0.92500000000000004</v>
      </c>
      <c r="J222" s="156">
        <f>SUM(D222:I222)</f>
        <v>5.55</v>
      </c>
      <c r="K222" s="69"/>
      <c r="L222" s="319"/>
    </row>
    <row r="223" spans="2:13" s="37" customFormat="1" ht="15.75">
      <c r="B223" s="48"/>
      <c r="C223" s="157"/>
      <c r="D223" s="156"/>
      <c r="E223" s="156"/>
      <c r="F223" s="156"/>
      <c r="G223" s="156"/>
      <c r="H223" s="156"/>
      <c r="I223" s="156"/>
      <c r="J223" s="156"/>
      <c r="K223" s="69"/>
      <c r="L223" s="319"/>
    </row>
    <row r="224" spans="2:13" s="37" customFormat="1" ht="15.75">
      <c r="B224" s="48"/>
      <c r="C224" s="153" t="s">
        <v>630</v>
      </c>
      <c r="D224" s="154">
        <f>D225+D228</f>
        <v>56639.445232236692</v>
      </c>
      <c r="E224" s="154">
        <f t="shared" ref="E224:I224" si="54">E225+E228</f>
        <v>56663.083304208201</v>
      </c>
      <c r="F224" s="154">
        <f t="shared" si="54"/>
        <v>55592.8703547228</v>
      </c>
      <c r="G224" s="154">
        <f t="shared" si="54"/>
        <v>56468.850390174506</v>
      </c>
      <c r="H224" s="154">
        <f t="shared" si="54"/>
        <v>54022.068079016972</v>
      </c>
      <c r="I224" s="154">
        <f t="shared" si="54"/>
        <v>54275.208468290861</v>
      </c>
      <c r="J224" s="154">
        <f t="shared" ref="J224:J232" si="55">SUM(D224:I224)</f>
        <v>333661.52582865005</v>
      </c>
      <c r="K224" s="69"/>
      <c r="L224" s="319"/>
    </row>
    <row r="225" spans="2:12" s="37" customFormat="1" ht="15.75">
      <c r="B225" s="48" t="s">
        <v>277</v>
      </c>
      <c r="C225" s="155" t="s">
        <v>277</v>
      </c>
      <c r="D225" s="154">
        <f>SUM(D226:D227)</f>
        <v>8102.5993511577117</v>
      </c>
      <c r="E225" s="154">
        <f t="shared" ref="E225:I225" si="56">SUM(E226:E227)</f>
        <v>8105.9809137036309</v>
      </c>
      <c r="F225" s="154">
        <f t="shared" si="56"/>
        <v>7952.8807780199986</v>
      </c>
      <c r="G225" s="154">
        <f t="shared" si="56"/>
        <v>8078.1947749663959</v>
      </c>
      <c r="H225" s="154">
        <f t="shared" si="56"/>
        <v>7728.1684516943315</v>
      </c>
      <c r="I225" s="154">
        <f t="shared" si="56"/>
        <v>7764.3816445579359</v>
      </c>
      <c r="J225" s="154">
        <f t="shared" si="55"/>
        <v>47732.205914099999</v>
      </c>
      <c r="K225" s="69"/>
      <c r="L225" s="319"/>
    </row>
    <row r="226" spans="2:12" s="37" customFormat="1" ht="15.75">
      <c r="B226" s="48"/>
      <c r="C226" s="160" t="s">
        <v>304</v>
      </c>
      <c r="D226" s="156">
        <f>$J$9*F801EVE!D11</f>
        <v>7064.4797880560882</v>
      </c>
      <c r="E226" s="156">
        <f>$J$9*F801EVE!E11</f>
        <v>7067.4280987428656</v>
      </c>
      <c r="F226" s="156">
        <f>$J$9*F801EVE!F11</f>
        <v>6933.9434270700485</v>
      </c>
      <c r="G226" s="156">
        <f>$J$9*F801EVE!G11</f>
        <v>7043.2019699426955</v>
      </c>
      <c r="H226" s="156">
        <f>$J$9*F801EVE!H11</f>
        <v>6738.0216470763335</v>
      </c>
      <c r="I226" s="156">
        <f>$J$9*F801EVE!I11</f>
        <v>6769.5951407119728</v>
      </c>
      <c r="J226" s="156">
        <f t="shared" si="55"/>
        <v>41616.670071600005</v>
      </c>
      <c r="K226" s="69"/>
      <c r="L226" s="319"/>
    </row>
    <row r="227" spans="2:12" s="37" customFormat="1" ht="15.75">
      <c r="B227" s="48"/>
      <c r="C227" s="160" t="s">
        <v>305</v>
      </c>
      <c r="D227" s="156">
        <f>($J$9*F801EVE!D12)*$L227</f>
        <v>1038.1195631016235</v>
      </c>
      <c r="E227" s="156">
        <f>($J$9*F801EVE!E12)*$L227</f>
        <v>1038.5528149607653</v>
      </c>
      <c r="F227" s="156">
        <f>($J$9*F801EVE!F12)*$L227</f>
        <v>1018.93735094995</v>
      </c>
      <c r="G227" s="156">
        <f>($J$9*F801EVE!G12)*$L227</f>
        <v>1034.9928050237002</v>
      </c>
      <c r="H227" s="156">
        <f>($J$9*F801EVE!H12)*$L227</f>
        <v>990.14680461799799</v>
      </c>
      <c r="I227" s="156">
        <f>($J$9*F801EVE!I12)*$L227</f>
        <v>994.78650384596324</v>
      </c>
      <c r="J227" s="156">
        <f t="shared" si="55"/>
        <v>6115.5358425000004</v>
      </c>
      <c r="K227" s="69"/>
      <c r="L227" s="319">
        <v>0.95</v>
      </c>
    </row>
    <row r="228" spans="2:12" s="37" customFormat="1" ht="15.75">
      <c r="B228" s="48" t="s">
        <v>276</v>
      </c>
      <c r="C228" s="158" t="s">
        <v>276</v>
      </c>
      <c r="D228" s="159">
        <f t="shared" ref="D228:I228" si="57">SUM(D229:D232)</f>
        <v>48536.845881078982</v>
      </c>
      <c r="E228" s="159">
        <f t="shared" si="57"/>
        <v>48557.102390504573</v>
      </c>
      <c r="F228" s="159">
        <f t="shared" si="57"/>
        <v>47639.989576702799</v>
      </c>
      <c r="G228" s="159">
        <f t="shared" si="57"/>
        <v>48390.65561520811</v>
      </c>
      <c r="H228" s="159">
        <f t="shared" si="57"/>
        <v>46293.899627322637</v>
      </c>
      <c r="I228" s="159">
        <f t="shared" si="57"/>
        <v>46510.826823732925</v>
      </c>
      <c r="J228" s="159">
        <f t="shared" si="55"/>
        <v>285929.31991455005</v>
      </c>
      <c r="K228" s="69"/>
      <c r="L228" s="319"/>
    </row>
    <row r="229" spans="2:12" s="37" customFormat="1" ht="15.75">
      <c r="B229" s="48"/>
      <c r="C229" s="160" t="s">
        <v>304</v>
      </c>
      <c r="D229" s="156">
        <f>$J$10*F801EVE!D15</f>
        <v>48347.627431920046</v>
      </c>
      <c r="E229" s="156">
        <f>$J$10*F801EVE!E15</f>
        <v>48367.80497236384</v>
      </c>
      <c r="F229" s="156">
        <f>$J$10*F801EVE!F15</f>
        <v>47454.267476677225</v>
      </c>
      <c r="G229" s="156">
        <f>$J$10*F801EVE!G15</f>
        <v>48202.007081437951</v>
      </c>
      <c r="H229" s="156">
        <f>$J$10*F801EVE!H15</f>
        <v>46113.425191170281</v>
      </c>
      <c r="I229" s="156">
        <f>$J$10*F801EVE!I15</f>
        <v>46329.506707830682</v>
      </c>
      <c r="J229" s="156">
        <f t="shared" si="55"/>
        <v>284814.63886140002</v>
      </c>
      <c r="K229" s="69"/>
      <c r="L229" s="319">
        <v>1</v>
      </c>
    </row>
    <row r="230" spans="2:12" s="37" customFormat="1" ht="15.75">
      <c r="B230" s="48"/>
      <c r="C230" s="161" t="s">
        <v>306</v>
      </c>
      <c r="D230" s="156">
        <f>$J$10*F801EVE!D16</f>
        <v>0</v>
      </c>
      <c r="E230" s="156">
        <f>$J$10*F801EVE!E16</f>
        <v>0</v>
      </c>
      <c r="F230" s="156">
        <f>$J$10*F801EVE!F16</f>
        <v>0</v>
      </c>
      <c r="G230" s="156">
        <f>$J$10*F801EVE!G16</f>
        <v>0</v>
      </c>
      <c r="H230" s="156">
        <f>$J$10*F801EVE!H16</f>
        <v>0</v>
      </c>
      <c r="I230" s="156">
        <f>$J$10*F801EVE!I16</f>
        <v>0</v>
      </c>
      <c r="J230" s="156">
        <f t="shared" si="55"/>
        <v>0</v>
      </c>
      <c r="K230" s="69"/>
      <c r="L230" s="319">
        <v>1</v>
      </c>
    </row>
    <row r="231" spans="2:12" s="37" customFormat="1" ht="15.75">
      <c r="B231" s="48"/>
      <c r="C231" s="160" t="s">
        <v>305</v>
      </c>
      <c r="D231" s="156">
        <f>$J$10*F801EVE!D17*0.95</f>
        <v>189.21844915893573</v>
      </c>
      <c r="E231" s="156">
        <f>$J$10*F801EVE!E17*0.95</f>
        <v>189.29741814073313</v>
      </c>
      <c r="F231" s="156">
        <f>$J$10*F801EVE!F17*0.95</f>
        <v>185.7221000255729</v>
      </c>
      <c r="G231" s="156">
        <f>$J$10*F801EVE!G17*0.95</f>
        <v>188.64853377016092</v>
      </c>
      <c r="H231" s="156">
        <f>$J$10*F801EVE!H17*0.95</f>
        <v>180.47443615235375</v>
      </c>
      <c r="I231" s="156">
        <f>$J$10*F801EVE!I17*0.95</f>
        <v>181.3201159022436</v>
      </c>
      <c r="J231" s="156">
        <f t="shared" si="55"/>
        <v>1114.68105315</v>
      </c>
      <c r="K231" s="69"/>
      <c r="L231" s="319">
        <v>0.95</v>
      </c>
    </row>
    <row r="232" spans="2:12" s="37" customFormat="1" ht="15.75">
      <c r="B232" s="48"/>
      <c r="C232" s="160" t="s">
        <v>307</v>
      </c>
      <c r="D232" s="156">
        <f>$J$10*F801EVE!D18*0.5</f>
        <v>0</v>
      </c>
      <c r="E232" s="156">
        <f>$J$10*F801EVE!E18*0.5</f>
        <v>0</v>
      </c>
      <c r="F232" s="156">
        <f>$J$10*F801EVE!F18*0.5</f>
        <v>0</v>
      </c>
      <c r="G232" s="156">
        <f>$J$10*F801EVE!G18*0.5</f>
        <v>0</v>
      </c>
      <c r="H232" s="156">
        <f>$J$10*F801EVE!H18*0.5</f>
        <v>0</v>
      </c>
      <c r="I232" s="156">
        <f>$J$10*F801EVE!I18*0.5</f>
        <v>0</v>
      </c>
      <c r="J232" s="156">
        <f t="shared" si="55"/>
        <v>0</v>
      </c>
      <c r="K232" s="69"/>
      <c r="L232" s="319">
        <v>0.5</v>
      </c>
    </row>
    <row r="233" spans="2:12" s="37" customFormat="1" ht="15.75">
      <c r="B233" s="48"/>
      <c r="C233" s="157"/>
      <c r="D233" s="157"/>
      <c r="E233" s="157"/>
      <c r="F233" s="157"/>
      <c r="G233" s="157"/>
      <c r="H233" s="157"/>
      <c r="I233" s="157"/>
      <c r="J233" s="157"/>
      <c r="K233" s="69"/>
      <c r="L233" s="319"/>
    </row>
    <row r="234" spans="2:12" s="37" customFormat="1" ht="15.75">
      <c r="B234" s="48"/>
      <c r="C234" s="153" t="s">
        <v>443</v>
      </c>
      <c r="D234" s="154">
        <f t="shared" ref="D234:I234" si="58">D235+D239+D246+D251+D256+D269+D275+D282+D290+D296+D303+D262</f>
        <v>417097.86488651379</v>
      </c>
      <c r="E234" s="154">
        <f t="shared" si="58"/>
        <v>417271.93773113517</v>
      </c>
      <c r="F234" s="154">
        <f t="shared" si="58"/>
        <v>409390.79528042837</v>
      </c>
      <c r="G234" s="154">
        <f t="shared" si="58"/>
        <v>415841.58943937562</v>
      </c>
      <c r="H234" s="154">
        <f t="shared" si="58"/>
        <v>397823.26892720623</v>
      </c>
      <c r="I234" s="154">
        <f t="shared" si="58"/>
        <v>399687.41705665487</v>
      </c>
      <c r="J234" s="154">
        <f>SUM(D234:I234)</f>
        <v>2457112.8733213139</v>
      </c>
      <c r="K234" s="69"/>
      <c r="L234" s="319"/>
    </row>
    <row r="235" spans="2:12" s="37" customFormat="1" ht="15.75">
      <c r="B235" s="48" t="s">
        <v>275</v>
      </c>
      <c r="C235" s="155" t="s">
        <v>275</v>
      </c>
      <c r="D235" s="156">
        <f>$J$11*F801EVE!D21</f>
        <v>5429.539386141696</v>
      </c>
      <c r="E235" s="156">
        <f>$J$11*F801EVE!E21</f>
        <v>5431.8053660123605</v>
      </c>
      <c r="F235" s="156">
        <f>$J$11*F801EVE!F21</f>
        <v>5329.213200129303</v>
      </c>
      <c r="G235" s="156">
        <f>$J$11*F801EVE!G21</f>
        <v>5413.1859171016768</v>
      </c>
      <c r="H235" s="156">
        <f>$J$11*F801EVE!H21</f>
        <v>5178.6338152356875</v>
      </c>
      <c r="I235" s="156">
        <f>$J$11*F801EVE!I21</f>
        <v>5202.90022017928</v>
      </c>
      <c r="J235" s="156">
        <f>SUM(D235:I235)</f>
        <v>31985.277904800001</v>
      </c>
      <c r="K235" s="69"/>
      <c r="L235" s="319"/>
    </row>
    <row r="236" spans="2:12" s="37" customFormat="1" ht="15.75">
      <c r="B236" s="48"/>
      <c r="C236" s="160" t="s">
        <v>304</v>
      </c>
      <c r="D236" s="156"/>
      <c r="E236" s="156"/>
      <c r="F236" s="156"/>
      <c r="G236" s="156"/>
      <c r="H236" s="156"/>
      <c r="I236" s="156"/>
      <c r="J236" s="156"/>
      <c r="K236" s="69"/>
      <c r="L236" s="319"/>
    </row>
    <row r="237" spans="2:12" s="37" customFormat="1" ht="15.75">
      <c r="B237" s="48"/>
      <c r="C237" s="161" t="s">
        <v>306</v>
      </c>
      <c r="D237" s="156"/>
      <c r="E237" s="156"/>
      <c r="F237" s="156"/>
      <c r="G237" s="156"/>
      <c r="H237" s="156"/>
      <c r="I237" s="156"/>
      <c r="J237" s="156"/>
      <c r="K237" s="69"/>
      <c r="L237" s="319"/>
    </row>
    <row r="238" spans="2:12" s="37" customFormat="1" ht="15.75">
      <c r="B238" s="48"/>
      <c r="C238" s="160" t="s">
        <v>305</v>
      </c>
      <c r="D238" s="156"/>
      <c r="E238" s="156"/>
      <c r="F238" s="156"/>
      <c r="G238" s="156"/>
      <c r="H238" s="156"/>
      <c r="I238" s="156"/>
      <c r="J238" s="156"/>
      <c r="K238" s="69"/>
      <c r="L238" s="319"/>
    </row>
    <row r="239" spans="2:12" s="37" customFormat="1" ht="15.75">
      <c r="B239" s="48" t="s">
        <v>274</v>
      </c>
      <c r="C239" s="158" t="s">
        <v>627</v>
      </c>
      <c r="D239" s="159">
        <f t="shared" ref="D239:I239" si="59">SUM(D240:D245)</f>
        <v>65466.671934583115</v>
      </c>
      <c r="E239" s="159">
        <f t="shared" si="59"/>
        <v>65493.993987201742</v>
      </c>
      <c r="F239" s="159">
        <f t="shared" si="59"/>
        <v>64256.988932211767</v>
      </c>
      <c r="G239" s="159">
        <f t="shared" si="59"/>
        <v>65269.489979265156</v>
      </c>
      <c r="H239" s="159">
        <f t="shared" si="59"/>
        <v>62441.377977053613</v>
      </c>
      <c r="I239" s="159">
        <f t="shared" si="59"/>
        <v>62733.970158174663</v>
      </c>
      <c r="J239" s="159">
        <f t="shared" ref="J239:J260" si="60">SUM(D239:I239)</f>
        <v>385662.49296849011</v>
      </c>
      <c r="K239" s="69"/>
      <c r="L239" s="319"/>
    </row>
    <row r="240" spans="2:12" s="37" customFormat="1" ht="15.75">
      <c r="B240" s="48"/>
      <c r="C240" s="160" t="s">
        <v>304</v>
      </c>
      <c r="D240" s="156">
        <f>$J$12*F801EVE!D28</f>
        <v>65348.891306541933</v>
      </c>
      <c r="E240" s="156">
        <f>$J$12*F801EVE!E28</f>
        <v>65376.164204248271</v>
      </c>
      <c r="F240" s="156">
        <f>$J$12*F801EVE!F28</f>
        <v>64141.384636333802</v>
      </c>
      <c r="G240" s="156">
        <f>$J$12*F801EVE!G28</f>
        <v>65152.064099889962</v>
      </c>
      <c r="H240" s="156">
        <f>$J$12*F801EVE!H28</f>
        <v>62329.040134047886</v>
      </c>
      <c r="I240" s="156">
        <f>$J$12*F801EVE!I28</f>
        <v>62621.105914638203</v>
      </c>
      <c r="J240" s="156">
        <f t="shared" si="60"/>
        <v>384968.6502957</v>
      </c>
      <c r="K240" s="69"/>
      <c r="L240" s="319">
        <v>1</v>
      </c>
    </row>
    <row r="241" spans="2:12" s="37" customFormat="1" ht="15.75">
      <c r="B241" s="48"/>
      <c r="C241" s="162" t="s">
        <v>628</v>
      </c>
      <c r="D241" s="156">
        <f>$J$12*F801EVE!D29*0.75</f>
        <v>5.6546934929998365</v>
      </c>
      <c r="E241" s="156">
        <f>$J$12*F801EVE!E29*0.75</f>
        <v>5.6570534393449368</v>
      </c>
      <c r="F241" s="156">
        <f>$J$12*F801EVE!F29*0.75</f>
        <v>5.5502069443489912</v>
      </c>
      <c r="G241" s="156">
        <f>$J$12*F801EVE!G29*0.75</f>
        <v>5.6376618723793825</v>
      </c>
      <c r="H241" s="156">
        <f>$J$12*F801EVE!H29*0.75</f>
        <v>5.3933832789546194</v>
      </c>
      <c r="I241" s="156">
        <f>$J$12*F801EVE!I29*0.75</f>
        <v>5.4186559719722389</v>
      </c>
      <c r="J241" s="156">
        <f t="shared" si="60"/>
        <v>33.311655000000002</v>
      </c>
      <c r="K241" s="69"/>
      <c r="L241" s="319">
        <v>0.75</v>
      </c>
    </row>
    <row r="242" spans="2:12" s="37" customFormat="1" ht="15.75">
      <c r="B242" s="48"/>
      <c r="C242" s="161" t="s">
        <v>629</v>
      </c>
      <c r="D242" s="156">
        <f>$J$12*F801EVE!D30</f>
        <v>30.042371583322204</v>
      </c>
      <c r="E242" s="156">
        <f>$J$12*F801EVE!E30</f>
        <v>30.05490955467361</v>
      </c>
      <c r="F242" s="156">
        <f>$J$12*F801EVE!F30</f>
        <v>29.487253304336175</v>
      </c>
      <c r="G242" s="156">
        <f>$J$12*F801EVE!G30</f>
        <v>29.951885639923283</v>
      </c>
      <c r="H242" s="156">
        <f>$J$12*F801EVE!H30</f>
        <v>28.654077317933265</v>
      </c>
      <c r="I242" s="156">
        <f>$J$12*F801EVE!I30</f>
        <v>28.788346599811486</v>
      </c>
      <c r="J242" s="156">
        <f t="shared" si="60"/>
        <v>176.97884400000001</v>
      </c>
      <c r="K242" s="69"/>
      <c r="L242" s="319">
        <v>1</v>
      </c>
    </row>
    <row r="243" spans="2:12" s="37" customFormat="1" ht="15.75">
      <c r="B243" s="48"/>
      <c r="C243" s="160" t="s">
        <v>305</v>
      </c>
      <c r="D243" s="156">
        <f>$J$12*F801EVE!D31*0.95</f>
        <v>75.214157536328216</v>
      </c>
      <c r="E243" s="156">
        <f>$J$12*F801EVE!E31*0.95</f>
        <v>75.245547633138486</v>
      </c>
      <c r="F243" s="156">
        <f>$J$12*F801EVE!F31*0.95</f>
        <v>73.824362007997522</v>
      </c>
      <c r="G243" s="156">
        <f>$J$12*F801EVE!G31*0.95</f>
        <v>74.987616699405493</v>
      </c>
      <c r="H243" s="156">
        <f>$J$12*F801EVE!H31*0.95</f>
        <v>71.738420499585345</v>
      </c>
      <c r="I243" s="156">
        <f>$J$12*F801EVE!I31*0.95</f>
        <v>72.074577413544972</v>
      </c>
      <c r="J243" s="156">
        <f t="shared" si="60"/>
        <v>443.08468178999999</v>
      </c>
      <c r="K243" s="69"/>
      <c r="L243" s="319">
        <v>0.95</v>
      </c>
    </row>
    <row r="244" spans="2:12" s="37" customFormat="1" ht="15.75">
      <c r="B244" s="48"/>
      <c r="C244" s="160" t="s">
        <v>307</v>
      </c>
      <c r="D244" s="156">
        <f>$J$12*F801EVE!D32*0.5</f>
        <v>6.869405428533133</v>
      </c>
      <c r="E244" s="156">
        <f>$J$12*F801EVE!E32*0.5</f>
        <v>6.8722723263153291</v>
      </c>
      <c r="F244" s="156">
        <f>$J$12*F801EVE!F32*0.5</f>
        <v>6.7424736212832181</v>
      </c>
      <c r="G244" s="156">
        <f>$J$12*F801EVE!G32*0.5</f>
        <v>6.8487151634831012</v>
      </c>
      <c r="H244" s="156">
        <f>$J$12*F801EVE!H32*0.5</f>
        <v>6.5519619092485755</v>
      </c>
      <c r="I244" s="156">
        <f>$J$12*F801EVE!I32*0.5</f>
        <v>6.5826635511366449</v>
      </c>
      <c r="J244" s="156">
        <f t="shared" si="60"/>
        <v>40.467492000000007</v>
      </c>
      <c r="K244" s="69"/>
      <c r="L244" s="319">
        <v>0.5</v>
      </c>
    </row>
    <row r="245" spans="2:12" s="37" customFormat="1" ht="15.75">
      <c r="B245" s="48"/>
      <c r="C245" s="160" t="s">
        <v>624</v>
      </c>
      <c r="D245" s="156">
        <f>$J$12*F801EVE!D33*0</f>
        <v>0</v>
      </c>
      <c r="E245" s="156">
        <f>$J$12*F801EVE!E33*0</f>
        <v>0</v>
      </c>
      <c r="F245" s="156">
        <f>$J$12*F801EVE!F33*0</f>
        <v>0</v>
      </c>
      <c r="G245" s="156">
        <f>$J$12*F801EVE!G33*0</f>
        <v>0</v>
      </c>
      <c r="H245" s="156">
        <f>$J$12*F801EVE!H33*0</f>
        <v>0</v>
      </c>
      <c r="I245" s="156">
        <f>$J$12*F801EVE!I33*0</f>
        <v>0</v>
      </c>
      <c r="J245" s="156">
        <f t="shared" si="60"/>
        <v>0</v>
      </c>
      <c r="K245" s="69"/>
      <c r="L245" s="319">
        <v>0</v>
      </c>
    </row>
    <row r="246" spans="2:12" s="37" customFormat="1" ht="15.75">
      <c r="B246" s="48" t="s">
        <v>274</v>
      </c>
      <c r="C246" s="158" t="s">
        <v>631</v>
      </c>
      <c r="D246" s="159">
        <f t="shared" ref="D246:I246" si="61">SUM(D247:D250)</f>
        <v>29884.890463873078</v>
      </c>
      <c r="E246" s="159">
        <f t="shared" si="61"/>
        <v>29897.362711592828</v>
      </c>
      <c r="F246" s="159">
        <f t="shared" si="61"/>
        <v>29332.682096568256</v>
      </c>
      <c r="G246" s="159">
        <f t="shared" si="61"/>
        <v>29794.878844800427</v>
      </c>
      <c r="H246" s="159">
        <f t="shared" si="61"/>
        <v>28503.873591163738</v>
      </c>
      <c r="I246" s="159">
        <f t="shared" si="61"/>
        <v>28637.439037901673</v>
      </c>
      <c r="J246" s="159">
        <f t="shared" si="60"/>
        <v>176051.12674590002</v>
      </c>
      <c r="K246" s="69"/>
      <c r="L246" s="319"/>
    </row>
    <row r="247" spans="2:12" s="37" customFormat="1" ht="15.75">
      <c r="B247" s="48"/>
      <c r="C247" s="160" t="s">
        <v>304</v>
      </c>
      <c r="D247" s="156">
        <f>$J$12*F801EVE!D35</f>
        <v>29863.8801360502</v>
      </c>
      <c r="E247" s="156">
        <f>$J$12*F801EVE!E35</f>
        <v>29876.343615258196</v>
      </c>
      <c r="F247" s="156">
        <f>$J$12*F801EVE!F35</f>
        <v>29312.059994321698</v>
      </c>
      <c r="G247" s="156">
        <f>$J$12*F801EVE!G35</f>
        <v>29773.931798910166</v>
      </c>
      <c r="H247" s="156">
        <f>$J$12*F801EVE!H35</f>
        <v>28483.834175958378</v>
      </c>
      <c r="I247" s="156">
        <f>$J$12*F801EVE!I35</f>
        <v>28617.305720601369</v>
      </c>
      <c r="J247" s="156">
        <f t="shared" si="60"/>
        <v>175927.35544110002</v>
      </c>
      <c r="K247" s="69"/>
      <c r="L247" s="319">
        <v>1</v>
      </c>
    </row>
    <row r="248" spans="2:12" s="37" customFormat="1" ht="15.75">
      <c r="B248" s="48"/>
      <c r="C248" s="161" t="s">
        <v>306</v>
      </c>
      <c r="D248" s="156">
        <f>$J$12*F801EVE!D36</f>
        <v>0</v>
      </c>
      <c r="E248" s="156">
        <f>$J$12*F801EVE!E36</f>
        <v>0</v>
      </c>
      <c r="F248" s="156">
        <f>$J$12*F801EVE!F36</f>
        <v>0</v>
      </c>
      <c r="G248" s="156">
        <f>$J$12*F801EVE!G36</f>
        <v>0</v>
      </c>
      <c r="H248" s="156">
        <f>$J$12*F801EVE!H36</f>
        <v>0</v>
      </c>
      <c r="I248" s="156">
        <f>$J$12*F801EVE!I36</f>
        <v>0</v>
      </c>
      <c r="J248" s="156">
        <f t="shared" si="60"/>
        <v>0</v>
      </c>
      <c r="K248" s="69"/>
      <c r="L248" s="319">
        <v>1</v>
      </c>
    </row>
    <row r="249" spans="2:12" s="37" customFormat="1" ht="15.75">
      <c r="B249" s="48"/>
      <c r="C249" s="160" t="s">
        <v>305</v>
      </c>
      <c r="D249" s="156">
        <f>$J$12*F801EVE!D37*0.95</f>
        <v>21.01032782287939</v>
      </c>
      <c r="E249" s="156">
        <f>$J$12*F801EVE!E37*0.95</f>
        <v>21.019096334632739</v>
      </c>
      <c r="F249" s="156">
        <f>$J$12*F801EVE!F37*0.95</f>
        <v>20.622102246558917</v>
      </c>
      <c r="G249" s="156">
        <f>$J$12*F801EVE!G37*0.95</f>
        <v>20.947045890262949</v>
      </c>
      <c r="H249" s="156">
        <f>$J$12*F801EVE!H37*0.95</f>
        <v>20.039415205360278</v>
      </c>
      <c r="I249" s="156">
        <f>$J$12*F801EVE!I37*0.95</f>
        <v>20.133317300305741</v>
      </c>
      <c r="J249" s="156">
        <f t="shared" si="60"/>
        <v>123.77130480000002</v>
      </c>
      <c r="K249" s="69"/>
      <c r="L249" s="319">
        <v>0.95</v>
      </c>
    </row>
    <row r="250" spans="2:12" s="37" customFormat="1" ht="15.75">
      <c r="B250" s="48"/>
      <c r="C250" s="160" t="s">
        <v>307</v>
      </c>
      <c r="D250" s="156">
        <f>$J$12*F801EVE!D38*0.5</f>
        <v>0</v>
      </c>
      <c r="E250" s="156">
        <f>$J$12*F801EVE!E38*0.5</f>
        <v>0</v>
      </c>
      <c r="F250" s="156">
        <f>$J$12*F801EVE!F38*0.5</f>
        <v>0</v>
      </c>
      <c r="G250" s="156">
        <f>$J$12*F801EVE!G38*0.5</f>
        <v>0</v>
      </c>
      <c r="H250" s="156">
        <f>$J$12*F801EVE!H38*0.5</f>
        <v>0</v>
      </c>
      <c r="I250" s="156">
        <f>$J$12*F801EVE!I38*0.5</f>
        <v>0</v>
      </c>
      <c r="J250" s="156">
        <f t="shared" si="60"/>
        <v>0</v>
      </c>
      <c r="K250" s="69"/>
      <c r="L250" s="319">
        <v>0.5</v>
      </c>
    </row>
    <row r="251" spans="2:12" s="37" customFormat="1" ht="15.75">
      <c r="B251" s="48" t="s">
        <v>274</v>
      </c>
      <c r="C251" s="158" t="s">
        <v>632</v>
      </c>
      <c r="D251" s="159">
        <f t="shared" ref="D251:I251" si="62">SUM(D252:D255)</f>
        <v>8407.8052300007967</v>
      </c>
      <c r="E251" s="159">
        <f t="shared" si="62"/>
        <v>8411.3141680621484</v>
      </c>
      <c r="F251" s="159">
        <f t="shared" si="62"/>
        <v>8252.4471100074061</v>
      </c>
      <c r="G251" s="159">
        <f t="shared" si="62"/>
        <v>8382.4813907678999</v>
      </c>
      <c r="H251" s="159">
        <f t="shared" si="62"/>
        <v>8019.2703983566407</v>
      </c>
      <c r="I251" s="159">
        <f t="shared" si="62"/>
        <v>8056.8476571051115</v>
      </c>
      <c r="J251" s="159">
        <f t="shared" si="60"/>
        <v>49530.165954300006</v>
      </c>
      <c r="K251" s="69"/>
      <c r="L251" s="319"/>
    </row>
    <row r="252" spans="2:12" s="37" customFormat="1" ht="15.75">
      <c r="B252" s="48"/>
      <c r="C252" s="160" t="s">
        <v>304</v>
      </c>
      <c r="D252" s="156">
        <f>$J$12*F801EVE!D40</f>
        <v>8407.8052300007967</v>
      </c>
      <c r="E252" s="156">
        <f>$J$12*F801EVE!E40</f>
        <v>8411.3141680621484</v>
      </c>
      <c r="F252" s="156">
        <f>$J$12*F801EVE!F40</f>
        <v>8252.4471100074061</v>
      </c>
      <c r="G252" s="156">
        <f>$J$12*F801EVE!G40</f>
        <v>8382.4813907678999</v>
      </c>
      <c r="H252" s="156">
        <f>$J$12*F801EVE!H40</f>
        <v>8019.2703983566407</v>
      </c>
      <c r="I252" s="156">
        <f>$J$12*F801EVE!I40</f>
        <v>8056.8476571051115</v>
      </c>
      <c r="J252" s="156">
        <f t="shared" si="60"/>
        <v>49530.165954300006</v>
      </c>
      <c r="K252" s="69"/>
      <c r="L252" s="319">
        <v>1</v>
      </c>
    </row>
    <row r="253" spans="2:12" s="37" customFormat="1" ht="15.75">
      <c r="B253" s="48"/>
      <c r="C253" s="161" t="s">
        <v>306</v>
      </c>
      <c r="D253" s="156">
        <f>$J$12*F801EVE!D41</f>
        <v>0</v>
      </c>
      <c r="E253" s="156">
        <f>$J$12*F801EVE!E41</f>
        <v>0</v>
      </c>
      <c r="F253" s="156">
        <f>$J$12*F801EVE!F41</f>
        <v>0</v>
      </c>
      <c r="G253" s="156">
        <f>$J$12*F801EVE!G41</f>
        <v>0</v>
      </c>
      <c r="H253" s="156">
        <f>$J$12*F801EVE!H41</f>
        <v>0</v>
      </c>
      <c r="I253" s="156">
        <f>$J$12*F801EVE!I41</f>
        <v>0</v>
      </c>
      <c r="J253" s="156">
        <f t="shared" si="60"/>
        <v>0</v>
      </c>
      <c r="K253" s="69"/>
      <c r="L253" s="319">
        <v>1</v>
      </c>
    </row>
    <row r="254" spans="2:12" s="37" customFormat="1" ht="15.75">
      <c r="B254" s="48"/>
      <c r="C254" s="160" t="s">
        <v>305</v>
      </c>
      <c r="D254" s="156">
        <f>$J$12*F801EVE!D42*0.95</f>
        <v>0</v>
      </c>
      <c r="E254" s="156">
        <f>$J$12*F801EVE!E42*0.95</f>
        <v>0</v>
      </c>
      <c r="F254" s="156">
        <f>$J$12*F801EVE!F42*0.95</f>
        <v>0</v>
      </c>
      <c r="G254" s="156">
        <f>$J$12*F801EVE!G42*0.95</f>
        <v>0</v>
      </c>
      <c r="H254" s="156">
        <f>$J$12*F801EVE!H42*0.95</f>
        <v>0</v>
      </c>
      <c r="I254" s="156">
        <f>$J$12*F801EVE!I42*0.95</f>
        <v>0</v>
      </c>
      <c r="J254" s="156">
        <f t="shared" si="60"/>
        <v>0</v>
      </c>
      <c r="K254" s="69"/>
      <c r="L254" s="319">
        <v>0.95</v>
      </c>
    </row>
    <row r="255" spans="2:12" s="37" customFormat="1" ht="15.75">
      <c r="B255" s="48"/>
      <c r="C255" s="160" t="s">
        <v>307</v>
      </c>
      <c r="D255" s="156">
        <f>$J$12*F801EVE!D43*0.5</f>
        <v>0</v>
      </c>
      <c r="E255" s="156">
        <f>$J$12*F801EVE!E43*0.5</f>
        <v>0</v>
      </c>
      <c r="F255" s="156">
        <f>$J$12*F801EVE!F43*0.5</f>
        <v>0</v>
      </c>
      <c r="G255" s="156">
        <f>$J$12*F801EVE!G43*0.5</f>
        <v>0</v>
      </c>
      <c r="H255" s="156">
        <f>$J$12*F801EVE!H43*0.5</f>
        <v>0</v>
      </c>
      <c r="I255" s="156">
        <f>$J$12*F801EVE!I43*0.5</f>
        <v>0</v>
      </c>
      <c r="J255" s="156">
        <f t="shared" si="60"/>
        <v>0</v>
      </c>
      <c r="K255" s="69"/>
      <c r="L255" s="319">
        <v>0.5</v>
      </c>
    </row>
    <row r="256" spans="2:12" s="37" customFormat="1" ht="15.75">
      <c r="B256" s="48" t="s">
        <v>274</v>
      </c>
      <c r="C256" s="158" t="s">
        <v>633</v>
      </c>
      <c r="D256" s="159">
        <f t="shared" ref="D256:I256" si="63">SUM(D257:D260)</f>
        <v>8497.8150622190569</v>
      </c>
      <c r="E256" s="159">
        <f t="shared" si="63"/>
        <v>8501.3615652474255</v>
      </c>
      <c r="F256" s="159">
        <f t="shared" si="63"/>
        <v>8340.7937545171262</v>
      </c>
      <c r="G256" s="159">
        <f t="shared" si="63"/>
        <v>8472.2201184043897</v>
      </c>
      <c r="H256" s="159">
        <f t="shared" si="63"/>
        <v>8105.1207675461374</v>
      </c>
      <c r="I256" s="159">
        <f t="shared" si="63"/>
        <v>8143.1003099658674</v>
      </c>
      <c r="J256" s="159">
        <f t="shared" si="60"/>
        <v>50060.411577900013</v>
      </c>
      <c r="K256" s="69"/>
      <c r="L256" s="319"/>
    </row>
    <row r="257" spans="2:12" s="37" customFormat="1" ht="15.75">
      <c r="B257" s="48"/>
      <c r="C257" s="160" t="s">
        <v>304</v>
      </c>
      <c r="D257" s="156">
        <f>$J$12*F801EVE!D45</f>
        <v>8497.8150622190569</v>
      </c>
      <c r="E257" s="156">
        <f>$J$12*F801EVE!E45</f>
        <v>8501.3615652474255</v>
      </c>
      <c r="F257" s="156">
        <f>$J$12*F801EVE!F45</f>
        <v>8340.7937545171262</v>
      </c>
      <c r="G257" s="156">
        <f>$J$12*F801EVE!G45</f>
        <v>8472.2201184043897</v>
      </c>
      <c r="H257" s="156">
        <f>$J$12*F801EVE!H45</f>
        <v>8105.1207675461374</v>
      </c>
      <c r="I257" s="156">
        <f>$J$12*F801EVE!I45</f>
        <v>8143.1003099658674</v>
      </c>
      <c r="J257" s="156">
        <f t="shared" si="60"/>
        <v>50060.411577900013</v>
      </c>
      <c r="K257" s="69"/>
      <c r="L257" s="319">
        <v>1</v>
      </c>
    </row>
    <row r="258" spans="2:12" s="37" customFormat="1" ht="15.75">
      <c r="B258" s="48"/>
      <c r="C258" s="161" t="s">
        <v>306</v>
      </c>
      <c r="D258" s="156">
        <f>$J$12*F801EVE!D46</f>
        <v>0</v>
      </c>
      <c r="E258" s="156">
        <f>$J$12*F801EVE!E46</f>
        <v>0</v>
      </c>
      <c r="F258" s="156">
        <f>$J$12*F801EVE!F46</f>
        <v>0</v>
      </c>
      <c r="G258" s="156">
        <f>$J$12*F801EVE!G46</f>
        <v>0</v>
      </c>
      <c r="H258" s="156">
        <f>$J$12*F801EVE!H46</f>
        <v>0</v>
      </c>
      <c r="I258" s="156">
        <f>$J$12*F801EVE!I46</f>
        <v>0</v>
      </c>
      <c r="J258" s="156">
        <f t="shared" si="60"/>
        <v>0</v>
      </c>
      <c r="K258" s="69"/>
      <c r="L258" s="319">
        <v>1</v>
      </c>
    </row>
    <row r="259" spans="2:12" s="37" customFormat="1" ht="15.75">
      <c r="B259" s="48"/>
      <c r="C259" s="160" t="s">
        <v>305</v>
      </c>
      <c r="D259" s="156">
        <f>$J$12*F801EVE!D47*0.95</f>
        <v>0</v>
      </c>
      <c r="E259" s="156">
        <f>$J$12*F801EVE!E47*0.95</f>
        <v>0</v>
      </c>
      <c r="F259" s="156">
        <f>$J$12*F801EVE!F47*0.95</f>
        <v>0</v>
      </c>
      <c r="G259" s="156">
        <f>$J$12*F801EVE!G47*0.95</f>
        <v>0</v>
      </c>
      <c r="H259" s="156">
        <f>$J$12*F801EVE!H47*0.95</f>
        <v>0</v>
      </c>
      <c r="I259" s="156">
        <f>$J$12*F801EVE!I47*0.95</f>
        <v>0</v>
      </c>
      <c r="J259" s="156">
        <f t="shared" si="60"/>
        <v>0</v>
      </c>
      <c r="K259" s="69"/>
      <c r="L259" s="319">
        <v>0.95</v>
      </c>
    </row>
    <row r="260" spans="2:12" s="37" customFormat="1" ht="15.75">
      <c r="B260" s="48"/>
      <c r="C260" s="160" t="s">
        <v>307</v>
      </c>
      <c r="D260" s="156">
        <f>$J$12*F801EVE!D48*0.5</f>
        <v>0</v>
      </c>
      <c r="E260" s="156">
        <f>$J$12*F801EVE!E48*0.5</f>
        <v>0</v>
      </c>
      <c r="F260" s="156">
        <f>$J$12*F801EVE!F48*0.5</f>
        <v>0</v>
      </c>
      <c r="G260" s="156">
        <f>$J$12*F801EVE!G48*0.5</f>
        <v>0</v>
      </c>
      <c r="H260" s="156">
        <f>$J$12*F801EVE!H48*0.5</f>
        <v>0</v>
      </c>
      <c r="I260" s="156">
        <f>$J$12*F801EVE!I48*0.5</f>
        <v>0</v>
      </c>
      <c r="J260" s="156">
        <f t="shared" si="60"/>
        <v>0</v>
      </c>
      <c r="K260" s="69"/>
      <c r="L260" s="319">
        <v>0.5</v>
      </c>
    </row>
    <row r="261" spans="2:12" s="37" customFormat="1" ht="15.75">
      <c r="B261" s="48"/>
      <c r="C261" s="157"/>
      <c r="D261" s="156"/>
      <c r="E261" s="156"/>
      <c r="F261" s="156"/>
      <c r="G261" s="156"/>
      <c r="H261" s="156"/>
      <c r="I261" s="156"/>
      <c r="J261" s="156"/>
      <c r="K261" s="69"/>
      <c r="L261" s="319"/>
    </row>
    <row r="262" spans="2:12" s="37" customFormat="1" ht="15.75">
      <c r="B262" s="48" t="s">
        <v>1176</v>
      </c>
      <c r="C262" s="158" t="str">
        <f>F801EVE!$C$50</f>
        <v>BTSH</v>
      </c>
      <c r="D262" s="159">
        <f t="shared" ref="D262:I262" si="64">SUM(D263:D268)</f>
        <v>1.9300000000000002</v>
      </c>
      <c r="E262" s="159">
        <f t="shared" si="64"/>
        <v>1.9300000000000002</v>
      </c>
      <c r="F262" s="159">
        <f t="shared" si="64"/>
        <v>1.9300000000000002</v>
      </c>
      <c r="G262" s="159">
        <f t="shared" si="64"/>
        <v>1.9300000000000002</v>
      </c>
      <c r="H262" s="159">
        <f t="shared" si="64"/>
        <v>1.9300000000000002</v>
      </c>
      <c r="I262" s="159">
        <f t="shared" si="64"/>
        <v>1.9300000000000002</v>
      </c>
      <c r="J262" s="159">
        <f t="shared" ref="J262:J288" si="65">SUM(D262:I262)</f>
        <v>11.58</v>
      </c>
      <c r="K262" s="69"/>
      <c r="L262" s="319"/>
    </row>
    <row r="263" spans="2:12" s="37" customFormat="1" ht="15.75">
      <c r="B263" s="48"/>
      <c r="C263" s="160" t="str">
        <f>F801EVE!$C$51</f>
        <v xml:space="preserve">    - Regulares</v>
      </c>
      <c r="D263" s="156">
        <f>$J$16*F801EVE!D51*1</f>
        <v>1.9300000000000002</v>
      </c>
      <c r="E263" s="156">
        <f>$J$16*F801EVE!E51*1</f>
        <v>1.9300000000000002</v>
      </c>
      <c r="F263" s="156">
        <f>$J$16*F801EVE!F51*1</f>
        <v>1.9300000000000002</v>
      </c>
      <c r="G263" s="156">
        <f>$J$16*F801EVE!G51*1</f>
        <v>1.9300000000000002</v>
      </c>
      <c r="H263" s="156">
        <f>$J$16*F801EVE!H51*1</f>
        <v>1.9300000000000002</v>
      </c>
      <c r="I263" s="156">
        <f>$J$16*F801EVE!I51*1</f>
        <v>1.9300000000000002</v>
      </c>
      <c r="J263" s="156">
        <f t="shared" si="65"/>
        <v>11.58</v>
      </c>
      <c r="K263" s="69"/>
      <c r="L263" s="319">
        <v>1</v>
      </c>
    </row>
    <row r="264" spans="2:12" s="37" customFormat="1" ht="15.75">
      <c r="B264" s="48"/>
      <c r="C264" s="162" t="str">
        <f>F801EVE!$C$52</f>
        <v xml:space="preserve">    - Jubilados (0 a 600 KWh)</v>
      </c>
      <c r="D264" s="156">
        <f>$J$16*F801EVE!D52*0.75</f>
        <v>0</v>
      </c>
      <c r="E264" s="156">
        <f>$J$16*F801EVE!E52*0.75</f>
        <v>0</v>
      </c>
      <c r="F264" s="156">
        <f>$J$16*F801EVE!F52*0.75</f>
        <v>0</v>
      </c>
      <c r="G264" s="156">
        <f>$J$16*F801EVE!G52*0.75</f>
        <v>0</v>
      </c>
      <c r="H264" s="156">
        <f>$J$16*F801EVE!H52*0.75</f>
        <v>0</v>
      </c>
      <c r="I264" s="156">
        <f>$J$16*F801EVE!I52*0.75</f>
        <v>0</v>
      </c>
      <c r="J264" s="156">
        <f t="shared" si="65"/>
        <v>0</v>
      </c>
      <c r="K264" s="69"/>
      <c r="L264" s="319">
        <v>0.75</v>
      </c>
    </row>
    <row r="265" spans="2:12" s="37" customFormat="1" ht="15.75">
      <c r="B265" s="48"/>
      <c r="C265" s="162" t="str">
        <f>F801EVE!$C$53</f>
        <v xml:space="preserve">    - Jubilados (601 y Más KWh)</v>
      </c>
      <c r="D265" s="156">
        <f>$J$16*F801EVE!D53*1</f>
        <v>0</v>
      </c>
      <c r="E265" s="156">
        <f>$J$16*F801EVE!E53*1</f>
        <v>0</v>
      </c>
      <c r="F265" s="156">
        <f>$J$16*F801EVE!F53*1</f>
        <v>0</v>
      </c>
      <c r="G265" s="156">
        <f>$J$16*F801EVE!G53*1</f>
        <v>0</v>
      </c>
      <c r="H265" s="156">
        <f>$J$16*F801EVE!H53*1</f>
        <v>0</v>
      </c>
      <c r="I265" s="156">
        <f>$J$16*F801EVE!I53*1</f>
        <v>0</v>
      </c>
      <c r="J265" s="156">
        <f t="shared" si="65"/>
        <v>0</v>
      </c>
      <c r="K265" s="69"/>
      <c r="L265" s="319">
        <v>1</v>
      </c>
    </row>
    <row r="266" spans="2:12" s="37" customFormat="1" ht="15.75">
      <c r="B266" s="48"/>
      <c r="C266" s="160" t="str">
        <f>F801EVE!$C$54</f>
        <v xml:space="preserve">    - Agropecuarios</v>
      </c>
      <c r="D266" s="156">
        <f>$J$16*F801EVE!D54*0.95</f>
        <v>0</v>
      </c>
      <c r="E266" s="156">
        <f>$J$16*F801EVE!E54*0.95</f>
        <v>0</v>
      </c>
      <c r="F266" s="156">
        <f>$J$16*F801EVE!F54*0.95</f>
        <v>0</v>
      </c>
      <c r="G266" s="156">
        <f>$J$16*F801EVE!G54*0.95</f>
        <v>0</v>
      </c>
      <c r="H266" s="156">
        <f>$J$16*F801EVE!H54*0.95</f>
        <v>0</v>
      </c>
      <c r="I266" s="156">
        <f>$J$16*F801EVE!I54*0.95</f>
        <v>0</v>
      </c>
      <c r="J266" s="156">
        <f t="shared" si="65"/>
        <v>0</v>
      </c>
      <c r="K266" s="69"/>
      <c r="L266" s="319">
        <v>0.95</v>
      </c>
    </row>
    <row r="267" spans="2:12" s="37" customFormat="1" ht="15.75">
      <c r="B267" s="48"/>
      <c r="C267" s="160" t="str">
        <f>F801EVE!$C$55</f>
        <v xml:space="preserve">    - Partidos Políticos</v>
      </c>
      <c r="D267" s="156">
        <f>$J$16*F801EVE!D55*0.5</f>
        <v>0</v>
      </c>
      <c r="E267" s="156">
        <f>$J$16*F801EVE!E55*0.5</f>
        <v>0</v>
      </c>
      <c r="F267" s="156">
        <f>$J$16*F801EVE!F55*0.5</f>
        <v>0</v>
      </c>
      <c r="G267" s="156">
        <f>$J$16*F801EVE!G55*0.5</f>
        <v>0</v>
      </c>
      <c r="H267" s="156">
        <f>$J$16*F801EVE!H55*0.5</f>
        <v>0</v>
      </c>
      <c r="I267" s="156">
        <f>$J$16*F801EVE!I55*0.5</f>
        <v>0</v>
      </c>
      <c r="J267" s="156">
        <f t="shared" si="65"/>
        <v>0</v>
      </c>
      <c r="K267" s="69"/>
      <c r="L267" s="319">
        <v>0.5</v>
      </c>
    </row>
    <row r="268" spans="2:12" s="37" customFormat="1" ht="15.75">
      <c r="B268" s="48"/>
      <c r="C268" s="160" t="str">
        <f>F801EVE!$C$56</f>
        <v xml:space="preserve">    - Cruz Roja</v>
      </c>
      <c r="D268" s="156">
        <f>$J$16*F801EVE!D56*0</f>
        <v>0</v>
      </c>
      <c r="E268" s="156">
        <f>$J$16*F801EVE!E56*0</f>
        <v>0</v>
      </c>
      <c r="F268" s="156">
        <f>$J$16*F801EVE!F56*0</f>
        <v>0</v>
      </c>
      <c r="G268" s="156">
        <f>$J$16*F801EVE!G56*0</f>
        <v>0</v>
      </c>
      <c r="H268" s="156">
        <f>$J$16*F801EVE!H56*0</f>
        <v>0</v>
      </c>
      <c r="I268" s="156">
        <f>$J$16*F801EVE!I56*0</f>
        <v>0</v>
      </c>
      <c r="J268" s="156">
        <f t="shared" si="65"/>
        <v>0</v>
      </c>
      <c r="K268" s="69"/>
      <c r="L268" s="319">
        <v>0</v>
      </c>
    </row>
    <row r="269" spans="2:12" s="37" customFormat="1" ht="15.75">
      <c r="B269" s="48" t="s">
        <v>751</v>
      </c>
      <c r="C269" s="158" t="s">
        <v>634</v>
      </c>
      <c r="D269" s="159">
        <f t="shared" ref="D269:I269" si="66">SUM(D270:D274)</f>
        <v>79391.627483846562</v>
      </c>
      <c r="E269" s="159">
        <f t="shared" si="66"/>
        <v>79424.761823672496</v>
      </c>
      <c r="F269" s="159">
        <f t="shared" si="66"/>
        <v>77924.60565200563</v>
      </c>
      <c r="G269" s="159">
        <f t="shared" si="66"/>
        <v>79152.498527971766</v>
      </c>
      <c r="H269" s="159">
        <f t="shared" si="66"/>
        <v>75722.755329131585</v>
      </c>
      <c r="I269" s="159">
        <f t="shared" si="66"/>
        <v>76077.591361950996</v>
      </c>
      <c r="J269" s="159">
        <f t="shared" si="65"/>
        <v>467693.84017857909</v>
      </c>
      <c r="K269" s="69"/>
      <c r="L269" s="319"/>
    </row>
    <row r="270" spans="2:12" s="37" customFormat="1" ht="15.75">
      <c r="B270" s="48"/>
      <c r="C270" s="160" t="s">
        <v>304</v>
      </c>
      <c r="D270" s="156">
        <f>$J$18*F801EVE!D66*$L270</f>
        <v>57528.184997646938</v>
      </c>
      <c r="E270" s="156">
        <f>$J$18*F801EVE!E66*$L270</f>
        <v>57552.194784347135</v>
      </c>
      <c r="F270" s="156">
        <f>$J$18*F801EVE!F66*$L270</f>
        <v>56465.152462456172</v>
      </c>
      <c r="G270" s="156">
        <f>$J$18*F801EVE!G66*$L270</f>
        <v>57354.907508052856</v>
      </c>
      <c r="H270" s="156">
        <f>$J$18*F801EVE!H66*$L270</f>
        <v>54869.64891913248</v>
      </c>
      <c r="I270" s="156">
        <f>$J$18*F801EVE!I66*$L270</f>
        <v>55126.770005784434</v>
      </c>
      <c r="J270" s="156">
        <f t="shared" si="65"/>
        <v>338896.85867742007</v>
      </c>
      <c r="K270" s="69"/>
      <c r="L270" s="319">
        <v>1</v>
      </c>
    </row>
    <row r="271" spans="2:12" s="37" customFormat="1" ht="15.75">
      <c r="B271" s="48"/>
      <c r="C271" s="162" t="s">
        <v>644</v>
      </c>
      <c r="D271" s="156">
        <f>$J$18*F801EVE!D67*$L271</f>
        <v>21861.300850567117</v>
      </c>
      <c r="E271" s="156">
        <f>$J$18*F801EVE!E67*$L271</f>
        <v>21870.424509896366</v>
      </c>
      <c r="F271" s="156">
        <f>$J$18*F801EVE!F67*$L271</f>
        <v>21457.35112672775</v>
      </c>
      <c r="G271" s="156">
        <f>$J$18*F801EVE!G67*$L271</f>
        <v>21795.455834773176</v>
      </c>
      <c r="H271" s="156">
        <f>$J$18*F801EVE!H67*$L271</f>
        <v>20851.063741935079</v>
      </c>
      <c r="I271" s="156">
        <f>$J$18*F801EVE!I67*$L271</f>
        <v>20948.769116425516</v>
      </c>
      <c r="J271" s="156">
        <f t="shared" si="65"/>
        <v>128784.365180325</v>
      </c>
      <c r="K271" s="69"/>
      <c r="L271" s="319">
        <v>0.75</v>
      </c>
    </row>
    <row r="272" spans="2:12" s="37" customFormat="1" ht="15.75">
      <c r="B272" s="48"/>
      <c r="C272" s="160" t="s">
        <v>305</v>
      </c>
      <c r="D272" s="156">
        <f>$J$18*F801EVE!D68*$L272</f>
        <v>2.0960889421557356</v>
      </c>
      <c r="E272" s="156">
        <f>$J$18*F801EVE!E68*$L272</f>
        <v>2.09696373005435</v>
      </c>
      <c r="F272" s="156">
        <f>$J$18*F801EVE!F68*$L272</f>
        <v>2.0573577360342763</v>
      </c>
      <c r="G272" s="156">
        <f>$J$18*F801EVE!G68*$L272</f>
        <v>2.0897756394641367</v>
      </c>
      <c r="H272" s="156">
        <f>$J$18*F801EVE!H68*$L272</f>
        <v>1.999226141225751</v>
      </c>
      <c r="I272" s="156">
        <f>$J$18*F801EVE!I68*$L272</f>
        <v>2.0085942550657503</v>
      </c>
      <c r="J272" s="156">
        <f t="shared" si="65"/>
        <v>12.348006443999999</v>
      </c>
      <c r="K272" s="69"/>
      <c r="L272" s="319">
        <v>0.95</v>
      </c>
    </row>
    <row r="273" spans="2:12" s="37" customFormat="1" ht="15.75">
      <c r="B273" s="48"/>
      <c r="C273" s="160" t="s">
        <v>307</v>
      </c>
      <c r="D273" s="156">
        <f>$J$18*F801EVE!D69*$L273</f>
        <v>4.5546690346403386E-2</v>
      </c>
      <c r="E273" s="156">
        <f>$J$18*F801EVE!E69*$L273</f>
        <v>4.5565698935559895E-2</v>
      </c>
      <c r="F273" s="156">
        <f>$J$18*F801EVE!F69*$L273</f>
        <v>4.47050856718696E-2</v>
      </c>
      <c r="G273" s="156">
        <f>$J$18*F801EVE!G69*$L273</f>
        <v>4.540950626180932E-2</v>
      </c>
      <c r="H273" s="156">
        <f>$J$18*F801EVE!H69*$L273</f>
        <v>4.3441922790353964E-2</v>
      </c>
      <c r="I273" s="156">
        <f>$J$18*F801EVE!I69*$L273</f>
        <v>4.3645485994003849E-2</v>
      </c>
      <c r="J273" s="156">
        <f t="shared" si="65"/>
        <v>0.26831439000000001</v>
      </c>
      <c r="K273" s="69"/>
      <c r="L273" s="319">
        <v>0.5</v>
      </c>
    </row>
    <row r="274" spans="2:12" s="37" customFormat="1" ht="15.75">
      <c r="B274" s="48"/>
      <c r="C274" s="160" t="s">
        <v>624</v>
      </c>
      <c r="D274" s="156">
        <f>$J$18*F801EVE!D70*$L274</f>
        <v>0</v>
      </c>
      <c r="E274" s="156">
        <f>$J$18*F801EVE!E70*$L274</f>
        <v>0</v>
      </c>
      <c r="F274" s="156">
        <f>$J$18*F801EVE!F70*$L274</f>
        <v>0</v>
      </c>
      <c r="G274" s="156">
        <f>$J$18*F801EVE!G70*$L274</f>
        <v>0</v>
      </c>
      <c r="H274" s="156">
        <f>$J$18*F801EVE!H70*$L274</f>
        <v>0</v>
      </c>
      <c r="I274" s="156">
        <f>$J$18*F801EVE!I70*$L274</f>
        <v>0</v>
      </c>
      <c r="J274" s="156">
        <f t="shared" si="65"/>
        <v>0</v>
      </c>
      <c r="K274" s="69"/>
      <c r="L274" s="319">
        <v>0</v>
      </c>
    </row>
    <row r="275" spans="2:12" s="37" customFormat="1" ht="15.75">
      <c r="B275" s="48" t="s">
        <v>750</v>
      </c>
      <c r="C275" s="158" t="s">
        <v>635</v>
      </c>
      <c r="D275" s="159">
        <f t="shared" ref="D275:I275" si="67">SUM(D276:D281)</f>
        <v>86987.803419954391</v>
      </c>
      <c r="E275" s="159">
        <f t="shared" si="67"/>
        <v>87024.107164623041</v>
      </c>
      <c r="F275" s="159">
        <f t="shared" si="67"/>
        <v>85380.45629047323</v>
      </c>
      <c r="G275" s="159">
        <f t="shared" si="67"/>
        <v>86725.801019949999</v>
      </c>
      <c r="H275" s="159">
        <f t="shared" si="67"/>
        <v>82967.991990894501</v>
      </c>
      <c r="I275" s="159">
        <f t="shared" si="67"/>
        <v>83356.769217251858</v>
      </c>
      <c r="J275" s="159">
        <f t="shared" si="65"/>
        <v>512442.92910314701</v>
      </c>
      <c r="K275" s="69"/>
      <c r="L275" s="319"/>
    </row>
    <row r="276" spans="2:12" s="37" customFormat="1" ht="15.75">
      <c r="B276" s="48"/>
      <c r="C276" s="160" t="s">
        <v>304</v>
      </c>
      <c r="D276" s="156">
        <f>$J$18*F801EVE!D72*$L276</f>
        <v>56098.001337567897</v>
      </c>
      <c r="E276" s="156">
        <f>$J$18*F801EVE!E72*$L276</f>
        <v>56121.413441758508</v>
      </c>
      <c r="F276" s="156">
        <f>$J$18*F801EVE!F72*$L276</f>
        <v>55061.431176297607</v>
      </c>
      <c r="G276" s="156">
        <f>$J$18*F801EVE!G72*$L276</f>
        <v>55929.037294241782</v>
      </c>
      <c r="H276" s="156">
        <f>$J$18*F801EVE!H72*$L276</f>
        <v>53505.644960484766</v>
      </c>
      <c r="I276" s="156">
        <f>$J$18*F801EVE!I72*$L276</f>
        <v>53756.36545814947</v>
      </c>
      <c r="J276" s="156">
        <f t="shared" si="65"/>
        <v>330471.89366850001</v>
      </c>
      <c r="K276" s="69"/>
      <c r="L276" s="319">
        <v>1</v>
      </c>
    </row>
    <row r="277" spans="2:12" s="37" customFormat="1" ht="15.75">
      <c r="B277" s="48"/>
      <c r="C277" s="162" t="s">
        <v>642</v>
      </c>
      <c r="D277" s="156">
        <f>$J$18*F801EVE!D73*$L277</f>
        <v>30013.688417704121</v>
      </c>
      <c r="E277" s="156">
        <f>$J$18*F801EVE!E73*$L277</f>
        <v>30026.214418339179</v>
      </c>
      <c r="F277" s="156">
        <f>$J$18*F801EVE!F73*$L277</f>
        <v>29459.100141800234</v>
      </c>
      <c r="G277" s="156">
        <f>$J$18*F801EVE!G73*$L277</f>
        <v>29923.288866396237</v>
      </c>
      <c r="H277" s="156">
        <f>$J$18*F801EVE!H73*$L277</f>
        <v>28626.71963603175</v>
      </c>
      <c r="I277" s="156">
        <f>$J$18*F801EVE!I73*$L277</f>
        <v>28760.860723368511</v>
      </c>
      <c r="J277" s="156">
        <f t="shared" si="65"/>
        <v>176809.87220364003</v>
      </c>
      <c r="K277" s="69"/>
      <c r="L277" s="319">
        <v>0.75</v>
      </c>
    </row>
    <row r="278" spans="2:12" s="37" customFormat="1" ht="15.75">
      <c r="B278" s="48"/>
      <c r="C278" s="162" t="s">
        <v>1177</v>
      </c>
      <c r="D278" s="156">
        <f>$J$18*F801EVE!D74*$L278</f>
        <v>872.31895310065727</v>
      </c>
      <c r="E278" s="156">
        <f>$J$18*F801EVE!E74*$L278</f>
        <v>872.68300924758728</v>
      </c>
      <c r="F278" s="156">
        <f>$J$18*F801EVE!F74*$L278</f>
        <v>856.20037888526633</v>
      </c>
      <c r="G278" s="156">
        <f>$J$18*F801EVE!G74*$L278</f>
        <v>869.69157718936628</v>
      </c>
      <c r="H278" s="156">
        <f>$J$18*F801EVE!H74*$L278</f>
        <v>832.00804100036146</v>
      </c>
      <c r="I278" s="156">
        <f>$J$18*F801EVE!I74*$L278</f>
        <v>835.90672253676212</v>
      </c>
      <c r="J278" s="156">
        <f t="shared" si="65"/>
        <v>5138.8086819600012</v>
      </c>
      <c r="K278" s="69"/>
      <c r="L278" s="319">
        <v>1</v>
      </c>
    </row>
    <row r="279" spans="2:12" s="37" customFormat="1" ht="15.75">
      <c r="B279" s="48"/>
      <c r="C279" s="160" t="s">
        <v>305</v>
      </c>
      <c r="D279" s="156">
        <f>$J$18*F801EVE!D75*$L279</f>
        <v>3.6745422695591183</v>
      </c>
      <c r="E279" s="156">
        <f>$J$18*F801EVE!E75*$L279</f>
        <v>3.6760758137927185</v>
      </c>
      <c r="F279" s="156">
        <f>$J$18*F801EVE!F75*$L279</f>
        <v>3.6066446478589915</v>
      </c>
      <c r="G279" s="156">
        <f>$J$18*F801EVE!G75*$L279</f>
        <v>3.6634747537041172</v>
      </c>
      <c r="H279" s="156">
        <f>$J$18*F801EVE!H75*$L279</f>
        <v>3.504737234473601</v>
      </c>
      <c r="I279" s="156">
        <f>$J$18*F801EVE!I75*$L279</f>
        <v>3.5211599776114553</v>
      </c>
      <c r="J279" s="156">
        <f t="shared" si="65"/>
        <v>21.646634697</v>
      </c>
      <c r="K279" s="69"/>
      <c r="L279" s="319">
        <v>0.95</v>
      </c>
    </row>
    <row r="280" spans="2:12" s="37" customFormat="1" ht="15.75">
      <c r="B280" s="48"/>
      <c r="C280" s="160" t="s">
        <v>307</v>
      </c>
      <c r="D280" s="156">
        <f>$J$18*F801EVE!D76*$L280</f>
        <v>0.12016931216855506</v>
      </c>
      <c r="E280" s="156">
        <f>$J$18*F801EVE!E76*$L280</f>
        <v>0.12021946398127427</v>
      </c>
      <c r="F280" s="156">
        <f>$J$18*F801EVE!F76*$L280</f>
        <v>0.11794884227079985</v>
      </c>
      <c r="G280" s="156">
        <f>$J$18*F801EVE!G76*$L280</f>
        <v>0.11980736891953381</v>
      </c>
      <c r="H280" s="156">
        <f>$J$18*F801EVE!H76*$L280</f>
        <v>0.11461614315536194</v>
      </c>
      <c r="I280" s="156">
        <f>$J$18*F801EVE!I76*$L280</f>
        <v>0.1151532195044751</v>
      </c>
      <c r="J280" s="156">
        <f t="shared" si="65"/>
        <v>0.70791435000000003</v>
      </c>
      <c r="K280" s="69"/>
      <c r="L280" s="319">
        <v>0.5</v>
      </c>
    </row>
    <row r="281" spans="2:12" s="37" customFormat="1" ht="15.75">
      <c r="B281" s="48"/>
      <c r="C281" s="160" t="s">
        <v>624</v>
      </c>
      <c r="D281" s="156">
        <f>$J$18*F801EVE!D77*$L281</f>
        <v>0</v>
      </c>
      <c r="E281" s="156">
        <f>$J$18*F801EVE!E77*$L281</f>
        <v>0</v>
      </c>
      <c r="F281" s="156">
        <f>$J$18*F801EVE!F77*$L281</f>
        <v>0</v>
      </c>
      <c r="G281" s="156">
        <f>$J$18*F801EVE!G77*$L281</f>
        <v>0</v>
      </c>
      <c r="H281" s="156">
        <f>$J$18*F801EVE!H77*$L281</f>
        <v>0</v>
      </c>
      <c r="I281" s="156">
        <f>$J$18*F801EVE!I77*$L281</f>
        <v>0</v>
      </c>
      <c r="J281" s="156">
        <f t="shared" si="65"/>
        <v>0</v>
      </c>
      <c r="K281" s="69"/>
      <c r="L281" s="319">
        <v>0</v>
      </c>
    </row>
    <row r="282" spans="2:12" s="37" customFormat="1" ht="15.75">
      <c r="B282" s="48" t="s">
        <v>749</v>
      </c>
      <c r="C282" s="158" t="s">
        <v>636</v>
      </c>
      <c r="D282" s="159">
        <f t="shared" ref="D282:I282" si="68">SUM(D283:D288)</f>
        <v>104154.69469574664</v>
      </c>
      <c r="E282" s="159">
        <f t="shared" si="68"/>
        <v>104198.16292110256</v>
      </c>
      <c r="F282" s="159">
        <f t="shared" si="68"/>
        <v>102230.14041388976</v>
      </c>
      <c r="G282" s="159">
        <f t="shared" si="68"/>
        <v>103840.98657910104</v>
      </c>
      <c r="H282" s="159">
        <f t="shared" si="68"/>
        <v>99341.580492748326</v>
      </c>
      <c r="I282" s="159">
        <f t="shared" si="68"/>
        <v>99807.082226599683</v>
      </c>
      <c r="J282" s="159">
        <f t="shared" si="65"/>
        <v>613572.64732918795</v>
      </c>
      <c r="K282" s="69"/>
      <c r="L282" s="319"/>
    </row>
    <row r="283" spans="2:12" s="37" customFormat="1" ht="15.75">
      <c r="B283" s="48"/>
      <c r="C283" s="160" t="s">
        <v>304</v>
      </c>
      <c r="D283" s="156">
        <f>$J$18*F801EVE!D79*$L283</f>
        <v>90040.962058765959</v>
      </c>
      <c r="E283" s="156">
        <f>$J$18*F801EVE!E79*$L283</f>
        <v>90078.540017603693</v>
      </c>
      <c r="F283" s="156">
        <f>$J$18*F801EVE!F79*$L283</f>
        <v>88377.199137863397</v>
      </c>
      <c r="G283" s="156">
        <f>$J$18*F801EVE!G79*$L283</f>
        <v>89769.7637156579</v>
      </c>
      <c r="H283" s="156">
        <f>$J$18*F801EVE!H79*$L283</f>
        <v>85880.060482484201</v>
      </c>
      <c r="I283" s="156">
        <f>$J$18*F801EVE!I79*$L283</f>
        <v>86282.483283284862</v>
      </c>
      <c r="J283" s="156">
        <f t="shared" si="65"/>
        <v>530429.00869565993</v>
      </c>
      <c r="K283" s="69"/>
      <c r="L283" s="319">
        <v>1</v>
      </c>
    </row>
    <row r="284" spans="2:12" s="37" customFormat="1" ht="15.75">
      <c r="B284" s="48"/>
      <c r="C284" s="162" t="s">
        <v>642</v>
      </c>
      <c r="D284" s="156">
        <f>$J$18*F801EVE!D80*$L284</f>
        <v>6680.9608107027198</v>
      </c>
      <c r="E284" s="156">
        <f>$J$18*F801EVE!E80*$L284</f>
        <v>6683.7490624561524</v>
      </c>
      <c r="F284" s="156">
        <f>$J$18*F801EVE!F80*$L284</f>
        <v>6557.5110538509898</v>
      </c>
      <c r="G284" s="156">
        <f>$J$18*F801EVE!G80*$L284</f>
        <v>6660.8381303047699</v>
      </c>
      <c r="H284" s="156">
        <f>$J$18*F801EVE!H80*$L284</f>
        <v>6372.2255447446914</v>
      </c>
      <c r="I284" s="156">
        <f>$J$18*F801EVE!I80*$L284</f>
        <v>6402.0849653906835</v>
      </c>
      <c r="J284" s="156">
        <f t="shared" si="65"/>
        <v>39357.369567450012</v>
      </c>
      <c r="K284" s="69"/>
      <c r="L284" s="319">
        <v>0.75</v>
      </c>
    </row>
    <row r="285" spans="2:12" s="37" customFormat="1" ht="15.75">
      <c r="B285" s="48"/>
      <c r="C285" s="162" t="s">
        <v>1177</v>
      </c>
      <c r="D285" s="156">
        <f>$J$18*F801EVE!D81*$L285</f>
        <v>7382.8953095623947</v>
      </c>
      <c r="E285" s="156">
        <f>$J$18*F801EVE!E81*$L285</f>
        <v>7385.9765087155638</v>
      </c>
      <c r="F285" s="156">
        <f>$J$18*F801EVE!F81*$L285</f>
        <v>7246.4753159939291</v>
      </c>
      <c r="G285" s="156">
        <f>$J$18*F801EVE!G81*$L285</f>
        <v>7360.6584417023323</v>
      </c>
      <c r="H285" s="156">
        <f>$J$18*F801EVE!H81*$L285</f>
        <v>7041.7228028644759</v>
      </c>
      <c r="I285" s="156">
        <f>$J$18*F801EVE!I81*$L285</f>
        <v>7074.7194006413083</v>
      </c>
      <c r="J285" s="156">
        <f t="shared" si="65"/>
        <v>43492.447779480004</v>
      </c>
      <c r="K285" s="69"/>
      <c r="L285" s="319">
        <v>1</v>
      </c>
    </row>
    <row r="286" spans="2:12" s="37" customFormat="1" ht="15.75">
      <c r="B286" s="48"/>
      <c r="C286" s="160" t="s">
        <v>305</v>
      </c>
      <c r="D286" s="156">
        <f>$J$18*F801EVE!D82*$L286</f>
        <v>49.102895255545889</v>
      </c>
      <c r="E286" s="156">
        <f>$J$18*F801EVE!E82*$L286</f>
        <v>49.123388001675394</v>
      </c>
      <c r="F286" s="156">
        <f>$J$18*F801EVE!F82*$L286</f>
        <v>48.195579578689618</v>
      </c>
      <c r="G286" s="156">
        <f>$J$18*F801EVE!G82*$L286</f>
        <v>48.955000080609601</v>
      </c>
      <c r="H286" s="156">
        <f>$J$18*F801EVE!H82*$L286</f>
        <v>46.833791176721711</v>
      </c>
      <c r="I286" s="156">
        <f>$J$18*F801EVE!I82*$L286</f>
        <v>47.053248234757824</v>
      </c>
      <c r="J286" s="156">
        <f t="shared" si="65"/>
        <v>289.26390232800003</v>
      </c>
      <c r="K286" s="69"/>
      <c r="L286" s="319">
        <v>0.95</v>
      </c>
    </row>
    <row r="287" spans="2:12" s="37" customFormat="1" ht="15.75">
      <c r="B287" s="48"/>
      <c r="C287" s="160" t="s">
        <v>307</v>
      </c>
      <c r="D287" s="156">
        <f>$J$18*F801EVE!D83*$L287</f>
        <v>0.77362146001658583</v>
      </c>
      <c r="E287" s="156">
        <f>$J$18*F801EVE!E83*$L287</f>
        <v>0.77394432546266489</v>
      </c>
      <c r="F287" s="156">
        <f>$J$18*F801EVE!F83*$L287</f>
        <v>0.75932660275872976</v>
      </c>
      <c r="G287" s="156">
        <f>$J$18*F801EVE!G83*$L287</f>
        <v>0.77129135543582394</v>
      </c>
      <c r="H287" s="156">
        <f>$J$18*F801EVE!H83*$L287</f>
        <v>0.73787147824353982</v>
      </c>
      <c r="I287" s="156">
        <f>$J$18*F801EVE!I83*$L287</f>
        <v>0.74132904808265576</v>
      </c>
      <c r="J287" s="156">
        <f t="shared" si="65"/>
        <v>4.55738427</v>
      </c>
      <c r="K287" s="69"/>
      <c r="L287" s="319">
        <v>0.5</v>
      </c>
    </row>
    <row r="288" spans="2:12" s="37" customFormat="1" ht="15.75">
      <c r="B288" s="48"/>
      <c r="C288" s="160" t="s">
        <v>624</v>
      </c>
      <c r="D288" s="156">
        <f>$J$18*F801EVE!D84*$L288</f>
        <v>0</v>
      </c>
      <c r="E288" s="156">
        <f>$J$18*F801EVE!E84*$L288</f>
        <v>0</v>
      </c>
      <c r="F288" s="156">
        <f>$J$18*F801EVE!F84*$L288</f>
        <v>0</v>
      </c>
      <c r="G288" s="156">
        <f>$J$18*F801EVE!G84*$L288</f>
        <v>0</v>
      </c>
      <c r="H288" s="156">
        <f>$J$18*F801EVE!H84*$L288</f>
        <v>0</v>
      </c>
      <c r="I288" s="156">
        <f>$J$18*F801EVE!I84*$L288</f>
        <v>0</v>
      </c>
      <c r="J288" s="156">
        <f t="shared" si="65"/>
        <v>0</v>
      </c>
      <c r="K288" s="69"/>
      <c r="L288" s="319">
        <v>0</v>
      </c>
    </row>
    <row r="289" spans="2:12" s="37" customFormat="1" ht="15.75">
      <c r="B289" s="48"/>
      <c r="C289" s="157"/>
      <c r="D289" s="156"/>
      <c r="E289" s="156"/>
      <c r="F289" s="156"/>
      <c r="G289" s="156"/>
      <c r="H289" s="156"/>
      <c r="I289" s="156"/>
      <c r="J289" s="156"/>
      <c r="K289" s="69"/>
      <c r="L289" s="319"/>
    </row>
    <row r="290" spans="2:12" s="37" customFormat="1" ht="15.75">
      <c r="B290" s="48" t="s">
        <v>902</v>
      </c>
      <c r="C290" s="158" t="s">
        <v>898</v>
      </c>
      <c r="D290" s="159">
        <f t="shared" ref="D290:I290" si="69">SUM(D291:D295)</f>
        <v>26541.99127480965</v>
      </c>
      <c r="E290" s="159">
        <f t="shared" si="69"/>
        <v>26553.068387190404</v>
      </c>
      <c r="F290" s="159">
        <f t="shared" si="69"/>
        <v>26051.552479840688</v>
      </c>
      <c r="G290" s="159">
        <f t="shared" si="69"/>
        <v>26462.048281177271</v>
      </c>
      <c r="H290" s="159">
        <f t="shared" si="69"/>
        <v>25315.453809995208</v>
      </c>
      <c r="I290" s="159">
        <f t="shared" si="69"/>
        <v>25434.078736066793</v>
      </c>
      <c r="J290" s="159">
        <f t="shared" ref="J290:J309" si="70">SUM(D290:I290)</f>
        <v>156358.19296908</v>
      </c>
      <c r="K290" s="69"/>
      <c r="L290" s="319"/>
    </row>
    <row r="291" spans="2:12" s="37" customFormat="1" ht="15.75">
      <c r="B291" s="48"/>
      <c r="C291" s="160" t="s">
        <v>304</v>
      </c>
      <c r="D291" s="156">
        <f>$J$17*F801EVE!D87*$L291</f>
        <v>25528.401278323639</v>
      </c>
      <c r="E291" s="156">
        <f>$J$17*F801EVE!E87*$L291</f>
        <v>25539.055376086431</v>
      </c>
      <c r="F291" s="156">
        <f>$J$17*F801EVE!F87*$L291</f>
        <v>25056.691441981868</v>
      </c>
      <c r="G291" s="156">
        <f>$J$17*F801EVE!G87*$L291</f>
        <v>25451.511161086102</v>
      </c>
      <c r="H291" s="156">
        <f>$J$17*F801EVE!H87*$L291</f>
        <v>24348.703031101402</v>
      </c>
      <c r="I291" s="156">
        <f>$J$17*F801EVE!I87*$L291</f>
        <v>24462.797888680569</v>
      </c>
      <c r="J291" s="156">
        <f t="shared" si="70"/>
        <v>150387.16017726</v>
      </c>
      <c r="K291" s="69"/>
      <c r="L291" s="319">
        <v>1</v>
      </c>
    </row>
    <row r="292" spans="2:12" s="37" customFormat="1" ht="15.75">
      <c r="B292" s="48"/>
      <c r="C292" s="162" t="s">
        <v>644</v>
      </c>
      <c r="D292" s="156">
        <f>$J$17*F801EVE!D88*$L292</f>
        <v>1013.5899964860105</v>
      </c>
      <c r="E292" s="156">
        <f>$J$17*F801EVE!E88*$L292</f>
        <v>1014.0130111039732</v>
      </c>
      <c r="F292" s="156">
        <f>$J$17*F801EVE!F88*$L292</f>
        <v>994.86103785881869</v>
      </c>
      <c r="G292" s="156">
        <f>$J$17*F801EVE!G88*$L292</f>
        <v>1010.5371200911702</v>
      </c>
      <c r="H292" s="156">
        <f>$J$17*F801EVE!H88*$L292</f>
        <v>966.75077889380475</v>
      </c>
      <c r="I292" s="156">
        <f>$J$17*F801EVE!I88*$L292</f>
        <v>971.28084738622294</v>
      </c>
      <c r="J292" s="156">
        <f t="shared" si="70"/>
        <v>5971.032791820001</v>
      </c>
      <c r="K292" s="69"/>
      <c r="L292" s="319">
        <v>0.75</v>
      </c>
    </row>
    <row r="293" spans="2:12" s="37" customFormat="1" ht="15.75">
      <c r="B293" s="48"/>
      <c r="C293" s="160" t="s">
        <v>305</v>
      </c>
      <c r="D293" s="156">
        <f>$J$17*F801EVE!D89*$L293</f>
        <v>0</v>
      </c>
      <c r="E293" s="156">
        <f>$J$17*F801EVE!E89*$L293</f>
        <v>0</v>
      </c>
      <c r="F293" s="156">
        <f>$J$17*F801EVE!F89*$L293</f>
        <v>0</v>
      </c>
      <c r="G293" s="156">
        <f>$J$17*F801EVE!G89*$L293</f>
        <v>0</v>
      </c>
      <c r="H293" s="156">
        <f>$J$17*F801EVE!H89*$L293</f>
        <v>0</v>
      </c>
      <c r="I293" s="156">
        <f>$J$17*F801EVE!I89*$L293</f>
        <v>0</v>
      </c>
      <c r="J293" s="156">
        <f t="shared" si="70"/>
        <v>0</v>
      </c>
      <c r="K293" s="69"/>
      <c r="L293" s="319">
        <v>0.95</v>
      </c>
    </row>
    <row r="294" spans="2:12" s="37" customFormat="1" ht="15.75">
      <c r="B294" s="48"/>
      <c r="C294" s="160" t="s">
        <v>307</v>
      </c>
      <c r="D294" s="156">
        <f>$J$17*F801EVE!D90*$L294</f>
        <v>0</v>
      </c>
      <c r="E294" s="156">
        <f>$J$17*F801EVE!E90*$L294</f>
        <v>0</v>
      </c>
      <c r="F294" s="156">
        <f>$J$17*F801EVE!F90*$L294</f>
        <v>0</v>
      </c>
      <c r="G294" s="156">
        <f>$J$17*F801EVE!G90*$L294</f>
        <v>0</v>
      </c>
      <c r="H294" s="156">
        <f>$J$17*F801EVE!H90*$L294</f>
        <v>0</v>
      </c>
      <c r="I294" s="156">
        <f>$J$17*F801EVE!I90*$L294</f>
        <v>0</v>
      </c>
      <c r="J294" s="156">
        <f t="shared" si="70"/>
        <v>0</v>
      </c>
      <c r="K294" s="69"/>
      <c r="L294" s="319">
        <v>0.5</v>
      </c>
    </row>
    <row r="295" spans="2:12" s="37" customFormat="1" ht="15.75">
      <c r="B295" s="48"/>
      <c r="C295" s="160" t="s">
        <v>624</v>
      </c>
      <c r="D295" s="156">
        <f>$J$17*F801EVE!D91*$L295</f>
        <v>0</v>
      </c>
      <c r="E295" s="156">
        <f>$J$17*F801EVE!E91*$L295</f>
        <v>0</v>
      </c>
      <c r="F295" s="156">
        <f>$J$17*F801EVE!F91*$L295</f>
        <v>0</v>
      </c>
      <c r="G295" s="156">
        <f>$J$17*F801EVE!G91*$L295</f>
        <v>0</v>
      </c>
      <c r="H295" s="156">
        <f>$J$17*F801EVE!H91*$L295</f>
        <v>0</v>
      </c>
      <c r="I295" s="156">
        <f>$J$17*F801EVE!I91*$L295</f>
        <v>0</v>
      </c>
      <c r="J295" s="156">
        <f t="shared" si="70"/>
        <v>0</v>
      </c>
      <c r="K295" s="69"/>
      <c r="L295" s="319">
        <v>0</v>
      </c>
    </row>
    <row r="296" spans="2:12" s="37" customFormat="1" ht="15.75">
      <c r="B296" s="48" t="s">
        <v>902</v>
      </c>
      <c r="C296" s="158" t="s">
        <v>899</v>
      </c>
      <c r="D296" s="159">
        <f t="shared" ref="D296:I296" si="71">SUM(D297:D302)</f>
        <v>2100.7808395028037</v>
      </c>
      <c r="E296" s="159">
        <f t="shared" si="71"/>
        <v>2101.6575855315991</v>
      </c>
      <c r="F296" s="159">
        <f t="shared" si="71"/>
        <v>2061.9629372304339</v>
      </c>
      <c r="G296" s="159">
        <f t="shared" si="71"/>
        <v>2094.4534050787411</v>
      </c>
      <c r="H296" s="159">
        <f t="shared" si="71"/>
        <v>2003.7012203312008</v>
      </c>
      <c r="I296" s="159">
        <f t="shared" si="71"/>
        <v>2013.0903038102215</v>
      </c>
      <c r="J296" s="159">
        <f t="shared" si="70"/>
        <v>12375.646291484998</v>
      </c>
      <c r="K296" s="69"/>
      <c r="L296" s="319"/>
    </row>
    <row r="297" spans="2:12" s="37" customFormat="1" ht="15.75">
      <c r="B297" s="48"/>
      <c r="C297" s="160" t="s">
        <v>304</v>
      </c>
      <c r="D297" s="156">
        <f>$J$17*F801EVE!D93*$L297</f>
        <v>1908.2886772366542</v>
      </c>
      <c r="E297" s="156">
        <f>$J$17*F801EVE!E93*$L297</f>
        <v>1909.0850880226353</v>
      </c>
      <c r="F297" s="156">
        <f>$J$17*F801EVE!F93*$L297</f>
        <v>1873.0276152603019</v>
      </c>
      <c r="G297" s="156">
        <f>$J$17*F801EVE!G93*$L297</f>
        <v>1902.5410184421969</v>
      </c>
      <c r="H297" s="156">
        <f>$J$17*F801EVE!H93*$L297</f>
        <v>1820.1043533071474</v>
      </c>
      <c r="I297" s="156">
        <f>$J$17*F801EVE!I93*$L297</f>
        <v>1828.6331257310646</v>
      </c>
      <c r="J297" s="156">
        <f t="shared" si="70"/>
        <v>11241.679878000001</v>
      </c>
      <c r="K297" s="69"/>
      <c r="L297" s="319">
        <v>1</v>
      </c>
    </row>
    <row r="298" spans="2:12" s="37" customFormat="1" ht="15.75">
      <c r="B298" s="48"/>
      <c r="C298" s="162" t="s">
        <v>642</v>
      </c>
      <c r="D298" s="156">
        <f>$J$17*F801EVE!D94*$L298</f>
        <v>174.55315289045316</v>
      </c>
      <c r="E298" s="156">
        <f>$J$17*F801EVE!E94*$L298</f>
        <v>174.62600141455079</v>
      </c>
      <c r="F298" s="156">
        <f>$J$17*F801EVE!F94*$L298</f>
        <v>171.32778682521462</v>
      </c>
      <c r="G298" s="156">
        <f>$J$17*F801EVE!G94*$L298</f>
        <v>174.02740855403343</v>
      </c>
      <c r="H298" s="156">
        <f>$J$17*F801EVE!H94*$L298</f>
        <v>166.48684093198236</v>
      </c>
      <c r="I298" s="156">
        <f>$J$17*F801EVE!I94*$L298</f>
        <v>167.26697662876575</v>
      </c>
      <c r="J298" s="156">
        <f t="shared" si="70"/>
        <v>1028.2881672450001</v>
      </c>
      <c r="K298" s="69"/>
      <c r="L298" s="319">
        <v>0.75</v>
      </c>
    </row>
    <row r="299" spans="2:12" s="37" customFormat="1" ht="15.75">
      <c r="B299" s="48"/>
      <c r="C299" s="162" t="s">
        <v>1177</v>
      </c>
      <c r="D299" s="156">
        <f>$J$17*F801EVE!D95*$L299</f>
        <v>17.939009375696351</v>
      </c>
      <c r="E299" s="156">
        <f>$J$17*F801EVE!E95*$L299</f>
        <v>17.946496094412993</v>
      </c>
      <c r="F299" s="156">
        <f>$J$17*F801EVE!F95*$L299</f>
        <v>17.607535144917616</v>
      </c>
      <c r="G299" s="156">
        <f>$J$17*F801EVE!G95*$L299</f>
        <v>17.884978082510994</v>
      </c>
      <c r="H299" s="156">
        <f>$J$17*F801EVE!H95*$L299</f>
        <v>17.110026092070925</v>
      </c>
      <c r="I299" s="156">
        <f>$J$17*F801EVE!I95*$L299</f>
        <v>17.190201450391125</v>
      </c>
      <c r="J299" s="156">
        <f t="shared" si="70"/>
        <v>105.67824624000001</v>
      </c>
      <c r="K299" s="69"/>
      <c r="L299" s="319">
        <v>1</v>
      </c>
    </row>
    <row r="300" spans="2:12" s="37" customFormat="1" ht="15.75">
      <c r="B300" s="48"/>
      <c r="C300" s="160" t="s">
        <v>305</v>
      </c>
      <c r="D300" s="156">
        <f>$J$17*F801EVE!D96*$L300</f>
        <v>0</v>
      </c>
      <c r="E300" s="156">
        <f>$J$17*F801EVE!E96*$L300</f>
        <v>0</v>
      </c>
      <c r="F300" s="156">
        <f>$J$17*F801EVE!F96*$L300</f>
        <v>0</v>
      </c>
      <c r="G300" s="156">
        <f>$J$17*F801EVE!G96*$L300</f>
        <v>0</v>
      </c>
      <c r="H300" s="156">
        <f>$J$17*F801EVE!H96*$L300</f>
        <v>0</v>
      </c>
      <c r="I300" s="156">
        <f>$J$17*F801EVE!I96*$L300</f>
        <v>0</v>
      </c>
      <c r="J300" s="156">
        <f t="shared" si="70"/>
        <v>0</v>
      </c>
      <c r="K300" s="69"/>
      <c r="L300" s="319">
        <v>0.95</v>
      </c>
    </row>
    <row r="301" spans="2:12" s="37" customFormat="1" ht="15.75">
      <c r="B301" s="48"/>
      <c r="C301" s="160" t="s">
        <v>307</v>
      </c>
      <c r="D301" s="156">
        <f>$J$17*F801EVE!D97*$L301</f>
        <v>0</v>
      </c>
      <c r="E301" s="156">
        <f>$J$17*F801EVE!E97*$L301</f>
        <v>0</v>
      </c>
      <c r="F301" s="156">
        <f>$J$17*F801EVE!F97*$L301</f>
        <v>0</v>
      </c>
      <c r="G301" s="156">
        <f>$J$17*F801EVE!G97*$L301</f>
        <v>0</v>
      </c>
      <c r="H301" s="156">
        <f>$J$17*F801EVE!H97*$L301</f>
        <v>0</v>
      </c>
      <c r="I301" s="156">
        <f>$J$17*F801EVE!I97*$L301</f>
        <v>0</v>
      </c>
      <c r="J301" s="156">
        <f t="shared" si="70"/>
        <v>0</v>
      </c>
      <c r="K301" s="69"/>
      <c r="L301" s="319">
        <v>0.5</v>
      </c>
    </row>
    <row r="302" spans="2:12" s="37" customFormat="1" ht="15.75">
      <c r="B302" s="48"/>
      <c r="C302" s="160" t="s">
        <v>624</v>
      </c>
      <c r="D302" s="156">
        <f>$J$17*F801EVE!D98*$L302</f>
        <v>0</v>
      </c>
      <c r="E302" s="156">
        <f>$J$17*F801EVE!E98*$L302</f>
        <v>0</v>
      </c>
      <c r="F302" s="156">
        <f>$J$17*F801EVE!F98*$L302</f>
        <v>0</v>
      </c>
      <c r="G302" s="156">
        <f>$J$17*F801EVE!G98*$L302</f>
        <v>0</v>
      </c>
      <c r="H302" s="156">
        <f>$J$17*F801EVE!H98*$L302</f>
        <v>0</v>
      </c>
      <c r="I302" s="156">
        <f>$J$17*F801EVE!I98*$L302</f>
        <v>0</v>
      </c>
      <c r="J302" s="156">
        <f t="shared" si="70"/>
        <v>0</v>
      </c>
      <c r="K302" s="69"/>
      <c r="L302" s="319">
        <v>0</v>
      </c>
    </row>
    <row r="303" spans="2:12" s="37" customFormat="1" ht="15.75">
      <c r="B303" s="48" t="s">
        <v>902</v>
      </c>
      <c r="C303" s="158" t="s">
        <v>900</v>
      </c>
      <c r="D303" s="159">
        <f t="shared" ref="D303:I303" si="72">SUM(D304:D309)</f>
        <v>232.31509583603219</v>
      </c>
      <c r="E303" s="159">
        <f t="shared" si="72"/>
        <v>232.41205089858488</v>
      </c>
      <c r="F303" s="159">
        <f t="shared" si="72"/>
        <v>228.022413554765</v>
      </c>
      <c r="G303" s="159">
        <f t="shared" si="72"/>
        <v>231.6153757572018</v>
      </c>
      <c r="H303" s="159">
        <f t="shared" si="72"/>
        <v>221.57953474965342</v>
      </c>
      <c r="I303" s="159">
        <f t="shared" si="72"/>
        <v>222.61782764876295</v>
      </c>
      <c r="J303" s="159">
        <f t="shared" si="70"/>
        <v>1368.5622984450001</v>
      </c>
      <c r="K303" s="69"/>
      <c r="L303" s="319"/>
    </row>
    <row r="304" spans="2:12" s="37" customFormat="1" ht="15.75">
      <c r="B304" s="48"/>
      <c r="C304" s="160" t="s">
        <v>304</v>
      </c>
      <c r="D304" s="156">
        <f>$J$17*F801EVE!D100*$L304</f>
        <v>225.69511128728934</v>
      </c>
      <c r="E304" s="156">
        <f>$J$17*F801EVE!E100*$L304</f>
        <v>225.78930354610037</v>
      </c>
      <c r="F304" s="156">
        <f>$J$17*F801EVE!F100*$L304</f>
        <v>221.52475205297003</v>
      </c>
      <c r="G304" s="156">
        <f>$J$17*F801EVE!G100*$L304</f>
        <v>225.01533023176535</v>
      </c>
      <c r="H304" s="156">
        <f>$J$17*F801EVE!H100*$L304</f>
        <v>215.26546768017792</v>
      </c>
      <c r="I304" s="156">
        <f>$J$17*F801EVE!I100*$L304</f>
        <v>216.27417368169719</v>
      </c>
      <c r="J304" s="156">
        <f t="shared" si="70"/>
        <v>1329.5641384800001</v>
      </c>
      <c r="K304" s="69"/>
      <c r="L304" s="319">
        <v>1</v>
      </c>
    </row>
    <row r="305" spans="2:12" s="37" customFormat="1" ht="15.75">
      <c r="B305" s="48"/>
      <c r="C305" s="162" t="s">
        <v>642</v>
      </c>
      <c r="D305" s="156">
        <f>$J$17*F801EVE!D101*$L305</f>
        <v>6.6199845487428393</v>
      </c>
      <c r="E305" s="156">
        <f>$J$17*F801EVE!E101*$L305</f>
        <v>6.622747352484506</v>
      </c>
      <c r="F305" s="156">
        <f>$J$17*F801EVE!F101*$L305</f>
        <v>6.4976615017949655</v>
      </c>
      <c r="G305" s="156">
        <f>$J$17*F801EVE!G101*$L305</f>
        <v>6.6000455254364443</v>
      </c>
      <c r="H305" s="156">
        <f>$J$17*F801EVE!H101*$L305</f>
        <v>6.3140670694754863</v>
      </c>
      <c r="I305" s="156">
        <f>$J$17*F801EVE!I101*$L305</f>
        <v>6.3436539670657588</v>
      </c>
      <c r="J305" s="156">
        <f t="shared" si="70"/>
        <v>38.998159964999999</v>
      </c>
      <c r="K305" s="69"/>
      <c r="L305" s="319">
        <v>0.75</v>
      </c>
    </row>
    <row r="306" spans="2:12" s="37" customFormat="1" ht="15.75">
      <c r="B306" s="48"/>
      <c r="C306" s="162" t="s">
        <v>1177</v>
      </c>
      <c r="D306" s="156">
        <f>$J$17*F801EVE!D102*$L306</f>
        <v>0</v>
      </c>
      <c r="E306" s="156">
        <f>$J$17*F801EVE!E102*$L306</f>
        <v>0</v>
      </c>
      <c r="F306" s="156">
        <f>$J$17*F801EVE!F102*$L306</f>
        <v>0</v>
      </c>
      <c r="G306" s="156">
        <f>$J$17*F801EVE!G102*$L306</f>
        <v>0</v>
      </c>
      <c r="H306" s="156">
        <f>$J$17*F801EVE!H102*$L306</f>
        <v>0</v>
      </c>
      <c r="I306" s="156">
        <f>$J$17*F801EVE!I102*$L306</f>
        <v>0</v>
      </c>
      <c r="J306" s="156">
        <f t="shared" si="70"/>
        <v>0</v>
      </c>
      <c r="K306" s="69"/>
      <c r="L306" s="319">
        <v>1</v>
      </c>
    </row>
    <row r="307" spans="2:12" s="37" customFormat="1" ht="15.75">
      <c r="B307" s="48"/>
      <c r="C307" s="160" t="s">
        <v>305</v>
      </c>
      <c r="D307" s="156">
        <f>$J$17*F801EVE!D103*$L307</f>
        <v>0</v>
      </c>
      <c r="E307" s="156">
        <f>$J$17*F801EVE!E103*$L307</f>
        <v>0</v>
      </c>
      <c r="F307" s="156">
        <f>$J$17*F801EVE!F103*$L307</f>
        <v>0</v>
      </c>
      <c r="G307" s="156">
        <f>$J$17*F801EVE!G103*$L307</f>
        <v>0</v>
      </c>
      <c r="H307" s="156">
        <f>$J$17*F801EVE!H103*$L307</f>
        <v>0</v>
      </c>
      <c r="I307" s="156">
        <f>$J$17*F801EVE!I103*$L307</f>
        <v>0</v>
      </c>
      <c r="J307" s="156">
        <f t="shared" si="70"/>
        <v>0</v>
      </c>
      <c r="K307" s="69"/>
      <c r="L307" s="319">
        <v>0.95</v>
      </c>
    </row>
    <row r="308" spans="2:12" s="37" customFormat="1" ht="15.75">
      <c r="B308" s="48"/>
      <c r="C308" s="160" t="s">
        <v>307</v>
      </c>
      <c r="D308" s="156">
        <f>$J$17*F801EVE!D104*$L308</f>
        <v>0</v>
      </c>
      <c r="E308" s="156">
        <f>$J$17*F801EVE!E104*$L308</f>
        <v>0</v>
      </c>
      <c r="F308" s="156">
        <f>$J$17*F801EVE!F104*$L308</f>
        <v>0</v>
      </c>
      <c r="G308" s="156">
        <f>$J$17*F801EVE!G104*$L308</f>
        <v>0</v>
      </c>
      <c r="H308" s="156">
        <f>$J$17*F801EVE!H104*$L308</f>
        <v>0</v>
      </c>
      <c r="I308" s="156">
        <f>$J$17*F801EVE!I104*$L308</f>
        <v>0</v>
      </c>
      <c r="J308" s="156">
        <f t="shared" si="70"/>
        <v>0</v>
      </c>
      <c r="K308" s="69"/>
      <c r="L308" s="319">
        <v>0.5</v>
      </c>
    </row>
    <row r="309" spans="2:12" s="37" customFormat="1" ht="15.75">
      <c r="B309" s="48"/>
      <c r="C309" s="160" t="s">
        <v>624</v>
      </c>
      <c r="D309" s="156">
        <f>$J$17*F801EVE!D105*$L309</f>
        <v>0</v>
      </c>
      <c r="E309" s="156">
        <f>$J$17*F801EVE!E105*$L309</f>
        <v>0</v>
      </c>
      <c r="F309" s="156">
        <f>$J$17*F801EVE!F105*$L309</f>
        <v>0</v>
      </c>
      <c r="G309" s="156">
        <f>$J$17*F801EVE!G105*$L309</f>
        <v>0</v>
      </c>
      <c r="H309" s="156">
        <f>$J$17*F801EVE!H105*$L309</f>
        <v>0</v>
      </c>
      <c r="I309" s="156">
        <f>$J$17*F801EVE!I105*$L309</f>
        <v>0</v>
      </c>
      <c r="J309" s="156">
        <f t="shared" si="70"/>
        <v>0</v>
      </c>
      <c r="K309" s="69"/>
      <c r="L309" s="319">
        <v>0</v>
      </c>
    </row>
    <row r="310" spans="2:12" s="37" customFormat="1" ht="15.75">
      <c r="B310" s="48"/>
      <c r="C310" s="157"/>
      <c r="D310" s="156"/>
      <c r="E310" s="156"/>
      <c r="F310" s="156"/>
      <c r="G310" s="156"/>
      <c r="H310" s="156"/>
      <c r="I310" s="156"/>
      <c r="J310" s="156"/>
      <c r="K310" s="69"/>
      <c r="L310" s="319"/>
    </row>
    <row r="311" spans="2:12" s="37" customFormat="1" ht="15.75">
      <c r="B311" s="48"/>
      <c r="C311" s="153" t="s">
        <v>112</v>
      </c>
      <c r="D311" s="154">
        <f t="shared" ref="D311:I311" si="73">D234+D224+D220</f>
        <v>509118.2456083381</v>
      </c>
      <c r="E311" s="154">
        <f t="shared" si="73"/>
        <v>509330.72250817978</v>
      </c>
      <c r="F311" s="154">
        <f t="shared" si="73"/>
        <v>499710.8376905364</v>
      </c>
      <c r="G311" s="154">
        <f t="shared" si="73"/>
        <v>507584.8099197573</v>
      </c>
      <c r="H311" s="154">
        <f t="shared" si="73"/>
        <v>485591.27674628887</v>
      </c>
      <c r="I311" s="154">
        <f t="shared" si="73"/>
        <v>487866.69435236359</v>
      </c>
      <c r="J311" s="154">
        <f>SUM(D311:I311)</f>
        <v>2999202.5868254644</v>
      </c>
      <c r="K311" s="69"/>
      <c r="L311" s="319"/>
    </row>
    <row r="312" spans="2:12">
      <c r="C312" s="48"/>
      <c r="D312" s="48"/>
      <c r="E312" s="48"/>
      <c r="F312" s="48"/>
      <c r="G312" s="48"/>
      <c r="H312" s="48"/>
      <c r="I312" s="48"/>
      <c r="J312" s="48"/>
    </row>
    <row r="313" spans="2:12" s="69" customFormat="1" ht="33">
      <c r="B313" s="48"/>
      <c r="C313" s="320" t="s">
        <v>1455</v>
      </c>
      <c r="D313" s="320"/>
      <c r="E313" s="320"/>
      <c r="F313" s="320"/>
      <c r="G313" s="320"/>
      <c r="H313" s="320"/>
      <c r="I313" s="320"/>
      <c r="J313" s="321"/>
      <c r="L313" s="319"/>
    </row>
    <row r="314" spans="2:12" s="37" customFormat="1" ht="15.75">
      <c r="B314" s="48"/>
      <c r="C314" s="150" t="s">
        <v>310</v>
      </c>
      <c r="D314" s="151">
        <f t="shared" ref="D314:I314" si="74">D$29</f>
        <v>46204</v>
      </c>
      <c r="E314" s="151">
        <f t="shared" si="74"/>
        <v>46235</v>
      </c>
      <c r="F314" s="151">
        <f t="shared" si="74"/>
        <v>46266</v>
      </c>
      <c r="G314" s="151">
        <f t="shared" si="74"/>
        <v>46296</v>
      </c>
      <c r="H314" s="151">
        <f t="shared" si="74"/>
        <v>46327</v>
      </c>
      <c r="I314" s="151">
        <f t="shared" si="74"/>
        <v>46357</v>
      </c>
      <c r="J314" s="152" t="s">
        <v>111</v>
      </c>
      <c r="K314" s="69"/>
      <c r="L314" s="319"/>
    </row>
    <row r="315" spans="2:12" s="37" customFormat="1" ht="15.75">
      <c r="B315" s="48"/>
      <c r="C315" s="334" t="s">
        <v>446</v>
      </c>
      <c r="D315" s="154">
        <f t="shared" ref="D315:I315" si="75">D316+D317+D320</f>
        <v>31946.41520225416</v>
      </c>
      <c r="E315" s="154">
        <f t="shared" si="75"/>
        <v>30025.405684754107</v>
      </c>
      <c r="F315" s="154">
        <f t="shared" si="75"/>
        <v>30498.628266046537</v>
      </c>
      <c r="G315" s="154">
        <f t="shared" si="75"/>
        <v>34786.134178146727</v>
      </c>
      <c r="H315" s="154">
        <f t="shared" si="75"/>
        <v>28471.151842715793</v>
      </c>
      <c r="I315" s="154">
        <f t="shared" si="75"/>
        <v>32900.035288885869</v>
      </c>
      <c r="J315" s="154">
        <f t="shared" ref="J315:J342" si="76">SUM(D315:I315)</f>
        <v>188627.77046280319</v>
      </c>
      <c r="K315" s="69"/>
      <c r="L315" s="319"/>
    </row>
    <row r="316" spans="2:12" s="37" customFormat="1" ht="15.75">
      <c r="B316" s="48" t="s">
        <v>870</v>
      </c>
      <c r="C316" s="157" t="s">
        <v>1029</v>
      </c>
      <c r="D316" s="156">
        <f>$J$7*F801EVE!D116</f>
        <v>18472.66233106545</v>
      </c>
      <c r="E316" s="156">
        <f>$J$7*F801EVE!E116</f>
        <v>16721.027031903297</v>
      </c>
      <c r="F316" s="156">
        <f>$J$7*F801EVE!F116</f>
        <v>16901.139358653927</v>
      </c>
      <c r="G316" s="156">
        <f>$J$7*F801EVE!G116</f>
        <v>19379.427240143788</v>
      </c>
      <c r="H316" s="156">
        <f>$J$7*F801EVE!H116</f>
        <v>13463.76201209865</v>
      </c>
      <c r="I316" s="156">
        <f>$J$7*F801EVE!I116</f>
        <v>17361.112641057811</v>
      </c>
      <c r="J316" s="154">
        <f t="shared" si="76"/>
        <v>102299.13061492293</v>
      </c>
      <c r="K316" s="69"/>
      <c r="L316" s="319"/>
    </row>
    <row r="317" spans="2:12" s="37" customFormat="1" ht="15.75">
      <c r="B317" s="48" t="s">
        <v>871</v>
      </c>
      <c r="C317" s="335" t="s">
        <v>193</v>
      </c>
      <c r="D317" s="154">
        <f t="shared" ref="D317:I317" si="77">SUM(D318:D319)</f>
        <v>8818.9473361886994</v>
      </c>
      <c r="E317" s="154">
        <f t="shared" si="77"/>
        <v>8649.5731178507995</v>
      </c>
      <c r="F317" s="154">
        <f t="shared" si="77"/>
        <v>8942.6833723925993</v>
      </c>
      <c r="G317" s="154">
        <f t="shared" si="77"/>
        <v>10751.90140300293</v>
      </c>
      <c r="H317" s="154">
        <f t="shared" si="77"/>
        <v>10352.584295617138</v>
      </c>
      <c r="I317" s="154">
        <f t="shared" si="77"/>
        <v>10884.117112828049</v>
      </c>
      <c r="J317" s="154">
        <f t="shared" si="76"/>
        <v>58399.806637880218</v>
      </c>
      <c r="K317" s="69"/>
      <c r="L317" s="319"/>
    </row>
    <row r="318" spans="2:12" s="37" customFormat="1" ht="15.75">
      <c r="B318" s="48"/>
      <c r="C318" s="157" t="s">
        <v>1030</v>
      </c>
      <c r="D318" s="156">
        <f>+$J$8*F801EVE!D118</f>
        <v>0</v>
      </c>
      <c r="E318" s="156">
        <f>+$J$8*F801EVE!E118</f>
        <v>0</v>
      </c>
      <c r="F318" s="156">
        <f>+$J$8*F801EVE!F118</f>
        <v>0</v>
      </c>
      <c r="G318" s="156">
        <f>+$J$8*F801EVE!G118</f>
        <v>0</v>
      </c>
      <c r="H318" s="156">
        <f>+$J$8*F801EVE!H118</f>
        <v>0</v>
      </c>
      <c r="I318" s="156">
        <f>+$J$8*F801EVE!I118</f>
        <v>0</v>
      </c>
      <c r="J318" s="154">
        <f t="shared" si="76"/>
        <v>0</v>
      </c>
      <c r="K318" s="69"/>
      <c r="L318" s="319"/>
    </row>
    <row r="319" spans="2:12" s="37" customFormat="1" ht="15.75">
      <c r="B319" s="48"/>
      <c r="C319" s="157" t="s">
        <v>1476</v>
      </c>
      <c r="D319" s="156">
        <f>+$J$8*F801EVE!D119</f>
        <v>8818.9473361886994</v>
      </c>
      <c r="E319" s="156">
        <f>+$J$8*F801EVE!E119</f>
        <v>8649.5731178507995</v>
      </c>
      <c r="F319" s="156">
        <f>+$J$8*F801EVE!F119</f>
        <v>8942.6833723925993</v>
      </c>
      <c r="G319" s="156">
        <f>+$J$8*F801EVE!G119</f>
        <v>10751.90140300293</v>
      </c>
      <c r="H319" s="156">
        <f>+$J$8*F801EVE!H119</f>
        <v>10352.584295617138</v>
      </c>
      <c r="I319" s="156">
        <f>+$J$8*F801EVE!I119</f>
        <v>10884.117112828049</v>
      </c>
      <c r="J319" s="154">
        <f t="shared" si="76"/>
        <v>58399.806637880218</v>
      </c>
      <c r="K319" s="69"/>
      <c r="L319" s="319"/>
    </row>
    <row r="320" spans="2:12" s="37" customFormat="1" ht="15.75">
      <c r="B320" s="48" t="s">
        <v>893</v>
      </c>
      <c r="C320" s="153" t="s">
        <v>942</v>
      </c>
      <c r="D320" s="154">
        <f>+$J$8*F801EVE!D120</f>
        <v>4654.8055350000086</v>
      </c>
      <c r="E320" s="154">
        <f>+$J$8*F801EVE!E120</f>
        <v>4654.8055350000086</v>
      </c>
      <c r="F320" s="154">
        <f>+$J$8*F801EVE!F120</f>
        <v>4654.8055350000086</v>
      </c>
      <c r="G320" s="154">
        <f>+$J$8*F801EVE!G120</f>
        <v>4654.8055350000086</v>
      </c>
      <c r="H320" s="154">
        <f>+$J$8*F801EVE!H120</f>
        <v>4654.8055350000086</v>
      </c>
      <c r="I320" s="154">
        <f>+$J$8*F801EVE!I120</f>
        <v>4654.8055350000086</v>
      </c>
      <c r="J320" s="154">
        <f t="shared" si="76"/>
        <v>27928.833210000048</v>
      </c>
      <c r="K320" s="69"/>
      <c r="L320" s="319"/>
    </row>
    <row r="321" spans="2:12" s="37" customFormat="1" ht="15.75">
      <c r="B321" s="48"/>
      <c r="C321" s="334" t="s">
        <v>630</v>
      </c>
      <c r="D321" s="154">
        <f t="shared" ref="D321:I321" si="78">D322+D327</f>
        <v>100396.06930005261</v>
      </c>
      <c r="E321" s="154">
        <f t="shared" si="78"/>
        <v>99758.292445364554</v>
      </c>
      <c r="F321" s="154">
        <f t="shared" si="78"/>
        <v>96948.756971102135</v>
      </c>
      <c r="G321" s="154">
        <f t="shared" si="78"/>
        <v>101458.89987385581</v>
      </c>
      <c r="H321" s="154">
        <f t="shared" si="78"/>
        <v>93865.559295645537</v>
      </c>
      <c r="I321" s="154">
        <f t="shared" si="78"/>
        <v>99167.730540080025</v>
      </c>
      <c r="J321" s="154">
        <f t="shared" si="76"/>
        <v>591595.30842610064</v>
      </c>
      <c r="K321" s="69"/>
      <c r="L321" s="319"/>
    </row>
    <row r="322" spans="2:12" s="37" customFormat="1" ht="15.75">
      <c r="B322" s="48" t="s">
        <v>872</v>
      </c>
      <c r="C322" s="335" t="s">
        <v>1073</v>
      </c>
      <c r="D322" s="154">
        <f t="shared" ref="D322:I322" si="79">SUM(D323:D326)</f>
        <v>19337.840312919565</v>
      </c>
      <c r="E322" s="154">
        <f t="shared" si="79"/>
        <v>19519.474302783903</v>
      </c>
      <c r="F322" s="154">
        <f t="shared" si="79"/>
        <v>18987.89810064435</v>
      </c>
      <c r="G322" s="154">
        <f t="shared" si="79"/>
        <v>20351.476613887651</v>
      </c>
      <c r="H322" s="154">
        <f t="shared" si="79"/>
        <v>19082.497782717903</v>
      </c>
      <c r="I322" s="154">
        <f t="shared" si="79"/>
        <v>18979.689458126733</v>
      </c>
      <c r="J322" s="154">
        <f t="shared" si="76"/>
        <v>116258.87657108009</v>
      </c>
      <c r="K322" s="69"/>
      <c r="L322" s="319"/>
    </row>
    <row r="323" spans="2:12" s="37" customFormat="1" ht="15.75">
      <c r="B323" s="48"/>
      <c r="C323" s="157" t="s">
        <v>1477</v>
      </c>
      <c r="D323" s="156">
        <f>$J$9*F801EVE!D124</f>
        <v>12892.287474977198</v>
      </c>
      <c r="E323" s="156">
        <f>$J$9*F801EVE!E124</f>
        <v>12856.757477916319</v>
      </c>
      <c r="F323" s="156">
        <f>$J$9*F801EVE!F124</f>
        <v>12251.608634030963</v>
      </c>
      <c r="G323" s="156">
        <f>$J$9*F801EVE!G124</f>
        <v>12700.070681119694</v>
      </c>
      <c r="H323" s="156">
        <f>$J$9*F801EVE!H124</f>
        <v>11730.873846476146</v>
      </c>
      <c r="I323" s="156">
        <f>$J$9*F801EVE!I124</f>
        <v>11653.386776564083</v>
      </c>
      <c r="J323" s="154">
        <f t="shared" si="76"/>
        <v>74084.984891084401</v>
      </c>
      <c r="K323" s="69"/>
    </row>
    <row r="324" spans="2:12" s="37" customFormat="1" ht="15.75">
      <c r="B324" s="48"/>
      <c r="C324" s="157" t="s">
        <v>1477</v>
      </c>
      <c r="D324" s="156">
        <f>$J$9*F801EVE!D125</f>
        <v>623.39271420145133</v>
      </c>
      <c r="E324" s="156">
        <f>$J$9*F801EVE!E125</f>
        <v>635.33899135776358</v>
      </c>
      <c r="F324" s="156">
        <f>$J$9*F801EVE!F125</f>
        <v>670.03438006676856</v>
      </c>
      <c r="G324" s="156">
        <f>$J$9*F801EVE!G125</f>
        <v>721.88782945483069</v>
      </c>
      <c r="H324" s="156">
        <f>$J$9*F801EVE!H125</f>
        <v>779.87860860190563</v>
      </c>
      <c r="I324" s="156">
        <f>$J$9*F801EVE!I125</f>
        <v>435.11586241475425</v>
      </c>
      <c r="J324" s="154">
        <f t="shared" si="76"/>
        <v>3865.6483860974736</v>
      </c>
      <c r="K324" s="69"/>
    </row>
    <row r="325" spans="2:12" s="37" customFormat="1" ht="15.75">
      <c r="B325" s="48"/>
      <c r="C325" s="157" t="s">
        <v>1477</v>
      </c>
      <c r="D325" s="156">
        <f>$J$9*F801EVE!D126</f>
        <v>233.4034360668573</v>
      </c>
      <c r="E325" s="156">
        <f>$J$9*F801EVE!E126</f>
        <v>228.10305169250276</v>
      </c>
      <c r="F325" s="156">
        <f>$J$9*F801EVE!F126</f>
        <v>220.2392938025875</v>
      </c>
      <c r="G325" s="156">
        <f>$J$9*F801EVE!G126</f>
        <v>236.13084162782471</v>
      </c>
      <c r="H325" s="156">
        <f>$J$9*F801EVE!H126</f>
        <v>227.89805984535121</v>
      </c>
      <c r="I325" s="156">
        <f>$J$9*F801EVE!I126</f>
        <v>218.42884498818825</v>
      </c>
      <c r="J325" s="154">
        <f>SUM(D325:I325)</f>
        <v>1364.2035280233117</v>
      </c>
      <c r="K325" s="69"/>
    </row>
    <row r="326" spans="2:12" s="37" customFormat="1" ht="15.75">
      <c r="B326" s="48"/>
      <c r="C326" s="157" t="s">
        <v>1477</v>
      </c>
      <c r="D326" s="156">
        <f>$J$9*F801EVE!D127</f>
        <v>5588.7566876740575</v>
      </c>
      <c r="E326" s="156">
        <f>$J$9*F801EVE!E127</f>
        <v>5799.2747818173184</v>
      </c>
      <c r="F326" s="156">
        <f>$J$9*F801EVE!F127</f>
        <v>5846.0157927440305</v>
      </c>
      <c r="G326" s="156">
        <f>$J$9*F801EVE!G127</f>
        <v>6693.3872616853023</v>
      </c>
      <c r="H326" s="156">
        <f>$J$9*F801EVE!H127</f>
        <v>6343.847267794501</v>
      </c>
      <c r="I326" s="156">
        <f>$J$9*F801EVE!I127</f>
        <v>6672.7579741597074</v>
      </c>
      <c r="J326" s="154">
        <f>SUM(D326:I326)</f>
        <v>36944.039765874921</v>
      </c>
      <c r="K326" s="69"/>
    </row>
    <row r="327" spans="2:12" s="37" customFormat="1" ht="15.75">
      <c r="B327" s="48" t="s">
        <v>873</v>
      </c>
      <c r="C327" s="335" t="s">
        <v>193</v>
      </c>
      <c r="D327" s="154">
        <f t="shared" ref="D327:I327" si="80">SUM(D328:D332)</f>
        <v>81058.228987133043</v>
      </c>
      <c r="E327" s="154">
        <f t="shared" si="80"/>
        <v>80238.818142580654</v>
      </c>
      <c r="F327" s="154">
        <f t="shared" si="80"/>
        <v>77960.858870457785</v>
      </c>
      <c r="G327" s="154">
        <f t="shared" si="80"/>
        <v>81107.423259968171</v>
      </c>
      <c r="H327" s="154">
        <f t="shared" si="80"/>
        <v>74783.061512927641</v>
      </c>
      <c r="I327" s="154">
        <f t="shared" si="80"/>
        <v>80188.041081953299</v>
      </c>
      <c r="J327" s="154">
        <f t="shared" si="76"/>
        <v>475336.43185502058</v>
      </c>
      <c r="K327" s="69"/>
    </row>
    <row r="328" spans="2:12" s="37" customFormat="1" ht="15.75">
      <c r="B328" s="48"/>
      <c r="C328" s="157" t="s">
        <v>1031</v>
      </c>
      <c r="D328" s="156">
        <f>$J$10*F801EVE!D129</f>
        <v>0</v>
      </c>
      <c r="E328" s="156">
        <f>$J$10*F801EVE!E129</f>
        <v>0</v>
      </c>
      <c r="F328" s="156">
        <f>$J$10*F801EVE!F129</f>
        <v>0</v>
      </c>
      <c r="G328" s="156">
        <f>$J$10*F801EVE!G129</f>
        <v>0</v>
      </c>
      <c r="H328" s="156">
        <f>$J$10*F801EVE!H129</f>
        <v>0</v>
      </c>
      <c r="I328" s="156">
        <f>$J$10*F801EVE!I129</f>
        <v>0</v>
      </c>
      <c r="J328" s="154">
        <f t="shared" si="76"/>
        <v>0</v>
      </c>
      <c r="K328" s="69"/>
    </row>
    <row r="329" spans="2:12" s="37" customFormat="1" ht="15.75">
      <c r="B329" s="48"/>
      <c r="C329" s="157" t="s">
        <v>1478</v>
      </c>
      <c r="D329" s="156">
        <f>$J$10*F801EVE!D130</f>
        <v>52839.053031731812</v>
      </c>
      <c r="E329" s="156">
        <f>$J$10*F801EVE!E130</f>
        <v>52707.834025206677</v>
      </c>
      <c r="F329" s="156">
        <f>$J$10*F801EVE!F130</f>
        <v>48011.655825644819</v>
      </c>
      <c r="G329" s="156">
        <f>$J$10*F801EVE!G130</f>
        <v>49770.562012974646</v>
      </c>
      <c r="H329" s="156">
        <f>$J$10*F801EVE!H130</f>
        <v>45457.831412912332</v>
      </c>
      <c r="I329" s="156">
        <f>$J$10*F801EVE!I130</f>
        <v>48147.201377582351</v>
      </c>
      <c r="J329" s="154">
        <f t="shared" si="76"/>
        <v>296934.13768605259</v>
      </c>
      <c r="K329" s="69"/>
    </row>
    <row r="330" spans="2:12" s="37" customFormat="1" ht="15.75">
      <c r="B330" s="48"/>
      <c r="C330" s="157" t="s">
        <v>1478</v>
      </c>
      <c r="D330" s="156">
        <f>$J$10*F801EVE!D131</f>
        <v>3722.2710932896198</v>
      </c>
      <c r="E330" s="156">
        <f>$J$10*F801EVE!E131</f>
        <v>3302.5269003868802</v>
      </c>
      <c r="F330" s="156">
        <f>$J$10*F801EVE!F131</f>
        <v>3667.7280492213299</v>
      </c>
      <c r="G330" s="156">
        <f>$J$10*F801EVE!G131</f>
        <v>3210.2475743845807</v>
      </c>
      <c r="H330" s="156">
        <f>$J$10*F801EVE!H131</f>
        <v>3067.1028856213211</v>
      </c>
      <c r="I330" s="156">
        <f>$J$10*F801EVE!I131</f>
        <v>3436.02674562316</v>
      </c>
      <c r="J330" s="154">
        <f t="shared" si="76"/>
        <v>20405.903248526891</v>
      </c>
      <c r="K330" s="69"/>
    </row>
    <row r="331" spans="2:12" s="37" customFormat="1" ht="15.75">
      <c r="B331" s="48"/>
      <c r="C331" s="157" t="s">
        <v>1478</v>
      </c>
      <c r="D331" s="156">
        <f>$J$10*F801EVE!D132</f>
        <v>3512.3872090678201</v>
      </c>
      <c r="E331" s="156">
        <f>$J$10*F801EVE!E132</f>
        <v>3628.4634610134303</v>
      </c>
      <c r="F331" s="156">
        <f>$J$10*F801EVE!F132</f>
        <v>3481.1948299805108</v>
      </c>
      <c r="G331" s="156">
        <f>$J$10*F801EVE!G132</f>
        <v>3646.7889233273108</v>
      </c>
      <c r="H331" s="156">
        <f>$J$10*F801EVE!H132</f>
        <v>3226.9938294564904</v>
      </c>
      <c r="I331" s="156">
        <f>$J$10*F801EVE!I132</f>
        <v>3647.6305783168214</v>
      </c>
      <c r="J331" s="154">
        <f t="shared" si="76"/>
        <v>21143.458831162385</v>
      </c>
      <c r="K331" s="69"/>
    </row>
    <row r="332" spans="2:12" s="37" customFormat="1" ht="15.75">
      <c r="B332" s="48"/>
      <c r="C332" s="157" t="s">
        <v>1478</v>
      </c>
      <c r="D332" s="156">
        <f>$J$10*F801EVE!D133</f>
        <v>20984.517653043782</v>
      </c>
      <c r="E332" s="156">
        <f>$J$10*F801EVE!E133</f>
        <v>20599.993755973657</v>
      </c>
      <c r="F332" s="156">
        <f>$J$10*F801EVE!F133</f>
        <v>22800.280165611122</v>
      </c>
      <c r="G332" s="156">
        <f>$J$10*F801EVE!G133</f>
        <v>24479.824749281641</v>
      </c>
      <c r="H332" s="156">
        <f>$J$10*F801EVE!H133</f>
        <v>23031.133384937486</v>
      </c>
      <c r="I332" s="156">
        <f>$J$10*F801EVE!I133</f>
        <v>24957.182380430972</v>
      </c>
      <c r="J332" s="154">
        <f t="shared" si="76"/>
        <v>136852.93208927868</v>
      </c>
      <c r="K332" s="69"/>
    </row>
    <row r="333" spans="2:12" s="37" customFormat="1" ht="15.75">
      <c r="B333" s="48"/>
      <c r="C333" s="334" t="s">
        <v>443</v>
      </c>
      <c r="D333" s="154">
        <f t="shared" ref="D333:I333" si="81">D334+D335</f>
        <v>16270.945282724766</v>
      </c>
      <c r="E333" s="154">
        <f t="shared" si="81"/>
        <v>15974.129861248774</v>
      </c>
      <c r="F333" s="154">
        <f t="shared" si="81"/>
        <v>16191.39197810232</v>
      </c>
      <c r="G333" s="154">
        <f t="shared" si="81"/>
        <v>17055.463823390251</v>
      </c>
      <c r="H333" s="154">
        <f t="shared" si="81"/>
        <v>15721.419630173037</v>
      </c>
      <c r="I333" s="154">
        <f t="shared" si="81"/>
        <v>17624.959638576587</v>
      </c>
      <c r="J333" s="154">
        <f t="shared" si="76"/>
        <v>98838.310214215744</v>
      </c>
      <c r="K333" s="69"/>
    </row>
    <row r="334" spans="2:12" s="37" customFormat="1" ht="15.75">
      <c r="B334" s="48" t="s">
        <v>874</v>
      </c>
      <c r="C334" s="157" t="s">
        <v>1479</v>
      </c>
      <c r="D334" s="156">
        <f>$J$11*F801EVE!D137</f>
        <v>526.7324741561099</v>
      </c>
      <c r="E334" s="156">
        <f>$J$11*F801EVE!E137</f>
        <v>522.05179334229001</v>
      </c>
      <c r="F334" s="156">
        <f>$J$11*F801EVE!F137</f>
        <v>499.99997712240003</v>
      </c>
      <c r="G334" s="156">
        <f>$J$11*F801EVE!G137</f>
        <v>518.5087791929999</v>
      </c>
      <c r="H334" s="156">
        <f>$J$11*F801EVE!H137</f>
        <v>502.13349637749008</v>
      </c>
      <c r="I334" s="156">
        <f>$J$11*F801EVE!I137</f>
        <v>520.25021001900063</v>
      </c>
      <c r="J334" s="154">
        <f t="shared" si="76"/>
        <v>3089.6767302102908</v>
      </c>
      <c r="K334" s="69"/>
    </row>
    <row r="335" spans="2:12" s="37" customFormat="1" ht="15.75">
      <c r="B335" s="48" t="s">
        <v>875</v>
      </c>
      <c r="C335" s="335" t="s">
        <v>193</v>
      </c>
      <c r="D335" s="154">
        <f t="shared" ref="D335:I335" si="82">SUM(D336:D341)</f>
        <v>15744.212808568656</v>
      </c>
      <c r="E335" s="154">
        <f t="shared" si="82"/>
        <v>15452.078067906483</v>
      </c>
      <c r="F335" s="154">
        <f t="shared" si="82"/>
        <v>15691.39200097992</v>
      </c>
      <c r="G335" s="154">
        <f t="shared" si="82"/>
        <v>16536.955044197253</v>
      </c>
      <c r="H335" s="154">
        <f t="shared" si="82"/>
        <v>15219.286133795547</v>
      </c>
      <c r="I335" s="154">
        <f t="shared" si="82"/>
        <v>17104.709428557588</v>
      </c>
      <c r="J335" s="154">
        <f t="shared" si="76"/>
        <v>95748.633484005448</v>
      </c>
      <c r="K335" s="69"/>
    </row>
    <row r="336" spans="2:12" s="37" customFormat="1" ht="15.75">
      <c r="B336" s="48"/>
      <c r="C336" s="157" t="s">
        <v>1032</v>
      </c>
      <c r="D336" s="156">
        <f>$J$12*(F801EVE!D140)</f>
        <v>162.30437001315005</v>
      </c>
      <c r="E336" s="156">
        <f>$J$12*(F801EVE!E140)</f>
        <v>158.04341396442001</v>
      </c>
      <c r="F336" s="156">
        <f>$J$12*(F801EVE!F140)</f>
        <v>161.32141482227999</v>
      </c>
      <c r="G336" s="156">
        <f>$J$12*(F801EVE!G140)</f>
        <v>168.86137999959001</v>
      </c>
      <c r="H336" s="156">
        <f>$J$12*(F801EVE!H140)</f>
        <v>155.65547091780002</v>
      </c>
      <c r="I336" s="156">
        <f>$J$12*(F801EVE!I140)</f>
        <v>164.79621353529001</v>
      </c>
      <c r="J336" s="154">
        <f t="shared" si="76"/>
        <v>970.98226325253006</v>
      </c>
      <c r="K336" s="69"/>
    </row>
    <row r="337" spans="2:11" s="37" customFormat="1" ht="15.75">
      <c r="B337" s="48"/>
      <c r="C337" s="157" t="s">
        <v>1480</v>
      </c>
      <c r="D337" s="156">
        <f>$J$12*(F801EVE!D141)</f>
        <v>10447.830603987126</v>
      </c>
      <c r="E337" s="156">
        <f>$J$12*(F801EVE!E141)</f>
        <v>10197.998169254373</v>
      </c>
      <c r="F337" s="156">
        <f>$J$12*(F801EVE!F141)</f>
        <v>9933.2298597072604</v>
      </c>
      <c r="G337" s="156">
        <f>$J$12*(F801EVE!G141)</f>
        <v>10308.224992523941</v>
      </c>
      <c r="H337" s="156">
        <f>$J$12*(F801EVE!H141)</f>
        <v>9441.9476484225288</v>
      </c>
      <c r="I337" s="156">
        <f>$J$12*(F801EVE!I141)</f>
        <v>10189.050337912106</v>
      </c>
      <c r="J337" s="154">
        <f t="shared" si="76"/>
        <v>60518.281611807339</v>
      </c>
      <c r="K337" s="69"/>
    </row>
    <row r="338" spans="2:11" s="37" customFormat="1" ht="15.75">
      <c r="B338" s="48"/>
      <c r="C338" s="157" t="s">
        <v>1480</v>
      </c>
      <c r="D338" s="156">
        <f>$J$12*(F801EVE!D142)</f>
        <v>205.25356113984006</v>
      </c>
      <c r="E338" s="156">
        <f>$J$12*(F801EVE!E142)</f>
        <v>200.36218761963005</v>
      </c>
      <c r="F338" s="156">
        <f>$J$12*(F801EVE!F142)</f>
        <v>196.92401938946998</v>
      </c>
      <c r="G338" s="156">
        <f>$J$12*(F801EVE!G142)</f>
        <v>200.22614851491008</v>
      </c>
      <c r="H338" s="156">
        <f>$J$12*(F801EVE!H142)</f>
        <v>173.01991210479002</v>
      </c>
      <c r="I338" s="156">
        <f>$J$12*(F801EVE!I142)</f>
        <v>193.81817916644184</v>
      </c>
      <c r="J338" s="154">
        <f t="shared" si="76"/>
        <v>1169.6040079350819</v>
      </c>
      <c r="K338" s="69"/>
    </row>
    <row r="339" spans="2:11" s="37" customFormat="1" ht="15.75">
      <c r="B339" s="48"/>
      <c r="C339" s="157" t="s">
        <v>1480</v>
      </c>
      <c r="D339" s="156">
        <f>$J$12*(F801EVE!D143)</f>
        <v>2116.4245980687901</v>
      </c>
      <c r="E339" s="156">
        <f>$J$12*(F801EVE!E143)</f>
        <v>2037.0967715925001</v>
      </c>
      <c r="F339" s="156">
        <f>$J$12*(F801EVE!F143)</f>
        <v>2008.5489262143001</v>
      </c>
      <c r="G339" s="156">
        <f>$J$12*(F801EVE!G143)</f>
        <v>2097.0046717444802</v>
      </c>
      <c r="H339" s="156">
        <f>$J$12*(F801EVE!H143)</f>
        <v>1854.6036635163598</v>
      </c>
      <c r="I339" s="156">
        <f>$J$12*(F801EVE!I143)</f>
        <v>1882.6322644801387</v>
      </c>
      <c r="J339" s="154">
        <f t="shared" si="76"/>
        <v>11996.310895616569</v>
      </c>
      <c r="K339" s="69"/>
    </row>
    <row r="340" spans="2:11" s="37" customFormat="1" ht="15.75">
      <c r="B340" s="48"/>
      <c r="C340" s="157" t="s">
        <v>1480</v>
      </c>
      <c r="D340" s="156">
        <f>$J$12*(F801EVE!D144)</f>
        <v>2812.3996753597503</v>
      </c>
      <c r="E340" s="156">
        <f>$J$12*(F801EVE!E144)</f>
        <v>2858.5775254755595</v>
      </c>
      <c r="F340" s="156">
        <f>$J$12*(F801EVE!F144)</f>
        <v>3391.3677808466105</v>
      </c>
      <c r="G340" s="156">
        <f>$J$12*(F801EVE!G144)</f>
        <v>3762.6378514143307</v>
      </c>
      <c r="H340" s="156">
        <f>$J$12*(F801EVE!H144)</f>
        <v>3594.0594388340696</v>
      </c>
      <c r="I340" s="156">
        <f>$J$12*(F801EVE!I144)</f>
        <v>4674.4124334636126</v>
      </c>
      <c r="J340" s="154">
        <f t="shared" si="76"/>
        <v>21093.454705393931</v>
      </c>
      <c r="K340" s="69"/>
    </row>
    <row r="341" spans="2:11" s="37" customFormat="1" ht="15.75">
      <c r="B341" s="48"/>
      <c r="C341" s="157"/>
      <c r="D341" s="156"/>
      <c r="E341" s="156"/>
      <c r="F341" s="156"/>
      <c r="G341" s="156"/>
      <c r="H341" s="156"/>
      <c r="I341" s="156"/>
      <c r="J341" s="156">
        <f t="shared" si="76"/>
        <v>0</v>
      </c>
      <c r="K341" s="69"/>
    </row>
    <row r="342" spans="2:11" s="37" customFormat="1" ht="15.75">
      <c r="B342" s="48"/>
      <c r="C342" s="153" t="s">
        <v>112</v>
      </c>
      <c r="D342" s="154">
        <f t="shared" ref="D342:I342" si="83">D315+D321+D333</f>
        <v>148613.42978503153</v>
      </c>
      <c r="E342" s="154">
        <f t="shared" si="83"/>
        <v>145757.82799136743</v>
      </c>
      <c r="F342" s="154">
        <f t="shared" si="83"/>
        <v>143638.777215251</v>
      </c>
      <c r="G342" s="154">
        <f t="shared" si="83"/>
        <v>153300.49787539279</v>
      </c>
      <c r="H342" s="154">
        <f t="shared" si="83"/>
        <v>138058.13076853438</v>
      </c>
      <c r="I342" s="154">
        <f t="shared" si="83"/>
        <v>149692.72546754248</v>
      </c>
      <c r="J342" s="154">
        <f t="shared" si="76"/>
        <v>879061.38910311973</v>
      </c>
      <c r="K342" s="69"/>
    </row>
    <row r="343" spans="2:11" s="37" customFormat="1" ht="13.5">
      <c r="B343" s="48"/>
      <c r="C343" s="48"/>
      <c r="D343" s="48"/>
      <c r="E343" s="48"/>
      <c r="F343" s="48"/>
      <c r="G343" s="48"/>
      <c r="H343" s="48"/>
      <c r="I343" s="48"/>
      <c r="J343" s="48"/>
      <c r="K343" s="48"/>
    </row>
    <row r="344" spans="2:11" s="37" customFormat="1" ht="54" customHeight="1">
      <c r="B344" s="48"/>
      <c r="C344" s="320" t="s">
        <v>1456</v>
      </c>
      <c r="D344" s="320"/>
      <c r="E344" s="320"/>
      <c r="F344" s="320"/>
      <c r="G344" s="320"/>
      <c r="H344" s="320"/>
      <c r="I344" s="320"/>
      <c r="J344" s="321"/>
      <c r="K344" s="69"/>
    </row>
    <row r="345" spans="2:11" s="37" customFormat="1" ht="15.75">
      <c r="B345" s="48"/>
      <c r="C345" s="150" t="s">
        <v>310</v>
      </c>
      <c r="D345" s="151">
        <f t="shared" ref="D345:I345" si="84">D$29</f>
        <v>46204</v>
      </c>
      <c r="E345" s="151">
        <f t="shared" si="84"/>
        <v>46235</v>
      </c>
      <c r="F345" s="151">
        <f t="shared" si="84"/>
        <v>46266</v>
      </c>
      <c r="G345" s="151">
        <f t="shared" si="84"/>
        <v>46296</v>
      </c>
      <c r="H345" s="151">
        <f t="shared" si="84"/>
        <v>46327</v>
      </c>
      <c r="I345" s="151">
        <f t="shared" si="84"/>
        <v>46357</v>
      </c>
      <c r="J345" s="152" t="s">
        <v>111</v>
      </c>
      <c r="K345" s="69"/>
    </row>
    <row r="346" spans="2:11">
      <c r="C346" s="153" t="s">
        <v>230</v>
      </c>
      <c r="D346" s="154">
        <f t="shared" ref="D346:I346" si="85">SUM(D347:D348)</f>
        <v>0</v>
      </c>
      <c r="E346" s="154">
        <f t="shared" si="85"/>
        <v>0</v>
      </c>
      <c r="F346" s="154">
        <f t="shared" si="85"/>
        <v>0</v>
      </c>
      <c r="G346" s="154">
        <f t="shared" si="85"/>
        <v>0</v>
      </c>
      <c r="H346" s="154">
        <f t="shared" si="85"/>
        <v>0</v>
      </c>
      <c r="I346" s="154">
        <f t="shared" si="85"/>
        <v>0</v>
      </c>
      <c r="J346" s="154">
        <f t="shared" ref="J346:J373" si="86">SUM(D346:I346)</f>
        <v>0</v>
      </c>
    </row>
    <row r="347" spans="2:11">
      <c r="B347" s="48" t="s">
        <v>870</v>
      </c>
      <c r="C347" s="157" t="s">
        <v>1029</v>
      </c>
      <c r="D347" s="156">
        <f>F801D!D116*0*(1+D$25)*(1+D$26)</f>
        <v>0</v>
      </c>
      <c r="E347" s="156">
        <f>F801D!E116*0*(1+E$25)*(1+E$26)</f>
        <v>0</v>
      </c>
      <c r="F347" s="156">
        <f>F801D!F116*0*(1+F$25)*(1+F$26)</f>
        <v>0</v>
      </c>
      <c r="G347" s="156">
        <f>F801D!G116*0*(1+G$25)*(1+G$26)</f>
        <v>0</v>
      </c>
      <c r="H347" s="156">
        <f>F801D!H116*0*(1+H$25)*(1+H$26)</f>
        <v>0</v>
      </c>
      <c r="I347" s="156">
        <f>F801D!I116*0*(1+I$25)*(1+I$26)</f>
        <v>0</v>
      </c>
      <c r="J347" s="154">
        <f t="shared" si="86"/>
        <v>0</v>
      </c>
    </row>
    <row r="348" spans="2:11">
      <c r="B348" s="48" t="s">
        <v>871</v>
      </c>
      <c r="C348" s="335" t="s">
        <v>193</v>
      </c>
      <c r="D348" s="154">
        <f t="shared" ref="D348:I348" si="87">D349+D350</f>
        <v>0</v>
      </c>
      <c r="E348" s="154">
        <f t="shared" si="87"/>
        <v>0</v>
      </c>
      <c r="F348" s="154">
        <f t="shared" si="87"/>
        <v>0</v>
      </c>
      <c r="G348" s="154">
        <f t="shared" si="87"/>
        <v>0</v>
      </c>
      <c r="H348" s="154">
        <f t="shared" si="87"/>
        <v>0</v>
      </c>
      <c r="I348" s="154">
        <f t="shared" si="87"/>
        <v>0</v>
      </c>
      <c r="J348" s="154">
        <f t="shared" si="86"/>
        <v>0</v>
      </c>
    </row>
    <row r="349" spans="2:11">
      <c r="C349" s="157" t="s">
        <v>1030</v>
      </c>
      <c r="D349" s="156">
        <f>F801D!D118*0</f>
        <v>0</v>
      </c>
      <c r="E349" s="156">
        <f>F801D!E118*0</f>
        <v>0</v>
      </c>
      <c r="F349" s="156">
        <f>F801D!F118*0</f>
        <v>0</v>
      </c>
      <c r="G349" s="156">
        <f>F801D!G118*0</f>
        <v>0</v>
      </c>
      <c r="H349" s="156">
        <f>F801D!H118*0</f>
        <v>0</v>
      </c>
      <c r="I349" s="156">
        <f>F801D!I118*0</f>
        <v>0</v>
      </c>
      <c r="J349" s="154">
        <f t="shared" si="86"/>
        <v>0</v>
      </c>
    </row>
    <row r="350" spans="2:11">
      <c r="C350" s="157" t="s">
        <v>1476</v>
      </c>
      <c r="D350" s="156">
        <f>F801D!D119*$D$21*(1+D$25)*(1+D$26)</f>
        <v>0</v>
      </c>
      <c r="E350" s="156">
        <f>F801D!E119*$D$21*(1+E$25)*(1+E$26)</f>
        <v>0</v>
      </c>
      <c r="F350" s="156">
        <f>F801D!F119*$D$21*(1+F$25)*(1+F$26)</f>
        <v>0</v>
      </c>
      <c r="G350" s="156">
        <f>F801D!G119*$D$21*(1+G$25)*(1+G$26)</f>
        <v>0</v>
      </c>
      <c r="H350" s="156">
        <f>F801D!H119*$D$21*(1+H$25)*(1+H$26)</f>
        <v>0</v>
      </c>
      <c r="I350" s="156">
        <f>F801D!I119*$D$21*(1+I$25)*(1+I$26)</f>
        <v>0</v>
      </c>
      <c r="J350" s="154">
        <f t="shared" si="86"/>
        <v>0</v>
      </c>
    </row>
    <row r="351" spans="2:11">
      <c r="B351" s="48" t="s">
        <v>893</v>
      </c>
      <c r="C351" s="153" t="s">
        <v>942</v>
      </c>
      <c r="D351" s="156"/>
      <c r="E351" s="156"/>
      <c r="F351" s="156"/>
      <c r="G351" s="156"/>
      <c r="H351" s="156"/>
      <c r="I351" s="156"/>
      <c r="J351" s="154">
        <f t="shared" si="86"/>
        <v>0</v>
      </c>
    </row>
    <row r="352" spans="2:11">
      <c r="C352" s="153" t="s">
        <v>194</v>
      </c>
      <c r="D352" s="154">
        <f t="shared" ref="D352:I352" si="88">D353+D358</f>
        <v>0</v>
      </c>
      <c r="E352" s="154">
        <f t="shared" si="88"/>
        <v>0</v>
      </c>
      <c r="F352" s="154">
        <f t="shared" si="88"/>
        <v>0</v>
      </c>
      <c r="G352" s="154">
        <f t="shared" si="88"/>
        <v>0</v>
      </c>
      <c r="H352" s="154">
        <f t="shared" si="88"/>
        <v>0</v>
      </c>
      <c r="I352" s="154">
        <f t="shared" si="88"/>
        <v>0</v>
      </c>
      <c r="J352" s="154">
        <f t="shared" si="86"/>
        <v>0</v>
      </c>
    </row>
    <row r="353" spans="2:10">
      <c r="B353" s="48" t="s">
        <v>872</v>
      </c>
      <c r="C353" s="335" t="s">
        <v>1073</v>
      </c>
      <c r="D353" s="154">
        <f t="shared" ref="D353:I353" si="89">SUM(D354:D357)</f>
        <v>0</v>
      </c>
      <c r="E353" s="154">
        <f t="shared" si="89"/>
        <v>0</v>
      </c>
      <c r="F353" s="154">
        <f t="shared" si="89"/>
        <v>0</v>
      </c>
      <c r="G353" s="154">
        <f t="shared" si="89"/>
        <v>0</v>
      </c>
      <c r="H353" s="154">
        <f t="shared" si="89"/>
        <v>0</v>
      </c>
      <c r="I353" s="154">
        <f t="shared" si="89"/>
        <v>0</v>
      </c>
      <c r="J353" s="154">
        <f t="shared" si="86"/>
        <v>0</v>
      </c>
    </row>
    <row r="354" spans="2:10">
      <c r="C354" s="157" t="s">
        <v>1477</v>
      </c>
      <c r="D354" s="156">
        <f>F801D!D124*$D21*(1+D$25)*(1+D$26)</f>
        <v>0</v>
      </c>
      <c r="E354" s="156">
        <f>F801D!E124*$D21*(1+E$25)*(1+E$26)</f>
        <v>0</v>
      </c>
      <c r="F354" s="156">
        <f>F801D!F124*$D21*(1+F$25)*(1+F$26)</f>
        <v>0</v>
      </c>
      <c r="G354" s="156">
        <f>F801D!G124*$D21*(1+G$25)*(1+G$26)</f>
        <v>0</v>
      </c>
      <c r="H354" s="156">
        <f>F801D!H124*$D21*(1+H$25)*(1+H$26)</f>
        <v>0</v>
      </c>
      <c r="I354" s="156">
        <f>F801D!I124*$D21*(1+I$25)*(1+I$26)</f>
        <v>0</v>
      </c>
      <c r="J354" s="154">
        <f t="shared" si="86"/>
        <v>0</v>
      </c>
    </row>
    <row r="355" spans="2:10">
      <c r="C355" s="157" t="s">
        <v>1477</v>
      </c>
      <c r="D355" s="156">
        <f>F801D!D125*$D22*(1+D$25)*(1+D$26)</f>
        <v>0</v>
      </c>
      <c r="E355" s="156">
        <f>F801D!E125*$D22*(1+E$25)*(1+E$26)</f>
        <v>0</v>
      </c>
      <c r="F355" s="156">
        <f>F801D!F125*$D22*(1+F$25)*(1+F$26)</f>
        <v>0</v>
      </c>
      <c r="G355" s="156">
        <f>F801D!G125*$D22*(1+G$25)*(1+G$26)</f>
        <v>0</v>
      </c>
      <c r="H355" s="156">
        <f>F801D!H125*$D22*(1+H$25)*(1+H$26)</f>
        <v>0</v>
      </c>
      <c r="I355" s="156">
        <f>F801D!I125*$D22*(1+I$25)*(1+I$26)</f>
        <v>0</v>
      </c>
      <c r="J355" s="154">
        <f t="shared" si="86"/>
        <v>0</v>
      </c>
    </row>
    <row r="356" spans="2:10">
      <c r="C356" s="157" t="s">
        <v>1477</v>
      </c>
      <c r="D356" s="156">
        <f>F801D!D126*$D23*(1+D$25)*(1+D$26)</f>
        <v>0</v>
      </c>
      <c r="E356" s="156">
        <f>F801D!E126*$D23*(1+E$25)*(1+E$26)</f>
        <v>0</v>
      </c>
      <c r="F356" s="156">
        <f>F801D!F126*$D23*(1+F$25)*(1+F$26)</f>
        <v>0</v>
      </c>
      <c r="G356" s="156">
        <f>F801D!G126*$D23*(1+G$25)*(1+G$26)</f>
        <v>0</v>
      </c>
      <c r="H356" s="156">
        <f>F801D!H126*$D23*(1+H$25)*(1+H$26)</f>
        <v>0</v>
      </c>
      <c r="I356" s="156">
        <f>F801D!I126*$D23*(1+I$25)*(1+I$26)</f>
        <v>0</v>
      </c>
      <c r="J356" s="154">
        <f>SUM(D356:I356)</f>
        <v>0</v>
      </c>
    </row>
    <row r="357" spans="2:10">
      <c r="C357" s="157" t="s">
        <v>1477</v>
      </c>
      <c r="D357" s="156">
        <f>F801D!D127*$D24*(1+D$25)*(1+D$26)</f>
        <v>0</v>
      </c>
      <c r="E357" s="156">
        <f>F801D!E127*$D24*(1+E$25)*(1+E$26)</f>
        <v>0</v>
      </c>
      <c r="F357" s="156">
        <f>F801D!F127*$D24*(1+F$25)*(1+F$26)</f>
        <v>0</v>
      </c>
      <c r="G357" s="156">
        <f>F801D!G127*$D24*(1+G$25)*(1+G$26)</f>
        <v>0</v>
      </c>
      <c r="H357" s="156">
        <f>F801D!H127*$D24*(1+H$25)*(1+H$26)</f>
        <v>0</v>
      </c>
      <c r="I357" s="156">
        <f>F801D!I127*$D24*(1+I$25)*(1+I$26)</f>
        <v>0</v>
      </c>
      <c r="J357" s="154">
        <f>SUM(D357:I357)</f>
        <v>0</v>
      </c>
    </row>
    <row r="358" spans="2:10">
      <c r="B358" s="48" t="s">
        <v>873</v>
      </c>
      <c r="C358" s="335" t="s">
        <v>193</v>
      </c>
      <c r="D358" s="154">
        <f t="shared" ref="D358:I358" si="90">SUM(D359:D363)</f>
        <v>0</v>
      </c>
      <c r="E358" s="154">
        <f t="shared" si="90"/>
        <v>0</v>
      </c>
      <c r="F358" s="154">
        <f t="shared" si="90"/>
        <v>0</v>
      </c>
      <c r="G358" s="154">
        <f t="shared" si="90"/>
        <v>0</v>
      </c>
      <c r="H358" s="154">
        <f t="shared" si="90"/>
        <v>0</v>
      </c>
      <c r="I358" s="154">
        <f t="shared" si="90"/>
        <v>0</v>
      </c>
      <c r="J358" s="154">
        <f t="shared" si="86"/>
        <v>0</v>
      </c>
    </row>
    <row r="359" spans="2:10">
      <c r="C359" s="157" t="s">
        <v>1031</v>
      </c>
      <c r="D359" s="156">
        <f>F801D!D129*0</f>
        <v>0</v>
      </c>
      <c r="E359" s="156">
        <f>F801D!E129*0</f>
        <v>0</v>
      </c>
      <c r="F359" s="156">
        <f>F801D!F129*0</f>
        <v>0</v>
      </c>
      <c r="G359" s="156">
        <f>F801D!G129*0</f>
        <v>0</v>
      </c>
      <c r="H359" s="156">
        <f>F801D!H129*0</f>
        <v>0</v>
      </c>
      <c r="I359" s="156">
        <f>F801D!I129*0</f>
        <v>0</v>
      </c>
      <c r="J359" s="154">
        <f t="shared" si="86"/>
        <v>0</v>
      </c>
    </row>
    <row r="360" spans="2:10">
      <c r="C360" s="157" t="s">
        <v>1478</v>
      </c>
      <c r="D360" s="156">
        <f>F801D!D130*$D21*(1+D$25)*(1+D$26)</f>
        <v>0</v>
      </c>
      <c r="E360" s="156">
        <f>F801D!E130*$D21*(1+E$25)*(1+E$26)</f>
        <v>0</v>
      </c>
      <c r="F360" s="156">
        <f>F801D!F130*$D21*(1+F$25)*(1+F$26)</f>
        <v>0</v>
      </c>
      <c r="G360" s="156">
        <f>F801D!G130*$D21*(1+G$25)*(1+G$26)</f>
        <v>0</v>
      </c>
      <c r="H360" s="156">
        <f>F801D!H130*$D21*(1+H$25)*(1+H$26)</f>
        <v>0</v>
      </c>
      <c r="I360" s="156">
        <f>F801D!I130*$D21*(1+I$25)*(1+I$26)</f>
        <v>0</v>
      </c>
      <c r="J360" s="154">
        <f t="shared" si="86"/>
        <v>0</v>
      </c>
    </row>
    <row r="361" spans="2:10">
      <c r="C361" s="157" t="s">
        <v>1478</v>
      </c>
      <c r="D361" s="156">
        <f>F801D!D131*$D22*(1+D$25)*(1+D$26)</f>
        <v>0</v>
      </c>
      <c r="E361" s="156">
        <f>F801D!E131*$D22*(1+E$25)*(1+E$26)</f>
        <v>0</v>
      </c>
      <c r="F361" s="156">
        <f>F801D!F131*$D22*(1+F$25)*(1+F$26)</f>
        <v>0</v>
      </c>
      <c r="G361" s="156">
        <f>F801D!G131*$D22*(1+G$25)*(1+G$26)</f>
        <v>0</v>
      </c>
      <c r="H361" s="156">
        <f>F801D!H131*$D22*(1+H$25)*(1+H$26)</f>
        <v>0</v>
      </c>
      <c r="I361" s="156">
        <f>F801D!I131*$D22*(1+I$25)*(1+I$26)</f>
        <v>0</v>
      </c>
      <c r="J361" s="154">
        <f t="shared" si="86"/>
        <v>0</v>
      </c>
    </row>
    <row r="362" spans="2:10">
      <c r="C362" s="157" t="s">
        <v>1478</v>
      </c>
      <c r="D362" s="156">
        <f>F801D!D132*$D23*(1+D$25)*(1+D$26)</f>
        <v>0</v>
      </c>
      <c r="E362" s="156">
        <f>F801D!E132*$D23*(1+E$25)*(1+E$26)</f>
        <v>0</v>
      </c>
      <c r="F362" s="156">
        <f>F801D!F132*$D23*(1+F$25)*(1+F$26)</f>
        <v>0</v>
      </c>
      <c r="G362" s="156">
        <f>F801D!G132*$D23*(1+G$25)*(1+G$26)</f>
        <v>0</v>
      </c>
      <c r="H362" s="156">
        <f>F801D!H132*$D23*(1+H$25)*(1+H$26)</f>
        <v>0</v>
      </c>
      <c r="I362" s="156">
        <f>F801D!I132*$D23*(1+I$25)*(1+I$26)</f>
        <v>0</v>
      </c>
      <c r="J362" s="154">
        <f t="shared" si="86"/>
        <v>0</v>
      </c>
    </row>
    <row r="363" spans="2:10">
      <c r="C363" s="157" t="s">
        <v>1478</v>
      </c>
      <c r="D363" s="156">
        <f>F801D!D133*$D24*(1+D$25)*(1+D$26)</f>
        <v>0</v>
      </c>
      <c r="E363" s="156">
        <f>F801D!E133*$D24*(1+E$25)*(1+E$26)</f>
        <v>0</v>
      </c>
      <c r="F363" s="156">
        <f>F801D!F133*$D24*(1+F$25)*(1+F$26)</f>
        <v>0</v>
      </c>
      <c r="G363" s="156">
        <f>F801D!G133*$D24*(1+G$25)*(1+G$26)</f>
        <v>0</v>
      </c>
      <c r="H363" s="156">
        <f>F801D!H133*$D24*(1+H$25)*(1+H$26)</f>
        <v>0</v>
      </c>
      <c r="I363" s="156">
        <f>F801D!I133*$D24*(1+I$25)*(1+I$26)</f>
        <v>0</v>
      </c>
      <c r="J363" s="154">
        <f t="shared" si="86"/>
        <v>0</v>
      </c>
    </row>
    <row r="364" spans="2:10">
      <c r="C364" s="153" t="s">
        <v>308</v>
      </c>
      <c r="D364" s="154">
        <f t="shared" ref="D364:I364" si="91">SUM(D365:D366)</f>
        <v>0</v>
      </c>
      <c r="E364" s="154">
        <f t="shared" si="91"/>
        <v>0</v>
      </c>
      <c r="F364" s="154">
        <f t="shared" si="91"/>
        <v>0</v>
      </c>
      <c r="G364" s="154">
        <f t="shared" si="91"/>
        <v>0</v>
      </c>
      <c r="H364" s="154">
        <f t="shared" si="91"/>
        <v>0</v>
      </c>
      <c r="I364" s="154">
        <f t="shared" si="91"/>
        <v>0</v>
      </c>
      <c r="J364" s="154">
        <f t="shared" si="86"/>
        <v>0</v>
      </c>
    </row>
    <row r="365" spans="2:10">
      <c r="B365" s="48" t="s">
        <v>874</v>
      </c>
      <c r="C365" s="157" t="s">
        <v>1479</v>
      </c>
      <c r="D365" s="156">
        <f>F801D!D137*$D21*(1+D$25)*(1+D$26)</f>
        <v>0</v>
      </c>
      <c r="E365" s="156">
        <f>F801D!E137*$D21*(1+E$25)*(1+E$26)</f>
        <v>0</v>
      </c>
      <c r="F365" s="156">
        <f>F801D!F137*$D21*(1+F$25)*(1+F$26)</f>
        <v>0</v>
      </c>
      <c r="G365" s="156">
        <f>F801D!G137*$D21*(1+G$25)*(1+G$26)</f>
        <v>0</v>
      </c>
      <c r="H365" s="156">
        <f>F801D!H137*$D21*(1+H$25)*(1+H$26)</f>
        <v>0</v>
      </c>
      <c r="I365" s="156">
        <f>F801D!I137*$D21*(1+I$25)*(1+I$26)</f>
        <v>0</v>
      </c>
      <c r="J365" s="154">
        <f t="shared" si="86"/>
        <v>0</v>
      </c>
    </row>
    <row r="366" spans="2:10">
      <c r="B366" s="48" t="s">
        <v>875</v>
      </c>
      <c r="C366" s="335" t="s">
        <v>193</v>
      </c>
      <c r="D366" s="154">
        <f t="shared" ref="D366:I366" si="92">SUM(D367:D372)</f>
        <v>0</v>
      </c>
      <c r="E366" s="154">
        <f t="shared" si="92"/>
        <v>0</v>
      </c>
      <c r="F366" s="154">
        <f t="shared" si="92"/>
        <v>0</v>
      </c>
      <c r="G366" s="154">
        <f t="shared" si="92"/>
        <v>0</v>
      </c>
      <c r="H366" s="154">
        <f t="shared" si="92"/>
        <v>0</v>
      </c>
      <c r="I366" s="154">
        <f t="shared" si="92"/>
        <v>0</v>
      </c>
      <c r="J366" s="154">
        <f t="shared" si="86"/>
        <v>0</v>
      </c>
    </row>
    <row r="367" spans="2:10">
      <c r="C367" s="157" t="s">
        <v>1032</v>
      </c>
      <c r="D367" s="156">
        <f>F801D!D140*0</f>
        <v>0</v>
      </c>
      <c r="E367" s="156">
        <f>F801D!E140*0</f>
        <v>0</v>
      </c>
      <c r="F367" s="156">
        <f>F801D!F140*0</f>
        <v>0</v>
      </c>
      <c r="G367" s="156">
        <f>F801D!G140*0</f>
        <v>0</v>
      </c>
      <c r="H367" s="156">
        <f>F801D!H140*0</f>
        <v>0</v>
      </c>
      <c r="I367" s="156">
        <f>F801D!I140*0</f>
        <v>0</v>
      </c>
      <c r="J367" s="154">
        <f t="shared" si="86"/>
        <v>0</v>
      </c>
    </row>
    <row r="368" spans="2:10">
      <c r="C368" s="157" t="s">
        <v>1480</v>
      </c>
      <c r="D368" s="156">
        <f>F801D!D141*$D21*(1+D$25)*(1+D$26)</f>
        <v>0</v>
      </c>
      <c r="E368" s="156">
        <f>F801D!E141*$D21*(1+E$25)*(1+E$26)</f>
        <v>0</v>
      </c>
      <c r="F368" s="156">
        <f>F801D!F141*$D21*(1+F$25)*(1+F$26)</f>
        <v>0</v>
      </c>
      <c r="G368" s="156">
        <f>F801D!G141*$D21*(1+G$25)*(1+G$26)</f>
        <v>0</v>
      </c>
      <c r="H368" s="156">
        <f>F801D!H141*$D21*(1+H$25)*(1+H$26)</f>
        <v>0</v>
      </c>
      <c r="I368" s="156">
        <f>F801D!I141*$D21*(1+I$25)*(1+I$26)</f>
        <v>0</v>
      </c>
      <c r="J368" s="154">
        <f t="shared" si="86"/>
        <v>0</v>
      </c>
    </row>
    <row r="369" spans="2:10">
      <c r="C369" s="157" t="s">
        <v>1480</v>
      </c>
      <c r="D369" s="156">
        <f>F801D!D142*$D22*(1+D$25)*(1+D$26)</f>
        <v>0</v>
      </c>
      <c r="E369" s="156">
        <f>F801D!E142*$D22*(1+E$25)*(1+E$26)</f>
        <v>0</v>
      </c>
      <c r="F369" s="156">
        <f>F801D!F142*$D22*(1+F$25)*(1+F$26)</f>
        <v>0</v>
      </c>
      <c r="G369" s="156">
        <f>F801D!G142*$D22*(1+G$25)*(1+G$26)</f>
        <v>0</v>
      </c>
      <c r="H369" s="156">
        <f>F801D!H142*$D22*(1+H$25)*(1+H$26)</f>
        <v>0</v>
      </c>
      <c r="I369" s="156">
        <f>F801D!I142*$D22*(1+I$25)*(1+I$26)</f>
        <v>0</v>
      </c>
      <c r="J369" s="154">
        <f t="shared" si="86"/>
        <v>0</v>
      </c>
    </row>
    <row r="370" spans="2:10">
      <c r="C370" s="157" t="s">
        <v>1480</v>
      </c>
      <c r="D370" s="156">
        <f>F801D!D143*$D23*(1+D$25)*(1+D$26)</f>
        <v>0</v>
      </c>
      <c r="E370" s="156">
        <f>F801D!E143*$D23*(1+E$25)*(1+E$26)</f>
        <v>0</v>
      </c>
      <c r="F370" s="156">
        <f>F801D!F143*$D23*(1+F$25)*(1+F$26)</f>
        <v>0</v>
      </c>
      <c r="G370" s="156">
        <f>F801D!G143*$D23*(1+G$25)*(1+G$26)</f>
        <v>0</v>
      </c>
      <c r="H370" s="156">
        <f>F801D!H143*$D23*(1+H$25)*(1+H$26)</f>
        <v>0</v>
      </c>
      <c r="I370" s="156">
        <f>F801D!I143*$D23*(1+I$25)*(1+I$26)</f>
        <v>0</v>
      </c>
      <c r="J370" s="154">
        <f t="shared" si="86"/>
        <v>0</v>
      </c>
    </row>
    <row r="371" spans="2:10">
      <c r="C371" s="157" t="s">
        <v>1480</v>
      </c>
      <c r="D371" s="156">
        <f>F801D!D144*$D24*(1+D$25)*(1+D$26)</f>
        <v>0</v>
      </c>
      <c r="E371" s="156">
        <f>F801D!E144*$D24*(1+E$25)*(1+E$26)</f>
        <v>0</v>
      </c>
      <c r="F371" s="156">
        <f>F801D!F144*$D24*(1+F$25)*(1+F$26)</f>
        <v>0</v>
      </c>
      <c r="G371" s="156">
        <f>F801D!G144*$D24*(1+G$25)*(1+G$26)</f>
        <v>0</v>
      </c>
      <c r="H371" s="156">
        <f>F801D!H144*$D24*(1+H$25)*(1+H$26)</f>
        <v>0</v>
      </c>
      <c r="I371" s="156">
        <f>F801D!I144*$D24*(1+I$25)*(1+I$26)</f>
        <v>0</v>
      </c>
      <c r="J371" s="154">
        <f t="shared" si="86"/>
        <v>0</v>
      </c>
    </row>
    <row r="372" spans="2:10">
      <c r="C372" s="157"/>
      <c r="D372" s="156"/>
      <c r="E372" s="156"/>
      <c r="F372" s="156"/>
      <c r="G372" s="156"/>
      <c r="H372" s="156"/>
      <c r="I372" s="156"/>
      <c r="J372" s="154">
        <f t="shared" si="86"/>
        <v>0</v>
      </c>
    </row>
    <row r="373" spans="2:10">
      <c r="C373" s="153" t="s">
        <v>112</v>
      </c>
      <c r="D373" s="154">
        <f t="shared" ref="D373:I373" si="93">D346+D352+D364</f>
        <v>0</v>
      </c>
      <c r="E373" s="154">
        <f t="shared" si="93"/>
        <v>0</v>
      </c>
      <c r="F373" s="154">
        <f t="shared" si="93"/>
        <v>0</v>
      </c>
      <c r="G373" s="154">
        <f t="shared" si="93"/>
        <v>0</v>
      </c>
      <c r="H373" s="154">
        <f t="shared" si="93"/>
        <v>0</v>
      </c>
      <c r="I373" s="154">
        <f t="shared" si="93"/>
        <v>0</v>
      </c>
      <c r="J373" s="154">
        <f t="shared" si="86"/>
        <v>0</v>
      </c>
    </row>
    <row r="374" spans="2:10">
      <c r="C374" s="164"/>
      <c r="D374" s="164"/>
      <c r="E374" s="164"/>
      <c r="F374" s="164"/>
      <c r="G374" s="164"/>
      <c r="H374" s="164"/>
      <c r="I374" s="164"/>
      <c r="J374" s="164"/>
    </row>
    <row r="375" spans="2:10">
      <c r="C375" s="153" t="s">
        <v>111</v>
      </c>
      <c r="D375" s="154">
        <f t="shared" ref="D375:J375" si="94">D121+D216+D311+D342+D373</f>
        <v>25834111.702110745</v>
      </c>
      <c r="E375" s="154">
        <f t="shared" si="94"/>
        <v>25841975.761399496</v>
      </c>
      <c r="F375" s="154">
        <f t="shared" si="94"/>
        <v>25354524.399328377</v>
      </c>
      <c r="G375" s="154">
        <f t="shared" si="94"/>
        <v>25761435.485601667</v>
      </c>
      <c r="H375" s="154">
        <f t="shared" si="94"/>
        <v>24636598.514093131</v>
      </c>
      <c r="I375" s="154">
        <f t="shared" si="94"/>
        <v>24763030.084728092</v>
      </c>
      <c r="J375" s="154">
        <f t="shared" si="94"/>
        <v>152191675.94726148</v>
      </c>
    </row>
    <row r="376" spans="2:10">
      <c r="D376" s="336"/>
      <c r="E376" s="336"/>
      <c r="F376" s="336"/>
      <c r="G376" s="336"/>
      <c r="H376" s="336"/>
      <c r="I376" s="336"/>
    </row>
    <row r="377" spans="2:10">
      <c r="C377" s="52" t="str">
        <f>'PORTADA PORTADA PORTADA'!B23</f>
        <v>1 DE JULIO DE 2026</v>
      </c>
    </row>
    <row r="381" spans="2:10">
      <c r="B381" s="48" t="s">
        <v>902</v>
      </c>
      <c r="D381" s="64">
        <f t="shared" ref="D381:J390" si="95">SUMIF($B$29:$B$375,$B381,D$29:D$375)</f>
        <v>1064488.3186539197</v>
      </c>
      <c r="E381" s="64">
        <f t="shared" si="95"/>
        <v>1064932.5753267386</v>
      </c>
      <c r="F381" s="64">
        <f t="shared" si="95"/>
        <v>1044818.8687300683</v>
      </c>
      <c r="G381" s="64">
        <f t="shared" si="95"/>
        <v>1061282.1393586737</v>
      </c>
      <c r="H381" s="64">
        <f t="shared" si="95"/>
        <v>1015297.0281373896</v>
      </c>
      <c r="I381" s="64">
        <f t="shared" si="95"/>
        <v>1020054.5780437612</v>
      </c>
      <c r="J381" s="64">
        <f t="shared" si="95"/>
        <v>6270873.5082505504</v>
      </c>
    </row>
    <row r="382" spans="2:10">
      <c r="B382" s="48" t="s">
        <v>751</v>
      </c>
      <c r="D382" s="64">
        <f t="shared" si="95"/>
        <v>2926794.971749058</v>
      </c>
      <c r="E382" s="64">
        <f t="shared" si="95"/>
        <v>2928016.4786291695</v>
      </c>
      <c r="F382" s="64">
        <f t="shared" si="95"/>
        <v>2872712.7938550254</v>
      </c>
      <c r="G382" s="64">
        <f t="shared" si="95"/>
        <v>2917979.4146451759</v>
      </c>
      <c r="H382" s="64">
        <f t="shared" si="95"/>
        <v>2791540.9542319751</v>
      </c>
      <c r="I382" s="64">
        <f t="shared" si="95"/>
        <v>2804622.0857009403</v>
      </c>
      <c r="J382" s="64">
        <f t="shared" si="95"/>
        <v>17241666.698811345</v>
      </c>
    </row>
    <row r="383" spans="2:10">
      <c r="B383" s="48" t="s">
        <v>750</v>
      </c>
      <c r="D383" s="64">
        <f t="shared" si="95"/>
        <v>4393109.4297113772</v>
      </c>
      <c r="E383" s="64">
        <f t="shared" si="95"/>
        <v>4394942.8628682941</v>
      </c>
      <c r="F383" s="64">
        <f t="shared" si="95"/>
        <v>4311934.2355608419</v>
      </c>
      <c r="G383" s="64">
        <f t="shared" si="95"/>
        <v>4379877.629748459</v>
      </c>
      <c r="H383" s="64">
        <f t="shared" si="95"/>
        <v>4190098.5385246044</v>
      </c>
      <c r="I383" s="64">
        <f t="shared" si="95"/>
        <v>4209732.7956505381</v>
      </c>
      <c r="J383" s="64">
        <f t="shared" si="95"/>
        <v>25879695.492064115</v>
      </c>
    </row>
    <row r="384" spans="2:10">
      <c r="B384" s="48" t="s">
        <v>749</v>
      </c>
      <c r="D384" s="64">
        <f t="shared" si="95"/>
        <v>6652408.9197640857</v>
      </c>
      <c r="E384" s="64">
        <f t="shared" si="95"/>
        <v>6655185.2555877268</v>
      </c>
      <c r="F384" s="64">
        <f t="shared" si="95"/>
        <v>6529486.7403213428</v>
      </c>
      <c r="G384" s="64">
        <f t="shared" si="95"/>
        <v>6632372.2360651735</v>
      </c>
      <c r="H384" s="64">
        <f t="shared" si="95"/>
        <v>6344993.0711611845</v>
      </c>
      <c r="I384" s="64">
        <f t="shared" si="95"/>
        <v>6374724.8839756185</v>
      </c>
      <c r="J384" s="64">
        <f t="shared" si="95"/>
        <v>39189171.106875136</v>
      </c>
    </row>
    <row r="385" spans="2:10">
      <c r="B385" s="48" t="s">
        <v>1176</v>
      </c>
      <c r="D385" s="64">
        <f t="shared" si="95"/>
        <v>71.150000000000006</v>
      </c>
      <c r="E385" s="64">
        <f t="shared" si="95"/>
        <v>71.150000000000006</v>
      </c>
      <c r="F385" s="64">
        <f t="shared" si="95"/>
        <v>71.150000000000006</v>
      </c>
      <c r="G385" s="64">
        <f t="shared" si="95"/>
        <v>71.150000000000006</v>
      </c>
      <c r="H385" s="64">
        <f t="shared" si="95"/>
        <v>71.150000000000006</v>
      </c>
      <c r="I385" s="64">
        <f t="shared" si="95"/>
        <v>71.150000000000006</v>
      </c>
      <c r="J385" s="64">
        <f t="shared" si="95"/>
        <v>426.90000000000003</v>
      </c>
    </row>
    <row r="386" spans="2:10">
      <c r="B386" s="48" t="s">
        <v>274</v>
      </c>
      <c r="D386" s="64">
        <f t="shared" si="95"/>
        <v>5677359.2846254753</v>
      </c>
      <c r="E386" s="64">
        <f t="shared" si="95"/>
        <v>5679728.6903784415</v>
      </c>
      <c r="F386" s="64">
        <f t="shared" si="95"/>
        <v>5572453.92099512</v>
      </c>
      <c r="G386" s="64">
        <f t="shared" si="95"/>
        <v>5660259.3959079972</v>
      </c>
      <c r="H386" s="64">
        <f t="shared" si="95"/>
        <v>5415001.6569815334</v>
      </c>
      <c r="I386" s="64">
        <f t="shared" si="95"/>
        <v>5440375.6509086471</v>
      </c>
      <c r="J386" s="64">
        <f t="shared" si="95"/>
        <v>33445178.599797212</v>
      </c>
    </row>
    <row r="387" spans="2:10">
      <c r="B387" s="48" t="s">
        <v>275</v>
      </c>
      <c r="D387" s="64">
        <f t="shared" si="95"/>
        <v>276734.55861867685</v>
      </c>
      <c r="E387" s="64">
        <f t="shared" si="95"/>
        <v>276850.05182993296</v>
      </c>
      <c r="F387" s="64">
        <f t="shared" si="95"/>
        <v>271621.10039883247</v>
      </c>
      <c r="G387" s="64">
        <f t="shared" si="95"/>
        <v>275901.04960164579</v>
      </c>
      <c r="H387" s="64">
        <f t="shared" si="95"/>
        <v>263946.32052303565</v>
      </c>
      <c r="I387" s="64">
        <f t="shared" si="95"/>
        <v>265183.13867347903</v>
      </c>
      <c r="J387" s="64">
        <f t="shared" si="95"/>
        <v>1630236.2196456026</v>
      </c>
    </row>
    <row r="388" spans="2:10">
      <c r="B388" s="48" t="s">
        <v>276</v>
      </c>
      <c r="D388" s="64">
        <f t="shared" si="95"/>
        <v>2476166.2239222885</v>
      </c>
      <c r="E388" s="64">
        <f t="shared" si="95"/>
        <v>2477199.6343869306</v>
      </c>
      <c r="F388" s="64">
        <f t="shared" si="95"/>
        <v>2430412.0087833572</v>
      </c>
      <c r="G388" s="64">
        <f t="shared" si="95"/>
        <v>2468708.1497099143</v>
      </c>
      <c r="H388" s="64">
        <f t="shared" si="95"/>
        <v>2361739.5928793033</v>
      </c>
      <c r="I388" s="64">
        <f t="shared" si="95"/>
        <v>2372806.3976345481</v>
      </c>
      <c r="J388" s="64">
        <f t="shared" si="95"/>
        <v>14587032.007316342</v>
      </c>
    </row>
    <row r="389" spans="2:10">
      <c r="B389" s="48" t="s">
        <v>277</v>
      </c>
      <c r="D389" s="64">
        <f t="shared" si="95"/>
        <v>413363.96041203506</v>
      </c>
      <c r="E389" s="64">
        <f t="shared" si="95"/>
        <v>413536.47493802628</v>
      </c>
      <c r="F389" s="64">
        <f t="shared" si="95"/>
        <v>405725.8853132581</v>
      </c>
      <c r="G389" s="64">
        <f t="shared" si="95"/>
        <v>412118.93127639371</v>
      </c>
      <c r="H389" s="64">
        <f t="shared" si="95"/>
        <v>394261.91268697893</v>
      </c>
      <c r="I389" s="64">
        <f t="shared" si="95"/>
        <v>396109.3727639881</v>
      </c>
      <c r="J389" s="64">
        <f t="shared" si="95"/>
        <v>2435116.5373906805</v>
      </c>
    </row>
    <row r="390" spans="2:10">
      <c r="B390" s="48" t="s">
        <v>278</v>
      </c>
      <c r="D390" s="64">
        <f t="shared" si="95"/>
        <v>47.19</v>
      </c>
      <c r="E390" s="64">
        <f t="shared" si="95"/>
        <v>47.19</v>
      </c>
      <c r="F390" s="64">
        <f t="shared" si="95"/>
        <v>47.19</v>
      </c>
      <c r="G390" s="64">
        <f t="shared" si="95"/>
        <v>47.19</v>
      </c>
      <c r="H390" s="64">
        <f t="shared" si="95"/>
        <v>47.19</v>
      </c>
      <c r="I390" s="64">
        <f t="shared" si="95"/>
        <v>47.19</v>
      </c>
      <c r="J390" s="64">
        <f t="shared" si="95"/>
        <v>283.14000000000004</v>
      </c>
    </row>
    <row r="391" spans="2:10">
      <c r="B391" s="48" t="s">
        <v>279</v>
      </c>
      <c r="D391" s="64">
        <f t="shared" ref="D391:J398" si="96">SUMIF($B$29:$B$375,$B391,D$29:D$375)</f>
        <v>1804954.2648687989</v>
      </c>
      <c r="E391" s="64">
        <f t="shared" si="96"/>
        <v>1805707.5694628663</v>
      </c>
      <c r="F391" s="64">
        <f t="shared" si="96"/>
        <v>1771601.7281552763</v>
      </c>
      <c r="G391" s="64">
        <f t="shared" si="96"/>
        <v>1799517.7014128398</v>
      </c>
      <c r="H391" s="64">
        <f t="shared" si="96"/>
        <v>1721542.968198593</v>
      </c>
      <c r="I391" s="64">
        <f t="shared" si="96"/>
        <v>1729610.115909026</v>
      </c>
      <c r="J391" s="64">
        <f t="shared" si="96"/>
        <v>10632934.3480074</v>
      </c>
    </row>
    <row r="392" spans="2:10">
      <c r="B392" s="48" t="s">
        <v>875</v>
      </c>
      <c r="D392" s="64">
        <f t="shared" si="96"/>
        <v>15744.212808568656</v>
      </c>
      <c r="E392" s="64">
        <f t="shared" si="96"/>
        <v>15452.078067906483</v>
      </c>
      <c r="F392" s="64">
        <f t="shared" si="96"/>
        <v>15691.39200097992</v>
      </c>
      <c r="G392" s="64">
        <f t="shared" si="96"/>
        <v>16536.955044197253</v>
      </c>
      <c r="H392" s="64">
        <f t="shared" si="96"/>
        <v>15219.286133795547</v>
      </c>
      <c r="I392" s="64">
        <f t="shared" si="96"/>
        <v>17104.709428557588</v>
      </c>
      <c r="J392" s="64">
        <f t="shared" si="96"/>
        <v>95748.633484005448</v>
      </c>
    </row>
    <row r="393" spans="2:10">
      <c r="B393" s="48" t="s">
        <v>874</v>
      </c>
      <c r="D393" s="64">
        <f t="shared" si="96"/>
        <v>526.7324741561099</v>
      </c>
      <c r="E393" s="64">
        <f t="shared" si="96"/>
        <v>522.05179334229001</v>
      </c>
      <c r="F393" s="64">
        <f t="shared" si="96"/>
        <v>499.99997712240003</v>
      </c>
      <c r="G393" s="64">
        <f t="shared" si="96"/>
        <v>518.5087791929999</v>
      </c>
      <c r="H393" s="64">
        <f t="shared" si="96"/>
        <v>502.13349637749008</v>
      </c>
      <c r="I393" s="64">
        <f t="shared" si="96"/>
        <v>520.25021001900063</v>
      </c>
      <c r="J393" s="64">
        <f t="shared" si="96"/>
        <v>3089.6767302102908</v>
      </c>
    </row>
    <row r="394" spans="2:10">
      <c r="B394" s="48" t="s">
        <v>873</v>
      </c>
      <c r="D394" s="64">
        <f t="shared" si="96"/>
        <v>81058.228987133043</v>
      </c>
      <c r="E394" s="64">
        <f t="shared" si="96"/>
        <v>80238.818142580654</v>
      </c>
      <c r="F394" s="64">
        <f t="shared" si="96"/>
        <v>77960.858870457785</v>
      </c>
      <c r="G394" s="64">
        <f t="shared" si="96"/>
        <v>81107.423259968171</v>
      </c>
      <c r="H394" s="64">
        <f t="shared" si="96"/>
        <v>74783.061512927641</v>
      </c>
      <c r="I394" s="64">
        <f t="shared" si="96"/>
        <v>80188.041081953299</v>
      </c>
      <c r="J394" s="64">
        <f t="shared" si="96"/>
        <v>475336.43185502058</v>
      </c>
    </row>
    <row r="395" spans="2:10">
      <c r="B395" s="48" t="s">
        <v>872</v>
      </c>
      <c r="D395" s="64">
        <f t="shared" si="96"/>
        <v>19337.840312919565</v>
      </c>
      <c r="E395" s="64">
        <f t="shared" si="96"/>
        <v>19519.474302783903</v>
      </c>
      <c r="F395" s="64">
        <f t="shared" si="96"/>
        <v>18987.89810064435</v>
      </c>
      <c r="G395" s="64">
        <f t="shared" si="96"/>
        <v>20351.476613887651</v>
      </c>
      <c r="H395" s="64">
        <f t="shared" si="96"/>
        <v>19082.497782717903</v>
      </c>
      <c r="I395" s="64">
        <f t="shared" si="96"/>
        <v>18979.689458126733</v>
      </c>
      <c r="J395" s="64">
        <f t="shared" si="96"/>
        <v>116258.87657108009</v>
      </c>
    </row>
    <row r="396" spans="2:10">
      <c r="B396" s="48" t="s">
        <v>871</v>
      </c>
      <c r="D396" s="64">
        <f t="shared" si="96"/>
        <v>8818.9473361886994</v>
      </c>
      <c r="E396" s="64">
        <f t="shared" si="96"/>
        <v>8649.5731178507995</v>
      </c>
      <c r="F396" s="64">
        <f t="shared" si="96"/>
        <v>8942.6833723925993</v>
      </c>
      <c r="G396" s="64">
        <f t="shared" si="96"/>
        <v>10751.90140300293</v>
      </c>
      <c r="H396" s="64">
        <f t="shared" si="96"/>
        <v>10352.584295617138</v>
      </c>
      <c r="I396" s="64">
        <f t="shared" si="96"/>
        <v>10884.117112828049</v>
      </c>
      <c r="J396" s="64">
        <f t="shared" si="96"/>
        <v>58399.806637880218</v>
      </c>
    </row>
    <row r="397" spans="2:10">
      <c r="B397" s="48" t="s">
        <v>870</v>
      </c>
      <c r="D397" s="64">
        <f t="shared" si="96"/>
        <v>18472.66233106545</v>
      </c>
      <c r="E397" s="64">
        <f t="shared" si="96"/>
        <v>16721.027031903297</v>
      </c>
      <c r="F397" s="64">
        <f t="shared" si="96"/>
        <v>16901.139358653927</v>
      </c>
      <c r="G397" s="64">
        <f t="shared" si="96"/>
        <v>19379.427240143788</v>
      </c>
      <c r="H397" s="64">
        <f t="shared" si="96"/>
        <v>13463.76201209865</v>
      </c>
      <c r="I397" s="64">
        <f t="shared" si="96"/>
        <v>17361.112641057811</v>
      </c>
      <c r="J397" s="64">
        <f t="shared" si="96"/>
        <v>102299.13061492293</v>
      </c>
    </row>
    <row r="398" spans="2:10">
      <c r="B398" s="48" t="s">
        <v>890</v>
      </c>
      <c r="D398" s="64">
        <f t="shared" si="96"/>
        <v>4654.8055350000086</v>
      </c>
      <c r="E398" s="64">
        <f t="shared" si="96"/>
        <v>4654.8055350000086</v>
      </c>
      <c r="F398" s="64">
        <f t="shared" si="96"/>
        <v>4654.8055350000086</v>
      </c>
      <c r="G398" s="64">
        <f t="shared" si="96"/>
        <v>4654.8055350000086</v>
      </c>
      <c r="H398" s="64">
        <f t="shared" si="96"/>
        <v>4654.8055350000086</v>
      </c>
      <c r="I398" s="64">
        <f t="shared" si="96"/>
        <v>4654.8055350000086</v>
      </c>
      <c r="J398" s="64">
        <f t="shared" si="96"/>
        <v>27928.833210000048</v>
      </c>
    </row>
    <row r="399" spans="2:10">
      <c r="B399" s="48" t="s">
        <v>111</v>
      </c>
      <c r="D399" s="65">
        <f t="shared" ref="D399:J399" si="97">SUM(D381:D398)</f>
        <v>25834111.702110752</v>
      </c>
      <c r="E399" s="65">
        <f t="shared" si="97"/>
        <v>25841975.761399496</v>
      </c>
      <c r="F399" s="65">
        <f t="shared" si="97"/>
        <v>25354524.399328373</v>
      </c>
      <c r="G399" s="65">
        <f t="shared" si="97"/>
        <v>25761435.485601667</v>
      </c>
      <c r="H399" s="65">
        <f t="shared" si="97"/>
        <v>24636598.514093131</v>
      </c>
      <c r="I399" s="65">
        <f t="shared" si="97"/>
        <v>24763030.084728092</v>
      </c>
      <c r="J399" s="65">
        <f t="shared" si="97"/>
        <v>152191675.94726151</v>
      </c>
    </row>
    <row r="400" spans="2:10" ht="17.25" customHeight="1">
      <c r="D400" s="66">
        <f t="shared" ref="D400:J400" si="98">D399-D375</f>
        <v>0</v>
      </c>
      <c r="E400" s="66">
        <f t="shared" si="98"/>
        <v>0</v>
      </c>
      <c r="F400" s="66">
        <f t="shared" si="98"/>
        <v>0</v>
      </c>
      <c r="G400" s="66">
        <f t="shared" si="98"/>
        <v>0</v>
      </c>
      <c r="H400" s="66">
        <f t="shared" si="98"/>
        <v>0</v>
      </c>
      <c r="I400" s="66">
        <f t="shared" si="98"/>
        <v>0</v>
      </c>
      <c r="J400" s="66">
        <f t="shared" si="98"/>
        <v>0</v>
      </c>
    </row>
    <row r="402" spans="2:10">
      <c r="B402" s="48" t="s">
        <v>902</v>
      </c>
      <c r="D402" s="64">
        <f t="shared" ref="D402:J417" si="99">D381-D422</f>
        <v>1035613.2314437713</v>
      </c>
      <c r="E402" s="64">
        <f t="shared" si="99"/>
        <v>1036045.4373031181</v>
      </c>
      <c r="F402" s="64">
        <f t="shared" si="99"/>
        <v>1016477.3308994424</v>
      </c>
      <c r="G402" s="64">
        <f t="shared" si="99"/>
        <v>1032494.0222966605</v>
      </c>
      <c r="H402" s="64">
        <f t="shared" si="99"/>
        <v>987756.2935723135</v>
      </c>
      <c r="I402" s="64">
        <f t="shared" si="99"/>
        <v>992384.79117623542</v>
      </c>
      <c r="J402" s="64">
        <f t="shared" si="99"/>
        <v>6100771.1066915402</v>
      </c>
    </row>
    <row r="403" spans="2:10">
      <c r="B403" s="48" t="s">
        <v>751</v>
      </c>
      <c r="D403" s="64">
        <f t="shared" si="99"/>
        <v>2847403.3442652114</v>
      </c>
      <c r="E403" s="64">
        <f t="shared" si="99"/>
        <v>2848591.7168054972</v>
      </c>
      <c r="F403" s="64">
        <f t="shared" si="99"/>
        <v>2794788.18820302</v>
      </c>
      <c r="G403" s="64">
        <f t="shared" si="99"/>
        <v>2838826.9161172044</v>
      </c>
      <c r="H403" s="64">
        <f t="shared" si="99"/>
        <v>2715818.1989028435</v>
      </c>
      <c r="I403" s="64">
        <f t="shared" si="99"/>
        <v>2728544.4943389893</v>
      </c>
      <c r="J403" s="64">
        <f t="shared" si="99"/>
        <v>16773972.858632766</v>
      </c>
    </row>
    <row r="404" spans="2:10">
      <c r="B404" s="48" t="s">
        <v>750</v>
      </c>
      <c r="D404" s="64">
        <f t="shared" si="99"/>
        <v>4306121.6262914231</v>
      </c>
      <c r="E404" s="64">
        <f t="shared" si="99"/>
        <v>4307918.7557036709</v>
      </c>
      <c r="F404" s="64">
        <f t="shared" si="99"/>
        <v>4226553.7792703686</v>
      </c>
      <c r="G404" s="64">
        <f t="shared" si="99"/>
        <v>4293151.8287285091</v>
      </c>
      <c r="H404" s="64">
        <f t="shared" si="99"/>
        <v>4107130.5465337099</v>
      </c>
      <c r="I404" s="64">
        <f t="shared" si="99"/>
        <v>4126376.0264332863</v>
      </c>
      <c r="J404" s="64">
        <f t="shared" si="99"/>
        <v>25367252.562960967</v>
      </c>
    </row>
    <row r="405" spans="2:10">
      <c r="B405" s="48" t="s">
        <v>749</v>
      </c>
      <c r="D405" s="64">
        <f t="shared" si="99"/>
        <v>6548254.2250683391</v>
      </c>
      <c r="E405" s="64">
        <f t="shared" si="99"/>
        <v>6550987.0926666241</v>
      </c>
      <c r="F405" s="64">
        <f t="shared" si="99"/>
        <v>6427256.5999074532</v>
      </c>
      <c r="G405" s="64">
        <f t="shared" si="99"/>
        <v>6528531.2494860729</v>
      </c>
      <c r="H405" s="64">
        <f t="shared" si="99"/>
        <v>6245651.4906684365</v>
      </c>
      <c r="I405" s="64">
        <f t="shared" si="99"/>
        <v>6274917.801749019</v>
      </c>
      <c r="J405" s="64">
        <f t="shared" si="99"/>
        <v>38575598.459545948</v>
      </c>
    </row>
    <row r="406" spans="2:10">
      <c r="B406" s="48" t="s">
        <v>1176</v>
      </c>
      <c r="D406" s="64">
        <f t="shared" si="99"/>
        <v>69.22</v>
      </c>
      <c r="E406" s="64">
        <f t="shared" si="99"/>
        <v>69.22</v>
      </c>
      <c r="F406" s="64">
        <f t="shared" si="99"/>
        <v>69.22</v>
      </c>
      <c r="G406" s="64">
        <f t="shared" si="99"/>
        <v>69.22</v>
      </c>
      <c r="H406" s="64">
        <f t="shared" si="99"/>
        <v>69.22</v>
      </c>
      <c r="I406" s="64">
        <f t="shared" si="99"/>
        <v>69.22</v>
      </c>
      <c r="J406" s="64">
        <f t="shared" si="99"/>
        <v>415.32000000000005</v>
      </c>
    </row>
    <row r="407" spans="2:10">
      <c r="B407" s="48" t="s">
        <v>274</v>
      </c>
      <c r="D407" s="64">
        <f t="shared" si="99"/>
        <v>5565102.101934799</v>
      </c>
      <c r="E407" s="64">
        <f t="shared" si="99"/>
        <v>5567424.657946337</v>
      </c>
      <c r="F407" s="64">
        <f t="shared" si="99"/>
        <v>5462271.0091018155</v>
      </c>
      <c r="G407" s="64">
        <f t="shared" si="99"/>
        <v>5548340.3255747594</v>
      </c>
      <c r="H407" s="64">
        <f t="shared" si="99"/>
        <v>5307932.0142474137</v>
      </c>
      <c r="I407" s="64">
        <f t="shared" si="99"/>
        <v>5332804.2937455</v>
      </c>
      <c r="J407" s="64">
        <f t="shared" si="99"/>
        <v>32783874.402550623</v>
      </c>
    </row>
    <row r="408" spans="2:10">
      <c r="B408" s="48" t="s">
        <v>275</v>
      </c>
      <c r="D408" s="64">
        <f t="shared" si="99"/>
        <v>271305.01923253515</v>
      </c>
      <c r="E408" s="64">
        <f t="shared" si="99"/>
        <v>271418.24646392057</v>
      </c>
      <c r="F408" s="64">
        <f t="shared" si="99"/>
        <v>266291.88719870319</v>
      </c>
      <c r="G408" s="64">
        <f t="shared" si="99"/>
        <v>270487.86368454411</v>
      </c>
      <c r="H408" s="64">
        <f t="shared" si="99"/>
        <v>258767.68670779996</v>
      </c>
      <c r="I408" s="64">
        <f t="shared" si="99"/>
        <v>259980.23845329974</v>
      </c>
      <c r="J408" s="64">
        <f t="shared" si="99"/>
        <v>1598250.9417408027</v>
      </c>
    </row>
    <row r="409" spans="2:10">
      <c r="B409" s="48" t="s">
        <v>276</v>
      </c>
      <c r="D409" s="64">
        <f t="shared" si="99"/>
        <v>2427629.3780412097</v>
      </c>
      <c r="E409" s="64">
        <f t="shared" si="99"/>
        <v>2428642.5319964262</v>
      </c>
      <c r="F409" s="64">
        <f t="shared" si="99"/>
        <v>2382772.0192066543</v>
      </c>
      <c r="G409" s="64">
        <f t="shared" si="99"/>
        <v>2420317.4940947061</v>
      </c>
      <c r="H409" s="64">
        <f t="shared" si="99"/>
        <v>2315445.6932519805</v>
      </c>
      <c r="I409" s="64">
        <f t="shared" si="99"/>
        <v>2326295.5708108153</v>
      </c>
      <c r="J409" s="64">
        <f t="shared" si="99"/>
        <v>14301102.687401792</v>
      </c>
    </row>
    <row r="410" spans="2:10">
      <c r="B410" s="48" t="s">
        <v>277</v>
      </c>
      <c r="D410" s="64">
        <f t="shared" si="99"/>
        <v>405261.36106087733</v>
      </c>
      <c r="E410" s="64">
        <f t="shared" si="99"/>
        <v>405430.49402432266</v>
      </c>
      <c r="F410" s="64">
        <f t="shared" si="99"/>
        <v>397773.00453523808</v>
      </c>
      <c r="G410" s="64">
        <f t="shared" si="99"/>
        <v>404040.73650142731</v>
      </c>
      <c r="H410" s="64">
        <f t="shared" si="99"/>
        <v>386533.74423528463</v>
      </c>
      <c r="I410" s="64">
        <f t="shared" si="99"/>
        <v>388344.99111943017</v>
      </c>
      <c r="J410" s="64">
        <f t="shared" si="99"/>
        <v>2387384.3314765804</v>
      </c>
    </row>
    <row r="411" spans="2:10">
      <c r="B411" s="48" t="s">
        <v>278</v>
      </c>
      <c r="D411" s="64">
        <f t="shared" si="99"/>
        <v>46.265000000000001</v>
      </c>
      <c r="E411" s="64">
        <f t="shared" si="99"/>
        <v>46.265000000000001</v>
      </c>
      <c r="F411" s="64">
        <f t="shared" si="99"/>
        <v>46.265000000000001</v>
      </c>
      <c r="G411" s="64">
        <f t="shared" si="99"/>
        <v>46.265000000000001</v>
      </c>
      <c r="H411" s="64">
        <f t="shared" si="99"/>
        <v>46.265000000000001</v>
      </c>
      <c r="I411" s="64">
        <f t="shared" si="99"/>
        <v>46.265000000000001</v>
      </c>
      <c r="J411" s="64">
        <f t="shared" si="99"/>
        <v>277.59000000000003</v>
      </c>
    </row>
    <row r="412" spans="2:10">
      <c r="B412" s="48" t="s">
        <v>279</v>
      </c>
      <c r="D412" s="64">
        <f t="shared" si="99"/>
        <v>1769574.2543792112</v>
      </c>
      <c r="E412" s="64">
        <f t="shared" si="99"/>
        <v>1770312.7929900298</v>
      </c>
      <c r="F412" s="64">
        <f t="shared" si="99"/>
        <v>1736875.481099891</v>
      </c>
      <c r="G412" s="64">
        <f t="shared" si="99"/>
        <v>1764244.2563226325</v>
      </c>
      <c r="H412" s="64">
        <f t="shared" si="99"/>
        <v>1687797.9534585273</v>
      </c>
      <c r="I412" s="64">
        <f t="shared" si="99"/>
        <v>1695706.9720816081</v>
      </c>
      <c r="J412" s="64">
        <f t="shared" si="99"/>
        <v>10424511.7103319</v>
      </c>
    </row>
    <row r="413" spans="2:10">
      <c r="B413" s="48" t="s">
        <v>875</v>
      </c>
      <c r="D413" s="64">
        <f t="shared" si="99"/>
        <v>0</v>
      </c>
      <c r="E413" s="64">
        <f t="shared" si="99"/>
        <v>0</v>
      </c>
      <c r="F413" s="64">
        <f t="shared" si="99"/>
        <v>0</v>
      </c>
      <c r="G413" s="64">
        <f t="shared" si="99"/>
        <v>0</v>
      </c>
      <c r="H413" s="64">
        <f t="shared" si="99"/>
        <v>0</v>
      </c>
      <c r="I413" s="64">
        <f t="shared" si="99"/>
        <v>0</v>
      </c>
      <c r="J413" s="64">
        <f t="shared" si="99"/>
        <v>0</v>
      </c>
    </row>
    <row r="414" spans="2:10">
      <c r="B414" s="48" t="s">
        <v>874</v>
      </c>
      <c r="D414" s="64">
        <f t="shared" si="99"/>
        <v>0</v>
      </c>
      <c r="E414" s="64">
        <f t="shared" si="99"/>
        <v>0</v>
      </c>
      <c r="F414" s="64">
        <f t="shared" si="99"/>
        <v>0</v>
      </c>
      <c r="G414" s="64">
        <f t="shared" si="99"/>
        <v>0</v>
      </c>
      <c r="H414" s="64">
        <f t="shared" si="99"/>
        <v>0</v>
      </c>
      <c r="I414" s="64">
        <f t="shared" si="99"/>
        <v>0</v>
      </c>
      <c r="J414" s="64">
        <f t="shared" si="99"/>
        <v>0</v>
      </c>
    </row>
    <row r="415" spans="2:10">
      <c r="B415" s="48" t="s">
        <v>873</v>
      </c>
      <c r="D415" s="64">
        <f t="shared" si="99"/>
        <v>0</v>
      </c>
      <c r="E415" s="64">
        <f t="shared" si="99"/>
        <v>0</v>
      </c>
      <c r="F415" s="64">
        <f t="shared" si="99"/>
        <v>0</v>
      </c>
      <c r="G415" s="64">
        <f t="shared" si="99"/>
        <v>0</v>
      </c>
      <c r="H415" s="64">
        <f t="shared" si="99"/>
        <v>0</v>
      </c>
      <c r="I415" s="64">
        <f t="shared" si="99"/>
        <v>0</v>
      </c>
      <c r="J415" s="64">
        <f t="shared" si="99"/>
        <v>0</v>
      </c>
    </row>
    <row r="416" spans="2:10">
      <c r="B416" s="48" t="s">
        <v>872</v>
      </c>
      <c r="D416" s="64">
        <f t="shared" si="99"/>
        <v>0</v>
      </c>
      <c r="E416" s="64">
        <f t="shared" si="99"/>
        <v>0</v>
      </c>
      <c r="F416" s="64">
        <f t="shared" si="99"/>
        <v>0</v>
      </c>
      <c r="G416" s="64">
        <f t="shared" si="99"/>
        <v>0</v>
      </c>
      <c r="H416" s="64">
        <f t="shared" si="99"/>
        <v>0</v>
      </c>
      <c r="I416" s="64">
        <f t="shared" si="99"/>
        <v>0</v>
      </c>
      <c r="J416" s="64">
        <f t="shared" si="99"/>
        <v>0</v>
      </c>
    </row>
    <row r="417" spans="2:10">
      <c r="B417" s="48" t="s">
        <v>871</v>
      </c>
      <c r="D417" s="64">
        <f t="shared" si="99"/>
        <v>0</v>
      </c>
      <c r="E417" s="64">
        <f t="shared" si="99"/>
        <v>0</v>
      </c>
      <c r="F417" s="64">
        <f t="shared" si="99"/>
        <v>0</v>
      </c>
      <c r="G417" s="64">
        <f t="shared" si="99"/>
        <v>0</v>
      </c>
      <c r="H417" s="64">
        <f t="shared" si="99"/>
        <v>0</v>
      </c>
      <c r="I417" s="64">
        <f t="shared" si="99"/>
        <v>0</v>
      </c>
      <c r="J417" s="64">
        <f t="shared" si="99"/>
        <v>0</v>
      </c>
    </row>
    <row r="418" spans="2:10">
      <c r="B418" s="48" t="s">
        <v>870</v>
      </c>
      <c r="D418" s="64">
        <f t="shared" ref="D418:J418" si="100">D397-D438</f>
        <v>0</v>
      </c>
      <c r="E418" s="64">
        <f t="shared" si="100"/>
        <v>0</v>
      </c>
      <c r="F418" s="64">
        <f t="shared" si="100"/>
        <v>0</v>
      </c>
      <c r="G418" s="64">
        <f t="shared" si="100"/>
        <v>0</v>
      </c>
      <c r="H418" s="64">
        <f t="shared" si="100"/>
        <v>0</v>
      </c>
      <c r="I418" s="64">
        <f t="shared" si="100"/>
        <v>0</v>
      </c>
      <c r="J418" s="64">
        <f t="shared" si="100"/>
        <v>0</v>
      </c>
    </row>
    <row r="419" spans="2:10">
      <c r="B419" s="48" t="s">
        <v>893</v>
      </c>
      <c r="D419" s="64">
        <f>D398-D439</f>
        <v>0</v>
      </c>
      <c r="E419" s="64"/>
      <c r="F419" s="64"/>
      <c r="G419" s="64"/>
      <c r="H419" s="64"/>
      <c r="I419" s="64"/>
      <c r="J419" s="64"/>
    </row>
    <row r="420" spans="2:10">
      <c r="B420" s="48" t="s">
        <v>111</v>
      </c>
      <c r="C420" s="48" t="s">
        <v>889</v>
      </c>
      <c r="D420" s="65">
        <f>SUM(D402:D419)</f>
        <v>25176380.026717376</v>
      </c>
      <c r="E420" s="65">
        <f t="shared" ref="E420:J420" si="101">SUM(E402:E419)</f>
        <v>25186887.210899945</v>
      </c>
      <c r="F420" s="65">
        <f t="shared" si="101"/>
        <v>24711174.784422588</v>
      </c>
      <c r="G420" s="65">
        <f t="shared" si="101"/>
        <v>25100550.177806515</v>
      </c>
      <c r="H420" s="65">
        <f t="shared" si="101"/>
        <v>24012949.106578309</v>
      </c>
      <c r="I420" s="65">
        <f t="shared" si="101"/>
        <v>24125470.664908186</v>
      </c>
      <c r="J420" s="65">
        <f t="shared" si="101"/>
        <v>148313411.97133288</v>
      </c>
    </row>
    <row r="422" spans="2:10">
      <c r="B422" s="48" t="s">
        <v>902</v>
      </c>
      <c r="D422" s="64">
        <f t="shared" ref="D422:J431" si="102">SUMIF($B$219:$B$342,$B422,D$219:D$342)</f>
        <v>28875.087210148486</v>
      </c>
      <c r="E422" s="64">
        <f t="shared" si="102"/>
        <v>28887.138023620588</v>
      </c>
      <c r="F422" s="64">
        <f t="shared" si="102"/>
        <v>28341.537830625886</v>
      </c>
      <c r="G422" s="64">
        <f t="shared" si="102"/>
        <v>28788.117062013214</v>
      </c>
      <c r="H422" s="64">
        <f t="shared" si="102"/>
        <v>27540.734565076062</v>
      </c>
      <c r="I422" s="64">
        <f t="shared" si="102"/>
        <v>27669.786867525778</v>
      </c>
      <c r="J422" s="64">
        <f t="shared" si="102"/>
        <v>170102.40155901</v>
      </c>
    </row>
    <row r="423" spans="2:10">
      <c r="B423" s="48" t="s">
        <v>751</v>
      </c>
      <c r="D423" s="64">
        <f t="shared" si="102"/>
        <v>79391.627483846562</v>
      </c>
      <c r="E423" s="64">
        <f t="shared" si="102"/>
        <v>79424.761823672496</v>
      </c>
      <c r="F423" s="64">
        <f t="shared" si="102"/>
        <v>77924.60565200563</v>
      </c>
      <c r="G423" s="64">
        <f t="shared" si="102"/>
        <v>79152.498527971766</v>
      </c>
      <c r="H423" s="64">
        <f t="shared" si="102"/>
        <v>75722.755329131585</v>
      </c>
      <c r="I423" s="64">
        <f t="shared" si="102"/>
        <v>76077.591361950996</v>
      </c>
      <c r="J423" s="64">
        <f t="shared" si="102"/>
        <v>467693.84017857909</v>
      </c>
    </row>
    <row r="424" spans="2:10">
      <c r="B424" s="48" t="s">
        <v>750</v>
      </c>
      <c r="D424" s="64">
        <f t="shared" si="102"/>
        <v>86987.803419954391</v>
      </c>
      <c r="E424" s="64">
        <f t="shared" si="102"/>
        <v>87024.107164623041</v>
      </c>
      <c r="F424" s="64">
        <f t="shared" si="102"/>
        <v>85380.45629047323</v>
      </c>
      <c r="G424" s="64">
        <f t="shared" si="102"/>
        <v>86725.801019949999</v>
      </c>
      <c r="H424" s="64">
        <f t="shared" si="102"/>
        <v>82967.991990894501</v>
      </c>
      <c r="I424" s="64">
        <f t="shared" si="102"/>
        <v>83356.769217251858</v>
      </c>
      <c r="J424" s="64">
        <f t="shared" si="102"/>
        <v>512442.92910314701</v>
      </c>
    </row>
    <row r="425" spans="2:10">
      <c r="B425" s="48" t="s">
        <v>749</v>
      </c>
      <c r="D425" s="64">
        <f t="shared" si="102"/>
        <v>104154.69469574664</v>
      </c>
      <c r="E425" s="64">
        <f t="shared" si="102"/>
        <v>104198.16292110256</v>
      </c>
      <c r="F425" s="64">
        <f t="shared" si="102"/>
        <v>102230.14041388976</v>
      </c>
      <c r="G425" s="64">
        <f t="shared" si="102"/>
        <v>103840.98657910104</v>
      </c>
      <c r="H425" s="64">
        <f t="shared" si="102"/>
        <v>99341.580492748326</v>
      </c>
      <c r="I425" s="64">
        <f t="shared" si="102"/>
        <v>99807.082226599683</v>
      </c>
      <c r="J425" s="64">
        <f t="shared" si="102"/>
        <v>613572.64732918795</v>
      </c>
    </row>
    <row r="426" spans="2:10">
      <c r="B426" s="48" t="s">
        <v>1176</v>
      </c>
      <c r="D426" s="64">
        <f t="shared" si="102"/>
        <v>1.9300000000000002</v>
      </c>
      <c r="E426" s="64">
        <f t="shared" si="102"/>
        <v>1.9300000000000002</v>
      </c>
      <c r="F426" s="64">
        <f t="shared" si="102"/>
        <v>1.9300000000000002</v>
      </c>
      <c r="G426" s="64">
        <f t="shared" si="102"/>
        <v>1.9300000000000002</v>
      </c>
      <c r="H426" s="64">
        <f t="shared" si="102"/>
        <v>1.9300000000000002</v>
      </c>
      <c r="I426" s="64">
        <f t="shared" si="102"/>
        <v>1.9300000000000002</v>
      </c>
      <c r="J426" s="64">
        <f t="shared" si="102"/>
        <v>11.58</v>
      </c>
    </row>
    <row r="427" spans="2:10">
      <c r="B427" s="48" t="s">
        <v>274</v>
      </c>
      <c r="D427" s="64">
        <f t="shared" si="102"/>
        <v>112257.18269067605</v>
      </c>
      <c r="E427" s="64">
        <f t="shared" si="102"/>
        <v>112304.03243210414</v>
      </c>
      <c r="F427" s="64">
        <f t="shared" si="102"/>
        <v>110182.91189330455</v>
      </c>
      <c r="G427" s="64">
        <f t="shared" si="102"/>
        <v>111919.07033323788</v>
      </c>
      <c r="H427" s="64">
        <f t="shared" si="102"/>
        <v>107069.64273412013</v>
      </c>
      <c r="I427" s="64">
        <f t="shared" si="102"/>
        <v>107571.35716314732</v>
      </c>
      <c r="J427" s="64">
        <f t="shared" si="102"/>
        <v>661304.19724659016</v>
      </c>
    </row>
    <row r="428" spans="2:10">
      <c r="B428" s="48" t="s">
        <v>275</v>
      </c>
      <c r="D428" s="64">
        <f t="shared" si="102"/>
        <v>5429.539386141696</v>
      </c>
      <c r="E428" s="64">
        <f t="shared" si="102"/>
        <v>5431.8053660123605</v>
      </c>
      <c r="F428" s="64">
        <f t="shared" si="102"/>
        <v>5329.213200129303</v>
      </c>
      <c r="G428" s="64">
        <f t="shared" si="102"/>
        <v>5413.1859171016768</v>
      </c>
      <c r="H428" s="64">
        <f t="shared" si="102"/>
        <v>5178.6338152356875</v>
      </c>
      <c r="I428" s="64">
        <f t="shared" si="102"/>
        <v>5202.90022017928</v>
      </c>
      <c r="J428" s="64">
        <f t="shared" si="102"/>
        <v>31985.277904800001</v>
      </c>
    </row>
    <row r="429" spans="2:10">
      <c r="B429" s="48" t="s">
        <v>276</v>
      </c>
      <c r="D429" s="64">
        <f t="shared" si="102"/>
        <v>48536.845881078982</v>
      </c>
      <c r="E429" s="64">
        <f t="shared" si="102"/>
        <v>48557.102390504573</v>
      </c>
      <c r="F429" s="64">
        <f t="shared" si="102"/>
        <v>47639.989576702799</v>
      </c>
      <c r="G429" s="64">
        <f t="shared" si="102"/>
        <v>48390.65561520811</v>
      </c>
      <c r="H429" s="64">
        <f t="shared" si="102"/>
        <v>46293.899627322637</v>
      </c>
      <c r="I429" s="64">
        <f t="shared" si="102"/>
        <v>46510.826823732925</v>
      </c>
      <c r="J429" s="64">
        <f t="shared" si="102"/>
        <v>285929.31991455005</v>
      </c>
    </row>
    <row r="430" spans="2:10">
      <c r="B430" s="48" t="s">
        <v>277</v>
      </c>
      <c r="D430" s="64">
        <f t="shared" si="102"/>
        <v>8102.5993511577117</v>
      </c>
      <c r="E430" s="64">
        <f t="shared" si="102"/>
        <v>8105.9809137036309</v>
      </c>
      <c r="F430" s="64">
        <f t="shared" si="102"/>
        <v>7952.8807780199986</v>
      </c>
      <c r="G430" s="64">
        <f t="shared" si="102"/>
        <v>8078.1947749663959</v>
      </c>
      <c r="H430" s="64">
        <f t="shared" si="102"/>
        <v>7728.1684516943315</v>
      </c>
      <c r="I430" s="64">
        <f t="shared" si="102"/>
        <v>7764.3816445579359</v>
      </c>
      <c r="J430" s="64">
        <f t="shared" si="102"/>
        <v>47732.205914099999</v>
      </c>
    </row>
    <row r="431" spans="2:10">
      <c r="B431" s="48" t="s">
        <v>278</v>
      </c>
      <c r="D431" s="64">
        <f t="shared" si="102"/>
        <v>0.92500000000000004</v>
      </c>
      <c r="E431" s="64">
        <f t="shared" si="102"/>
        <v>0.92500000000000004</v>
      </c>
      <c r="F431" s="64">
        <f t="shared" si="102"/>
        <v>0.92500000000000004</v>
      </c>
      <c r="G431" s="64">
        <f t="shared" si="102"/>
        <v>0.92500000000000004</v>
      </c>
      <c r="H431" s="64">
        <f t="shared" si="102"/>
        <v>0.92500000000000004</v>
      </c>
      <c r="I431" s="64">
        <f t="shared" si="102"/>
        <v>0.92500000000000004</v>
      </c>
      <c r="J431" s="64">
        <f t="shared" si="102"/>
        <v>5.55</v>
      </c>
    </row>
    <row r="432" spans="2:10">
      <c r="B432" s="48" t="s">
        <v>279</v>
      </c>
      <c r="D432" s="64">
        <f t="shared" ref="D432:J439" si="103">SUMIF($B$219:$B$342,$B432,D$219:D$342)</f>
        <v>35380.010489587599</v>
      </c>
      <c r="E432" s="64">
        <f t="shared" si="103"/>
        <v>35394.776472836435</v>
      </c>
      <c r="F432" s="64">
        <f t="shared" si="103"/>
        <v>34726.247055385262</v>
      </c>
      <c r="G432" s="64">
        <f t="shared" si="103"/>
        <v>35273.445090207177</v>
      </c>
      <c r="H432" s="64">
        <f t="shared" si="103"/>
        <v>33745.014740065664</v>
      </c>
      <c r="I432" s="64">
        <f t="shared" si="103"/>
        <v>33903.143827417865</v>
      </c>
      <c r="J432" s="64">
        <f t="shared" si="103"/>
        <v>208422.63767550001</v>
      </c>
    </row>
    <row r="433" spans="2:10">
      <c r="B433" s="48" t="s">
        <v>875</v>
      </c>
      <c r="D433" s="64">
        <f t="shared" si="103"/>
        <v>15744.212808568656</v>
      </c>
      <c r="E433" s="64">
        <f t="shared" si="103"/>
        <v>15452.078067906483</v>
      </c>
      <c r="F433" s="64">
        <f t="shared" si="103"/>
        <v>15691.39200097992</v>
      </c>
      <c r="G433" s="64">
        <f t="shared" si="103"/>
        <v>16536.955044197253</v>
      </c>
      <c r="H433" s="64">
        <f t="shared" si="103"/>
        <v>15219.286133795547</v>
      </c>
      <c r="I433" s="64">
        <f t="shared" si="103"/>
        <v>17104.709428557588</v>
      </c>
      <c r="J433" s="64">
        <f t="shared" si="103"/>
        <v>95748.633484005448</v>
      </c>
    </row>
    <row r="434" spans="2:10">
      <c r="B434" s="48" t="s">
        <v>874</v>
      </c>
      <c r="D434" s="64">
        <f t="shared" si="103"/>
        <v>526.7324741561099</v>
      </c>
      <c r="E434" s="64">
        <f t="shared" si="103"/>
        <v>522.05179334229001</v>
      </c>
      <c r="F434" s="64">
        <f t="shared" si="103"/>
        <v>499.99997712240003</v>
      </c>
      <c r="G434" s="64">
        <f t="shared" si="103"/>
        <v>518.5087791929999</v>
      </c>
      <c r="H434" s="64">
        <f t="shared" si="103"/>
        <v>502.13349637749008</v>
      </c>
      <c r="I434" s="64">
        <f t="shared" si="103"/>
        <v>520.25021001900063</v>
      </c>
      <c r="J434" s="64">
        <f t="shared" si="103"/>
        <v>3089.6767302102908</v>
      </c>
    </row>
    <row r="435" spans="2:10">
      <c r="B435" s="48" t="s">
        <v>873</v>
      </c>
      <c r="D435" s="64">
        <f t="shared" si="103"/>
        <v>81058.228987133043</v>
      </c>
      <c r="E435" s="64">
        <f t="shared" si="103"/>
        <v>80238.818142580654</v>
      </c>
      <c r="F435" s="64">
        <f t="shared" si="103"/>
        <v>77960.858870457785</v>
      </c>
      <c r="G435" s="64">
        <f t="shared" si="103"/>
        <v>81107.423259968171</v>
      </c>
      <c r="H435" s="64">
        <f t="shared" si="103"/>
        <v>74783.061512927641</v>
      </c>
      <c r="I435" s="64">
        <f t="shared" si="103"/>
        <v>80188.041081953299</v>
      </c>
      <c r="J435" s="64">
        <f t="shared" si="103"/>
        <v>475336.43185502058</v>
      </c>
    </row>
    <row r="436" spans="2:10">
      <c r="B436" s="48" t="s">
        <v>872</v>
      </c>
      <c r="D436" s="64">
        <f t="shared" si="103"/>
        <v>19337.840312919565</v>
      </c>
      <c r="E436" s="64">
        <f t="shared" si="103"/>
        <v>19519.474302783903</v>
      </c>
      <c r="F436" s="64">
        <f t="shared" si="103"/>
        <v>18987.89810064435</v>
      </c>
      <c r="G436" s="64">
        <f t="shared" si="103"/>
        <v>20351.476613887651</v>
      </c>
      <c r="H436" s="64">
        <f t="shared" si="103"/>
        <v>19082.497782717903</v>
      </c>
      <c r="I436" s="64">
        <f t="shared" si="103"/>
        <v>18979.689458126733</v>
      </c>
      <c r="J436" s="64">
        <f t="shared" si="103"/>
        <v>116258.87657108009</v>
      </c>
    </row>
    <row r="437" spans="2:10">
      <c r="B437" s="48" t="s">
        <v>871</v>
      </c>
      <c r="D437" s="64">
        <f t="shared" si="103"/>
        <v>8818.9473361886994</v>
      </c>
      <c r="E437" s="64">
        <f t="shared" si="103"/>
        <v>8649.5731178507995</v>
      </c>
      <c r="F437" s="64">
        <f t="shared" si="103"/>
        <v>8942.6833723925993</v>
      </c>
      <c r="G437" s="64">
        <f t="shared" si="103"/>
        <v>10751.90140300293</v>
      </c>
      <c r="H437" s="64">
        <f t="shared" si="103"/>
        <v>10352.584295617138</v>
      </c>
      <c r="I437" s="64">
        <f t="shared" si="103"/>
        <v>10884.117112828049</v>
      </c>
      <c r="J437" s="64">
        <f t="shared" si="103"/>
        <v>58399.806637880218</v>
      </c>
    </row>
    <row r="438" spans="2:10">
      <c r="B438" s="48" t="s">
        <v>870</v>
      </c>
      <c r="D438" s="64">
        <f t="shared" si="103"/>
        <v>18472.66233106545</v>
      </c>
      <c r="E438" s="64">
        <f t="shared" si="103"/>
        <v>16721.027031903297</v>
      </c>
      <c r="F438" s="64">
        <f t="shared" si="103"/>
        <v>16901.139358653927</v>
      </c>
      <c r="G438" s="64">
        <f t="shared" si="103"/>
        <v>19379.427240143788</v>
      </c>
      <c r="H438" s="64">
        <f t="shared" si="103"/>
        <v>13463.76201209865</v>
      </c>
      <c r="I438" s="64">
        <f t="shared" si="103"/>
        <v>17361.112641057811</v>
      </c>
      <c r="J438" s="64">
        <f t="shared" si="103"/>
        <v>102299.13061492293</v>
      </c>
    </row>
    <row r="439" spans="2:10">
      <c r="B439" s="48" t="s">
        <v>893</v>
      </c>
      <c r="D439" s="64">
        <f t="shared" si="103"/>
        <v>4654.8055350000086</v>
      </c>
      <c r="E439" s="64">
        <f t="shared" si="103"/>
        <v>4654.8055350000086</v>
      </c>
      <c r="F439" s="64">
        <f t="shared" si="103"/>
        <v>4654.8055350000086</v>
      </c>
      <c r="G439" s="64">
        <f t="shared" si="103"/>
        <v>4654.8055350000086</v>
      </c>
      <c r="H439" s="64">
        <f t="shared" si="103"/>
        <v>4654.8055350000086</v>
      </c>
      <c r="I439" s="64">
        <f t="shared" si="103"/>
        <v>4654.8055350000086</v>
      </c>
      <c r="J439" s="64">
        <f t="shared" si="103"/>
        <v>27928.833210000048</v>
      </c>
    </row>
    <row r="440" spans="2:10">
      <c r="B440" s="48" t="s">
        <v>888</v>
      </c>
      <c r="D440" s="65">
        <f t="shared" ref="D440:J440" si="104">SUM(D422:D439)</f>
        <v>657731.67539336963</v>
      </c>
      <c r="E440" s="65">
        <f t="shared" si="104"/>
        <v>655088.55049954739</v>
      </c>
      <c r="F440" s="65">
        <f t="shared" si="104"/>
        <v>643349.6149057874</v>
      </c>
      <c r="G440" s="65">
        <f t="shared" si="104"/>
        <v>660885.30779515009</v>
      </c>
      <c r="H440" s="65">
        <f t="shared" si="104"/>
        <v>623649.40751482348</v>
      </c>
      <c r="I440" s="65">
        <f t="shared" si="104"/>
        <v>637559.41981990624</v>
      </c>
      <c r="J440" s="65">
        <f t="shared" si="104"/>
        <v>3878263.9759285841</v>
      </c>
    </row>
    <row r="441" spans="2:10">
      <c r="D441" s="66">
        <f t="shared" ref="D441:J441" si="105">D311+D342-D440</f>
        <v>0</v>
      </c>
      <c r="E441" s="66">
        <f t="shared" si="105"/>
        <v>0</v>
      </c>
      <c r="F441" s="66">
        <f t="shared" si="105"/>
        <v>0</v>
      </c>
      <c r="G441" s="66">
        <f t="shared" si="105"/>
        <v>0</v>
      </c>
      <c r="H441" s="66">
        <f t="shared" si="105"/>
        <v>0</v>
      </c>
      <c r="I441" s="66">
        <f t="shared" si="105"/>
        <v>0</v>
      </c>
      <c r="J441" s="66">
        <f t="shared" si="105"/>
        <v>0</v>
      </c>
    </row>
  </sheetData>
  <printOptions horizontalCentered="1" verticalCentered="1"/>
  <pageMargins left="0.39370078740157483" right="0.39370078740157483" top="0.39370078740157483" bottom="0.39370078740157483" header="0.31496062992125984" footer="0.23622047244094491"/>
  <pageSetup scale="45" orientation="portrait" horizontalDpi="300" r:id="rId1"/>
  <headerFooter alignWithMargins="0">
    <oddHeader>&amp;L
NOMBRE DE LA DISTRIBUIDORA: &amp;UENSA.&amp;R&amp;9&amp;A</oddHeader>
  </headerFooter>
  <rowBreaks count="3" manualBreakCount="3">
    <brk id="121" max="9" man="1"/>
    <brk id="216" max="16383" man="1"/>
    <brk id="311" max="9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C0B23-AB34-4CF5-AAFC-5E48931C065F}">
  <sheetPr>
    <tabColor theme="5" tint="0.79998168889431442"/>
  </sheetPr>
  <dimension ref="A1:AB441"/>
  <sheetViews>
    <sheetView zoomScale="70" zoomScaleNormal="70" zoomScaleSheetLayoutView="70" workbookViewId="0"/>
  </sheetViews>
  <sheetFormatPr baseColWidth="10" defaultColWidth="8" defaultRowHeight="15"/>
  <cols>
    <col min="1" max="1" width="2.5" style="63" customWidth="1"/>
    <col min="2" max="2" width="7" style="48" customWidth="1"/>
    <col min="3" max="3" width="30.25" style="63" customWidth="1"/>
    <col min="4" max="4" width="11.75" style="63" customWidth="1"/>
    <col min="5" max="5" width="12.625" style="63" customWidth="1"/>
    <col min="6" max="6" width="12.75" style="63" customWidth="1"/>
    <col min="7" max="7" width="13.25" style="63" customWidth="1"/>
    <col min="8" max="8" width="13.875" style="63" customWidth="1"/>
    <col min="9" max="9" width="11.5" style="63" customWidth="1"/>
    <col min="10" max="10" width="13.125" style="63" customWidth="1"/>
    <col min="11" max="11" width="2.25" style="63" customWidth="1"/>
    <col min="12" max="12" width="4.25" style="319" bestFit="1" customWidth="1"/>
    <col min="13" max="14" width="8" style="63"/>
    <col min="15" max="15" width="8.875" style="63" bestFit="1" customWidth="1"/>
    <col min="16" max="16" width="8" style="63" customWidth="1"/>
    <col min="17" max="17" width="8.875" style="63" bestFit="1" customWidth="1"/>
    <col min="18" max="16384" width="8" style="63"/>
  </cols>
  <sheetData>
    <row r="1" spans="2:10" s="69" customFormat="1" ht="15.75">
      <c r="B1" s="48"/>
      <c r="C1" s="136" t="s">
        <v>151</v>
      </c>
      <c r="E1" s="63"/>
    </row>
    <row r="2" spans="2:10" s="69" customFormat="1" ht="15.75">
      <c r="B2" s="48"/>
      <c r="C2" s="136"/>
      <c r="E2" s="137"/>
    </row>
    <row r="3" spans="2:10" s="69" customFormat="1" ht="15.75">
      <c r="B3" s="48"/>
      <c r="C3" s="70" t="s">
        <v>865</v>
      </c>
      <c r="D3" s="137"/>
    </row>
    <row r="4" spans="2:10" s="69" customFormat="1" ht="15.75">
      <c r="B4" s="48"/>
      <c r="C4" s="219" t="s">
        <v>1529</v>
      </c>
      <c r="D4" s="338"/>
      <c r="E4" s="338"/>
      <c r="F4" s="338"/>
      <c r="G4" s="338"/>
      <c r="H4" s="338"/>
      <c r="I4" s="338"/>
      <c r="J4" s="339"/>
    </row>
    <row r="5" spans="2:10" s="74" customFormat="1" ht="18.75" customHeight="1">
      <c r="B5" s="48"/>
      <c r="C5" s="322"/>
      <c r="D5" s="322"/>
      <c r="E5" s="323"/>
      <c r="F5" s="322"/>
      <c r="G5" s="322"/>
      <c r="H5" s="322"/>
      <c r="I5" s="322"/>
    </row>
    <row r="6" spans="2:10" s="58" customFormat="1" ht="22.5">
      <c r="B6" s="48"/>
      <c r="C6" s="324" t="s">
        <v>1</v>
      </c>
      <c r="D6" s="325" t="s">
        <v>1449</v>
      </c>
      <c r="E6" s="325" t="s">
        <v>1450</v>
      </c>
      <c r="F6" s="325" t="s">
        <v>1451</v>
      </c>
      <c r="G6" s="325" t="s">
        <v>1234</v>
      </c>
      <c r="H6" s="325" t="s">
        <v>1233</v>
      </c>
      <c r="I6" s="325" t="s">
        <v>1232</v>
      </c>
      <c r="J6" s="325" t="s">
        <v>291</v>
      </c>
    </row>
    <row r="7" spans="2:10" s="143" customFormat="1" ht="13.5">
      <c r="B7" s="48"/>
      <c r="C7" s="144" t="s">
        <v>266</v>
      </c>
      <c r="D7" s="178"/>
      <c r="E7" s="144"/>
      <c r="F7" s="144"/>
      <c r="G7" s="146">
        <f>RAT1000PT!$N$106</f>
        <v>0.14310999999999999</v>
      </c>
      <c r="H7" s="146">
        <f>RAT1000PT!$N$111</f>
        <v>0.10065</v>
      </c>
      <c r="I7" s="146">
        <f>RAT1000PT!$N$116</f>
        <v>5.8180000000000003E-2</v>
      </c>
      <c r="J7" s="146">
        <f>RAT1000PT!$N$45</f>
        <v>1.6199999999999999E-3</v>
      </c>
    </row>
    <row r="8" spans="2:10" s="143" customFormat="1" ht="13.5">
      <c r="B8" s="48"/>
      <c r="C8" s="326" t="s">
        <v>265</v>
      </c>
      <c r="D8" s="327"/>
      <c r="E8" s="328"/>
      <c r="F8" s="328">
        <f>RAT1000PT!$N$127</f>
        <v>9.0910000000000005E-2</v>
      </c>
      <c r="G8" s="328"/>
      <c r="H8" s="328"/>
      <c r="I8" s="328"/>
      <c r="J8" s="328">
        <f>RAT1000PT!$N$44</f>
        <v>1.6199999999999999E-3</v>
      </c>
    </row>
    <row r="9" spans="2:10" s="143" customFormat="1" ht="13.5">
      <c r="B9" s="48"/>
      <c r="C9" s="144" t="s">
        <v>264</v>
      </c>
      <c r="D9" s="178"/>
      <c r="E9" s="146"/>
      <c r="F9" s="146"/>
      <c r="G9" s="146">
        <f>RAT1000PT!$N$105</f>
        <v>0.16045000000000001</v>
      </c>
      <c r="H9" s="146">
        <f>RAT1000PT!$N$110</f>
        <v>0.10463</v>
      </c>
      <c r="I9" s="146">
        <f>RAT1000PT!$N$115</f>
        <v>4.6510000000000003E-2</v>
      </c>
      <c r="J9" s="146">
        <f>RAT1000PT!$N$43</f>
        <v>1.6199999999999999E-3</v>
      </c>
    </row>
    <row r="10" spans="2:10" s="143" customFormat="1" ht="13.5">
      <c r="B10" s="48"/>
      <c r="C10" s="326" t="s">
        <v>262</v>
      </c>
      <c r="D10" s="327"/>
      <c r="E10" s="328"/>
      <c r="F10" s="328">
        <f>RAT1000PT!$N126</f>
        <v>9.0969999999999995E-2</v>
      </c>
      <c r="G10" s="328"/>
      <c r="H10" s="328"/>
      <c r="I10" s="328"/>
      <c r="J10" s="328">
        <f>RAT1000PT!$N$42</f>
        <v>1.6199999999999999E-3</v>
      </c>
    </row>
    <row r="11" spans="2:10" s="143" customFormat="1" ht="13.5">
      <c r="B11" s="48"/>
      <c r="C11" s="144" t="s">
        <v>263</v>
      </c>
      <c r="D11" s="178"/>
      <c r="E11" s="146"/>
      <c r="F11" s="146"/>
      <c r="G11" s="146">
        <f>RAT1000PT!$N$104</f>
        <v>0.15617</v>
      </c>
      <c r="H11" s="146">
        <f>RAT1000PT!$N$109</f>
        <v>0.10312</v>
      </c>
      <c r="I11" s="146">
        <f>RAT1000PT!$N$114</f>
        <v>4.9579999999999999E-2</v>
      </c>
      <c r="J11" s="146">
        <f>RAT1000PT!$N$41</f>
        <v>1.6199999999999999E-3</v>
      </c>
    </row>
    <row r="12" spans="2:10" s="143" customFormat="1" ht="13.5">
      <c r="B12" s="48"/>
      <c r="C12" s="326" t="s">
        <v>648</v>
      </c>
      <c r="D12" s="327"/>
      <c r="E12" s="328"/>
      <c r="F12" s="328">
        <f>RAT1000PT!$N122</f>
        <v>8.7970000000000007E-2</v>
      </c>
      <c r="G12" s="328"/>
      <c r="H12" s="328"/>
      <c r="I12" s="328"/>
      <c r="J12" s="328">
        <f>RAT1000PT!$N$40</f>
        <v>1.6199999999999999E-3</v>
      </c>
    </row>
    <row r="13" spans="2:10" s="143" customFormat="1" ht="13.5">
      <c r="B13" s="48"/>
      <c r="C13" s="326" t="s">
        <v>649</v>
      </c>
      <c r="D13" s="327"/>
      <c r="E13" s="328"/>
      <c r="F13" s="328">
        <f>RAT1000PT!$N123</f>
        <v>9.2369999999999994E-2</v>
      </c>
      <c r="G13" s="328"/>
      <c r="H13" s="328"/>
      <c r="I13" s="328"/>
      <c r="J13" s="328"/>
    </row>
    <row r="14" spans="2:10" s="143" customFormat="1" ht="13.5">
      <c r="B14" s="48"/>
      <c r="C14" s="326" t="s">
        <v>650</v>
      </c>
      <c r="D14" s="327"/>
      <c r="E14" s="328"/>
      <c r="F14" s="328">
        <f>RAT1000PT!$N124</f>
        <v>9.6990000000000007E-2</v>
      </c>
      <c r="G14" s="328"/>
      <c r="H14" s="328"/>
      <c r="I14" s="328"/>
      <c r="J14" s="328"/>
    </row>
    <row r="15" spans="2:10" s="143" customFormat="1" ht="13.5">
      <c r="B15" s="48"/>
      <c r="C15" s="326" t="s">
        <v>651</v>
      </c>
      <c r="D15" s="327"/>
      <c r="E15" s="328"/>
      <c r="F15" s="328">
        <f>RAT1000PT!$N125</f>
        <v>0.10184</v>
      </c>
      <c r="G15" s="328"/>
      <c r="H15" s="328"/>
      <c r="I15" s="328"/>
      <c r="J15" s="328"/>
    </row>
    <row r="16" spans="2:10" s="143" customFormat="1" ht="13.5">
      <c r="B16" s="48"/>
      <c r="C16" s="144" t="s">
        <v>1178</v>
      </c>
      <c r="D16" s="178"/>
      <c r="E16" s="146"/>
      <c r="F16" s="146"/>
      <c r="G16" s="146">
        <f>RAT1000PT!$N$103</f>
        <v>0.19483</v>
      </c>
      <c r="H16" s="146">
        <f>RAT1000PT!$N$108</f>
        <v>0.1169</v>
      </c>
      <c r="I16" s="146">
        <f>RAT1000PT!$N$113</f>
        <v>3.8969999999999998E-2</v>
      </c>
      <c r="J16" s="146">
        <f>RAT1000PT!$N$39</f>
        <v>1.72E-3</v>
      </c>
    </row>
    <row r="17" spans="2:13" s="143" customFormat="1" ht="13.5">
      <c r="B17" s="48"/>
      <c r="C17" s="2062" t="s">
        <v>1768</v>
      </c>
      <c r="D17" s="178"/>
      <c r="E17" s="146"/>
      <c r="F17" s="146">
        <f>RAT1000PT!$N118</f>
        <v>6.8879999999999997E-2</v>
      </c>
      <c r="G17" s="146"/>
      <c r="H17" s="146"/>
      <c r="I17" s="146"/>
      <c r="J17" s="146">
        <f>RAT1000PT!$N$37</f>
        <v>1.72E-3</v>
      </c>
    </row>
    <row r="18" spans="2:13" s="143" customFormat="1" ht="13.5">
      <c r="B18" s="48"/>
      <c r="C18" s="326" t="s">
        <v>645</v>
      </c>
      <c r="D18" s="327"/>
      <c r="E18" s="328"/>
      <c r="F18" s="328">
        <f>RAT1000PT!$N119</f>
        <v>7.0209999999999995E-2</v>
      </c>
      <c r="G18" s="328"/>
      <c r="H18" s="328"/>
      <c r="I18" s="328"/>
      <c r="J18" s="328">
        <f>RAT1000PT!$N$38</f>
        <v>1.7600000000000001E-3</v>
      </c>
      <c r="L18" s="319"/>
    </row>
    <row r="19" spans="2:13" s="143" customFormat="1" ht="13.5">
      <c r="B19" s="48"/>
      <c r="C19" s="326" t="s">
        <v>646</v>
      </c>
      <c r="D19" s="327"/>
      <c r="E19" s="328"/>
      <c r="F19" s="328">
        <f>RAT1000PT!$N$120</f>
        <v>0.12637000000000001</v>
      </c>
      <c r="G19" s="328"/>
      <c r="H19" s="328"/>
      <c r="I19" s="328"/>
      <c r="J19" s="328"/>
      <c r="L19" s="319"/>
    </row>
    <row r="20" spans="2:13" s="143" customFormat="1" ht="13.5">
      <c r="B20" s="48"/>
      <c r="C20" s="326" t="s">
        <v>647</v>
      </c>
      <c r="D20" s="328"/>
      <c r="E20" s="328"/>
      <c r="F20" s="328">
        <f>RAT1000PT!$N$121</f>
        <v>0.14532</v>
      </c>
      <c r="G20" s="328"/>
      <c r="H20" s="328"/>
      <c r="I20" s="328"/>
      <c r="J20" s="328"/>
      <c r="L20" s="319"/>
    </row>
    <row r="21" spans="2:13" s="143" customFormat="1" ht="13.5">
      <c r="B21" s="48"/>
      <c r="C21" s="144" t="s">
        <v>1164</v>
      </c>
      <c r="D21" s="178"/>
      <c r="E21" s="146"/>
      <c r="F21" s="146"/>
      <c r="G21" s="146"/>
      <c r="H21" s="146"/>
      <c r="I21" s="146"/>
      <c r="J21" s="146"/>
      <c r="L21" s="319"/>
    </row>
    <row r="22" spans="2:13" s="143" customFormat="1" ht="13.5">
      <c r="B22" s="48"/>
      <c r="C22" s="144" t="s">
        <v>1167</v>
      </c>
      <c r="D22" s="178"/>
      <c r="E22" s="146"/>
      <c r="F22" s="146"/>
      <c r="G22" s="146"/>
      <c r="H22" s="146"/>
      <c r="I22" s="146"/>
      <c r="J22" s="146"/>
      <c r="L22" s="319"/>
    </row>
    <row r="23" spans="2:13" s="143" customFormat="1" ht="13.5">
      <c r="B23" s="48"/>
      <c r="C23" s="144" t="s">
        <v>1166</v>
      </c>
      <c r="D23" s="178"/>
      <c r="E23" s="146"/>
      <c r="F23" s="146"/>
      <c r="G23" s="146"/>
      <c r="H23" s="146"/>
      <c r="I23" s="146"/>
      <c r="J23" s="146"/>
      <c r="L23" s="319"/>
    </row>
    <row r="24" spans="2:13" s="143" customFormat="1" ht="13.5">
      <c r="B24" s="48"/>
      <c r="C24" s="144" t="s">
        <v>1165</v>
      </c>
      <c r="D24" s="178"/>
      <c r="E24" s="146"/>
      <c r="F24" s="146"/>
      <c r="G24" s="146"/>
      <c r="H24" s="146"/>
      <c r="I24" s="146"/>
      <c r="J24" s="146"/>
      <c r="L24" s="319"/>
    </row>
    <row r="25" spans="2:13" s="143" customFormat="1" ht="13.5">
      <c r="B25" s="52"/>
      <c r="L25" s="958"/>
    </row>
    <row r="26" spans="2:13" s="143" customFormat="1" ht="13.5">
      <c r="B26" s="52"/>
      <c r="L26" s="958"/>
    </row>
    <row r="27" spans="2:13" s="143" customFormat="1" ht="13.5">
      <c r="B27" s="48"/>
      <c r="C27" s="147"/>
      <c r="J27" s="148"/>
      <c r="L27" s="319"/>
    </row>
    <row r="28" spans="2:13" s="69" customFormat="1" ht="33" customHeight="1">
      <c r="B28" s="48"/>
      <c r="C28" s="320" t="s">
        <v>1457</v>
      </c>
      <c r="D28" s="320"/>
      <c r="E28" s="320"/>
      <c r="F28" s="320"/>
      <c r="G28" s="320"/>
      <c r="H28" s="320"/>
      <c r="I28" s="320"/>
      <c r="J28" s="321"/>
      <c r="L28" s="319"/>
    </row>
    <row r="29" spans="2:13" s="37" customFormat="1" ht="15.75">
      <c r="B29" s="48"/>
      <c r="C29" s="150" t="s">
        <v>310</v>
      </c>
      <c r="D29" s="151">
        <f>F801ENE!D4</f>
        <v>46204</v>
      </c>
      <c r="E29" s="151">
        <f>F801ENE!E4</f>
        <v>46235</v>
      </c>
      <c r="F29" s="151">
        <f>F801ENE!F4</f>
        <v>46266</v>
      </c>
      <c r="G29" s="151">
        <f>F801ENE!G4</f>
        <v>46296</v>
      </c>
      <c r="H29" s="151">
        <f>F801ENE!H4</f>
        <v>46327</v>
      </c>
      <c r="I29" s="151">
        <f>F801ENE!I4</f>
        <v>46357</v>
      </c>
      <c r="J29" s="152" t="s">
        <v>111</v>
      </c>
      <c r="K29" s="69"/>
      <c r="L29" s="319" t="s">
        <v>678</v>
      </c>
      <c r="M29" s="319"/>
    </row>
    <row r="30" spans="2:13" s="37" customFormat="1" ht="15.75" customHeight="1">
      <c r="B30" s="48"/>
      <c r="C30" s="153" t="s">
        <v>446</v>
      </c>
      <c r="D30" s="154">
        <f t="shared" ref="D30:I30" si="0">SUM(D31:D32)</f>
        <v>638653.12954423612</v>
      </c>
      <c r="E30" s="154">
        <f t="shared" si="0"/>
        <v>638919.66945371428</v>
      </c>
      <c r="F30" s="154">
        <f t="shared" si="0"/>
        <v>626852.08361076179</v>
      </c>
      <c r="G30" s="154">
        <f t="shared" si="0"/>
        <v>636729.52368435531</v>
      </c>
      <c r="H30" s="154">
        <f t="shared" si="0"/>
        <v>609139.91584686062</v>
      </c>
      <c r="I30" s="154">
        <f t="shared" si="0"/>
        <v>611994.29485558963</v>
      </c>
      <c r="J30" s="154">
        <f>SUM(D30:I30)</f>
        <v>3762288.6169955176</v>
      </c>
      <c r="K30" s="69"/>
      <c r="L30" s="319"/>
      <c r="M30" s="69"/>
    </row>
    <row r="31" spans="2:13" s="37" customFormat="1" ht="15.75" customHeight="1">
      <c r="B31" s="48" t="s">
        <v>279</v>
      </c>
      <c r="C31" s="155" t="s">
        <v>279</v>
      </c>
      <c r="D31" s="156">
        <f>$D$7*F801D!K6+$G$7*F801ENE!K6</f>
        <v>638642.5227710203</v>
      </c>
      <c r="E31" s="156">
        <f>$D$7*F801D!L6+$G$7*F801ENE!L6</f>
        <v>638909.06268049846</v>
      </c>
      <c r="F31" s="156">
        <f>$D$7*F801D!M6+$G$7*F801ENE!M6</f>
        <v>626841.47683754598</v>
      </c>
      <c r="G31" s="156">
        <f>$D$7*F801D!N6+$G$7*F801ENE!N6</f>
        <v>636718.9169111395</v>
      </c>
      <c r="H31" s="156">
        <f>$D$7*F801D!O6+$G$7*F801ENE!O6</f>
        <v>609129.30907364481</v>
      </c>
      <c r="I31" s="156">
        <f>$D$7*F801D!P6+$G$7*F801ENE!P6</f>
        <v>611983.68808237382</v>
      </c>
      <c r="J31" s="156">
        <f>SUM(D31:I31)</f>
        <v>3762224.9763562228</v>
      </c>
      <c r="K31" s="69"/>
      <c r="L31" s="319"/>
      <c r="M31" s="69"/>
    </row>
    <row r="32" spans="2:13" s="37" customFormat="1" ht="15.75" customHeight="1">
      <c r="B32" s="48" t="s">
        <v>278</v>
      </c>
      <c r="C32" s="155" t="s">
        <v>278</v>
      </c>
      <c r="D32" s="156">
        <f>$D$8*F801D!K7+$F$8*F801ENE!K7</f>
        <v>10.606773215817316</v>
      </c>
      <c r="E32" s="156">
        <f>$D$8*F801D!L7+$F$8*F801ENE!L7</f>
        <v>10.606773215817316</v>
      </c>
      <c r="F32" s="156">
        <f>$D$8*F801D!M7+$F$8*F801ENE!M7</f>
        <v>10.606773215817316</v>
      </c>
      <c r="G32" s="156">
        <f>$D$8*F801D!N7+$F$8*F801ENE!N7</f>
        <v>10.606773215817316</v>
      </c>
      <c r="H32" s="156">
        <f>$D$8*F801D!O7+$F$8*F801ENE!O7</f>
        <v>10.606773215817316</v>
      </c>
      <c r="I32" s="156">
        <f>$D$8*F801D!P7+$F$8*F801ENE!P7</f>
        <v>10.606773215817316</v>
      </c>
      <c r="J32" s="156">
        <f>SUM(D32:I32)</f>
        <v>63.640639294903892</v>
      </c>
      <c r="K32" s="69"/>
      <c r="L32" s="319"/>
      <c r="M32" s="69"/>
    </row>
    <row r="33" spans="2:13" s="37" customFormat="1" ht="15.75" customHeight="1">
      <c r="B33" s="48"/>
      <c r="C33" s="157"/>
      <c r="D33" s="156"/>
      <c r="E33" s="156"/>
      <c r="F33" s="156"/>
      <c r="G33" s="156"/>
      <c r="H33" s="156"/>
      <c r="I33" s="156"/>
      <c r="J33" s="156"/>
      <c r="K33" s="69"/>
      <c r="L33" s="319"/>
      <c r="M33" s="69"/>
    </row>
    <row r="34" spans="2:13" s="37" customFormat="1" ht="15.75" customHeight="1">
      <c r="B34" s="48"/>
      <c r="C34" s="153" t="s">
        <v>630</v>
      </c>
      <c r="D34" s="154">
        <f>D35+D38</f>
        <v>966054.86385497474</v>
      </c>
      <c r="E34" s="154">
        <f t="shared" ref="E34:I34" si="1">E35+E38</f>
        <v>966458.04002145375</v>
      </c>
      <c r="F34" s="154">
        <f t="shared" si="1"/>
        <v>948204.25203020917</v>
      </c>
      <c r="G34" s="154">
        <f t="shared" si="1"/>
        <v>963145.16062170663</v>
      </c>
      <c r="H34" s="154">
        <f t="shared" si="1"/>
        <v>921412.30213772692</v>
      </c>
      <c r="I34" s="154">
        <f t="shared" si="1"/>
        <v>925729.92042112444</v>
      </c>
      <c r="J34" s="154">
        <f t="shared" ref="J34:J42" si="2">SUM(D34:I34)</f>
        <v>5691004.5390871959</v>
      </c>
      <c r="K34" s="69"/>
      <c r="L34" s="319"/>
      <c r="M34" s="69"/>
    </row>
    <row r="35" spans="2:13" s="37" customFormat="1" ht="15.75" customHeight="1">
      <c r="B35" s="48" t="s">
        <v>277</v>
      </c>
      <c r="C35" s="155" t="s">
        <v>277</v>
      </c>
      <c r="D35" s="154">
        <f>SUM(D36:D37)</f>
        <v>219742.85813266929</v>
      </c>
      <c r="E35" s="154">
        <f t="shared" ref="E35:I35" si="3">SUM(E36:E37)</f>
        <v>219834.56626071446</v>
      </c>
      <c r="F35" s="154">
        <f t="shared" si="3"/>
        <v>215682.48370824149</v>
      </c>
      <c r="G35" s="154">
        <f t="shared" si="3"/>
        <v>219081.00493082858</v>
      </c>
      <c r="H35" s="154">
        <f t="shared" si="3"/>
        <v>209588.27533085356</v>
      </c>
      <c r="I35" s="154">
        <f t="shared" si="3"/>
        <v>210570.37874694081</v>
      </c>
      <c r="J35" s="154">
        <f t="shared" si="2"/>
        <v>1294499.5671102481</v>
      </c>
      <c r="K35" s="69"/>
      <c r="L35" s="319"/>
      <c r="M35" s="69"/>
    </row>
    <row r="36" spans="2:13" s="37" customFormat="1" ht="15.75" customHeight="1">
      <c r="B36" s="48"/>
      <c r="C36" s="160" t="s">
        <v>304</v>
      </c>
      <c r="D36" s="156">
        <f>$D$9*F801D!K11+$G$9*F801ENE!K11</f>
        <v>191589.00897970647</v>
      </c>
      <c r="E36" s="156">
        <f>$D$9*F801D!L11+$G$9*F801ENE!L11</f>
        <v>191668.96729788283</v>
      </c>
      <c r="F36" s="156">
        <f>$D$9*F801D!M11+$G$9*F801ENE!M11</f>
        <v>188048.85700993004</v>
      </c>
      <c r="G36" s="156">
        <f>$D$9*F801D!N11+$G$9*F801ENE!N11</f>
        <v>191011.9535973006</v>
      </c>
      <c r="H36" s="156">
        <f>$D$9*F801D!O11+$G$9*F801ENE!O11</f>
        <v>182735.44954148502</v>
      </c>
      <c r="I36" s="156">
        <f>$D$9*F801D!P11+$G$9*F801ENE!P11</f>
        <v>183591.7241062317</v>
      </c>
      <c r="J36" s="156">
        <f t="shared" si="2"/>
        <v>1128645.9605325367</v>
      </c>
      <c r="K36" s="69"/>
      <c r="L36" s="319"/>
      <c r="M36" s="69"/>
    </row>
    <row r="37" spans="2:13" s="37" customFormat="1" ht="15.75" customHeight="1">
      <c r="B37" s="48"/>
      <c r="C37" s="160" t="s">
        <v>305</v>
      </c>
      <c r="D37" s="156">
        <f>($D$9*F801D!K12+$G$9*F801ENE!K12)*$L37</f>
        <v>28153.84915296283</v>
      </c>
      <c r="E37" s="156">
        <f>($D$9*F801D!L12+$G$9*F801ENE!L12)*$L37</f>
        <v>28165.598962831624</v>
      </c>
      <c r="F37" s="156">
        <f>($D$9*F801D!M12+$G$9*F801ENE!M12)*$L37</f>
        <v>27633.626698311444</v>
      </c>
      <c r="G37" s="156">
        <f>($D$9*F801D!N12+$G$9*F801ENE!N12)*$L37</f>
        <v>28069.05133352799</v>
      </c>
      <c r="H37" s="156">
        <f>($D$9*F801D!O12+$G$9*F801ENE!O12)*$L37</f>
        <v>26852.825789368537</v>
      </c>
      <c r="I37" s="156">
        <f>($D$9*F801D!P12+$G$9*F801ENE!P12)*$L37</f>
        <v>26978.654640709108</v>
      </c>
      <c r="J37" s="156">
        <f t="shared" si="2"/>
        <v>165853.60657771153</v>
      </c>
      <c r="K37" s="69"/>
      <c r="L37" s="319">
        <v>0.95</v>
      </c>
      <c r="M37" s="69"/>
    </row>
    <row r="38" spans="2:13" s="37" customFormat="1" ht="15.75" customHeight="1">
      <c r="B38" s="48" t="s">
        <v>276</v>
      </c>
      <c r="C38" s="158" t="s">
        <v>276</v>
      </c>
      <c r="D38" s="159">
        <f t="shared" ref="D38:I38" si="4">SUM(D39:D42)</f>
        <v>746312.0057223055</v>
      </c>
      <c r="E38" s="159">
        <f t="shared" si="4"/>
        <v>746623.47376073932</v>
      </c>
      <c r="F38" s="159">
        <f t="shared" si="4"/>
        <v>732521.76832196768</v>
      </c>
      <c r="G38" s="159">
        <f t="shared" si="4"/>
        <v>744064.15569087805</v>
      </c>
      <c r="H38" s="159">
        <f t="shared" si="4"/>
        <v>711824.02680687339</v>
      </c>
      <c r="I38" s="159">
        <f t="shared" si="4"/>
        <v>715159.54167418357</v>
      </c>
      <c r="J38" s="159">
        <f t="shared" si="2"/>
        <v>4396504.971976947</v>
      </c>
      <c r="K38" s="69"/>
      <c r="L38" s="319"/>
    </row>
    <row r="39" spans="2:13" s="37" customFormat="1" ht="15.75" customHeight="1">
      <c r="B39" s="48"/>
      <c r="C39" s="160" t="s">
        <v>304</v>
      </c>
      <c r="D39" s="156">
        <f>($D$10*F801D!K15+$F$10*F801ENE!K15)*$L39</f>
        <v>743402.5459552356</v>
      </c>
      <c r="E39" s="156">
        <f>($D$10*F801D!L15+$F$10*F801ENE!L15)*$L39</f>
        <v>743712.7997512084</v>
      </c>
      <c r="F39" s="156">
        <f>($D$10*F801D!M15+$F$10*F801ENE!M15)*$L39</f>
        <v>729666.06910087191</v>
      </c>
      <c r="G39" s="156">
        <f>($D$10*F801D!N15+$F$10*F801ENE!N15)*$L39</f>
        <v>741163.45905394503</v>
      </c>
      <c r="H39" s="156">
        <f>($D$10*F801D!O15+$F$10*F801ENE!O15)*$L39</f>
        <v>709049.01668865362</v>
      </c>
      <c r="I39" s="156">
        <f>($D$10*F801D!P15+$F$10*F801ENE!P15)*$L39</f>
        <v>712371.5282192434</v>
      </c>
      <c r="J39" s="156">
        <f t="shared" si="2"/>
        <v>4379365.4187691575</v>
      </c>
      <c r="K39" s="69"/>
      <c r="L39" s="319">
        <v>1</v>
      </c>
    </row>
    <row r="40" spans="2:13" s="37" customFormat="1" ht="15.75" customHeight="1">
      <c r="B40" s="48"/>
      <c r="C40" s="161" t="s">
        <v>306</v>
      </c>
      <c r="D40" s="156">
        <f>($D$10*F801D!K16+$F$10*F801ENE!K16)*$L40</f>
        <v>0</v>
      </c>
      <c r="E40" s="156">
        <f>($D$10*F801D!L16+$F$10*F801ENE!L16)*$L40</f>
        <v>0</v>
      </c>
      <c r="F40" s="156">
        <f>($D$10*F801D!M16+$F$10*F801ENE!M16)*$L40</f>
        <v>0</v>
      </c>
      <c r="G40" s="156">
        <f>($D$10*F801D!N16+$F$10*F801ENE!N16)*$L40</f>
        <v>0</v>
      </c>
      <c r="H40" s="156">
        <f>($D$10*F801D!O16+$F$10*F801ENE!O16)*$L40</f>
        <v>0</v>
      </c>
      <c r="I40" s="156">
        <f>($D$10*F801D!P16+$F$10*F801ENE!P16)*$L40</f>
        <v>0</v>
      </c>
      <c r="J40" s="156">
        <f t="shared" si="2"/>
        <v>0</v>
      </c>
      <c r="K40" s="69"/>
      <c r="L40" s="319">
        <v>1</v>
      </c>
    </row>
    <row r="41" spans="2:13" s="37" customFormat="1" ht="15.75" customHeight="1">
      <c r="B41" s="48"/>
      <c r="C41" s="160" t="s">
        <v>305</v>
      </c>
      <c r="D41" s="156">
        <f>($D$10*F801D!K17+$F$10*F801ENE!K17)*$L41</f>
        <v>2909.4597670698531</v>
      </c>
      <c r="E41" s="156">
        <f>($D$10*F801D!L17+$F$10*F801ENE!L17)*$L41</f>
        <v>2910.6740095309196</v>
      </c>
      <c r="F41" s="156">
        <f>($D$10*F801D!M17+$F$10*F801ENE!M17)*$L41</f>
        <v>2855.6992210957956</v>
      </c>
      <c r="G41" s="156">
        <f>($D$10*F801D!N17+$F$10*F801ENE!N17)*$L41</f>
        <v>2900.6966369329948</v>
      </c>
      <c r="H41" s="156">
        <f>($D$10*F801D!O17+$F$10*F801ENE!O17)*$L41</f>
        <v>2775.0101182197195</v>
      </c>
      <c r="I41" s="156">
        <f>($D$10*F801D!P17+$F$10*F801ENE!P17)*$L41</f>
        <v>2788.0134549401437</v>
      </c>
      <c r="J41" s="156">
        <f t="shared" si="2"/>
        <v>17139.553207789428</v>
      </c>
      <c r="K41" s="69"/>
      <c r="L41" s="319">
        <v>0.95</v>
      </c>
    </row>
    <row r="42" spans="2:13" s="37" customFormat="1" ht="15.75" customHeight="1">
      <c r="B42" s="48"/>
      <c r="C42" s="160" t="s">
        <v>307</v>
      </c>
      <c r="D42" s="156">
        <f>($D$10*F801D!K18+$F$10*F801ENE!K18)*$L42</f>
        <v>0</v>
      </c>
      <c r="E42" s="156">
        <f>($D$10*F801D!L18+$F$10*F801ENE!L18)*$L42</f>
        <v>0</v>
      </c>
      <c r="F42" s="156">
        <f>($D$10*F801D!M18+$F$10*F801ENE!M18)*$L42</f>
        <v>0</v>
      </c>
      <c r="G42" s="156">
        <f>($D$10*F801D!N18+$F$10*F801ENE!N18)*$L42</f>
        <v>0</v>
      </c>
      <c r="H42" s="156">
        <f>($D$10*F801D!O18+$F$10*F801ENE!O18)*$L42</f>
        <v>0</v>
      </c>
      <c r="I42" s="156">
        <f>($D$10*F801D!P18+$F$10*F801ENE!P18)*$L42</f>
        <v>0</v>
      </c>
      <c r="J42" s="156">
        <f t="shared" si="2"/>
        <v>0</v>
      </c>
      <c r="K42" s="69"/>
      <c r="L42" s="319">
        <v>0.5</v>
      </c>
    </row>
    <row r="43" spans="2:13" s="37" customFormat="1" ht="15.75" customHeight="1">
      <c r="B43" s="48"/>
      <c r="C43" s="157"/>
      <c r="D43" s="157"/>
      <c r="E43" s="157"/>
      <c r="F43" s="157"/>
      <c r="G43" s="157"/>
      <c r="H43" s="157"/>
      <c r="I43" s="157"/>
      <c r="J43" s="157"/>
      <c r="K43" s="69"/>
      <c r="L43" s="319"/>
    </row>
    <row r="44" spans="2:13" s="37" customFormat="1" ht="15.75" customHeight="1">
      <c r="B44" s="48"/>
      <c r="C44" s="153" t="s">
        <v>443</v>
      </c>
      <c r="D44" s="154">
        <f t="shared" ref="D44:I44" si="5">D45+D49+D56+D61+D66+D79+D85+D92+D100+D106+D113+D72</f>
        <v>5821055.3111441862</v>
      </c>
      <c r="E44" s="154">
        <f t="shared" si="5"/>
        <v>5823484.6753564123</v>
      </c>
      <c r="F44" s="154">
        <f t="shared" si="5"/>
        <v>5713495.2886554729</v>
      </c>
      <c r="G44" s="154">
        <f t="shared" si="5"/>
        <v>5803522.7050756598</v>
      </c>
      <c r="H44" s="154">
        <f t="shared" si="5"/>
        <v>5552058.6521277651</v>
      </c>
      <c r="I44" s="154">
        <f t="shared" si="5"/>
        <v>5578074.7418964971</v>
      </c>
      <c r="J44" s="154">
        <f t="shared" ref="J44:J70" si="6">SUM(D44:I44)</f>
        <v>34291691.374255992</v>
      </c>
      <c r="K44" s="69"/>
      <c r="L44" s="319"/>
    </row>
    <row r="45" spans="2:13" s="37" customFormat="1" ht="15.75" customHeight="1">
      <c r="B45" s="48" t="s">
        <v>275</v>
      </c>
      <c r="C45" s="155" t="s">
        <v>275</v>
      </c>
      <c r="D45" s="154">
        <f>SUM(D46:D48)</f>
        <v>183178.90601109984</v>
      </c>
      <c r="E45" s="154">
        <f t="shared" ref="E45:I45" si="7">SUM(E46:E48)</f>
        <v>183255.35443226993</v>
      </c>
      <c r="F45" s="154">
        <f t="shared" si="7"/>
        <v>179794.15461857416</v>
      </c>
      <c r="G45" s="154">
        <f t="shared" si="7"/>
        <v>182627.18138858705</v>
      </c>
      <c r="H45" s="154">
        <f t="shared" si="7"/>
        <v>174713.98758579796</v>
      </c>
      <c r="I45" s="154">
        <f t="shared" si="7"/>
        <v>175532.67462244333</v>
      </c>
      <c r="J45" s="154">
        <f t="shared" si="6"/>
        <v>1079102.2586587721</v>
      </c>
      <c r="K45" s="69"/>
      <c r="L45" s="319"/>
    </row>
    <row r="46" spans="2:13" s="37" customFormat="1" ht="15.75" customHeight="1">
      <c r="B46" s="48"/>
      <c r="C46" s="160" t="s">
        <v>304</v>
      </c>
      <c r="D46" s="156">
        <f>$D$11*F801D!K22+$G$11*F801ENE!K22</f>
        <v>181642.05252599812</v>
      </c>
      <c r="E46" s="156">
        <f>$D$11*F801D!L22+$G$11*F801ENE!L22</f>
        <v>181717.85955223325</v>
      </c>
      <c r="F46" s="156">
        <f>$D$11*F801D!M22+$G$11*F801ENE!M22</f>
        <v>178285.69887362211</v>
      </c>
      <c r="G46" s="156">
        <f>$D$11*F801D!N22+$G$11*F801ENE!N22</f>
        <v>181094.95682024976</v>
      </c>
      <c r="H46" s="156">
        <f>$D$11*F801D!O22+$G$11*F801ENE!O22</f>
        <v>173248.15395590948</v>
      </c>
      <c r="I46" s="156">
        <f>$D$11*F801D!P22+$G$11*F801ENE!P22</f>
        <v>174059.97228669302</v>
      </c>
      <c r="J46" s="156">
        <f t="shared" si="6"/>
        <v>1070048.6940147057</v>
      </c>
      <c r="K46" s="69"/>
      <c r="L46" s="319"/>
    </row>
    <row r="47" spans="2:13" s="37" customFormat="1" ht="15.75" customHeight="1">
      <c r="B47" s="48"/>
      <c r="C47" s="161" t="s">
        <v>306</v>
      </c>
      <c r="D47" s="156">
        <f>($D$11*F801D!K23+$G$11*F801ENE!K23)*$L47</f>
        <v>970.02344980624582</v>
      </c>
      <c r="E47" s="156">
        <f>($D$11*F801D!L23+$G$11*F801ENE!L23)*$L47</f>
        <v>970.42828223400977</v>
      </c>
      <c r="F47" s="156">
        <f>($D$11*F801D!M23+$G$11*F801ENE!M23)*$L47</f>
        <v>952.09950706627046</v>
      </c>
      <c r="G47" s="156">
        <f>($D$11*F801D!N23+$G$11*F801ENE!N23)*$L47</f>
        <v>967.10179341399476</v>
      </c>
      <c r="H47" s="156">
        <f>($D$11*F801D!O23+$G$11*F801ENE!O23)*$L47</f>
        <v>925.19749494033886</v>
      </c>
      <c r="I47" s="156">
        <f>($D$11*F801D!P23+$G$11*F801ENE!P23)*$L47</f>
        <v>929.53285014521293</v>
      </c>
      <c r="J47" s="156">
        <f t="shared" si="6"/>
        <v>5714.3833776060728</v>
      </c>
      <c r="K47" s="69"/>
      <c r="L47" s="319">
        <v>1</v>
      </c>
    </row>
    <row r="48" spans="2:13" s="37" customFormat="1" ht="15.75" customHeight="1">
      <c r="B48" s="48"/>
      <c r="C48" s="160" t="s">
        <v>305</v>
      </c>
      <c r="D48" s="156">
        <f>($D$11*F801D!K24+$G$11*F801ENE!K24)*$L48</f>
        <v>566.83003529548444</v>
      </c>
      <c r="E48" s="156">
        <f>($D$11*F801D!L24+$G$11*F801ENE!L24)*$L48</f>
        <v>567.06659780267341</v>
      </c>
      <c r="F48" s="156">
        <f>($D$11*F801D!M24+$G$11*F801ENE!M24)*$L48</f>
        <v>556.35623788577868</v>
      </c>
      <c r="G48" s="156">
        <f>($D$11*F801D!N24+$G$11*F801ENE!N24)*$L48</f>
        <v>565.12277492330304</v>
      </c>
      <c r="H48" s="156">
        <f>($D$11*F801D!O24+$G$11*F801ENE!O24)*$L48</f>
        <v>540.63613494815672</v>
      </c>
      <c r="I48" s="156">
        <f>($D$11*F801D!P24+$G$11*F801ENE!P24)*$L48</f>
        <v>543.16948560507967</v>
      </c>
      <c r="J48" s="156">
        <f t="shared" si="6"/>
        <v>3339.1812664604759</v>
      </c>
      <c r="K48" s="69"/>
      <c r="L48" s="319">
        <v>0.95</v>
      </c>
    </row>
    <row r="49" spans="2:12" s="37" customFormat="1" ht="15.75" customHeight="1">
      <c r="B49" s="48" t="s">
        <v>274</v>
      </c>
      <c r="C49" s="158" t="s">
        <v>627</v>
      </c>
      <c r="D49" s="159">
        <f t="shared" ref="D49:I49" si="8">SUM(D50:D55)</f>
        <v>1244343.9581041078</v>
      </c>
      <c r="E49" s="159">
        <f t="shared" si="8"/>
        <v>1244863.2762562966</v>
      </c>
      <c r="F49" s="159">
        <f t="shared" si="8"/>
        <v>1221351.1635914112</v>
      </c>
      <c r="G49" s="159">
        <f t="shared" si="8"/>
        <v>1240596.0636794113</v>
      </c>
      <c r="H49" s="159">
        <f t="shared" si="8"/>
        <v>1186841.3213227186</v>
      </c>
      <c r="I49" s="159">
        <f t="shared" si="8"/>
        <v>1192402.7054897696</v>
      </c>
      <c r="J49" s="159">
        <f t="shared" si="6"/>
        <v>7330398.4884437146</v>
      </c>
      <c r="K49" s="69"/>
      <c r="L49" s="319"/>
    </row>
    <row r="50" spans="2:12" s="37" customFormat="1" ht="15.75" customHeight="1">
      <c r="B50" s="48"/>
      <c r="C50" s="160" t="s">
        <v>304</v>
      </c>
      <c r="D50" s="156">
        <f>($D$12*F801D!K28+$F$12*F801ENE!K28)*$L50</f>
        <v>1242105.2676597366</v>
      </c>
      <c r="E50" s="156">
        <f>($D$12*F801D!L28+$F$12*F801ENE!L28)*$L50</f>
        <v>1242623.6515102978</v>
      </c>
      <c r="F50" s="156">
        <f>($D$12*F801D!M28+$F$12*F801ENE!M28)*$L50</f>
        <v>1219153.8393215847</v>
      </c>
      <c r="G50" s="156">
        <f>($D$12*F801D!N28+$F$12*F801ENE!N28)*$L50</f>
        <v>1238364.1160454827</v>
      </c>
      <c r="H50" s="156">
        <f>($D$12*F801D!O28+$F$12*F801ENE!O28)*$L50</f>
        <v>1184706.0834668782</v>
      </c>
      <c r="I50" s="156">
        <f>($D$12*F801D!P28+$F$12*F801ENE!P28)*$L50</f>
        <v>1190257.462186873</v>
      </c>
      <c r="J50" s="156">
        <f t="shared" si="6"/>
        <v>7317210.4201908521</v>
      </c>
      <c r="K50" s="69"/>
      <c r="L50" s="319">
        <v>1</v>
      </c>
    </row>
    <row r="51" spans="2:12" s="37" customFormat="1" ht="15.75" customHeight="1">
      <c r="B51" s="48"/>
      <c r="C51" s="162" t="s">
        <v>628</v>
      </c>
      <c r="D51" s="156">
        <f>($D$12*F801D!K29+$F$12*F801ENE!K29)*$L51</f>
        <v>107.48039384033441</v>
      </c>
      <c r="E51" s="156">
        <f>($D$12*F801D!L29+$F$12*F801ENE!L29)*$L51</f>
        <v>107.52525002271236</v>
      </c>
      <c r="F51" s="156">
        <f>($D$12*F801D!M29+$F$12*F801ENE!M29)*$L51</f>
        <v>105.49438780589375</v>
      </c>
      <c r="G51" s="156">
        <f>($D$12*F801D!N29+$F$12*F801ENE!N29)*$L51</f>
        <v>107.15666890382077</v>
      </c>
      <c r="H51" s="156">
        <f>($D$12*F801D!O29+$F$12*F801ENE!O29)*$L51</f>
        <v>102.51359506426454</v>
      </c>
      <c r="I51" s="156">
        <f>($D$12*F801D!P29+$F$12*F801ENE!P29)*$L51</f>
        <v>102.99396044610216</v>
      </c>
      <c r="J51" s="156">
        <f t="shared" si="6"/>
        <v>633.16425608312807</v>
      </c>
      <c r="K51" s="69"/>
      <c r="L51" s="319">
        <v>0.75</v>
      </c>
    </row>
    <row r="52" spans="2:12" s="37" customFormat="1" ht="15.75" customHeight="1">
      <c r="B52" s="48"/>
      <c r="C52" s="161" t="s">
        <v>629</v>
      </c>
      <c r="D52" s="156">
        <f>($D$12*F801D!K30+$F$12*F801ENE!K30)*$L52</f>
        <v>571.02404112095621</v>
      </c>
      <c r="E52" s="156">
        <f>($D$12*F801D!L30+$F$12*F801ENE!L30)*$L52</f>
        <v>571.26235396682068</v>
      </c>
      <c r="F52" s="156">
        <f>($D$12*F801D!M30+$F$12*F801ENE!M30)*$L52</f>
        <v>560.47274752259443</v>
      </c>
      <c r="G52" s="156">
        <f>($D$12*F801D!N30+$F$12*F801ENE!N30)*$L52</f>
        <v>569.3041486377349</v>
      </c>
      <c r="H52" s="156">
        <f>($D$12*F801D!O30+$F$12*F801ENE!O30)*$L52</f>
        <v>544.63633070040032</v>
      </c>
      <c r="I52" s="156">
        <f>($D$12*F801D!P30+$F$12*F801ENE!P30)*$L52</f>
        <v>547.18842575467613</v>
      </c>
      <c r="J52" s="156">
        <f t="shared" si="6"/>
        <v>3363.8880477031826</v>
      </c>
      <c r="K52" s="69"/>
      <c r="L52" s="319">
        <v>1</v>
      </c>
    </row>
    <row r="53" spans="2:12" s="37" customFormat="1" ht="15.75" customHeight="1">
      <c r="B53" s="48"/>
      <c r="C53" s="160" t="s">
        <v>305</v>
      </c>
      <c r="D53" s="156">
        <f>($D$12*F801D!K31+$F$12*F801ENE!K31)*$L53</f>
        <v>1429.6172346708215</v>
      </c>
      <c r="E53" s="156">
        <f>($D$12*F801D!L31+$F$12*F801ENE!L31)*$L53</f>
        <v>1430.213875314922</v>
      </c>
      <c r="F53" s="156">
        <f>($D$12*F801D!M31+$F$12*F801ENE!M31)*$L53</f>
        <v>1403.2009893115571</v>
      </c>
      <c r="G53" s="156">
        <f>($D$12*F801D!N31+$F$12*F801ENE!N31)*$L53</f>
        <v>1425.3113074966047</v>
      </c>
      <c r="H53" s="156">
        <f>($D$12*F801D!O31+$F$12*F801ENE!O31)*$L53</f>
        <v>1363.5528960719173</v>
      </c>
      <c r="I53" s="156">
        <f>($D$12*F801D!P31+$F$12*F801ENE!P31)*$L53</f>
        <v>1369.9423277094161</v>
      </c>
      <c r="J53" s="156">
        <f t="shared" si="6"/>
        <v>8421.8386305752392</v>
      </c>
      <c r="K53" s="69"/>
      <c r="L53" s="319">
        <v>0.95</v>
      </c>
    </row>
    <row r="54" spans="2:12" s="37" customFormat="1" ht="15.75" customHeight="1">
      <c r="B54" s="48"/>
      <c r="C54" s="160" t="s">
        <v>307</v>
      </c>
      <c r="D54" s="156">
        <f>($D$12*F801D!K32+$F$12*F801ENE!K32)*$L54</f>
        <v>130.56877473936919</v>
      </c>
      <c r="E54" s="156">
        <f>($D$12*F801D!L32+$F$12*F801ENE!L32)*$L54</f>
        <v>130.62326669425798</v>
      </c>
      <c r="F54" s="156">
        <f>($D$12*F801D!M32+$F$12*F801ENE!M32)*$L54</f>
        <v>128.15614518641905</v>
      </c>
      <c r="G54" s="156">
        <f>($D$12*F801D!N32+$F$12*F801ENE!N32)*$L54</f>
        <v>130.17550889056744</v>
      </c>
      <c r="H54" s="156">
        <f>($D$12*F801D!O32+$F$12*F801ENE!O32)*$L54</f>
        <v>124.53503400399542</v>
      </c>
      <c r="I54" s="156">
        <f>($D$12*F801D!P32+$F$12*F801ENE!P32)*$L54</f>
        <v>125.11858898637594</v>
      </c>
      <c r="J54" s="156">
        <f t="shared" si="6"/>
        <v>769.17731850098505</v>
      </c>
      <c r="K54" s="69"/>
      <c r="L54" s="319">
        <v>0.5</v>
      </c>
    </row>
    <row r="55" spans="2:12" s="37" customFormat="1" ht="15.75" customHeight="1">
      <c r="B55" s="48"/>
      <c r="C55" s="160" t="s">
        <v>624</v>
      </c>
      <c r="D55" s="156">
        <f>($D$12*F801D!K33+$F$12*F801ENE!K33)*$L55</f>
        <v>0</v>
      </c>
      <c r="E55" s="156">
        <f>($D$12*F801D!L33+$F$12*F801ENE!L33)*$L55</f>
        <v>0</v>
      </c>
      <c r="F55" s="156">
        <f>($D$12*F801D!M33+$F$12*F801ENE!M33)*$L55</f>
        <v>0</v>
      </c>
      <c r="G55" s="156">
        <f>($D$12*F801D!N33+$F$12*F801ENE!N33)*$L55</f>
        <v>0</v>
      </c>
      <c r="H55" s="156">
        <f>($D$12*F801D!O33+$F$12*F801ENE!O33)*$L55</f>
        <v>0</v>
      </c>
      <c r="I55" s="156">
        <f>($D$12*F801D!P33+$F$12*F801ENE!P33)*$L55</f>
        <v>0</v>
      </c>
      <c r="J55" s="156">
        <f t="shared" si="6"/>
        <v>0</v>
      </c>
      <c r="K55" s="69"/>
      <c r="L55" s="319">
        <v>0</v>
      </c>
    </row>
    <row r="56" spans="2:12" s="37" customFormat="1" ht="15.75" customHeight="1">
      <c r="B56" s="48" t="s">
        <v>274</v>
      </c>
      <c r="C56" s="158" t="s">
        <v>631</v>
      </c>
      <c r="D56" s="159">
        <f t="shared" ref="D56:I56" si="9">SUM(D57:D60)</f>
        <v>596441.97520234599</v>
      </c>
      <c r="E56" s="159">
        <f t="shared" si="9"/>
        <v>596690.89604326955</v>
      </c>
      <c r="F56" s="159">
        <f t="shared" si="9"/>
        <v>585421.01296336087</v>
      </c>
      <c r="G56" s="159">
        <f t="shared" si="9"/>
        <v>594645.5253229076</v>
      </c>
      <c r="H56" s="159">
        <f t="shared" si="9"/>
        <v>568879.6713571212</v>
      </c>
      <c r="I56" s="159">
        <f t="shared" si="9"/>
        <v>571545.36755458475</v>
      </c>
      <c r="J56" s="159">
        <f t="shared" si="6"/>
        <v>3513624.4484435897</v>
      </c>
      <c r="K56" s="69"/>
      <c r="L56" s="319"/>
    </row>
    <row r="57" spans="2:12" s="37" customFormat="1" ht="15.75" customHeight="1">
      <c r="B57" s="48"/>
      <c r="C57" s="160" t="s">
        <v>304</v>
      </c>
      <c r="D57" s="156">
        <f>($D$13*F801D!K35+$F$13*F801ENE!K35)*$L57</f>
        <v>596022.65154976386</v>
      </c>
      <c r="E57" s="156">
        <f>($D$13*F801D!L35+$F$13*F801ENE!L35)*$L57</f>
        <v>596271.39738892613</v>
      </c>
      <c r="F57" s="156">
        <f>($D$13*F801D!M35+$F$13*F801ENE!M35)*$L57</f>
        <v>585009.43750814442</v>
      </c>
      <c r="G57" s="156">
        <f>($D$13*F801D!N35+$F$13*F801ENE!N35)*$L57</f>
        <v>594227.4646497207</v>
      </c>
      <c r="H57" s="156">
        <f>($D$13*F801D!O35+$F$13*F801ENE!O35)*$L57</f>
        <v>568479.7251568354</v>
      </c>
      <c r="I57" s="156">
        <f>($D$13*F801D!P35+$F$13*F801ENE!P35)*$L57</f>
        <v>571143.54725838907</v>
      </c>
      <c r="J57" s="156">
        <f t="shared" si="6"/>
        <v>3511154.2235117797</v>
      </c>
      <c r="K57" s="69"/>
      <c r="L57" s="319">
        <v>1</v>
      </c>
    </row>
    <row r="58" spans="2:12" s="37" customFormat="1" ht="15.75" customHeight="1">
      <c r="B58" s="48"/>
      <c r="C58" s="161" t="s">
        <v>306</v>
      </c>
      <c r="D58" s="156">
        <f>($D$13*F801D!K36+$F$13*F801ENE!K36)*$L58</f>
        <v>0</v>
      </c>
      <c r="E58" s="156">
        <f>($D$13*F801D!L36+$F$13*F801ENE!L36)*$L58</f>
        <v>0</v>
      </c>
      <c r="F58" s="156">
        <f>($D$13*F801D!M36+$F$13*F801ENE!M36)*$L58</f>
        <v>0</v>
      </c>
      <c r="G58" s="156">
        <f>($D$13*F801D!N36+$F$13*F801ENE!N36)*$L58</f>
        <v>0</v>
      </c>
      <c r="H58" s="156">
        <f>($D$13*F801D!O36+$F$13*F801ENE!O36)*$L58</f>
        <v>0</v>
      </c>
      <c r="I58" s="156">
        <f>($D$13*F801D!P36+$F$13*F801ENE!P36)*$L58</f>
        <v>0</v>
      </c>
      <c r="J58" s="156">
        <f t="shared" si="6"/>
        <v>0</v>
      </c>
      <c r="K58" s="69"/>
      <c r="L58" s="319">
        <v>1</v>
      </c>
    </row>
    <row r="59" spans="2:12" s="37" customFormat="1" ht="15.75" customHeight="1">
      <c r="B59" s="48"/>
      <c r="C59" s="160" t="s">
        <v>305</v>
      </c>
      <c r="D59" s="156">
        <f>($D$13*F801D!K37+$F$13*F801ENE!K37)*$L59</f>
        <v>419.32365258209188</v>
      </c>
      <c r="E59" s="156">
        <f>($D$13*F801D!L37+$F$13*F801ENE!L37)*$L59</f>
        <v>419.49865434346947</v>
      </c>
      <c r="F59" s="156">
        <f>($D$13*F801D!M37+$F$13*F801ENE!M37)*$L59</f>
        <v>411.57545521645091</v>
      </c>
      <c r="G59" s="156">
        <f>($D$13*F801D!N37+$F$13*F801ENE!N37)*$L59</f>
        <v>418.06067318686877</v>
      </c>
      <c r="H59" s="156">
        <f>($D$13*F801D!O37+$F$13*F801ENE!O37)*$L59</f>
        <v>399.94620028585456</v>
      </c>
      <c r="I59" s="156">
        <f>($D$13*F801D!P37+$F$13*F801ENE!P37)*$L59</f>
        <v>401.82029619571296</v>
      </c>
      <c r="J59" s="156">
        <f t="shared" si="6"/>
        <v>2470.2249318104487</v>
      </c>
      <c r="K59" s="69"/>
      <c r="L59" s="319">
        <v>0.95</v>
      </c>
    </row>
    <row r="60" spans="2:12" s="37" customFormat="1" ht="15.75" customHeight="1">
      <c r="B60" s="48"/>
      <c r="C60" s="160" t="s">
        <v>307</v>
      </c>
      <c r="D60" s="156">
        <f>($D$13*F801D!K38+$F$13*F801ENE!K38)*$L60</f>
        <v>0</v>
      </c>
      <c r="E60" s="156">
        <f>($D$13*F801D!L38+$F$13*F801ENE!L38)*$L60</f>
        <v>0</v>
      </c>
      <c r="F60" s="156">
        <f>($D$13*F801D!M38+$F$13*F801ENE!M38)*$L60</f>
        <v>0</v>
      </c>
      <c r="G60" s="156">
        <f>($D$13*F801D!N38+$F$13*F801ENE!N38)*$L60</f>
        <v>0</v>
      </c>
      <c r="H60" s="156">
        <f>($D$13*F801D!O38+$F$13*F801ENE!O38)*$L60</f>
        <v>0</v>
      </c>
      <c r="I60" s="156">
        <f>($D$13*F801D!P38+$F$13*F801ENE!P38)*$L60</f>
        <v>0</v>
      </c>
      <c r="J60" s="156">
        <f t="shared" si="6"/>
        <v>0</v>
      </c>
      <c r="K60" s="69"/>
      <c r="L60" s="319">
        <v>0.5</v>
      </c>
    </row>
    <row r="61" spans="2:12" s="37" customFormat="1" ht="15.75" customHeight="1">
      <c r="B61" s="48" t="s">
        <v>274</v>
      </c>
      <c r="C61" s="158" t="s">
        <v>632</v>
      </c>
      <c r="D61" s="159">
        <f t="shared" ref="D61:I61" si="10">SUM(D62:D65)</f>
        <v>176195.65304411287</v>
      </c>
      <c r="E61" s="159">
        <f t="shared" si="10"/>
        <v>176269.18705403557</v>
      </c>
      <c r="F61" s="159">
        <f t="shared" si="10"/>
        <v>172939.93711598136</v>
      </c>
      <c r="G61" s="159">
        <f t="shared" si="10"/>
        <v>175664.96158907018</v>
      </c>
      <c r="H61" s="159">
        <f t="shared" si="10"/>
        <v>168053.43917031219</v>
      </c>
      <c r="I61" s="159">
        <f t="shared" si="10"/>
        <v>168840.91574281524</v>
      </c>
      <c r="J61" s="159">
        <f t="shared" si="6"/>
        <v>1037964.0937163273</v>
      </c>
      <c r="K61" s="69"/>
      <c r="L61" s="319"/>
    </row>
    <row r="62" spans="2:12" s="37" customFormat="1" ht="15.75" customHeight="1">
      <c r="B62" s="48"/>
      <c r="C62" s="160" t="s">
        <v>304</v>
      </c>
      <c r="D62" s="156">
        <f>($D$14*F801D!K40+$F$14*F801ENE!K40)*$L62</f>
        <v>176195.65304411287</v>
      </c>
      <c r="E62" s="156">
        <f>($D$14*F801D!L40+$F$14*F801ENE!L40)*$L62</f>
        <v>176269.18705403557</v>
      </c>
      <c r="F62" s="156">
        <f>($D$14*F801D!M40+$F$14*F801ENE!M40)*$L62</f>
        <v>172939.93711598136</v>
      </c>
      <c r="G62" s="156">
        <f>($D$14*F801D!N40+$F$14*F801ENE!N40)*$L62</f>
        <v>175664.96158907018</v>
      </c>
      <c r="H62" s="156">
        <f>($D$14*F801D!O40+$F$14*F801ENE!O40)*$L62</f>
        <v>168053.43917031219</v>
      </c>
      <c r="I62" s="156">
        <f>($D$14*F801D!P40+$F$14*F801ENE!P40)*$L62</f>
        <v>168840.91574281524</v>
      </c>
      <c r="J62" s="156">
        <f t="shared" si="6"/>
        <v>1037964.0937163273</v>
      </c>
      <c r="K62" s="69"/>
      <c r="L62" s="319">
        <v>1</v>
      </c>
    </row>
    <row r="63" spans="2:12" s="37" customFormat="1" ht="15.75" customHeight="1">
      <c r="B63" s="48"/>
      <c r="C63" s="161" t="s">
        <v>306</v>
      </c>
      <c r="D63" s="156">
        <f>($D$14*F801D!K41+$F$14*F801ENE!K41)*$L63</f>
        <v>0</v>
      </c>
      <c r="E63" s="156">
        <f>($D$14*F801D!L41+$F$14*F801ENE!L41)*$L63</f>
        <v>0</v>
      </c>
      <c r="F63" s="156">
        <f>($D$14*F801D!M41+$F$14*F801ENE!M41)*$L63</f>
        <v>0</v>
      </c>
      <c r="G63" s="156">
        <f>($D$14*F801D!N41+$F$14*F801ENE!N41)*$L63</f>
        <v>0</v>
      </c>
      <c r="H63" s="156">
        <f>($D$14*F801D!O41+$F$14*F801ENE!O41)*$L63</f>
        <v>0</v>
      </c>
      <c r="I63" s="156">
        <f>($D$14*F801D!P41+$F$14*F801ENE!P41)*$L63</f>
        <v>0</v>
      </c>
      <c r="J63" s="156">
        <f t="shared" si="6"/>
        <v>0</v>
      </c>
      <c r="K63" s="69"/>
      <c r="L63" s="319">
        <v>1</v>
      </c>
    </row>
    <row r="64" spans="2:12" s="37" customFormat="1" ht="15.75" customHeight="1">
      <c r="B64" s="48"/>
      <c r="C64" s="160" t="s">
        <v>305</v>
      </c>
      <c r="D64" s="156">
        <f>($D$14*F801D!K42+$F$14*F801ENE!K42)*$L64</f>
        <v>0</v>
      </c>
      <c r="E64" s="156">
        <f>($D$14*F801D!L42+$F$14*F801ENE!L42)*$L64</f>
        <v>0</v>
      </c>
      <c r="F64" s="156">
        <f>($D$14*F801D!M42+$F$14*F801ENE!M42)*$L64</f>
        <v>0</v>
      </c>
      <c r="G64" s="156">
        <f>($D$14*F801D!N42+$F$14*F801ENE!N42)*$L64</f>
        <v>0</v>
      </c>
      <c r="H64" s="156">
        <f>($D$14*F801D!O42+$F$14*F801ENE!O42)*$L64</f>
        <v>0</v>
      </c>
      <c r="I64" s="156">
        <f>($D$14*F801D!P42+$F$14*F801ENE!P42)*$L64</f>
        <v>0</v>
      </c>
      <c r="J64" s="156">
        <f t="shared" si="6"/>
        <v>0</v>
      </c>
      <c r="K64" s="69"/>
      <c r="L64" s="319">
        <v>0.95</v>
      </c>
    </row>
    <row r="65" spans="2:13" s="37" customFormat="1" ht="15.75" customHeight="1">
      <c r="B65" s="48"/>
      <c r="C65" s="160" t="s">
        <v>307</v>
      </c>
      <c r="D65" s="156">
        <f>($D$14*F801D!K43+$F$14*F801ENE!K43)*$L65</f>
        <v>0</v>
      </c>
      <c r="E65" s="156">
        <f>($D$14*F801D!L43+$F$14*F801ENE!L43)*$L65</f>
        <v>0</v>
      </c>
      <c r="F65" s="156">
        <f>($D$14*F801D!M43+$F$14*F801ENE!M43)*$L65</f>
        <v>0</v>
      </c>
      <c r="G65" s="156">
        <f>($D$14*F801D!N43+$F$14*F801ENE!N43)*$L65</f>
        <v>0</v>
      </c>
      <c r="H65" s="156">
        <f>($D$14*F801D!O43+$F$14*F801ENE!O43)*$L65</f>
        <v>0</v>
      </c>
      <c r="I65" s="156">
        <f>($D$14*F801D!P43+$F$14*F801ENE!P43)*$L65</f>
        <v>0</v>
      </c>
      <c r="J65" s="156">
        <f t="shared" si="6"/>
        <v>0</v>
      </c>
      <c r="K65" s="69"/>
      <c r="L65" s="319">
        <v>0.5</v>
      </c>
    </row>
    <row r="66" spans="2:13" s="37" customFormat="1" ht="15.75" customHeight="1">
      <c r="B66" s="48" t="s">
        <v>274</v>
      </c>
      <c r="C66" s="158" t="s">
        <v>633</v>
      </c>
      <c r="D66" s="159">
        <f t="shared" ref="D66:I66" si="11">SUM(D67:D70)</f>
        <v>186986.93104435632</v>
      </c>
      <c r="E66" s="159">
        <f t="shared" si="11"/>
        <v>187064.96871784754</v>
      </c>
      <c r="F66" s="159">
        <f t="shared" si="11"/>
        <v>183531.81555634187</v>
      </c>
      <c r="G66" s="159">
        <f t="shared" si="11"/>
        <v>186423.73686336793</v>
      </c>
      <c r="H66" s="159">
        <f t="shared" si="11"/>
        <v>178346.03918428533</v>
      </c>
      <c r="I66" s="159">
        <f t="shared" si="11"/>
        <v>179181.74554263006</v>
      </c>
      <c r="J66" s="159">
        <f t="shared" si="6"/>
        <v>1101535.2369088291</v>
      </c>
      <c r="K66" s="69"/>
      <c r="L66" s="319"/>
    </row>
    <row r="67" spans="2:13" s="37" customFormat="1" ht="15.75" customHeight="1">
      <c r="B67" s="48"/>
      <c r="C67" s="160" t="s">
        <v>304</v>
      </c>
      <c r="D67" s="156">
        <f>($D$15*F801D!K45+$F$15*F801ENE!K45)*$L67</f>
        <v>186986.93104435632</v>
      </c>
      <c r="E67" s="156">
        <f>($D$15*F801D!L45+$F$15*F801ENE!L45)*$L67</f>
        <v>187064.96871784754</v>
      </c>
      <c r="F67" s="156">
        <f>($D$15*F801D!M45+$F$15*F801ENE!M45)*$L67</f>
        <v>183531.81555634187</v>
      </c>
      <c r="G67" s="156">
        <f>($D$15*F801D!N45+$F$15*F801ENE!N45)*$L67</f>
        <v>186423.73686336793</v>
      </c>
      <c r="H67" s="156">
        <f>($D$15*F801D!O45+$F$15*F801ENE!O45)*$L67</f>
        <v>178346.03918428533</v>
      </c>
      <c r="I67" s="156">
        <f>($D$15*F801D!P45+$F$15*F801ENE!P45)*$L67</f>
        <v>179181.74554263006</v>
      </c>
      <c r="J67" s="156">
        <f t="shared" si="6"/>
        <v>1101535.2369088291</v>
      </c>
      <c r="K67" s="69"/>
      <c r="L67" s="319">
        <v>1</v>
      </c>
    </row>
    <row r="68" spans="2:13" s="37" customFormat="1" ht="15.75" customHeight="1">
      <c r="B68" s="48"/>
      <c r="C68" s="161" t="s">
        <v>306</v>
      </c>
      <c r="D68" s="156">
        <f>($D$15*F801D!K46+$F$15*F801ENE!K46)*$L68</f>
        <v>0</v>
      </c>
      <c r="E68" s="156">
        <f>($D$15*F801D!L46+$F$15*F801ENE!L46)*$L68</f>
        <v>0</v>
      </c>
      <c r="F68" s="156">
        <f>($D$15*F801D!M46+$F$15*F801ENE!M46)*$L68</f>
        <v>0</v>
      </c>
      <c r="G68" s="156">
        <f>($D$15*F801D!N46+$F$15*F801ENE!N46)*$L68</f>
        <v>0</v>
      </c>
      <c r="H68" s="156">
        <f>($D$15*F801D!O46+$F$15*F801ENE!O46)*$L68</f>
        <v>0</v>
      </c>
      <c r="I68" s="156">
        <f>($D$15*F801D!P46+$F$15*F801ENE!P46)*$L68</f>
        <v>0</v>
      </c>
      <c r="J68" s="156">
        <f t="shared" si="6"/>
        <v>0</v>
      </c>
      <c r="K68" s="69"/>
      <c r="L68" s="319">
        <v>1</v>
      </c>
    </row>
    <row r="69" spans="2:13" s="37" customFormat="1" ht="15.75" customHeight="1">
      <c r="B69" s="48"/>
      <c r="C69" s="160" t="s">
        <v>305</v>
      </c>
      <c r="D69" s="156">
        <f>($D$15*F801D!K47+$F$15*F801ENE!K47)*$L69</f>
        <v>0</v>
      </c>
      <c r="E69" s="156">
        <f>($D$15*F801D!L47+$F$15*F801ENE!L47)*$L69</f>
        <v>0</v>
      </c>
      <c r="F69" s="156">
        <f>($D$15*F801D!M47+$F$15*F801ENE!M47)*$L69</f>
        <v>0</v>
      </c>
      <c r="G69" s="156">
        <f>($D$15*F801D!N47+$F$15*F801ENE!N47)*$L69</f>
        <v>0</v>
      </c>
      <c r="H69" s="156">
        <f>($D$15*F801D!O47+$F$15*F801ENE!O47)*$L69</f>
        <v>0</v>
      </c>
      <c r="I69" s="156">
        <f>($D$15*F801D!P47+$F$15*F801ENE!P47)*$L69</f>
        <v>0</v>
      </c>
      <c r="J69" s="156">
        <f t="shared" si="6"/>
        <v>0</v>
      </c>
      <c r="K69" s="69"/>
      <c r="L69" s="319">
        <v>0.95</v>
      </c>
    </row>
    <row r="70" spans="2:13" s="37" customFormat="1" ht="15.75" customHeight="1">
      <c r="B70" s="48"/>
      <c r="C70" s="160" t="s">
        <v>307</v>
      </c>
      <c r="D70" s="156">
        <f>($D$15*F801D!K48+$F$15*F801ENE!K48)*$L70</f>
        <v>0</v>
      </c>
      <c r="E70" s="156">
        <f>($D$15*F801D!L48+$F$15*F801ENE!L48)*$L70</f>
        <v>0</v>
      </c>
      <c r="F70" s="156">
        <f>($D$15*F801D!M48+$F$15*F801ENE!M48)*$L70</f>
        <v>0</v>
      </c>
      <c r="G70" s="156">
        <f>($D$15*F801D!N48+$F$15*F801ENE!N48)*$L70</f>
        <v>0</v>
      </c>
      <c r="H70" s="156">
        <f>($D$15*F801D!O48+$F$15*F801ENE!O48)*$L70</f>
        <v>0</v>
      </c>
      <c r="I70" s="156">
        <f>($D$15*F801D!P48+$F$15*F801ENE!P48)*$L70</f>
        <v>0</v>
      </c>
      <c r="J70" s="156">
        <f t="shared" si="6"/>
        <v>0</v>
      </c>
      <c r="K70" s="69"/>
      <c r="L70" s="319">
        <v>0.5</v>
      </c>
    </row>
    <row r="71" spans="2:13" s="37" customFormat="1" ht="15.75">
      <c r="B71" s="48"/>
      <c r="C71" s="157"/>
      <c r="D71" s="156"/>
      <c r="E71" s="156"/>
      <c r="F71" s="156"/>
      <c r="G71" s="156"/>
      <c r="H71" s="156"/>
      <c r="I71" s="156"/>
      <c r="J71" s="156"/>
      <c r="K71" s="69"/>
      <c r="L71" s="319"/>
    </row>
    <row r="72" spans="2:13" s="37" customFormat="1" ht="15.75">
      <c r="B72" s="48" t="s">
        <v>1176</v>
      </c>
      <c r="C72" s="158" t="str">
        <f>F801ENE!$C$50</f>
        <v>BTSH</v>
      </c>
      <c r="D72" s="159">
        <f>SUM(D73:D78)</f>
        <v>45.182528530659759</v>
      </c>
      <c r="E72" s="159">
        <f t="shared" ref="E72:J72" si="12">SUM(E73:E78)</f>
        <v>45.182528530659759</v>
      </c>
      <c r="F72" s="159">
        <f t="shared" si="12"/>
        <v>45.182528530659759</v>
      </c>
      <c r="G72" s="159">
        <f t="shared" si="12"/>
        <v>45.182528530659759</v>
      </c>
      <c r="H72" s="159">
        <f t="shared" si="12"/>
        <v>45.182528530659759</v>
      </c>
      <c r="I72" s="159">
        <f t="shared" si="12"/>
        <v>45.182528530659759</v>
      </c>
      <c r="J72" s="159">
        <f t="shared" si="12"/>
        <v>271.09517118395854</v>
      </c>
      <c r="K72" s="69"/>
      <c r="L72" s="319"/>
    </row>
    <row r="73" spans="2:13" s="37" customFormat="1" ht="15.75">
      <c r="B73" s="48"/>
      <c r="C73" s="160" t="str">
        <f>F801ENE!$C$51</f>
        <v xml:space="preserve">    - Regulares</v>
      </c>
      <c r="D73" s="156">
        <f>($G$16*F801ENE!K51)*$L73</f>
        <v>45.182528530659759</v>
      </c>
      <c r="E73" s="156">
        <f>($G$16*F801ENE!L51)*$L73</f>
        <v>45.182528530659759</v>
      </c>
      <c r="F73" s="156">
        <f>($G$16*F801ENE!M51)*$L73</f>
        <v>45.182528530659759</v>
      </c>
      <c r="G73" s="156">
        <f>($G$16*F801ENE!N51)*$L73</f>
        <v>45.182528530659759</v>
      </c>
      <c r="H73" s="156">
        <f>($G$16*F801ENE!O51)*$L73</f>
        <v>45.182528530659759</v>
      </c>
      <c r="I73" s="156">
        <f>($G$16*F801ENE!P51)*$L73</f>
        <v>45.182528530659759</v>
      </c>
      <c r="J73" s="156">
        <f t="shared" ref="J73:J90" si="13">SUM(D73:I73)</f>
        <v>271.09517118395854</v>
      </c>
      <c r="K73" s="69"/>
      <c r="L73" s="319">
        <v>1</v>
      </c>
      <c r="M73" s="69"/>
    </row>
    <row r="74" spans="2:13" s="37" customFormat="1" ht="15.75">
      <c r="B74" s="48"/>
      <c r="C74" s="162" t="str">
        <f>F801ENE!$C$52</f>
        <v xml:space="preserve">    - Jubilados (0 a 600 KWh)</v>
      </c>
      <c r="D74" s="156">
        <f>($G$16*F801ENE!K52)*$L74</f>
        <v>0</v>
      </c>
      <c r="E74" s="156">
        <f>($G$16*F801ENE!L52)*$L74</f>
        <v>0</v>
      </c>
      <c r="F74" s="156">
        <f>($G$16*F801ENE!M52)*$L74</f>
        <v>0</v>
      </c>
      <c r="G74" s="156">
        <f>($G$16*F801ENE!N52)*$L74</f>
        <v>0</v>
      </c>
      <c r="H74" s="156">
        <f>($G$16*F801ENE!O52)*$L74</f>
        <v>0</v>
      </c>
      <c r="I74" s="156">
        <f>($G$16*F801ENE!P52)*$L74</f>
        <v>0</v>
      </c>
      <c r="J74" s="156">
        <f t="shared" si="13"/>
        <v>0</v>
      </c>
      <c r="K74" s="69"/>
      <c r="L74" s="319">
        <v>0.75</v>
      </c>
      <c r="M74" s="69"/>
    </row>
    <row r="75" spans="2:13" s="37" customFormat="1" ht="15.75">
      <c r="B75" s="48"/>
      <c r="C75" s="162" t="str">
        <f>F801ENE!$C$53</f>
        <v xml:space="preserve">    - Jubilados (601 y Más KWh)</v>
      </c>
      <c r="D75" s="156">
        <f>($G$16*F801ENE!K53)*$L75</f>
        <v>0</v>
      </c>
      <c r="E75" s="156">
        <f>($G$16*F801ENE!L53)*$L75</f>
        <v>0</v>
      </c>
      <c r="F75" s="156">
        <f>($G$16*F801ENE!M53)*$L75</f>
        <v>0</v>
      </c>
      <c r="G75" s="156">
        <f>($G$16*F801ENE!N53)*$L75</f>
        <v>0</v>
      </c>
      <c r="H75" s="156">
        <f>($G$16*F801ENE!O53)*$L75</f>
        <v>0</v>
      </c>
      <c r="I75" s="156">
        <f>($G$16*F801ENE!P53)*$L75</f>
        <v>0</v>
      </c>
      <c r="J75" s="156">
        <f t="shared" si="13"/>
        <v>0</v>
      </c>
      <c r="K75" s="69"/>
      <c r="L75" s="319">
        <v>1</v>
      </c>
      <c r="M75" s="69"/>
    </row>
    <row r="76" spans="2:13" s="37" customFormat="1" ht="15.75">
      <c r="B76" s="48"/>
      <c r="C76" s="160" t="str">
        <f>F801ENE!$C$54</f>
        <v xml:space="preserve">    - Agropecuarios</v>
      </c>
      <c r="D76" s="156">
        <f>($G$16*F801ENE!K54)*$L76</f>
        <v>0</v>
      </c>
      <c r="E76" s="156">
        <f>($G$16*F801ENE!L54)*$L76</f>
        <v>0</v>
      </c>
      <c r="F76" s="156">
        <f>($G$16*F801ENE!M54)*$L76</f>
        <v>0</v>
      </c>
      <c r="G76" s="156">
        <f>($G$16*F801ENE!N54)*$L76</f>
        <v>0</v>
      </c>
      <c r="H76" s="156">
        <f>($G$16*F801ENE!O54)*$L76</f>
        <v>0</v>
      </c>
      <c r="I76" s="156">
        <f>($G$16*F801ENE!P54)*$L76</f>
        <v>0</v>
      </c>
      <c r="J76" s="156">
        <f t="shared" si="13"/>
        <v>0</v>
      </c>
      <c r="K76" s="69"/>
      <c r="L76" s="319">
        <v>0.95</v>
      </c>
      <c r="M76" s="69"/>
    </row>
    <row r="77" spans="2:13" s="37" customFormat="1" ht="15.75">
      <c r="B77" s="48"/>
      <c r="C77" s="160" t="str">
        <f>F801ENE!$C$55</f>
        <v xml:space="preserve">    - Partidos Políticos</v>
      </c>
      <c r="D77" s="156">
        <f>($G$16*F801ENE!K55)*$L77</f>
        <v>0</v>
      </c>
      <c r="E77" s="156">
        <f>($G$16*F801ENE!L55)*$L77</f>
        <v>0</v>
      </c>
      <c r="F77" s="156">
        <f>($G$16*F801ENE!M55)*$L77</f>
        <v>0</v>
      </c>
      <c r="G77" s="156">
        <f>($G$16*F801ENE!N55)*$L77</f>
        <v>0</v>
      </c>
      <c r="H77" s="156">
        <f>($G$16*F801ENE!O55)*$L77</f>
        <v>0</v>
      </c>
      <c r="I77" s="156">
        <f>($G$16*F801ENE!P55)*$L77</f>
        <v>0</v>
      </c>
      <c r="J77" s="156">
        <f t="shared" si="13"/>
        <v>0</v>
      </c>
      <c r="K77" s="69"/>
      <c r="L77" s="319">
        <v>0.5</v>
      </c>
      <c r="M77" s="69"/>
    </row>
    <row r="78" spans="2:13" s="37" customFormat="1" ht="15.75">
      <c r="B78" s="48"/>
      <c r="C78" s="160" t="str">
        <f>F801ENE!$C$56</f>
        <v xml:space="preserve">    - Cruz Roja</v>
      </c>
      <c r="D78" s="156">
        <f>($G$16*F801ENE!K56)*$L78</f>
        <v>0</v>
      </c>
      <c r="E78" s="156">
        <f>($G$16*F801ENE!L56)*$L78</f>
        <v>0</v>
      </c>
      <c r="F78" s="156">
        <f>($G$16*F801ENE!M56)*$L78</f>
        <v>0</v>
      </c>
      <c r="G78" s="156">
        <f>($G$16*F801ENE!N56)*$L78</f>
        <v>0</v>
      </c>
      <c r="H78" s="156">
        <f>($G$16*F801ENE!O56)*$L78</f>
        <v>0</v>
      </c>
      <c r="I78" s="156">
        <f>($G$16*F801ENE!P56)*$L78</f>
        <v>0</v>
      </c>
      <c r="J78" s="156">
        <f t="shared" si="13"/>
        <v>0</v>
      </c>
      <c r="K78" s="69"/>
      <c r="L78" s="319">
        <v>0</v>
      </c>
      <c r="M78" s="69"/>
    </row>
    <row r="79" spans="2:13" s="37" customFormat="1" ht="15.75">
      <c r="B79" s="48" t="s">
        <v>751</v>
      </c>
      <c r="C79" s="158" t="s">
        <v>634</v>
      </c>
      <c r="D79" s="159">
        <f t="shared" ref="D79" si="14">SUM(D80:D84)</f>
        <v>1305407.6472382487</v>
      </c>
      <c r="E79" s="159">
        <f t="shared" ref="E79:I79" si="15">SUM(E80:E84)</f>
        <v>1305952.4566845878</v>
      </c>
      <c r="F79" s="159">
        <f t="shared" si="15"/>
        <v>1281286.2264955707</v>
      </c>
      <c r="G79" s="159">
        <f t="shared" si="15"/>
        <v>1301475.7833550952</v>
      </c>
      <c r="H79" s="159">
        <f t="shared" si="15"/>
        <v>1245082.4312297576</v>
      </c>
      <c r="I79" s="159">
        <f t="shared" si="15"/>
        <v>1250916.8019640769</v>
      </c>
      <c r="J79" s="159">
        <f t="shared" si="13"/>
        <v>7690121.3469673367</v>
      </c>
      <c r="K79" s="69"/>
      <c r="L79" s="319"/>
      <c r="M79" s="69"/>
    </row>
    <row r="80" spans="2:13" s="37" customFormat="1" ht="15.75">
      <c r="B80" s="48"/>
      <c r="C80" s="160" t="s">
        <v>304</v>
      </c>
      <c r="D80" s="156">
        <f>(($E$18+$F$18)*F801ENE!K66)*$L80</f>
        <v>922531.59749021789</v>
      </c>
      <c r="E80" s="156">
        <f>(($E$18+$F$18)*F801ENE!L66)*$L80</f>
        <v>922916.61632450193</v>
      </c>
      <c r="F80" s="156">
        <f>(($E$18+$F$18)*F801ENE!M66)*$L80</f>
        <v>905484.90096535371</v>
      </c>
      <c r="G80" s="156">
        <f>(($E$18+$F$18)*F801ENE!N66)*$L80</f>
        <v>919752.93486050784</v>
      </c>
      <c r="H80" s="156">
        <f>(($E$18+$F$18)*F801ENE!O66)*$L80</f>
        <v>879899.54604251136</v>
      </c>
      <c r="I80" s="156">
        <f>(($E$18+$F$18)*F801ENE!P66)*$L80</f>
        <v>884022.71724301716</v>
      </c>
      <c r="J80" s="156">
        <f t="shared" si="13"/>
        <v>5434608.3129261099</v>
      </c>
      <c r="K80" s="69"/>
      <c r="L80" s="319">
        <v>1</v>
      </c>
      <c r="M80" s="329"/>
    </row>
    <row r="81" spans="1:28" s="37" customFormat="1" ht="15.75">
      <c r="B81" s="48"/>
      <c r="C81" s="162" t="s">
        <v>644</v>
      </c>
      <c r="D81" s="156">
        <f>(($E$18+$F$18)*F801ENE!K67)*$L81</f>
        <v>382794.52280296513</v>
      </c>
      <c r="E81" s="156">
        <f>(($E$18+$F$18)*F801ENE!L67)*$L81</f>
        <v>382954.279390326</v>
      </c>
      <c r="F81" s="156">
        <f>(($E$18+$F$18)*F801ENE!M67)*$L81</f>
        <v>375721.30502738757</v>
      </c>
      <c r="G81" s="156">
        <f>(($E$18+$F$18)*F801ENE!N67)*$L81</f>
        <v>381641.56710412161</v>
      </c>
      <c r="H81" s="156">
        <f>(($E$18+$F$18)*F801ENE!O67)*$L81</f>
        <v>365105.12570075126</v>
      </c>
      <c r="I81" s="156">
        <f>(($E$18+$F$18)*F801ENE!P67)*$L81</f>
        <v>366815.96086371836</v>
      </c>
      <c r="J81" s="156">
        <f t="shared" si="13"/>
        <v>2255032.7608892699</v>
      </c>
      <c r="K81" s="69"/>
      <c r="L81" s="319">
        <v>0.75</v>
      </c>
      <c r="M81" s="329"/>
    </row>
    <row r="82" spans="1:28" s="37" customFormat="1" ht="15.75">
      <c r="B82" s="48"/>
      <c r="C82" s="160" t="s">
        <v>305</v>
      </c>
      <c r="D82" s="156">
        <f>(($E$18+$F$18)*F801ENE!K68)*$L82</f>
        <v>78.675559353262386</v>
      </c>
      <c r="E82" s="156">
        <f>(($E$18+$F$18)*F801ENE!L68)*$L82</f>
        <v>78.708394041645462</v>
      </c>
      <c r="F82" s="156">
        <f>(($E$18+$F$18)*F801ENE!M68)*$L82</f>
        <v>77.221804579431819</v>
      </c>
      <c r="G82" s="156">
        <f>(($E$18+$F$18)*F801ENE!N68)*$L82</f>
        <v>78.438592967610262</v>
      </c>
      <c r="H82" s="156">
        <f>(($E$18+$F$18)*F801ENE!O68)*$L82</f>
        <v>75.039866759105237</v>
      </c>
      <c r="I82" s="156">
        <f>(($E$18+$F$18)*F801ENE!P68)*$L82</f>
        <v>75.391493821117692</v>
      </c>
      <c r="J82" s="156">
        <f t="shared" si="13"/>
        <v>463.47571152217284</v>
      </c>
      <c r="K82" s="69"/>
      <c r="L82" s="319">
        <v>0.95</v>
      </c>
      <c r="M82" s="329"/>
    </row>
    <row r="83" spans="1:28" s="37" customFormat="1" ht="15.75">
      <c r="B83" s="48"/>
      <c r="C83" s="160" t="s">
        <v>307</v>
      </c>
      <c r="D83" s="156">
        <f>(($E$18+$F$18)*F801ENE!K69)*$L83</f>
        <v>2.8513857124728887</v>
      </c>
      <c r="E83" s="156">
        <f>(($E$18+$F$18)*F801ENE!L69)*$L83</f>
        <v>2.852575718137909</v>
      </c>
      <c r="F83" s="156">
        <f>(($E$18+$F$18)*F801ENE!M69)*$L83</f>
        <v>2.7986982498655091</v>
      </c>
      <c r="G83" s="156">
        <f>(($E$18+$F$18)*F801ENE!N69)*$L83</f>
        <v>2.8427974981412834</v>
      </c>
      <c r="H83" s="156">
        <f>(($E$18+$F$18)*F801ENE!O69)*$L83</f>
        <v>2.7196197358069312</v>
      </c>
      <c r="I83" s="156">
        <f>(($E$18+$F$18)*F801ENE!P69)*$L83</f>
        <v>2.7323635203949657</v>
      </c>
      <c r="J83" s="156">
        <f t="shared" si="13"/>
        <v>16.797440434819489</v>
      </c>
      <c r="K83" s="69"/>
      <c r="L83" s="319">
        <v>0.5</v>
      </c>
      <c r="M83" s="329"/>
    </row>
    <row r="84" spans="1:28" s="37" customFormat="1" ht="15.75">
      <c r="B84" s="48"/>
      <c r="C84" s="160" t="s">
        <v>624</v>
      </c>
      <c r="D84" s="156">
        <f>(($E$18+$F$18)*F801ENE!K70)*$L84</f>
        <v>0</v>
      </c>
      <c r="E84" s="156">
        <f>(($E$18+$F$18)*F801ENE!L70)*$L84</f>
        <v>0</v>
      </c>
      <c r="F84" s="156">
        <f>(($E$18+$F$18)*F801ENE!M70)*$L84</f>
        <v>0</v>
      </c>
      <c r="G84" s="156">
        <f>(($E$18+$F$18)*F801ENE!N70)*$L84</f>
        <v>0</v>
      </c>
      <c r="H84" s="156">
        <f>(($E$18+$F$18)*F801ENE!O70)*$L84</f>
        <v>0</v>
      </c>
      <c r="I84" s="156">
        <f>(($E$18+$F$18)*F801ENE!P70)*$L84</f>
        <v>0</v>
      </c>
      <c r="J84" s="156">
        <f t="shared" si="13"/>
        <v>0</v>
      </c>
      <c r="K84" s="69"/>
      <c r="L84" s="319">
        <v>0</v>
      </c>
      <c r="M84" s="329"/>
    </row>
    <row r="85" spans="1:28" s="37" customFormat="1" ht="15.75">
      <c r="B85" s="48" t="s">
        <v>750</v>
      </c>
      <c r="C85" s="158" t="s">
        <v>635</v>
      </c>
      <c r="D85" s="159">
        <f t="shared" ref="D85" si="16">SUM(D86:D91)</f>
        <v>883964.67690716498</v>
      </c>
      <c r="E85" s="159">
        <f t="shared" ref="E85:I85" si="17">SUM(E86:E91)</f>
        <v>884333.59331457934</v>
      </c>
      <c r="F85" s="159">
        <f t="shared" si="17"/>
        <v>867630.91481490887</v>
      </c>
      <c r="G85" s="159">
        <f t="shared" si="17"/>
        <v>881302.22472693608</v>
      </c>
      <c r="H85" s="159">
        <f t="shared" si="17"/>
        <v>843115.60184819496</v>
      </c>
      <c r="I85" s="159">
        <f t="shared" si="17"/>
        <v>847066.33197097678</v>
      </c>
      <c r="J85" s="159">
        <f t="shared" si="13"/>
        <v>5207413.3435827615</v>
      </c>
      <c r="K85" s="69"/>
      <c r="L85" s="319"/>
      <c r="M85" s="69"/>
    </row>
    <row r="86" spans="1:28" s="37" customFormat="1" ht="15.75">
      <c r="A86" s="60"/>
      <c r="B86" s="48"/>
      <c r="C86" s="160" t="s">
        <v>304</v>
      </c>
      <c r="D86" s="156">
        <f>(($E$19+$F$19)*F801ENE!K72)*$L86</f>
        <v>636028.11850912846</v>
      </c>
      <c r="E86" s="156">
        <f>(($E$19+$F$19)*F801ENE!L72)*$L86</f>
        <v>636293.5603470488</v>
      </c>
      <c r="F86" s="156">
        <f>(($E$19+$F$19)*F801ENE!M72)*$L86</f>
        <v>624275.68965862098</v>
      </c>
      <c r="G86" s="156">
        <f>(($E$19+$F$19)*F801ENE!N72)*$L86</f>
        <v>634112.43737949734</v>
      </c>
      <c r="H86" s="156">
        <f>(($E$19+$F$19)*F801ENE!O72)*$L86</f>
        <v>606636.49118359061</v>
      </c>
      <c r="I86" s="156">
        <f>(($E$19+$F$19)*F801ENE!P72)*$L86</f>
        <v>609479.11093116016</v>
      </c>
      <c r="J86" s="330">
        <f t="shared" si="13"/>
        <v>3746825.4080090467</v>
      </c>
      <c r="K86" s="69"/>
      <c r="L86" s="319">
        <v>1</v>
      </c>
      <c r="M86" s="329"/>
      <c r="O86" s="60"/>
      <c r="P86" s="60"/>
      <c r="W86" s="60"/>
      <c r="X86" s="60"/>
      <c r="Y86" s="60"/>
      <c r="Z86" s="60"/>
      <c r="AA86" s="60"/>
      <c r="AB86" s="60"/>
    </row>
    <row r="87" spans="1:28" s="37" customFormat="1" ht="15.75">
      <c r="B87" s="48"/>
      <c r="C87" s="162" t="s">
        <v>642</v>
      </c>
      <c r="D87" s="156">
        <f>(($E$19+$F$19)*F801ENE!K73)*$L87</f>
        <v>200158.10485358862</v>
      </c>
      <c r="E87" s="156">
        <f>(($E$19+$F$19)*F801ENE!L73)*$L87</f>
        <v>200241.63942333611</v>
      </c>
      <c r="F87" s="156">
        <f>(($E$19+$F$19)*F801ENE!M73)*$L87</f>
        <v>196459.61446033645</v>
      </c>
      <c r="G87" s="156">
        <f>(($E$19+$F$19)*F801ENE!N73)*$L87</f>
        <v>199555.23983354901</v>
      </c>
      <c r="H87" s="156">
        <f>(($E$19+$F$19)*F801ENE!O73)*$L87</f>
        <v>190908.55714831967</v>
      </c>
      <c r="I87" s="156">
        <f>(($E$19+$F$19)*F801ENE!P73)*$L87</f>
        <v>191803.12983297804</v>
      </c>
      <c r="J87" s="330">
        <f t="shared" si="13"/>
        <v>1179126.285552108</v>
      </c>
      <c r="K87" s="69"/>
      <c r="L87" s="319">
        <v>0.75</v>
      </c>
      <c r="M87" s="329"/>
      <c r="Q87" s="60"/>
      <c r="W87" s="60"/>
      <c r="X87" s="60"/>
      <c r="Y87" s="60"/>
      <c r="Z87" s="60"/>
      <c r="AA87" s="60"/>
      <c r="AB87" s="60"/>
    </row>
    <row r="88" spans="1:28" s="37" customFormat="1" ht="15.75">
      <c r="B88" s="48"/>
      <c r="C88" s="162" t="s">
        <v>1177</v>
      </c>
      <c r="D88" s="156">
        <f>(($E$19+$F$19)*F801ENE!K74)*$L88</f>
        <v>47631.799316038894</v>
      </c>
      <c r="E88" s="156">
        <f>(($E$19+$F$19)*F801ENE!L74)*$L88</f>
        <v>47651.678110680135</v>
      </c>
      <c r="F88" s="156">
        <f>(($E$19+$F$19)*F801ENE!M74)*$L88</f>
        <v>46751.666321611592</v>
      </c>
      <c r="G88" s="156">
        <f>(($E$19+$F$19)*F801ENE!N74)*$L88</f>
        <v>47488.334999816521</v>
      </c>
      <c r="H88" s="156">
        <f>(($E$19+$F$19)*F801ENE!O74)*$L88</f>
        <v>45430.676356847369</v>
      </c>
      <c r="I88" s="156">
        <f>(($E$19+$F$19)*F801ENE!P74)*$L88</f>
        <v>45643.558601213277</v>
      </c>
      <c r="J88" s="330">
        <f t="shared" si="13"/>
        <v>280597.71370620781</v>
      </c>
      <c r="K88" s="69"/>
      <c r="L88" s="319">
        <v>1</v>
      </c>
      <c r="M88" s="329"/>
      <c r="W88" s="60"/>
      <c r="X88" s="60"/>
      <c r="Y88" s="60"/>
      <c r="Z88" s="60"/>
      <c r="AA88" s="60"/>
      <c r="AB88" s="60"/>
    </row>
    <row r="89" spans="1:28" s="37" customFormat="1" ht="15.75">
      <c r="B89" s="48"/>
      <c r="C89" s="160" t="s">
        <v>305</v>
      </c>
      <c r="D89" s="156">
        <f>(($E$19+$F$19)*F801ENE!K75)*$L89</f>
        <v>139.82749886978831</v>
      </c>
      <c r="E89" s="156">
        <f>(($E$19+$F$19)*F801ENE!L75)*$L89</f>
        <v>139.88585488772469</v>
      </c>
      <c r="F89" s="156">
        <f>(($E$19+$F$19)*F801ENE!M75)*$L89</f>
        <v>137.24378804948117</v>
      </c>
      <c r="G89" s="156">
        <f>(($E$19+$F$19)*F801ENE!N75)*$L89</f>
        <v>139.40634626160445</v>
      </c>
      <c r="H89" s="156">
        <f>(($E$19+$F$19)*F801ENE!O75)*$L89</f>
        <v>133.36590131294389</v>
      </c>
      <c r="I89" s="156">
        <f>(($E$19+$F$19)*F801ENE!P75)*$L89</f>
        <v>133.99083659170523</v>
      </c>
      <c r="J89" s="156">
        <f t="shared" si="13"/>
        <v>823.72022597324769</v>
      </c>
      <c r="K89" s="69"/>
      <c r="L89" s="319">
        <v>0.95</v>
      </c>
      <c r="M89" s="329"/>
      <c r="W89" s="60"/>
      <c r="X89" s="60"/>
      <c r="Y89" s="60"/>
      <c r="Z89" s="60"/>
      <c r="AA89" s="60"/>
      <c r="AB89" s="60"/>
    </row>
    <row r="90" spans="1:28" s="37" customFormat="1" ht="15.75">
      <c r="B90" s="48"/>
      <c r="C90" s="160" t="s">
        <v>307</v>
      </c>
      <c r="D90" s="156">
        <f>(($E$19+$F$19)*F801ENE!K76)*$L90</f>
        <v>6.8267295392922414</v>
      </c>
      <c r="E90" s="156">
        <f>(($E$19+$F$19)*F801ENE!L76)*$L90</f>
        <v>6.8295786265938236</v>
      </c>
      <c r="F90" s="156">
        <f>(($E$19+$F$19)*F801ENE!M76)*$L90</f>
        <v>6.7005862904996336</v>
      </c>
      <c r="G90" s="156">
        <f>(($E$19+$F$19)*F801ENE!N76)*$L90</f>
        <v>6.8061678116343938</v>
      </c>
      <c r="H90" s="156">
        <f>(($E$19+$F$19)*F801ENE!O76)*$L90</f>
        <v>6.511258124378311</v>
      </c>
      <c r="I90" s="156">
        <f>(($E$19+$F$19)*F801ENE!P76)*$L90</f>
        <v>6.5417690336211249</v>
      </c>
      <c r="J90" s="156">
        <f t="shared" si="13"/>
        <v>40.216089426019522</v>
      </c>
      <c r="K90" s="69"/>
      <c r="L90" s="319">
        <v>0.5</v>
      </c>
      <c r="M90" s="329"/>
      <c r="W90" s="60"/>
      <c r="X90" s="60"/>
      <c r="Y90" s="60"/>
      <c r="Z90" s="60"/>
      <c r="AA90" s="60"/>
      <c r="AB90" s="60"/>
    </row>
    <row r="91" spans="1:28" s="37" customFormat="1" ht="15.75">
      <c r="B91" s="48"/>
      <c r="C91" s="160" t="s">
        <v>624</v>
      </c>
      <c r="D91" s="156">
        <f>(($E$19+$F$19)*F801ENE!K77)*$L91</f>
        <v>0</v>
      </c>
      <c r="E91" s="156">
        <f>(($E$19+$F$19)*F801ENE!L77)*$L91</f>
        <v>0</v>
      </c>
      <c r="F91" s="156">
        <f>(($E$19+$F$19)*F801ENE!M77)*$L91</f>
        <v>0</v>
      </c>
      <c r="G91" s="156">
        <f>(($E$19+$F$19)*F801ENE!N77)*$L91</f>
        <v>0</v>
      </c>
      <c r="H91" s="156">
        <f>(($E$19+$F$19)*F801ENE!O77)*$L91</f>
        <v>0</v>
      </c>
      <c r="I91" s="156">
        <f>(($E$19+$F$19)*F801ENE!P77)*$L91</f>
        <v>0</v>
      </c>
      <c r="J91" s="156"/>
      <c r="K91" s="69"/>
      <c r="L91" s="319">
        <v>0</v>
      </c>
      <c r="M91" s="329"/>
    </row>
    <row r="92" spans="1:28" s="37" customFormat="1" ht="15.75">
      <c r="B92" s="48" t="s">
        <v>749</v>
      </c>
      <c r="C92" s="158" t="s">
        <v>636</v>
      </c>
      <c r="D92" s="159">
        <f t="shared" ref="D92" si="18">SUM(D93:D98)</f>
        <v>1005503.6246201245</v>
      </c>
      <c r="E92" s="159">
        <f t="shared" ref="E92:I92" si="19">SUM(E93:E98)</f>
        <v>1005923.2644479675</v>
      </c>
      <c r="F92" s="159">
        <f t="shared" si="19"/>
        <v>986924.08471711632</v>
      </c>
      <c r="G92" s="159">
        <f t="shared" si="19"/>
        <v>1002475.1039251972</v>
      </c>
      <c r="H92" s="159">
        <f t="shared" si="19"/>
        <v>959038.08803569397</v>
      </c>
      <c r="I92" s="159">
        <f t="shared" si="19"/>
        <v>963532.01586124033</v>
      </c>
      <c r="J92" s="159">
        <f t="shared" ref="J92:J97" si="20">SUM(D92:I92)</f>
        <v>5923396.1816073405</v>
      </c>
      <c r="K92" s="69"/>
      <c r="L92" s="319"/>
      <c r="M92" s="69"/>
    </row>
    <row r="93" spans="1:28" s="37" customFormat="1" ht="15.75">
      <c r="B93" s="48"/>
      <c r="C93" s="160" t="s">
        <v>304</v>
      </c>
      <c r="D93" s="156">
        <f>(($E$20+$F$20)*F801ENE!K79)*$L93</f>
        <v>915492.09829737805</v>
      </c>
      <c r="E93" s="156">
        <f>(($E$20+$F$20)*F801ENE!L79)*$L93</f>
        <v>915874.17245117959</v>
      </c>
      <c r="F93" s="156">
        <f>(($E$20+$F$20)*F801ENE!M79)*$L93</f>
        <v>898575.77740631124</v>
      </c>
      <c r="G93" s="156">
        <f>(($E$20+$F$20)*F801ENE!N79)*$L93</f>
        <v>912734.68728676776</v>
      </c>
      <c r="H93" s="156">
        <f>(($E$20+$F$20)*F801ENE!O79)*$L93</f>
        <v>873186.10302832583</v>
      </c>
      <c r="I93" s="156">
        <f>(($E$20+$F$20)*F801ENE!P79)*$L93</f>
        <v>877277.73961109866</v>
      </c>
      <c r="J93" s="330">
        <f t="shared" si="20"/>
        <v>5393140.5780810602</v>
      </c>
      <c r="K93" s="69"/>
      <c r="L93" s="319">
        <v>1</v>
      </c>
      <c r="M93" s="329"/>
      <c r="W93" s="60"/>
      <c r="X93" s="60"/>
      <c r="Y93" s="60"/>
      <c r="Z93" s="60"/>
      <c r="AA93" s="60"/>
      <c r="AB93" s="60"/>
    </row>
    <row r="94" spans="1:28" s="37" customFormat="1" ht="15.75">
      <c r="B94" s="48"/>
      <c r="C94" s="162" t="s">
        <v>642</v>
      </c>
      <c r="D94" s="156">
        <f>(($E$20+$F$20)*F801ENE!K80)*$L94</f>
        <v>0</v>
      </c>
      <c r="E94" s="156">
        <f>(($E$20+$F$20)*F801ENE!L80)*$L94</f>
        <v>0</v>
      </c>
      <c r="F94" s="156">
        <f>(($E$20+$F$20)*F801ENE!M80)*$L94</f>
        <v>0</v>
      </c>
      <c r="G94" s="156">
        <f>(($E$20+$F$20)*F801ENE!N80)*$L94</f>
        <v>0</v>
      </c>
      <c r="H94" s="156">
        <f>(($E$20+$F$20)*F801ENE!O80)*$L94</f>
        <v>0</v>
      </c>
      <c r="I94" s="156">
        <f>(($E$20+$F$20)*F801ENE!P80)*$L94</f>
        <v>0</v>
      </c>
      <c r="J94" s="330">
        <f t="shared" si="20"/>
        <v>0</v>
      </c>
      <c r="K94" s="69"/>
      <c r="L94" s="319">
        <v>0.75</v>
      </c>
      <c r="M94" s="329"/>
      <c r="W94" s="60"/>
      <c r="X94" s="60"/>
      <c r="Y94" s="60"/>
      <c r="Z94" s="60"/>
      <c r="AA94" s="60"/>
      <c r="AB94" s="60"/>
    </row>
    <row r="95" spans="1:28" s="37" customFormat="1" ht="15.75">
      <c r="B95" s="48"/>
      <c r="C95" s="162" t="s">
        <v>1177</v>
      </c>
      <c r="D95" s="156">
        <f>(($E$20+$F$20)*F801ENE!K81)*$L95</f>
        <v>89374.336919295558</v>
      </c>
      <c r="E95" s="156">
        <f>(($E$20+$F$20)*F801ENE!L81)*$L95</f>
        <v>89411.636666845036</v>
      </c>
      <c r="F95" s="156">
        <f>(($E$20+$F$20)*F801ENE!M81)*$L95</f>
        <v>87722.891794247611</v>
      </c>
      <c r="G95" s="156">
        <f>(($E$20+$F$20)*F801ENE!N81)*$L95</f>
        <v>89105.146413833441</v>
      </c>
      <c r="H95" s="156">
        <f>(($E$20+$F$20)*F801ENE!O81)*$L95</f>
        <v>85244.240895622177</v>
      </c>
      <c r="I95" s="156">
        <f>(($E$20+$F$20)*F801ENE!P81)*$L95</f>
        <v>85643.684328482123</v>
      </c>
      <c r="J95" s="330">
        <f t="shared" si="20"/>
        <v>526501.9370183259</v>
      </c>
      <c r="K95" s="69"/>
      <c r="L95" s="319">
        <v>1</v>
      </c>
      <c r="M95" s="329"/>
      <c r="W95" s="60"/>
      <c r="X95" s="60"/>
      <c r="Y95" s="60"/>
      <c r="Z95" s="60"/>
      <c r="AA95" s="60"/>
      <c r="AB95" s="60"/>
    </row>
    <row r="96" spans="1:28" s="37" customFormat="1" ht="15.75">
      <c r="B96" s="48"/>
      <c r="C96" s="160" t="s">
        <v>305</v>
      </c>
      <c r="D96" s="156">
        <f>(($E$20+$F$20)*F801ENE!K82)*$L96</f>
        <v>634.53932906166381</v>
      </c>
      <c r="E96" s="156">
        <f>(($E$20+$F$20)*F801ENE!L82)*$L96</f>
        <v>634.80414956383527</v>
      </c>
      <c r="F96" s="156">
        <f>(($E$20+$F$20)*F801ENE!M82)*$L96</f>
        <v>622.81440983147866</v>
      </c>
      <c r="G96" s="156">
        <f>(($E$20+$F$20)*F801ENE!N82)*$L96</f>
        <v>632.62813208260309</v>
      </c>
      <c r="H96" s="156">
        <f>(($E$20+$F$20)*F801ENE!O82)*$L96</f>
        <v>605.21650049412494</v>
      </c>
      <c r="I96" s="156">
        <f>(($E$20+$F$20)*F801ENE!P82)*$L96</f>
        <v>608.05246634989317</v>
      </c>
      <c r="J96" s="156">
        <f t="shared" si="20"/>
        <v>3738.0549873835989</v>
      </c>
      <c r="K96" s="69"/>
      <c r="L96" s="319">
        <v>0.95</v>
      </c>
      <c r="M96" s="329"/>
      <c r="W96" s="60"/>
      <c r="X96" s="60"/>
      <c r="Y96" s="60"/>
      <c r="Z96" s="60"/>
      <c r="AA96" s="60"/>
      <c r="AB96" s="60"/>
    </row>
    <row r="97" spans="2:28" s="37" customFormat="1" ht="15.75">
      <c r="B97" s="48"/>
      <c r="C97" s="160" t="s">
        <v>307</v>
      </c>
      <c r="D97" s="156">
        <f>(($E$20+$F$20)*F801ENE!K83)*$L97</f>
        <v>2.6500743891654852</v>
      </c>
      <c r="E97" s="156">
        <f>(($E$20+$F$20)*F801ENE!L83)*$L97</f>
        <v>2.6511803789731911</v>
      </c>
      <c r="F97" s="156">
        <f>(($E$20+$F$20)*F801ENE!M83)*$L97</f>
        <v>2.6011067259429463</v>
      </c>
      <c r="G97" s="156">
        <f>(($E$20+$F$20)*F801ENE!N83)*$L97</f>
        <v>2.6420925132834205</v>
      </c>
      <c r="H97" s="156">
        <f>(($E$20+$F$20)*F801ENE!O83)*$L97</f>
        <v>2.5276112518219955</v>
      </c>
      <c r="I97" s="156">
        <f>(($E$20+$F$20)*F801ENE!P83)*$L97</f>
        <v>2.5394553096111832</v>
      </c>
      <c r="J97" s="156">
        <f t="shared" si="20"/>
        <v>15.611520568798221</v>
      </c>
      <c r="K97" s="69"/>
      <c r="L97" s="319">
        <v>0.5</v>
      </c>
      <c r="M97" s="329"/>
      <c r="W97" s="60"/>
      <c r="X97" s="60"/>
      <c r="Y97" s="60"/>
      <c r="Z97" s="60"/>
      <c r="AA97" s="60"/>
      <c r="AB97" s="60"/>
    </row>
    <row r="98" spans="2:28" s="37" customFormat="1" ht="15.75">
      <c r="B98" s="48"/>
      <c r="C98" s="160" t="s">
        <v>624</v>
      </c>
      <c r="D98" s="156">
        <f>(($E$20+$F$20)*F801ENE!K84)*$L98</f>
        <v>0</v>
      </c>
      <c r="E98" s="156">
        <f>(($E$20+$F$20)*F801ENE!L84)*$L98</f>
        <v>0</v>
      </c>
      <c r="F98" s="156">
        <f>(($E$20+$F$20)*F801ENE!M84)*$L98</f>
        <v>0</v>
      </c>
      <c r="G98" s="156">
        <f>(($E$20+$F$20)*F801ENE!N84)*$L98</f>
        <v>0</v>
      </c>
      <c r="H98" s="156">
        <f>(($E$20+$F$20)*F801ENE!O84)*$L98</f>
        <v>0</v>
      </c>
      <c r="I98" s="156">
        <f>(($E$20+$F$20)*F801ENE!P84)*$L98</f>
        <v>0</v>
      </c>
      <c r="J98" s="156"/>
      <c r="K98" s="69"/>
      <c r="L98" s="319">
        <v>0</v>
      </c>
      <c r="M98" s="329"/>
    </row>
    <row r="99" spans="2:28" s="37" customFormat="1" ht="15.75">
      <c r="B99" s="48"/>
      <c r="C99" s="157"/>
      <c r="D99" s="156"/>
      <c r="E99" s="156"/>
      <c r="F99" s="156"/>
      <c r="G99" s="156"/>
      <c r="H99" s="156"/>
      <c r="I99" s="156"/>
      <c r="J99" s="156"/>
      <c r="K99" s="69"/>
      <c r="L99" s="319"/>
      <c r="M99" s="69"/>
    </row>
    <row r="100" spans="2:28" s="37" customFormat="1" ht="15.75">
      <c r="B100" s="48" t="s">
        <v>902</v>
      </c>
      <c r="C100" s="158" t="s">
        <v>898</v>
      </c>
      <c r="D100" s="159">
        <f t="shared" ref="D100" si="21">SUM(D101:D105)</f>
        <v>219676.71848640704</v>
      </c>
      <c r="E100" s="159">
        <f t="shared" ref="E100:I100" si="22">SUM(E101:E105)</f>
        <v>219768.39901153848</v>
      </c>
      <c r="F100" s="159">
        <f t="shared" si="22"/>
        <v>215617.56618009676</v>
      </c>
      <c r="G100" s="159">
        <f t="shared" si="22"/>
        <v>219015.0644934827</v>
      </c>
      <c r="H100" s="159">
        <f t="shared" si="22"/>
        <v>209525.19207750514</v>
      </c>
      <c r="I100" s="159">
        <f t="shared" si="22"/>
        <v>210506.99989366662</v>
      </c>
      <c r="J100" s="159">
        <f t="shared" ref="J100:J119" si="23">SUM(D100:I100)</f>
        <v>1294109.940142697</v>
      </c>
      <c r="K100" s="69"/>
      <c r="L100" s="319"/>
      <c r="M100" s="69"/>
    </row>
    <row r="101" spans="2:28" s="37" customFormat="1" ht="15.75">
      <c r="B101" s="48"/>
      <c r="C101" s="160" t="s">
        <v>304</v>
      </c>
      <c r="D101" s="156">
        <f>(($E$17+$F$17)*F801ENE!K87)*$L101</f>
        <v>211287.66726514397</v>
      </c>
      <c r="E101" s="156">
        <f>(($E$17+$F$17)*F801ENE!L87)*$L101</f>
        <v>211375.84667906701</v>
      </c>
      <c r="F101" s="156">
        <f>(($E$17+$F$17)*F801ENE!M87)*$L101</f>
        <v>207383.52654516458</v>
      </c>
      <c r="G101" s="156">
        <f>(($E$17+$F$17)*F801ENE!N87)*$L101</f>
        <v>210651.28062542682</v>
      </c>
      <c r="H101" s="156">
        <f>(($E$17+$F$17)*F801ENE!O87)*$L101</f>
        <v>201523.809042498</v>
      </c>
      <c r="I101" s="156">
        <f>(($E$17+$F$17)*F801ENE!P87)*$L101</f>
        <v>202468.12341777069</v>
      </c>
      <c r="J101" s="156">
        <f t="shared" si="23"/>
        <v>1244690.253575071</v>
      </c>
      <c r="K101" s="69"/>
      <c r="L101" s="319">
        <v>1</v>
      </c>
      <c r="M101" s="329"/>
    </row>
    <row r="102" spans="2:28" s="37" customFormat="1" ht="15.75">
      <c r="B102" s="48"/>
      <c r="C102" s="162" t="s">
        <v>644</v>
      </c>
      <c r="D102" s="156">
        <f>(($E$17+$F$17)*F801ENE!K88)*$L102</f>
        <v>8389.0512212630674</v>
      </c>
      <c r="E102" s="156">
        <f>(($E$17+$F$17)*F801ENE!L88)*$L102</f>
        <v>8392.5523324714813</v>
      </c>
      <c r="F102" s="156">
        <f>(($E$17+$F$17)*F801ENE!M88)*$L102</f>
        <v>8234.0396349321672</v>
      </c>
      <c r="G102" s="156">
        <f>(($E$17+$F$17)*F801ENE!N88)*$L102</f>
        <v>8363.7838680558634</v>
      </c>
      <c r="H102" s="156">
        <f>(($E$17+$F$17)*F801ENE!O88)*$L102</f>
        <v>8001.3830350071239</v>
      </c>
      <c r="I102" s="156">
        <f>(($E$17+$F$17)*F801ENE!P88)*$L102</f>
        <v>8038.8764758959242</v>
      </c>
      <c r="J102" s="156">
        <f t="shared" si="23"/>
        <v>49419.68656762562</v>
      </c>
      <c r="K102" s="69"/>
      <c r="L102" s="319">
        <v>0.75</v>
      </c>
      <c r="M102" s="329"/>
    </row>
    <row r="103" spans="2:28" s="37" customFormat="1" ht="15.75">
      <c r="B103" s="48"/>
      <c r="C103" s="160" t="s">
        <v>305</v>
      </c>
      <c r="D103" s="156">
        <f>(($E$17+$F$17)*F801ENE!K89)*$L103</f>
        <v>0</v>
      </c>
      <c r="E103" s="156">
        <f>(($E$17+$F$17)*F801ENE!L89)*$L103</f>
        <v>0</v>
      </c>
      <c r="F103" s="156">
        <f>(($E$17+$F$17)*F801ENE!M89)*$L103</f>
        <v>0</v>
      </c>
      <c r="G103" s="156">
        <f>(($E$17+$F$17)*F801ENE!N89)*$L103</f>
        <v>0</v>
      </c>
      <c r="H103" s="156">
        <f>(($E$17+$F$17)*F801ENE!O89)*$L103</f>
        <v>0</v>
      </c>
      <c r="I103" s="156">
        <f>(($E$17+$F$17)*F801ENE!P89)*$L103</f>
        <v>0</v>
      </c>
      <c r="J103" s="156">
        <f t="shared" si="23"/>
        <v>0</v>
      </c>
      <c r="K103" s="69"/>
      <c r="L103" s="319">
        <v>0.95</v>
      </c>
      <c r="M103" s="329"/>
    </row>
    <row r="104" spans="2:28" s="37" customFormat="1" ht="15.75">
      <c r="B104" s="48"/>
      <c r="C104" s="160" t="s">
        <v>307</v>
      </c>
      <c r="D104" s="156">
        <f>(($E$17+$F$17)*F801ENE!K90)*$L104</f>
        <v>0</v>
      </c>
      <c r="E104" s="156">
        <f>(($E$17+$F$17)*F801ENE!L90)*$L104</f>
        <v>0</v>
      </c>
      <c r="F104" s="156">
        <f>(($E$17+$F$17)*F801ENE!M90)*$L104</f>
        <v>0</v>
      </c>
      <c r="G104" s="156">
        <f>(($E$17+$F$17)*F801ENE!N90)*$L104</f>
        <v>0</v>
      </c>
      <c r="H104" s="156">
        <f>(($E$17+$F$17)*F801ENE!O90)*$L104</f>
        <v>0</v>
      </c>
      <c r="I104" s="156">
        <f>(($E$17+$F$17)*F801ENE!P90)*$L104</f>
        <v>0</v>
      </c>
      <c r="J104" s="156">
        <f t="shared" si="23"/>
        <v>0</v>
      </c>
      <c r="K104" s="69"/>
      <c r="L104" s="319">
        <v>0.5</v>
      </c>
      <c r="M104" s="329"/>
    </row>
    <row r="105" spans="2:28" s="37" customFormat="1" ht="15.75">
      <c r="B105" s="48"/>
      <c r="C105" s="160" t="s">
        <v>624</v>
      </c>
      <c r="D105" s="156">
        <f>(($E$17+$F$17)*F801ENE!K91)*$L105</f>
        <v>0</v>
      </c>
      <c r="E105" s="156">
        <f>(($E$17+$F$17)*F801ENE!L91)*$L105</f>
        <v>0</v>
      </c>
      <c r="F105" s="156">
        <f>(($E$17+$F$17)*F801ENE!M91)*$L105</f>
        <v>0</v>
      </c>
      <c r="G105" s="156">
        <f>(($E$17+$F$17)*F801ENE!N91)*$L105</f>
        <v>0</v>
      </c>
      <c r="H105" s="156">
        <f>(($E$17+$F$17)*F801ENE!O91)*$L105</f>
        <v>0</v>
      </c>
      <c r="I105" s="156">
        <f>(($E$17+$F$17)*F801ENE!P91)*$L105</f>
        <v>0</v>
      </c>
      <c r="J105" s="156">
        <f t="shared" si="23"/>
        <v>0</v>
      </c>
      <c r="K105" s="69"/>
      <c r="L105" s="319">
        <v>0</v>
      </c>
      <c r="M105" s="329"/>
    </row>
    <row r="106" spans="2:28" s="37" customFormat="1" ht="15.75">
      <c r="B106" s="48" t="s">
        <v>902</v>
      </c>
      <c r="C106" s="158" t="s">
        <v>899</v>
      </c>
      <c r="D106" s="159">
        <f t="shared" ref="D106:I106" si="24">SUM(D107:D112)</f>
        <v>17387.265194344574</v>
      </c>
      <c r="E106" s="159">
        <f t="shared" si="24"/>
        <v>17394.521646528498</v>
      </c>
      <c r="F106" s="159">
        <f t="shared" si="24"/>
        <v>17065.986006907977</v>
      </c>
      <c r="G106" s="159">
        <f t="shared" si="24"/>
        <v>17334.89572378284</v>
      </c>
      <c r="H106" s="159">
        <f t="shared" si="24"/>
        <v>16583.778675540394</v>
      </c>
      <c r="I106" s="159">
        <f t="shared" si="24"/>
        <v>16661.488106867939</v>
      </c>
      <c r="J106" s="159">
        <f t="shared" si="23"/>
        <v>102427.93535397222</v>
      </c>
      <c r="K106" s="69"/>
      <c r="L106" s="319"/>
      <c r="M106" s="69"/>
    </row>
    <row r="107" spans="2:28" s="37" customFormat="1" ht="15.75">
      <c r="B107" s="48"/>
      <c r="C107" s="160" t="s">
        <v>304</v>
      </c>
      <c r="D107" s="156">
        <f>(($E$17+$F$17)*F801ENE!K93)*$L107</f>
        <v>15794.089832964912</v>
      </c>
      <c r="E107" s="156">
        <f>(($E$17+$F$17)*F801ENE!L93)*$L107</f>
        <v>15800.681384677069</v>
      </c>
      <c r="F107" s="156">
        <f>(($E$17+$F$17)*F801ENE!M93)*$L107</f>
        <v>15502.249092565662</v>
      </c>
      <c r="G107" s="156">
        <f>(($E$17+$F$17)*F801ENE!N93)*$L107</f>
        <v>15746.51891750974</v>
      </c>
      <c r="H107" s="156">
        <f>(($E$17+$F$17)*F801ENE!O93)*$L107</f>
        <v>15064.225871282359</v>
      </c>
      <c r="I107" s="156">
        <f>(($E$17+$F$17)*F801ENE!P93)*$L107</f>
        <v>15134.814875679387</v>
      </c>
      <c r="J107" s="156">
        <f t="shared" si="23"/>
        <v>93042.579974679116</v>
      </c>
      <c r="K107" s="69"/>
      <c r="L107" s="319">
        <v>1</v>
      </c>
      <c r="M107" s="329"/>
    </row>
    <row r="108" spans="2:28" s="37" customFormat="1" ht="15.75">
      <c r="B108" s="48"/>
      <c r="C108" s="162" t="s">
        <v>642</v>
      </c>
      <c r="D108" s="156">
        <f>(($E$17+$F$17)*F801ENE!K94)*$L108</f>
        <v>1444.7018474014565</v>
      </c>
      <c r="E108" s="156">
        <f>(($E$17+$F$17)*F801ENE!L94)*$L108</f>
        <v>1445.3047835020175</v>
      </c>
      <c r="F108" s="156">
        <f>(($E$17+$F$17)*F801ENE!M94)*$L108</f>
        <v>1418.0068709095658</v>
      </c>
      <c r="G108" s="156">
        <f>(($E$17+$F$17)*F801ENE!N94)*$L108</f>
        <v>1440.3504862171465</v>
      </c>
      <c r="H108" s="156">
        <f>(($E$17+$F$17)*F801ENE!O94)*$L108</f>
        <v>1377.9404306344231</v>
      </c>
      <c r="I108" s="156">
        <f>(($E$17+$F$17)*F801ENE!P94)*$L108</f>
        <v>1384.3972803888021</v>
      </c>
      <c r="J108" s="156">
        <f t="shared" si="23"/>
        <v>8510.7016990534121</v>
      </c>
      <c r="K108" s="69"/>
      <c r="L108" s="319">
        <v>0.75</v>
      </c>
      <c r="M108" s="329"/>
    </row>
    <row r="109" spans="2:28" s="37" customFormat="1" ht="15.75">
      <c r="B109" s="48"/>
      <c r="C109" s="162" t="s">
        <v>1177</v>
      </c>
      <c r="D109" s="156">
        <f>(($E$17+$F$17)*F801ENE!K95)*$L109</f>
        <v>148.47351397820569</v>
      </c>
      <c r="E109" s="156">
        <f>(($E$17+$F$17)*F801ENE!L95)*$L109</f>
        <v>148.53547834941182</v>
      </c>
      <c r="F109" s="156">
        <f>(($E$17+$F$17)*F801ENE!M95)*$L109</f>
        <v>145.73004343274633</v>
      </c>
      <c r="G109" s="156">
        <f>(($E$17+$F$17)*F801ENE!N95)*$L109</f>
        <v>148.02632005595456</v>
      </c>
      <c r="H109" s="156">
        <f>(($E$17+$F$17)*F801ENE!O95)*$L109</f>
        <v>141.6123736236101</v>
      </c>
      <c r="I109" s="156">
        <f>(($E$17+$F$17)*F801ENE!P95)*$L109</f>
        <v>142.27595079974947</v>
      </c>
      <c r="J109" s="156">
        <f t="shared" si="23"/>
        <v>874.65368023967801</v>
      </c>
      <c r="K109" s="69"/>
      <c r="L109" s="319">
        <v>1</v>
      </c>
      <c r="M109" s="329"/>
    </row>
    <row r="110" spans="2:28" s="37" customFormat="1" ht="15.75">
      <c r="B110" s="48"/>
      <c r="C110" s="160" t="s">
        <v>305</v>
      </c>
      <c r="D110" s="156">
        <f>(($E$17+$F$17)*F801ENE!K96)*$L110</f>
        <v>0</v>
      </c>
      <c r="E110" s="156">
        <f>(($E$17+$F$17)*F801ENE!L96)*$L110</f>
        <v>0</v>
      </c>
      <c r="F110" s="156">
        <f>(($E$17+$F$17)*F801ENE!M96)*$L110</f>
        <v>0</v>
      </c>
      <c r="G110" s="156">
        <f>(($E$17+$F$17)*F801ENE!N96)*$L110</f>
        <v>0</v>
      </c>
      <c r="H110" s="156">
        <f>(($E$17+$F$17)*F801ENE!O96)*$L110</f>
        <v>0</v>
      </c>
      <c r="I110" s="156">
        <f>(($E$17+$F$17)*F801ENE!P96)*$L110</f>
        <v>0</v>
      </c>
      <c r="J110" s="156">
        <f t="shared" si="23"/>
        <v>0</v>
      </c>
      <c r="K110" s="69"/>
      <c r="L110" s="319">
        <v>0.95</v>
      </c>
      <c r="M110" s="329"/>
    </row>
    <row r="111" spans="2:28" s="37" customFormat="1" ht="15.75">
      <c r="B111" s="48"/>
      <c r="C111" s="160" t="s">
        <v>307</v>
      </c>
      <c r="D111" s="156">
        <f>(($E$17+$F$17)*F801ENE!K97)*$L111</f>
        <v>0</v>
      </c>
      <c r="E111" s="156">
        <f>(($E$17+$F$17)*F801ENE!L97)*$L111</f>
        <v>0</v>
      </c>
      <c r="F111" s="156">
        <f>(($E$17+$F$17)*F801ENE!M97)*$L111</f>
        <v>0</v>
      </c>
      <c r="G111" s="156">
        <f>(($E$17+$F$17)*F801ENE!N97)*$L111</f>
        <v>0</v>
      </c>
      <c r="H111" s="156">
        <f>(($E$17+$F$17)*F801ENE!O97)*$L111</f>
        <v>0</v>
      </c>
      <c r="I111" s="156">
        <f>(($E$17+$F$17)*F801ENE!P97)*$L111</f>
        <v>0</v>
      </c>
      <c r="J111" s="156">
        <f t="shared" si="23"/>
        <v>0</v>
      </c>
      <c r="K111" s="69"/>
      <c r="L111" s="319">
        <v>0.5</v>
      </c>
      <c r="M111" s="329"/>
    </row>
    <row r="112" spans="2:28" s="37" customFormat="1" ht="15.75">
      <c r="B112" s="48"/>
      <c r="C112" s="160" t="s">
        <v>624</v>
      </c>
      <c r="D112" s="156">
        <f>(($E$17+$F$17)*F801ENE!K98)*$L112</f>
        <v>0</v>
      </c>
      <c r="E112" s="156">
        <f>($E$17*F801ENE!L98+$F$17*F801ENE!L98)*$L112</f>
        <v>0</v>
      </c>
      <c r="F112" s="156">
        <f>($E$17*F801ENE!M98+$F$17*F801ENE!M98)*$L112</f>
        <v>0</v>
      </c>
      <c r="G112" s="156">
        <f>($E$17*F801ENE!N98+$F$17*F801ENE!N98)*$L112</f>
        <v>0</v>
      </c>
      <c r="H112" s="156">
        <f>($E$17*F801ENE!O98+$F$17*F801ENE!O98)*$L112</f>
        <v>0</v>
      </c>
      <c r="I112" s="156">
        <f>($E$17*F801ENE!P98+$F$17*F801ENE!P98)*$L112</f>
        <v>0</v>
      </c>
      <c r="J112" s="156">
        <f t="shared" si="23"/>
        <v>0</v>
      </c>
      <c r="K112" s="69"/>
      <c r="L112" s="319">
        <v>0</v>
      </c>
      <c r="M112" s="329"/>
    </row>
    <row r="113" spans="2:13" s="37" customFormat="1" ht="15.75">
      <c r="B113" s="48" t="s">
        <v>902</v>
      </c>
      <c r="C113" s="158" t="s">
        <v>900</v>
      </c>
      <c r="D113" s="159">
        <f t="shared" ref="D113:I113" si="25">SUM(D114:D119)</f>
        <v>1922.7727633438728</v>
      </c>
      <c r="E113" s="159">
        <f t="shared" si="25"/>
        <v>1923.5752189607738</v>
      </c>
      <c r="F113" s="159">
        <f t="shared" si="25"/>
        <v>1887.2440666726288</v>
      </c>
      <c r="G113" s="159">
        <f t="shared" si="25"/>
        <v>1916.9814792919337</v>
      </c>
      <c r="H113" s="159">
        <f t="shared" si="25"/>
        <v>1833.919112306608</v>
      </c>
      <c r="I113" s="159">
        <f t="shared" si="25"/>
        <v>1842.5126188955655</v>
      </c>
      <c r="J113" s="159">
        <f t="shared" si="23"/>
        <v>11327.005259471383</v>
      </c>
      <c r="K113" s="69"/>
      <c r="L113" s="319"/>
      <c r="M113" s="69"/>
    </row>
    <row r="114" spans="2:13" s="37" customFormat="1" ht="15.75">
      <c r="B114" s="48"/>
      <c r="C114" s="160" t="s">
        <v>304</v>
      </c>
      <c r="D114" s="156">
        <f>(($E$17+$F$17)*F801ENE!K100)*$L114</f>
        <v>1867.9819804277943</v>
      </c>
      <c r="E114" s="156">
        <f>(($E$17+$F$17)*F801ENE!L100)*$L114</f>
        <v>1868.7615694988697</v>
      </c>
      <c r="F114" s="156">
        <f>(($E$17+$F$17)*F801ENE!M100)*$L114</f>
        <v>1833.4656993387327</v>
      </c>
      <c r="G114" s="156">
        <f>(($E$17+$F$17)*F801ENE!N100)*$L114</f>
        <v>1862.3557231503885</v>
      </c>
      <c r="H114" s="156">
        <f>(($E$17+$F$17)*F801ENE!O100)*$L114</f>
        <v>1781.6602776259608</v>
      </c>
      <c r="I114" s="156">
        <f>(($E$17+$F$17)*F801ENE!P100)*$L114</f>
        <v>1790.0089061081655</v>
      </c>
      <c r="J114" s="156">
        <f t="shared" si="23"/>
        <v>11004.234156149911</v>
      </c>
      <c r="K114" s="69"/>
      <c r="L114" s="319">
        <v>1</v>
      </c>
      <c r="M114" s="329"/>
    </row>
    <row r="115" spans="2:13" s="37" customFormat="1" ht="15.75">
      <c r="B115" s="48"/>
      <c r="C115" s="162" t="s">
        <v>642</v>
      </c>
      <c r="D115" s="156">
        <f>(($E$17+$F$17)*F801ENE!K101)*$L115</f>
        <v>54.790782916078491</v>
      </c>
      <c r="E115" s="156">
        <f>(($E$17+$F$17)*F801ENE!L101)*$L115</f>
        <v>54.813649461904191</v>
      </c>
      <c r="F115" s="156">
        <f>(($E$17+$F$17)*F801ENE!M101)*$L115</f>
        <v>53.778367333896043</v>
      </c>
      <c r="G115" s="156">
        <f>(($E$17+$F$17)*F801ENE!N101)*$L115</f>
        <v>54.625756141545182</v>
      </c>
      <c r="H115" s="156">
        <f>(($E$17+$F$17)*F801ENE!O101)*$L115</f>
        <v>52.258834680647269</v>
      </c>
      <c r="I115" s="156">
        <f>(($E$17+$F$17)*F801ENE!P101)*$L115</f>
        <v>52.50371278740004</v>
      </c>
      <c r="J115" s="156">
        <f t="shared" si="23"/>
        <v>322.77110332147123</v>
      </c>
      <c r="K115" s="69"/>
      <c r="L115" s="319">
        <v>0.75</v>
      </c>
      <c r="M115" s="329"/>
    </row>
    <row r="116" spans="2:13" s="37" customFormat="1" ht="15.75">
      <c r="B116" s="48"/>
      <c r="C116" s="162" t="s">
        <v>1177</v>
      </c>
      <c r="D116" s="156">
        <f>(($E$17+$F$17)*F801ENE!K102)*$L116</f>
        <v>0</v>
      </c>
      <c r="E116" s="156">
        <f>(($E$17+$F$17)*F801ENE!L102)*$L116</f>
        <v>0</v>
      </c>
      <c r="F116" s="156">
        <f>(($E$17+$F$17)*F801ENE!M102)*$L116</f>
        <v>0</v>
      </c>
      <c r="G116" s="156">
        <f>(($E$17+$F$17)*F801ENE!N102)*$L116</f>
        <v>0</v>
      </c>
      <c r="H116" s="156">
        <f>(($E$17+$F$17)*F801ENE!O102)*$L116</f>
        <v>0</v>
      </c>
      <c r="I116" s="156">
        <f>(($E$17+$F$17)*F801ENE!P102)*$L116</f>
        <v>0</v>
      </c>
      <c r="J116" s="156">
        <f t="shared" si="23"/>
        <v>0</v>
      </c>
      <c r="K116" s="69"/>
      <c r="L116" s="319">
        <v>1</v>
      </c>
      <c r="M116" s="329"/>
    </row>
    <row r="117" spans="2:13" s="37" customFormat="1" ht="15.75">
      <c r="B117" s="48"/>
      <c r="C117" s="160" t="s">
        <v>305</v>
      </c>
      <c r="D117" s="156">
        <f>(($E$17+$F$17)*F801ENE!K103)*$L117</f>
        <v>0</v>
      </c>
      <c r="E117" s="156">
        <f>(($E$17+$F$17)*F801ENE!L103)*$L117</f>
        <v>0</v>
      </c>
      <c r="F117" s="156">
        <f>(($E$17+$F$17)*F801ENE!M103)*$L117</f>
        <v>0</v>
      </c>
      <c r="G117" s="156">
        <f>(($E$17+$F$17)*F801ENE!N103)*$L117</f>
        <v>0</v>
      </c>
      <c r="H117" s="156">
        <f>(($E$17+$F$17)*F801ENE!O103)*$L117</f>
        <v>0</v>
      </c>
      <c r="I117" s="156">
        <f>(($E$17+$F$17)*F801ENE!P103)*$L117</f>
        <v>0</v>
      </c>
      <c r="J117" s="156">
        <f t="shared" si="23"/>
        <v>0</v>
      </c>
      <c r="K117" s="69"/>
      <c r="L117" s="319">
        <v>0.95</v>
      </c>
      <c r="M117" s="329"/>
    </row>
    <row r="118" spans="2:13" s="37" customFormat="1" ht="15.75">
      <c r="B118" s="48"/>
      <c r="C118" s="160" t="s">
        <v>307</v>
      </c>
      <c r="D118" s="156">
        <f>(($E$17+$F$17)*F801ENE!K104)*$L118</f>
        <v>0</v>
      </c>
      <c r="E118" s="156">
        <f>(($E$17+$F$17)*F801ENE!L104)*$L118</f>
        <v>0</v>
      </c>
      <c r="F118" s="156">
        <f>(($E$17+$F$17)*F801ENE!M104)*$L118</f>
        <v>0</v>
      </c>
      <c r="G118" s="156">
        <f>(($E$17+$F$17)*F801ENE!N104)*$L118</f>
        <v>0</v>
      </c>
      <c r="H118" s="156">
        <f>(($E$17+$F$17)*F801ENE!O104)*$L118</f>
        <v>0</v>
      </c>
      <c r="I118" s="156">
        <f>(($E$17+$F$17)*F801ENE!P104)*$L118</f>
        <v>0</v>
      </c>
      <c r="J118" s="156">
        <f t="shared" si="23"/>
        <v>0</v>
      </c>
      <c r="K118" s="69"/>
      <c r="L118" s="319">
        <v>0.5</v>
      </c>
      <c r="M118" s="329"/>
    </row>
    <row r="119" spans="2:13" s="37" customFormat="1" ht="15.75">
      <c r="B119" s="48"/>
      <c r="C119" s="160" t="s">
        <v>624</v>
      </c>
      <c r="D119" s="156">
        <f>(($E$17+$F$17)*F801ENE!K105)*$L119</f>
        <v>0</v>
      </c>
      <c r="E119" s="156">
        <f>(($E$17+$F$17)*F801ENE!L105)*$L119</f>
        <v>0</v>
      </c>
      <c r="F119" s="156">
        <f>(($E$17+$F$17)*F801ENE!M105)*$L119</f>
        <v>0</v>
      </c>
      <c r="G119" s="156">
        <f>(($E$17+$F$17)*F801ENE!N105)*$L119</f>
        <v>0</v>
      </c>
      <c r="H119" s="156">
        <f>(($E$17+$F$17)*F801ENE!O105)*$L119</f>
        <v>0</v>
      </c>
      <c r="I119" s="156">
        <f>(($E$17+$F$17)*F801ENE!P105)*$L119</f>
        <v>0</v>
      </c>
      <c r="J119" s="156">
        <f t="shared" si="23"/>
        <v>0</v>
      </c>
      <c r="K119" s="69"/>
      <c r="L119" s="319">
        <v>0</v>
      </c>
      <c r="M119" s="329"/>
    </row>
    <row r="120" spans="2:13" s="37" customFormat="1" ht="15.75">
      <c r="B120" s="48"/>
      <c r="C120" s="157"/>
      <c r="D120" s="156"/>
      <c r="E120" s="156"/>
      <c r="F120" s="156"/>
      <c r="G120" s="156"/>
      <c r="H120" s="156"/>
      <c r="I120" s="156"/>
      <c r="J120" s="156"/>
      <c r="K120" s="69"/>
      <c r="L120" s="319"/>
      <c r="M120" s="69"/>
    </row>
    <row r="121" spans="2:13" s="37" customFormat="1" ht="15.75">
      <c r="B121" s="48"/>
      <c r="C121" s="153" t="s">
        <v>112</v>
      </c>
      <c r="D121" s="154">
        <f t="shared" ref="D121:I121" si="26">D44+D34+D30</f>
        <v>7425763.3045433965</v>
      </c>
      <c r="E121" s="154">
        <f t="shared" si="26"/>
        <v>7428862.3848315803</v>
      </c>
      <c r="F121" s="154">
        <f t="shared" si="26"/>
        <v>7288551.6242964435</v>
      </c>
      <c r="G121" s="154">
        <f t="shared" si="26"/>
        <v>7403397.3893817216</v>
      </c>
      <c r="H121" s="154">
        <f t="shared" si="26"/>
        <v>7082610.870112353</v>
      </c>
      <c r="I121" s="154">
        <f t="shared" si="26"/>
        <v>7115798.9571732115</v>
      </c>
      <c r="J121" s="154">
        <f>SUM(D121:I121)</f>
        <v>43744984.530338705</v>
      </c>
      <c r="K121" s="69"/>
      <c r="L121" s="319"/>
    </row>
    <row r="122" spans="2:13">
      <c r="C122" s="48"/>
      <c r="D122" s="48"/>
      <c r="E122" s="48"/>
      <c r="F122" s="48"/>
      <c r="G122" s="48"/>
      <c r="H122" s="48"/>
      <c r="I122" s="48"/>
      <c r="J122" s="48"/>
    </row>
    <row r="123" spans="2:13" s="69" customFormat="1" ht="31.5" customHeight="1">
      <c r="B123" s="48"/>
      <c r="C123" s="320" t="s">
        <v>1458</v>
      </c>
      <c r="D123" s="320"/>
      <c r="E123" s="320"/>
      <c r="F123" s="320"/>
      <c r="G123" s="320"/>
      <c r="H123" s="320"/>
      <c r="I123" s="320"/>
      <c r="J123" s="321"/>
      <c r="L123" s="319"/>
    </row>
    <row r="124" spans="2:13" s="37" customFormat="1" ht="15.75">
      <c r="B124" s="48"/>
      <c r="C124" s="150" t="s">
        <v>310</v>
      </c>
      <c r="D124" s="151">
        <f t="shared" ref="D124:I124" si="27">D$29</f>
        <v>46204</v>
      </c>
      <c r="E124" s="151">
        <f t="shared" si="27"/>
        <v>46235</v>
      </c>
      <c r="F124" s="151">
        <f t="shared" si="27"/>
        <v>46266</v>
      </c>
      <c r="G124" s="151">
        <f t="shared" si="27"/>
        <v>46296</v>
      </c>
      <c r="H124" s="151">
        <f t="shared" si="27"/>
        <v>46327</v>
      </c>
      <c r="I124" s="151">
        <f t="shared" si="27"/>
        <v>46357</v>
      </c>
      <c r="J124" s="152" t="s">
        <v>111</v>
      </c>
      <c r="K124" s="69"/>
      <c r="L124" s="319"/>
    </row>
    <row r="125" spans="2:13" s="37" customFormat="1" ht="15.75" customHeight="1">
      <c r="B125" s="48"/>
      <c r="C125" s="153" t="s">
        <v>446</v>
      </c>
      <c r="D125" s="154">
        <f t="shared" ref="D125:I125" si="28">SUM(D126:D127)</f>
        <v>1089059.0768739819</v>
      </c>
      <c r="E125" s="154">
        <f t="shared" si="28"/>
        <v>1089513.5853180229</v>
      </c>
      <c r="F125" s="154">
        <f t="shared" si="28"/>
        <v>1068935.7301084551</v>
      </c>
      <c r="G125" s="154">
        <f t="shared" si="28"/>
        <v>1085778.911033022</v>
      </c>
      <c r="H125" s="154">
        <f t="shared" si="28"/>
        <v>1038732.6365952656</v>
      </c>
      <c r="I125" s="154">
        <f t="shared" si="28"/>
        <v>1043599.9728395863</v>
      </c>
      <c r="J125" s="154">
        <f>SUM(D125:I125)</f>
        <v>6415619.9127683342</v>
      </c>
      <c r="K125" s="69"/>
      <c r="L125" s="319"/>
    </row>
    <row r="126" spans="2:13" s="37" customFormat="1" ht="15.75" customHeight="1">
      <c r="B126" s="48" t="s">
        <v>279</v>
      </c>
      <c r="C126" s="155" t="s">
        <v>279</v>
      </c>
      <c r="D126" s="156">
        <f>$H$7*F801ENE!R6+$I$7*F801ENE!Y6</f>
        <v>1089024.2286471976</v>
      </c>
      <c r="E126" s="156">
        <f>$H$7*F801ENE!S6+$I$7*F801ENE!Z6</f>
        <v>1089478.7370912386</v>
      </c>
      <c r="F126" s="156">
        <f>$H$7*F801ENE!T6+$I$7*F801ENE!AA6</f>
        <v>1068900.8818816708</v>
      </c>
      <c r="G126" s="156">
        <f>$H$7*F801ENE!U6+$I$7*F801ENE!AB6</f>
        <v>1085744.0628062377</v>
      </c>
      <c r="H126" s="156">
        <f>$H$7*F801ENE!V6+$I$7*F801ENE!AC6</f>
        <v>1038697.7883684814</v>
      </c>
      <c r="I126" s="156">
        <f>$H$7*F801ENE!W6+$I$7*F801ENE!AD6</f>
        <v>1043565.1246128022</v>
      </c>
      <c r="J126" s="156">
        <f>SUM(D126:I126)</f>
        <v>6415410.8234076276</v>
      </c>
      <c r="K126" s="69"/>
      <c r="L126" s="319"/>
    </row>
    <row r="127" spans="2:13" s="37" customFormat="1" ht="15.75" customHeight="1">
      <c r="B127" s="48" t="s">
        <v>278</v>
      </c>
      <c r="C127" s="155" t="s">
        <v>278</v>
      </c>
      <c r="D127" s="156">
        <f>$F$8*F801ENE!R7</f>
        <v>34.848226784182685</v>
      </c>
      <c r="E127" s="156">
        <f>$F$8*F801ENE!S7</f>
        <v>34.848226784182685</v>
      </c>
      <c r="F127" s="156">
        <f>$F$8*F801ENE!T7</f>
        <v>34.848226784182685</v>
      </c>
      <c r="G127" s="156">
        <f>$F$8*F801ENE!U7</f>
        <v>34.848226784182685</v>
      </c>
      <c r="H127" s="156">
        <f>$F$8*F801ENE!V7</f>
        <v>34.848226784182685</v>
      </c>
      <c r="I127" s="156">
        <f>$F$8*F801ENE!W7</f>
        <v>34.848226784182685</v>
      </c>
      <c r="J127" s="156">
        <f>SUM(D127:I127)</f>
        <v>209.08936070509611</v>
      </c>
      <c r="K127" s="69"/>
      <c r="L127" s="319"/>
    </row>
    <row r="128" spans="2:13" s="37" customFormat="1" ht="15.75" customHeight="1">
      <c r="B128" s="48"/>
      <c r="C128" s="157"/>
      <c r="D128" s="156"/>
      <c r="E128" s="156"/>
      <c r="F128" s="156"/>
      <c r="G128" s="156"/>
      <c r="H128" s="156"/>
      <c r="I128" s="156"/>
      <c r="J128" s="156"/>
      <c r="K128" s="69"/>
      <c r="L128" s="319"/>
    </row>
    <row r="129" spans="2:12" s="37" customFormat="1" ht="15.75" customHeight="1">
      <c r="B129" s="48"/>
      <c r="C129" s="153" t="s">
        <v>630</v>
      </c>
      <c r="D129" s="154">
        <f>D130+D133</f>
        <v>1848870.1397173011</v>
      </c>
      <c r="E129" s="154">
        <f t="shared" ref="E129:I129" si="29">E130+E133</f>
        <v>1849641.752596796</v>
      </c>
      <c r="F129" s="154">
        <f t="shared" si="29"/>
        <v>1814707.0042543781</v>
      </c>
      <c r="G129" s="154">
        <f t="shared" si="29"/>
        <v>1843301.446235483</v>
      </c>
      <c r="H129" s="154">
        <f t="shared" si="29"/>
        <v>1763431.6181512042</v>
      </c>
      <c r="I129" s="154">
        <f t="shared" si="29"/>
        <v>1771694.8295044564</v>
      </c>
      <c r="J129" s="154">
        <f t="shared" ref="J129:J137" si="30">SUM(D129:I129)</f>
        <v>10891646.79045962</v>
      </c>
      <c r="K129" s="69"/>
      <c r="L129" s="319"/>
    </row>
    <row r="130" spans="2:12" s="37" customFormat="1" ht="15.75" customHeight="1">
      <c r="B130" s="48" t="s">
        <v>277</v>
      </c>
      <c r="C130" s="155" t="s">
        <v>277</v>
      </c>
      <c r="D130" s="154">
        <f>SUM(D131:D132)</f>
        <v>208481.13473595559</v>
      </c>
      <c r="E130" s="154">
        <f t="shared" ref="E130:I130" si="31">SUM(E131:E132)</f>
        <v>208568.14286337252</v>
      </c>
      <c r="F130" s="154">
        <f t="shared" si="31"/>
        <v>204628.85268842493</v>
      </c>
      <c r="G130" s="154">
        <f t="shared" si="31"/>
        <v>207853.20121528994</v>
      </c>
      <c r="H130" s="154">
        <f t="shared" si="31"/>
        <v>198846.96977021825</v>
      </c>
      <c r="I130" s="154">
        <f t="shared" si="31"/>
        <v>199778.74082459442</v>
      </c>
      <c r="J130" s="154">
        <f t="shared" si="30"/>
        <v>1228157.0420978556</v>
      </c>
      <c r="K130" s="69"/>
      <c r="L130" s="319"/>
    </row>
    <row r="131" spans="2:12" s="37" customFormat="1" ht="15.75" customHeight="1">
      <c r="B131" s="48"/>
      <c r="C131" s="160" t="s">
        <v>304</v>
      </c>
      <c r="D131" s="156">
        <f>$H$9*F801ENE!R11+$I$9*F801ENE!Y11</f>
        <v>181770.1577855653</v>
      </c>
      <c r="E131" s="156">
        <f>$H$9*F801ENE!S11+$I$9*F801ENE!Z11</f>
        <v>181846.01827562466</v>
      </c>
      <c r="F131" s="156">
        <f>$H$9*F801ENE!T11+$I$9*F801ENE!AA11</f>
        <v>178411.4370240873</v>
      </c>
      <c r="G131" s="156">
        <f>$H$9*F801ENE!U11+$I$9*F801ENE!AB11</f>
        <v>181222.67623393808</v>
      </c>
      <c r="H131" s="156">
        <f>$H$9*F801ENE!V11+$I$9*F801ENE!AC11</f>
        <v>173370.33931675195</v>
      </c>
      <c r="I131" s="156">
        <f>$H$9*F801ENE!W11+$I$9*F801ENE!AD11</f>
        <v>174182.73019225485</v>
      </c>
      <c r="J131" s="156">
        <f t="shared" si="30"/>
        <v>1070803.3588282221</v>
      </c>
      <c r="K131" s="69"/>
      <c r="L131" s="319"/>
    </row>
    <row r="132" spans="2:12" s="37" customFormat="1" ht="15.75" customHeight="1">
      <c r="B132" s="48"/>
      <c r="C132" s="160" t="s">
        <v>305</v>
      </c>
      <c r="D132" s="156">
        <f>($H$9*F801ENE!R12+$I$9*F801ENE!Y12)*$L132</f>
        <v>26710.976950390293</v>
      </c>
      <c r="E132" s="156">
        <f>($H$9*F801ENE!S12+$I$9*F801ENE!Z12)*$L132</f>
        <v>26722.124587747854</v>
      </c>
      <c r="F132" s="156">
        <f>($H$9*F801ENE!T12+$I$9*F801ENE!AA12)*$L132</f>
        <v>26217.415664337645</v>
      </c>
      <c r="G132" s="156">
        <f>($H$9*F801ENE!U12+$I$9*F801ENE!AB12)*$L132</f>
        <v>26630.524981351846</v>
      </c>
      <c r="H132" s="156">
        <f>($H$9*F801ENE!V12+$I$9*F801ENE!AC12)*$L132</f>
        <v>25476.630453466285</v>
      </c>
      <c r="I132" s="156">
        <f>($H$9*F801ENE!W12+$I$9*F801ENE!AD12)*$L132</f>
        <v>25596.010632339574</v>
      </c>
      <c r="J132" s="156">
        <f t="shared" si="30"/>
        <v>157353.6832696335</v>
      </c>
      <c r="K132" s="69"/>
      <c r="L132" s="319">
        <v>0.95</v>
      </c>
    </row>
    <row r="133" spans="2:12" s="37" customFormat="1" ht="15.75" customHeight="1">
      <c r="B133" s="48" t="s">
        <v>276</v>
      </c>
      <c r="C133" s="158" t="s">
        <v>276</v>
      </c>
      <c r="D133" s="159">
        <f t="shared" ref="D133:I133" si="32">SUM(D134:D137)</f>
        <v>1640389.0049813455</v>
      </c>
      <c r="E133" s="159">
        <f t="shared" si="32"/>
        <v>1641073.6097334235</v>
      </c>
      <c r="F133" s="159">
        <f t="shared" si="32"/>
        <v>1610078.1515659532</v>
      </c>
      <c r="G133" s="159">
        <f t="shared" si="32"/>
        <v>1635448.245020193</v>
      </c>
      <c r="H133" s="159">
        <f t="shared" si="32"/>
        <v>1564584.6483809859</v>
      </c>
      <c r="I133" s="159">
        <f t="shared" si="32"/>
        <v>1571916.088679862</v>
      </c>
      <c r="J133" s="159">
        <f t="shared" si="30"/>
        <v>9663489.7483617626</v>
      </c>
      <c r="K133" s="69"/>
      <c r="L133" s="319"/>
    </row>
    <row r="134" spans="2:12" s="37" customFormat="1" ht="15.75" customHeight="1">
      <c r="B134" s="48"/>
      <c r="C134" s="160" t="s">
        <v>304</v>
      </c>
      <c r="D134" s="156">
        <f>$F$10*(F801ENE!R15+F801ENE!Y15)*$L134</f>
        <v>1633994.0310619352</v>
      </c>
      <c r="E134" s="156">
        <f>$F$10*(F801ENE!S15+F801ENE!Z15)*$L134</f>
        <v>1634675.9669168666</v>
      </c>
      <c r="F134" s="156">
        <f>$F$10*(F801ENE!T15+F801ENE!AA15)*$L134</f>
        <v>1603801.3429820077</v>
      </c>
      <c r="G134" s="156">
        <f>$F$10*(F801ENE!U15+F801ENE!AB15)*$L134</f>
        <v>1629072.5324046549</v>
      </c>
      <c r="H134" s="156">
        <f>$F$10*(F801ENE!V15+F801ENE!AC15)*$L134</f>
        <v>1558485.1939279735</v>
      </c>
      <c r="I134" s="156">
        <f>$F$10*(F801ENE!W15+F801ENE!AD15)*$L134</f>
        <v>1565788.0529760849</v>
      </c>
      <c r="J134" s="156">
        <f t="shared" si="30"/>
        <v>9625817.1202695221</v>
      </c>
      <c r="K134" s="69"/>
      <c r="L134" s="319">
        <v>1</v>
      </c>
    </row>
    <row r="135" spans="2:12" s="37" customFormat="1" ht="15.75" customHeight="1">
      <c r="B135" s="48"/>
      <c r="C135" s="161" t="s">
        <v>306</v>
      </c>
      <c r="D135" s="156">
        <f>$F$10*(F801ENE!R16+F801ENE!Y16)*$L135</f>
        <v>0</v>
      </c>
      <c r="E135" s="156">
        <f>$F$10*(F801ENE!S16+F801ENE!Z16)*$L135</f>
        <v>0</v>
      </c>
      <c r="F135" s="156">
        <f>$F$10*(F801ENE!T16+F801ENE!AA16)*$L135</f>
        <v>0</v>
      </c>
      <c r="G135" s="156">
        <f>$F$10*(F801ENE!U16+F801ENE!AB16)*$L135</f>
        <v>0</v>
      </c>
      <c r="H135" s="156">
        <f>$F$10*(F801ENE!V16+F801ENE!AC16)*$L135</f>
        <v>0</v>
      </c>
      <c r="I135" s="156">
        <f>$F$10*(F801ENE!W16+F801ENE!AD16)*$L135</f>
        <v>0</v>
      </c>
      <c r="J135" s="156">
        <f t="shared" si="30"/>
        <v>0</v>
      </c>
      <c r="K135" s="69"/>
      <c r="L135" s="319">
        <v>1</v>
      </c>
    </row>
    <row r="136" spans="2:12" s="37" customFormat="1" ht="15.75" customHeight="1">
      <c r="B136" s="48"/>
      <c r="C136" s="160" t="s">
        <v>305</v>
      </c>
      <c r="D136" s="156">
        <f>$F$10*(F801ENE!R17+F801ENE!Y17)*$L136</f>
        <v>6394.973919410354</v>
      </c>
      <c r="E136" s="156">
        <f>$F$10*(F801ENE!S17+F801ENE!Z17)*$L136</f>
        <v>6397.6428165569123</v>
      </c>
      <c r="F136" s="156">
        <f>$F$10*(F801ENE!T17+F801ENE!AA17)*$L136</f>
        <v>6276.8085839454825</v>
      </c>
      <c r="G136" s="156">
        <f>$F$10*(F801ENE!U17+F801ENE!AB17)*$L136</f>
        <v>6375.7126155381075</v>
      </c>
      <c r="H136" s="156">
        <f>$F$10*(F801ENE!V17+F801ENE!AC17)*$L136</f>
        <v>6099.4544530125067</v>
      </c>
      <c r="I136" s="156">
        <f>$F$10*(F801ENE!W17+F801ENE!AD17)*$L136</f>
        <v>6128.0357037772055</v>
      </c>
      <c r="J136" s="156">
        <f t="shared" si="30"/>
        <v>37672.628092240571</v>
      </c>
      <c r="K136" s="69"/>
      <c r="L136" s="319">
        <v>0.95</v>
      </c>
    </row>
    <row r="137" spans="2:12" s="37" customFormat="1" ht="15.75" customHeight="1">
      <c r="B137" s="48"/>
      <c r="C137" s="160" t="s">
        <v>307</v>
      </c>
      <c r="D137" s="156">
        <f>$F$10*(F801ENE!R18+F801ENE!Y18)*$L137</f>
        <v>0</v>
      </c>
      <c r="E137" s="156">
        <f>$F$10*(F801ENE!S18+F801ENE!Z18)*$L137</f>
        <v>0</v>
      </c>
      <c r="F137" s="156">
        <f>$F$10*(F801ENE!T18+F801ENE!AA18)*$L137</f>
        <v>0</v>
      </c>
      <c r="G137" s="156">
        <f>$F$10*(F801ENE!U18+F801ENE!AB18)*$L137</f>
        <v>0</v>
      </c>
      <c r="H137" s="156">
        <f>$F$10*(F801ENE!V18+F801ENE!AC18)*$L137</f>
        <v>0</v>
      </c>
      <c r="I137" s="156">
        <f>$F$10*(F801ENE!W18+F801ENE!AD18)*$L137</f>
        <v>0</v>
      </c>
      <c r="J137" s="156">
        <f t="shared" si="30"/>
        <v>0</v>
      </c>
      <c r="K137" s="69"/>
      <c r="L137" s="319">
        <v>0.5</v>
      </c>
    </row>
    <row r="138" spans="2:12" s="37" customFormat="1" ht="15.75" customHeight="1">
      <c r="B138" s="48"/>
      <c r="C138" s="157"/>
      <c r="D138" s="157"/>
      <c r="E138" s="157"/>
      <c r="F138" s="157"/>
      <c r="G138" s="157"/>
      <c r="H138" s="157"/>
      <c r="I138" s="157"/>
      <c r="J138" s="157"/>
      <c r="K138" s="69"/>
      <c r="L138" s="319"/>
    </row>
    <row r="139" spans="2:12" s="37" customFormat="1" ht="15.75" customHeight="1">
      <c r="B139" s="48"/>
      <c r="C139" s="153" t="s">
        <v>443</v>
      </c>
      <c r="D139" s="154">
        <f t="shared" ref="D139:I139" si="33">D140+D144+D151+D156+D161+D174+D180+D187+D195+D201+D208+D167</f>
        <v>14808431.466318384</v>
      </c>
      <c r="E139" s="154">
        <f t="shared" si="33"/>
        <v>14814611.660623141</v>
      </c>
      <c r="F139" s="154">
        <f t="shared" si="33"/>
        <v>14534803.561923033</v>
      </c>
      <c r="G139" s="154">
        <f t="shared" si="33"/>
        <v>14763829.297723416</v>
      </c>
      <c r="H139" s="154">
        <f t="shared" si="33"/>
        <v>14124115.952125017</v>
      </c>
      <c r="I139" s="154">
        <f t="shared" si="33"/>
        <v>14190299.725233903</v>
      </c>
      <c r="J139" s="154">
        <f t="shared" ref="J139:J165" si="34">SUM(D139:I139)</f>
        <v>87236091.663946882</v>
      </c>
      <c r="K139" s="69"/>
      <c r="L139" s="319"/>
    </row>
    <row r="140" spans="2:12" s="37" customFormat="1" ht="15.75" customHeight="1">
      <c r="B140" s="48" t="s">
        <v>275</v>
      </c>
      <c r="C140" s="155" t="s">
        <v>275</v>
      </c>
      <c r="D140" s="154">
        <f>SUM(D141:D143)</f>
        <v>125407.21732532456</v>
      </c>
      <c r="E140" s="154">
        <f t="shared" ref="E140:I140" si="35">SUM(E141:E143)</f>
        <v>125459.55514072385</v>
      </c>
      <c r="F140" s="154">
        <f t="shared" si="35"/>
        <v>123089.96222910214</v>
      </c>
      <c r="G140" s="154">
        <f t="shared" si="35"/>
        <v>125029.49779884699</v>
      </c>
      <c r="H140" s="154">
        <f t="shared" si="35"/>
        <v>119611.99839035259</v>
      </c>
      <c r="I140" s="154">
        <f t="shared" si="35"/>
        <v>120172.48466773973</v>
      </c>
      <c r="J140" s="154">
        <f t="shared" si="34"/>
        <v>738770.71555208985</v>
      </c>
      <c r="K140" s="69"/>
      <c r="L140" s="319"/>
    </row>
    <row r="141" spans="2:12" s="37" customFormat="1" ht="15.75" customHeight="1">
      <c r="B141" s="48"/>
      <c r="C141" s="160" t="s">
        <v>304</v>
      </c>
      <c r="D141" s="156">
        <f>$H$11*F801ENE!R22+$I$11*F801ENE!Y22</f>
        <v>124519.91149949486</v>
      </c>
      <c r="E141" s="156">
        <f>$H$11*F801ENE!S22+$I$11*F801ENE!Z22</f>
        <v>124571.87900408187</v>
      </c>
      <c r="F141" s="156">
        <f>$H$11*F801ENE!T22+$I$11*F801ENE!AA22</f>
        <v>122219.05190259588</v>
      </c>
      <c r="G141" s="156">
        <f>$H$11*F801ENE!U22+$I$11*F801ENE!AB22</f>
        <v>124144.86448855126</v>
      </c>
      <c r="H141" s="156">
        <f>$H$11*F801ENE!V22+$I$11*F801ENE!AC22</f>
        <v>118765.69603810782</v>
      </c>
      <c r="I141" s="156">
        <f>$H$11*F801ENE!W22+$I$11*F801ENE!AD22</f>
        <v>119322.21665267405</v>
      </c>
      <c r="J141" s="156">
        <f t="shared" si="34"/>
        <v>733543.6195855058</v>
      </c>
      <c r="K141" s="69"/>
      <c r="L141" s="319"/>
    </row>
    <row r="142" spans="2:12" s="37" customFormat="1" ht="15.75" customHeight="1">
      <c r="B142" s="48"/>
      <c r="C142" s="161" t="s">
        <v>306</v>
      </c>
      <c r="D142" s="156">
        <f>($H$11*F801ENE!R23+$I$11*F801ENE!Y23)*$L142</f>
        <v>498.7304664968222</v>
      </c>
      <c r="E142" s="156">
        <f>($H$11*F801ENE!S23+$I$11*F801ENE!Z23)*$L142</f>
        <v>498.9386081305035</v>
      </c>
      <c r="F142" s="156">
        <f>($H$11*F801ENE!T23+$I$11*F801ENE!AA23)*$L142</f>
        <v>489.51500234906797</v>
      </c>
      <c r="G142" s="156">
        <f>($H$11*F801ENE!U23+$I$11*F801ENE!AB23)*$L142</f>
        <v>497.22831821809564</v>
      </c>
      <c r="H142" s="156">
        <f>($H$11*F801ENE!V23+$I$11*F801ENE!AC23)*$L142</f>
        <v>475.68352945019234</v>
      </c>
      <c r="I142" s="156">
        <f>($H$11*F801ENE!W23+$I$11*F801ENE!AD23)*$L142</f>
        <v>477.91252064023854</v>
      </c>
      <c r="J142" s="156">
        <f t="shared" si="34"/>
        <v>2938.0084452849205</v>
      </c>
      <c r="K142" s="69"/>
      <c r="L142" s="319">
        <v>0.75</v>
      </c>
    </row>
    <row r="143" spans="2:12" s="37" customFormat="1" ht="15.75" customHeight="1">
      <c r="B143" s="48"/>
      <c r="C143" s="160" t="s">
        <v>305</v>
      </c>
      <c r="D143" s="156">
        <f>($H$11*F801ENE!R24+$I$11*F801ENE!Y24)*$L143</f>
        <v>388.57535933286732</v>
      </c>
      <c r="E143" s="156">
        <f>($H$11*F801ENE!S24+$I$11*F801ENE!Z24)*$L143</f>
        <v>388.73752851147782</v>
      </c>
      <c r="F143" s="156">
        <f>($H$11*F801ENE!T24+$I$11*F801ENE!AA24)*$L143</f>
        <v>381.39532415718276</v>
      </c>
      <c r="G143" s="156">
        <f>($H$11*F801ENE!U24+$I$11*F801ENE!AB24)*$L143</f>
        <v>387.4049920776294</v>
      </c>
      <c r="H143" s="156">
        <f>($H$11*F801ENE!V24+$I$11*F801ENE!AC24)*$L143</f>
        <v>370.61882279456211</v>
      </c>
      <c r="I143" s="156">
        <f>($H$11*F801ENE!W24+$I$11*F801ENE!AD24)*$L143</f>
        <v>372.35549442544499</v>
      </c>
      <c r="J143" s="156">
        <f t="shared" si="34"/>
        <v>2289.0875212991646</v>
      </c>
      <c r="K143" s="69"/>
      <c r="L143" s="319">
        <v>0.95</v>
      </c>
    </row>
    <row r="144" spans="2:12" s="37" customFormat="1" ht="15.75" customHeight="1">
      <c r="B144" s="48" t="s">
        <v>274</v>
      </c>
      <c r="C144" s="158" t="s">
        <v>627</v>
      </c>
      <c r="D144" s="159">
        <f t="shared" ref="D144:I144" si="36">SUM(D145:D150)</f>
        <v>1868684.7608609067</v>
      </c>
      <c r="E144" s="159">
        <f t="shared" si="36"/>
        <v>1869464.6432324264</v>
      </c>
      <c r="F144" s="159">
        <f t="shared" si="36"/>
        <v>1834155.4939040861</v>
      </c>
      <c r="G144" s="159">
        <f t="shared" si="36"/>
        <v>1863056.3868481321</v>
      </c>
      <c r="H144" s="159">
        <f t="shared" si="36"/>
        <v>1782330.5817266898</v>
      </c>
      <c r="I144" s="159">
        <f t="shared" si="36"/>
        <v>1790682.3511667852</v>
      </c>
      <c r="J144" s="159">
        <f t="shared" si="34"/>
        <v>11008374.217739027</v>
      </c>
      <c r="K144" s="69"/>
      <c r="L144" s="319"/>
    </row>
    <row r="145" spans="2:12" s="37" customFormat="1" ht="15.75" customHeight="1">
      <c r="B145" s="48"/>
      <c r="C145" s="160" t="s">
        <v>304</v>
      </c>
      <c r="D145" s="156">
        <f>$F$12*(F801ENE!R28+F801ENE!Y28)*$L145</f>
        <v>1865322.8232789089</v>
      </c>
      <c r="E145" s="156">
        <f>$F$12*(F801ENE!S28+F801ENE!Z28)*$L145</f>
        <v>1866101.3025695512</v>
      </c>
      <c r="F145" s="156">
        <f>$F$12*(F801ENE!T28+F801ENE!AA28)*$L145</f>
        <v>1830855.6776828938</v>
      </c>
      <c r="G145" s="156">
        <f>$F$12*(F801ENE!U28+F801ENE!AB28)*$L145</f>
        <v>1859704.5752341496</v>
      </c>
      <c r="H145" s="156">
        <f>$F$12*(F801ENE!V28+F801ENE!AC28)*$L145</f>
        <v>1779124.0033397125</v>
      </c>
      <c r="I145" s="156">
        <f>$F$12*(F801ENE!W28+F801ENE!AD28)*$L145</f>
        <v>1787460.7471702748</v>
      </c>
      <c r="J145" s="156">
        <f t="shared" si="34"/>
        <v>10988569.129275491</v>
      </c>
      <c r="K145" s="69"/>
      <c r="L145" s="319">
        <v>1</v>
      </c>
    </row>
    <row r="146" spans="2:12" s="37" customFormat="1" ht="15.75" customHeight="1">
      <c r="B146" s="48"/>
      <c r="C146" s="162" t="s">
        <v>628</v>
      </c>
      <c r="D146" s="156">
        <f>$F$12*(F801ENE!R29+F801ENE!Y29)*$L146</f>
        <v>161.40792322950102</v>
      </c>
      <c r="E146" s="156">
        <f>$F$12*(F801ENE!S29+F801ENE!Z29)*$L146</f>
        <v>161.47528568494928</v>
      </c>
      <c r="F146" s="156">
        <f>$F$12*(F801ENE!T29+F801ENE!AA29)*$L146</f>
        <v>158.42545267755531</v>
      </c>
      <c r="G146" s="156">
        <f>$F$12*(F801ENE!U29+F801ENE!AB29)*$L146</f>
        <v>160.92177158980857</v>
      </c>
      <c r="H146" s="156">
        <f>$F$12*(F801ENE!V29+F801ENE!AC29)*$L146</f>
        <v>153.94906820581002</v>
      </c>
      <c r="I146" s="156">
        <f>$F$12*(F801ENE!W29+F801ENE!AD29)*$L146</f>
        <v>154.67045352924805</v>
      </c>
      <c r="J146" s="156">
        <f t="shared" si="34"/>
        <v>950.84995491687232</v>
      </c>
      <c r="K146" s="69"/>
      <c r="L146" s="319">
        <v>0.75</v>
      </c>
    </row>
    <row r="147" spans="2:12" s="37" customFormat="1" ht="15.75" customHeight="1">
      <c r="B147" s="48"/>
      <c r="C147" s="161" t="s">
        <v>629</v>
      </c>
      <c r="D147" s="156">
        <f>$F$12*(F801ENE!R30+F801ENE!Y30)*$L147</f>
        <v>857.53132546545169</v>
      </c>
      <c r="E147" s="156">
        <f>$F$12*(F801ENE!S30+F801ENE!Z30)*$L147</f>
        <v>857.88921010055105</v>
      </c>
      <c r="F147" s="156">
        <f>$F$12*(F801ENE!T30+F801ENE!AA30)*$L147</f>
        <v>841.68599473819131</v>
      </c>
      <c r="G147" s="156">
        <f>$F$12*(F801ENE!U30+F801ENE!AB30)*$L147</f>
        <v>854.94848906175218</v>
      </c>
      <c r="H147" s="156">
        <f>$F$12*(F801ENE!V30+F801ENE!AC30)*$L147</f>
        <v>817.9037674934317</v>
      </c>
      <c r="I147" s="156">
        <f>$F$12*(F801ENE!W30+F801ENE!AD30)*$L147</f>
        <v>821.73635823744098</v>
      </c>
      <c r="J147" s="156">
        <f t="shared" si="34"/>
        <v>5051.695145096819</v>
      </c>
      <c r="K147" s="69"/>
      <c r="L147" s="319">
        <v>1</v>
      </c>
    </row>
    <row r="148" spans="2:12" s="37" customFormat="1" ht="15.75" customHeight="1">
      <c r="B148" s="48"/>
      <c r="C148" s="160" t="s">
        <v>305</v>
      </c>
      <c r="D148" s="156">
        <f>$F$12*(F801ENE!R31+F801ENE!Y31)*$L148</f>
        <v>2146.9175969350131</v>
      </c>
      <c r="E148" s="156">
        <f>$F$12*(F801ENE!S31+F801ENE!Z31)*$L148</f>
        <v>2147.8135978132905</v>
      </c>
      <c r="F148" s="156">
        <f>$F$12*(F801ENE!T31+F801ENE!AA31)*$L148</f>
        <v>2107.2471868200869</v>
      </c>
      <c r="G148" s="156">
        <f>$F$12*(F801ENE!U31+F801ENE!AB31)*$L148</f>
        <v>2140.4512011772877</v>
      </c>
      <c r="H148" s="156">
        <f>$F$12*(F801ENE!V31+F801ENE!AC31)*$L148</f>
        <v>2047.7059424948516</v>
      </c>
      <c r="I148" s="156">
        <f>$F$12*(F801ENE!W31+F801ENE!AD31)*$L148</f>
        <v>2057.3012263822334</v>
      </c>
      <c r="J148" s="156">
        <f t="shared" si="34"/>
        <v>12647.436751622761</v>
      </c>
      <c r="K148" s="69"/>
      <c r="L148" s="319">
        <v>0.95</v>
      </c>
    </row>
    <row r="149" spans="2:12" s="37" customFormat="1" ht="15.75" customHeight="1">
      <c r="B149" s="48"/>
      <c r="C149" s="160" t="s">
        <v>307</v>
      </c>
      <c r="D149" s="156">
        <f>$F$12*(F801ENE!R32+F801ENE!Y32)*$L149</f>
        <v>196.08073636769009</v>
      </c>
      <c r="E149" s="156">
        <f>$F$12*(F801ENE!S32+F801ENE!Z32)*$L149</f>
        <v>196.16256927653097</v>
      </c>
      <c r="F149" s="156">
        <f>$F$12*(F801ENE!T32+F801ENE!AA32)*$L149</f>
        <v>192.45758695643752</v>
      </c>
      <c r="G149" s="156">
        <f>$F$12*(F801ENE!U32+F801ENE!AB32)*$L149</f>
        <v>195.49015215354521</v>
      </c>
      <c r="H149" s="156">
        <f>$F$12*(F801ENE!V32+F801ENE!AC32)*$L149</f>
        <v>187.01960878335441</v>
      </c>
      <c r="I149" s="156">
        <f>$F$12*(F801ENE!W32+F801ENE!AD32)*$L149</f>
        <v>187.89595836145685</v>
      </c>
      <c r="J149" s="156">
        <f t="shared" si="34"/>
        <v>1155.106611899015</v>
      </c>
      <c r="K149" s="69"/>
      <c r="L149" s="319">
        <v>0.5</v>
      </c>
    </row>
    <row r="150" spans="2:12" s="37" customFormat="1" ht="15.75" customHeight="1">
      <c r="B150" s="48"/>
      <c r="C150" s="160" t="s">
        <v>624</v>
      </c>
      <c r="D150" s="156">
        <f>$F$12*(F801ENE!R33+F801ENE!Y33)*$L150</f>
        <v>0</v>
      </c>
      <c r="E150" s="156">
        <f>$F$12*(F801ENE!S33+F801ENE!Z33)*$L150</f>
        <v>0</v>
      </c>
      <c r="F150" s="156">
        <f>$F$12*(F801ENE!T33+F801ENE!AA33)*$L150</f>
        <v>0</v>
      </c>
      <c r="G150" s="156">
        <f>$F$12*(F801ENE!U33+F801ENE!AB33)*$L150</f>
        <v>0</v>
      </c>
      <c r="H150" s="156">
        <f>$F$12*(F801ENE!V33+F801ENE!AC33)*$L150</f>
        <v>0</v>
      </c>
      <c r="I150" s="156">
        <f>$F$12*(F801ENE!W33+F801ENE!AD33)*$L150</f>
        <v>0</v>
      </c>
      <c r="J150" s="156">
        <f t="shared" si="34"/>
        <v>0</v>
      </c>
      <c r="K150" s="69"/>
      <c r="L150" s="319">
        <v>0</v>
      </c>
    </row>
    <row r="151" spans="2:12" s="37" customFormat="1" ht="15.75" customHeight="1">
      <c r="B151" s="48" t="s">
        <v>274</v>
      </c>
      <c r="C151" s="158" t="s">
        <v>631</v>
      </c>
      <c r="D151" s="159">
        <f t="shared" ref="D151:I151" si="37">SUM(D152:D155)</f>
        <v>895702.52866141405</v>
      </c>
      <c r="E151" s="159">
        <f t="shared" si="37"/>
        <v>896076.34377825994</v>
      </c>
      <c r="F151" s="159">
        <f t="shared" si="37"/>
        <v>879151.8763663742</v>
      </c>
      <c r="G151" s="159">
        <f t="shared" si="37"/>
        <v>893004.7227280197</v>
      </c>
      <c r="H151" s="159">
        <f t="shared" si="37"/>
        <v>854311.03330006497</v>
      </c>
      <c r="I151" s="159">
        <f t="shared" si="37"/>
        <v>858314.223759457</v>
      </c>
      <c r="J151" s="159">
        <f t="shared" si="34"/>
        <v>5276560.7285935897</v>
      </c>
      <c r="K151" s="69"/>
      <c r="L151" s="319"/>
    </row>
    <row r="152" spans="2:12" s="37" customFormat="1" ht="15.75" customHeight="1">
      <c r="B152" s="48"/>
      <c r="C152" s="160" t="s">
        <v>304</v>
      </c>
      <c r="D152" s="156">
        <f>$F$13*(F801ENE!R35+F801ENE!Y35)*$L152</f>
        <v>895072.81232426676</v>
      </c>
      <c r="E152" s="156">
        <f>$F$13*(F801ENE!S35+F801ENE!Z35)*$L152</f>
        <v>895446.36463345203</v>
      </c>
      <c r="F152" s="156">
        <f>$F$13*(F801ENE!T35+F801ENE!AA35)*$L152</f>
        <v>878533.79582996108</v>
      </c>
      <c r="G152" s="156">
        <f>$F$13*(F801ENE!U35+F801ENE!AB35)*$L152</f>
        <v>892376.90306126943</v>
      </c>
      <c r="H152" s="156">
        <f>$F$13*(F801ENE!V35+F801ENE!AC35)*$L152</f>
        <v>853710.41691520531</v>
      </c>
      <c r="I152" s="156">
        <f>$F$13*(F801ENE!W35+F801ENE!AD35)*$L152</f>
        <v>857710.79296428559</v>
      </c>
      <c r="J152" s="156">
        <f t="shared" si="34"/>
        <v>5272851.0857284404</v>
      </c>
      <c r="K152" s="69"/>
      <c r="L152" s="319">
        <v>1</v>
      </c>
    </row>
    <row r="153" spans="2:12" s="37" customFormat="1" ht="15.75" customHeight="1">
      <c r="B153" s="48"/>
      <c r="C153" s="161" t="s">
        <v>306</v>
      </c>
      <c r="D153" s="156">
        <f>$F$13*(F801ENE!R36+F801ENE!Y36)*$L153</f>
        <v>0</v>
      </c>
      <c r="E153" s="156">
        <f>$F$13*(F801ENE!S36+F801ENE!Z36)*$L153</f>
        <v>0</v>
      </c>
      <c r="F153" s="156">
        <f>$F$13*(F801ENE!T36+F801ENE!AA36)*$L153</f>
        <v>0</v>
      </c>
      <c r="G153" s="156">
        <f>$F$13*(F801ENE!U36+F801ENE!AB36)*$L153</f>
        <v>0</v>
      </c>
      <c r="H153" s="156">
        <f>$F$13*(F801ENE!V36+F801ENE!AC36)*$L153</f>
        <v>0</v>
      </c>
      <c r="I153" s="156">
        <f>$F$13*(F801ENE!W36+F801ENE!AD36)*$L153</f>
        <v>0</v>
      </c>
      <c r="J153" s="156">
        <f t="shared" si="34"/>
        <v>0</v>
      </c>
      <c r="K153" s="69"/>
      <c r="L153" s="319">
        <v>1</v>
      </c>
    </row>
    <row r="154" spans="2:12" s="37" customFormat="1" ht="15.75" customHeight="1">
      <c r="B154" s="48"/>
      <c r="C154" s="160" t="s">
        <v>305</v>
      </c>
      <c r="D154" s="156">
        <f>$F$13*(F801ENE!R37+F801ENE!Y37)*$L154</f>
        <v>629.71633714729671</v>
      </c>
      <c r="E154" s="156">
        <f>$F$13*(F801ENE!S37+F801ENE!Z37)*$L154</f>
        <v>629.97914480789586</v>
      </c>
      <c r="F154" s="156">
        <f>$F$13*(F801ENE!T37+F801ENE!AA37)*$L154</f>
        <v>618.080536413088</v>
      </c>
      <c r="G154" s="156">
        <f>$F$13*(F801ENE!U37+F801ENE!AB37)*$L154</f>
        <v>627.81966675020601</v>
      </c>
      <c r="H154" s="156">
        <f>$F$13*(F801ENE!V37+F801ENE!AC37)*$L154</f>
        <v>600.61638485962033</v>
      </c>
      <c r="I154" s="156">
        <f>$F$13*(F801ENE!W37+F801ENE!AD37)*$L154</f>
        <v>603.4307951714444</v>
      </c>
      <c r="J154" s="156">
        <f t="shared" si="34"/>
        <v>3709.6428651495512</v>
      </c>
      <c r="K154" s="69"/>
      <c r="L154" s="319">
        <v>0.95</v>
      </c>
    </row>
    <row r="155" spans="2:12" s="37" customFormat="1" ht="15.75" customHeight="1">
      <c r="B155" s="48"/>
      <c r="C155" s="160" t="s">
        <v>307</v>
      </c>
      <c r="D155" s="156">
        <f>$F$13*(F801ENE!R38+F801ENE!Y38)*$L155</f>
        <v>0</v>
      </c>
      <c r="E155" s="156">
        <f>$F$13*(F801ENE!S38+F801ENE!Z38)*$L155</f>
        <v>0</v>
      </c>
      <c r="F155" s="156">
        <f>$F$13*(F801ENE!T38+F801ENE!AA38)*$L155</f>
        <v>0</v>
      </c>
      <c r="G155" s="156">
        <f>$F$13*(F801ENE!U38+F801ENE!AB38)*$L155</f>
        <v>0</v>
      </c>
      <c r="H155" s="156">
        <f>$F$13*(F801ENE!V38+F801ENE!AC38)*$L155</f>
        <v>0</v>
      </c>
      <c r="I155" s="156">
        <f>$F$13*(F801ENE!W38+F801ENE!AD38)*$L155</f>
        <v>0</v>
      </c>
      <c r="J155" s="156">
        <f t="shared" si="34"/>
        <v>0</v>
      </c>
      <c r="K155" s="69"/>
      <c r="L155" s="319">
        <v>0.5</v>
      </c>
    </row>
    <row r="156" spans="2:12" s="37" customFormat="1" ht="15.75" customHeight="1">
      <c r="B156" s="48" t="s">
        <v>274</v>
      </c>
      <c r="C156" s="158" t="s">
        <v>632</v>
      </c>
      <c r="D156" s="159">
        <f t="shared" ref="D156:I156" si="38">SUM(D157:D160)</f>
        <v>264600.57898711809</v>
      </c>
      <c r="E156" s="159">
        <f t="shared" si="38"/>
        <v>264711.00816777407</v>
      </c>
      <c r="F156" s="159">
        <f t="shared" si="38"/>
        <v>259711.33055948804</v>
      </c>
      <c r="G156" s="159">
        <f t="shared" si="38"/>
        <v>263803.61683826958</v>
      </c>
      <c r="H156" s="159">
        <f t="shared" si="38"/>
        <v>252373.06674136926</v>
      </c>
      <c r="I156" s="159">
        <f t="shared" si="38"/>
        <v>253555.65412887381</v>
      </c>
      <c r="J156" s="159">
        <f t="shared" si="34"/>
        <v>1558755.2554228927</v>
      </c>
      <c r="K156" s="69"/>
      <c r="L156" s="319"/>
    </row>
    <row r="157" spans="2:12" s="37" customFormat="1" ht="15.75" customHeight="1">
      <c r="B157" s="48"/>
      <c r="C157" s="160" t="s">
        <v>304</v>
      </c>
      <c r="D157" s="156">
        <f>$F$14*(F801ENE!R40+F801ENE!Y40)*$L157</f>
        <v>264600.57898711809</v>
      </c>
      <c r="E157" s="156">
        <f>$F$14*(F801ENE!S40+F801ENE!Z40)*$L157</f>
        <v>264711.00816777407</v>
      </c>
      <c r="F157" s="156">
        <f>$F$14*(F801ENE!T40+F801ENE!AA40)*$L157</f>
        <v>259711.33055948804</v>
      </c>
      <c r="G157" s="156">
        <f>$F$14*(F801ENE!U40+F801ENE!AB40)*$L157</f>
        <v>263803.61683826958</v>
      </c>
      <c r="H157" s="156">
        <f>$F$14*(F801ENE!V40+F801ENE!AC40)*$L157</f>
        <v>252373.06674136926</v>
      </c>
      <c r="I157" s="156">
        <f>$F$14*(F801ENE!W40+F801ENE!AD40)*$L157</f>
        <v>253555.65412887381</v>
      </c>
      <c r="J157" s="156">
        <f t="shared" si="34"/>
        <v>1558755.2554228927</v>
      </c>
      <c r="K157" s="69"/>
      <c r="L157" s="319">
        <v>1</v>
      </c>
    </row>
    <row r="158" spans="2:12" s="37" customFormat="1" ht="15.75" customHeight="1">
      <c r="B158" s="48"/>
      <c r="C158" s="161" t="s">
        <v>306</v>
      </c>
      <c r="D158" s="156">
        <f>$F$14*(F801ENE!R41+F801ENE!Y41)*$L158</f>
        <v>0</v>
      </c>
      <c r="E158" s="156">
        <f>$F$14*(F801ENE!S41+F801ENE!Z41)*$L158</f>
        <v>0</v>
      </c>
      <c r="F158" s="156">
        <f>$F$14*(F801ENE!T41+F801ENE!AA41)*$L158</f>
        <v>0</v>
      </c>
      <c r="G158" s="156">
        <f>$F$14*(F801ENE!U41+F801ENE!AB41)*$L158</f>
        <v>0</v>
      </c>
      <c r="H158" s="156">
        <f>$F$14*(F801ENE!V41+F801ENE!AC41)*$L158</f>
        <v>0</v>
      </c>
      <c r="I158" s="156">
        <f>$F$14*(F801ENE!W41+F801ENE!AD41)*$L158</f>
        <v>0</v>
      </c>
      <c r="J158" s="156">
        <f t="shared" si="34"/>
        <v>0</v>
      </c>
      <c r="K158" s="69"/>
      <c r="L158" s="319">
        <v>1</v>
      </c>
    </row>
    <row r="159" spans="2:12" s="37" customFormat="1" ht="15.75" customHeight="1">
      <c r="B159" s="48"/>
      <c r="C159" s="160" t="s">
        <v>305</v>
      </c>
      <c r="D159" s="156">
        <f>$F$14*(F801ENE!R42+F801ENE!Y42)*$L159</f>
        <v>0</v>
      </c>
      <c r="E159" s="156">
        <f>$F$14*(F801ENE!S42+F801ENE!Z42)*$L159</f>
        <v>0</v>
      </c>
      <c r="F159" s="156">
        <f>$F$14*(F801ENE!T42+F801ENE!AA42)*$L159</f>
        <v>0</v>
      </c>
      <c r="G159" s="156">
        <f>$F$14*(F801ENE!U42+F801ENE!AB42)*$L159</f>
        <v>0</v>
      </c>
      <c r="H159" s="156">
        <f>$F$14*(F801ENE!V42+F801ENE!AC42)*$L159</f>
        <v>0</v>
      </c>
      <c r="I159" s="156">
        <f>$F$14*(F801ENE!W42+F801ENE!AD42)*$L159</f>
        <v>0</v>
      </c>
      <c r="J159" s="156">
        <f t="shared" si="34"/>
        <v>0</v>
      </c>
      <c r="K159" s="69"/>
      <c r="L159" s="319">
        <v>0.95</v>
      </c>
    </row>
    <row r="160" spans="2:12" s="37" customFormat="1" ht="15.75" customHeight="1">
      <c r="B160" s="48"/>
      <c r="C160" s="160" t="s">
        <v>307</v>
      </c>
      <c r="D160" s="156">
        <f>$F$14*(F801ENE!R43+F801ENE!Y43)*$L160</f>
        <v>0</v>
      </c>
      <c r="E160" s="156">
        <f>$F$14*(F801ENE!S43+F801ENE!Z43)*$L160</f>
        <v>0</v>
      </c>
      <c r="F160" s="156">
        <f>$F$14*(F801ENE!T43+F801ENE!AA43)*$L160</f>
        <v>0</v>
      </c>
      <c r="G160" s="156">
        <f>$F$14*(F801ENE!U43+F801ENE!AB43)*$L160</f>
        <v>0</v>
      </c>
      <c r="H160" s="156">
        <f>$F$14*(F801ENE!V43+F801ENE!AC43)*$L160</f>
        <v>0</v>
      </c>
      <c r="I160" s="156">
        <f>$F$14*(F801ENE!W43+F801ENE!AD43)*$L160</f>
        <v>0</v>
      </c>
      <c r="J160" s="156">
        <f t="shared" si="34"/>
        <v>0</v>
      </c>
      <c r="K160" s="69"/>
      <c r="L160" s="319">
        <v>0.5</v>
      </c>
    </row>
    <row r="161" spans="2:13" s="37" customFormat="1" ht="15.75" customHeight="1">
      <c r="B161" s="48" t="s">
        <v>274</v>
      </c>
      <c r="C161" s="158" t="s">
        <v>633</v>
      </c>
      <c r="D161" s="159">
        <f t="shared" ref="D161:I161" si="39">SUM(D162:D165)</f>
        <v>280806.30459693482</v>
      </c>
      <c r="E161" s="159">
        <f t="shared" si="39"/>
        <v>280923.49712258368</v>
      </c>
      <c r="F161" s="159">
        <f t="shared" si="39"/>
        <v>275617.6092869144</v>
      </c>
      <c r="G161" s="159">
        <f t="shared" si="39"/>
        <v>279960.53170868783</v>
      </c>
      <c r="H161" s="159">
        <f t="shared" si="39"/>
        <v>267829.90620322747</v>
      </c>
      <c r="I161" s="159">
        <f t="shared" si="39"/>
        <v>269084.92233138281</v>
      </c>
      <c r="J161" s="159">
        <f t="shared" si="34"/>
        <v>1654222.7712497308</v>
      </c>
      <c r="K161" s="69"/>
      <c r="L161" s="319"/>
    </row>
    <row r="162" spans="2:13" s="37" customFormat="1" ht="15.75" customHeight="1">
      <c r="B162" s="48"/>
      <c r="C162" s="160" t="s">
        <v>304</v>
      </c>
      <c r="D162" s="156">
        <f>$F$15*(F801ENE!R45+F801ENE!Y45)*$L162</f>
        <v>280806.30459693482</v>
      </c>
      <c r="E162" s="156">
        <f>$F$15*(F801ENE!S45+F801ENE!Z45)*$L162</f>
        <v>280923.49712258368</v>
      </c>
      <c r="F162" s="156">
        <f>$F$15*(F801ENE!T45+F801ENE!AA45)*$L162</f>
        <v>275617.6092869144</v>
      </c>
      <c r="G162" s="156">
        <f>$F$15*(F801ENE!U45+F801ENE!AB45)*$L162</f>
        <v>279960.53170868783</v>
      </c>
      <c r="H162" s="156">
        <f>$F$15*(F801ENE!V45+F801ENE!AC45)*$L162</f>
        <v>267829.90620322747</v>
      </c>
      <c r="I162" s="156">
        <f>$F$15*(F801ENE!W45+F801ENE!AD45)*$L162</f>
        <v>269084.92233138281</v>
      </c>
      <c r="J162" s="156">
        <f t="shared" si="34"/>
        <v>1654222.7712497308</v>
      </c>
      <c r="K162" s="69"/>
      <c r="L162" s="319">
        <v>1</v>
      </c>
    </row>
    <row r="163" spans="2:13" s="37" customFormat="1" ht="15.75" customHeight="1">
      <c r="B163" s="48"/>
      <c r="C163" s="161" t="s">
        <v>306</v>
      </c>
      <c r="D163" s="156">
        <f>$F$15*(F801ENE!R46+F801ENE!Y46)*$L163</f>
        <v>0</v>
      </c>
      <c r="E163" s="156">
        <f>$F$15*(F801ENE!S46+F801ENE!Z46)*$L163</f>
        <v>0</v>
      </c>
      <c r="F163" s="156">
        <f>$F$15*(F801ENE!T46+F801ENE!AA46)*$L163</f>
        <v>0</v>
      </c>
      <c r="G163" s="156">
        <f>$F$15*(F801ENE!U46+F801ENE!AB46)*$L163</f>
        <v>0</v>
      </c>
      <c r="H163" s="156">
        <f>$F$15*(F801ENE!V46+F801ENE!AC46)*$L163</f>
        <v>0</v>
      </c>
      <c r="I163" s="156">
        <f>$F$15*(F801ENE!W46+F801ENE!AD46)*$L163</f>
        <v>0</v>
      </c>
      <c r="J163" s="156">
        <f t="shared" si="34"/>
        <v>0</v>
      </c>
      <c r="K163" s="69"/>
      <c r="L163" s="319">
        <v>1</v>
      </c>
    </row>
    <row r="164" spans="2:13" s="37" customFormat="1" ht="15.75" customHeight="1">
      <c r="B164" s="48"/>
      <c r="C164" s="160" t="s">
        <v>305</v>
      </c>
      <c r="D164" s="156">
        <f>$F$15*(F801ENE!R47+F801ENE!Y47)*$L164</f>
        <v>0</v>
      </c>
      <c r="E164" s="156">
        <f>$F$15*(F801ENE!S47+F801ENE!Z47)*$L164</f>
        <v>0</v>
      </c>
      <c r="F164" s="156">
        <f>$F$15*(F801ENE!T47+F801ENE!AA47)*$L164</f>
        <v>0</v>
      </c>
      <c r="G164" s="156">
        <f>$F$15*(F801ENE!U47+F801ENE!AB47)*$L164</f>
        <v>0</v>
      </c>
      <c r="H164" s="156">
        <f>$F$15*(F801ENE!V47+F801ENE!AC47)*$L164</f>
        <v>0</v>
      </c>
      <c r="I164" s="156">
        <f>$F$15*(F801ENE!W47+F801ENE!AD47)*$L164</f>
        <v>0</v>
      </c>
      <c r="J164" s="156">
        <f t="shared" si="34"/>
        <v>0</v>
      </c>
      <c r="K164" s="69"/>
      <c r="L164" s="319">
        <v>0.95</v>
      </c>
    </row>
    <row r="165" spans="2:13" s="37" customFormat="1" ht="15.75" customHeight="1">
      <c r="B165" s="48"/>
      <c r="C165" s="160" t="s">
        <v>307</v>
      </c>
      <c r="D165" s="156">
        <f>$F$15*(F801ENE!R48+F801ENE!Y48)*$L165</f>
        <v>0</v>
      </c>
      <c r="E165" s="156">
        <f>$F$15*(F801ENE!S48+F801ENE!Z48)*$L165</f>
        <v>0</v>
      </c>
      <c r="F165" s="156">
        <f>$F$15*(F801ENE!T48+F801ENE!AA48)*$L165</f>
        <v>0</v>
      </c>
      <c r="G165" s="156">
        <f>$F$15*(F801ENE!U48+F801ENE!AB48)*$L165</f>
        <v>0</v>
      </c>
      <c r="H165" s="156">
        <f>$F$15*(F801ENE!V48+F801ENE!AC48)*$L165</f>
        <v>0</v>
      </c>
      <c r="I165" s="156">
        <f>$F$15*(F801ENE!W48+F801ENE!AD48)*$L165</f>
        <v>0</v>
      </c>
      <c r="J165" s="156">
        <f t="shared" si="34"/>
        <v>0</v>
      </c>
      <c r="K165" s="69"/>
      <c r="L165" s="319">
        <v>0.5</v>
      </c>
    </row>
    <row r="166" spans="2:13" s="37" customFormat="1" ht="15.75">
      <c r="B166" s="48"/>
      <c r="C166" s="157"/>
      <c r="D166" s="156"/>
      <c r="E166" s="156"/>
      <c r="F166" s="156"/>
      <c r="G166" s="156"/>
      <c r="H166" s="156"/>
      <c r="I166" s="156"/>
      <c r="J166" s="156"/>
      <c r="K166" s="69"/>
      <c r="L166" s="319"/>
    </row>
    <row r="167" spans="2:13" s="37" customFormat="1" ht="15.75">
      <c r="B167" s="48" t="s">
        <v>1176</v>
      </c>
      <c r="C167" s="158" t="str">
        <f>F801ENE!$C$50</f>
        <v>BTSH</v>
      </c>
      <c r="D167" s="159">
        <f>SUM(D168:D173)</f>
        <v>53.586687076108284</v>
      </c>
      <c r="E167" s="159">
        <f t="shared" ref="E167:J167" si="40">SUM(E168:E173)</f>
        <v>53.586687076108284</v>
      </c>
      <c r="F167" s="159">
        <f t="shared" si="40"/>
        <v>53.586687076108284</v>
      </c>
      <c r="G167" s="159">
        <f t="shared" si="40"/>
        <v>53.586687076108284</v>
      </c>
      <c r="H167" s="159">
        <f t="shared" si="40"/>
        <v>53.586687076108284</v>
      </c>
      <c r="I167" s="159">
        <f t="shared" si="40"/>
        <v>53.586687076108284</v>
      </c>
      <c r="J167" s="159">
        <f t="shared" si="40"/>
        <v>321.52012245664969</v>
      </c>
      <c r="K167" s="69"/>
      <c r="L167" s="319"/>
    </row>
    <row r="168" spans="2:13" s="37" customFormat="1" ht="15.75">
      <c r="B168" s="48"/>
      <c r="C168" s="160" t="str">
        <f>F801ENE!$C$51</f>
        <v xml:space="preserve">    - Regulares</v>
      </c>
      <c r="D168" s="156">
        <f>($H$16*F801ENE!R51+$I$16*F801ENE!Y51)*$L168</f>
        <v>53.586687076108284</v>
      </c>
      <c r="E168" s="156">
        <f>($H$16*F801ENE!S51+$I$16*F801ENE!Z51)*$L168</f>
        <v>53.586687076108284</v>
      </c>
      <c r="F168" s="156">
        <f>($H$16*F801ENE!T51+$I$16*F801ENE!AA51)*$L168</f>
        <v>53.586687076108284</v>
      </c>
      <c r="G168" s="156">
        <f>($H$16*F801ENE!U51+$I$16*F801ENE!AB51)*$L168</f>
        <v>53.586687076108284</v>
      </c>
      <c r="H168" s="156">
        <f>($H$16*F801ENE!V51+$I$16*F801ENE!AC51)*$L168</f>
        <v>53.586687076108284</v>
      </c>
      <c r="I168" s="156">
        <f>($H$16*F801ENE!W51+$I$16*F801ENE!AD51)*$L168</f>
        <v>53.586687076108284</v>
      </c>
      <c r="J168" s="156">
        <f t="shared" ref="J168:J185" si="41">SUM(D168:I168)</f>
        <v>321.52012245664969</v>
      </c>
      <c r="K168" s="69"/>
      <c r="L168" s="319">
        <v>1</v>
      </c>
    </row>
    <row r="169" spans="2:13" s="37" customFormat="1" ht="15.75">
      <c r="B169" s="48"/>
      <c r="C169" s="162" t="str">
        <f>F801ENE!$C$52</f>
        <v xml:space="preserve">    - Jubilados (0 a 600 KWh)</v>
      </c>
      <c r="D169" s="156">
        <f>($H$16*F801ENE!R52+$I$16*F801ENE!Y52)*$L169</f>
        <v>0</v>
      </c>
      <c r="E169" s="156">
        <f>($H$16*F801ENE!S52+$I$16*F801ENE!Z52)*$L169</f>
        <v>0</v>
      </c>
      <c r="F169" s="156">
        <f>($H$16*F801ENE!T52+$I$16*F801ENE!AA52)*$L169</f>
        <v>0</v>
      </c>
      <c r="G169" s="156">
        <f>($H$16*F801ENE!U52+$I$16*F801ENE!AB52)*$L169</f>
        <v>0</v>
      </c>
      <c r="H169" s="156">
        <f>($H$16*F801ENE!V52+$I$16*F801ENE!AC52)*$L169</f>
        <v>0</v>
      </c>
      <c r="I169" s="156">
        <f>($H$16*F801ENE!W52+$I$16*F801ENE!AD52)*$L169</f>
        <v>0</v>
      </c>
      <c r="J169" s="156">
        <f t="shared" si="41"/>
        <v>0</v>
      </c>
      <c r="K169" s="69"/>
      <c r="L169" s="319">
        <v>0.75</v>
      </c>
    </row>
    <row r="170" spans="2:13" s="37" customFormat="1" ht="15.75">
      <c r="B170" s="48"/>
      <c r="C170" s="162" t="str">
        <f>F801ENE!$C$53</f>
        <v xml:space="preserve">    - Jubilados (601 y Más KWh)</v>
      </c>
      <c r="D170" s="156">
        <f>($H$16*F801ENE!R53+$I$16*F801ENE!Y53)*$L170</f>
        <v>0</v>
      </c>
      <c r="E170" s="156">
        <f>($H$16*F801ENE!S53+$I$16*F801ENE!Z53)*$L170</f>
        <v>0</v>
      </c>
      <c r="F170" s="156">
        <f>($H$16*F801ENE!T53+$I$16*F801ENE!AA53)*$L170</f>
        <v>0</v>
      </c>
      <c r="G170" s="156">
        <f>($H$16*F801ENE!U53+$I$16*F801ENE!AB53)*$L170</f>
        <v>0</v>
      </c>
      <c r="H170" s="156">
        <f>($H$16*F801ENE!V53+$I$16*F801ENE!AC53)*$L170</f>
        <v>0</v>
      </c>
      <c r="I170" s="156">
        <f>($H$16*F801ENE!W53+$I$16*F801ENE!AD53)*$L170</f>
        <v>0</v>
      </c>
      <c r="J170" s="156">
        <f t="shared" si="41"/>
        <v>0</v>
      </c>
      <c r="K170" s="69"/>
      <c r="L170" s="319">
        <v>1</v>
      </c>
    </row>
    <row r="171" spans="2:13" s="37" customFormat="1" ht="15.75">
      <c r="B171" s="48"/>
      <c r="C171" s="160" t="str">
        <f>F801ENE!$C$54</f>
        <v xml:space="preserve">    - Agropecuarios</v>
      </c>
      <c r="D171" s="156">
        <f>($H$16*F801ENE!R54+$I$16*F801ENE!Y54)*$L171</f>
        <v>0</v>
      </c>
      <c r="E171" s="156">
        <f>($H$16*F801ENE!S54+$I$16*F801ENE!Z54)*$L171</f>
        <v>0</v>
      </c>
      <c r="F171" s="156">
        <f>($H$16*F801ENE!T54+$I$16*F801ENE!AA54)*$L171</f>
        <v>0</v>
      </c>
      <c r="G171" s="156">
        <f>($H$16*F801ENE!U54+$I$16*F801ENE!AB54)*$L171</f>
        <v>0</v>
      </c>
      <c r="H171" s="156">
        <f>($H$16*F801ENE!V54+$I$16*F801ENE!AC54)*$L171</f>
        <v>0</v>
      </c>
      <c r="I171" s="156">
        <f>($H$16*F801ENE!W54+$I$16*F801ENE!AD54)*$L171</f>
        <v>0</v>
      </c>
      <c r="J171" s="156">
        <f t="shared" si="41"/>
        <v>0</v>
      </c>
      <c r="K171" s="69"/>
      <c r="L171" s="319">
        <v>0.95</v>
      </c>
    </row>
    <row r="172" spans="2:13" s="37" customFormat="1" ht="15.75">
      <c r="B172" s="48"/>
      <c r="C172" s="160" t="str">
        <f>F801ENE!$C$55</f>
        <v xml:space="preserve">    - Partidos Políticos</v>
      </c>
      <c r="D172" s="156">
        <f>($H$16*F801ENE!R55+$I$16*F801ENE!Y55)*$L172</f>
        <v>0</v>
      </c>
      <c r="E172" s="156">
        <f>($H$16*F801ENE!S55+$I$16*F801ENE!Z55)*$L172</f>
        <v>0</v>
      </c>
      <c r="F172" s="156">
        <f>($H$16*F801ENE!T55+$I$16*F801ENE!AA55)*$L172</f>
        <v>0</v>
      </c>
      <c r="G172" s="156">
        <f>($H$16*F801ENE!U55+$I$16*F801ENE!AB55)*$L172</f>
        <v>0</v>
      </c>
      <c r="H172" s="156">
        <f>($H$16*F801ENE!V55+$I$16*F801ENE!AC55)*$L172</f>
        <v>0</v>
      </c>
      <c r="I172" s="156">
        <f>($H$16*F801ENE!W55+$I$16*F801ENE!AD55)*$L172</f>
        <v>0</v>
      </c>
      <c r="J172" s="156">
        <f t="shared" si="41"/>
        <v>0</v>
      </c>
      <c r="K172" s="69"/>
      <c r="L172" s="319">
        <v>0.5</v>
      </c>
    </row>
    <row r="173" spans="2:13" s="37" customFormat="1" ht="15.75">
      <c r="B173" s="48"/>
      <c r="C173" s="160" t="str">
        <f>F801ENE!$C$56</f>
        <v xml:space="preserve">    - Cruz Roja</v>
      </c>
      <c r="D173" s="156">
        <f>($H$16*F801ENE!R56+$I$16*F801ENE!Y56)*$L173</f>
        <v>0</v>
      </c>
      <c r="E173" s="156">
        <f>($H$16*F801ENE!S56+$I$16*F801ENE!Z56)*$L173</f>
        <v>0</v>
      </c>
      <c r="F173" s="156">
        <f>($H$16*F801ENE!T56+$I$16*F801ENE!AA56)*$L173</f>
        <v>0</v>
      </c>
      <c r="G173" s="156">
        <f>($H$16*F801ENE!U56+$I$16*F801ENE!AB56)*$L173</f>
        <v>0</v>
      </c>
      <c r="H173" s="156">
        <f>($H$16*F801ENE!V56+$I$16*F801ENE!AC56)*$L173</f>
        <v>0</v>
      </c>
      <c r="I173" s="156">
        <f>($H$16*F801ENE!W56+$I$16*F801ENE!AD56)*$L173</f>
        <v>0</v>
      </c>
      <c r="J173" s="156">
        <f t="shared" si="41"/>
        <v>0</v>
      </c>
      <c r="K173" s="69"/>
      <c r="L173" s="319">
        <v>0</v>
      </c>
    </row>
    <row r="174" spans="2:13" s="37" customFormat="1" ht="15.75">
      <c r="B174" s="48" t="s">
        <v>751</v>
      </c>
      <c r="C174" s="158" t="s">
        <v>634</v>
      </c>
      <c r="D174" s="159">
        <f t="shared" ref="D174:I174" si="42">SUM(D175:D179)</f>
        <v>4323594.9823698774</v>
      </c>
      <c r="E174" s="159">
        <f t="shared" si="42"/>
        <v>4325399.4266701108</v>
      </c>
      <c r="F174" s="159">
        <f t="shared" si="42"/>
        <v>4243703.2689182861</v>
      </c>
      <c r="G174" s="159">
        <f t="shared" si="42"/>
        <v>4310572.3936080234</v>
      </c>
      <c r="H174" s="159">
        <f t="shared" si="42"/>
        <v>4123793.9456619252</v>
      </c>
      <c r="I174" s="159">
        <f t="shared" si="42"/>
        <v>4143117.7607824793</v>
      </c>
      <c r="J174" s="159">
        <f t="shared" si="41"/>
        <v>25470181.778010704</v>
      </c>
      <c r="K174" s="69"/>
      <c r="L174" s="319"/>
      <c r="M174" s="69"/>
    </row>
    <row r="175" spans="2:13" s="37" customFormat="1" ht="15.75">
      <c r="B175" s="48"/>
      <c r="C175" s="160" t="s">
        <v>304</v>
      </c>
      <c r="D175" s="156">
        <f>(($E$18+$F$18)*(F801ENE!R66+F801ENE!Y66)*$L175)</f>
        <v>3055484.61771682</v>
      </c>
      <c r="E175" s="156">
        <f>(($E$18+$F$18)*(F801ENE!S66+F801ENE!Z66)*$L175)</f>
        <v>3056759.8251231429</v>
      </c>
      <c r="F175" s="156">
        <f>(($E$18+$F$18)*(F801ENE!T66+F801ENE!AA66)*$L175)</f>
        <v>2999024.8507491513</v>
      </c>
      <c r="G175" s="156">
        <f>(($E$18+$F$18)*(F801ENE!U66+F801ENE!AB66)*$L175)</f>
        <v>3046281.5064672963</v>
      </c>
      <c r="H175" s="156">
        <f>(($E$18+$F$18)*(F801ENE!V66+F801ENE!AC66)*$L175)</f>
        <v>2914284.4921335219</v>
      </c>
      <c r="I175" s="156">
        <f>(($E$18+$F$18)*(F801ENE!W66+F801ENE!AD66)*$L175)</f>
        <v>2927940.7031658948</v>
      </c>
      <c r="J175" s="156">
        <f t="shared" si="41"/>
        <v>17999775.99535583</v>
      </c>
      <c r="K175" s="69"/>
      <c r="L175" s="319">
        <v>1</v>
      </c>
      <c r="M175" s="329"/>
    </row>
    <row r="176" spans="2:13" s="37" customFormat="1" ht="15.75">
      <c r="B176" s="48"/>
      <c r="C176" s="162" t="s">
        <v>644</v>
      </c>
      <c r="D176" s="156">
        <f>(($E$18+$F$18)*(F801ENE!R67+F801ENE!Y67)*$L176)</f>
        <v>1267840.3421115477</v>
      </c>
      <c r="E176" s="156">
        <f>(($E$18+$F$18)*(F801ENE!S67+F801ENE!Z67)*$L176)</f>
        <v>1268369.4663134592</v>
      </c>
      <c r="F176" s="156">
        <f>(($E$18+$F$18)*(F801ENE!T67+F801ENE!AA67)*$L176)</f>
        <v>1244413.385062234</v>
      </c>
      <c r="G176" s="156">
        <f>(($E$18+$F$18)*(F801ENE!U67+F801ENE!AB67)*$L176)</f>
        <v>1264021.6778920139</v>
      </c>
      <c r="H176" s="156">
        <f>(($E$18+$F$18)*(F801ENE!V67+F801ENE!AC67)*$L176)</f>
        <v>1209251.9090545736</v>
      </c>
      <c r="I176" s="156">
        <f>(($E$18+$F$18)*(F801ENE!W67+F801ENE!AD67)*$L176)</f>
        <v>1214918.3063228258</v>
      </c>
      <c r="J176" s="156">
        <f t="shared" si="41"/>
        <v>7468815.0867566541</v>
      </c>
      <c r="K176" s="69"/>
      <c r="L176" s="319">
        <v>0.75</v>
      </c>
      <c r="M176" s="329"/>
    </row>
    <row r="177" spans="2:28" s="37" customFormat="1" ht="15.75">
      <c r="B177" s="48"/>
      <c r="C177" s="160" t="s">
        <v>305</v>
      </c>
      <c r="D177" s="156">
        <f>(($E$18+$F$18)*(F801ENE!R68+F801ENE!Y68)*$L177)</f>
        <v>260.57856668341259</v>
      </c>
      <c r="E177" s="156">
        <f>(($E$18+$F$18)*(F801ENE!S68+F801ENE!Z68)*$L177)</f>
        <v>260.6873173056731</v>
      </c>
      <c r="F177" s="156">
        <f>(($E$18+$F$18)*(F801ENE!T68+F801ENE!AA68)*$L177)</f>
        <v>255.76363637483985</v>
      </c>
      <c r="G177" s="156">
        <f>(($E$18+$F$18)*(F801ENE!U68+F801ENE!AB68)*$L177)</f>
        <v>259.79371861073326</v>
      </c>
      <c r="H177" s="156">
        <f>(($E$18+$F$18)*(F801ENE!V68+F801ENE!AC68)*$L177)</f>
        <v>248.53691648257828</v>
      </c>
      <c r="I177" s="156">
        <f>(($E$18+$F$18)*(F801ENE!W68+F801ENE!AD68)*$L177)</f>
        <v>249.70152816858982</v>
      </c>
      <c r="J177" s="156">
        <f t="shared" si="41"/>
        <v>1535.0616836258271</v>
      </c>
      <c r="K177" s="69"/>
      <c r="L177" s="319">
        <v>0.95</v>
      </c>
      <c r="M177" s="329"/>
    </row>
    <row r="178" spans="2:28" s="37" customFormat="1" ht="15.75">
      <c r="B178" s="48"/>
      <c r="C178" s="160" t="s">
        <v>307</v>
      </c>
      <c r="D178" s="156">
        <f>(($E$18+$F$18)*(F801ENE!R69+F801ENE!Y69)*$L178)</f>
        <v>9.4439748268143298</v>
      </c>
      <c r="E178" s="156">
        <f>(($E$18+$F$18)*(F801ENE!S69+F801ENE!Z69)*$L178)</f>
        <v>9.4479162029301804</v>
      </c>
      <c r="F178" s="156">
        <f>(($E$18+$F$18)*(F801ENE!T69+F801ENE!AA69)*$L178)</f>
        <v>9.2694705258436692</v>
      </c>
      <c r="G178" s="156">
        <f>(($E$18+$F$18)*(F801ENE!U69+F801ENE!AB69)*$L178)</f>
        <v>9.4155301026929372</v>
      </c>
      <c r="H178" s="156">
        <f>(($E$18+$F$18)*(F801ENE!V69+F801ENE!AC69)*$L178)</f>
        <v>9.007557346983198</v>
      </c>
      <c r="I178" s="156">
        <f>(($E$18+$F$18)*(F801ENE!W69+F801ENE!AD69)*$L178)</f>
        <v>9.0497655899162002</v>
      </c>
      <c r="J178" s="156">
        <f t="shared" si="41"/>
        <v>55.634214595180509</v>
      </c>
      <c r="K178" s="69"/>
      <c r="L178" s="319">
        <v>0.5</v>
      </c>
      <c r="M178" s="329"/>
    </row>
    <row r="179" spans="2:28" s="37" customFormat="1" ht="15.75">
      <c r="B179" s="48"/>
      <c r="C179" s="160" t="s">
        <v>624</v>
      </c>
      <c r="D179" s="156">
        <f>(($E$18+$F$18)*(F801ENE!R70+F801ENE!Y70)*$L179)</f>
        <v>0</v>
      </c>
      <c r="E179" s="156">
        <f>(($E$18+$F$18)*(F801ENE!S70+F801ENE!Z70)*$L179)</f>
        <v>0</v>
      </c>
      <c r="F179" s="156">
        <f>(($E$18+$F$18)*(F801ENE!T70+F801ENE!AA70)*$L179)</f>
        <v>0</v>
      </c>
      <c r="G179" s="156">
        <f>(($E$18+$F$18)*(F801ENE!U70+F801ENE!AB70)*$L179)</f>
        <v>0</v>
      </c>
      <c r="H179" s="156">
        <f>(($E$18+$F$18)*(F801ENE!V70+F801ENE!AC70)*$L179)</f>
        <v>0</v>
      </c>
      <c r="I179" s="156">
        <f>(($E$18+$F$18)*(F801ENE!W70+F801ENE!AD70)*$L179)</f>
        <v>0</v>
      </c>
      <c r="J179" s="156">
        <f t="shared" si="41"/>
        <v>0</v>
      </c>
      <c r="K179" s="69"/>
      <c r="L179" s="319">
        <v>0</v>
      </c>
      <c r="M179" s="329"/>
    </row>
    <row r="180" spans="2:28" s="37" customFormat="1" ht="15.75">
      <c r="B180" s="48" t="s">
        <v>750</v>
      </c>
      <c r="C180" s="158" t="s">
        <v>635</v>
      </c>
      <c r="D180" s="159">
        <f t="shared" ref="D180:I180" si="43">SUM(D181:D186)</f>
        <v>2927748.469800788</v>
      </c>
      <c r="E180" s="159">
        <f t="shared" si="43"/>
        <v>2928970.3449226203</v>
      </c>
      <c r="F180" s="159">
        <f t="shared" si="43"/>
        <v>2873649.9880164131</v>
      </c>
      <c r="G180" s="159">
        <f t="shared" si="43"/>
        <v>2918930.2551139109</v>
      </c>
      <c r="H180" s="159">
        <f t="shared" si="43"/>
        <v>2792453.6779148481</v>
      </c>
      <c r="I180" s="159">
        <f t="shared" si="43"/>
        <v>2805538.7528887033</v>
      </c>
      <c r="J180" s="159">
        <f t="shared" si="41"/>
        <v>17247291.488657285</v>
      </c>
      <c r="K180" s="69"/>
      <c r="L180" s="319"/>
      <c r="M180" s="69"/>
    </row>
    <row r="181" spans="2:28" s="37" customFormat="1" ht="15.75">
      <c r="B181" s="48"/>
      <c r="C181" s="160" t="s">
        <v>304</v>
      </c>
      <c r="D181" s="156">
        <f>(($E$19+$F$19)*(F801ENE!R72+F801ENE!Y72)*$L181)</f>
        <v>2106566.4718986708</v>
      </c>
      <c r="E181" s="156">
        <f>(($E$19+$F$19)*(F801ENE!S72+F801ENE!Z72)*$L181)</f>
        <v>2107445.6325202365</v>
      </c>
      <c r="F181" s="156">
        <f>(($E$19+$F$19)*(F801ENE!T72+F801ENE!AA72)*$L181)</f>
        <v>2067641.6636089277</v>
      </c>
      <c r="G181" s="156">
        <f>(($E$19+$F$19)*(F801ENE!U72+F801ENE!AB72)*$L181)</f>
        <v>2100221.611473334</v>
      </c>
      <c r="H181" s="156">
        <f>(($E$19+$F$19)*(F801ENE!V72+F801ENE!AC72)*$L181)</f>
        <v>2009219.4916682201</v>
      </c>
      <c r="I181" s="156">
        <f>(($E$19+$F$19)*(F801ENE!W72+F801ENE!AD72)*$L181)</f>
        <v>2018634.4330494655</v>
      </c>
      <c r="J181" s="330">
        <f t="shared" si="41"/>
        <v>12409729.304218855</v>
      </c>
      <c r="K181" s="69"/>
      <c r="L181" s="319">
        <v>1</v>
      </c>
      <c r="M181" s="329"/>
      <c r="W181" s="60"/>
      <c r="X181" s="60"/>
      <c r="Y181" s="60"/>
      <c r="Z181" s="60"/>
      <c r="AA181" s="60"/>
      <c r="AB181" s="60"/>
    </row>
    <row r="182" spans="2:28" s="37" customFormat="1" ht="15.75">
      <c r="B182" s="48"/>
      <c r="C182" s="162" t="s">
        <v>642</v>
      </c>
      <c r="D182" s="156">
        <f>(($E$19+$F$19)*(F801ENE!R73+F801ENE!Y73)*$L182)</f>
        <v>662936.6540455817</v>
      </c>
      <c r="E182" s="156">
        <f>(($E$19+$F$19)*(F801ENE!S73+F801ENE!Z73)*$L182)</f>
        <v>663213.32597053843</v>
      </c>
      <c r="F182" s="156">
        <f>(($E$19+$F$19)*(F801ENE!T73+F801ENE!AA73)*$L182)</f>
        <v>650687.01345213293</v>
      </c>
      <c r="G182" s="156">
        <f>(($E$19+$F$19)*(F801ENE!U73+F801ENE!AB73)*$L182)</f>
        <v>660939.92591149732</v>
      </c>
      <c r="H182" s="156">
        <f>(($E$19+$F$19)*(F801ENE!V73+F801ENE!AC73)*$L182)</f>
        <v>632301.55080231663</v>
      </c>
      <c r="I182" s="156">
        <f>(($E$19+$F$19)*(F801ENE!W73+F801ENE!AD73)*$L182)</f>
        <v>635264.43368333601</v>
      </c>
      <c r="J182" s="330">
        <f t="shared" si="41"/>
        <v>3905342.9038654026</v>
      </c>
      <c r="K182" s="69"/>
      <c r="L182" s="319">
        <v>0.75</v>
      </c>
      <c r="M182" s="329"/>
      <c r="W182" s="60"/>
      <c r="X182" s="60"/>
      <c r="Y182" s="60"/>
      <c r="Z182" s="60"/>
      <c r="AA182" s="60"/>
      <c r="AB182" s="60"/>
    </row>
    <row r="183" spans="2:28" s="37" customFormat="1" ht="15.75">
      <c r="B183" s="48"/>
      <c r="C183" s="162" t="s">
        <v>1177</v>
      </c>
      <c r="D183" s="156">
        <f>(($E$19+$F$19)*(F801ENE!R74+F801ENE!Y74)*$L183)</f>
        <v>157759.61551915799</v>
      </c>
      <c r="E183" s="156">
        <f>(($E$19+$F$19)*(F801ENE!S74+F801ENE!Z74)*$L183)</f>
        <v>157825.45537918046</v>
      </c>
      <c r="F183" s="156">
        <f>(($E$19+$F$19)*(F801ENE!T74+F801ENE!AA74)*$L183)</f>
        <v>154844.55783079931</v>
      </c>
      <c r="G183" s="156">
        <f>(($E$19+$F$19)*(F801ENE!U74+F801ENE!AB74)*$L183)</f>
        <v>157284.4523782951</v>
      </c>
      <c r="H183" s="156">
        <f>(($E$19+$F$19)*(F801ENE!V74+F801ENE!AC74)*$L183)</f>
        <v>150469.35319989434</v>
      </c>
      <c r="I183" s="156">
        <f>(($E$19+$F$19)*(F801ENE!W74+F801ENE!AD74)*$L183)</f>
        <v>151174.43303110517</v>
      </c>
      <c r="J183" s="330">
        <f t="shared" si="41"/>
        <v>929357.86733843235</v>
      </c>
      <c r="K183" s="69"/>
      <c r="L183" s="319">
        <v>1</v>
      </c>
      <c r="M183" s="329"/>
      <c r="W183" s="60"/>
      <c r="X183" s="60"/>
      <c r="Y183" s="60"/>
      <c r="Z183" s="60"/>
      <c r="AA183" s="60"/>
      <c r="AB183" s="60"/>
    </row>
    <row r="184" spans="2:28" s="37" customFormat="1" ht="15.75">
      <c r="B184" s="48"/>
      <c r="C184" s="160" t="s">
        <v>305</v>
      </c>
      <c r="D184" s="156">
        <f>(($E$19+$F$19)*(F801ENE!R75+F801ENE!Y75)*$L184)</f>
        <v>463.11776538904343</v>
      </c>
      <c r="E184" s="156">
        <f>(($E$19+$F$19)*(F801ENE!S75+F801ENE!Z75)*$L184)</f>
        <v>463.31104431373387</v>
      </c>
      <c r="F184" s="156">
        <f>(($E$19+$F$19)*(F801ENE!T75+F801ENE!AA75)*$L184)</f>
        <v>454.56034720461031</v>
      </c>
      <c r="G184" s="156">
        <f>(($E$19+$F$19)*(F801ENE!U75+F801ENE!AB75)*$L184)</f>
        <v>461.72288057478028</v>
      </c>
      <c r="H184" s="156">
        <f>(($E$19+$F$19)*(F801ENE!V75+F801ENE!AC75)*$L184)</f>
        <v>441.71653426099641</v>
      </c>
      <c r="I184" s="156">
        <f>(($E$19+$F$19)*(F801ENE!W75+F801ENE!AD75)*$L184)</f>
        <v>443.78636052658834</v>
      </c>
      <c r="J184" s="156">
        <f t="shared" si="41"/>
        <v>2728.2149322697524</v>
      </c>
      <c r="K184" s="69"/>
      <c r="L184" s="319">
        <v>0.95</v>
      </c>
      <c r="M184" s="329"/>
      <c r="W184" s="60"/>
      <c r="X184" s="60"/>
      <c r="Y184" s="60"/>
      <c r="Z184" s="60"/>
      <c r="AA184" s="60"/>
      <c r="AB184" s="60"/>
    </row>
    <row r="185" spans="2:28" s="37" customFormat="1" ht="15.75">
      <c r="B185" s="48"/>
      <c r="C185" s="160" t="s">
        <v>307</v>
      </c>
      <c r="D185" s="156">
        <f>(($E$19+$F$19)*(F801ENE!R76+F801ENE!Y76)*$L185)</f>
        <v>22.610571988393769</v>
      </c>
      <c r="E185" s="156">
        <f>(($E$19+$F$19)*(F801ENE!S76+F801ENE!Z76)*$L185)</f>
        <v>22.620008350734309</v>
      </c>
      <c r="F185" s="156">
        <f>(($E$19+$F$19)*(F801ENE!T76+F801ENE!AA76)*$L185)</f>
        <v>22.192777348770356</v>
      </c>
      <c r="G185" s="156">
        <f>(($E$19+$F$19)*(F801ENE!U76+F801ENE!AB76)*$L185)</f>
        <v>22.542470209827965</v>
      </c>
      <c r="H185" s="156">
        <f>(($E$19+$F$19)*(F801ENE!V76+F801ENE!AC76)*$L185)</f>
        <v>21.56571015577877</v>
      </c>
      <c r="I185" s="156">
        <f>(($E$19+$F$19)*(F801ENE!W76+F801ENE!AD76)*$L185)</f>
        <v>21.666764270475323</v>
      </c>
      <c r="J185" s="156">
        <f t="shared" si="41"/>
        <v>133.1983023239805</v>
      </c>
      <c r="K185" s="69"/>
      <c r="L185" s="319">
        <v>0.5</v>
      </c>
      <c r="M185" s="329"/>
      <c r="W185" s="60"/>
      <c r="X185" s="60"/>
      <c r="Y185" s="60"/>
      <c r="Z185" s="60"/>
      <c r="AA185" s="60"/>
      <c r="AB185" s="60"/>
    </row>
    <row r="186" spans="2:28" s="37" customFormat="1" ht="15.75">
      <c r="B186" s="48"/>
      <c r="C186" s="160" t="s">
        <v>624</v>
      </c>
      <c r="D186" s="156">
        <f>(($E$19+$F$19)*(F801ENE!R77+F801ENE!Y77)*$L186)</f>
        <v>0</v>
      </c>
      <c r="E186" s="156">
        <f>(($E$19+$F$19)*(F801ENE!S77+F801ENE!Z77)*$L186)</f>
        <v>0</v>
      </c>
      <c r="F186" s="156">
        <f>(($E$19+$F$19)*(F801ENE!T77+F801ENE!AA77)*$L186)</f>
        <v>0</v>
      </c>
      <c r="G186" s="156">
        <f>(($E$19+$F$19)*(F801ENE!U77+F801ENE!AB77)*$L186)</f>
        <v>0</v>
      </c>
      <c r="H186" s="156">
        <f>(($E$19+$F$19)*(F801ENE!V77+F801ENE!AC77)*$L186)</f>
        <v>0</v>
      </c>
      <c r="I186" s="156">
        <f>(($E$19+$F$19)*(F801ENE!W77+F801ENE!AD77)*$L186)</f>
        <v>0</v>
      </c>
      <c r="J186" s="156"/>
      <c r="K186" s="69"/>
      <c r="L186" s="319">
        <v>0</v>
      </c>
      <c r="M186" s="329"/>
    </row>
    <row r="187" spans="2:28" s="37" customFormat="1" ht="15.75">
      <c r="B187" s="48" t="s">
        <v>749</v>
      </c>
      <c r="C187" s="158" t="s">
        <v>636</v>
      </c>
      <c r="D187" s="159">
        <f t="shared" ref="D187:I187" si="44">SUM(D188:D193)</f>
        <v>3330293.3649574807</v>
      </c>
      <c r="E187" s="159">
        <f t="shared" si="44"/>
        <v>3331683.239344921</v>
      </c>
      <c r="F187" s="159">
        <f t="shared" si="44"/>
        <v>3268756.7210827982</v>
      </c>
      <c r="G187" s="159">
        <f t="shared" si="44"/>
        <v>3320262.7075545667</v>
      </c>
      <c r="H187" s="159">
        <f t="shared" si="44"/>
        <v>3176396.4874153635</v>
      </c>
      <c r="I187" s="159">
        <f t="shared" si="44"/>
        <v>3191280.6684899656</v>
      </c>
      <c r="J187" s="159">
        <f t="shared" ref="J187:J193" si="45">SUM(D187:I187)</f>
        <v>19618673.188845094</v>
      </c>
      <c r="K187" s="69"/>
      <c r="L187" s="319"/>
      <c r="M187" s="69"/>
    </row>
    <row r="188" spans="2:28" s="37" customFormat="1" ht="15.75">
      <c r="B188" s="48"/>
      <c r="C188" s="160" t="s">
        <v>304</v>
      </c>
      <c r="D188" s="156">
        <f>(($E$20+$F$20)*(F801ENE!R79+F801ENE!Y79)*$L188)</f>
        <v>3032169.3388053244</v>
      </c>
      <c r="E188" s="156">
        <f>(($E$20+$F$20)*(F801ENE!S79+F801ENE!Z79)*$L188)</f>
        <v>3033434.7932384778</v>
      </c>
      <c r="F188" s="156">
        <f>(($E$20+$F$20)*(F801ENE!T79+F801ENE!AA79)*$L188)</f>
        <v>2976141.3844115296</v>
      </c>
      <c r="G188" s="156">
        <f>(($E$20+$F$20)*(F801ENE!U79+F801ENE!AB79)*$L188)</f>
        <v>3023036.6142996666</v>
      </c>
      <c r="H188" s="156">
        <f>(($E$20+$F$20)*(F801ENE!V79+F801ENE!AC79)*$L188)</f>
        <v>2892049.132480185</v>
      </c>
      <c r="I188" s="156">
        <f>(($E$20+$F$20)*(F801ENE!W79+F801ENE!AD79)*$L188)</f>
        <v>2905600.8988087983</v>
      </c>
      <c r="J188" s="330">
        <f t="shared" si="45"/>
        <v>17862432.162043981</v>
      </c>
      <c r="K188" s="69"/>
      <c r="L188" s="319">
        <v>1</v>
      </c>
      <c r="M188" s="329"/>
      <c r="W188" s="60"/>
      <c r="X188" s="60"/>
      <c r="Y188" s="60"/>
      <c r="Z188" s="60"/>
      <c r="AA188" s="60"/>
      <c r="AB188" s="60"/>
    </row>
    <row r="189" spans="2:28" s="37" customFormat="1" ht="15.75">
      <c r="B189" s="48"/>
      <c r="C189" s="162" t="s">
        <v>642</v>
      </c>
      <c r="D189" s="156">
        <f>(($E$20+$F$20)*(F801ENE!R80+F801ENE!Y80)*$L189)</f>
        <v>0</v>
      </c>
      <c r="E189" s="156">
        <f>(($E$20+$F$20)*(F801ENE!S80+F801ENE!Z80)*$L189)</f>
        <v>0</v>
      </c>
      <c r="F189" s="156">
        <f>(($E$20+$F$20)*(F801ENE!T80+F801ENE!AA80)*$L189)</f>
        <v>0</v>
      </c>
      <c r="G189" s="156">
        <f>(($E$20+$F$20)*(F801ENE!U80+F801ENE!AB80)*$L189)</f>
        <v>0</v>
      </c>
      <c r="H189" s="156">
        <f>(($E$20+$F$20)*(F801ENE!V80+F801ENE!AC80)*$L189)</f>
        <v>0</v>
      </c>
      <c r="I189" s="156">
        <f>(($E$20+$F$20)*(F801ENE!W80+F801ENE!AD80)*$L189)</f>
        <v>0</v>
      </c>
      <c r="J189" s="330">
        <f t="shared" si="45"/>
        <v>0</v>
      </c>
      <c r="K189" s="69"/>
      <c r="L189" s="319">
        <v>0.75</v>
      </c>
      <c r="M189" s="329"/>
      <c r="W189" s="60"/>
      <c r="X189" s="60"/>
      <c r="Y189" s="60"/>
      <c r="Z189" s="60"/>
      <c r="AA189" s="60"/>
      <c r="AB189" s="60"/>
    </row>
    <row r="190" spans="2:28" s="37" customFormat="1" ht="15.75">
      <c r="B190" s="48"/>
      <c r="C190" s="162" t="s">
        <v>1177</v>
      </c>
      <c r="D190" s="156">
        <f>(($E$20+$F$20)*(F801ENE!R81+F801ENE!Y81)*$L190)</f>
        <v>296013.61342904432</v>
      </c>
      <c r="E190" s="156">
        <f>(($E$20+$F$20)*(F801ENE!S81+F801ENE!Z81)*$L190)</f>
        <v>296137.15261750371</v>
      </c>
      <c r="F190" s="156">
        <f>(($E$20+$F$20)*(F801ENE!T81+F801ENE!AA81)*$L190)</f>
        <v>290543.91982687911</v>
      </c>
      <c r="G190" s="156">
        <f>(($E$20+$F$20)*(F801ENE!U81+F801ENE!AB81)*$L190)</f>
        <v>295122.03697690699</v>
      </c>
      <c r="H190" s="156">
        <f>(($E$20+$F$20)*(F801ENE!V81+F801ENE!AC81)*$L190)</f>
        <v>282334.46693220985</v>
      </c>
      <c r="I190" s="156">
        <f>(($E$20+$F$20)*(F801ENE!W81+F801ENE!AD81)*$L190)</f>
        <v>283657.44954665034</v>
      </c>
      <c r="J190" s="330">
        <f t="shared" si="45"/>
        <v>1743808.6393291943</v>
      </c>
      <c r="K190" s="69"/>
      <c r="L190" s="319">
        <v>1</v>
      </c>
      <c r="M190" s="329"/>
      <c r="W190" s="60"/>
      <c r="X190" s="60"/>
      <c r="Y190" s="60"/>
      <c r="Z190" s="60"/>
      <c r="AA190" s="60"/>
      <c r="AB190" s="60"/>
    </row>
    <row r="191" spans="2:28" s="37" customFormat="1" ht="15.75">
      <c r="B191" s="48"/>
      <c r="C191" s="160" t="s">
        <v>305</v>
      </c>
      <c r="D191" s="156">
        <f>(($E$20+$F$20)*(F801ENE!R82+F801ENE!Y82)*$L191)</f>
        <v>2101.6355044736811</v>
      </c>
      <c r="E191" s="156">
        <f>(($E$20+$F$20)*(F801ENE!S82+F801ENE!Z82)*$L191)</f>
        <v>2102.5126071908589</v>
      </c>
      <c r="F191" s="156">
        <f>(($E$20+$F$20)*(F801ENE!T82+F801ENE!AA82)*$L191)</f>
        <v>2062.8018098346392</v>
      </c>
      <c r="G191" s="156">
        <f>(($E$20+$F$20)*(F801ENE!U82+F801ENE!AB82)*$L191)</f>
        <v>2095.305495846515</v>
      </c>
      <c r="H191" s="156">
        <f>(($E$20+$F$20)*(F801ENE!V82+F801ENE!AC82)*$L191)</f>
        <v>2004.5163902018128</v>
      </c>
      <c r="I191" s="156">
        <f>(($E$20+$F$20)*(F801ENE!W82+F801ENE!AD82)*$L191)</f>
        <v>2013.9092934608921</v>
      </c>
      <c r="J191" s="156">
        <f t="shared" si="45"/>
        <v>12380.681101008398</v>
      </c>
      <c r="K191" s="69"/>
      <c r="L191" s="319">
        <v>0.95</v>
      </c>
      <c r="M191" s="329"/>
      <c r="W191" s="60"/>
      <c r="X191" s="60"/>
      <c r="Y191" s="60"/>
      <c r="Z191" s="60"/>
      <c r="AA191" s="60"/>
      <c r="AB191" s="60"/>
    </row>
    <row r="192" spans="2:28" s="37" customFormat="1" ht="15.75">
      <c r="B192" s="48"/>
      <c r="C192" s="160" t="s">
        <v>307</v>
      </c>
      <c r="D192" s="156">
        <f>(($E$20+$F$20)*(F801ENE!R83+F801ENE!Y83)*$L192)</f>
        <v>8.7772186382876694</v>
      </c>
      <c r="E192" s="156">
        <f>(($E$20+$F$20)*(F801ENE!S83+F801ENE!Z83)*$L192)</f>
        <v>8.780881748422857</v>
      </c>
      <c r="F192" s="156">
        <f>(($E$20+$F$20)*(F801ENE!T83+F801ENE!AA83)*$L192)</f>
        <v>8.6150345546757343</v>
      </c>
      <c r="G192" s="156">
        <f>(($E$20+$F$20)*(F801ENE!U83+F801ENE!AB83)*$L192)</f>
        <v>8.7507821465246511</v>
      </c>
      <c r="H192" s="156">
        <f>(($E$20+$F$20)*(F801ENE!V83+F801ENE!AC83)*$L192)</f>
        <v>8.3716127670000553</v>
      </c>
      <c r="I192" s="156">
        <f>(($E$20+$F$20)*(F801ENE!W83+F801ENE!AD83)*$L192)</f>
        <v>8.4108410562908134</v>
      </c>
      <c r="J192" s="156">
        <f t="shared" si="45"/>
        <v>51.70637091120178</v>
      </c>
      <c r="K192" s="69"/>
      <c r="L192" s="319">
        <v>0.5</v>
      </c>
      <c r="M192" s="329"/>
      <c r="W192" s="60"/>
      <c r="X192" s="60"/>
      <c r="Y192" s="60"/>
      <c r="Z192" s="60"/>
      <c r="AA192" s="60"/>
      <c r="AB192" s="60"/>
    </row>
    <row r="193" spans="2:13" s="37" customFormat="1" ht="15.75">
      <c r="B193" s="48"/>
      <c r="C193" s="160" t="s">
        <v>624</v>
      </c>
      <c r="D193" s="156">
        <f>(($E$20+$F$20)*(F801ENE!R84+F801ENE!Y84)*$L193)</f>
        <v>0</v>
      </c>
      <c r="E193" s="156">
        <f>(($E$20+$F$20)*(F801ENE!S84+F801ENE!Z84)*$L193)</f>
        <v>0</v>
      </c>
      <c r="F193" s="156">
        <f>(($E$20+$F$20)*(F801ENE!T84+F801ENE!AA84)*$L193)</f>
        <v>0</v>
      </c>
      <c r="G193" s="156">
        <f>(($E$20+$F$20)*(F801ENE!U84+F801ENE!AB84)*$L193)</f>
        <v>0</v>
      </c>
      <c r="H193" s="156">
        <f>(($E$20+$F$20)*(F801ENE!V84+F801ENE!AC84)*$L193)</f>
        <v>0</v>
      </c>
      <c r="I193" s="156">
        <f>(($E$20+$F$20)*(F801ENE!W84+F801ENE!AD84)*$L193)</f>
        <v>0</v>
      </c>
      <c r="J193" s="156">
        <f t="shared" si="45"/>
        <v>0</v>
      </c>
      <c r="K193" s="69"/>
      <c r="L193" s="319">
        <v>0</v>
      </c>
      <c r="M193" s="329"/>
    </row>
    <row r="194" spans="2:13" s="37" customFormat="1" ht="15.75">
      <c r="B194" s="48"/>
      <c r="C194" s="157"/>
      <c r="D194" s="156"/>
      <c r="E194" s="156"/>
      <c r="F194" s="156"/>
      <c r="G194" s="156"/>
      <c r="H194" s="156"/>
      <c r="I194" s="156"/>
      <c r="J194" s="156"/>
      <c r="K194" s="69"/>
      <c r="L194" s="319"/>
      <c r="M194" s="69"/>
    </row>
    <row r="195" spans="2:13" s="37" customFormat="1" ht="15.75">
      <c r="B195" s="48" t="s">
        <v>902</v>
      </c>
      <c r="C195" s="158" t="s">
        <v>898</v>
      </c>
      <c r="D195" s="159">
        <f t="shared" ref="D195:H195" si="46">SUM(D196:D200)</f>
        <v>727583.57115550421</v>
      </c>
      <c r="E195" s="159">
        <f t="shared" si="46"/>
        <v>727887.22301419987</v>
      </c>
      <c r="F195" s="159">
        <f t="shared" si="46"/>
        <v>714139.39486209291</v>
      </c>
      <c r="G195" s="159">
        <f t="shared" si="46"/>
        <v>725392.13012179732</v>
      </c>
      <c r="H195" s="159">
        <f t="shared" si="46"/>
        <v>693961.05581496621</v>
      </c>
      <c r="I195" s="159">
        <f t="shared" ref="I195" si="47">SUM(I196:I200)</f>
        <v>697212.86712202278</v>
      </c>
      <c r="J195" s="159">
        <f t="shared" ref="J195:J214" si="48">SUM(D195:I195)</f>
        <v>4286176.2420905828</v>
      </c>
      <c r="K195" s="69"/>
      <c r="L195" s="319"/>
      <c r="M195" s="69"/>
    </row>
    <row r="196" spans="2:13" s="37" customFormat="1" ht="15.75">
      <c r="B196" s="48"/>
      <c r="C196" s="160" t="s">
        <v>304</v>
      </c>
      <c r="D196" s="156">
        <f>(($E$17+$F$17)*(F801ENE!R87+F801ENE!Y87)*$L196)</f>
        <v>699798.48820166034</v>
      </c>
      <c r="E196" s="156">
        <f>(($E$17+$F$17)*(F801ENE!S87+F801ENE!Z87)*$L196)</f>
        <v>700090.54415245284</v>
      </c>
      <c r="F196" s="156">
        <f>(($E$17+$F$17)*(F801ENE!T87+F801ENE!AA87)*$L196)</f>
        <v>686867.72035831248</v>
      </c>
      <c r="G196" s="156">
        <f>(($E$17+$F$17)*(F801ENE!U87+F801ENE!AB87)*$L196)</f>
        <v>697690.73428421596</v>
      </c>
      <c r="H196" s="156">
        <f>(($E$17+$F$17)*(F801ENE!V87+F801ENE!AC87)*$L196)</f>
        <v>667459.95509339031</v>
      </c>
      <c r="I196" s="156">
        <f>(($E$17+$F$17)*(F801ENE!W87+F801ENE!AD87)*$L196)</f>
        <v>670587.585687057</v>
      </c>
      <c r="J196" s="156">
        <f t="shared" si="48"/>
        <v>4122495.0277770893</v>
      </c>
      <c r="K196" s="69"/>
      <c r="L196" s="319">
        <v>1</v>
      </c>
      <c r="M196" s="329"/>
    </row>
    <row r="197" spans="2:13" s="37" customFormat="1" ht="15.75">
      <c r="B197" s="48"/>
      <c r="C197" s="162" t="s">
        <v>644</v>
      </c>
      <c r="D197" s="156">
        <f>(($E$17+$F$17)*(F801ENE!R88+F801ENE!Y88)*$L197)</f>
        <v>27785.08295384387</v>
      </c>
      <c r="E197" s="156">
        <f>(($E$17+$F$17)*(F801ENE!S88+F801ENE!Z88)*$L197)</f>
        <v>27796.678861747001</v>
      </c>
      <c r="F197" s="156">
        <f>(($E$17+$F$17)*(F801ENE!T88+F801ENE!AA88)*$L197)</f>
        <v>27271.674503780479</v>
      </c>
      <c r="G197" s="156">
        <f>(($E$17+$F$17)*(F801ENE!U88+F801ENE!AB88)*$L197)</f>
        <v>27701.395837581338</v>
      </c>
      <c r="H197" s="156">
        <f>(($E$17+$F$17)*(F801ENE!V88+F801ENE!AC88)*$L197)</f>
        <v>26501.100721575916</v>
      </c>
      <c r="I197" s="156">
        <f>(($E$17+$F$17)*(F801ENE!W88+F801ENE!AD88)*$L197)</f>
        <v>26625.281434965749</v>
      </c>
      <c r="J197" s="156">
        <f t="shared" si="48"/>
        <v>163681.21431349436</v>
      </c>
      <c r="K197" s="69"/>
      <c r="L197" s="319">
        <v>0.75</v>
      </c>
      <c r="M197" s="329"/>
    </row>
    <row r="198" spans="2:13" s="37" customFormat="1" ht="15.75">
      <c r="B198" s="48"/>
      <c r="C198" s="160" t="s">
        <v>305</v>
      </c>
      <c r="D198" s="156">
        <f>(($E$17+$F$17)*(F801ENE!R89+F801ENE!Y89)*$L198)</f>
        <v>0</v>
      </c>
      <c r="E198" s="156">
        <f>(($E$17+$F$17)*(F801ENE!S89+F801ENE!Z89)*$L198)</f>
        <v>0</v>
      </c>
      <c r="F198" s="156">
        <f>(($E$17+$F$17)*(F801ENE!T89+F801ENE!AA89)*$L198)</f>
        <v>0</v>
      </c>
      <c r="G198" s="156">
        <f>(($E$17+$F$17)*(F801ENE!U89+F801ENE!AB89)*$L198)</f>
        <v>0</v>
      </c>
      <c r="H198" s="156">
        <f>(($E$17+$F$17)*(F801ENE!V89+F801ENE!AC89)*$L198)</f>
        <v>0</v>
      </c>
      <c r="I198" s="156">
        <f>(($E$17+$F$17)*(F801ENE!W89+F801ENE!AD89)*$L198)</f>
        <v>0</v>
      </c>
      <c r="J198" s="156">
        <f t="shared" si="48"/>
        <v>0</v>
      </c>
      <c r="K198" s="69"/>
      <c r="L198" s="319">
        <v>0.95</v>
      </c>
      <c r="M198" s="329"/>
    </row>
    <row r="199" spans="2:13" s="37" customFormat="1" ht="15.75">
      <c r="B199" s="48"/>
      <c r="C199" s="160" t="s">
        <v>307</v>
      </c>
      <c r="D199" s="156">
        <f>(($E$17+$F$17)*(F801ENE!R90+F801ENE!Y90)*$L199)</f>
        <v>0</v>
      </c>
      <c r="E199" s="156">
        <f>(($E$17+$F$17)*(F801ENE!S90+F801ENE!Z90)*$L199)</f>
        <v>0</v>
      </c>
      <c r="F199" s="156">
        <f>(($E$17+$F$17)*(F801ENE!T90+F801ENE!AA90)*$L199)</f>
        <v>0</v>
      </c>
      <c r="G199" s="156">
        <f>(($E$17+$F$17)*(F801ENE!U90+F801ENE!AB90)*$L199)</f>
        <v>0</v>
      </c>
      <c r="H199" s="156">
        <f>(($E$17+$F$17)*(F801ENE!V90+F801ENE!AC90)*$L199)</f>
        <v>0</v>
      </c>
      <c r="I199" s="156">
        <f>(($E$17+$F$17)*(F801ENE!W90+F801ENE!AD90)*$L199)</f>
        <v>0</v>
      </c>
      <c r="J199" s="156">
        <f t="shared" si="48"/>
        <v>0</v>
      </c>
      <c r="K199" s="69"/>
      <c r="L199" s="319">
        <v>0.5</v>
      </c>
      <c r="M199" s="329"/>
    </row>
    <row r="200" spans="2:13" s="37" customFormat="1" ht="15.75">
      <c r="B200" s="48"/>
      <c r="C200" s="160" t="s">
        <v>624</v>
      </c>
      <c r="D200" s="156">
        <f>(($E$17+$F$17)*(F801ENE!R91+F801ENE!Y91)*$L200)</f>
        <v>0</v>
      </c>
      <c r="E200" s="156">
        <f>(($E$17+$F$17)*(F801ENE!S91+F801ENE!Z91)*$L200)</f>
        <v>0</v>
      </c>
      <c r="F200" s="156">
        <f>(($E$17+$F$17)*(F801ENE!T91+F801ENE!AA91)*$L200)</f>
        <v>0</v>
      </c>
      <c r="G200" s="156">
        <f>(($E$17+$F$17)*(F801ENE!U91+F801ENE!AB91)*$L200)</f>
        <v>0</v>
      </c>
      <c r="H200" s="156">
        <f>(($E$17+$F$17)*(F801ENE!V91+F801ENE!AC91)*$L200)</f>
        <v>0</v>
      </c>
      <c r="I200" s="156">
        <f>(($E$17+$F$17)*(F801ENE!W91+F801ENE!AD91)*$L200)</f>
        <v>0</v>
      </c>
      <c r="J200" s="156">
        <f t="shared" si="48"/>
        <v>0</v>
      </c>
      <c r="K200" s="69"/>
      <c r="L200" s="319">
        <v>0</v>
      </c>
      <c r="M200" s="329"/>
    </row>
    <row r="201" spans="2:13" s="37" customFormat="1" ht="15.75">
      <c r="B201" s="48" t="s">
        <v>902</v>
      </c>
      <c r="C201" s="158" t="s">
        <v>899</v>
      </c>
      <c r="D201" s="159">
        <f t="shared" ref="D201:I201" si="49">SUM(D202:D207)</f>
        <v>57587.752538791749</v>
      </c>
      <c r="E201" s="159">
        <f t="shared" si="49"/>
        <v>57611.7863801122</v>
      </c>
      <c r="F201" s="159">
        <f t="shared" si="49"/>
        <v>56523.654986062123</v>
      </c>
      <c r="G201" s="159">
        <f t="shared" si="49"/>
        <v>57414.301448146543</v>
      </c>
      <c r="H201" s="159">
        <f t="shared" si="49"/>
        <v>54926.55295990681</v>
      </c>
      <c r="I201" s="159">
        <f t="shared" si="49"/>
        <v>55183.931647768353</v>
      </c>
      <c r="J201" s="159">
        <f t="shared" si="48"/>
        <v>339247.97996078781</v>
      </c>
      <c r="K201" s="69"/>
      <c r="L201" s="319"/>
      <c r="M201" s="69"/>
    </row>
    <row r="202" spans="2:13" s="37" customFormat="1" ht="15.75">
      <c r="B202" s="48"/>
      <c r="C202" s="160" t="s">
        <v>304</v>
      </c>
      <c r="D202" s="156">
        <f>(($E$17+$F$17)*(F801ENE!R93+F801ENE!Y93)*$L202)</f>
        <v>52311.052181574327</v>
      </c>
      <c r="E202" s="156">
        <f>(($E$17+$F$17)*(F801ENE!S93+F801ENE!Z93)*$L202)</f>
        <v>52332.883829312108</v>
      </c>
      <c r="F202" s="156">
        <f>(($E$17+$F$17)*(F801ENE!T93+F801ENE!AA93)*$L202)</f>
        <v>51344.45667900407</v>
      </c>
      <c r="G202" s="156">
        <f>(($E$17+$F$17)*(F801ENE!U93+F801ENE!AB93)*$L202)</f>
        <v>52153.494217359963</v>
      </c>
      <c r="H202" s="156">
        <f>(($E$17+$F$17)*(F801ENE!V93+F801ENE!AC93)*$L202)</f>
        <v>49893.69529752402</v>
      </c>
      <c r="I202" s="156">
        <f>(($E$17+$F$17)*(F801ENE!W93+F801ENE!AD93)*$L202)</f>
        <v>50127.490668546372</v>
      </c>
      <c r="J202" s="156">
        <f t="shared" si="48"/>
        <v>308163.07287332084</v>
      </c>
      <c r="K202" s="69"/>
      <c r="L202" s="319">
        <v>1</v>
      </c>
      <c r="M202" s="329"/>
    </row>
    <row r="203" spans="2:13" s="37" customFormat="1" ht="15.75">
      <c r="B203" s="48"/>
      <c r="C203" s="162" t="s">
        <v>642</v>
      </c>
      <c r="D203" s="156">
        <f>(($E$17+$F$17)*(F801ENE!R94+F801ENE!Y94)*$L203)</f>
        <v>4784.9464277769948</v>
      </c>
      <c r="E203" s="156">
        <f>(($E$17+$F$17)*(F801ENE!S94+F801ENE!Z94)*$L203)</f>
        <v>4786.9433913343864</v>
      </c>
      <c r="F203" s="156">
        <f>(($E$17+$F$17)*(F801ENE!T94+F801ENE!AA94)*$L203)</f>
        <v>4696.5309303965387</v>
      </c>
      <c r="G203" s="156">
        <f>(($E$17+$F$17)*(F801ENE!U94+F801ENE!AB94)*$L203)</f>
        <v>4770.5344366853506</v>
      </c>
      <c r="H203" s="156">
        <f>(($E$17+$F$17)*(F801ENE!V94+F801ENE!AC94)*$L203)</f>
        <v>4563.8282757878269</v>
      </c>
      <c r="I203" s="156">
        <f>(($E$17+$F$17)*(F801ENE!W94+F801ENE!AD94)*$L203)</f>
        <v>4585.2137818854899</v>
      </c>
      <c r="J203" s="156">
        <f t="shared" si="48"/>
        <v>28187.997243866586</v>
      </c>
      <c r="K203" s="69"/>
      <c r="L203" s="319">
        <v>0.75</v>
      </c>
      <c r="M203" s="329"/>
    </row>
    <row r="204" spans="2:13" s="37" customFormat="1" ht="15.75">
      <c r="B204" s="340"/>
      <c r="C204" s="162" t="s">
        <v>1177</v>
      </c>
      <c r="D204" s="156">
        <f>(($E$17+$F$17)*(F801ENE!R95+F801ENE!Y95)*$L204)</f>
        <v>491.75392944042886</v>
      </c>
      <c r="E204" s="156">
        <f>(($E$17+$F$17)*(F801ENE!S95+F801ENE!Z95)*$L204)</f>
        <v>491.95915946570051</v>
      </c>
      <c r="F204" s="156">
        <f>(($E$17+$F$17)*(F801ENE!T95+F801ENE!AA95)*$L204)</f>
        <v>482.66737666151545</v>
      </c>
      <c r="G204" s="156">
        <f>(($E$17+$F$17)*(F801ENE!U95+F801ENE!AB95)*$L204)</f>
        <v>490.27279410122526</v>
      </c>
      <c r="H204" s="156">
        <f>(($E$17+$F$17)*(F801ENE!V95+F801ENE!AC95)*$L204)</f>
        <v>469.0293865949626</v>
      </c>
      <c r="I204" s="156">
        <f>(($E$17+$F$17)*(F801ENE!W95+F801ENE!AD95)*$L204)</f>
        <v>471.22719733648927</v>
      </c>
      <c r="J204" s="156">
        <f t="shared" si="48"/>
        <v>2896.9098436003214</v>
      </c>
      <c r="K204" s="69"/>
      <c r="L204" s="319">
        <v>1</v>
      </c>
      <c r="M204" s="329"/>
    </row>
    <row r="205" spans="2:13" s="37" customFormat="1" ht="15.75">
      <c r="B205" s="48"/>
      <c r="C205" s="160" t="s">
        <v>305</v>
      </c>
      <c r="D205" s="156">
        <f>(($E$17+$F$17)*(F801ENE!R96+F801ENE!Y96)*$L205)</f>
        <v>0</v>
      </c>
      <c r="E205" s="156">
        <f>(($E$17+$F$17)*(F801ENE!S96+F801ENE!Z96)*$L205)</f>
        <v>0</v>
      </c>
      <c r="F205" s="156">
        <f>(($E$17+$F$17)*(F801ENE!T96+F801ENE!AA96)*$L205)</f>
        <v>0</v>
      </c>
      <c r="G205" s="156">
        <f>(($E$17+$F$17)*(F801ENE!U96+F801ENE!AB96)*$L205)</f>
        <v>0</v>
      </c>
      <c r="H205" s="156">
        <f>(($E$17+$F$17)*(F801ENE!V96+F801ENE!AC96)*$L205)</f>
        <v>0</v>
      </c>
      <c r="I205" s="156">
        <f>(($E$17+$F$17)*(F801ENE!W96+F801ENE!AD96)*$L205)</f>
        <v>0</v>
      </c>
      <c r="J205" s="156">
        <f t="shared" si="48"/>
        <v>0</v>
      </c>
      <c r="K205" s="69"/>
      <c r="L205" s="319">
        <v>0.95</v>
      </c>
      <c r="M205" s="329"/>
    </row>
    <row r="206" spans="2:13" s="37" customFormat="1" ht="15.75">
      <c r="B206" s="48"/>
      <c r="C206" s="160" t="s">
        <v>307</v>
      </c>
      <c r="D206" s="156">
        <f>(($E$17+$F$17)*(F801ENE!R97+F801ENE!Y97)*$L206)</f>
        <v>0</v>
      </c>
      <c r="E206" s="156">
        <f>(($E$17+$F$17)*(F801ENE!S97+F801ENE!Z97)*$L206)</f>
        <v>0</v>
      </c>
      <c r="F206" s="156">
        <f>(($E$17+$F$17)*(F801ENE!T97+F801ENE!AA97)*$L206)</f>
        <v>0</v>
      </c>
      <c r="G206" s="156">
        <f>(($E$17+$F$17)*(F801ENE!U97+F801ENE!AB97)*$L206)</f>
        <v>0</v>
      </c>
      <c r="H206" s="156">
        <f>(($E$17+$F$17)*(F801ENE!V97+F801ENE!AC97)*$L206)</f>
        <v>0</v>
      </c>
      <c r="I206" s="156">
        <f>(($E$17+$F$17)*(F801ENE!W97+F801ENE!AD97)*$L206)</f>
        <v>0</v>
      </c>
      <c r="J206" s="156">
        <f t="shared" si="48"/>
        <v>0</v>
      </c>
      <c r="K206" s="69"/>
      <c r="L206" s="319">
        <v>0.5</v>
      </c>
      <c r="M206" s="329"/>
    </row>
    <row r="207" spans="2:13" s="37" customFormat="1" ht="15.75">
      <c r="B207" s="48"/>
      <c r="C207" s="160" t="s">
        <v>624</v>
      </c>
      <c r="D207" s="156">
        <f>(($E$17+$F$17)*(F801ENE!R98+F801ENE!Y98)*$L207)</f>
        <v>0</v>
      </c>
      <c r="E207" s="156">
        <f>(($E$17+$F$17)*(F801ENE!S98+F801ENE!Z98)*$L207)</f>
        <v>0</v>
      </c>
      <c r="F207" s="156">
        <f>(($E$17+$F$17)*(F801ENE!T98+F801ENE!AA98)*$L207)</f>
        <v>0</v>
      </c>
      <c r="G207" s="156">
        <f>(($E$17+$F$17)*(F801ENE!U98+F801ENE!AB98)*$L207)</f>
        <v>0</v>
      </c>
      <c r="H207" s="156">
        <f>(($E$17+$F$17)*(F801ENE!V98+F801ENE!AC98)*$L207)</f>
        <v>0</v>
      </c>
      <c r="I207" s="156">
        <f>(($E$17+$F$17)*(F801ENE!W98+F801ENE!AD98)*$L207)</f>
        <v>0</v>
      </c>
      <c r="J207" s="156">
        <f t="shared" si="48"/>
        <v>0</v>
      </c>
      <c r="K207" s="69"/>
      <c r="L207" s="319">
        <v>0</v>
      </c>
      <c r="M207" s="329"/>
    </row>
    <row r="208" spans="2:13" s="37" customFormat="1" ht="15.75">
      <c r="B208" s="48" t="s">
        <v>902</v>
      </c>
      <c r="C208" s="158" t="s">
        <v>900</v>
      </c>
      <c r="D208" s="159">
        <f t="shared" ref="D208:I208" si="50">SUM(D209:D214)</f>
        <v>6368.3483771669544</v>
      </c>
      <c r="E208" s="159">
        <f t="shared" si="50"/>
        <v>6371.0061623317251</v>
      </c>
      <c r="F208" s="159">
        <f t="shared" si="50"/>
        <v>6250.6750243388797</v>
      </c>
      <c r="G208" s="159">
        <f t="shared" si="50"/>
        <v>6349.1672679391841</v>
      </c>
      <c r="H208" s="159">
        <f t="shared" si="50"/>
        <v>6074.0593092250629</v>
      </c>
      <c r="I208" s="159">
        <f t="shared" si="50"/>
        <v>6102.5215616468131</v>
      </c>
      <c r="J208" s="159">
        <f t="shared" si="48"/>
        <v>37515.777702648622</v>
      </c>
      <c r="K208" s="69"/>
      <c r="L208" s="319"/>
      <c r="M208" s="69"/>
    </row>
    <row r="209" spans="2:13" s="37" customFormat="1" ht="15.75">
      <c r="B209" s="48"/>
      <c r="C209" s="160" t="s">
        <v>304</v>
      </c>
      <c r="D209" s="156">
        <f>(($E$17+$F$17)*(F801ENE!R100+F801ENE!Y100)*$L209)</f>
        <v>6186.8777426128736</v>
      </c>
      <c r="E209" s="156">
        <f>(($E$17+$F$17)*(F801ENE!S100+F801ENE!Z100)*$L209)</f>
        <v>6189.4597922914882</v>
      </c>
      <c r="F209" s="156">
        <f>(($E$17+$F$17)*(F801ENE!T100+F801ENE!AA100)*$L209)</f>
        <v>6072.5575760024976</v>
      </c>
      <c r="G209" s="156">
        <f>(($E$17+$F$17)*(F801ENE!U100+F801ENE!AB100)*$L209)</f>
        <v>6168.2432127895054</v>
      </c>
      <c r="H209" s="156">
        <f>(($E$17+$F$17)*(F801ENE!V100+F801ENE!AC100)*$L209)</f>
        <v>5900.9746518096108</v>
      </c>
      <c r="I209" s="156">
        <f>(($E$17+$F$17)*(F801ENE!W100+F801ENE!AD100)*$L209)</f>
        <v>5928.6258520241154</v>
      </c>
      <c r="J209" s="156">
        <f t="shared" si="48"/>
        <v>36446.738827530091</v>
      </c>
      <c r="K209" s="69"/>
      <c r="L209" s="319">
        <v>1</v>
      </c>
      <c r="M209" s="329"/>
    </row>
    <row r="210" spans="2:13" s="37" customFormat="1" ht="15.75">
      <c r="B210" s="48"/>
      <c r="C210" s="162" t="s">
        <v>642</v>
      </c>
      <c r="D210" s="156">
        <f>(($E$17+$F$17)*(F801ENE!R101+F801ENE!Y101)*$L210)</f>
        <v>181.47063455408045</v>
      </c>
      <c r="E210" s="156">
        <f>(($E$17+$F$17)*(F801ENE!S101+F801ENE!Z101)*$L210)</f>
        <v>181.54637004023709</v>
      </c>
      <c r="F210" s="156">
        <f>(($E$17+$F$17)*(F801ENE!T101+F801ENE!AA101)*$L210)</f>
        <v>178.1174483363823</v>
      </c>
      <c r="G210" s="156">
        <f>(($E$17+$F$17)*(F801ENE!U101+F801ENE!AB101)*$L210)</f>
        <v>180.92405514967879</v>
      </c>
      <c r="H210" s="156">
        <f>(($E$17+$F$17)*(F801ENE!V101+F801ENE!AC101)*$L210)</f>
        <v>173.08465741545197</v>
      </c>
      <c r="I210" s="156">
        <f>(($E$17+$F$17)*(F801ENE!W101+F801ENE!AD101)*$L210)</f>
        <v>173.89570962269812</v>
      </c>
      <c r="J210" s="156">
        <f t="shared" si="48"/>
        <v>1069.0388751185287</v>
      </c>
      <c r="K210" s="69"/>
      <c r="L210" s="319">
        <v>0.75</v>
      </c>
      <c r="M210" s="329"/>
    </row>
    <row r="211" spans="2:13" s="37" customFormat="1" ht="15.75">
      <c r="B211" s="48"/>
      <c r="C211" s="162" t="s">
        <v>1177</v>
      </c>
      <c r="D211" s="156">
        <f>(($E$17+$F$17)*(F801ENE!R102+F801ENE!Y102)*$L211)</f>
        <v>0</v>
      </c>
      <c r="E211" s="156">
        <f>(($E$17+$F$17)*(F801ENE!S102+F801ENE!Z102)*$L211)</f>
        <v>0</v>
      </c>
      <c r="F211" s="156">
        <f>(($E$17+$F$17)*(F801ENE!T102+F801ENE!AA102)*$L211)</f>
        <v>0</v>
      </c>
      <c r="G211" s="156">
        <f>(($E$17+$F$17)*(F801ENE!U102+F801ENE!AB102)*$L211)</f>
        <v>0</v>
      </c>
      <c r="H211" s="156">
        <f>(($E$17+$F$17)*(F801ENE!V102+F801ENE!AC102)*$L211)</f>
        <v>0</v>
      </c>
      <c r="I211" s="156">
        <f>(($E$17+$F$17)*(F801ENE!W102+F801ENE!AD102)*$L211)</f>
        <v>0</v>
      </c>
      <c r="J211" s="156">
        <f t="shared" si="48"/>
        <v>0</v>
      </c>
      <c r="K211" s="69"/>
      <c r="L211" s="319">
        <v>1</v>
      </c>
      <c r="M211" s="329"/>
    </row>
    <row r="212" spans="2:13" s="37" customFormat="1" ht="15.75">
      <c r="B212" s="48"/>
      <c r="C212" s="160" t="s">
        <v>305</v>
      </c>
      <c r="D212" s="156">
        <f>(($E$17+$F$17)*(F801ENE!R103+F801ENE!Y103)*$L212)</f>
        <v>0</v>
      </c>
      <c r="E212" s="156">
        <f>(($E$17+$F$17)*(F801ENE!S103+F801ENE!Z103)*$L212)</f>
        <v>0</v>
      </c>
      <c r="F212" s="156">
        <f>(($E$17+$F$17)*(F801ENE!T103+F801ENE!AA103)*$L212)</f>
        <v>0</v>
      </c>
      <c r="G212" s="156">
        <f>(($E$17+$F$17)*(F801ENE!U103+F801ENE!AB103)*$L212)</f>
        <v>0</v>
      </c>
      <c r="H212" s="156">
        <f>(($E$17+$F$17)*(F801ENE!V103+F801ENE!AC103)*$L212)</f>
        <v>0</v>
      </c>
      <c r="I212" s="156">
        <f>(($E$17+$F$17)*(F801ENE!W103+F801ENE!AD103)*$L212)</f>
        <v>0</v>
      </c>
      <c r="J212" s="156">
        <f t="shared" si="48"/>
        <v>0</v>
      </c>
      <c r="K212" s="69"/>
      <c r="L212" s="319">
        <v>0.95</v>
      </c>
      <c r="M212" s="329"/>
    </row>
    <row r="213" spans="2:13" s="37" customFormat="1" ht="15.75">
      <c r="B213" s="48"/>
      <c r="C213" s="160" t="s">
        <v>307</v>
      </c>
      <c r="D213" s="156">
        <f>(($E$17+$F$17)*(F801ENE!R104+F801ENE!Y104)*$L213)</f>
        <v>0</v>
      </c>
      <c r="E213" s="156">
        <f>(($E$17+$F$17)*(F801ENE!S104+F801ENE!Z104)*$L213)</f>
        <v>0</v>
      </c>
      <c r="F213" s="156">
        <f>(($E$17+$F$17)*(F801ENE!T104+F801ENE!AA104)*$L213)</f>
        <v>0</v>
      </c>
      <c r="G213" s="156">
        <f>(($E$17+$F$17)*(F801ENE!U104+F801ENE!AB104)*$L213)</f>
        <v>0</v>
      </c>
      <c r="H213" s="156">
        <f>(($E$17+$F$17)*(F801ENE!V104+F801ENE!AC104)*$L213)</f>
        <v>0</v>
      </c>
      <c r="I213" s="156">
        <f>(($E$17+$F$17)*(F801ENE!W104+F801ENE!AD104)*$L213)</f>
        <v>0</v>
      </c>
      <c r="J213" s="156">
        <f t="shared" si="48"/>
        <v>0</v>
      </c>
      <c r="K213" s="69"/>
      <c r="L213" s="319">
        <v>0.5</v>
      </c>
      <c r="M213" s="329"/>
    </row>
    <row r="214" spans="2:13" s="37" customFormat="1" ht="15.75">
      <c r="B214" s="48"/>
      <c r="C214" s="160" t="s">
        <v>624</v>
      </c>
      <c r="D214" s="156">
        <f>(($E$17+$F$17)*(F801ENE!R105+F801ENE!Y105)*$L214)</f>
        <v>0</v>
      </c>
      <c r="E214" s="156">
        <f>(($E$17+$F$17)*(F801ENE!S105+F801ENE!Z105)*$L214)</f>
        <v>0</v>
      </c>
      <c r="F214" s="156">
        <f>(($E$17+$F$17)*(F801ENE!T105+F801ENE!AA105)*$L214)</f>
        <v>0</v>
      </c>
      <c r="G214" s="156">
        <f>(($E$17+$F$17)*(F801ENE!U105+F801ENE!AB105)*$L214)</f>
        <v>0</v>
      </c>
      <c r="H214" s="156">
        <f>(($E$17+$F$17)*(F801ENE!V105+F801ENE!AC105)*$L214)</f>
        <v>0</v>
      </c>
      <c r="I214" s="156">
        <f>(($E$17+$F$17)*(F801ENE!W105+F801ENE!AD105)*$L214)</f>
        <v>0</v>
      </c>
      <c r="J214" s="156">
        <f t="shared" si="48"/>
        <v>0</v>
      </c>
      <c r="K214" s="69"/>
      <c r="L214" s="319">
        <v>0</v>
      </c>
      <c r="M214" s="329"/>
    </row>
    <row r="215" spans="2:13" s="37" customFormat="1" ht="15.75">
      <c r="B215" s="48"/>
      <c r="C215" s="157"/>
      <c r="D215" s="156"/>
      <c r="E215" s="156"/>
      <c r="F215" s="156"/>
      <c r="G215" s="156"/>
      <c r="H215" s="156"/>
      <c r="I215" s="156"/>
      <c r="J215" s="156"/>
      <c r="K215" s="69"/>
      <c r="L215" s="319"/>
      <c r="M215" s="69"/>
    </row>
    <row r="216" spans="2:13" s="37" customFormat="1" ht="15.75">
      <c r="B216" s="48"/>
      <c r="C216" s="153" t="s">
        <v>112</v>
      </c>
      <c r="D216" s="154">
        <f t="shared" ref="D216:I216" si="51">D125+D129+D139</f>
        <v>17746360.682909667</v>
      </c>
      <c r="E216" s="154">
        <f t="shared" si="51"/>
        <v>17753766.998537958</v>
      </c>
      <c r="F216" s="154">
        <f t="shared" si="51"/>
        <v>17418446.296285868</v>
      </c>
      <c r="G216" s="154">
        <f t="shared" si="51"/>
        <v>17692909.654991921</v>
      </c>
      <c r="H216" s="154">
        <f t="shared" si="51"/>
        <v>16926280.206871487</v>
      </c>
      <c r="I216" s="154">
        <f t="shared" si="51"/>
        <v>17005594.527577944</v>
      </c>
      <c r="J216" s="154">
        <f>SUM(D216:I216)</f>
        <v>104543358.36717483</v>
      </c>
      <c r="K216" s="69"/>
      <c r="L216" s="319"/>
      <c r="M216" s="69"/>
    </row>
    <row r="217" spans="2:13">
      <c r="C217" s="48"/>
      <c r="D217" s="48"/>
      <c r="E217" s="48"/>
      <c r="F217" s="48"/>
      <c r="G217" s="48"/>
      <c r="H217" s="48"/>
      <c r="I217" s="48"/>
      <c r="J217" s="48"/>
    </row>
    <row r="218" spans="2:13" s="69" customFormat="1" ht="30">
      <c r="B218" s="48"/>
      <c r="C218" s="320" t="s">
        <v>1454</v>
      </c>
      <c r="D218" s="320"/>
      <c r="E218" s="320"/>
      <c r="F218" s="320"/>
      <c r="G218" s="320"/>
      <c r="H218" s="320"/>
      <c r="I218" s="320"/>
      <c r="J218" s="321"/>
      <c r="L218" s="319"/>
    </row>
    <row r="219" spans="2:13" s="37" customFormat="1" ht="15.75">
      <c r="B219" s="48"/>
      <c r="C219" s="150" t="s">
        <v>310</v>
      </c>
      <c r="D219" s="151">
        <f t="shared" ref="D219:I219" si="52">D$29</f>
        <v>46204</v>
      </c>
      <c r="E219" s="151">
        <f t="shared" si="52"/>
        <v>46235</v>
      </c>
      <c r="F219" s="151">
        <f t="shared" si="52"/>
        <v>46266</v>
      </c>
      <c r="G219" s="151">
        <f t="shared" si="52"/>
        <v>46296</v>
      </c>
      <c r="H219" s="151">
        <f t="shared" si="52"/>
        <v>46327</v>
      </c>
      <c r="I219" s="151">
        <f t="shared" si="52"/>
        <v>46357</v>
      </c>
      <c r="J219" s="152" t="s">
        <v>111</v>
      </c>
      <c r="K219" s="69"/>
      <c r="L219" s="319"/>
      <c r="M219" s="69"/>
    </row>
    <row r="220" spans="2:13" s="37" customFormat="1" ht="15.75">
      <c r="B220" s="48"/>
      <c r="C220" s="153" t="s">
        <v>446</v>
      </c>
      <c r="D220" s="154">
        <f t="shared" ref="D220:I220" si="53">SUM(D221:D222)</f>
        <v>30982.224590882113</v>
      </c>
      <c r="E220" s="154">
        <f t="shared" si="53"/>
        <v>30995.154803240552</v>
      </c>
      <c r="F220" s="154">
        <f t="shared" si="53"/>
        <v>30409.739853904932</v>
      </c>
      <c r="G220" s="154">
        <f t="shared" si="53"/>
        <v>30888.907862776014</v>
      </c>
      <c r="H220" s="154">
        <f t="shared" si="53"/>
        <v>29550.498583192631</v>
      </c>
      <c r="I220" s="154">
        <f t="shared" si="53"/>
        <v>29688.968378603753</v>
      </c>
      <c r="J220" s="154">
        <f>SUM(D220:I220)</f>
        <v>182515.49407259998</v>
      </c>
      <c r="K220" s="69"/>
      <c r="L220" s="319"/>
      <c r="M220" s="69"/>
    </row>
    <row r="221" spans="2:13" s="37" customFormat="1" ht="15.75">
      <c r="B221" s="48" t="s">
        <v>279</v>
      </c>
      <c r="C221" s="155" t="s">
        <v>279</v>
      </c>
      <c r="D221" s="156">
        <f>$J$7*F801ENE!D6</f>
        <v>30981.414590882112</v>
      </c>
      <c r="E221" s="156">
        <f>$J$7*F801ENE!E6</f>
        <v>30994.34480324055</v>
      </c>
      <c r="F221" s="156">
        <f>$J$7*F801ENE!F6</f>
        <v>30408.92985390493</v>
      </c>
      <c r="G221" s="156">
        <f>$J$7*F801ENE!G6</f>
        <v>30888.097862776012</v>
      </c>
      <c r="H221" s="156">
        <f>$J$7*F801ENE!H6</f>
        <v>29549.68858319263</v>
      </c>
      <c r="I221" s="156">
        <f>$J$7*F801ENE!I6</f>
        <v>29688.158378603752</v>
      </c>
      <c r="J221" s="156">
        <f>SUM(D221:I221)</f>
        <v>182510.63407259999</v>
      </c>
      <c r="K221" s="69"/>
      <c r="L221" s="319"/>
      <c r="M221" s="69"/>
    </row>
    <row r="222" spans="2:13" s="37" customFormat="1" ht="15.75">
      <c r="B222" s="48" t="s">
        <v>278</v>
      </c>
      <c r="C222" s="155" t="s">
        <v>278</v>
      </c>
      <c r="D222" s="156">
        <f>$J$8*F801ENE!D7</f>
        <v>0.80999999999999994</v>
      </c>
      <c r="E222" s="156">
        <f>$J$8*F801ENE!E7</f>
        <v>0.80999999999999994</v>
      </c>
      <c r="F222" s="156">
        <f>$J$8*F801ENE!F7</f>
        <v>0.80999999999999994</v>
      </c>
      <c r="G222" s="156">
        <f>$J$8*F801ENE!G7</f>
        <v>0.80999999999999994</v>
      </c>
      <c r="H222" s="156">
        <f>$J$8*F801ENE!H7</f>
        <v>0.80999999999999994</v>
      </c>
      <c r="I222" s="156">
        <f>$J$8*F801ENE!I7</f>
        <v>0.80999999999999994</v>
      </c>
      <c r="J222" s="156">
        <f>SUM(D222:I222)</f>
        <v>4.8599999999999994</v>
      </c>
      <c r="K222" s="69"/>
      <c r="L222" s="319"/>
    </row>
    <row r="223" spans="2:13" s="37" customFormat="1" ht="15.75">
      <c r="B223" s="48"/>
      <c r="C223" s="157"/>
      <c r="D223" s="156"/>
      <c r="E223" s="156"/>
      <c r="F223" s="156"/>
      <c r="G223" s="156"/>
      <c r="H223" s="156"/>
      <c r="I223" s="156"/>
      <c r="J223" s="156"/>
      <c r="K223" s="69"/>
      <c r="L223" s="319"/>
    </row>
    <row r="224" spans="2:13" s="37" customFormat="1" ht="15.75">
      <c r="B224" s="48"/>
      <c r="C224" s="153" t="s">
        <v>630</v>
      </c>
      <c r="D224" s="154">
        <f>D225+D228</f>
        <v>49597.784473634289</v>
      </c>
      <c r="E224" s="154">
        <f t="shared" ref="E224:I224" si="54">E225+E228</f>
        <v>49618.483758279617</v>
      </c>
      <c r="F224" s="154">
        <f t="shared" si="54"/>
        <v>48681.32431062212</v>
      </c>
      <c r="G224" s="154">
        <f t="shared" si="54"/>
        <v>49448.398720044701</v>
      </c>
      <c r="H224" s="154">
        <f t="shared" si="54"/>
        <v>47305.810966490528</v>
      </c>
      <c r="I224" s="154">
        <f t="shared" si="54"/>
        <v>47527.479847908748</v>
      </c>
      <c r="J224" s="154">
        <f t="shared" ref="J224:J232" si="55">SUM(D224:I224)</f>
        <v>292179.28207697999</v>
      </c>
      <c r="K224" s="69"/>
      <c r="L224" s="319"/>
    </row>
    <row r="225" spans="2:12" s="37" customFormat="1" ht="15.75">
      <c r="B225" s="48" t="s">
        <v>277</v>
      </c>
      <c r="C225" s="155" t="s">
        <v>277</v>
      </c>
      <c r="D225" s="154">
        <f>SUM(D226:D227)</f>
        <v>7095.2491615543195</v>
      </c>
      <c r="E225" s="154">
        <f t="shared" ref="E225:I225" si="56">SUM(E226:E227)</f>
        <v>7098.2103136215574</v>
      </c>
      <c r="F225" s="154">
        <f t="shared" si="56"/>
        <v>6964.1442488607554</v>
      </c>
      <c r="G225" s="154">
        <f t="shared" si="56"/>
        <v>7073.8786678084107</v>
      </c>
      <c r="H225" s="154">
        <f t="shared" si="56"/>
        <v>6767.3691306728733</v>
      </c>
      <c r="I225" s="154">
        <f t="shared" si="56"/>
        <v>6799.0801428020841</v>
      </c>
      <c r="J225" s="154">
        <f t="shared" si="55"/>
        <v>41797.931665320008</v>
      </c>
      <c r="K225" s="69"/>
      <c r="L225" s="319"/>
    </row>
    <row r="226" spans="2:12" s="37" customFormat="1" ht="15.75">
      <c r="B226" s="48"/>
      <c r="C226" s="160" t="s">
        <v>304</v>
      </c>
      <c r="D226" s="156">
        <f>$J$9*F801ENE!D11</f>
        <v>6186.1931117031681</v>
      </c>
      <c r="E226" s="156">
        <f>$J$9*F801ENE!E11</f>
        <v>6188.774875655914</v>
      </c>
      <c r="F226" s="156">
        <f>$J$9*F801ENE!F11</f>
        <v>6071.8855955964746</v>
      </c>
      <c r="G226" s="156">
        <f>$J$9*F801ENE!G11</f>
        <v>6167.5606439498188</v>
      </c>
      <c r="H226" s="156">
        <f>$J$9*F801ENE!H11</f>
        <v>5900.3216585208966</v>
      </c>
      <c r="I226" s="156">
        <f>$J$9*F801ENE!I11</f>
        <v>5927.9697988937269</v>
      </c>
      <c r="J226" s="156">
        <f t="shared" si="55"/>
        <v>36442.705684320004</v>
      </c>
      <c r="K226" s="69"/>
      <c r="L226" s="319"/>
    </row>
    <row r="227" spans="2:12" s="37" customFormat="1" ht="15.75">
      <c r="B227" s="48"/>
      <c r="C227" s="160" t="s">
        <v>305</v>
      </c>
      <c r="D227" s="156">
        <f>($J$9*F801ENE!D12)*$L227</f>
        <v>909.05604985115144</v>
      </c>
      <c r="E227" s="156">
        <f>($J$9*F801ENE!E12)*$L227</f>
        <v>909.43543796564313</v>
      </c>
      <c r="F227" s="156">
        <f>($J$9*F801ENE!F12)*$L227</f>
        <v>892.2586532642805</v>
      </c>
      <c r="G227" s="156">
        <f>($J$9*F801ENE!G12)*$L227</f>
        <v>906.31802385859146</v>
      </c>
      <c r="H227" s="156">
        <f>($J$9*F801ENE!H12)*$L227</f>
        <v>867.04747215197654</v>
      </c>
      <c r="I227" s="156">
        <f>($J$9*F801ENE!I12)*$L227</f>
        <v>871.11034390835687</v>
      </c>
      <c r="J227" s="156">
        <f t="shared" si="55"/>
        <v>5355.2259810000005</v>
      </c>
      <c r="K227" s="69"/>
      <c r="L227" s="319">
        <v>0.95</v>
      </c>
    </row>
    <row r="228" spans="2:12" s="37" customFormat="1" ht="15.75">
      <c r="B228" s="48" t="s">
        <v>276</v>
      </c>
      <c r="C228" s="158" t="s">
        <v>276</v>
      </c>
      <c r="D228" s="159">
        <f t="shared" ref="D228:I228" si="57">SUM(D229:D232)</f>
        <v>42502.53531207997</v>
      </c>
      <c r="E228" s="159">
        <f t="shared" si="57"/>
        <v>42520.273444658058</v>
      </c>
      <c r="F228" s="159">
        <f t="shared" si="57"/>
        <v>41717.180061761363</v>
      </c>
      <c r="G228" s="159">
        <f t="shared" si="57"/>
        <v>42374.520052236287</v>
      </c>
      <c r="H228" s="159">
        <f t="shared" si="57"/>
        <v>40538.441835817655</v>
      </c>
      <c r="I228" s="159">
        <f t="shared" si="57"/>
        <v>40728.399705106662</v>
      </c>
      <c r="J228" s="159">
        <f t="shared" si="55"/>
        <v>250381.35041165998</v>
      </c>
      <c r="K228" s="69"/>
      <c r="L228" s="319"/>
    </row>
    <row r="229" spans="2:12" s="37" customFormat="1" ht="15.75">
      <c r="B229" s="48"/>
      <c r="C229" s="160" t="s">
        <v>304</v>
      </c>
      <c r="D229" s="156">
        <f>$J$10*F801ENE!D15</f>
        <v>42336.841318762417</v>
      </c>
      <c r="E229" s="156">
        <f>$J$10*F801ENE!E15</f>
        <v>42354.510300124013</v>
      </c>
      <c r="F229" s="156">
        <f>$J$10*F801ENE!F15</f>
        <v>41554.547736333567</v>
      </c>
      <c r="G229" s="156">
        <f>$J$10*F801ENE!G15</f>
        <v>42209.325119961875</v>
      </c>
      <c r="H229" s="156">
        <f>$J$10*F801ENE!H15</f>
        <v>40380.404761997757</v>
      </c>
      <c r="I229" s="156">
        <f>$J$10*F801ENE!I15</f>
        <v>40569.622090100376</v>
      </c>
      <c r="J229" s="156">
        <f t="shared" si="55"/>
        <v>249405.25132727998</v>
      </c>
      <c r="K229" s="69"/>
      <c r="L229" s="319">
        <v>1</v>
      </c>
    </row>
    <row r="230" spans="2:12" s="37" customFormat="1" ht="15.75">
      <c r="B230" s="48"/>
      <c r="C230" s="161" t="s">
        <v>306</v>
      </c>
      <c r="D230" s="156">
        <f>$J$10*F801ENE!D16</f>
        <v>0</v>
      </c>
      <c r="E230" s="156">
        <f>$J$10*F801ENE!E16</f>
        <v>0</v>
      </c>
      <c r="F230" s="156">
        <f>$J$10*F801ENE!F16</f>
        <v>0</v>
      </c>
      <c r="G230" s="156">
        <f>$J$10*F801ENE!G16</f>
        <v>0</v>
      </c>
      <c r="H230" s="156">
        <f>$J$10*F801ENE!H16</f>
        <v>0</v>
      </c>
      <c r="I230" s="156">
        <f>$J$10*F801ENE!I16</f>
        <v>0</v>
      </c>
      <c r="J230" s="156">
        <f t="shared" si="55"/>
        <v>0</v>
      </c>
      <c r="K230" s="69"/>
      <c r="L230" s="319">
        <v>1</v>
      </c>
    </row>
    <row r="231" spans="2:12" s="37" customFormat="1" ht="15.75">
      <c r="B231" s="48"/>
      <c r="C231" s="160" t="s">
        <v>305</v>
      </c>
      <c r="D231" s="156">
        <f>$J$10*F801ENE!D17*0.95</f>
        <v>165.69399331755451</v>
      </c>
      <c r="E231" s="156">
        <f>$J$10*F801ENE!E17*0.95</f>
        <v>165.76314453404734</v>
      </c>
      <c r="F231" s="156">
        <f>$J$10*F801ENE!F17*0.95</f>
        <v>162.63232542779895</v>
      </c>
      <c r="G231" s="156">
        <f>$J$10*F801ENE!G17*0.95</f>
        <v>165.19493227441117</v>
      </c>
      <c r="H231" s="156">
        <f>$J$10*F801ENE!H17*0.95</f>
        <v>158.03707381989892</v>
      </c>
      <c r="I231" s="156">
        <f>$J$10*F801ENE!I17*0.95</f>
        <v>158.77761500628895</v>
      </c>
      <c r="J231" s="156">
        <f t="shared" si="55"/>
        <v>976.09908437999979</v>
      </c>
      <c r="K231" s="69"/>
      <c r="L231" s="319">
        <v>0.95</v>
      </c>
    </row>
    <row r="232" spans="2:12" s="37" customFormat="1" ht="15.75">
      <c r="B232" s="48"/>
      <c r="C232" s="160" t="s">
        <v>307</v>
      </c>
      <c r="D232" s="156">
        <f>$J$10*F801ENE!D18*0.5</f>
        <v>0</v>
      </c>
      <c r="E232" s="156">
        <f>$J$10*F801ENE!E18*0.5</f>
        <v>0</v>
      </c>
      <c r="F232" s="156">
        <f>$J$10*F801ENE!F18*0.5</f>
        <v>0</v>
      </c>
      <c r="G232" s="156">
        <f>$J$10*F801ENE!G18*0.5</f>
        <v>0</v>
      </c>
      <c r="H232" s="156">
        <f>$J$10*F801ENE!H18*0.5</f>
        <v>0</v>
      </c>
      <c r="I232" s="156">
        <f>$J$10*F801ENE!I18*0.5</f>
        <v>0</v>
      </c>
      <c r="J232" s="156">
        <f t="shared" si="55"/>
        <v>0</v>
      </c>
      <c r="K232" s="69"/>
      <c r="L232" s="319">
        <v>0.5</v>
      </c>
    </row>
    <row r="233" spans="2:12" s="37" customFormat="1" ht="15.75">
      <c r="B233" s="48"/>
      <c r="C233" s="157"/>
      <c r="D233" s="157"/>
      <c r="E233" s="157"/>
      <c r="F233" s="157"/>
      <c r="G233" s="157"/>
      <c r="H233" s="157"/>
      <c r="I233" s="157"/>
      <c r="J233" s="157"/>
      <c r="K233" s="69"/>
      <c r="L233" s="319"/>
    </row>
    <row r="234" spans="2:12" s="37" customFormat="1" ht="15.75">
      <c r="B234" s="48"/>
      <c r="C234" s="153" t="s">
        <v>443</v>
      </c>
      <c r="D234" s="154">
        <f t="shared" ref="D234:I234" si="58">D235+D239+D246+D251+D256+D269+D275+D282+D290+D296+D303+D262</f>
        <v>375495.0530626516</v>
      </c>
      <c r="E234" s="154">
        <f t="shared" si="58"/>
        <v>375651.7632846245</v>
      </c>
      <c r="F234" s="154">
        <f t="shared" si="58"/>
        <v>368556.71301680937</v>
      </c>
      <c r="G234" s="154">
        <f t="shared" si="58"/>
        <v>374364.08283804054</v>
      </c>
      <c r="H234" s="154">
        <f t="shared" si="58"/>
        <v>358142.9714224005</v>
      </c>
      <c r="I234" s="154">
        <f t="shared" si="58"/>
        <v>359821.18302278925</v>
      </c>
      <c r="J234" s="154">
        <f>SUM(D234:I234)</f>
        <v>2212031.766647316</v>
      </c>
      <c r="K234" s="69"/>
      <c r="L234" s="319"/>
    </row>
    <row r="235" spans="2:12" s="37" customFormat="1" ht="15.75">
      <c r="B235" s="48" t="s">
        <v>275</v>
      </c>
      <c r="C235" s="155" t="s">
        <v>275</v>
      </c>
      <c r="D235" s="156">
        <f>$J$11*F801ENE!D21</f>
        <v>4754.5155705673224</v>
      </c>
      <c r="E235" s="156">
        <f>$J$11*F801ENE!E21</f>
        <v>4756.4998340216334</v>
      </c>
      <c r="F235" s="156">
        <f>$J$11*F801ENE!F21</f>
        <v>4666.6623698429567</v>
      </c>
      <c r="G235" s="156">
        <f>$J$11*F801ENE!G21</f>
        <v>4740.195235516062</v>
      </c>
      <c r="H235" s="156">
        <f>$J$11*F801ENE!H21</f>
        <v>4534.8036652334122</v>
      </c>
      <c r="I235" s="156">
        <f>$J$11*F801ENE!I21</f>
        <v>4556.0531657786123</v>
      </c>
      <c r="J235" s="156">
        <f>SUM(D235:I235)</f>
        <v>28008.729840959997</v>
      </c>
      <c r="K235" s="69"/>
      <c r="L235" s="319"/>
    </row>
    <row r="236" spans="2:12" s="37" customFormat="1" ht="15.75">
      <c r="B236" s="48"/>
      <c r="C236" s="160" t="s">
        <v>304</v>
      </c>
      <c r="D236" s="156"/>
      <c r="E236" s="156"/>
      <c r="F236" s="156"/>
      <c r="G236" s="156"/>
      <c r="H236" s="156"/>
      <c r="I236" s="156"/>
      <c r="J236" s="156"/>
      <c r="K236" s="69"/>
      <c r="L236" s="319"/>
    </row>
    <row r="237" spans="2:12" s="37" customFormat="1" ht="15.75">
      <c r="B237" s="48"/>
      <c r="C237" s="161" t="s">
        <v>306</v>
      </c>
      <c r="D237" s="156"/>
      <c r="E237" s="156"/>
      <c r="F237" s="156"/>
      <c r="G237" s="156"/>
      <c r="H237" s="156"/>
      <c r="I237" s="156"/>
      <c r="J237" s="156"/>
      <c r="K237" s="69"/>
      <c r="L237" s="319"/>
    </row>
    <row r="238" spans="2:12" s="37" customFormat="1" ht="15.75">
      <c r="B238" s="48"/>
      <c r="C238" s="160" t="s">
        <v>305</v>
      </c>
      <c r="D238" s="156"/>
      <c r="E238" s="156"/>
      <c r="F238" s="156"/>
      <c r="G238" s="156"/>
      <c r="H238" s="156"/>
      <c r="I238" s="156"/>
      <c r="J238" s="156"/>
      <c r="K238" s="69"/>
      <c r="L238" s="319"/>
    </row>
    <row r="239" spans="2:12" s="37" customFormat="1" ht="15.75">
      <c r="B239" s="48" t="s">
        <v>274</v>
      </c>
      <c r="C239" s="158" t="s">
        <v>627</v>
      </c>
      <c r="D239" s="159">
        <f t="shared" ref="D239:I239" si="59">SUM(D240:D245)</f>
        <v>57327.572180553863</v>
      </c>
      <c r="E239" s="159">
        <f t="shared" si="59"/>
        <v>57351.497437441525</v>
      </c>
      <c r="F239" s="159">
        <f t="shared" si="59"/>
        <v>56268.282200098954</v>
      </c>
      <c r="G239" s="159">
        <f t="shared" si="59"/>
        <v>57154.904738599747</v>
      </c>
      <c r="H239" s="159">
        <f t="shared" si="59"/>
        <v>54678.395850176661</v>
      </c>
      <c r="I239" s="159">
        <f t="shared" si="59"/>
        <v>54934.611706077274</v>
      </c>
      <c r="J239" s="159">
        <f t="shared" ref="J239:J260" si="60">SUM(D239:I239)</f>
        <v>337715.26411294803</v>
      </c>
      <c r="K239" s="69"/>
      <c r="L239" s="319"/>
    </row>
    <row r="240" spans="2:12" s="37" customFormat="1" ht="15.75">
      <c r="B240" s="48"/>
      <c r="C240" s="160" t="s">
        <v>304</v>
      </c>
      <c r="D240" s="156">
        <f>$J$12*F801ENE!D28</f>
        <v>57224.434549512393</v>
      </c>
      <c r="E240" s="156">
        <f>$J$12*F801ENE!E28</f>
        <v>57248.31676263902</v>
      </c>
      <c r="F240" s="156">
        <f>$J$12*F801ENE!F28</f>
        <v>56167.050330195001</v>
      </c>
      <c r="G240" s="156">
        <f>$J$12*F801ENE!G28</f>
        <v>57052.077752336067</v>
      </c>
      <c r="H240" s="156">
        <f>$J$12*F801ENE!H28</f>
        <v>54580.024333598682</v>
      </c>
      <c r="I240" s="156">
        <f>$J$12*F801ENE!I28</f>
        <v>54835.779233358859</v>
      </c>
      <c r="J240" s="156">
        <f t="shared" si="60"/>
        <v>337107.68296164001</v>
      </c>
      <c r="K240" s="69"/>
      <c r="L240" s="319">
        <v>1</v>
      </c>
    </row>
    <row r="241" spans="2:12" s="37" customFormat="1" ht="15.75">
      <c r="B241" s="48"/>
      <c r="C241" s="162" t="s">
        <v>628</v>
      </c>
      <c r="D241" s="156">
        <f>$J$12*F801ENE!D29*0.75</f>
        <v>4.951677545221477</v>
      </c>
      <c r="E241" s="156">
        <f>$J$12*F801ENE!E29*0.75</f>
        <v>4.9537440928317817</v>
      </c>
      <c r="F241" s="156">
        <f>$J$12*F801ENE!F29*0.75</f>
        <v>4.860181216132629</v>
      </c>
      <c r="G241" s="156">
        <f>$J$12*F801ENE!G29*0.75</f>
        <v>4.93676336932681</v>
      </c>
      <c r="H241" s="156">
        <f>$J$12*F801ENE!H29*0.75</f>
        <v>4.7228545469764782</v>
      </c>
      <c r="I241" s="156">
        <f>$J$12*F801ENE!I29*0.75</f>
        <v>4.7449852295108252</v>
      </c>
      <c r="J241" s="156">
        <f t="shared" si="60"/>
        <v>29.170206</v>
      </c>
      <c r="K241" s="69"/>
      <c r="L241" s="319">
        <v>0.75</v>
      </c>
    </row>
    <row r="242" spans="2:12" s="37" customFormat="1" ht="15.75">
      <c r="B242" s="48"/>
      <c r="C242" s="161" t="s">
        <v>629</v>
      </c>
      <c r="D242" s="156">
        <f>$J$12*F801ENE!D30</f>
        <v>26.307374035125388</v>
      </c>
      <c r="E242" s="156">
        <f>$J$12*F801ENE!E30</f>
        <v>26.318353231660133</v>
      </c>
      <c r="F242" s="156">
        <f>$J$12*F801ENE!F30</f>
        <v>25.821270461094379</v>
      </c>
      <c r="G242" s="156">
        <f>$J$12*F801ENE!G30</f>
        <v>26.228137695500386</v>
      </c>
      <c r="H242" s="156">
        <f>$J$12*F801ENE!H30</f>
        <v>25.091678516244261</v>
      </c>
      <c r="I242" s="156">
        <f>$J$12*F801ENE!I30</f>
        <v>25.209254860375463</v>
      </c>
      <c r="J242" s="156">
        <f t="shared" si="60"/>
        <v>154.97606880000001</v>
      </c>
      <c r="K242" s="69"/>
      <c r="L242" s="319">
        <v>1</v>
      </c>
    </row>
    <row r="243" spans="2:12" s="37" customFormat="1" ht="15.75">
      <c r="B243" s="48"/>
      <c r="C243" s="160" t="s">
        <v>305</v>
      </c>
      <c r="D243" s="156">
        <f>$J$12*F801ENE!D31*0.95</f>
        <v>65.863208221000932</v>
      </c>
      <c r="E243" s="156">
        <f>$J$12*F801ENE!E31*0.95</f>
        <v>65.890695765234781</v>
      </c>
      <c r="F243" s="156">
        <f>$J$12*F801ENE!F31*0.95</f>
        <v>64.646198082678907</v>
      </c>
      <c r="G243" s="156">
        <f>$J$12*F801ENE!G31*0.95</f>
        <v>65.664831920560474</v>
      </c>
      <c r="H243" s="156">
        <f>$J$12*F801ENE!H31*0.95</f>
        <v>62.819589842880134</v>
      </c>
      <c r="I243" s="156">
        <f>$J$12*F801ENE!I31*0.95</f>
        <v>63.11395427564478</v>
      </c>
      <c r="J243" s="156">
        <f t="shared" si="60"/>
        <v>387.99847810800003</v>
      </c>
      <c r="K243" s="69"/>
      <c r="L243" s="319">
        <v>0.95</v>
      </c>
    </row>
    <row r="244" spans="2:12" s="37" customFormat="1" ht="15.75">
      <c r="B244" s="48"/>
      <c r="C244" s="160" t="s">
        <v>307</v>
      </c>
      <c r="D244" s="156">
        <f>$J$12*F801ENE!D32*0.5</f>
        <v>6.0153712401209054</v>
      </c>
      <c r="E244" s="156">
        <f>$J$12*F801ENE!E32*0.5</f>
        <v>6.0178817127734225</v>
      </c>
      <c r="F244" s="156">
        <f>$J$12*F801ENE!F32*0.5</f>
        <v>5.9042201440426014</v>
      </c>
      <c r="G244" s="156">
        <f>$J$12*F801ENE!G32*0.5</f>
        <v>5.997253278293309</v>
      </c>
      <c r="H244" s="156">
        <f>$J$12*F801ENE!H32*0.5</f>
        <v>5.7373936718825354</v>
      </c>
      <c r="I244" s="156">
        <f>$J$12*F801ENE!I32*0.5</f>
        <v>5.7642783528872235</v>
      </c>
      <c r="J244" s="156">
        <f t="shared" si="60"/>
        <v>35.436398400000002</v>
      </c>
      <c r="K244" s="69"/>
      <c r="L244" s="319">
        <v>0.5</v>
      </c>
    </row>
    <row r="245" spans="2:12" s="37" customFormat="1" ht="15.75">
      <c r="B245" s="48"/>
      <c r="C245" s="160" t="s">
        <v>624</v>
      </c>
      <c r="D245" s="156">
        <f>$J$12*F801ENE!D33*0</f>
        <v>0</v>
      </c>
      <c r="E245" s="156">
        <f>$J$12*F801ENE!E33*0</f>
        <v>0</v>
      </c>
      <c r="F245" s="156">
        <f>$J$12*F801ENE!F33*0</f>
        <v>0</v>
      </c>
      <c r="G245" s="156">
        <f>$J$12*F801ENE!G33*0</f>
        <v>0</v>
      </c>
      <c r="H245" s="156">
        <f>$J$12*F801ENE!H33*0</f>
        <v>0</v>
      </c>
      <c r="I245" s="156">
        <f>$J$12*F801ENE!I33*0</f>
        <v>0</v>
      </c>
      <c r="J245" s="156">
        <f t="shared" si="60"/>
        <v>0</v>
      </c>
      <c r="K245" s="69"/>
      <c r="L245" s="319">
        <v>0</v>
      </c>
    </row>
    <row r="246" spans="2:12" s="37" customFormat="1" ht="15.75">
      <c r="B246" s="48" t="s">
        <v>274</v>
      </c>
      <c r="C246" s="158" t="s">
        <v>631</v>
      </c>
      <c r="D246" s="159">
        <f t="shared" ref="D246:I246" si="61">SUM(D247:D250)</f>
        <v>26169.471649445612</v>
      </c>
      <c r="E246" s="159">
        <f t="shared" si="61"/>
        <v>26180.393293394798</v>
      </c>
      <c r="F246" s="159">
        <f t="shared" si="61"/>
        <v>25685.916214292203</v>
      </c>
      <c r="G246" s="159">
        <f t="shared" si="61"/>
        <v>26090.650664095509</v>
      </c>
      <c r="H246" s="159">
        <f t="shared" si="61"/>
        <v>24960.14876631635</v>
      </c>
      <c r="I246" s="159">
        <f t="shared" si="61"/>
        <v>25077.10877913552</v>
      </c>
      <c r="J246" s="159">
        <f t="shared" si="60"/>
        <v>154163.68936667999</v>
      </c>
      <c r="K246" s="69"/>
      <c r="L246" s="319"/>
    </row>
    <row r="247" spans="2:12" s="37" customFormat="1" ht="15.75">
      <c r="B247" s="48"/>
      <c r="C247" s="160" t="s">
        <v>304</v>
      </c>
      <c r="D247" s="156">
        <f>$J$12*F801ENE!D35</f>
        <v>26151.073416433144</v>
      </c>
      <c r="E247" s="156">
        <f>$J$12*F801ENE!E35</f>
        <v>26161.987382009876</v>
      </c>
      <c r="F247" s="156">
        <f>$J$12*F801ENE!F35</f>
        <v>25667.857940973594</v>
      </c>
      <c r="G247" s="156">
        <f>$J$12*F801ENE!G35</f>
        <v>26072.307845532145</v>
      </c>
      <c r="H247" s="156">
        <f>$J$12*F801ENE!H35</f>
        <v>24942.600737866251</v>
      </c>
      <c r="I247" s="156">
        <f>$J$12*F801ENE!I35</f>
        <v>25059.478522904981</v>
      </c>
      <c r="J247" s="156">
        <f t="shared" si="60"/>
        <v>154055.30584571999</v>
      </c>
      <c r="K247" s="69"/>
      <c r="L247" s="319">
        <v>1</v>
      </c>
    </row>
    <row r="248" spans="2:12" s="37" customFormat="1" ht="15.75">
      <c r="B248" s="48"/>
      <c r="C248" s="161" t="s">
        <v>306</v>
      </c>
      <c r="D248" s="156">
        <f>$J$12*F801ENE!D36</f>
        <v>0</v>
      </c>
      <c r="E248" s="156">
        <f>$J$12*F801ENE!E36</f>
        <v>0</v>
      </c>
      <c r="F248" s="156">
        <f>$J$12*F801ENE!F36</f>
        <v>0</v>
      </c>
      <c r="G248" s="156">
        <f>$J$12*F801ENE!G36</f>
        <v>0</v>
      </c>
      <c r="H248" s="156">
        <f>$J$12*F801ENE!H36</f>
        <v>0</v>
      </c>
      <c r="I248" s="156">
        <f>$J$12*F801ENE!I36</f>
        <v>0</v>
      </c>
      <c r="J248" s="156">
        <f t="shared" si="60"/>
        <v>0</v>
      </c>
      <c r="K248" s="69"/>
      <c r="L248" s="319">
        <v>1</v>
      </c>
    </row>
    <row r="249" spans="2:12" s="37" customFormat="1" ht="15.75">
      <c r="B249" s="48"/>
      <c r="C249" s="160" t="s">
        <v>305</v>
      </c>
      <c r="D249" s="156">
        <f>$J$12*F801ENE!D37*0.95</f>
        <v>18.398233012467355</v>
      </c>
      <c r="E249" s="156">
        <f>$J$12*F801ENE!E37*0.95</f>
        <v>18.405911384921641</v>
      </c>
      <c r="F249" s="156">
        <f>$J$12*F801ENE!F37*0.95</f>
        <v>18.058273318608347</v>
      </c>
      <c r="G249" s="156">
        <f>$J$12*F801ENE!G37*0.95</f>
        <v>18.342818563365391</v>
      </c>
      <c r="H249" s="156">
        <f>$J$12*F801ENE!H37*0.95</f>
        <v>17.548028450099267</v>
      </c>
      <c r="I249" s="156">
        <f>$J$12*F801ENE!I37*0.95</f>
        <v>17.630256230537999</v>
      </c>
      <c r="J249" s="156">
        <f t="shared" si="60"/>
        <v>108.38352096</v>
      </c>
      <c r="K249" s="69"/>
      <c r="L249" s="319">
        <v>0.95</v>
      </c>
    </row>
    <row r="250" spans="2:12" s="37" customFormat="1" ht="15.75">
      <c r="B250" s="48"/>
      <c r="C250" s="160" t="s">
        <v>307</v>
      </c>
      <c r="D250" s="156">
        <f>$J$12*F801ENE!D38*0.5</f>
        <v>0</v>
      </c>
      <c r="E250" s="156">
        <f>$J$12*F801ENE!E38*0.5</f>
        <v>0</v>
      </c>
      <c r="F250" s="156">
        <f>$J$12*F801ENE!F38*0.5</f>
        <v>0</v>
      </c>
      <c r="G250" s="156">
        <f>$J$12*F801ENE!G38*0.5</f>
        <v>0</v>
      </c>
      <c r="H250" s="156">
        <f>$J$12*F801ENE!H38*0.5</f>
        <v>0</v>
      </c>
      <c r="I250" s="156">
        <f>$J$12*F801ENE!I38*0.5</f>
        <v>0</v>
      </c>
      <c r="J250" s="156">
        <f t="shared" si="60"/>
        <v>0</v>
      </c>
      <c r="K250" s="69"/>
      <c r="L250" s="319">
        <v>0.5</v>
      </c>
    </row>
    <row r="251" spans="2:12" s="37" customFormat="1" ht="15.75">
      <c r="B251" s="48" t="s">
        <v>274</v>
      </c>
      <c r="C251" s="158" t="s">
        <v>632</v>
      </c>
      <c r="D251" s="159">
        <f t="shared" ref="D251:I251" si="62">SUM(D252:D255)</f>
        <v>7362.5105257304267</v>
      </c>
      <c r="E251" s="159">
        <f t="shared" si="62"/>
        <v>7365.5832174382049</v>
      </c>
      <c r="F251" s="159">
        <f t="shared" si="62"/>
        <v>7226.4671990335128</v>
      </c>
      <c r="G251" s="159">
        <f t="shared" si="62"/>
        <v>7340.3350556994574</v>
      </c>
      <c r="H251" s="159">
        <f t="shared" si="62"/>
        <v>7022.2800245068956</v>
      </c>
      <c r="I251" s="159">
        <f t="shared" si="62"/>
        <v>7055.1855159515026</v>
      </c>
      <c r="J251" s="159">
        <f t="shared" si="60"/>
        <v>43372.361538359997</v>
      </c>
      <c r="K251" s="69"/>
      <c r="L251" s="319"/>
    </row>
    <row r="252" spans="2:12" s="37" customFormat="1" ht="15.75">
      <c r="B252" s="48"/>
      <c r="C252" s="160" t="s">
        <v>304</v>
      </c>
      <c r="D252" s="156">
        <f>$J$12*F801ENE!D40</f>
        <v>7362.5105257304267</v>
      </c>
      <c r="E252" s="156">
        <f>$J$12*F801ENE!E40</f>
        <v>7365.5832174382049</v>
      </c>
      <c r="F252" s="156">
        <f>$J$12*F801ENE!F40</f>
        <v>7226.4671990335128</v>
      </c>
      <c r="G252" s="156">
        <f>$J$12*F801ENE!G40</f>
        <v>7340.3350556994574</v>
      </c>
      <c r="H252" s="156">
        <f>$J$12*F801ENE!H40</f>
        <v>7022.2800245068956</v>
      </c>
      <c r="I252" s="156">
        <f>$J$12*F801ENE!I40</f>
        <v>7055.1855159515026</v>
      </c>
      <c r="J252" s="156">
        <f t="shared" si="60"/>
        <v>43372.361538359997</v>
      </c>
      <c r="K252" s="69"/>
      <c r="L252" s="319">
        <v>1</v>
      </c>
    </row>
    <row r="253" spans="2:12" s="37" customFormat="1" ht="15.75">
      <c r="B253" s="48"/>
      <c r="C253" s="161" t="s">
        <v>306</v>
      </c>
      <c r="D253" s="156">
        <f>$J$12*F801ENE!D41</f>
        <v>0</v>
      </c>
      <c r="E253" s="156">
        <f>$J$12*F801ENE!E41</f>
        <v>0</v>
      </c>
      <c r="F253" s="156">
        <f>$J$12*F801ENE!F41</f>
        <v>0</v>
      </c>
      <c r="G253" s="156">
        <f>$J$12*F801ENE!G41</f>
        <v>0</v>
      </c>
      <c r="H253" s="156">
        <f>$J$12*F801ENE!H41</f>
        <v>0</v>
      </c>
      <c r="I253" s="156">
        <f>$J$12*F801ENE!I41</f>
        <v>0</v>
      </c>
      <c r="J253" s="156">
        <f t="shared" si="60"/>
        <v>0</v>
      </c>
      <c r="K253" s="69"/>
      <c r="L253" s="319">
        <v>1</v>
      </c>
    </row>
    <row r="254" spans="2:12" s="37" customFormat="1" ht="15.75">
      <c r="B254" s="48"/>
      <c r="C254" s="160" t="s">
        <v>305</v>
      </c>
      <c r="D254" s="156">
        <f>$J$12*F801ENE!D42*0.95</f>
        <v>0</v>
      </c>
      <c r="E254" s="156">
        <f>$J$12*F801ENE!E42*0.95</f>
        <v>0</v>
      </c>
      <c r="F254" s="156">
        <f>$J$12*F801ENE!F42*0.95</f>
        <v>0</v>
      </c>
      <c r="G254" s="156">
        <f>$J$12*F801ENE!G42*0.95</f>
        <v>0</v>
      </c>
      <c r="H254" s="156">
        <f>$J$12*F801ENE!H42*0.95</f>
        <v>0</v>
      </c>
      <c r="I254" s="156">
        <f>$J$12*F801ENE!I42*0.95</f>
        <v>0</v>
      </c>
      <c r="J254" s="156">
        <f t="shared" si="60"/>
        <v>0</v>
      </c>
      <c r="K254" s="69"/>
      <c r="L254" s="319">
        <v>0.95</v>
      </c>
    </row>
    <row r="255" spans="2:12" s="37" customFormat="1" ht="15.75">
      <c r="B255" s="48"/>
      <c r="C255" s="160" t="s">
        <v>307</v>
      </c>
      <c r="D255" s="156">
        <f>$J$12*F801ENE!D43*0.5</f>
        <v>0</v>
      </c>
      <c r="E255" s="156">
        <f>$J$12*F801ENE!E43*0.5</f>
        <v>0</v>
      </c>
      <c r="F255" s="156">
        <f>$J$12*F801ENE!F43*0.5</f>
        <v>0</v>
      </c>
      <c r="G255" s="156">
        <f>$J$12*F801ENE!G43*0.5</f>
        <v>0</v>
      </c>
      <c r="H255" s="156">
        <f>$J$12*F801ENE!H43*0.5</f>
        <v>0</v>
      </c>
      <c r="I255" s="156">
        <f>$J$12*F801ENE!I43*0.5</f>
        <v>0</v>
      </c>
      <c r="J255" s="156">
        <f t="shared" si="60"/>
        <v>0</v>
      </c>
      <c r="K255" s="69"/>
      <c r="L255" s="319">
        <v>0.5</v>
      </c>
    </row>
    <row r="256" spans="2:12" s="37" customFormat="1" ht="15.75">
      <c r="B256" s="48" t="s">
        <v>274</v>
      </c>
      <c r="C256" s="158" t="s">
        <v>633</v>
      </c>
      <c r="D256" s="159">
        <f t="shared" ref="D256:I256" si="63">SUM(D257:D260)</f>
        <v>7441.3299463756057</v>
      </c>
      <c r="E256" s="159">
        <f t="shared" si="63"/>
        <v>7444.4355328112588</v>
      </c>
      <c r="F256" s="159">
        <f t="shared" si="63"/>
        <v>7303.8302066582391</v>
      </c>
      <c r="G256" s="159">
        <f t="shared" si="63"/>
        <v>7418.9170766568168</v>
      </c>
      <c r="H256" s="159">
        <f t="shared" si="63"/>
        <v>7097.4571045539142</v>
      </c>
      <c r="I256" s="159">
        <f t="shared" si="63"/>
        <v>7130.7148660241637</v>
      </c>
      <c r="J256" s="159">
        <f t="shared" si="60"/>
        <v>43836.684733080001</v>
      </c>
      <c r="K256" s="69"/>
      <c r="L256" s="319"/>
    </row>
    <row r="257" spans="2:12" s="37" customFormat="1" ht="15.75">
      <c r="B257" s="48"/>
      <c r="C257" s="160" t="s">
        <v>304</v>
      </c>
      <c r="D257" s="156">
        <f>$J$12*F801ENE!D45</f>
        <v>7441.3299463756057</v>
      </c>
      <c r="E257" s="156">
        <f>$J$12*F801ENE!E45</f>
        <v>7444.4355328112588</v>
      </c>
      <c r="F257" s="156">
        <f>$J$12*F801ENE!F45</f>
        <v>7303.8302066582391</v>
      </c>
      <c r="G257" s="156">
        <f>$J$12*F801ENE!G45</f>
        <v>7418.9170766568168</v>
      </c>
      <c r="H257" s="156">
        <f>$J$12*F801ENE!H45</f>
        <v>7097.4571045539142</v>
      </c>
      <c r="I257" s="156">
        <f>$J$12*F801ENE!I45</f>
        <v>7130.7148660241637</v>
      </c>
      <c r="J257" s="156">
        <f t="shared" si="60"/>
        <v>43836.684733080001</v>
      </c>
      <c r="K257" s="69"/>
      <c r="L257" s="319">
        <v>1</v>
      </c>
    </row>
    <row r="258" spans="2:12" s="37" customFormat="1" ht="15.75">
      <c r="B258" s="48"/>
      <c r="C258" s="161" t="s">
        <v>306</v>
      </c>
      <c r="D258" s="156">
        <f>$J$12*F801ENE!D46</f>
        <v>0</v>
      </c>
      <c r="E258" s="156">
        <f>$J$12*F801ENE!E46</f>
        <v>0</v>
      </c>
      <c r="F258" s="156">
        <f>$J$12*F801ENE!F46</f>
        <v>0</v>
      </c>
      <c r="G258" s="156">
        <f>$J$12*F801ENE!G46</f>
        <v>0</v>
      </c>
      <c r="H258" s="156">
        <f>$J$12*F801ENE!H46</f>
        <v>0</v>
      </c>
      <c r="I258" s="156">
        <f>$J$12*F801ENE!I46</f>
        <v>0</v>
      </c>
      <c r="J258" s="156">
        <f t="shared" si="60"/>
        <v>0</v>
      </c>
      <c r="K258" s="69"/>
      <c r="L258" s="319">
        <v>1</v>
      </c>
    </row>
    <row r="259" spans="2:12" s="37" customFormat="1" ht="15.75">
      <c r="B259" s="48"/>
      <c r="C259" s="160" t="s">
        <v>305</v>
      </c>
      <c r="D259" s="156">
        <f>$J$12*F801ENE!D47*0.95</f>
        <v>0</v>
      </c>
      <c r="E259" s="156">
        <f>$J$12*F801ENE!E47*0.95</f>
        <v>0</v>
      </c>
      <c r="F259" s="156">
        <f>$J$12*F801ENE!F47*0.95</f>
        <v>0</v>
      </c>
      <c r="G259" s="156">
        <f>$J$12*F801ENE!G47*0.95</f>
        <v>0</v>
      </c>
      <c r="H259" s="156">
        <f>$J$12*F801ENE!H47*0.95</f>
        <v>0</v>
      </c>
      <c r="I259" s="156">
        <f>$J$12*F801ENE!I47*0.95</f>
        <v>0</v>
      </c>
      <c r="J259" s="156">
        <f t="shared" si="60"/>
        <v>0</v>
      </c>
      <c r="K259" s="69"/>
      <c r="L259" s="319">
        <v>0.95</v>
      </c>
    </row>
    <row r="260" spans="2:12" s="37" customFormat="1" ht="15.75">
      <c r="B260" s="48"/>
      <c r="C260" s="160" t="s">
        <v>307</v>
      </c>
      <c r="D260" s="156">
        <f>$J$12*F801ENE!D48*0.5</f>
        <v>0</v>
      </c>
      <c r="E260" s="156">
        <f>$J$12*F801ENE!E48*0.5</f>
        <v>0</v>
      </c>
      <c r="F260" s="156">
        <f>$J$12*F801ENE!F48*0.5</f>
        <v>0</v>
      </c>
      <c r="G260" s="156">
        <f>$J$12*F801ENE!G48*0.5</f>
        <v>0</v>
      </c>
      <c r="H260" s="156">
        <f>$J$12*F801ENE!H48*0.5</f>
        <v>0</v>
      </c>
      <c r="I260" s="156">
        <f>$J$12*F801ENE!I48*0.5</f>
        <v>0</v>
      </c>
      <c r="J260" s="156">
        <f t="shared" si="60"/>
        <v>0</v>
      </c>
      <c r="K260" s="69"/>
      <c r="L260" s="319">
        <v>0.5</v>
      </c>
    </row>
    <row r="261" spans="2:12" s="37" customFormat="1" ht="15.75">
      <c r="B261" s="48"/>
      <c r="C261" s="157"/>
      <c r="D261" s="156"/>
      <c r="E261" s="156"/>
      <c r="F261" s="156"/>
      <c r="G261" s="156"/>
      <c r="H261" s="156"/>
      <c r="I261" s="156"/>
      <c r="J261" s="156"/>
      <c r="K261" s="69"/>
      <c r="L261" s="319"/>
    </row>
    <row r="262" spans="2:12" s="37" customFormat="1" ht="15.75">
      <c r="B262" s="48" t="s">
        <v>1176</v>
      </c>
      <c r="C262" s="158" t="str">
        <f>F801ENE!$C$50</f>
        <v>BTSH</v>
      </c>
      <c r="D262" s="159">
        <f t="shared" ref="D262:I262" si="64">SUM(D263:D268)</f>
        <v>1.72</v>
      </c>
      <c r="E262" s="159">
        <f t="shared" si="64"/>
        <v>1.72</v>
      </c>
      <c r="F262" s="159">
        <f t="shared" si="64"/>
        <v>1.72</v>
      </c>
      <c r="G262" s="159">
        <f t="shared" si="64"/>
        <v>1.72</v>
      </c>
      <c r="H262" s="159">
        <f t="shared" si="64"/>
        <v>1.72</v>
      </c>
      <c r="I262" s="159">
        <f t="shared" si="64"/>
        <v>1.72</v>
      </c>
      <c r="J262" s="159">
        <f t="shared" ref="J262:J288" si="65">SUM(D262:I262)</f>
        <v>10.32</v>
      </c>
      <c r="K262" s="69"/>
      <c r="L262" s="319"/>
    </row>
    <row r="263" spans="2:12" s="37" customFormat="1" ht="15.75">
      <c r="B263" s="48"/>
      <c r="C263" s="160" t="str">
        <f>F801ENE!$C$51</f>
        <v xml:space="preserve">    - Regulares</v>
      </c>
      <c r="D263" s="156">
        <f>$J$16*F801ENE!D51*1</f>
        <v>1.72</v>
      </c>
      <c r="E263" s="156">
        <f>$J$16*F801ENE!E51*1</f>
        <v>1.72</v>
      </c>
      <c r="F263" s="156">
        <f>$J$16*F801ENE!F51*1</f>
        <v>1.72</v>
      </c>
      <c r="G263" s="156">
        <f>$J$16*F801ENE!G51*1</f>
        <v>1.72</v>
      </c>
      <c r="H263" s="156">
        <f>$J$16*F801ENE!H51*1</f>
        <v>1.72</v>
      </c>
      <c r="I263" s="156">
        <f>$J$16*F801ENE!I51*1</f>
        <v>1.72</v>
      </c>
      <c r="J263" s="156">
        <f t="shared" si="65"/>
        <v>10.32</v>
      </c>
      <c r="K263" s="69"/>
      <c r="L263" s="319">
        <v>1</v>
      </c>
    </row>
    <row r="264" spans="2:12" s="37" customFormat="1" ht="15.75">
      <c r="B264" s="48"/>
      <c r="C264" s="162" t="str">
        <f>F801ENE!$C$52</f>
        <v xml:space="preserve">    - Jubilados (0 a 600 KWh)</v>
      </c>
      <c r="D264" s="156">
        <f>$J$16*F801ENE!D52*0.75</f>
        <v>0</v>
      </c>
      <c r="E264" s="156">
        <f>$J$16*F801ENE!E52*0.75</f>
        <v>0</v>
      </c>
      <c r="F264" s="156">
        <f>$J$16*F801ENE!F52*0.75</f>
        <v>0</v>
      </c>
      <c r="G264" s="156">
        <f>$J$16*F801ENE!G52*0.75</f>
        <v>0</v>
      </c>
      <c r="H264" s="156">
        <f>$J$16*F801ENE!H52*0.75</f>
        <v>0</v>
      </c>
      <c r="I264" s="156">
        <f>$J$16*F801ENE!I52*0.75</f>
        <v>0</v>
      </c>
      <c r="J264" s="156">
        <f t="shared" si="65"/>
        <v>0</v>
      </c>
      <c r="K264" s="69"/>
      <c r="L264" s="319">
        <v>0.75</v>
      </c>
    </row>
    <row r="265" spans="2:12" s="37" customFormat="1" ht="15.75">
      <c r="B265" s="48"/>
      <c r="C265" s="162" t="str">
        <f>F801ENE!$C$53</f>
        <v xml:space="preserve">    - Jubilados (601 y Más KWh)</v>
      </c>
      <c r="D265" s="156">
        <f>$J$16*F801ENE!D53*1</f>
        <v>0</v>
      </c>
      <c r="E265" s="156">
        <f>$J$16*F801ENE!E53*1</f>
        <v>0</v>
      </c>
      <c r="F265" s="156">
        <f>$J$16*F801ENE!F53*1</f>
        <v>0</v>
      </c>
      <c r="G265" s="156">
        <f>$J$16*F801ENE!G53*1</f>
        <v>0</v>
      </c>
      <c r="H265" s="156">
        <f>$J$16*F801ENE!H53*1</f>
        <v>0</v>
      </c>
      <c r="I265" s="156">
        <f>$J$16*F801ENE!I53*1</f>
        <v>0</v>
      </c>
      <c r="J265" s="156">
        <f t="shared" si="65"/>
        <v>0</v>
      </c>
      <c r="K265" s="69"/>
      <c r="L265" s="319">
        <v>1</v>
      </c>
    </row>
    <row r="266" spans="2:12" s="37" customFormat="1" ht="15.75">
      <c r="B266" s="48"/>
      <c r="C266" s="160" t="str">
        <f>F801ENE!$C$54</f>
        <v xml:space="preserve">    - Agropecuarios</v>
      </c>
      <c r="D266" s="156">
        <f>$J$16*F801ENE!D54*0.95</f>
        <v>0</v>
      </c>
      <c r="E266" s="156">
        <f>$J$16*F801ENE!E54*0.95</f>
        <v>0</v>
      </c>
      <c r="F266" s="156">
        <f>$J$16*F801ENE!F54*0.95</f>
        <v>0</v>
      </c>
      <c r="G266" s="156">
        <f>$J$16*F801ENE!G54*0.95</f>
        <v>0</v>
      </c>
      <c r="H266" s="156">
        <f>$J$16*F801ENE!H54*0.95</f>
        <v>0</v>
      </c>
      <c r="I266" s="156">
        <f>$J$16*F801ENE!I54*0.95</f>
        <v>0</v>
      </c>
      <c r="J266" s="156">
        <f t="shared" si="65"/>
        <v>0</v>
      </c>
      <c r="K266" s="69"/>
      <c r="L266" s="319">
        <v>0.95</v>
      </c>
    </row>
    <row r="267" spans="2:12" s="37" customFormat="1" ht="15.75">
      <c r="B267" s="48"/>
      <c r="C267" s="160" t="str">
        <f>F801ENE!$C$55</f>
        <v xml:space="preserve">    - Partidos Políticos</v>
      </c>
      <c r="D267" s="156">
        <f>$J$16*F801ENE!D55*0.5</f>
        <v>0</v>
      </c>
      <c r="E267" s="156">
        <f>$J$16*F801ENE!E55*0.5</f>
        <v>0</v>
      </c>
      <c r="F267" s="156">
        <f>$J$16*F801ENE!F55*0.5</f>
        <v>0</v>
      </c>
      <c r="G267" s="156">
        <f>$J$16*F801ENE!G55*0.5</f>
        <v>0</v>
      </c>
      <c r="H267" s="156">
        <f>$J$16*F801ENE!H55*0.5</f>
        <v>0</v>
      </c>
      <c r="I267" s="156">
        <f>$J$16*F801ENE!I55*0.5</f>
        <v>0</v>
      </c>
      <c r="J267" s="156">
        <f t="shared" si="65"/>
        <v>0</v>
      </c>
      <c r="K267" s="69"/>
      <c r="L267" s="319">
        <v>0.5</v>
      </c>
    </row>
    <row r="268" spans="2:12" s="37" customFormat="1" ht="15.75">
      <c r="B268" s="48"/>
      <c r="C268" s="160" t="str">
        <f>F801ENE!$C$56</f>
        <v xml:space="preserve">    - Cruz Roja</v>
      </c>
      <c r="D268" s="156">
        <f>$J$16*F801ENE!D56*0</f>
        <v>0</v>
      </c>
      <c r="E268" s="156">
        <f>$J$16*F801ENE!E56*0</f>
        <v>0</v>
      </c>
      <c r="F268" s="156">
        <f>$J$16*F801ENE!F56*0</f>
        <v>0</v>
      </c>
      <c r="G268" s="156">
        <f>$J$16*F801ENE!G56*0</f>
        <v>0</v>
      </c>
      <c r="H268" s="156">
        <f>$J$16*F801ENE!H56*0</f>
        <v>0</v>
      </c>
      <c r="I268" s="156">
        <f>$J$16*F801ENE!I56*0</f>
        <v>0</v>
      </c>
      <c r="J268" s="156">
        <f t="shared" si="65"/>
        <v>0</v>
      </c>
      <c r="K268" s="69"/>
      <c r="L268" s="319">
        <v>0</v>
      </c>
    </row>
    <row r="269" spans="2:12" s="37" customFormat="1" ht="15.75">
      <c r="B269" s="48" t="s">
        <v>751</v>
      </c>
      <c r="C269" s="158" t="s">
        <v>634</v>
      </c>
      <c r="D269" s="159">
        <f t="shared" ref="D269:I269" si="66">SUM(D270:D274)</f>
        <v>141105.89129910702</v>
      </c>
      <c r="E269" s="159">
        <f t="shared" si="66"/>
        <v>141164.78157960789</v>
      </c>
      <c r="F269" s="159">
        <f t="shared" si="66"/>
        <v>138498.52602091423</v>
      </c>
      <c r="G269" s="159">
        <f t="shared" si="66"/>
        <v>140680.88294338543</v>
      </c>
      <c r="H269" s="159">
        <f t="shared" si="66"/>
        <v>134585.13635278968</v>
      </c>
      <c r="I269" s="159">
        <f t="shared" si="66"/>
        <v>135215.79305560378</v>
      </c>
      <c r="J269" s="159">
        <f t="shared" si="65"/>
        <v>831251.01125140802</v>
      </c>
      <c r="K269" s="69"/>
      <c r="L269" s="319"/>
    </row>
    <row r="270" spans="2:12" s="37" customFormat="1" ht="15.75">
      <c r="B270" s="48"/>
      <c r="C270" s="160" t="s">
        <v>304</v>
      </c>
      <c r="D270" s="156">
        <f>$J$18*F801ENE!D66*$L270</f>
        <v>99719.534806500335</v>
      </c>
      <c r="E270" s="156">
        <f>$J$18*F801ENE!E66*$L270</f>
        <v>99761.152783760932</v>
      </c>
      <c r="F270" s="156">
        <f>$J$18*F801ENE!F66*$L270</f>
        <v>97876.900199651471</v>
      </c>
      <c r="G270" s="156">
        <f>$J$18*F801ENE!G66*$L270</f>
        <v>99419.179842428945</v>
      </c>
      <c r="H270" s="156">
        <f>$J$18*F801ENE!H66*$L270</f>
        <v>95111.293365472433</v>
      </c>
      <c r="I270" s="156">
        <f>$J$18*F801ENE!I66*$L270</f>
        <v>95556.980770825889</v>
      </c>
      <c r="J270" s="156">
        <f t="shared" si="65"/>
        <v>587445.04176864005</v>
      </c>
      <c r="K270" s="69"/>
      <c r="L270" s="319">
        <v>1</v>
      </c>
    </row>
    <row r="271" spans="2:12" s="37" customFormat="1" ht="15.75">
      <c r="B271" s="48"/>
      <c r="C271" s="162" t="s">
        <v>644</v>
      </c>
      <c r="D271" s="156">
        <f>$J$18*F801ENE!D67*$L271</f>
        <v>41377.543971649953</v>
      </c>
      <c r="E271" s="156">
        <f>$J$18*F801ENE!E67*$L271</f>
        <v>41394.812597046897</v>
      </c>
      <c r="F271" s="156">
        <f>$J$18*F801ENE!F67*$L271</f>
        <v>40612.976136700388</v>
      </c>
      <c r="G271" s="156">
        <f>$J$18*F801ENE!G67*$L271</f>
        <v>41252.917122820094</v>
      </c>
      <c r="H271" s="156">
        <f>$J$18*F801ENE!H67*$L271</f>
        <v>39465.437703594536</v>
      </c>
      <c r="I271" s="156">
        <f>$J$18*F801ENE!I67*$L271</f>
        <v>39650.36761498815</v>
      </c>
      <c r="J271" s="156">
        <f t="shared" si="65"/>
        <v>243754.05514680003</v>
      </c>
      <c r="K271" s="69"/>
      <c r="L271" s="319">
        <v>0.75</v>
      </c>
    </row>
    <row r="272" spans="2:12" s="37" customFormat="1" ht="15.75">
      <c r="B272" s="48"/>
      <c r="C272" s="160" t="s">
        <v>305</v>
      </c>
      <c r="D272" s="156">
        <f>$J$18*F801ENE!D68*$L272</f>
        <v>8.5043051107327727</v>
      </c>
      <c r="E272" s="156">
        <f>$J$18*F801ENE!E68*$L272</f>
        <v>8.5078543223369998</v>
      </c>
      <c r="F272" s="156">
        <f>$J$18*F801ENE!F68*$L272</f>
        <v>8.3471638809217801</v>
      </c>
      <c r="G272" s="156">
        <f>$J$18*F801ENE!G68*$L272</f>
        <v>8.4786906192548734</v>
      </c>
      <c r="H272" s="156">
        <f>$J$18*F801ENE!H68*$L272</f>
        <v>8.1113109030816553</v>
      </c>
      <c r="I272" s="156">
        <f>$J$18*F801ENE!I68*$L272</f>
        <v>8.1493194516719178</v>
      </c>
      <c r="J272" s="156">
        <f t="shared" si="65"/>
        <v>50.098644288000003</v>
      </c>
      <c r="K272" s="69"/>
      <c r="L272" s="319">
        <v>0.95</v>
      </c>
    </row>
    <row r="273" spans="2:28" s="37" customFormat="1" ht="15.75">
      <c r="B273" s="48"/>
      <c r="C273" s="160" t="s">
        <v>307</v>
      </c>
      <c r="D273" s="156">
        <f>$J$18*F801ENE!D69*$L273</f>
        <v>0.30821584602115804</v>
      </c>
      <c r="E273" s="156">
        <f>$J$18*F801ENE!E69*$L273</f>
        <v>0.30834447772510809</v>
      </c>
      <c r="F273" s="156">
        <f>$J$18*F801ENE!F69*$L273</f>
        <v>0.30252068145916755</v>
      </c>
      <c r="G273" s="156">
        <f>$J$18*F801ENE!G69*$L273</f>
        <v>0.30728751712673735</v>
      </c>
      <c r="H273" s="156">
        <f>$J$18*F801ENE!H69*$L273</f>
        <v>0.29397281962271232</v>
      </c>
      <c r="I273" s="156">
        <f>$J$18*F801ENE!I69*$L273</f>
        <v>0.29535033804511684</v>
      </c>
      <c r="J273" s="156">
        <f t="shared" si="65"/>
        <v>1.81569168</v>
      </c>
      <c r="K273" s="69"/>
      <c r="L273" s="319">
        <v>0.5</v>
      </c>
    </row>
    <row r="274" spans="2:28" s="37" customFormat="1" ht="15.75">
      <c r="B274" s="48"/>
      <c r="C274" s="160" t="s">
        <v>624</v>
      </c>
      <c r="D274" s="156">
        <f>$J$18*F801ENE!D70*$L274</f>
        <v>0</v>
      </c>
      <c r="E274" s="156">
        <f>$J$18*F801ENE!E70*$L274</f>
        <v>0</v>
      </c>
      <c r="F274" s="156">
        <f>$J$18*F801ENE!F70*$L274</f>
        <v>0</v>
      </c>
      <c r="G274" s="156">
        <f>$J$18*F801ENE!G70*$L274</f>
        <v>0</v>
      </c>
      <c r="H274" s="156">
        <f>$J$18*F801ENE!H70*$L274</f>
        <v>0</v>
      </c>
      <c r="I274" s="156">
        <f>$J$18*F801ENE!I70*$L274</f>
        <v>0</v>
      </c>
      <c r="J274" s="156">
        <f t="shared" si="65"/>
        <v>0</v>
      </c>
      <c r="K274" s="69"/>
      <c r="L274" s="319">
        <v>0</v>
      </c>
    </row>
    <row r="275" spans="2:28" s="37" customFormat="1" ht="15.75">
      <c r="B275" s="48" t="s">
        <v>750</v>
      </c>
      <c r="C275" s="158" t="s">
        <v>635</v>
      </c>
      <c r="D275" s="159">
        <f t="shared" ref="D275:I275" si="67">SUM(D276:D281)</f>
        <v>53087.086636116139</v>
      </c>
      <c r="E275" s="159">
        <f t="shared" si="67"/>
        <v>53109.242156346205</v>
      </c>
      <c r="F275" s="159">
        <f t="shared" si="67"/>
        <v>52106.151689349746</v>
      </c>
      <c r="G275" s="159">
        <f t="shared" si="67"/>
        <v>52927.191299516424</v>
      </c>
      <c r="H275" s="159">
        <f t="shared" si="67"/>
        <v>50633.868262902222</v>
      </c>
      <c r="I275" s="159">
        <f t="shared" si="67"/>
        <v>50871.131988233261</v>
      </c>
      <c r="J275" s="159">
        <f t="shared" si="65"/>
        <v>312734.672032464</v>
      </c>
      <c r="K275" s="69"/>
      <c r="L275" s="319"/>
    </row>
    <row r="276" spans="2:28" s="37" customFormat="1" ht="15.75">
      <c r="B276" s="48"/>
      <c r="C276" s="160" t="s">
        <v>304</v>
      </c>
      <c r="D276" s="156">
        <f>$J$18*F801ENE!D72*$L276</f>
        <v>38197.09170782406</v>
      </c>
      <c r="E276" s="156">
        <f>$J$18*F801ENE!E72*$L276</f>
        <v>38213.032993957604</v>
      </c>
      <c r="F276" s="156">
        <f>$J$18*F801ENE!F72*$L276</f>
        <v>37491.291776140584</v>
      </c>
      <c r="G276" s="156">
        <f>$J$18*F801ENE!G72*$L276</f>
        <v>38082.044203378835</v>
      </c>
      <c r="H276" s="156">
        <f>$J$18*F801ENE!H72*$L276</f>
        <v>36431.957979102524</v>
      </c>
      <c r="I276" s="156">
        <f>$J$18*F801ENE!I72*$L276</f>
        <v>36602.673398796396</v>
      </c>
      <c r="J276" s="156">
        <f t="shared" si="65"/>
        <v>225018.09205919999</v>
      </c>
      <c r="K276" s="69"/>
      <c r="L276" s="319">
        <v>1</v>
      </c>
      <c r="W276" s="60"/>
      <c r="X276" s="60"/>
      <c r="Y276" s="60"/>
      <c r="Z276" s="60"/>
      <c r="AA276" s="60"/>
      <c r="AB276" s="60"/>
    </row>
    <row r="277" spans="2:28" s="37" customFormat="1" ht="15.75">
      <c r="B277" s="48"/>
      <c r="C277" s="162" t="s">
        <v>642</v>
      </c>
      <c r="D277" s="156">
        <f>$J$18*F801ENE!D73*$L277</f>
        <v>12020.628121093137</v>
      </c>
      <c r="E277" s="156">
        <f>$J$18*F801ENE!E73*$L277</f>
        <v>12025.644845241901</v>
      </c>
      <c r="F277" s="156">
        <f>$J$18*F801ENE!F73*$L277</f>
        <v>11798.512820494943</v>
      </c>
      <c r="G277" s="156">
        <f>$J$18*F801ENE!G73*$L277</f>
        <v>11984.42266132216</v>
      </c>
      <c r="H277" s="156">
        <f>$J$18*F801ENE!H73*$L277</f>
        <v>11465.140381365196</v>
      </c>
      <c r="I277" s="156">
        <f>$J$18*F801ENE!I73*$L277</f>
        <v>11518.864538962671</v>
      </c>
      <c r="J277" s="156">
        <f t="shared" si="65"/>
        <v>70813.213368480021</v>
      </c>
      <c r="K277" s="69"/>
      <c r="L277" s="319">
        <v>0.75</v>
      </c>
      <c r="W277" s="60"/>
      <c r="X277" s="60"/>
      <c r="Y277" s="60"/>
      <c r="Z277" s="60"/>
      <c r="AA277" s="60"/>
      <c r="AB277" s="60"/>
    </row>
    <row r="278" spans="2:28" s="37" customFormat="1" ht="15.75">
      <c r="B278" s="48"/>
      <c r="C278" s="162" t="s">
        <v>1177</v>
      </c>
      <c r="D278" s="156">
        <f>$J$18*F801ENE!D74*$L278</f>
        <v>2860.5593899655496</v>
      </c>
      <c r="E278" s="156">
        <f>$J$18*F801ENE!E74*$L278</f>
        <v>2861.7532242000052</v>
      </c>
      <c r="F278" s="156">
        <f>$J$18*F801ENE!F74*$L278</f>
        <v>2807.702417569385</v>
      </c>
      <c r="G278" s="156">
        <f>$J$18*F801ENE!G74*$L278</f>
        <v>2851.9435450302799</v>
      </c>
      <c r="H278" s="156">
        <f>$J$18*F801ENE!H74*$L278</f>
        <v>2728.3694865859411</v>
      </c>
      <c r="I278" s="156">
        <f>$J$18*F801ENE!I74*$L278</f>
        <v>2741.1542713688409</v>
      </c>
      <c r="J278" s="156">
        <f t="shared" si="65"/>
        <v>16851.482334720004</v>
      </c>
      <c r="K278" s="69"/>
      <c r="L278" s="319">
        <v>1</v>
      </c>
      <c r="W278" s="60"/>
      <c r="X278" s="60"/>
      <c r="Y278" s="60"/>
      <c r="Z278" s="60"/>
      <c r="AA278" s="60"/>
      <c r="AB278" s="60"/>
    </row>
    <row r="279" spans="2:28" s="37" customFormat="1" ht="15.75">
      <c r="B279" s="48"/>
      <c r="C279" s="160" t="s">
        <v>305</v>
      </c>
      <c r="D279" s="156">
        <f>$J$18*F801ENE!D75*$L279</f>
        <v>8.3974334501506984</v>
      </c>
      <c r="E279" s="156">
        <f>$J$18*F801ENE!E75*$L279</f>
        <v>8.4009380596230674</v>
      </c>
      <c r="F279" s="156">
        <f>$J$18*F801ENE!F75*$L279</f>
        <v>8.242266978295488</v>
      </c>
      <c r="G279" s="156">
        <f>$J$18*F801ENE!G75*$L279</f>
        <v>8.3721408501387735</v>
      </c>
      <c r="H279" s="156">
        <f>$J$18*F801ENE!H75*$L279</f>
        <v>8.0093779109767738</v>
      </c>
      <c r="I279" s="156">
        <f>$J$18*F801ENE!I75*$L279</f>
        <v>8.0469088148151986</v>
      </c>
      <c r="J279" s="156">
        <f t="shared" si="65"/>
        <v>49.469066063999996</v>
      </c>
      <c r="K279" s="69"/>
      <c r="L279" s="319">
        <v>0.95</v>
      </c>
      <c r="W279" s="60"/>
      <c r="X279" s="60"/>
      <c r="Y279" s="60"/>
      <c r="Z279" s="60"/>
      <c r="AA279" s="60"/>
      <c r="AB279" s="60"/>
    </row>
    <row r="280" spans="2:28" s="37" customFormat="1" ht="15.75">
      <c r="B280" s="48"/>
      <c r="C280" s="160" t="s">
        <v>307</v>
      </c>
      <c r="D280" s="156">
        <f>$J$18*F801ENE!D76*$L280</f>
        <v>0.40998378324544893</v>
      </c>
      <c r="E280" s="156">
        <f>$J$18*F801ENE!E76*$L280</f>
        <v>0.41015488707840086</v>
      </c>
      <c r="F280" s="156">
        <f>$J$18*F801ENE!F76*$L280</f>
        <v>0.40240816653569028</v>
      </c>
      <c r="G280" s="156">
        <f>$J$18*F801ENE!G76*$L280</f>
        <v>0.40874893501443182</v>
      </c>
      <c r="H280" s="156">
        <f>$J$18*F801ENE!H76*$L280</f>
        <v>0.39103793758864019</v>
      </c>
      <c r="I280" s="156">
        <f>$J$18*F801ENE!I76*$L280</f>
        <v>0.3928702905373882</v>
      </c>
      <c r="J280" s="156">
        <f t="shared" si="65"/>
        <v>2.4152040000000001</v>
      </c>
      <c r="K280" s="69"/>
      <c r="L280" s="319">
        <v>0.5</v>
      </c>
      <c r="W280" s="60"/>
      <c r="X280" s="60"/>
      <c r="Y280" s="60"/>
      <c r="Z280" s="60"/>
      <c r="AA280" s="60"/>
      <c r="AB280" s="60"/>
    </row>
    <row r="281" spans="2:28" s="37" customFormat="1" ht="15.75">
      <c r="B281" s="48"/>
      <c r="C281" s="160" t="s">
        <v>624</v>
      </c>
      <c r="D281" s="156">
        <f>$J$18*F801ENE!D77*$L281</f>
        <v>0</v>
      </c>
      <c r="E281" s="156">
        <f>$J$18*F801ENE!E77*$L281</f>
        <v>0</v>
      </c>
      <c r="F281" s="156">
        <f>$J$18*F801ENE!F77*$L281</f>
        <v>0</v>
      </c>
      <c r="G281" s="156">
        <f>$J$18*F801ENE!G77*$L281</f>
        <v>0</v>
      </c>
      <c r="H281" s="156">
        <f>$J$18*F801ENE!H77*$L281</f>
        <v>0</v>
      </c>
      <c r="I281" s="156">
        <f>$J$18*F801ENE!I77*$L281</f>
        <v>0</v>
      </c>
      <c r="J281" s="156">
        <f t="shared" si="65"/>
        <v>0</v>
      </c>
      <c r="K281" s="69"/>
      <c r="L281" s="319">
        <v>0</v>
      </c>
      <c r="W281" s="60"/>
      <c r="X281" s="60"/>
      <c r="Y281" s="60"/>
      <c r="Z281" s="60"/>
      <c r="AA281" s="60"/>
      <c r="AB281" s="60"/>
    </row>
    <row r="282" spans="2:28" s="37" customFormat="1" ht="15.75">
      <c r="B282" s="48" t="s">
        <v>749</v>
      </c>
      <c r="C282" s="158" t="s">
        <v>636</v>
      </c>
      <c r="D282" s="159">
        <f t="shared" ref="D282:I282" si="68">SUM(D283:D288)</f>
        <v>52511.716912032651</v>
      </c>
      <c r="E282" s="159">
        <f t="shared" si="68"/>
        <v>52533.632305776788</v>
      </c>
      <c r="F282" s="159">
        <f t="shared" si="68"/>
        <v>51541.413557719861</v>
      </c>
      <c r="G282" s="159">
        <f t="shared" si="68"/>
        <v>52353.554556870244</v>
      </c>
      <c r="H282" s="159">
        <f t="shared" si="68"/>
        <v>50085.087068496156</v>
      </c>
      <c r="I282" s="159">
        <f t="shared" si="68"/>
        <v>50319.779276480345</v>
      </c>
      <c r="J282" s="159">
        <f t="shared" si="65"/>
        <v>309345.18367737602</v>
      </c>
      <c r="K282" s="69"/>
      <c r="L282" s="319"/>
      <c r="W282" s="60"/>
      <c r="X282" s="60"/>
      <c r="Y282" s="60"/>
      <c r="Z282" s="60"/>
      <c r="AA282" s="60"/>
      <c r="AB282" s="60"/>
    </row>
    <row r="283" spans="2:28" s="37" customFormat="1" ht="15.75">
      <c r="B283" s="48"/>
      <c r="C283" s="160" t="s">
        <v>304</v>
      </c>
      <c r="D283" s="156">
        <f>$J$18*F801ENE!D79*$L283</f>
        <v>47810.928497803165</v>
      </c>
      <c r="E283" s="156">
        <f>$J$18*F801ENE!E79*$L283</f>
        <v>47830.882050741791</v>
      </c>
      <c r="F283" s="156">
        <f>$J$18*F801ENE!F79*$L283</f>
        <v>46927.485582159374</v>
      </c>
      <c r="G283" s="156">
        <f>$J$18*F801ENE!G79*$L283</f>
        <v>47666.924654501265</v>
      </c>
      <c r="H283" s="156">
        <f>$J$18*F801ENE!H79*$L283</f>
        <v>45601.527762833604</v>
      </c>
      <c r="I283" s="156">
        <f>$J$18*F801ENE!I79*$L283</f>
        <v>45815.210594680837</v>
      </c>
      <c r="J283" s="156">
        <f t="shared" si="65"/>
        <v>281652.95914272004</v>
      </c>
      <c r="K283" s="69"/>
      <c r="L283" s="319">
        <v>1</v>
      </c>
      <c r="W283" s="60"/>
      <c r="X283" s="60"/>
      <c r="Y283" s="60"/>
      <c r="Z283" s="60"/>
      <c r="AA283" s="60"/>
      <c r="AB283" s="60"/>
    </row>
    <row r="284" spans="2:28" s="37" customFormat="1" ht="15.75">
      <c r="B284" s="48"/>
      <c r="C284" s="162" t="s">
        <v>642</v>
      </c>
      <c r="D284" s="156">
        <f>$J$18*F801ENE!D80*$L284</f>
        <v>0</v>
      </c>
      <c r="E284" s="156">
        <f>$J$18*F801ENE!E80*$L284</f>
        <v>0</v>
      </c>
      <c r="F284" s="156">
        <f>$J$18*F801ENE!F80*$L284</f>
        <v>0</v>
      </c>
      <c r="G284" s="156">
        <f>$J$18*F801ENE!G80*$L284</f>
        <v>0</v>
      </c>
      <c r="H284" s="156">
        <f>$J$18*F801ENE!H80*$L284</f>
        <v>0</v>
      </c>
      <c r="I284" s="156">
        <f>$J$18*F801ENE!I80*$L284</f>
        <v>0</v>
      </c>
      <c r="J284" s="156">
        <f t="shared" si="65"/>
        <v>0</v>
      </c>
      <c r="K284" s="69"/>
      <c r="L284" s="319">
        <v>0.75</v>
      </c>
      <c r="W284" s="60"/>
      <c r="X284" s="60"/>
      <c r="Y284" s="60"/>
      <c r="Z284" s="60"/>
      <c r="AA284" s="60"/>
      <c r="AB284" s="60"/>
    </row>
    <row r="285" spans="2:28" s="37" customFormat="1" ht="15.75">
      <c r="B285" s="48"/>
      <c r="C285" s="162" t="s">
        <v>1177</v>
      </c>
      <c r="D285" s="156">
        <f>$J$18*F801ENE!D81*$L285</f>
        <v>4667.5116474888391</v>
      </c>
      <c r="E285" s="156">
        <f>$J$18*F801ENE!E81*$L285</f>
        <v>4669.4596004710556</v>
      </c>
      <c r="F285" s="156">
        <f>$J$18*F801ENE!F81*$L285</f>
        <v>4581.2660917505027</v>
      </c>
      <c r="G285" s="156">
        <f>$J$18*F801ENE!G81*$L285</f>
        <v>4653.4533633890942</v>
      </c>
      <c r="H285" s="156">
        <f>$J$18*F801ENE!H81*$L285</f>
        <v>4451.8202984928739</v>
      </c>
      <c r="I285" s="156">
        <f>$J$18*F801ENE!I81*$L285</f>
        <v>4472.6809497676377</v>
      </c>
      <c r="J285" s="156">
        <f t="shared" si="65"/>
        <v>27496.191951360001</v>
      </c>
      <c r="K285" s="69"/>
      <c r="L285" s="319">
        <v>1</v>
      </c>
      <c r="W285" s="60"/>
      <c r="X285" s="60"/>
      <c r="Y285" s="60"/>
      <c r="Z285" s="60"/>
      <c r="AA285" s="60"/>
      <c r="AB285" s="60"/>
    </row>
    <row r="286" spans="2:28" s="37" customFormat="1" ht="15.75">
      <c r="B286" s="48"/>
      <c r="C286" s="160" t="s">
        <v>305</v>
      </c>
      <c r="D286" s="156">
        <f>$J$18*F801ENE!D82*$L286</f>
        <v>33.138368476618552</v>
      </c>
      <c r="E286" s="156">
        <f>$J$18*F801ENE!E82*$L286</f>
        <v>33.152198540381654</v>
      </c>
      <c r="F286" s="156">
        <f>$J$18*F801ENE!F82*$L286</f>
        <v>32.526042847594056</v>
      </c>
      <c r="G286" s="156">
        <f>$J$18*F801ENE!G82*$L286</f>
        <v>33.038557563688741</v>
      </c>
      <c r="H286" s="156">
        <f>$J$18*F801ENE!H82*$L286</f>
        <v>31.607004456543152</v>
      </c>
      <c r="I286" s="156">
        <f>$J$18*F801ENE!I82*$L286</f>
        <v>31.755110771173843</v>
      </c>
      <c r="J286" s="156">
        <f t="shared" si="65"/>
        <v>195.21728265599998</v>
      </c>
      <c r="K286" s="69"/>
      <c r="L286" s="319">
        <v>0.95</v>
      </c>
      <c r="W286" s="60"/>
      <c r="X286" s="60"/>
      <c r="Y286" s="60"/>
      <c r="Z286" s="60"/>
      <c r="AA286" s="60"/>
      <c r="AB286" s="60"/>
    </row>
    <row r="287" spans="2:28" s="37" customFormat="1" ht="15.75">
      <c r="B287" s="48"/>
      <c r="C287" s="160" t="s">
        <v>307</v>
      </c>
      <c r="D287" s="156">
        <f>$J$18*F801ENE!D83*$L287</f>
        <v>0.13839826402640759</v>
      </c>
      <c r="E287" s="156">
        <f>$J$18*F801ENE!E83*$L287</f>
        <v>0.13845602356328821</v>
      </c>
      <c r="F287" s="156">
        <f>$J$18*F801ENE!F83*$L287</f>
        <v>0.13584096238569282</v>
      </c>
      <c r="G287" s="156">
        <f>$J$18*F801ENE!G83*$L287</f>
        <v>0.13798141619365678</v>
      </c>
      <c r="H287" s="156">
        <f>$J$18*F801ENE!H83*$L287</f>
        <v>0.13200271313739889</v>
      </c>
      <c r="I287" s="156">
        <f>$J$18*F801ENE!I83*$L287</f>
        <v>0.1326212606935557</v>
      </c>
      <c r="J287" s="156">
        <f t="shared" si="65"/>
        <v>0.81530064000000002</v>
      </c>
      <c r="K287" s="69"/>
      <c r="L287" s="319">
        <v>0.5</v>
      </c>
      <c r="W287" s="60"/>
      <c r="X287" s="60"/>
      <c r="Y287" s="60"/>
      <c r="Z287" s="60"/>
      <c r="AA287" s="60"/>
      <c r="AB287" s="60"/>
    </row>
    <row r="288" spans="2:28" s="37" customFormat="1" ht="15.75">
      <c r="B288" s="48"/>
      <c r="C288" s="160" t="s">
        <v>624</v>
      </c>
      <c r="D288" s="156">
        <f>$J$18*F801ENE!D84*$L288</f>
        <v>0</v>
      </c>
      <c r="E288" s="156">
        <f>$J$18*F801ENE!E84*$L288</f>
        <v>0</v>
      </c>
      <c r="F288" s="156">
        <f>$J$18*F801ENE!F84*$L288</f>
        <v>0</v>
      </c>
      <c r="G288" s="156">
        <f>$J$18*F801ENE!G84*$L288</f>
        <v>0</v>
      </c>
      <c r="H288" s="156">
        <f>$J$18*F801ENE!H84*$L288</f>
        <v>0</v>
      </c>
      <c r="I288" s="156">
        <f>$J$18*F801ENE!I84*$L288</f>
        <v>0</v>
      </c>
      <c r="J288" s="156">
        <f t="shared" si="65"/>
        <v>0</v>
      </c>
      <c r="K288" s="69"/>
      <c r="L288" s="319">
        <v>0</v>
      </c>
    </row>
    <row r="289" spans="2:12" s="37" customFormat="1" ht="15.75">
      <c r="B289" s="48"/>
      <c r="C289" s="157"/>
      <c r="D289" s="156"/>
      <c r="E289" s="156"/>
      <c r="F289" s="156"/>
      <c r="G289" s="156"/>
      <c r="H289" s="156"/>
      <c r="I289" s="156"/>
      <c r="J289" s="156"/>
      <c r="K289" s="69"/>
      <c r="L289" s="319"/>
    </row>
    <row r="290" spans="2:12" s="37" customFormat="1" ht="15.75">
      <c r="B290" s="48" t="s">
        <v>902</v>
      </c>
      <c r="C290" s="158" t="s">
        <v>898</v>
      </c>
      <c r="D290" s="159">
        <f t="shared" ref="D290:I290" si="69">SUM(D291:D295)</f>
        <v>23654.002586876995</v>
      </c>
      <c r="E290" s="159">
        <f t="shared" si="69"/>
        <v>23663.874417599738</v>
      </c>
      <c r="F290" s="159">
        <f t="shared" si="69"/>
        <v>23216.927598614497</v>
      </c>
      <c r="G290" s="159">
        <f t="shared" si="69"/>
        <v>23582.758053691658</v>
      </c>
      <c r="H290" s="159">
        <f t="shared" si="69"/>
        <v>22560.922566420599</v>
      </c>
      <c r="I290" s="159">
        <f t="shared" si="69"/>
        <v>22666.640117116516</v>
      </c>
      <c r="J290" s="159">
        <f t="shared" ref="J290:J309" si="70">SUM(D290:I290)</f>
        <v>139345.12534032</v>
      </c>
      <c r="K290" s="69"/>
      <c r="L290" s="319"/>
    </row>
    <row r="291" spans="2:12" s="37" customFormat="1" ht="15.75">
      <c r="B291" s="48"/>
      <c r="C291" s="160" t="s">
        <v>304</v>
      </c>
      <c r="D291" s="156">
        <f>$J$17*F801ENE!D87*$L291</f>
        <v>22750.699584827285</v>
      </c>
      <c r="E291" s="156">
        <f>$J$17*F801ENE!E87*$L291</f>
        <v>22760.194428429357</v>
      </c>
      <c r="F291" s="156">
        <f>$J$17*F801ENE!F87*$L291</f>
        <v>22330.315689227362</v>
      </c>
      <c r="G291" s="156">
        <f>$J$17*F801ENE!G87*$L291</f>
        <v>22682.175749776212</v>
      </c>
      <c r="H291" s="156">
        <f>$J$17*F801ENE!H87*$L291</f>
        <v>21699.362286784668</v>
      </c>
      <c r="I291" s="156">
        <f>$J$17*F801ENE!I87*$L291</f>
        <v>21801.042677995116</v>
      </c>
      <c r="J291" s="156">
        <f t="shared" si="70"/>
        <v>134023.79041704</v>
      </c>
      <c r="K291" s="69"/>
      <c r="L291" s="319">
        <v>1</v>
      </c>
    </row>
    <row r="292" spans="2:12" s="37" customFormat="1" ht="15.75">
      <c r="B292" s="48"/>
      <c r="C292" s="162" t="s">
        <v>644</v>
      </c>
      <c r="D292" s="156">
        <f>$J$17*F801ENE!D88*$L292</f>
        <v>903.30300204970877</v>
      </c>
      <c r="E292" s="156">
        <f>$J$17*F801ENE!E88*$L292</f>
        <v>903.67998917038028</v>
      </c>
      <c r="F292" s="156">
        <f>$J$17*F801ENE!F88*$L292</f>
        <v>886.61190938713355</v>
      </c>
      <c r="G292" s="156">
        <f>$J$17*F801ENE!G88*$L292</f>
        <v>900.58230391544703</v>
      </c>
      <c r="H292" s="156">
        <f>$J$17*F801ENE!H88*$L292</f>
        <v>861.56027963592965</v>
      </c>
      <c r="I292" s="156">
        <f>$J$17*F801ENE!I88*$L292</f>
        <v>865.59743912140061</v>
      </c>
      <c r="J292" s="156">
        <f t="shared" si="70"/>
        <v>5321.3349232799992</v>
      </c>
      <c r="K292" s="69"/>
      <c r="L292" s="319">
        <v>0.75</v>
      </c>
    </row>
    <row r="293" spans="2:12" s="37" customFormat="1" ht="15.75">
      <c r="B293" s="48"/>
      <c r="C293" s="160" t="s">
        <v>305</v>
      </c>
      <c r="D293" s="156">
        <f>$J$17*F801ENE!D89*$L293</f>
        <v>0</v>
      </c>
      <c r="E293" s="156">
        <f>$J$17*F801ENE!E89*$L293</f>
        <v>0</v>
      </c>
      <c r="F293" s="156">
        <f>$J$17*F801ENE!F89*$L293</f>
        <v>0</v>
      </c>
      <c r="G293" s="156">
        <f>$J$17*F801ENE!G89*$L293</f>
        <v>0</v>
      </c>
      <c r="H293" s="156">
        <f>$J$17*F801ENE!H89*$L293</f>
        <v>0</v>
      </c>
      <c r="I293" s="156">
        <f>$J$17*F801ENE!I89*$L293</f>
        <v>0</v>
      </c>
      <c r="J293" s="156">
        <f t="shared" si="70"/>
        <v>0</v>
      </c>
      <c r="K293" s="69"/>
      <c r="L293" s="319">
        <v>0.95</v>
      </c>
    </row>
    <row r="294" spans="2:12" s="37" customFormat="1" ht="15.75">
      <c r="B294" s="48"/>
      <c r="C294" s="160" t="s">
        <v>307</v>
      </c>
      <c r="D294" s="156">
        <f>$J$17*F801ENE!D90*$L294</f>
        <v>0</v>
      </c>
      <c r="E294" s="156">
        <f>$J$17*F801ENE!E90*$L294</f>
        <v>0</v>
      </c>
      <c r="F294" s="156">
        <f>$J$17*F801ENE!F90*$L294</f>
        <v>0</v>
      </c>
      <c r="G294" s="156">
        <f>$J$17*F801ENE!G90*$L294</f>
        <v>0</v>
      </c>
      <c r="H294" s="156">
        <f>$J$17*F801ENE!H90*$L294</f>
        <v>0</v>
      </c>
      <c r="I294" s="156">
        <f>$J$17*F801ENE!I90*$L294</f>
        <v>0</v>
      </c>
      <c r="J294" s="156">
        <f t="shared" si="70"/>
        <v>0</v>
      </c>
      <c r="K294" s="69"/>
      <c r="L294" s="319">
        <v>0.5</v>
      </c>
    </row>
    <row r="295" spans="2:12" s="37" customFormat="1" ht="15.75">
      <c r="B295" s="48"/>
      <c r="C295" s="160" t="s">
        <v>624</v>
      </c>
      <c r="D295" s="156">
        <f>$J$17*F801ENE!D91*$L295</f>
        <v>0</v>
      </c>
      <c r="E295" s="156">
        <f>$J$17*F801ENE!E91*$L295</f>
        <v>0</v>
      </c>
      <c r="F295" s="156">
        <f>$J$17*F801ENE!F91*$L295</f>
        <v>0</v>
      </c>
      <c r="G295" s="156">
        <f>$J$17*F801ENE!G91*$L295</f>
        <v>0</v>
      </c>
      <c r="H295" s="156">
        <f>$J$17*F801ENE!H91*$L295</f>
        <v>0</v>
      </c>
      <c r="I295" s="156">
        <f>$J$17*F801ENE!I91*$L295</f>
        <v>0</v>
      </c>
      <c r="J295" s="156">
        <f t="shared" si="70"/>
        <v>0</v>
      </c>
      <c r="K295" s="69"/>
      <c r="L295" s="319">
        <v>0</v>
      </c>
    </row>
    <row r="296" spans="2:12" s="37" customFormat="1" ht="15.75">
      <c r="B296" s="48" t="s">
        <v>902</v>
      </c>
      <c r="C296" s="158" t="s">
        <v>899</v>
      </c>
      <c r="D296" s="159">
        <f t="shared" ref="D296:I296" si="71">SUM(D297:D302)</f>
        <v>1872.1984683651931</v>
      </c>
      <c r="E296" s="159">
        <f t="shared" si="71"/>
        <v>1872.9798171576945</v>
      </c>
      <c r="F296" s="159">
        <f t="shared" si="71"/>
        <v>1837.6042756665011</v>
      </c>
      <c r="G296" s="159">
        <f t="shared" si="71"/>
        <v>1866.5595112618832</v>
      </c>
      <c r="H296" s="159">
        <f t="shared" si="71"/>
        <v>1785.6819165645934</v>
      </c>
      <c r="I296" s="159">
        <f t="shared" si="71"/>
        <v>1794.0493899241353</v>
      </c>
      <c r="J296" s="159">
        <f t="shared" si="70"/>
        <v>11029.07337894</v>
      </c>
      <c r="K296" s="69"/>
      <c r="L296" s="319"/>
    </row>
    <row r="297" spans="2:12" s="37" customFormat="1" ht="15.75">
      <c r="B297" s="48"/>
      <c r="C297" s="160" t="s">
        <v>304</v>
      </c>
      <c r="D297" s="156">
        <f>$J$17*F801ENE!D93*$L297</f>
        <v>1700.6510491435467</v>
      </c>
      <c r="E297" s="156">
        <f>$J$17*F801ENE!E93*$L297</f>
        <v>1701.3608038336438</v>
      </c>
      <c r="F297" s="156">
        <f>$J$17*F801ENE!F93*$L297</f>
        <v>1669.2266830299063</v>
      </c>
      <c r="G297" s="156">
        <f>$J$17*F801ENE!G93*$L297</f>
        <v>1695.5287832749111</v>
      </c>
      <c r="H297" s="156">
        <f>$J$17*F801ENE!H93*$L297</f>
        <v>1622.0619107193231</v>
      </c>
      <c r="I297" s="156">
        <f>$J$17*F801ENE!I93*$L297</f>
        <v>1629.6626819986689</v>
      </c>
      <c r="J297" s="156">
        <f t="shared" si="70"/>
        <v>10018.491912</v>
      </c>
      <c r="K297" s="69"/>
      <c r="L297" s="319">
        <v>1</v>
      </c>
    </row>
    <row r="298" spans="2:12" s="37" customFormat="1" ht="15.75">
      <c r="B298" s="48"/>
      <c r="C298" s="162" t="s">
        <v>642</v>
      </c>
      <c r="D298" s="156">
        <f>$J$17*F801ENE!D94*$L298</f>
        <v>155.56032278320177</v>
      </c>
      <c r="E298" s="156">
        <f>$J$17*F801ENE!E94*$L298</f>
        <v>155.62524478395198</v>
      </c>
      <c r="F298" s="156">
        <f>$J$17*F801ENE!F94*$L298</f>
        <v>152.68590328464722</v>
      </c>
      <c r="G298" s="156">
        <f>$J$17*F801ENE!G94*$L298</f>
        <v>155.09178378908678</v>
      </c>
      <c r="H298" s="156">
        <f>$J$17*F801ENE!H94*$L298</f>
        <v>148.37169243679256</v>
      </c>
      <c r="I298" s="156">
        <f>$J$17*F801ENE!I94*$L298</f>
        <v>149.06694290231974</v>
      </c>
      <c r="J298" s="156">
        <f t="shared" si="70"/>
        <v>916.40188997999996</v>
      </c>
      <c r="K298" s="69"/>
      <c r="L298" s="319">
        <v>0.75</v>
      </c>
    </row>
    <row r="299" spans="2:12" s="37" customFormat="1" ht="15.75">
      <c r="B299" s="48"/>
      <c r="C299" s="162" t="s">
        <v>1177</v>
      </c>
      <c r="D299" s="156">
        <f>$J$17*F801ENE!D95*$L299</f>
        <v>15.987096438444416</v>
      </c>
      <c r="E299" s="156">
        <f>$J$17*F801ENE!E95*$L299</f>
        <v>15.993768540098625</v>
      </c>
      <c r="F299" s="156">
        <f>$J$17*F801ENE!F95*$L299</f>
        <v>15.691689351947304</v>
      </c>
      <c r="G299" s="156">
        <f>$J$17*F801ENE!G95*$L299</f>
        <v>15.938944197885442</v>
      </c>
      <c r="H299" s="156">
        <f>$J$17*F801ENE!H95*$L299</f>
        <v>15.248313408477715</v>
      </c>
      <c r="I299" s="156">
        <f>$J$17*F801ENE!I95*$L299</f>
        <v>15.319765023146495</v>
      </c>
      <c r="J299" s="156">
        <f t="shared" si="70"/>
        <v>94.179576959999991</v>
      </c>
      <c r="K299" s="69"/>
      <c r="L299" s="319">
        <v>1</v>
      </c>
    </row>
    <row r="300" spans="2:12" s="37" customFormat="1" ht="15.75">
      <c r="B300" s="48"/>
      <c r="C300" s="160" t="s">
        <v>305</v>
      </c>
      <c r="D300" s="156">
        <f>$J$17*F801ENE!D96*$L300</f>
        <v>0</v>
      </c>
      <c r="E300" s="156">
        <f>$J$17*F801ENE!E96*$L300</f>
        <v>0</v>
      </c>
      <c r="F300" s="156">
        <f>$J$17*F801ENE!F96*$L300</f>
        <v>0</v>
      </c>
      <c r="G300" s="156">
        <f>$J$17*F801ENE!G96*$L300</f>
        <v>0</v>
      </c>
      <c r="H300" s="156">
        <f>$J$17*F801ENE!H96*$L300</f>
        <v>0</v>
      </c>
      <c r="I300" s="156">
        <f>$J$17*F801ENE!I96*$L300</f>
        <v>0</v>
      </c>
      <c r="J300" s="156">
        <f t="shared" si="70"/>
        <v>0</v>
      </c>
      <c r="K300" s="69"/>
      <c r="L300" s="319">
        <v>0.95</v>
      </c>
    </row>
    <row r="301" spans="2:12" s="37" customFormat="1" ht="15.75">
      <c r="B301" s="48"/>
      <c r="C301" s="160" t="s">
        <v>307</v>
      </c>
      <c r="D301" s="156">
        <f>$J$17*F801ENE!D97*$L301</f>
        <v>0</v>
      </c>
      <c r="E301" s="156">
        <f>$J$17*F801ENE!E97*$L301</f>
        <v>0</v>
      </c>
      <c r="F301" s="156">
        <f>$J$17*F801ENE!F97*$L301</f>
        <v>0</v>
      </c>
      <c r="G301" s="156">
        <f>$J$17*F801ENE!G97*$L301</f>
        <v>0</v>
      </c>
      <c r="H301" s="156">
        <f>$J$17*F801ENE!H97*$L301</f>
        <v>0</v>
      </c>
      <c r="I301" s="156">
        <f>$J$17*F801ENE!I97*$L301</f>
        <v>0</v>
      </c>
      <c r="J301" s="156">
        <f t="shared" si="70"/>
        <v>0</v>
      </c>
      <c r="K301" s="69"/>
      <c r="L301" s="319">
        <v>0.5</v>
      </c>
    </row>
    <row r="302" spans="2:12" s="37" customFormat="1" ht="15.75">
      <c r="B302" s="48"/>
      <c r="C302" s="160" t="s">
        <v>624</v>
      </c>
      <c r="D302" s="156">
        <f>$J$17*F801ENE!D98*$L302</f>
        <v>0</v>
      </c>
      <c r="E302" s="156">
        <f>$J$17*F801ENE!E98*$L302</f>
        <v>0</v>
      </c>
      <c r="F302" s="156">
        <f>$J$17*F801ENE!F98*$L302</f>
        <v>0</v>
      </c>
      <c r="G302" s="156">
        <f>$J$17*F801ENE!G98*$L302</f>
        <v>0</v>
      </c>
      <c r="H302" s="156">
        <f>$J$17*F801ENE!H98*$L302</f>
        <v>0</v>
      </c>
      <c r="I302" s="156">
        <f>$J$17*F801ENE!I98*$L302</f>
        <v>0</v>
      </c>
      <c r="J302" s="156">
        <f t="shared" si="70"/>
        <v>0</v>
      </c>
      <c r="K302" s="69"/>
      <c r="L302" s="319">
        <v>0</v>
      </c>
    </row>
    <row r="303" spans="2:12" s="37" customFormat="1" ht="15.75">
      <c r="B303" s="48" t="s">
        <v>902</v>
      </c>
      <c r="C303" s="158" t="s">
        <v>900</v>
      </c>
      <c r="D303" s="159">
        <f t="shared" ref="D303:I303" si="72">SUM(D304:D309)</f>
        <v>207.03728748081625</v>
      </c>
      <c r="E303" s="159">
        <f t="shared" si="72"/>
        <v>207.12369302879063</v>
      </c>
      <c r="F303" s="159">
        <f t="shared" si="72"/>
        <v>203.21168461875428</v>
      </c>
      <c r="G303" s="159">
        <f t="shared" si="72"/>
        <v>206.41370274735081</v>
      </c>
      <c r="H303" s="159">
        <f t="shared" si="72"/>
        <v>197.46984444010562</v>
      </c>
      <c r="I303" s="159">
        <f t="shared" si="72"/>
        <v>198.39516246418253</v>
      </c>
      <c r="J303" s="159">
        <f t="shared" si="70"/>
        <v>1219.6513747800002</v>
      </c>
      <c r="K303" s="69"/>
      <c r="L303" s="319"/>
    </row>
    <row r="304" spans="2:12" s="37" customFormat="1" ht="15.75">
      <c r="B304" s="48"/>
      <c r="C304" s="160" t="s">
        <v>304</v>
      </c>
      <c r="D304" s="156">
        <f>$J$17*F801ENE!D100*$L304</f>
        <v>201.13761213167754</v>
      </c>
      <c r="E304" s="156">
        <f>$J$17*F801ENE!E100*$L304</f>
        <v>201.22155549186144</v>
      </c>
      <c r="F304" s="156">
        <f>$J$17*F801ENE!F100*$L304</f>
        <v>197.42102255497846</v>
      </c>
      <c r="G304" s="156">
        <f>$J$17*F801ENE!G100*$L304</f>
        <v>200.53179689048517</v>
      </c>
      <c r="H304" s="156">
        <f>$J$17*F801ENE!H100*$L304</f>
        <v>191.84280021238652</v>
      </c>
      <c r="I304" s="156">
        <f>$J$17*F801ENE!I100*$L304</f>
        <v>192.74175063861097</v>
      </c>
      <c r="J304" s="156">
        <f t="shared" si="70"/>
        <v>1184.8965379199999</v>
      </c>
      <c r="K304" s="69"/>
      <c r="L304" s="319">
        <v>1</v>
      </c>
    </row>
    <row r="305" spans="2:12" s="37" customFormat="1" ht="15.75">
      <c r="B305" s="48"/>
      <c r="C305" s="162" t="s">
        <v>642</v>
      </c>
      <c r="D305" s="156">
        <f>$J$17*F801ENE!D101*$L305</f>
        <v>5.899675349138696</v>
      </c>
      <c r="E305" s="156">
        <f>$J$17*F801ENE!E101*$L305</f>
        <v>5.902137536929196</v>
      </c>
      <c r="F305" s="156">
        <f>$J$17*F801ENE!F101*$L305</f>
        <v>5.7906620637758239</v>
      </c>
      <c r="G305" s="156">
        <f>$J$17*F801ENE!G101*$L305</f>
        <v>5.8819058568656386</v>
      </c>
      <c r="H305" s="156">
        <f>$J$17*F801ENE!H101*$L305</f>
        <v>5.6270442277190869</v>
      </c>
      <c r="I305" s="156">
        <f>$J$17*F801ENE!I101*$L305</f>
        <v>5.6534118255715562</v>
      </c>
      <c r="J305" s="156">
        <f t="shared" si="70"/>
        <v>34.754836859999998</v>
      </c>
      <c r="K305" s="69"/>
      <c r="L305" s="319">
        <v>0.75</v>
      </c>
    </row>
    <row r="306" spans="2:12" s="37" customFormat="1" ht="15.75">
      <c r="B306" s="48"/>
      <c r="C306" s="162" t="s">
        <v>1177</v>
      </c>
      <c r="D306" s="156">
        <f>$J$17*F801ENE!D102*$L306</f>
        <v>0</v>
      </c>
      <c r="E306" s="156">
        <f>$J$17*F801ENE!E102*$L306</f>
        <v>0</v>
      </c>
      <c r="F306" s="156">
        <f>$J$17*F801ENE!F102*$L306</f>
        <v>0</v>
      </c>
      <c r="G306" s="156">
        <f>$J$17*F801ENE!G102*$L306</f>
        <v>0</v>
      </c>
      <c r="H306" s="156">
        <f>$J$17*F801ENE!H102*$L306</f>
        <v>0</v>
      </c>
      <c r="I306" s="156">
        <f>$J$17*F801ENE!I102*$L306</f>
        <v>0</v>
      </c>
      <c r="J306" s="156">
        <f t="shared" si="70"/>
        <v>0</v>
      </c>
      <c r="K306" s="69"/>
      <c r="L306" s="319">
        <v>1</v>
      </c>
    </row>
    <row r="307" spans="2:12" s="37" customFormat="1" ht="15.75">
      <c r="B307" s="48"/>
      <c r="C307" s="160" t="s">
        <v>305</v>
      </c>
      <c r="D307" s="156">
        <f>$J$17*F801ENE!D103*$L307</f>
        <v>0</v>
      </c>
      <c r="E307" s="156">
        <f>$J$17*F801ENE!E103*$L307</f>
        <v>0</v>
      </c>
      <c r="F307" s="156">
        <f>$J$17*F801ENE!F103*$L307</f>
        <v>0</v>
      </c>
      <c r="G307" s="156">
        <f>$J$17*F801ENE!G103*$L307</f>
        <v>0</v>
      </c>
      <c r="H307" s="156">
        <f>$J$17*F801ENE!H103*$L307</f>
        <v>0</v>
      </c>
      <c r="I307" s="156">
        <f>$J$17*F801ENE!I103*$L307</f>
        <v>0</v>
      </c>
      <c r="J307" s="156">
        <f t="shared" si="70"/>
        <v>0</v>
      </c>
      <c r="K307" s="69"/>
      <c r="L307" s="319">
        <v>0.95</v>
      </c>
    </row>
    <row r="308" spans="2:12" s="37" customFormat="1" ht="15.75">
      <c r="B308" s="48"/>
      <c r="C308" s="160" t="s">
        <v>307</v>
      </c>
      <c r="D308" s="156">
        <f>$J$17*F801ENE!D104*$L308</f>
        <v>0</v>
      </c>
      <c r="E308" s="156">
        <f>$J$17*F801ENE!E104*$L308</f>
        <v>0</v>
      </c>
      <c r="F308" s="156">
        <f>$J$17*F801ENE!F104*$L308</f>
        <v>0</v>
      </c>
      <c r="G308" s="156">
        <f>$J$17*F801ENE!G104*$L308</f>
        <v>0</v>
      </c>
      <c r="H308" s="156">
        <f>$J$17*F801ENE!H104*$L308</f>
        <v>0</v>
      </c>
      <c r="I308" s="156">
        <f>$J$17*F801ENE!I104*$L308</f>
        <v>0</v>
      </c>
      <c r="J308" s="156">
        <f t="shared" si="70"/>
        <v>0</v>
      </c>
      <c r="K308" s="69"/>
      <c r="L308" s="319">
        <v>0.5</v>
      </c>
    </row>
    <row r="309" spans="2:12" s="37" customFormat="1" ht="15.75">
      <c r="B309" s="48"/>
      <c r="C309" s="160" t="s">
        <v>624</v>
      </c>
      <c r="D309" s="156">
        <f>$J$17*F801ENE!D105*$L309</f>
        <v>0</v>
      </c>
      <c r="E309" s="156">
        <f>$J$17*F801ENE!E105*$L309</f>
        <v>0</v>
      </c>
      <c r="F309" s="156">
        <f>$J$17*F801ENE!F105*$L309</f>
        <v>0</v>
      </c>
      <c r="G309" s="156">
        <f>$J$17*F801ENE!G105*$L309</f>
        <v>0</v>
      </c>
      <c r="H309" s="156">
        <f>$J$17*F801ENE!H105*$L309</f>
        <v>0</v>
      </c>
      <c r="I309" s="156">
        <f>$J$17*F801ENE!I105*$L309</f>
        <v>0</v>
      </c>
      <c r="J309" s="156">
        <f t="shared" si="70"/>
        <v>0</v>
      </c>
      <c r="K309" s="69"/>
      <c r="L309" s="319">
        <v>0</v>
      </c>
    </row>
    <row r="310" spans="2:12" s="37" customFormat="1" ht="15.75">
      <c r="B310" s="48"/>
      <c r="C310" s="157"/>
      <c r="D310" s="156"/>
      <c r="E310" s="156"/>
      <c r="F310" s="156"/>
      <c r="G310" s="156"/>
      <c r="H310" s="156"/>
      <c r="I310" s="156"/>
      <c r="J310" s="156"/>
      <c r="K310" s="69"/>
      <c r="L310" s="319"/>
    </row>
    <row r="311" spans="2:12" s="37" customFormat="1" ht="15.75">
      <c r="B311" s="48"/>
      <c r="C311" s="153" t="s">
        <v>112</v>
      </c>
      <c r="D311" s="154">
        <f t="shared" ref="D311:I311" si="73">D234+D224+D220</f>
        <v>456075.062127168</v>
      </c>
      <c r="E311" s="154">
        <f t="shared" si="73"/>
        <v>456265.4018461447</v>
      </c>
      <c r="F311" s="154">
        <f t="shared" si="73"/>
        <v>447647.77718133642</v>
      </c>
      <c r="G311" s="154">
        <f t="shared" si="73"/>
        <v>454701.38942086126</v>
      </c>
      <c r="H311" s="154">
        <f t="shared" si="73"/>
        <v>434999.28097208368</v>
      </c>
      <c r="I311" s="154">
        <f t="shared" si="73"/>
        <v>437037.63124930178</v>
      </c>
      <c r="J311" s="154">
        <f>SUM(D311:I311)</f>
        <v>2686726.5427968954</v>
      </c>
      <c r="K311" s="69"/>
      <c r="L311" s="319"/>
    </row>
    <row r="312" spans="2:12">
      <c r="C312" s="48"/>
      <c r="D312" s="48"/>
      <c r="E312" s="48"/>
      <c r="F312" s="48"/>
      <c r="G312" s="48"/>
      <c r="H312" s="48"/>
      <c r="I312" s="48"/>
      <c r="J312" s="48"/>
    </row>
    <row r="313" spans="2:12" s="69" customFormat="1" ht="53.25">
      <c r="B313" s="48"/>
      <c r="C313" s="320" t="s">
        <v>1459</v>
      </c>
      <c r="D313" s="320"/>
      <c r="E313" s="320"/>
      <c r="F313" s="320"/>
      <c r="G313" s="320"/>
      <c r="H313" s="320"/>
      <c r="I313" s="320"/>
      <c r="J313" s="321"/>
      <c r="L313" s="319"/>
    </row>
    <row r="314" spans="2:12" s="37" customFormat="1" ht="15.75">
      <c r="B314" s="48"/>
      <c r="C314" s="150" t="s">
        <v>310</v>
      </c>
      <c r="D314" s="151">
        <f t="shared" ref="D314:I314" si="74">D$29</f>
        <v>46204</v>
      </c>
      <c r="E314" s="151">
        <f t="shared" si="74"/>
        <v>46235</v>
      </c>
      <c r="F314" s="151">
        <f t="shared" si="74"/>
        <v>46266</v>
      </c>
      <c r="G314" s="151">
        <f t="shared" si="74"/>
        <v>46296</v>
      </c>
      <c r="H314" s="151">
        <f t="shared" si="74"/>
        <v>46327</v>
      </c>
      <c r="I314" s="151">
        <f t="shared" si="74"/>
        <v>46357</v>
      </c>
      <c r="J314" s="152" t="s">
        <v>111</v>
      </c>
      <c r="K314" s="69"/>
      <c r="L314" s="319"/>
    </row>
    <row r="315" spans="2:12" s="37" customFormat="1" ht="15.75">
      <c r="B315" s="48"/>
      <c r="C315" s="334" t="s">
        <v>446</v>
      </c>
      <c r="D315" s="154">
        <f t="shared" ref="D315:I315" si="75">D316+D317+D320</f>
        <v>27974.698717649586</v>
      </c>
      <c r="E315" s="154">
        <f t="shared" si="75"/>
        <v>26292.517410433324</v>
      </c>
      <c r="F315" s="154">
        <f t="shared" si="75"/>
        <v>26706.906914051557</v>
      </c>
      <c r="G315" s="154">
        <f t="shared" si="75"/>
        <v>30461.371550593351</v>
      </c>
      <c r="H315" s="154">
        <f t="shared" si="75"/>
        <v>24931.495127134913</v>
      </c>
      <c r="I315" s="154">
        <f t="shared" si="75"/>
        <v>28809.760631348705</v>
      </c>
      <c r="J315" s="154">
        <f t="shared" ref="J315:J342" si="76">SUM(D315:I315)</f>
        <v>165176.75035121143</v>
      </c>
      <c r="K315" s="69"/>
      <c r="L315" s="319"/>
    </row>
    <row r="316" spans="2:12" s="37" customFormat="1" ht="15.75">
      <c r="B316" s="48" t="s">
        <v>870</v>
      </c>
      <c r="C316" s="157" t="s">
        <v>1029</v>
      </c>
      <c r="D316" s="156">
        <f>$J$7*F801ENE!D116</f>
        <v>16176.06106828434</v>
      </c>
      <c r="E316" s="156">
        <f>$J$7*F801ENE!E116</f>
        <v>14642.196644153157</v>
      </c>
      <c r="F316" s="156">
        <f>$J$7*F801ENE!F116</f>
        <v>14799.916627578034</v>
      </c>
      <c r="G316" s="156">
        <f>$J$7*F801ENE!G116</f>
        <v>16970.093042720506</v>
      </c>
      <c r="H316" s="156">
        <f>$J$7*F801ENE!H116</f>
        <v>11789.888897080978</v>
      </c>
      <c r="I316" s="156">
        <f>$J$7*F801ENE!I116</f>
        <v>15202.704042439811</v>
      </c>
      <c r="J316" s="154">
        <f t="shared" si="76"/>
        <v>89580.86032225682</v>
      </c>
      <c r="K316" s="69"/>
      <c r="L316" s="319"/>
    </row>
    <row r="317" spans="2:12" s="37" customFormat="1" ht="15.75">
      <c r="B317" s="48" t="s">
        <v>871</v>
      </c>
      <c r="C317" s="335" t="s">
        <v>193</v>
      </c>
      <c r="D317" s="154">
        <f t="shared" ref="D317:I317" si="77">SUM(D318:D319)</f>
        <v>7722.537667365239</v>
      </c>
      <c r="E317" s="154">
        <f t="shared" si="77"/>
        <v>7574.2207842801599</v>
      </c>
      <c r="F317" s="154">
        <f t="shared" si="77"/>
        <v>7830.890304473518</v>
      </c>
      <c r="G317" s="154">
        <f t="shared" si="77"/>
        <v>9415.178525872836</v>
      </c>
      <c r="H317" s="154">
        <f t="shared" si="77"/>
        <v>9065.5062480539254</v>
      </c>
      <c r="I317" s="154">
        <f t="shared" si="77"/>
        <v>9530.9566069088851</v>
      </c>
      <c r="J317" s="154">
        <f t="shared" si="76"/>
        <v>51139.290136954565</v>
      </c>
      <c r="K317" s="69"/>
      <c r="L317" s="319"/>
    </row>
    <row r="318" spans="2:12" s="37" customFormat="1" ht="15.75">
      <c r="B318" s="48"/>
      <c r="C318" s="157" t="s">
        <v>1030</v>
      </c>
      <c r="D318" s="156">
        <f>+$J$8*F801ENE!D118</f>
        <v>0</v>
      </c>
      <c r="E318" s="156">
        <f>+$J$8*F801ENE!E118</f>
        <v>0</v>
      </c>
      <c r="F318" s="156">
        <f>+$J$8*F801ENE!F118</f>
        <v>0</v>
      </c>
      <c r="G318" s="156">
        <f>+$J$8*F801ENE!G118</f>
        <v>0</v>
      </c>
      <c r="H318" s="156">
        <f>+$J$8*F801ENE!H118</f>
        <v>0</v>
      </c>
      <c r="I318" s="156">
        <f>+$J$8*F801ENE!I118</f>
        <v>0</v>
      </c>
      <c r="J318" s="154">
        <f t="shared" si="76"/>
        <v>0</v>
      </c>
      <c r="K318" s="69"/>
      <c r="L318" s="319"/>
    </row>
    <row r="319" spans="2:12" s="37" customFormat="1" ht="15.75">
      <c r="B319" s="48"/>
      <c r="C319" s="157" t="s">
        <v>1476</v>
      </c>
      <c r="D319" s="156">
        <f>+$J$8*F801ENE!D119</f>
        <v>7722.537667365239</v>
      </c>
      <c r="E319" s="156">
        <f>+$J$8*F801ENE!E119</f>
        <v>7574.2207842801599</v>
      </c>
      <c r="F319" s="156">
        <f>+$J$8*F801ENE!F119</f>
        <v>7830.890304473518</v>
      </c>
      <c r="G319" s="156">
        <f>+$J$8*F801ENE!G119</f>
        <v>9415.178525872836</v>
      </c>
      <c r="H319" s="156">
        <f>+$J$8*F801ENE!H119</f>
        <v>9065.5062480539254</v>
      </c>
      <c r="I319" s="156">
        <f>+$J$8*F801ENE!I119</f>
        <v>9530.9566069088851</v>
      </c>
      <c r="J319" s="154">
        <f t="shared" si="76"/>
        <v>51139.290136954565</v>
      </c>
      <c r="K319" s="69"/>
      <c r="L319" s="319"/>
    </row>
    <row r="320" spans="2:12" s="37" customFormat="1" ht="15.75">
      <c r="B320" s="48" t="s">
        <v>893</v>
      </c>
      <c r="C320" s="153" t="s">
        <v>942</v>
      </c>
      <c r="D320" s="154">
        <f>+$J$8*F801ENE!D120</f>
        <v>4076.0999820000075</v>
      </c>
      <c r="E320" s="154">
        <f>+$J$8*F801ENE!E120</f>
        <v>4076.0999820000075</v>
      </c>
      <c r="F320" s="154">
        <f>+$J$8*F801ENE!F120</f>
        <v>4076.0999820000075</v>
      </c>
      <c r="G320" s="154">
        <f>+$J$8*F801ENE!G120</f>
        <v>4076.0999820000075</v>
      </c>
      <c r="H320" s="154">
        <f>+$J$8*F801ENE!H120</f>
        <v>4076.0999820000075</v>
      </c>
      <c r="I320" s="154">
        <f>+$J$8*F801ENE!I120</f>
        <v>4076.0999820000075</v>
      </c>
      <c r="J320" s="154">
        <f t="shared" si="76"/>
        <v>24456.599892000046</v>
      </c>
      <c r="K320" s="69"/>
      <c r="L320" s="319"/>
    </row>
    <row r="321" spans="2:12" s="37" customFormat="1" ht="15.75">
      <c r="B321" s="48"/>
      <c r="C321" s="334" t="s">
        <v>630</v>
      </c>
      <c r="D321" s="154">
        <f t="shared" ref="D321:I321" si="78">D322+D327</f>
        <v>87914.395819505517</v>
      </c>
      <c r="E321" s="154">
        <f t="shared" si="78"/>
        <v>87355.910141346249</v>
      </c>
      <c r="F321" s="154">
        <f t="shared" si="78"/>
        <v>84895.668266586727</v>
      </c>
      <c r="G321" s="154">
        <f t="shared" si="78"/>
        <v>88845.090700349421</v>
      </c>
      <c r="H321" s="154">
        <f t="shared" si="78"/>
        <v>82195.787058889575</v>
      </c>
      <c r="I321" s="154">
        <f t="shared" si="78"/>
        <v>86838.769445907907</v>
      </c>
      <c r="J321" s="154">
        <f t="shared" si="76"/>
        <v>518045.62143258541</v>
      </c>
      <c r="K321" s="69"/>
      <c r="L321" s="319"/>
    </row>
    <row r="322" spans="2:12" s="37" customFormat="1" ht="15.75">
      <c r="B322" s="48" t="s">
        <v>872</v>
      </c>
      <c r="C322" s="335" t="s">
        <v>1073</v>
      </c>
      <c r="D322" s="154">
        <f t="shared" ref="D322:I322" si="79">SUM(D323:D326)</f>
        <v>16933.676382124158</v>
      </c>
      <c r="E322" s="154">
        <f t="shared" si="79"/>
        <v>17092.728848924282</v>
      </c>
      <c r="F322" s="154">
        <f t="shared" si="79"/>
        <v>16627.240498942621</v>
      </c>
      <c r="G322" s="154">
        <f t="shared" si="79"/>
        <v>17821.293034863778</v>
      </c>
      <c r="H322" s="154">
        <f t="shared" si="79"/>
        <v>16710.079139461079</v>
      </c>
      <c r="I322" s="154">
        <f t="shared" si="79"/>
        <v>16620.052390359626</v>
      </c>
      <c r="J322" s="154">
        <f t="shared" si="76"/>
        <v>101805.07029467556</v>
      </c>
      <c r="K322" s="69"/>
      <c r="L322" s="319"/>
    </row>
    <row r="323" spans="2:12" s="37" customFormat="1" ht="15.75">
      <c r="B323" s="48"/>
      <c r="C323" s="157" t="s">
        <v>1477</v>
      </c>
      <c r="D323" s="156">
        <f>$J$9*F801ENE!D124</f>
        <v>11289.462545655708</v>
      </c>
      <c r="E323" s="156">
        <f>$J$9*F801ENE!E124</f>
        <v>11258.349791472667</v>
      </c>
      <c r="F323" s="156">
        <f>$J$9*F801ENE!F124</f>
        <v>10728.435668719005</v>
      </c>
      <c r="G323" s="156">
        <f>$J$9*F801ENE!G124</f>
        <v>11121.142974818325</v>
      </c>
      <c r="H323" s="156">
        <f>$J$9*F801ENE!H124</f>
        <v>10272.44088177911</v>
      </c>
      <c r="I323" s="156">
        <f>$J$9*F801ENE!I124</f>
        <v>10204.587339477735</v>
      </c>
      <c r="J323" s="154">
        <f t="shared" si="76"/>
        <v>64874.419201922552</v>
      </c>
      <c r="K323" s="69"/>
    </row>
    <row r="324" spans="2:12" s="37" customFormat="1" ht="15.75">
      <c r="B324" s="48"/>
      <c r="C324" s="157" t="s">
        <v>1477</v>
      </c>
      <c r="D324" s="156">
        <f>$J$9*F801ENE!D125</f>
        <v>545.88983621964917</v>
      </c>
      <c r="E324" s="156">
        <f>$J$9*F801ENE!E125</f>
        <v>556.35090054031184</v>
      </c>
      <c r="F324" s="156">
        <f>$J$9*F801ENE!F125</f>
        <v>586.73280849089997</v>
      </c>
      <c r="G324" s="156">
        <f>$J$9*F801ENE!G125</f>
        <v>632.13961281990566</v>
      </c>
      <c r="H324" s="156">
        <f>$J$9*F801ENE!H125</f>
        <v>682.92072753247942</v>
      </c>
      <c r="I324" s="156">
        <f>$J$9*F801ENE!I125</f>
        <v>381.0203768172442</v>
      </c>
      <c r="J324" s="154">
        <f t="shared" si="76"/>
        <v>3385.05426242049</v>
      </c>
      <c r="K324" s="69"/>
    </row>
    <row r="325" spans="2:12" s="37" customFormat="1" ht="15.75">
      <c r="B325" s="48"/>
      <c r="C325" s="157" t="s">
        <v>1477</v>
      </c>
      <c r="D325" s="156">
        <f>$J$9*F801ENE!D126</f>
        <v>204.38571158286962</v>
      </c>
      <c r="E325" s="156">
        <f>$J$9*F801ENE!E126</f>
        <v>199.74429391451591</v>
      </c>
      <c r="F325" s="156">
        <f>$J$9*F801ENE!F126</f>
        <v>192.85819241091443</v>
      </c>
      <c r="G325" s="156">
        <f>$J$9*F801ENE!G126</f>
        <v>206.77403429031133</v>
      </c>
      <c r="H325" s="156">
        <f>$J$9*F801ENE!H126</f>
        <v>199.56478754025346</v>
      </c>
      <c r="I325" s="156">
        <f>$J$9*F801ENE!I126</f>
        <v>191.27282642208914</v>
      </c>
      <c r="J325" s="154">
        <f>SUM(D325:I325)</f>
        <v>1194.5998461609538</v>
      </c>
      <c r="K325" s="69"/>
    </row>
    <row r="326" spans="2:12" s="37" customFormat="1" ht="15.75">
      <c r="B326" s="48"/>
      <c r="C326" s="157" t="s">
        <v>1477</v>
      </c>
      <c r="D326" s="156">
        <f>$J$9*F801ENE!D127</f>
        <v>4893.9382886659314</v>
      </c>
      <c r="E326" s="156">
        <f>$J$9*F801ENE!E127</f>
        <v>5078.2838629967864</v>
      </c>
      <c r="F326" s="156">
        <f>$J$9*F801ENE!F127</f>
        <v>5119.2138293217995</v>
      </c>
      <c r="G326" s="156">
        <f>$J$9*F801ENE!G127</f>
        <v>5861.2364129352372</v>
      </c>
      <c r="H326" s="156">
        <f>$J$9*F801ENE!H127</f>
        <v>5555.152742609238</v>
      </c>
      <c r="I326" s="156">
        <f>$J$9*F801ENE!I127</f>
        <v>5843.171847642554</v>
      </c>
      <c r="J326" s="154">
        <f>SUM(D326:I326)</f>
        <v>32350.996984171543</v>
      </c>
      <c r="K326" s="69"/>
    </row>
    <row r="327" spans="2:12" s="37" customFormat="1" ht="15.75">
      <c r="B327" s="48" t="s">
        <v>873</v>
      </c>
      <c r="C327" s="335" t="s">
        <v>193</v>
      </c>
      <c r="D327" s="154">
        <f t="shared" ref="D327:I327" si="80">SUM(D328:D332)</f>
        <v>70980.719437381355</v>
      </c>
      <c r="E327" s="154">
        <f t="shared" si="80"/>
        <v>70263.18129242197</v>
      </c>
      <c r="F327" s="154">
        <f t="shared" si="80"/>
        <v>68268.427767644098</v>
      </c>
      <c r="G327" s="154">
        <f t="shared" si="80"/>
        <v>71023.797665485647</v>
      </c>
      <c r="H327" s="154">
        <f t="shared" si="80"/>
        <v>65485.707919428503</v>
      </c>
      <c r="I327" s="154">
        <f t="shared" si="80"/>
        <v>70218.717055548288</v>
      </c>
      <c r="J327" s="154">
        <f t="shared" si="76"/>
        <v>416240.55113790982</v>
      </c>
      <c r="K327" s="69"/>
    </row>
    <row r="328" spans="2:12" s="37" customFormat="1" ht="15.75">
      <c r="B328" s="48"/>
      <c r="C328" s="157" t="s">
        <v>1031</v>
      </c>
      <c r="D328" s="156">
        <f>$J$10*F801ENE!D129</f>
        <v>0</v>
      </c>
      <c r="E328" s="156">
        <f>$J$10*F801ENE!E129</f>
        <v>0</v>
      </c>
      <c r="F328" s="156">
        <f>$J$10*F801ENE!F129</f>
        <v>0</v>
      </c>
      <c r="G328" s="156">
        <f>$J$10*F801ENE!G129</f>
        <v>0</v>
      </c>
      <c r="H328" s="156">
        <f>$J$10*F801ENE!H129</f>
        <v>0</v>
      </c>
      <c r="I328" s="156">
        <f>$J$10*F801ENE!I129</f>
        <v>0</v>
      </c>
      <c r="J328" s="154">
        <f t="shared" si="76"/>
        <v>0</v>
      </c>
      <c r="K328" s="69"/>
    </row>
    <row r="329" spans="2:12" s="37" customFormat="1" ht="15.75">
      <c r="B329" s="48"/>
      <c r="C329" s="157" t="s">
        <v>1478</v>
      </c>
      <c r="D329" s="156">
        <f>$J$10*F801ENE!D130</f>
        <v>46269.873465624609</v>
      </c>
      <c r="E329" s="156">
        <f>$J$10*F801ENE!E130</f>
        <v>46154.968173424226</v>
      </c>
      <c r="F329" s="156">
        <f>$J$10*F801ENE!F130</f>
        <v>42042.639155429511</v>
      </c>
      <c r="G329" s="156">
        <f>$J$10*F801ENE!G130</f>
        <v>43582.870519469689</v>
      </c>
      <c r="H329" s="156">
        <f>$J$10*F801ENE!H130</f>
        <v>39806.317237252952</v>
      </c>
      <c r="I329" s="156">
        <f>$J$10*F801ENE!I130</f>
        <v>42161.333098207244</v>
      </c>
      <c r="J329" s="154">
        <f t="shared" si="76"/>
        <v>260018.00164940822</v>
      </c>
      <c r="K329" s="69"/>
    </row>
    <row r="330" spans="2:12" s="37" customFormat="1" ht="15.75">
      <c r="B330" s="48"/>
      <c r="C330" s="157" t="s">
        <v>1478</v>
      </c>
      <c r="D330" s="156">
        <f>$J$10*F801ENE!D131</f>
        <v>3259.5022546644232</v>
      </c>
      <c r="E330" s="156">
        <f>$J$10*F801ENE!E131</f>
        <v>2891.9424749333757</v>
      </c>
      <c r="F330" s="156">
        <f>$J$10*F801ENE!F131</f>
        <v>3211.7402376965156</v>
      </c>
      <c r="G330" s="156">
        <f>$J$10*F801ENE!G131</f>
        <v>2811.1357137854166</v>
      </c>
      <c r="H330" s="156">
        <f>$J$10*F801ENE!H131</f>
        <v>2685.7873917332645</v>
      </c>
      <c r="I330" s="156">
        <f>$J$10*F801ENE!I131</f>
        <v>3008.8450421132534</v>
      </c>
      <c r="J330" s="154">
        <f t="shared" si="76"/>
        <v>17868.953114926251</v>
      </c>
      <c r="K330" s="69"/>
    </row>
    <row r="331" spans="2:12" s="37" customFormat="1" ht="15.75">
      <c r="B331" s="48"/>
      <c r="C331" s="157" t="s">
        <v>1478</v>
      </c>
      <c r="D331" s="156">
        <f>$J$10*F801ENE!D132</f>
        <v>3075.7120425350636</v>
      </c>
      <c r="E331" s="156">
        <f>$J$10*F801ENE!E132</f>
        <v>3177.3571928874358</v>
      </c>
      <c r="F331" s="156">
        <f>$J$10*F801ENE!F132</f>
        <v>3048.3976349018521</v>
      </c>
      <c r="G331" s="156">
        <f>$J$10*F801ENE!G132</f>
        <v>3193.4043544812125</v>
      </c>
      <c r="H331" s="156">
        <f>$J$10*F801ENE!H132</f>
        <v>2825.8000020105483</v>
      </c>
      <c r="I331" s="156">
        <f>$J$10*F801ENE!I132</f>
        <v>3194.141371282838</v>
      </c>
      <c r="J331" s="154">
        <f t="shared" si="76"/>
        <v>18514.81259809895</v>
      </c>
      <c r="K331" s="69"/>
    </row>
    <row r="332" spans="2:12" s="37" customFormat="1" ht="15.75">
      <c r="B332" s="48"/>
      <c r="C332" s="157" t="s">
        <v>1478</v>
      </c>
      <c r="D332" s="156">
        <f>$J$10*F801ENE!D133</f>
        <v>18375.631674557255</v>
      </c>
      <c r="E332" s="156">
        <f>$J$10*F801ENE!E133</f>
        <v>18038.91345117693</v>
      </c>
      <c r="F332" s="156">
        <f>$J$10*F801ENE!F133</f>
        <v>19965.650739616223</v>
      </c>
      <c r="G332" s="156">
        <f>$J$10*F801ENE!G133</f>
        <v>21436.387077749325</v>
      </c>
      <c r="H332" s="156">
        <f>$J$10*F801ENE!H133</f>
        <v>20167.803288431744</v>
      </c>
      <c r="I332" s="156">
        <f>$J$10*F801ENE!I133</f>
        <v>21854.397543944957</v>
      </c>
      <c r="J332" s="154">
        <f t="shared" si="76"/>
        <v>119838.78377547643</v>
      </c>
      <c r="K332" s="69"/>
    </row>
    <row r="333" spans="2:12" s="37" customFormat="1" ht="15.75">
      <c r="B333" s="48"/>
      <c r="C333" s="334" t="s">
        <v>443</v>
      </c>
      <c r="D333" s="154">
        <f t="shared" ref="D333:I333" si="81">D334+D335</f>
        <v>14248.071004331956</v>
      </c>
      <c r="E333" s="154">
        <f t="shared" si="81"/>
        <v>13988.156959580007</v>
      </c>
      <c r="F333" s="154">
        <f t="shared" si="81"/>
        <v>14178.408110554465</v>
      </c>
      <c r="G333" s="154">
        <f t="shared" si="81"/>
        <v>14935.054807509299</v>
      </c>
      <c r="H333" s="154">
        <f t="shared" si="81"/>
        <v>13766.864757232604</v>
      </c>
      <c r="I333" s="154">
        <f t="shared" si="81"/>
        <v>15433.748440267065</v>
      </c>
      <c r="J333" s="154">
        <f t="shared" si="76"/>
        <v>86550.304079475391</v>
      </c>
      <c r="K333" s="69"/>
    </row>
    <row r="334" spans="2:12" s="37" customFormat="1" ht="15.75">
      <c r="B334" s="48" t="s">
        <v>874</v>
      </c>
      <c r="C334" s="157" t="s">
        <v>1479</v>
      </c>
      <c r="D334" s="156">
        <f>$J$11*F801ENE!D137</f>
        <v>461.24681520697192</v>
      </c>
      <c r="E334" s="156">
        <f>$J$11*F801ENE!E137</f>
        <v>457.14805687270797</v>
      </c>
      <c r="F334" s="156">
        <f>$J$11*F801ENE!F137</f>
        <v>437.83781780447998</v>
      </c>
      <c r="G334" s="156">
        <f>$J$11*F801ENE!G137</f>
        <v>454.04552556359988</v>
      </c>
      <c r="H334" s="156">
        <f>$J$11*F801ENE!H137</f>
        <v>439.70608871974804</v>
      </c>
      <c r="I334" s="156">
        <f>$J$11*F801ENE!I137</f>
        <v>455.57045417880045</v>
      </c>
      <c r="J334" s="154">
        <f t="shared" si="76"/>
        <v>2705.5547583463081</v>
      </c>
      <c r="K334" s="69"/>
    </row>
    <row r="335" spans="2:12" s="37" customFormat="1" ht="15.75">
      <c r="B335" s="48" t="s">
        <v>875</v>
      </c>
      <c r="C335" s="335" t="s">
        <v>193</v>
      </c>
      <c r="D335" s="154">
        <f t="shared" ref="D335:I335" si="82">SUM(D336:D341)</f>
        <v>13786.824189124984</v>
      </c>
      <c r="E335" s="154">
        <f t="shared" si="82"/>
        <v>13531.008902707299</v>
      </c>
      <c r="F335" s="154">
        <f t="shared" si="82"/>
        <v>13740.570292749984</v>
      </c>
      <c r="G335" s="154">
        <f t="shared" si="82"/>
        <v>14481.009281945699</v>
      </c>
      <c r="H335" s="154">
        <f t="shared" si="82"/>
        <v>13327.158668512857</v>
      </c>
      <c r="I335" s="154">
        <f t="shared" si="82"/>
        <v>14978.177986088265</v>
      </c>
      <c r="J335" s="154">
        <f t="shared" si="76"/>
        <v>83844.749321129086</v>
      </c>
      <c r="K335" s="69"/>
    </row>
    <row r="336" spans="2:12" s="37" customFormat="1" ht="15.75">
      <c r="B336" s="48"/>
      <c r="C336" s="157" t="s">
        <v>1032</v>
      </c>
      <c r="D336" s="156">
        <f>$J$12*(F801ENE!D140)</f>
        <v>142.12598887638003</v>
      </c>
      <c r="E336" s="156">
        <f>$J$12*(F801ENE!E140)</f>
        <v>138.39477330938399</v>
      </c>
      <c r="F336" s="156">
        <f>$J$12*(F801ENE!F140)</f>
        <v>141.26523892545598</v>
      </c>
      <c r="G336" s="156">
        <f>$J$12*(F801ENE!G140)</f>
        <v>147.86780302666799</v>
      </c>
      <c r="H336" s="156">
        <f>$J$12*(F801ENE!H140)</f>
        <v>136.30370966856</v>
      </c>
      <c r="I336" s="156">
        <f>$J$12*(F801ENE!I140)</f>
        <v>144.30803563630798</v>
      </c>
      <c r="J336" s="154">
        <f t="shared" si="76"/>
        <v>850.26554944275597</v>
      </c>
      <c r="K336" s="69"/>
    </row>
    <row r="337" spans="2:11" s="37" customFormat="1" ht="15.75">
      <c r="B337" s="48"/>
      <c r="C337" s="157" t="s">
        <v>1480</v>
      </c>
      <c r="D337" s="156">
        <f>$J$12*(F801ENE!D141)</f>
        <v>9148.9111234914271</v>
      </c>
      <c r="E337" s="156">
        <f>$J$12*(F801ENE!E141)</f>
        <v>8930.1389374011269</v>
      </c>
      <c r="F337" s="156">
        <f>$J$12*(F801ENE!F141)</f>
        <v>8698.2877690409514</v>
      </c>
      <c r="G337" s="156">
        <f>$J$12*(F801ENE!G141)</f>
        <v>9026.6618853452874</v>
      </c>
      <c r="H337" s="156">
        <f>$J$12*(F801ENE!H141)</f>
        <v>8268.0838867267539</v>
      </c>
      <c r="I337" s="156">
        <f>$J$12*(F801ENE!I141)</f>
        <v>8922.3035391446538</v>
      </c>
      <c r="J337" s="154">
        <f t="shared" si="76"/>
        <v>52994.387141150197</v>
      </c>
      <c r="K337" s="69"/>
    </row>
    <row r="338" spans="2:11" s="37" customFormat="1" ht="15.75">
      <c r="B338" s="48"/>
      <c r="C338" s="157" t="s">
        <v>1480</v>
      </c>
      <c r="D338" s="156">
        <f>$J$12*(F801ENE!D142)</f>
        <v>179.73555083596801</v>
      </c>
      <c r="E338" s="156">
        <f>$J$12*(F801ENE!E142)</f>
        <v>175.45229402367602</v>
      </c>
      <c r="F338" s="156">
        <f>$J$12*(F801ENE!F142)</f>
        <v>172.44157373564394</v>
      </c>
      <c r="G338" s="156">
        <f>$J$12*(F801ENE!G142)</f>
        <v>175.33316788873205</v>
      </c>
      <c r="H338" s="156">
        <f>$J$12*(F801ENE!H142)</f>
        <v>151.50932843770801</v>
      </c>
      <c r="I338" s="156">
        <f>$J$12*(F801ENE!I142)</f>
        <v>169.7218649998031</v>
      </c>
      <c r="J338" s="154">
        <f t="shared" si="76"/>
        <v>1024.1937799215311</v>
      </c>
      <c r="K338" s="69"/>
    </row>
    <row r="339" spans="2:11" s="37" customFormat="1" ht="15.75">
      <c r="B339" s="48"/>
      <c r="C339" s="157" t="s">
        <v>1480</v>
      </c>
      <c r="D339" s="156">
        <f>$J$12*(F801ENE!D143)</f>
        <v>1853.3015399305077</v>
      </c>
      <c r="E339" s="156">
        <f>$J$12*(F801ENE!E143)</f>
        <v>1783.8360918809999</v>
      </c>
      <c r="F339" s="156">
        <f>$J$12*(F801ENE!F143)</f>
        <v>1758.8374380903599</v>
      </c>
      <c r="G339" s="156">
        <f>$J$12*(F801ENE!G143)</f>
        <v>1836.2959828248961</v>
      </c>
      <c r="H339" s="156">
        <f>$J$12*(F801ENE!H143)</f>
        <v>1624.0313161602717</v>
      </c>
      <c r="I339" s="156">
        <f>$J$12*(F801ENE!I143)</f>
        <v>1648.5752802474726</v>
      </c>
      <c r="J339" s="154">
        <f t="shared" si="76"/>
        <v>10504.877649134507</v>
      </c>
      <c r="K339" s="69"/>
    </row>
    <row r="340" spans="2:11" s="37" customFormat="1" ht="15.75">
      <c r="B340" s="48"/>
      <c r="C340" s="157" t="s">
        <v>1480</v>
      </c>
      <c r="D340" s="156">
        <f>$J$12*(F801ENE!D144)</f>
        <v>2462.7499859906998</v>
      </c>
      <c r="E340" s="156">
        <f>$J$12*(F801ENE!E144)</f>
        <v>2503.1868060921111</v>
      </c>
      <c r="F340" s="156">
        <f>$J$12*(F801ENE!F144)</f>
        <v>2969.738272957572</v>
      </c>
      <c r="G340" s="156">
        <f>$J$12*(F801ENE!G144)</f>
        <v>3294.8504428601163</v>
      </c>
      <c r="H340" s="156">
        <f>$J$12*(F801ENE!H144)</f>
        <v>3147.2304275195634</v>
      </c>
      <c r="I340" s="156">
        <f>$J$12*(F801ENE!I144)</f>
        <v>4093.2692660600278</v>
      </c>
      <c r="J340" s="154">
        <f t="shared" si="76"/>
        <v>18471.025201480094</v>
      </c>
      <c r="K340" s="69"/>
    </row>
    <row r="341" spans="2:11" s="37" customFormat="1" ht="15.75">
      <c r="B341" s="48"/>
      <c r="C341" s="157"/>
      <c r="D341" s="156"/>
      <c r="E341" s="156"/>
      <c r="F341" s="156"/>
      <c r="G341" s="156"/>
      <c r="H341" s="156"/>
      <c r="I341" s="156"/>
      <c r="J341" s="156">
        <f t="shared" si="76"/>
        <v>0</v>
      </c>
      <c r="K341" s="69"/>
    </row>
    <row r="342" spans="2:11" s="37" customFormat="1" ht="15.75">
      <c r="B342" s="48"/>
      <c r="C342" s="153" t="s">
        <v>112</v>
      </c>
      <c r="D342" s="154">
        <f t="shared" ref="D342:I342" si="83">D315+D321+D333</f>
        <v>130137.16554148706</v>
      </c>
      <c r="E342" s="154">
        <f t="shared" si="83"/>
        <v>127636.58451135959</v>
      </c>
      <c r="F342" s="154">
        <f t="shared" si="83"/>
        <v>125780.98329119275</v>
      </c>
      <c r="G342" s="154">
        <f t="shared" si="83"/>
        <v>134241.51705845207</v>
      </c>
      <c r="H342" s="154">
        <f t="shared" si="83"/>
        <v>120894.14694325709</v>
      </c>
      <c r="I342" s="154">
        <f t="shared" si="83"/>
        <v>131082.27851752366</v>
      </c>
      <c r="J342" s="154">
        <f t="shared" si="76"/>
        <v>769772.67586327228</v>
      </c>
      <c r="K342" s="69"/>
    </row>
    <row r="343" spans="2:11" s="37" customFormat="1" ht="13.5">
      <c r="B343" s="48"/>
      <c r="C343" s="48"/>
      <c r="D343" s="48"/>
      <c r="E343" s="48"/>
      <c r="F343" s="48"/>
      <c r="G343" s="48"/>
      <c r="H343" s="48"/>
      <c r="I343" s="48"/>
      <c r="J343" s="48"/>
      <c r="K343" s="48"/>
    </row>
    <row r="344" spans="2:11" s="37" customFormat="1" ht="54" customHeight="1">
      <c r="B344" s="48"/>
      <c r="C344" s="320" t="s">
        <v>1460</v>
      </c>
      <c r="D344" s="320"/>
      <c r="E344" s="320"/>
      <c r="F344" s="320"/>
      <c r="G344" s="320"/>
      <c r="H344" s="320"/>
      <c r="I344" s="320"/>
      <c r="J344" s="321"/>
      <c r="K344" s="69"/>
    </row>
    <row r="345" spans="2:11" s="37" customFormat="1" ht="15.75">
      <c r="B345" s="48"/>
      <c r="C345" s="150" t="s">
        <v>310</v>
      </c>
      <c r="D345" s="151">
        <f t="shared" ref="D345:I345" si="84">D$29</f>
        <v>46204</v>
      </c>
      <c r="E345" s="151">
        <f t="shared" si="84"/>
        <v>46235</v>
      </c>
      <c r="F345" s="151">
        <f t="shared" si="84"/>
        <v>46266</v>
      </c>
      <c r="G345" s="151">
        <f t="shared" si="84"/>
        <v>46296</v>
      </c>
      <c r="H345" s="151">
        <f t="shared" si="84"/>
        <v>46327</v>
      </c>
      <c r="I345" s="151">
        <f t="shared" si="84"/>
        <v>46357</v>
      </c>
      <c r="J345" s="152" t="s">
        <v>111</v>
      </c>
      <c r="K345" s="69"/>
    </row>
    <row r="346" spans="2:11">
      <c r="C346" s="153" t="s">
        <v>230</v>
      </c>
      <c r="D346" s="154">
        <f t="shared" ref="D346:I346" si="85">SUM(D347:D348)</f>
        <v>0</v>
      </c>
      <c r="E346" s="154">
        <f t="shared" si="85"/>
        <v>0</v>
      </c>
      <c r="F346" s="154">
        <f t="shared" si="85"/>
        <v>0</v>
      </c>
      <c r="G346" s="154">
        <f t="shared" si="85"/>
        <v>0</v>
      </c>
      <c r="H346" s="154">
        <f t="shared" si="85"/>
        <v>0</v>
      </c>
      <c r="I346" s="154">
        <f t="shared" si="85"/>
        <v>0</v>
      </c>
      <c r="J346" s="154">
        <f t="shared" ref="J346:J373" si="86">SUM(D346:I346)</f>
        <v>0</v>
      </c>
    </row>
    <row r="347" spans="2:11">
      <c r="B347" s="48" t="s">
        <v>870</v>
      </c>
      <c r="C347" s="157" t="s">
        <v>1029</v>
      </c>
      <c r="D347" s="156">
        <f>F801D!D116*0*(1+D$25)*(1+D$26)</f>
        <v>0</v>
      </c>
      <c r="E347" s="156">
        <f>F801D!E116*0*(1+E$25)*(1+E$26)</f>
        <v>0</v>
      </c>
      <c r="F347" s="156">
        <f>F801D!F116*0*(1+F$25)*(1+F$26)</f>
        <v>0</v>
      </c>
      <c r="G347" s="156">
        <f>F801D!G116*0*(1+G$25)*(1+G$26)</f>
        <v>0</v>
      </c>
      <c r="H347" s="156">
        <f>F801D!H116*0*(1+H$25)*(1+H$26)</f>
        <v>0</v>
      </c>
      <c r="I347" s="156">
        <f>F801D!I116*0*(1+I$25)*(1+I$26)</f>
        <v>0</v>
      </c>
      <c r="J347" s="154">
        <f t="shared" si="86"/>
        <v>0</v>
      </c>
    </row>
    <row r="348" spans="2:11">
      <c r="B348" s="48" t="s">
        <v>871</v>
      </c>
      <c r="C348" s="335" t="s">
        <v>193</v>
      </c>
      <c r="D348" s="154">
        <f t="shared" ref="D348:I348" si="87">D349+D350</f>
        <v>0</v>
      </c>
      <c r="E348" s="154">
        <f t="shared" si="87"/>
        <v>0</v>
      </c>
      <c r="F348" s="154">
        <f t="shared" si="87"/>
        <v>0</v>
      </c>
      <c r="G348" s="154">
        <f t="shared" si="87"/>
        <v>0</v>
      </c>
      <c r="H348" s="154">
        <f t="shared" si="87"/>
        <v>0</v>
      </c>
      <c r="I348" s="154">
        <f t="shared" si="87"/>
        <v>0</v>
      </c>
      <c r="J348" s="154">
        <f t="shared" si="86"/>
        <v>0</v>
      </c>
    </row>
    <row r="349" spans="2:11">
      <c r="C349" s="157" t="s">
        <v>1030</v>
      </c>
      <c r="D349" s="156">
        <f>F801D!D118*0</f>
        <v>0</v>
      </c>
      <c r="E349" s="156">
        <f>F801D!E118*0</f>
        <v>0</v>
      </c>
      <c r="F349" s="156">
        <f>F801D!F118*0</f>
        <v>0</v>
      </c>
      <c r="G349" s="156">
        <f>F801D!G118*0</f>
        <v>0</v>
      </c>
      <c r="H349" s="156">
        <f>F801D!H118*0</f>
        <v>0</v>
      </c>
      <c r="I349" s="156">
        <f>F801D!I118*0</f>
        <v>0</v>
      </c>
      <c r="J349" s="154">
        <f t="shared" si="86"/>
        <v>0</v>
      </c>
    </row>
    <row r="350" spans="2:11">
      <c r="C350" s="157" t="s">
        <v>1476</v>
      </c>
      <c r="D350" s="156">
        <f>F801D!D119*$D$21*(1+D$25)*(1+D$26)</f>
        <v>0</v>
      </c>
      <c r="E350" s="156">
        <f>F801D!E119*$D$21*(1+E$25)*(1+E$26)</f>
        <v>0</v>
      </c>
      <c r="F350" s="156">
        <f>F801D!F119*$D$21*(1+F$25)*(1+F$26)</f>
        <v>0</v>
      </c>
      <c r="G350" s="156">
        <f>F801D!G119*$D$21*(1+G$25)*(1+G$26)</f>
        <v>0</v>
      </c>
      <c r="H350" s="156">
        <f>F801D!H119*$D$21*(1+H$25)*(1+H$26)</f>
        <v>0</v>
      </c>
      <c r="I350" s="156">
        <f>F801D!I119*$D$21*(1+I$25)*(1+I$26)</f>
        <v>0</v>
      </c>
      <c r="J350" s="154">
        <f t="shared" si="86"/>
        <v>0</v>
      </c>
    </row>
    <row r="351" spans="2:11">
      <c r="C351" s="153" t="s">
        <v>942</v>
      </c>
      <c r="D351" s="156"/>
      <c r="E351" s="156"/>
      <c r="F351" s="156"/>
      <c r="G351" s="156"/>
      <c r="H351" s="156"/>
      <c r="I351" s="156"/>
      <c r="J351" s="154">
        <f t="shared" si="86"/>
        <v>0</v>
      </c>
    </row>
    <row r="352" spans="2:11">
      <c r="C352" s="153" t="s">
        <v>194</v>
      </c>
      <c r="D352" s="154">
        <f t="shared" ref="D352:I352" si="88">D353+D358</f>
        <v>0</v>
      </c>
      <c r="E352" s="154">
        <f t="shared" si="88"/>
        <v>0</v>
      </c>
      <c r="F352" s="154">
        <f t="shared" si="88"/>
        <v>0</v>
      </c>
      <c r="G352" s="154">
        <f t="shared" si="88"/>
        <v>0</v>
      </c>
      <c r="H352" s="154">
        <f t="shared" si="88"/>
        <v>0</v>
      </c>
      <c r="I352" s="154">
        <f t="shared" si="88"/>
        <v>0</v>
      </c>
      <c r="J352" s="154">
        <f t="shared" si="86"/>
        <v>0</v>
      </c>
    </row>
    <row r="353" spans="2:10">
      <c r="B353" s="48" t="s">
        <v>872</v>
      </c>
      <c r="C353" s="335" t="s">
        <v>1073</v>
      </c>
      <c r="D353" s="154">
        <f t="shared" ref="D353:I353" si="89">SUM(D354:D357)</f>
        <v>0</v>
      </c>
      <c r="E353" s="154">
        <f t="shared" si="89"/>
        <v>0</v>
      </c>
      <c r="F353" s="154">
        <f t="shared" si="89"/>
        <v>0</v>
      </c>
      <c r="G353" s="154">
        <f t="shared" si="89"/>
        <v>0</v>
      </c>
      <c r="H353" s="154">
        <f t="shared" si="89"/>
        <v>0</v>
      </c>
      <c r="I353" s="154">
        <f t="shared" si="89"/>
        <v>0</v>
      </c>
      <c r="J353" s="154">
        <f t="shared" si="86"/>
        <v>0</v>
      </c>
    </row>
    <row r="354" spans="2:10">
      <c r="C354" s="157" t="s">
        <v>1477</v>
      </c>
      <c r="D354" s="156">
        <f>F801D!D124*$D21*(1+D$25)*(1+D$26)</f>
        <v>0</v>
      </c>
      <c r="E354" s="156">
        <f>F801D!E124*$D21*(1+E$25)*(1+E$26)</f>
        <v>0</v>
      </c>
      <c r="F354" s="156">
        <f>F801D!F124*$D21*(1+F$25)*(1+F$26)</f>
        <v>0</v>
      </c>
      <c r="G354" s="156">
        <f>F801D!G124*$D21*(1+G$25)*(1+G$26)</f>
        <v>0</v>
      </c>
      <c r="H354" s="156">
        <f>F801D!H124*$D21*(1+H$25)*(1+H$26)</f>
        <v>0</v>
      </c>
      <c r="I354" s="156">
        <f>F801D!I124*$D21*(1+I$25)*(1+I$26)</f>
        <v>0</v>
      </c>
      <c r="J354" s="154">
        <f t="shared" si="86"/>
        <v>0</v>
      </c>
    </row>
    <row r="355" spans="2:10">
      <c r="C355" s="157" t="s">
        <v>1477</v>
      </c>
      <c r="D355" s="156">
        <f>F801D!D125*$D22*(1+D$25)*(1+D$26)</f>
        <v>0</v>
      </c>
      <c r="E355" s="156">
        <f>F801D!E125*$D22*(1+E$25)*(1+E$26)</f>
        <v>0</v>
      </c>
      <c r="F355" s="156">
        <f>F801D!F125*$D22*(1+F$25)*(1+F$26)</f>
        <v>0</v>
      </c>
      <c r="G355" s="156">
        <f>F801D!G125*$D22*(1+G$25)*(1+G$26)</f>
        <v>0</v>
      </c>
      <c r="H355" s="156">
        <f>F801D!H125*$D22*(1+H$25)*(1+H$26)</f>
        <v>0</v>
      </c>
      <c r="I355" s="156">
        <f>F801D!I125*$D22*(1+I$25)*(1+I$26)</f>
        <v>0</v>
      </c>
      <c r="J355" s="154">
        <f t="shared" si="86"/>
        <v>0</v>
      </c>
    </row>
    <row r="356" spans="2:10">
      <c r="C356" s="157" t="s">
        <v>1477</v>
      </c>
      <c r="D356" s="156">
        <f>F801D!D126*$D23*(1+D$25)*(1+D$26)</f>
        <v>0</v>
      </c>
      <c r="E356" s="156">
        <f>F801D!E126*$D23*(1+E$25)*(1+E$26)</f>
        <v>0</v>
      </c>
      <c r="F356" s="156">
        <f>F801D!F126*$D23*(1+F$25)*(1+F$26)</f>
        <v>0</v>
      </c>
      <c r="G356" s="156">
        <f>F801D!G126*$D23*(1+G$25)*(1+G$26)</f>
        <v>0</v>
      </c>
      <c r="H356" s="156">
        <f>F801D!H126*$D23*(1+H$25)*(1+H$26)</f>
        <v>0</v>
      </c>
      <c r="I356" s="156">
        <f>F801D!I126*$D23*(1+I$25)*(1+I$26)</f>
        <v>0</v>
      </c>
      <c r="J356" s="154">
        <f>SUM(D356:I356)</f>
        <v>0</v>
      </c>
    </row>
    <row r="357" spans="2:10">
      <c r="C357" s="157" t="s">
        <v>1477</v>
      </c>
      <c r="D357" s="156">
        <f>F801D!D127*$D24*(1+D$25)*(1+D$26)</f>
        <v>0</v>
      </c>
      <c r="E357" s="156">
        <f>F801D!E127*$D24*(1+E$25)*(1+E$26)</f>
        <v>0</v>
      </c>
      <c r="F357" s="156">
        <f>F801D!F127*$D24*(1+F$25)*(1+F$26)</f>
        <v>0</v>
      </c>
      <c r="G357" s="156">
        <f>F801D!G127*$D24*(1+G$25)*(1+G$26)</f>
        <v>0</v>
      </c>
      <c r="H357" s="156">
        <f>F801D!H127*$D24*(1+H$25)*(1+H$26)</f>
        <v>0</v>
      </c>
      <c r="I357" s="156">
        <f>F801D!I127*$D24*(1+I$25)*(1+I$26)</f>
        <v>0</v>
      </c>
      <c r="J357" s="154">
        <f>SUM(D357:I357)</f>
        <v>0</v>
      </c>
    </row>
    <row r="358" spans="2:10">
      <c r="B358" s="48" t="s">
        <v>873</v>
      </c>
      <c r="C358" s="335" t="s">
        <v>193</v>
      </c>
      <c r="D358" s="154">
        <f t="shared" ref="D358:I358" si="90">SUM(D359:D363)</f>
        <v>0</v>
      </c>
      <c r="E358" s="154">
        <f t="shared" si="90"/>
        <v>0</v>
      </c>
      <c r="F358" s="154">
        <f t="shared" si="90"/>
        <v>0</v>
      </c>
      <c r="G358" s="154">
        <f t="shared" si="90"/>
        <v>0</v>
      </c>
      <c r="H358" s="154">
        <f t="shared" si="90"/>
        <v>0</v>
      </c>
      <c r="I358" s="154">
        <f t="shared" si="90"/>
        <v>0</v>
      </c>
      <c r="J358" s="154">
        <f t="shared" si="86"/>
        <v>0</v>
      </c>
    </row>
    <row r="359" spans="2:10">
      <c r="C359" s="157" t="s">
        <v>1031</v>
      </c>
      <c r="D359" s="156">
        <f>F801D!D129*0</f>
        <v>0</v>
      </c>
      <c r="E359" s="156">
        <f>F801D!E129*0</f>
        <v>0</v>
      </c>
      <c r="F359" s="156">
        <f>F801D!F129*0</f>
        <v>0</v>
      </c>
      <c r="G359" s="156">
        <f>F801D!G129*0</f>
        <v>0</v>
      </c>
      <c r="H359" s="156">
        <f>F801D!H129*0</f>
        <v>0</v>
      </c>
      <c r="I359" s="156">
        <f>F801D!I129*0</f>
        <v>0</v>
      </c>
      <c r="J359" s="154">
        <f t="shared" si="86"/>
        <v>0</v>
      </c>
    </row>
    <row r="360" spans="2:10">
      <c r="C360" s="157" t="s">
        <v>1478</v>
      </c>
      <c r="D360" s="156">
        <f>F801D!D130*$D21*(1+D$25)*(1+D$26)</f>
        <v>0</v>
      </c>
      <c r="E360" s="156">
        <f>F801D!E130*$D21*(1+E$25)*(1+E$26)</f>
        <v>0</v>
      </c>
      <c r="F360" s="156">
        <f>F801D!F130*$D21*(1+F$25)*(1+F$26)</f>
        <v>0</v>
      </c>
      <c r="G360" s="156">
        <f>F801D!G130*$D21*(1+G$25)*(1+G$26)</f>
        <v>0</v>
      </c>
      <c r="H360" s="156">
        <f>F801D!H130*$D21*(1+H$25)*(1+H$26)</f>
        <v>0</v>
      </c>
      <c r="I360" s="156">
        <f>F801D!I130*$D21*(1+I$25)*(1+I$26)</f>
        <v>0</v>
      </c>
      <c r="J360" s="154">
        <f t="shared" si="86"/>
        <v>0</v>
      </c>
    </row>
    <row r="361" spans="2:10">
      <c r="C361" s="157" t="s">
        <v>1478</v>
      </c>
      <c r="D361" s="156">
        <f>F801D!D131*$D22*(1+D$25)*(1+D$26)</f>
        <v>0</v>
      </c>
      <c r="E361" s="156">
        <f>F801D!E131*$D22*(1+E$25)*(1+E$26)</f>
        <v>0</v>
      </c>
      <c r="F361" s="156">
        <f>F801D!F131*$D22*(1+F$25)*(1+F$26)</f>
        <v>0</v>
      </c>
      <c r="G361" s="156">
        <f>F801D!G131*$D22*(1+G$25)*(1+G$26)</f>
        <v>0</v>
      </c>
      <c r="H361" s="156">
        <f>F801D!H131*$D22*(1+H$25)*(1+H$26)</f>
        <v>0</v>
      </c>
      <c r="I361" s="156">
        <f>F801D!I131*$D22*(1+I$25)*(1+I$26)</f>
        <v>0</v>
      </c>
      <c r="J361" s="154">
        <f t="shared" si="86"/>
        <v>0</v>
      </c>
    </row>
    <row r="362" spans="2:10">
      <c r="C362" s="157" t="s">
        <v>1478</v>
      </c>
      <c r="D362" s="156">
        <f>F801D!D132*$D23*(1+D$25)*(1+D$26)</f>
        <v>0</v>
      </c>
      <c r="E362" s="156">
        <f>F801D!E132*$D23*(1+E$25)*(1+E$26)</f>
        <v>0</v>
      </c>
      <c r="F362" s="156">
        <f>F801D!F132*$D23*(1+F$25)*(1+F$26)</f>
        <v>0</v>
      </c>
      <c r="G362" s="156">
        <f>F801D!G132*$D23*(1+G$25)*(1+G$26)</f>
        <v>0</v>
      </c>
      <c r="H362" s="156">
        <f>F801D!H132*$D23*(1+H$25)*(1+H$26)</f>
        <v>0</v>
      </c>
      <c r="I362" s="156">
        <f>F801D!I132*$D23*(1+I$25)*(1+I$26)</f>
        <v>0</v>
      </c>
      <c r="J362" s="154">
        <f t="shared" si="86"/>
        <v>0</v>
      </c>
    </row>
    <row r="363" spans="2:10">
      <c r="C363" s="157" t="s">
        <v>1478</v>
      </c>
      <c r="D363" s="156">
        <f>F801D!D133*$D24*(1+D$25)*(1+D$26)</f>
        <v>0</v>
      </c>
      <c r="E363" s="156">
        <f>F801D!E133*$D24*(1+E$25)*(1+E$26)</f>
        <v>0</v>
      </c>
      <c r="F363" s="156">
        <f>F801D!F133*$D24*(1+F$25)*(1+F$26)</f>
        <v>0</v>
      </c>
      <c r="G363" s="156">
        <f>F801D!G133*$D24*(1+G$25)*(1+G$26)</f>
        <v>0</v>
      </c>
      <c r="H363" s="156">
        <f>F801D!H133*$D24*(1+H$25)*(1+H$26)</f>
        <v>0</v>
      </c>
      <c r="I363" s="156">
        <f>F801D!I133*$D24*(1+I$25)*(1+I$26)</f>
        <v>0</v>
      </c>
      <c r="J363" s="154">
        <f t="shared" si="86"/>
        <v>0</v>
      </c>
    </row>
    <row r="364" spans="2:10">
      <c r="C364" s="153" t="s">
        <v>308</v>
      </c>
      <c r="D364" s="154">
        <f t="shared" ref="D364:I364" si="91">SUM(D365:D366)</f>
        <v>0</v>
      </c>
      <c r="E364" s="154">
        <f t="shared" si="91"/>
        <v>0</v>
      </c>
      <c r="F364" s="154">
        <f t="shared" si="91"/>
        <v>0</v>
      </c>
      <c r="G364" s="154">
        <f t="shared" si="91"/>
        <v>0</v>
      </c>
      <c r="H364" s="154">
        <f t="shared" si="91"/>
        <v>0</v>
      </c>
      <c r="I364" s="154">
        <f t="shared" si="91"/>
        <v>0</v>
      </c>
      <c r="J364" s="154">
        <f t="shared" si="86"/>
        <v>0</v>
      </c>
    </row>
    <row r="365" spans="2:10">
      <c r="B365" s="48" t="s">
        <v>874</v>
      </c>
      <c r="C365" s="157" t="s">
        <v>1479</v>
      </c>
      <c r="D365" s="156">
        <f>F801D!D137*$D21*(1+D$25)*(1+D$26)</f>
        <v>0</v>
      </c>
      <c r="E365" s="156">
        <f>F801D!E137*$D21*(1+E$25)*(1+E$26)</f>
        <v>0</v>
      </c>
      <c r="F365" s="156">
        <f>F801D!F137*$D21*(1+F$25)*(1+F$26)</f>
        <v>0</v>
      </c>
      <c r="G365" s="156">
        <f>F801D!G137*$D21*(1+G$25)*(1+G$26)</f>
        <v>0</v>
      </c>
      <c r="H365" s="156">
        <f>F801D!H137*$D21*(1+H$25)*(1+H$26)</f>
        <v>0</v>
      </c>
      <c r="I365" s="156">
        <f>F801D!I137*$D21*(1+I$25)*(1+I$26)</f>
        <v>0</v>
      </c>
      <c r="J365" s="154">
        <f t="shared" si="86"/>
        <v>0</v>
      </c>
    </row>
    <row r="366" spans="2:10">
      <c r="B366" s="48" t="s">
        <v>875</v>
      </c>
      <c r="C366" s="335" t="s">
        <v>193</v>
      </c>
      <c r="D366" s="154">
        <f t="shared" ref="D366:I366" si="92">SUM(D367:D372)</f>
        <v>0</v>
      </c>
      <c r="E366" s="154">
        <f t="shared" si="92"/>
        <v>0</v>
      </c>
      <c r="F366" s="154">
        <f t="shared" si="92"/>
        <v>0</v>
      </c>
      <c r="G366" s="154">
        <f t="shared" si="92"/>
        <v>0</v>
      </c>
      <c r="H366" s="154">
        <f t="shared" si="92"/>
        <v>0</v>
      </c>
      <c r="I366" s="154">
        <f t="shared" si="92"/>
        <v>0</v>
      </c>
      <c r="J366" s="154">
        <f t="shared" si="86"/>
        <v>0</v>
      </c>
    </row>
    <row r="367" spans="2:10">
      <c r="C367" s="157" t="s">
        <v>1032</v>
      </c>
      <c r="D367" s="156">
        <f>F801D!D140*0</f>
        <v>0</v>
      </c>
      <c r="E367" s="156">
        <f>F801D!E140*0</f>
        <v>0</v>
      </c>
      <c r="F367" s="156">
        <f>F801D!F140*0</f>
        <v>0</v>
      </c>
      <c r="G367" s="156">
        <f>F801D!G140*0</f>
        <v>0</v>
      </c>
      <c r="H367" s="156">
        <f>F801D!H140*0</f>
        <v>0</v>
      </c>
      <c r="I367" s="156">
        <f>F801D!I140*0</f>
        <v>0</v>
      </c>
      <c r="J367" s="154">
        <f t="shared" si="86"/>
        <v>0</v>
      </c>
    </row>
    <row r="368" spans="2:10">
      <c r="C368" s="157" t="s">
        <v>1480</v>
      </c>
      <c r="D368" s="156">
        <f>F801D!D141*$D21*(1+D$25)*(1+D$26)</f>
        <v>0</v>
      </c>
      <c r="E368" s="156">
        <f>F801D!E141*$D21*(1+E$25)*(1+E$26)</f>
        <v>0</v>
      </c>
      <c r="F368" s="156">
        <f>F801D!F141*$D21*(1+F$25)*(1+F$26)</f>
        <v>0</v>
      </c>
      <c r="G368" s="156">
        <f>F801D!G141*$D21*(1+G$25)*(1+G$26)</f>
        <v>0</v>
      </c>
      <c r="H368" s="156">
        <f>F801D!H141*$D21*(1+H$25)*(1+H$26)</f>
        <v>0</v>
      </c>
      <c r="I368" s="156">
        <f>F801D!I141*$D21*(1+I$25)*(1+I$26)</f>
        <v>0</v>
      </c>
      <c r="J368" s="154">
        <f t="shared" si="86"/>
        <v>0</v>
      </c>
    </row>
    <row r="369" spans="2:10">
      <c r="C369" s="157" t="s">
        <v>1480</v>
      </c>
      <c r="D369" s="156">
        <f>F801D!D142*$D22*(1+D$25)*(1+D$26)</f>
        <v>0</v>
      </c>
      <c r="E369" s="156">
        <f>F801D!E142*$D22*(1+E$25)*(1+E$26)</f>
        <v>0</v>
      </c>
      <c r="F369" s="156">
        <f>F801D!F142*$D22*(1+F$25)*(1+F$26)</f>
        <v>0</v>
      </c>
      <c r="G369" s="156">
        <f>F801D!G142*$D22*(1+G$25)*(1+G$26)</f>
        <v>0</v>
      </c>
      <c r="H369" s="156">
        <f>F801D!H142*$D22*(1+H$25)*(1+H$26)</f>
        <v>0</v>
      </c>
      <c r="I369" s="156">
        <f>F801D!I142*$D22*(1+I$25)*(1+I$26)</f>
        <v>0</v>
      </c>
      <c r="J369" s="154">
        <f t="shared" si="86"/>
        <v>0</v>
      </c>
    </row>
    <row r="370" spans="2:10">
      <c r="C370" s="157" t="s">
        <v>1480</v>
      </c>
      <c r="D370" s="156">
        <f>F801D!D143*$D23*(1+D$25)*(1+D$26)</f>
        <v>0</v>
      </c>
      <c r="E370" s="156">
        <f>F801D!E143*$D23*(1+E$25)*(1+E$26)</f>
        <v>0</v>
      </c>
      <c r="F370" s="156">
        <f>F801D!F143*$D23*(1+F$25)*(1+F$26)</f>
        <v>0</v>
      </c>
      <c r="G370" s="156">
        <f>F801D!G143*$D23*(1+G$25)*(1+G$26)</f>
        <v>0</v>
      </c>
      <c r="H370" s="156">
        <f>F801D!H143*$D23*(1+H$25)*(1+H$26)</f>
        <v>0</v>
      </c>
      <c r="I370" s="156">
        <f>F801D!I143*$D23*(1+I$25)*(1+I$26)</f>
        <v>0</v>
      </c>
      <c r="J370" s="154">
        <f t="shared" si="86"/>
        <v>0</v>
      </c>
    </row>
    <row r="371" spans="2:10">
      <c r="C371" s="157" t="s">
        <v>1480</v>
      </c>
      <c r="D371" s="156">
        <f>F801D!D144*$D24*(1+D$25)*(1+D$26)</f>
        <v>0</v>
      </c>
      <c r="E371" s="156">
        <f>F801D!E144*$D24*(1+E$25)*(1+E$26)</f>
        <v>0</v>
      </c>
      <c r="F371" s="156">
        <f>F801D!F144*$D24*(1+F$25)*(1+F$26)</f>
        <v>0</v>
      </c>
      <c r="G371" s="156">
        <f>F801D!G144*$D24*(1+G$25)*(1+G$26)</f>
        <v>0</v>
      </c>
      <c r="H371" s="156">
        <f>F801D!H144*$D24*(1+H$25)*(1+H$26)</f>
        <v>0</v>
      </c>
      <c r="I371" s="156">
        <f>F801D!I144*$D24*(1+I$25)*(1+I$26)</f>
        <v>0</v>
      </c>
      <c r="J371" s="154">
        <f t="shared" si="86"/>
        <v>0</v>
      </c>
    </row>
    <row r="372" spans="2:10">
      <c r="C372" s="157"/>
      <c r="D372" s="156"/>
      <c r="E372" s="156"/>
      <c r="F372" s="156"/>
      <c r="G372" s="156"/>
      <c r="H372" s="156"/>
      <c r="I372" s="156"/>
      <c r="J372" s="154">
        <f t="shared" si="86"/>
        <v>0</v>
      </c>
    </row>
    <row r="373" spans="2:10">
      <c r="C373" s="153" t="s">
        <v>112</v>
      </c>
      <c r="D373" s="154">
        <f t="shared" ref="D373:I373" si="93">D346+D352+D364</f>
        <v>0</v>
      </c>
      <c r="E373" s="154">
        <f t="shared" si="93"/>
        <v>0</v>
      </c>
      <c r="F373" s="154">
        <f t="shared" si="93"/>
        <v>0</v>
      </c>
      <c r="G373" s="154">
        <f t="shared" si="93"/>
        <v>0</v>
      </c>
      <c r="H373" s="154">
        <f t="shared" si="93"/>
        <v>0</v>
      </c>
      <c r="I373" s="154">
        <f t="shared" si="93"/>
        <v>0</v>
      </c>
      <c r="J373" s="154">
        <f t="shared" si="86"/>
        <v>0</v>
      </c>
    </row>
    <row r="374" spans="2:10">
      <c r="C374" s="164"/>
      <c r="D374" s="164"/>
      <c r="E374" s="164"/>
      <c r="F374" s="164"/>
      <c r="G374" s="164"/>
      <c r="H374" s="164"/>
      <c r="I374" s="164"/>
      <c r="J374" s="164"/>
    </row>
    <row r="375" spans="2:10">
      <c r="C375" s="153" t="s">
        <v>111</v>
      </c>
      <c r="D375" s="154">
        <f t="shared" ref="D375:J375" si="94">D121+D216+D311+D342+D373</f>
        <v>25758336.215121724</v>
      </c>
      <c r="E375" s="154">
        <f t="shared" si="94"/>
        <v>25766531.369727042</v>
      </c>
      <c r="F375" s="154">
        <f t="shared" si="94"/>
        <v>25280426.681054838</v>
      </c>
      <c r="G375" s="154">
        <f t="shared" si="94"/>
        <v>25685249.950852953</v>
      </c>
      <c r="H375" s="154">
        <f t="shared" si="94"/>
        <v>24564784.504899178</v>
      </c>
      <c r="I375" s="154">
        <f t="shared" si="94"/>
        <v>24689513.394517981</v>
      </c>
      <c r="J375" s="154">
        <f t="shared" si="94"/>
        <v>151744842.11617371</v>
      </c>
    </row>
    <row r="376" spans="2:10">
      <c r="D376" s="336"/>
      <c r="E376" s="336"/>
      <c r="F376" s="336"/>
      <c r="G376" s="336"/>
      <c r="H376" s="336"/>
      <c r="I376" s="336"/>
    </row>
    <row r="377" spans="2:10">
      <c r="C377" s="52" t="str">
        <f>'PORTADA PORTADA PORTADA'!$B$23</f>
        <v>1 DE JULIO DE 2026</v>
      </c>
    </row>
    <row r="381" spans="2:10">
      <c r="B381" s="48" t="s">
        <v>902</v>
      </c>
      <c r="D381" s="64">
        <f t="shared" ref="D381:J396" si="95">SUMIF($B$29:$B$375,$B381,D$29:D$375)</f>
        <v>1056259.6668582815</v>
      </c>
      <c r="E381" s="64">
        <f t="shared" si="95"/>
        <v>1056700.4893614575</v>
      </c>
      <c r="F381" s="64">
        <f t="shared" si="95"/>
        <v>1036742.264685071</v>
      </c>
      <c r="G381" s="64">
        <f t="shared" si="95"/>
        <v>1053078.2718021416</v>
      </c>
      <c r="H381" s="64">
        <f t="shared" si="95"/>
        <v>1007448.6322768757</v>
      </c>
      <c r="I381" s="64">
        <f t="shared" si="95"/>
        <v>1012169.405620373</v>
      </c>
      <c r="J381" s="64">
        <f t="shared" si="95"/>
        <v>6222398.7306041997</v>
      </c>
    </row>
    <row r="382" spans="2:10">
      <c r="B382" s="48" t="s">
        <v>751</v>
      </c>
      <c r="D382" s="64">
        <f t="shared" si="95"/>
        <v>5770108.5209072335</v>
      </c>
      <c r="E382" s="64">
        <f t="shared" si="95"/>
        <v>5772516.6649343064</v>
      </c>
      <c r="F382" s="64">
        <f t="shared" si="95"/>
        <v>5663488.0214347709</v>
      </c>
      <c r="G382" s="64">
        <f t="shared" si="95"/>
        <v>5752729.0599065041</v>
      </c>
      <c r="H382" s="64">
        <f t="shared" si="95"/>
        <v>5503461.5132444724</v>
      </c>
      <c r="I382" s="64">
        <f t="shared" si="95"/>
        <v>5529250.3558021607</v>
      </c>
      <c r="J382" s="64">
        <f t="shared" si="95"/>
        <v>33991554.136229448</v>
      </c>
    </row>
    <row r="383" spans="2:10">
      <c r="B383" s="48" t="s">
        <v>750</v>
      </c>
      <c r="D383" s="64">
        <f t="shared" si="95"/>
        <v>3864800.2333440692</v>
      </c>
      <c r="E383" s="64">
        <f t="shared" si="95"/>
        <v>3866413.1803935459</v>
      </c>
      <c r="F383" s="64">
        <f t="shared" si="95"/>
        <v>3793387.0545206717</v>
      </c>
      <c r="G383" s="64">
        <f t="shared" si="95"/>
        <v>3853159.671140363</v>
      </c>
      <c r="H383" s="64">
        <f t="shared" si="95"/>
        <v>3686203.1480259453</v>
      </c>
      <c r="I383" s="64">
        <f t="shared" si="95"/>
        <v>3703476.2168479133</v>
      </c>
      <c r="J383" s="64">
        <f t="shared" si="95"/>
        <v>22767439.504272509</v>
      </c>
    </row>
    <row r="384" spans="2:10">
      <c r="B384" s="48" t="s">
        <v>749</v>
      </c>
      <c r="D384" s="64">
        <f t="shared" si="95"/>
        <v>4388308.7064896384</v>
      </c>
      <c r="E384" s="64">
        <f t="shared" si="95"/>
        <v>4390140.1360986652</v>
      </c>
      <c r="F384" s="64">
        <f t="shared" si="95"/>
        <v>4307222.219357634</v>
      </c>
      <c r="G384" s="64">
        <f t="shared" si="95"/>
        <v>4375091.366036634</v>
      </c>
      <c r="H384" s="64">
        <f t="shared" si="95"/>
        <v>4185519.6625195537</v>
      </c>
      <c r="I384" s="64">
        <f t="shared" si="95"/>
        <v>4205132.4636276858</v>
      </c>
      <c r="J384" s="64">
        <f t="shared" si="95"/>
        <v>25851414.554129809</v>
      </c>
    </row>
    <row r="385" spans="2:10">
      <c r="B385" s="48" t="s">
        <v>1176</v>
      </c>
      <c r="D385" s="64">
        <f t="shared" si="95"/>
        <v>100.48921560676804</v>
      </c>
      <c r="E385" s="64">
        <f t="shared" si="95"/>
        <v>100.48921560676804</v>
      </c>
      <c r="F385" s="64">
        <f t="shared" si="95"/>
        <v>100.48921560676804</v>
      </c>
      <c r="G385" s="64">
        <f t="shared" si="95"/>
        <v>100.48921560676804</v>
      </c>
      <c r="H385" s="64">
        <f t="shared" si="95"/>
        <v>100.48921560676804</v>
      </c>
      <c r="I385" s="64">
        <f t="shared" si="95"/>
        <v>100.48921560676804</v>
      </c>
      <c r="J385" s="64">
        <f t="shared" si="95"/>
        <v>602.93529364060828</v>
      </c>
    </row>
    <row r="386" spans="2:10">
      <c r="B386" s="48" t="s">
        <v>274</v>
      </c>
      <c r="D386" s="64">
        <f t="shared" si="95"/>
        <v>5612063.5748034017</v>
      </c>
      <c r="E386" s="64">
        <f t="shared" si="95"/>
        <v>5614405.7298535798</v>
      </c>
      <c r="F386" s="64">
        <f t="shared" si="95"/>
        <v>5508364.7351640407</v>
      </c>
      <c r="G386" s="64">
        <f t="shared" si="95"/>
        <v>5595160.3531129174</v>
      </c>
      <c r="H386" s="64">
        <f t="shared" si="95"/>
        <v>5352723.3407513434</v>
      </c>
      <c r="I386" s="64">
        <f t="shared" si="95"/>
        <v>5377805.5065834858</v>
      </c>
      <c r="J386" s="64">
        <f t="shared" si="95"/>
        <v>33060523.240268771</v>
      </c>
    </row>
    <row r="387" spans="2:10">
      <c r="B387" s="48" t="s">
        <v>275</v>
      </c>
      <c r="D387" s="64">
        <f t="shared" si="95"/>
        <v>313340.63890699175</v>
      </c>
      <c r="E387" s="64">
        <f t="shared" si="95"/>
        <v>313471.40940701537</v>
      </c>
      <c r="F387" s="64">
        <f t="shared" si="95"/>
        <v>307550.77921751922</v>
      </c>
      <c r="G387" s="64">
        <f t="shared" si="95"/>
        <v>312396.87442295009</v>
      </c>
      <c r="H387" s="64">
        <f t="shared" si="95"/>
        <v>298860.78964138398</v>
      </c>
      <c r="I387" s="64">
        <f t="shared" si="95"/>
        <v>300261.21245596168</v>
      </c>
      <c r="J387" s="64">
        <f t="shared" si="95"/>
        <v>1845881.704051822</v>
      </c>
    </row>
    <row r="388" spans="2:10">
      <c r="B388" s="48" t="s">
        <v>276</v>
      </c>
      <c r="D388" s="64">
        <f t="shared" si="95"/>
        <v>2429203.5460157311</v>
      </c>
      <c r="E388" s="64">
        <f t="shared" si="95"/>
        <v>2430217.3569388208</v>
      </c>
      <c r="F388" s="64">
        <f t="shared" si="95"/>
        <v>2384317.0999496821</v>
      </c>
      <c r="G388" s="64">
        <f t="shared" si="95"/>
        <v>2421886.9207633077</v>
      </c>
      <c r="H388" s="64">
        <f t="shared" si="95"/>
        <v>2316947.1170236771</v>
      </c>
      <c r="I388" s="64">
        <f t="shared" si="95"/>
        <v>2327804.0300591523</v>
      </c>
      <c r="J388" s="64">
        <f t="shared" si="95"/>
        <v>14310376.070750369</v>
      </c>
    </row>
    <row r="389" spans="2:10">
      <c r="B389" s="48" t="s">
        <v>277</v>
      </c>
      <c r="D389" s="64">
        <f t="shared" si="95"/>
        <v>435319.24203017919</v>
      </c>
      <c r="E389" s="64">
        <f t="shared" si="95"/>
        <v>435500.91943770857</v>
      </c>
      <c r="F389" s="64">
        <f t="shared" si="95"/>
        <v>427275.48064552719</v>
      </c>
      <c r="G389" s="64">
        <f t="shared" si="95"/>
        <v>434008.08481392695</v>
      </c>
      <c r="H389" s="64">
        <f t="shared" si="95"/>
        <v>415202.61423174466</v>
      </c>
      <c r="I389" s="64">
        <f t="shared" si="95"/>
        <v>417148.19971433736</v>
      </c>
      <c r="J389" s="64">
        <f t="shared" si="95"/>
        <v>2564454.5408734237</v>
      </c>
    </row>
    <row r="390" spans="2:10">
      <c r="B390" s="48" t="s">
        <v>278</v>
      </c>
      <c r="D390" s="64">
        <f t="shared" si="95"/>
        <v>46.265000000000001</v>
      </c>
      <c r="E390" s="64">
        <f t="shared" si="95"/>
        <v>46.265000000000001</v>
      </c>
      <c r="F390" s="64">
        <f t="shared" si="95"/>
        <v>46.265000000000001</v>
      </c>
      <c r="G390" s="64">
        <f t="shared" si="95"/>
        <v>46.265000000000001</v>
      </c>
      <c r="H390" s="64">
        <f t="shared" si="95"/>
        <v>46.265000000000001</v>
      </c>
      <c r="I390" s="64">
        <f t="shared" si="95"/>
        <v>46.265000000000001</v>
      </c>
      <c r="J390" s="64">
        <f t="shared" si="95"/>
        <v>277.59000000000003</v>
      </c>
    </row>
    <row r="391" spans="2:10">
      <c r="B391" s="48" t="s">
        <v>279</v>
      </c>
      <c r="D391" s="64">
        <f t="shared" si="95"/>
        <v>1758648.1660091002</v>
      </c>
      <c r="E391" s="64">
        <f t="shared" si="95"/>
        <v>1759382.1445749777</v>
      </c>
      <c r="F391" s="64">
        <f t="shared" si="95"/>
        <v>1726151.2885731217</v>
      </c>
      <c r="G391" s="64">
        <f t="shared" si="95"/>
        <v>1753351.077580153</v>
      </c>
      <c r="H391" s="64">
        <f t="shared" si="95"/>
        <v>1677376.786025319</v>
      </c>
      <c r="I391" s="64">
        <f t="shared" si="95"/>
        <v>1685236.9710737797</v>
      </c>
      <c r="J391" s="64">
        <f t="shared" si="95"/>
        <v>10360146.433836451</v>
      </c>
    </row>
    <row r="392" spans="2:10">
      <c r="B392" s="48" t="s">
        <v>875</v>
      </c>
      <c r="D392" s="64">
        <f t="shared" si="95"/>
        <v>13786.824189124984</v>
      </c>
      <c r="E392" s="64">
        <f t="shared" si="95"/>
        <v>13531.008902707299</v>
      </c>
      <c r="F392" s="64">
        <f t="shared" si="95"/>
        <v>13740.570292749984</v>
      </c>
      <c r="G392" s="64">
        <f t="shared" si="95"/>
        <v>14481.009281945699</v>
      </c>
      <c r="H392" s="64">
        <f t="shared" si="95"/>
        <v>13327.158668512857</v>
      </c>
      <c r="I392" s="64">
        <f t="shared" si="95"/>
        <v>14978.177986088265</v>
      </c>
      <c r="J392" s="64">
        <f t="shared" si="95"/>
        <v>83844.749321129086</v>
      </c>
    </row>
    <row r="393" spans="2:10">
      <c r="B393" s="48" t="s">
        <v>874</v>
      </c>
      <c r="D393" s="64">
        <f t="shared" si="95"/>
        <v>461.24681520697192</v>
      </c>
      <c r="E393" s="64">
        <f t="shared" si="95"/>
        <v>457.14805687270797</v>
      </c>
      <c r="F393" s="64">
        <f t="shared" si="95"/>
        <v>437.83781780447998</v>
      </c>
      <c r="G393" s="64">
        <f t="shared" si="95"/>
        <v>454.04552556359988</v>
      </c>
      <c r="H393" s="64">
        <f t="shared" si="95"/>
        <v>439.70608871974804</v>
      </c>
      <c r="I393" s="64">
        <f t="shared" si="95"/>
        <v>455.57045417880045</v>
      </c>
      <c r="J393" s="64">
        <f t="shared" si="95"/>
        <v>2705.5547583463081</v>
      </c>
    </row>
    <row r="394" spans="2:10">
      <c r="B394" s="48" t="s">
        <v>873</v>
      </c>
      <c r="D394" s="64">
        <f t="shared" si="95"/>
        <v>70980.719437381355</v>
      </c>
      <c r="E394" s="64">
        <f t="shared" si="95"/>
        <v>70263.18129242197</v>
      </c>
      <c r="F394" s="64">
        <f t="shared" si="95"/>
        <v>68268.427767644098</v>
      </c>
      <c r="G394" s="64">
        <f t="shared" si="95"/>
        <v>71023.797665485647</v>
      </c>
      <c r="H394" s="64">
        <f t="shared" si="95"/>
        <v>65485.707919428503</v>
      </c>
      <c r="I394" s="64">
        <f t="shared" si="95"/>
        <v>70218.717055548288</v>
      </c>
      <c r="J394" s="64">
        <f t="shared" si="95"/>
        <v>416240.55113790982</v>
      </c>
    </row>
    <row r="395" spans="2:10">
      <c r="B395" s="48" t="s">
        <v>872</v>
      </c>
      <c r="D395" s="64">
        <f t="shared" si="95"/>
        <v>16933.676382124158</v>
      </c>
      <c r="E395" s="64">
        <f t="shared" si="95"/>
        <v>17092.728848924282</v>
      </c>
      <c r="F395" s="64">
        <f t="shared" si="95"/>
        <v>16627.240498942621</v>
      </c>
      <c r="G395" s="64">
        <f t="shared" si="95"/>
        <v>17821.293034863778</v>
      </c>
      <c r="H395" s="64">
        <f t="shared" si="95"/>
        <v>16710.079139461079</v>
      </c>
      <c r="I395" s="64">
        <f t="shared" si="95"/>
        <v>16620.052390359626</v>
      </c>
      <c r="J395" s="64">
        <f t="shared" si="95"/>
        <v>101805.07029467556</v>
      </c>
    </row>
    <row r="396" spans="2:10">
      <c r="B396" s="48" t="s">
        <v>871</v>
      </c>
      <c r="D396" s="64">
        <f t="shared" si="95"/>
        <v>7722.537667365239</v>
      </c>
      <c r="E396" s="64">
        <f t="shared" si="95"/>
        <v>7574.2207842801599</v>
      </c>
      <c r="F396" s="64">
        <f t="shared" si="95"/>
        <v>7830.890304473518</v>
      </c>
      <c r="G396" s="64">
        <f t="shared" si="95"/>
        <v>9415.178525872836</v>
      </c>
      <c r="H396" s="64">
        <f t="shared" si="95"/>
        <v>9065.5062480539254</v>
      </c>
      <c r="I396" s="64">
        <f t="shared" si="95"/>
        <v>9530.9566069088851</v>
      </c>
      <c r="J396" s="64">
        <f t="shared" si="95"/>
        <v>51139.290136954565</v>
      </c>
    </row>
    <row r="397" spans="2:10">
      <c r="B397" s="48" t="s">
        <v>870</v>
      </c>
      <c r="D397" s="64">
        <f t="shared" ref="D397:J398" si="96">SUMIF($B$29:$B$375,$B397,D$29:D$375)</f>
        <v>16176.06106828434</v>
      </c>
      <c r="E397" s="64">
        <f t="shared" si="96"/>
        <v>14642.196644153157</v>
      </c>
      <c r="F397" s="64">
        <f t="shared" si="96"/>
        <v>14799.916627578034</v>
      </c>
      <c r="G397" s="64">
        <f t="shared" si="96"/>
        <v>16970.093042720506</v>
      </c>
      <c r="H397" s="64">
        <f t="shared" si="96"/>
        <v>11789.888897080978</v>
      </c>
      <c r="I397" s="64">
        <f t="shared" si="96"/>
        <v>15202.704042439811</v>
      </c>
      <c r="J397" s="64">
        <f t="shared" si="96"/>
        <v>89580.86032225682</v>
      </c>
    </row>
    <row r="398" spans="2:10">
      <c r="B398" s="48" t="s">
        <v>890</v>
      </c>
      <c r="D398" s="64">
        <f t="shared" si="96"/>
        <v>4076.0999820000075</v>
      </c>
      <c r="E398" s="64">
        <f t="shared" si="96"/>
        <v>4076.0999820000075</v>
      </c>
      <c r="F398" s="64">
        <f t="shared" si="96"/>
        <v>4076.0999820000075</v>
      </c>
      <c r="G398" s="64">
        <f t="shared" si="96"/>
        <v>4076.0999820000075</v>
      </c>
      <c r="H398" s="64">
        <f t="shared" si="96"/>
        <v>4076.0999820000075</v>
      </c>
      <c r="I398" s="64">
        <f t="shared" si="96"/>
        <v>4076.0999820000075</v>
      </c>
      <c r="J398" s="64">
        <f t="shared" si="96"/>
        <v>24456.599892000046</v>
      </c>
    </row>
    <row r="399" spans="2:10">
      <c r="B399" s="48" t="s">
        <v>111</v>
      </c>
      <c r="D399" s="65">
        <f t="shared" ref="D399:J399" si="97">SUM(D381:D398)</f>
        <v>25758336.215121731</v>
      </c>
      <c r="E399" s="65">
        <f t="shared" si="97"/>
        <v>25766531.369727045</v>
      </c>
      <c r="F399" s="65">
        <f t="shared" si="97"/>
        <v>25280426.681054834</v>
      </c>
      <c r="G399" s="65">
        <f t="shared" si="97"/>
        <v>25685249.950852953</v>
      </c>
      <c r="H399" s="65">
        <f t="shared" si="97"/>
        <v>24564784.504899178</v>
      </c>
      <c r="I399" s="65">
        <f t="shared" si="97"/>
        <v>24689513.394517981</v>
      </c>
      <c r="J399" s="65">
        <f t="shared" si="97"/>
        <v>151744842.11617377</v>
      </c>
    </row>
    <row r="400" spans="2:10" ht="17.25" customHeight="1">
      <c r="D400" s="66">
        <f t="shared" ref="D400:J400" si="98">D399-D375</f>
        <v>0</v>
      </c>
      <c r="E400" s="66">
        <f t="shared" si="98"/>
        <v>0</v>
      </c>
      <c r="F400" s="66">
        <f t="shared" si="98"/>
        <v>0</v>
      </c>
      <c r="G400" s="66">
        <f t="shared" si="98"/>
        <v>0</v>
      </c>
      <c r="H400" s="66">
        <f t="shared" si="98"/>
        <v>0</v>
      </c>
      <c r="I400" s="66">
        <f t="shared" si="98"/>
        <v>0</v>
      </c>
      <c r="J400" s="66">
        <f t="shared" si="98"/>
        <v>0</v>
      </c>
    </row>
    <row r="402" spans="2:10">
      <c r="B402" s="48" t="s">
        <v>902</v>
      </c>
      <c r="D402" s="64">
        <f t="shared" ref="D402:J417" si="99">D381-D422</f>
        <v>1030526.4285155585</v>
      </c>
      <c r="E402" s="64">
        <f t="shared" si="99"/>
        <v>1030956.5114336713</v>
      </c>
      <c r="F402" s="64">
        <f t="shared" si="99"/>
        <v>1011484.5211261712</v>
      </c>
      <c r="G402" s="64">
        <f t="shared" si="99"/>
        <v>1027422.5405344407</v>
      </c>
      <c r="H402" s="64">
        <f t="shared" si="99"/>
        <v>982904.55794945033</v>
      </c>
      <c r="I402" s="64">
        <f t="shared" si="99"/>
        <v>987510.32095086819</v>
      </c>
      <c r="J402" s="64">
        <f t="shared" si="99"/>
        <v>6070804.8805101598</v>
      </c>
    </row>
    <row r="403" spans="2:10">
      <c r="B403" s="48" t="s">
        <v>751</v>
      </c>
      <c r="D403" s="64">
        <f t="shared" si="99"/>
        <v>5629002.6296081264</v>
      </c>
      <c r="E403" s="64">
        <f t="shared" si="99"/>
        <v>5631351.8833546983</v>
      </c>
      <c r="F403" s="64">
        <f t="shared" si="99"/>
        <v>5524989.4954138566</v>
      </c>
      <c r="G403" s="64">
        <f t="shared" si="99"/>
        <v>5612048.1769631188</v>
      </c>
      <c r="H403" s="64">
        <f t="shared" si="99"/>
        <v>5368876.3768916829</v>
      </c>
      <c r="I403" s="64">
        <f t="shared" si="99"/>
        <v>5394034.5627465565</v>
      </c>
      <c r="J403" s="64">
        <f t="shared" si="99"/>
        <v>33160303.124978039</v>
      </c>
    </row>
    <row r="404" spans="2:10">
      <c r="B404" s="48" t="s">
        <v>750</v>
      </c>
      <c r="D404" s="64">
        <f t="shared" si="99"/>
        <v>3811713.146707953</v>
      </c>
      <c r="E404" s="64">
        <f t="shared" si="99"/>
        <v>3813303.9382371996</v>
      </c>
      <c r="F404" s="64">
        <f t="shared" si="99"/>
        <v>3741280.902831322</v>
      </c>
      <c r="G404" s="64">
        <f t="shared" si="99"/>
        <v>3800232.4798408467</v>
      </c>
      <c r="H404" s="64">
        <f t="shared" si="99"/>
        <v>3635569.2797630429</v>
      </c>
      <c r="I404" s="64">
        <f t="shared" si="99"/>
        <v>3652605.0848596799</v>
      </c>
      <c r="J404" s="64">
        <f t="shared" si="99"/>
        <v>22454704.832240045</v>
      </c>
    </row>
    <row r="405" spans="2:10">
      <c r="B405" s="48" t="s">
        <v>749</v>
      </c>
      <c r="D405" s="64">
        <f t="shared" si="99"/>
        <v>4335796.9895776054</v>
      </c>
      <c r="E405" s="64">
        <f t="shared" si="99"/>
        <v>4337606.5037928885</v>
      </c>
      <c r="F405" s="64">
        <f t="shared" si="99"/>
        <v>4255680.8057999145</v>
      </c>
      <c r="G405" s="64">
        <f t="shared" si="99"/>
        <v>4322737.8114797641</v>
      </c>
      <c r="H405" s="64">
        <f t="shared" si="99"/>
        <v>4135434.5754510574</v>
      </c>
      <c r="I405" s="64">
        <f t="shared" si="99"/>
        <v>4154812.6843512054</v>
      </c>
      <c r="J405" s="64">
        <f t="shared" si="99"/>
        <v>25542069.370452434</v>
      </c>
    </row>
    <row r="406" spans="2:10">
      <c r="B406" s="48" t="s">
        <v>1176</v>
      </c>
      <c r="D406" s="64">
        <f t="shared" si="99"/>
        <v>98.769215606768043</v>
      </c>
      <c r="E406" s="64">
        <f t="shared" si="99"/>
        <v>98.769215606768043</v>
      </c>
      <c r="F406" s="64">
        <f t="shared" si="99"/>
        <v>98.769215606768043</v>
      </c>
      <c r="G406" s="64">
        <f t="shared" si="99"/>
        <v>98.769215606768043</v>
      </c>
      <c r="H406" s="64">
        <f t="shared" si="99"/>
        <v>98.769215606768043</v>
      </c>
      <c r="I406" s="64">
        <f t="shared" si="99"/>
        <v>98.769215606768043</v>
      </c>
      <c r="J406" s="64">
        <f t="shared" si="99"/>
        <v>592.61529364060823</v>
      </c>
    </row>
    <row r="407" spans="2:10">
      <c r="B407" s="48" t="s">
        <v>274</v>
      </c>
      <c r="D407" s="64">
        <f t="shared" si="99"/>
        <v>5513762.690501296</v>
      </c>
      <c r="E407" s="64">
        <f t="shared" si="99"/>
        <v>5516063.8203724939</v>
      </c>
      <c r="F407" s="64">
        <f t="shared" si="99"/>
        <v>5411880.239343958</v>
      </c>
      <c r="G407" s="64">
        <f t="shared" si="99"/>
        <v>5497155.545577866</v>
      </c>
      <c r="H407" s="64">
        <f t="shared" si="99"/>
        <v>5258965.0590057895</v>
      </c>
      <c r="I407" s="64">
        <f t="shared" si="99"/>
        <v>5283607.8857162977</v>
      </c>
      <c r="J407" s="64">
        <f t="shared" si="99"/>
        <v>32481435.240517702</v>
      </c>
    </row>
    <row r="408" spans="2:10">
      <c r="B408" s="48" t="s">
        <v>275</v>
      </c>
      <c r="D408" s="64">
        <f t="shared" si="99"/>
        <v>308586.12333642441</v>
      </c>
      <c r="E408" s="64">
        <f t="shared" si="99"/>
        <v>308714.90957299375</v>
      </c>
      <c r="F408" s="64">
        <f t="shared" si="99"/>
        <v>302884.11684767628</v>
      </c>
      <c r="G408" s="64">
        <f t="shared" si="99"/>
        <v>307656.67918743403</v>
      </c>
      <c r="H408" s="64">
        <f t="shared" si="99"/>
        <v>294325.98597615055</v>
      </c>
      <c r="I408" s="64">
        <f t="shared" si="99"/>
        <v>295705.15929018304</v>
      </c>
      <c r="J408" s="64">
        <f t="shared" si="99"/>
        <v>1817872.9742108621</v>
      </c>
    </row>
    <row r="409" spans="2:10">
      <c r="B409" s="48" t="s">
        <v>276</v>
      </c>
      <c r="D409" s="64">
        <f t="shared" si="99"/>
        <v>2386701.0107036512</v>
      </c>
      <c r="E409" s="64">
        <f t="shared" si="99"/>
        <v>2387697.0834941627</v>
      </c>
      <c r="F409" s="64">
        <f t="shared" si="99"/>
        <v>2342599.9198879208</v>
      </c>
      <c r="G409" s="64">
        <f t="shared" si="99"/>
        <v>2379512.4007110712</v>
      </c>
      <c r="H409" s="64">
        <f t="shared" si="99"/>
        <v>2276408.6751878592</v>
      </c>
      <c r="I409" s="64">
        <f t="shared" si="99"/>
        <v>2287075.6303540454</v>
      </c>
      <c r="J409" s="64">
        <f t="shared" si="99"/>
        <v>14059994.72033871</v>
      </c>
    </row>
    <row r="410" spans="2:10">
      <c r="B410" s="48" t="s">
        <v>277</v>
      </c>
      <c r="D410" s="64">
        <f t="shared" si="99"/>
        <v>428223.99286862486</v>
      </c>
      <c r="E410" s="64">
        <f t="shared" si="99"/>
        <v>428402.70912408701</v>
      </c>
      <c r="F410" s="64">
        <f t="shared" si="99"/>
        <v>420311.33639666642</v>
      </c>
      <c r="G410" s="64">
        <f t="shared" si="99"/>
        <v>426934.20614611852</v>
      </c>
      <c r="H410" s="64">
        <f t="shared" si="99"/>
        <v>408435.24510107178</v>
      </c>
      <c r="I410" s="64">
        <f t="shared" si="99"/>
        <v>410349.11957153527</v>
      </c>
      <c r="J410" s="64">
        <f t="shared" si="99"/>
        <v>2522656.6092081037</v>
      </c>
    </row>
    <row r="411" spans="2:10">
      <c r="B411" s="48" t="s">
        <v>278</v>
      </c>
      <c r="D411" s="64">
        <f t="shared" si="99"/>
        <v>45.454999999999998</v>
      </c>
      <c r="E411" s="64">
        <f t="shared" si="99"/>
        <v>45.454999999999998</v>
      </c>
      <c r="F411" s="64">
        <f t="shared" si="99"/>
        <v>45.454999999999998</v>
      </c>
      <c r="G411" s="64">
        <f t="shared" si="99"/>
        <v>45.454999999999998</v>
      </c>
      <c r="H411" s="64">
        <f t="shared" si="99"/>
        <v>45.454999999999998</v>
      </c>
      <c r="I411" s="64">
        <f t="shared" si="99"/>
        <v>45.454999999999998</v>
      </c>
      <c r="J411" s="64">
        <f t="shared" si="99"/>
        <v>272.73</v>
      </c>
    </row>
    <row r="412" spans="2:10">
      <c r="B412" s="48" t="s">
        <v>279</v>
      </c>
      <c r="D412" s="64">
        <f t="shared" si="99"/>
        <v>1727666.751418218</v>
      </c>
      <c r="E412" s="64">
        <f t="shared" si="99"/>
        <v>1728387.7997717371</v>
      </c>
      <c r="F412" s="64">
        <f t="shared" si="99"/>
        <v>1695742.3587192167</v>
      </c>
      <c r="G412" s="64">
        <f t="shared" si="99"/>
        <v>1722462.9797173771</v>
      </c>
      <c r="H412" s="64">
        <f t="shared" si="99"/>
        <v>1647827.0974421264</v>
      </c>
      <c r="I412" s="64">
        <f t="shared" si="99"/>
        <v>1655548.8126951759</v>
      </c>
      <c r="J412" s="64">
        <f t="shared" si="99"/>
        <v>10177635.799763851</v>
      </c>
    </row>
    <row r="413" spans="2:10">
      <c r="B413" s="48" t="s">
        <v>875</v>
      </c>
      <c r="D413" s="64">
        <f t="shared" si="99"/>
        <v>0</v>
      </c>
      <c r="E413" s="64">
        <f t="shared" si="99"/>
        <v>0</v>
      </c>
      <c r="F413" s="64">
        <f t="shared" si="99"/>
        <v>0</v>
      </c>
      <c r="G413" s="64">
        <f t="shared" si="99"/>
        <v>0</v>
      </c>
      <c r="H413" s="64">
        <f t="shared" si="99"/>
        <v>0</v>
      </c>
      <c r="I413" s="64">
        <f t="shared" si="99"/>
        <v>0</v>
      </c>
      <c r="J413" s="64">
        <f t="shared" si="99"/>
        <v>0</v>
      </c>
    </row>
    <row r="414" spans="2:10">
      <c r="B414" s="48" t="s">
        <v>874</v>
      </c>
      <c r="D414" s="64">
        <f t="shared" si="99"/>
        <v>0</v>
      </c>
      <c r="E414" s="64">
        <f t="shared" si="99"/>
        <v>0</v>
      </c>
      <c r="F414" s="64">
        <f t="shared" si="99"/>
        <v>0</v>
      </c>
      <c r="G414" s="64">
        <f t="shared" si="99"/>
        <v>0</v>
      </c>
      <c r="H414" s="64">
        <f t="shared" si="99"/>
        <v>0</v>
      </c>
      <c r="I414" s="64">
        <f t="shared" si="99"/>
        <v>0</v>
      </c>
      <c r="J414" s="64">
        <f t="shared" si="99"/>
        <v>0</v>
      </c>
    </row>
    <row r="415" spans="2:10">
      <c r="B415" s="48" t="s">
        <v>873</v>
      </c>
      <c r="D415" s="64">
        <f t="shared" si="99"/>
        <v>0</v>
      </c>
      <c r="E415" s="64">
        <f t="shared" si="99"/>
        <v>0</v>
      </c>
      <c r="F415" s="64">
        <f t="shared" si="99"/>
        <v>0</v>
      </c>
      <c r="G415" s="64">
        <f t="shared" si="99"/>
        <v>0</v>
      </c>
      <c r="H415" s="64">
        <f t="shared" si="99"/>
        <v>0</v>
      </c>
      <c r="I415" s="64">
        <f t="shared" si="99"/>
        <v>0</v>
      </c>
      <c r="J415" s="64">
        <f t="shared" si="99"/>
        <v>0</v>
      </c>
    </row>
    <row r="416" spans="2:10">
      <c r="B416" s="48" t="s">
        <v>872</v>
      </c>
      <c r="D416" s="64">
        <f t="shared" si="99"/>
        <v>0</v>
      </c>
      <c r="E416" s="64">
        <f t="shared" si="99"/>
        <v>0</v>
      </c>
      <c r="F416" s="64">
        <f t="shared" si="99"/>
        <v>0</v>
      </c>
      <c r="G416" s="64">
        <f t="shared" si="99"/>
        <v>0</v>
      </c>
      <c r="H416" s="64">
        <f t="shared" si="99"/>
        <v>0</v>
      </c>
      <c r="I416" s="64">
        <f t="shared" si="99"/>
        <v>0</v>
      </c>
      <c r="J416" s="64">
        <f t="shared" si="99"/>
        <v>0</v>
      </c>
    </row>
    <row r="417" spans="2:10">
      <c r="B417" s="48" t="s">
        <v>871</v>
      </c>
      <c r="D417" s="64">
        <f t="shared" si="99"/>
        <v>0</v>
      </c>
      <c r="E417" s="64">
        <f t="shared" si="99"/>
        <v>0</v>
      </c>
      <c r="F417" s="64">
        <f t="shared" si="99"/>
        <v>0</v>
      </c>
      <c r="G417" s="64">
        <f t="shared" si="99"/>
        <v>0</v>
      </c>
      <c r="H417" s="64">
        <f t="shared" si="99"/>
        <v>0</v>
      </c>
      <c r="I417" s="64">
        <f t="shared" si="99"/>
        <v>0</v>
      </c>
      <c r="J417" s="64">
        <f t="shared" si="99"/>
        <v>0</v>
      </c>
    </row>
    <row r="418" spans="2:10">
      <c r="B418" s="48" t="s">
        <v>870</v>
      </c>
      <c r="D418" s="64">
        <f t="shared" ref="D418:J418" si="100">D397-D438</f>
        <v>0</v>
      </c>
      <c r="E418" s="64">
        <f t="shared" si="100"/>
        <v>0</v>
      </c>
      <c r="F418" s="64">
        <f t="shared" si="100"/>
        <v>0</v>
      </c>
      <c r="G418" s="64">
        <f t="shared" si="100"/>
        <v>0</v>
      </c>
      <c r="H418" s="64">
        <f t="shared" si="100"/>
        <v>0</v>
      </c>
      <c r="I418" s="64">
        <f t="shared" si="100"/>
        <v>0</v>
      </c>
      <c r="J418" s="64">
        <f t="shared" si="100"/>
        <v>0</v>
      </c>
    </row>
    <row r="419" spans="2:10">
      <c r="B419" s="48" t="s">
        <v>893</v>
      </c>
      <c r="D419" s="64">
        <f>D398-D439</f>
        <v>0</v>
      </c>
      <c r="E419" s="64"/>
      <c r="F419" s="64"/>
      <c r="G419" s="64"/>
      <c r="H419" s="64"/>
      <c r="I419" s="64"/>
      <c r="J419" s="64"/>
    </row>
    <row r="420" spans="2:10">
      <c r="B420" s="48" t="s">
        <v>111</v>
      </c>
      <c r="C420" s="48" t="s">
        <v>889</v>
      </c>
      <c r="D420" s="65">
        <f>SUM(D402:D419)</f>
        <v>25172123.987453058</v>
      </c>
      <c r="E420" s="65">
        <f t="shared" ref="E420:J420" si="101">SUM(E402:E419)</f>
        <v>25182629.383369535</v>
      </c>
      <c r="F420" s="65">
        <f t="shared" si="101"/>
        <v>24706997.920582309</v>
      </c>
      <c r="G420" s="65">
        <f t="shared" si="101"/>
        <v>25096307.044373643</v>
      </c>
      <c r="H420" s="65">
        <f t="shared" si="101"/>
        <v>24008891.076983839</v>
      </c>
      <c r="I420" s="65">
        <f t="shared" si="101"/>
        <v>24121393.484751154</v>
      </c>
      <c r="J420" s="65">
        <f t="shared" si="101"/>
        <v>148288342.89751354</v>
      </c>
    </row>
    <row r="422" spans="2:10">
      <c r="B422" s="48" t="s">
        <v>902</v>
      </c>
      <c r="D422" s="64">
        <f t="shared" ref="D422:J437" si="102">SUMIF($B$219:$B$342,$B422,D$219:D$342)</f>
        <v>25733.238342723005</v>
      </c>
      <c r="E422" s="64">
        <f t="shared" si="102"/>
        <v>25743.977927786225</v>
      </c>
      <c r="F422" s="64">
        <f t="shared" si="102"/>
        <v>25257.74355889975</v>
      </c>
      <c r="G422" s="64">
        <f t="shared" si="102"/>
        <v>25655.731267700892</v>
      </c>
      <c r="H422" s="64">
        <f t="shared" si="102"/>
        <v>24544.0743274253</v>
      </c>
      <c r="I422" s="64">
        <f t="shared" si="102"/>
        <v>24659.084669504831</v>
      </c>
      <c r="J422" s="64">
        <f t="shared" si="102"/>
        <v>151593.85009403998</v>
      </c>
    </row>
    <row r="423" spans="2:10">
      <c r="B423" s="48" t="s">
        <v>751</v>
      </c>
      <c r="D423" s="64">
        <f t="shared" si="102"/>
        <v>141105.89129910702</v>
      </c>
      <c r="E423" s="64">
        <f t="shared" si="102"/>
        <v>141164.78157960789</v>
      </c>
      <c r="F423" s="64">
        <f t="shared" si="102"/>
        <v>138498.52602091423</v>
      </c>
      <c r="G423" s="64">
        <f t="shared" si="102"/>
        <v>140680.88294338543</v>
      </c>
      <c r="H423" s="64">
        <f t="shared" si="102"/>
        <v>134585.13635278968</v>
      </c>
      <c r="I423" s="64">
        <f t="shared" si="102"/>
        <v>135215.79305560378</v>
      </c>
      <c r="J423" s="64">
        <f t="shared" si="102"/>
        <v>831251.01125140802</v>
      </c>
    </row>
    <row r="424" spans="2:10">
      <c r="B424" s="48" t="s">
        <v>750</v>
      </c>
      <c r="D424" s="64">
        <f t="shared" si="102"/>
        <v>53087.086636116139</v>
      </c>
      <c r="E424" s="64">
        <f t="shared" si="102"/>
        <v>53109.242156346205</v>
      </c>
      <c r="F424" s="64">
        <f t="shared" si="102"/>
        <v>52106.151689349746</v>
      </c>
      <c r="G424" s="64">
        <f t="shared" si="102"/>
        <v>52927.191299516424</v>
      </c>
      <c r="H424" s="64">
        <f t="shared" si="102"/>
        <v>50633.868262902222</v>
      </c>
      <c r="I424" s="64">
        <f t="shared" si="102"/>
        <v>50871.131988233261</v>
      </c>
      <c r="J424" s="64">
        <f t="shared" si="102"/>
        <v>312734.672032464</v>
      </c>
    </row>
    <row r="425" spans="2:10">
      <c r="B425" s="48" t="s">
        <v>749</v>
      </c>
      <c r="D425" s="64">
        <f t="shared" si="102"/>
        <v>52511.716912032651</v>
      </c>
      <c r="E425" s="64">
        <f t="shared" si="102"/>
        <v>52533.632305776788</v>
      </c>
      <c r="F425" s="64">
        <f t="shared" si="102"/>
        <v>51541.413557719861</v>
      </c>
      <c r="G425" s="64">
        <f t="shared" si="102"/>
        <v>52353.554556870244</v>
      </c>
      <c r="H425" s="64">
        <f t="shared" si="102"/>
        <v>50085.087068496156</v>
      </c>
      <c r="I425" s="64">
        <f t="shared" si="102"/>
        <v>50319.779276480345</v>
      </c>
      <c r="J425" s="64">
        <f t="shared" si="102"/>
        <v>309345.18367737602</v>
      </c>
    </row>
    <row r="426" spans="2:10">
      <c r="B426" s="48" t="s">
        <v>1176</v>
      </c>
      <c r="D426" s="64">
        <f t="shared" si="102"/>
        <v>1.72</v>
      </c>
      <c r="E426" s="64">
        <f t="shared" si="102"/>
        <v>1.72</v>
      </c>
      <c r="F426" s="64">
        <f t="shared" si="102"/>
        <v>1.72</v>
      </c>
      <c r="G426" s="64">
        <f t="shared" si="102"/>
        <v>1.72</v>
      </c>
      <c r="H426" s="64">
        <f t="shared" si="102"/>
        <v>1.72</v>
      </c>
      <c r="I426" s="64">
        <f t="shared" si="102"/>
        <v>1.72</v>
      </c>
      <c r="J426" s="64">
        <f t="shared" si="102"/>
        <v>10.32</v>
      </c>
    </row>
    <row r="427" spans="2:10">
      <c r="B427" s="48" t="s">
        <v>274</v>
      </c>
      <c r="D427" s="64">
        <f t="shared" si="102"/>
        <v>98300.884302105507</v>
      </c>
      <c r="E427" s="64">
        <f t="shared" si="102"/>
        <v>98341.909481085793</v>
      </c>
      <c r="F427" s="64">
        <f t="shared" si="102"/>
        <v>96484.495820082913</v>
      </c>
      <c r="G427" s="64">
        <f t="shared" si="102"/>
        <v>98004.807535051528</v>
      </c>
      <c r="H427" s="64">
        <f t="shared" si="102"/>
        <v>93758.281745553832</v>
      </c>
      <c r="I427" s="64">
        <f t="shared" si="102"/>
        <v>94197.620867188452</v>
      </c>
      <c r="J427" s="64">
        <f t="shared" si="102"/>
        <v>579087.99975106795</v>
      </c>
    </row>
    <row r="428" spans="2:10">
      <c r="B428" s="48" t="s">
        <v>275</v>
      </c>
      <c r="D428" s="64">
        <f t="shared" si="102"/>
        <v>4754.5155705673224</v>
      </c>
      <c r="E428" s="64">
        <f t="shared" si="102"/>
        <v>4756.4998340216334</v>
      </c>
      <c r="F428" s="64">
        <f t="shared" si="102"/>
        <v>4666.6623698429567</v>
      </c>
      <c r="G428" s="64">
        <f t="shared" si="102"/>
        <v>4740.195235516062</v>
      </c>
      <c r="H428" s="64">
        <f t="shared" si="102"/>
        <v>4534.8036652334122</v>
      </c>
      <c r="I428" s="64">
        <f t="shared" si="102"/>
        <v>4556.0531657786123</v>
      </c>
      <c r="J428" s="64">
        <f t="shared" si="102"/>
        <v>28008.729840959997</v>
      </c>
    </row>
    <row r="429" spans="2:10">
      <c r="B429" s="48" t="s">
        <v>276</v>
      </c>
      <c r="D429" s="64">
        <f t="shared" si="102"/>
        <v>42502.53531207997</v>
      </c>
      <c r="E429" s="64">
        <f t="shared" si="102"/>
        <v>42520.273444658058</v>
      </c>
      <c r="F429" s="64">
        <f t="shared" si="102"/>
        <v>41717.180061761363</v>
      </c>
      <c r="G429" s="64">
        <f t="shared" si="102"/>
        <v>42374.520052236287</v>
      </c>
      <c r="H429" s="64">
        <f t="shared" si="102"/>
        <v>40538.441835817655</v>
      </c>
      <c r="I429" s="64">
        <f t="shared" si="102"/>
        <v>40728.399705106662</v>
      </c>
      <c r="J429" s="64">
        <f t="shared" si="102"/>
        <v>250381.35041165998</v>
      </c>
    </row>
    <row r="430" spans="2:10">
      <c r="B430" s="48" t="s">
        <v>277</v>
      </c>
      <c r="D430" s="64">
        <f t="shared" si="102"/>
        <v>7095.2491615543195</v>
      </c>
      <c r="E430" s="64">
        <f t="shared" si="102"/>
        <v>7098.2103136215574</v>
      </c>
      <c r="F430" s="64">
        <f t="shared" si="102"/>
        <v>6964.1442488607554</v>
      </c>
      <c r="G430" s="64">
        <f t="shared" si="102"/>
        <v>7073.8786678084107</v>
      </c>
      <c r="H430" s="64">
        <f t="shared" si="102"/>
        <v>6767.3691306728733</v>
      </c>
      <c r="I430" s="64">
        <f t="shared" si="102"/>
        <v>6799.0801428020841</v>
      </c>
      <c r="J430" s="64">
        <f t="shared" si="102"/>
        <v>41797.931665320008</v>
      </c>
    </row>
    <row r="431" spans="2:10">
      <c r="B431" s="48" t="s">
        <v>278</v>
      </c>
      <c r="D431" s="64">
        <f t="shared" si="102"/>
        <v>0.80999999999999994</v>
      </c>
      <c r="E431" s="64">
        <f t="shared" si="102"/>
        <v>0.80999999999999994</v>
      </c>
      <c r="F431" s="64">
        <f t="shared" si="102"/>
        <v>0.80999999999999994</v>
      </c>
      <c r="G431" s="64">
        <f t="shared" si="102"/>
        <v>0.80999999999999994</v>
      </c>
      <c r="H431" s="64">
        <f t="shared" si="102"/>
        <v>0.80999999999999994</v>
      </c>
      <c r="I431" s="64">
        <f t="shared" si="102"/>
        <v>0.80999999999999994</v>
      </c>
      <c r="J431" s="64">
        <f t="shared" si="102"/>
        <v>4.8599999999999994</v>
      </c>
    </row>
    <row r="432" spans="2:10">
      <c r="B432" s="48" t="s">
        <v>279</v>
      </c>
      <c r="D432" s="64">
        <f t="shared" si="102"/>
        <v>30981.414590882112</v>
      </c>
      <c r="E432" s="64">
        <f t="shared" si="102"/>
        <v>30994.34480324055</v>
      </c>
      <c r="F432" s="64">
        <f t="shared" si="102"/>
        <v>30408.92985390493</v>
      </c>
      <c r="G432" s="64">
        <f t="shared" si="102"/>
        <v>30888.097862776012</v>
      </c>
      <c r="H432" s="64">
        <f t="shared" si="102"/>
        <v>29549.68858319263</v>
      </c>
      <c r="I432" s="64">
        <f t="shared" si="102"/>
        <v>29688.158378603752</v>
      </c>
      <c r="J432" s="64">
        <f t="shared" si="102"/>
        <v>182510.63407259999</v>
      </c>
    </row>
    <row r="433" spans="2:10">
      <c r="B433" s="48" t="s">
        <v>875</v>
      </c>
      <c r="D433" s="64">
        <f t="shared" si="102"/>
        <v>13786.824189124984</v>
      </c>
      <c r="E433" s="64">
        <f t="shared" si="102"/>
        <v>13531.008902707299</v>
      </c>
      <c r="F433" s="64">
        <f t="shared" si="102"/>
        <v>13740.570292749984</v>
      </c>
      <c r="G433" s="64">
        <f t="shared" si="102"/>
        <v>14481.009281945699</v>
      </c>
      <c r="H433" s="64">
        <f t="shared" si="102"/>
        <v>13327.158668512857</v>
      </c>
      <c r="I433" s="64">
        <f t="shared" si="102"/>
        <v>14978.177986088265</v>
      </c>
      <c r="J433" s="64">
        <f t="shared" si="102"/>
        <v>83844.749321129086</v>
      </c>
    </row>
    <row r="434" spans="2:10">
      <c r="B434" s="48" t="s">
        <v>874</v>
      </c>
      <c r="D434" s="64">
        <f t="shared" si="102"/>
        <v>461.24681520697192</v>
      </c>
      <c r="E434" s="64">
        <f t="shared" si="102"/>
        <v>457.14805687270797</v>
      </c>
      <c r="F434" s="64">
        <f t="shared" si="102"/>
        <v>437.83781780447998</v>
      </c>
      <c r="G434" s="64">
        <f t="shared" si="102"/>
        <v>454.04552556359988</v>
      </c>
      <c r="H434" s="64">
        <f t="shared" si="102"/>
        <v>439.70608871974804</v>
      </c>
      <c r="I434" s="64">
        <f t="shared" si="102"/>
        <v>455.57045417880045</v>
      </c>
      <c r="J434" s="64">
        <f t="shared" si="102"/>
        <v>2705.5547583463081</v>
      </c>
    </row>
    <row r="435" spans="2:10">
      <c r="B435" s="48" t="s">
        <v>873</v>
      </c>
      <c r="D435" s="64">
        <f t="shared" si="102"/>
        <v>70980.719437381355</v>
      </c>
      <c r="E435" s="64">
        <f t="shared" si="102"/>
        <v>70263.18129242197</v>
      </c>
      <c r="F435" s="64">
        <f t="shared" si="102"/>
        <v>68268.427767644098</v>
      </c>
      <c r="G435" s="64">
        <f t="shared" si="102"/>
        <v>71023.797665485647</v>
      </c>
      <c r="H435" s="64">
        <f t="shared" si="102"/>
        <v>65485.707919428503</v>
      </c>
      <c r="I435" s="64">
        <f t="shared" si="102"/>
        <v>70218.717055548288</v>
      </c>
      <c r="J435" s="64">
        <f t="shared" si="102"/>
        <v>416240.55113790982</v>
      </c>
    </row>
    <row r="436" spans="2:10">
      <c r="B436" s="48" t="s">
        <v>872</v>
      </c>
      <c r="D436" s="64">
        <f t="shared" si="102"/>
        <v>16933.676382124158</v>
      </c>
      <c r="E436" s="64">
        <f t="shared" si="102"/>
        <v>17092.728848924282</v>
      </c>
      <c r="F436" s="64">
        <f t="shared" si="102"/>
        <v>16627.240498942621</v>
      </c>
      <c r="G436" s="64">
        <f t="shared" si="102"/>
        <v>17821.293034863778</v>
      </c>
      <c r="H436" s="64">
        <f t="shared" si="102"/>
        <v>16710.079139461079</v>
      </c>
      <c r="I436" s="64">
        <f t="shared" si="102"/>
        <v>16620.052390359626</v>
      </c>
      <c r="J436" s="64">
        <f t="shared" si="102"/>
        <v>101805.07029467556</v>
      </c>
    </row>
    <row r="437" spans="2:10">
      <c r="B437" s="48" t="s">
        <v>871</v>
      </c>
      <c r="D437" s="64">
        <f t="shared" si="102"/>
        <v>7722.537667365239</v>
      </c>
      <c r="E437" s="64">
        <f t="shared" si="102"/>
        <v>7574.2207842801599</v>
      </c>
      <c r="F437" s="64">
        <f t="shared" si="102"/>
        <v>7830.890304473518</v>
      </c>
      <c r="G437" s="64">
        <f t="shared" si="102"/>
        <v>9415.178525872836</v>
      </c>
      <c r="H437" s="64">
        <f t="shared" si="102"/>
        <v>9065.5062480539254</v>
      </c>
      <c r="I437" s="64">
        <f t="shared" si="102"/>
        <v>9530.9566069088851</v>
      </c>
      <c r="J437" s="64">
        <f t="shared" si="102"/>
        <v>51139.290136954565</v>
      </c>
    </row>
    <row r="438" spans="2:10">
      <c r="B438" s="48" t="s">
        <v>870</v>
      </c>
      <c r="D438" s="64">
        <f t="shared" ref="D438:J439" si="103">SUMIF($B$219:$B$342,$B438,D$219:D$342)</f>
        <v>16176.06106828434</v>
      </c>
      <c r="E438" s="64">
        <f t="shared" si="103"/>
        <v>14642.196644153157</v>
      </c>
      <c r="F438" s="64">
        <f t="shared" si="103"/>
        <v>14799.916627578034</v>
      </c>
      <c r="G438" s="64">
        <f t="shared" si="103"/>
        <v>16970.093042720506</v>
      </c>
      <c r="H438" s="64">
        <f t="shared" si="103"/>
        <v>11789.888897080978</v>
      </c>
      <c r="I438" s="64">
        <f t="shared" si="103"/>
        <v>15202.704042439811</v>
      </c>
      <c r="J438" s="64">
        <f t="shared" si="103"/>
        <v>89580.86032225682</v>
      </c>
    </row>
    <row r="439" spans="2:10">
      <c r="B439" s="48" t="s">
        <v>893</v>
      </c>
      <c r="D439" s="64">
        <f t="shared" si="103"/>
        <v>4076.0999820000075</v>
      </c>
      <c r="E439" s="64">
        <f t="shared" si="103"/>
        <v>4076.0999820000075</v>
      </c>
      <c r="F439" s="64">
        <f t="shared" si="103"/>
        <v>4076.0999820000075</v>
      </c>
      <c r="G439" s="64">
        <f t="shared" si="103"/>
        <v>4076.0999820000075</v>
      </c>
      <c r="H439" s="64">
        <f t="shared" si="103"/>
        <v>4076.0999820000075</v>
      </c>
      <c r="I439" s="64">
        <f t="shared" si="103"/>
        <v>4076.0999820000075</v>
      </c>
      <c r="J439" s="64">
        <f t="shared" si="103"/>
        <v>24456.599892000046</v>
      </c>
    </row>
    <row r="440" spans="2:10">
      <c r="B440" s="48" t="s">
        <v>888</v>
      </c>
      <c r="D440" s="65">
        <f t="shared" ref="D440:J440" si="104">SUM(D422:D439)</f>
        <v>586212.2276686551</v>
      </c>
      <c r="E440" s="65">
        <f t="shared" si="104"/>
        <v>583901.98635750427</v>
      </c>
      <c r="F440" s="65">
        <f t="shared" si="104"/>
        <v>573428.7604725291</v>
      </c>
      <c r="G440" s="65">
        <f t="shared" si="104"/>
        <v>588942.90647931327</v>
      </c>
      <c r="H440" s="65">
        <f t="shared" si="104"/>
        <v>555893.42791534087</v>
      </c>
      <c r="I440" s="65">
        <f t="shared" si="104"/>
        <v>568119.9097668255</v>
      </c>
      <c r="J440" s="65">
        <f t="shared" si="104"/>
        <v>3456499.2186601683</v>
      </c>
    </row>
    <row r="441" spans="2:10">
      <c r="D441" s="66">
        <f t="shared" ref="D441:J441" si="105">D311+D342-D440</f>
        <v>0</v>
      </c>
      <c r="E441" s="66">
        <f t="shared" si="105"/>
        <v>0</v>
      </c>
      <c r="F441" s="66">
        <f t="shared" si="105"/>
        <v>0</v>
      </c>
      <c r="G441" s="66">
        <f t="shared" si="105"/>
        <v>0</v>
      </c>
      <c r="H441" s="66">
        <f t="shared" si="105"/>
        <v>0</v>
      </c>
      <c r="I441" s="66">
        <f t="shared" si="105"/>
        <v>0</v>
      </c>
      <c r="J441" s="66">
        <f t="shared" si="105"/>
        <v>0</v>
      </c>
    </row>
  </sheetData>
  <printOptions horizontalCentered="1" verticalCentered="1"/>
  <pageMargins left="0.39370078740157483" right="0.39370078740157483" top="0.39370078740157483" bottom="0.39370078740157483" header="0.31496062992125984" footer="0.23622047244094491"/>
  <pageSetup scale="45" orientation="portrait" horizontalDpi="300" r:id="rId1"/>
  <headerFooter alignWithMargins="0">
    <oddHeader>&amp;L
NOMBRE DE LA DISTRIBUIDORA: &amp;UENSA.&amp;R&amp;9&amp;A</oddHeader>
  </headerFooter>
  <rowBreaks count="3" manualBreakCount="3">
    <brk id="121" max="9" man="1"/>
    <brk id="216" max="16383" man="1"/>
    <brk id="311" max="9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E23B1-3CF5-4F40-BFAE-0BC7932B3743}">
  <sheetPr>
    <tabColor theme="5" tint="-0.499984740745262"/>
  </sheetPr>
  <dimension ref="A1:AB441"/>
  <sheetViews>
    <sheetView zoomScale="70" zoomScaleNormal="70" zoomScaleSheetLayoutView="70" workbookViewId="0">
      <selection activeCell="F15" sqref="F15"/>
    </sheetView>
  </sheetViews>
  <sheetFormatPr baseColWidth="10" defaultColWidth="8" defaultRowHeight="15"/>
  <cols>
    <col min="1" max="1" width="2.5" style="63" customWidth="1"/>
    <col min="2" max="2" width="7" style="48" customWidth="1"/>
    <col min="3" max="3" width="30.25" style="63" customWidth="1"/>
    <col min="4" max="4" width="11.75" style="63" customWidth="1"/>
    <col min="5" max="5" width="12.625" style="63" customWidth="1"/>
    <col min="6" max="6" width="12.75" style="63" customWidth="1"/>
    <col min="7" max="7" width="13.25" style="63" customWidth="1"/>
    <col min="8" max="8" width="13.875" style="63" customWidth="1"/>
    <col min="9" max="9" width="11.5" style="63" customWidth="1"/>
    <col min="10" max="10" width="13.125" style="63" customWidth="1"/>
    <col min="11" max="11" width="2.25" style="63" customWidth="1"/>
    <col min="12" max="12" width="4.25" style="319" bestFit="1" customWidth="1"/>
    <col min="13" max="14" width="8" style="63"/>
    <col min="15" max="15" width="8.875" style="63" bestFit="1" customWidth="1"/>
    <col min="16" max="16" width="8" style="63" customWidth="1"/>
    <col min="17" max="17" width="8.875" style="63" bestFit="1" customWidth="1"/>
    <col min="18" max="16384" width="8" style="63"/>
  </cols>
  <sheetData>
    <row r="1" spans="2:10" s="69" customFormat="1" ht="15.75">
      <c r="B1" s="48"/>
      <c r="C1" s="136" t="s">
        <v>151</v>
      </c>
      <c r="E1" s="63"/>
    </row>
    <row r="2" spans="2:10" s="69" customFormat="1" ht="15.75">
      <c r="B2" s="48"/>
      <c r="C2" s="136"/>
      <c r="E2" s="137"/>
    </row>
    <row r="3" spans="2:10" s="69" customFormat="1" ht="15.75">
      <c r="B3" s="48"/>
      <c r="C3" s="70" t="s">
        <v>865</v>
      </c>
      <c r="D3" s="137"/>
    </row>
    <row r="4" spans="2:10" s="69" customFormat="1" ht="15.75">
      <c r="B4" s="48"/>
      <c r="C4" s="219" t="s">
        <v>1529</v>
      </c>
      <c r="D4" s="338"/>
      <c r="E4" s="338"/>
      <c r="F4" s="338"/>
      <c r="G4" s="338"/>
      <c r="H4" s="338"/>
      <c r="I4" s="338"/>
      <c r="J4" s="339"/>
    </row>
    <row r="5" spans="2:10" s="74" customFormat="1" ht="18.75" customHeight="1">
      <c r="B5" s="48"/>
      <c r="C5" s="322"/>
      <c r="D5" s="322"/>
      <c r="E5" s="323"/>
      <c r="F5" s="322"/>
      <c r="G5" s="322"/>
      <c r="H5" s="322"/>
      <c r="I5" s="322"/>
    </row>
    <row r="6" spans="2:10" s="58" customFormat="1" ht="22.5">
      <c r="B6" s="48"/>
      <c r="C6" s="324" t="s">
        <v>1</v>
      </c>
      <c r="D6" s="325" t="s">
        <v>1449</v>
      </c>
      <c r="E6" s="325" t="s">
        <v>1450</v>
      </c>
      <c r="F6" s="325" t="s">
        <v>1451</v>
      </c>
      <c r="G6" s="325" t="s">
        <v>1234</v>
      </c>
      <c r="H6" s="325" t="s">
        <v>1233</v>
      </c>
      <c r="I6" s="325" t="s">
        <v>1232</v>
      </c>
      <c r="J6" s="325" t="s">
        <v>291</v>
      </c>
    </row>
    <row r="7" spans="2:10" s="143" customFormat="1" ht="13.5">
      <c r="B7" s="48"/>
      <c r="C7" s="144" t="s">
        <v>266</v>
      </c>
      <c r="D7" s="178"/>
      <c r="E7" s="144"/>
      <c r="F7" s="144"/>
      <c r="G7" s="146">
        <f>RAT1000PT!$M$106</f>
        <v>5.5199999999999997E-3</v>
      </c>
      <c r="H7" s="146">
        <f>RAT1000PT!$M$111</f>
        <v>5.5199999999999997E-3</v>
      </c>
      <c r="I7" s="146">
        <f>RAT1000PT!$M$116</f>
        <v>5.5199999999999997E-3</v>
      </c>
      <c r="J7" s="146">
        <f>RAT1000PT!$M$45</f>
        <v>1.1E-4</v>
      </c>
    </row>
    <row r="8" spans="2:10" s="143" customFormat="1" ht="13.5">
      <c r="B8" s="48"/>
      <c r="C8" s="326" t="s">
        <v>265</v>
      </c>
      <c r="D8" s="327"/>
      <c r="E8" s="328"/>
      <c r="F8" s="328">
        <f>RAT1000PT!$M$127</f>
        <v>5.5199999999999997E-3</v>
      </c>
      <c r="G8" s="328"/>
      <c r="H8" s="328"/>
      <c r="I8" s="328"/>
      <c r="J8" s="328">
        <f>RAT1000PT!$M$44</f>
        <v>1.1E-4</v>
      </c>
    </row>
    <row r="9" spans="2:10" s="143" customFormat="1" ht="13.5">
      <c r="B9" s="48"/>
      <c r="C9" s="144" t="s">
        <v>264</v>
      </c>
      <c r="D9" s="178"/>
      <c r="E9" s="146"/>
      <c r="F9" s="146"/>
      <c r="G9" s="146">
        <f>RAT1000PT!$M$105</f>
        <v>5.5199999999999997E-3</v>
      </c>
      <c r="H9" s="146">
        <f>RAT1000PT!$M$110</f>
        <v>5.5199999999999997E-3</v>
      </c>
      <c r="I9" s="146">
        <f>RAT1000PT!$M$115</f>
        <v>5.5199999999999997E-3</v>
      </c>
      <c r="J9" s="146">
        <f>RAT1000PT!$M$43</f>
        <v>1.1E-4</v>
      </c>
    </row>
    <row r="10" spans="2:10" s="143" customFormat="1" ht="13.5">
      <c r="B10" s="48"/>
      <c r="C10" s="326" t="s">
        <v>262</v>
      </c>
      <c r="D10" s="327"/>
      <c r="E10" s="328"/>
      <c r="F10" s="328">
        <f>RAT1000PT!$M126</f>
        <v>5.5199999999999997E-3</v>
      </c>
      <c r="G10" s="328"/>
      <c r="H10" s="328"/>
      <c r="I10" s="328"/>
      <c r="J10" s="328">
        <f>RAT1000PT!$M$42</f>
        <v>1.1E-4</v>
      </c>
    </row>
    <row r="11" spans="2:10" s="143" customFormat="1" ht="13.5">
      <c r="B11" s="48"/>
      <c r="C11" s="144" t="s">
        <v>263</v>
      </c>
      <c r="D11" s="178"/>
      <c r="E11" s="146"/>
      <c r="F11" s="146"/>
      <c r="G11" s="146">
        <f>RAT1000PT!$M$104</f>
        <v>5.5199999999999997E-3</v>
      </c>
      <c r="H11" s="146">
        <f>RAT1000PT!$M$109</f>
        <v>5.5199999999999997E-3</v>
      </c>
      <c r="I11" s="146">
        <f>RAT1000PT!$M$114</f>
        <v>5.5199999999999997E-3</v>
      </c>
      <c r="J11" s="146">
        <f>RAT1000PT!$M$41</f>
        <v>1.1E-4</v>
      </c>
    </row>
    <row r="12" spans="2:10" s="143" customFormat="1" ht="13.5">
      <c r="B12" s="48"/>
      <c r="C12" s="326" t="s">
        <v>648</v>
      </c>
      <c r="D12" s="327"/>
      <c r="E12" s="328"/>
      <c r="F12" s="328">
        <f>RAT1000PT!$M122</f>
        <v>5.3E-3</v>
      </c>
      <c r="G12" s="328"/>
      <c r="H12" s="328"/>
      <c r="I12" s="328"/>
      <c r="J12" s="328">
        <f>RAT1000PT!$M$40</f>
        <v>1.1E-4</v>
      </c>
    </row>
    <row r="13" spans="2:10" s="143" customFormat="1" ht="13.5">
      <c r="B13" s="48"/>
      <c r="C13" s="326" t="s">
        <v>649</v>
      </c>
      <c r="D13" s="327"/>
      <c r="E13" s="328"/>
      <c r="F13" s="328">
        <f>RAT1000PT!$M123</f>
        <v>5.5599999999999998E-3</v>
      </c>
      <c r="G13" s="328"/>
      <c r="H13" s="328"/>
      <c r="I13" s="328"/>
      <c r="J13" s="328"/>
    </row>
    <row r="14" spans="2:10" s="143" customFormat="1" ht="13.5">
      <c r="B14" s="48"/>
      <c r="C14" s="326" t="s">
        <v>650</v>
      </c>
      <c r="D14" s="327"/>
      <c r="E14" s="328"/>
      <c r="F14" s="328">
        <f>RAT1000PT!$M124</f>
        <v>5.8399999999999997E-3</v>
      </c>
      <c r="G14" s="328"/>
      <c r="H14" s="328"/>
      <c r="I14" s="328"/>
      <c r="J14" s="328"/>
    </row>
    <row r="15" spans="2:10" s="143" customFormat="1" ht="13.5">
      <c r="B15" s="48"/>
      <c r="C15" s="326" t="s">
        <v>651</v>
      </c>
      <c r="D15" s="327"/>
      <c r="E15" s="328"/>
      <c r="F15" s="328">
        <f>RAT1000PT!$M125</f>
        <v>6.13E-3</v>
      </c>
      <c r="G15" s="328"/>
      <c r="H15" s="328"/>
      <c r="I15" s="328"/>
      <c r="J15" s="328"/>
    </row>
    <row r="16" spans="2:10" s="143" customFormat="1" ht="13.5">
      <c r="B16" s="48"/>
      <c r="C16" s="144" t="s">
        <v>1178</v>
      </c>
      <c r="D16" s="178"/>
      <c r="E16" s="146"/>
      <c r="F16" s="146"/>
      <c r="G16" s="146">
        <f>RAT1000PT!$M$103</f>
        <v>4.13E-3</v>
      </c>
      <c r="H16" s="146">
        <f>RAT1000PT!$M$108</f>
        <v>4.13E-3</v>
      </c>
      <c r="I16" s="146">
        <f>RAT1000PT!$M$113</f>
        <v>4.13E-3</v>
      </c>
      <c r="J16" s="146">
        <f>RAT1000PT!$M$39</f>
        <v>1.2E-4</v>
      </c>
    </row>
    <row r="17" spans="2:13" s="143" customFormat="1" ht="13.5">
      <c r="B17" s="48"/>
      <c r="C17" s="2062" t="s">
        <v>1768</v>
      </c>
      <c r="D17" s="178"/>
      <c r="E17" s="146"/>
      <c r="F17" s="146">
        <f>RAT1000PT!$M118</f>
        <v>4.13E-3</v>
      </c>
      <c r="G17" s="146"/>
      <c r="H17" s="146"/>
      <c r="I17" s="146"/>
      <c r="J17" s="146">
        <f>RAT1000PT!$M$37</f>
        <v>1.2E-4</v>
      </c>
    </row>
    <row r="18" spans="2:13" s="143" customFormat="1" ht="13.5">
      <c r="B18" s="48"/>
      <c r="C18" s="326" t="s">
        <v>645</v>
      </c>
      <c r="D18" s="327"/>
      <c r="E18" s="328"/>
      <c r="F18" s="328">
        <f>RAT1000PT!$M119</f>
        <v>4.13E-3</v>
      </c>
      <c r="G18" s="328"/>
      <c r="H18" s="328"/>
      <c r="I18" s="328"/>
      <c r="J18" s="328">
        <f>RAT1000PT!$M$38</f>
        <v>1.2E-4</v>
      </c>
      <c r="L18" s="319"/>
    </row>
    <row r="19" spans="2:13" s="143" customFormat="1" ht="13.5">
      <c r="B19" s="48"/>
      <c r="C19" s="326" t="s">
        <v>646</v>
      </c>
      <c r="D19" s="327"/>
      <c r="E19" s="328"/>
      <c r="F19" s="328">
        <f>RAT1000PT!$M$120</f>
        <v>5.7000000000000002E-3</v>
      </c>
      <c r="G19" s="328"/>
      <c r="H19" s="328"/>
      <c r="I19" s="328"/>
      <c r="J19" s="328"/>
      <c r="L19" s="319"/>
    </row>
    <row r="20" spans="2:13" s="143" customFormat="1" ht="13.5">
      <c r="B20" s="48"/>
      <c r="C20" s="326" t="s">
        <v>647</v>
      </c>
      <c r="D20" s="328"/>
      <c r="E20" s="328"/>
      <c r="F20" s="328">
        <f>RAT1000PT!$M$121</f>
        <v>7.2399999999999999E-3</v>
      </c>
      <c r="G20" s="328"/>
      <c r="H20" s="328"/>
      <c r="I20" s="328"/>
      <c r="J20" s="328"/>
      <c r="L20" s="319"/>
    </row>
    <row r="21" spans="2:13" s="143" customFormat="1" ht="13.5">
      <c r="B21" s="48"/>
      <c r="C21" s="144" t="s">
        <v>1164</v>
      </c>
      <c r="D21" s="178"/>
      <c r="E21" s="146"/>
      <c r="F21" s="146"/>
      <c r="G21" s="146"/>
      <c r="H21" s="146"/>
      <c r="I21" s="146"/>
      <c r="J21" s="146"/>
      <c r="L21" s="319"/>
    </row>
    <row r="22" spans="2:13" s="143" customFormat="1" ht="13.5">
      <c r="B22" s="48"/>
      <c r="C22" s="144" t="s">
        <v>1167</v>
      </c>
      <c r="D22" s="178"/>
      <c r="E22" s="146"/>
      <c r="F22" s="146"/>
      <c r="G22" s="146"/>
      <c r="H22" s="146"/>
      <c r="I22" s="146"/>
      <c r="J22" s="146"/>
      <c r="L22" s="319"/>
    </row>
    <row r="23" spans="2:13" s="143" customFormat="1" ht="13.5">
      <c r="B23" s="48"/>
      <c r="C23" s="144" t="s">
        <v>1166</v>
      </c>
      <c r="D23" s="178"/>
      <c r="E23" s="146"/>
      <c r="F23" s="146"/>
      <c r="G23" s="146"/>
      <c r="H23" s="146"/>
      <c r="I23" s="146"/>
      <c r="J23" s="146"/>
      <c r="L23" s="319"/>
    </row>
    <row r="24" spans="2:13" s="143" customFormat="1" ht="13.5">
      <c r="B24" s="48"/>
      <c r="C24" s="144" t="s">
        <v>1165</v>
      </c>
      <c r="D24" s="178"/>
      <c r="E24" s="146"/>
      <c r="F24" s="146"/>
      <c r="G24" s="146"/>
      <c r="H24" s="146"/>
      <c r="I24" s="146"/>
      <c r="J24" s="146"/>
      <c r="L24" s="319"/>
    </row>
    <row r="25" spans="2:13" s="143" customFormat="1" ht="13.5">
      <c r="B25" s="52"/>
      <c r="L25" s="958"/>
    </row>
    <row r="26" spans="2:13" s="143" customFormat="1" ht="13.5">
      <c r="B26" s="52"/>
      <c r="L26" s="958"/>
    </row>
    <row r="27" spans="2:13" s="143" customFormat="1" ht="13.5">
      <c r="B27" s="48"/>
      <c r="C27" s="147"/>
      <c r="J27" s="148"/>
      <c r="L27" s="319"/>
    </row>
    <row r="28" spans="2:13" s="69" customFormat="1" ht="33" customHeight="1">
      <c r="B28" s="48"/>
      <c r="C28" s="320" t="s">
        <v>1457</v>
      </c>
      <c r="D28" s="320"/>
      <c r="E28" s="320"/>
      <c r="F28" s="320"/>
      <c r="G28" s="320"/>
      <c r="H28" s="320"/>
      <c r="I28" s="320"/>
      <c r="J28" s="321"/>
      <c r="L28" s="319"/>
    </row>
    <row r="29" spans="2:13" s="37" customFormat="1" ht="15.75">
      <c r="B29" s="48"/>
      <c r="C29" s="150" t="s">
        <v>310</v>
      </c>
      <c r="D29" s="151">
        <f>F801ENE!D4</f>
        <v>46204</v>
      </c>
      <c r="E29" s="151">
        <f>F801ENE!E4</f>
        <v>46235</v>
      </c>
      <c r="F29" s="151">
        <f>F801ENE!F4</f>
        <v>46266</v>
      </c>
      <c r="G29" s="151">
        <f>F801ENE!G4</f>
        <v>46296</v>
      </c>
      <c r="H29" s="151">
        <f>F801ENE!H4</f>
        <v>46327</v>
      </c>
      <c r="I29" s="151">
        <f>F801ENE!I4</f>
        <v>46357</v>
      </c>
      <c r="J29" s="152" t="s">
        <v>111</v>
      </c>
      <c r="K29" s="69"/>
      <c r="L29" s="319" t="s">
        <v>678</v>
      </c>
      <c r="M29" s="319"/>
    </row>
    <row r="30" spans="2:13" s="37" customFormat="1" ht="15.75" customHeight="1">
      <c r="B30" s="48"/>
      <c r="C30" s="153" t="s">
        <v>446</v>
      </c>
      <c r="D30" s="154">
        <f t="shared" ref="D30:I30" si="0">SUM(D31:D32)</f>
        <v>24634.189740805487</v>
      </c>
      <c r="E30" s="154">
        <f t="shared" si="0"/>
        <v>24644.470645706046</v>
      </c>
      <c r="F30" s="154">
        <f t="shared" si="0"/>
        <v>24179.003006455838</v>
      </c>
      <c r="G30" s="154">
        <f t="shared" si="0"/>
        <v>24559.992938719384</v>
      </c>
      <c r="H30" s="154">
        <f t="shared" si="0"/>
        <v>23495.814088443574</v>
      </c>
      <c r="I30" s="154">
        <f t="shared" si="0"/>
        <v>23605.912419295255</v>
      </c>
      <c r="J30" s="154">
        <f>SUM(D30:I30)</f>
        <v>145119.38283942558</v>
      </c>
      <c r="K30" s="69"/>
      <c r="L30" s="319"/>
      <c r="M30" s="69"/>
    </row>
    <row r="31" spans="2:13" s="37" customFormat="1" ht="15.75" customHeight="1">
      <c r="B31" s="48" t="s">
        <v>279</v>
      </c>
      <c r="C31" s="155" t="s">
        <v>279</v>
      </c>
      <c r="D31" s="156">
        <f>$D$7*F801D!K6+$G$7*F801ENE!K6</f>
        <v>24633.54570397619</v>
      </c>
      <c r="E31" s="156">
        <f>$D$7*F801D!L6+$G$7*F801ENE!L6</f>
        <v>24643.826608876749</v>
      </c>
      <c r="F31" s="156">
        <f>$D$7*F801D!M6+$G$7*F801ENE!M6</f>
        <v>24178.358969626541</v>
      </c>
      <c r="G31" s="156">
        <f>$D$7*F801D!N6+$G$7*F801ENE!N6</f>
        <v>24559.348901890087</v>
      </c>
      <c r="H31" s="156">
        <f>$D$7*F801D!O6+$G$7*F801ENE!O6</f>
        <v>23495.170051614277</v>
      </c>
      <c r="I31" s="156">
        <f>$D$7*F801D!P6+$G$7*F801ENE!P6</f>
        <v>23605.268382465958</v>
      </c>
      <c r="J31" s="156">
        <f>SUM(D31:I31)</f>
        <v>145115.5186184498</v>
      </c>
      <c r="K31" s="69"/>
      <c r="L31" s="319"/>
      <c r="M31" s="69"/>
    </row>
    <row r="32" spans="2:13" s="37" customFormat="1" ht="15.75" customHeight="1">
      <c r="B32" s="48" t="s">
        <v>278</v>
      </c>
      <c r="C32" s="155" t="s">
        <v>278</v>
      </c>
      <c r="D32" s="156">
        <f>$D$8*F801D!K7+$F$8*F801ENE!K7</f>
        <v>0.64403682929613448</v>
      </c>
      <c r="E32" s="156">
        <f>$D$8*F801D!L7+$F$8*F801ENE!L7</f>
        <v>0.64403682929613448</v>
      </c>
      <c r="F32" s="156">
        <f>$D$8*F801D!M7+$F$8*F801ENE!M7</f>
        <v>0.64403682929613448</v>
      </c>
      <c r="G32" s="156">
        <f>$D$8*F801D!N7+$F$8*F801ENE!N7</f>
        <v>0.64403682929613448</v>
      </c>
      <c r="H32" s="156">
        <f>$D$8*F801D!O7+$F$8*F801ENE!O7</f>
        <v>0.64403682929613448</v>
      </c>
      <c r="I32" s="156">
        <f>$D$8*F801D!P7+$F$8*F801ENE!P7</f>
        <v>0.64403682929613448</v>
      </c>
      <c r="J32" s="156">
        <f>SUM(D32:I32)</f>
        <v>3.8642209757768073</v>
      </c>
      <c r="K32" s="69"/>
      <c r="L32" s="319"/>
      <c r="M32" s="69"/>
    </row>
    <row r="33" spans="2:13" s="37" customFormat="1" ht="15.75" customHeight="1">
      <c r="B33" s="48"/>
      <c r="C33" s="157"/>
      <c r="D33" s="156"/>
      <c r="E33" s="156"/>
      <c r="F33" s="156"/>
      <c r="G33" s="156"/>
      <c r="H33" s="156"/>
      <c r="I33" s="156"/>
      <c r="J33" s="156"/>
      <c r="K33" s="69"/>
      <c r="L33" s="319"/>
      <c r="M33" s="69"/>
    </row>
    <row r="34" spans="2:13" s="37" customFormat="1" ht="15.75" customHeight="1">
      <c r="B34" s="48"/>
      <c r="C34" s="153" t="s">
        <v>630</v>
      </c>
      <c r="D34" s="154">
        <f>D35+D38</f>
        <v>52845.590033777095</v>
      </c>
      <c r="E34" s="154">
        <f t="shared" ref="E34:I34" si="1">E35+E38</f>
        <v>52867.644767107791</v>
      </c>
      <c r="F34" s="154">
        <f t="shared" si="1"/>
        <v>51869.11742374397</v>
      </c>
      <c r="G34" s="154">
        <f t="shared" si="1"/>
        <v>52686.4220714404</v>
      </c>
      <c r="H34" s="154">
        <f t="shared" si="1"/>
        <v>50403.531510151224</v>
      </c>
      <c r="I34" s="154">
        <f t="shared" si="1"/>
        <v>50639.715907397847</v>
      </c>
      <c r="J34" s="154">
        <f t="shared" ref="J34:J42" si="2">SUM(D34:I34)</f>
        <v>311312.02171361831</v>
      </c>
      <c r="K34" s="69"/>
      <c r="L34" s="319"/>
      <c r="M34" s="69"/>
    </row>
    <row r="35" spans="2:13" s="37" customFormat="1" ht="15.75" customHeight="1">
      <c r="B35" s="48" t="s">
        <v>277</v>
      </c>
      <c r="C35" s="155" t="s">
        <v>277</v>
      </c>
      <c r="D35" s="154">
        <f>SUM(D36:D37)</f>
        <v>7559.8664810989994</v>
      </c>
      <c r="E35" s="154">
        <f t="shared" ref="E35:I35" si="3">SUM(E36:E37)</f>
        <v>7563.0215379192496</v>
      </c>
      <c r="F35" s="154">
        <f t="shared" si="3"/>
        <v>7420.1764416920714</v>
      </c>
      <c r="G35" s="154">
        <f t="shared" si="3"/>
        <v>7537.0965859655571</v>
      </c>
      <c r="H35" s="154">
        <f t="shared" si="3"/>
        <v>7210.5159228813445</v>
      </c>
      <c r="I35" s="154">
        <f t="shared" si="3"/>
        <v>7244.3034632789859</v>
      </c>
      <c r="J35" s="154">
        <f t="shared" si="2"/>
        <v>44534.980432836208</v>
      </c>
      <c r="K35" s="69"/>
      <c r="L35" s="319"/>
      <c r="M35" s="69"/>
    </row>
    <row r="36" spans="2:13" s="37" customFormat="1" ht="15.75" customHeight="1">
      <c r="B36" s="48"/>
      <c r="C36" s="160" t="s">
        <v>304</v>
      </c>
      <c r="D36" s="156">
        <f>$D$9*F801D!K11+$G$9*F801ENE!K11</f>
        <v>6591.2828268493595</v>
      </c>
      <c r="E36" s="156">
        <f>$D$9*F801D!L11+$G$9*F801ENE!L11</f>
        <v>6594.0336521303398</v>
      </c>
      <c r="F36" s="156">
        <f>$D$9*F801D!M11+$G$9*F801ENE!M11</f>
        <v>6469.4901258635946</v>
      </c>
      <c r="G36" s="156">
        <f>$D$9*F801D!N11+$G$9*F801ENE!N11</f>
        <v>6571.4302515244572</v>
      </c>
      <c r="H36" s="156">
        <f>$D$9*F801D!O11+$G$9*F801ENE!O11</f>
        <v>6286.6916888064652</v>
      </c>
      <c r="I36" s="156">
        <f>$D$9*F801D!P11+$G$9*F801ENE!P11</f>
        <v>6316.1503089211528</v>
      </c>
      <c r="J36" s="156">
        <f t="shared" si="2"/>
        <v>38829.078854095373</v>
      </c>
      <c r="K36" s="69"/>
      <c r="L36" s="319"/>
      <c r="M36" s="69"/>
    </row>
    <row r="37" spans="2:13" s="37" customFormat="1" ht="15.75" customHeight="1">
      <c r="B37" s="48"/>
      <c r="C37" s="160" t="s">
        <v>305</v>
      </c>
      <c r="D37" s="156">
        <f>($D$9*F801D!K12+$G$9*F801ENE!K12)*$L37</f>
        <v>968.5836542496404</v>
      </c>
      <c r="E37" s="156">
        <f>($D$9*F801D!L12+$G$9*F801ENE!L12)*$L37</f>
        <v>968.98788578890947</v>
      </c>
      <c r="F37" s="156">
        <f>($D$9*F801D!M12+$G$9*F801ENE!M12)*$L37</f>
        <v>950.68631582847718</v>
      </c>
      <c r="G37" s="156">
        <f>($D$9*F801D!N12+$G$9*F801ENE!N12)*$L37</f>
        <v>965.66633444110005</v>
      </c>
      <c r="H37" s="156">
        <f>($D$9*F801D!O12+$G$9*F801ENE!O12)*$L37</f>
        <v>923.82423407487886</v>
      </c>
      <c r="I37" s="156">
        <f>($D$9*F801D!P12+$G$9*F801ENE!P12)*$L37</f>
        <v>928.15315435783282</v>
      </c>
      <c r="J37" s="156">
        <f t="shared" si="2"/>
        <v>5705.9015787408389</v>
      </c>
      <c r="K37" s="69"/>
      <c r="L37" s="319">
        <v>0.95</v>
      </c>
      <c r="M37" s="69"/>
    </row>
    <row r="38" spans="2:13" s="37" customFormat="1" ht="15.75" customHeight="1">
      <c r="B38" s="48" t="s">
        <v>276</v>
      </c>
      <c r="C38" s="158" t="s">
        <v>276</v>
      </c>
      <c r="D38" s="159">
        <f t="shared" ref="D38:I38" si="4">SUM(D39:D42)</f>
        <v>45285.723552678093</v>
      </c>
      <c r="E38" s="159">
        <f t="shared" si="4"/>
        <v>45304.623229188539</v>
      </c>
      <c r="F38" s="159">
        <f t="shared" si="4"/>
        <v>44448.940982051899</v>
      </c>
      <c r="G38" s="159">
        <f t="shared" si="4"/>
        <v>45149.325485474845</v>
      </c>
      <c r="H38" s="159">
        <f t="shared" si="4"/>
        <v>43193.015587269882</v>
      </c>
      <c r="I38" s="159">
        <f t="shared" si="4"/>
        <v>43395.412444118861</v>
      </c>
      <c r="J38" s="159">
        <f t="shared" si="2"/>
        <v>266777.04128078208</v>
      </c>
      <c r="K38" s="69"/>
      <c r="L38" s="319"/>
    </row>
    <row r="39" spans="2:13" s="37" customFormat="1" ht="15.75" customHeight="1">
      <c r="B39" s="48"/>
      <c r="C39" s="160" t="s">
        <v>304</v>
      </c>
      <c r="D39" s="156">
        <f>($D$10*F801D!K15+$F$10*F801ENE!K15)*$L39</f>
        <v>45109.179440176988</v>
      </c>
      <c r="E39" s="156">
        <f>($D$10*F801D!L15+$F$10*F801ENE!L15)*$L39</f>
        <v>45128.005437250416</v>
      </c>
      <c r="F39" s="156">
        <f>($D$10*F801D!M15+$F$10*F801ENE!M15)*$L39</f>
        <v>44275.659024258683</v>
      </c>
      <c r="G39" s="156">
        <f>($D$10*F801D!N15+$F$10*F801ENE!N15)*$L39</f>
        <v>44973.313113969183</v>
      </c>
      <c r="H39" s="156">
        <f>($D$10*F801D!O15+$F$10*F801ENE!O15)*$L39</f>
        <v>43024.629791374828</v>
      </c>
      <c r="I39" s="156">
        <f>($D$10*F801D!P15+$F$10*F801ENE!P15)*$L39</f>
        <v>43226.237614270896</v>
      </c>
      <c r="J39" s="156">
        <f t="shared" si="2"/>
        <v>265737.02442130097</v>
      </c>
      <c r="K39" s="69"/>
      <c r="L39" s="319">
        <v>1</v>
      </c>
    </row>
    <row r="40" spans="2:13" s="37" customFormat="1" ht="15.75" customHeight="1">
      <c r="B40" s="48"/>
      <c r="C40" s="161" t="s">
        <v>306</v>
      </c>
      <c r="D40" s="156">
        <f>($D$10*F801D!K16+$F$10*F801ENE!K16)*$L40</f>
        <v>0</v>
      </c>
      <c r="E40" s="156">
        <f>($D$10*F801D!L16+$F$10*F801ENE!L16)*$L40</f>
        <v>0</v>
      </c>
      <c r="F40" s="156">
        <f>($D$10*F801D!M16+$F$10*F801ENE!M16)*$L40</f>
        <v>0</v>
      </c>
      <c r="G40" s="156">
        <f>($D$10*F801D!N16+$F$10*F801ENE!N16)*$L40</f>
        <v>0</v>
      </c>
      <c r="H40" s="156">
        <f>($D$10*F801D!O16+$F$10*F801ENE!O16)*$L40</f>
        <v>0</v>
      </c>
      <c r="I40" s="156">
        <f>($D$10*F801D!P16+$F$10*F801ENE!P16)*$L40</f>
        <v>0</v>
      </c>
      <c r="J40" s="156">
        <f t="shared" si="2"/>
        <v>0</v>
      </c>
      <c r="K40" s="69"/>
      <c r="L40" s="319">
        <v>1</v>
      </c>
    </row>
    <row r="41" spans="2:13" s="37" customFormat="1" ht="15.75" customHeight="1">
      <c r="B41" s="48"/>
      <c r="C41" s="160" t="s">
        <v>305</v>
      </c>
      <c r="D41" s="156">
        <f>($D$10*F801D!K17+$F$10*F801ENE!K17)*$L41</f>
        <v>176.54411250110573</v>
      </c>
      <c r="E41" s="156">
        <f>($D$10*F801D!L17+$F$10*F801ENE!L17)*$L41</f>
        <v>176.6177919381189</v>
      </c>
      <c r="F41" s="156">
        <f>($D$10*F801D!M17+$F$10*F801ENE!M17)*$L41</f>
        <v>173.28195779321527</v>
      </c>
      <c r="G41" s="156">
        <f>($D$10*F801D!N17+$F$10*F801ENE!N17)*$L41</f>
        <v>176.01237150566263</v>
      </c>
      <c r="H41" s="156">
        <f>($D$10*F801D!O17+$F$10*F801ENE!O17)*$L41</f>
        <v>168.38579589505167</v>
      </c>
      <c r="I41" s="156">
        <f>($D$10*F801D!P17+$F$10*F801ENE!P17)*$L41</f>
        <v>169.1748298479674</v>
      </c>
      <c r="J41" s="156">
        <f t="shared" si="2"/>
        <v>1040.0168594811216</v>
      </c>
      <c r="K41" s="69"/>
      <c r="L41" s="319">
        <v>0.95</v>
      </c>
    </row>
    <row r="42" spans="2:13" s="37" customFormat="1" ht="15.75" customHeight="1">
      <c r="B42" s="48"/>
      <c r="C42" s="160" t="s">
        <v>307</v>
      </c>
      <c r="D42" s="156">
        <f>($D$10*F801D!K18+$F$10*F801ENE!K18)*$L42</f>
        <v>0</v>
      </c>
      <c r="E42" s="156">
        <f>($D$10*F801D!L18+$F$10*F801ENE!L18)*$L42</f>
        <v>0</v>
      </c>
      <c r="F42" s="156">
        <f>($D$10*F801D!M18+$F$10*F801ENE!M18)*$L42</f>
        <v>0</v>
      </c>
      <c r="G42" s="156">
        <f>($D$10*F801D!N18+$F$10*F801ENE!N18)*$L42</f>
        <v>0</v>
      </c>
      <c r="H42" s="156">
        <f>($D$10*F801D!O18+$F$10*F801ENE!O18)*$L42</f>
        <v>0</v>
      </c>
      <c r="I42" s="156">
        <f>($D$10*F801D!P18+$F$10*F801ENE!P18)*$L42</f>
        <v>0</v>
      </c>
      <c r="J42" s="156">
        <f t="shared" si="2"/>
        <v>0</v>
      </c>
      <c r="K42" s="69"/>
      <c r="L42" s="319">
        <v>0.5</v>
      </c>
    </row>
    <row r="43" spans="2:13" s="37" customFormat="1" ht="15.75" customHeight="1">
      <c r="B43" s="48"/>
      <c r="C43" s="157"/>
      <c r="D43" s="157"/>
      <c r="E43" s="157"/>
      <c r="F43" s="157"/>
      <c r="G43" s="157"/>
      <c r="H43" s="157"/>
      <c r="I43" s="157"/>
      <c r="J43" s="157"/>
      <c r="K43" s="69"/>
      <c r="L43" s="319"/>
    </row>
    <row r="44" spans="2:13" s="37" customFormat="1" ht="15.75" customHeight="1">
      <c r="B44" s="48"/>
      <c r="C44" s="153" t="s">
        <v>443</v>
      </c>
      <c r="D44" s="154">
        <f t="shared" ref="D44:I44" si="5">D45+D49+D56+D61+D66+D79+D85+D92+D100+D106+D113+D72</f>
        <v>320295.68867131352</v>
      </c>
      <c r="E44" s="154">
        <f t="shared" si="5"/>
        <v>320429.36181217735</v>
      </c>
      <c r="F44" s="154">
        <f t="shared" si="5"/>
        <v>314377.31465184799</v>
      </c>
      <c r="G44" s="154">
        <f t="shared" si="5"/>
        <v>319330.9759662713</v>
      </c>
      <c r="H44" s="154">
        <f t="shared" si="5"/>
        <v>305494.43815825356</v>
      </c>
      <c r="I44" s="154">
        <f t="shared" si="5"/>
        <v>306925.9453875451</v>
      </c>
      <c r="J44" s="154">
        <f t="shared" ref="J44:J70" si="6">SUM(D44:I44)</f>
        <v>1886853.7246474088</v>
      </c>
      <c r="K44" s="69"/>
      <c r="L44" s="319"/>
    </row>
    <row r="45" spans="2:13" s="37" customFormat="1" ht="15.75" customHeight="1">
      <c r="B45" s="48" t="s">
        <v>275</v>
      </c>
      <c r="C45" s="155" t="s">
        <v>275</v>
      </c>
      <c r="D45" s="154">
        <f>SUM(D46:D48)</f>
        <v>6474.6594171817324</v>
      </c>
      <c r="E45" s="154">
        <f t="shared" ref="E45:I45" si="7">SUM(E46:E48)</f>
        <v>6477.3615705073316</v>
      </c>
      <c r="F45" s="154">
        <f t="shared" si="7"/>
        <v>6355.0216654577016</v>
      </c>
      <c r="G45" s="154">
        <f t="shared" si="7"/>
        <v>6455.1581050457871</v>
      </c>
      <c r="H45" s="154">
        <f t="shared" si="7"/>
        <v>6175.4575877159814</v>
      </c>
      <c r="I45" s="154">
        <f t="shared" si="7"/>
        <v>6204.3949792910735</v>
      </c>
      <c r="J45" s="154">
        <f t="shared" si="6"/>
        <v>38142.053325199609</v>
      </c>
      <c r="K45" s="69"/>
      <c r="L45" s="319"/>
    </row>
    <row r="46" spans="2:13" s="37" customFormat="1" ht="15.75" customHeight="1">
      <c r="B46" s="48"/>
      <c r="C46" s="160" t="s">
        <v>304</v>
      </c>
      <c r="D46" s="156">
        <f>$D$11*F801D!K22+$G$11*F801ENE!K22</f>
        <v>6420.3376445124513</v>
      </c>
      <c r="E46" s="156">
        <f>$D$11*F801D!L22+$G$11*F801ENE!L22</f>
        <v>6423.0171270303354</v>
      </c>
      <c r="F46" s="156">
        <f>$D$11*F801D!M22+$G$11*F801ENE!M22</f>
        <v>6301.7036420720615</v>
      </c>
      <c r="G46" s="156">
        <f>$D$11*F801D!N22+$G$11*F801ENE!N22</f>
        <v>6400.999946518401</v>
      </c>
      <c r="H46" s="156">
        <f>$D$11*F801D!O22+$G$11*F801ENE!O22</f>
        <v>6123.646089752323</v>
      </c>
      <c r="I46" s="156">
        <f>$D$11*F801D!P22+$G$11*F801ENE!P22</f>
        <v>6152.3406993823746</v>
      </c>
      <c r="J46" s="156">
        <f t="shared" si="6"/>
        <v>37822.045149267942</v>
      </c>
      <c r="K46" s="69"/>
      <c r="L46" s="319"/>
    </row>
    <row r="47" spans="2:13" s="37" customFormat="1" ht="15.75" customHeight="1">
      <c r="B47" s="48"/>
      <c r="C47" s="161" t="s">
        <v>306</v>
      </c>
      <c r="D47" s="156">
        <f>($D$11*F801D!K23+$G$11*F801ENE!K23)*$L47</f>
        <v>34.286543144845211</v>
      </c>
      <c r="E47" s="156">
        <f>($D$11*F801D!L23+$G$11*F801ENE!L23)*$L47</f>
        <v>34.300852391187384</v>
      </c>
      <c r="F47" s="156">
        <f>($D$11*F801D!M23+$G$11*F801ENE!M23)*$L47</f>
        <v>33.653001722519129</v>
      </c>
      <c r="G47" s="156">
        <f>($D$11*F801D!N23+$G$11*F801ENE!N23)*$L47</f>
        <v>34.183273994014542</v>
      </c>
      <c r="H47" s="156">
        <f>($D$11*F801D!O23+$G$11*F801ENE!O23)*$L47</f>
        <v>32.702120586992827</v>
      </c>
      <c r="I47" s="156">
        <f>($D$11*F801D!P23+$G$11*F801ENE!P23)*$L47</f>
        <v>32.855358473468499</v>
      </c>
      <c r="J47" s="156">
        <f t="shared" si="6"/>
        <v>201.9811503130276</v>
      </c>
      <c r="K47" s="69"/>
      <c r="L47" s="319">
        <v>1</v>
      </c>
    </row>
    <row r="48" spans="2:13" s="37" customFormat="1" ht="15.75" customHeight="1">
      <c r="B48" s="48"/>
      <c r="C48" s="160" t="s">
        <v>305</v>
      </c>
      <c r="D48" s="156">
        <f>($D$11*F801D!K24+$G$11*F801ENE!K24)*$L48</f>
        <v>20.035229524435387</v>
      </c>
      <c r="E48" s="156">
        <f>($D$11*F801D!L24+$G$11*F801ENE!L24)*$L48</f>
        <v>20.043591085808782</v>
      </c>
      <c r="F48" s="156">
        <f>($D$11*F801D!M24+$G$11*F801ENE!M24)*$L48</f>
        <v>19.665021663120307</v>
      </c>
      <c r="G48" s="156">
        <f>($D$11*F801D!N24+$G$11*F801ENE!N24)*$L48</f>
        <v>19.974884533371537</v>
      </c>
      <c r="H48" s="156">
        <f>($D$11*F801D!O24+$G$11*F801ENE!O24)*$L48</f>
        <v>19.109377376665332</v>
      </c>
      <c r="I48" s="156">
        <f>($D$11*F801D!P24+$G$11*F801ENE!P24)*$L48</f>
        <v>19.198921435231092</v>
      </c>
      <c r="J48" s="156">
        <f t="shared" si="6"/>
        <v>118.02702561863245</v>
      </c>
      <c r="K48" s="69"/>
      <c r="L48" s="319">
        <v>0.95</v>
      </c>
    </row>
    <row r="49" spans="2:12" s="37" customFormat="1" ht="15.75" customHeight="1">
      <c r="B49" s="48" t="s">
        <v>274</v>
      </c>
      <c r="C49" s="158" t="s">
        <v>627</v>
      </c>
      <c r="D49" s="159">
        <f t="shared" ref="D49:I49" si="8">SUM(D50:D55)</f>
        <v>74969.00054509232</v>
      </c>
      <c r="E49" s="159">
        <f t="shared" si="8"/>
        <v>75000.288327365808</v>
      </c>
      <c r="F49" s="159">
        <f t="shared" si="8"/>
        <v>73583.734989592791</v>
      </c>
      <c r="G49" s="159">
        <f t="shared" si="8"/>
        <v>74743.198107319316</v>
      </c>
      <c r="H49" s="159">
        <f t="shared" si="8"/>
        <v>71504.592508928152</v>
      </c>
      <c r="I49" s="159">
        <f t="shared" si="8"/>
        <v>71839.653735316344</v>
      </c>
      <c r="J49" s="159">
        <f t="shared" si="6"/>
        <v>441640.46821361472</v>
      </c>
      <c r="K49" s="69"/>
      <c r="L49" s="319"/>
    </row>
    <row r="50" spans="2:12" s="37" customFormat="1" ht="15.75" customHeight="1">
      <c r="B50" s="48"/>
      <c r="C50" s="160" t="s">
        <v>304</v>
      </c>
      <c r="D50" s="156">
        <f>($D$12*F801D!K28+$F$12*F801ENE!K28)*$L50</f>
        <v>74834.124344624346</v>
      </c>
      <c r="E50" s="156">
        <f>($D$12*F801D!L28+$F$12*F801ENE!L28)*$L50</f>
        <v>74865.355837269264</v>
      </c>
      <c r="F50" s="156">
        <f>($D$12*F801D!M28+$F$12*F801ENE!M28)*$L50</f>
        <v>73451.351010621773</v>
      </c>
      <c r="G50" s="156">
        <f>($D$12*F801D!N28+$F$12*F801ENE!N28)*$L50</f>
        <v>74608.728146425579</v>
      </c>
      <c r="H50" s="156">
        <f>($D$12*F801D!O28+$F$12*F801ENE!O28)*$L50</f>
        <v>71375.949100539437</v>
      </c>
      <c r="I50" s="156">
        <f>($D$12*F801D!P28+$F$12*F801ENE!P28)*$L50</f>
        <v>71710.407520636873</v>
      </c>
      <c r="J50" s="156">
        <f t="shared" si="6"/>
        <v>440845.91596011724</v>
      </c>
      <c r="K50" s="69"/>
      <c r="L50" s="319">
        <v>1</v>
      </c>
    </row>
    <row r="51" spans="2:12" s="37" customFormat="1" ht="15.75" customHeight="1">
      <c r="B51" s="48"/>
      <c r="C51" s="162" t="s">
        <v>628</v>
      </c>
      <c r="D51" s="156">
        <f>($D$12*F801D!K29+$F$12*F801ENE!K29)*$L51</f>
        <v>6.4754585353390048</v>
      </c>
      <c r="E51" s="156">
        <f>($D$12*F801D!L29+$F$12*F801ENE!L29)*$L51</f>
        <v>6.4781610221709158</v>
      </c>
      <c r="F51" s="156">
        <f>($D$12*F801D!M29+$F$12*F801ENE!M29)*$L51</f>
        <v>6.3558060176337028</v>
      </c>
      <c r="G51" s="156">
        <f>($D$12*F801D!N29+$F$12*F801ENE!N29)*$L51</f>
        <v>6.4559548163038549</v>
      </c>
      <c r="H51" s="156">
        <f>($D$12*F801D!O29+$F$12*F801ENE!O29)*$L51</f>
        <v>6.1762197776583161</v>
      </c>
      <c r="I51" s="156">
        <f>($D$12*F801D!P29+$F$12*F801ENE!P29)*$L51</f>
        <v>6.2051607407564093</v>
      </c>
      <c r="J51" s="156">
        <f t="shared" si="6"/>
        <v>38.146760909862209</v>
      </c>
      <c r="K51" s="69"/>
      <c r="L51" s="319">
        <v>0.75</v>
      </c>
    </row>
    <row r="52" spans="2:12" s="37" customFormat="1" ht="15.75" customHeight="1">
      <c r="B52" s="48"/>
      <c r="C52" s="161" t="s">
        <v>629</v>
      </c>
      <c r="D52" s="156">
        <f>($D$12*F801D!K30+$F$12*F801ENE!K30)*$L52</f>
        <v>34.402948936467745</v>
      </c>
      <c r="E52" s="156">
        <f>($D$12*F801D!L30+$F$12*F801ENE!L30)*$L52</f>
        <v>34.417306763943948</v>
      </c>
      <c r="F52" s="156">
        <f>($D$12*F801D!M30+$F$12*F801ENE!M30)*$L52</f>
        <v>33.767256585992385</v>
      </c>
      <c r="G52" s="156">
        <f>($D$12*F801D!N30+$F$12*F801ENE!N30)*$L52</f>
        <v>34.299329177901498</v>
      </c>
      <c r="H52" s="156">
        <f>($D$12*F801D!O30+$F$12*F801ENE!O30)*$L52</f>
        <v>32.813147126430842</v>
      </c>
      <c r="I52" s="156">
        <f>($D$12*F801D!P30+$F$12*F801ENE!P30)*$L52</f>
        <v>32.966905268839184</v>
      </c>
      <c r="J52" s="156">
        <f t="shared" si="6"/>
        <v>202.66689385957559</v>
      </c>
      <c r="K52" s="69"/>
      <c r="L52" s="319">
        <v>1</v>
      </c>
    </row>
    <row r="53" spans="2:12" s="37" customFormat="1" ht="15.75" customHeight="1">
      <c r="B53" s="48"/>
      <c r="C53" s="160" t="s">
        <v>305</v>
      </c>
      <c r="D53" s="156">
        <f>($D$12*F801D!K31+$F$12*F801ENE!K31)*$L53</f>
        <v>86.131310034731783</v>
      </c>
      <c r="E53" s="156">
        <f>($D$12*F801D!L31+$F$12*F801ENE!L31)*$L53</f>
        <v>86.167256327942326</v>
      </c>
      <c r="F53" s="156">
        <f>($D$12*F801D!M31+$F$12*F801ENE!M31)*$L53</f>
        <v>84.539789057079162</v>
      </c>
      <c r="G53" s="156">
        <f>($D$12*F801D!N31+$F$12*F801ENE!N31)*$L53</f>
        <v>85.871887344913091</v>
      </c>
      <c r="H53" s="156">
        <f>($D$12*F801D!O31+$F$12*F801ENE!O31)*$L53</f>
        <v>82.151078199172005</v>
      </c>
      <c r="I53" s="156">
        <f>($D$12*F801D!P31+$F$12*F801ENE!P31)*$L53</f>
        <v>82.536027473683134</v>
      </c>
      <c r="J53" s="156">
        <f t="shared" si="6"/>
        <v>507.39734843752149</v>
      </c>
      <c r="K53" s="69"/>
      <c r="L53" s="319">
        <v>0.95</v>
      </c>
    </row>
    <row r="54" spans="2:12" s="37" customFormat="1" ht="15.75" customHeight="1">
      <c r="B54" s="48"/>
      <c r="C54" s="160" t="s">
        <v>307</v>
      </c>
      <c r="D54" s="156">
        <f>($D$12*F801D!K32+$F$12*F801ENE!K32)*$L54</f>
        <v>7.8664829614488649</v>
      </c>
      <c r="E54" s="156">
        <f>($D$12*F801D!L32+$F$12*F801ENE!L32)*$L54</f>
        <v>7.8697659824891133</v>
      </c>
      <c r="F54" s="156">
        <f>($D$12*F801D!M32+$F$12*F801ENE!M32)*$L54</f>
        <v>7.7211273103105711</v>
      </c>
      <c r="G54" s="156">
        <f>($D$12*F801D!N32+$F$12*F801ENE!N32)*$L54</f>
        <v>7.8427895546209765</v>
      </c>
      <c r="H54" s="156">
        <f>($D$12*F801D!O32+$F$12*F801ENE!O32)*$L54</f>
        <v>7.5029632854515826</v>
      </c>
      <c r="I54" s="156">
        <f>($D$12*F801D!P32+$F$12*F801ENE!P32)*$L54</f>
        <v>7.5381211961781567</v>
      </c>
      <c r="J54" s="156">
        <f t="shared" si="6"/>
        <v>46.341250290499275</v>
      </c>
      <c r="K54" s="69"/>
      <c r="L54" s="319">
        <v>0.5</v>
      </c>
    </row>
    <row r="55" spans="2:12" s="37" customFormat="1" ht="15.75" customHeight="1">
      <c r="B55" s="48"/>
      <c r="C55" s="160" t="s">
        <v>624</v>
      </c>
      <c r="D55" s="156">
        <f>($D$12*F801D!K33+$F$12*F801ENE!K33)*$L55</f>
        <v>0</v>
      </c>
      <c r="E55" s="156">
        <f>($D$12*F801D!L33+$F$12*F801ENE!L33)*$L55</f>
        <v>0</v>
      </c>
      <c r="F55" s="156">
        <f>($D$12*F801D!M33+$F$12*F801ENE!M33)*$L55</f>
        <v>0</v>
      </c>
      <c r="G55" s="156">
        <f>($D$12*F801D!N33+$F$12*F801ENE!N33)*$L55</f>
        <v>0</v>
      </c>
      <c r="H55" s="156">
        <f>($D$12*F801D!O33+$F$12*F801ENE!O33)*$L55</f>
        <v>0</v>
      </c>
      <c r="I55" s="156">
        <f>($D$12*F801D!P33+$F$12*F801ENE!P33)*$L55</f>
        <v>0</v>
      </c>
      <c r="J55" s="156">
        <f t="shared" si="6"/>
        <v>0</v>
      </c>
      <c r="K55" s="69"/>
      <c r="L55" s="319">
        <v>0</v>
      </c>
    </row>
    <row r="56" spans="2:12" s="37" customFormat="1" ht="15.75" customHeight="1">
      <c r="B56" s="48" t="s">
        <v>274</v>
      </c>
      <c r="C56" s="158" t="s">
        <v>631</v>
      </c>
      <c r="D56" s="159">
        <f t="shared" ref="D56:I56" si="9">SUM(D57:D60)</f>
        <v>35901.454824348199</v>
      </c>
      <c r="E56" s="159">
        <f t="shared" si="9"/>
        <v>35916.438042660811</v>
      </c>
      <c r="F56" s="159">
        <f t="shared" si="9"/>
        <v>35238.073314672365</v>
      </c>
      <c r="G56" s="159">
        <f t="shared" si="9"/>
        <v>35793.321649836165</v>
      </c>
      <c r="H56" s="159">
        <f t="shared" si="9"/>
        <v>34242.405247868286</v>
      </c>
      <c r="I56" s="159">
        <f t="shared" si="9"/>
        <v>34402.860708059889</v>
      </c>
      <c r="J56" s="159">
        <f t="shared" si="6"/>
        <v>211494.55378744574</v>
      </c>
      <c r="K56" s="69"/>
      <c r="L56" s="319"/>
    </row>
    <row r="57" spans="2:12" s="37" customFormat="1" ht="15.75" customHeight="1">
      <c r="B57" s="48"/>
      <c r="C57" s="160" t="s">
        <v>304</v>
      </c>
      <c r="D57" s="156">
        <f>($D$13*F801D!K35+$F$13*F801ENE!K35)*$L57</f>
        <v>35876.214600159001</v>
      </c>
      <c r="E57" s="156">
        <f>($D$13*F801D!L35+$F$13*F801ENE!L35)*$L57</f>
        <v>35891.187284642518</v>
      </c>
      <c r="F57" s="156">
        <f>($D$13*F801D!M35+$F$13*F801ENE!M35)*$L57</f>
        <v>35213.299475427986</v>
      </c>
      <c r="G57" s="156">
        <f>($D$13*F801D!N35+$F$13*F801ENE!N35)*$L57</f>
        <v>35768.157447790923</v>
      </c>
      <c r="H57" s="156">
        <f>($D$13*F801D!O35+$F$13*F801ENE!O35)*$L57</f>
        <v>34218.331404915065</v>
      </c>
      <c r="I57" s="156">
        <f>($D$13*F801D!P35+$F$13*F801ENE!P35)*$L57</f>
        <v>34378.674058207682</v>
      </c>
      <c r="J57" s="156">
        <f t="shared" si="6"/>
        <v>211345.86427114319</v>
      </c>
      <c r="K57" s="69"/>
      <c r="L57" s="319">
        <v>1</v>
      </c>
    </row>
    <row r="58" spans="2:12" s="37" customFormat="1" ht="15.75" customHeight="1">
      <c r="B58" s="48"/>
      <c r="C58" s="161" t="s">
        <v>306</v>
      </c>
      <c r="D58" s="156">
        <f>($D$13*F801D!K36+$F$13*F801ENE!K36)*$L58</f>
        <v>0</v>
      </c>
      <c r="E58" s="156">
        <f>($D$13*F801D!L36+$F$13*F801ENE!L36)*$L58</f>
        <v>0</v>
      </c>
      <c r="F58" s="156">
        <f>($D$13*F801D!M36+$F$13*F801ENE!M36)*$L58</f>
        <v>0</v>
      </c>
      <c r="G58" s="156">
        <f>($D$13*F801D!N36+$F$13*F801ENE!N36)*$L58</f>
        <v>0</v>
      </c>
      <c r="H58" s="156">
        <f>($D$13*F801D!O36+$F$13*F801ENE!O36)*$L58</f>
        <v>0</v>
      </c>
      <c r="I58" s="156">
        <f>($D$13*F801D!P36+$F$13*F801ENE!P36)*$L58</f>
        <v>0</v>
      </c>
      <c r="J58" s="156">
        <f t="shared" si="6"/>
        <v>0</v>
      </c>
      <c r="K58" s="69"/>
      <c r="L58" s="319">
        <v>1</v>
      </c>
    </row>
    <row r="59" spans="2:12" s="37" customFormat="1" ht="15.75" customHeight="1">
      <c r="B59" s="48"/>
      <c r="C59" s="160" t="s">
        <v>305</v>
      </c>
      <c r="D59" s="156">
        <f>($D$13*F801D!K37+$F$13*F801ENE!K37)*$L59</f>
        <v>25.240224189200294</v>
      </c>
      <c r="E59" s="156">
        <f>($D$13*F801D!L37+$F$13*F801ENE!L37)*$L59</f>
        <v>25.250758018292633</v>
      </c>
      <c r="F59" s="156">
        <f>($D$13*F801D!M37+$F$13*F801ENE!M37)*$L59</f>
        <v>24.773839244380937</v>
      </c>
      <c r="G59" s="156">
        <f>($D$13*F801D!N37+$F$13*F801ENE!N37)*$L59</f>
        <v>25.164202045241861</v>
      </c>
      <c r="H59" s="156">
        <f>($D$13*F801D!O37+$F$13*F801ENE!O37)*$L59</f>
        <v>24.073842953224549</v>
      </c>
      <c r="I59" s="156">
        <f>($D$13*F801D!P37+$F$13*F801ENE!P37)*$L59</f>
        <v>24.186649852204873</v>
      </c>
      <c r="J59" s="156">
        <f t="shared" si="6"/>
        <v>148.68951630254517</v>
      </c>
      <c r="K59" s="69"/>
      <c r="L59" s="319">
        <v>0.95</v>
      </c>
    </row>
    <row r="60" spans="2:12" s="37" customFormat="1" ht="15.75" customHeight="1">
      <c r="B60" s="48"/>
      <c r="C60" s="160" t="s">
        <v>307</v>
      </c>
      <c r="D60" s="156">
        <f>($D$13*F801D!K38+$F$13*F801ENE!K38)*$L60</f>
        <v>0</v>
      </c>
      <c r="E60" s="156">
        <f>($D$13*F801D!L38+$F$13*F801ENE!L38)*$L60</f>
        <v>0</v>
      </c>
      <c r="F60" s="156">
        <f>($D$13*F801D!M38+$F$13*F801ENE!M38)*$L60</f>
        <v>0</v>
      </c>
      <c r="G60" s="156">
        <f>($D$13*F801D!N38+$F$13*F801ENE!N38)*$L60</f>
        <v>0</v>
      </c>
      <c r="H60" s="156">
        <f>($D$13*F801D!O38+$F$13*F801ENE!O38)*$L60</f>
        <v>0</v>
      </c>
      <c r="I60" s="156">
        <f>($D$13*F801D!P38+$F$13*F801ENE!P38)*$L60</f>
        <v>0</v>
      </c>
      <c r="J60" s="156">
        <f t="shared" si="6"/>
        <v>0</v>
      </c>
      <c r="K60" s="69"/>
      <c r="L60" s="319">
        <v>0.5</v>
      </c>
    </row>
    <row r="61" spans="2:12" s="37" customFormat="1" ht="15.75" customHeight="1">
      <c r="B61" s="48" t="s">
        <v>274</v>
      </c>
      <c r="C61" s="158" t="s">
        <v>632</v>
      </c>
      <c r="D61" s="159">
        <f t="shared" ref="D61:I61" si="10">SUM(D62:D65)</f>
        <v>10609.161911306515</v>
      </c>
      <c r="E61" s="159">
        <f t="shared" si="10"/>
        <v>10613.58957001307</v>
      </c>
      <c r="F61" s="159">
        <f t="shared" si="10"/>
        <v>10413.127464247149</v>
      </c>
      <c r="G61" s="159">
        <f t="shared" si="10"/>
        <v>10577.207708837714</v>
      </c>
      <c r="H61" s="159">
        <f t="shared" si="10"/>
        <v>10118.899729401206</v>
      </c>
      <c r="I61" s="159">
        <f t="shared" si="10"/>
        <v>10166.315578286842</v>
      </c>
      <c r="J61" s="159">
        <f t="shared" si="6"/>
        <v>62498.301962092497</v>
      </c>
      <c r="K61" s="69"/>
      <c r="L61" s="319"/>
    </row>
    <row r="62" spans="2:12" s="37" customFormat="1" ht="15.75" customHeight="1">
      <c r="B62" s="48"/>
      <c r="C62" s="160" t="s">
        <v>304</v>
      </c>
      <c r="D62" s="156">
        <f>($D$14*F801D!K40+$F$14*F801ENE!K40)*$L62</f>
        <v>10609.161911306515</v>
      </c>
      <c r="E62" s="156">
        <f>($D$14*F801D!L40+$F$14*F801ENE!L40)*$L62</f>
        <v>10613.58957001307</v>
      </c>
      <c r="F62" s="156">
        <f>($D$14*F801D!M40+$F$14*F801ENE!M40)*$L62</f>
        <v>10413.127464247149</v>
      </c>
      <c r="G62" s="156">
        <f>($D$14*F801D!N40+$F$14*F801ENE!N40)*$L62</f>
        <v>10577.207708837714</v>
      </c>
      <c r="H62" s="156">
        <f>($D$14*F801D!O40+$F$14*F801ENE!O40)*$L62</f>
        <v>10118.899729401206</v>
      </c>
      <c r="I62" s="156">
        <f>($D$14*F801D!P40+$F$14*F801ENE!P40)*$L62</f>
        <v>10166.315578286842</v>
      </c>
      <c r="J62" s="156">
        <f t="shared" si="6"/>
        <v>62498.301962092497</v>
      </c>
      <c r="K62" s="69"/>
      <c r="L62" s="319">
        <v>1</v>
      </c>
    </row>
    <row r="63" spans="2:12" s="37" customFormat="1" ht="15.75" customHeight="1">
      <c r="B63" s="48"/>
      <c r="C63" s="161" t="s">
        <v>306</v>
      </c>
      <c r="D63" s="156">
        <f>($D$14*F801D!K41+$F$14*F801ENE!K41)*$L63</f>
        <v>0</v>
      </c>
      <c r="E63" s="156">
        <f>($D$14*F801D!L41+$F$14*F801ENE!L41)*$L63</f>
        <v>0</v>
      </c>
      <c r="F63" s="156">
        <f>($D$14*F801D!M41+$F$14*F801ENE!M41)*$L63</f>
        <v>0</v>
      </c>
      <c r="G63" s="156">
        <f>($D$14*F801D!N41+$F$14*F801ENE!N41)*$L63</f>
        <v>0</v>
      </c>
      <c r="H63" s="156">
        <f>($D$14*F801D!O41+$F$14*F801ENE!O41)*$L63</f>
        <v>0</v>
      </c>
      <c r="I63" s="156">
        <f>($D$14*F801D!P41+$F$14*F801ENE!P41)*$L63</f>
        <v>0</v>
      </c>
      <c r="J63" s="156">
        <f t="shared" si="6"/>
        <v>0</v>
      </c>
      <c r="K63" s="69"/>
      <c r="L63" s="319">
        <v>1</v>
      </c>
    </row>
    <row r="64" spans="2:12" s="37" customFormat="1" ht="15.75" customHeight="1">
      <c r="B64" s="48"/>
      <c r="C64" s="160" t="s">
        <v>305</v>
      </c>
      <c r="D64" s="156">
        <f>($D$14*F801D!K42+$F$14*F801ENE!K42)*$L64</f>
        <v>0</v>
      </c>
      <c r="E64" s="156">
        <f>($D$14*F801D!L42+$F$14*F801ENE!L42)*$L64</f>
        <v>0</v>
      </c>
      <c r="F64" s="156">
        <f>($D$14*F801D!M42+$F$14*F801ENE!M42)*$L64</f>
        <v>0</v>
      </c>
      <c r="G64" s="156">
        <f>($D$14*F801D!N42+$F$14*F801ENE!N42)*$L64</f>
        <v>0</v>
      </c>
      <c r="H64" s="156">
        <f>($D$14*F801D!O42+$F$14*F801ENE!O42)*$L64</f>
        <v>0</v>
      </c>
      <c r="I64" s="156">
        <f>($D$14*F801D!P42+$F$14*F801ENE!P42)*$L64</f>
        <v>0</v>
      </c>
      <c r="J64" s="156">
        <f t="shared" si="6"/>
        <v>0</v>
      </c>
      <c r="K64" s="69"/>
      <c r="L64" s="319">
        <v>0.95</v>
      </c>
    </row>
    <row r="65" spans="2:13" s="37" customFormat="1" ht="15.75" customHeight="1">
      <c r="B65" s="48"/>
      <c r="C65" s="160" t="s">
        <v>307</v>
      </c>
      <c r="D65" s="156">
        <f>($D$14*F801D!K43+$F$14*F801ENE!K43)*$L65</f>
        <v>0</v>
      </c>
      <c r="E65" s="156">
        <f>($D$14*F801D!L43+$F$14*F801ENE!L43)*$L65</f>
        <v>0</v>
      </c>
      <c r="F65" s="156">
        <f>($D$14*F801D!M43+$F$14*F801ENE!M43)*$L65</f>
        <v>0</v>
      </c>
      <c r="G65" s="156">
        <f>($D$14*F801D!N43+$F$14*F801ENE!N43)*$L65</f>
        <v>0</v>
      </c>
      <c r="H65" s="156">
        <f>($D$14*F801D!O43+$F$14*F801ENE!O43)*$L65</f>
        <v>0</v>
      </c>
      <c r="I65" s="156">
        <f>($D$14*F801D!P43+$F$14*F801ENE!P43)*$L65</f>
        <v>0</v>
      </c>
      <c r="J65" s="156">
        <f t="shared" si="6"/>
        <v>0</v>
      </c>
      <c r="K65" s="69"/>
      <c r="L65" s="319">
        <v>0.5</v>
      </c>
    </row>
    <row r="66" spans="2:13" s="37" customFormat="1" ht="15.75" customHeight="1">
      <c r="B66" s="48" t="s">
        <v>274</v>
      </c>
      <c r="C66" s="158" t="s">
        <v>633</v>
      </c>
      <c r="D66" s="159">
        <f t="shared" ref="D66:I66" si="11">SUM(D67:D70)</f>
        <v>11255.203135328988</v>
      </c>
      <c r="E66" s="159">
        <f t="shared" si="11"/>
        <v>11259.900414772244</v>
      </c>
      <c r="F66" s="159">
        <f t="shared" si="11"/>
        <v>11047.231238809658</v>
      </c>
      <c r="G66" s="159">
        <f t="shared" si="11"/>
        <v>11221.303092816628</v>
      </c>
      <c r="H66" s="159">
        <f t="shared" si="11"/>
        <v>10735.086608402091</v>
      </c>
      <c r="I66" s="159">
        <f t="shared" si="11"/>
        <v>10785.389828911257</v>
      </c>
      <c r="J66" s="159">
        <f t="shared" si="6"/>
        <v>66304.114319040862</v>
      </c>
      <c r="K66" s="69"/>
      <c r="L66" s="319"/>
    </row>
    <row r="67" spans="2:13" s="37" customFormat="1" ht="15.75" customHeight="1">
      <c r="B67" s="48"/>
      <c r="C67" s="160" t="s">
        <v>304</v>
      </c>
      <c r="D67" s="156">
        <f>($D$15*F801D!K45+$F$15*F801ENE!K45)*$L67</f>
        <v>11255.203135328988</v>
      </c>
      <c r="E67" s="156">
        <f>($D$15*F801D!L45+$F$15*F801ENE!L45)*$L67</f>
        <v>11259.900414772244</v>
      </c>
      <c r="F67" s="156">
        <f>($D$15*F801D!M45+$F$15*F801ENE!M45)*$L67</f>
        <v>11047.231238809658</v>
      </c>
      <c r="G67" s="156">
        <f>($D$15*F801D!N45+$F$15*F801ENE!N45)*$L67</f>
        <v>11221.303092816628</v>
      </c>
      <c r="H67" s="156">
        <f>($D$15*F801D!O45+$F$15*F801ENE!O45)*$L67</f>
        <v>10735.086608402091</v>
      </c>
      <c r="I67" s="156">
        <f>($D$15*F801D!P45+$F$15*F801ENE!P45)*$L67</f>
        <v>10785.389828911257</v>
      </c>
      <c r="J67" s="156">
        <f t="shared" si="6"/>
        <v>66304.114319040862</v>
      </c>
      <c r="K67" s="69"/>
      <c r="L67" s="319">
        <v>1</v>
      </c>
    </row>
    <row r="68" spans="2:13" s="37" customFormat="1" ht="15.75" customHeight="1">
      <c r="B68" s="48"/>
      <c r="C68" s="161" t="s">
        <v>306</v>
      </c>
      <c r="D68" s="156">
        <f>($D$15*F801D!K46+$F$15*F801ENE!K46)*$L68</f>
        <v>0</v>
      </c>
      <c r="E68" s="156">
        <f>($D$15*F801D!L46+$F$15*F801ENE!L46)*$L68</f>
        <v>0</v>
      </c>
      <c r="F68" s="156">
        <f>($D$15*F801D!M46+$F$15*F801ENE!M46)*$L68</f>
        <v>0</v>
      </c>
      <c r="G68" s="156">
        <f>($D$15*F801D!N46+$F$15*F801ENE!N46)*$L68</f>
        <v>0</v>
      </c>
      <c r="H68" s="156">
        <f>($D$15*F801D!O46+$F$15*F801ENE!O46)*$L68</f>
        <v>0</v>
      </c>
      <c r="I68" s="156">
        <f>($D$15*F801D!P46+$F$15*F801ENE!P46)*$L68</f>
        <v>0</v>
      </c>
      <c r="J68" s="156">
        <f t="shared" si="6"/>
        <v>0</v>
      </c>
      <c r="K68" s="69"/>
      <c r="L68" s="319">
        <v>1</v>
      </c>
    </row>
    <row r="69" spans="2:13" s="37" customFormat="1" ht="15.75" customHeight="1">
      <c r="B69" s="48"/>
      <c r="C69" s="160" t="s">
        <v>305</v>
      </c>
      <c r="D69" s="156">
        <f>($D$15*F801D!K47+$F$15*F801ENE!K47)*$L69</f>
        <v>0</v>
      </c>
      <c r="E69" s="156">
        <f>($D$15*F801D!L47+$F$15*F801ENE!L47)*$L69</f>
        <v>0</v>
      </c>
      <c r="F69" s="156">
        <f>($D$15*F801D!M47+$F$15*F801ENE!M47)*$L69</f>
        <v>0</v>
      </c>
      <c r="G69" s="156">
        <f>($D$15*F801D!N47+$F$15*F801ENE!N47)*$L69</f>
        <v>0</v>
      </c>
      <c r="H69" s="156">
        <f>($D$15*F801D!O47+$F$15*F801ENE!O47)*$L69</f>
        <v>0</v>
      </c>
      <c r="I69" s="156">
        <f>($D$15*F801D!P47+$F$15*F801ENE!P47)*$L69</f>
        <v>0</v>
      </c>
      <c r="J69" s="156">
        <f t="shared" si="6"/>
        <v>0</v>
      </c>
      <c r="K69" s="69"/>
      <c r="L69" s="319">
        <v>0.95</v>
      </c>
    </row>
    <row r="70" spans="2:13" s="37" customFormat="1" ht="15.75" customHeight="1">
      <c r="B70" s="48"/>
      <c r="C70" s="160" t="s">
        <v>307</v>
      </c>
      <c r="D70" s="156">
        <f>($D$15*F801D!K48+$F$15*F801ENE!K48)*$L70</f>
        <v>0</v>
      </c>
      <c r="E70" s="156">
        <f>($D$15*F801D!L48+$F$15*F801ENE!L48)*$L70</f>
        <v>0</v>
      </c>
      <c r="F70" s="156">
        <f>($D$15*F801D!M48+$F$15*F801ENE!M48)*$L70</f>
        <v>0</v>
      </c>
      <c r="G70" s="156">
        <f>($D$15*F801D!N48+$F$15*F801ENE!N48)*$L70</f>
        <v>0</v>
      </c>
      <c r="H70" s="156">
        <f>($D$15*F801D!O48+$F$15*F801ENE!O48)*$L70</f>
        <v>0</v>
      </c>
      <c r="I70" s="156">
        <f>($D$15*F801D!P48+$F$15*F801ENE!P48)*$L70</f>
        <v>0</v>
      </c>
      <c r="J70" s="156">
        <f t="shared" si="6"/>
        <v>0</v>
      </c>
      <c r="K70" s="69"/>
      <c r="L70" s="319">
        <v>0.5</v>
      </c>
    </row>
    <row r="71" spans="2:13" s="37" customFormat="1" ht="15.75">
      <c r="B71" s="48"/>
      <c r="C71" s="157"/>
      <c r="D71" s="156"/>
      <c r="E71" s="156"/>
      <c r="F71" s="156"/>
      <c r="G71" s="156"/>
      <c r="H71" s="156"/>
      <c r="I71" s="156"/>
      <c r="J71" s="156"/>
      <c r="K71" s="69"/>
      <c r="L71" s="319"/>
    </row>
    <row r="72" spans="2:13" s="37" customFormat="1" ht="15.75">
      <c r="B72" s="48" t="s">
        <v>1176</v>
      </c>
      <c r="C72" s="158" t="str">
        <f>F801ENE!$C$50</f>
        <v>BTSH</v>
      </c>
      <c r="D72" s="159">
        <f>SUM(D73:D78)</f>
        <v>0.95777776949969107</v>
      </c>
      <c r="E72" s="159">
        <f t="shared" ref="E72:J72" si="12">SUM(E73:E78)</f>
        <v>0.95777776949969107</v>
      </c>
      <c r="F72" s="159">
        <f t="shared" si="12"/>
        <v>0.95777776949969107</v>
      </c>
      <c r="G72" s="159">
        <f t="shared" si="12"/>
        <v>0.95777776949969107</v>
      </c>
      <c r="H72" s="159">
        <f t="shared" si="12"/>
        <v>0.95777776949969107</v>
      </c>
      <c r="I72" s="159">
        <f t="shared" si="12"/>
        <v>0.95777776949969107</v>
      </c>
      <c r="J72" s="159">
        <f t="shared" si="12"/>
        <v>5.7466666169981462</v>
      </c>
      <c r="K72" s="69"/>
      <c r="L72" s="319"/>
    </row>
    <row r="73" spans="2:13" s="37" customFormat="1" ht="15.75">
      <c r="B73" s="48"/>
      <c r="C73" s="160" t="str">
        <f>F801ENE!$C$51</f>
        <v xml:space="preserve">    - Regulares</v>
      </c>
      <c r="D73" s="156">
        <f>($G$16*F801ENE!K51)*$L73</f>
        <v>0.95777776949969107</v>
      </c>
      <c r="E73" s="156">
        <f>($G$16*F801ENE!L51)*$L73</f>
        <v>0.95777776949969107</v>
      </c>
      <c r="F73" s="156">
        <f>($G$16*F801ENE!M51)*$L73</f>
        <v>0.95777776949969107</v>
      </c>
      <c r="G73" s="156">
        <f>($G$16*F801ENE!N51)*$L73</f>
        <v>0.95777776949969107</v>
      </c>
      <c r="H73" s="156">
        <f>($G$16*F801ENE!O51)*$L73</f>
        <v>0.95777776949969107</v>
      </c>
      <c r="I73" s="156">
        <f>($G$16*F801ENE!P51)*$L73</f>
        <v>0.95777776949969107</v>
      </c>
      <c r="J73" s="156">
        <f t="shared" ref="J73:J90" si="13">SUM(D73:I73)</f>
        <v>5.7466666169981462</v>
      </c>
      <c r="K73" s="69"/>
      <c r="L73" s="319">
        <v>1</v>
      </c>
      <c r="M73" s="69"/>
    </row>
    <row r="74" spans="2:13" s="37" customFormat="1" ht="15.75">
      <c r="B74" s="48"/>
      <c r="C74" s="162" t="str">
        <f>F801ENE!$C$52</f>
        <v xml:space="preserve">    - Jubilados (0 a 600 KWh)</v>
      </c>
      <c r="D74" s="156">
        <f>($G$16*F801ENE!K52)*$L74</f>
        <v>0</v>
      </c>
      <c r="E74" s="156">
        <f>($G$16*F801ENE!L52)*$L74</f>
        <v>0</v>
      </c>
      <c r="F74" s="156">
        <f>($G$16*F801ENE!M52)*$L74</f>
        <v>0</v>
      </c>
      <c r="G74" s="156">
        <f>($G$16*F801ENE!N52)*$L74</f>
        <v>0</v>
      </c>
      <c r="H74" s="156">
        <f>($G$16*F801ENE!O52)*$L74</f>
        <v>0</v>
      </c>
      <c r="I74" s="156">
        <f>($G$16*F801ENE!P52)*$L74</f>
        <v>0</v>
      </c>
      <c r="J74" s="156">
        <f t="shared" si="13"/>
        <v>0</v>
      </c>
      <c r="K74" s="69"/>
      <c r="L74" s="319">
        <v>0.75</v>
      </c>
      <c r="M74" s="69"/>
    </row>
    <row r="75" spans="2:13" s="37" customFormat="1" ht="15.75">
      <c r="B75" s="48"/>
      <c r="C75" s="162" t="str">
        <f>F801ENE!$C$53</f>
        <v xml:space="preserve">    - Jubilados (601 y Más KWh)</v>
      </c>
      <c r="D75" s="156">
        <f>($G$16*F801ENE!K53)*$L75</f>
        <v>0</v>
      </c>
      <c r="E75" s="156">
        <f>($G$16*F801ENE!L53)*$L75</f>
        <v>0</v>
      </c>
      <c r="F75" s="156">
        <f>($G$16*F801ENE!M53)*$L75</f>
        <v>0</v>
      </c>
      <c r="G75" s="156">
        <f>($G$16*F801ENE!N53)*$L75</f>
        <v>0</v>
      </c>
      <c r="H75" s="156">
        <f>($G$16*F801ENE!O53)*$L75</f>
        <v>0</v>
      </c>
      <c r="I75" s="156">
        <f>($G$16*F801ENE!P53)*$L75</f>
        <v>0</v>
      </c>
      <c r="J75" s="156">
        <f t="shared" si="13"/>
        <v>0</v>
      </c>
      <c r="K75" s="69"/>
      <c r="L75" s="319">
        <v>1</v>
      </c>
      <c r="M75" s="69"/>
    </row>
    <row r="76" spans="2:13" s="37" customFormat="1" ht="15.75">
      <c r="B76" s="48"/>
      <c r="C76" s="160" t="str">
        <f>F801ENE!$C$54</f>
        <v xml:space="preserve">    - Agropecuarios</v>
      </c>
      <c r="D76" s="156">
        <f>($G$16*F801ENE!K54)*$L76</f>
        <v>0</v>
      </c>
      <c r="E76" s="156">
        <f>($G$16*F801ENE!L54)*$L76</f>
        <v>0</v>
      </c>
      <c r="F76" s="156">
        <f>($G$16*F801ENE!M54)*$L76</f>
        <v>0</v>
      </c>
      <c r="G76" s="156">
        <f>($G$16*F801ENE!N54)*$L76</f>
        <v>0</v>
      </c>
      <c r="H76" s="156">
        <f>($G$16*F801ENE!O54)*$L76</f>
        <v>0</v>
      </c>
      <c r="I76" s="156">
        <f>($G$16*F801ENE!P54)*$L76</f>
        <v>0</v>
      </c>
      <c r="J76" s="156">
        <f t="shared" si="13"/>
        <v>0</v>
      </c>
      <c r="K76" s="69"/>
      <c r="L76" s="319">
        <v>0.95</v>
      </c>
      <c r="M76" s="69"/>
    </row>
    <row r="77" spans="2:13" s="37" customFormat="1" ht="15.75">
      <c r="B77" s="48"/>
      <c r="C77" s="160" t="str">
        <f>F801ENE!$C$55</f>
        <v xml:space="preserve">    - Partidos Políticos</v>
      </c>
      <c r="D77" s="156">
        <f>($G$16*F801ENE!K55)*$L77</f>
        <v>0</v>
      </c>
      <c r="E77" s="156">
        <f>($G$16*F801ENE!L55)*$L77</f>
        <v>0</v>
      </c>
      <c r="F77" s="156">
        <f>($G$16*F801ENE!M55)*$L77</f>
        <v>0</v>
      </c>
      <c r="G77" s="156">
        <f>($G$16*F801ENE!N55)*$L77</f>
        <v>0</v>
      </c>
      <c r="H77" s="156">
        <f>($G$16*F801ENE!O55)*$L77</f>
        <v>0</v>
      </c>
      <c r="I77" s="156">
        <f>($G$16*F801ENE!P55)*$L77</f>
        <v>0</v>
      </c>
      <c r="J77" s="156">
        <f t="shared" si="13"/>
        <v>0</v>
      </c>
      <c r="K77" s="69"/>
      <c r="L77" s="319">
        <v>0.5</v>
      </c>
      <c r="M77" s="69"/>
    </row>
    <row r="78" spans="2:13" s="37" customFormat="1" ht="15.75">
      <c r="B78" s="48"/>
      <c r="C78" s="160" t="str">
        <f>F801ENE!$C$56</f>
        <v xml:space="preserve">    - Cruz Roja</v>
      </c>
      <c r="D78" s="156">
        <f>($G$16*F801ENE!K56)*$L78</f>
        <v>0</v>
      </c>
      <c r="E78" s="156">
        <f>($G$16*F801ENE!L56)*$L78</f>
        <v>0</v>
      </c>
      <c r="F78" s="156">
        <f>($G$16*F801ENE!M56)*$L78</f>
        <v>0</v>
      </c>
      <c r="G78" s="156">
        <f>($G$16*F801ENE!N56)*$L78</f>
        <v>0</v>
      </c>
      <c r="H78" s="156">
        <f>($G$16*F801ENE!O56)*$L78</f>
        <v>0</v>
      </c>
      <c r="I78" s="156">
        <f>($G$16*F801ENE!P56)*$L78</f>
        <v>0</v>
      </c>
      <c r="J78" s="156">
        <f t="shared" si="13"/>
        <v>0</v>
      </c>
      <c r="K78" s="69"/>
      <c r="L78" s="319">
        <v>0</v>
      </c>
      <c r="M78" s="69"/>
    </row>
    <row r="79" spans="2:13" s="37" customFormat="1" ht="15.75">
      <c r="B79" s="48" t="s">
        <v>751</v>
      </c>
      <c r="C79" s="158" t="s">
        <v>634</v>
      </c>
      <c r="D79" s="159">
        <f t="shared" ref="D79" si="14">SUM(D80:D84)</f>
        <v>76788.685131661696</v>
      </c>
      <c r="E79" s="159">
        <f t="shared" ref="E79:I79" si="15">SUM(E80:E84)</f>
        <v>76820.732746152236</v>
      </c>
      <c r="F79" s="159">
        <f t="shared" si="15"/>
        <v>75369.778029151203</v>
      </c>
      <c r="G79" s="159">
        <f t="shared" si="15"/>
        <v>76557.39902088797</v>
      </c>
      <c r="H79" s="159">
        <f t="shared" si="15"/>
        <v>73240.143013515146</v>
      </c>
      <c r="I79" s="159">
        <f t="shared" si="15"/>
        <v>73583.341292004538</v>
      </c>
      <c r="J79" s="159">
        <f t="shared" si="13"/>
        <v>452360.07923337282</v>
      </c>
      <c r="K79" s="69"/>
      <c r="L79" s="319"/>
      <c r="M79" s="69"/>
    </row>
    <row r="80" spans="2:13" s="37" customFormat="1" ht="15.75">
      <c r="B80" s="48"/>
      <c r="C80" s="160" t="s">
        <v>304</v>
      </c>
      <c r="D80" s="156">
        <f>(($E$18+$F$18)*F801ENE!K66)*$L80</f>
        <v>54266.564558248116</v>
      </c>
      <c r="E80" s="156">
        <f>(($E$18+$F$18)*F801ENE!L66)*$L80</f>
        <v>54289.212724970705</v>
      </c>
      <c r="F80" s="156">
        <f>(($E$18+$F$18)*F801ENE!M66)*$L80</f>
        <v>53263.817703844339</v>
      </c>
      <c r="G80" s="156">
        <f>(($E$18+$F$18)*F801ENE!N66)*$L80</f>
        <v>54103.113815323995</v>
      </c>
      <c r="H80" s="156">
        <f>(($E$18+$F$18)*F801ENE!O66)*$L80</f>
        <v>51758.796826030084</v>
      </c>
      <c r="I80" s="156">
        <f>(($E$18+$F$18)*F801ENE!P66)*$L80</f>
        <v>52001.336308412778</v>
      </c>
      <c r="J80" s="156">
        <f t="shared" si="13"/>
        <v>319682.84193683002</v>
      </c>
      <c r="K80" s="69"/>
      <c r="L80" s="319">
        <v>1</v>
      </c>
      <c r="M80" s="329"/>
    </row>
    <row r="81" spans="1:28" s="37" customFormat="1" ht="15.75">
      <c r="B81" s="48"/>
      <c r="C81" s="162" t="s">
        <v>644</v>
      </c>
      <c r="D81" s="156">
        <f>(($E$18+$F$18)*F801ENE!K67)*$L81</f>
        <v>22517.324870762655</v>
      </c>
      <c r="E81" s="156">
        <f>(($E$18+$F$18)*F801ENE!L67)*$L81</f>
        <v>22526.722317078005</v>
      </c>
      <c r="F81" s="156">
        <f>(($E$18+$F$18)*F801ENE!M67)*$L81</f>
        <v>22101.253236905155</v>
      </c>
      <c r="G81" s="156">
        <f>(($E$18+$F$18)*F801ENE!N67)*$L81</f>
        <v>22449.503947301273</v>
      </c>
      <c r="H81" s="156">
        <f>(($E$18+$F$18)*F801ENE!O67)*$L81</f>
        <v>21476.772100044196</v>
      </c>
      <c r="I81" s="156">
        <f>(($E$18+$F$18)*F801ENE!P67)*$L81</f>
        <v>21577.409462571668</v>
      </c>
      <c r="J81" s="156">
        <f t="shared" si="13"/>
        <v>132648.98593466295</v>
      </c>
      <c r="K81" s="69"/>
      <c r="L81" s="319">
        <v>0.75</v>
      </c>
      <c r="M81" s="329"/>
    </row>
    <row r="82" spans="1:28" s="37" customFormat="1" ht="15.75">
      <c r="B82" s="48"/>
      <c r="C82" s="160" t="s">
        <v>305</v>
      </c>
      <c r="D82" s="156">
        <f>(($E$18+$F$18)*F801ENE!K68)*$L82</f>
        <v>4.6279740796036695</v>
      </c>
      <c r="E82" s="156">
        <f>(($E$18+$F$18)*F801ENE!L68)*$L82</f>
        <v>4.6299055318614988</v>
      </c>
      <c r="F82" s="156">
        <f>(($E$18+$F$18)*F801ENE!M68)*$L82</f>
        <v>4.5424590929077544</v>
      </c>
      <c r="G82" s="156">
        <f>(($E$18+$F$18)*F801ENE!N68)*$L82</f>
        <v>4.6140348804476634</v>
      </c>
      <c r="H82" s="156">
        <f>(($E$18+$F$18)*F801ENE!O68)*$L82</f>
        <v>4.4141098093591316</v>
      </c>
      <c r="I82" s="156">
        <f>(($E$18+$F$18)*F801ENE!P68)*$L82</f>
        <v>4.4347937541833939</v>
      </c>
      <c r="J82" s="156">
        <f t="shared" si="13"/>
        <v>27.263277148363116</v>
      </c>
      <c r="K82" s="69"/>
      <c r="L82" s="319">
        <v>0.95</v>
      </c>
      <c r="M82" s="329"/>
    </row>
    <row r="83" spans="1:28" s="37" customFormat="1" ht="15.75">
      <c r="B83" s="48"/>
      <c r="C83" s="160" t="s">
        <v>307</v>
      </c>
      <c r="D83" s="156">
        <f>(($E$18+$F$18)*F801ENE!K69)*$L83</f>
        <v>0.16772857132193464</v>
      </c>
      <c r="E83" s="156">
        <f>(($E$18+$F$18)*F801ENE!L69)*$L83</f>
        <v>0.16779857165517115</v>
      </c>
      <c r="F83" s="156">
        <f>(($E$18+$F$18)*F801ENE!M69)*$L83</f>
        <v>0.16462930881561819</v>
      </c>
      <c r="G83" s="156">
        <f>(($E$18+$F$18)*F801ENE!N69)*$L83</f>
        <v>0.16722338224360492</v>
      </c>
      <c r="H83" s="156">
        <f>(($E$18+$F$18)*F801ENE!O69)*$L83</f>
        <v>0.15997763151805477</v>
      </c>
      <c r="I83" s="156">
        <f>(($E$18+$F$18)*F801ENE!P69)*$L83</f>
        <v>0.16072726590558623</v>
      </c>
      <c r="J83" s="156">
        <f t="shared" si="13"/>
        <v>0.98808473145996989</v>
      </c>
      <c r="K83" s="69"/>
      <c r="L83" s="319">
        <v>0.5</v>
      </c>
      <c r="M83" s="329"/>
    </row>
    <row r="84" spans="1:28" s="37" customFormat="1" ht="15.75">
      <c r="B84" s="48"/>
      <c r="C84" s="160" t="s">
        <v>624</v>
      </c>
      <c r="D84" s="156">
        <f>(($E$18+$F$18)*F801ENE!K70)*$L84</f>
        <v>0</v>
      </c>
      <c r="E84" s="156">
        <f>(($E$18+$F$18)*F801ENE!L70)*$L84</f>
        <v>0</v>
      </c>
      <c r="F84" s="156">
        <f>(($E$18+$F$18)*F801ENE!M70)*$L84</f>
        <v>0</v>
      </c>
      <c r="G84" s="156">
        <f>(($E$18+$F$18)*F801ENE!N70)*$L84</f>
        <v>0</v>
      </c>
      <c r="H84" s="156">
        <f>(($E$18+$F$18)*F801ENE!O70)*$L84</f>
        <v>0</v>
      </c>
      <c r="I84" s="156">
        <f>(($E$18+$F$18)*F801ENE!P70)*$L84</f>
        <v>0</v>
      </c>
      <c r="J84" s="156">
        <f t="shared" si="13"/>
        <v>0</v>
      </c>
      <c r="K84" s="69"/>
      <c r="L84" s="319">
        <v>0</v>
      </c>
      <c r="M84" s="329"/>
    </row>
    <row r="85" spans="1:28" s="37" customFormat="1" ht="15.75">
      <c r="B85" s="48" t="s">
        <v>750</v>
      </c>
      <c r="C85" s="158" t="s">
        <v>635</v>
      </c>
      <c r="D85" s="159">
        <f t="shared" ref="D85" si="16">SUM(D86:D91)</f>
        <v>39871.794400339008</v>
      </c>
      <c r="E85" s="159">
        <f t="shared" ref="E85:I85" si="17">SUM(E86:E91)</f>
        <v>39888.434611799494</v>
      </c>
      <c r="F85" s="159">
        <f t="shared" si="17"/>
        <v>39135.049572248005</v>
      </c>
      <c r="G85" s="159">
        <f t="shared" si="17"/>
        <v>39751.702785024419</v>
      </c>
      <c r="H85" s="159">
        <f t="shared" si="17"/>
        <v>38029.270638084279</v>
      </c>
      <c r="I85" s="159">
        <f t="shared" si="17"/>
        <v>38207.470857280743</v>
      </c>
      <c r="J85" s="159">
        <f t="shared" si="13"/>
        <v>234883.72286477595</v>
      </c>
      <c r="K85" s="69"/>
      <c r="L85" s="319"/>
      <c r="M85" s="69"/>
    </row>
    <row r="86" spans="1:28" s="37" customFormat="1" ht="15.75">
      <c r="A86" s="60"/>
      <c r="B86" s="48"/>
      <c r="C86" s="160" t="s">
        <v>304</v>
      </c>
      <c r="D86" s="156">
        <f>(($E$19+$F$19)*F801ENE!K72)*$L86</f>
        <v>28688.456718382782</v>
      </c>
      <c r="E86" s="156">
        <f>(($E$19+$F$19)*F801ENE!L72)*$L86</f>
        <v>28700.429642938816</v>
      </c>
      <c r="F86" s="156">
        <f>(($E$19+$F$19)*F801ENE!M72)*$L86</f>
        <v>28158.355868118535</v>
      </c>
      <c r="G86" s="156">
        <f>(($E$19+$F$19)*F801ENE!N72)*$L86</f>
        <v>28602.048690853328</v>
      </c>
      <c r="H86" s="156">
        <f>(($E$19+$F$19)*F801ENE!O72)*$L86</f>
        <v>27362.728493680985</v>
      </c>
      <c r="I86" s="156">
        <f>(($E$19+$F$19)*F801ENE!P72)*$L86</f>
        <v>27490.946682817226</v>
      </c>
      <c r="J86" s="330">
        <f t="shared" si="13"/>
        <v>169002.96609679164</v>
      </c>
      <c r="K86" s="69"/>
      <c r="L86" s="319">
        <v>1</v>
      </c>
      <c r="M86" s="329"/>
      <c r="O86" s="60"/>
      <c r="P86" s="60"/>
      <c r="W86" s="60"/>
      <c r="X86" s="60"/>
      <c r="Y86" s="60"/>
      <c r="Z86" s="60"/>
      <c r="AA86" s="60"/>
      <c r="AB86" s="60"/>
    </row>
    <row r="87" spans="1:28" s="37" customFormat="1" ht="15.75">
      <c r="B87" s="48"/>
      <c r="C87" s="162" t="s">
        <v>642</v>
      </c>
      <c r="D87" s="156">
        <f>(($E$19+$F$19)*F801ENE!K73)*$L87</f>
        <v>9028.259853331132</v>
      </c>
      <c r="E87" s="156">
        <f>(($E$19+$F$19)*F801ENE!L73)*$L87</f>
        <v>9032.0277337423104</v>
      </c>
      <c r="F87" s="156">
        <f>(($E$19+$F$19)*F801ENE!M73)*$L87</f>
        <v>8861.4370691138538</v>
      </c>
      <c r="G87" s="156">
        <f>(($E$19+$F$19)*F801ENE!N73)*$L87</f>
        <v>9001.0672394652938</v>
      </c>
      <c r="H87" s="156">
        <f>(($E$19+$F$19)*F801ENE!O73)*$L87</f>
        <v>8611.0530643777965</v>
      </c>
      <c r="I87" s="156">
        <f>(($E$19+$F$19)*F801ENE!P73)*$L87</f>
        <v>8651.4033397798121</v>
      </c>
      <c r="J87" s="330">
        <f t="shared" si="13"/>
        <v>53185.248299810199</v>
      </c>
      <c r="K87" s="69"/>
      <c r="L87" s="319">
        <v>0.75</v>
      </c>
      <c r="M87" s="329"/>
      <c r="Q87" s="60"/>
      <c r="W87" s="60"/>
      <c r="X87" s="60"/>
      <c r="Y87" s="60"/>
      <c r="Z87" s="60"/>
      <c r="AA87" s="60"/>
      <c r="AB87" s="60"/>
    </row>
    <row r="88" spans="1:28" s="37" customFormat="1" ht="15.75">
      <c r="B88" s="48"/>
      <c r="C88" s="162" t="s">
        <v>1177</v>
      </c>
      <c r="D88" s="156">
        <f>(($E$19+$F$19)*F801ENE!K74)*$L88</f>
        <v>2148.462895476946</v>
      </c>
      <c r="E88" s="156">
        <f>(($E$19+$F$19)*F801ENE!L74)*$L88</f>
        <v>2149.359541274644</v>
      </c>
      <c r="F88" s="156">
        <f>(($E$19+$F$19)*F801ENE!M74)*$L88</f>
        <v>2108.7639315754218</v>
      </c>
      <c r="G88" s="156">
        <f>(($E$19+$F$19)*F801ENE!N74)*$L88</f>
        <v>2141.9918453664172</v>
      </c>
      <c r="H88" s="156">
        <f>(($E$19+$F$19)*F801ENE!O74)*$L88</f>
        <v>2049.1798309252986</v>
      </c>
      <c r="I88" s="156">
        <f>(($E$19+$F$19)*F801ENE!P74)*$L88</f>
        <v>2058.7820212622905</v>
      </c>
      <c r="J88" s="330">
        <f t="shared" si="13"/>
        <v>12656.540065881019</v>
      </c>
      <c r="K88" s="69"/>
      <c r="L88" s="319">
        <v>1</v>
      </c>
      <c r="M88" s="329"/>
      <c r="W88" s="60"/>
      <c r="X88" s="60"/>
      <c r="Y88" s="60"/>
      <c r="Z88" s="60"/>
      <c r="AA88" s="60"/>
      <c r="AB88" s="60"/>
    </row>
    <row r="89" spans="1:28" s="37" customFormat="1" ht="15.75">
      <c r="B89" s="48"/>
      <c r="C89" s="160" t="s">
        <v>305</v>
      </c>
      <c r="D89" s="156">
        <f>(($E$19+$F$19)*F801ENE!K75)*$L89</f>
        <v>6.3070091284149195</v>
      </c>
      <c r="E89" s="156">
        <f>(($E$19+$F$19)*F801ENE!L75)*$L89</f>
        <v>6.3096413140779513</v>
      </c>
      <c r="F89" s="156">
        <f>(($E$19+$F$19)*F801ENE!M75)*$L89</f>
        <v>6.1904691927043016</v>
      </c>
      <c r="G89" s="156">
        <f>(($E$19+$F$19)*F801ENE!N75)*$L89</f>
        <v>6.2880127695746246</v>
      </c>
      <c r="H89" s="156">
        <f>(($E$19+$F$19)*F801ENE!O75)*$L89</f>
        <v>6.0155546212216517</v>
      </c>
      <c r="I89" s="156">
        <f>(($E$19+$F$19)*F801ENE!P75)*$L89</f>
        <v>6.0437427282798115</v>
      </c>
      <c r="J89" s="156">
        <f t="shared" si="13"/>
        <v>37.154429754273259</v>
      </c>
      <c r="K89" s="69"/>
      <c r="L89" s="319">
        <v>0.95</v>
      </c>
      <c r="M89" s="329"/>
      <c r="W89" s="60"/>
      <c r="X89" s="60"/>
      <c r="Y89" s="60"/>
      <c r="Z89" s="60"/>
      <c r="AA89" s="60"/>
      <c r="AB89" s="60"/>
    </row>
    <row r="90" spans="1:28" s="37" customFormat="1" ht="15.75">
      <c r="B90" s="48"/>
      <c r="C90" s="160" t="s">
        <v>307</v>
      </c>
      <c r="D90" s="156">
        <f>(($E$19+$F$19)*F801ENE!K76)*$L90</f>
        <v>0.30792401973542594</v>
      </c>
      <c r="E90" s="156">
        <f>(($E$19+$F$19)*F801ENE!L76)*$L90</f>
        <v>0.3080525296477391</v>
      </c>
      <c r="F90" s="156">
        <f>(($E$19+$F$19)*F801ENE!M76)*$L90</f>
        <v>0.30223424749424632</v>
      </c>
      <c r="G90" s="156">
        <f>(($E$19+$F$19)*F801ENE!N76)*$L90</f>
        <v>0.30699656980546047</v>
      </c>
      <c r="H90" s="156">
        <f>(($E$19+$F$19)*F801ENE!O76)*$L90</f>
        <v>0.29369447898200818</v>
      </c>
      <c r="I90" s="156">
        <f>(($E$19+$F$19)*F801ENE!P76)*$L90</f>
        <v>0.29507069313634887</v>
      </c>
      <c r="J90" s="156">
        <f t="shared" si="13"/>
        <v>1.8139725388012289</v>
      </c>
      <c r="K90" s="69"/>
      <c r="L90" s="319">
        <v>0.5</v>
      </c>
      <c r="M90" s="329"/>
      <c r="W90" s="60"/>
      <c r="X90" s="60"/>
      <c r="Y90" s="60"/>
      <c r="Z90" s="60"/>
      <c r="AA90" s="60"/>
      <c r="AB90" s="60"/>
    </row>
    <row r="91" spans="1:28" s="37" customFormat="1" ht="15.75">
      <c r="B91" s="48"/>
      <c r="C91" s="160" t="s">
        <v>624</v>
      </c>
      <c r="D91" s="156">
        <f>(($E$19+$F$19)*F801ENE!K77)*$L91</f>
        <v>0</v>
      </c>
      <c r="E91" s="156">
        <f>(($E$19+$F$19)*F801ENE!L77)*$L91</f>
        <v>0</v>
      </c>
      <c r="F91" s="156">
        <f>(($E$19+$F$19)*F801ENE!M77)*$L91</f>
        <v>0</v>
      </c>
      <c r="G91" s="156">
        <f>(($E$19+$F$19)*F801ENE!N77)*$L91</f>
        <v>0</v>
      </c>
      <c r="H91" s="156">
        <f>(($E$19+$F$19)*F801ENE!O77)*$L91</f>
        <v>0</v>
      </c>
      <c r="I91" s="156">
        <f>(($E$19+$F$19)*F801ENE!P77)*$L91</f>
        <v>0</v>
      </c>
      <c r="J91" s="156"/>
      <c r="K91" s="69"/>
      <c r="L91" s="319">
        <v>0</v>
      </c>
      <c r="M91" s="329"/>
    </row>
    <row r="92" spans="1:28" s="37" customFormat="1" ht="15.75">
      <c r="B92" s="48" t="s">
        <v>749</v>
      </c>
      <c r="C92" s="158" t="s">
        <v>636</v>
      </c>
      <c r="D92" s="159">
        <f t="shared" ref="D92" si="18">SUM(D93:D98)</f>
        <v>50095.281050438352</v>
      </c>
      <c r="E92" s="159">
        <f t="shared" ref="E92:I92" si="19">SUM(E93:E98)</f>
        <v>50116.187961762211</v>
      </c>
      <c r="F92" s="159">
        <f t="shared" si="19"/>
        <v>49169.628222900639</v>
      </c>
      <c r="G92" s="159">
        <f t="shared" si="19"/>
        <v>49944.396864976778</v>
      </c>
      <c r="H92" s="159">
        <f t="shared" si="19"/>
        <v>47780.31762578051</v>
      </c>
      <c r="I92" s="159">
        <f t="shared" si="19"/>
        <v>48004.209983728178</v>
      </c>
      <c r="J92" s="159">
        <f t="shared" ref="J92:J97" si="20">SUM(D92:I92)</f>
        <v>295110.02170958667</v>
      </c>
      <c r="K92" s="69"/>
      <c r="L92" s="319"/>
      <c r="M92" s="69"/>
    </row>
    <row r="93" spans="1:28" s="37" customFormat="1" ht="15.75">
      <c r="B93" s="48"/>
      <c r="C93" s="160" t="s">
        <v>304</v>
      </c>
      <c r="D93" s="156">
        <f>(($E$20+$F$20)*F801ENE!K79)*$L93</f>
        <v>45610.809191253902</v>
      </c>
      <c r="E93" s="156">
        <f>(($E$20+$F$20)*F801ENE!L79)*$L93</f>
        <v>45629.844539956925</v>
      </c>
      <c r="F93" s="156">
        <f>(($E$20+$F$20)*F801ENE!M79)*$L93</f>
        <v>44768.019738657393</v>
      </c>
      <c r="G93" s="156">
        <f>(($E$20+$F$20)*F801ENE!N79)*$L93</f>
        <v>45473.431984284325</v>
      </c>
      <c r="H93" s="156">
        <f>(($E$20+$F$20)*F801ENE!O79)*$L93</f>
        <v>43503.078625963928</v>
      </c>
      <c r="I93" s="156">
        <f>(($E$20+$F$20)*F801ENE!P79)*$L93</f>
        <v>43706.928397910502</v>
      </c>
      <c r="J93" s="330">
        <f t="shared" si="20"/>
        <v>268692.112478027</v>
      </c>
      <c r="K93" s="69"/>
      <c r="L93" s="319">
        <v>1</v>
      </c>
      <c r="M93" s="329"/>
      <c r="W93" s="60"/>
      <c r="X93" s="60"/>
      <c r="Y93" s="60"/>
      <c r="Z93" s="60"/>
      <c r="AA93" s="60"/>
      <c r="AB93" s="60"/>
    </row>
    <row r="94" spans="1:28" s="37" customFormat="1" ht="15.75">
      <c r="B94" s="48"/>
      <c r="C94" s="162" t="s">
        <v>642</v>
      </c>
      <c r="D94" s="156">
        <f>(($E$20+$F$20)*F801ENE!K80)*$L94</f>
        <v>0</v>
      </c>
      <c r="E94" s="156">
        <f>(($E$20+$F$20)*F801ENE!L80)*$L94</f>
        <v>0</v>
      </c>
      <c r="F94" s="156">
        <f>(($E$20+$F$20)*F801ENE!M80)*$L94</f>
        <v>0</v>
      </c>
      <c r="G94" s="156">
        <f>(($E$20+$F$20)*F801ENE!N80)*$L94</f>
        <v>0</v>
      </c>
      <c r="H94" s="156">
        <f>(($E$20+$F$20)*F801ENE!O80)*$L94</f>
        <v>0</v>
      </c>
      <c r="I94" s="156">
        <f>(($E$20+$F$20)*F801ENE!P80)*$L94</f>
        <v>0</v>
      </c>
      <c r="J94" s="330">
        <f t="shared" si="20"/>
        <v>0</v>
      </c>
      <c r="K94" s="69"/>
      <c r="L94" s="319">
        <v>0.75</v>
      </c>
      <c r="M94" s="329"/>
      <c r="W94" s="60"/>
      <c r="X94" s="60"/>
      <c r="Y94" s="60"/>
      <c r="Z94" s="60"/>
      <c r="AA94" s="60"/>
      <c r="AB94" s="60"/>
    </row>
    <row r="95" spans="1:28" s="37" customFormat="1" ht="15.75">
      <c r="B95" s="48"/>
      <c r="C95" s="162" t="s">
        <v>1177</v>
      </c>
      <c r="D95" s="156">
        <f>(($E$20+$F$20)*F801ENE!K81)*$L95</f>
        <v>4452.7263920706018</v>
      </c>
      <c r="E95" s="156">
        <f>(($E$20+$F$20)*F801ENE!L81)*$L95</f>
        <v>4454.5847059452108</v>
      </c>
      <c r="F95" s="156">
        <f>(($E$20+$F$20)*F801ENE!M81)*$L95</f>
        <v>4370.4496049432464</v>
      </c>
      <c r="G95" s="156">
        <f>(($E$20+$F$20)*F801ENE!N81)*$L95</f>
        <v>4439.3150291505235</v>
      </c>
      <c r="H95" s="156">
        <f>(($E$20+$F$20)*F801ENE!O81)*$L95</f>
        <v>4246.9605290689824</v>
      </c>
      <c r="I95" s="156">
        <f>(($E$20+$F$20)*F801ENE!P81)*$L95</f>
        <v>4266.8612340917325</v>
      </c>
      <c r="J95" s="330">
        <f t="shared" si="20"/>
        <v>26230.897495270296</v>
      </c>
      <c r="K95" s="69"/>
      <c r="L95" s="319">
        <v>1</v>
      </c>
      <c r="M95" s="329"/>
      <c r="W95" s="60"/>
      <c r="X95" s="60"/>
      <c r="Y95" s="60"/>
      <c r="Z95" s="60"/>
      <c r="AA95" s="60"/>
      <c r="AB95" s="60"/>
    </row>
    <row r="96" spans="1:28" s="37" customFormat="1" ht="15.75">
      <c r="B96" s="48"/>
      <c r="C96" s="160" t="s">
        <v>305</v>
      </c>
      <c r="D96" s="156">
        <f>(($E$20+$F$20)*F801ENE!K82)*$L96</f>
        <v>31.613437533763044</v>
      </c>
      <c r="E96" s="156">
        <f>(($E$20+$F$20)*F801ENE!L82)*$L96</f>
        <v>31.626631178379903</v>
      </c>
      <c r="F96" s="156">
        <f>(($E$20+$F$20)*F801ENE!M82)*$L96</f>
        <v>31.029289342003203</v>
      </c>
      <c r="G96" s="156">
        <f>(($E$20+$F$20)*F801ENE!N82)*$L96</f>
        <v>31.518219627567067</v>
      </c>
      <c r="H96" s="156">
        <f>(($E$20+$F$20)*F801ENE!O82)*$L96</f>
        <v>30.152542413827859</v>
      </c>
      <c r="I96" s="156">
        <f>(($E$20+$F$20)*F801ENE!P82)*$L96</f>
        <v>30.293833308376179</v>
      </c>
      <c r="J96" s="156">
        <f t="shared" si="20"/>
        <v>186.23395340391727</v>
      </c>
      <c r="K96" s="69"/>
      <c r="L96" s="319">
        <v>0.95</v>
      </c>
      <c r="M96" s="329"/>
      <c r="W96" s="60"/>
      <c r="X96" s="60"/>
      <c r="Y96" s="60"/>
      <c r="Z96" s="60"/>
      <c r="AA96" s="60"/>
      <c r="AB96" s="60"/>
    </row>
    <row r="97" spans="2:28" s="37" customFormat="1" ht="15.75">
      <c r="B97" s="48"/>
      <c r="C97" s="160" t="s">
        <v>307</v>
      </c>
      <c r="D97" s="156">
        <f>(($E$20+$F$20)*F801ENE!K83)*$L97</f>
        <v>0.13202958008228816</v>
      </c>
      <c r="E97" s="156">
        <f>(($E$20+$F$20)*F801ENE!L83)*$L97</f>
        <v>0.13208468169395748</v>
      </c>
      <c r="F97" s="156">
        <f>(($E$20+$F$20)*F801ENE!M83)*$L97</f>
        <v>0.12958995799495548</v>
      </c>
      <c r="G97" s="156">
        <f>(($E$20+$F$20)*F801ENE!N83)*$L97</f>
        <v>0.131631914369474</v>
      </c>
      <c r="H97" s="156">
        <f>(($E$20+$F$20)*F801ENE!O83)*$L97</f>
        <v>0.12592833376817539</v>
      </c>
      <c r="I97" s="156">
        <f>(($E$20+$F$20)*F801ENE!P83)*$L97</f>
        <v>0.12651841757215088</v>
      </c>
      <c r="J97" s="156">
        <f t="shared" si="20"/>
        <v>0.77778288548100138</v>
      </c>
      <c r="K97" s="69"/>
      <c r="L97" s="319">
        <v>0.5</v>
      </c>
      <c r="M97" s="329"/>
      <c r="W97" s="60"/>
      <c r="X97" s="60"/>
      <c r="Y97" s="60"/>
      <c r="Z97" s="60"/>
      <c r="AA97" s="60"/>
      <c r="AB97" s="60"/>
    </row>
    <row r="98" spans="2:28" s="37" customFormat="1" ht="15.75">
      <c r="B98" s="48"/>
      <c r="C98" s="160" t="s">
        <v>624</v>
      </c>
      <c r="D98" s="156">
        <f>(($E$20+$F$20)*F801ENE!K84)*$L98</f>
        <v>0</v>
      </c>
      <c r="E98" s="156">
        <f>(($E$20+$F$20)*F801ENE!L84)*$L98</f>
        <v>0</v>
      </c>
      <c r="F98" s="156">
        <f>(($E$20+$F$20)*F801ENE!M84)*$L98</f>
        <v>0</v>
      </c>
      <c r="G98" s="156">
        <f>(($E$20+$F$20)*F801ENE!N84)*$L98</f>
        <v>0</v>
      </c>
      <c r="H98" s="156">
        <f>(($E$20+$F$20)*F801ENE!O84)*$L98</f>
        <v>0</v>
      </c>
      <c r="I98" s="156">
        <f>(($E$20+$F$20)*F801ENE!P84)*$L98</f>
        <v>0</v>
      </c>
      <c r="J98" s="156"/>
      <c r="K98" s="69"/>
      <c r="L98" s="319">
        <v>0</v>
      </c>
      <c r="M98" s="329"/>
    </row>
    <row r="99" spans="2:28" s="37" customFormat="1" ht="15.75">
      <c r="B99" s="48"/>
      <c r="C99" s="157"/>
      <c r="D99" s="156"/>
      <c r="E99" s="156"/>
      <c r="F99" s="156"/>
      <c r="G99" s="156"/>
      <c r="H99" s="156"/>
      <c r="I99" s="156"/>
      <c r="J99" s="156"/>
      <c r="K99" s="69"/>
      <c r="L99" s="319"/>
      <c r="M99" s="69"/>
    </row>
    <row r="100" spans="2:28" s="37" customFormat="1" ht="15.75">
      <c r="B100" s="48" t="s">
        <v>902</v>
      </c>
      <c r="C100" s="158" t="s">
        <v>898</v>
      </c>
      <c r="D100" s="159">
        <f t="shared" ref="D100" si="21">SUM(D101:D105)</f>
        <v>13171.673161278472</v>
      </c>
      <c r="E100" s="159">
        <f t="shared" ref="E100:I100" si="22">SUM(E101:E105)</f>
        <v>13177.170265935743</v>
      </c>
      <c r="F100" s="159">
        <f t="shared" si="22"/>
        <v>12928.289029091167</v>
      </c>
      <c r="G100" s="159">
        <f t="shared" si="22"/>
        <v>13132.000818206789</v>
      </c>
      <c r="H100" s="159">
        <f t="shared" si="22"/>
        <v>12562.994240419515</v>
      </c>
      <c r="I100" s="159">
        <f t="shared" si="22"/>
        <v>12621.862798502369</v>
      </c>
      <c r="J100" s="159">
        <f t="shared" ref="J100:J119" si="23">SUM(D100:I100)</f>
        <v>77593.990313434057</v>
      </c>
      <c r="K100" s="69"/>
      <c r="L100" s="319"/>
      <c r="M100" s="69"/>
    </row>
    <row r="101" spans="2:28" s="37" customFormat="1" ht="15.75">
      <c r="B101" s="48"/>
      <c r="C101" s="160" t="s">
        <v>304</v>
      </c>
      <c r="D101" s="156">
        <f>(($E$17+$F$17)*F801ENE!K87)*$L101</f>
        <v>12668.671106345015</v>
      </c>
      <c r="E101" s="156">
        <f>(($E$17+$F$17)*F801ENE!L87)*$L101</f>
        <v>12673.958286651376</v>
      </c>
      <c r="F101" s="156">
        <f>(($E$17+$F$17)*F801ENE!M87)*$L101</f>
        <v>12434.581368053568</v>
      </c>
      <c r="G101" s="156">
        <f>(($E$17+$F$17)*F801ENE!N87)*$L101</f>
        <v>12630.513777337585</v>
      </c>
      <c r="H101" s="156">
        <f>(($E$17+$F$17)*F801ENE!O87)*$L101</f>
        <v>12083.236517792056</v>
      </c>
      <c r="I101" s="156">
        <f>(($E$17+$F$17)*F801ENE!P87)*$L101</f>
        <v>12139.856993545194</v>
      </c>
      <c r="J101" s="156">
        <f t="shared" si="23"/>
        <v>74630.818049724796</v>
      </c>
      <c r="K101" s="69"/>
      <c r="L101" s="319">
        <v>1</v>
      </c>
      <c r="M101" s="329"/>
    </row>
    <row r="102" spans="2:28" s="37" customFormat="1" ht="15.75">
      <c r="B102" s="48"/>
      <c r="C102" s="162" t="s">
        <v>644</v>
      </c>
      <c r="D102" s="156">
        <f>(($E$17+$F$17)*F801ENE!K88)*$L102</f>
        <v>503.00205493345629</v>
      </c>
      <c r="E102" s="156">
        <f>(($E$17+$F$17)*F801ENE!L88)*$L102</f>
        <v>503.21197928436737</v>
      </c>
      <c r="F102" s="156">
        <f>(($E$17+$F$17)*F801ENE!M88)*$L102</f>
        <v>493.70766103759945</v>
      </c>
      <c r="G102" s="156">
        <f>(($E$17+$F$17)*F801ENE!N88)*$L102</f>
        <v>501.48704086920327</v>
      </c>
      <c r="H102" s="156">
        <f>(($E$17+$F$17)*F801ENE!O88)*$L102</f>
        <v>479.75772262745966</v>
      </c>
      <c r="I102" s="156">
        <f>(($E$17+$F$17)*F801ENE!P88)*$L102</f>
        <v>482.00580495717429</v>
      </c>
      <c r="J102" s="156">
        <f t="shared" si="23"/>
        <v>2963.1722637092603</v>
      </c>
      <c r="K102" s="69"/>
      <c r="L102" s="319">
        <v>0.75</v>
      </c>
      <c r="M102" s="329"/>
    </row>
    <row r="103" spans="2:28" s="37" customFormat="1" ht="15.75">
      <c r="B103" s="48"/>
      <c r="C103" s="160" t="s">
        <v>305</v>
      </c>
      <c r="D103" s="156">
        <f>(($E$17+$F$17)*F801ENE!K89)*$L103</f>
        <v>0</v>
      </c>
      <c r="E103" s="156">
        <f>(($E$17+$F$17)*F801ENE!L89)*$L103</f>
        <v>0</v>
      </c>
      <c r="F103" s="156">
        <f>(($E$17+$F$17)*F801ENE!M89)*$L103</f>
        <v>0</v>
      </c>
      <c r="G103" s="156">
        <f>(($E$17+$F$17)*F801ENE!N89)*$L103</f>
        <v>0</v>
      </c>
      <c r="H103" s="156">
        <f>(($E$17+$F$17)*F801ENE!O89)*$L103</f>
        <v>0</v>
      </c>
      <c r="I103" s="156">
        <f>(($E$17+$F$17)*F801ENE!P89)*$L103</f>
        <v>0</v>
      </c>
      <c r="J103" s="156">
        <f t="shared" si="23"/>
        <v>0</v>
      </c>
      <c r="K103" s="69"/>
      <c r="L103" s="319">
        <v>0.95</v>
      </c>
      <c r="M103" s="329"/>
    </row>
    <row r="104" spans="2:28" s="37" customFormat="1" ht="15.75">
      <c r="B104" s="48"/>
      <c r="C104" s="160" t="s">
        <v>307</v>
      </c>
      <c r="D104" s="156">
        <f>(($E$17+$F$17)*F801ENE!K90)*$L104</f>
        <v>0</v>
      </c>
      <c r="E104" s="156">
        <f>(($E$17+$F$17)*F801ENE!L90)*$L104</f>
        <v>0</v>
      </c>
      <c r="F104" s="156">
        <f>(($E$17+$F$17)*F801ENE!M90)*$L104</f>
        <v>0</v>
      </c>
      <c r="G104" s="156">
        <f>(($E$17+$F$17)*F801ENE!N90)*$L104</f>
        <v>0</v>
      </c>
      <c r="H104" s="156">
        <f>(($E$17+$F$17)*F801ENE!O90)*$L104</f>
        <v>0</v>
      </c>
      <c r="I104" s="156">
        <f>(($E$17+$F$17)*F801ENE!P90)*$L104</f>
        <v>0</v>
      </c>
      <c r="J104" s="156">
        <f t="shared" si="23"/>
        <v>0</v>
      </c>
      <c r="K104" s="69"/>
      <c r="L104" s="319">
        <v>0.5</v>
      </c>
      <c r="M104" s="329"/>
    </row>
    <row r="105" spans="2:28" s="37" customFormat="1" ht="15.75">
      <c r="B105" s="48"/>
      <c r="C105" s="160" t="s">
        <v>624</v>
      </c>
      <c r="D105" s="156">
        <f>(($E$17+$F$17)*F801ENE!K91)*$L105</f>
        <v>0</v>
      </c>
      <c r="E105" s="156">
        <f>(($E$17+$F$17)*F801ENE!L91)*$L105</f>
        <v>0</v>
      </c>
      <c r="F105" s="156">
        <f>(($E$17+$F$17)*F801ENE!M91)*$L105</f>
        <v>0</v>
      </c>
      <c r="G105" s="156">
        <f>(($E$17+$F$17)*F801ENE!N91)*$L105</f>
        <v>0</v>
      </c>
      <c r="H105" s="156">
        <f>(($E$17+$F$17)*F801ENE!O91)*$L105</f>
        <v>0</v>
      </c>
      <c r="I105" s="156">
        <f>(($E$17+$F$17)*F801ENE!P91)*$L105</f>
        <v>0</v>
      </c>
      <c r="J105" s="156">
        <f t="shared" si="23"/>
        <v>0</v>
      </c>
      <c r="K105" s="69"/>
      <c r="L105" s="319">
        <v>0</v>
      </c>
      <c r="M105" s="329"/>
    </row>
    <row r="106" spans="2:28" s="37" customFormat="1" ht="15.75">
      <c r="B106" s="48" t="s">
        <v>902</v>
      </c>
      <c r="C106" s="158" t="s">
        <v>899</v>
      </c>
      <c r="D106" s="159">
        <f t="shared" ref="D106:I106" si="24">SUM(D107:D112)</f>
        <v>1042.5291122625306</v>
      </c>
      <c r="E106" s="159">
        <f t="shared" si="24"/>
        <v>1042.9642044158347</v>
      </c>
      <c r="F106" s="159">
        <f t="shared" si="24"/>
        <v>1023.265421145905</v>
      </c>
      <c r="G106" s="159">
        <f t="shared" si="24"/>
        <v>1039.3890728690933</v>
      </c>
      <c r="H106" s="159">
        <f t="shared" si="24"/>
        <v>994.35258318788942</v>
      </c>
      <c r="I106" s="159">
        <f t="shared" si="24"/>
        <v>999.01199014756958</v>
      </c>
      <c r="J106" s="159">
        <f t="shared" si="23"/>
        <v>6141.5123840288234</v>
      </c>
      <c r="K106" s="69"/>
      <c r="L106" s="319"/>
      <c r="M106" s="69"/>
    </row>
    <row r="107" spans="2:28" s="37" customFormat="1" ht="15.75">
      <c r="B107" s="48"/>
      <c r="C107" s="160" t="s">
        <v>304</v>
      </c>
      <c r="D107" s="156">
        <f>(($E$17+$F$17)*F801ENE!K93)*$L107</f>
        <v>947.00335380582305</v>
      </c>
      <c r="E107" s="156">
        <f>(($E$17+$F$17)*F801ENE!L93)*$L107</f>
        <v>947.39857895929583</v>
      </c>
      <c r="F107" s="156">
        <f>(($E$17+$F$17)*F801ENE!M93)*$L107</f>
        <v>929.50477282659972</v>
      </c>
      <c r="G107" s="156">
        <f>(($E$17+$F$17)*F801ENE!N93)*$L107</f>
        <v>944.15103265556377</v>
      </c>
      <c r="H107" s="156">
        <f>(($E$17+$F$17)*F801ENE!O93)*$L107</f>
        <v>903.24118537160484</v>
      </c>
      <c r="I107" s="156">
        <f>(($E$17+$F$17)*F801ENE!P93)*$L107</f>
        <v>907.47365616370314</v>
      </c>
      <c r="J107" s="156">
        <f t="shared" si="23"/>
        <v>5578.7725797825897</v>
      </c>
      <c r="K107" s="69"/>
      <c r="L107" s="319">
        <v>1</v>
      </c>
      <c r="M107" s="329"/>
    </row>
    <row r="108" spans="2:28" s="37" customFormat="1" ht="15.75">
      <c r="B108" s="48"/>
      <c r="C108" s="162" t="s">
        <v>642</v>
      </c>
      <c r="D108" s="156">
        <f>(($E$17+$F$17)*F801ENE!K94)*$L108</f>
        <v>86.62338312671335</v>
      </c>
      <c r="E108" s="156">
        <f>(($E$17+$F$17)*F801ENE!L94)*$L108</f>
        <v>86.659534783149411</v>
      </c>
      <c r="F108" s="156">
        <f>(($E$17+$F$17)*F801ENE!M94)*$L108</f>
        <v>85.02276969884592</v>
      </c>
      <c r="G108" s="156">
        <f>(($E$17+$F$17)*F801ENE!N94)*$L108</f>
        <v>86.362478340255734</v>
      </c>
      <c r="H108" s="156">
        <f>(($E$17+$F$17)*F801ENE!O94)*$L108</f>
        <v>82.620411999421719</v>
      </c>
      <c r="I108" s="156">
        <f>(($E$17+$F$17)*F801ENE!P94)*$L108</f>
        <v>83.007560511117219</v>
      </c>
      <c r="J108" s="156">
        <f t="shared" si="23"/>
        <v>510.29613845950337</v>
      </c>
      <c r="K108" s="69"/>
      <c r="L108" s="319">
        <v>0.75</v>
      </c>
      <c r="M108" s="329"/>
    </row>
    <row r="109" spans="2:28" s="37" customFormat="1" ht="15.75">
      <c r="B109" s="48"/>
      <c r="C109" s="162" t="s">
        <v>1177</v>
      </c>
      <c r="D109" s="156">
        <f>(($E$17+$F$17)*F801ENE!K95)*$L109</f>
        <v>8.9023753299940402</v>
      </c>
      <c r="E109" s="156">
        <f>(($E$17+$F$17)*F801ENE!L95)*$L109</f>
        <v>8.9060906733895298</v>
      </c>
      <c r="F109" s="156">
        <f>(($E$17+$F$17)*F801ENE!M95)*$L109</f>
        <v>8.7378786204593837</v>
      </c>
      <c r="G109" s="156">
        <f>(($E$17+$F$17)*F801ENE!N95)*$L109</f>
        <v>8.8755618732736981</v>
      </c>
      <c r="H109" s="156">
        <f>(($E$17+$F$17)*F801ENE!O95)*$L109</f>
        <v>8.4909858168628016</v>
      </c>
      <c r="I109" s="156">
        <f>(($E$17+$F$17)*F801ENE!P95)*$L109</f>
        <v>8.5307734727492051</v>
      </c>
      <c r="J109" s="156">
        <f t="shared" si="23"/>
        <v>52.443665786728658</v>
      </c>
      <c r="K109" s="69"/>
      <c r="L109" s="319">
        <v>1</v>
      </c>
      <c r="M109" s="329"/>
    </row>
    <row r="110" spans="2:28" s="37" customFormat="1" ht="15.75">
      <c r="B110" s="48"/>
      <c r="C110" s="160" t="s">
        <v>305</v>
      </c>
      <c r="D110" s="156">
        <f>(($E$17+$F$17)*F801ENE!K96)*$L110</f>
        <v>0</v>
      </c>
      <c r="E110" s="156">
        <f>(($E$17+$F$17)*F801ENE!L96)*$L110</f>
        <v>0</v>
      </c>
      <c r="F110" s="156">
        <f>(($E$17+$F$17)*F801ENE!M96)*$L110</f>
        <v>0</v>
      </c>
      <c r="G110" s="156">
        <f>(($E$17+$F$17)*F801ENE!N96)*$L110</f>
        <v>0</v>
      </c>
      <c r="H110" s="156">
        <f>(($E$17+$F$17)*F801ENE!O96)*$L110</f>
        <v>0</v>
      </c>
      <c r="I110" s="156">
        <f>(($E$17+$F$17)*F801ENE!P96)*$L110</f>
        <v>0</v>
      </c>
      <c r="J110" s="156">
        <f t="shared" si="23"/>
        <v>0</v>
      </c>
      <c r="K110" s="69"/>
      <c r="L110" s="319">
        <v>0.95</v>
      </c>
      <c r="M110" s="329"/>
    </row>
    <row r="111" spans="2:28" s="37" customFormat="1" ht="15.75">
      <c r="B111" s="48"/>
      <c r="C111" s="160" t="s">
        <v>307</v>
      </c>
      <c r="D111" s="156">
        <f>(($E$17+$F$17)*F801ENE!K97)*$L111</f>
        <v>0</v>
      </c>
      <c r="E111" s="156">
        <f>(($E$17+$F$17)*F801ENE!L97)*$L111</f>
        <v>0</v>
      </c>
      <c r="F111" s="156">
        <f>(($E$17+$F$17)*F801ENE!M97)*$L111</f>
        <v>0</v>
      </c>
      <c r="G111" s="156">
        <f>(($E$17+$F$17)*F801ENE!N97)*$L111</f>
        <v>0</v>
      </c>
      <c r="H111" s="156">
        <f>(($E$17+$F$17)*F801ENE!O97)*$L111</f>
        <v>0</v>
      </c>
      <c r="I111" s="156">
        <f>(($E$17+$F$17)*F801ENE!P97)*$L111</f>
        <v>0</v>
      </c>
      <c r="J111" s="156">
        <f t="shared" si="23"/>
        <v>0</v>
      </c>
      <c r="K111" s="69"/>
      <c r="L111" s="319">
        <v>0.5</v>
      </c>
      <c r="M111" s="329"/>
    </row>
    <row r="112" spans="2:28" s="37" customFormat="1" ht="15.75">
      <c r="B112" s="48"/>
      <c r="C112" s="160" t="s">
        <v>624</v>
      </c>
      <c r="D112" s="156">
        <f>(($E$17+$F$17)*F801ENE!K98)*$L112</f>
        <v>0</v>
      </c>
      <c r="E112" s="156">
        <f>($E$17*F801ENE!L98+$F$17*F801ENE!L98)*$L112</f>
        <v>0</v>
      </c>
      <c r="F112" s="156">
        <f>($E$17*F801ENE!M98+$F$17*F801ENE!M98)*$L112</f>
        <v>0</v>
      </c>
      <c r="G112" s="156">
        <f>($E$17*F801ENE!N98+$F$17*F801ENE!N98)*$L112</f>
        <v>0</v>
      </c>
      <c r="H112" s="156">
        <f>($E$17*F801ENE!O98+$F$17*F801ENE!O98)*$L112</f>
        <v>0</v>
      </c>
      <c r="I112" s="156">
        <f>($E$17*F801ENE!P98+$F$17*F801ENE!P98)*$L112</f>
        <v>0</v>
      </c>
      <c r="J112" s="156">
        <f t="shared" si="23"/>
        <v>0</v>
      </c>
      <c r="K112" s="69"/>
      <c r="L112" s="319">
        <v>0</v>
      </c>
      <c r="M112" s="329"/>
    </row>
    <row r="113" spans="2:13" s="37" customFormat="1" ht="15.75">
      <c r="B113" s="48" t="s">
        <v>902</v>
      </c>
      <c r="C113" s="158" t="s">
        <v>900</v>
      </c>
      <c r="D113" s="159">
        <f t="shared" ref="D113:I113" si="25">SUM(D114:D119)</f>
        <v>115.2882043061875</v>
      </c>
      <c r="E113" s="159">
        <f t="shared" si="25"/>
        <v>115.33631902305454</v>
      </c>
      <c r="F113" s="159">
        <f t="shared" si="25"/>
        <v>113.1579267618751</v>
      </c>
      <c r="G113" s="159">
        <f t="shared" si="25"/>
        <v>114.94096268112204</v>
      </c>
      <c r="H113" s="159">
        <f t="shared" si="25"/>
        <v>109.96059718098566</v>
      </c>
      <c r="I113" s="159">
        <f t="shared" si="25"/>
        <v>110.47585824678696</v>
      </c>
      <c r="J113" s="159">
        <f t="shared" si="23"/>
        <v>679.15986820001183</v>
      </c>
      <c r="K113" s="69"/>
      <c r="L113" s="319"/>
      <c r="M113" s="69"/>
    </row>
    <row r="114" spans="2:13" s="37" customFormat="1" ht="15.75">
      <c r="B114" s="48"/>
      <c r="C114" s="160" t="s">
        <v>304</v>
      </c>
      <c r="D114" s="156">
        <f>(($E$17+$F$17)*F801ENE!K100)*$L114</f>
        <v>112.002984598821</v>
      </c>
      <c r="E114" s="156">
        <f>(($E$17+$F$17)*F801ENE!L100)*$L114</f>
        <v>112.04972825247289</v>
      </c>
      <c r="F114" s="156">
        <f>(($E$17+$F$17)*F801ENE!M100)*$L114</f>
        <v>109.93341083433459</v>
      </c>
      <c r="G114" s="156">
        <f>(($E$17+$F$17)*F801ENE!N100)*$L114</f>
        <v>111.66563787182209</v>
      </c>
      <c r="H114" s="156">
        <f>(($E$17+$F$17)*F801ENE!O100)*$L114</f>
        <v>106.82719144302001</v>
      </c>
      <c r="I114" s="156">
        <f>(($E$17+$F$17)*F801ENE!P100)*$L114</f>
        <v>107.32776977681074</v>
      </c>
      <c r="J114" s="156">
        <f t="shared" si="23"/>
        <v>659.80672277728138</v>
      </c>
      <c r="K114" s="69"/>
      <c r="L114" s="319">
        <v>1</v>
      </c>
      <c r="M114" s="329"/>
    </row>
    <row r="115" spans="2:13" s="37" customFormat="1" ht="15.75">
      <c r="B115" s="48"/>
      <c r="C115" s="162" t="s">
        <v>642</v>
      </c>
      <c r="D115" s="156">
        <f>(($E$17+$F$17)*F801ENE!K101)*$L115</f>
        <v>3.2852197073664953</v>
      </c>
      <c r="E115" s="156">
        <f>(($E$17+$F$17)*F801ENE!L101)*$L115</f>
        <v>3.2865907705816539</v>
      </c>
      <c r="F115" s="156">
        <f>(($E$17+$F$17)*F801ENE!M101)*$L115</f>
        <v>3.2245159275405149</v>
      </c>
      <c r="G115" s="156">
        <f>(($E$17+$F$17)*F801ENE!N101)*$L115</f>
        <v>3.2753248092999652</v>
      </c>
      <c r="H115" s="156">
        <f>(($E$17+$F$17)*F801ENE!O101)*$L115</f>
        <v>3.1334057379656395</v>
      </c>
      <c r="I115" s="156">
        <f>(($E$17+$F$17)*F801ENE!P101)*$L115</f>
        <v>3.1480884699762219</v>
      </c>
      <c r="J115" s="156">
        <f t="shared" si="23"/>
        <v>19.353145422730492</v>
      </c>
      <c r="K115" s="69"/>
      <c r="L115" s="319">
        <v>0.75</v>
      </c>
      <c r="M115" s="329"/>
    </row>
    <row r="116" spans="2:13" s="37" customFormat="1" ht="15.75">
      <c r="B116" s="48"/>
      <c r="C116" s="162" t="s">
        <v>1177</v>
      </c>
      <c r="D116" s="156">
        <f>(($E$17+$F$17)*F801ENE!K102)*$L116</f>
        <v>0</v>
      </c>
      <c r="E116" s="156">
        <f>(($E$17+$F$17)*F801ENE!L102)*$L116</f>
        <v>0</v>
      </c>
      <c r="F116" s="156">
        <f>(($E$17+$F$17)*F801ENE!M102)*$L116</f>
        <v>0</v>
      </c>
      <c r="G116" s="156">
        <f>(($E$17+$F$17)*F801ENE!N102)*$L116</f>
        <v>0</v>
      </c>
      <c r="H116" s="156">
        <f>(($E$17+$F$17)*F801ENE!O102)*$L116</f>
        <v>0</v>
      </c>
      <c r="I116" s="156">
        <f>(($E$17+$F$17)*F801ENE!P102)*$L116</f>
        <v>0</v>
      </c>
      <c r="J116" s="156">
        <f t="shared" si="23"/>
        <v>0</v>
      </c>
      <c r="K116" s="69"/>
      <c r="L116" s="319">
        <v>1</v>
      </c>
      <c r="M116" s="329"/>
    </row>
    <row r="117" spans="2:13" s="37" customFormat="1" ht="15.75">
      <c r="B117" s="48"/>
      <c r="C117" s="160" t="s">
        <v>305</v>
      </c>
      <c r="D117" s="156">
        <f>(($E$17+$F$17)*F801ENE!K103)*$L117</f>
        <v>0</v>
      </c>
      <c r="E117" s="156">
        <f>(($E$17+$F$17)*F801ENE!L103)*$L117</f>
        <v>0</v>
      </c>
      <c r="F117" s="156">
        <f>(($E$17+$F$17)*F801ENE!M103)*$L117</f>
        <v>0</v>
      </c>
      <c r="G117" s="156">
        <f>(($E$17+$F$17)*F801ENE!N103)*$L117</f>
        <v>0</v>
      </c>
      <c r="H117" s="156">
        <f>(($E$17+$F$17)*F801ENE!O103)*$L117</f>
        <v>0</v>
      </c>
      <c r="I117" s="156">
        <f>(($E$17+$F$17)*F801ENE!P103)*$L117</f>
        <v>0</v>
      </c>
      <c r="J117" s="156">
        <f t="shared" si="23"/>
        <v>0</v>
      </c>
      <c r="K117" s="69"/>
      <c r="L117" s="319">
        <v>0.95</v>
      </c>
      <c r="M117" s="329"/>
    </row>
    <row r="118" spans="2:13" s="37" customFormat="1" ht="15.75">
      <c r="B118" s="48"/>
      <c r="C118" s="160" t="s">
        <v>307</v>
      </c>
      <c r="D118" s="156">
        <f>(($E$17+$F$17)*F801ENE!K104)*$L118</f>
        <v>0</v>
      </c>
      <c r="E118" s="156">
        <f>(($E$17+$F$17)*F801ENE!L104)*$L118</f>
        <v>0</v>
      </c>
      <c r="F118" s="156">
        <f>(($E$17+$F$17)*F801ENE!M104)*$L118</f>
        <v>0</v>
      </c>
      <c r="G118" s="156">
        <f>(($E$17+$F$17)*F801ENE!N104)*$L118</f>
        <v>0</v>
      </c>
      <c r="H118" s="156">
        <f>(($E$17+$F$17)*F801ENE!O104)*$L118</f>
        <v>0</v>
      </c>
      <c r="I118" s="156">
        <f>(($E$17+$F$17)*F801ENE!P104)*$L118</f>
        <v>0</v>
      </c>
      <c r="J118" s="156">
        <f t="shared" si="23"/>
        <v>0</v>
      </c>
      <c r="K118" s="69"/>
      <c r="L118" s="319">
        <v>0.5</v>
      </c>
      <c r="M118" s="329"/>
    </row>
    <row r="119" spans="2:13" s="37" customFormat="1" ht="15.75">
      <c r="B119" s="48"/>
      <c r="C119" s="160" t="s">
        <v>624</v>
      </c>
      <c r="D119" s="156">
        <f>(($E$17+$F$17)*F801ENE!K105)*$L119</f>
        <v>0</v>
      </c>
      <c r="E119" s="156">
        <f>(($E$17+$F$17)*F801ENE!L105)*$L119</f>
        <v>0</v>
      </c>
      <c r="F119" s="156">
        <f>(($E$17+$F$17)*F801ENE!M105)*$L119</f>
        <v>0</v>
      </c>
      <c r="G119" s="156">
        <f>(($E$17+$F$17)*F801ENE!N105)*$L119</f>
        <v>0</v>
      </c>
      <c r="H119" s="156">
        <f>(($E$17+$F$17)*F801ENE!O105)*$L119</f>
        <v>0</v>
      </c>
      <c r="I119" s="156">
        <f>(($E$17+$F$17)*F801ENE!P105)*$L119</f>
        <v>0</v>
      </c>
      <c r="J119" s="156">
        <f t="shared" si="23"/>
        <v>0</v>
      </c>
      <c r="K119" s="69"/>
      <c r="L119" s="319">
        <v>0</v>
      </c>
      <c r="M119" s="329"/>
    </row>
    <row r="120" spans="2:13" s="37" customFormat="1" ht="15.75">
      <c r="B120" s="48"/>
      <c r="C120" s="157"/>
      <c r="D120" s="156"/>
      <c r="E120" s="156"/>
      <c r="F120" s="156"/>
      <c r="G120" s="156"/>
      <c r="H120" s="156"/>
      <c r="I120" s="156"/>
      <c r="J120" s="156"/>
      <c r="K120" s="69"/>
      <c r="L120" s="319"/>
      <c r="M120" s="69"/>
    </row>
    <row r="121" spans="2:13" s="37" customFormat="1" ht="15.75">
      <c r="B121" s="48"/>
      <c r="C121" s="153" t="s">
        <v>112</v>
      </c>
      <c r="D121" s="154">
        <f t="shared" ref="D121:I121" si="26">D44+D34+D30</f>
        <v>397775.46844589611</v>
      </c>
      <c r="E121" s="154">
        <f t="shared" si="26"/>
        <v>397941.47722499119</v>
      </c>
      <c r="F121" s="154">
        <f t="shared" si="26"/>
        <v>390425.43508204783</v>
      </c>
      <c r="G121" s="154">
        <f t="shared" si="26"/>
        <v>396577.39097643108</v>
      </c>
      <c r="H121" s="154">
        <f t="shared" si="26"/>
        <v>379393.78375684837</v>
      </c>
      <c r="I121" s="154">
        <f t="shared" si="26"/>
        <v>381171.57371423818</v>
      </c>
      <c r="J121" s="154">
        <f>SUM(D121:I121)</f>
        <v>2343285.1292004529</v>
      </c>
      <c r="K121" s="69"/>
      <c r="L121" s="319"/>
    </row>
    <row r="122" spans="2:13">
      <c r="C122" s="48"/>
      <c r="D122" s="48"/>
      <c r="E122" s="48"/>
      <c r="F122" s="48"/>
      <c r="G122" s="48"/>
      <c r="H122" s="48"/>
      <c r="I122" s="48"/>
      <c r="J122" s="48"/>
    </row>
    <row r="123" spans="2:13" s="69" customFormat="1" ht="31.5" customHeight="1">
      <c r="B123" s="48"/>
      <c r="C123" s="320" t="s">
        <v>1458</v>
      </c>
      <c r="D123" s="320"/>
      <c r="E123" s="320"/>
      <c r="F123" s="320"/>
      <c r="G123" s="320"/>
      <c r="H123" s="320"/>
      <c r="I123" s="320"/>
      <c r="J123" s="321"/>
      <c r="L123" s="319"/>
    </row>
    <row r="124" spans="2:13" s="37" customFormat="1" ht="15.75">
      <c r="B124" s="48"/>
      <c r="C124" s="150" t="s">
        <v>310</v>
      </c>
      <c r="D124" s="151">
        <f t="shared" ref="D124:I124" si="27">D$29</f>
        <v>46204</v>
      </c>
      <c r="E124" s="151">
        <f t="shared" si="27"/>
        <v>46235</v>
      </c>
      <c r="F124" s="151">
        <f t="shared" si="27"/>
        <v>46266</v>
      </c>
      <c r="G124" s="151">
        <f t="shared" si="27"/>
        <v>46296</v>
      </c>
      <c r="H124" s="151">
        <f t="shared" si="27"/>
        <v>46327</v>
      </c>
      <c r="I124" s="151">
        <f t="shared" si="27"/>
        <v>46357</v>
      </c>
      <c r="J124" s="152" t="s">
        <v>111</v>
      </c>
      <c r="K124" s="69"/>
      <c r="L124" s="319"/>
    </row>
    <row r="125" spans="2:13" s="37" customFormat="1" ht="15.75" customHeight="1">
      <c r="B125" s="48"/>
      <c r="C125" s="153" t="s">
        <v>446</v>
      </c>
      <c r="D125" s="154">
        <f t="shared" ref="D125:I125" si="28">SUM(D126:D127)</f>
        <v>80934.871828126154</v>
      </c>
      <c r="E125" s="154">
        <f t="shared" si="28"/>
        <v>80968.649424595074</v>
      </c>
      <c r="F125" s="154">
        <f t="shared" si="28"/>
        <v>79439.369829072064</v>
      </c>
      <c r="G125" s="154">
        <f t="shared" si="28"/>
        <v>80691.100519628511</v>
      </c>
      <c r="H125" s="154">
        <f t="shared" si="28"/>
        <v>77194.773676509081</v>
      </c>
      <c r="I125" s="154">
        <f t="shared" si="28"/>
        <v>77556.498352243434</v>
      </c>
      <c r="J125" s="154">
        <f>SUM(D125:I125)</f>
        <v>476785.26363017433</v>
      </c>
      <c r="K125" s="69"/>
      <c r="L125" s="319"/>
    </row>
    <row r="126" spans="2:13" s="37" customFormat="1" ht="15.75" customHeight="1">
      <c r="B126" s="48" t="s">
        <v>279</v>
      </c>
      <c r="C126" s="155" t="s">
        <v>279</v>
      </c>
      <c r="D126" s="156">
        <f>$H$7*F801ENE!R6+$I$7*F801ENE!Y6</f>
        <v>80932.755864955456</v>
      </c>
      <c r="E126" s="156">
        <f>$H$7*F801ENE!S6+$I$7*F801ENE!Z6</f>
        <v>80966.533461424377</v>
      </c>
      <c r="F126" s="156">
        <f>$H$7*F801ENE!T6+$I$7*F801ENE!AA6</f>
        <v>79437.253865901366</v>
      </c>
      <c r="G126" s="156">
        <f>$H$7*F801ENE!U6+$I$7*F801ENE!AB6</f>
        <v>80688.984556457814</v>
      </c>
      <c r="H126" s="156">
        <f>$H$7*F801ENE!V6+$I$7*F801ENE!AC6</f>
        <v>77192.657713338383</v>
      </c>
      <c r="I126" s="156">
        <f>$H$7*F801ENE!W6+$I$7*F801ENE!AD6</f>
        <v>77554.382389072736</v>
      </c>
      <c r="J126" s="156">
        <f>SUM(D126:I126)</f>
        <v>476772.56785115012</v>
      </c>
      <c r="K126" s="69"/>
      <c r="L126" s="319"/>
    </row>
    <row r="127" spans="2:13" s="37" customFormat="1" ht="15.75" customHeight="1">
      <c r="B127" s="48" t="s">
        <v>278</v>
      </c>
      <c r="C127" s="155" t="s">
        <v>278</v>
      </c>
      <c r="D127" s="156">
        <f>$F$8*F801ENE!R7</f>
        <v>2.1159631707038655</v>
      </c>
      <c r="E127" s="156">
        <f>$F$8*F801ENE!S7</f>
        <v>2.1159631707038655</v>
      </c>
      <c r="F127" s="156">
        <f>$F$8*F801ENE!T7</f>
        <v>2.1159631707038655</v>
      </c>
      <c r="G127" s="156">
        <f>$F$8*F801ENE!U7</f>
        <v>2.1159631707038655</v>
      </c>
      <c r="H127" s="156">
        <f>$F$8*F801ENE!V7</f>
        <v>2.1159631707038655</v>
      </c>
      <c r="I127" s="156">
        <f>$F$8*F801ENE!W7</f>
        <v>2.1159631707038655</v>
      </c>
      <c r="J127" s="156">
        <f>SUM(D127:I127)</f>
        <v>12.695779024223194</v>
      </c>
      <c r="K127" s="69"/>
      <c r="L127" s="319"/>
    </row>
    <row r="128" spans="2:13" s="37" customFormat="1" ht="15.75" customHeight="1">
      <c r="B128" s="48"/>
      <c r="C128" s="157"/>
      <c r="D128" s="156"/>
      <c r="E128" s="156"/>
      <c r="F128" s="156"/>
      <c r="G128" s="156"/>
      <c r="H128" s="156"/>
      <c r="I128" s="156"/>
      <c r="J128" s="156"/>
      <c r="K128" s="69"/>
      <c r="L128" s="319"/>
    </row>
    <row r="129" spans="2:12" s="37" customFormat="1" ht="15.75" customHeight="1">
      <c r="B129" s="48"/>
      <c r="C129" s="153" t="s">
        <v>630</v>
      </c>
      <c r="D129" s="154">
        <f>D130+D133</f>
        <v>116154.26817268047</v>
      </c>
      <c r="E129" s="154">
        <f t="shared" ref="E129:I129" si="29">E130+E133</f>
        <v>116202.74433517831</v>
      </c>
      <c r="F129" s="154">
        <f t="shared" si="29"/>
        <v>114007.98763467216</v>
      </c>
      <c r="G129" s="154">
        <f t="shared" si="29"/>
        <v>115804.41801167486</v>
      </c>
      <c r="H129" s="154">
        <f t="shared" si="29"/>
        <v>110786.63919048317</v>
      </c>
      <c r="I129" s="154">
        <f t="shared" si="29"/>
        <v>111305.77098177272</v>
      </c>
      <c r="J129" s="154">
        <f t="shared" ref="J129:J137" si="30">SUM(D129:I129)</f>
        <v>684261.8283264616</v>
      </c>
      <c r="K129" s="69"/>
      <c r="L129" s="319"/>
    </row>
    <row r="130" spans="2:12" s="37" customFormat="1" ht="15.75" customHeight="1">
      <c r="B130" s="48" t="s">
        <v>277</v>
      </c>
      <c r="C130" s="155" t="s">
        <v>277</v>
      </c>
      <c r="D130" s="154">
        <f>SUM(D131:D132)</f>
        <v>16616.538069382383</v>
      </c>
      <c r="E130" s="154">
        <f t="shared" ref="E130:I130" si="31">SUM(E131:E132)</f>
        <v>16623.472864050498</v>
      </c>
      <c r="F130" s="154">
        <f t="shared" si="31"/>
        <v>16309.500258129763</v>
      </c>
      <c r="G130" s="154">
        <f t="shared" si="31"/>
        <v>16566.489985826065</v>
      </c>
      <c r="H130" s="154">
        <f t="shared" si="31"/>
        <v>15848.667781633631</v>
      </c>
      <c r="I130" s="154">
        <f t="shared" si="31"/>
        <v>15922.932578861446</v>
      </c>
      <c r="J130" s="154">
        <f t="shared" si="30"/>
        <v>97887.601537883791</v>
      </c>
      <c r="K130" s="69"/>
      <c r="L130" s="319"/>
    </row>
    <row r="131" spans="2:12" s="37" customFormat="1" ht="15.75" customHeight="1">
      <c r="B131" s="48"/>
      <c r="C131" s="160" t="s">
        <v>304</v>
      </c>
      <c r="D131" s="156">
        <f>$H$9*F801ENE!R11+$I$9*F801ENE!Y11</f>
        <v>14487.597405620694</v>
      </c>
      <c r="E131" s="156">
        <f>$H$9*F801ENE!S11+$I$9*F801ENE!Z11</f>
        <v>14493.643701956476</v>
      </c>
      <c r="F131" s="156">
        <f>$H$9*F801ENE!T11+$I$9*F801ENE!AA11</f>
        <v>14219.897829502173</v>
      </c>
      <c r="G131" s="156">
        <f>$H$9*F801ENE!U11+$I$9*F801ENE!AB11</f>
        <v>14443.961572304555</v>
      </c>
      <c r="H131" s="156">
        <f>$H$9*F801ENE!V11+$I$9*F801ENE!AC11</f>
        <v>13818.108036523998</v>
      </c>
      <c r="I131" s="156">
        <f>$H$9*F801ENE!W11+$I$9*F801ENE!AD11</f>
        <v>13882.85789471673</v>
      </c>
      <c r="J131" s="156">
        <f t="shared" si="30"/>
        <v>85346.066440624621</v>
      </c>
      <c r="K131" s="69"/>
      <c r="L131" s="319"/>
    </row>
    <row r="132" spans="2:12" s="37" customFormat="1" ht="15.75" customHeight="1">
      <c r="B132" s="48"/>
      <c r="C132" s="160" t="s">
        <v>305</v>
      </c>
      <c r="D132" s="156">
        <f>($H$9*F801ENE!R12+$I$9*F801ENE!Y12)*$L132</f>
        <v>2128.9406637616903</v>
      </c>
      <c r="E132" s="156">
        <f>($H$9*F801ENE!S12+$I$9*F801ENE!Z12)*$L132</f>
        <v>2129.8291620940226</v>
      </c>
      <c r="F132" s="156">
        <f>($H$9*F801ENE!T12+$I$9*F801ENE!AA12)*$L132</f>
        <v>2089.6024286275897</v>
      </c>
      <c r="G132" s="156">
        <f>($H$9*F801ENE!U12+$I$9*F801ENE!AB12)*$L132</f>
        <v>2122.5284135215084</v>
      </c>
      <c r="H132" s="156">
        <f>($H$9*F801ENE!V12+$I$9*F801ENE!AC12)*$L132</f>
        <v>2030.5597451096332</v>
      </c>
      <c r="I132" s="156">
        <f>($H$9*F801ENE!W12+$I$9*F801ENE!AD12)*$L132</f>
        <v>2040.0746841447169</v>
      </c>
      <c r="J132" s="156">
        <f t="shared" si="30"/>
        <v>12541.53509725916</v>
      </c>
      <c r="K132" s="69"/>
      <c r="L132" s="319">
        <v>0.95</v>
      </c>
    </row>
    <row r="133" spans="2:12" s="37" customFormat="1" ht="15.75" customHeight="1">
      <c r="B133" s="48" t="s">
        <v>276</v>
      </c>
      <c r="C133" s="158" t="s">
        <v>276</v>
      </c>
      <c r="D133" s="159">
        <f t="shared" ref="D133:I133" si="32">SUM(D134:D137)</f>
        <v>99537.73010329809</v>
      </c>
      <c r="E133" s="159">
        <f t="shared" si="32"/>
        <v>99579.271471127824</v>
      </c>
      <c r="F133" s="159">
        <f t="shared" si="32"/>
        <v>97698.487376542398</v>
      </c>
      <c r="G133" s="159">
        <f t="shared" si="32"/>
        <v>99237.9280258488</v>
      </c>
      <c r="H133" s="159">
        <f t="shared" si="32"/>
        <v>94937.971408849538</v>
      </c>
      <c r="I133" s="159">
        <f t="shared" si="32"/>
        <v>95382.838402911264</v>
      </c>
      <c r="J133" s="159">
        <f t="shared" si="30"/>
        <v>586374.22678857786</v>
      </c>
      <c r="K133" s="69"/>
      <c r="L133" s="319"/>
    </row>
    <row r="134" spans="2:12" s="37" customFormat="1" ht="15.75" customHeight="1">
      <c r="B134" s="48"/>
      <c r="C134" s="160" t="s">
        <v>304</v>
      </c>
      <c r="D134" s="156">
        <f>$F$10*(F801ENE!R15+F801ENE!Y15)*$L134</f>
        <v>99149.687275606047</v>
      </c>
      <c r="E134" s="156">
        <f>$F$10*(F801ENE!S15+F801ENE!Z15)*$L134</f>
        <v>99191.066696505484</v>
      </c>
      <c r="F134" s="156">
        <f>$F$10*(F801ENE!T15+F801ENE!AA15)*$L134</f>
        <v>97317.614743989034</v>
      </c>
      <c r="G134" s="156">
        <f>$F$10*(F801ENE!U15+F801ENE!AB15)*$L134</f>
        <v>98851.053961456462</v>
      </c>
      <c r="H134" s="156">
        <f>$F$10*(F801ENE!V15+F801ENE!AC15)*$L134</f>
        <v>94567.860508765676</v>
      </c>
      <c r="I134" s="156">
        <f>$F$10*(F801ENE!W15+F801ENE!AD15)*$L134</f>
        <v>95010.993211256326</v>
      </c>
      <c r="J134" s="156">
        <f t="shared" si="30"/>
        <v>584088.276397579</v>
      </c>
      <c r="K134" s="69"/>
      <c r="L134" s="319">
        <v>1</v>
      </c>
    </row>
    <row r="135" spans="2:12" s="37" customFormat="1" ht="15.75" customHeight="1">
      <c r="B135" s="48"/>
      <c r="C135" s="161" t="s">
        <v>306</v>
      </c>
      <c r="D135" s="156">
        <f>$F$10*(F801ENE!R16+F801ENE!Y16)*$L135</f>
        <v>0</v>
      </c>
      <c r="E135" s="156">
        <f>$F$10*(F801ENE!S16+F801ENE!Z16)*$L135</f>
        <v>0</v>
      </c>
      <c r="F135" s="156">
        <f>$F$10*(F801ENE!T16+F801ENE!AA16)*$L135</f>
        <v>0</v>
      </c>
      <c r="G135" s="156">
        <f>$F$10*(F801ENE!U16+F801ENE!AB16)*$L135</f>
        <v>0</v>
      </c>
      <c r="H135" s="156">
        <f>$F$10*(F801ENE!V16+F801ENE!AC16)*$L135</f>
        <v>0</v>
      </c>
      <c r="I135" s="156">
        <f>$F$10*(F801ENE!W16+F801ENE!AD16)*$L135</f>
        <v>0</v>
      </c>
      <c r="J135" s="156">
        <f t="shared" si="30"/>
        <v>0</v>
      </c>
      <c r="K135" s="69"/>
      <c r="L135" s="319">
        <v>1</v>
      </c>
    </row>
    <row r="136" spans="2:12" s="37" customFormat="1" ht="15.75" customHeight="1">
      <c r="B136" s="48"/>
      <c r="C136" s="160" t="s">
        <v>305</v>
      </c>
      <c r="D136" s="156">
        <f>$F$10*(F801ENE!R17+F801ENE!Y17)*$L136</f>
        <v>388.04282769204303</v>
      </c>
      <c r="E136" s="156">
        <f>$F$10*(F801ENE!S17+F801ENE!Z17)*$L136</f>
        <v>388.20477462233873</v>
      </c>
      <c r="F136" s="156">
        <f>$F$10*(F801ENE!T17+F801ENE!AA17)*$L136</f>
        <v>380.87263255335893</v>
      </c>
      <c r="G136" s="156">
        <f>$F$10*(F801ENE!U17+F801ENE!AB17)*$L136</f>
        <v>386.87406439233104</v>
      </c>
      <c r="H136" s="156">
        <f>$F$10*(F801ENE!V17+F801ENE!AC17)*$L136</f>
        <v>370.11090008386321</v>
      </c>
      <c r="I136" s="156">
        <f>$F$10*(F801ENE!W17+F801ENE!AD17)*$L136</f>
        <v>371.84519165494316</v>
      </c>
      <c r="J136" s="156">
        <f t="shared" si="30"/>
        <v>2285.950390998878</v>
      </c>
      <c r="K136" s="69"/>
      <c r="L136" s="319">
        <v>0.95</v>
      </c>
    </row>
    <row r="137" spans="2:12" s="37" customFormat="1" ht="15.75" customHeight="1">
      <c r="B137" s="48"/>
      <c r="C137" s="160" t="s">
        <v>307</v>
      </c>
      <c r="D137" s="156">
        <f>$F$10*(F801ENE!R18+F801ENE!Y18)*$L137</f>
        <v>0</v>
      </c>
      <c r="E137" s="156">
        <f>$F$10*(F801ENE!S18+F801ENE!Z18)*$L137</f>
        <v>0</v>
      </c>
      <c r="F137" s="156">
        <f>$F$10*(F801ENE!T18+F801ENE!AA18)*$L137</f>
        <v>0</v>
      </c>
      <c r="G137" s="156">
        <f>$F$10*(F801ENE!U18+F801ENE!AB18)*$L137</f>
        <v>0</v>
      </c>
      <c r="H137" s="156">
        <f>$F$10*(F801ENE!V18+F801ENE!AC18)*$L137</f>
        <v>0</v>
      </c>
      <c r="I137" s="156">
        <f>$F$10*(F801ENE!W18+F801ENE!AD18)*$L137</f>
        <v>0</v>
      </c>
      <c r="J137" s="156">
        <f t="shared" si="30"/>
        <v>0</v>
      </c>
      <c r="K137" s="69"/>
      <c r="L137" s="319">
        <v>0.5</v>
      </c>
    </row>
    <row r="138" spans="2:12" s="37" customFormat="1" ht="15.75" customHeight="1">
      <c r="B138" s="48"/>
      <c r="C138" s="157"/>
      <c r="D138" s="157"/>
      <c r="E138" s="157"/>
      <c r="F138" s="157"/>
      <c r="G138" s="157"/>
      <c r="H138" s="157"/>
      <c r="I138" s="157"/>
      <c r="J138" s="157"/>
      <c r="K138" s="69"/>
      <c r="L138" s="319"/>
    </row>
    <row r="139" spans="2:12" s="37" customFormat="1" ht="15.75" customHeight="1">
      <c r="B139" s="48"/>
      <c r="C139" s="153" t="s">
        <v>443</v>
      </c>
      <c r="D139" s="154">
        <f t="shared" ref="D139:I139" si="33">D140+D144+D151+D156+D161+D174+D180+D187+D195+D201+D208+D167</f>
        <v>808813.2766148831</v>
      </c>
      <c r="E139" s="154">
        <f t="shared" si="33"/>
        <v>809150.82911677915</v>
      </c>
      <c r="F139" s="154">
        <f t="shared" si="33"/>
        <v>793868.15043234325</v>
      </c>
      <c r="G139" s="154">
        <f t="shared" si="33"/>
        <v>806377.17625026696</v>
      </c>
      <c r="H139" s="154">
        <f t="shared" si="33"/>
        <v>771437.03850463254</v>
      </c>
      <c r="I139" s="154">
        <f t="shared" si="33"/>
        <v>775051.89219630777</v>
      </c>
      <c r="J139" s="154">
        <f t="shared" ref="J139:J165" si="34">SUM(D139:I139)</f>
        <v>4764698.3631152129</v>
      </c>
      <c r="K139" s="69"/>
      <c r="L139" s="319"/>
    </row>
    <row r="140" spans="2:12" s="37" customFormat="1" ht="15.75" customHeight="1">
      <c r="B140" s="48" t="s">
        <v>275</v>
      </c>
      <c r="C140" s="155" t="s">
        <v>275</v>
      </c>
      <c r="D140" s="154">
        <f>SUM(D141:D143)</f>
        <v>9710.401710707536</v>
      </c>
      <c r="E140" s="154">
        <f t="shared" ref="E140:I140" si="35">SUM(E141:E143)</f>
        <v>9714.4542781994805</v>
      </c>
      <c r="F140" s="154">
        <f t="shared" si="35"/>
        <v>9530.9744151306622</v>
      </c>
      <c r="G140" s="154">
        <f t="shared" si="35"/>
        <v>9681.1545237090322</v>
      </c>
      <c r="H140" s="154">
        <f t="shared" si="35"/>
        <v>9261.6723228757801</v>
      </c>
      <c r="I140" s="154">
        <f t="shared" si="35"/>
        <v>9305.0713155561589</v>
      </c>
      <c r="J140" s="154">
        <f t="shared" si="34"/>
        <v>57203.728566178652</v>
      </c>
      <c r="K140" s="69"/>
      <c r="L140" s="319"/>
    </row>
    <row r="141" spans="2:12" s="37" customFormat="1" ht="15.75" customHeight="1">
      <c r="B141" s="48"/>
      <c r="C141" s="160" t="s">
        <v>304</v>
      </c>
      <c r="D141" s="156">
        <f>$H$11*F801ENE!R22+$I$11*F801ENE!Y22</f>
        <v>9641.6967653876345</v>
      </c>
      <c r="E141" s="156">
        <f>$H$11*F801ENE!S22+$I$11*F801ENE!Z22</f>
        <v>9645.7206593564624</v>
      </c>
      <c r="F141" s="156">
        <f>$H$11*F801ENE!T22+$I$11*F801ENE!AA22</f>
        <v>9463.5389891261075</v>
      </c>
      <c r="G141" s="156">
        <f>$H$11*F801ENE!U22+$I$11*F801ENE!AB22</f>
        <v>9612.6565138428195</v>
      </c>
      <c r="H141" s="156">
        <f>$H$11*F801ENE!V22+$I$11*F801ENE!AC22</f>
        <v>9196.142316036583</v>
      </c>
      <c r="I141" s="156">
        <f>$H$11*F801ENE!W22+$I$11*F801ENE!AD22</f>
        <v>9239.2342436224499</v>
      </c>
      <c r="J141" s="156">
        <f t="shared" si="34"/>
        <v>56798.989487372055</v>
      </c>
      <c r="K141" s="69"/>
      <c r="L141" s="319"/>
    </row>
    <row r="142" spans="2:12" s="37" customFormat="1" ht="15.75" customHeight="1">
      <c r="B142" s="48"/>
      <c r="C142" s="161" t="s">
        <v>306</v>
      </c>
      <c r="D142" s="156">
        <f>($H$11*F801ENE!R23+$I$11*F801ENE!Y23)*$L142</f>
        <v>38.617180720066472</v>
      </c>
      <c r="E142" s="156">
        <f>($H$11*F801ENE!S23+$I$11*F801ENE!Z23)*$L142</f>
        <v>38.633297327378827</v>
      </c>
      <c r="F142" s="156">
        <f>($H$11*F801ENE!T23+$I$11*F801ENE!AA23)*$L142</f>
        <v>37.903618448820332</v>
      </c>
      <c r="G142" s="156">
        <f>($H$11*F801ENE!U23+$I$11*F801ENE!AB23)*$L142</f>
        <v>38.500867931005516</v>
      </c>
      <c r="H142" s="156">
        <f>($H$11*F801ENE!V23+$I$11*F801ENE!AC23)*$L142</f>
        <v>36.832634170854661</v>
      </c>
      <c r="I142" s="156">
        <f>($H$11*F801ENE!W23+$I$11*F801ENE!AD23)*$L142</f>
        <v>37.005227107103515</v>
      </c>
      <c r="J142" s="156">
        <f t="shared" si="34"/>
        <v>227.49282570522928</v>
      </c>
      <c r="K142" s="69"/>
      <c r="L142" s="319">
        <v>0.75</v>
      </c>
    </row>
    <row r="143" spans="2:12" s="37" customFormat="1" ht="15.75" customHeight="1">
      <c r="B143" s="48"/>
      <c r="C143" s="160" t="s">
        <v>305</v>
      </c>
      <c r="D143" s="156">
        <f>($H$11*F801ENE!R24+$I$11*F801ENE!Y24)*$L143</f>
        <v>30.087764599834646</v>
      </c>
      <c r="E143" s="156">
        <f>($H$11*F801ENE!S24+$I$11*F801ENE!Z24)*$L143</f>
        <v>30.10032151564052</v>
      </c>
      <c r="F143" s="156">
        <f>($H$11*F801ENE!T24+$I$11*F801ENE!AA24)*$L143</f>
        <v>29.531807555735334</v>
      </c>
      <c r="G143" s="156">
        <f>($H$11*F801ENE!U24+$I$11*F801ENE!AB24)*$L143</f>
        <v>29.997141935208123</v>
      </c>
      <c r="H143" s="156">
        <f>($H$11*F801ENE!V24+$I$11*F801ENE!AC24)*$L143</f>
        <v>28.697372668343071</v>
      </c>
      <c r="I143" s="156">
        <f>($H$11*F801ENE!W24+$I$11*F801ENE!AD24)*$L143</f>
        <v>28.831844826605828</v>
      </c>
      <c r="J143" s="156">
        <f t="shared" si="34"/>
        <v>177.2462531013675</v>
      </c>
      <c r="K143" s="69"/>
      <c r="L143" s="319">
        <v>0.95</v>
      </c>
    </row>
    <row r="144" spans="2:12" s="37" customFormat="1" ht="15.75" customHeight="1">
      <c r="B144" s="48" t="s">
        <v>274</v>
      </c>
      <c r="C144" s="158" t="s">
        <v>627</v>
      </c>
      <c r="D144" s="159">
        <f t="shared" ref="D144:I144" si="36">SUM(D145:D150)</f>
        <v>112584.16769992957</v>
      </c>
      <c r="E144" s="159">
        <f t="shared" si="36"/>
        <v>112631.15390623918</v>
      </c>
      <c r="F144" s="159">
        <f t="shared" si="36"/>
        <v>110503.85492431119</v>
      </c>
      <c r="G144" s="159">
        <f t="shared" si="36"/>
        <v>112245.07048192677</v>
      </c>
      <c r="H144" s="159">
        <f t="shared" si="36"/>
        <v>107381.51737127948</v>
      </c>
      <c r="I144" s="159">
        <f t="shared" si="36"/>
        <v>107884.69320431919</v>
      </c>
      <c r="J144" s="159">
        <f t="shared" si="34"/>
        <v>663230.45758800546</v>
      </c>
      <c r="K144" s="69"/>
      <c r="L144" s="319"/>
    </row>
    <row r="145" spans="2:12" s="37" customFormat="1" ht="15.75" customHeight="1">
      <c r="B145" s="48"/>
      <c r="C145" s="160" t="s">
        <v>304</v>
      </c>
      <c r="D145" s="156">
        <f>$F$12*(F801ENE!R28+F801ENE!Y28)*$L145</f>
        <v>112381.61831736066</v>
      </c>
      <c r="E145" s="156">
        <f>$F$12*(F801ENE!S28+F801ENE!Z28)*$L145</f>
        <v>112428.51999111766</v>
      </c>
      <c r="F145" s="156">
        <f>$F$12*(F801ENE!T28+F801ENE!AA28)*$L145</f>
        <v>110305.04821779398</v>
      </c>
      <c r="G145" s="156">
        <f>$F$12*(F801ENE!U28+F801ENE!AB28)*$L145</f>
        <v>112043.13116677267</v>
      </c>
      <c r="H145" s="156">
        <f>$F$12*(F801ENE!V28+F801ENE!AC28)*$L145</f>
        <v>107188.32804024639</v>
      </c>
      <c r="I145" s="156">
        <f>$F$12*(F801ENE!W28+F801ENE!AD28)*$L145</f>
        <v>107690.5986131915</v>
      </c>
      <c r="J145" s="156">
        <f t="shared" si="34"/>
        <v>662037.24434648291</v>
      </c>
      <c r="K145" s="69"/>
      <c r="L145" s="319">
        <v>1</v>
      </c>
    </row>
    <row r="146" spans="2:12" s="37" customFormat="1" ht="15.75" customHeight="1">
      <c r="B146" s="48"/>
      <c r="C146" s="162" t="s">
        <v>628</v>
      </c>
      <c r="D146" s="156">
        <f>$F$12*(F801ENE!R29+F801ENE!Y29)*$L146</f>
        <v>9.7244741743361978</v>
      </c>
      <c r="E146" s="156">
        <f>$F$12*(F801ENE!S29+F801ENE!Z29)*$L146</f>
        <v>9.7285326148713338</v>
      </c>
      <c r="F146" s="156">
        <f>$F$12*(F801ENE!T29+F801ENE!AA29)*$L146</f>
        <v>9.5447868499607047</v>
      </c>
      <c r="G146" s="156">
        <f>$F$12*(F801ENE!U29+F801ENE!AB29)*$L146</f>
        <v>9.6951846018641064</v>
      </c>
      <c r="H146" s="156">
        <f>$F$12*(F801ENE!V29+F801ENE!AC29)*$L146</f>
        <v>9.2750944809684341</v>
      </c>
      <c r="I146" s="156">
        <f>$F$12*(F801ENE!W29+F801ENE!AD29)*$L146</f>
        <v>9.3185563681370311</v>
      </c>
      <c r="J146" s="156">
        <f t="shared" si="34"/>
        <v>57.286629090137808</v>
      </c>
      <c r="K146" s="69"/>
      <c r="L146" s="319">
        <v>0.75</v>
      </c>
    </row>
    <row r="147" spans="2:12" s="37" customFormat="1" ht="15.75" customHeight="1">
      <c r="B147" s="48"/>
      <c r="C147" s="161" t="s">
        <v>629</v>
      </c>
      <c r="D147" s="156">
        <f>$F$12*(F801ENE!R30+F801ENE!Y30)*$L147</f>
        <v>51.664385869806679</v>
      </c>
      <c r="E147" s="156">
        <f>$F$12*(F801ENE!S30+F801ENE!Z30)*$L147</f>
        <v>51.685947635931797</v>
      </c>
      <c r="F147" s="156">
        <f>$F$12*(F801ENE!T30+F801ENE!AA30)*$L147</f>
        <v>50.709739366970709</v>
      </c>
      <c r="G147" s="156">
        <f>$F$12*(F801ENE!U30+F801ENE!AB30)*$L147</f>
        <v>51.5087756283652</v>
      </c>
      <c r="H147" s="156">
        <f>$F$12*(F801ENE!V30+F801ENE!AC30)*$L147</f>
        <v>49.276912216837424</v>
      </c>
      <c r="I147" s="156">
        <f>$F$12*(F801ENE!W30+F801ENE!AD30)*$L147</f>
        <v>49.507817422512638</v>
      </c>
      <c r="J147" s="156">
        <f t="shared" si="34"/>
        <v>304.35357814042447</v>
      </c>
      <c r="K147" s="69"/>
      <c r="L147" s="319">
        <v>1</v>
      </c>
    </row>
    <row r="148" spans="2:12" s="37" customFormat="1" ht="15.75" customHeight="1">
      <c r="B148" s="48"/>
      <c r="C148" s="160" t="s">
        <v>305</v>
      </c>
      <c r="D148" s="156">
        <f>$F$12*(F801ENE!R31+F801ENE!Y31)*$L148</f>
        <v>129.34708723150581</v>
      </c>
      <c r="E148" s="156">
        <f>$F$12*(F801ENE!S31+F801ENE!Z31)*$L148</f>
        <v>129.40106932375173</v>
      </c>
      <c r="F148" s="156">
        <f>$F$12*(F801ENE!T31+F801ENE!AA31)*$L148</f>
        <v>126.95703183069752</v>
      </c>
      <c r="G148" s="156">
        <f>$F$12*(F801ENE!U31+F801ENE!AB31)*$L148</f>
        <v>128.95750103716748</v>
      </c>
      <c r="H148" s="156">
        <f>$F$12*(F801ENE!V31+F801ENE!AC31)*$L148</f>
        <v>123.3698021509914</v>
      </c>
      <c r="I148" s="156">
        <f>$F$12*(F801ENE!W31+F801ENE!AD31)*$L148</f>
        <v>123.94789700836462</v>
      </c>
      <c r="J148" s="156">
        <f t="shared" si="34"/>
        <v>761.98038858247855</v>
      </c>
      <c r="K148" s="69"/>
      <c r="L148" s="319">
        <v>0.95</v>
      </c>
    </row>
    <row r="149" spans="2:12" s="37" customFormat="1" ht="15.75" customHeight="1">
      <c r="B149" s="48"/>
      <c r="C149" s="160" t="s">
        <v>307</v>
      </c>
      <c r="D149" s="156">
        <f>$F$12*(F801ENE!R32+F801ENE!Y32)*$L149</f>
        <v>11.813435293267677</v>
      </c>
      <c r="E149" s="156">
        <f>$F$12*(F801ENE!S32+F801ENE!Z32)*$L149</f>
        <v>11.818365546954803</v>
      </c>
      <c r="F149" s="156">
        <f>$F$12*(F801ENE!T32+F801ENE!AA32)*$L149</f>
        <v>11.595148469581888</v>
      </c>
      <c r="G149" s="156">
        <f>$F$12*(F801ENE!U32+F801ENE!AB32)*$L149</f>
        <v>11.777853886708987</v>
      </c>
      <c r="H149" s="156">
        <f>$F$12*(F801ENE!V32+F801ENE!AC32)*$L149</f>
        <v>11.267522184287579</v>
      </c>
      <c r="I149" s="156">
        <f>$F$12*(F801ENE!W32+F801ENE!AD32)*$L149</f>
        <v>11.320320328699799</v>
      </c>
      <c r="J149" s="156">
        <f t="shared" si="34"/>
        <v>69.592645709500729</v>
      </c>
      <c r="K149" s="69"/>
      <c r="L149" s="319">
        <v>0.5</v>
      </c>
    </row>
    <row r="150" spans="2:12" s="37" customFormat="1" ht="15.75" customHeight="1">
      <c r="B150" s="48"/>
      <c r="C150" s="160" t="s">
        <v>624</v>
      </c>
      <c r="D150" s="156">
        <f>$F$12*(F801ENE!R33+F801ENE!Y33)*$L150</f>
        <v>0</v>
      </c>
      <c r="E150" s="156">
        <f>$F$12*(F801ENE!S33+F801ENE!Z33)*$L150</f>
        <v>0</v>
      </c>
      <c r="F150" s="156">
        <f>$F$12*(F801ENE!T33+F801ENE!AA33)*$L150</f>
        <v>0</v>
      </c>
      <c r="G150" s="156">
        <f>$F$12*(F801ENE!U33+F801ENE!AB33)*$L150</f>
        <v>0</v>
      </c>
      <c r="H150" s="156">
        <f>$F$12*(F801ENE!V33+F801ENE!AC33)*$L150</f>
        <v>0</v>
      </c>
      <c r="I150" s="156">
        <f>$F$12*(F801ENE!W33+F801ENE!AD33)*$L150</f>
        <v>0</v>
      </c>
      <c r="J150" s="156">
        <f t="shared" si="34"/>
        <v>0</v>
      </c>
      <c r="K150" s="69"/>
      <c r="L150" s="319">
        <v>0</v>
      </c>
    </row>
    <row r="151" spans="2:12" s="37" customFormat="1" ht="15.75" customHeight="1">
      <c r="B151" s="48" t="s">
        <v>274</v>
      </c>
      <c r="C151" s="158" t="s">
        <v>631</v>
      </c>
      <c r="D151" s="159">
        <f t="shared" ref="D151:I151" si="37">SUM(D152:D155)</f>
        <v>53914.756515724395</v>
      </c>
      <c r="E151" s="159">
        <f t="shared" si="37"/>
        <v>53937.257458126289</v>
      </c>
      <c r="F151" s="159">
        <f t="shared" si="37"/>
        <v>52918.528013392228</v>
      </c>
      <c r="G151" s="159">
        <f t="shared" si="37"/>
        <v>53752.368283726202</v>
      </c>
      <c r="H151" s="159">
        <f t="shared" si="37"/>
        <v>51423.290518007583</v>
      </c>
      <c r="I151" s="159">
        <f t="shared" si="37"/>
        <v>51664.253373417574</v>
      </c>
      <c r="J151" s="159">
        <f t="shared" si="34"/>
        <v>317610.45416239428</v>
      </c>
      <c r="K151" s="69"/>
      <c r="L151" s="319"/>
    </row>
    <row r="152" spans="2:12" s="37" customFormat="1" ht="15.75" customHeight="1">
      <c r="B152" s="48"/>
      <c r="C152" s="160" t="s">
        <v>304</v>
      </c>
      <c r="D152" s="156">
        <f>$F$13*(F801ENE!R35+F801ENE!Y35)*$L152</f>
        <v>53876.852187105374</v>
      </c>
      <c r="E152" s="156">
        <f>$F$13*(F801ENE!S35+F801ENE!Z35)*$L152</f>
        <v>53899.337310403738</v>
      </c>
      <c r="F152" s="156">
        <f>$F$13*(F801ENE!T35+F801ENE!AA35)*$L152</f>
        <v>52881.324075073979</v>
      </c>
      <c r="G152" s="156">
        <f>$F$13*(F801ENE!U35+F801ENE!AB35)*$L152</f>
        <v>53714.578120825572</v>
      </c>
      <c r="H152" s="156">
        <f>$F$13*(F801ENE!V35+F801ENE!AC35)*$L152</f>
        <v>51387.137794181457</v>
      </c>
      <c r="I152" s="156">
        <f>$F$13*(F801ENE!W35+F801ENE!AD35)*$L152</f>
        <v>51627.931242626699</v>
      </c>
      <c r="J152" s="156">
        <f t="shared" si="34"/>
        <v>317387.16073021683</v>
      </c>
      <c r="K152" s="69"/>
      <c r="L152" s="319">
        <v>1</v>
      </c>
    </row>
    <row r="153" spans="2:12" s="37" customFormat="1" ht="15.75" customHeight="1">
      <c r="B153" s="48"/>
      <c r="C153" s="161" t="s">
        <v>306</v>
      </c>
      <c r="D153" s="156">
        <f>$F$13*(F801ENE!R36+F801ENE!Y36)*$L153</f>
        <v>0</v>
      </c>
      <c r="E153" s="156">
        <f>$F$13*(F801ENE!S36+F801ENE!Z36)*$L153</f>
        <v>0</v>
      </c>
      <c r="F153" s="156">
        <f>$F$13*(F801ENE!T36+F801ENE!AA36)*$L153</f>
        <v>0</v>
      </c>
      <c r="G153" s="156">
        <f>$F$13*(F801ENE!U36+F801ENE!AB36)*$L153</f>
        <v>0</v>
      </c>
      <c r="H153" s="156">
        <f>$F$13*(F801ENE!V36+F801ENE!AC36)*$L153</f>
        <v>0</v>
      </c>
      <c r="I153" s="156">
        <f>$F$13*(F801ENE!W36+F801ENE!AD36)*$L153</f>
        <v>0</v>
      </c>
      <c r="J153" s="156">
        <f t="shared" si="34"/>
        <v>0</v>
      </c>
      <c r="K153" s="69"/>
      <c r="L153" s="319">
        <v>1</v>
      </c>
    </row>
    <row r="154" spans="2:12" s="37" customFormat="1" ht="15.75" customHeight="1">
      <c r="B154" s="48"/>
      <c r="C154" s="160" t="s">
        <v>305</v>
      </c>
      <c r="D154" s="156">
        <f>$F$13*(F801ENE!R37+F801ENE!Y37)*$L154</f>
        <v>37.904328619021001</v>
      </c>
      <c r="E154" s="156">
        <f>$F$13*(F801ENE!S37+F801ENE!Z37)*$L154</f>
        <v>37.920147722549544</v>
      </c>
      <c r="F154" s="156">
        <f>$F$13*(F801ENE!T37+F801ENE!AA37)*$L154</f>
        <v>37.203938318250181</v>
      </c>
      <c r="G154" s="156">
        <f>$F$13*(F801ENE!U37+F801ENE!AB37)*$L154</f>
        <v>37.790162900629483</v>
      </c>
      <c r="H154" s="156">
        <f>$F$13*(F801ENE!V37+F801ENE!AC37)*$L154</f>
        <v>36.152723826128494</v>
      </c>
      <c r="I154" s="156">
        <f>$F$13*(F801ENE!W37+F801ENE!AD37)*$L154</f>
        <v>36.322130790876166</v>
      </c>
      <c r="J154" s="156">
        <f t="shared" si="34"/>
        <v>223.29343217745486</v>
      </c>
      <c r="K154" s="69"/>
      <c r="L154" s="319">
        <v>0.95</v>
      </c>
    </row>
    <row r="155" spans="2:12" s="37" customFormat="1" ht="15.75" customHeight="1">
      <c r="B155" s="48"/>
      <c r="C155" s="160" t="s">
        <v>307</v>
      </c>
      <c r="D155" s="156">
        <f>$F$13*(F801ENE!R38+F801ENE!Y38)*$L155</f>
        <v>0</v>
      </c>
      <c r="E155" s="156">
        <f>$F$13*(F801ENE!S38+F801ENE!Z38)*$L155</f>
        <v>0</v>
      </c>
      <c r="F155" s="156">
        <f>$F$13*(F801ENE!T38+F801ENE!AA38)*$L155</f>
        <v>0</v>
      </c>
      <c r="G155" s="156">
        <f>$F$13*(F801ENE!U38+F801ENE!AB38)*$L155</f>
        <v>0</v>
      </c>
      <c r="H155" s="156">
        <f>$F$13*(F801ENE!V38+F801ENE!AC38)*$L155</f>
        <v>0</v>
      </c>
      <c r="I155" s="156">
        <f>$F$13*(F801ENE!W38+F801ENE!AD38)*$L155</f>
        <v>0</v>
      </c>
      <c r="J155" s="156">
        <f t="shared" si="34"/>
        <v>0</v>
      </c>
      <c r="K155" s="69"/>
      <c r="L155" s="319">
        <v>0.5</v>
      </c>
    </row>
    <row r="156" spans="2:12" s="37" customFormat="1" ht="15.75" customHeight="1">
      <c r="B156" s="48" t="s">
        <v>274</v>
      </c>
      <c r="C156" s="158" t="s">
        <v>632</v>
      </c>
      <c r="D156" s="159">
        <f t="shared" ref="D156:I156" si="38">SUM(D157:D160)</f>
        <v>15932.234057993293</v>
      </c>
      <c r="E156" s="159">
        <f t="shared" si="38"/>
        <v>15938.883263220954</v>
      </c>
      <c r="F156" s="159">
        <f t="shared" si="38"/>
        <v>15637.840710046499</v>
      </c>
      <c r="G156" s="159">
        <f t="shared" si="38"/>
        <v>15884.247059856627</v>
      </c>
      <c r="H156" s="159">
        <f t="shared" si="38"/>
        <v>15195.986284870565</v>
      </c>
      <c r="I156" s="159">
        <f t="shared" si="38"/>
        <v>15267.192701439559</v>
      </c>
      <c r="J156" s="159">
        <f t="shared" si="34"/>
        <v>93856.384077427501</v>
      </c>
      <c r="K156" s="69"/>
      <c r="L156" s="319"/>
    </row>
    <row r="157" spans="2:12" s="37" customFormat="1" ht="15.75" customHeight="1">
      <c r="B157" s="48"/>
      <c r="C157" s="160" t="s">
        <v>304</v>
      </c>
      <c r="D157" s="156">
        <f>$F$14*(F801ENE!R40+F801ENE!Y40)*$L157</f>
        <v>15932.234057993293</v>
      </c>
      <c r="E157" s="156">
        <f>$F$14*(F801ENE!S40+F801ENE!Z40)*$L157</f>
        <v>15938.883263220954</v>
      </c>
      <c r="F157" s="156">
        <f>$F$14*(F801ENE!T40+F801ENE!AA40)*$L157</f>
        <v>15637.840710046499</v>
      </c>
      <c r="G157" s="156">
        <f>$F$14*(F801ENE!U40+F801ENE!AB40)*$L157</f>
        <v>15884.247059856627</v>
      </c>
      <c r="H157" s="156">
        <f>$F$14*(F801ENE!V40+F801ENE!AC40)*$L157</f>
        <v>15195.986284870565</v>
      </c>
      <c r="I157" s="156">
        <f>$F$14*(F801ENE!W40+F801ENE!AD40)*$L157</f>
        <v>15267.192701439559</v>
      </c>
      <c r="J157" s="156">
        <f t="shared" si="34"/>
        <v>93856.384077427501</v>
      </c>
      <c r="K157" s="69"/>
      <c r="L157" s="319">
        <v>1</v>
      </c>
    </row>
    <row r="158" spans="2:12" s="37" customFormat="1" ht="15.75" customHeight="1">
      <c r="B158" s="48"/>
      <c r="C158" s="161" t="s">
        <v>306</v>
      </c>
      <c r="D158" s="156">
        <f>$F$14*(F801ENE!R41+F801ENE!Y41)*$L158</f>
        <v>0</v>
      </c>
      <c r="E158" s="156">
        <f>$F$14*(F801ENE!S41+F801ENE!Z41)*$L158</f>
        <v>0</v>
      </c>
      <c r="F158" s="156">
        <f>$F$14*(F801ENE!T41+F801ENE!AA41)*$L158</f>
        <v>0</v>
      </c>
      <c r="G158" s="156">
        <f>$F$14*(F801ENE!U41+F801ENE!AB41)*$L158</f>
        <v>0</v>
      </c>
      <c r="H158" s="156">
        <f>$F$14*(F801ENE!V41+F801ENE!AC41)*$L158</f>
        <v>0</v>
      </c>
      <c r="I158" s="156">
        <f>$F$14*(F801ENE!W41+F801ENE!AD41)*$L158</f>
        <v>0</v>
      </c>
      <c r="J158" s="156">
        <f t="shared" si="34"/>
        <v>0</v>
      </c>
      <c r="K158" s="69"/>
      <c r="L158" s="319">
        <v>1</v>
      </c>
    </row>
    <row r="159" spans="2:12" s="37" customFormat="1" ht="15.75" customHeight="1">
      <c r="B159" s="48"/>
      <c r="C159" s="160" t="s">
        <v>305</v>
      </c>
      <c r="D159" s="156">
        <f>$F$14*(F801ENE!R42+F801ENE!Y42)*$L159</f>
        <v>0</v>
      </c>
      <c r="E159" s="156">
        <f>$F$14*(F801ENE!S42+F801ENE!Z42)*$L159</f>
        <v>0</v>
      </c>
      <c r="F159" s="156">
        <f>$F$14*(F801ENE!T42+F801ENE!AA42)*$L159</f>
        <v>0</v>
      </c>
      <c r="G159" s="156">
        <f>$F$14*(F801ENE!U42+F801ENE!AB42)*$L159</f>
        <v>0</v>
      </c>
      <c r="H159" s="156">
        <f>$F$14*(F801ENE!V42+F801ENE!AC42)*$L159</f>
        <v>0</v>
      </c>
      <c r="I159" s="156">
        <f>$F$14*(F801ENE!W42+F801ENE!AD42)*$L159</f>
        <v>0</v>
      </c>
      <c r="J159" s="156">
        <f t="shared" si="34"/>
        <v>0</v>
      </c>
      <c r="K159" s="69"/>
      <c r="L159" s="319">
        <v>0.95</v>
      </c>
    </row>
    <row r="160" spans="2:12" s="37" customFormat="1" ht="15.75" customHeight="1">
      <c r="B160" s="48"/>
      <c r="C160" s="160" t="s">
        <v>307</v>
      </c>
      <c r="D160" s="156">
        <f>$F$14*(F801ENE!R43+F801ENE!Y43)*$L160</f>
        <v>0</v>
      </c>
      <c r="E160" s="156">
        <f>$F$14*(F801ENE!S43+F801ENE!Z43)*$L160</f>
        <v>0</v>
      </c>
      <c r="F160" s="156">
        <f>$F$14*(F801ENE!T43+F801ENE!AA43)*$L160</f>
        <v>0</v>
      </c>
      <c r="G160" s="156">
        <f>$F$14*(F801ENE!U43+F801ENE!AB43)*$L160</f>
        <v>0</v>
      </c>
      <c r="H160" s="156">
        <f>$F$14*(F801ENE!V43+F801ENE!AC43)*$L160</f>
        <v>0</v>
      </c>
      <c r="I160" s="156">
        <f>$F$14*(F801ENE!W43+F801ENE!AD43)*$L160</f>
        <v>0</v>
      </c>
      <c r="J160" s="156">
        <f t="shared" si="34"/>
        <v>0</v>
      </c>
      <c r="K160" s="69"/>
      <c r="L160" s="319">
        <v>0.5</v>
      </c>
    </row>
    <row r="161" spans="2:13" s="37" customFormat="1" ht="15.75" customHeight="1">
      <c r="B161" s="48" t="s">
        <v>274</v>
      </c>
      <c r="C161" s="158" t="s">
        <v>633</v>
      </c>
      <c r="D161" s="159">
        <f t="shared" ref="D161:I161" si="39">SUM(D162:D165)</f>
        <v>16902.421908672532</v>
      </c>
      <c r="E161" s="159">
        <f t="shared" si="39"/>
        <v>16909.476014939493</v>
      </c>
      <c r="F161" s="159">
        <f t="shared" si="39"/>
        <v>16590.101580211955</v>
      </c>
      <c r="G161" s="159">
        <f t="shared" si="39"/>
        <v>16851.51275897738</v>
      </c>
      <c r="H161" s="159">
        <f t="shared" si="39"/>
        <v>16121.340583521056</v>
      </c>
      <c r="I161" s="159">
        <f t="shared" si="39"/>
        <v>16196.883090056723</v>
      </c>
      <c r="J161" s="159">
        <f t="shared" si="34"/>
        <v>99571.735936379133</v>
      </c>
      <c r="K161" s="69"/>
      <c r="L161" s="319"/>
    </row>
    <row r="162" spans="2:13" s="37" customFormat="1" ht="15.75" customHeight="1">
      <c r="B162" s="48"/>
      <c r="C162" s="160" t="s">
        <v>304</v>
      </c>
      <c r="D162" s="156">
        <f>$F$15*(F801ENE!R45+F801ENE!Y45)*$L162</f>
        <v>16902.421908672532</v>
      </c>
      <c r="E162" s="156">
        <f>$F$15*(F801ENE!S45+F801ENE!Z45)*$L162</f>
        <v>16909.476014939493</v>
      </c>
      <c r="F162" s="156">
        <f>$F$15*(F801ENE!T45+F801ENE!AA45)*$L162</f>
        <v>16590.101580211955</v>
      </c>
      <c r="G162" s="156">
        <f>$F$15*(F801ENE!U45+F801ENE!AB45)*$L162</f>
        <v>16851.51275897738</v>
      </c>
      <c r="H162" s="156">
        <f>$F$15*(F801ENE!V45+F801ENE!AC45)*$L162</f>
        <v>16121.340583521056</v>
      </c>
      <c r="I162" s="156">
        <f>$F$15*(F801ENE!W45+F801ENE!AD45)*$L162</f>
        <v>16196.883090056723</v>
      </c>
      <c r="J162" s="156">
        <f t="shared" si="34"/>
        <v>99571.735936379133</v>
      </c>
      <c r="K162" s="69"/>
      <c r="L162" s="319">
        <v>1</v>
      </c>
    </row>
    <row r="163" spans="2:13" s="37" customFormat="1" ht="15.75" customHeight="1">
      <c r="B163" s="48"/>
      <c r="C163" s="161" t="s">
        <v>306</v>
      </c>
      <c r="D163" s="156">
        <f>$F$15*(F801ENE!R46+F801ENE!Y46)*$L163</f>
        <v>0</v>
      </c>
      <c r="E163" s="156">
        <f>$F$15*(F801ENE!S46+F801ENE!Z46)*$L163</f>
        <v>0</v>
      </c>
      <c r="F163" s="156">
        <f>$F$15*(F801ENE!T46+F801ENE!AA46)*$L163</f>
        <v>0</v>
      </c>
      <c r="G163" s="156">
        <f>$F$15*(F801ENE!U46+F801ENE!AB46)*$L163</f>
        <v>0</v>
      </c>
      <c r="H163" s="156">
        <f>$F$15*(F801ENE!V46+F801ENE!AC46)*$L163</f>
        <v>0</v>
      </c>
      <c r="I163" s="156">
        <f>$F$15*(F801ENE!W46+F801ENE!AD46)*$L163</f>
        <v>0</v>
      </c>
      <c r="J163" s="156">
        <f t="shared" si="34"/>
        <v>0</v>
      </c>
      <c r="K163" s="69"/>
      <c r="L163" s="319">
        <v>1</v>
      </c>
    </row>
    <row r="164" spans="2:13" s="37" customFormat="1" ht="15.75" customHeight="1">
      <c r="B164" s="48"/>
      <c r="C164" s="160" t="s">
        <v>305</v>
      </c>
      <c r="D164" s="156">
        <f>$F$15*(F801ENE!R47+F801ENE!Y47)*$L164</f>
        <v>0</v>
      </c>
      <c r="E164" s="156">
        <f>$F$15*(F801ENE!S47+F801ENE!Z47)*$L164</f>
        <v>0</v>
      </c>
      <c r="F164" s="156">
        <f>$F$15*(F801ENE!T47+F801ENE!AA47)*$L164</f>
        <v>0</v>
      </c>
      <c r="G164" s="156">
        <f>$F$15*(F801ENE!U47+F801ENE!AB47)*$L164</f>
        <v>0</v>
      </c>
      <c r="H164" s="156">
        <f>$F$15*(F801ENE!V47+F801ENE!AC47)*$L164</f>
        <v>0</v>
      </c>
      <c r="I164" s="156">
        <f>$F$15*(F801ENE!W47+F801ENE!AD47)*$L164</f>
        <v>0</v>
      </c>
      <c r="J164" s="156">
        <f t="shared" si="34"/>
        <v>0</v>
      </c>
      <c r="K164" s="69"/>
      <c r="L164" s="319">
        <v>0.95</v>
      </c>
    </row>
    <row r="165" spans="2:13" s="37" customFormat="1" ht="15.75" customHeight="1">
      <c r="B165" s="48"/>
      <c r="C165" s="160" t="s">
        <v>307</v>
      </c>
      <c r="D165" s="156">
        <f>$F$15*(F801ENE!R48+F801ENE!Y48)*$L165</f>
        <v>0</v>
      </c>
      <c r="E165" s="156">
        <f>$F$15*(F801ENE!S48+F801ENE!Z48)*$L165</f>
        <v>0</v>
      </c>
      <c r="F165" s="156">
        <f>$F$15*(F801ENE!T48+F801ENE!AA48)*$L165</f>
        <v>0</v>
      </c>
      <c r="G165" s="156">
        <f>$F$15*(F801ENE!U48+F801ENE!AB48)*$L165</f>
        <v>0</v>
      </c>
      <c r="H165" s="156">
        <f>$F$15*(F801ENE!V48+F801ENE!AC48)*$L165</f>
        <v>0</v>
      </c>
      <c r="I165" s="156">
        <f>$F$15*(F801ENE!W48+F801ENE!AD48)*$L165</f>
        <v>0</v>
      </c>
      <c r="J165" s="156">
        <f t="shared" si="34"/>
        <v>0</v>
      </c>
      <c r="K165" s="69"/>
      <c r="L165" s="319">
        <v>0.5</v>
      </c>
    </row>
    <row r="166" spans="2:13" s="37" customFormat="1" ht="15.75">
      <c r="B166" s="48"/>
      <c r="C166" s="157"/>
      <c r="D166" s="156"/>
      <c r="E166" s="156"/>
      <c r="F166" s="156"/>
      <c r="G166" s="156"/>
      <c r="H166" s="156"/>
      <c r="I166" s="156"/>
      <c r="J166" s="156"/>
      <c r="K166" s="69"/>
      <c r="L166" s="319"/>
    </row>
    <row r="167" spans="2:13" s="37" customFormat="1" ht="15.75">
      <c r="B167" s="48" t="s">
        <v>1176</v>
      </c>
      <c r="C167" s="158" t="str">
        <f>F801ENE!$C$50</f>
        <v>BTSH</v>
      </c>
      <c r="D167" s="159">
        <f>SUM(D168:D173)</f>
        <v>3.1722222305003092</v>
      </c>
      <c r="E167" s="159">
        <f t="shared" ref="E167:J167" si="40">SUM(E168:E173)</f>
        <v>3.1722222305003092</v>
      </c>
      <c r="F167" s="159">
        <f t="shared" si="40"/>
        <v>3.1722222305003092</v>
      </c>
      <c r="G167" s="159">
        <f t="shared" si="40"/>
        <v>3.1722222305003092</v>
      </c>
      <c r="H167" s="159">
        <f t="shared" si="40"/>
        <v>3.1722222305003092</v>
      </c>
      <c r="I167" s="159">
        <f t="shared" si="40"/>
        <v>3.1722222305003092</v>
      </c>
      <c r="J167" s="159">
        <f t="shared" si="40"/>
        <v>19.033333383001857</v>
      </c>
      <c r="K167" s="69"/>
      <c r="L167" s="319"/>
    </row>
    <row r="168" spans="2:13" s="37" customFormat="1" ht="15.75">
      <c r="B168" s="48"/>
      <c r="C168" s="160" t="str">
        <f>F801ENE!$C$51</f>
        <v xml:space="preserve">    - Regulares</v>
      </c>
      <c r="D168" s="156">
        <f>($H$16*F801ENE!R51+$I$16*F801ENE!Y51)*$L168</f>
        <v>3.1722222305003092</v>
      </c>
      <c r="E168" s="156">
        <f>($H$16*F801ENE!S51+$I$16*F801ENE!Z51)*$L168</f>
        <v>3.1722222305003092</v>
      </c>
      <c r="F168" s="156">
        <f>($H$16*F801ENE!T51+$I$16*F801ENE!AA51)*$L168</f>
        <v>3.1722222305003092</v>
      </c>
      <c r="G168" s="156">
        <f>($H$16*F801ENE!U51+$I$16*F801ENE!AB51)*$L168</f>
        <v>3.1722222305003092</v>
      </c>
      <c r="H168" s="156">
        <f>($H$16*F801ENE!V51+$I$16*F801ENE!AC51)*$L168</f>
        <v>3.1722222305003092</v>
      </c>
      <c r="I168" s="156">
        <f>($H$16*F801ENE!W51+$I$16*F801ENE!AD51)*$L168</f>
        <v>3.1722222305003092</v>
      </c>
      <c r="J168" s="156">
        <f t="shared" ref="J168:J185" si="41">SUM(D168:I168)</f>
        <v>19.033333383001857</v>
      </c>
      <c r="K168" s="69"/>
      <c r="L168" s="319">
        <v>1</v>
      </c>
    </row>
    <row r="169" spans="2:13" s="37" customFormat="1" ht="15.75">
      <c r="B169" s="48"/>
      <c r="C169" s="162" t="str">
        <f>F801ENE!$C$52</f>
        <v xml:space="preserve">    - Jubilados (0 a 600 KWh)</v>
      </c>
      <c r="D169" s="156">
        <f>($H$16*F801ENE!R52+$I$16*F801ENE!Y52)*$L169</f>
        <v>0</v>
      </c>
      <c r="E169" s="156">
        <f>($H$16*F801ENE!S52+$I$16*F801ENE!Z52)*$L169</f>
        <v>0</v>
      </c>
      <c r="F169" s="156">
        <f>($H$16*F801ENE!T52+$I$16*F801ENE!AA52)*$L169</f>
        <v>0</v>
      </c>
      <c r="G169" s="156">
        <f>($H$16*F801ENE!U52+$I$16*F801ENE!AB52)*$L169</f>
        <v>0</v>
      </c>
      <c r="H169" s="156">
        <f>($H$16*F801ENE!V52+$I$16*F801ENE!AC52)*$L169</f>
        <v>0</v>
      </c>
      <c r="I169" s="156">
        <f>($H$16*F801ENE!W52+$I$16*F801ENE!AD52)*$L169</f>
        <v>0</v>
      </c>
      <c r="J169" s="156">
        <f t="shared" si="41"/>
        <v>0</v>
      </c>
      <c r="K169" s="69"/>
      <c r="L169" s="319">
        <v>0.75</v>
      </c>
    </row>
    <row r="170" spans="2:13" s="37" customFormat="1" ht="15.75">
      <c r="B170" s="48"/>
      <c r="C170" s="162" t="str">
        <f>F801ENE!$C$53</f>
        <v xml:space="preserve">    - Jubilados (601 y Más KWh)</v>
      </c>
      <c r="D170" s="156">
        <f>($H$16*F801ENE!R53+$I$16*F801ENE!Y53)*$L170</f>
        <v>0</v>
      </c>
      <c r="E170" s="156">
        <f>($H$16*F801ENE!S53+$I$16*F801ENE!Z53)*$L170</f>
        <v>0</v>
      </c>
      <c r="F170" s="156">
        <f>($H$16*F801ENE!T53+$I$16*F801ENE!AA53)*$L170</f>
        <v>0</v>
      </c>
      <c r="G170" s="156">
        <f>($H$16*F801ENE!U53+$I$16*F801ENE!AB53)*$L170</f>
        <v>0</v>
      </c>
      <c r="H170" s="156">
        <f>($H$16*F801ENE!V53+$I$16*F801ENE!AC53)*$L170</f>
        <v>0</v>
      </c>
      <c r="I170" s="156">
        <f>($H$16*F801ENE!W53+$I$16*F801ENE!AD53)*$L170</f>
        <v>0</v>
      </c>
      <c r="J170" s="156">
        <f t="shared" si="41"/>
        <v>0</v>
      </c>
      <c r="K170" s="69"/>
      <c r="L170" s="319">
        <v>1</v>
      </c>
    </row>
    <row r="171" spans="2:13" s="37" customFormat="1" ht="15.75">
      <c r="B171" s="48"/>
      <c r="C171" s="160" t="str">
        <f>F801ENE!$C$54</f>
        <v xml:space="preserve">    - Agropecuarios</v>
      </c>
      <c r="D171" s="156">
        <f>($H$16*F801ENE!R54+$I$16*F801ENE!Y54)*$L171</f>
        <v>0</v>
      </c>
      <c r="E171" s="156">
        <f>($H$16*F801ENE!S54+$I$16*F801ENE!Z54)*$L171</f>
        <v>0</v>
      </c>
      <c r="F171" s="156">
        <f>($H$16*F801ENE!T54+$I$16*F801ENE!AA54)*$L171</f>
        <v>0</v>
      </c>
      <c r="G171" s="156">
        <f>($H$16*F801ENE!U54+$I$16*F801ENE!AB54)*$L171</f>
        <v>0</v>
      </c>
      <c r="H171" s="156">
        <f>($H$16*F801ENE!V54+$I$16*F801ENE!AC54)*$L171</f>
        <v>0</v>
      </c>
      <c r="I171" s="156">
        <f>($H$16*F801ENE!W54+$I$16*F801ENE!AD54)*$L171</f>
        <v>0</v>
      </c>
      <c r="J171" s="156">
        <f t="shared" si="41"/>
        <v>0</v>
      </c>
      <c r="K171" s="69"/>
      <c r="L171" s="319">
        <v>0.95</v>
      </c>
    </row>
    <row r="172" spans="2:13" s="37" customFormat="1" ht="15.75">
      <c r="B172" s="48"/>
      <c r="C172" s="160" t="str">
        <f>F801ENE!$C$55</f>
        <v xml:space="preserve">    - Partidos Políticos</v>
      </c>
      <c r="D172" s="156">
        <f>($H$16*F801ENE!R55+$I$16*F801ENE!Y55)*$L172</f>
        <v>0</v>
      </c>
      <c r="E172" s="156">
        <f>($H$16*F801ENE!S55+$I$16*F801ENE!Z55)*$L172</f>
        <v>0</v>
      </c>
      <c r="F172" s="156">
        <f>($H$16*F801ENE!T55+$I$16*F801ENE!AA55)*$L172</f>
        <v>0</v>
      </c>
      <c r="G172" s="156">
        <f>($H$16*F801ENE!U55+$I$16*F801ENE!AB55)*$L172</f>
        <v>0</v>
      </c>
      <c r="H172" s="156">
        <f>($H$16*F801ENE!V55+$I$16*F801ENE!AC55)*$L172</f>
        <v>0</v>
      </c>
      <c r="I172" s="156">
        <f>($H$16*F801ENE!W55+$I$16*F801ENE!AD55)*$L172</f>
        <v>0</v>
      </c>
      <c r="J172" s="156">
        <f t="shared" si="41"/>
        <v>0</v>
      </c>
      <c r="K172" s="69"/>
      <c r="L172" s="319">
        <v>0.5</v>
      </c>
    </row>
    <row r="173" spans="2:13" s="37" customFormat="1" ht="15.75">
      <c r="B173" s="48"/>
      <c r="C173" s="160" t="str">
        <f>F801ENE!$C$56</f>
        <v xml:space="preserve">    - Cruz Roja</v>
      </c>
      <c r="D173" s="156">
        <f>($H$16*F801ENE!R56+$I$16*F801ENE!Y56)*$L173</f>
        <v>0</v>
      </c>
      <c r="E173" s="156">
        <f>($H$16*F801ENE!S56+$I$16*F801ENE!Z56)*$L173</f>
        <v>0</v>
      </c>
      <c r="F173" s="156">
        <f>($H$16*F801ENE!T56+$I$16*F801ENE!AA56)*$L173</f>
        <v>0</v>
      </c>
      <c r="G173" s="156">
        <f>($H$16*F801ENE!U56+$I$16*F801ENE!AB56)*$L173</f>
        <v>0</v>
      </c>
      <c r="H173" s="156">
        <f>($H$16*F801ENE!V56+$I$16*F801ENE!AC56)*$L173</f>
        <v>0</v>
      </c>
      <c r="I173" s="156">
        <f>($H$16*F801ENE!W56+$I$16*F801ENE!AD56)*$L173</f>
        <v>0</v>
      </c>
      <c r="J173" s="156">
        <f t="shared" si="41"/>
        <v>0</v>
      </c>
      <c r="K173" s="69"/>
      <c r="L173" s="319">
        <v>0</v>
      </c>
    </row>
    <row r="174" spans="2:13" s="37" customFormat="1" ht="15.75">
      <c r="B174" s="48" t="s">
        <v>751</v>
      </c>
      <c r="C174" s="158" t="s">
        <v>634</v>
      </c>
      <c r="D174" s="159">
        <f t="shared" ref="D174:I174" si="42">SUM(D175:D179)</f>
        <v>254329.11660999287</v>
      </c>
      <c r="E174" s="159">
        <f t="shared" si="42"/>
        <v>254435.26039235949</v>
      </c>
      <c r="F174" s="159">
        <f t="shared" si="42"/>
        <v>249629.60405401682</v>
      </c>
      <c r="G174" s="159">
        <f t="shared" si="42"/>
        <v>253563.0819769426</v>
      </c>
      <c r="H174" s="159">
        <f t="shared" si="42"/>
        <v>242576.11445070151</v>
      </c>
      <c r="I174" s="159">
        <f t="shared" si="42"/>
        <v>243712.80945779293</v>
      </c>
      <c r="J174" s="159">
        <f t="shared" si="41"/>
        <v>1498245.986941806</v>
      </c>
      <c r="K174" s="69"/>
      <c r="L174" s="319"/>
      <c r="M174" s="69"/>
    </row>
    <row r="175" spans="2:13" s="37" customFormat="1" ht="15.75">
      <c r="B175" s="48"/>
      <c r="C175" s="160" t="s">
        <v>304</v>
      </c>
      <c r="D175" s="156">
        <f>(($E$18+$F$18)*(F801ENE!R66+F801ENE!Y66)*$L175)</f>
        <v>179734.38927746002</v>
      </c>
      <c r="E175" s="156">
        <f>(($E$18+$F$18)*(F801ENE!S66+F801ENE!Z66)*$L175)</f>
        <v>179809.40147783194</v>
      </c>
      <c r="F175" s="156">
        <f>(($E$18+$F$18)*(F801ENE!T66+F801ENE!AA66)*$L175)</f>
        <v>176413.22651465598</v>
      </c>
      <c r="G175" s="156">
        <f>(($E$18+$F$18)*(F801ENE!U66+F801ENE!AB66)*$L175)</f>
        <v>179193.02979219391</v>
      </c>
      <c r="H175" s="156">
        <f>(($E$18+$F$18)*(F801ENE!V66+F801ENE!AC66)*$L175)</f>
        <v>171428.49953726601</v>
      </c>
      <c r="I175" s="156">
        <f>(($E$18+$F$18)*(F801ENE!W66+F801ENE!AD66)*$L175)</f>
        <v>172231.80606858208</v>
      </c>
      <c r="J175" s="156">
        <f t="shared" si="41"/>
        <v>1058810.3526679899</v>
      </c>
      <c r="K175" s="69"/>
      <c r="L175" s="319">
        <v>1</v>
      </c>
      <c r="M175" s="329"/>
    </row>
    <row r="176" spans="2:13" s="37" customFormat="1" ht="15.75">
      <c r="B176" s="48"/>
      <c r="C176" s="162" t="s">
        <v>644</v>
      </c>
      <c r="D176" s="156">
        <f>(($E$18+$F$18)*(F801ENE!R67+F801ENE!Y67)*$L176)</f>
        <v>74578.843653620468</v>
      </c>
      <c r="E176" s="156">
        <f>(($E$18+$F$18)*(F801ENE!S67+F801ENE!Z67)*$L176)</f>
        <v>74609.968606674083</v>
      </c>
      <c r="F176" s="156">
        <f>(($E$18+$F$18)*(F801ENE!T67+F801ENE!AA67)*$L176)</f>
        <v>73200.787356601999</v>
      </c>
      <c r="G176" s="156">
        <f>(($E$18+$F$18)*(F801ENE!U67+F801ENE!AB67)*$L176)</f>
        <v>74354.216346589063</v>
      </c>
      <c r="H176" s="156">
        <f>(($E$18+$F$18)*(F801ENE!V67+F801ENE!AC67)*$L176)</f>
        <v>71132.465238504345</v>
      </c>
      <c r="I176" s="156">
        <f>(($E$18+$F$18)*(F801ENE!W67+F801ENE!AD67)*$L176)</f>
        <v>71465.782724872115</v>
      </c>
      <c r="J176" s="156">
        <f t="shared" si="41"/>
        <v>439342.06392686209</v>
      </c>
      <c r="K176" s="69"/>
      <c r="L176" s="319">
        <v>0.75</v>
      </c>
      <c r="M176" s="329"/>
    </row>
    <row r="177" spans="2:28" s="37" customFormat="1" ht="15.75">
      <c r="B177" s="48"/>
      <c r="C177" s="160" t="s">
        <v>305</v>
      </c>
      <c r="D177" s="156">
        <f>(($E$18+$F$18)*(F801ENE!R68+F801ENE!Y68)*$L177)</f>
        <v>15.32815098137721</v>
      </c>
      <c r="E177" s="156">
        <f>(($E$18+$F$18)*(F801ENE!S68+F801ENE!Z68)*$L177)</f>
        <v>15.334548076804301</v>
      </c>
      <c r="F177" s="156">
        <f>(($E$18+$F$18)*(F801ENE!T68+F801ENE!AA68)*$L177)</f>
        <v>15.044919786755285</v>
      </c>
      <c r="G177" s="156">
        <f>(($E$18+$F$18)*(F801ENE!U68+F801ENE!AB68)*$L177)</f>
        <v>15.281983447690193</v>
      </c>
      <c r="H177" s="156">
        <f>(($E$18+$F$18)*(F801ENE!V68+F801ENE!AC68)*$L177)</f>
        <v>14.619818616622252</v>
      </c>
      <c r="I177" s="156">
        <f>(($E$18+$F$18)*(F801ENE!W68+F801ENE!AD68)*$L177)</f>
        <v>14.688325186387637</v>
      </c>
      <c r="J177" s="156">
        <f t="shared" si="41"/>
        <v>90.297746095636882</v>
      </c>
      <c r="K177" s="69"/>
      <c r="L177" s="319">
        <v>0.95</v>
      </c>
      <c r="M177" s="329"/>
    </row>
    <row r="178" spans="2:28" s="37" customFormat="1" ht="15.75">
      <c r="B178" s="48"/>
      <c r="C178" s="160" t="s">
        <v>307</v>
      </c>
      <c r="D178" s="156">
        <f>(($E$18+$F$18)*(F801ENE!R69+F801ENE!Y69)*$L178)</f>
        <v>0.55552793098907827</v>
      </c>
      <c r="E178" s="156">
        <f>(($E$18+$F$18)*(F801ENE!S69+F801ENE!Z69)*$L178)</f>
        <v>0.55575977664295184</v>
      </c>
      <c r="F178" s="156">
        <f>(($E$18+$F$18)*(F801ENE!T69+F801ENE!AA69)*$L178)</f>
        <v>0.54526297210845109</v>
      </c>
      <c r="G178" s="156">
        <f>(($E$18+$F$18)*(F801ENE!U69+F801ENE!AB69)*$L178)</f>
        <v>0.55385471192311397</v>
      </c>
      <c r="H178" s="156">
        <f>(($E$18+$F$18)*(F801ENE!V69+F801ENE!AC69)*$L178)</f>
        <v>0.52985631452842341</v>
      </c>
      <c r="I178" s="156">
        <f>(($E$18+$F$18)*(F801ENE!W69+F801ENE!AD69)*$L178)</f>
        <v>0.53233915234801188</v>
      </c>
      <c r="J178" s="156">
        <f t="shared" si="41"/>
        <v>3.2726008585400308</v>
      </c>
      <c r="K178" s="69"/>
      <c r="L178" s="319">
        <v>0.5</v>
      </c>
      <c r="M178" s="329"/>
    </row>
    <row r="179" spans="2:28" s="37" customFormat="1" ht="15.75">
      <c r="B179" s="48"/>
      <c r="C179" s="160" t="s">
        <v>624</v>
      </c>
      <c r="D179" s="156">
        <f>(($E$18+$F$18)*(F801ENE!R70+F801ENE!Y70)*$L179)</f>
        <v>0</v>
      </c>
      <c r="E179" s="156">
        <f>(($E$18+$F$18)*(F801ENE!S70+F801ENE!Z70)*$L179)</f>
        <v>0</v>
      </c>
      <c r="F179" s="156">
        <f>(($E$18+$F$18)*(F801ENE!T70+F801ENE!AA70)*$L179)</f>
        <v>0</v>
      </c>
      <c r="G179" s="156">
        <f>(($E$18+$F$18)*(F801ENE!U70+F801ENE!AB70)*$L179)</f>
        <v>0</v>
      </c>
      <c r="H179" s="156">
        <f>(($E$18+$F$18)*(F801ENE!V70+F801ENE!AC70)*$L179)</f>
        <v>0</v>
      </c>
      <c r="I179" s="156">
        <f>(($E$18+$F$18)*(F801ENE!W70+F801ENE!AD70)*$L179)</f>
        <v>0</v>
      </c>
      <c r="J179" s="156">
        <f t="shared" si="41"/>
        <v>0</v>
      </c>
      <c r="K179" s="69"/>
      <c r="L179" s="319">
        <v>0</v>
      </c>
      <c r="M179" s="329"/>
    </row>
    <row r="180" spans="2:28" s="37" customFormat="1" ht="15.75">
      <c r="B180" s="48" t="s">
        <v>750</v>
      </c>
      <c r="C180" s="158" t="s">
        <v>635</v>
      </c>
      <c r="D180" s="159">
        <f t="shared" ref="D180:I180" si="43">SUM(D181:D186)</f>
        <v>132057.97481890078</v>
      </c>
      <c r="E180" s="159">
        <f t="shared" si="43"/>
        <v>132113.08828091269</v>
      </c>
      <c r="F180" s="159">
        <f t="shared" si="43"/>
        <v>129617.82805803239</v>
      </c>
      <c r="G180" s="159">
        <f t="shared" si="43"/>
        <v>131660.22358272763</v>
      </c>
      <c r="H180" s="159">
        <f t="shared" si="43"/>
        <v>125955.41634972408</v>
      </c>
      <c r="I180" s="159">
        <f t="shared" si="43"/>
        <v>126545.62705915651</v>
      </c>
      <c r="J180" s="159">
        <f t="shared" si="41"/>
        <v>777950.15814945404</v>
      </c>
      <c r="K180" s="69"/>
      <c r="L180" s="319"/>
      <c r="M180" s="69"/>
    </row>
    <row r="181" spans="2:28" s="37" customFormat="1" ht="15.75">
      <c r="B181" s="48"/>
      <c r="C181" s="160" t="s">
        <v>304</v>
      </c>
      <c r="D181" s="156">
        <f>(($E$19+$F$19)*(F801ENE!R72+F801ENE!Y72)*$L181)</f>
        <v>95018.033471729243</v>
      </c>
      <c r="E181" s="156">
        <f>(($E$19+$F$19)*(F801ENE!S72+F801ENE!Z72)*$L181)</f>
        <v>95057.688576128421</v>
      </c>
      <c r="F181" s="156">
        <f>(($E$19+$F$19)*(F801ENE!T72+F801ENE!AA72)*$L181)</f>
        <v>93262.304997791303</v>
      </c>
      <c r="G181" s="156">
        <f>(($E$19+$F$19)*(F801ENE!U72+F801ENE!AB72)*$L181)</f>
        <v>94731.844467816758</v>
      </c>
      <c r="H181" s="156">
        <f>(($E$19+$F$19)*(F801ENE!V72+F801ENE!AC72)*$L181)</f>
        <v>90627.135415912431</v>
      </c>
      <c r="I181" s="156">
        <f>(($E$19+$F$19)*(F801ENE!W72+F801ENE!AD72)*$L181)</f>
        <v>91051.802392830199</v>
      </c>
      <c r="J181" s="330">
        <f t="shared" si="41"/>
        <v>559748.8093222084</v>
      </c>
      <c r="K181" s="69"/>
      <c r="L181" s="319">
        <v>1</v>
      </c>
      <c r="M181" s="329"/>
      <c r="W181" s="60"/>
      <c r="X181" s="60"/>
      <c r="Y181" s="60"/>
      <c r="Z181" s="60"/>
      <c r="AA181" s="60"/>
      <c r="AB181" s="60"/>
    </row>
    <row r="182" spans="2:28" s="37" customFormat="1" ht="15.75">
      <c r="B182" s="48"/>
      <c r="C182" s="162" t="s">
        <v>642</v>
      </c>
      <c r="D182" s="156">
        <f>(($E$19+$F$19)*(F801ENE!R73+F801ENE!Y73)*$L182)</f>
        <v>29902.183493390956</v>
      </c>
      <c r="E182" s="156">
        <f>(($E$19+$F$19)*(F801ENE!S73+F801ENE!Z73)*$L182)</f>
        <v>29914.662958234301</v>
      </c>
      <c r="F182" s="156">
        <f>(($E$19+$F$19)*(F801ENE!T73+F801ENE!AA73)*$L182)</f>
        <v>29349.655588170906</v>
      </c>
      <c r="G182" s="156">
        <f>(($E$19+$F$19)*(F801ENE!U73+F801ENE!AB73)*$L182)</f>
        <v>29812.119788680335</v>
      </c>
      <c r="H182" s="156">
        <f>(($E$19+$F$19)*(F801ENE!V73+F801ENE!AC73)*$L182)</f>
        <v>28520.367488907214</v>
      </c>
      <c r="I182" s="156">
        <f>(($E$19+$F$19)*(F801ENE!W73+F801ENE!AD73)*$L182)</f>
        <v>28654.010223906109</v>
      </c>
      <c r="J182" s="330">
        <f t="shared" si="41"/>
        <v>176152.99954128981</v>
      </c>
      <c r="K182" s="69"/>
      <c r="L182" s="319">
        <v>0.75</v>
      </c>
      <c r="M182" s="329"/>
      <c r="W182" s="60"/>
      <c r="X182" s="60"/>
      <c r="Y182" s="60"/>
      <c r="Z182" s="60"/>
      <c r="AA182" s="60"/>
      <c r="AB182" s="60"/>
    </row>
    <row r="183" spans="2:28" s="37" customFormat="1" ht="15.75">
      <c r="B183" s="48"/>
      <c r="C183" s="162" t="s">
        <v>1177</v>
      </c>
      <c r="D183" s="156">
        <f>(($E$19+$F$19)*(F801ENE!R74+F801ENE!Y74)*$L183)</f>
        <v>7115.8487652069362</v>
      </c>
      <c r="E183" s="156">
        <f>(($E$19+$F$19)*(F801ENE!S74+F801ENE!Z74)*$L183)</f>
        <v>7118.8185143730998</v>
      </c>
      <c r="F183" s="156">
        <f>(($E$19+$F$19)*(F801ENE!T74+F801ENE!AA74)*$L183)</f>
        <v>6984.3632162345175</v>
      </c>
      <c r="G183" s="156">
        <f>(($E$19+$F$19)*(F801ENE!U74+F801ENE!AB74)*$L183)</f>
        <v>7094.4162266066478</v>
      </c>
      <c r="H183" s="156">
        <f>(($E$19+$F$19)*(F801ENE!V74+F801ENE!AC74)*$L183)</f>
        <v>6787.016801767807</v>
      </c>
      <c r="I183" s="156">
        <f>(($E$19+$F$19)*(F801ENE!W74+F801ENE!AD74)*$L183)</f>
        <v>6818.8198803299792</v>
      </c>
      <c r="J183" s="330">
        <f t="shared" si="41"/>
        <v>41919.283404518988</v>
      </c>
      <c r="K183" s="69"/>
      <c r="L183" s="319">
        <v>1</v>
      </c>
      <c r="M183" s="329"/>
      <c r="W183" s="60"/>
      <c r="X183" s="60"/>
      <c r="Y183" s="60"/>
      <c r="Z183" s="60"/>
      <c r="AA183" s="60"/>
      <c r="AB183" s="60"/>
    </row>
    <row r="184" spans="2:28" s="37" customFormat="1" ht="15.75">
      <c r="B184" s="48"/>
      <c r="C184" s="160" t="s">
        <v>305</v>
      </c>
      <c r="D184" s="156">
        <f>(($E$19+$F$19)*(F801ENE!R75+F801ENE!Y75)*$L184)</f>
        <v>20.889224204459506</v>
      </c>
      <c r="E184" s="156">
        <f>(($E$19+$F$19)*(F801ENE!S75+F801ENE!Z75)*$L184)</f>
        <v>20.897942174474029</v>
      </c>
      <c r="F184" s="156">
        <f>(($E$19+$F$19)*(F801ENE!T75+F801ENE!AA75)*$L184)</f>
        <v>20.503236362002678</v>
      </c>
      <c r="G184" s="156">
        <f>(($E$19+$F$19)*(F801ENE!U75+F801ENE!AB75)*$L184)</f>
        <v>20.826307029170273</v>
      </c>
      <c r="H184" s="156">
        <f>(($E$19+$F$19)*(F801ENE!V75+F801ENE!AC75)*$L184)</f>
        <v>19.923907931373581</v>
      </c>
      <c r="I184" s="156">
        <f>(($E$19+$F$19)*(F801ENE!W75+F801ENE!AD75)*$L184)</f>
        <v>20.017268774246684</v>
      </c>
      <c r="J184" s="156">
        <f t="shared" si="41"/>
        <v>123.05788647572676</v>
      </c>
      <c r="K184" s="69"/>
      <c r="L184" s="319">
        <v>0.95</v>
      </c>
      <c r="M184" s="329"/>
      <c r="W184" s="60"/>
      <c r="X184" s="60"/>
      <c r="Y184" s="60"/>
      <c r="Z184" s="60"/>
      <c r="AA184" s="60"/>
      <c r="AB184" s="60"/>
    </row>
    <row r="185" spans="2:28" s="37" customFormat="1" ht="15.75">
      <c r="B185" s="48"/>
      <c r="C185" s="160" t="s">
        <v>307</v>
      </c>
      <c r="D185" s="156">
        <f>(($E$19+$F$19)*(F801ENE!R76+F801ENE!Y76)*$L185)</f>
        <v>1.0198643691844937</v>
      </c>
      <c r="E185" s="156">
        <f>(($E$19+$F$19)*(F801ENE!S76+F801ENE!Z76)*$L185)</f>
        <v>1.0202900023675363</v>
      </c>
      <c r="F185" s="156">
        <f>(($E$19+$F$19)*(F801ENE!T76+F801ENE!AA76)*$L185)</f>
        <v>1.0010194736724778</v>
      </c>
      <c r="G185" s="156">
        <f>(($E$19+$F$19)*(F801ENE!U76+F801ENE!AB76)*$L185)</f>
        <v>1.0167925947299152</v>
      </c>
      <c r="H185" s="156">
        <f>(($E$19+$F$19)*(F801ENE!V76+F801ENE!AC76)*$L185)</f>
        <v>0.97273520525392887</v>
      </c>
      <c r="I185" s="156">
        <f>(($E$19+$F$19)*(F801ENE!W76+F801ENE!AD76)*$L185)</f>
        <v>0.97729331599041969</v>
      </c>
      <c r="J185" s="156">
        <f t="shared" si="41"/>
        <v>6.0079949611987722</v>
      </c>
      <c r="K185" s="69"/>
      <c r="L185" s="319">
        <v>0.5</v>
      </c>
      <c r="M185" s="329"/>
      <c r="W185" s="60"/>
      <c r="X185" s="60"/>
      <c r="Y185" s="60"/>
      <c r="Z185" s="60"/>
      <c r="AA185" s="60"/>
      <c r="AB185" s="60"/>
    </row>
    <row r="186" spans="2:28" s="37" customFormat="1" ht="15.75">
      <c r="B186" s="48"/>
      <c r="C186" s="160" t="s">
        <v>624</v>
      </c>
      <c r="D186" s="156">
        <f>(($E$19+$F$19)*(F801ENE!R77+F801ENE!Y77)*$L186)</f>
        <v>0</v>
      </c>
      <c r="E186" s="156">
        <f>(($E$19+$F$19)*(F801ENE!S77+F801ENE!Z77)*$L186)</f>
        <v>0</v>
      </c>
      <c r="F186" s="156">
        <f>(($E$19+$F$19)*(F801ENE!T77+F801ENE!AA77)*$L186)</f>
        <v>0</v>
      </c>
      <c r="G186" s="156">
        <f>(($E$19+$F$19)*(F801ENE!U77+F801ENE!AB77)*$L186)</f>
        <v>0</v>
      </c>
      <c r="H186" s="156">
        <f>(($E$19+$F$19)*(F801ENE!V77+F801ENE!AC77)*$L186)</f>
        <v>0</v>
      </c>
      <c r="I186" s="156">
        <f>(($E$19+$F$19)*(F801ENE!W77+F801ENE!AD77)*$L186)</f>
        <v>0</v>
      </c>
      <c r="J186" s="156"/>
      <c r="K186" s="69"/>
      <c r="L186" s="319">
        <v>0</v>
      </c>
      <c r="M186" s="329"/>
    </row>
    <row r="187" spans="2:28" s="37" customFormat="1" ht="15.75">
      <c r="B187" s="48" t="s">
        <v>749</v>
      </c>
      <c r="C187" s="158" t="s">
        <v>636</v>
      </c>
      <c r="D187" s="159">
        <f t="shared" ref="D187:I187" si="44">SUM(D188:D193)</f>
        <v>165918.82715587778</v>
      </c>
      <c r="E187" s="159">
        <f t="shared" si="44"/>
        <v>165988.07220518321</v>
      </c>
      <c r="F187" s="159">
        <f t="shared" si="44"/>
        <v>162853.00482135604</v>
      </c>
      <c r="G187" s="159">
        <f t="shared" si="44"/>
        <v>165419.08892578492</v>
      </c>
      <c r="H187" s="159">
        <f t="shared" si="44"/>
        <v>158251.5178150787</v>
      </c>
      <c r="I187" s="159">
        <f t="shared" si="44"/>
        <v>158993.06385815685</v>
      </c>
      <c r="J187" s="159">
        <f t="shared" ref="J187:J193" si="45">SUM(D187:I187)</f>
        <v>977423.57478143764</v>
      </c>
      <c r="K187" s="69"/>
      <c r="L187" s="319"/>
      <c r="M187" s="69"/>
    </row>
    <row r="188" spans="2:28" s="37" customFormat="1" ht="15.75">
      <c r="B188" s="48"/>
      <c r="C188" s="160" t="s">
        <v>304</v>
      </c>
      <c r="D188" s="156">
        <f>(($E$20+$F$20)*(F801ENE!R79+F801ENE!Y79)*$L188)</f>
        <v>151065.96485652731</v>
      </c>
      <c r="E188" s="156">
        <f>(($E$20+$F$20)*(F801ENE!S79+F801ENE!Z79)*$L188)</f>
        <v>151129.01116877634</v>
      </c>
      <c r="F188" s="156">
        <f>(($E$20+$F$20)*(F801ENE!T79+F801ENE!AA79)*$L188)</f>
        <v>148274.59140613454</v>
      </c>
      <c r="G188" s="156">
        <f>(($E$20+$F$20)*(F801ENE!U79+F801ENE!AB79)*$L188)</f>
        <v>150610.9626171868</v>
      </c>
      <c r="H188" s="156">
        <f>(($E$20+$F$20)*(F801ENE!V79+F801ENE!AC79)*$L188)</f>
        <v>144085.02421660157</v>
      </c>
      <c r="I188" s="156">
        <f>(($E$20+$F$20)*(F801ENE!W79+F801ENE!AD79)*$L188)</f>
        <v>144760.18791202657</v>
      </c>
      <c r="J188" s="330">
        <f t="shared" si="45"/>
        <v>889925.74217725301</v>
      </c>
      <c r="K188" s="69"/>
      <c r="L188" s="319">
        <v>1</v>
      </c>
      <c r="M188" s="329"/>
      <c r="W188" s="60"/>
      <c r="X188" s="60"/>
      <c r="Y188" s="60"/>
      <c r="Z188" s="60"/>
      <c r="AA188" s="60"/>
      <c r="AB188" s="60"/>
    </row>
    <row r="189" spans="2:28" s="37" customFormat="1" ht="15.75">
      <c r="B189" s="48"/>
      <c r="C189" s="162" t="s">
        <v>642</v>
      </c>
      <c r="D189" s="156">
        <f>(($E$20+$F$20)*(F801ENE!R80+F801ENE!Y80)*$L189)</f>
        <v>0</v>
      </c>
      <c r="E189" s="156">
        <f>(($E$20+$F$20)*(F801ENE!S80+F801ENE!Z80)*$L189)</f>
        <v>0</v>
      </c>
      <c r="F189" s="156">
        <f>(($E$20+$F$20)*(F801ENE!T80+F801ENE!AA80)*$L189)</f>
        <v>0</v>
      </c>
      <c r="G189" s="156">
        <f>(($E$20+$F$20)*(F801ENE!U80+F801ENE!AB80)*$L189)</f>
        <v>0</v>
      </c>
      <c r="H189" s="156">
        <f>(($E$20+$F$20)*(F801ENE!V80+F801ENE!AC80)*$L189)</f>
        <v>0</v>
      </c>
      <c r="I189" s="156">
        <f>(($E$20+$F$20)*(F801ENE!W80+F801ENE!AD80)*$L189)</f>
        <v>0</v>
      </c>
      <c r="J189" s="330">
        <f t="shared" si="45"/>
        <v>0</v>
      </c>
      <c r="K189" s="69"/>
      <c r="L189" s="319">
        <v>0.75</v>
      </c>
      <c r="M189" s="329"/>
      <c r="W189" s="60"/>
      <c r="X189" s="60"/>
      <c r="Y189" s="60"/>
      <c r="Z189" s="60"/>
      <c r="AA189" s="60"/>
      <c r="AB189" s="60"/>
    </row>
    <row r="190" spans="2:28" s="37" customFormat="1" ht="15.75">
      <c r="B190" s="48"/>
      <c r="C190" s="162" t="s">
        <v>1177</v>
      </c>
      <c r="D190" s="156">
        <f>(($E$20+$F$20)*(F801ENE!R81+F801ENE!Y81)*$L190)</f>
        <v>14747.719248735761</v>
      </c>
      <c r="E190" s="156">
        <f>(($E$20+$F$20)*(F801ENE!S81+F801ENE!Z81)*$L190)</f>
        <v>14753.874105083451</v>
      </c>
      <c r="F190" s="156">
        <f>(($E$20+$F$20)*(F801ENE!T81+F801ENE!AA81)*$L190)</f>
        <v>14475.213181575866</v>
      </c>
      <c r="G190" s="156">
        <f>(($E$20+$F$20)*(F801ENE!U81+F801ENE!AB81)*$L190)</f>
        <v>14703.299942972793</v>
      </c>
      <c r="H190" s="156">
        <f>(($E$20+$F$20)*(F801ENE!V81+F801ENE!AC81)*$L190)</f>
        <v>14066.209335185793</v>
      </c>
      <c r="I190" s="156">
        <f>(($E$20+$F$20)*(F801ENE!W81+F801ENE!AD81)*$L190)</f>
        <v>14132.121763816051</v>
      </c>
      <c r="J190" s="330">
        <f t="shared" si="45"/>
        <v>86878.43757736971</v>
      </c>
      <c r="K190" s="69"/>
      <c r="L190" s="319">
        <v>1</v>
      </c>
      <c r="M190" s="329"/>
      <c r="W190" s="60"/>
      <c r="X190" s="60"/>
      <c r="Y190" s="60"/>
      <c r="Z190" s="60"/>
      <c r="AA190" s="60"/>
      <c r="AB190" s="60"/>
    </row>
    <row r="191" spans="2:28" s="37" customFormat="1" ht="15.75">
      <c r="B191" s="48"/>
      <c r="C191" s="160" t="s">
        <v>305</v>
      </c>
      <c r="D191" s="156">
        <f>(($E$20+$F$20)*(F801ENE!R82+F801ENE!Y82)*$L191)</f>
        <v>104.70576006323597</v>
      </c>
      <c r="E191" s="156">
        <f>(($E$20+$F$20)*(F801ENE!S82+F801ENE!Z82)*$L191)</f>
        <v>104.74945827182643</v>
      </c>
      <c r="F191" s="156">
        <f>(($E$20+$F$20)*(F801ENE!T82+F801ENE!AA82)*$L191)</f>
        <v>102.77102328105414</v>
      </c>
      <c r="G191" s="156">
        <f>(($E$20+$F$20)*(F801ENE!U82+F801ENE!AB82)*$L191)</f>
        <v>104.39039216851614</v>
      </c>
      <c r="H191" s="156">
        <f>(($E$20+$F$20)*(F801ENE!V82+F801ENE!AC82)*$L191)</f>
        <v>99.867180464224631</v>
      </c>
      <c r="I191" s="156">
        <f>(($E$20+$F$20)*(F801ENE!W82+F801ENE!AD82)*$L191)</f>
        <v>100.33514509122529</v>
      </c>
      <c r="J191" s="156">
        <f t="shared" si="45"/>
        <v>616.81895934008264</v>
      </c>
      <c r="K191" s="69"/>
      <c r="L191" s="319">
        <v>0.95</v>
      </c>
      <c r="M191" s="329"/>
      <c r="W191" s="60"/>
      <c r="X191" s="60"/>
      <c r="Y191" s="60"/>
      <c r="Z191" s="60"/>
      <c r="AA191" s="60"/>
      <c r="AB191" s="60"/>
    </row>
    <row r="192" spans="2:28" s="37" customFormat="1" ht="15.75">
      <c r="B192" s="48"/>
      <c r="C192" s="160" t="s">
        <v>307</v>
      </c>
      <c r="D192" s="156">
        <f>(($E$20+$F$20)*(F801ENE!R83+F801ENE!Y83)*$L192)</f>
        <v>0.43729055148088852</v>
      </c>
      <c r="E192" s="156">
        <f>(($E$20+$F$20)*(F801ENE!S83+F801ENE!Z83)*$L192)</f>
        <v>0.43747305160047811</v>
      </c>
      <c r="F192" s="156">
        <f>(($E$20+$F$20)*(F801ENE!T83+F801ENE!AA83)*$L192)</f>
        <v>0.42921036454618988</v>
      </c>
      <c r="G192" s="156">
        <f>(($E$20+$F$20)*(F801ENE!U83+F801ENE!AB83)*$L192)</f>
        <v>0.43597345679079597</v>
      </c>
      <c r="H192" s="156">
        <f>(($E$20+$F$20)*(F801ENE!V83+F801ENE!AC83)*$L192)</f>
        <v>0.41708282709248823</v>
      </c>
      <c r="I192" s="156">
        <f>(($E$20+$F$20)*(F801ENE!W83+F801ENE!AD83)*$L192)</f>
        <v>0.41903722300815777</v>
      </c>
      <c r="J192" s="156">
        <f t="shared" si="45"/>
        <v>2.576067474518998</v>
      </c>
      <c r="K192" s="69"/>
      <c r="L192" s="319">
        <v>0.5</v>
      </c>
      <c r="M192" s="329"/>
      <c r="W192" s="60"/>
      <c r="X192" s="60"/>
      <c r="Y192" s="60"/>
      <c r="Z192" s="60"/>
      <c r="AA192" s="60"/>
      <c r="AB192" s="60"/>
    </row>
    <row r="193" spans="2:13" s="37" customFormat="1" ht="15.75">
      <c r="B193" s="48"/>
      <c r="C193" s="160" t="s">
        <v>624</v>
      </c>
      <c r="D193" s="156">
        <f>(($E$20+$F$20)*(F801ENE!R84+F801ENE!Y84)*$L193)</f>
        <v>0</v>
      </c>
      <c r="E193" s="156">
        <f>(($E$20+$F$20)*(F801ENE!S84+F801ENE!Z84)*$L193)</f>
        <v>0</v>
      </c>
      <c r="F193" s="156">
        <f>(($E$20+$F$20)*(F801ENE!T84+F801ENE!AA84)*$L193)</f>
        <v>0</v>
      </c>
      <c r="G193" s="156">
        <f>(($E$20+$F$20)*(F801ENE!U84+F801ENE!AB84)*$L193)</f>
        <v>0</v>
      </c>
      <c r="H193" s="156">
        <f>(($E$20+$F$20)*(F801ENE!V84+F801ENE!AC84)*$L193)</f>
        <v>0</v>
      </c>
      <c r="I193" s="156">
        <f>(($E$20+$F$20)*(F801ENE!W84+F801ENE!AD84)*$L193)</f>
        <v>0</v>
      </c>
      <c r="J193" s="156">
        <f t="shared" si="45"/>
        <v>0</v>
      </c>
      <c r="K193" s="69"/>
      <c r="L193" s="319">
        <v>0</v>
      </c>
      <c r="M193" s="329"/>
    </row>
    <row r="194" spans="2:13" s="37" customFormat="1" ht="15.75">
      <c r="B194" s="48"/>
      <c r="C194" s="157"/>
      <c r="D194" s="156"/>
      <c r="E194" s="156"/>
      <c r="F194" s="156"/>
      <c r="G194" s="156"/>
      <c r="H194" s="156"/>
      <c r="I194" s="156"/>
      <c r="J194" s="156"/>
      <c r="K194" s="69"/>
      <c r="L194" s="319"/>
      <c r="M194" s="69"/>
    </row>
    <row r="195" spans="2:13" s="37" customFormat="1" ht="15.75">
      <c r="B195" s="48" t="s">
        <v>902</v>
      </c>
      <c r="C195" s="158" t="s">
        <v>898</v>
      </c>
      <c r="D195" s="159">
        <f t="shared" ref="D195:H195" si="46">SUM(D196:D200)</f>
        <v>43625.437701397103</v>
      </c>
      <c r="E195" s="159">
        <f t="shared" si="46"/>
        <v>43643.644469347346</v>
      </c>
      <c r="F195" s="159">
        <f t="shared" si="46"/>
        <v>42819.333635023868</v>
      </c>
      <c r="G195" s="159">
        <f t="shared" si="46"/>
        <v>43494.040322343542</v>
      </c>
      <c r="H195" s="159">
        <f t="shared" si="46"/>
        <v>41609.453549881102</v>
      </c>
      <c r="I195" s="159">
        <f t="shared" ref="I195" si="47">SUM(I196:I200)</f>
        <v>41804.430040852989</v>
      </c>
      <c r="J195" s="159">
        <f t="shared" ref="J195:J214" si="48">SUM(D195:I195)</f>
        <v>256996.33971884596</v>
      </c>
      <c r="K195" s="69"/>
      <c r="L195" s="319"/>
      <c r="M195" s="69"/>
    </row>
    <row r="196" spans="2:13" s="37" customFormat="1" ht="15.75">
      <c r="B196" s="48"/>
      <c r="C196" s="160" t="s">
        <v>304</v>
      </c>
      <c r="D196" s="156">
        <f>(($E$17+$F$17)*(F801ENE!R87+F801ENE!Y87)*$L196)</f>
        <v>41959.462199083297</v>
      </c>
      <c r="E196" s="156">
        <f>(($E$17+$F$17)*(F801ENE!S87+F801ENE!Z87)*$L196)</f>
        <v>41976.973683937722</v>
      </c>
      <c r="F196" s="156">
        <f>(($E$17+$F$17)*(F801ENE!T87+F801ENE!AA87)*$L196)</f>
        <v>41184.141769451664</v>
      </c>
      <c r="G196" s="156">
        <f>(($E$17+$F$17)*(F801ENE!U87+F801ENE!AB87)*$L196)</f>
        <v>41833.082645090188</v>
      </c>
      <c r="H196" s="156">
        <f>(($E$17+$F$17)*(F801ENE!V87+F801ENE!AC87)*$L196)</f>
        <v>40020.464787103687</v>
      </c>
      <c r="I196" s="156">
        <f>(($E$17+$F$17)*(F801ENE!W87+F801ENE!AD87)*$L196)</f>
        <v>40207.995483268664</v>
      </c>
      <c r="J196" s="156">
        <f t="shared" si="48"/>
        <v>247182.1205679352</v>
      </c>
      <c r="K196" s="69"/>
      <c r="L196" s="319">
        <v>1</v>
      </c>
      <c r="M196" s="329"/>
    </row>
    <row r="197" spans="2:13" s="37" customFormat="1" ht="15.75">
      <c r="B197" s="48"/>
      <c r="C197" s="162" t="s">
        <v>644</v>
      </c>
      <c r="D197" s="156">
        <f>(($E$17+$F$17)*(F801ENE!R88+F801ENE!Y88)*$L197)</f>
        <v>1665.9755023138093</v>
      </c>
      <c r="E197" s="156">
        <f>(($E$17+$F$17)*(F801ENE!S88+F801ENE!Z88)*$L197)</f>
        <v>1666.6707854096269</v>
      </c>
      <c r="F197" s="156">
        <f>(($E$17+$F$17)*(F801ENE!T88+F801ENE!AA88)*$L197)</f>
        <v>1635.1918655722038</v>
      </c>
      <c r="G197" s="156">
        <f>(($E$17+$F$17)*(F801ENE!U88+F801ENE!AB88)*$L197)</f>
        <v>1660.9576772533524</v>
      </c>
      <c r="H197" s="156">
        <f>(($E$17+$F$17)*(F801ENE!V88+F801ENE!AC88)*$L197)</f>
        <v>1588.9887627774178</v>
      </c>
      <c r="I197" s="156">
        <f>(($E$17+$F$17)*(F801ENE!W88+F801ENE!AD88)*$L197)</f>
        <v>1596.4345575843286</v>
      </c>
      <c r="J197" s="156">
        <f t="shared" si="48"/>
        <v>9814.2191509107397</v>
      </c>
      <c r="K197" s="69"/>
      <c r="L197" s="319">
        <v>0.75</v>
      </c>
      <c r="M197" s="329"/>
    </row>
    <row r="198" spans="2:13" s="37" customFormat="1" ht="15.75">
      <c r="B198" s="48"/>
      <c r="C198" s="160" t="s">
        <v>305</v>
      </c>
      <c r="D198" s="156">
        <f>(($E$17+$F$17)*(F801ENE!R89+F801ENE!Y89)*$L198)</f>
        <v>0</v>
      </c>
      <c r="E198" s="156">
        <f>(($E$17+$F$17)*(F801ENE!S89+F801ENE!Z89)*$L198)</f>
        <v>0</v>
      </c>
      <c r="F198" s="156">
        <f>(($E$17+$F$17)*(F801ENE!T89+F801ENE!AA89)*$L198)</f>
        <v>0</v>
      </c>
      <c r="G198" s="156">
        <f>(($E$17+$F$17)*(F801ENE!U89+F801ENE!AB89)*$L198)</f>
        <v>0</v>
      </c>
      <c r="H198" s="156">
        <f>(($E$17+$F$17)*(F801ENE!V89+F801ENE!AC89)*$L198)</f>
        <v>0</v>
      </c>
      <c r="I198" s="156">
        <f>(($E$17+$F$17)*(F801ENE!W89+F801ENE!AD89)*$L198)</f>
        <v>0</v>
      </c>
      <c r="J198" s="156">
        <f t="shared" si="48"/>
        <v>0</v>
      </c>
      <c r="K198" s="69"/>
      <c r="L198" s="319">
        <v>0.95</v>
      </c>
      <c r="M198" s="329"/>
    </row>
    <row r="199" spans="2:13" s="37" customFormat="1" ht="15.75">
      <c r="B199" s="48"/>
      <c r="C199" s="160" t="s">
        <v>307</v>
      </c>
      <c r="D199" s="156">
        <f>(($E$17+$F$17)*(F801ENE!R90+F801ENE!Y90)*$L199)</f>
        <v>0</v>
      </c>
      <c r="E199" s="156">
        <f>(($E$17+$F$17)*(F801ENE!S90+F801ENE!Z90)*$L199)</f>
        <v>0</v>
      </c>
      <c r="F199" s="156">
        <f>(($E$17+$F$17)*(F801ENE!T90+F801ENE!AA90)*$L199)</f>
        <v>0</v>
      </c>
      <c r="G199" s="156">
        <f>(($E$17+$F$17)*(F801ENE!U90+F801ENE!AB90)*$L199)</f>
        <v>0</v>
      </c>
      <c r="H199" s="156">
        <f>(($E$17+$F$17)*(F801ENE!V90+F801ENE!AC90)*$L199)</f>
        <v>0</v>
      </c>
      <c r="I199" s="156">
        <f>(($E$17+$F$17)*(F801ENE!W90+F801ENE!AD90)*$L199)</f>
        <v>0</v>
      </c>
      <c r="J199" s="156">
        <f t="shared" si="48"/>
        <v>0</v>
      </c>
      <c r="K199" s="69"/>
      <c r="L199" s="319">
        <v>0.5</v>
      </c>
      <c r="M199" s="329"/>
    </row>
    <row r="200" spans="2:13" s="37" customFormat="1" ht="15.75">
      <c r="B200" s="48"/>
      <c r="C200" s="160" t="s">
        <v>624</v>
      </c>
      <c r="D200" s="156">
        <f>(($E$17+$F$17)*(F801ENE!R91+F801ENE!Y91)*$L200)</f>
        <v>0</v>
      </c>
      <c r="E200" s="156">
        <f>(($E$17+$F$17)*(F801ENE!S91+F801ENE!Z91)*$L200)</f>
        <v>0</v>
      </c>
      <c r="F200" s="156">
        <f>(($E$17+$F$17)*(F801ENE!T91+F801ENE!AA91)*$L200)</f>
        <v>0</v>
      </c>
      <c r="G200" s="156">
        <f>(($E$17+$F$17)*(F801ENE!U91+F801ENE!AB91)*$L200)</f>
        <v>0</v>
      </c>
      <c r="H200" s="156">
        <f>(($E$17+$F$17)*(F801ENE!V91+F801ENE!AC91)*$L200)</f>
        <v>0</v>
      </c>
      <c r="I200" s="156">
        <f>(($E$17+$F$17)*(F801ENE!W91+F801ENE!AD91)*$L200)</f>
        <v>0</v>
      </c>
      <c r="J200" s="156">
        <f t="shared" si="48"/>
        <v>0</v>
      </c>
      <c r="K200" s="69"/>
      <c r="L200" s="319">
        <v>0</v>
      </c>
      <c r="M200" s="329"/>
    </row>
    <row r="201" spans="2:13" s="37" customFormat="1" ht="15.75">
      <c r="B201" s="48" t="s">
        <v>902</v>
      </c>
      <c r="C201" s="158" t="s">
        <v>899</v>
      </c>
      <c r="D201" s="159">
        <f t="shared" ref="D201:I201" si="49">SUM(D202:D207)</f>
        <v>3452.924186777148</v>
      </c>
      <c r="E201" s="159">
        <f t="shared" si="49"/>
        <v>3454.3652402709545</v>
      </c>
      <c r="F201" s="159">
        <f t="shared" si="49"/>
        <v>3389.1215896114486</v>
      </c>
      <c r="G201" s="159">
        <f t="shared" si="49"/>
        <v>3442.5241721957782</v>
      </c>
      <c r="H201" s="159">
        <f t="shared" si="49"/>
        <v>3293.3603908887212</v>
      </c>
      <c r="I201" s="159">
        <f t="shared" si="49"/>
        <v>3308.7926496121268</v>
      </c>
      <c r="J201" s="159">
        <f t="shared" si="48"/>
        <v>20341.088229356174</v>
      </c>
      <c r="K201" s="69"/>
      <c r="L201" s="319"/>
      <c r="M201" s="69"/>
    </row>
    <row r="202" spans="2:13" s="37" customFormat="1" ht="15.75">
      <c r="B202" s="48"/>
      <c r="C202" s="160" t="s">
        <v>304</v>
      </c>
      <c r="D202" s="156">
        <f>(($E$17+$F$17)*(F801ENE!R93+F801ENE!Y93)*$L202)</f>
        <v>3136.5366653586234</v>
      </c>
      <c r="E202" s="156">
        <f>(($E$17+$F$17)*(F801ENE!S93+F801ENE!Z93)*$L202)</f>
        <v>3137.8456767575349</v>
      </c>
      <c r="F202" s="156">
        <f>(($E$17+$F$17)*(F801ENE!T93+F801ENE!AA93)*$L202)</f>
        <v>3078.5802277045123</v>
      </c>
      <c r="G202" s="156">
        <f>(($E$17+$F$17)*(F801ENE!U93+F801ENE!AB93)*$L202)</f>
        <v>3127.0895923010548</v>
      </c>
      <c r="H202" s="156">
        <f>(($E$17+$F$17)*(F801ENE!V93+F801ENE!AC93)*$L202)</f>
        <v>2991.5935188556068</v>
      </c>
      <c r="I202" s="156">
        <f>(($E$17+$F$17)*(F801ENE!W93+F801ENE!AD93)*$L202)</f>
        <v>3005.6117372400772</v>
      </c>
      <c r="J202" s="156">
        <f t="shared" si="48"/>
        <v>18477.257418217407</v>
      </c>
      <c r="K202" s="69"/>
      <c r="L202" s="319">
        <v>1</v>
      </c>
      <c r="M202" s="329"/>
    </row>
    <row r="203" spans="2:13" s="37" customFormat="1" ht="15.75">
      <c r="B203" s="48"/>
      <c r="C203" s="162" t="s">
        <v>642</v>
      </c>
      <c r="D203" s="156">
        <f>(($E$17+$F$17)*(F801ENE!R94+F801ENE!Y94)*$L203)</f>
        <v>286.90227564923043</v>
      </c>
      <c r="E203" s="156">
        <f>(($E$17+$F$17)*(F801ENE!S94+F801ENE!Z94)*$L203)</f>
        <v>287.0220122852935</v>
      </c>
      <c r="F203" s="156">
        <f>(($E$17+$F$17)*(F801ENE!T94+F801ENE!AA94)*$L203)</f>
        <v>281.60093993231283</v>
      </c>
      <c r="G203" s="156">
        <f>(($E$17+$F$17)*(F801ENE!U94+F801ENE!AB94)*$L203)</f>
        <v>286.03814203702814</v>
      </c>
      <c r="H203" s="156">
        <f>(($E$17+$F$17)*(F801ENE!V94+F801ENE!AC94)*$L203)</f>
        <v>273.64417507264409</v>
      </c>
      <c r="I203" s="156">
        <f>(($E$17+$F$17)*(F801ENE!W94+F801ENE!AD94)*$L203)</f>
        <v>274.92643610898779</v>
      </c>
      <c r="J203" s="156">
        <f t="shared" si="48"/>
        <v>1690.1339810854965</v>
      </c>
      <c r="K203" s="69"/>
      <c r="L203" s="319">
        <v>0.75</v>
      </c>
      <c r="M203" s="329"/>
    </row>
    <row r="204" spans="2:13" s="37" customFormat="1" ht="15.75">
      <c r="B204" s="340"/>
      <c r="C204" s="162" t="s">
        <v>1177</v>
      </c>
      <c r="D204" s="156">
        <f>(($E$17+$F$17)*(F801ENE!R95+F801ENE!Y95)*$L204)</f>
        <v>29.485245769294007</v>
      </c>
      <c r="E204" s="156">
        <f>(($E$17+$F$17)*(F801ENE!S95+F801ENE!Z95)*$L204)</f>
        <v>29.497551228126351</v>
      </c>
      <c r="F204" s="156">
        <f>(($E$17+$F$17)*(F801ENE!T95+F801ENE!AA95)*$L204)</f>
        <v>28.940421974623387</v>
      </c>
      <c r="G204" s="156">
        <f>(($E$17+$F$17)*(F801ENE!U95+F801ENE!AB95)*$L204)</f>
        <v>29.396437857695418</v>
      </c>
      <c r="H204" s="156">
        <f>(($E$17+$F$17)*(F801ENE!V95+F801ENE!AC95)*$L204)</f>
        <v>28.122696960470321</v>
      </c>
      <c r="I204" s="156">
        <f>(($E$17+$F$17)*(F801ENE!W95+F801ENE!AD95)*$L204)</f>
        <v>28.254476263061857</v>
      </c>
      <c r="J204" s="156">
        <f t="shared" si="48"/>
        <v>173.69683005327136</v>
      </c>
      <c r="K204" s="69"/>
      <c r="L204" s="319">
        <v>1</v>
      </c>
      <c r="M204" s="329"/>
    </row>
    <row r="205" spans="2:13" s="37" customFormat="1" ht="15.75">
      <c r="B205" s="48"/>
      <c r="C205" s="160" t="s">
        <v>305</v>
      </c>
      <c r="D205" s="156">
        <f>(($E$17+$F$17)*(F801ENE!R96+F801ENE!Y96)*$L205)</f>
        <v>0</v>
      </c>
      <c r="E205" s="156">
        <f>(($E$17+$F$17)*(F801ENE!S96+F801ENE!Z96)*$L205)</f>
        <v>0</v>
      </c>
      <c r="F205" s="156">
        <f>(($E$17+$F$17)*(F801ENE!T96+F801ENE!AA96)*$L205)</f>
        <v>0</v>
      </c>
      <c r="G205" s="156">
        <f>(($E$17+$F$17)*(F801ENE!U96+F801ENE!AB96)*$L205)</f>
        <v>0</v>
      </c>
      <c r="H205" s="156">
        <f>(($E$17+$F$17)*(F801ENE!V96+F801ENE!AC96)*$L205)</f>
        <v>0</v>
      </c>
      <c r="I205" s="156">
        <f>(($E$17+$F$17)*(F801ENE!W96+F801ENE!AD96)*$L205)</f>
        <v>0</v>
      </c>
      <c r="J205" s="156">
        <f t="shared" si="48"/>
        <v>0</v>
      </c>
      <c r="K205" s="69"/>
      <c r="L205" s="319">
        <v>0.95</v>
      </c>
      <c r="M205" s="329"/>
    </row>
    <row r="206" spans="2:13" s="37" customFormat="1" ht="15.75">
      <c r="B206" s="48"/>
      <c r="C206" s="160" t="s">
        <v>307</v>
      </c>
      <c r="D206" s="156">
        <f>(($E$17+$F$17)*(F801ENE!R97+F801ENE!Y97)*$L206)</f>
        <v>0</v>
      </c>
      <c r="E206" s="156">
        <f>(($E$17+$F$17)*(F801ENE!S97+F801ENE!Z97)*$L206)</f>
        <v>0</v>
      </c>
      <c r="F206" s="156">
        <f>(($E$17+$F$17)*(F801ENE!T97+F801ENE!AA97)*$L206)</f>
        <v>0</v>
      </c>
      <c r="G206" s="156">
        <f>(($E$17+$F$17)*(F801ENE!U97+F801ENE!AB97)*$L206)</f>
        <v>0</v>
      </c>
      <c r="H206" s="156">
        <f>(($E$17+$F$17)*(F801ENE!V97+F801ENE!AC97)*$L206)</f>
        <v>0</v>
      </c>
      <c r="I206" s="156">
        <f>(($E$17+$F$17)*(F801ENE!W97+F801ENE!AD97)*$L206)</f>
        <v>0</v>
      </c>
      <c r="J206" s="156">
        <f t="shared" si="48"/>
        <v>0</v>
      </c>
      <c r="K206" s="69"/>
      <c r="L206" s="319">
        <v>0.5</v>
      </c>
      <c r="M206" s="329"/>
    </row>
    <row r="207" spans="2:13" s="37" customFormat="1" ht="15.75">
      <c r="B207" s="48"/>
      <c r="C207" s="160" t="s">
        <v>624</v>
      </c>
      <c r="D207" s="156">
        <f>(($E$17+$F$17)*(F801ENE!R98+F801ENE!Y98)*$L207)</f>
        <v>0</v>
      </c>
      <c r="E207" s="156">
        <f>(($E$17+$F$17)*(F801ENE!S98+F801ENE!Z98)*$L207)</f>
        <v>0</v>
      </c>
      <c r="F207" s="156">
        <f>(($E$17+$F$17)*(F801ENE!T98+F801ENE!AA98)*$L207)</f>
        <v>0</v>
      </c>
      <c r="G207" s="156">
        <f>(($E$17+$F$17)*(F801ENE!U98+F801ENE!AB98)*$L207)</f>
        <v>0</v>
      </c>
      <c r="H207" s="156">
        <f>(($E$17+$F$17)*(F801ENE!V98+F801ENE!AC98)*$L207)</f>
        <v>0</v>
      </c>
      <c r="I207" s="156">
        <f>(($E$17+$F$17)*(F801ENE!W98+F801ENE!AD98)*$L207)</f>
        <v>0</v>
      </c>
      <c r="J207" s="156">
        <f t="shared" si="48"/>
        <v>0</v>
      </c>
      <c r="K207" s="69"/>
      <c r="L207" s="319">
        <v>0</v>
      </c>
      <c r="M207" s="329"/>
    </row>
    <row r="208" spans="2:13" s="37" customFormat="1" ht="15.75">
      <c r="B208" s="48" t="s">
        <v>902</v>
      </c>
      <c r="C208" s="158" t="s">
        <v>900</v>
      </c>
      <c r="D208" s="159">
        <f t="shared" ref="D208:I208" si="50">SUM(D209:D214)</f>
        <v>381.84202667972596</v>
      </c>
      <c r="E208" s="159">
        <f t="shared" si="50"/>
        <v>382.00138574956486</v>
      </c>
      <c r="F208" s="159">
        <f t="shared" si="50"/>
        <v>374.78640897966864</v>
      </c>
      <c r="G208" s="159">
        <f t="shared" si="50"/>
        <v>380.69193984594705</v>
      </c>
      <c r="H208" s="159">
        <f t="shared" si="50"/>
        <v>364.19664557345402</v>
      </c>
      <c r="I208" s="159">
        <f t="shared" si="50"/>
        <v>365.90322371662808</v>
      </c>
      <c r="J208" s="159">
        <f t="shared" si="48"/>
        <v>2249.4216305449881</v>
      </c>
      <c r="K208" s="69"/>
      <c r="L208" s="319"/>
      <c r="M208" s="69"/>
    </row>
    <row r="209" spans="2:13" s="37" customFormat="1" ht="15.75">
      <c r="B209" s="48"/>
      <c r="C209" s="160" t="s">
        <v>304</v>
      </c>
      <c r="D209" s="156">
        <f>(($E$17+$F$17)*(F801ENE!R100+F801ENE!Y100)*$L209)</f>
        <v>370.96116546154428</v>
      </c>
      <c r="E209" s="156">
        <f>(($E$17+$F$17)*(F801ENE!S100+F801ENE!Z100)*$L209)</f>
        <v>371.11598348089211</v>
      </c>
      <c r="F209" s="156">
        <f>(($E$17+$F$17)*(F801ENE!T100+F801ENE!AA100)*$L209)</f>
        <v>364.10660262616602</v>
      </c>
      <c r="G209" s="156">
        <f>(($E$17+$F$17)*(F801ENE!U100+F801ENE!AB100)*$L209)</f>
        <v>369.84385117335449</v>
      </c>
      <c r="H209" s="156">
        <f>(($E$17+$F$17)*(F801ENE!V100+F801ENE!AC100)*$L209)</f>
        <v>353.81860209021045</v>
      </c>
      <c r="I209" s="156">
        <f>(($E$17+$F$17)*(F801ENE!W100+F801ENE!AD100)*$L209)</f>
        <v>355.47655007055164</v>
      </c>
      <c r="J209" s="156">
        <f t="shared" si="48"/>
        <v>2185.3227549027192</v>
      </c>
      <c r="K209" s="69"/>
      <c r="L209" s="319">
        <v>1</v>
      </c>
      <c r="M209" s="329"/>
    </row>
    <row r="210" spans="2:13" s="37" customFormat="1" ht="15.75">
      <c r="B210" s="48"/>
      <c r="C210" s="162" t="s">
        <v>642</v>
      </c>
      <c r="D210" s="156">
        <f>(($E$17+$F$17)*(F801ENE!R101+F801ENE!Y101)*$L210)</f>
        <v>10.880861218181654</v>
      </c>
      <c r="E210" s="156">
        <f>(($E$17+$F$17)*(F801ENE!S101+F801ENE!Z101)*$L210)</f>
        <v>10.885402268672753</v>
      </c>
      <c r="F210" s="156">
        <f>(($E$17+$F$17)*(F801ENE!T101+F801ENE!AA101)*$L210)</f>
        <v>10.679806353502597</v>
      </c>
      <c r="G210" s="156">
        <f>(($E$17+$F$17)*(F801ENE!U101+F801ENE!AB101)*$L210)</f>
        <v>10.848088672592528</v>
      </c>
      <c r="H210" s="156">
        <f>(($E$17+$F$17)*(F801ENE!V101+F801ENE!AC101)*$L210)</f>
        <v>10.378043483243564</v>
      </c>
      <c r="I210" s="156">
        <f>(($E$17+$F$17)*(F801ENE!W101+F801ENE!AD101)*$L210)</f>
        <v>10.426673646076411</v>
      </c>
      <c r="J210" s="156">
        <f t="shared" si="48"/>
        <v>64.098875642269519</v>
      </c>
      <c r="K210" s="69"/>
      <c r="L210" s="319">
        <v>0.75</v>
      </c>
      <c r="M210" s="329"/>
    </row>
    <row r="211" spans="2:13" s="37" customFormat="1" ht="15.75">
      <c r="B211" s="48"/>
      <c r="C211" s="162" t="s">
        <v>1177</v>
      </c>
      <c r="D211" s="156">
        <f>(($E$17+$F$17)*(F801ENE!R102+F801ENE!Y102)*$L211)</f>
        <v>0</v>
      </c>
      <c r="E211" s="156">
        <f>(($E$17+$F$17)*(F801ENE!S102+F801ENE!Z102)*$L211)</f>
        <v>0</v>
      </c>
      <c r="F211" s="156">
        <f>(($E$17+$F$17)*(F801ENE!T102+F801ENE!AA102)*$L211)</f>
        <v>0</v>
      </c>
      <c r="G211" s="156">
        <f>(($E$17+$F$17)*(F801ENE!U102+F801ENE!AB102)*$L211)</f>
        <v>0</v>
      </c>
      <c r="H211" s="156">
        <f>(($E$17+$F$17)*(F801ENE!V102+F801ENE!AC102)*$L211)</f>
        <v>0</v>
      </c>
      <c r="I211" s="156">
        <f>(($E$17+$F$17)*(F801ENE!W102+F801ENE!AD102)*$L211)</f>
        <v>0</v>
      </c>
      <c r="J211" s="156">
        <f t="shared" si="48"/>
        <v>0</v>
      </c>
      <c r="K211" s="69"/>
      <c r="L211" s="319">
        <v>1</v>
      </c>
      <c r="M211" s="329"/>
    </row>
    <row r="212" spans="2:13" s="37" customFormat="1" ht="15.75">
      <c r="B212" s="48"/>
      <c r="C212" s="160" t="s">
        <v>305</v>
      </c>
      <c r="D212" s="156">
        <f>(($E$17+$F$17)*(F801ENE!R103+F801ENE!Y103)*$L212)</f>
        <v>0</v>
      </c>
      <c r="E212" s="156">
        <f>(($E$17+$F$17)*(F801ENE!S103+F801ENE!Z103)*$L212)</f>
        <v>0</v>
      </c>
      <c r="F212" s="156">
        <f>(($E$17+$F$17)*(F801ENE!T103+F801ENE!AA103)*$L212)</f>
        <v>0</v>
      </c>
      <c r="G212" s="156">
        <f>(($E$17+$F$17)*(F801ENE!U103+F801ENE!AB103)*$L212)</f>
        <v>0</v>
      </c>
      <c r="H212" s="156">
        <f>(($E$17+$F$17)*(F801ENE!V103+F801ENE!AC103)*$L212)</f>
        <v>0</v>
      </c>
      <c r="I212" s="156">
        <f>(($E$17+$F$17)*(F801ENE!W103+F801ENE!AD103)*$L212)</f>
        <v>0</v>
      </c>
      <c r="J212" s="156">
        <f t="shared" si="48"/>
        <v>0</v>
      </c>
      <c r="K212" s="69"/>
      <c r="L212" s="319">
        <v>0.95</v>
      </c>
      <c r="M212" s="329"/>
    </row>
    <row r="213" spans="2:13" s="37" customFormat="1" ht="15.75">
      <c r="B213" s="48"/>
      <c r="C213" s="160" t="s">
        <v>307</v>
      </c>
      <c r="D213" s="156">
        <f>(($E$17+$F$17)*(F801ENE!R104+F801ENE!Y104)*$L213)</f>
        <v>0</v>
      </c>
      <c r="E213" s="156">
        <f>(($E$17+$F$17)*(F801ENE!S104+F801ENE!Z104)*$L213)</f>
        <v>0</v>
      </c>
      <c r="F213" s="156">
        <f>(($E$17+$F$17)*(F801ENE!T104+F801ENE!AA104)*$L213)</f>
        <v>0</v>
      </c>
      <c r="G213" s="156">
        <f>(($E$17+$F$17)*(F801ENE!U104+F801ENE!AB104)*$L213)</f>
        <v>0</v>
      </c>
      <c r="H213" s="156">
        <f>(($E$17+$F$17)*(F801ENE!V104+F801ENE!AC104)*$L213)</f>
        <v>0</v>
      </c>
      <c r="I213" s="156">
        <f>(($E$17+$F$17)*(F801ENE!W104+F801ENE!AD104)*$L213)</f>
        <v>0</v>
      </c>
      <c r="J213" s="156">
        <f t="shared" si="48"/>
        <v>0</v>
      </c>
      <c r="K213" s="69"/>
      <c r="L213" s="319">
        <v>0.5</v>
      </c>
      <c r="M213" s="329"/>
    </row>
    <row r="214" spans="2:13" s="37" customFormat="1" ht="15.75">
      <c r="B214" s="48"/>
      <c r="C214" s="160" t="s">
        <v>624</v>
      </c>
      <c r="D214" s="156">
        <f>(($E$17+$F$17)*(F801ENE!R105+F801ENE!Y105)*$L214)</f>
        <v>0</v>
      </c>
      <c r="E214" s="156">
        <f>(($E$17+$F$17)*(F801ENE!S105+F801ENE!Z105)*$L214)</f>
        <v>0</v>
      </c>
      <c r="F214" s="156">
        <f>(($E$17+$F$17)*(F801ENE!T105+F801ENE!AA105)*$L214)</f>
        <v>0</v>
      </c>
      <c r="G214" s="156">
        <f>(($E$17+$F$17)*(F801ENE!U105+F801ENE!AB105)*$L214)</f>
        <v>0</v>
      </c>
      <c r="H214" s="156">
        <f>(($E$17+$F$17)*(F801ENE!V105+F801ENE!AC105)*$L214)</f>
        <v>0</v>
      </c>
      <c r="I214" s="156">
        <f>(($E$17+$F$17)*(F801ENE!W105+F801ENE!AD105)*$L214)</f>
        <v>0</v>
      </c>
      <c r="J214" s="156">
        <f t="shared" si="48"/>
        <v>0</v>
      </c>
      <c r="K214" s="69"/>
      <c r="L214" s="319">
        <v>0</v>
      </c>
      <c r="M214" s="329"/>
    </row>
    <row r="215" spans="2:13" s="37" customFormat="1" ht="15.75">
      <c r="B215" s="48"/>
      <c r="C215" s="157"/>
      <c r="D215" s="156"/>
      <c r="E215" s="156"/>
      <c r="F215" s="156"/>
      <c r="G215" s="156"/>
      <c r="H215" s="156"/>
      <c r="I215" s="156"/>
      <c r="J215" s="156"/>
      <c r="K215" s="69"/>
      <c r="L215" s="319"/>
      <c r="M215" s="69"/>
    </row>
    <row r="216" spans="2:13" s="37" customFormat="1" ht="15.75">
      <c r="B216" s="48"/>
      <c r="C216" s="153" t="s">
        <v>112</v>
      </c>
      <c r="D216" s="154">
        <f t="shared" ref="D216:I216" si="51">D125+D129+D139</f>
        <v>1005902.4166156898</v>
      </c>
      <c r="E216" s="154">
        <f t="shared" si="51"/>
        <v>1006322.2228765525</v>
      </c>
      <c r="F216" s="154">
        <f t="shared" si="51"/>
        <v>987315.50789608748</v>
      </c>
      <c r="G216" s="154">
        <f t="shared" si="51"/>
        <v>1002872.6947815703</v>
      </c>
      <c r="H216" s="154">
        <f t="shared" si="51"/>
        <v>959418.45137162483</v>
      </c>
      <c r="I216" s="154">
        <f t="shared" si="51"/>
        <v>963914.16153032391</v>
      </c>
      <c r="J216" s="154">
        <f>SUM(D216:I216)</f>
        <v>5925745.4550718488</v>
      </c>
      <c r="K216" s="69"/>
      <c r="L216" s="319"/>
      <c r="M216" s="69"/>
    </row>
    <row r="217" spans="2:13">
      <c r="C217" s="48"/>
      <c r="D217" s="48"/>
      <c r="E217" s="48"/>
      <c r="F217" s="48"/>
      <c r="G217" s="48"/>
      <c r="H217" s="48"/>
      <c r="I217" s="48"/>
      <c r="J217" s="48"/>
    </row>
    <row r="218" spans="2:13" s="69" customFormat="1" ht="30">
      <c r="B218" s="48"/>
      <c r="C218" s="320" t="s">
        <v>1454</v>
      </c>
      <c r="D218" s="320"/>
      <c r="E218" s="320"/>
      <c r="F218" s="320"/>
      <c r="G218" s="320"/>
      <c r="H218" s="320"/>
      <c r="I218" s="320"/>
      <c r="J218" s="321"/>
      <c r="L218" s="319"/>
    </row>
    <row r="219" spans="2:13" s="37" customFormat="1" ht="15.75">
      <c r="B219" s="48"/>
      <c r="C219" s="150" t="s">
        <v>310</v>
      </c>
      <c r="D219" s="151">
        <f t="shared" ref="D219:I219" si="52">D$29</f>
        <v>46204</v>
      </c>
      <c r="E219" s="151">
        <f t="shared" si="52"/>
        <v>46235</v>
      </c>
      <c r="F219" s="151">
        <f t="shared" si="52"/>
        <v>46266</v>
      </c>
      <c r="G219" s="151">
        <f t="shared" si="52"/>
        <v>46296</v>
      </c>
      <c r="H219" s="151">
        <f t="shared" si="52"/>
        <v>46327</v>
      </c>
      <c r="I219" s="151">
        <f t="shared" si="52"/>
        <v>46357</v>
      </c>
      <c r="J219" s="152" t="s">
        <v>111</v>
      </c>
      <c r="K219" s="69"/>
      <c r="L219" s="319"/>
      <c r="M219" s="69"/>
    </row>
    <row r="220" spans="2:13" s="37" customFormat="1" ht="15.75">
      <c r="B220" s="48"/>
      <c r="C220" s="153" t="s">
        <v>446</v>
      </c>
      <c r="D220" s="154">
        <f t="shared" ref="D220:I220" si="53">SUM(D221:D222)</f>
        <v>2103.7312993808841</v>
      </c>
      <c r="E220" s="154">
        <f t="shared" si="53"/>
        <v>2104.6092767632472</v>
      </c>
      <c r="F220" s="154">
        <f t="shared" si="53"/>
        <v>2064.8588789688533</v>
      </c>
      <c r="G220" s="154">
        <f t="shared" si="53"/>
        <v>2097.3949783366429</v>
      </c>
      <c r="H220" s="154">
        <f t="shared" si="53"/>
        <v>2006.5153358957962</v>
      </c>
      <c r="I220" s="154">
        <f t="shared" si="53"/>
        <v>2015.9176059545759</v>
      </c>
      <c r="J220" s="154">
        <f>SUM(D220:I220)</f>
        <v>12393.027375299998</v>
      </c>
      <c r="K220" s="69"/>
      <c r="L220" s="319"/>
      <c r="M220" s="69"/>
    </row>
    <row r="221" spans="2:13" s="37" customFormat="1" ht="15.75">
      <c r="B221" s="48" t="s">
        <v>279</v>
      </c>
      <c r="C221" s="155" t="s">
        <v>279</v>
      </c>
      <c r="D221" s="156">
        <f>$J$7*F801ENE!D6</f>
        <v>2103.6762993808843</v>
      </c>
      <c r="E221" s="156">
        <f>$J$7*F801ENE!E6</f>
        <v>2104.5542767632473</v>
      </c>
      <c r="F221" s="156">
        <f>$J$7*F801ENE!F6</f>
        <v>2064.8038789688535</v>
      </c>
      <c r="G221" s="156">
        <f>$J$7*F801ENE!G6</f>
        <v>2097.3399783366431</v>
      </c>
      <c r="H221" s="156">
        <f>$J$7*F801ENE!H6</f>
        <v>2006.4603358957961</v>
      </c>
      <c r="I221" s="156">
        <f>$J$7*F801ENE!I6</f>
        <v>2015.8626059545759</v>
      </c>
      <c r="J221" s="156">
        <f>SUM(D221:I221)</f>
        <v>12392.697375299998</v>
      </c>
      <c r="K221" s="69"/>
      <c r="L221" s="319"/>
      <c r="M221" s="69"/>
    </row>
    <row r="222" spans="2:13" s="37" customFormat="1" ht="15.75">
      <c r="B222" s="48" t="s">
        <v>278</v>
      </c>
      <c r="C222" s="155" t="s">
        <v>278</v>
      </c>
      <c r="D222" s="156">
        <f>$J$8*F801ENE!D7</f>
        <v>5.5E-2</v>
      </c>
      <c r="E222" s="156">
        <f>$J$8*F801ENE!E7</f>
        <v>5.5E-2</v>
      </c>
      <c r="F222" s="156">
        <f>$J$8*F801ENE!F7</f>
        <v>5.5E-2</v>
      </c>
      <c r="G222" s="156">
        <f>$J$8*F801ENE!G7</f>
        <v>5.5E-2</v>
      </c>
      <c r="H222" s="156">
        <f>$J$8*F801ENE!H7</f>
        <v>5.5E-2</v>
      </c>
      <c r="I222" s="156">
        <f>$J$8*F801ENE!I7</f>
        <v>5.5E-2</v>
      </c>
      <c r="J222" s="156">
        <f>SUM(D222:I222)</f>
        <v>0.33</v>
      </c>
      <c r="K222" s="69"/>
      <c r="L222" s="319"/>
    </row>
    <row r="223" spans="2:13" s="37" customFormat="1" ht="15.75">
      <c r="B223" s="48"/>
      <c r="C223" s="157"/>
      <c r="D223" s="156"/>
      <c r="E223" s="156"/>
      <c r="F223" s="156"/>
      <c r="G223" s="156"/>
      <c r="H223" s="156"/>
      <c r="I223" s="156"/>
      <c r="J223" s="156"/>
      <c r="K223" s="69"/>
      <c r="L223" s="319"/>
    </row>
    <row r="224" spans="2:13" s="37" customFormat="1" ht="15.75">
      <c r="B224" s="48"/>
      <c r="C224" s="153" t="s">
        <v>630</v>
      </c>
      <c r="D224" s="154">
        <f>D225+D228</f>
        <v>3367.7507975924518</v>
      </c>
      <c r="E224" s="154">
        <f t="shared" ref="E224:I224" si="54">E225+E228</f>
        <v>3369.1563045745424</v>
      </c>
      <c r="F224" s="154">
        <f t="shared" si="54"/>
        <v>3305.5220210916259</v>
      </c>
      <c r="G224" s="154">
        <f t="shared" si="54"/>
        <v>3357.607320496862</v>
      </c>
      <c r="H224" s="154">
        <f t="shared" si="54"/>
        <v>3212.1229668604683</v>
      </c>
      <c r="I224" s="154">
        <f t="shared" si="54"/>
        <v>3227.1745575740515</v>
      </c>
      <c r="J224" s="154">
        <f t="shared" ref="J224:J232" si="55">SUM(D224:I224)</f>
        <v>19839.333968190003</v>
      </c>
      <c r="K224" s="69"/>
      <c r="L224" s="319"/>
    </row>
    <row r="225" spans="2:12" s="37" customFormat="1" ht="15.75">
      <c r="B225" s="48" t="s">
        <v>277</v>
      </c>
      <c r="C225" s="155" t="s">
        <v>277</v>
      </c>
      <c r="D225" s="154">
        <f>SUM(D226:D227)</f>
        <v>481.77617763640444</v>
      </c>
      <c r="E225" s="154">
        <f t="shared" ref="E225:I225" si="56">SUM(E226:E227)</f>
        <v>481.97724351751316</v>
      </c>
      <c r="F225" s="154">
        <f t="shared" si="56"/>
        <v>472.87399220659449</v>
      </c>
      <c r="G225" s="154">
        <f t="shared" si="56"/>
        <v>480.32509472773165</v>
      </c>
      <c r="H225" s="154">
        <f t="shared" si="56"/>
        <v>459.51271874939272</v>
      </c>
      <c r="I225" s="154">
        <f t="shared" si="56"/>
        <v>461.6659356223638</v>
      </c>
      <c r="J225" s="154">
        <f t="shared" si="55"/>
        <v>2838.1311624600003</v>
      </c>
      <c r="K225" s="69"/>
      <c r="L225" s="319"/>
    </row>
    <row r="226" spans="2:12" s="37" customFormat="1" ht="15.75">
      <c r="B226" s="48"/>
      <c r="C226" s="160" t="s">
        <v>304</v>
      </c>
      <c r="D226" s="156">
        <f>$J$9*F801ENE!D11</f>
        <v>420.05014956009171</v>
      </c>
      <c r="E226" s="156">
        <f>$J$9*F801ENE!E11</f>
        <v>420.22545451984604</v>
      </c>
      <c r="F226" s="156">
        <f>$J$9*F801ENE!F11</f>
        <v>412.28852809605695</v>
      </c>
      <c r="G226" s="156">
        <f>$J$9*F801ENE!G11</f>
        <v>418.78498199659271</v>
      </c>
      <c r="H226" s="156">
        <f>$J$9*F801ENE!H11</f>
        <v>400.63912496129552</v>
      </c>
      <c r="I226" s="156">
        <f>$J$9*F801ENE!I11</f>
        <v>402.51646782611732</v>
      </c>
      <c r="J226" s="156">
        <f t="shared" si="55"/>
        <v>2474.50470696</v>
      </c>
      <c r="K226" s="69"/>
      <c r="L226" s="319"/>
    </row>
    <row r="227" spans="2:12" s="37" customFormat="1" ht="15.75">
      <c r="B227" s="48"/>
      <c r="C227" s="160" t="s">
        <v>305</v>
      </c>
      <c r="D227" s="156">
        <f>($J$9*F801ENE!D12)*$L227</f>
        <v>61.726028076312758</v>
      </c>
      <c r="E227" s="156">
        <f>($J$9*F801ENE!E12)*$L227</f>
        <v>61.751788997667134</v>
      </c>
      <c r="F227" s="156">
        <f>($J$9*F801ENE!F12)*$L227</f>
        <v>60.585464110537572</v>
      </c>
      <c r="G227" s="156">
        <f>($J$9*F801ENE!G12)*$L227</f>
        <v>61.54011273113894</v>
      </c>
      <c r="H227" s="156">
        <f>($J$9*F801ENE!H12)*$L227</f>
        <v>58.873593788097175</v>
      </c>
      <c r="I227" s="156">
        <f>($J$9*F801ENE!I12)*$L227</f>
        <v>59.149467796246462</v>
      </c>
      <c r="J227" s="156">
        <f t="shared" si="55"/>
        <v>363.62645550000008</v>
      </c>
      <c r="K227" s="69"/>
      <c r="L227" s="319">
        <v>0.95</v>
      </c>
    </row>
    <row r="228" spans="2:12" s="37" customFormat="1" ht="15.75">
      <c r="B228" s="48" t="s">
        <v>276</v>
      </c>
      <c r="C228" s="158" t="s">
        <v>276</v>
      </c>
      <c r="D228" s="159">
        <f t="shared" ref="D228:I228" si="57">SUM(D229:D232)</f>
        <v>2885.9746199560473</v>
      </c>
      <c r="E228" s="159">
        <f t="shared" si="57"/>
        <v>2887.1790610570292</v>
      </c>
      <c r="F228" s="159">
        <f t="shared" si="57"/>
        <v>2832.6480288850312</v>
      </c>
      <c r="G228" s="159">
        <f t="shared" si="57"/>
        <v>2877.2822257691305</v>
      </c>
      <c r="H228" s="159">
        <f t="shared" si="57"/>
        <v>2752.6102481110756</v>
      </c>
      <c r="I228" s="159">
        <f t="shared" si="57"/>
        <v>2765.5086219516875</v>
      </c>
      <c r="J228" s="159">
        <f t="shared" si="55"/>
        <v>17001.202805730001</v>
      </c>
      <c r="K228" s="69"/>
      <c r="L228" s="319"/>
    </row>
    <row r="229" spans="2:12" s="37" customFormat="1" ht="15.75">
      <c r="B229" s="48"/>
      <c r="C229" s="160" t="s">
        <v>304</v>
      </c>
      <c r="D229" s="156">
        <f>$J$10*F801ENE!D15</f>
        <v>2874.7237932492999</v>
      </c>
      <c r="E229" s="156">
        <f>$J$10*F801ENE!E15</f>
        <v>2875.9235388973098</v>
      </c>
      <c r="F229" s="156">
        <f>$J$10*F801ENE!F15</f>
        <v>2821.6050932078351</v>
      </c>
      <c r="G229" s="156">
        <f>$J$10*F801ENE!G15</f>
        <v>2866.0652859233373</v>
      </c>
      <c r="H229" s="156">
        <f>$J$10*F801ENE!H15</f>
        <v>2741.8793356912061</v>
      </c>
      <c r="I229" s="156">
        <f>$J$10*F801ENE!I15</f>
        <v>2754.7274258710136</v>
      </c>
      <c r="J229" s="156">
        <f t="shared" si="55"/>
        <v>16934.924472840001</v>
      </c>
      <c r="K229" s="69"/>
      <c r="L229" s="319">
        <v>1</v>
      </c>
    </row>
    <row r="230" spans="2:12" s="37" customFormat="1" ht="15.75">
      <c r="B230" s="48"/>
      <c r="C230" s="161" t="s">
        <v>306</v>
      </c>
      <c r="D230" s="156">
        <f>$J$10*F801ENE!D16</f>
        <v>0</v>
      </c>
      <c r="E230" s="156">
        <f>$J$10*F801ENE!E16</f>
        <v>0</v>
      </c>
      <c r="F230" s="156">
        <f>$J$10*F801ENE!F16</f>
        <v>0</v>
      </c>
      <c r="G230" s="156">
        <f>$J$10*F801ENE!G16</f>
        <v>0</v>
      </c>
      <c r="H230" s="156">
        <f>$J$10*F801ENE!H16</f>
        <v>0</v>
      </c>
      <c r="I230" s="156">
        <f>$J$10*F801ENE!I16</f>
        <v>0</v>
      </c>
      <c r="J230" s="156">
        <f t="shared" si="55"/>
        <v>0</v>
      </c>
      <c r="K230" s="69"/>
      <c r="L230" s="319">
        <v>1</v>
      </c>
    </row>
    <row r="231" spans="2:12" s="37" customFormat="1" ht="15.75">
      <c r="B231" s="48"/>
      <c r="C231" s="160" t="s">
        <v>305</v>
      </c>
      <c r="D231" s="156">
        <f>$J$10*F801ENE!D17*0.95</f>
        <v>11.25082670674753</v>
      </c>
      <c r="E231" s="156">
        <f>$J$10*F801ENE!E17*0.95</f>
        <v>11.255522159719266</v>
      </c>
      <c r="F231" s="156">
        <f>$J$10*F801ENE!F17*0.95</f>
        <v>11.042935677196226</v>
      </c>
      <c r="G231" s="156">
        <f>$J$10*F801ENE!G17*0.95</f>
        <v>11.216939845793354</v>
      </c>
      <c r="H231" s="156">
        <f>$J$10*F801ENE!H17*0.95</f>
        <v>10.730912419869682</v>
      </c>
      <c r="I231" s="156">
        <f>$J$10*F801ENE!I17*0.95</f>
        <v>10.781196080673942</v>
      </c>
      <c r="J231" s="156">
        <f t="shared" si="55"/>
        <v>66.278332890000001</v>
      </c>
      <c r="K231" s="69"/>
      <c r="L231" s="319">
        <v>0.95</v>
      </c>
    </row>
    <row r="232" spans="2:12" s="37" customFormat="1" ht="15.75">
      <c r="B232" s="48"/>
      <c r="C232" s="160" t="s">
        <v>307</v>
      </c>
      <c r="D232" s="156">
        <f>$J$10*F801ENE!D18*0.5</f>
        <v>0</v>
      </c>
      <c r="E232" s="156">
        <f>$J$10*F801ENE!E18*0.5</f>
        <v>0</v>
      </c>
      <c r="F232" s="156">
        <f>$J$10*F801ENE!F18*0.5</f>
        <v>0</v>
      </c>
      <c r="G232" s="156">
        <f>$J$10*F801ENE!G18*0.5</f>
        <v>0</v>
      </c>
      <c r="H232" s="156">
        <f>$J$10*F801ENE!H18*0.5</f>
        <v>0</v>
      </c>
      <c r="I232" s="156">
        <f>$J$10*F801ENE!I18*0.5</f>
        <v>0</v>
      </c>
      <c r="J232" s="156">
        <f t="shared" si="55"/>
        <v>0</v>
      </c>
      <c r="K232" s="69"/>
      <c r="L232" s="319">
        <v>0.5</v>
      </c>
    </row>
    <row r="233" spans="2:12" s="37" customFormat="1" ht="15.75">
      <c r="B233" s="48"/>
      <c r="C233" s="157"/>
      <c r="D233" s="157"/>
      <c r="E233" s="157"/>
      <c r="F233" s="157"/>
      <c r="G233" s="157"/>
      <c r="H233" s="157"/>
      <c r="I233" s="157"/>
      <c r="J233" s="157"/>
      <c r="K233" s="69"/>
      <c r="L233" s="319"/>
    </row>
    <row r="234" spans="2:12" s="37" customFormat="1" ht="15.75">
      <c r="B234" s="48"/>
      <c r="C234" s="153" t="s">
        <v>443</v>
      </c>
      <c r="D234" s="154">
        <f t="shared" ref="D234:I234" si="58">D235+D239+D246+D251+D256+D269+D275+D282+D290+D296+D303+D262</f>
        <v>25613.825738877171</v>
      </c>
      <c r="E234" s="154">
        <f t="shared" si="58"/>
        <v>25624.515487934539</v>
      </c>
      <c r="F234" s="154">
        <f t="shared" si="58"/>
        <v>25140.537442612742</v>
      </c>
      <c r="G234" s="154">
        <f t="shared" si="58"/>
        <v>25536.678327940932</v>
      </c>
      <c r="H234" s="154">
        <f t="shared" si="58"/>
        <v>24430.179924187381</v>
      </c>
      <c r="I234" s="154">
        <f t="shared" si="58"/>
        <v>24544.656571897249</v>
      </c>
      <c r="J234" s="154">
        <f>SUM(D234:I234)</f>
        <v>150890.39349345001</v>
      </c>
      <c r="K234" s="69"/>
      <c r="L234" s="319"/>
    </row>
    <row r="235" spans="2:12" s="37" customFormat="1" ht="15.75">
      <c r="B235" s="48" t="s">
        <v>275</v>
      </c>
      <c r="C235" s="155" t="s">
        <v>275</v>
      </c>
      <c r="D235" s="156">
        <f>$J$11*F801ENE!D21</f>
        <v>322.83747701383061</v>
      </c>
      <c r="E235" s="156">
        <f>$J$11*F801ENE!E21</f>
        <v>322.9722109520863</v>
      </c>
      <c r="F235" s="156">
        <f>$J$11*F801ENE!F21</f>
        <v>316.87213622390448</v>
      </c>
      <c r="G235" s="156">
        <f>$J$11*F801ENE!G21</f>
        <v>321.86510858442398</v>
      </c>
      <c r="H235" s="156">
        <f>$J$11*F801ENE!H21</f>
        <v>307.91876739239223</v>
      </c>
      <c r="I235" s="156">
        <f>$J$11*F801ENE!I21</f>
        <v>309.3616347133626</v>
      </c>
      <c r="J235" s="156">
        <f>SUM(D235:I235)</f>
        <v>1901.8273348800003</v>
      </c>
      <c r="K235" s="69"/>
      <c r="L235" s="319"/>
    </row>
    <row r="236" spans="2:12" s="37" customFormat="1" ht="15.75">
      <c r="B236" s="48"/>
      <c r="C236" s="160" t="s">
        <v>304</v>
      </c>
      <c r="D236" s="156"/>
      <c r="E236" s="156"/>
      <c r="F236" s="156"/>
      <c r="G236" s="156"/>
      <c r="H236" s="156"/>
      <c r="I236" s="156"/>
      <c r="J236" s="156"/>
      <c r="K236" s="69"/>
      <c r="L236" s="319"/>
    </row>
    <row r="237" spans="2:12" s="37" customFormat="1" ht="15.75">
      <c r="B237" s="48"/>
      <c r="C237" s="161" t="s">
        <v>306</v>
      </c>
      <c r="D237" s="156"/>
      <c r="E237" s="156"/>
      <c r="F237" s="156"/>
      <c r="G237" s="156"/>
      <c r="H237" s="156"/>
      <c r="I237" s="156"/>
      <c r="J237" s="156"/>
      <c r="K237" s="69"/>
      <c r="L237" s="319"/>
    </row>
    <row r="238" spans="2:12" s="37" customFormat="1" ht="15.75">
      <c r="B238" s="48"/>
      <c r="C238" s="160" t="s">
        <v>305</v>
      </c>
      <c r="D238" s="156"/>
      <c r="E238" s="156"/>
      <c r="F238" s="156"/>
      <c r="G238" s="156"/>
      <c r="H238" s="156"/>
      <c r="I238" s="156"/>
      <c r="J238" s="156"/>
      <c r="K238" s="69"/>
      <c r="L238" s="319"/>
    </row>
    <row r="239" spans="2:12" s="37" customFormat="1" ht="15.75">
      <c r="B239" s="48" t="s">
        <v>274</v>
      </c>
      <c r="C239" s="158" t="s">
        <v>627</v>
      </c>
      <c r="D239" s="159">
        <f t="shared" ref="D239:I239" si="59">SUM(D240:D245)</f>
        <v>3892.6129258400774</v>
      </c>
      <c r="E239" s="159">
        <f t="shared" si="59"/>
        <v>3894.2374803201037</v>
      </c>
      <c r="F239" s="159">
        <f t="shared" si="59"/>
        <v>3820.6858284017812</v>
      </c>
      <c r="G239" s="159">
        <f t="shared" si="59"/>
        <v>3880.8885933617116</v>
      </c>
      <c r="H239" s="159">
        <f t="shared" si="59"/>
        <v>3712.7305824194036</v>
      </c>
      <c r="I239" s="159">
        <f t="shared" si="59"/>
        <v>3730.1279553509262</v>
      </c>
      <c r="J239" s="159">
        <f t="shared" ref="J239:J260" si="60">SUM(D239:I239)</f>
        <v>22931.283365694006</v>
      </c>
      <c r="K239" s="69"/>
      <c r="L239" s="319"/>
    </row>
    <row r="240" spans="2:12" s="37" customFormat="1" ht="15.75">
      <c r="B240" s="48"/>
      <c r="C240" s="160" t="s">
        <v>304</v>
      </c>
      <c r="D240" s="156">
        <f>$J$12*F801ENE!D28</f>
        <v>3885.6097533619527</v>
      </c>
      <c r="E240" s="156">
        <f>$J$12*F801ENE!E28</f>
        <v>3887.2313851174645</v>
      </c>
      <c r="F240" s="156">
        <f>$J$12*F801ENE!F28</f>
        <v>3813.8120594576858</v>
      </c>
      <c r="G240" s="156">
        <f>$J$12*F801ENE!G28</f>
        <v>3873.9065140475109</v>
      </c>
      <c r="H240" s="156">
        <f>$J$12*F801ENE!H28</f>
        <v>3706.0510349974415</v>
      </c>
      <c r="I240" s="156">
        <f>$J$12*F801ENE!I28</f>
        <v>3723.4171084379473</v>
      </c>
      <c r="J240" s="156">
        <f t="shared" si="60"/>
        <v>22890.027855420005</v>
      </c>
      <c r="K240" s="69"/>
      <c r="L240" s="319">
        <v>1</v>
      </c>
    </row>
    <row r="241" spans="2:12" s="37" customFormat="1" ht="15.75">
      <c r="B241" s="48"/>
      <c r="C241" s="162" t="s">
        <v>628</v>
      </c>
      <c r="D241" s="156">
        <f>$J$12*F801ENE!D29*0.75</f>
        <v>0.33622501850269293</v>
      </c>
      <c r="E241" s="156">
        <f>$J$12*F801ENE!E29*0.75</f>
        <v>0.33636533963672599</v>
      </c>
      <c r="F241" s="156">
        <f>$J$12*F801ENE!F29*0.75</f>
        <v>0.33001230479912919</v>
      </c>
      <c r="G241" s="156">
        <f>$J$12*F801ENE!G29*0.75</f>
        <v>0.33521232754688224</v>
      </c>
      <c r="H241" s="156">
        <f>$J$12*F801ENE!H29*0.75</f>
        <v>0.32068765442432878</v>
      </c>
      <c r="I241" s="156">
        <f>$J$12*F801ENE!I29*0.75</f>
        <v>0.32219035509024124</v>
      </c>
      <c r="J241" s="156">
        <f t="shared" si="60"/>
        <v>1.9806930000000005</v>
      </c>
      <c r="K241" s="69"/>
      <c r="L241" s="319">
        <v>0.75</v>
      </c>
    </row>
    <row r="242" spans="2:12" s="37" customFormat="1" ht="15.75">
      <c r="B242" s="48"/>
      <c r="C242" s="161" t="s">
        <v>629</v>
      </c>
      <c r="D242" s="156">
        <f>$J$12*F801ENE!D30</f>
        <v>1.7863031752245635</v>
      </c>
      <c r="E242" s="156">
        <f>$J$12*F801ENE!E30</f>
        <v>1.7870486762238365</v>
      </c>
      <c r="F242" s="156">
        <f>$J$12*F801ENE!F30</f>
        <v>1.7532961424199889</v>
      </c>
      <c r="G242" s="156">
        <f>$J$12*F801ENE!G30</f>
        <v>1.7809229299413845</v>
      </c>
      <c r="H242" s="156">
        <f>$J$12*F801ENE!H30</f>
        <v>1.7037559486338698</v>
      </c>
      <c r="I242" s="156">
        <f>$J$12*F801ENE!I30</f>
        <v>1.7117395275563587</v>
      </c>
      <c r="J242" s="156">
        <f t="shared" si="60"/>
        <v>10.523066400000003</v>
      </c>
      <c r="K242" s="69"/>
      <c r="L242" s="319">
        <v>1</v>
      </c>
    </row>
    <row r="243" spans="2:12" s="37" customFormat="1" ht="15.75">
      <c r="B243" s="48"/>
      <c r="C243" s="160" t="s">
        <v>305</v>
      </c>
      <c r="D243" s="156">
        <f>$J$12*F801ENE!D31*0.95</f>
        <v>4.4721931508087049</v>
      </c>
      <c r="E243" s="156">
        <f>$J$12*F801ENE!E31*0.95</f>
        <v>4.4740595889974237</v>
      </c>
      <c r="F243" s="156">
        <f>$J$12*F801ENE!F31*0.95</f>
        <v>4.3895566599349873</v>
      </c>
      <c r="G243" s="156">
        <f>$J$12*F801ENE!G31*0.95</f>
        <v>4.4587231550997855</v>
      </c>
      <c r="H243" s="156">
        <f>$J$12*F801ENE!H31*0.95</f>
        <v>4.2655277053807499</v>
      </c>
      <c r="I243" s="156">
        <f>$J$12*F801ENE!I31*0.95</f>
        <v>4.2855154137783504</v>
      </c>
      <c r="J243" s="156">
        <f t="shared" si="60"/>
        <v>26.345575674000003</v>
      </c>
      <c r="K243" s="69"/>
      <c r="L243" s="319">
        <v>0.95</v>
      </c>
    </row>
    <row r="244" spans="2:12" s="37" customFormat="1" ht="15.75">
      <c r="B244" s="48"/>
      <c r="C244" s="160" t="s">
        <v>307</v>
      </c>
      <c r="D244" s="156">
        <f>$J$12*F801ENE!D32*0.5</f>
        <v>0.40845113358845653</v>
      </c>
      <c r="E244" s="156">
        <f>$J$12*F801ENE!E32*0.5</f>
        <v>0.40862159778091145</v>
      </c>
      <c r="F244" s="156">
        <f>$J$12*F801ENE!F32*0.5</f>
        <v>0.40090383694116433</v>
      </c>
      <c r="G244" s="156">
        <f>$J$12*F801ENE!G32*0.5</f>
        <v>0.40722090161250868</v>
      </c>
      <c r="H244" s="156">
        <f>$J$12*F801ENE!H32*0.5</f>
        <v>0.38957611352288823</v>
      </c>
      <c r="I244" s="156">
        <f>$J$12*F801ENE!I32*0.5</f>
        <v>0.3914016165540708</v>
      </c>
      <c r="J244" s="156">
        <f t="shared" si="60"/>
        <v>2.4061751999999998</v>
      </c>
      <c r="K244" s="69"/>
      <c r="L244" s="319">
        <v>0.5</v>
      </c>
    </row>
    <row r="245" spans="2:12" s="37" customFormat="1" ht="15.75">
      <c r="B245" s="48"/>
      <c r="C245" s="160" t="s">
        <v>624</v>
      </c>
      <c r="D245" s="156">
        <f>$J$12*F801ENE!D33*0</f>
        <v>0</v>
      </c>
      <c r="E245" s="156">
        <f>$J$12*F801ENE!E33*0</f>
        <v>0</v>
      </c>
      <c r="F245" s="156">
        <f>$J$12*F801ENE!F33*0</f>
        <v>0</v>
      </c>
      <c r="G245" s="156">
        <f>$J$12*F801ENE!G33*0</f>
        <v>0</v>
      </c>
      <c r="H245" s="156">
        <f>$J$12*F801ENE!H33*0</f>
        <v>0</v>
      </c>
      <c r="I245" s="156">
        <f>$J$12*F801ENE!I33*0</f>
        <v>0</v>
      </c>
      <c r="J245" s="156">
        <f t="shared" si="60"/>
        <v>0</v>
      </c>
      <c r="K245" s="69"/>
      <c r="L245" s="319">
        <v>0</v>
      </c>
    </row>
    <row r="246" spans="2:12" s="37" customFormat="1" ht="15.75">
      <c r="B246" s="48" t="s">
        <v>274</v>
      </c>
      <c r="C246" s="158" t="s">
        <v>631</v>
      </c>
      <c r="D246" s="159">
        <f t="shared" ref="D246:I246" si="61">SUM(D247:D250)</f>
        <v>1776.9394329870481</v>
      </c>
      <c r="E246" s="159">
        <f t="shared" si="61"/>
        <v>1777.6810260947086</v>
      </c>
      <c r="F246" s="159">
        <f t="shared" si="61"/>
        <v>1744.1054219581126</v>
      </c>
      <c r="G246" s="159">
        <f t="shared" si="61"/>
        <v>1771.5873907719176</v>
      </c>
      <c r="H246" s="159">
        <f t="shared" si="61"/>
        <v>1694.8249162313573</v>
      </c>
      <c r="I246" s="159">
        <f t="shared" si="61"/>
        <v>1702.7666454968564</v>
      </c>
      <c r="J246" s="159">
        <f t="shared" si="60"/>
        <v>10467.904833540002</v>
      </c>
      <c r="K246" s="69"/>
      <c r="L246" s="319"/>
    </row>
    <row r="247" spans="2:12" s="37" customFormat="1" ht="15.75">
      <c r="B247" s="48"/>
      <c r="C247" s="160" t="s">
        <v>304</v>
      </c>
      <c r="D247" s="156">
        <f>$J$12*F801ENE!D35</f>
        <v>1775.6901702516336</v>
      </c>
      <c r="E247" s="156">
        <f>$J$12*F801ENE!E35</f>
        <v>1776.4312419883252</v>
      </c>
      <c r="F247" s="156">
        <f>$J$12*F801ENE!F35</f>
        <v>1742.8792429056145</v>
      </c>
      <c r="G247" s="156">
        <f>$J$12*F801ENE!G35</f>
        <v>1770.34189074601</v>
      </c>
      <c r="H247" s="156">
        <f>$J$12*F801ENE!H35</f>
        <v>1693.6333834353629</v>
      </c>
      <c r="I247" s="156">
        <f>$J$12*F801ENE!I35</f>
        <v>1701.5695293330546</v>
      </c>
      <c r="J247" s="156">
        <f t="shared" si="60"/>
        <v>10460.545458660003</v>
      </c>
      <c r="K247" s="69"/>
      <c r="L247" s="319">
        <v>1</v>
      </c>
    </row>
    <row r="248" spans="2:12" s="37" customFormat="1" ht="15.75">
      <c r="B248" s="48"/>
      <c r="C248" s="161" t="s">
        <v>306</v>
      </c>
      <c r="D248" s="156">
        <f>$J$12*F801ENE!D36</f>
        <v>0</v>
      </c>
      <c r="E248" s="156">
        <f>$J$12*F801ENE!E36</f>
        <v>0</v>
      </c>
      <c r="F248" s="156">
        <f>$J$12*F801ENE!F36</f>
        <v>0</v>
      </c>
      <c r="G248" s="156">
        <f>$J$12*F801ENE!G36</f>
        <v>0</v>
      </c>
      <c r="H248" s="156">
        <f>$J$12*F801ENE!H36</f>
        <v>0</v>
      </c>
      <c r="I248" s="156">
        <f>$J$12*F801ENE!I36</f>
        <v>0</v>
      </c>
      <c r="J248" s="156">
        <f t="shared" si="60"/>
        <v>0</v>
      </c>
      <c r="K248" s="69"/>
      <c r="L248" s="319">
        <v>1</v>
      </c>
    </row>
    <row r="249" spans="2:12" s="37" customFormat="1" ht="15.75">
      <c r="B249" s="48"/>
      <c r="C249" s="160" t="s">
        <v>305</v>
      </c>
      <c r="D249" s="156">
        <f>$J$12*F801ENE!D37*0.95</f>
        <v>1.2492627354144501</v>
      </c>
      <c r="E249" s="156">
        <f>$J$12*F801ENE!E37*0.95</f>
        <v>1.2497841063835682</v>
      </c>
      <c r="F249" s="156">
        <f>$J$12*F801ENE!F37*0.95</f>
        <v>1.2261790524980978</v>
      </c>
      <c r="G249" s="156">
        <f>$J$12*F801ENE!G37*0.95</f>
        <v>1.2455000259075266</v>
      </c>
      <c r="H249" s="156">
        <f>$J$12*F801ENE!H37*0.95</f>
        <v>1.1915327959943947</v>
      </c>
      <c r="I249" s="156">
        <f>$J$12*F801ENE!I37*0.95</f>
        <v>1.197116163801963</v>
      </c>
      <c r="J249" s="156">
        <f t="shared" si="60"/>
        <v>7.3593748800000007</v>
      </c>
      <c r="K249" s="69"/>
      <c r="L249" s="319">
        <v>0.95</v>
      </c>
    </row>
    <row r="250" spans="2:12" s="37" customFormat="1" ht="15.75">
      <c r="B250" s="48"/>
      <c r="C250" s="160" t="s">
        <v>307</v>
      </c>
      <c r="D250" s="156">
        <f>$J$12*F801ENE!D38*0.5</f>
        <v>0</v>
      </c>
      <c r="E250" s="156">
        <f>$J$12*F801ENE!E38*0.5</f>
        <v>0</v>
      </c>
      <c r="F250" s="156">
        <f>$J$12*F801ENE!F38*0.5</f>
        <v>0</v>
      </c>
      <c r="G250" s="156">
        <f>$J$12*F801ENE!G38*0.5</f>
        <v>0</v>
      </c>
      <c r="H250" s="156">
        <f>$J$12*F801ENE!H38*0.5</f>
        <v>0</v>
      </c>
      <c r="I250" s="156">
        <f>$J$12*F801ENE!I38*0.5</f>
        <v>0</v>
      </c>
      <c r="J250" s="156">
        <f t="shared" si="60"/>
        <v>0</v>
      </c>
      <c r="K250" s="69"/>
      <c r="L250" s="319">
        <v>0.5</v>
      </c>
    </row>
    <row r="251" spans="2:12" s="37" customFormat="1" ht="15.75">
      <c r="B251" s="48" t="s">
        <v>274</v>
      </c>
      <c r="C251" s="158" t="s">
        <v>632</v>
      </c>
      <c r="D251" s="159">
        <f t="shared" ref="D251:I251" si="62">SUM(D252:D255)</f>
        <v>499.9235542162636</v>
      </c>
      <c r="E251" s="159">
        <f t="shared" si="62"/>
        <v>500.13219377666832</v>
      </c>
      <c r="F251" s="159">
        <f t="shared" si="62"/>
        <v>490.68604437881879</v>
      </c>
      <c r="G251" s="159">
        <f t="shared" si="62"/>
        <v>498.41781242403727</v>
      </c>
      <c r="H251" s="159">
        <f t="shared" si="62"/>
        <v>476.82148314553001</v>
      </c>
      <c r="I251" s="159">
        <f t="shared" si="62"/>
        <v>479.05580663868227</v>
      </c>
      <c r="J251" s="159">
        <f t="shared" si="60"/>
        <v>2945.0368945800001</v>
      </c>
      <c r="K251" s="69"/>
      <c r="L251" s="319"/>
    </row>
    <row r="252" spans="2:12" s="37" customFormat="1" ht="15.75">
      <c r="B252" s="48"/>
      <c r="C252" s="160" t="s">
        <v>304</v>
      </c>
      <c r="D252" s="156">
        <f>$J$12*F801ENE!D40</f>
        <v>499.9235542162636</v>
      </c>
      <c r="E252" s="156">
        <f>$J$12*F801ENE!E40</f>
        <v>500.13219377666832</v>
      </c>
      <c r="F252" s="156">
        <f>$J$12*F801ENE!F40</f>
        <v>490.68604437881879</v>
      </c>
      <c r="G252" s="156">
        <f>$J$12*F801ENE!G40</f>
        <v>498.41781242403727</v>
      </c>
      <c r="H252" s="156">
        <f>$J$12*F801ENE!H40</f>
        <v>476.82148314553001</v>
      </c>
      <c r="I252" s="156">
        <f>$J$12*F801ENE!I40</f>
        <v>479.05580663868227</v>
      </c>
      <c r="J252" s="156">
        <f t="shared" si="60"/>
        <v>2945.0368945800001</v>
      </c>
      <c r="K252" s="69"/>
      <c r="L252" s="319">
        <v>1</v>
      </c>
    </row>
    <row r="253" spans="2:12" s="37" customFormat="1" ht="15.75">
      <c r="B253" s="48"/>
      <c r="C253" s="161" t="s">
        <v>306</v>
      </c>
      <c r="D253" s="156">
        <f>$J$12*F801ENE!D41</f>
        <v>0</v>
      </c>
      <c r="E253" s="156">
        <f>$J$12*F801ENE!E41</f>
        <v>0</v>
      </c>
      <c r="F253" s="156">
        <f>$J$12*F801ENE!F41</f>
        <v>0</v>
      </c>
      <c r="G253" s="156">
        <f>$J$12*F801ENE!G41</f>
        <v>0</v>
      </c>
      <c r="H253" s="156">
        <f>$J$12*F801ENE!H41</f>
        <v>0</v>
      </c>
      <c r="I253" s="156">
        <f>$J$12*F801ENE!I41</f>
        <v>0</v>
      </c>
      <c r="J253" s="156">
        <f t="shared" si="60"/>
        <v>0</v>
      </c>
      <c r="K253" s="69"/>
      <c r="L253" s="319">
        <v>1</v>
      </c>
    </row>
    <row r="254" spans="2:12" s="37" customFormat="1" ht="15.75">
      <c r="B254" s="48"/>
      <c r="C254" s="160" t="s">
        <v>305</v>
      </c>
      <c r="D254" s="156">
        <f>$J$12*F801ENE!D42*0.95</f>
        <v>0</v>
      </c>
      <c r="E254" s="156">
        <f>$J$12*F801ENE!E42*0.95</f>
        <v>0</v>
      </c>
      <c r="F254" s="156">
        <f>$J$12*F801ENE!F42*0.95</f>
        <v>0</v>
      </c>
      <c r="G254" s="156">
        <f>$J$12*F801ENE!G42*0.95</f>
        <v>0</v>
      </c>
      <c r="H254" s="156">
        <f>$J$12*F801ENE!H42*0.95</f>
        <v>0</v>
      </c>
      <c r="I254" s="156">
        <f>$J$12*F801ENE!I42*0.95</f>
        <v>0</v>
      </c>
      <c r="J254" s="156">
        <f t="shared" si="60"/>
        <v>0</v>
      </c>
      <c r="K254" s="69"/>
      <c r="L254" s="319">
        <v>0.95</v>
      </c>
    </row>
    <row r="255" spans="2:12" s="37" customFormat="1" ht="15.75">
      <c r="B255" s="48"/>
      <c r="C255" s="160" t="s">
        <v>307</v>
      </c>
      <c r="D255" s="156">
        <f>$J$12*F801ENE!D43*0.5</f>
        <v>0</v>
      </c>
      <c r="E255" s="156">
        <f>$J$12*F801ENE!E43*0.5</f>
        <v>0</v>
      </c>
      <c r="F255" s="156">
        <f>$J$12*F801ENE!F43*0.5</f>
        <v>0</v>
      </c>
      <c r="G255" s="156">
        <f>$J$12*F801ENE!G43*0.5</f>
        <v>0</v>
      </c>
      <c r="H255" s="156">
        <f>$J$12*F801ENE!H43*0.5</f>
        <v>0</v>
      </c>
      <c r="I255" s="156">
        <f>$J$12*F801ENE!I43*0.5</f>
        <v>0</v>
      </c>
      <c r="J255" s="156">
        <f t="shared" si="60"/>
        <v>0</v>
      </c>
      <c r="K255" s="69"/>
      <c r="L255" s="319">
        <v>0.5</v>
      </c>
    </row>
    <row r="256" spans="2:12" s="37" customFormat="1" ht="15.75">
      <c r="B256" s="48" t="s">
        <v>274</v>
      </c>
      <c r="C256" s="158" t="s">
        <v>633</v>
      </c>
      <c r="D256" s="159">
        <f t="shared" ref="D256:I256" si="63">SUM(D257:D260)</f>
        <v>505.27549018599791</v>
      </c>
      <c r="E256" s="159">
        <f t="shared" si="63"/>
        <v>505.48636333903613</v>
      </c>
      <c r="F256" s="159">
        <f t="shared" si="63"/>
        <v>495.9390881064237</v>
      </c>
      <c r="G256" s="159">
        <f t="shared" si="63"/>
        <v>503.75362866188266</v>
      </c>
      <c r="H256" s="159">
        <f t="shared" si="63"/>
        <v>481.92609969193251</v>
      </c>
      <c r="I256" s="159">
        <f t="shared" si="63"/>
        <v>484.1843427547272</v>
      </c>
      <c r="J256" s="159">
        <f t="shared" si="60"/>
        <v>2976.5650127400004</v>
      </c>
      <c r="K256" s="69"/>
      <c r="L256" s="319"/>
    </row>
    <row r="257" spans="2:12" s="37" customFormat="1" ht="15.75">
      <c r="B257" s="48"/>
      <c r="C257" s="160" t="s">
        <v>304</v>
      </c>
      <c r="D257" s="156">
        <f>$J$12*F801ENE!D45</f>
        <v>505.27549018599791</v>
      </c>
      <c r="E257" s="156">
        <f>$J$12*F801ENE!E45</f>
        <v>505.48636333903613</v>
      </c>
      <c r="F257" s="156">
        <f>$J$12*F801ENE!F45</f>
        <v>495.9390881064237</v>
      </c>
      <c r="G257" s="156">
        <f>$J$12*F801ENE!G45</f>
        <v>503.75362866188266</v>
      </c>
      <c r="H257" s="156">
        <f>$J$12*F801ENE!H45</f>
        <v>481.92609969193251</v>
      </c>
      <c r="I257" s="156">
        <f>$J$12*F801ENE!I45</f>
        <v>484.1843427547272</v>
      </c>
      <c r="J257" s="156">
        <f t="shared" si="60"/>
        <v>2976.5650127400004</v>
      </c>
      <c r="K257" s="69"/>
      <c r="L257" s="319">
        <v>1</v>
      </c>
    </row>
    <row r="258" spans="2:12" s="37" customFormat="1" ht="15.75">
      <c r="B258" s="48"/>
      <c r="C258" s="161" t="s">
        <v>306</v>
      </c>
      <c r="D258" s="156">
        <f>$J$12*F801ENE!D46</f>
        <v>0</v>
      </c>
      <c r="E258" s="156">
        <f>$J$12*F801ENE!E46</f>
        <v>0</v>
      </c>
      <c r="F258" s="156">
        <f>$J$12*F801ENE!F46</f>
        <v>0</v>
      </c>
      <c r="G258" s="156">
        <f>$J$12*F801ENE!G46</f>
        <v>0</v>
      </c>
      <c r="H258" s="156">
        <f>$J$12*F801ENE!H46</f>
        <v>0</v>
      </c>
      <c r="I258" s="156">
        <f>$J$12*F801ENE!I46</f>
        <v>0</v>
      </c>
      <c r="J258" s="156">
        <f t="shared" si="60"/>
        <v>0</v>
      </c>
      <c r="K258" s="69"/>
      <c r="L258" s="319">
        <v>1</v>
      </c>
    </row>
    <row r="259" spans="2:12" s="37" customFormat="1" ht="15.75">
      <c r="B259" s="48"/>
      <c r="C259" s="160" t="s">
        <v>305</v>
      </c>
      <c r="D259" s="156">
        <f>$J$12*F801ENE!D47*0.95</f>
        <v>0</v>
      </c>
      <c r="E259" s="156">
        <f>$J$12*F801ENE!E47*0.95</f>
        <v>0</v>
      </c>
      <c r="F259" s="156">
        <f>$J$12*F801ENE!F47*0.95</f>
        <v>0</v>
      </c>
      <c r="G259" s="156">
        <f>$J$12*F801ENE!G47*0.95</f>
        <v>0</v>
      </c>
      <c r="H259" s="156">
        <f>$J$12*F801ENE!H47*0.95</f>
        <v>0</v>
      </c>
      <c r="I259" s="156">
        <f>$J$12*F801ENE!I47*0.95</f>
        <v>0</v>
      </c>
      <c r="J259" s="156">
        <f t="shared" si="60"/>
        <v>0</v>
      </c>
      <c r="K259" s="69"/>
      <c r="L259" s="319">
        <v>0.95</v>
      </c>
    </row>
    <row r="260" spans="2:12" s="37" customFormat="1" ht="15.75">
      <c r="B260" s="48"/>
      <c r="C260" s="160" t="s">
        <v>307</v>
      </c>
      <c r="D260" s="156">
        <f>$J$12*F801ENE!D48*0.5</f>
        <v>0</v>
      </c>
      <c r="E260" s="156">
        <f>$J$12*F801ENE!E48*0.5</f>
        <v>0</v>
      </c>
      <c r="F260" s="156">
        <f>$J$12*F801ENE!F48*0.5</f>
        <v>0</v>
      </c>
      <c r="G260" s="156">
        <f>$J$12*F801ENE!G48*0.5</f>
        <v>0</v>
      </c>
      <c r="H260" s="156">
        <f>$J$12*F801ENE!H48*0.5</f>
        <v>0</v>
      </c>
      <c r="I260" s="156">
        <f>$J$12*F801ENE!I48*0.5</f>
        <v>0</v>
      </c>
      <c r="J260" s="156">
        <f t="shared" si="60"/>
        <v>0</v>
      </c>
      <c r="K260" s="69"/>
      <c r="L260" s="319">
        <v>0.5</v>
      </c>
    </row>
    <row r="261" spans="2:12" s="37" customFormat="1" ht="15.75">
      <c r="B261" s="48"/>
      <c r="C261" s="157"/>
      <c r="D261" s="156"/>
      <c r="E261" s="156"/>
      <c r="F261" s="156"/>
      <c r="G261" s="156"/>
      <c r="H261" s="156"/>
      <c r="I261" s="156"/>
      <c r="J261" s="156"/>
      <c r="K261" s="69"/>
      <c r="L261" s="319"/>
    </row>
    <row r="262" spans="2:12" s="37" customFormat="1" ht="15.75">
      <c r="B262" s="48" t="s">
        <v>1176</v>
      </c>
      <c r="C262" s="158" t="str">
        <f>F801ENE!$C$50</f>
        <v>BTSH</v>
      </c>
      <c r="D262" s="159">
        <f t="shared" ref="D262:I262" si="64">SUM(D263:D268)</f>
        <v>0.12000000000000001</v>
      </c>
      <c r="E262" s="159">
        <f t="shared" si="64"/>
        <v>0.12000000000000001</v>
      </c>
      <c r="F262" s="159">
        <f t="shared" si="64"/>
        <v>0.12000000000000001</v>
      </c>
      <c r="G262" s="159">
        <f t="shared" si="64"/>
        <v>0.12000000000000001</v>
      </c>
      <c r="H262" s="159">
        <f t="shared" si="64"/>
        <v>0.12000000000000001</v>
      </c>
      <c r="I262" s="159">
        <f t="shared" si="64"/>
        <v>0.12000000000000001</v>
      </c>
      <c r="J262" s="159">
        <f t="shared" ref="J262:J288" si="65">SUM(D262:I262)</f>
        <v>0.72000000000000008</v>
      </c>
      <c r="K262" s="69"/>
      <c r="L262" s="319"/>
    </row>
    <row r="263" spans="2:12" s="37" customFormat="1" ht="15.75">
      <c r="B263" s="48"/>
      <c r="C263" s="160" t="str">
        <f>F801ENE!$C$51</f>
        <v xml:space="preserve">    - Regulares</v>
      </c>
      <c r="D263" s="156">
        <f>$J$16*F801ENE!D51*1</f>
        <v>0.12000000000000001</v>
      </c>
      <c r="E263" s="156">
        <f>$J$16*F801ENE!E51*1</f>
        <v>0.12000000000000001</v>
      </c>
      <c r="F263" s="156">
        <f>$J$16*F801ENE!F51*1</f>
        <v>0.12000000000000001</v>
      </c>
      <c r="G263" s="156">
        <f>$J$16*F801ENE!G51*1</f>
        <v>0.12000000000000001</v>
      </c>
      <c r="H263" s="156">
        <f>$J$16*F801ENE!H51*1</f>
        <v>0.12000000000000001</v>
      </c>
      <c r="I263" s="156">
        <f>$J$16*F801ENE!I51*1</f>
        <v>0.12000000000000001</v>
      </c>
      <c r="J263" s="156">
        <f t="shared" si="65"/>
        <v>0.72000000000000008</v>
      </c>
      <c r="K263" s="69"/>
      <c r="L263" s="319">
        <v>1</v>
      </c>
    </row>
    <row r="264" spans="2:12" s="37" customFormat="1" ht="15.75">
      <c r="B264" s="48"/>
      <c r="C264" s="162" t="str">
        <f>F801ENE!$C$52</f>
        <v xml:space="preserve">    - Jubilados (0 a 600 KWh)</v>
      </c>
      <c r="D264" s="156">
        <f>$J$16*F801ENE!D52*0.75</f>
        <v>0</v>
      </c>
      <c r="E264" s="156">
        <f>$J$16*F801ENE!E52*0.75</f>
        <v>0</v>
      </c>
      <c r="F264" s="156">
        <f>$J$16*F801ENE!F52*0.75</f>
        <v>0</v>
      </c>
      <c r="G264" s="156">
        <f>$J$16*F801ENE!G52*0.75</f>
        <v>0</v>
      </c>
      <c r="H264" s="156">
        <f>$J$16*F801ENE!H52*0.75</f>
        <v>0</v>
      </c>
      <c r="I264" s="156">
        <f>$J$16*F801ENE!I52*0.75</f>
        <v>0</v>
      </c>
      <c r="J264" s="156">
        <f t="shared" si="65"/>
        <v>0</v>
      </c>
      <c r="K264" s="69"/>
      <c r="L264" s="319">
        <v>0.75</v>
      </c>
    </row>
    <row r="265" spans="2:12" s="37" customFormat="1" ht="15.75">
      <c r="B265" s="48"/>
      <c r="C265" s="162" t="str">
        <f>F801ENE!$C$53</f>
        <v xml:space="preserve">    - Jubilados (601 y Más KWh)</v>
      </c>
      <c r="D265" s="156">
        <f>$J$16*F801ENE!D53*1</f>
        <v>0</v>
      </c>
      <c r="E265" s="156">
        <f>$J$16*F801ENE!E53*1</f>
        <v>0</v>
      </c>
      <c r="F265" s="156">
        <f>$J$16*F801ENE!F53*1</f>
        <v>0</v>
      </c>
      <c r="G265" s="156">
        <f>$J$16*F801ENE!G53*1</f>
        <v>0</v>
      </c>
      <c r="H265" s="156">
        <f>$J$16*F801ENE!H53*1</f>
        <v>0</v>
      </c>
      <c r="I265" s="156">
        <f>$J$16*F801ENE!I53*1</f>
        <v>0</v>
      </c>
      <c r="J265" s="156">
        <f t="shared" si="65"/>
        <v>0</v>
      </c>
      <c r="K265" s="69"/>
      <c r="L265" s="319">
        <v>1</v>
      </c>
    </row>
    <row r="266" spans="2:12" s="37" customFormat="1" ht="15.75">
      <c r="B266" s="48"/>
      <c r="C266" s="160" t="str">
        <f>F801ENE!$C$54</f>
        <v xml:space="preserve">    - Agropecuarios</v>
      </c>
      <c r="D266" s="156">
        <f>$J$16*F801ENE!D54*0.95</f>
        <v>0</v>
      </c>
      <c r="E266" s="156">
        <f>$J$16*F801ENE!E54*0.95</f>
        <v>0</v>
      </c>
      <c r="F266" s="156">
        <f>$J$16*F801ENE!F54*0.95</f>
        <v>0</v>
      </c>
      <c r="G266" s="156">
        <f>$J$16*F801ENE!G54*0.95</f>
        <v>0</v>
      </c>
      <c r="H266" s="156">
        <f>$J$16*F801ENE!H54*0.95</f>
        <v>0</v>
      </c>
      <c r="I266" s="156">
        <f>$J$16*F801ENE!I54*0.95</f>
        <v>0</v>
      </c>
      <c r="J266" s="156">
        <f t="shared" si="65"/>
        <v>0</v>
      </c>
      <c r="K266" s="69"/>
      <c r="L266" s="319">
        <v>0.95</v>
      </c>
    </row>
    <row r="267" spans="2:12" s="37" customFormat="1" ht="15.75">
      <c r="B267" s="48"/>
      <c r="C267" s="160" t="str">
        <f>F801ENE!$C$55</f>
        <v xml:space="preserve">    - Partidos Políticos</v>
      </c>
      <c r="D267" s="156">
        <f>$J$16*F801ENE!D55*0.5</f>
        <v>0</v>
      </c>
      <c r="E267" s="156">
        <f>$J$16*F801ENE!E55*0.5</f>
        <v>0</v>
      </c>
      <c r="F267" s="156">
        <f>$J$16*F801ENE!F55*0.5</f>
        <v>0</v>
      </c>
      <c r="G267" s="156">
        <f>$J$16*F801ENE!G55*0.5</f>
        <v>0</v>
      </c>
      <c r="H267" s="156">
        <f>$J$16*F801ENE!H55*0.5</f>
        <v>0</v>
      </c>
      <c r="I267" s="156">
        <f>$J$16*F801ENE!I55*0.5</f>
        <v>0</v>
      </c>
      <c r="J267" s="156">
        <f t="shared" si="65"/>
        <v>0</v>
      </c>
      <c r="K267" s="69"/>
      <c r="L267" s="319">
        <v>0.5</v>
      </c>
    </row>
    <row r="268" spans="2:12" s="37" customFormat="1" ht="15.75">
      <c r="B268" s="48"/>
      <c r="C268" s="160" t="str">
        <f>F801ENE!$C$56</f>
        <v xml:space="preserve">    - Cruz Roja</v>
      </c>
      <c r="D268" s="156">
        <f>$J$16*F801ENE!D56*0</f>
        <v>0</v>
      </c>
      <c r="E268" s="156">
        <f>$J$16*F801ENE!E56*0</f>
        <v>0</v>
      </c>
      <c r="F268" s="156">
        <f>$J$16*F801ENE!F56*0</f>
        <v>0</v>
      </c>
      <c r="G268" s="156">
        <f>$J$16*F801ENE!G56*0</f>
        <v>0</v>
      </c>
      <c r="H268" s="156">
        <f>$J$16*F801ENE!H56*0</f>
        <v>0</v>
      </c>
      <c r="I268" s="156">
        <f>$J$16*F801ENE!I56*0</f>
        <v>0</v>
      </c>
      <c r="J268" s="156">
        <f t="shared" si="65"/>
        <v>0</v>
      </c>
      <c r="K268" s="69"/>
      <c r="L268" s="319">
        <v>0</v>
      </c>
    </row>
    <row r="269" spans="2:12" s="37" customFormat="1" ht="15.75">
      <c r="B269" s="48" t="s">
        <v>751</v>
      </c>
      <c r="C269" s="158" t="s">
        <v>634</v>
      </c>
      <c r="D269" s="159">
        <f t="shared" ref="D269:I269" si="66">SUM(D270:D274)</f>
        <v>9620.8562249391161</v>
      </c>
      <c r="E269" s="159">
        <f t="shared" si="66"/>
        <v>9624.8714713369009</v>
      </c>
      <c r="F269" s="159">
        <f t="shared" si="66"/>
        <v>9443.0813196077888</v>
      </c>
      <c r="G269" s="159">
        <f t="shared" si="66"/>
        <v>9591.8783825035516</v>
      </c>
      <c r="H269" s="159">
        <f t="shared" si="66"/>
        <v>9176.2592967811161</v>
      </c>
      <c r="I269" s="159">
        <f t="shared" si="66"/>
        <v>9219.2586174275275</v>
      </c>
      <c r="J269" s="159">
        <f t="shared" si="65"/>
        <v>56676.205312595994</v>
      </c>
      <c r="K269" s="69"/>
      <c r="L269" s="319"/>
    </row>
    <row r="270" spans="2:12" s="37" customFormat="1" ht="15.75">
      <c r="B270" s="48"/>
      <c r="C270" s="160" t="s">
        <v>304</v>
      </c>
      <c r="D270" s="156">
        <f>$J$18*F801ENE!D66*$L270</f>
        <v>6799.0591913522949</v>
      </c>
      <c r="E270" s="156">
        <f>$J$18*F801ENE!E66*$L270</f>
        <v>6801.896780710973</v>
      </c>
      <c r="F270" s="156">
        <f>$J$18*F801ENE!F66*$L270</f>
        <v>6673.4250136126002</v>
      </c>
      <c r="G270" s="156">
        <f>$J$18*F801ENE!G66*$L270</f>
        <v>6778.5804438019741</v>
      </c>
      <c r="H270" s="156">
        <f>$J$18*F801ENE!H66*$L270</f>
        <v>6484.8609112822114</v>
      </c>
      <c r="I270" s="156">
        <f>$J$18*F801ENE!I66*$L270</f>
        <v>6515.2486889199472</v>
      </c>
      <c r="J270" s="156">
        <f t="shared" si="65"/>
        <v>40053.071029680003</v>
      </c>
      <c r="K270" s="69"/>
      <c r="L270" s="319">
        <v>1</v>
      </c>
    </row>
    <row r="271" spans="2:12" s="37" customFormat="1" ht="15.75">
      <c r="B271" s="48"/>
      <c r="C271" s="162" t="s">
        <v>644</v>
      </c>
      <c r="D271" s="156">
        <f>$J$18*F801ENE!D67*$L271</f>
        <v>2821.196179885224</v>
      </c>
      <c r="E271" s="156">
        <f>$J$18*F801ENE!E67*$L271</f>
        <v>2822.3735861622881</v>
      </c>
      <c r="F271" s="156">
        <f>$J$18*F801ENE!F67*$L271</f>
        <v>2769.0665547750264</v>
      </c>
      <c r="G271" s="156">
        <f>$J$18*F801ENE!G67*$L271</f>
        <v>2812.6988947377336</v>
      </c>
      <c r="H271" s="156">
        <f>$J$18*F801ENE!H67*$L271</f>
        <v>2690.8252979723547</v>
      </c>
      <c r="I271" s="156">
        <f>$J$18*F801ENE!I67*$L271</f>
        <v>2703.4341555673741</v>
      </c>
      <c r="J271" s="156">
        <f t="shared" si="65"/>
        <v>16619.594669100003</v>
      </c>
      <c r="K271" s="69"/>
      <c r="L271" s="319">
        <v>0.75</v>
      </c>
    </row>
    <row r="272" spans="2:12" s="37" customFormat="1" ht="15.75">
      <c r="B272" s="48"/>
      <c r="C272" s="160" t="s">
        <v>305</v>
      </c>
      <c r="D272" s="156">
        <f>$J$18*F801ENE!D68*$L272</f>
        <v>0.57983898482268914</v>
      </c>
      <c r="E272" s="156">
        <f>$J$18*F801ENE!E68*$L272</f>
        <v>0.5800809765229773</v>
      </c>
      <c r="F272" s="156">
        <f>$J$18*F801ENE!F68*$L272</f>
        <v>0.56912481006284865</v>
      </c>
      <c r="G272" s="156">
        <f>$J$18*F801ENE!G68*$L272</f>
        <v>0.57809254222192319</v>
      </c>
      <c r="H272" s="156">
        <f>$J$18*F801ENE!H68*$L272</f>
        <v>0.55304392521011281</v>
      </c>
      <c r="I272" s="156">
        <f>$J$18*F801ENE!I68*$L272</f>
        <v>0.55563541715944897</v>
      </c>
      <c r="J272" s="156">
        <f t="shared" si="65"/>
        <v>3.4158166560000001</v>
      </c>
      <c r="K272" s="69"/>
      <c r="L272" s="319">
        <v>0.95</v>
      </c>
    </row>
    <row r="273" spans="2:28" s="37" customFormat="1" ht="15.75">
      <c r="B273" s="48"/>
      <c r="C273" s="160" t="s">
        <v>307</v>
      </c>
      <c r="D273" s="156">
        <f>$J$18*F801ENE!D69*$L273</f>
        <v>2.1014716774169866E-2</v>
      </c>
      <c r="E273" s="156">
        <f>$J$18*F801ENE!E69*$L273</f>
        <v>2.1023487117621007E-2</v>
      </c>
      <c r="F273" s="156">
        <f>$J$18*F801ENE!F69*$L273</f>
        <v>2.0626410099488696E-2</v>
      </c>
      <c r="G273" s="156">
        <f>$J$18*F801ENE!G69*$L273</f>
        <v>2.0951421622277547E-2</v>
      </c>
      <c r="H273" s="156">
        <f>$J$18*F801ENE!H69*$L273</f>
        <v>2.0043601337912203E-2</v>
      </c>
      <c r="I273" s="156">
        <f>$J$18*F801ENE!I69*$L273</f>
        <v>2.0137523048530694E-2</v>
      </c>
      <c r="J273" s="156">
        <f t="shared" si="65"/>
        <v>0.12379716000000002</v>
      </c>
      <c r="K273" s="69"/>
      <c r="L273" s="319">
        <v>0.5</v>
      </c>
    </row>
    <row r="274" spans="2:28" s="37" customFormat="1" ht="15.75">
      <c r="B274" s="48"/>
      <c r="C274" s="160" t="s">
        <v>624</v>
      </c>
      <c r="D274" s="156">
        <f>$J$18*F801ENE!D70*$L274</f>
        <v>0</v>
      </c>
      <c r="E274" s="156">
        <f>$J$18*F801ENE!E70*$L274</f>
        <v>0</v>
      </c>
      <c r="F274" s="156">
        <f>$J$18*F801ENE!F70*$L274</f>
        <v>0</v>
      </c>
      <c r="G274" s="156">
        <f>$J$18*F801ENE!G70*$L274</f>
        <v>0</v>
      </c>
      <c r="H274" s="156">
        <f>$J$18*F801ENE!H70*$L274</f>
        <v>0</v>
      </c>
      <c r="I274" s="156">
        <f>$J$18*F801ENE!I70*$L274</f>
        <v>0</v>
      </c>
      <c r="J274" s="156">
        <f t="shared" si="65"/>
        <v>0</v>
      </c>
      <c r="K274" s="69"/>
      <c r="L274" s="319">
        <v>0</v>
      </c>
    </row>
    <row r="275" spans="2:28" s="37" customFormat="1" ht="15.75">
      <c r="B275" s="48" t="s">
        <v>750</v>
      </c>
      <c r="C275" s="158" t="s">
        <v>635</v>
      </c>
      <c r="D275" s="159">
        <f t="shared" ref="D275:I275" si="67">SUM(D276:D281)</f>
        <v>3619.5740888261012</v>
      </c>
      <c r="E275" s="159">
        <f t="shared" si="67"/>
        <v>3621.0846924781508</v>
      </c>
      <c r="F275" s="159">
        <f t="shared" si="67"/>
        <v>3552.6921606374817</v>
      </c>
      <c r="G275" s="159">
        <f t="shared" si="67"/>
        <v>3608.6721340579379</v>
      </c>
      <c r="H275" s="159">
        <f t="shared" si="67"/>
        <v>3452.3091997433339</v>
      </c>
      <c r="I275" s="159">
        <f t="shared" si="67"/>
        <v>3468.4862719249954</v>
      </c>
      <c r="J275" s="159">
        <f t="shared" si="65"/>
        <v>21322.818547667997</v>
      </c>
      <c r="K275" s="69"/>
      <c r="L275" s="319"/>
    </row>
    <row r="276" spans="2:28" s="37" customFormat="1" ht="15.75">
      <c r="B276" s="48"/>
      <c r="C276" s="160" t="s">
        <v>304</v>
      </c>
      <c r="D276" s="156">
        <f>$J$18*F801ENE!D72*$L276</f>
        <v>2604.3471618970952</v>
      </c>
      <c r="E276" s="156">
        <f>$J$18*F801ENE!E72*$L276</f>
        <v>2605.4340677698365</v>
      </c>
      <c r="F276" s="156">
        <f>$J$18*F801ENE!F72*$L276</f>
        <v>2556.2244392823122</v>
      </c>
      <c r="G276" s="156">
        <f>$J$18*F801ENE!G72*$L276</f>
        <v>2596.5030138667385</v>
      </c>
      <c r="H276" s="156">
        <f>$J$18*F801ENE!H72*$L276</f>
        <v>2483.9971349388088</v>
      </c>
      <c r="I276" s="156">
        <f>$J$18*F801ENE!I72*$L276</f>
        <v>2495.6368226452091</v>
      </c>
      <c r="J276" s="156">
        <f t="shared" si="65"/>
        <v>15342.142640399999</v>
      </c>
      <c r="K276" s="69"/>
      <c r="L276" s="319">
        <v>1</v>
      </c>
      <c r="W276" s="60"/>
      <c r="X276" s="60"/>
      <c r="Y276" s="60"/>
      <c r="Z276" s="60"/>
      <c r="AA276" s="60"/>
      <c r="AB276" s="60"/>
    </row>
    <row r="277" spans="2:28" s="37" customFormat="1" ht="15.75">
      <c r="B277" s="48"/>
      <c r="C277" s="162" t="s">
        <v>642</v>
      </c>
      <c r="D277" s="156">
        <f>$J$18*F801ENE!D73*$L277</f>
        <v>819.58828098362301</v>
      </c>
      <c r="E277" s="156">
        <f>$J$18*F801ENE!E73*$L277</f>
        <v>819.93033035740223</v>
      </c>
      <c r="F277" s="156">
        <f>$J$18*F801ENE!F73*$L277</f>
        <v>804.44405594283694</v>
      </c>
      <c r="G277" s="156">
        <f>$J$18*F801ENE!G73*$L277</f>
        <v>817.11972690832908</v>
      </c>
      <c r="H277" s="156">
        <f>$J$18*F801ENE!H73*$L277</f>
        <v>781.71411691126332</v>
      </c>
      <c r="I277" s="156">
        <f>$J$18*F801ENE!I73*$L277</f>
        <v>785.37712765654578</v>
      </c>
      <c r="J277" s="156">
        <f t="shared" si="65"/>
        <v>4828.1736387600004</v>
      </c>
      <c r="K277" s="69"/>
      <c r="L277" s="319">
        <v>0.75</v>
      </c>
      <c r="W277" s="60"/>
      <c r="X277" s="60"/>
      <c r="Y277" s="60"/>
      <c r="Z277" s="60"/>
      <c r="AA277" s="60"/>
      <c r="AB277" s="60"/>
    </row>
    <row r="278" spans="2:28" s="37" customFormat="1" ht="15.75">
      <c r="B278" s="48"/>
      <c r="C278" s="162" t="s">
        <v>1177</v>
      </c>
      <c r="D278" s="156">
        <f>$J$18*F801ENE!D74*$L278</f>
        <v>195.03814022492384</v>
      </c>
      <c r="E278" s="156">
        <f>$J$18*F801ENE!E74*$L278</f>
        <v>195.11953801363671</v>
      </c>
      <c r="F278" s="156">
        <f>$J$18*F801ENE!F74*$L278</f>
        <v>191.43425574336715</v>
      </c>
      <c r="G278" s="156">
        <f>$J$18*F801ENE!G74*$L278</f>
        <v>194.45069625206452</v>
      </c>
      <c r="H278" s="156">
        <f>$J$18*F801ENE!H74*$L278</f>
        <v>186.02519226722328</v>
      </c>
      <c r="I278" s="156">
        <f>$J$18*F801ENE!I74*$L278</f>
        <v>186.8968821387846</v>
      </c>
      <c r="J278" s="156">
        <f t="shared" si="65"/>
        <v>1148.96470464</v>
      </c>
      <c r="K278" s="69"/>
      <c r="L278" s="319">
        <v>1</v>
      </c>
      <c r="W278" s="60"/>
      <c r="X278" s="60"/>
      <c r="Y278" s="60"/>
      <c r="Z278" s="60"/>
      <c r="AA278" s="60"/>
      <c r="AB278" s="60"/>
    </row>
    <row r="279" spans="2:28" s="37" customFormat="1" ht="15.75">
      <c r="B279" s="48"/>
      <c r="C279" s="160" t="s">
        <v>305</v>
      </c>
      <c r="D279" s="156">
        <f>$J$18*F801ENE!D75*$L279</f>
        <v>0.57255228069209319</v>
      </c>
      <c r="E279" s="156">
        <f>$J$18*F801ENE!E75*$L279</f>
        <v>0.57279123133793641</v>
      </c>
      <c r="F279" s="156">
        <f>$J$18*F801ENE!F75*$L279</f>
        <v>0.56197274852014689</v>
      </c>
      <c r="G279" s="156">
        <f>$J$18*F801ENE!G75*$L279</f>
        <v>0.57082778523673461</v>
      </c>
      <c r="H279" s="156">
        <f>$J$18*F801ENE!H75*$L279</f>
        <v>0.54609394847568904</v>
      </c>
      <c r="I279" s="156">
        <f>$J$18*F801ENE!I75*$L279</f>
        <v>0.54865287373740002</v>
      </c>
      <c r="J279" s="156">
        <f t="shared" si="65"/>
        <v>3.3728908679999998</v>
      </c>
      <c r="K279" s="69"/>
      <c r="L279" s="319">
        <v>0.95</v>
      </c>
      <c r="W279" s="60"/>
      <c r="X279" s="60"/>
      <c r="Y279" s="60"/>
      <c r="Z279" s="60"/>
      <c r="AA279" s="60"/>
      <c r="AB279" s="60"/>
    </row>
    <row r="280" spans="2:28" s="37" customFormat="1" ht="15.75">
      <c r="B280" s="48"/>
      <c r="C280" s="160" t="s">
        <v>307</v>
      </c>
      <c r="D280" s="156">
        <f>$J$18*F801ENE!D76*$L280</f>
        <v>2.7953439766735151E-2</v>
      </c>
      <c r="E280" s="156">
        <f>$J$18*F801ENE!E76*$L280</f>
        <v>2.7965105937163694E-2</v>
      </c>
      <c r="F280" s="156">
        <f>$J$18*F801ENE!F76*$L280</f>
        <v>2.7436920445615246E-2</v>
      </c>
      <c r="G280" s="156">
        <f>$J$18*F801ENE!G76*$L280</f>
        <v>2.7869245569165806E-2</v>
      </c>
      <c r="H280" s="156">
        <f>$J$18*F801ENE!H76*$L280</f>
        <v>2.6661677562861832E-2</v>
      </c>
      <c r="I280" s="156">
        <f>$J$18*F801ENE!I76*$L280</f>
        <v>2.6786610718458285E-2</v>
      </c>
      <c r="J280" s="156">
        <f t="shared" si="65"/>
        <v>0.16467300000000001</v>
      </c>
      <c r="K280" s="69"/>
      <c r="L280" s="319">
        <v>0.5</v>
      </c>
      <c r="W280" s="60"/>
      <c r="X280" s="60"/>
      <c r="Y280" s="60"/>
      <c r="Z280" s="60"/>
      <c r="AA280" s="60"/>
      <c r="AB280" s="60"/>
    </row>
    <row r="281" spans="2:28" s="37" customFormat="1" ht="15.75">
      <c r="B281" s="48"/>
      <c r="C281" s="160" t="s">
        <v>624</v>
      </c>
      <c r="D281" s="156">
        <f>$J$18*F801ENE!D77*$L281</f>
        <v>0</v>
      </c>
      <c r="E281" s="156">
        <f>$J$18*F801ENE!E77*$L281</f>
        <v>0</v>
      </c>
      <c r="F281" s="156">
        <f>$J$18*F801ENE!F77*$L281</f>
        <v>0</v>
      </c>
      <c r="G281" s="156">
        <f>$J$18*F801ENE!G77*$L281</f>
        <v>0</v>
      </c>
      <c r="H281" s="156">
        <f>$J$18*F801ENE!H77*$L281</f>
        <v>0</v>
      </c>
      <c r="I281" s="156">
        <f>$J$18*F801ENE!I77*$L281</f>
        <v>0</v>
      </c>
      <c r="J281" s="156">
        <f t="shared" si="65"/>
        <v>0</v>
      </c>
      <c r="K281" s="69"/>
      <c r="L281" s="319">
        <v>0</v>
      </c>
      <c r="W281" s="60"/>
      <c r="X281" s="60"/>
      <c r="Y281" s="60"/>
      <c r="Z281" s="60"/>
      <c r="AA281" s="60"/>
      <c r="AB281" s="60"/>
    </row>
    <row r="282" spans="2:28" s="37" customFormat="1" ht="15.75">
      <c r="B282" s="48" t="s">
        <v>749</v>
      </c>
      <c r="C282" s="158" t="s">
        <v>636</v>
      </c>
      <c r="D282" s="159">
        <f t="shared" ref="D282:I282" si="68">SUM(D283:D288)</f>
        <v>3580.3443349113168</v>
      </c>
      <c r="E282" s="159">
        <f t="shared" si="68"/>
        <v>3581.838566302963</v>
      </c>
      <c r="F282" s="159">
        <f t="shared" si="68"/>
        <v>3514.1872880263536</v>
      </c>
      <c r="G282" s="159">
        <f t="shared" si="68"/>
        <v>3569.5605379684262</v>
      </c>
      <c r="H282" s="159">
        <f t="shared" si="68"/>
        <v>3414.8923001247385</v>
      </c>
      <c r="I282" s="159">
        <f t="shared" si="68"/>
        <v>3430.8940415782049</v>
      </c>
      <c r="J282" s="159">
        <f t="shared" si="65"/>
        <v>21091.717068912003</v>
      </c>
      <c r="K282" s="69"/>
      <c r="L282" s="319"/>
      <c r="W282" s="60"/>
      <c r="X282" s="60"/>
      <c r="Y282" s="60"/>
      <c r="Z282" s="60"/>
      <c r="AA282" s="60"/>
      <c r="AB282" s="60"/>
    </row>
    <row r="283" spans="2:28" s="37" customFormat="1" ht="15.75">
      <c r="B283" s="48"/>
      <c r="C283" s="160" t="s">
        <v>304</v>
      </c>
      <c r="D283" s="156">
        <f>$J$18*F801ENE!D79*$L283</f>
        <v>3259.8360339411247</v>
      </c>
      <c r="E283" s="156">
        <f>$J$18*F801ENE!E79*$L283</f>
        <v>3261.1965034596674</v>
      </c>
      <c r="F283" s="156">
        <f>$J$18*F801ENE!F79*$L283</f>
        <v>3199.6012896926845</v>
      </c>
      <c r="G283" s="156">
        <f>$J$18*F801ENE!G79*$L283</f>
        <v>3250.0175900796321</v>
      </c>
      <c r="H283" s="156">
        <f>$J$18*F801ENE!H79*$L283</f>
        <v>3109.195074738655</v>
      </c>
      <c r="I283" s="156">
        <f>$J$18*F801ENE!I79*$L283</f>
        <v>3123.7643587282387</v>
      </c>
      <c r="J283" s="156">
        <f t="shared" si="65"/>
        <v>19203.610850640001</v>
      </c>
      <c r="K283" s="69"/>
      <c r="L283" s="319">
        <v>1</v>
      </c>
      <c r="W283" s="60"/>
      <c r="X283" s="60"/>
      <c r="Y283" s="60"/>
      <c r="Z283" s="60"/>
      <c r="AA283" s="60"/>
      <c r="AB283" s="60"/>
    </row>
    <row r="284" spans="2:28" s="37" customFormat="1" ht="15.75">
      <c r="B284" s="48"/>
      <c r="C284" s="162" t="s">
        <v>642</v>
      </c>
      <c r="D284" s="156">
        <f>$J$18*F801ENE!D80*$L284</f>
        <v>0</v>
      </c>
      <c r="E284" s="156">
        <f>$J$18*F801ENE!E80*$L284</f>
        <v>0</v>
      </c>
      <c r="F284" s="156">
        <f>$J$18*F801ENE!F80*$L284</f>
        <v>0</v>
      </c>
      <c r="G284" s="156">
        <f>$J$18*F801ENE!G80*$L284</f>
        <v>0</v>
      </c>
      <c r="H284" s="156">
        <f>$J$18*F801ENE!H80*$L284</f>
        <v>0</v>
      </c>
      <c r="I284" s="156">
        <f>$J$18*F801ENE!I80*$L284</f>
        <v>0</v>
      </c>
      <c r="J284" s="156">
        <f t="shared" si="65"/>
        <v>0</v>
      </c>
      <c r="K284" s="69"/>
      <c r="L284" s="319">
        <v>0.75</v>
      </c>
      <c r="W284" s="60"/>
      <c r="X284" s="60"/>
      <c r="Y284" s="60"/>
      <c r="Z284" s="60"/>
      <c r="AA284" s="60"/>
      <c r="AB284" s="60"/>
    </row>
    <row r="285" spans="2:28" s="37" customFormat="1" ht="15.75">
      <c r="B285" s="48"/>
      <c r="C285" s="162" t="s">
        <v>1177</v>
      </c>
      <c r="D285" s="156">
        <f>$J$18*F801ENE!D81*$L285</f>
        <v>318.23943051060269</v>
      </c>
      <c r="E285" s="156">
        <f>$J$18*F801ENE!E81*$L285</f>
        <v>318.37224548666291</v>
      </c>
      <c r="F285" s="156">
        <f>$J$18*F801ENE!F81*$L285</f>
        <v>312.35905171026155</v>
      </c>
      <c r="G285" s="156">
        <f>$J$18*F801ENE!G81*$L285</f>
        <v>317.28091114016553</v>
      </c>
      <c r="H285" s="156">
        <f>$J$18*F801ENE!H81*$L285</f>
        <v>303.53320216996866</v>
      </c>
      <c r="I285" s="156">
        <f>$J$18*F801ENE!I81*$L285</f>
        <v>304.95551930233893</v>
      </c>
      <c r="J285" s="156">
        <f t="shared" si="65"/>
        <v>1874.7403603200003</v>
      </c>
      <c r="K285" s="69"/>
      <c r="L285" s="319">
        <v>1</v>
      </c>
      <c r="W285" s="60"/>
      <c r="X285" s="60"/>
      <c r="Y285" s="60"/>
      <c r="Z285" s="60"/>
      <c r="AA285" s="60"/>
      <c r="AB285" s="60"/>
    </row>
    <row r="286" spans="2:28" s="37" customFormat="1" ht="15.75">
      <c r="B286" s="48"/>
      <c r="C286" s="160" t="s">
        <v>305</v>
      </c>
      <c r="D286" s="156">
        <f>$J$18*F801ENE!D82*$L286</f>
        <v>2.2594342143149011</v>
      </c>
      <c r="E286" s="156">
        <f>$J$18*F801ENE!E82*$L286</f>
        <v>2.2603771732078397</v>
      </c>
      <c r="F286" s="156">
        <f>$J$18*F801ENE!F82*$L286</f>
        <v>2.2176847396086856</v>
      </c>
      <c r="G286" s="156">
        <f>$J$18*F801ENE!G82*$L286</f>
        <v>2.2526289247969595</v>
      </c>
      <c r="H286" s="156">
        <f>$J$18*F801ENE!H82*$L286</f>
        <v>2.1550230311279419</v>
      </c>
      <c r="I286" s="156">
        <f>$J$18*F801ENE!I82*$L286</f>
        <v>2.165121188943671</v>
      </c>
      <c r="J286" s="156">
        <f t="shared" si="65"/>
        <v>13.310269271999998</v>
      </c>
      <c r="K286" s="69"/>
      <c r="L286" s="319">
        <v>0.95</v>
      </c>
      <c r="W286" s="60"/>
      <c r="X286" s="60"/>
      <c r="Y286" s="60"/>
      <c r="Z286" s="60"/>
      <c r="AA286" s="60"/>
      <c r="AB286" s="60"/>
    </row>
    <row r="287" spans="2:28" s="37" customFormat="1" ht="15.75">
      <c r="B287" s="48"/>
      <c r="C287" s="160" t="s">
        <v>307</v>
      </c>
      <c r="D287" s="156">
        <f>$J$18*F801ENE!D83*$L287</f>
        <v>9.4362452745277905E-3</v>
      </c>
      <c r="E287" s="156">
        <f>$J$18*F801ENE!E83*$L287</f>
        <v>9.4401834247696513E-3</v>
      </c>
      <c r="F287" s="156">
        <f>$J$18*F801ENE!F83*$L287</f>
        <v>9.26188379902451E-3</v>
      </c>
      <c r="G287" s="156">
        <f>$J$18*F801ENE!G83*$L287</f>
        <v>9.4078238313856904E-3</v>
      </c>
      <c r="H287" s="156">
        <f>$J$18*F801ENE!H83*$L287</f>
        <v>9.0001849866408346E-3</v>
      </c>
      <c r="I287" s="156">
        <f>$J$18*F801ENE!I83*$L287</f>
        <v>9.0423586836515246E-3</v>
      </c>
      <c r="J287" s="156">
        <f t="shared" si="65"/>
        <v>5.5588680000000001E-2</v>
      </c>
      <c r="K287" s="69"/>
      <c r="L287" s="319">
        <v>0.5</v>
      </c>
      <c r="W287" s="60"/>
      <c r="X287" s="60"/>
      <c r="Y287" s="60"/>
      <c r="Z287" s="60"/>
      <c r="AA287" s="60"/>
      <c r="AB287" s="60"/>
    </row>
    <row r="288" spans="2:28" s="37" customFormat="1" ht="15.75">
      <c r="B288" s="48"/>
      <c r="C288" s="160" t="s">
        <v>624</v>
      </c>
      <c r="D288" s="156">
        <f>$J$18*F801ENE!D84*$L288</f>
        <v>0</v>
      </c>
      <c r="E288" s="156">
        <f>$J$18*F801ENE!E84*$L288</f>
        <v>0</v>
      </c>
      <c r="F288" s="156">
        <f>$J$18*F801ENE!F84*$L288</f>
        <v>0</v>
      </c>
      <c r="G288" s="156">
        <f>$J$18*F801ENE!G84*$L288</f>
        <v>0</v>
      </c>
      <c r="H288" s="156">
        <f>$J$18*F801ENE!H84*$L288</f>
        <v>0</v>
      </c>
      <c r="I288" s="156">
        <f>$J$18*F801ENE!I84*$L288</f>
        <v>0</v>
      </c>
      <c r="J288" s="156">
        <f t="shared" si="65"/>
        <v>0</v>
      </c>
      <c r="K288" s="69"/>
      <c r="L288" s="319">
        <v>0</v>
      </c>
    </row>
    <row r="289" spans="2:12" s="37" customFormat="1" ht="15.75">
      <c r="B289" s="48"/>
      <c r="C289" s="157"/>
      <c r="D289" s="156"/>
      <c r="E289" s="156"/>
      <c r="F289" s="156"/>
      <c r="G289" s="156"/>
      <c r="H289" s="156"/>
      <c r="I289" s="156"/>
      <c r="J289" s="156"/>
      <c r="K289" s="69"/>
      <c r="L289" s="319"/>
    </row>
    <row r="290" spans="2:12" s="37" customFormat="1" ht="15.75">
      <c r="B290" s="48" t="s">
        <v>902</v>
      </c>
      <c r="C290" s="158" t="s">
        <v>898</v>
      </c>
      <c r="D290" s="159">
        <f t="shared" ref="D290:I290" si="69">SUM(D291:D295)</f>
        <v>1650.2792502472321</v>
      </c>
      <c r="E290" s="159">
        <f t="shared" si="69"/>
        <v>1650.9679826232375</v>
      </c>
      <c r="F290" s="159">
        <f t="shared" si="69"/>
        <v>1619.785646414965</v>
      </c>
      <c r="G290" s="159">
        <f t="shared" si="69"/>
        <v>1645.3087014203486</v>
      </c>
      <c r="H290" s="159">
        <f t="shared" si="69"/>
        <v>1574.0178534712045</v>
      </c>
      <c r="I290" s="159">
        <f t="shared" si="69"/>
        <v>1581.393496543013</v>
      </c>
      <c r="J290" s="159">
        <f t="shared" ref="J290:J309" si="70">SUM(D290:I290)</f>
        <v>9721.7529307200002</v>
      </c>
      <c r="K290" s="69"/>
      <c r="L290" s="319"/>
    </row>
    <row r="291" spans="2:12" s="37" customFormat="1" ht="15.75">
      <c r="B291" s="48"/>
      <c r="C291" s="160" t="s">
        <v>304</v>
      </c>
      <c r="D291" s="156">
        <f>$J$17*F801ENE!D87*$L291</f>
        <v>1587.2581105693455</v>
      </c>
      <c r="E291" s="156">
        <f>$J$17*F801ENE!E87*$L291</f>
        <v>1587.9205415183274</v>
      </c>
      <c r="F291" s="156">
        <f>$J$17*F801ENE!F87*$L291</f>
        <v>1557.9290015740021</v>
      </c>
      <c r="G291" s="156">
        <f>$J$17*F801ENE!G87*$L291</f>
        <v>1582.4773778913639</v>
      </c>
      <c r="H291" s="156">
        <f>$J$17*F801ENE!H87*$L291</f>
        <v>1513.9089967524187</v>
      </c>
      <c r="I291" s="156">
        <f>$J$17*F801ENE!I87*$L291</f>
        <v>1521.0029775345431</v>
      </c>
      <c r="J291" s="156">
        <f t="shared" si="70"/>
        <v>9350.4970058400013</v>
      </c>
      <c r="K291" s="69"/>
      <c r="L291" s="319">
        <v>1</v>
      </c>
    </row>
    <row r="292" spans="2:12" s="37" customFormat="1" ht="15.75">
      <c r="B292" s="48"/>
      <c r="C292" s="162" t="s">
        <v>644</v>
      </c>
      <c r="D292" s="156">
        <f>$J$17*F801ENE!D88*$L292</f>
        <v>63.021139677886659</v>
      </c>
      <c r="E292" s="156">
        <f>$J$17*F801ENE!E88*$L292</f>
        <v>63.047441104910256</v>
      </c>
      <c r="F292" s="156">
        <f>$J$17*F801ENE!F88*$L292</f>
        <v>61.856644840962815</v>
      </c>
      <c r="G292" s="156">
        <f>$J$17*F801ENE!G88*$L292</f>
        <v>62.831323528984676</v>
      </c>
      <c r="H292" s="156">
        <f>$J$17*F801ENE!H88*$L292</f>
        <v>60.108856718785795</v>
      </c>
      <c r="I292" s="156">
        <f>$J$17*F801ENE!I88*$L292</f>
        <v>60.390519008469823</v>
      </c>
      <c r="J292" s="156">
        <f t="shared" si="70"/>
        <v>371.25592488000001</v>
      </c>
      <c r="K292" s="69"/>
      <c r="L292" s="319">
        <v>0.75</v>
      </c>
    </row>
    <row r="293" spans="2:12" s="37" customFormat="1" ht="15.75">
      <c r="B293" s="48"/>
      <c r="C293" s="160" t="s">
        <v>305</v>
      </c>
      <c r="D293" s="156">
        <f>$J$17*F801ENE!D89*$L293</f>
        <v>0</v>
      </c>
      <c r="E293" s="156">
        <f>$J$17*F801ENE!E89*$L293</f>
        <v>0</v>
      </c>
      <c r="F293" s="156">
        <f>$J$17*F801ENE!F89*$L293</f>
        <v>0</v>
      </c>
      <c r="G293" s="156">
        <f>$J$17*F801ENE!G89*$L293</f>
        <v>0</v>
      </c>
      <c r="H293" s="156">
        <f>$J$17*F801ENE!H89*$L293</f>
        <v>0</v>
      </c>
      <c r="I293" s="156">
        <f>$J$17*F801ENE!I89*$L293</f>
        <v>0</v>
      </c>
      <c r="J293" s="156">
        <f t="shared" si="70"/>
        <v>0</v>
      </c>
      <c r="K293" s="69"/>
      <c r="L293" s="319">
        <v>0.95</v>
      </c>
    </row>
    <row r="294" spans="2:12" s="37" customFormat="1" ht="15.75">
      <c r="B294" s="48"/>
      <c r="C294" s="160" t="s">
        <v>307</v>
      </c>
      <c r="D294" s="156">
        <f>$J$17*F801ENE!D90*$L294</f>
        <v>0</v>
      </c>
      <c r="E294" s="156">
        <f>$J$17*F801ENE!E90*$L294</f>
        <v>0</v>
      </c>
      <c r="F294" s="156">
        <f>$J$17*F801ENE!F90*$L294</f>
        <v>0</v>
      </c>
      <c r="G294" s="156">
        <f>$J$17*F801ENE!G90*$L294</f>
        <v>0</v>
      </c>
      <c r="H294" s="156">
        <f>$J$17*F801ENE!H90*$L294</f>
        <v>0</v>
      </c>
      <c r="I294" s="156">
        <f>$J$17*F801ENE!I90*$L294</f>
        <v>0</v>
      </c>
      <c r="J294" s="156">
        <f t="shared" si="70"/>
        <v>0</v>
      </c>
      <c r="K294" s="69"/>
      <c r="L294" s="319">
        <v>0.5</v>
      </c>
    </row>
    <row r="295" spans="2:12" s="37" customFormat="1" ht="15.75">
      <c r="B295" s="48"/>
      <c r="C295" s="160" t="s">
        <v>624</v>
      </c>
      <c r="D295" s="156">
        <f>$J$17*F801ENE!D91*$L295</f>
        <v>0</v>
      </c>
      <c r="E295" s="156">
        <f>$J$17*F801ENE!E91*$L295</f>
        <v>0</v>
      </c>
      <c r="F295" s="156">
        <f>$J$17*F801ENE!F91*$L295</f>
        <v>0</v>
      </c>
      <c r="G295" s="156">
        <f>$J$17*F801ENE!G91*$L295</f>
        <v>0</v>
      </c>
      <c r="H295" s="156">
        <f>$J$17*F801ENE!H91*$L295</f>
        <v>0</v>
      </c>
      <c r="I295" s="156">
        <f>$J$17*F801ENE!I91*$L295</f>
        <v>0</v>
      </c>
      <c r="J295" s="156">
        <f t="shared" si="70"/>
        <v>0</v>
      </c>
      <c r="K295" s="69"/>
      <c r="L295" s="319">
        <v>0</v>
      </c>
    </row>
    <row r="296" spans="2:12" s="37" customFormat="1" ht="15.75">
      <c r="B296" s="48" t="s">
        <v>902</v>
      </c>
      <c r="C296" s="158" t="s">
        <v>899</v>
      </c>
      <c r="D296" s="159">
        <f t="shared" ref="D296:I296" si="71">SUM(D297:D302)</f>
        <v>130.61849779292044</v>
      </c>
      <c r="E296" s="159">
        <f t="shared" si="71"/>
        <v>130.67301049937404</v>
      </c>
      <c r="F296" s="159">
        <f t="shared" si="71"/>
        <v>128.2049494651047</v>
      </c>
      <c r="G296" s="159">
        <f t="shared" si="71"/>
        <v>130.22508218106165</v>
      </c>
      <c r="H296" s="159">
        <f t="shared" si="71"/>
        <v>124.58245929520417</v>
      </c>
      <c r="I296" s="159">
        <f t="shared" si="71"/>
        <v>125.16623650633501</v>
      </c>
      <c r="J296" s="159">
        <f t="shared" si="70"/>
        <v>769.47023574000013</v>
      </c>
      <c r="K296" s="69"/>
      <c r="L296" s="319"/>
    </row>
    <row r="297" spans="2:12" s="37" customFormat="1" ht="15.75">
      <c r="B297" s="48"/>
      <c r="C297" s="160" t="s">
        <v>304</v>
      </c>
      <c r="D297" s="156">
        <f>$J$17*F801ENE!D93*$L297</f>
        <v>118.6500731960614</v>
      </c>
      <c r="E297" s="156">
        <f>$J$17*F801ENE!E93*$L297</f>
        <v>118.69959096513794</v>
      </c>
      <c r="F297" s="156">
        <f>$J$17*F801ENE!F93*$L297</f>
        <v>116.45767556022602</v>
      </c>
      <c r="G297" s="156">
        <f>$J$17*F801ENE!G93*$L297</f>
        <v>118.29270580987753</v>
      </c>
      <c r="H297" s="156">
        <f>$J$17*F801ENE!H93*$L297</f>
        <v>113.16711005018533</v>
      </c>
      <c r="I297" s="156">
        <f>$J$17*F801ENE!I93*$L297</f>
        <v>113.69739641851179</v>
      </c>
      <c r="J297" s="156">
        <f t="shared" si="70"/>
        <v>698.96455199999991</v>
      </c>
      <c r="K297" s="69"/>
      <c r="L297" s="319">
        <v>1</v>
      </c>
    </row>
    <row r="298" spans="2:12" s="37" customFormat="1" ht="15.75">
      <c r="B298" s="48"/>
      <c r="C298" s="162" t="s">
        <v>642</v>
      </c>
      <c r="D298" s="156">
        <f>$J$17*F801ENE!D94*$L298</f>
        <v>10.853045775572216</v>
      </c>
      <c r="E298" s="156">
        <f>$J$17*F801ENE!E94*$L298</f>
        <v>10.857575217485024</v>
      </c>
      <c r="F298" s="156">
        <f>$J$17*F801ENE!F94*$L298</f>
        <v>10.652504880324226</v>
      </c>
      <c r="G298" s="156">
        <f>$J$17*F801ENE!G94*$L298</f>
        <v>10.820357008540938</v>
      </c>
      <c r="H298" s="156">
        <f>$J$17*F801ENE!H94*$L298</f>
        <v>10.351513425822738</v>
      </c>
      <c r="I298" s="156">
        <f>$J$17*F801ENE!I94*$L298</f>
        <v>10.400019272254866</v>
      </c>
      <c r="J298" s="156">
        <f t="shared" si="70"/>
        <v>63.935015580000005</v>
      </c>
      <c r="K298" s="69"/>
      <c r="L298" s="319">
        <v>0.75</v>
      </c>
    </row>
    <row r="299" spans="2:12" s="37" customFormat="1" ht="15.75">
      <c r="B299" s="48"/>
      <c r="C299" s="162" t="s">
        <v>1177</v>
      </c>
      <c r="D299" s="156">
        <f>$J$17*F801ENE!D95*$L299</f>
        <v>1.1153788212868199</v>
      </c>
      <c r="E299" s="156">
        <f>$J$17*F801ENE!E95*$L299</f>
        <v>1.115844316751067</v>
      </c>
      <c r="F299" s="156">
        <f>$J$17*F801ENE!F95*$L299</f>
        <v>1.094769024554463</v>
      </c>
      <c r="G299" s="156">
        <f>$J$17*F801ENE!G95*$L299</f>
        <v>1.1120193626431705</v>
      </c>
      <c r="H299" s="156">
        <f>$J$17*F801ENE!H95*$L299</f>
        <v>1.0638358191961197</v>
      </c>
      <c r="I299" s="156">
        <f>$J$17*F801ENE!I95*$L299</f>
        <v>1.0688208155683601</v>
      </c>
      <c r="J299" s="156">
        <f t="shared" si="70"/>
        <v>6.5706681600000003</v>
      </c>
      <c r="K299" s="69"/>
      <c r="L299" s="319">
        <v>1</v>
      </c>
    </row>
    <row r="300" spans="2:12" s="37" customFormat="1" ht="15.75">
      <c r="B300" s="48"/>
      <c r="C300" s="160" t="s">
        <v>305</v>
      </c>
      <c r="D300" s="156">
        <f>$J$17*F801ENE!D96*$L300</f>
        <v>0</v>
      </c>
      <c r="E300" s="156">
        <f>$J$17*F801ENE!E96*$L300</f>
        <v>0</v>
      </c>
      <c r="F300" s="156">
        <f>$J$17*F801ENE!F96*$L300</f>
        <v>0</v>
      </c>
      <c r="G300" s="156">
        <f>$J$17*F801ENE!G96*$L300</f>
        <v>0</v>
      </c>
      <c r="H300" s="156">
        <f>$J$17*F801ENE!H96*$L300</f>
        <v>0</v>
      </c>
      <c r="I300" s="156">
        <f>$J$17*F801ENE!I96*$L300</f>
        <v>0</v>
      </c>
      <c r="J300" s="156">
        <f t="shared" si="70"/>
        <v>0</v>
      </c>
      <c r="K300" s="69"/>
      <c r="L300" s="319">
        <v>0.95</v>
      </c>
    </row>
    <row r="301" spans="2:12" s="37" customFormat="1" ht="15.75">
      <c r="B301" s="48"/>
      <c r="C301" s="160" t="s">
        <v>307</v>
      </c>
      <c r="D301" s="156">
        <f>$J$17*F801ENE!D97*$L301</f>
        <v>0</v>
      </c>
      <c r="E301" s="156">
        <f>$J$17*F801ENE!E97*$L301</f>
        <v>0</v>
      </c>
      <c r="F301" s="156">
        <f>$J$17*F801ENE!F97*$L301</f>
        <v>0</v>
      </c>
      <c r="G301" s="156">
        <f>$J$17*F801ENE!G97*$L301</f>
        <v>0</v>
      </c>
      <c r="H301" s="156">
        <f>$J$17*F801ENE!H97*$L301</f>
        <v>0</v>
      </c>
      <c r="I301" s="156">
        <f>$J$17*F801ENE!I97*$L301</f>
        <v>0</v>
      </c>
      <c r="J301" s="156">
        <f t="shared" si="70"/>
        <v>0</v>
      </c>
      <c r="K301" s="69"/>
      <c r="L301" s="319">
        <v>0.5</v>
      </c>
    </row>
    <row r="302" spans="2:12" s="37" customFormat="1" ht="15.75">
      <c r="B302" s="48"/>
      <c r="C302" s="160" t="s">
        <v>624</v>
      </c>
      <c r="D302" s="156">
        <f>$J$17*F801ENE!D98*$L302</f>
        <v>0</v>
      </c>
      <c r="E302" s="156">
        <f>$J$17*F801ENE!E98*$L302</f>
        <v>0</v>
      </c>
      <c r="F302" s="156">
        <f>$J$17*F801ENE!F98*$L302</f>
        <v>0</v>
      </c>
      <c r="G302" s="156">
        <f>$J$17*F801ENE!G98*$L302</f>
        <v>0</v>
      </c>
      <c r="H302" s="156">
        <f>$J$17*F801ENE!H98*$L302</f>
        <v>0</v>
      </c>
      <c r="I302" s="156">
        <f>$J$17*F801ENE!I98*$L302</f>
        <v>0</v>
      </c>
      <c r="J302" s="156">
        <f t="shared" si="70"/>
        <v>0</v>
      </c>
      <c r="K302" s="69"/>
      <c r="L302" s="319">
        <v>0</v>
      </c>
    </row>
    <row r="303" spans="2:12" s="37" customFormat="1" ht="15.75">
      <c r="B303" s="48" t="s">
        <v>902</v>
      </c>
      <c r="C303" s="158" t="s">
        <v>900</v>
      </c>
      <c r="D303" s="159">
        <f t="shared" ref="D303:I303" si="72">SUM(D304:D309)</f>
        <v>14.444461917266249</v>
      </c>
      <c r="E303" s="159">
        <f t="shared" si="72"/>
        <v>14.450490211310976</v>
      </c>
      <c r="F303" s="159">
        <f t="shared" si="72"/>
        <v>14.177559392006113</v>
      </c>
      <c r="G303" s="159">
        <f t="shared" si="72"/>
        <v>14.400956005629128</v>
      </c>
      <c r="H303" s="159">
        <f t="shared" si="72"/>
        <v>13.77696589117016</v>
      </c>
      <c r="I303" s="159">
        <f t="shared" si="72"/>
        <v>13.841522962617386</v>
      </c>
      <c r="J303" s="159">
        <f t="shared" si="70"/>
        <v>85.091956380000013</v>
      </c>
      <c r="K303" s="69"/>
      <c r="L303" s="319"/>
    </row>
    <row r="304" spans="2:12" s="37" customFormat="1" ht="15.75">
      <c r="B304" s="48"/>
      <c r="C304" s="160" t="s">
        <v>304</v>
      </c>
      <c r="D304" s="156">
        <f>$J$17*F801ENE!D100*$L304</f>
        <v>14.032856660349596</v>
      </c>
      <c r="E304" s="156">
        <f>$J$17*F801ENE!E100*$L304</f>
        <v>14.0387131738508</v>
      </c>
      <c r="F304" s="156">
        <f>$J$17*F801ENE!F100*$L304</f>
        <v>13.773559713138033</v>
      </c>
      <c r="G304" s="156">
        <f>$J$17*F801ENE!G100*$L304</f>
        <v>13.990590480731525</v>
      </c>
      <c r="H304" s="156">
        <f>$J$17*F801ENE!H100*$L304</f>
        <v>13.384381410166503</v>
      </c>
      <c r="I304" s="156">
        <f>$J$17*F801ENE!I100*$L304</f>
        <v>13.447098881763557</v>
      </c>
      <c r="J304" s="156">
        <f t="shared" si="70"/>
        <v>82.667200320000006</v>
      </c>
      <c r="K304" s="69"/>
      <c r="L304" s="319">
        <v>1</v>
      </c>
    </row>
    <row r="305" spans="2:12" s="37" customFormat="1" ht="15.75">
      <c r="B305" s="48"/>
      <c r="C305" s="162" t="s">
        <v>642</v>
      </c>
      <c r="D305" s="156">
        <f>$J$17*F801ENE!D101*$L305</f>
        <v>0.41160525691665328</v>
      </c>
      <c r="E305" s="156">
        <f>$J$17*F801ENE!E101*$L305</f>
        <v>0.41177703746017652</v>
      </c>
      <c r="F305" s="156">
        <f>$J$17*F801ENE!F101*$L305</f>
        <v>0.40399967886808075</v>
      </c>
      <c r="G305" s="156">
        <f>$J$17*F801ENE!G101*$L305</f>
        <v>0.41036552489760275</v>
      </c>
      <c r="H305" s="156">
        <f>$J$17*F801ENE!H101*$L305</f>
        <v>0.39258448100365723</v>
      </c>
      <c r="I305" s="156">
        <f>$J$17*F801ENE!I101*$L305</f>
        <v>0.39442408085382952</v>
      </c>
      <c r="J305" s="156">
        <f t="shared" si="70"/>
        <v>2.42475606</v>
      </c>
      <c r="K305" s="69"/>
      <c r="L305" s="319">
        <v>0.75</v>
      </c>
    </row>
    <row r="306" spans="2:12" s="37" customFormat="1" ht="15.75">
      <c r="B306" s="48"/>
      <c r="C306" s="162" t="s">
        <v>1177</v>
      </c>
      <c r="D306" s="156">
        <f>$J$17*F801ENE!D102*$L306</f>
        <v>0</v>
      </c>
      <c r="E306" s="156">
        <f>$J$17*F801ENE!E102*$L306</f>
        <v>0</v>
      </c>
      <c r="F306" s="156">
        <f>$J$17*F801ENE!F102*$L306</f>
        <v>0</v>
      </c>
      <c r="G306" s="156">
        <f>$J$17*F801ENE!G102*$L306</f>
        <v>0</v>
      </c>
      <c r="H306" s="156">
        <f>$J$17*F801ENE!H102*$L306</f>
        <v>0</v>
      </c>
      <c r="I306" s="156">
        <f>$J$17*F801ENE!I102*$L306</f>
        <v>0</v>
      </c>
      <c r="J306" s="156">
        <f t="shared" si="70"/>
        <v>0</v>
      </c>
      <c r="K306" s="69"/>
      <c r="L306" s="319">
        <v>1</v>
      </c>
    </row>
    <row r="307" spans="2:12" s="37" customFormat="1" ht="15.75">
      <c r="B307" s="48"/>
      <c r="C307" s="160" t="s">
        <v>305</v>
      </c>
      <c r="D307" s="156">
        <f>$J$17*F801ENE!D103*$L307</f>
        <v>0</v>
      </c>
      <c r="E307" s="156">
        <f>$J$17*F801ENE!E103*$L307</f>
        <v>0</v>
      </c>
      <c r="F307" s="156">
        <f>$J$17*F801ENE!F103*$L307</f>
        <v>0</v>
      </c>
      <c r="G307" s="156">
        <f>$J$17*F801ENE!G103*$L307</f>
        <v>0</v>
      </c>
      <c r="H307" s="156">
        <f>$J$17*F801ENE!H103*$L307</f>
        <v>0</v>
      </c>
      <c r="I307" s="156">
        <f>$J$17*F801ENE!I103*$L307</f>
        <v>0</v>
      </c>
      <c r="J307" s="156">
        <f t="shared" si="70"/>
        <v>0</v>
      </c>
      <c r="K307" s="69"/>
      <c r="L307" s="319">
        <v>0.95</v>
      </c>
    </row>
    <row r="308" spans="2:12" s="37" customFormat="1" ht="15.75">
      <c r="B308" s="48"/>
      <c r="C308" s="160" t="s">
        <v>307</v>
      </c>
      <c r="D308" s="156">
        <f>$J$17*F801ENE!D104*$L308</f>
        <v>0</v>
      </c>
      <c r="E308" s="156">
        <f>$J$17*F801ENE!E104*$L308</f>
        <v>0</v>
      </c>
      <c r="F308" s="156">
        <f>$J$17*F801ENE!F104*$L308</f>
        <v>0</v>
      </c>
      <c r="G308" s="156">
        <f>$J$17*F801ENE!G104*$L308</f>
        <v>0</v>
      </c>
      <c r="H308" s="156">
        <f>$J$17*F801ENE!H104*$L308</f>
        <v>0</v>
      </c>
      <c r="I308" s="156">
        <f>$J$17*F801ENE!I104*$L308</f>
        <v>0</v>
      </c>
      <c r="J308" s="156">
        <f t="shared" si="70"/>
        <v>0</v>
      </c>
      <c r="K308" s="69"/>
      <c r="L308" s="319">
        <v>0.5</v>
      </c>
    </row>
    <row r="309" spans="2:12" s="37" customFormat="1" ht="15.75">
      <c r="B309" s="48"/>
      <c r="C309" s="160" t="s">
        <v>624</v>
      </c>
      <c r="D309" s="156">
        <f>$J$17*F801ENE!D105*$L309</f>
        <v>0</v>
      </c>
      <c r="E309" s="156">
        <f>$J$17*F801ENE!E105*$L309</f>
        <v>0</v>
      </c>
      <c r="F309" s="156">
        <f>$J$17*F801ENE!F105*$L309</f>
        <v>0</v>
      </c>
      <c r="G309" s="156">
        <f>$J$17*F801ENE!G105*$L309</f>
        <v>0</v>
      </c>
      <c r="H309" s="156">
        <f>$J$17*F801ENE!H105*$L309</f>
        <v>0</v>
      </c>
      <c r="I309" s="156">
        <f>$J$17*F801ENE!I105*$L309</f>
        <v>0</v>
      </c>
      <c r="J309" s="156">
        <f t="shared" si="70"/>
        <v>0</v>
      </c>
      <c r="K309" s="69"/>
      <c r="L309" s="319">
        <v>0</v>
      </c>
    </row>
    <row r="310" spans="2:12" s="37" customFormat="1" ht="15.75">
      <c r="B310" s="48"/>
      <c r="C310" s="157"/>
      <c r="D310" s="156"/>
      <c r="E310" s="156"/>
      <c r="F310" s="156"/>
      <c r="G310" s="156"/>
      <c r="H310" s="156"/>
      <c r="I310" s="156"/>
      <c r="J310" s="156"/>
      <c r="K310" s="69"/>
      <c r="L310" s="319"/>
    </row>
    <row r="311" spans="2:12" s="37" customFormat="1" ht="15.75">
      <c r="B311" s="48"/>
      <c r="C311" s="153" t="s">
        <v>112</v>
      </c>
      <c r="D311" s="154">
        <f t="shared" ref="D311:I311" si="73">D234+D224+D220</f>
        <v>31085.307835850508</v>
      </c>
      <c r="E311" s="154">
        <f t="shared" si="73"/>
        <v>31098.281069272329</v>
      </c>
      <c r="F311" s="154">
        <f t="shared" si="73"/>
        <v>30510.918342673223</v>
      </c>
      <c r="G311" s="154">
        <f t="shared" si="73"/>
        <v>30991.68062677444</v>
      </c>
      <c r="H311" s="154">
        <f t="shared" si="73"/>
        <v>29648.818226943647</v>
      </c>
      <c r="I311" s="154">
        <f t="shared" si="73"/>
        <v>29787.748735425874</v>
      </c>
      <c r="J311" s="154">
        <f>SUM(D311:I311)</f>
        <v>183122.75483694003</v>
      </c>
      <c r="K311" s="69"/>
      <c r="L311" s="319"/>
    </row>
    <row r="312" spans="2:12">
      <c r="C312" s="48"/>
      <c r="D312" s="48"/>
      <c r="E312" s="48"/>
      <c r="F312" s="48"/>
      <c r="G312" s="48"/>
      <c r="H312" s="48"/>
      <c r="I312" s="48"/>
      <c r="J312" s="48"/>
    </row>
    <row r="313" spans="2:12" s="69" customFormat="1" ht="53.25">
      <c r="B313" s="48"/>
      <c r="C313" s="320" t="s">
        <v>1459</v>
      </c>
      <c r="D313" s="320"/>
      <c r="E313" s="320"/>
      <c r="F313" s="320"/>
      <c r="G313" s="320"/>
      <c r="H313" s="320"/>
      <c r="I313" s="320"/>
      <c r="J313" s="321"/>
      <c r="L313" s="319"/>
    </row>
    <row r="314" spans="2:12" s="37" customFormat="1" ht="15.75">
      <c r="B314" s="48"/>
      <c r="C314" s="150" t="s">
        <v>310</v>
      </c>
      <c r="D314" s="151">
        <f t="shared" ref="D314:I314" si="74">D$29</f>
        <v>46204</v>
      </c>
      <c r="E314" s="151">
        <f t="shared" si="74"/>
        <v>46235</v>
      </c>
      <c r="F314" s="151">
        <f t="shared" si="74"/>
        <v>46266</v>
      </c>
      <c r="G314" s="151">
        <f t="shared" si="74"/>
        <v>46296</v>
      </c>
      <c r="H314" s="151">
        <f t="shared" si="74"/>
        <v>46327</v>
      </c>
      <c r="I314" s="151">
        <f t="shared" si="74"/>
        <v>46357</v>
      </c>
      <c r="J314" s="152" t="s">
        <v>111</v>
      </c>
      <c r="K314" s="69"/>
      <c r="L314" s="319"/>
    </row>
    <row r="315" spans="2:12" s="37" customFormat="1" ht="15.75">
      <c r="B315" s="48"/>
      <c r="C315" s="334" t="s">
        <v>446</v>
      </c>
      <c r="D315" s="154">
        <f t="shared" ref="D315:I315" si="75">D316+D317+D320</f>
        <v>1899.5165795934904</v>
      </c>
      <c r="E315" s="154">
        <f t="shared" si="75"/>
        <v>1785.2943920664602</v>
      </c>
      <c r="F315" s="154">
        <f t="shared" si="75"/>
        <v>1813.4319509541183</v>
      </c>
      <c r="G315" s="154">
        <f t="shared" si="75"/>
        <v>2068.3647349168323</v>
      </c>
      <c r="H315" s="154">
        <f t="shared" si="75"/>
        <v>1692.8792987560746</v>
      </c>
      <c r="I315" s="154">
        <f t="shared" si="75"/>
        <v>1956.2183144742949</v>
      </c>
      <c r="J315" s="154">
        <f t="shared" ref="J315:J342" si="76">SUM(D315:I315)</f>
        <v>11215.705270761271</v>
      </c>
      <c r="K315" s="69"/>
      <c r="L315" s="319"/>
    </row>
    <row r="316" spans="2:12" s="37" customFormat="1" ht="15.75">
      <c r="B316" s="48" t="s">
        <v>870</v>
      </c>
      <c r="C316" s="157" t="s">
        <v>1029</v>
      </c>
      <c r="D316" s="156">
        <f>$J$7*F801ENE!D116</f>
        <v>1098.3745169822701</v>
      </c>
      <c r="E316" s="156">
        <f>$J$7*F801ENE!E116</f>
        <v>994.22322892397983</v>
      </c>
      <c r="F316" s="156">
        <f>$J$7*F801ENE!F116</f>
        <v>1004.9326105145578</v>
      </c>
      <c r="G316" s="156">
        <f>$J$7*F801ENE!G116</f>
        <v>1152.2902683328739</v>
      </c>
      <c r="H316" s="156">
        <f>$J$7*F801ENE!H116</f>
        <v>800.54801153019002</v>
      </c>
      <c r="I316" s="156">
        <f>$J$7*F801ENE!I116</f>
        <v>1032.282373252086</v>
      </c>
      <c r="J316" s="154">
        <f t="shared" si="76"/>
        <v>6082.6510095359572</v>
      </c>
      <c r="K316" s="69"/>
      <c r="L316" s="319"/>
    </row>
    <row r="317" spans="2:12" s="37" customFormat="1" ht="15.75">
      <c r="B317" s="48" t="s">
        <v>871</v>
      </c>
      <c r="C317" s="335" t="s">
        <v>193</v>
      </c>
      <c r="D317" s="154">
        <f t="shared" ref="D317:I317" si="77">SUM(D318:D319)</f>
        <v>524.36984161121995</v>
      </c>
      <c r="E317" s="154">
        <f t="shared" si="77"/>
        <v>514.29894214247997</v>
      </c>
      <c r="F317" s="154">
        <f t="shared" si="77"/>
        <v>531.72711943955994</v>
      </c>
      <c r="G317" s="154">
        <f t="shared" si="77"/>
        <v>639.30224558395798</v>
      </c>
      <c r="H317" s="154">
        <f t="shared" si="77"/>
        <v>615.55906622588384</v>
      </c>
      <c r="I317" s="154">
        <f t="shared" si="77"/>
        <v>647.16372022220833</v>
      </c>
      <c r="J317" s="154">
        <f t="shared" si="76"/>
        <v>3472.4209352253101</v>
      </c>
      <c r="K317" s="69"/>
      <c r="L317" s="319"/>
    </row>
    <row r="318" spans="2:12" s="37" customFormat="1" ht="15.75">
      <c r="B318" s="48"/>
      <c r="C318" s="157" t="s">
        <v>1030</v>
      </c>
      <c r="D318" s="156">
        <f>+$J$8*F801ENE!D118</f>
        <v>0</v>
      </c>
      <c r="E318" s="156">
        <f>+$J$8*F801ENE!E118</f>
        <v>0</v>
      </c>
      <c r="F318" s="156">
        <f>+$J$8*F801ENE!F118</f>
        <v>0</v>
      </c>
      <c r="G318" s="156">
        <f>+$J$8*F801ENE!G118</f>
        <v>0</v>
      </c>
      <c r="H318" s="156">
        <f>+$J$8*F801ENE!H118</f>
        <v>0</v>
      </c>
      <c r="I318" s="156">
        <f>+$J$8*F801ENE!I118</f>
        <v>0</v>
      </c>
      <c r="J318" s="154">
        <f t="shared" si="76"/>
        <v>0</v>
      </c>
      <c r="K318" s="69"/>
      <c r="L318" s="319"/>
    </row>
    <row r="319" spans="2:12" s="37" customFormat="1" ht="15.75">
      <c r="B319" s="48"/>
      <c r="C319" s="157" t="s">
        <v>1476</v>
      </c>
      <c r="D319" s="156">
        <f>+$J$8*F801ENE!D119</f>
        <v>524.36984161121995</v>
      </c>
      <c r="E319" s="156">
        <f>+$J$8*F801ENE!E119</f>
        <v>514.29894214247997</v>
      </c>
      <c r="F319" s="156">
        <f>+$J$8*F801ENE!F119</f>
        <v>531.72711943955994</v>
      </c>
      <c r="G319" s="156">
        <f>+$J$8*F801ENE!G119</f>
        <v>639.30224558395798</v>
      </c>
      <c r="H319" s="156">
        <f>+$J$8*F801ENE!H119</f>
        <v>615.55906622588384</v>
      </c>
      <c r="I319" s="156">
        <f>+$J$8*F801ENE!I119</f>
        <v>647.16372022220833</v>
      </c>
      <c r="J319" s="154">
        <f t="shared" si="76"/>
        <v>3472.4209352253101</v>
      </c>
      <c r="K319" s="69"/>
      <c r="L319" s="319"/>
    </row>
    <row r="320" spans="2:12" s="37" customFormat="1" ht="15.75">
      <c r="B320" s="48" t="s">
        <v>893</v>
      </c>
      <c r="C320" s="153" t="s">
        <v>942</v>
      </c>
      <c r="D320" s="154">
        <f>+$J$8*F801ENE!D120</f>
        <v>276.77222100000051</v>
      </c>
      <c r="E320" s="154">
        <f>+$J$8*F801ENE!E120</f>
        <v>276.77222100000051</v>
      </c>
      <c r="F320" s="154">
        <f>+$J$8*F801ENE!F120</f>
        <v>276.77222100000051</v>
      </c>
      <c r="G320" s="154">
        <f>+$J$8*F801ENE!G120</f>
        <v>276.77222100000051</v>
      </c>
      <c r="H320" s="154">
        <f>+$J$8*F801ENE!H120</f>
        <v>276.77222100000051</v>
      </c>
      <c r="I320" s="154">
        <f>+$J$8*F801ENE!I120</f>
        <v>276.77222100000051</v>
      </c>
      <c r="J320" s="154">
        <f t="shared" si="76"/>
        <v>1660.6333260000033</v>
      </c>
      <c r="K320" s="69"/>
      <c r="L320" s="319"/>
    </row>
    <row r="321" spans="2:12" s="37" customFormat="1" ht="15.75">
      <c r="B321" s="48"/>
      <c r="C321" s="334" t="s">
        <v>630</v>
      </c>
      <c r="D321" s="154">
        <f t="shared" ref="D321:I321" si="78">D322+D327</f>
        <v>5969.4960124355594</v>
      </c>
      <c r="E321" s="154">
        <f t="shared" si="78"/>
        <v>5931.5741454000545</v>
      </c>
      <c r="F321" s="154">
        <f t="shared" si="78"/>
        <v>5764.5206847682348</v>
      </c>
      <c r="G321" s="154">
        <f t="shared" si="78"/>
        <v>6032.6913438508873</v>
      </c>
      <c r="H321" s="154">
        <f t="shared" si="78"/>
        <v>5581.1954175789233</v>
      </c>
      <c r="I321" s="154">
        <f t="shared" si="78"/>
        <v>5896.4596537344878</v>
      </c>
      <c r="J321" s="154">
        <f t="shared" si="76"/>
        <v>35175.93725776815</v>
      </c>
      <c r="K321" s="69"/>
      <c r="L321" s="319"/>
    </row>
    <row r="322" spans="2:12" s="37" customFormat="1" ht="15.75">
      <c r="B322" s="48" t="s">
        <v>872</v>
      </c>
      <c r="C322" s="335" t="s">
        <v>1073</v>
      </c>
      <c r="D322" s="154">
        <f t="shared" ref="D322:I322" si="79">SUM(D323:D326)</f>
        <v>1149.8175321195415</v>
      </c>
      <c r="E322" s="154">
        <f t="shared" si="79"/>
        <v>1160.6173909763399</v>
      </c>
      <c r="F322" s="154">
        <f t="shared" si="79"/>
        <v>1129.0101573356101</v>
      </c>
      <c r="G322" s="154">
        <f t="shared" si="79"/>
        <v>1210.0877986635901</v>
      </c>
      <c r="H322" s="154">
        <f t="shared" si="79"/>
        <v>1134.6350032967403</v>
      </c>
      <c r="I322" s="154">
        <f t="shared" si="79"/>
        <v>1128.5220758886167</v>
      </c>
      <c r="J322" s="154">
        <f t="shared" si="76"/>
        <v>6912.6899582804381</v>
      </c>
      <c r="K322" s="69"/>
      <c r="L322" s="319"/>
    </row>
    <row r="323" spans="2:12" s="37" customFormat="1" ht="15.75">
      <c r="B323" s="48"/>
      <c r="C323" s="157" t="s">
        <v>1477</v>
      </c>
      <c r="D323" s="156">
        <f>$J$9*F801ENE!D124</f>
        <v>766.56844445810361</v>
      </c>
      <c r="E323" s="156">
        <f>$J$9*F801ENE!E124</f>
        <v>764.4558500382675</v>
      </c>
      <c r="F323" s="156">
        <f>$J$9*F801ENE!F124</f>
        <v>728.47402688832756</v>
      </c>
      <c r="G323" s="156">
        <f>$J$9*F801ENE!G124</f>
        <v>755.13933779630611</v>
      </c>
      <c r="H323" s="156">
        <f>$J$9*F801ENE!H124</f>
        <v>697.51141789858161</v>
      </c>
      <c r="I323" s="156">
        <f>$J$9*F801ENE!I124</f>
        <v>692.90407860651305</v>
      </c>
      <c r="J323" s="154">
        <f t="shared" si="76"/>
        <v>4405.0531556860997</v>
      </c>
      <c r="K323" s="69"/>
    </row>
    <row r="324" spans="2:12" s="37" customFormat="1" ht="15.75">
      <c r="B324" s="48"/>
      <c r="C324" s="157" t="s">
        <v>1477</v>
      </c>
      <c r="D324" s="156">
        <f>$J$9*F801ENE!D125</f>
        <v>37.066593817383591</v>
      </c>
      <c r="E324" s="156">
        <f>$J$9*F801ENE!E125</f>
        <v>37.776912999650811</v>
      </c>
      <c r="F324" s="156">
        <f>$J$9*F801ENE!F125</f>
        <v>39.839882058024074</v>
      </c>
      <c r="G324" s="156">
        <f>$J$9*F801ENE!G125</f>
        <v>42.923060129746688</v>
      </c>
      <c r="H324" s="156">
        <f>$J$9*F801ENE!H125</f>
        <v>46.371160511464659</v>
      </c>
      <c r="I324" s="156">
        <f>$J$9*F801ENE!I125</f>
        <v>25.871753981417818</v>
      </c>
      <c r="J324" s="154">
        <f t="shared" si="76"/>
        <v>229.84936349768765</v>
      </c>
      <c r="K324" s="69"/>
    </row>
    <row r="325" spans="2:12" s="37" customFormat="1" ht="15.75">
      <c r="B325" s="48"/>
      <c r="C325" s="157" t="s">
        <v>1477</v>
      </c>
      <c r="D325" s="156">
        <f>$J$9*F801ENE!D126</f>
        <v>13.87804214451584</v>
      </c>
      <c r="E325" s="156">
        <f>$J$9*F801ENE!E126</f>
        <v>13.562884154689353</v>
      </c>
      <c r="F325" s="156">
        <f>$J$9*F801ENE!F126</f>
        <v>13.095309361234932</v>
      </c>
      <c r="G325" s="156">
        <f>$J$9*F801ENE!G126</f>
        <v>14.040212204897685</v>
      </c>
      <c r="H325" s="156">
        <f>$J$9*F801ENE!H126</f>
        <v>13.550695450264126</v>
      </c>
      <c r="I325" s="156">
        <f>$J$9*F801ENE!I126</f>
        <v>12.987661053351733</v>
      </c>
      <c r="J325" s="154">
        <f>SUM(D325:I325)</f>
        <v>81.114804368953671</v>
      </c>
      <c r="K325" s="69"/>
    </row>
    <row r="326" spans="2:12" s="37" customFormat="1" ht="15.75">
      <c r="B326" s="48"/>
      <c r="C326" s="157" t="s">
        <v>1477</v>
      </c>
      <c r="D326" s="156">
        <f>$J$9*F801ENE!D127</f>
        <v>332.30445169953856</v>
      </c>
      <c r="E326" s="156">
        <f>$J$9*F801ENE!E127</f>
        <v>344.82174378373242</v>
      </c>
      <c r="F326" s="156">
        <f>$J$9*F801ENE!F127</f>
        <v>347.60093902802345</v>
      </c>
      <c r="G326" s="156">
        <f>$J$9*F801ENE!G127</f>
        <v>397.9851885326396</v>
      </c>
      <c r="H326" s="156">
        <f>$J$9*F801ENE!H127</f>
        <v>377.20172943642979</v>
      </c>
      <c r="I326" s="156">
        <f>$J$9*F801ENE!I127</f>
        <v>396.75858224733395</v>
      </c>
      <c r="J326" s="154">
        <f>SUM(D326:I326)</f>
        <v>2196.6726347276976</v>
      </c>
      <c r="K326" s="69"/>
    </row>
    <row r="327" spans="2:12" s="37" customFormat="1" ht="15.75">
      <c r="B327" s="48" t="s">
        <v>873</v>
      </c>
      <c r="C327" s="335" t="s">
        <v>193</v>
      </c>
      <c r="D327" s="154">
        <f t="shared" ref="D327:I327" si="80">SUM(D328:D332)</f>
        <v>4819.6784803160181</v>
      </c>
      <c r="E327" s="154">
        <f t="shared" si="80"/>
        <v>4770.9567544237143</v>
      </c>
      <c r="F327" s="154">
        <f t="shared" si="80"/>
        <v>4635.5105274326252</v>
      </c>
      <c r="G327" s="154">
        <f t="shared" si="80"/>
        <v>4822.6035451872967</v>
      </c>
      <c r="H327" s="154">
        <f t="shared" si="80"/>
        <v>4446.560414282183</v>
      </c>
      <c r="I327" s="154">
        <f t="shared" si="80"/>
        <v>4767.9375778458716</v>
      </c>
      <c r="J327" s="154">
        <f t="shared" si="76"/>
        <v>28263.24729948771</v>
      </c>
      <c r="K327" s="69"/>
    </row>
    <row r="328" spans="2:12" s="37" customFormat="1" ht="15.75">
      <c r="B328" s="48"/>
      <c r="C328" s="157" t="s">
        <v>1031</v>
      </c>
      <c r="D328" s="156">
        <f>$J$10*F801ENE!D129</f>
        <v>0</v>
      </c>
      <c r="E328" s="156">
        <f>$J$10*F801ENE!E129</f>
        <v>0</v>
      </c>
      <c r="F328" s="156">
        <f>$J$10*F801ENE!F129</f>
        <v>0</v>
      </c>
      <c r="G328" s="156">
        <f>$J$10*F801ENE!G129</f>
        <v>0</v>
      </c>
      <c r="H328" s="156">
        <f>$J$10*F801ENE!H129</f>
        <v>0</v>
      </c>
      <c r="I328" s="156">
        <f>$J$10*F801ENE!I129</f>
        <v>0</v>
      </c>
      <c r="J328" s="154">
        <f t="shared" si="76"/>
        <v>0</v>
      </c>
      <c r="K328" s="69"/>
    </row>
    <row r="329" spans="2:12" s="37" customFormat="1" ht="15.75">
      <c r="B329" s="48"/>
      <c r="C329" s="157" t="s">
        <v>1478</v>
      </c>
      <c r="D329" s="156">
        <f>$J$10*F801ENE!D130</f>
        <v>3141.7815316164861</v>
      </c>
      <c r="E329" s="156">
        <f>$J$10*F801ENE!E130</f>
        <v>3133.9793204176945</v>
      </c>
      <c r="F329" s="156">
        <f>$J$10*F801ENE!F130</f>
        <v>2854.7471031464488</v>
      </c>
      <c r="G329" s="156">
        <f>$J$10*F801ENE!G130</f>
        <v>2959.330714284979</v>
      </c>
      <c r="H329" s="156">
        <f>$J$10*F801ENE!H130</f>
        <v>2702.8980840110034</v>
      </c>
      <c r="I329" s="156">
        <f>$J$10*F801ENE!I130</f>
        <v>2862.8065683967884</v>
      </c>
      <c r="J329" s="154">
        <f t="shared" si="76"/>
        <v>17655.5433218734</v>
      </c>
      <c r="K329" s="69"/>
    </row>
    <row r="330" spans="2:12" s="37" customFormat="1" ht="15.75">
      <c r="B330" s="48"/>
      <c r="C330" s="157" t="s">
        <v>1478</v>
      </c>
      <c r="D330" s="156">
        <f>$J$10*F801ENE!D131</f>
        <v>221.32422716857198</v>
      </c>
      <c r="E330" s="156">
        <f>$J$10*F801ENE!E131</f>
        <v>196.36646434732802</v>
      </c>
      <c r="F330" s="156">
        <f>$J$10*F801ENE!F131</f>
        <v>218.08112725099798</v>
      </c>
      <c r="G330" s="156">
        <f>$J$10*F801ENE!G131</f>
        <v>190.87958550394805</v>
      </c>
      <c r="H330" s="156">
        <f>$J$10*F801ENE!H131</f>
        <v>182.36827968559206</v>
      </c>
      <c r="I330" s="156">
        <f>$J$10*F801ENE!I131</f>
        <v>204.3042929829987</v>
      </c>
      <c r="J330" s="154">
        <f t="shared" si="76"/>
        <v>1213.3239769394368</v>
      </c>
      <c r="K330" s="69"/>
    </row>
    <row r="331" spans="2:12" s="37" customFormat="1" ht="15.75">
      <c r="B331" s="48"/>
      <c r="C331" s="157" t="s">
        <v>1478</v>
      </c>
      <c r="D331" s="156">
        <f>$J$10*F801ENE!D132</f>
        <v>208.84464486349199</v>
      </c>
      <c r="E331" s="156">
        <f>$J$10*F801ENE!E132</f>
        <v>215.746476060258</v>
      </c>
      <c r="F331" s="156">
        <f>$J$10*F801ENE!F132</f>
        <v>206.98996286370604</v>
      </c>
      <c r="G331" s="156">
        <f>$J$10*F801ENE!G132</f>
        <v>216.83609814378605</v>
      </c>
      <c r="H331" s="156">
        <f>$J$10*F801ENE!H132</f>
        <v>191.87530877849403</v>
      </c>
      <c r="I331" s="156">
        <f>$J$10*F801ENE!I132</f>
        <v>216.88614249451371</v>
      </c>
      <c r="J331" s="154">
        <f t="shared" si="76"/>
        <v>1257.1786332042498</v>
      </c>
      <c r="K331" s="69"/>
    </row>
    <row r="332" spans="2:12" s="37" customFormat="1" ht="15.75">
      <c r="B332" s="48"/>
      <c r="C332" s="157" t="s">
        <v>1478</v>
      </c>
      <c r="D332" s="156">
        <f>$J$10*F801ENE!D133</f>
        <v>1247.728076667468</v>
      </c>
      <c r="E332" s="156">
        <f>$J$10*F801ENE!E133</f>
        <v>1224.8644935984337</v>
      </c>
      <c r="F332" s="156">
        <f>$J$10*F801ENE!F133</f>
        <v>1355.6923341714721</v>
      </c>
      <c r="G332" s="156">
        <f>$J$10*F801ENE!G133</f>
        <v>1455.5571472545839</v>
      </c>
      <c r="H332" s="156">
        <f>$J$10*F801ENE!H133</f>
        <v>1369.4187418070937</v>
      </c>
      <c r="I332" s="156">
        <f>$J$10*F801ENE!I133</f>
        <v>1483.9405739715712</v>
      </c>
      <c r="J332" s="154">
        <f t="shared" si="76"/>
        <v>8137.2013674706232</v>
      </c>
      <c r="K332" s="69"/>
    </row>
    <row r="333" spans="2:12" s="37" customFormat="1" ht="15.75">
      <c r="B333" s="48"/>
      <c r="C333" s="334" t="s">
        <v>443</v>
      </c>
      <c r="D333" s="154">
        <f t="shared" ref="D333:I333" si="81">D334+D335</f>
        <v>967.46161140525635</v>
      </c>
      <c r="E333" s="154">
        <f t="shared" si="81"/>
        <v>949.81312688506227</v>
      </c>
      <c r="F333" s="154">
        <f t="shared" si="81"/>
        <v>962.7314149141921</v>
      </c>
      <c r="G333" s="154">
        <f t="shared" si="81"/>
        <v>1014.1086597691499</v>
      </c>
      <c r="H333" s="154">
        <f t="shared" si="81"/>
        <v>934.78711314542397</v>
      </c>
      <c r="I333" s="154">
        <f t="shared" si="81"/>
        <v>1047.970573104554</v>
      </c>
      <c r="J333" s="154">
        <f t="shared" si="76"/>
        <v>5876.8724992236384</v>
      </c>
      <c r="K333" s="69"/>
    </row>
    <row r="334" spans="2:12" s="37" customFormat="1" ht="15.75">
      <c r="B334" s="48" t="s">
        <v>874</v>
      </c>
      <c r="C334" s="157" t="s">
        <v>1479</v>
      </c>
      <c r="D334" s="156">
        <f>$J$11*F801ENE!D137</f>
        <v>31.319228193065996</v>
      </c>
      <c r="E334" s="156">
        <f>$J$11*F801ENE!E137</f>
        <v>31.040917441973999</v>
      </c>
      <c r="F334" s="156">
        <f>$J$11*F801ENE!F137</f>
        <v>29.72972836944</v>
      </c>
      <c r="G334" s="156">
        <f>$J$11*F801ENE!G137</f>
        <v>30.830251735799997</v>
      </c>
      <c r="H334" s="156">
        <f>$J$11*F801ENE!H137</f>
        <v>29.856586271094006</v>
      </c>
      <c r="I334" s="156">
        <f>$J$11*F801ENE!I137</f>
        <v>30.933796271400034</v>
      </c>
      <c r="J334" s="154">
        <f t="shared" si="76"/>
        <v>183.71050828277404</v>
      </c>
      <c r="K334" s="69"/>
    </row>
    <row r="335" spans="2:12" s="37" customFormat="1" ht="15.75">
      <c r="B335" s="48" t="s">
        <v>875</v>
      </c>
      <c r="C335" s="335" t="s">
        <v>193</v>
      </c>
      <c r="D335" s="154">
        <f t="shared" ref="D335:I335" si="82">SUM(D336:D341)</f>
        <v>936.14238321219034</v>
      </c>
      <c r="E335" s="154">
        <f t="shared" si="82"/>
        <v>918.77220944308829</v>
      </c>
      <c r="F335" s="154">
        <f t="shared" si="82"/>
        <v>933.00168654475215</v>
      </c>
      <c r="G335" s="154">
        <f t="shared" si="82"/>
        <v>983.27840803334993</v>
      </c>
      <c r="H335" s="154">
        <f t="shared" si="82"/>
        <v>904.93052687432998</v>
      </c>
      <c r="I335" s="154">
        <f t="shared" si="82"/>
        <v>1017.0367768331539</v>
      </c>
      <c r="J335" s="154">
        <f t="shared" si="76"/>
        <v>5693.1619909408637</v>
      </c>
      <c r="K335" s="69"/>
    </row>
    <row r="336" spans="2:12" s="37" customFormat="1" ht="15.75">
      <c r="B336" s="48"/>
      <c r="C336" s="157" t="s">
        <v>1032</v>
      </c>
      <c r="D336" s="156">
        <f>$J$12*(F801ENE!D140)</f>
        <v>9.6505301088900026</v>
      </c>
      <c r="E336" s="156">
        <f>$J$12*(F801ENE!E140)</f>
        <v>9.3971759654520017</v>
      </c>
      <c r="F336" s="156">
        <f>$J$12*(F801ENE!F140)</f>
        <v>9.5920841245679984</v>
      </c>
      <c r="G336" s="156">
        <f>$J$12*(F801ENE!G140)</f>
        <v>10.040406378354001</v>
      </c>
      <c r="H336" s="156">
        <f>$J$12*(F801ENE!H140)</f>
        <v>9.2551901626800017</v>
      </c>
      <c r="I336" s="156">
        <f>$J$12*(F801ENE!I140)</f>
        <v>9.798693777774</v>
      </c>
      <c r="J336" s="154">
        <f t="shared" si="76"/>
        <v>57.734080517717999</v>
      </c>
      <c r="K336" s="69"/>
    </row>
    <row r="337" spans="2:11" s="37" customFormat="1" ht="15.75">
      <c r="B337" s="48"/>
      <c r="C337" s="157" t="s">
        <v>1480</v>
      </c>
      <c r="D337" s="156">
        <f>$J$12*(F801ENE!D141)</f>
        <v>621.22236023707228</v>
      </c>
      <c r="E337" s="156">
        <f>$J$12*(F801ENE!E141)</f>
        <v>606.36745871242226</v>
      </c>
      <c r="F337" s="156">
        <f>$J$12*(F801ENE!F141)</f>
        <v>590.62447814475604</v>
      </c>
      <c r="G337" s="156">
        <f>$J$12*(F801ENE!G141)</f>
        <v>612.92148604196404</v>
      </c>
      <c r="H337" s="156">
        <f>$J$12*(F801ENE!H141)</f>
        <v>561.41310341971791</v>
      </c>
      <c r="I337" s="156">
        <f>$J$12*(F801ENE!I141)</f>
        <v>605.83542549747654</v>
      </c>
      <c r="J337" s="154">
        <f t="shared" si="76"/>
        <v>3598.3843120534093</v>
      </c>
      <c r="K337" s="69"/>
    </row>
    <row r="338" spans="2:11" s="37" customFormat="1" ht="15.75">
      <c r="B338" s="48"/>
      <c r="C338" s="157" t="s">
        <v>1480</v>
      </c>
      <c r="D338" s="156">
        <f>$J$12*(F801ENE!D142)</f>
        <v>12.204265797504004</v>
      </c>
      <c r="E338" s="156">
        <f>$J$12*(F801ENE!E142)</f>
        <v>11.913427371978003</v>
      </c>
      <c r="F338" s="156">
        <f>$J$12*(F801ENE!F142)</f>
        <v>11.708995747481998</v>
      </c>
      <c r="G338" s="156">
        <f>$J$12*(F801ENE!G142)</f>
        <v>11.905338560346005</v>
      </c>
      <c r="H338" s="156">
        <f>$J$12*(F801ENE!H142)</f>
        <v>10.287670449474001</v>
      </c>
      <c r="I338" s="156">
        <f>$J$12*(F801ENE!I142)</f>
        <v>11.524324166653299</v>
      </c>
      <c r="J338" s="154">
        <f t="shared" si="76"/>
        <v>69.544022093437306</v>
      </c>
      <c r="K338" s="69"/>
    </row>
    <row r="339" spans="2:11" s="37" customFormat="1" ht="15.75">
      <c r="B339" s="48"/>
      <c r="C339" s="157" t="s">
        <v>1480</v>
      </c>
      <c r="D339" s="156">
        <f>$J$12*(F801ENE!D143)</f>
        <v>125.84146258787399</v>
      </c>
      <c r="E339" s="156">
        <f>$J$12*(F801ENE!E143)</f>
        <v>121.12467290550001</v>
      </c>
      <c r="F339" s="156">
        <f>$J$12*(F801ENE!F143)</f>
        <v>119.42723345058</v>
      </c>
      <c r="G339" s="156">
        <f>$J$12*(F801ENE!G143)</f>
        <v>124.68676426588802</v>
      </c>
      <c r="H339" s="156">
        <f>$J$12*(F801ENE!H143)</f>
        <v>110.27373134421599</v>
      </c>
      <c r="I339" s="156">
        <f>$J$12*(F801ENE!I143)</f>
        <v>111.94029680692717</v>
      </c>
      <c r="J339" s="154">
        <f t="shared" si="76"/>
        <v>713.29416136098507</v>
      </c>
      <c r="K339" s="69"/>
    </row>
    <row r="340" spans="2:11" s="37" customFormat="1" ht="15.75">
      <c r="B340" s="48"/>
      <c r="C340" s="157" t="s">
        <v>1480</v>
      </c>
      <c r="D340" s="156">
        <f>$J$12*(F801ENE!D144)</f>
        <v>167.22376448085001</v>
      </c>
      <c r="E340" s="156">
        <f>$J$12*(F801ENE!E144)</f>
        <v>169.96947448773597</v>
      </c>
      <c r="F340" s="156">
        <f>$J$12*(F801ENE!F144)</f>
        <v>201.64889507736601</v>
      </c>
      <c r="G340" s="156">
        <f>$J$12*(F801ENE!G144)</f>
        <v>223.72441278679804</v>
      </c>
      <c r="H340" s="156">
        <f>$J$12*(F801ENE!H144)</f>
        <v>213.700831498242</v>
      </c>
      <c r="I340" s="156">
        <f>$J$12*(F801ENE!I144)</f>
        <v>277.9380365843229</v>
      </c>
      <c r="J340" s="154">
        <f t="shared" si="76"/>
        <v>1254.2054149153148</v>
      </c>
      <c r="K340" s="69"/>
    </row>
    <row r="341" spans="2:11" s="37" customFormat="1" ht="15.75">
      <c r="B341" s="48"/>
      <c r="C341" s="157"/>
      <c r="D341" s="156"/>
      <c r="E341" s="156"/>
      <c r="F341" s="156"/>
      <c r="G341" s="156"/>
      <c r="H341" s="156"/>
      <c r="I341" s="156"/>
      <c r="J341" s="156">
        <f t="shared" si="76"/>
        <v>0</v>
      </c>
      <c r="K341" s="69"/>
    </row>
    <row r="342" spans="2:11" s="37" customFormat="1" ht="15.75">
      <c r="B342" s="48"/>
      <c r="C342" s="153" t="s">
        <v>112</v>
      </c>
      <c r="D342" s="154">
        <f t="shared" ref="D342:I342" si="83">D315+D321+D333</f>
        <v>8836.4742034343071</v>
      </c>
      <c r="E342" s="154">
        <f t="shared" si="83"/>
        <v>8666.6816643515776</v>
      </c>
      <c r="F342" s="154">
        <f t="shared" si="83"/>
        <v>8540.6840506365443</v>
      </c>
      <c r="G342" s="154">
        <f t="shared" si="83"/>
        <v>9115.1647385368688</v>
      </c>
      <c r="H342" s="154">
        <f t="shared" si="83"/>
        <v>8208.8618294804219</v>
      </c>
      <c r="I342" s="154">
        <f t="shared" si="83"/>
        <v>8900.648541313336</v>
      </c>
      <c r="J342" s="154">
        <f t="shared" si="76"/>
        <v>52268.515027753048</v>
      </c>
      <c r="K342" s="69"/>
    </row>
    <row r="343" spans="2:11" s="37" customFormat="1" ht="13.5">
      <c r="B343" s="48"/>
      <c r="C343" s="48"/>
      <c r="D343" s="48"/>
      <c r="E343" s="48"/>
      <c r="F343" s="48"/>
      <c r="G343" s="48"/>
      <c r="H343" s="48"/>
      <c r="I343" s="48"/>
      <c r="J343" s="48"/>
      <c r="K343" s="48"/>
    </row>
    <row r="344" spans="2:11" s="37" customFormat="1" ht="54" customHeight="1">
      <c r="B344" s="48"/>
      <c r="C344" s="320" t="s">
        <v>1460</v>
      </c>
      <c r="D344" s="320"/>
      <c r="E344" s="320"/>
      <c r="F344" s="320"/>
      <c r="G344" s="320"/>
      <c r="H344" s="320"/>
      <c r="I344" s="320"/>
      <c r="J344" s="321"/>
      <c r="K344" s="69"/>
    </row>
    <row r="345" spans="2:11" s="37" customFormat="1" ht="15.75">
      <c r="B345" s="48"/>
      <c r="C345" s="150" t="s">
        <v>310</v>
      </c>
      <c r="D345" s="151">
        <f t="shared" ref="D345:I345" si="84">D$29</f>
        <v>46204</v>
      </c>
      <c r="E345" s="151">
        <f t="shared" si="84"/>
        <v>46235</v>
      </c>
      <c r="F345" s="151">
        <f t="shared" si="84"/>
        <v>46266</v>
      </c>
      <c r="G345" s="151">
        <f t="shared" si="84"/>
        <v>46296</v>
      </c>
      <c r="H345" s="151">
        <f t="shared" si="84"/>
        <v>46327</v>
      </c>
      <c r="I345" s="151">
        <f t="shared" si="84"/>
        <v>46357</v>
      </c>
      <c r="J345" s="152" t="s">
        <v>111</v>
      </c>
      <c r="K345" s="69"/>
    </row>
    <row r="346" spans="2:11">
      <c r="C346" s="153" t="s">
        <v>230</v>
      </c>
      <c r="D346" s="154">
        <f t="shared" ref="D346:I346" si="85">SUM(D347:D348)</f>
        <v>0</v>
      </c>
      <c r="E346" s="154">
        <f t="shared" si="85"/>
        <v>0</v>
      </c>
      <c r="F346" s="154">
        <f t="shared" si="85"/>
        <v>0</v>
      </c>
      <c r="G346" s="154">
        <f t="shared" si="85"/>
        <v>0</v>
      </c>
      <c r="H346" s="154">
        <f t="shared" si="85"/>
        <v>0</v>
      </c>
      <c r="I346" s="154">
        <f t="shared" si="85"/>
        <v>0</v>
      </c>
      <c r="J346" s="154">
        <f t="shared" ref="J346:J373" si="86">SUM(D346:I346)</f>
        <v>0</v>
      </c>
    </row>
    <row r="347" spans="2:11">
      <c r="B347" s="48" t="s">
        <v>870</v>
      </c>
      <c r="C347" s="157" t="s">
        <v>1029</v>
      </c>
      <c r="D347" s="156">
        <f>F801D!D116*0*(1+D$25)*(1+D$26)</f>
        <v>0</v>
      </c>
      <c r="E347" s="156">
        <f>F801D!E116*0*(1+E$25)*(1+E$26)</f>
        <v>0</v>
      </c>
      <c r="F347" s="156">
        <f>F801D!F116*0*(1+F$25)*(1+F$26)</f>
        <v>0</v>
      </c>
      <c r="G347" s="156">
        <f>F801D!G116*0*(1+G$25)*(1+G$26)</f>
        <v>0</v>
      </c>
      <c r="H347" s="156">
        <f>F801D!H116*0*(1+H$25)*(1+H$26)</f>
        <v>0</v>
      </c>
      <c r="I347" s="156">
        <f>F801D!I116*0*(1+I$25)*(1+I$26)</f>
        <v>0</v>
      </c>
      <c r="J347" s="154">
        <f t="shared" si="86"/>
        <v>0</v>
      </c>
    </row>
    <row r="348" spans="2:11">
      <c r="B348" s="48" t="s">
        <v>871</v>
      </c>
      <c r="C348" s="335" t="s">
        <v>193</v>
      </c>
      <c r="D348" s="154">
        <f t="shared" ref="D348:I348" si="87">D349+D350</f>
        <v>0</v>
      </c>
      <c r="E348" s="154">
        <f t="shared" si="87"/>
        <v>0</v>
      </c>
      <c r="F348" s="154">
        <f t="shared" si="87"/>
        <v>0</v>
      </c>
      <c r="G348" s="154">
        <f t="shared" si="87"/>
        <v>0</v>
      </c>
      <c r="H348" s="154">
        <f t="shared" si="87"/>
        <v>0</v>
      </c>
      <c r="I348" s="154">
        <f t="shared" si="87"/>
        <v>0</v>
      </c>
      <c r="J348" s="154">
        <f t="shared" si="86"/>
        <v>0</v>
      </c>
    </row>
    <row r="349" spans="2:11">
      <c r="C349" s="157" t="s">
        <v>1030</v>
      </c>
      <c r="D349" s="156">
        <f>F801D!D118*0</f>
        <v>0</v>
      </c>
      <c r="E349" s="156">
        <f>F801D!E118*0</f>
        <v>0</v>
      </c>
      <c r="F349" s="156">
        <f>F801D!F118*0</f>
        <v>0</v>
      </c>
      <c r="G349" s="156">
        <f>F801D!G118*0</f>
        <v>0</v>
      </c>
      <c r="H349" s="156">
        <f>F801D!H118*0</f>
        <v>0</v>
      </c>
      <c r="I349" s="156">
        <f>F801D!I118*0</f>
        <v>0</v>
      </c>
      <c r="J349" s="154">
        <f t="shared" si="86"/>
        <v>0</v>
      </c>
    </row>
    <row r="350" spans="2:11">
      <c r="C350" s="157" t="s">
        <v>1476</v>
      </c>
      <c r="D350" s="156">
        <f>F801D!D119*$D$21*(1+D$25)*(1+D$26)</f>
        <v>0</v>
      </c>
      <c r="E350" s="156">
        <f>F801D!E119*$D$21*(1+E$25)*(1+E$26)</f>
        <v>0</v>
      </c>
      <c r="F350" s="156">
        <f>F801D!F119*$D$21*(1+F$25)*(1+F$26)</f>
        <v>0</v>
      </c>
      <c r="G350" s="156">
        <f>F801D!G119*$D$21*(1+G$25)*(1+G$26)</f>
        <v>0</v>
      </c>
      <c r="H350" s="156">
        <f>F801D!H119*$D$21*(1+H$25)*(1+H$26)</f>
        <v>0</v>
      </c>
      <c r="I350" s="156">
        <f>F801D!I119*$D$21*(1+I$25)*(1+I$26)</f>
        <v>0</v>
      </c>
      <c r="J350" s="154">
        <f t="shared" si="86"/>
        <v>0</v>
      </c>
    </row>
    <row r="351" spans="2:11">
      <c r="C351" s="153" t="s">
        <v>942</v>
      </c>
      <c r="D351" s="156"/>
      <c r="E351" s="156"/>
      <c r="F351" s="156"/>
      <c r="G351" s="156"/>
      <c r="H351" s="156"/>
      <c r="I351" s="156"/>
      <c r="J351" s="154">
        <f t="shared" si="86"/>
        <v>0</v>
      </c>
    </row>
    <row r="352" spans="2:11">
      <c r="C352" s="153" t="s">
        <v>194</v>
      </c>
      <c r="D352" s="154">
        <f t="shared" ref="D352:I352" si="88">D353+D358</f>
        <v>0</v>
      </c>
      <c r="E352" s="154">
        <f t="shared" si="88"/>
        <v>0</v>
      </c>
      <c r="F352" s="154">
        <f t="shared" si="88"/>
        <v>0</v>
      </c>
      <c r="G352" s="154">
        <f t="shared" si="88"/>
        <v>0</v>
      </c>
      <c r="H352" s="154">
        <f t="shared" si="88"/>
        <v>0</v>
      </c>
      <c r="I352" s="154">
        <f t="shared" si="88"/>
        <v>0</v>
      </c>
      <c r="J352" s="154">
        <f t="shared" si="86"/>
        <v>0</v>
      </c>
    </row>
    <row r="353" spans="2:10">
      <c r="B353" s="48" t="s">
        <v>872</v>
      </c>
      <c r="C353" s="335" t="s">
        <v>1073</v>
      </c>
      <c r="D353" s="154">
        <f t="shared" ref="D353:I353" si="89">SUM(D354:D357)</f>
        <v>0</v>
      </c>
      <c r="E353" s="154">
        <f t="shared" si="89"/>
        <v>0</v>
      </c>
      <c r="F353" s="154">
        <f t="shared" si="89"/>
        <v>0</v>
      </c>
      <c r="G353" s="154">
        <f t="shared" si="89"/>
        <v>0</v>
      </c>
      <c r="H353" s="154">
        <f t="shared" si="89"/>
        <v>0</v>
      </c>
      <c r="I353" s="154">
        <f t="shared" si="89"/>
        <v>0</v>
      </c>
      <c r="J353" s="154">
        <f t="shared" si="86"/>
        <v>0</v>
      </c>
    </row>
    <row r="354" spans="2:10">
      <c r="C354" s="157" t="s">
        <v>1477</v>
      </c>
      <c r="D354" s="156">
        <f>F801D!D124*$D21*(1+D$25)*(1+D$26)</f>
        <v>0</v>
      </c>
      <c r="E354" s="156">
        <f>F801D!E124*$D21*(1+E$25)*(1+E$26)</f>
        <v>0</v>
      </c>
      <c r="F354" s="156">
        <f>F801D!F124*$D21*(1+F$25)*(1+F$26)</f>
        <v>0</v>
      </c>
      <c r="G354" s="156">
        <f>F801D!G124*$D21*(1+G$25)*(1+G$26)</f>
        <v>0</v>
      </c>
      <c r="H354" s="156">
        <f>F801D!H124*$D21*(1+H$25)*(1+H$26)</f>
        <v>0</v>
      </c>
      <c r="I354" s="156">
        <f>F801D!I124*$D21*(1+I$25)*(1+I$26)</f>
        <v>0</v>
      </c>
      <c r="J354" s="154">
        <f t="shared" si="86"/>
        <v>0</v>
      </c>
    </row>
    <row r="355" spans="2:10">
      <c r="C355" s="157" t="s">
        <v>1477</v>
      </c>
      <c r="D355" s="156">
        <f>F801D!D125*$D22*(1+D$25)*(1+D$26)</f>
        <v>0</v>
      </c>
      <c r="E355" s="156">
        <f>F801D!E125*$D22*(1+E$25)*(1+E$26)</f>
        <v>0</v>
      </c>
      <c r="F355" s="156">
        <f>F801D!F125*$D22*(1+F$25)*(1+F$26)</f>
        <v>0</v>
      </c>
      <c r="G355" s="156">
        <f>F801D!G125*$D22*(1+G$25)*(1+G$26)</f>
        <v>0</v>
      </c>
      <c r="H355" s="156">
        <f>F801D!H125*$D22*(1+H$25)*(1+H$26)</f>
        <v>0</v>
      </c>
      <c r="I355" s="156">
        <f>F801D!I125*$D22*(1+I$25)*(1+I$26)</f>
        <v>0</v>
      </c>
      <c r="J355" s="154">
        <f t="shared" si="86"/>
        <v>0</v>
      </c>
    </row>
    <row r="356" spans="2:10">
      <c r="C356" s="157" t="s">
        <v>1477</v>
      </c>
      <c r="D356" s="156">
        <f>F801D!D126*$D23*(1+D$25)*(1+D$26)</f>
        <v>0</v>
      </c>
      <c r="E356" s="156">
        <f>F801D!E126*$D23*(1+E$25)*(1+E$26)</f>
        <v>0</v>
      </c>
      <c r="F356" s="156">
        <f>F801D!F126*$D23*(1+F$25)*(1+F$26)</f>
        <v>0</v>
      </c>
      <c r="G356" s="156">
        <f>F801D!G126*$D23*(1+G$25)*(1+G$26)</f>
        <v>0</v>
      </c>
      <c r="H356" s="156">
        <f>F801D!H126*$D23*(1+H$25)*(1+H$26)</f>
        <v>0</v>
      </c>
      <c r="I356" s="156">
        <f>F801D!I126*$D23*(1+I$25)*(1+I$26)</f>
        <v>0</v>
      </c>
      <c r="J356" s="154">
        <f>SUM(D356:I356)</f>
        <v>0</v>
      </c>
    </row>
    <row r="357" spans="2:10">
      <c r="C357" s="157" t="s">
        <v>1477</v>
      </c>
      <c r="D357" s="156">
        <f>F801D!D127*$D24*(1+D$25)*(1+D$26)</f>
        <v>0</v>
      </c>
      <c r="E357" s="156">
        <f>F801D!E127*$D24*(1+E$25)*(1+E$26)</f>
        <v>0</v>
      </c>
      <c r="F357" s="156">
        <f>F801D!F127*$D24*(1+F$25)*(1+F$26)</f>
        <v>0</v>
      </c>
      <c r="G357" s="156">
        <f>F801D!G127*$D24*(1+G$25)*(1+G$26)</f>
        <v>0</v>
      </c>
      <c r="H357" s="156">
        <f>F801D!H127*$D24*(1+H$25)*(1+H$26)</f>
        <v>0</v>
      </c>
      <c r="I357" s="156">
        <f>F801D!I127*$D24*(1+I$25)*(1+I$26)</f>
        <v>0</v>
      </c>
      <c r="J357" s="154">
        <f>SUM(D357:I357)</f>
        <v>0</v>
      </c>
    </row>
    <row r="358" spans="2:10">
      <c r="B358" s="48" t="s">
        <v>873</v>
      </c>
      <c r="C358" s="335" t="s">
        <v>193</v>
      </c>
      <c r="D358" s="154">
        <f t="shared" ref="D358:I358" si="90">SUM(D359:D363)</f>
        <v>0</v>
      </c>
      <c r="E358" s="154">
        <f t="shared" si="90"/>
        <v>0</v>
      </c>
      <c r="F358" s="154">
        <f t="shared" si="90"/>
        <v>0</v>
      </c>
      <c r="G358" s="154">
        <f t="shared" si="90"/>
        <v>0</v>
      </c>
      <c r="H358" s="154">
        <f t="shared" si="90"/>
        <v>0</v>
      </c>
      <c r="I358" s="154">
        <f t="shared" si="90"/>
        <v>0</v>
      </c>
      <c r="J358" s="154">
        <f t="shared" si="86"/>
        <v>0</v>
      </c>
    </row>
    <row r="359" spans="2:10">
      <c r="C359" s="157" t="s">
        <v>1031</v>
      </c>
      <c r="D359" s="156">
        <f>F801D!D129*0</f>
        <v>0</v>
      </c>
      <c r="E359" s="156">
        <f>F801D!E129*0</f>
        <v>0</v>
      </c>
      <c r="F359" s="156">
        <f>F801D!F129*0</f>
        <v>0</v>
      </c>
      <c r="G359" s="156">
        <f>F801D!G129*0</f>
        <v>0</v>
      </c>
      <c r="H359" s="156">
        <f>F801D!H129*0</f>
        <v>0</v>
      </c>
      <c r="I359" s="156">
        <f>F801D!I129*0</f>
        <v>0</v>
      </c>
      <c r="J359" s="154">
        <f t="shared" si="86"/>
        <v>0</v>
      </c>
    </row>
    <row r="360" spans="2:10">
      <c r="C360" s="157" t="s">
        <v>1478</v>
      </c>
      <c r="D360" s="156">
        <f>F801D!D130*$D21*(1+D$25)*(1+D$26)</f>
        <v>0</v>
      </c>
      <c r="E360" s="156">
        <f>F801D!E130*$D21*(1+E$25)*(1+E$26)</f>
        <v>0</v>
      </c>
      <c r="F360" s="156">
        <f>F801D!F130*$D21*(1+F$25)*(1+F$26)</f>
        <v>0</v>
      </c>
      <c r="G360" s="156">
        <f>F801D!G130*$D21*(1+G$25)*(1+G$26)</f>
        <v>0</v>
      </c>
      <c r="H360" s="156">
        <f>F801D!H130*$D21*(1+H$25)*(1+H$26)</f>
        <v>0</v>
      </c>
      <c r="I360" s="156">
        <f>F801D!I130*$D21*(1+I$25)*(1+I$26)</f>
        <v>0</v>
      </c>
      <c r="J360" s="154">
        <f t="shared" si="86"/>
        <v>0</v>
      </c>
    </row>
    <row r="361" spans="2:10">
      <c r="C361" s="157" t="s">
        <v>1478</v>
      </c>
      <c r="D361" s="156">
        <f>F801D!D131*$D22*(1+D$25)*(1+D$26)</f>
        <v>0</v>
      </c>
      <c r="E361" s="156">
        <f>F801D!E131*$D22*(1+E$25)*(1+E$26)</f>
        <v>0</v>
      </c>
      <c r="F361" s="156">
        <f>F801D!F131*$D22*(1+F$25)*(1+F$26)</f>
        <v>0</v>
      </c>
      <c r="G361" s="156">
        <f>F801D!G131*$D22*(1+G$25)*(1+G$26)</f>
        <v>0</v>
      </c>
      <c r="H361" s="156">
        <f>F801D!H131*$D22*(1+H$25)*(1+H$26)</f>
        <v>0</v>
      </c>
      <c r="I361" s="156">
        <f>F801D!I131*$D22*(1+I$25)*(1+I$26)</f>
        <v>0</v>
      </c>
      <c r="J361" s="154">
        <f t="shared" si="86"/>
        <v>0</v>
      </c>
    </row>
    <row r="362" spans="2:10">
      <c r="C362" s="157" t="s">
        <v>1478</v>
      </c>
      <c r="D362" s="156">
        <f>F801D!D132*$D23*(1+D$25)*(1+D$26)</f>
        <v>0</v>
      </c>
      <c r="E362" s="156">
        <f>F801D!E132*$D23*(1+E$25)*(1+E$26)</f>
        <v>0</v>
      </c>
      <c r="F362" s="156">
        <f>F801D!F132*$D23*(1+F$25)*(1+F$26)</f>
        <v>0</v>
      </c>
      <c r="G362" s="156">
        <f>F801D!G132*$D23*(1+G$25)*(1+G$26)</f>
        <v>0</v>
      </c>
      <c r="H362" s="156">
        <f>F801D!H132*$D23*(1+H$25)*(1+H$26)</f>
        <v>0</v>
      </c>
      <c r="I362" s="156">
        <f>F801D!I132*$D23*(1+I$25)*(1+I$26)</f>
        <v>0</v>
      </c>
      <c r="J362" s="154">
        <f t="shared" si="86"/>
        <v>0</v>
      </c>
    </row>
    <row r="363" spans="2:10">
      <c r="C363" s="157" t="s">
        <v>1478</v>
      </c>
      <c r="D363" s="156">
        <f>F801D!D133*$D24*(1+D$25)*(1+D$26)</f>
        <v>0</v>
      </c>
      <c r="E363" s="156">
        <f>F801D!E133*$D24*(1+E$25)*(1+E$26)</f>
        <v>0</v>
      </c>
      <c r="F363" s="156">
        <f>F801D!F133*$D24*(1+F$25)*(1+F$26)</f>
        <v>0</v>
      </c>
      <c r="G363" s="156">
        <f>F801D!G133*$D24*(1+G$25)*(1+G$26)</f>
        <v>0</v>
      </c>
      <c r="H363" s="156">
        <f>F801D!H133*$D24*(1+H$25)*(1+H$26)</f>
        <v>0</v>
      </c>
      <c r="I363" s="156">
        <f>F801D!I133*$D24*(1+I$25)*(1+I$26)</f>
        <v>0</v>
      </c>
      <c r="J363" s="154">
        <f t="shared" si="86"/>
        <v>0</v>
      </c>
    </row>
    <row r="364" spans="2:10">
      <c r="C364" s="153" t="s">
        <v>308</v>
      </c>
      <c r="D364" s="154">
        <f t="shared" ref="D364:I364" si="91">SUM(D365:D366)</f>
        <v>0</v>
      </c>
      <c r="E364" s="154">
        <f t="shared" si="91"/>
        <v>0</v>
      </c>
      <c r="F364" s="154">
        <f t="shared" si="91"/>
        <v>0</v>
      </c>
      <c r="G364" s="154">
        <f t="shared" si="91"/>
        <v>0</v>
      </c>
      <c r="H364" s="154">
        <f t="shared" si="91"/>
        <v>0</v>
      </c>
      <c r="I364" s="154">
        <f t="shared" si="91"/>
        <v>0</v>
      </c>
      <c r="J364" s="154">
        <f t="shared" si="86"/>
        <v>0</v>
      </c>
    </row>
    <row r="365" spans="2:10">
      <c r="B365" s="48" t="s">
        <v>874</v>
      </c>
      <c r="C365" s="157" t="s">
        <v>1479</v>
      </c>
      <c r="D365" s="156">
        <f>F801D!D137*$D21*(1+D$25)*(1+D$26)</f>
        <v>0</v>
      </c>
      <c r="E365" s="156">
        <f>F801D!E137*$D21*(1+E$25)*(1+E$26)</f>
        <v>0</v>
      </c>
      <c r="F365" s="156">
        <f>F801D!F137*$D21*(1+F$25)*(1+F$26)</f>
        <v>0</v>
      </c>
      <c r="G365" s="156">
        <f>F801D!G137*$D21*(1+G$25)*(1+G$26)</f>
        <v>0</v>
      </c>
      <c r="H365" s="156">
        <f>F801D!H137*$D21*(1+H$25)*(1+H$26)</f>
        <v>0</v>
      </c>
      <c r="I365" s="156">
        <f>F801D!I137*$D21*(1+I$25)*(1+I$26)</f>
        <v>0</v>
      </c>
      <c r="J365" s="154">
        <f t="shared" si="86"/>
        <v>0</v>
      </c>
    </row>
    <row r="366" spans="2:10">
      <c r="B366" s="48" t="s">
        <v>875</v>
      </c>
      <c r="C366" s="335" t="s">
        <v>193</v>
      </c>
      <c r="D366" s="154">
        <f t="shared" ref="D366:I366" si="92">SUM(D367:D372)</f>
        <v>0</v>
      </c>
      <c r="E366" s="154">
        <f t="shared" si="92"/>
        <v>0</v>
      </c>
      <c r="F366" s="154">
        <f t="shared" si="92"/>
        <v>0</v>
      </c>
      <c r="G366" s="154">
        <f t="shared" si="92"/>
        <v>0</v>
      </c>
      <c r="H366" s="154">
        <f t="shared" si="92"/>
        <v>0</v>
      </c>
      <c r="I366" s="154">
        <f t="shared" si="92"/>
        <v>0</v>
      </c>
      <c r="J366" s="154">
        <f t="shared" si="86"/>
        <v>0</v>
      </c>
    </row>
    <row r="367" spans="2:10">
      <c r="C367" s="157" t="s">
        <v>1032</v>
      </c>
      <c r="D367" s="156">
        <f>F801D!D140*0</f>
        <v>0</v>
      </c>
      <c r="E367" s="156">
        <f>F801D!E140*0</f>
        <v>0</v>
      </c>
      <c r="F367" s="156">
        <f>F801D!F140*0</f>
        <v>0</v>
      </c>
      <c r="G367" s="156">
        <f>F801D!G140*0</f>
        <v>0</v>
      </c>
      <c r="H367" s="156">
        <f>F801D!H140*0</f>
        <v>0</v>
      </c>
      <c r="I367" s="156">
        <f>F801D!I140*0</f>
        <v>0</v>
      </c>
      <c r="J367" s="154">
        <f t="shared" si="86"/>
        <v>0</v>
      </c>
    </row>
    <row r="368" spans="2:10">
      <c r="C368" s="157" t="s">
        <v>1480</v>
      </c>
      <c r="D368" s="156">
        <f>F801D!D141*$D21*(1+D$25)*(1+D$26)</f>
        <v>0</v>
      </c>
      <c r="E368" s="156">
        <f>F801D!E141*$D21*(1+E$25)*(1+E$26)</f>
        <v>0</v>
      </c>
      <c r="F368" s="156">
        <f>F801D!F141*$D21*(1+F$25)*(1+F$26)</f>
        <v>0</v>
      </c>
      <c r="G368" s="156">
        <f>F801D!G141*$D21*(1+G$25)*(1+G$26)</f>
        <v>0</v>
      </c>
      <c r="H368" s="156">
        <f>F801D!H141*$D21*(1+H$25)*(1+H$26)</f>
        <v>0</v>
      </c>
      <c r="I368" s="156">
        <f>F801D!I141*$D21*(1+I$25)*(1+I$26)</f>
        <v>0</v>
      </c>
      <c r="J368" s="154">
        <f t="shared" si="86"/>
        <v>0</v>
      </c>
    </row>
    <row r="369" spans="2:10">
      <c r="C369" s="157" t="s">
        <v>1480</v>
      </c>
      <c r="D369" s="156">
        <f>F801D!D142*$D22*(1+D$25)*(1+D$26)</f>
        <v>0</v>
      </c>
      <c r="E369" s="156">
        <f>F801D!E142*$D22*(1+E$25)*(1+E$26)</f>
        <v>0</v>
      </c>
      <c r="F369" s="156">
        <f>F801D!F142*$D22*(1+F$25)*(1+F$26)</f>
        <v>0</v>
      </c>
      <c r="G369" s="156">
        <f>F801D!G142*$D22*(1+G$25)*(1+G$26)</f>
        <v>0</v>
      </c>
      <c r="H369" s="156">
        <f>F801D!H142*$D22*(1+H$25)*(1+H$26)</f>
        <v>0</v>
      </c>
      <c r="I369" s="156">
        <f>F801D!I142*$D22*(1+I$25)*(1+I$26)</f>
        <v>0</v>
      </c>
      <c r="J369" s="154">
        <f t="shared" si="86"/>
        <v>0</v>
      </c>
    </row>
    <row r="370" spans="2:10">
      <c r="C370" s="157" t="s">
        <v>1480</v>
      </c>
      <c r="D370" s="156">
        <f>F801D!D143*$D23*(1+D$25)*(1+D$26)</f>
        <v>0</v>
      </c>
      <c r="E370" s="156">
        <f>F801D!E143*$D23*(1+E$25)*(1+E$26)</f>
        <v>0</v>
      </c>
      <c r="F370" s="156">
        <f>F801D!F143*$D23*(1+F$25)*(1+F$26)</f>
        <v>0</v>
      </c>
      <c r="G370" s="156">
        <f>F801D!G143*$D23*(1+G$25)*(1+G$26)</f>
        <v>0</v>
      </c>
      <c r="H370" s="156">
        <f>F801D!H143*$D23*(1+H$25)*(1+H$26)</f>
        <v>0</v>
      </c>
      <c r="I370" s="156">
        <f>F801D!I143*$D23*(1+I$25)*(1+I$26)</f>
        <v>0</v>
      </c>
      <c r="J370" s="154">
        <f t="shared" si="86"/>
        <v>0</v>
      </c>
    </row>
    <row r="371" spans="2:10">
      <c r="C371" s="157" t="s">
        <v>1480</v>
      </c>
      <c r="D371" s="156">
        <f>F801D!D144*$D24*(1+D$25)*(1+D$26)</f>
        <v>0</v>
      </c>
      <c r="E371" s="156">
        <f>F801D!E144*$D24*(1+E$25)*(1+E$26)</f>
        <v>0</v>
      </c>
      <c r="F371" s="156">
        <f>F801D!F144*$D24*(1+F$25)*(1+F$26)</f>
        <v>0</v>
      </c>
      <c r="G371" s="156">
        <f>F801D!G144*$D24*(1+G$25)*(1+G$26)</f>
        <v>0</v>
      </c>
      <c r="H371" s="156">
        <f>F801D!H144*$D24*(1+H$25)*(1+H$26)</f>
        <v>0</v>
      </c>
      <c r="I371" s="156">
        <f>F801D!I144*$D24*(1+I$25)*(1+I$26)</f>
        <v>0</v>
      </c>
      <c r="J371" s="154">
        <f t="shared" si="86"/>
        <v>0</v>
      </c>
    </row>
    <row r="372" spans="2:10">
      <c r="C372" s="157"/>
      <c r="D372" s="156"/>
      <c r="E372" s="156"/>
      <c r="F372" s="156"/>
      <c r="G372" s="156"/>
      <c r="H372" s="156"/>
      <c r="I372" s="156"/>
      <c r="J372" s="154">
        <f t="shared" si="86"/>
        <v>0</v>
      </c>
    </row>
    <row r="373" spans="2:10">
      <c r="C373" s="153" t="s">
        <v>112</v>
      </c>
      <c r="D373" s="154">
        <f t="shared" ref="D373:I373" si="93">D346+D352+D364</f>
        <v>0</v>
      </c>
      <c r="E373" s="154">
        <f t="shared" si="93"/>
        <v>0</v>
      </c>
      <c r="F373" s="154">
        <f t="shared" si="93"/>
        <v>0</v>
      </c>
      <c r="G373" s="154">
        <f t="shared" si="93"/>
        <v>0</v>
      </c>
      <c r="H373" s="154">
        <f t="shared" si="93"/>
        <v>0</v>
      </c>
      <c r="I373" s="154">
        <f t="shared" si="93"/>
        <v>0</v>
      </c>
      <c r="J373" s="154">
        <f t="shared" si="86"/>
        <v>0</v>
      </c>
    </row>
    <row r="374" spans="2:10">
      <c r="C374" s="164"/>
      <c r="D374" s="164"/>
      <c r="E374" s="164"/>
      <c r="F374" s="164"/>
      <c r="G374" s="164"/>
      <c r="H374" s="164"/>
      <c r="I374" s="164"/>
      <c r="J374" s="164"/>
    </row>
    <row r="375" spans="2:10">
      <c r="C375" s="153" t="s">
        <v>111</v>
      </c>
      <c r="D375" s="154">
        <f t="shared" ref="D375:J375" si="94">D121+D216+D311+D342+D373</f>
        <v>1443599.6671008705</v>
      </c>
      <c r="E375" s="154">
        <f t="shared" si="94"/>
        <v>1444028.6628351677</v>
      </c>
      <c r="F375" s="154">
        <f t="shared" si="94"/>
        <v>1416792.5453714451</v>
      </c>
      <c r="G375" s="154">
        <f t="shared" si="94"/>
        <v>1439556.9311233128</v>
      </c>
      <c r="H375" s="154">
        <f t="shared" si="94"/>
        <v>1376669.9151848974</v>
      </c>
      <c r="I375" s="154">
        <f t="shared" si="94"/>
        <v>1383774.1325213013</v>
      </c>
      <c r="J375" s="154">
        <f t="shared" si="94"/>
        <v>8504421.8541369941</v>
      </c>
    </row>
    <row r="376" spans="2:10">
      <c r="D376" s="336"/>
      <c r="E376" s="336"/>
      <c r="F376" s="336"/>
      <c r="G376" s="336"/>
      <c r="H376" s="336"/>
      <c r="I376" s="336"/>
    </row>
    <row r="377" spans="2:10">
      <c r="C377" s="52" t="str">
        <f>'PORTADA PORTADA PORTADA'!$B$23</f>
        <v>1 DE JULIO DE 2026</v>
      </c>
    </row>
    <row r="381" spans="2:10">
      <c r="B381" s="48" t="s">
        <v>902</v>
      </c>
      <c r="D381" s="64">
        <f t="shared" ref="D381:J396" si="95">SUMIF($B$29:$B$375,$B381,D$29:D$375)</f>
        <v>63585.036602658583</v>
      </c>
      <c r="E381" s="64">
        <f t="shared" si="95"/>
        <v>63611.573368076424</v>
      </c>
      <c r="F381" s="64">
        <f t="shared" si="95"/>
        <v>62410.122165886016</v>
      </c>
      <c r="G381" s="64">
        <f t="shared" si="95"/>
        <v>63393.522027749314</v>
      </c>
      <c r="H381" s="64">
        <f t="shared" si="95"/>
        <v>60646.695285789247</v>
      </c>
      <c r="I381" s="64">
        <f t="shared" si="95"/>
        <v>60930.877817090441</v>
      </c>
      <c r="J381" s="64">
        <f t="shared" si="95"/>
        <v>374577.82726725005</v>
      </c>
    </row>
    <row r="382" spans="2:10">
      <c r="B382" s="48" t="s">
        <v>751</v>
      </c>
      <c r="D382" s="64">
        <f t="shared" si="95"/>
        <v>340738.65796659369</v>
      </c>
      <c r="E382" s="64">
        <f t="shared" si="95"/>
        <v>340880.86460984865</v>
      </c>
      <c r="F382" s="64">
        <f t="shared" si="95"/>
        <v>334442.46340277581</v>
      </c>
      <c r="G382" s="64">
        <f t="shared" si="95"/>
        <v>339712.35938033415</v>
      </c>
      <c r="H382" s="64">
        <f t="shared" si="95"/>
        <v>324992.51676099777</v>
      </c>
      <c r="I382" s="64">
        <f t="shared" si="95"/>
        <v>326515.40936722502</v>
      </c>
      <c r="J382" s="64">
        <f t="shared" si="95"/>
        <v>2007282.2714877748</v>
      </c>
    </row>
    <row r="383" spans="2:10">
      <c r="B383" s="48" t="s">
        <v>750</v>
      </c>
      <c r="D383" s="64">
        <f t="shared" si="95"/>
        <v>175549.3433080659</v>
      </c>
      <c r="E383" s="64">
        <f t="shared" si="95"/>
        <v>175622.60758519033</v>
      </c>
      <c r="F383" s="64">
        <f t="shared" si="95"/>
        <v>172305.56979091786</v>
      </c>
      <c r="G383" s="64">
        <f t="shared" si="95"/>
        <v>175020.59850180999</v>
      </c>
      <c r="H383" s="64">
        <f t="shared" si="95"/>
        <v>167436.99618755167</v>
      </c>
      <c r="I383" s="64">
        <f t="shared" si="95"/>
        <v>168221.58418836226</v>
      </c>
      <c r="J383" s="64">
        <f t="shared" si="95"/>
        <v>1034156.699561898</v>
      </c>
    </row>
    <row r="384" spans="2:10">
      <c r="B384" s="48" t="s">
        <v>749</v>
      </c>
      <c r="D384" s="64">
        <f t="shared" si="95"/>
        <v>219594.45254122745</v>
      </c>
      <c r="E384" s="64">
        <f t="shared" si="95"/>
        <v>219686.09873324839</v>
      </c>
      <c r="F384" s="64">
        <f t="shared" si="95"/>
        <v>215536.82033228304</v>
      </c>
      <c r="G384" s="64">
        <f t="shared" si="95"/>
        <v>218933.04632873012</v>
      </c>
      <c r="H384" s="64">
        <f t="shared" si="95"/>
        <v>209446.72774098394</v>
      </c>
      <c r="I384" s="64">
        <f t="shared" si="95"/>
        <v>210428.16788346323</v>
      </c>
      <c r="J384" s="64">
        <f t="shared" si="95"/>
        <v>1293625.3135599364</v>
      </c>
    </row>
    <row r="385" spans="2:10">
      <c r="B385" s="48" t="s">
        <v>1176</v>
      </c>
      <c r="D385" s="64">
        <f t="shared" si="95"/>
        <v>4.25</v>
      </c>
      <c r="E385" s="64">
        <f t="shared" si="95"/>
        <v>4.25</v>
      </c>
      <c r="F385" s="64">
        <f t="shared" si="95"/>
        <v>4.25</v>
      </c>
      <c r="G385" s="64">
        <f t="shared" si="95"/>
        <v>4.25</v>
      </c>
      <c r="H385" s="64">
        <f t="shared" si="95"/>
        <v>4.25</v>
      </c>
      <c r="I385" s="64">
        <f t="shared" si="95"/>
        <v>4.25</v>
      </c>
      <c r="J385" s="64">
        <f t="shared" si="95"/>
        <v>25.5</v>
      </c>
    </row>
    <row r="386" spans="2:10">
      <c r="B386" s="48" t="s">
        <v>274</v>
      </c>
      <c r="D386" s="64">
        <f t="shared" si="95"/>
        <v>338743.15200162528</v>
      </c>
      <c r="E386" s="64">
        <f t="shared" si="95"/>
        <v>338884.52406086837</v>
      </c>
      <c r="F386" s="64">
        <f t="shared" si="95"/>
        <v>332483.90861812903</v>
      </c>
      <c r="G386" s="64">
        <f t="shared" si="95"/>
        <v>337722.87656851625</v>
      </c>
      <c r="H386" s="64">
        <f t="shared" si="95"/>
        <v>323089.42193376657</v>
      </c>
      <c r="I386" s="64">
        <f t="shared" si="95"/>
        <v>324603.37697004847</v>
      </c>
      <c r="J386" s="64">
        <f t="shared" si="95"/>
        <v>1995527.2601529541</v>
      </c>
    </row>
    <row r="387" spans="2:10">
      <c r="B387" s="48" t="s">
        <v>275</v>
      </c>
      <c r="D387" s="64">
        <f t="shared" si="95"/>
        <v>16507.898604903097</v>
      </c>
      <c r="E387" s="64">
        <f t="shared" si="95"/>
        <v>16514.788059658898</v>
      </c>
      <c r="F387" s="64">
        <f t="shared" si="95"/>
        <v>16202.868216812269</v>
      </c>
      <c r="G387" s="64">
        <f t="shared" si="95"/>
        <v>16458.177737339243</v>
      </c>
      <c r="H387" s="64">
        <f t="shared" si="95"/>
        <v>15745.048677984152</v>
      </c>
      <c r="I387" s="64">
        <f t="shared" si="95"/>
        <v>15818.827929560595</v>
      </c>
      <c r="J387" s="64">
        <f t="shared" si="95"/>
        <v>97247.609226258253</v>
      </c>
    </row>
    <row r="388" spans="2:10">
      <c r="B388" s="48" t="s">
        <v>276</v>
      </c>
      <c r="D388" s="64">
        <f t="shared" si="95"/>
        <v>147709.42827593224</v>
      </c>
      <c r="E388" s="64">
        <f t="shared" si="95"/>
        <v>147771.07376137338</v>
      </c>
      <c r="F388" s="64">
        <f t="shared" si="95"/>
        <v>144980.07638747935</v>
      </c>
      <c r="G388" s="64">
        <f t="shared" si="95"/>
        <v>147264.53573709278</v>
      </c>
      <c r="H388" s="64">
        <f t="shared" si="95"/>
        <v>140883.59724423051</v>
      </c>
      <c r="I388" s="64">
        <f t="shared" si="95"/>
        <v>141543.75946898182</v>
      </c>
      <c r="J388" s="64">
        <f t="shared" si="95"/>
        <v>870152.47087508999</v>
      </c>
    </row>
    <row r="389" spans="2:10">
      <c r="B389" s="48" t="s">
        <v>277</v>
      </c>
      <c r="D389" s="64">
        <f t="shared" si="95"/>
        <v>24658.18072811779</v>
      </c>
      <c r="E389" s="64">
        <f t="shared" si="95"/>
        <v>24668.471645487261</v>
      </c>
      <c r="F389" s="64">
        <f t="shared" si="95"/>
        <v>24202.550692028428</v>
      </c>
      <c r="G389" s="64">
        <f t="shared" si="95"/>
        <v>24583.911666519354</v>
      </c>
      <c r="H389" s="64">
        <f t="shared" si="95"/>
        <v>23518.696423264366</v>
      </c>
      <c r="I389" s="64">
        <f t="shared" si="95"/>
        <v>23628.901977762795</v>
      </c>
      <c r="J389" s="64">
        <f t="shared" si="95"/>
        <v>145260.71313317999</v>
      </c>
    </row>
    <row r="390" spans="2:10">
      <c r="B390" s="48" t="s">
        <v>278</v>
      </c>
      <c r="D390" s="64">
        <f t="shared" si="95"/>
        <v>2.8149999999999999</v>
      </c>
      <c r="E390" s="64">
        <f t="shared" si="95"/>
        <v>2.8149999999999999</v>
      </c>
      <c r="F390" s="64">
        <f t="shared" si="95"/>
        <v>2.8149999999999999</v>
      </c>
      <c r="G390" s="64">
        <f t="shared" si="95"/>
        <v>2.8149999999999999</v>
      </c>
      <c r="H390" s="64">
        <f t="shared" si="95"/>
        <v>2.8149999999999999</v>
      </c>
      <c r="I390" s="64">
        <f t="shared" si="95"/>
        <v>2.8149999999999999</v>
      </c>
      <c r="J390" s="64">
        <f t="shared" si="95"/>
        <v>16.89</v>
      </c>
    </row>
    <row r="391" spans="2:10">
      <c r="B391" s="48" t="s">
        <v>279</v>
      </c>
      <c r="D391" s="64">
        <f t="shared" si="95"/>
        <v>107669.97786831252</v>
      </c>
      <c r="E391" s="64">
        <f t="shared" si="95"/>
        <v>107714.91434706438</v>
      </c>
      <c r="F391" s="64">
        <f t="shared" si="95"/>
        <v>105680.41671449677</v>
      </c>
      <c r="G391" s="64">
        <f t="shared" si="95"/>
        <v>107345.67343668455</v>
      </c>
      <c r="H391" s="64">
        <f t="shared" si="95"/>
        <v>102694.28810084845</v>
      </c>
      <c r="I391" s="64">
        <f t="shared" si="95"/>
        <v>103175.51337749328</v>
      </c>
      <c r="J391" s="64">
        <f t="shared" si="95"/>
        <v>634280.78384489997</v>
      </c>
    </row>
    <row r="392" spans="2:10">
      <c r="B392" s="48" t="s">
        <v>875</v>
      </c>
      <c r="D392" s="64">
        <f t="shared" si="95"/>
        <v>936.14238321219034</v>
      </c>
      <c r="E392" s="64">
        <f t="shared" si="95"/>
        <v>918.77220944308829</v>
      </c>
      <c r="F392" s="64">
        <f t="shared" si="95"/>
        <v>933.00168654475215</v>
      </c>
      <c r="G392" s="64">
        <f t="shared" si="95"/>
        <v>983.27840803334993</v>
      </c>
      <c r="H392" s="64">
        <f t="shared" si="95"/>
        <v>904.93052687432998</v>
      </c>
      <c r="I392" s="64">
        <f t="shared" si="95"/>
        <v>1017.0367768331539</v>
      </c>
      <c r="J392" s="64">
        <f t="shared" si="95"/>
        <v>5693.1619909408637</v>
      </c>
    </row>
    <row r="393" spans="2:10">
      <c r="B393" s="48" t="s">
        <v>874</v>
      </c>
      <c r="D393" s="64">
        <f t="shared" si="95"/>
        <v>31.319228193065996</v>
      </c>
      <c r="E393" s="64">
        <f t="shared" si="95"/>
        <v>31.040917441973999</v>
      </c>
      <c r="F393" s="64">
        <f t="shared" si="95"/>
        <v>29.72972836944</v>
      </c>
      <c r="G393" s="64">
        <f t="shared" si="95"/>
        <v>30.830251735799997</v>
      </c>
      <c r="H393" s="64">
        <f t="shared" si="95"/>
        <v>29.856586271094006</v>
      </c>
      <c r="I393" s="64">
        <f t="shared" si="95"/>
        <v>30.933796271400034</v>
      </c>
      <c r="J393" s="64">
        <f t="shared" si="95"/>
        <v>183.71050828277404</v>
      </c>
    </row>
    <row r="394" spans="2:10">
      <c r="B394" s="48" t="s">
        <v>873</v>
      </c>
      <c r="D394" s="64">
        <f t="shared" si="95"/>
        <v>4819.6784803160181</v>
      </c>
      <c r="E394" s="64">
        <f t="shared" si="95"/>
        <v>4770.9567544237143</v>
      </c>
      <c r="F394" s="64">
        <f t="shared" si="95"/>
        <v>4635.5105274326252</v>
      </c>
      <c r="G394" s="64">
        <f t="shared" si="95"/>
        <v>4822.6035451872967</v>
      </c>
      <c r="H394" s="64">
        <f t="shared" si="95"/>
        <v>4446.560414282183</v>
      </c>
      <c r="I394" s="64">
        <f t="shared" si="95"/>
        <v>4767.9375778458716</v>
      </c>
      <c r="J394" s="64">
        <f t="shared" si="95"/>
        <v>28263.24729948771</v>
      </c>
    </row>
    <row r="395" spans="2:10">
      <c r="B395" s="48" t="s">
        <v>872</v>
      </c>
      <c r="D395" s="64">
        <f t="shared" si="95"/>
        <v>1149.8175321195415</v>
      </c>
      <c r="E395" s="64">
        <f t="shared" si="95"/>
        <v>1160.6173909763399</v>
      </c>
      <c r="F395" s="64">
        <f t="shared" si="95"/>
        <v>1129.0101573356101</v>
      </c>
      <c r="G395" s="64">
        <f t="shared" si="95"/>
        <v>1210.0877986635901</v>
      </c>
      <c r="H395" s="64">
        <f t="shared" si="95"/>
        <v>1134.6350032967403</v>
      </c>
      <c r="I395" s="64">
        <f t="shared" si="95"/>
        <v>1128.5220758886167</v>
      </c>
      <c r="J395" s="64">
        <f t="shared" si="95"/>
        <v>6912.6899582804381</v>
      </c>
    </row>
    <row r="396" spans="2:10">
      <c r="B396" s="48" t="s">
        <v>871</v>
      </c>
      <c r="D396" s="64">
        <f t="shared" si="95"/>
        <v>524.36984161121995</v>
      </c>
      <c r="E396" s="64">
        <f t="shared" si="95"/>
        <v>514.29894214247997</v>
      </c>
      <c r="F396" s="64">
        <f t="shared" si="95"/>
        <v>531.72711943955994</v>
      </c>
      <c r="G396" s="64">
        <f t="shared" si="95"/>
        <v>639.30224558395798</v>
      </c>
      <c r="H396" s="64">
        <f t="shared" si="95"/>
        <v>615.55906622588384</v>
      </c>
      <c r="I396" s="64">
        <f t="shared" si="95"/>
        <v>647.16372022220833</v>
      </c>
      <c r="J396" s="64">
        <f t="shared" si="95"/>
        <v>3472.4209352253101</v>
      </c>
    </row>
    <row r="397" spans="2:10">
      <c r="B397" s="48" t="s">
        <v>870</v>
      </c>
      <c r="D397" s="64">
        <f t="shared" ref="D397:J398" si="96">SUMIF($B$29:$B$375,$B397,D$29:D$375)</f>
        <v>1098.3745169822701</v>
      </c>
      <c r="E397" s="64">
        <f t="shared" si="96"/>
        <v>994.22322892397983</v>
      </c>
      <c r="F397" s="64">
        <f t="shared" si="96"/>
        <v>1004.9326105145578</v>
      </c>
      <c r="G397" s="64">
        <f t="shared" si="96"/>
        <v>1152.2902683328739</v>
      </c>
      <c r="H397" s="64">
        <f t="shared" si="96"/>
        <v>800.54801153019002</v>
      </c>
      <c r="I397" s="64">
        <f t="shared" si="96"/>
        <v>1032.282373252086</v>
      </c>
      <c r="J397" s="64">
        <f t="shared" si="96"/>
        <v>6082.6510095359572</v>
      </c>
    </row>
    <row r="398" spans="2:10">
      <c r="B398" s="48" t="s">
        <v>890</v>
      </c>
      <c r="D398" s="64">
        <f t="shared" si="96"/>
        <v>276.77222100000051</v>
      </c>
      <c r="E398" s="64">
        <f t="shared" si="96"/>
        <v>276.77222100000051</v>
      </c>
      <c r="F398" s="64">
        <f t="shared" si="96"/>
        <v>276.77222100000051</v>
      </c>
      <c r="G398" s="64">
        <f t="shared" si="96"/>
        <v>276.77222100000051</v>
      </c>
      <c r="H398" s="64">
        <f t="shared" si="96"/>
        <v>276.77222100000051</v>
      </c>
      <c r="I398" s="64">
        <f t="shared" si="96"/>
        <v>276.77222100000051</v>
      </c>
      <c r="J398" s="64">
        <f t="shared" si="96"/>
        <v>1660.6333260000033</v>
      </c>
    </row>
    <row r="399" spans="2:10">
      <c r="B399" s="48" t="s">
        <v>111</v>
      </c>
      <c r="D399" s="65">
        <f t="shared" ref="D399:J399" si="97">SUM(D381:D398)</f>
        <v>1443599.6671008707</v>
      </c>
      <c r="E399" s="65">
        <f t="shared" si="97"/>
        <v>1444028.6628351673</v>
      </c>
      <c r="F399" s="65">
        <f t="shared" si="97"/>
        <v>1416792.5453714451</v>
      </c>
      <c r="G399" s="65">
        <f t="shared" si="97"/>
        <v>1439556.9311233123</v>
      </c>
      <c r="H399" s="65">
        <f t="shared" si="97"/>
        <v>1376669.9151848969</v>
      </c>
      <c r="I399" s="65">
        <f t="shared" si="97"/>
        <v>1383774.132521301</v>
      </c>
      <c r="J399" s="65">
        <f t="shared" si="97"/>
        <v>8504421.8541369922</v>
      </c>
    </row>
    <row r="400" spans="2:10" ht="17.25" customHeight="1">
      <c r="D400" s="66">
        <f t="shared" ref="D400:J400" si="98">D399-D375</f>
        <v>0</v>
      </c>
      <c r="E400" s="66">
        <f t="shared" si="98"/>
        <v>0</v>
      </c>
      <c r="F400" s="66">
        <f t="shared" si="98"/>
        <v>0</v>
      </c>
      <c r="G400" s="66">
        <f t="shared" si="98"/>
        <v>0</v>
      </c>
      <c r="H400" s="66">
        <f t="shared" si="98"/>
        <v>0</v>
      </c>
      <c r="I400" s="66">
        <f t="shared" si="98"/>
        <v>0</v>
      </c>
      <c r="J400" s="66">
        <f t="shared" si="98"/>
        <v>0</v>
      </c>
    </row>
    <row r="402" spans="2:10">
      <c r="B402" s="48" t="s">
        <v>902</v>
      </c>
      <c r="D402" s="64">
        <f t="shared" ref="D402:J417" si="99">D381-D422</f>
        <v>61789.694392701167</v>
      </c>
      <c r="E402" s="64">
        <f t="shared" si="99"/>
        <v>61815.481884742505</v>
      </c>
      <c r="F402" s="64">
        <f t="shared" si="99"/>
        <v>60647.954010613939</v>
      </c>
      <c r="G402" s="64">
        <f t="shared" si="99"/>
        <v>61603.587288142277</v>
      </c>
      <c r="H402" s="64">
        <f t="shared" si="99"/>
        <v>58934.318007131667</v>
      </c>
      <c r="I402" s="64">
        <f t="shared" si="99"/>
        <v>59210.476561078474</v>
      </c>
      <c r="J402" s="64">
        <f t="shared" si="99"/>
        <v>364001.51214441005</v>
      </c>
    </row>
    <row r="403" spans="2:10">
      <c r="B403" s="48" t="s">
        <v>751</v>
      </c>
      <c r="D403" s="64">
        <f t="shared" si="99"/>
        <v>331117.80174165458</v>
      </c>
      <c r="E403" s="64">
        <f t="shared" si="99"/>
        <v>331255.99313851172</v>
      </c>
      <c r="F403" s="64">
        <f t="shared" si="99"/>
        <v>324999.38208316802</v>
      </c>
      <c r="G403" s="64">
        <f t="shared" si="99"/>
        <v>330120.48099783057</v>
      </c>
      <c r="H403" s="64">
        <f t="shared" si="99"/>
        <v>315816.25746421667</v>
      </c>
      <c r="I403" s="64">
        <f t="shared" si="99"/>
        <v>317296.15074979747</v>
      </c>
      <c r="J403" s="64">
        <f t="shared" si="99"/>
        <v>1950606.0661751789</v>
      </c>
    </row>
    <row r="404" spans="2:10">
      <c r="B404" s="48" t="s">
        <v>750</v>
      </c>
      <c r="D404" s="64">
        <f t="shared" si="99"/>
        <v>171929.7692192398</v>
      </c>
      <c r="E404" s="64">
        <f t="shared" si="99"/>
        <v>172001.52289271218</v>
      </c>
      <c r="F404" s="64">
        <f t="shared" si="99"/>
        <v>168752.87763028039</v>
      </c>
      <c r="G404" s="64">
        <f t="shared" si="99"/>
        <v>171411.92636775205</v>
      </c>
      <c r="H404" s="64">
        <f t="shared" si="99"/>
        <v>163984.68698780835</v>
      </c>
      <c r="I404" s="64">
        <f t="shared" si="99"/>
        <v>164753.09791643725</v>
      </c>
      <c r="J404" s="64">
        <f t="shared" si="99"/>
        <v>1012833.88101423</v>
      </c>
    </row>
    <row r="405" spans="2:10">
      <c r="B405" s="48" t="s">
        <v>749</v>
      </c>
      <c r="D405" s="64">
        <f t="shared" si="99"/>
        <v>216014.10820631613</v>
      </c>
      <c r="E405" s="64">
        <f t="shared" si="99"/>
        <v>216104.26016694543</v>
      </c>
      <c r="F405" s="64">
        <f t="shared" si="99"/>
        <v>212022.63304425668</v>
      </c>
      <c r="G405" s="64">
        <f t="shared" si="99"/>
        <v>215363.48579076171</v>
      </c>
      <c r="H405" s="64">
        <f t="shared" si="99"/>
        <v>206031.8354408592</v>
      </c>
      <c r="I405" s="64">
        <f t="shared" si="99"/>
        <v>206997.27384188503</v>
      </c>
      <c r="J405" s="64">
        <f t="shared" si="99"/>
        <v>1272533.5964910244</v>
      </c>
    </row>
    <row r="406" spans="2:10">
      <c r="B406" s="48" t="s">
        <v>1176</v>
      </c>
      <c r="D406" s="64">
        <f t="shared" si="99"/>
        <v>4.13</v>
      </c>
      <c r="E406" s="64">
        <f t="shared" si="99"/>
        <v>4.13</v>
      </c>
      <c r="F406" s="64">
        <f t="shared" si="99"/>
        <v>4.13</v>
      </c>
      <c r="G406" s="64">
        <f t="shared" si="99"/>
        <v>4.13</v>
      </c>
      <c r="H406" s="64">
        <f t="shared" si="99"/>
        <v>4.13</v>
      </c>
      <c r="I406" s="64">
        <f t="shared" si="99"/>
        <v>4.13</v>
      </c>
      <c r="J406" s="64">
        <f t="shared" si="99"/>
        <v>24.78</v>
      </c>
    </row>
    <row r="407" spans="2:10">
      <c r="B407" s="48" t="s">
        <v>274</v>
      </c>
      <c r="D407" s="64">
        <f t="shared" si="99"/>
        <v>332068.40059839591</v>
      </c>
      <c r="E407" s="64">
        <f t="shared" si="99"/>
        <v>332206.98699733784</v>
      </c>
      <c r="F407" s="64">
        <f t="shared" si="99"/>
        <v>325932.49223528389</v>
      </c>
      <c r="G407" s="64">
        <f t="shared" si="99"/>
        <v>331068.22914329672</v>
      </c>
      <c r="H407" s="64">
        <f t="shared" si="99"/>
        <v>316723.11885227833</v>
      </c>
      <c r="I407" s="64">
        <f t="shared" si="99"/>
        <v>318207.24221980729</v>
      </c>
      <c r="J407" s="64">
        <f t="shared" si="99"/>
        <v>1956206.4700464001</v>
      </c>
    </row>
    <row r="408" spans="2:10">
      <c r="B408" s="48" t="s">
        <v>275</v>
      </c>
      <c r="D408" s="64">
        <f t="shared" si="99"/>
        <v>16185.061127889267</v>
      </c>
      <c r="E408" s="64">
        <f t="shared" si="99"/>
        <v>16191.815848706812</v>
      </c>
      <c r="F408" s="64">
        <f t="shared" si="99"/>
        <v>15885.996080588364</v>
      </c>
      <c r="G408" s="64">
        <f t="shared" si="99"/>
        <v>16136.312628754818</v>
      </c>
      <c r="H408" s="64">
        <f t="shared" si="99"/>
        <v>15437.129910591761</v>
      </c>
      <c r="I408" s="64">
        <f t="shared" si="99"/>
        <v>15509.466294847232</v>
      </c>
      <c r="J408" s="64">
        <f t="shared" si="99"/>
        <v>95345.781891378254</v>
      </c>
    </row>
    <row r="409" spans="2:10">
      <c r="B409" s="48" t="s">
        <v>276</v>
      </c>
      <c r="D409" s="64">
        <f t="shared" si="99"/>
        <v>144823.45365597619</v>
      </c>
      <c r="E409" s="64">
        <f t="shared" si="99"/>
        <v>144883.89470031636</v>
      </c>
      <c r="F409" s="64">
        <f t="shared" si="99"/>
        <v>142147.4283585943</v>
      </c>
      <c r="G409" s="64">
        <f t="shared" si="99"/>
        <v>144387.25351132365</v>
      </c>
      <c r="H409" s="64">
        <f t="shared" si="99"/>
        <v>138130.98699611943</v>
      </c>
      <c r="I409" s="64">
        <f t="shared" si="99"/>
        <v>138778.25084703014</v>
      </c>
      <c r="J409" s="64">
        <f t="shared" si="99"/>
        <v>853151.26806935994</v>
      </c>
    </row>
    <row r="410" spans="2:10">
      <c r="B410" s="48" t="s">
        <v>277</v>
      </c>
      <c r="D410" s="64">
        <f t="shared" si="99"/>
        <v>24176.404550481384</v>
      </c>
      <c r="E410" s="64">
        <f t="shared" si="99"/>
        <v>24186.494401969747</v>
      </c>
      <c r="F410" s="64">
        <f t="shared" si="99"/>
        <v>23729.676699821834</v>
      </c>
      <c r="G410" s="64">
        <f t="shared" si="99"/>
        <v>24103.586571791624</v>
      </c>
      <c r="H410" s="64">
        <f t="shared" si="99"/>
        <v>23059.183704514973</v>
      </c>
      <c r="I410" s="64">
        <f t="shared" si="99"/>
        <v>23167.23604214043</v>
      </c>
      <c r="J410" s="64">
        <f t="shared" si="99"/>
        <v>142422.58197072</v>
      </c>
    </row>
    <row r="411" spans="2:10">
      <c r="B411" s="48" t="s">
        <v>278</v>
      </c>
      <c r="D411" s="64">
        <f t="shared" si="99"/>
        <v>2.76</v>
      </c>
      <c r="E411" s="64">
        <f t="shared" si="99"/>
        <v>2.76</v>
      </c>
      <c r="F411" s="64">
        <f t="shared" si="99"/>
        <v>2.76</v>
      </c>
      <c r="G411" s="64">
        <f t="shared" si="99"/>
        <v>2.76</v>
      </c>
      <c r="H411" s="64">
        <f t="shared" si="99"/>
        <v>2.76</v>
      </c>
      <c r="I411" s="64">
        <f t="shared" si="99"/>
        <v>2.76</v>
      </c>
      <c r="J411" s="64">
        <f t="shared" si="99"/>
        <v>16.560000000000002</v>
      </c>
    </row>
    <row r="412" spans="2:10">
      <c r="B412" s="48" t="s">
        <v>279</v>
      </c>
      <c r="D412" s="64">
        <f t="shared" si="99"/>
        <v>105566.30156893164</v>
      </c>
      <c r="E412" s="64">
        <f t="shared" si="99"/>
        <v>105610.36007030113</v>
      </c>
      <c r="F412" s="64">
        <f t="shared" si="99"/>
        <v>103615.61283552791</v>
      </c>
      <c r="G412" s="64">
        <f t="shared" si="99"/>
        <v>105248.3334583479</v>
      </c>
      <c r="H412" s="64">
        <f t="shared" si="99"/>
        <v>100687.82776495266</v>
      </c>
      <c r="I412" s="64">
        <f t="shared" si="99"/>
        <v>101159.6507715387</v>
      </c>
      <c r="J412" s="64">
        <f t="shared" si="99"/>
        <v>621888.08646959998</v>
      </c>
    </row>
    <row r="413" spans="2:10">
      <c r="B413" s="48" t="s">
        <v>875</v>
      </c>
      <c r="D413" s="64">
        <f t="shared" si="99"/>
        <v>0</v>
      </c>
      <c r="E413" s="64">
        <f t="shared" si="99"/>
        <v>0</v>
      </c>
      <c r="F413" s="64">
        <f t="shared" si="99"/>
        <v>0</v>
      </c>
      <c r="G413" s="64">
        <f t="shared" si="99"/>
        <v>0</v>
      </c>
      <c r="H413" s="64">
        <f t="shared" si="99"/>
        <v>0</v>
      </c>
      <c r="I413" s="64">
        <f t="shared" si="99"/>
        <v>0</v>
      </c>
      <c r="J413" s="64">
        <f t="shared" si="99"/>
        <v>0</v>
      </c>
    </row>
    <row r="414" spans="2:10">
      <c r="B414" s="48" t="s">
        <v>874</v>
      </c>
      <c r="D414" s="64">
        <f t="shared" si="99"/>
        <v>0</v>
      </c>
      <c r="E414" s="64">
        <f t="shared" si="99"/>
        <v>0</v>
      </c>
      <c r="F414" s="64">
        <f t="shared" si="99"/>
        <v>0</v>
      </c>
      <c r="G414" s="64">
        <f t="shared" si="99"/>
        <v>0</v>
      </c>
      <c r="H414" s="64">
        <f t="shared" si="99"/>
        <v>0</v>
      </c>
      <c r="I414" s="64">
        <f t="shared" si="99"/>
        <v>0</v>
      </c>
      <c r="J414" s="64">
        <f t="shared" si="99"/>
        <v>0</v>
      </c>
    </row>
    <row r="415" spans="2:10">
      <c r="B415" s="48" t="s">
        <v>873</v>
      </c>
      <c r="D415" s="64">
        <f t="shared" si="99"/>
        <v>0</v>
      </c>
      <c r="E415" s="64">
        <f t="shared" si="99"/>
        <v>0</v>
      </c>
      <c r="F415" s="64">
        <f t="shared" si="99"/>
        <v>0</v>
      </c>
      <c r="G415" s="64">
        <f t="shared" si="99"/>
        <v>0</v>
      </c>
      <c r="H415" s="64">
        <f t="shared" si="99"/>
        <v>0</v>
      </c>
      <c r="I415" s="64">
        <f t="shared" si="99"/>
        <v>0</v>
      </c>
      <c r="J415" s="64">
        <f t="shared" si="99"/>
        <v>0</v>
      </c>
    </row>
    <row r="416" spans="2:10">
      <c r="B416" s="48" t="s">
        <v>872</v>
      </c>
      <c r="D416" s="64">
        <f t="shared" si="99"/>
        <v>0</v>
      </c>
      <c r="E416" s="64">
        <f t="shared" si="99"/>
        <v>0</v>
      </c>
      <c r="F416" s="64">
        <f t="shared" si="99"/>
        <v>0</v>
      </c>
      <c r="G416" s="64">
        <f t="shared" si="99"/>
        <v>0</v>
      </c>
      <c r="H416" s="64">
        <f t="shared" si="99"/>
        <v>0</v>
      </c>
      <c r="I416" s="64">
        <f t="shared" si="99"/>
        <v>0</v>
      </c>
      <c r="J416" s="64">
        <f t="shared" si="99"/>
        <v>0</v>
      </c>
    </row>
    <row r="417" spans="2:10">
      <c r="B417" s="48" t="s">
        <v>871</v>
      </c>
      <c r="D417" s="64">
        <f t="shared" si="99"/>
        <v>0</v>
      </c>
      <c r="E417" s="64">
        <f t="shared" si="99"/>
        <v>0</v>
      </c>
      <c r="F417" s="64">
        <f t="shared" si="99"/>
        <v>0</v>
      </c>
      <c r="G417" s="64">
        <f t="shared" si="99"/>
        <v>0</v>
      </c>
      <c r="H417" s="64">
        <f t="shared" si="99"/>
        <v>0</v>
      </c>
      <c r="I417" s="64">
        <f t="shared" si="99"/>
        <v>0</v>
      </c>
      <c r="J417" s="64">
        <f t="shared" si="99"/>
        <v>0</v>
      </c>
    </row>
    <row r="418" spans="2:10">
      <c r="B418" s="48" t="s">
        <v>870</v>
      </c>
      <c r="D418" s="64">
        <f t="shared" ref="D418:J418" si="100">D397-D438</f>
        <v>0</v>
      </c>
      <c r="E418" s="64">
        <f t="shared" si="100"/>
        <v>0</v>
      </c>
      <c r="F418" s="64">
        <f t="shared" si="100"/>
        <v>0</v>
      </c>
      <c r="G418" s="64">
        <f t="shared" si="100"/>
        <v>0</v>
      </c>
      <c r="H418" s="64">
        <f t="shared" si="100"/>
        <v>0</v>
      </c>
      <c r="I418" s="64">
        <f t="shared" si="100"/>
        <v>0</v>
      </c>
      <c r="J418" s="64">
        <f t="shared" si="100"/>
        <v>0</v>
      </c>
    </row>
    <row r="419" spans="2:10">
      <c r="B419" s="48" t="s">
        <v>893</v>
      </c>
      <c r="D419" s="64">
        <f>D398-D439</f>
        <v>0</v>
      </c>
      <c r="E419" s="64"/>
      <c r="F419" s="64"/>
      <c r="G419" s="64"/>
      <c r="H419" s="64"/>
      <c r="I419" s="64"/>
      <c r="J419" s="64"/>
    </row>
    <row r="420" spans="2:10">
      <c r="B420" s="48" t="s">
        <v>111</v>
      </c>
      <c r="C420" s="48" t="s">
        <v>889</v>
      </c>
      <c r="D420" s="65">
        <f>SUM(D402:D419)</f>
        <v>1403677.8850615858</v>
      </c>
      <c r="E420" s="65">
        <f t="shared" ref="E420:J420" si="101">SUM(E402:E419)</f>
        <v>1404263.7001015437</v>
      </c>
      <c r="F420" s="65">
        <f t="shared" si="101"/>
        <v>1377740.9429781351</v>
      </c>
      <c r="G420" s="65">
        <f t="shared" si="101"/>
        <v>1399450.0857580015</v>
      </c>
      <c r="H420" s="65">
        <f t="shared" si="101"/>
        <v>1338812.235128473</v>
      </c>
      <c r="I420" s="65">
        <f t="shared" si="101"/>
        <v>1345085.7352445622</v>
      </c>
      <c r="J420" s="65">
        <f t="shared" si="101"/>
        <v>8269030.5842722999</v>
      </c>
    </row>
    <row r="422" spans="2:10">
      <c r="B422" s="48" t="s">
        <v>902</v>
      </c>
      <c r="D422" s="64">
        <f t="shared" ref="D422:J437" si="102">SUMIF($B$219:$B$342,$B422,D$219:D$342)</f>
        <v>1795.3422099574186</v>
      </c>
      <c r="E422" s="64">
        <f t="shared" si="102"/>
        <v>1796.0914833339225</v>
      </c>
      <c r="F422" s="64">
        <f t="shared" si="102"/>
        <v>1762.1681552720756</v>
      </c>
      <c r="G422" s="64">
        <f t="shared" si="102"/>
        <v>1789.9347396070393</v>
      </c>
      <c r="H422" s="64">
        <f t="shared" si="102"/>
        <v>1712.3772786575789</v>
      </c>
      <c r="I422" s="64">
        <f t="shared" si="102"/>
        <v>1720.4012560119654</v>
      </c>
      <c r="J422" s="64">
        <f t="shared" si="102"/>
        <v>10576.31512284</v>
      </c>
    </row>
    <row r="423" spans="2:10">
      <c r="B423" s="48" t="s">
        <v>751</v>
      </c>
      <c r="D423" s="64">
        <f t="shared" si="102"/>
        <v>9620.8562249391161</v>
      </c>
      <c r="E423" s="64">
        <f t="shared" si="102"/>
        <v>9624.8714713369009</v>
      </c>
      <c r="F423" s="64">
        <f t="shared" si="102"/>
        <v>9443.0813196077888</v>
      </c>
      <c r="G423" s="64">
        <f t="shared" si="102"/>
        <v>9591.8783825035516</v>
      </c>
      <c r="H423" s="64">
        <f t="shared" si="102"/>
        <v>9176.2592967811161</v>
      </c>
      <c r="I423" s="64">
        <f t="shared" si="102"/>
        <v>9219.2586174275275</v>
      </c>
      <c r="J423" s="64">
        <f t="shared" si="102"/>
        <v>56676.205312595994</v>
      </c>
    </row>
    <row r="424" spans="2:10">
      <c r="B424" s="48" t="s">
        <v>750</v>
      </c>
      <c r="D424" s="64">
        <f t="shared" si="102"/>
        <v>3619.5740888261012</v>
      </c>
      <c r="E424" s="64">
        <f t="shared" si="102"/>
        <v>3621.0846924781508</v>
      </c>
      <c r="F424" s="64">
        <f t="shared" si="102"/>
        <v>3552.6921606374817</v>
      </c>
      <c r="G424" s="64">
        <f t="shared" si="102"/>
        <v>3608.6721340579379</v>
      </c>
      <c r="H424" s="64">
        <f t="shared" si="102"/>
        <v>3452.3091997433339</v>
      </c>
      <c r="I424" s="64">
        <f t="shared" si="102"/>
        <v>3468.4862719249954</v>
      </c>
      <c r="J424" s="64">
        <f t="shared" si="102"/>
        <v>21322.818547667997</v>
      </c>
    </row>
    <row r="425" spans="2:10">
      <c r="B425" s="48" t="s">
        <v>749</v>
      </c>
      <c r="D425" s="64">
        <f t="shared" si="102"/>
        <v>3580.3443349113168</v>
      </c>
      <c r="E425" s="64">
        <f t="shared" si="102"/>
        <v>3581.838566302963</v>
      </c>
      <c r="F425" s="64">
        <f t="shared" si="102"/>
        <v>3514.1872880263536</v>
      </c>
      <c r="G425" s="64">
        <f t="shared" si="102"/>
        <v>3569.5605379684262</v>
      </c>
      <c r="H425" s="64">
        <f t="shared" si="102"/>
        <v>3414.8923001247385</v>
      </c>
      <c r="I425" s="64">
        <f t="shared" si="102"/>
        <v>3430.8940415782049</v>
      </c>
      <c r="J425" s="64">
        <f t="shared" si="102"/>
        <v>21091.717068912003</v>
      </c>
    </row>
    <row r="426" spans="2:10">
      <c r="B426" s="48" t="s">
        <v>1176</v>
      </c>
      <c r="D426" s="64">
        <f t="shared" si="102"/>
        <v>0.12000000000000001</v>
      </c>
      <c r="E426" s="64">
        <f t="shared" si="102"/>
        <v>0.12000000000000001</v>
      </c>
      <c r="F426" s="64">
        <f t="shared" si="102"/>
        <v>0.12000000000000001</v>
      </c>
      <c r="G426" s="64">
        <f t="shared" si="102"/>
        <v>0.12000000000000001</v>
      </c>
      <c r="H426" s="64">
        <f t="shared" si="102"/>
        <v>0.12000000000000001</v>
      </c>
      <c r="I426" s="64">
        <f t="shared" si="102"/>
        <v>0.12000000000000001</v>
      </c>
      <c r="J426" s="64">
        <f t="shared" si="102"/>
        <v>0.72000000000000008</v>
      </c>
    </row>
    <row r="427" spans="2:10">
      <c r="B427" s="48" t="s">
        <v>274</v>
      </c>
      <c r="D427" s="64">
        <f t="shared" si="102"/>
        <v>6674.7514032293866</v>
      </c>
      <c r="E427" s="64">
        <f t="shared" si="102"/>
        <v>6677.5370635305162</v>
      </c>
      <c r="F427" s="64">
        <f t="shared" si="102"/>
        <v>6551.4163828451365</v>
      </c>
      <c r="G427" s="64">
        <f t="shared" si="102"/>
        <v>6654.6474252195485</v>
      </c>
      <c r="H427" s="64">
        <f t="shared" si="102"/>
        <v>6366.3030814882241</v>
      </c>
      <c r="I427" s="64">
        <f t="shared" si="102"/>
        <v>6396.1347502411918</v>
      </c>
      <c r="J427" s="64">
        <f t="shared" si="102"/>
        <v>39320.790106554006</v>
      </c>
    </row>
    <row r="428" spans="2:10">
      <c r="B428" s="48" t="s">
        <v>275</v>
      </c>
      <c r="D428" s="64">
        <f t="shared" si="102"/>
        <v>322.83747701383061</v>
      </c>
      <c r="E428" s="64">
        <f t="shared" si="102"/>
        <v>322.9722109520863</v>
      </c>
      <c r="F428" s="64">
        <f t="shared" si="102"/>
        <v>316.87213622390448</v>
      </c>
      <c r="G428" s="64">
        <f t="shared" si="102"/>
        <v>321.86510858442398</v>
      </c>
      <c r="H428" s="64">
        <f t="shared" si="102"/>
        <v>307.91876739239223</v>
      </c>
      <c r="I428" s="64">
        <f t="shared" si="102"/>
        <v>309.3616347133626</v>
      </c>
      <c r="J428" s="64">
        <f t="shared" si="102"/>
        <v>1901.8273348800003</v>
      </c>
    </row>
    <row r="429" spans="2:10">
      <c r="B429" s="48" t="s">
        <v>276</v>
      </c>
      <c r="D429" s="64">
        <f t="shared" si="102"/>
        <v>2885.9746199560473</v>
      </c>
      <c r="E429" s="64">
        <f t="shared" si="102"/>
        <v>2887.1790610570292</v>
      </c>
      <c r="F429" s="64">
        <f t="shared" si="102"/>
        <v>2832.6480288850312</v>
      </c>
      <c r="G429" s="64">
        <f t="shared" si="102"/>
        <v>2877.2822257691305</v>
      </c>
      <c r="H429" s="64">
        <f t="shared" si="102"/>
        <v>2752.6102481110756</v>
      </c>
      <c r="I429" s="64">
        <f t="shared" si="102"/>
        <v>2765.5086219516875</v>
      </c>
      <c r="J429" s="64">
        <f t="shared" si="102"/>
        <v>17001.202805730001</v>
      </c>
    </row>
    <row r="430" spans="2:10">
      <c r="B430" s="48" t="s">
        <v>277</v>
      </c>
      <c r="D430" s="64">
        <f t="shared" si="102"/>
        <v>481.77617763640444</v>
      </c>
      <c r="E430" s="64">
        <f t="shared" si="102"/>
        <v>481.97724351751316</v>
      </c>
      <c r="F430" s="64">
        <f t="shared" si="102"/>
        <v>472.87399220659449</v>
      </c>
      <c r="G430" s="64">
        <f t="shared" si="102"/>
        <v>480.32509472773165</v>
      </c>
      <c r="H430" s="64">
        <f t="shared" si="102"/>
        <v>459.51271874939272</v>
      </c>
      <c r="I430" s="64">
        <f t="shared" si="102"/>
        <v>461.6659356223638</v>
      </c>
      <c r="J430" s="64">
        <f t="shared" si="102"/>
        <v>2838.1311624600003</v>
      </c>
    </row>
    <row r="431" spans="2:10">
      <c r="B431" s="48" t="s">
        <v>278</v>
      </c>
      <c r="D431" s="64">
        <f t="shared" si="102"/>
        <v>5.5E-2</v>
      </c>
      <c r="E431" s="64">
        <f t="shared" si="102"/>
        <v>5.5E-2</v>
      </c>
      <c r="F431" s="64">
        <f t="shared" si="102"/>
        <v>5.5E-2</v>
      </c>
      <c r="G431" s="64">
        <f t="shared" si="102"/>
        <v>5.5E-2</v>
      </c>
      <c r="H431" s="64">
        <f t="shared" si="102"/>
        <v>5.5E-2</v>
      </c>
      <c r="I431" s="64">
        <f t="shared" si="102"/>
        <v>5.5E-2</v>
      </c>
      <c r="J431" s="64">
        <f t="shared" si="102"/>
        <v>0.33</v>
      </c>
    </row>
    <row r="432" spans="2:10">
      <c r="B432" s="48" t="s">
        <v>279</v>
      </c>
      <c r="D432" s="64">
        <f t="shared" si="102"/>
        <v>2103.6762993808843</v>
      </c>
      <c r="E432" s="64">
        <f t="shared" si="102"/>
        <v>2104.5542767632473</v>
      </c>
      <c r="F432" s="64">
        <f t="shared" si="102"/>
        <v>2064.8038789688535</v>
      </c>
      <c r="G432" s="64">
        <f t="shared" si="102"/>
        <v>2097.3399783366431</v>
      </c>
      <c r="H432" s="64">
        <f t="shared" si="102"/>
        <v>2006.4603358957961</v>
      </c>
      <c r="I432" s="64">
        <f t="shared" si="102"/>
        <v>2015.8626059545759</v>
      </c>
      <c r="J432" s="64">
        <f t="shared" si="102"/>
        <v>12392.697375299998</v>
      </c>
    </row>
    <row r="433" spans="2:10">
      <c r="B433" s="48" t="s">
        <v>875</v>
      </c>
      <c r="D433" s="64">
        <f t="shared" si="102"/>
        <v>936.14238321219034</v>
      </c>
      <c r="E433" s="64">
        <f t="shared" si="102"/>
        <v>918.77220944308829</v>
      </c>
      <c r="F433" s="64">
        <f t="shared" si="102"/>
        <v>933.00168654475215</v>
      </c>
      <c r="G433" s="64">
        <f t="shared" si="102"/>
        <v>983.27840803334993</v>
      </c>
      <c r="H433" s="64">
        <f t="shared" si="102"/>
        <v>904.93052687432998</v>
      </c>
      <c r="I433" s="64">
        <f t="shared" si="102"/>
        <v>1017.0367768331539</v>
      </c>
      <c r="J433" s="64">
        <f t="shared" si="102"/>
        <v>5693.1619909408637</v>
      </c>
    </row>
    <row r="434" spans="2:10">
      <c r="B434" s="48" t="s">
        <v>874</v>
      </c>
      <c r="D434" s="64">
        <f t="shared" si="102"/>
        <v>31.319228193065996</v>
      </c>
      <c r="E434" s="64">
        <f t="shared" si="102"/>
        <v>31.040917441973999</v>
      </c>
      <c r="F434" s="64">
        <f t="shared" si="102"/>
        <v>29.72972836944</v>
      </c>
      <c r="G434" s="64">
        <f t="shared" si="102"/>
        <v>30.830251735799997</v>
      </c>
      <c r="H434" s="64">
        <f t="shared" si="102"/>
        <v>29.856586271094006</v>
      </c>
      <c r="I434" s="64">
        <f t="shared" si="102"/>
        <v>30.933796271400034</v>
      </c>
      <c r="J434" s="64">
        <f t="shared" si="102"/>
        <v>183.71050828277404</v>
      </c>
    </row>
    <row r="435" spans="2:10">
      <c r="B435" s="48" t="s">
        <v>873</v>
      </c>
      <c r="D435" s="64">
        <f t="shared" si="102"/>
        <v>4819.6784803160181</v>
      </c>
      <c r="E435" s="64">
        <f t="shared" si="102"/>
        <v>4770.9567544237143</v>
      </c>
      <c r="F435" s="64">
        <f t="shared" si="102"/>
        <v>4635.5105274326252</v>
      </c>
      <c r="G435" s="64">
        <f t="shared" si="102"/>
        <v>4822.6035451872967</v>
      </c>
      <c r="H435" s="64">
        <f t="shared" si="102"/>
        <v>4446.560414282183</v>
      </c>
      <c r="I435" s="64">
        <f t="shared" si="102"/>
        <v>4767.9375778458716</v>
      </c>
      <c r="J435" s="64">
        <f t="shared" si="102"/>
        <v>28263.24729948771</v>
      </c>
    </row>
    <row r="436" spans="2:10">
      <c r="B436" s="48" t="s">
        <v>872</v>
      </c>
      <c r="D436" s="64">
        <f t="shared" si="102"/>
        <v>1149.8175321195415</v>
      </c>
      <c r="E436" s="64">
        <f t="shared" si="102"/>
        <v>1160.6173909763399</v>
      </c>
      <c r="F436" s="64">
        <f t="shared" si="102"/>
        <v>1129.0101573356101</v>
      </c>
      <c r="G436" s="64">
        <f t="shared" si="102"/>
        <v>1210.0877986635901</v>
      </c>
      <c r="H436" s="64">
        <f t="shared" si="102"/>
        <v>1134.6350032967403</v>
      </c>
      <c r="I436" s="64">
        <f t="shared" si="102"/>
        <v>1128.5220758886167</v>
      </c>
      <c r="J436" s="64">
        <f t="shared" si="102"/>
        <v>6912.6899582804381</v>
      </c>
    </row>
    <row r="437" spans="2:10">
      <c r="B437" s="48" t="s">
        <v>871</v>
      </c>
      <c r="D437" s="64">
        <f t="shared" si="102"/>
        <v>524.36984161121995</v>
      </c>
      <c r="E437" s="64">
        <f t="shared" si="102"/>
        <v>514.29894214247997</v>
      </c>
      <c r="F437" s="64">
        <f t="shared" si="102"/>
        <v>531.72711943955994</v>
      </c>
      <c r="G437" s="64">
        <f t="shared" si="102"/>
        <v>639.30224558395798</v>
      </c>
      <c r="H437" s="64">
        <f t="shared" si="102"/>
        <v>615.55906622588384</v>
      </c>
      <c r="I437" s="64">
        <f t="shared" si="102"/>
        <v>647.16372022220833</v>
      </c>
      <c r="J437" s="64">
        <f t="shared" si="102"/>
        <v>3472.4209352253101</v>
      </c>
    </row>
    <row r="438" spans="2:10">
      <c r="B438" s="48" t="s">
        <v>870</v>
      </c>
      <c r="D438" s="64">
        <f t="shared" ref="D438:J439" si="103">SUMIF($B$219:$B$342,$B438,D$219:D$342)</f>
        <v>1098.3745169822701</v>
      </c>
      <c r="E438" s="64">
        <f t="shared" si="103"/>
        <v>994.22322892397983</v>
      </c>
      <c r="F438" s="64">
        <f t="shared" si="103"/>
        <v>1004.9326105145578</v>
      </c>
      <c r="G438" s="64">
        <f t="shared" si="103"/>
        <v>1152.2902683328739</v>
      </c>
      <c r="H438" s="64">
        <f t="shared" si="103"/>
        <v>800.54801153019002</v>
      </c>
      <c r="I438" s="64">
        <f t="shared" si="103"/>
        <v>1032.282373252086</v>
      </c>
      <c r="J438" s="64">
        <f t="shared" si="103"/>
        <v>6082.6510095359572</v>
      </c>
    </row>
    <row r="439" spans="2:10">
      <c r="B439" s="48" t="s">
        <v>893</v>
      </c>
      <c r="D439" s="64">
        <f t="shared" si="103"/>
        <v>276.77222100000051</v>
      </c>
      <c r="E439" s="64">
        <f t="shared" si="103"/>
        <v>276.77222100000051</v>
      </c>
      <c r="F439" s="64">
        <f t="shared" si="103"/>
        <v>276.77222100000051</v>
      </c>
      <c r="G439" s="64">
        <f t="shared" si="103"/>
        <v>276.77222100000051</v>
      </c>
      <c r="H439" s="64">
        <f t="shared" si="103"/>
        <v>276.77222100000051</v>
      </c>
      <c r="I439" s="64">
        <f t="shared" si="103"/>
        <v>276.77222100000051</v>
      </c>
      <c r="J439" s="64">
        <f t="shared" si="103"/>
        <v>1660.6333260000033</v>
      </c>
    </row>
    <row r="440" spans="2:10">
      <c r="B440" s="48" t="s">
        <v>888</v>
      </c>
      <c r="D440" s="65">
        <f t="shared" ref="D440:J440" si="104">SUM(D422:D439)</f>
        <v>39921.782039284808</v>
      </c>
      <c r="E440" s="65">
        <f t="shared" si="104"/>
        <v>39764.962733623899</v>
      </c>
      <c r="F440" s="65">
        <f t="shared" si="104"/>
        <v>39051.60239330976</v>
      </c>
      <c r="G440" s="65">
        <f t="shared" si="104"/>
        <v>40106.845365311303</v>
      </c>
      <c r="H440" s="65">
        <f t="shared" si="104"/>
        <v>37857.680056424069</v>
      </c>
      <c r="I440" s="65">
        <f t="shared" si="104"/>
        <v>38688.397276739212</v>
      </c>
      <c r="J440" s="65">
        <f t="shared" si="104"/>
        <v>235391.26986469305</v>
      </c>
    </row>
    <row r="441" spans="2:10">
      <c r="D441" s="66">
        <f t="shared" ref="D441:J441" si="105">D311+D342-D440</f>
        <v>0</v>
      </c>
      <c r="E441" s="66">
        <f t="shared" si="105"/>
        <v>0</v>
      </c>
      <c r="F441" s="66">
        <f t="shared" si="105"/>
        <v>0</v>
      </c>
      <c r="G441" s="66">
        <f t="shared" si="105"/>
        <v>0</v>
      </c>
      <c r="H441" s="66">
        <f t="shared" si="105"/>
        <v>0</v>
      </c>
      <c r="I441" s="66">
        <f t="shared" si="105"/>
        <v>0</v>
      </c>
      <c r="J441" s="66">
        <f t="shared" si="105"/>
        <v>0</v>
      </c>
    </row>
  </sheetData>
  <printOptions horizontalCentered="1" verticalCentered="1"/>
  <pageMargins left="0.39370078740157483" right="0.39370078740157483" top="0.39370078740157483" bottom="0.39370078740157483" header="0.31496062992125984" footer="0.23622047244094491"/>
  <pageSetup scale="45" orientation="portrait" horizontalDpi="300" r:id="rId1"/>
  <headerFooter alignWithMargins="0">
    <oddHeader>&amp;L
NOMBRE DE LA DISTRIBUIDORA: &amp;UENSA.&amp;R&amp;9&amp;A</oddHeader>
  </headerFooter>
  <rowBreaks count="3" manualBreakCount="3">
    <brk id="121" max="9" man="1"/>
    <brk id="216" max="16383" man="1"/>
    <brk id="311" max="9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9AA2A-8E97-4AF3-95BD-C3F7116FC8F6}">
  <sheetPr>
    <tabColor theme="5" tint="-0.499984740745262"/>
  </sheetPr>
  <dimension ref="A1:AB441"/>
  <sheetViews>
    <sheetView zoomScale="70" zoomScaleNormal="70" zoomScaleSheetLayoutView="70" workbookViewId="0"/>
  </sheetViews>
  <sheetFormatPr baseColWidth="10" defaultColWidth="8" defaultRowHeight="15"/>
  <cols>
    <col min="1" max="1" width="2.5" style="63" customWidth="1"/>
    <col min="2" max="2" width="7" style="48" customWidth="1"/>
    <col min="3" max="3" width="30.25" style="63" customWidth="1"/>
    <col min="4" max="4" width="11.75" style="63" customWidth="1"/>
    <col min="5" max="5" width="12.625" style="63" customWidth="1"/>
    <col min="6" max="6" width="12.75" style="63" customWidth="1"/>
    <col min="7" max="7" width="13.25" style="63" customWidth="1"/>
    <col min="8" max="8" width="13.875" style="63" customWidth="1"/>
    <col min="9" max="9" width="11.5" style="63" customWidth="1"/>
    <col min="10" max="10" width="13.125" style="63" customWidth="1"/>
    <col min="11" max="11" width="2.25" style="63" customWidth="1"/>
    <col min="12" max="12" width="4.25" style="319" bestFit="1" customWidth="1"/>
    <col min="13" max="14" width="8" style="63"/>
    <col min="15" max="15" width="8.875" style="63" bestFit="1" customWidth="1"/>
    <col min="16" max="16" width="8" style="63" customWidth="1"/>
    <col min="17" max="17" width="8.875" style="63" bestFit="1" customWidth="1"/>
    <col min="18" max="16384" width="8" style="63"/>
  </cols>
  <sheetData>
    <row r="1" spans="2:10" s="69" customFormat="1" ht="15.75">
      <c r="B1" s="48"/>
      <c r="C1" s="136" t="s">
        <v>151</v>
      </c>
      <c r="E1" s="63"/>
    </row>
    <row r="2" spans="2:10" s="69" customFormat="1" ht="15.75">
      <c r="B2" s="48"/>
      <c r="C2" s="136"/>
      <c r="E2" s="137"/>
    </row>
    <row r="3" spans="2:10" s="69" customFormat="1" ht="15.75">
      <c r="B3" s="48"/>
      <c r="C3" s="70" t="s">
        <v>865</v>
      </c>
      <c r="D3" s="137"/>
    </row>
    <row r="4" spans="2:10" s="69" customFormat="1" ht="15.75">
      <c r="B4" s="48"/>
      <c r="C4" s="219" t="s">
        <v>1529</v>
      </c>
      <c r="D4" s="338"/>
      <c r="E4" s="338"/>
      <c r="F4" s="338"/>
      <c r="G4" s="338"/>
      <c r="H4" s="338"/>
      <c r="I4" s="338"/>
      <c r="J4" s="339"/>
    </row>
    <row r="5" spans="2:10" s="74" customFormat="1" ht="18.75" customHeight="1">
      <c r="B5" s="48"/>
      <c r="C5" s="322"/>
      <c r="D5" s="322"/>
      <c r="E5" s="323"/>
      <c r="F5" s="322"/>
      <c r="G5" s="322"/>
      <c r="H5" s="322"/>
      <c r="I5" s="322"/>
    </row>
    <row r="6" spans="2:10" s="58" customFormat="1" ht="22.5">
      <c r="B6" s="48"/>
      <c r="C6" s="324" t="s">
        <v>1</v>
      </c>
      <c r="D6" s="325" t="s">
        <v>1449</v>
      </c>
      <c r="E6" s="325" t="s">
        <v>1450</v>
      </c>
      <c r="F6" s="325" t="s">
        <v>1451</v>
      </c>
      <c r="G6" s="325" t="s">
        <v>1234</v>
      </c>
      <c r="H6" s="325" t="s">
        <v>1233</v>
      </c>
      <c r="I6" s="325" t="s">
        <v>1232</v>
      </c>
      <c r="J6" s="325" t="s">
        <v>291</v>
      </c>
    </row>
    <row r="7" spans="2:10" s="143" customFormat="1" ht="13.5">
      <c r="B7" s="48"/>
      <c r="C7" s="144" t="s">
        <v>266</v>
      </c>
      <c r="D7" s="178"/>
      <c r="E7" s="144"/>
      <c r="F7" s="144"/>
      <c r="G7" s="146">
        <f>RAT1000PT!$P$106</f>
        <v>7.622118619587768E-3</v>
      </c>
      <c r="H7" s="146">
        <f>RAT1000PT!$P$111</f>
        <v>5.3606294432099666E-3</v>
      </c>
      <c r="I7" s="146">
        <f>RAT1000PT!$P$116</f>
        <v>3.0985777073355542E-3</v>
      </c>
      <c r="J7" s="146">
        <f>RAT1000PT!$P$45</f>
        <v>1.1E-4</v>
      </c>
    </row>
    <row r="8" spans="2:10" s="143" customFormat="1" ht="13.5">
      <c r="B8" s="48"/>
      <c r="C8" s="326" t="s">
        <v>265</v>
      </c>
      <c r="D8" s="327"/>
      <c r="E8" s="328"/>
      <c r="F8" s="328">
        <f>RAT1000PT!$P$127</f>
        <v>5.5199999999999997E-3</v>
      </c>
      <c r="G8" s="328"/>
      <c r="H8" s="328"/>
      <c r="I8" s="328"/>
      <c r="J8" s="328">
        <f>RAT1000PT!$P$44</f>
        <v>1.1E-4</v>
      </c>
    </row>
    <row r="9" spans="2:10" s="143" customFormat="1" ht="13.5">
      <c r="B9" s="48"/>
      <c r="C9" s="144" t="s">
        <v>264</v>
      </c>
      <c r="D9" s="178"/>
      <c r="E9" s="146"/>
      <c r="F9" s="146"/>
      <c r="G9" s="146">
        <f>RAT1000PT!$P$105</f>
        <v>8.5452787535270653E-3</v>
      </c>
      <c r="H9" s="146">
        <f>RAT1000PT!$P$110</f>
        <v>5.5727143734324615E-3</v>
      </c>
      <c r="I9" s="146">
        <f>RAT1000PT!$P$115</f>
        <v>2.4769494635799648E-3</v>
      </c>
      <c r="J9" s="146">
        <f>RAT1000PT!$P$43</f>
        <v>1.1E-4</v>
      </c>
    </row>
    <row r="10" spans="2:10" s="143" customFormat="1" ht="13.5">
      <c r="B10" s="48"/>
      <c r="C10" s="326" t="s">
        <v>262</v>
      </c>
      <c r="D10" s="327"/>
      <c r="E10" s="328"/>
      <c r="F10" s="328">
        <f>RAT1000PT!$P126</f>
        <v>5.5199999999999997E-3</v>
      </c>
      <c r="G10" s="328"/>
      <c r="H10" s="328"/>
      <c r="I10" s="328"/>
      <c r="J10" s="328">
        <f>RAT1000PT!$P$42</f>
        <v>1.1E-4</v>
      </c>
    </row>
    <row r="11" spans="2:10" s="143" customFormat="1" ht="13.5">
      <c r="B11" s="48"/>
      <c r="C11" s="144" t="s">
        <v>263</v>
      </c>
      <c r="D11" s="178"/>
      <c r="E11" s="146"/>
      <c r="F11" s="146"/>
      <c r="G11" s="146">
        <f>RAT1000PT!$P$104</f>
        <v>8.3174421573994507E-3</v>
      </c>
      <c r="H11" s="146">
        <f>RAT1000PT!$P$109</f>
        <v>5.4922683654170324E-3</v>
      </c>
      <c r="I11" s="146">
        <f>RAT1000PT!$P$114</f>
        <v>2.6406542770938805E-3</v>
      </c>
      <c r="J11" s="146">
        <f>RAT1000PT!$P$41</f>
        <v>1.1E-4</v>
      </c>
    </row>
    <row r="12" spans="2:10" s="143" customFormat="1" ht="13.5">
      <c r="B12" s="48"/>
      <c r="C12" s="326" t="s">
        <v>648</v>
      </c>
      <c r="D12" s="327"/>
      <c r="E12" s="328"/>
      <c r="F12" s="328">
        <f>RAT1000PT!$P122</f>
        <v>5.3E-3</v>
      </c>
      <c r="G12" s="328"/>
      <c r="H12" s="328"/>
      <c r="I12" s="328"/>
      <c r="J12" s="328">
        <f>RAT1000PT!$P$40</f>
        <v>1.1E-4</v>
      </c>
    </row>
    <row r="13" spans="2:10" s="143" customFormat="1" ht="13.5">
      <c r="B13" s="48"/>
      <c r="C13" s="326" t="s">
        <v>649</v>
      </c>
      <c r="D13" s="327"/>
      <c r="E13" s="328"/>
      <c r="F13" s="328">
        <f>RAT1000PT!$P123</f>
        <v>5.5599999999999998E-3</v>
      </c>
      <c r="G13" s="328"/>
      <c r="H13" s="328"/>
      <c r="I13" s="328"/>
      <c r="J13" s="328"/>
    </row>
    <row r="14" spans="2:10" s="143" customFormat="1" ht="13.5">
      <c r="B14" s="48"/>
      <c r="C14" s="326" t="s">
        <v>650</v>
      </c>
      <c r="D14" s="327"/>
      <c r="E14" s="328"/>
      <c r="F14" s="328">
        <f>RAT1000PT!$P124</f>
        <v>5.8399999999999997E-3</v>
      </c>
      <c r="G14" s="328"/>
      <c r="H14" s="328"/>
      <c r="I14" s="328"/>
      <c r="J14" s="328"/>
    </row>
    <row r="15" spans="2:10" s="143" customFormat="1" ht="13.5">
      <c r="B15" s="48"/>
      <c r="C15" s="326" t="s">
        <v>651</v>
      </c>
      <c r="D15" s="327"/>
      <c r="E15" s="328"/>
      <c r="F15" s="328">
        <f>RAT1000PT!$P125</f>
        <v>6.13E-3</v>
      </c>
      <c r="G15" s="328"/>
      <c r="H15" s="328"/>
      <c r="I15" s="328"/>
      <c r="J15" s="328"/>
    </row>
    <row r="16" spans="2:10" s="143" customFormat="1" ht="13.5">
      <c r="B16" s="48"/>
      <c r="C16" s="144" t="s">
        <v>1178</v>
      </c>
      <c r="D16" s="178"/>
      <c r="E16" s="146"/>
      <c r="F16" s="146"/>
      <c r="G16" s="146">
        <f>RAT1000PT!$P$103</f>
        <v>1.0376409914997149E-2</v>
      </c>
      <c r="H16" s="146">
        <f>RAT1000PT!$P$108</f>
        <v>6.2258459489982904E-3</v>
      </c>
      <c r="I16" s="146">
        <f>RAT1000PT!$P$113</f>
        <v>2.0752819829994297E-3</v>
      </c>
      <c r="J16" s="146">
        <f>RAT1000PT!$P$39</f>
        <v>1.2E-4</v>
      </c>
    </row>
    <row r="17" spans="2:13" s="143" customFormat="1" ht="13.5">
      <c r="B17" s="48"/>
      <c r="C17" s="2062" t="s">
        <v>1768</v>
      </c>
      <c r="D17" s="178"/>
      <c r="E17" s="146"/>
      <c r="F17" s="146">
        <f>RAT1000PT!$P118</f>
        <v>4.13E-3</v>
      </c>
      <c r="G17" s="146"/>
      <c r="H17" s="146"/>
      <c r="I17" s="146"/>
      <c r="J17" s="146">
        <f>RAT1000PT!$P$37</f>
        <v>1.2E-4</v>
      </c>
    </row>
    <row r="18" spans="2:13" s="143" customFormat="1" ht="13.5">
      <c r="B18" s="48"/>
      <c r="C18" s="326" t="s">
        <v>645</v>
      </c>
      <c r="D18" s="327"/>
      <c r="E18" s="328"/>
      <c r="F18" s="328">
        <f>RAT1000PT!$P119</f>
        <v>3.7393329739759313E-3</v>
      </c>
      <c r="G18" s="328"/>
      <c r="H18" s="328"/>
      <c r="I18" s="328"/>
      <c r="J18" s="328">
        <f>RAT1000PT!$P$38</f>
        <v>1.2E-4</v>
      </c>
      <c r="L18" s="319"/>
    </row>
    <row r="19" spans="2:13" s="143" customFormat="1" ht="13.5">
      <c r="B19" s="48"/>
      <c r="C19" s="326" t="s">
        <v>646</v>
      </c>
      <c r="D19" s="327"/>
      <c r="E19" s="328"/>
      <c r="F19" s="328">
        <f>RAT1000PT!$P$120</f>
        <v>6.7304618174587093E-3</v>
      </c>
      <c r="G19" s="328"/>
      <c r="H19" s="328"/>
      <c r="I19" s="328"/>
      <c r="J19" s="328"/>
      <c r="L19" s="319"/>
    </row>
    <row r="20" spans="2:13" s="143" customFormat="1" ht="13.5">
      <c r="B20" s="48"/>
      <c r="C20" s="326" t="s">
        <v>647</v>
      </c>
      <c r="D20" s="328"/>
      <c r="E20" s="328"/>
      <c r="F20" s="328">
        <f>RAT1000PT!$P$121</f>
        <v>7.7396935543795498E-3</v>
      </c>
      <c r="G20" s="328"/>
      <c r="H20" s="328"/>
      <c r="I20" s="328"/>
      <c r="J20" s="328"/>
      <c r="L20" s="319"/>
    </row>
    <row r="21" spans="2:13" s="143" customFormat="1" ht="13.5">
      <c r="B21" s="48"/>
      <c r="C21" s="144" t="s">
        <v>1164</v>
      </c>
      <c r="D21" s="178"/>
      <c r="E21" s="146"/>
      <c r="F21" s="146"/>
      <c r="G21" s="146"/>
      <c r="H21" s="146"/>
      <c r="I21" s="146"/>
      <c r="J21" s="146"/>
      <c r="L21" s="319"/>
    </row>
    <row r="22" spans="2:13" s="143" customFormat="1" ht="13.5">
      <c r="B22" s="48"/>
      <c r="C22" s="144" t="s">
        <v>1167</v>
      </c>
      <c r="D22" s="178"/>
      <c r="E22" s="146"/>
      <c r="F22" s="146"/>
      <c r="G22" s="146"/>
      <c r="H22" s="146"/>
      <c r="I22" s="146"/>
      <c r="J22" s="146"/>
      <c r="L22" s="319"/>
    </row>
    <row r="23" spans="2:13" s="143" customFormat="1" ht="13.5">
      <c r="B23" s="48"/>
      <c r="C23" s="144" t="s">
        <v>1166</v>
      </c>
      <c r="D23" s="178"/>
      <c r="E23" s="146"/>
      <c r="F23" s="146"/>
      <c r="G23" s="146"/>
      <c r="H23" s="146"/>
      <c r="I23" s="146"/>
      <c r="J23" s="146"/>
      <c r="L23" s="319"/>
    </row>
    <row r="24" spans="2:13" s="143" customFormat="1" ht="13.5">
      <c r="B24" s="48"/>
      <c r="C24" s="144" t="s">
        <v>1165</v>
      </c>
      <c r="D24" s="178"/>
      <c r="E24" s="146"/>
      <c r="F24" s="146"/>
      <c r="G24" s="146"/>
      <c r="H24" s="146"/>
      <c r="I24" s="146"/>
      <c r="J24" s="146"/>
      <c r="L24" s="319"/>
    </row>
    <row r="25" spans="2:13" s="143" customFormat="1" ht="13.5">
      <c r="B25" s="52"/>
      <c r="L25" s="958"/>
    </row>
    <row r="26" spans="2:13" s="143" customFormat="1" ht="13.5">
      <c r="B26" s="52"/>
      <c r="L26" s="958"/>
    </row>
    <row r="27" spans="2:13" s="143" customFormat="1" ht="13.5">
      <c r="B27" s="48"/>
      <c r="C27" s="147"/>
      <c r="J27" s="148"/>
      <c r="L27" s="319"/>
    </row>
    <row r="28" spans="2:13" s="69" customFormat="1" ht="33" customHeight="1">
      <c r="B28" s="48"/>
      <c r="C28" s="320" t="s">
        <v>1457</v>
      </c>
      <c r="D28" s="320"/>
      <c r="E28" s="320"/>
      <c r="F28" s="320"/>
      <c r="G28" s="320"/>
      <c r="H28" s="320"/>
      <c r="I28" s="320"/>
      <c r="J28" s="321"/>
      <c r="L28" s="319"/>
    </row>
    <row r="29" spans="2:13" s="37" customFormat="1" ht="15.75">
      <c r="B29" s="48"/>
      <c r="C29" s="150" t="s">
        <v>310</v>
      </c>
      <c r="D29" s="151">
        <f>F801ENE!D4</f>
        <v>46204</v>
      </c>
      <c r="E29" s="151">
        <f>F801ENE!E4</f>
        <v>46235</v>
      </c>
      <c r="F29" s="151">
        <f>F801ENE!F4</f>
        <v>46266</v>
      </c>
      <c r="G29" s="151">
        <f>F801ENE!G4</f>
        <v>46296</v>
      </c>
      <c r="H29" s="151">
        <f>F801ENE!H4</f>
        <v>46327</v>
      </c>
      <c r="I29" s="151">
        <f>F801ENE!I4</f>
        <v>46357</v>
      </c>
      <c r="J29" s="152" t="s">
        <v>111</v>
      </c>
      <c r="K29" s="69"/>
      <c r="L29" s="319" t="s">
        <v>678</v>
      </c>
      <c r="M29" s="319"/>
    </row>
    <row r="30" spans="2:13" s="37" customFormat="1" ht="15.75" customHeight="1">
      <c r="B30" s="48"/>
      <c r="C30" s="153" t="s">
        <v>446</v>
      </c>
      <c r="D30" s="154">
        <f t="shared" ref="D30:I30" si="0">SUM(D31:D32)</f>
        <v>34015.101894934945</v>
      </c>
      <c r="E30" s="154">
        <f t="shared" si="0"/>
        <v>34029.297959548858</v>
      </c>
      <c r="F30" s="154">
        <f t="shared" si="0"/>
        <v>33386.571589993677</v>
      </c>
      <c r="G30" s="154">
        <f t="shared" si="0"/>
        <v>33912.649571258436</v>
      </c>
      <c r="H30" s="154">
        <f t="shared" si="0"/>
        <v>32443.211631175331</v>
      </c>
      <c r="I30" s="154">
        <f t="shared" si="0"/>
        <v>32595.237453198904</v>
      </c>
      <c r="J30" s="154">
        <f>SUM(D30:I30)</f>
        <v>200382.07010011017</v>
      </c>
      <c r="K30" s="69"/>
      <c r="L30" s="319"/>
      <c r="M30" s="69"/>
    </row>
    <row r="31" spans="2:13" s="37" customFormat="1" ht="15.75" customHeight="1">
      <c r="B31" s="48" t="s">
        <v>279</v>
      </c>
      <c r="C31" s="155" t="s">
        <v>279</v>
      </c>
      <c r="D31" s="156">
        <f>$D$7*F801D!K6+$G$7*F801ENE!K6</f>
        <v>34014.457858105648</v>
      </c>
      <c r="E31" s="156">
        <f>$D$7*F801D!L6+$G$7*F801ENE!L6</f>
        <v>34028.653922719561</v>
      </c>
      <c r="F31" s="156">
        <f>$D$7*F801D!M6+$G$7*F801ENE!M6</f>
        <v>33385.92755316438</v>
      </c>
      <c r="G31" s="156">
        <f>$D$7*F801D!N6+$G$7*F801ENE!N6</f>
        <v>33912.00553442914</v>
      </c>
      <c r="H31" s="156">
        <f>$D$7*F801D!O6+$G$7*F801ENE!O6</f>
        <v>32442.567594346034</v>
      </c>
      <c r="I31" s="156">
        <f>$D$7*F801D!P6+$G$7*F801ENE!P6</f>
        <v>32594.593416369607</v>
      </c>
      <c r="J31" s="156">
        <f>SUM(D31:I31)</f>
        <v>200378.20587913439</v>
      </c>
      <c r="K31" s="69"/>
      <c r="L31" s="319"/>
      <c r="M31" s="69"/>
    </row>
    <row r="32" spans="2:13" s="37" customFormat="1" ht="15.75" customHeight="1">
      <c r="B32" s="48" t="s">
        <v>278</v>
      </c>
      <c r="C32" s="155" t="s">
        <v>278</v>
      </c>
      <c r="D32" s="156">
        <f>$D$8*F801D!K7+$F$8*F801ENE!K7</f>
        <v>0.64403682929613448</v>
      </c>
      <c r="E32" s="156">
        <f>$D$8*F801D!L7+$F$8*F801ENE!L7</f>
        <v>0.64403682929613448</v>
      </c>
      <c r="F32" s="156">
        <f>$D$8*F801D!M7+$F$8*F801ENE!M7</f>
        <v>0.64403682929613448</v>
      </c>
      <c r="G32" s="156">
        <f>$D$8*F801D!N7+$F$8*F801ENE!N7</f>
        <v>0.64403682929613448</v>
      </c>
      <c r="H32" s="156">
        <f>$D$8*F801D!O7+$F$8*F801ENE!O7</f>
        <v>0.64403682929613448</v>
      </c>
      <c r="I32" s="156">
        <f>$D$8*F801D!P7+$F$8*F801ENE!P7</f>
        <v>0.64403682929613448</v>
      </c>
      <c r="J32" s="156">
        <f>SUM(D32:I32)</f>
        <v>3.8642209757768073</v>
      </c>
      <c r="K32" s="69"/>
      <c r="L32" s="319"/>
      <c r="M32" s="69"/>
    </row>
    <row r="33" spans="2:13" s="37" customFormat="1" ht="15.75" customHeight="1">
      <c r="B33" s="48"/>
      <c r="C33" s="157"/>
      <c r="D33" s="156"/>
      <c r="E33" s="156"/>
      <c r="F33" s="156"/>
      <c r="G33" s="156"/>
      <c r="H33" s="156"/>
      <c r="I33" s="156"/>
      <c r="J33" s="156"/>
      <c r="K33" s="69"/>
      <c r="L33" s="319"/>
      <c r="M33" s="69"/>
    </row>
    <row r="34" spans="2:13" s="37" customFormat="1" ht="15.75" customHeight="1">
      <c r="B34" s="48"/>
      <c r="C34" s="153" t="s">
        <v>630</v>
      </c>
      <c r="D34" s="154">
        <f>D35+D38</f>
        <v>56988.833411452855</v>
      </c>
      <c r="E34" s="154">
        <f t="shared" ref="E34:I34" si="1">E35+E38</f>
        <v>57012.617298110446</v>
      </c>
      <c r="F34" s="154">
        <f t="shared" si="1"/>
        <v>55935.802593394896</v>
      </c>
      <c r="G34" s="154">
        <f t="shared" si="1"/>
        <v>56817.186231730797</v>
      </c>
      <c r="H34" s="154">
        <f t="shared" si="1"/>
        <v>54355.310608604399</v>
      </c>
      <c r="I34" s="154">
        <f t="shared" si="1"/>
        <v>54610.012529057349</v>
      </c>
      <c r="J34" s="154">
        <f t="shared" ref="J34:J42" si="2">SUM(D34:I34)</f>
        <v>335719.76267235074</v>
      </c>
      <c r="K34" s="69"/>
      <c r="L34" s="319"/>
      <c r="M34" s="69"/>
    </row>
    <row r="35" spans="2:13" s="37" customFormat="1" ht="15.75" customHeight="1">
      <c r="B35" s="48" t="s">
        <v>277</v>
      </c>
      <c r="C35" s="155" t="s">
        <v>277</v>
      </c>
      <c r="D35" s="154">
        <f>SUM(D36:D37)</f>
        <v>11703.109858774764</v>
      </c>
      <c r="E35" s="154">
        <f t="shared" ref="E35:I35" si="3">SUM(E36:E37)</f>
        <v>11707.994068921911</v>
      </c>
      <c r="F35" s="154">
        <f t="shared" si="3"/>
        <v>11486.861611342994</v>
      </c>
      <c r="G35" s="154">
        <f t="shared" si="3"/>
        <v>11667.860746255954</v>
      </c>
      <c r="H35" s="154">
        <f t="shared" si="3"/>
        <v>11162.295021334519</v>
      </c>
      <c r="I35" s="154">
        <f t="shared" si="3"/>
        <v>11214.600084938487</v>
      </c>
      <c r="J35" s="154">
        <f t="shared" si="2"/>
        <v>68942.72139156863</v>
      </c>
      <c r="K35" s="69"/>
      <c r="L35" s="319"/>
      <c r="M35" s="69"/>
    </row>
    <row r="36" spans="2:13" s="37" customFormat="1" ht="15.75" customHeight="1">
      <c r="B36" s="48"/>
      <c r="C36" s="160" t="s">
        <v>304</v>
      </c>
      <c r="D36" s="156">
        <f>$D$9*F801D!K11+$G$9*F801ENE!K11</f>
        <v>10203.686430935442</v>
      </c>
      <c r="E36" s="156">
        <f>$D$9*F801D!L11+$G$9*F801ENE!L11</f>
        <v>10207.944867317368</v>
      </c>
      <c r="F36" s="156">
        <f>$D$9*F801D!M11+$G$9*F801ENE!M11</f>
        <v>10015.144296865094</v>
      </c>
      <c r="G36" s="156">
        <f>$D$9*F801D!N11+$G$9*F801ENE!N11</f>
        <v>10172.95349794148</v>
      </c>
      <c r="H36" s="156">
        <f>$D$9*F801D!O11+$G$9*F801ENE!O11</f>
        <v>9732.1617605675856</v>
      </c>
      <c r="I36" s="156">
        <f>$D$9*F801D!P11+$G$9*F801ENE!P11</f>
        <v>9777.7654055991552</v>
      </c>
      <c r="J36" s="156">
        <f t="shared" si="2"/>
        <v>60109.656259226133</v>
      </c>
      <c r="K36" s="69"/>
      <c r="L36" s="319"/>
      <c r="M36" s="69"/>
    </row>
    <row r="37" spans="2:13" s="37" customFormat="1" ht="15.75" customHeight="1">
      <c r="B37" s="48"/>
      <c r="C37" s="160" t="s">
        <v>305</v>
      </c>
      <c r="D37" s="156">
        <f>($D$9*F801D!K12+$G$9*F801ENE!K12)*$L37</f>
        <v>1499.4234278393221</v>
      </c>
      <c r="E37" s="156">
        <f>($D$9*F801D!L12+$G$9*F801ENE!L12)*$L37</f>
        <v>1500.0492016045434</v>
      </c>
      <c r="F37" s="156">
        <f>($D$9*F801D!M12+$G$9*F801ENE!M12)*$L37</f>
        <v>1471.7173144779001</v>
      </c>
      <c r="G37" s="156">
        <f>($D$9*F801D!N12+$G$9*F801ENE!N12)*$L37</f>
        <v>1494.9072483144735</v>
      </c>
      <c r="H37" s="156">
        <f>($D$9*F801D!O12+$G$9*F801ENE!O12)*$L37</f>
        <v>1430.1332607669342</v>
      </c>
      <c r="I37" s="156">
        <f>($D$9*F801D!P12+$G$9*F801ENE!P12)*$L37</f>
        <v>1436.8346793393323</v>
      </c>
      <c r="J37" s="156">
        <f t="shared" si="2"/>
        <v>8833.0651323425063</v>
      </c>
      <c r="K37" s="69"/>
      <c r="L37" s="319">
        <v>0.95</v>
      </c>
      <c r="M37" s="69"/>
    </row>
    <row r="38" spans="2:13" s="37" customFormat="1" ht="15.75" customHeight="1">
      <c r="B38" s="48" t="s">
        <v>276</v>
      </c>
      <c r="C38" s="158" t="s">
        <v>276</v>
      </c>
      <c r="D38" s="159">
        <f t="shared" ref="D38:I38" si="4">SUM(D39:D42)</f>
        <v>45285.723552678093</v>
      </c>
      <c r="E38" s="159">
        <f t="shared" si="4"/>
        <v>45304.623229188539</v>
      </c>
      <c r="F38" s="159">
        <f t="shared" si="4"/>
        <v>44448.940982051899</v>
      </c>
      <c r="G38" s="159">
        <f t="shared" si="4"/>
        <v>45149.325485474845</v>
      </c>
      <c r="H38" s="159">
        <f t="shared" si="4"/>
        <v>43193.015587269882</v>
      </c>
      <c r="I38" s="159">
        <f t="shared" si="4"/>
        <v>43395.412444118861</v>
      </c>
      <c r="J38" s="159">
        <f t="shared" si="2"/>
        <v>266777.04128078208</v>
      </c>
      <c r="K38" s="69"/>
      <c r="L38" s="319"/>
    </row>
    <row r="39" spans="2:13" s="37" customFormat="1" ht="15.75" customHeight="1">
      <c r="B39" s="48"/>
      <c r="C39" s="160" t="s">
        <v>304</v>
      </c>
      <c r="D39" s="156">
        <f>($D$10*F801D!K15+$F$10*F801ENE!K15)*$L39</f>
        <v>45109.179440176988</v>
      </c>
      <c r="E39" s="156">
        <f>($D$10*F801D!L15+$F$10*F801ENE!L15)*$L39</f>
        <v>45128.005437250416</v>
      </c>
      <c r="F39" s="156">
        <f>($D$10*F801D!M15+$F$10*F801ENE!M15)*$L39</f>
        <v>44275.659024258683</v>
      </c>
      <c r="G39" s="156">
        <f>($D$10*F801D!N15+$F$10*F801ENE!N15)*$L39</f>
        <v>44973.313113969183</v>
      </c>
      <c r="H39" s="156">
        <f>($D$10*F801D!O15+$F$10*F801ENE!O15)*$L39</f>
        <v>43024.629791374828</v>
      </c>
      <c r="I39" s="156">
        <f>($D$10*F801D!P15+$F$10*F801ENE!P15)*$L39</f>
        <v>43226.237614270896</v>
      </c>
      <c r="J39" s="156">
        <f t="shared" si="2"/>
        <v>265737.02442130097</v>
      </c>
      <c r="K39" s="69"/>
      <c r="L39" s="319">
        <v>1</v>
      </c>
    </row>
    <row r="40" spans="2:13" s="37" customFormat="1" ht="15.75" customHeight="1">
      <c r="B40" s="48"/>
      <c r="C40" s="161" t="s">
        <v>306</v>
      </c>
      <c r="D40" s="156">
        <f>($D$10*F801D!K16+$F$10*F801ENE!K16)*$L40</f>
        <v>0</v>
      </c>
      <c r="E40" s="156">
        <f>($D$10*F801D!L16+$F$10*F801ENE!L16)*$L40</f>
        <v>0</v>
      </c>
      <c r="F40" s="156">
        <f>($D$10*F801D!M16+$F$10*F801ENE!M16)*$L40</f>
        <v>0</v>
      </c>
      <c r="G40" s="156">
        <f>($D$10*F801D!N16+$F$10*F801ENE!N16)*$L40</f>
        <v>0</v>
      </c>
      <c r="H40" s="156">
        <f>($D$10*F801D!O16+$F$10*F801ENE!O16)*$L40</f>
        <v>0</v>
      </c>
      <c r="I40" s="156">
        <f>($D$10*F801D!P16+$F$10*F801ENE!P16)*$L40</f>
        <v>0</v>
      </c>
      <c r="J40" s="156">
        <f t="shared" si="2"/>
        <v>0</v>
      </c>
      <c r="K40" s="69"/>
      <c r="L40" s="319">
        <v>1</v>
      </c>
    </row>
    <row r="41" spans="2:13" s="37" customFormat="1" ht="15.75" customHeight="1">
      <c r="B41" s="48"/>
      <c r="C41" s="160" t="s">
        <v>305</v>
      </c>
      <c r="D41" s="156">
        <f>($D$10*F801D!K17+$F$10*F801ENE!K17)*$L41</f>
        <v>176.54411250110573</v>
      </c>
      <c r="E41" s="156">
        <f>($D$10*F801D!L17+$F$10*F801ENE!L17)*$L41</f>
        <v>176.6177919381189</v>
      </c>
      <c r="F41" s="156">
        <f>($D$10*F801D!M17+$F$10*F801ENE!M17)*$L41</f>
        <v>173.28195779321527</v>
      </c>
      <c r="G41" s="156">
        <f>($D$10*F801D!N17+$F$10*F801ENE!N17)*$L41</f>
        <v>176.01237150566263</v>
      </c>
      <c r="H41" s="156">
        <f>($D$10*F801D!O17+$F$10*F801ENE!O17)*$L41</f>
        <v>168.38579589505167</v>
      </c>
      <c r="I41" s="156">
        <f>($D$10*F801D!P17+$F$10*F801ENE!P17)*$L41</f>
        <v>169.1748298479674</v>
      </c>
      <c r="J41" s="156">
        <f t="shared" si="2"/>
        <v>1040.0168594811216</v>
      </c>
      <c r="K41" s="69"/>
      <c r="L41" s="319">
        <v>0.95</v>
      </c>
    </row>
    <row r="42" spans="2:13" s="37" customFormat="1" ht="15.75" customHeight="1">
      <c r="B42" s="48"/>
      <c r="C42" s="160" t="s">
        <v>307</v>
      </c>
      <c r="D42" s="156">
        <f>($D$10*F801D!K18+$F$10*F801ENE!K18)*$L42</f>
        <v>0</v>
      </c>
      <c r="E42" s="156">
        <f>($D$10*F801D!L18+$F$10*F801ENE!L18)*$L42</f>
        <v>0</v>
      </c>
      <c r="F42" s="156">
        <f>($D$10*F801D!M18+$F$10*F801ENE!M18)*$L42</f>
        <v>0</v>
      </c>
      <c r="G42" s="156">
        <f>($D$10*F801D!N18+$F$10*F801ENE!N18)*$L42</f>
        <v>0</v>
      </c>
      <c r="H42" s="156">
        <f>($D$10*F801D!O18+$F$10*F801ENE!O18)*$L42</f>
        <v>0</v>
      </c>
      <c r="I42" s="156">
        <f>($D$10*F801D!P18+$F$10*F801ENE!P18)*$L42</f>
        <v>0</v>
      </c>
      <c r="J42" s="156">
        <f t="shared" si="2"/>
        <v>0</v>
      </c>
      <c r="K42" s="69"/>
      <c r="L42" s="319">
        <v>0.5</v>
      </c>
    </row>
    <row r="43" spans="2:13" s="37" customFormat="1" ht="15.75" customHeight="1">
      <c r="B43" s="48"/>
      <c r="C43" s="157"/>
      <c r="D43" s="157"/>
      <c r="E43" s="157"/>
      <c r="F43" s="157"/>
      <c r="G43" s="157"/>
      <c r="H43" s="157"/>
      <c r="I43" s="157"/>
      <c r="J43" s="157"/>
      <c r="K43" s="69"/>
      <c r="L43" s="319"/>
    </row>
    <row r="44" spans="2:13" s="37" customFormat="1" ht="15.75" customHeight="1">
      <c r="B44" s="48"/>
      <c r="C44" s="153" t="s">
        <v>443</v>
      </c>
      <c r="D44" s="154">
        <f t="shared" ref="D44:I44" si="5">D45+D49+D56+D61+D66+D79+D85+D92+D100+D106+D113+D72</f>
        <v>326980.38298593432</v>
      </c>
      <c r="E44" s="154">
        <f t="shared" si="5"/>
        <v>327116.84529433399</v>
      </c>
      <c r="F44" s="154">
        <f t="shared" si="5"/>
        <v>320938.51866338059</v>
      </c>
      <c r="G44" s="154">
        <f t="shared" si="5"/>
        <v>325995.54099133605</v>
      </c>
      <c r="H44" s="154">
        <f t="shared" si="5"/>
        <v>311870.29580490931</v>
      </c>
      <c r="I44" s="154">
        <f t="shared" si="5"/>
        <v>313331.6722619714</v>
      </c>
      <c r="J44" s="154">
        <f t="shared" ref="J44:J70" si="6">SUM(D44:I44)</f>
        <v>1926233.256001866</v>
      </c>
      <c r="K44" s="69"/>
      <c r="L44" s="319"/>
    </row>
    <row r="45" spans="2:13" s="37" customFormat="1" ht="15.75" customHeight="1">
      <c r="B45" s="48" t="s">
        <v>275</v>
      </c>
      <c r="C45" s="155" t="s">
        <v>275</v>
      </c>
      <c r="D45" s="154">
        <f>SUM(D46:D48)</f>
        <v>9755.9067375490395</v>
      </c>
      <c r="E45" s="154">
        <f t="shared" ref="E45:I45" si="7">SUM(E46:E48)</f>
        <v>9759.9782962421723</v>
      </c>
      <c r="F45" s="154">
        <f t="shared" si="7"/>
        <v>9575.6386071494126</v>
      </c>
      <c r="G45" s="154">
        <f t="shared" si="7"/>
        <v>9726.5224919540906</v>
      </c>
      <c r="H45" s="154">
        <f t="shared" si="7"/>
        <v>9305.0745074821043</v>
      </c>
      <c r="I45" s="154">
        <f t="shared" si="7"/>
        <v>9348.6768771581665</v>
      </c>
      <c r="J45" s="154">
        <f t="shared" si="6"/>
        <v>57471.797517534986</v>
      </c>
      <c r="K45" s="69"/>
      <c r="L45" s="319"/>
    </row>
    <row r="46" spans="2:13" s="37" customFormat="1" ht="15.75" customHeight="1">
      <c r="B46" s="48"/>
      <c r="C46" s="160" t="s">
        <v>304</v>
      </c>
      <c r="D46" s="156">
        <f>$D$11*F801D!K22+$G$11*F801ENE!K22</f>
        <v>9674.0556139866949</v>
      </c>
      <c r="E46" s="156">
        <f>$D$11*F801D!L22+$G$11*F801ENE!L22</f>
        <v>9678.0930126921758</v>
      </c>
      <c r="F46" s="156">
        <f>$D$11*F801D!M22+$G$11*F801ENE!M22</f>
        <v>9495.2999159434476</v>
      </c>
      <c r="G46" s="156">
        <f>$D$11*F801D!N22+$G$11*F801ENE!N22</f>
        <v>9644.9178993992355</v>
      </c>
      <c r="H46" s="156">
        <f>$D$11*F801D!O22+$G$11*F801ENE!O22</f>
        <v>9227.0058231703388</v>
      </c>
      <c r="I46" s="156">
        <f>$D$11*F801D!P22+$G$11*F801ENE!P22</f>
        <v>9270.242373139019</v>
      </c>
      <c r="J46" s="156">
        <f t="shared" si="6"/>
        <v>56989.61463833091</v>
      </c>
      <c r="K46" s="69"/>
      <c r="L46" s="319"/>
    </row>
    <row r="47" spans="2:13" s="37" customFormat="1" ht="15.75" customHeight="1">
      <c r="B47" s="48"/>
      <c r="C47" s="161" t="s">
        <v>306</v>
      </c>
      <c r="D47" s="156">
        <f>($D$11*F801D!K23+$G$11*F801ENE!K23)*$L47</f>
        <v>51.662380323266433</v>
      </c>
      <c r="E47" s="156">
        <f>($D$11*F801D!L23+$G$11*F801ENE!L23)*$L47</f>
        <v>51.683941252390888</v>
      </c>
      <c r="F47" s="156">
        <f>($D$11*F801D!M23+$G$11*F801ENE!M23)*$L47</f>
        <v>50.707770878608144</v>
      </c>
      <c r="G47" s="156">
        <f>($D$11*F801D!N23+$G$11*F801ENE!N23)*$L47</f>
        <v>51.506776122418998</v>
      </c>
      <c r="H47" s="156">
        <f>($D$11*F801D!O23+$G$11*F801ENE!O23)*$L47</f>
        <v>49.274999349024391</v>
      </c>
      <c r="I47" s="156">
        <f>($D$11*F801D!P23+$G$11*F801ENE!P23)*$L47</f>
        <v>49.505895591249669</v>
      </c>
      <c r="J47" s="156">
        <f t="shared" si="6"/>
        <v>304.34176351695851</v>
      </c>
      <c r="K47" s="69"/>
      <c r="L47" s="319">
        <v>1</v>
      </c>
    </row>
    <row r="48" spans="2:13" s="37" customFormat="1" ht="15.75" customHeight="1">
      <c r="B48" s="48"/>
      <c r="C48" s="160" t="s">
        <v>305</v>
      </c>
      <c r="D48" s="156">
        <f>($D$11*F801D!K24+$G$11*F801ENE!K24)*$L48</f>
        <v>30.188743239078448</v>
      </c>
      <c r="E48" s="156">
        <f>($D$11*F801D!L24+$G$11*F801ENE!L24)*$L48</f>
        <v>30.201342297605397</v>
      </c>
      <c r="F48" s="156">
        <f>($D$11*F801D!M24+$G$11*F801ENE!M24)*$L48</f>
        <v>29.630920327356939</v>
      </c>
      <c r="G48" s="156">
        <f>($D$11*F801D!N24+$G$11*F801ENE!N24)*$L48</f>
        <v>30.097816432436716</v>
      </c>
      <c r="H48" s="156">
        <f>($D$11*F801D!O24+$G$11*F801ENE!O24)*$L48</f>
        <v>28.793684962741224</v>
      </c>
      <c r="I48" s="156">
        <f>($D$11*F801D!P24+$G$11*F801ENE!P24)*$L48</f>
        <v>28.928608427896936</v>
      </c>
      <c r="J48" s="156">
        <f t="shared" si="6"/>
        <v>177.84111568711566</v>
      </c>
      <c r="K48" s="69"/>
      <c r="L48" s="319">
        <v>0.95</v>
      </c>
    </row>
    <row r="49" spans="2:12" s="37" customFormat="1" ht="15.75" customHeight="1">
      <c r="B49" s="48" t="s">
        <v>274</v>
      </c>
      <c r="C49" s="158" t="s">
        <v>627</v>
      </c>
      <c r="D49" s="159">
        <f t="shared" ref="D49:I49" si="8">SUM(D50:D55)</f>
        <v>74969.00054509232</v>
      </c>
      <c r="E49" s="159">
        <f t="shared" si="8"/>
        <v>75000.288327365808</v>
      </c>
      <c r="F49" s="159">
        <f t="shared" si="8"/>
        <v>73583.734989592791</v>
      </c>
      <c r="G49" s="159">
        <f t="shared" si="8"/>
        <v>74743.198107319316</v>
      </c>
      <c r="H49" s="159">
        <f t="shared" si="8"/>
        <v>71504.592508928152</v>
      </c>
      <c r="I49" s="159">
        <f t="shared" si="8"/>
        <v>71839.653735316344</v>
      </c>
      <c r="J49" s="159">
        <f t="shared" si="6"/>
        <v>441640.46821361472</v>
      </c>
      <c r="K49" s="69"/>
      <c r="L49" s="319"/>
    </row>
    <row r="50" spans="2:12" s="37" customFormat="1" ht="15.75" customHeight="1">
      <c r="B50" s="48"/>
      <c r="C50" s="160" t="s">
        <v>304</v>
      </c>
      <c r="D50" s="156">
        <f>($D$12*F801D!K28+$F$12*F801ENE!K28)*$L50</f>
        <v>74834.124344624346</v>
      </c>
      <c r="E50" s="156">
        <f>($D$12*F801D!L28+$F$12*F801ENE!L28)*$L50</f>
        <v>74865.355837269264</v>
      </c>
      <c r="F50" s="156">
        <f>($D$12*F801D!M28+$F$12*F801ENE!M28)*$L50</f>
        <v>73451.351010621773</v>
      </c>
      <c r="G50" s="156">
        <f>($D$12*F801D!N28+$F$12*F801ENE!N28)*$L50</f>
        <v>74608.728146425579</v>
      </c>
      <c r="H50" s="156">
        <f>($D$12*F801D!O28+$F$12*F801ENE!O28)*$L50</f>
        <v>71375.949100539437</v>
      </c>
      <c r="I50" s="156">
        <f>($D$12*F801D!P28+$F$12*F801ENE!P28)*$L50</f>
        <v>71710.407520636873</v>
      </c>
      <c r="J50" s="156">
        <f t="shared" si="6"/>
        <v>440845.91596011724</v>
      </c>
      <c r="K50" s="69"/>
      <c r="L50" s="319">
        <v>1</v>
      </c>
    </row>
    <row r="51" spans="2:12" s="37" customFormat="1" ht="15.75" customHeight="1">
      <c r="B51" s="48"/>
      <c r="C51" s="162" t="s">
        <v>628</v>
      </c>
      <c r="D51" s="156">
        <f>($D$12*F801D!K29+$F$12*F801ENE!K29)*$L51</f>
        <v>6.4754585353390048</v>
      </c>
      <c r="E51" s="156">
        <f>($D$12*F801D!L29+$F$12*F801ENE!L29)*$L51</f>
        <v>6.4781610221709158</v>
      </c>
      <c r="F51" s="156">
        <f>($D$12*F801D!M29+$F$12*F801ENE!M29)*$L51</f>
        <v>6.3558060176337028</v>
      </c>
      <c r="G51" s="156">
        <f>($D$12*F801D!N29+$F$12*F801ENE!N29)*$L51</f>
        <v>6.4559548163038549</v>
      </c>
      <c r="H51" s="156">
        <f>($D$12*F801D!O29+$F$12*F801ENE!O29)*$L51</f>
        <v>6.1762197776583161</v>
      </c>
      <c r="I51" s="156">
        <f>($D$12*F801D!P29+$F$12*F801ENE!P29)*$L51</f>
        <v>6.2051607407564093</v>
      </c>
      <c r="J51" s="156">
        <f t="shared" si="6"/>
        <v>38.146760909862209</v>
      </c>
      <c r="K51" s="69"/>
      <c r="L51" s="319">
        <v>0.75</v>
      </c>
    </row>
    <row r="52" spans="2:12" s="37" customFormat="1" ht="15.75" customHeight="1">
      <c r="B52" s="48"/>
      <c r="C52" s="161" t="s">
        <v>629</v>
      </c>
      <c r="D52" s="156">
        <f>($D$12*F801D!K30+$F$12*F801ENE!K30)*$L52</f>
        <v>34.402948936467745</v>
      </c>
      <c r="E52" s="156">
        <f>($D$12*F801D!L30+$F$12*F801ENE!L30)*$L52</f>
        <v>34.417306763943948</v>
      </c>
      <c r="F52" s="156">
        <f>($D$12*F801D!M30+$F$12*F801ENE!M30)*$L52</f>
        <v>33.767256585992385</v>
      </c>
      <c r="G52" s="156">
        <f>($D$12*F801D!N30+$F$12*F801ENE!N30)*$L52</f>
        <v>34.299329177901498</v>
      </c>
      <c r="H52" s="156">
        <f>($D$12*F801D!O30+$F$12*F801ENE!O30)*$L52</f>
        <v>32.813147126430842</v>
      </c>
      <c r="I52" s="156">
        <f>($D$12*F801D!P30+$F$12*F801ENE!P30)*$L52</f>
        <v>32.966905268839184</v>
      </c>
      <c r="J52" s="156">
        <f t="shared" si="6"/>
        <v>202.66689385957559</v>
      </c>
      <c r="K52" s="69"/>
      <c r="L52" s="319">
        <v>1</v>
      </c>
    </row>
    <row r="53" spans="2:12" s="37" customFormat="1" ht="15.75" customHeight="1">
      <c r="B53" s="48"/>
      <c r="C53" s="160" t="s">
        <v>305</v>
      </c>
      <c r="D53" s="156">
        <f>($D$12*F801D!K31+$F$12*F801ENE!K31)*$L53</f>
        <v>86.131310034731783</v>
      </c>
      <c r="E53" s="156">
        <f>($D$12*F801D!L31+$F$12*F801ENE!L31)*$L53</f>
        <v>86.167256327942326</v>
      </c>
      <c r="F53" s="156">
        <f>($D$12*F801D!M31+$F$12*F801ENE!M31)*$L53</f>
        <v>84.539789057079162</v>
      </c>
      <c r="G53" s="156">
        <f>($D$12*F801D!N31+$F$12*F801ENE!N31)*$L53</f>
        <v>85.871887344913091</v>
      </c>
      <c r="H53" s="156">
        <f>($D$12*F801D!O31+$F$12*F801ENE!O31)*$L53</f>
        <v>82.151078199172005</v>
      </c>
      <c r="I53" s="156">
        <f>($D$12*F801D!P31+$F$12*F801ENE!P31)*$L53</f>
        <v>82.536027473683134</v>
      </c>
      <c r="J53" s="156">
        <f t="shared" si="6"/>
        <v>507.39734843752149</v>
      </c>
      <c r="K53" s="69"/>
      <c r="L53" s="319">
        <v>0.95</v>
      </c>
    </row>
    <row r="54" spans="2:12" s="37" customFormat="1" ht="15.75" customHeight="1">
      <c r="B54" s="48"/>
      <c r="C54" s="160" t="s">
        <v>307</v>
      </c>
      <c r="D54" s="156">
        <f>($D$12*F801D!K32+$F$12*F801ENE!K32)*$L54</f>
        <v>7.8664829614488649</v>
      </c>
      <c r="E54" s="156">
        <f>($D$12*F801D!L32+$F$12*F801ENE!L32)*$L54</f>
        <v>7.8697659824891133</v>
      </c>
      <c r="F54" s="156">
        <f>($D$12*F801D!M32+$F$12*F801ENE!M32)*$L54</f>
        <v>7.7211273103105711</v>
      </c>
      <c r="G54" s="156">
        <f>($D$12*F801D!N32+$F$12*F801ENE!N32)*$L54</f>
        <v>7.8427895546209765</v>
      </c>
      <c r="H54" s="156">
        <f>($D$12*F801D!O32+$F$12*F801ENE!O32)*$L54</f>
        <v>7.5029632854515826</v>
      </c>
      <c r="I54" s="156">
        <f>($D$12*F801D!P32+$F$12*F801ENE!P32)*$L54</f>
        <v>7.5381211961781567</v>
      </c>
      <c r="J54" s="156">
        <f t="shared" si="6"/>
        <v>46.341250290499275</v>
      </c>
      <c r="K54" s="69"/>
      <c r="L54" s="319">
        <v>0.5</v>
      </c>
    </row>
    <row r="55" spans="2:12" s="37" customFormat="1" ht="15.75" customHeight="1">
      <c r="B55" s="48"/>
      <c r="C55" s="160" t="s">
        <v>624</v>
      </c>
      <c r="D55" s="156">
        <f>($D$12*F801D!K33+$F$12*F801ENE!K33)*$L55</f>
        <v>0</v>
      </c>
      <c r="E55" s="156">
        <f>($D$12*F801D!L33+$F$12*F801ENE!L33)*$L55</f>
        <v>0</v>
      </c>
      <c r="F55" s="156">
        <f>($D$12*F801D!M33+$F$12*F801ENE!M33)*$L55</f>
        <v>0</v>
      </c>
      <c r="G55" s="156">
        <f>($D$12*F801D!N33+$F$12*F801ENE!N33)*$L55</f>
        <v>0</v>
      </c>
      <c r="H55" s="156">
        <f>($D$12*F801D!O33+$F$12*F801ENE!O33)*$L55</f>
        <v>0</v>
      </c>
      <c r="I55" s="156">
        <f>($D$12*F801D!P33+$F$12*F801ENE!P33)*$L55</f>
        <v>0</v>
      </c>
      <c r="J55" s="156">
        <f t="shared" si="6"/>
        <v>0</v>
      </c>
      <c r="K55" s="69"/>
      <c r="L55" s="319">
        <v>0</v>
      </c>
    </row>
    <row r="56" spans="2:12" s="37" customFormat="1" ht="15.75" customHeight="1">
      <c r="B56" s="48" t="s">
        <v>274</v>
      </c>
      <c r="C56" s="158" t="s">
        <v>631</v>
      </c>
      <c r="D56" s="159">
        <f t="shared" ref="D56:I56" si="9">SUM(D57:D60)</f>
        <v>35901.454824348199</v>
      </c>
      <c r="E56" s="159">
        <f t="shared" si="9"/>
        <v>35916.438042660811</v>
      </c>
      <c r="F56" s="159">
        <f t="shared" si="9"/>
        <v>35238.073314672365</v>
      </c>
      <c r="G56" s="159">
        <f t="shared" si="9"/>
        <v>35793.321649836165</v>
      </c>
      <c r="H56" s="159">
        <f t="shared" si="9"/>
        <v>34242.405247868286</v>
      </c>
      <c r="I56" s="159">
        <f t="shared" si="9"/>
        <v>34402.860708059889</v>
      </c>
      <c r="J56" s="159">
        <f t="shared" si="6"/>
        <v>211494.55378744574</v>
      </c>
      <c r="K56" s="69"/>
      <c r="L56" s="319"/>
    </row>
    <row r="57" spans="2:12" s="37" customFormat="1" ht="15.75" customHeight="1">
      <c r="B57" s="48"/>
      <c r="C57" s="160" t="s">
        <v>304</v>
      </c>
      <c r="D57" s="156">
        <f>($D$13*F801D!K35+$F$13*F801ENE!K35)*$L57</f>
        <v>35876.214600159001</v>
      </c>
      <c r="E57" s="156">
        <f>($D$13*F801D!L35+$F$13*F801ENE!L35)*$L57</f>
        <v>35891.187284642518</v>
      </c>
      <c r="F57" s="156">
        <f>($D$13*F801D!M35+$F$13*F801ENE!M35)*$L57</f>
        <v>35213.299475427986</v>
      </c>
      <c r="G57" s="156">
        <f>($D$13*F801D!N35+$F$13*F801ENE!N35)*$L57</f>
        <v>35768.157447790923</v>
      </c>
      <c r="H57" s="156">
        <f>($D$13*F801D!O35+$F$13*F801ENE!O35)*$L57</f>
        <v>34218.331404915065</v>
      </c>
      <c r="I57" s="156">
        <f>($D$13*F801D!P35+$F$13*F801ENE!P35)*$L57</f>
        <v>34378.674058207682</v>
      </c>
      <c r="J57" s="156">
        <f t="shared" si="6"/>
        <v>211345.86427114319</v>
      </c>
      <c r="K57" s="69"/>
      <c r="L57" s="319">
        <v>1</v>
      </c>
    </row>
    <row r="58" spans="2:12" s="37" customFormat="1" ht="15.75" customHeight="1">
      <c r="B58" s="48"/>
      <c r="C58" s="161" t="s">
        <v>306</v>
      </c>
      <c r="D58" s="156">
        <f>($D$13*F801D!K36+$F$13*F801ENE!K36)*$L58</f>
        <v>0</v>
      </c>
      <c r="E58" s="156">
        <f>($D$13*F801D!L36+$F$13*F801ENE!L36)*$L58</f>
        <v>0</v>
      </c>
      <c r="F58" s="156">
        <f>($D$13*F801D!M36+$F$13*F801ENE!M36)*$L58</f>
        <v>0</v>
      </c>
      <c r="G58" s="156">
        <f>($D$13*F801D!N36+$F$13*F801ENE!N36)*$L58</f>
        <v>0</v>
      </c>
      <c r="H58" s="156">
        <f>($D$13*F801D!O36+$F$13*F801ENE!O36)*$L58</f>
        <v>0</v>
      </c>
      <c r="I58" s="156">
        <f>($D$13*F801D!P36+$F$13*F801ENE!P36)*$L58</f>
        <v>0</v>
      </c>
      <c r="J58" s="156">
        <f t="shared" si="6"/>
        <v>0</v>
      </c>
      <c r="K58" s="69"/>
      <c r="L58" s="319">
        <v>1</v>
      </c>
    </row>
    <row r="59" spans="2:12" s="37" customFormat="1" ht="15.75" customHeight="1">
      <c r="B59" s="48"/>
      <c r="C59" s="160" t="s">
        <v>305</v>
      </c>
      <c r="D59" s="156">
        <f>($D$13*F801D!K37+$F$13*F801ENE!K37)*$L59</f>
        <v>25.240224189200294</v>
      </c>
      <c r="E59" s="156">
        <f>($D$13*F801D!L37+$F$13*F801ENE!L37)*$L59</f>
        <v>25.250758018292633</v>
      </c>
      <c r="F59" s="156">
        <f>($D$13*F801D!M37+$F$13*F801ENE!M37)*$L59</f>
        <v>24.773839244380937</v>
      </c>
      <c r="G59" s="156">
        <f>($D$13*F801D!N37+$F$13*F801ENE!N37)*$L59</f>
        <v>25.164202045241861</v>
      </c>
      <c r="H59" s="156">
        <f>($D$13*F801D!O37+$F$13*F801ENE!O37)*$L59</f>
        <v>24.073842953224549</v>
      </c>
      <c r="I59" s="156">
        <f>($D$13*F801D!P37+$F$13*F801ENE!P37)*$L59</f>
        <v>24.186649852204873</v>
      </c>
      <c r="J59" s="156">
        <f t="shared" si="6"/>
        <v>148.68951630254517</v>
      </c>
      <c r="K59" s="69"/>
      <c r="L59" s="319">
        <v>0.95</v>
      </c>
    </row>
    <row r="60" spans="2:12" s="37" customFormat="1" ht="15.75" customHeight="1">
      <c r="B60" s="48"/>
      <c r="C60" s="160" t="s">
        <v>307</v>
      </c>
      <c r="D60" s="156">
        <f>($D$13*F801D!K38+$F$13*F801ENE!K38)*$L60</f>
        <v>0</v>
      </c>
      <c r="E60" s="156">
        <f>($D$13*F801D!L38+$F$13*F801ENE!L38)*$L60</f>
        <v>0</v>
      </c>
      <c r="F60" s="156">
        <f>($D$13*F801D!M38+$F$13*F801ENE!M38)*$L60</f>
        <v>0</v>
      </c>
      <c r="G60" s="156">
        <f>($D$13*F801D!N38+$F$13*F801ENE!N38)*$L60</f>
        <v>0</v>
      </c>
      <c r="H60" s="156">
        <f>($D$13*F801D!O38+$F$13*F801ENE!O38)*$L60</f>
        <v>0</v>
      </c>
      <c r="I60" s="156">
        <f>($D$13*F801D!P38+$F$13*F801ENE!P38)*$L60</f>
        <v>0</v>
      </c>
      <c r="J60" s="156">
        <f t="shared" si="6"/>
        <v>0</v>
      </c>
      <c r="K60" s="69"/>
      <c r="L60" s="319">
        <v>0.5</v>
      </c>
    </row>
    <row r="61" spans="2:12" s="37" customFormat="1" ht="15.75" customHeight="1">
      <c r="B61" s="48" t="s">
        <v>274</v>
      </c>
      <c r="C61" s="158" t="s">
        <v>632</v>
      </c>
      <c r="D61" s="159">
        <f t="shared" ref="D61:I61" si="10">SUM(D62:D65)</f>
        <v>10609.161911306515</v>
      </c>
      <c r="E61" s="159">
        <f t="shared" si="10"/>
        <v>10613.58957001307</v>
      </c>
      <c r="F61" s="159">
        <f t="shared" si="10"/>
        <v>10413.127464247149</v>
      </c>
      <c r="G61" s="159">
        <f t="shared" si="10"/>
        <v>10577.207708837714</v>
      </c>
      <c r="H61" s="159">
        <f t="shared" si="10"/>
        <v>10118.899729401206</v>
      </c>
      <c r="I61" s="159">
        <f t="shared" si="10"/>
        <v>10166.315578286842</v>
      </c>
      <c r="J61" s="159">
        <f t="shared" si="6"/>
        <v>62498.301962092497</v>
      </c>
      <c r="K61" s="69"/>
      <c r="L61" s="319"/>
    </row>
    <row r="62" spans="2:12" s="37" customFormat="1" ht="15.75" customHeight="1">
      <c r="B62" s="48"/>
      <c r="C62" s="160" t="s">
        <v>304</v>
      </c>
      <c r="D62" s="156">
        <f>($D$14*F801D!K40+$F$14*F801ENE!K40)*$L62</f>
        <v>10609.161911306515</v>
      </c>
      <c r="E62" s="156">
        <f>($D$14*F801D!L40+$F$14*F801ENE!L40)*$L62</f>
        <v>10613.58957001307</v>
      </c>
      <c r="F62" s="156">
        <f>($D$14*F801D!M40+$F$14*F801ENE!M40)*$L62</f>
        <v>10413.127464247149</v>
      </c>
      <c r="G62" s="156">
        <f>($D$14*F801D!N40+$F$14*F801ENE!N40)*$L62</f>
        <v>10577.207708837714</v>
      </c>
      <c r="H62" s="156">
        <f>($D$14*F801D!O40+$F$14*F801ENE!O40)*$L62</f>
        <v>10118.899729401206</v>
      </c>
      <c r="I62" s="156">
        <f>($D$14*F801D!P40+$F$14*F801ENE!P40)*$L62</f>
        <v>10166.315578286842</v>
      </c>
      <c r="J62" s="156">
        <f t="shared" si="6"/>
        <v>62498.301962092497</v>
      </c>
      <c r="K62" s="69"/>
      <c r="L62" s="319">
        <v>1</v>
      </c>
    </row>
    <row r="63" spans="2:12" s="37" customFormat="1" ht="15.75" customHeight="1">
      <c r="B63" s="48"/>
      <c r="C63" s="161" t="s">
        <v>306</v>
      </c>
      <c r="D63" s="156">
        <f>($D$14*F801D!K41+$F$14*F801ENE!K41)*$L63</f>
        <v>0</v>
      </c>
      <c r="E63" s="156">
        <f>($D$14*F801D!L41+$F$14*F801ENE!L41)*$L63</f>
        <v>0</v>
      </c>
      <c r="F63" s="156">
        <f>($D$14*F801D!M41+$F$14*F801ENE!M41)*$L63</f>
        <v>0</v>
      </c>
      <c r="G63" s="156">
        <f>($D$14*F801D!N41+$F$14*F801ENE!N41)*$L63</f>
        <v>0</v>
      </c>
      <c r="H63" s="156">
        <f>($D$14*F801D!O41+$F$14*F801ENE!O41)*$L63</f>
        <v>0</v>
      </c>
      <c r="I63" s="156">
        <f>($D$14*F801D!P41+$F$14*F801ENE!P41)*$L63</f>
        <v>0</v>
      </c>
      <c r="J63" s="156">
        <f t="shared" si="6"/>
        <v>0</v>
      </c>
      <c r="K63" s="69"/>
      <c r="L63" s="319">
        <v>1</v>
      </c>
    </row>
    <row r="64" spans="2:12" s="37" customFormat="1" ht="15.75" customHeight="1">
      <c r="B64" s="48"/>
      <c r="C64" s="160" t="s">
        <v>305</v>
      </c>
      <c r="D64" s="156">
        <f>($D$14*F801D!K42+$F$14*F801ENE!K42)*$L64</f>
        <v>0</v>
      </c>
      <c r="E64" s="156">
        <f>($D$14*F801D!L42+$F$14*F801ENE!L42)*$L64</f>
        <v>0</v>
      </c>
      <c r="F64" s="156">
        <f>($D$14*F801D!M42+$F$14*F801ENE!M42)*$L64</f>
        <v>0</v>
      </c>
      <c r="G64" s="156">
        <f>($D$14*F801D!N42+$F$14*F801ENE!N42)*$L64</f>
        <v>0</v>
      </c>
      <c r="H64" s="156">
        <f>($D$14*F801D!O42+$F$14*F801ENE!O42)*$L64</f>
        <v>0</v>
      </c>
      <c r="I64" s="156">
        <f>($D$14*F801D!P42+$F$14*F801ENE!P42)*$L64</f>
        <v>0</v>
      </c>
      <c r="J64" s="156">
        <f t="shared" si="6"/>
        <v>0</v>
      </c>
      <c r="K64" s="69"/>
      <c r="L64" s="319">
        <v>0.95</v>
      </c>
    </row>
    <row r="65" spans="2:13" s="37" customFormat="1" ht="15.75" customHeight="1">
      <c r="B65" s="48"/>
      <c r="C65" s="160" t="s">
        <v>307</v>
      </c>
      <c r="D65" s="156">
        <f>($D$14*F801D!K43+$F$14*F801ENE!K43)*$L65</f>
        <v>0</v>
      </c>
      <c r="E65" s="156">
        <f>($D$14*F801D!L43+$F$14*F801ENE!L43)*$L65</f>
        <v>0</v>
      </c>
      <c r="F65" s="156">
        <f>($D$14*F801D!M43+$F$14*F801ENE!M43)*$L65</f>
        <v>0</v>
      </c>
      <c r="G65" s="156">
        <f>($D$14*F801D!N43+$F$14*F801ENE!N43)*$L65</f>
        <v>0</v>
      </c>
      <c r="H65" s="156">
        <f>($D$14*F801D!O43+$F$14*F801ENE!O43)*$L65</f>
        <v>0</v>
      </c>
      <c r="I65" s="156">
        <f>($D$14*F801D!P43+$F$14*F801ENE!P43)*$L65</f>
        <v>0</v>
      </c>
      <c r="J65" s="156">
        <f t="shared" si="6"/>
        <v>0</v>
      </c>
      <c r="K65" s="69"/>
      <c r="L65" s="319">
        <v>0.5</v>
      </c>
    </row>
    <row r="66" spans="2:13" s="37" customFormat="1" ht="15.75" customHeight="1">
      <c r="B66" s="48" t="s">
        <v>274</v>
      </c>
      <c r="C66" s="158" t="s">
        <v>633</v>
      </c>
      <c r="D66" s="159">
        <f t="shared" ref="D66:I66" si="11">SUM(D67:D70)</f>
        <v>11255.203135328988</v>
      </c>
      <c r="E66" s="159">
        <f t="shared" si="11"/>
        <v>11259.900414772244</v>
      </c>
      <c r="F66" s="159">
        <f t="shared" si="11"/>
        <v>11047.231238809658</v>
      </c>
      <c r="G66" s="159">
        <f t="shared" si="11"/>
        <v>11221.303092816628</v>
      </c>
      <c r="H66" s="159">
        <f t="shared" si="11"/>
        <v>10735.086608402091</v>
      </c>
      <c r="I66" s="159">
        <f t="shared" si="11"/>
        <v>10785.389828911257</v>
      </c>
      <c r="J66" s="159">
        <f t="shared" si="6"/>
        <v>66304.114319040862</v>
      </c>
      <c r="K66" s="69"/>
      <c r="L66" s="319"/>
    </row>
    <row r="67" spans="2:13" s="37" customFormat="1" ht="15.75" customHeight="1">
      <c r="B67" s="48"/>
      <c r="C67" s="160" t="s">
        <v>304</v>
      </c>
      <c r="D67" s="156">
        <f>($D$15*F801D!K45+$F$15*F801ENE!K45)*$L67</f>
        <v>11255.203135328988</v>
      </c>
      <c r="E67" s="156">
        <f>($D$15*F801D!L45+$F$15*F801ENE!L45)*$L67</f>
        <v>11259.900414772244</v>
      </c>
      <c r="F67" s="156">
        <f>($D$15*F801D!M45+$F$15*F801ENE!M45)*$L67</f>
        <v>11047.231238809658</v>
      </c>
      <c r="G67" s="156">
        <f>($D$15*F801D!N45+$F$15*F801ENE!N45)*$L67</f>
        <v>11221.303092816628</v>
      </c>
      <c r="H67" s="156">
        <f>($D$15*F801D!O45+$F$15*F801ENE!O45)*$L67</f>
        <v>10735.086608402091</v>
      </c>
      <c r="I67" s="156">
        <f>($D$15*F801D!P45+$F$15*F801ENE!P45)*$L67</f>
        <v>10785.389828911257</v>
      </c>
      <c r="J67" s="156">
        <f t="shared" si="6"/>
        <v>66304.114319040862</v>
      </c>
      <c r="K67" s="69"/>
      <c r="L67" s="319">
        <v>1</v>
      </c>
    </row>
    <row r="68" spans="2:13" s="37" customFormat="1" ht="15.75" customHeight="1">
      <c r="B68" s="48"/>
      <c r="C68" s="161" t="s">
        <v>306</v>
      </c>
      <c r="D68" s="156">
        <f>($D$15*F801D!K46+$F$15*F801ENE!K46)*$L68</f>
        <v>0</v>
      </c>
      <c r="E68" s="156">
        <f>($D$15*F801D!L46+$F$15*F801ENE!L46)*$L68</f>
        <v>0</v>
      </c>
      <c r="F68" s="156">
        <f>($D$15*F801D!M46+$F$15*F801ENE!M46)*$L68</f>
        <v>0</v>
      </c>
      <c r="G68" s="156">
        <f>($D$15*F801D!N46+$F$15*F801ENE!N46)*$L68</f>
        <v>0</v>
      </c>
      <c r="H68" s="156">
        <f>($D$15*F801D!O46+$F$15*F801ENE!O46)*$L68</f>
        <v>0</v>
      </c>
      <c r="I68" s="156">
        <f>($D$15*F801D!P46+$F$15*F801ENE!P46)*$L68</f>
        <v>0</v>
      </c>
      <c r="J68" s="156">
        <f t="shared" si="6"/>
        <v>0</v>
      </c>
      <c r="K68" s="69"/>
      <c r="L68" s="319">
        <v>1</v>
      </c>
    </row>
    <row r="69" spans="2:13" s="37" customFormat="1" ht="15.75" customHeight="1">
      <c r="B69" s="48"/>
      <c r="C69" s="160" t="s">
        <v>305</v>
      </c>
      <c r="D69" s="156">
        <f>($D$15*F801D!K47+$F$15*F801ENE!K47)*$L69</f>
        <v>0</v>
      </c>
      <c r="E69" s="156">
        <f>($D$15*F801D!L47+$F$15*F801ENE!L47)*$L69</f>
        <v>0</v>
      </c>
      <c r="F69" s="156">
        <f>($D$15*F801D!M47+$F$15*F801ENE!M47)*$L69</f>
        <v>0</v>
      </c>
      <c r="G69" s="156">
        <f>($D$15*F801D!N47+$F$15*F801ENE!N47)*$L69</f>
        <v>0</v>
      </c>
      <c r="H69" s="156">
        <f>($D$15*F801D!O47+$F$15*F801ENE!O47)*$L69</f>
        <v>0</v>
      </c>
      <c r="I69" s="156">
        <f>($D$15*F801D!P47+$F$15*F801ENE!P47)*$L69</f>
        <v>0</v>
      </c>
      <c r="J69" s="156">
        <f t="shared" si="6"/>
        <v>0</v>
      </c>
      <c r="K69" s="69"/>
      <c r="L69" s="319">
        <v>0.95</v>
      </c>
    </row>
    <row r="70" spans="2:13" s="37" customFormat="1" ht="15.75" customHeight="1">
      <c r="B70" s="48"/>
      <c r="C70" s="160" t="s">
        <v>307</v>
      </c>
      <c r="D70" s="156">
        <f>($D$15*F801D!K48+$F$15*F801ENE!K48)*$L70</f>
        <v>0</v>
      </c>
      <c r="E70" s="156">
        <f>($D$15*F801D!L48+$F$15*F801ENE!L48)*$L70</f>
        <v>0</v>
      </c>
      <c r="F70" s="156">
        <f>($D$15*F801D!M48+$F$15*F801ENE!M48)*$L70</f>
        <v>0</v>
      </c>
      <c r="G70" s="156">
        <f>($D$15*F801D!N48+$F$15*F801ENE!N48)*$L70</f>
        <v>0</v>
      </c>
      <c r="H70" s="156">
        <f>($D$15*F801D!O48+$F$15*F801ENE!O48)*$L70</f>
        <v>0</v>
      </c>
      <c r="I70" s="156">
        <f>($D$15*F801D!P48+$F$15*F801ENE!P48)*$L70</f>
        <v>0</v>
      </c>
      <c r="J70" s="156">
        <f t="shared" si="6"/>
        <v>0</v>
      </c>
      <c r="K70" s="69"/>
      <c r="L70" s="319">
        <v>0.5</v>
      </c>
    </row>
    <row r="71" spans="2:13" s="37" customFormat="1" ht="15.75">
      <c r="B71" s="48"/>
      <c r="C71" s="157"/>
      <c r="D71" s="156"/>
      <c r="E71" s="156"/>
      <c r="F71" s="156"/>
      <c r="G71" s="156"/>
      <c r="H71" s="156"/>
      <c r="I71" s="156"/>
      <c r="J71" s="156"/>
      <c r="K71" s="69"/>
      <c r="L71" s="319"/>
    </row>
    <row r="72" spans="2:13" s="37" customFormat="1" ht="15.75">
      <c r="B72" s="48" t="s">
        <v>1176</v>
      </c>
      <c r="C72" s="158" t="str">
        <f>F801ENE!$C$50</f>
        <v>BTSH</v>
      </c>
      <c r="D72" s="159">
        <f>SUM(D73:D78)</f>
        <v>2.4063667660533774</v>
      </c>
      <c r="E72" s="159">
        <f t="shared" ref="E72:J72" si="12">SUM(E73:E78)</f>
        <v>2.4063667660533774</v>
      </c>
      <c r="F72" s="159">
        <f t="shared" si="12"/>
        <v>2.4063667660533774</v>
      </c>
      <c r="G72" s="159">
        <f t="shared" si="12"/>
        <v>2.4063667660533774</v>
      </c>
      <c r="H72" s="159">
        <f t="shared" si="12"/>
        <v>2.4063667660533774</v>
      </c>
      <c r="I72" s="159">
        <f t="shared" si="12"/>
        <v>2.4063667660533774</v>
      </c>
      <c r="J72" s="159">
        <f t="shared" si="12"/>
        <v>14.438200596320264</v>
      </c>
      <c r="K72" s="69"/>
      <c r="L72" s="319"/>
    </row>
    <row r="73" spans="2:13" s="37" customFormat="1" ht="15.75">
      <c r="B73" s="48"/>
      <c r="C73" s="160" t="str">
        <f>F801ENE!$C$51</f>
        <v xml:space="preserve">    - Regulares</v>
      </c>
      <c r="D73" s="156">
        <f>($G$16*F801ENE!K51)*$L73</f>
        <v>2.4063667660533774</v>
      </c>
      <c r="E73" s="156">
        <f>($G$16*F801ENE!L51)*$L73</f>
        <v>2.4063667660533774</v>
      </c>
      <c r="F73" s="156">
        <f>($G$16*F801ENE!M51)*$L73</f>
        <v>2.4063667660533774</v>
      </c>
      <c r="G73" s="156">
        <f>($G$16*F801ENE!N51)*$L73</f>
        <v>2.4063667660533774</v>
      </c>
      <c r="H73" s="156">
        <f>($G$16*F801ENE!O51)*$L73</f>
        <v>2.4063667660533774</v>
      </c>
      <c r="I73" s="156">
        <f>($G$16*F801ENE!P51)*$L73</f>
        <v>2.4063667660533774</v>
      </c>
      <c r="J73" s="156">
        <f t="shared" ref="J73:J90" si="13">SUM(D73:I73)</f>
        <v>14.438200596320264</v>
      </c>
      <c r="K73" s="69"/>
      <c r="L73" s="319">
        <v>1</v>
      </c>
      <c r="M73" s="69"/>
    </row>
    <row r="74" spans="2:13" s="37" customFormat="1" ht="15.75">
      <c r="B74" s="48"/>
      <c r="C74" s="162" t="str">
        <f>F801ENE!$C$52</f>
        <v xml:space="preserve">    - Jubilados (0 a 600 KWh)</v>
      </c>
      <c r="D74" s="156">
        <f>($G$16*F801ENE!K52)*$L74</f>
        <v>0</v>
      </c>
      <c r="E74" s="156">
        <f>($G$16*F801ENE!L52)*$L74</f>
        <v>0</v>
      </c>
      <c r="F74" s="156">
        <f>($G$16*F801ENE!M52)*$L74</f>
        <v>0</v>
      </c>
      <c r="G74" s="156">
        <f>($G$16*F801ENE!N52)*$L74</f>
        <v>0</v>
      </c>
      <c r="H74" s="156">
        <f>($G$16*F801ENE!O52)*$L74</f>
        <v>0</v>
      </c>
      <c r="I74" s="156">
        <f>($G$16*F801ENE!P52)*$L74</f>
        <v>0</v>
      </c>
      <c r="J74" s="156">
        <f t="shared" si="13"/>
        <v>0</v>
      </c>
      <c r="K74" s="69"/>
      <c r="L74" s="319">
        <v>0.75</v>
      </c>
      <c r="M74" s="69"/>
    </row>
    <row r="75" spans="2:13" s="37" customFormat="1" ht="15.75">
      <c r="B75" s="48"/>
      <c r="C75" s="162" t="str">
        <f>F801ENE!$C$53</f>
        <v xml:space="preserve">    - Jubilados (601 y Más KWh)</v>
      </c>
      <c r="D75" s="156">
        <f>($G$16*F801ENE!K53)*$L75</f>
        <v>0</v>
      </c>
      <c r="E75" s="156">
        <f>($G$16*F801ENE!L53)*$L75</f>
        <v>0</v>
      </c>
      <c r="F75" s="156">
        <f>($G$16*F801ENE!M53)*$L75</f>
        <v>0</v>
      </c>
      <c r="G75" s="156">
        <f>($G$16*F801ENE!N53)*$L75</f>
        <v>0</v>
      </c>
      <c r="H75" s="156">
        <f>($G$16*F801ENE!O53)*$L75</f>
        <v>0</v>
      </c>
      <c r="I75" s="156">
        <f>($G$16*F801ENE!P53)*$L75</f>
        <v>0</v>
      </c>
      <c r="J75" s="156">
        <f t="shared" si="13"/>
        <v>0</v>
      </c>
      <c r="K75" s="69"/>
      <c r="L75" s="319">
        <v>1</v>
      </c>
      <c r="M75" s="69"/>
    </row>
    <row r="76" spans="2:13" s="37" customFormat="1" ht="15.75">
      <c r="B76" s="48"/>
      <c r="C76" s="160" t="str">
        <f>F801ENE!$C$54</f>
        <v xml:space="preserve">    - Agropecuarios</v>
      </c>
      <c r="D76" s="156">
        <f>($G$16*F801ENE!K54)*$L76</f>
        <v>0</v>
      </c>
      <c r="E76" s="156">
        <f>($G$16*F801ENE!L54)*$L76</f>
        <v>0</v>
      </c>
      <c r="F76" s="156">
        <f>($G$16*F801ENE!M54)*$L76</f>
        <v>0</v>
      </c>
      <c r="G76" s="156">
        <f>($G$16*F801ENE!N54)*$L76</f>
        <v>0</v>
      </c>
      <c r="H76" s="156">
        <f>($G$16*F801ENE!O54)*$L76</f>
        <v>0</v>
      </c>
      <c r="I76" s="156">
        <f>($G$16*F801ENE!P54)*$L76</f>
        <v>0</v>
      </c>
      <c r="J76" s="156">
        <f t="shared" si="13"/>
        <v>0</v>
      </c>
      <c r="K76" s="69"/>
      <c r="L76" s="319">
        <v>0.95</v>
      </c>
      <c r="M76" s="69"/>
    </row>
    <row r="77" spans="2:13" s="37" customFormat="1" ht="15.75">
      <c r="B77" s="48"/>
      <c r="C77" s="160" t="str">
        <f>F801ENE!$C$55</f>
        <v xml:space="preserve">    - Partidos Políticos</v>
      </c>
      <c r="D77" s="156">
        <f>($G$16*F801ENE!K55)*$L77</f>
        <v>0</v>
      </c>
      <c r="E77" s="156">
        <f>($G$16*F801ENE!L55)*$L77</f>
        <v>0</v>
      </c>
      <c r="F77" s="156">
        <f>($G$16*F801ENE!M55)*$L77</f>
        <v>0</v>
      </c>
      <c r="G77" s="156">
        <f>($G$16*F801ENE!N55)*$L77</f>
        <v>0</v>
      </c>
      <c r="H77" s="156">
        <f>($G$16*F801ENE!O55)*$L77</f>
        <v>0</v>
      </c>
      <c r="I77" s="156">
        <f>($G$16*F801ENE!P55)*$L77</f>
        <v>0</v>
      </c>
      <c r="J77" s="156">
        <f t="shared" si="13"/>
        <v>0</v>
      </c>
      <c r="K77" s="69"/>
      <c r="L77" s="319">
        <v>0.5</v>
      </c>
      <c r="M77" s="69"/>
    </row>
    <row r="78" spans="2:13" s="37" customFormat="1" ht="15.75">
      <c r="B78" s="48"/>
      <c r="C78" s="160" t="str">
        <f>F801ENE!$C$56</f>
        <v xml:space="preserve">    - Cruz Roja</v>
      </c>
      <c r="D78" s="156">
        <f>($G$16*F801ENE!K56)*$L78</f>
        <v>0</v>
      </c>
      <c r="E78" s="156">
        <f>($G$16*F801ENE!L56)*$L78</f>
        <v>0</v>
      </c>
      <c r="F78" s="156">
        <f>($G$16*F801ENE!M56)*$L78</f>
        <v>0</v>
      </c>
      <c r="G78" s="156">
        <f>($G$16*F801ENE!N56)*$L78</f>
        <v>0</v>
      </c>
      <c r="H78" s="156">
        <f>($G$16*F801ENE!O56)*$L78</f>
        <v>0</v>
      </c>
      <c r="I78" s="156">
        <f>($G$16*F801ENE!P56)*$L78</f>
        <v>0</v>
      </c>
      <c r="J78" s="156">
        <f t="shared" si="13"/>
        <v>0</v>
      </c>
      <c r="K78" s="69"/>
      <c r="L78" s="319">
        <v>0</v>
      </c>
      <c r="M78" s="69"/>
    </row>
    <row r="79" spans="2:13" s="37" customFormat="1" ht="15.75">
      <c r="B79" s="48" t="s">
        <v>751</v>
      </c>
      <c r="C79" s="158" t="s">
        <v>634</v>
      </c>
      <c r="D79" s="159">
        <f t="shared" ref="D79" si="14">SUM(D80:D84)</f>
        <v>69525.051414304573</v>
      </c>
      <c r="E79" s="159">
        <f t="shared" ref="E79:I79" si="15">SUM(E80:E84)</f>
        <v>69554.067564813464</v>
      </c>
      <c r="F79" s="159">
        <f t="shared" si="15"/>
        <v>68240.362282240152</v>
      </c>
      <c r="G79" s="159">
        <f t="shared" si="15"/>
        <v>69315.643235021562</v>
      </c>
      <c r="H79" s="159">
        <f t="shared" si="15"/>
        <v>66312.174767348712</v>
      </c>
      <c r="I79" s="159">
        <f t="shared" si="15"/>
        <v>66622.909062594976</v>
      </c>
      <c r="J79" s="159">
        <f t="shared" si="13"/>
        <v>409570.20832632342</v>
      </c>
      <c r="K79" s="69"/>
      <c r="L79" s="319"/>
      <c r="M79" s="69"/>
    </row>
    <row r="80" spans="2:13" s="37" customFormat="1" ht="15.75">
      <c r="B80" s="48"/>
      <c r="C80" s="160" t="s">
        <v>304</v>
      </c>
      <c r="D80" s="156">
        <f>(($E$18+$F$18)*F801ENE!K66)*$L80</f>
        <v>49133.354536816179</v>
      </c>
      <c r="E80" s="156">
        <f>(($E$18+$F$18)*F801ENE!L66)*$L80</f>
        <v>49153.860356822443</v>
      </c>
      <c r="F80" s="156">
        <f>(($E$18+$F$18)*F801ENE!M66)*$L80</f>
        <v>48225.460014486227</v>
      </c>
      <c r="G80" s="156">
        <f>(($E$18+$F$18)*F801ENE!N66)*$L80</f>
        <v>48985.365008332636</v>
      </c>
      <c r="H80" s="156">
        <f>(($E$18+$F$18)*F801ENE!O66)*$L80</f>
        <v>46862.802824429804</v>
      </c>
      <c r="I80" s="156">
        <f>(($E$18+$F$18)*F801ENE!P66)*$L80</f>
        <v>47082.399890765068</v>
      </c>
      <c r="J80" s="156">
        <f t="shared" si="13"/>
        <v>289443.24263165239</v>
      </c>
      <c r="K80" s="69"/>
      <c r="L80" s="319">
        <v>1</v>
      </c>
      <c r="M80" s="329"/>
    </row>
    <row r="81" spans="1:28" s="37" customFormat="1" ht="15.75">
      <c r="B81" s="48"/>
      <c r="C81" s="162" t="s">
        <v>644</v>
      </c>
      <c r="D81" s="156">
        <f>(($E$18+$F$18)*F801ENE!K67)*$L81</f>
        <v>20387.354812341677</v>
      </c>
      <c r="E81" s="156">
        <f>(($E$18+$F$18)*F801ENE!L67)*$L81</f>
        <v>20395.86333071411</v>
      </c>
      <c r="F81" s="156">
        <f>(($E$18+$F$18)*F801ENE!M67)*$L81</f>
        <v>20010.640434613011</v>
      </c>
      <c r="G81" s="156">
        <f>(($E$18+$F$18)*F801ENE!N67)*$L81</f>
        <v>20325.949239599631</v>
      </c>
      <c r="H81" s="156">
        <f>(($E$18+$F$18)*F801ENE!O67)*$L81</f>
        <v>19445.230529845416</v>
      </c>
      <c r="I81" s="156">
        <f>(($E$18+$F$18)*F801ENE!P67)*$L81</f>
        <v>19536.348352633056</v>
      </c>
      <c r="J81" s="156">
        <f t="shared" si="13"/>
        <v>120101.3866997469</v>
      </c>
      <c r="K81" s="69"/>
      <c r="L81" s="319">
        <v>0.75</v>
      </c>
      <c r="M81" s="329"/>
    </row>
    <row r="82" spans="1:28" s="37" customFormat="1" ht="15.75">
      <c r="B82" s="48"/>
      <c r="C82" s="160" t="s">
        <v>305</v>
      </c>
      <c r="D82" s="156">
        <f>(($E$18+$F$18)*F801ENE!K68)*$L82</f>
        <v>4.1902024403312135</v>
      </c>
      <c r="E82" s="156">
        <f>(($E$18+$F$18)*F801ENE!L68)*$L82</f>
        <v>4.1919511916908645</v>
      </c>
      <c r="F82" s="156">
        <f>(($E$18+$F$18)*F801ENE!M68)*$L82</f>
        <v>4.1127765300355357</v>
      </c>
      <c r="G82" s="156">
        <f>(($E$18+$F$18)*F801ENE!N68)*$L82</f>
        <v>4.1775817848748273</v>
      </c>
      <c r="H82" s="156">
        <f>(($E$18+$F$18)*F801ENE!O68)*$L82</f>
        <v>3.9965681261228121</v>
      </c>
      <c r="I82" s="156">
        <f>(($E$18+$F$18)*F801ENE!P68)*$L82</f>
        <v>4.0152955248911564</v>
      </c>
      <c r="J82" s="156">
        <f t="shared" si="13"/>
        <v>24.684375597946413</v>
      </c>
      <c r="K82" s="69"/>
      <c r="L82" s="319">
        <v>0.95</v>
      </c>
      <c r="M82" s="329"/>
    </row>
    <row r="83" spans="1:28" s="37" customFormat="1" ht="15.75">
      <c r="B83" s="48"/>
      <c r="C83" s="160" t="s">
        <v>307</v>
      </c>
      <c r="D83" s="156">
        <f>(($E$18+$F$18)*F801ENE!K69)*$L83</f>
        <v>0.15186270639757479</v>
      </c>
      <c r="E83" s="156">
        <f>(($E$18+$F$18)*F801ENE!L69)*$L83</f>
        <v>0.15192608522427228</v>
      </c>
      <c r="F83" s="156">
        <f>(($E$18+$F$18)*F801ENE!M69)*$L83</f>
        <v>0.14905661088065558</v>
      </c>
      <c r="G83" s="156">
        <f>(($E$18+$F$18)*F801ENE!N69)*$L83</f>
        <v>0.15140530441726224</v>
      </c>
      <c r="H83" s="156">
        <f>(($E$18+$F$18)*F801ENE!O69)*$L83</f>
        <v>0.14484494736901538</v>
      </c>
      <c r="I83" s="156">
        <f>(($E$18+$F$18)*F801ENE!P69)*$L83</f>
        <v>0.14552367196555835</v>
      </c>
      <c r="J83" s="156">
        <f t="shared" si="13"/>
        <v>0.89461932625433871</v>
      </c>
      <c r="K83" s="69"/>
      <c r="L83" s="319">
        <v>0.5</v>
      </c>
      <c r="M83" s="329"/>
    </row>
    <row r="84" spans="1:28" s="37" customFormat="1" ht="15.75">
      <c r="B84" s="48"/>
      <c r="C84" s="160" t="s">
        <v>624</v>
      </c>
      <c r="D84" s="156">
        <f>(($E$18+$F$18)*F801ENE!K70)*$L84</f>
        <v>0</v>
      </c>
      <c r="E84" s="156">
        <f>(($E$18+$F$18)*F801ENE!L70)*$L84</f>
        <v>0</v>
      </c>
      <c r="F84" s="156">
        <f>(($E$18+$F$18)*F801ENE!M70)*$L84</f>
        <v>0</v>
      </c>
      <c r="G84" s="156">
        <f>(($E$18+$F$18)*F801ENE!N70)*$L84</f>
        <v>0</v>
      </c>
      <c r="H84" s="156">
        <f>(($E$18+$F$18)*F801ENE!O70)*$L84</f>
        <v>0</v>
      </c>
      <c r="I84" s="156">
        <f>(($E$18+$F$18)*F801ENE!P70)*$L84</f>
        <v>0</v>
      </c>
      <c r="J84" s="156">
        <f t="shared" si="13"/>
        <v>0</v>
      </c>
      <c r="K84" s="69"/>
      <c r="L84" s="319">
        <v>0</v>
      </c>
      <c r="M84" s="329"/>
    </row>
    <row r="85" spans="1:28" s="37" customFormat="1" ht="15.75">
      <c r="B85" s="48" t="s">
        <v>750</v>
      </c>
      <c r="C85" s="158" t="s">
        <v>635</v>
      </c>
      <c r="D85" s="159">
        <f t="shared" ref="D85" si="16">SUM(D86:D91)</f>
        <v>47079.928035972931</v>
      </c>
      <c r="E85" s="159">
        <f t="shared" ref="E85:I85" si="17">SUM(E86:E91)</f>
        <v>47099.576511037703</v>
      </c>
      <c r="F85" s="159">
        <f t="shared" si="17"/>
        <v>46209.992433398067</v>
      </c>
      <c r="G85" s="159">
        <f t="shared" si="17"/>
        <v>46938.125925188397</v>
      </c>
      <c r="H85" s="159">
        <f t="shared" si="17"/>
        <v>44904.307714987692</v>
      </c>
      <c r="I85" s="159">
        <f t="shared" si="17"/>
        <v>45114.723464314811</v>
      </c>
      <c r="J85" s="159">
        <f t="shared" si="13"/>
        <v>277346.65408489958</v>
      </c>
      <c r="K85" s="69"/>
      <c r="L85" s="319"/>
      <c r="M85" s="69"/>
    </row>
    <row r="86" spans="1:28" s="37" customFormat="1" ht="15.75">
      <c r="A86" s="60"/>
      <c r="B86" s="48"/>
      <c r="C86" s="160" t="s">
        <v>304</v>
      </c>
      <c r="D86" s="156">
        <f>(($E$19+$F$19)*F801ENE!K72)*$L86</f>
        <v>33874.835534191596</v>
      </c>
      <c r="E86" s="156">
        <f>(($E$19+$F$19)*F801ENE!L72)*$L86</f>
        <v>33888.972957273647</v>
      </c>
      <c r="F86" s="156">
        <f>(($E$19+$F$19)*F801ENE!M72)*$L86</f>
        <v>33248.901581190556</v>
      </c>
      <c r="G86" s="156">
        <f>(($E$19+$F$19)*F801ENE!N72)*$L86</f>
        <v>33772.806423663715</v>
      </c>
      <c r="H86" s="156">
        <f>(($E$19+$F$19)*F801ENE!O72)*$L86</f>
        <v>32309.438482141988</v>
      </c>
      <c r="I86" s="156">
        <f>(($E$19+$F$19)*F801ENE!P72)*$L86</f>
        <v>32460.836311314826</v>
      </c>
      <c r="J86" s="330">
        <f t="shared" si="13"/>
        <v>199555.79128977633</v>
      </c>
      <c r="K86" s="69"/>
      <c r="L86" s="319">
        <v>1</v>
      </c>
      <c r="M86" s="329"/>
      <c r="O86" s="60"/>
      <c r="P86" s="60"/>
      <c r="W86" s="60"/>
      <c r="X86" s="60"/>
      <c r="Y86" s="60"/>
      <c r="Z86" s="60"/>
      <c r="AA86" s="60"/>
      <c r="AB86" s="60"/>
    </row>
    <row r="87" spans="1:28" s="37" customFormat="1" ht="15.75">
      <c r="B87" s="48"/>
      <c r="C87" s="162" t="s">
        <v>642</v>
      </c>
      <c r="D87" s="156">
        <f>(($E$19+$F$19)*F801ENE!K73)*$L87</f>
        <v>10660.413722972027</v>
      </c>
      <c r="E87" s="156">
        <f>(($E$19+$F$19)*F801ENE!L73)*$L87</f>
        <v>10664.862771259779</v>
      </c>
      <c r="F87" s="156">
        <f>(($E$19+$F$19)*F801ENE!M73)*$L87</f>
        <v>10463.432252891931</v>
      </c>
      <c r="G87" s="156">
        <f>(($E$19+$F$19)*F801ENE!N73)*$L87</f>
        <v>10628.305152912217</v>
      </c>
      <c r="H87" s="156">
        <f>(($E$19+$F$19)*F801ENE!O73)*$L87</f>
        <v>10167.783132965887</v>
      </c>
      <c r="I87" s="156">
        <f>(($E$19+$F$19)*F801ENE!P73)*$L87</f>
        <v>10215.428043126803</v>
      </c>
      <c r="J87" s="330">
        <f t="shared" si="13"/>
        <v>62800.225076128649</v>
      </c>
      <c r="K87" s="69"/>
      <c r="L87" s="319">
        <v>0.75</v>
      </c>
      <c r="M87" s="329"/>
      <c r="Q87" s="60"/>
      <c r="W87" s="60"/>
      <c r="X87" s="60"/>
      <c r="Y87" s="60"/>
      <c r="Z87" s="60"/>
      <c r="AA87" s="60"/>
      <c r="AB87" s="60"/>
    </row>
    <row r="88" spans="1:28" s="37" customFormat="1" ht="15.75">
      <c r="B88" s="48"/>
      <c r="C88" s="162" t="s">
        <v>1177</v>
      </c>
      <c r="D88" s="156">
        <f>(($E$19+$F$19)*F801ENE!K74)*$L88</f>
        <v>2536.8679796902397</v>
      </c>
      <c r="E88" s="156">
        <f>(($E$19+$F$19)*F801ENE!L74)*$L88</f>
        <v>2537.9267236034311</v>
      </c>
      <c r="F88" s="156">
        <f>(($E$19+$F$19)*F801ENE!M74)*$L88</f>
        <v>2489.9921269302608</v>
      </c>
      <c r="G88" s="156">
        <f>(($E$19+$F$19)*F801ENE!N74)*$L88</f>
        <v>2529.2270751836127</v>
      </c>
      <c r="H88" s="156">
        <f>(($E$19+$F$19)*F801ENE!O74)*$L88</f>
        <v>2419.6362472191609</v>
      </c>
      <c r="I88" s="156">
        <f>(($E$19+$F$19)*F801ENE!P74)*$L88</f>
        <v>2430.9743481712826</v>
      </c>
      <c r="J88" s="330">
        <f t="shared" si="13"/>
        <v>14944.624500797989</v>
      </c>
      <c r="K88" s="69"/>
      <c r="L88" s="319">
        <v>1</v>
      </c>
      <c r="M88" s="329"/>
      <c r="W88" s="60"/>
      <c r="X88" s="60"/>
      <c r="Y88" s="60"/>
      <c r="Z88" s="60"/>
      <c r="AA88" s="60"/>
      <c r="AB88" s="60"/>
    </row>
    <row r="89" spans="1:28" s="37" customFormat="1" ht="15.75">
      <c r="B89" s="48"/>
      <c r="C89" s="160" t="s">
        <v>305</v>
      </c>
      <c r="D89" s="156">
        <f>(($E$19+$F$19)*F801ENE!K75)*$L89</f>
        <v>7.4472077405544113</v>
      </c>
      <c r="E89" s="156">
        <f>(($E$19+$F$19)*F801ENE!L75)*$L89</f>
        <v>7.4503157800459032</v>
      </c>
      <c r="F89" s="156">
        <f>(($E$19+$F$19)*F801ENE!M75)*$L89</f>
        <v>7.3095993918685505</v>
      </c>
      <c r="G89" s="156">
        <f>(($E$19+$F$19)*F801ENE!N75)*$L89</f>
        <v>7.4247771672482106</v>
      </c>
      <c r="H89" s="156">
        <f>(($E$19+$F$19)*F801ENE!O75)*$L89</f>
        <v>7.1030632787665997</v>
      </c>
      <c r="I89" s="156">
        <f>(($E$19+$F$19)*F801ENE!P75)*$L89</f>
        <v>7.1363473100405264</v>
      </c>
      <c r="J89" s="156">
        <f t="shared" si="13"/>
        <v>43.871310668524202</v>
      </c>
      <c r="K89" s="69"/>
      <c r="L89" s="319">
        <v>0.95</v>
      </c>
      <c r="M89" s="329"/>
      <c r="W89" s="60"/>
      <c r="X89" s="60"/>
      <c r="Y89" s="60"/>
      <c r="Z89" s="60"/>
      <c r="AA89" s="60"/>
      <c r="AB89" s="60"/>
    </row>
    <row r="90" spans="1:28" s="37" customFormat="1" ht="15.75">
      <c r="B90" s="48"/>
      <c r="C90" s="160" t="s">
        <v>307</v>
      </c>
      <c r="D90" s="156">
        <f>(($E$19+$F$19)*F801ENE!K76)*$L90</f>
        <v>0.36359137851012036</v>
      </c>
      <c r="E90" s="156">
        <f>(($E$19+$F$19)*F801ENE!L76)*$L90</f>
        <v>0.36374312080099563</v>
      </c>
      <c r="F90" s="156">
        <f>(($E$19+$F$19)*F801ENE!M76)*$L90</f>
        <v>0.35687299345410362</v>
      </c>
      <c r="G90" s="156">
        <f>(($E$19+$F$19)*F801ENE!N76)*$L90</f>
        <v>0.36249626160814896</v>
      </c>
      <c r="H90" s="156">
        <f>(($E$19+$F$19)*F801ENE!O76)*$L90</f>
        <v>0.34678938189242725</v>
      </c>
      <c r="I90" s="156">
        <f>(($E$19+$F$19)*F801ENE!P76)*$L90</f>
        <v>0.34841439186057399</v>
      </c>
      <c r="J90" s="156">
        <f t="shared" si="13"/>
        <v>2.14190752812637</v>
      </c>
      <c r="K90" s="69"/>
      <c r="L90" s="319">
        <v>0.5</v>
      </c>
      <c r="M90" s="329"/>
      <c r="W90" s="60"/>
      <c r="X90" s="60"/>
      <c r="Y90" s="60"/>
      <c r="Z90" s="60"/>
      <c r="AA90" s="60"/>
      <c r="AB90" s="60"/>
    </row>
    <row r="91" spans="1:28" s="37" customFormat="1" ht="15.75">
      <c r="B91" s="48"/>
      <c r="C91" s="160" t="s">
        <v>624</v>
      </c>
      <c r="D91" s="156">
        <f>(($E$19+$F$19)*F801ENE!K77)*$L91</f>
        <v>0</v>
      </c>
      <c r="E91" s="156">
        <f>(($E$19+$F$19)*F801ENE!L77)*$L91</f>
        <v>0</v>
      </c>
      <c r="F91" s="156">
        <f>(($E$19+$F$19)*F801ENE!M77)*$L91</f>
        <v>0</v>
      </c>
      <c r="G91" s="156">
        <f>(($E$19+$F$19)*F801ENE!N77)*$L91</f>
        <v>0</v>
      </c>
      <c r="H91" s="156">
        <f>(($E$19+$F$19)*F801ENE!O77)*$L91</f>
        <v>0</v>
      </c>
      <c r="I91" s="156">
        <f>(($E$19+$F$19)*F801ENE!P77)*$L91</f>
        <v>0</v>
      </c>
      <c r="J91" s="156"/>
      <c r="K91" s="69"/>
      <c r="L91" s="319">
        <v>0</v>
      </c>
      <c r="M91" s="329"/>
    </row>
    <row r="92" spans="1:28" s="37" customFormat="1" ht="15.75">
      <c r="B92" s="48" t="s">
        <v>749</v>
      </c>
      <c r="C92" s="158" t="s">
        <v>636</v>
      </c>
      <c r="D92" s="159">
        <f t="shared" ref="D92" si="18">SUM(D93:D98)</f>
        <v>53552.779537418464</v>
      </c>
      <c r="E92" s="159">
        <f t="shared" ref="E92:I92" si="19">SUM(E93:E98)</f>
        <v>53575.129411287977</v>
      </c>
      <c r="F92" s="159">
        <f t="shared" si="19"/>
        <v>52563.239589505924</v>
      </c>
      <c r="G92" s="159">
        <f t="shared" si="19"/>
        <v>53391.481559839085</v>
      </c>
      <c r="H92" s="159">
        <f t="shared" si="19"/>
        <v>51078.040932936608</v>
      </c>
      <c r="I92" s="159">
        <f t="shared" si="19"/>
        <v>51317.385993666227</v>
      </c>
      <c r="J92" s="159">
        <f t="shared" ref="J92:J97" si="20">SUM(D92:I92)</f>
        <v>315478.05702465429</v>
      </c>
      <c r="K92" s="69"/>
      <c r="L92" s="319"/>
      <c r="M92" s="69"/>
    </row>
    <row r="93" spans="1:28" s="37" customFormat="1" ht="15.75">
      <c r="B93" s="48"/>
      <c r="C93" s="160" t="s">
        <v>304</v>
      </c>
      <c r="D93" s="156">
        <f>(($E$20+$F$20)*F801ENE!K79)*$L93</f>
        <v>48758.796396075049</v>
      </c>
      <c r="E93" s="156">
        <f>(($E$20+$F$20)*F801ENE!L79)*$L93</f>
        <v>48779.145534978663</v>
      </c>
      <c r="F93" s="156">
        <f>(($E$20+$F$20)*F801ENE!M79)*$L93</f>
        <v>47857.838924533578</v>
      </c>
      <c r="G93" s="156">
        <f>(($E$20+$F$20)*F801ENE!N79)*$L93</f>
        <v>48611.93762766329</v>
      </c>
      <c r="H93" s="156">
        <f>(($E$20+$F$20)*F801ENE!O79)*$L93</f>
        <v>46505.5935410276</v>
      </c>
      <c r="I93" s="156">
        <f>(($E$20+$F$20)*F801ENE!P79)*$L93</f>
        <v>46723.512707601716</v>
      </c>
      <c r="J93" s="330">
        <f t="shared" si="20"/>
        <v>287236.82473187987</v>
      </c>
      <c r="K93" s="69"/>
      <c r="L93" s="319">
        <v>1</v>
      </c>
      <c r="M93" s="329"/>
      <c r="W93" s="60"/>
      <c r="X93" s="60"/>
      <c r="Y93" s="60"/>
      <c r="Z93" s="60"/>
      <c r="AA93" s="60"/>
      <c r="AB93" s="60"/>
    </row>
    <row r="94" spans="1:28" s="37" customFormat="1" ht="15.75">
      <c r="B94" s="48"/>
      <c r="C94" s="162" t="s">
        <v>642</v>
      </c>
      <c r="D94" s="156">
        <f>(($E$20+$F$20)*F801ENE!K80)*$L94</f>
        <v>0</v>
      </c>
      <c r="E94" s="156">
        <f>(($E$20+$F$20)*F801ENE!L80)*$L94</f>
        <v>0</v>
      </c>
      <c r="F94" s="156">
        <f>(($E$20+$F$20)*F801ENE!M80)*$L94</f>
        <v>0</v>
      </c>
      <c r="G94" s="156">
        <f>(($E$20+$F$20)*F801ENE!N80)*$L94</f>
        <v>0</v>
      </c>
      <c r="H94" s="156">
        <f>(($E$20+$F$20)*F801ENE!O80)*$L94</f>
        <v>0</v>
      </c>
      <c r="I94" s="156">
        <f>(($E$20+$F$20)*F801ENE!P80)*$L94</f>
        <v>0</v>
      </c>
      <c r="J94" s="330">
        <f t="shared" si="20"/>
        <v>0</v>
      </c>
      <c r="K94" s="69"/>
      <c r="L94" s="319">
        <v>0.75</v>
      </c>
      <c r="M94" s="329"/>
      <c r="W94" s="60"/>
      <c r="X94" s="60"/>
      <c r="Y94" s="60"/>
      <c r="Z94" s="60"/>
      <c r="AA94" s="60"/>
      <c r="AB94" s="60"/>
    </row>
    <row r="95" spans="1:28" s="37" customFormat="1" ht="15.75">
      <c r="B95" s="48"/>
      <c r="C95" s="162" t="s">
        <v>1177</v>
      </c>
      <c r="D95" s="156">
        <f>(($E$20+$F$20)*F801ENE!K81)*$L95</f>
        <v>4760.0466513984175</v>
      </c>
      <c r="E95" s="156">
        <f>(($E$20+$F$20)*F801ENE!L81)*$L95</f>
        <v>4762.0332232102028</v>
      </c>
      <c r="F95" s="156">
        <f>(($E$20+$F$20)*F801ENE!M81)*$L95</f>
        <v>4672.0912482209806</v>
      </c>
      <c r="G95" s="156">
        <f>(($E$20+$F$20)*F801ENE!N81)*$L95</f>
        <v>4745.7096570409631</v>
      </c>
      <c r="H95" s="156">
        <f>(($E$20+$F$20)*F801ENE!O81)*$L95</f>
        <v>4540.0791481408241</v>
      </c>
      <c r="I95" s="156">
        <f>(($E$20+$F$20)*F801ENE!P81)*$L95</f>
        <v>4561.3533689132255</v>
      </c>
      <c r="J95" s="330">
        <f t="shared" si="20"/>
        <v>28041.313296924614</v>
      </c>
      <c r="K95" s="69"/>
      <c r="L95" s="319">
        <v>1</v>
      </c>
      <c r="M95" s="329"/>
      <c r="W95" s="60"/>
      <c r="X95" s="60"/>
      <c r="Y95" s="60"/>
      <c r="Z95" s="60"/>
      <c r="AA95" s="60"/>
      <c r="AB95" s="60"/>
    </row>
    <row r="96" spans="1:28" s="37" customFormat="1" ht="15.75">
      <c r="B96" s="48"/>
      <c r="C96" s="160" t="s">
        <v>305</v>
      </c>
      <c r="D96" s="156">
        <f>(($E$20+$F$20)*F801ENE!K82)*$L96</f>
        <v>33.795347888376575</v>
      </c>
      <c r="E96" s="156">
        <f>(($E$20+$F$20)*F801ENE!L82)*$L96</f>
        <v>33.809452137851686</v>
      </c>
      <c r="F96" s="156">
        <f>(($E$20+$F$20)*F801ENE!M82)*$L96</f>
        <v>33.170882695756944</v>
      </c>
      <c r="G96" s="156">
        <f>(($E$20+$F$20)*F801ENE!N82)*$L96</f>
        <v>33.69355819019335</v>
      </c>
      <c r="H96" s="156">
        <f>(($E$20+$F$20)*F801ENE!O82)*$L96</f>
        <v>32.233624056417057</v>
      </c>
      <c r="I96" s="156">
        <f>(($E$20+$F$20)*F801ENE!P82)*$L96</f>
        <v>32.384666629045256</v>
      </c>
      <c r="J96" s="156">
        <f t="shared" si="20"/>
        <v>199.08753159764086</v>
      </c>
      <c r="K96" s="69"/>
      <c r="L96" s="319">
        <v>0.95</v>
      </c>
      <c r="M96" s="329"/>
      <c r="W96" s="60"/>
      <c r="X96" s="60"/>
      <c r="Y96" s="60"/>
      <c r="Z96" s="60"/>
      <c r="AA96" s="60"/>
      <c r="AB96" s="60"/>
    </row>
    <row r="97" spans="2:28" s="37" customFormat="1" ht="15.75">
      <c r="B97" s="48"/>
      <c r="C97" s="160" t="s">
        <v>307</v>
      </c>
      <c r="D97" s="156">
        <f>(($E$20+$F$20)*F801ENE!K83)*$L97</f>
        <v>0.14114205662297297</v>
      </c>
      <c r="E97" s="156">
        <f>(($E$20+$F$20)*F801ENE!L83)*$L97</f>
        <v>0.14120096126229245</v>
      </c>
      <c r="F97" s="156">
        <f>(($E$20+$F$20)*F801ENE!M83)*$L97</f>
        <v>0.13853405560854606</v>
      </c>
      <c r="G97" s="156">
        <f>(($E$20+$F$20)*F801ENE!N83)*$L97</f>
        <v>0.14071694464033963</v>
      </c>
      <c r="H97" s="156">
        <f>(($E$20+$F$20)*F801ENE!O83)*$L97</f>
        <v>0.13461971176509718</v>
      </c>
      <c r="I97" s="156">
        <f>(($E$20+$F$20)*F801ENE!P83)*$L97</f>
        <v>0.13525052223666803</v>
      </c>
      <c r="J97" s="156">
        <f t="shared" si="20"/>
        <v>0.83146425213591613</v>
      </c>
      <c r="K97" s="69"/>
      <c r="L97" s="319">
        <v>0.5</v>
      </c>
      <c r="M97" s="329"/>
      <c r="W97" s="60"/>
      <c r="X97" s="60"/>
      <c r="Y97" s="60"/>
      <c r="Z97" s="60"/>
      <c r="AA97" s="60"/>
      <c r="AB97" s="60"/>
    </row>
    <row r="98" spans="2:28" s="37" customFormat="1" ht="15.75">
      <c r="B98" s="48"/>
      <c r="C98" s="160" t="s">
        <v>624</v>
      </c>
      <c r="D98" s="156">
        <f>(($E$20+$F$20)*F801ENE!K84)*$L98</f>
        <v>0</v>
      </c>
      <c r="E98" s="156">
        <f>(($E$20+$F$20)*F801ENE!L84)*$L98</f>
        <v>0</v>
      </c>
      <c r="F98" s="156">
        <f>(($E$20+$F$20)*F801ENE!M84)*$L98</f>
        <v>0</v>
      </c>
      <c r="G98" s="156">
        <f>(($E$20+$F$20)*F801ENE!N84)*$L98</f>
        <v>0</v>
      </c>
      <c r="H98" s="156">
        <f>(($E$20+$F$20)*F801ENE!O84)*$L98</f>
        <v>0</v>
      </c>
      <c r="I98" s="156">
        <f>(($E$20+$F$20)*F801ENE!P84)*$L98</f>
        <v>0</v>
      </c>
      <c r="J98" s="156"/>
      <c r="K98" s="69"/>
      <c r="L98" s="319">
        <v>0</v>
      </c>
      <c r="M98" s="329"/>
    </row>
    <row r="99" spans="2:28" s="37" customFormat="1" ht="15.75">
      <c r="B99" s="48"/>
      <c r="C99" s="157"/>
      <c r="D99" s="156"/>
      <c r="E99" s="156"/>
      <c r="F99" s="156"/>
      <c r="G99" s="156"/>
      <c r="H99" s="156"/>
      <c r="I99" s="156"/>
      <c r="J99" s="156"/>
      <c r="K99" s="69"/>
      <c r="L99" s="319"/>
      <c r="M99" s="69"/>
    </row>
    <row r="100" spans="2:28" s="37" customFormat="1" ht="15.75">
      <c r="B100" s="48" t="s">
        <v>902</v>
      </c>
      <c r="C100" s="158" t="s">
        <v>898</v>
      </c>
      <c r="D100" s="159">
        <f t="shared" ref="D100" si="21">SUM(D101:D105)</f>
        <v>13171.673161278472</v>
      </c>
      <c r="E100" s="159">
        <f t="shared" ref="E100:I100" si="22">SUM(E101:E105)</f>
        <v>13177.170265935743</v>
      </c>
      <c r="F100" s="159">
        <f t="shared" si="22"/>
        <v>12928.289029091167</v>
      </c>
      <c r="G100" s="159">
        <f t="shared" si="22"/>
        <v>13132.000818206789</v>
      </c>
      <c r="H100" s="159">
        <f t="shared" si="22"/>
        <v>12562.994240419515</v>
      </c>
      <c r="I100" s="159">
        <f t="shared" si="22"/>
        <v>12621.862798502369</v>
      </c>
      <c r="J100" s="159">
        <f t="shared" ref="J100:J119" si="23">SUM(D100:I100)</f>
        <v>77593.990313434057</v>
      </c>
      <c r="K100" s="69"/>
      <c r="L100" s="319"/>
      <c r="M100" s="69"/>
    </row>
    <row r="101" spans="2:28" s="37" customFormat="1" ht="15.75">
      <c r="B101" s="48"/>
      <c r="C101" s="160" t="s">
        <v>304</v>
      </c>
      <c r="D101" s="156">
        <f>(($E$17+$F$17)*F801ENE!K87)*$L101</f>
        <v>12668.671106345015</v>
      </c>
      <c r="E101" s="156">
        <f>(($E$17+$F$17)*F801ENE!L87)*$L101</f>
        <v>12673.958286651376</v>
      </c>
      <c r="F101" s="156">
        <f>(($E$17+$F$17)*F801ENE!M87)*$L101</f>
        <v>12434.581368053568</v>
      </c>
      <c r="G101" s="156">
        <f>(($E$17+$F$17)*F801ENE!N87)*$L101</f>
        <v>12630.513777337585</v>
      </c>
      <c r="H101" s="156">
        <f>(($E$17+$F$17)*F801ENE!O87)*$L101</f>
        <v>12083.236517792056</v>
      </c>
      <c r="I101" s="156">
        <f>(($E$17+$F$17)*F801ENE!P87)*$L101</f>
        <v>12139.856993545194</v>
      </c>
      <c r="J101" s="156">
        <f t="shared" si="23"/>
        <v>74630.818049724796</v>
      </c>
      <c r="K101" s="69"/>
      <c r="L101" s="319">
        <v>1</v>
      </c>
      <c r="M101" s="329"/>
    </row>
    <row r="102" spans="2:28" s="37" customFormat="1" ht="15.75">
      <c r="B102" s="48"/>
      <c r="C102" s="162" t="s">
        <v>644</v>
      </c>
      <c r="D102" s="156">
        <f>(($E$17+$F$17)*F801ENE!K88)*$L102</f>
        <v>503.00205493345629</v>
      </c>
      <c r="E102" s="156">
        <f>(($E$17+$F$17)*F801ENE!L88)*$L102</f>
        <v>503.21197928436737</v>
      </c>
      <c r="F102" s="156">
        <f>(($E$17+$F$17)*F801ENE!M88)*$L102</f>
        <v>493.70766103759945</v>
      </c>
      <c r="G102" s="156">
        <f>(($E$17+$F$17)*F801ENE!N88)*$L102</f>
        <v>501.48704086920327</v>
      </c>
      <c r="H102" s="156">
        <f>(($E$17+$F$17)*F801ENE!O88)*$L102</f>
        <v>479.75772262745966</v>
      </c>
      <c r="I102" s="156">
        <f>(($E$17+$F$17)*F801ENE!P88)*$L102</f>
        <v>482.00580495717429</v>
      </c>
      <c r="J102" s="156">
        <f t="shared" si="23"/>
        <v>2963.1722637092603</v>
      </c>
      <c r="K102" s="69"/>
      <c r="L102" s="319">
        <v>0.75</v>
      </c>
      <c r="M102" s="329"/>
    </row>
    <row r="103" spans="2:28" s="37" customFormat="1" ht="15.75">
      <c r="B103" s="48"/>
      <c r="C103" s="160" t="s">
        <v>305</v>
      </c>
      <c r="D103" s="156">
        <f>(($E$17+$F$17)*F801ENE!K89)*$L103</f>
        <v>0</v>
      </c>
      <c r="E103" s="156">
        <f>(($E$17+$F$17)*F801ENE!L89)*$L103</f>
        <v>0</v>
      </c>
      <c r="F103" s="156">
        <f>(($E$17+$F$17)*F801ENE!M89)*$L103</f>
        <v>0</v>
      </c>
      <c r="G103" s="156">
        <f>(($E$17+$F$17)*F801ENE!N89)*$L103</f>
        <v>0</v>
      </c>
      <c r="H103" s="156">
        <f>(($E$17+$F$17)*F801ENE!O89)*$L103</f>
        <v>0</v>
      </c>
      <c r="I103" s="156">
        <f>(($E$17+$F$17)*F801ENE!P89)*$L103</f>
        <v>0</v>
      </c>
      <c r="J103" s="156">
        <f t="shared" si="23"/>
        <v>0</v>
      </c>
      <c r="K103" s="69"/>
      <c r="L103" s="319">
        <v>0.95</v>
      </c>
      <c r="M103" s="329"/>
    </row>
    <row r="104" spans="2:28" s="37" customFormat="1" ht="15.75">
      <c r="B104" s="48"/>
      <c r="C104" s="160" t="s">
        <v>307</v>
      </c>
      <c r="D104" s="156">
        <f>(($E$17+$F$17)*F801ENE!K90)*$L104</f>
        <v>0</v>
      </c>
      <c r="E104" s="156">
        <f>(($E$17+$F$17)*F801ENE!L90)*$L104</f>
        <v>0</v>
      </c>
      <c r="F104" s="156">
        <f>(($E$17+$F$17)*F801ENE!M90)*$L104</f>
        <v>0</v>
      </c>
      <c r="G104" s="156">
        <f>(($E$17+$F$17)*F801ENE!N90)*$L104</f>
        <v>0</v>
      </c>
      <c r="H104" s="156">
        <f>(($E$17+$F$17)*F801ENE!O90)*$L104</f>
        <v>0</v>
      </c>
      <c r="I104" s="156">
        <f>(($E$17+$F$17)*F801ENE!P90)*$L104</f>
        <v>0</v>
      </c>
      <c r="J104" s="156">
        <f t="shared" si="23"/>
        <v>0</v>
      </c>
      <c r="K104" s="69"/>
      <c r="L104" s="319">
        <v>0.5</v>
      </c>
      <c r="M104" s="329"/>
    </row>
    <row r="105" spans="2:28" s="37" customFormat="1" ht="15.75">
      <c r="B105" s="48"/>
      <c r="C105" s="160" t="s">
        <v>624</v>
      </c>
      <c r="D105" s="156">
        <f>(($E$17+$F$17)*F801ENE!K91)*$L105</f>
        <v>0</v>
      </c>
      <c r="E105" s="156">
        <f>(($E$17+$F$17)*F801ENE!L91)*$L105</f>
        <v>0</v>
      </c>
      <c r="F105" s="156">
        <f>(($E$17+$F$17)*F801ENE!M91)*$L105</f>
        <v>0</v>
      </c>
      <c r="G105" s="156">
        <f>(($E$17+$F$17)*F801ENE!N91)*$L105</f>
        <v>0</v>
      </c>
      <c r="H105" s="156">
        <f>(($E$17+$F$17)*F801ENE!O91)*$L105</f>
        <v>0</v>
      </c>
      <c r="I105" s="156">
        <f>(($E$17+$F$17)*F801ENE!P91)*$L105</f>
        <v>0</v>
      </c>
      <c r="J105" s="156">
        <f t="shared" si="23"/>
        <v>0</v>
      </c>
      <c r="K105" s="69"/>
      <c r="L105" s="319">
        <v>0</v>
      </c>
      <c r="M105" s="329"/>
    </row>
    <row r="106" spans="2:28" s="37" customFormat="1" ht="15.75">
      <c r="B106" s="48" t="s">
        <v>902</v>
      </c>
      <c r="C106" s="158" t="s">
        <v>899</v>
      </c>
      <c r="D106" s="159">
        <f t="shared" ref="D106:I106" si="24">SUM(D107:D112)</f>
        <v>1042.5291122625306</v>
      </c>
      <c r="E106" s="159">
        <f t="shared" si="24"/>
        <v>1042.9642044158347</v>
      </c>
      <c r="F106" s="159">
        <f t="shared" si="24"/>
        <v>1023.265421145905</v>
      </c>
      <c r="G106" s="159">
        <f t="shared" si="24"/>
        <v>1039.3890728690933</v>
      </c>
      <c r="H106" s="159">
        <f t="shared" si="24"/>
        <v>994.35258318788942</v>
      </c>
      <c r="I106" s="159">
        <f t="shared" si="24"/>
        <v>999.01199014756958</v>
      </c>
      <c r="J106" s="159">
        <f t="shared" si="23"/>
        <v>6141.5123840288234</v>
      </c>
      <c r="K106" s="69"/>
      <c r="L106" s="319"/>
      <c r="M106" s="69"/>
    </row>
    <row r="107" spans="2:28" s="37" customFormat="1" ht="15.75">
      <c r="B107" s="48"/>
      <c r="C107" s="160" t="s">
        <v>304</v>
      </c>
      <c r="D107" s="156">
        <f>(($E$17+$F$17)*F801ENE!K93)*$L107</f>
        <v>947.00335380582305</v>
      </c>
      <c r="E107" s="156">
        <f>(($E$17+$F$17)*F801ENE!L93)*$L107</f>
        <v>947.39857895929583</v>
      </c>
      <c r="F107" s="156">
        <f>(($E$17+$F$17)*F801ENE!M93)*$L107</f>
        <v>929.50477282659972</v>
      </c>
      <c r="G107" s="156">
        <f>(($E$17+$F$17)*F801ENE!N93)*$L107</f>
        <v>944.15103265556377</v>
      </c>
      <c r="H107" s="156">
        <f>(($E$17+$F$17)*F801ENE!O93)*$L107</f>
        <v>903.24118537160484</v>
      </c>
      <c r="I107" s="156">
        <f>(($E$17+$F$17)*F801ENE!P93)*$L107</f>
        <v>907.47365616370314</v>
      </c>
      <c r="J107" s="156">
        <f t="shared" si="23"/>
        <v>5578.7725797825897</v>
      </c>
      <c r="K107" s="69"/>
      <c r="L107" s="319">
        <v>1</v>
      </c>
      <c r="M107" s="329"/>
    </row>
    <row r="108" spans="2:28" s="37" customFormat="1" ht="15.75">
      <c r="B108" s="48"/>
      <c r="C108" s="162" t="s">
        <v>642</v>
      </c>
      <c r="D108" s="156">
        <f>(($E$17+$F$17)*F801ENE!K94)*$L108</f>
        <v>86.62338312671335</v>
      </c>
      <c r="E108" s="156">
        <f>(($E$17+$F$17)*F801ENE!L94)*$L108</f>
        <v>86.659534783149411</v>
      </c>
      <c r="F108" s="156">
        <f>(($E$17+$F$17)*F801ENE!M94)*$L108</f>
        <v>85.02276969884592</v>
      </c>
      <c r="G108" s="156">
        <f>(($E$17+$F$17)*F801ENE!N94)*$L108</f>
        <v>86.362478340255734</v>
      </c>
      <c r="H108" s="156">
        <f>(($E$17+$F$17)*F801ENE!O94)*$L108</f>
        <v>82.620411999421719</v>
      </c>
      <c r="I108" s="156">
        <f>(($E$17+$F$17)*F801ENE!P94)*$L108</f>
        <v>83.007560511117219</v>
      </c>
      <c r="J108" s="156">
        <f t="shared" si="23"/>
        <v>510.29613845950337</v>
      </c>
      <c r="K108" s="69"/>
      <c r="L108" s="319">
        <v>0.75</v>
      </c>
      <c r="M108" s="329"/>
    </row>
    <row r="109" spans="2:28" s="37" customFormat="1" ht="15.75">
      <c r="B109" s="48"/>
      <c r="C109" s="162" t="s">
        <v>1177</v>
      </c>
      <c r="D109" s="156">
        <f>(($E$17+$F$17)*F801ENE!K95)*$L109</f>
        <v>8.9023753299940402</v>
      </c>
      <c r="E109" s="156">
        <f>(($E$17+$F$17)*F801ENE!L95)*$L109</f>
        <v>8.9060906733895298</v>
      </c>
      <c r="F109" s="156">
        <f>(($E$17+$F$17)*F801ENE!M95)*$L109</f>
        <v>8.7378786204593837</v>
      </c>
      <c r="G109" s="156">
        <f>(($E$17+$F$17)*F801ENE!N95)*$L109</f>
        <v>8.8755618732736981</v>
      </c>
      <c r="H109" s="156">
        <f>(($E$17+$F$17)*F801ENE!O95)*$L109</f>
        <v>8.4909858168628016</v>
      </c>
      <c r="I109" s="156">
        <f>(($E$17+$F$17)*F801ENE!P95)*$L109</f>
        <v>8.5307734727492051</v>
      </c>
      <c r="J109" s="156">
        <f t="shared" si="23"/>
        <v>52.443665786728658</v>
      </c>
      <c r="K109" s="69"/>
      <c r="L109" s="319">
        <v>1</v>
      </c>
      <c r="M109" s="329"/>
    </row>
    <row r="110" spans="2:28" s="37" customFormat="1" ht="15.75">
      <c r="B110" s="48"/>
      <c r="C110" s="160" t="s">
        <v>305</v>
      </c>
      <c r="D110" s="156">
        <f>(($E$17+$F$17)*F801ENE!K96)*$L110</f>
        <v>0</v>
      </c>
      <c r="E110" s="156">
        <f>(($E$17+$F$17)*F801ENE!L96)*$L110</f>
        <v>0</v>
      </c>
      <c r="F110" s="156">
        <f>(($E$17+$F$17)*F801ENE!M96)*$L110</f>
        <v>0</v>
      </c>
      <c r="G110" s="156">
        <f>(($E$17+$F$17)*F801ENE!N96)*$L110</f>
        <v>0</v>
      </c>
      <c r="H110" s="156">
        <f>(($E$17+$F$17)*F801ENE!O96)*$L110</f>
        <v>0</v>
      </c>
      <c r="I110" s="156">
        <f>(($E$17+$F$17)*F801ENE!P96)*$L110</f>
        <v>0</v>
      </c>
      <c r="J110" s="156">
        <f t="shared" si="23"/>
        <v>0</v>
      </c>
      <c r="K110" s="69"/>
      <c r="L110" s="319">
        <v>0.95</v>
      </c>
      <c r="M110" s="329"/>
    </row>
    <row r="111" spans="2:28" s="37" customFormat="1" ht="15.75">
      <c r="B111" s="48"/>
      <c r="C111" s="160" t="s">
        <v>307</v>
      </c>
      <c r="D111" s="156">
        <f>(($E$17+$F$17)*F801ENE!K97)*$L111</f>
        <v>0</v>
      </c>
      <c r="E111" s="156">
        <f>(($E$17+$F$17)*F801ENE!L97)*$L111</f>
        <v>0</v>
      </c>
      <c r="F111" s="156">
        <f>(($E$17+$F$17)*F801ENE!M97)*$L111</f>
        <v>0</v>
      </c>
      <c r="G111" s="156">
        <f>(($E$17+$F$17)*F801ENE!N97)*$L111</f>
        <v>0</v>
      </c>
      <c r="H111" s="156">
        <f>(($E$17+$F$17)*F801ENE!O97)*$L111</f>
        <v>0</v>
      </c>
      <c r="I111" s="156">
        <f>(($E$17+$F$17)*F801ENE!P97)*$L111</f>
        <v>0</v>
      </c>
      <c r="J111" s="156">
        <f t="shared" si="23"/>
        <v>0</v>
      </c>
      <c r="K111" s="69"/>
      <c r="L111" s="319">
        <v>0.5</v>
      </c>
      <c r="M111" s="329"/>
    </row>
    <row r="112" spans="2:28" s="37" customFormat="1" ht="15.75">
      <c r="B112" s="48"/>
      <c r="C112" s="160" t="s">
        <v>624</v>
      </c>
      <c r="D112" s="156">
        <f>(($E$17+$F$17)*F801ENE!K98)*$L112</f>
        <v>0</v>
      </c>
      <c r="E112" s="156">
        <f>($E$17*F801ENE!L98+$F$17*F801ENE!L98)*$L112</f>
        <v>0</v>
      </c>
      <c r="F112" s="156">
        <f>($E$17*F801ENE!M98+$F$17*F801ENE!M98)*$L112</f>
        <v>0</v>
      </c>
      <c r="G112" s="156">
        <f>($E$17*F801ENE!N98+$F$17*F801ENE!N98)*$L112</f>
        <v>0</v>
      </c>
      <c r="H112" s="156">
        <f>($E$17*F801ENE!O98+$F$17*F801ENE!O98)*$L112</f>
        <v>0</v>
      </c>
      <c r="I112" s="156">
        <f>($E$17*F801ENE!P98+$F$17*F801ENE!P98)*$L112</f>
        <v>0</v>
      </c>
      <c r="J112" s="156">
        <f t="shared" si="23"/>
        <v>0</v>
      </c>
      <c r="K112" s="69"/>
      <c r="L112" s="319">
        <v>0</v>
      </c>
      <c r="M112" s="329"/>
    </row>
    <row r="113" spans="2:13" s="37" customFormat="1" ht="15.75">
      <c r="B113" s="48" t="s">
        <v>902</v>
      </c>
      <c r="C113" s="158" t="s">
        <v>900</v>
      </c>
      <c r="D113" s="159">
        <f t="shared" ref="D113:I113" si="25">SUM(D114:D119)</f>
        <v>115.2882043061875</v>
      </c>
      <c r="E113" s="159">
        <f t="shared" si="25"/>
        <v>115.33631902305454</v>
      </c>
      <c r="F113" s="159">
        <f t="shared" si="25"/>
        <v>113.1579267618751</v>
      </c>
      <c r="G113" s="159">
        <f t="shared" si="25"/>
        <v>114.94096268112204</v>
      </c>
      <c r="H113" s="159">
        <f t="shared" si="25"/>
        <v>109.96059718098566</v>
      </c>
      <c r="I113" s="159">
        <f t="shared" si="25"/>
        <v>110.47585824678696</v>
      </c>
      <c r="J113" s="159">
        <f t="shared" si="23"/>
        <v>679.15986820001183</v>
      </c>
      <c r="K113" s="69"/>
      <c r="L113" s="319"/>
      <c r="M113" s="69"/>
    </row>
    <row r="114" spans="2:13" s="37" customFormat="1" ht="15.75">
      <c r="B114" s="48"/>
      <c r="C114" s="160" t="s">
        <v>304</v>
      </c>
      <c r="D114" s="156">
        <f>(($E$17+$F$17)*F801ENE!K100)*$L114</f>
        <v>112.002984598821</v>
      </c>
      <c r="E114" s="156">
        <f>(($E$17+$F$17)*F801ENE!L100)*$L114</f>
        <v>112.04972825247289</v>
      </c>
      <c r="F114" s="156">
        <f>(($E$17+$F$17)*F801ENE!M100)*$L114</f>
        <v>109.93341083433459</v>
      </c>
      <c r="G114" s="156">
        <f>(($E$17+$F$17)*F801ENE!N100)*$L114</f>
        <v>111.66563787182209</v>
      </c>
      <c r="H114" s="156">
        <f>(($E$17+$F$17)*F801ENE!O100)*$L114</f>
        <v>106.82719144302001</v>
      </c>
      <c r="I114" s="156">
        <f>(($E$17+$F$17)*F801ENE!P100)*$L114</f>
        <v>107.32776977681074</v>
      </c>
      <c r="J114" s="156">
        <f t="shared" si="23"/>
        <v>659.80672277728138</v>
      </c>
      <c r="K114" s="69"/>
      <c r="L114" s="319">
        <v>1</v>
      </c>
      <c r="M114" s="329"/>
    </row>
    <row r="115" spans="2:13" s="37" customFormat="1" ht="15.75">
      <c r="B115" s="48"/>
      <c r="C115" s="162" t="s">
        <v>642</v>
      </c>
      <c r="D115" s="156">
        <f>(($E$17+$F$17)*F801ENE!K101)*$L115</f>
        <v>3.2852197073664953</v>
      </c>
      <c r="E115" s="156">
        <f>(($E$17+$F$17)*F801ENE!L101)*$L115</f>
        <v>3.2865907705816539</v>
      </c>
      <c r="F115" s="156">
        <f>(($E$17+$F$17)*F801ENE!M101)*$L115</f>
        <v>3.2245159275405149</v>
      </c>
      <c r="G115" s="156">
        <f>(($E$17+$F$17)*F801ENE!N101)*$L115</f>
        <v>3.2753248092999652</v>
      </c>
      <c r="H115" s="156">
        <f>(($E$17+$F$17)*F801ENE!O101)*$L115</f>
        <v>3.1334057379656395</v>
      </c>
      <c r="I115" s="156">
        <f>(($E$17+$F$17)*F801ENE!P101)*$L115</f>
        <v>3.1480884699762219</v>
      </c>
      <c r="J115" s="156">
        <f t="shared" si="23"/>
        <v>19.353145422730492</v>
      </c>
      <c r="K115" s="69"/>
      <c r="L115" s="319">
        <v>0.75</v>
      </c>
      <c r="M115" s="329"/>
    </row>
    <row r="116" spans="2:13" s="37" customFormat="1" ht="15.75">
      <c r="B116" s="48"/>
      <c r="C116" s="162" t="s">
        <v>1177</v>
      </c>
      <c r="D116" s="156">
        <f>(($E$17+$F$17)*F801ENE!K102)*$L116</f>
        <v>0</v>
      </c>
      <c r="E116" s="156">
        <f>(($E$17+$F$17)*F801ENE!L102)*$L116</f>
        <v>0</v>
      </c>
      <c r="F116" s="156">
        <f>(($E$17+$F$17)*F801ENE!M102)*$L116</f>
        <v>0</v>
      </c>
      <c r="G116" s="156">
        <f>(($E$17+$F$17)*F801ENE!N102)*$L116</f>
        <v>0</v>
      </c>
      <c r="H116" s="156">
        <f>(($E$17+$F$17)*F801ENE!O102)*$L116</f>
        <v>0</v>
      </c>
      <c r="I116" s="156">
        <f>(($E$17+$F$17)*F801ENE!P102)*$L116</f>
        <v>0</v>
      </c>
      <c r="J116" s="156">
        <f t="shared" si="23"/>
        <v>0</v>
      </c>
      <c r="K116" s="69"/>
      <c r="L116" s="319">
        <v>1</v>
      </c>
      <c r="M116" s="329"/>
    </row>
    <row r="117" spans="2:13" s="37" customFormat="1" ht="15.75">
      <c r="B117" s="48"/>
      <c r="C117" s="160" t="s">
        <v>305</v>
      </c>
      <c r="D117" s="156">
        <f>(($E$17+$F$17)*F801ENE!K103)*$L117</f>
        <v>0</v>
      </c>
      <c r="E117" s="156">
        <f>(($E$17+$F$17)*F801ENE!L103)*$L117</f>
        <v>0</v>
      </c>
      <c r="F117" s="156">
        <f>(($E$17+$F$17)*F801ENE!M103)*$L117</f>
        <v>0</v>
      </c>
      <c r="G117" s="156">
        <f>(($E$17+$F$17)*F801ENE!N103)*$L117</f>
        <v>0</v>
      </c>
      <c r="H117" s="156">
        <f>(($E$17+$F$17)*F801ENE!O103)*$L117</f>
        <v>0</v>
      </c>
      <c r="I117" s="156">
        <f>(($E$17+$F$17)*F801ENE!P103)*$L117</f>
        <v>0</v>
      </c>
      <c r="J117" s="156">
        <f t="shared" si="23"/>
        <v>0</v>
      </c>
      <c r="K117" s="69"/>
      <c r="L117" s="319">
        <v>0.95</v>
      </c>
      <c r="M117" s="329"/>
    </row>
    <row r="118" spans="2:13" s="37" customFormat="1" ht="15.75">
      <c r="B118" s="48"/>
      <c r="C118" s="160" t="s">
        <v>307</v>
      </c>
      <c r="D118" s="156">
        <f>(($E$17+$F$17)*F801ENE!K104)*$L118</f>
        <v>0</v>
      </c>
      <c r="E118" s="156">
        <f>(($E$17+$F$17)*F801ENE!L104)*$L118</f>
        <v>0</v>
      </c>
      <c r="F118" s="156">
        <f>(($E$17+$F$17)*F801ENE!M104)*$L118</f>
        <v>0</v>
      </c>
      <c r="G118" s="156">
        <f>(($E$17+$F$17)*F801ENE!N104)*$L118</f>
        <v>0</v>
      </c>
      <c r="H118" s="156">
        <f>(($E$17+$F$17)*F801ENE!O104)*$L118</f>
        <v>0</v>
      </c>
      <c r="I118" s="156">
        <f>(($E$17+$F$17)*F801ENE!P104)*$L118</f>
        <v>0</v>
      </c>
      <c r="J118" s="156">
        <f t="shared" si="23"/>
        <v>0</v>
      </c>
      <c r="K118" s="69"/>
      <c r="L118" s="319">
        <v>0.5</v>
      </c>
      <c r="M118" s="329"/>
    </row>
    <row r="119" spans="2:13" s="37" customFormat="1" ht="15.75">
      <c r="B119" s="48"/>
      <c r="C119" s="160" t="s">
        <v>624</v>
      </c>
      <c r="D119" s="156">
        <f>(($E$17+$F$17)*F801ENE!K105)*$L119</f>
        <v>0</v>
      </c>
      <c r="E119" s="156">
        <f>(($E$17+$F$17)*F801ENE!L105)*$L119</f>
        <v>0</v>
      </c>
      <c r="F119" s="156">
        <f>(($E$17+$F$17)*F801ENE!M105)*$L119</f>
        <v>0</v>
      </c>
      <c r="G119" s="156">
        <f>(($E$17+$F$17)*F801ENE!N105)*$L119</f>
        <v>0</v>
      </c>
      <c r="H119" s="156">
        <f>(($E$17+$F$17)*F801ENE!O105)*$L119</f>
        <v>0</v>
      </c>
      <c r="I119" s="156">
        <f>(($E$17+$F$17)*F801ENE!P105)*$L119</f>
        <v>0</v>
      </c>
      <c r="J119" s="156">
        <f t="shared" si="23"/>
        <v>0</v>
      </c>
      <c r="K119" s="69"/>
      <c r="L119" s="319">
        <v>0</v>
      </c>
      <c r="M119" s="329"/>
    </row>
    <row r="120" spans="2:13" s="37" customFormat="1" ht="15.75">
      <c r="B120" s="48"/>
      <c r="C120" s="157"/>
      <c r="D120" s="156"/>
      <c r="E120" s="156"/>
      <c r="F120" s="156"/>
      <c r="G120" s="156"/>
      <c r="H120" s="156"/>
      <c r="I120" s="156"/>
      <c r="J120" s="156"/>
      <c r="K120" s="69"/>
      <c r="L120" s="319"/>
      <c r="M120" s="69"/>
    </row>
    <row r="121" spans="2:13" s="37" customFormat="1" ht="15.75">
      <c r="B121" s="48"/>
      <c r="C121" s="153" t="s">
        <v>112</v>
      </c>
      <c r="D121" s="154">
        <f t="shared" ref="D121:I121" si="26">D44+D34+D30</f>
        <v>417984.31829232216</v>
      </c>
      <c r="E121" s="154">
        <f t="shared" si="26"/>
        <v>418158.76055199327</v>
      </c>
      <c r="F121" s="154">
        <f t="shared" si="26"/>
        <v>410260.89284676913</v>
      </c>
      <c r="G121" s="154">
        <f t="shared" si="26"/>
        <v>416725.3767943253</v>
      </c>
      <c r="H121" s="154">
        <f t="shared" si="26"/>
        <v>398668.81804468902</v>
      </c>
      <c r="I121" s="154">
        <f t="shared" si="26"/>
        <v>400536.92224422761</v>
      </c>
      <c r="J121" s="154">
        <f>SUM(D121:I121)</f>
        <v>2462335.0887743263</v>
      </c>
      <c r="K121" s="69"/>
      <c r="L121" s="319"/>
    </row>
    <row r="122" spans="2:13">
      <c r="C122" s="48"/>
      <c r="D122" s="48"/>
      <c r="E122" s="48"/>
      <c r="F122" s="48"/>
      <c r="G122" s="48"/>
      <c r="H122" s="48"/>
      <c r="I122" s="48"/>
      <c r="J122" s="48"/>
    </row>
    <row r="123" spans="2:13" s="69" customFormat="1" ht="31.5" customHeight="1">
      <c r="B123" s="48"/>
      <c r="C123" s="320" t="s">
        <v>1458</v>
      </c>
      <c r="D123" s="320"/>
      <c r="E123" s="320"/>
      <c r="F123" s="320"/>
      <c r="G123" s="320"/>
      <c r="H123" s="320"/>
      <c r="I123" s="320"/>
      <c r="J123" s="321"/>
      <c r="L123" s="319"/>
    </row>
    <row r="124" spans="2:13" s="37" customFormat="1" ht="15.75">
      <c r="B124" s="48"/>
      <c r="C124" s="150" t="s">
        <v>310</v>
      </c>
      <c r="D124" s="151">
        <f t="shared" ref="D124:I124" si="27">D$29</f>
        <v>46204</v>
      </c>
      <c r="E124" s="151">
        <f t="shared" si="27"/>
        <v>46235</v>
      </c>
      <c r="F124" s="151">
        <f t="shared" si="27"/>
        <v>46266</v>
      </c>
      <c r="G124" s="151">
        <f t="shared" si="27"/>
        <v>46296</v>
      </c>
      <c r="H124" s="151">
        <f t="shared" si="27"/>
        <v>46327</v>
      </c>
      <c r="I124" s="151">
        <f t="shared" si="27"/>
        <v>46357</v>
      </c>
      <c r="J124" s="152" t="s">
        <v>111</v>
      </c>
      <c r="K124" s="69"/>
      <c r="L124" s="319"/>
    </row>
    <row r="125" spans="2:13" s="37" customFormat="1" ht="15.75" customHeight="1">
      <c r="B125" s="48"/>
      <c r="C125" s="153" t="s">
        <v>446</v>
      </c>
      <c r="D125" s="154">
        <f t="shared" ref="D125:I125" si="28">SUM(D126:D127)</f>
        <v>58002.793246554029</v>
      </c>
      <c r="E125" s="154">
        <f t="shared" si="28"/>
        <v>58027.000051960138</v>
      </c>
      <c r="F125" s="154">
        <f t="shared" si="28"/>
        <v>56931.037714485836</v>
      </c>
      <c r="G125" s="154">
        <f t="shared" si="28"/>
        <v>57828.093882322421</v>
      </c>
      <c r="H125" s="154">
        <f t="shared" si="28"/>
        <v>55322.441841467975</v>
      </c>
      <c r="I125" s="154">
        <f t="shared" si="28"/>
        <v>55581.672803746253</v>
      </c>
      <c r="J125" s="154">
        <f>SUM(D125:I125)</f>
        <v>341693.03954053664</v>
      </c>
      <c r="K125" s="69"/>
      <c r="L125" s="319"/>
    </row>
    <row r="126" spans="2:13" s="37" customFormat="1" ht="15.75" customHeight="1">
      <c r="B126" s="48" t="s">
        <v>279</v>
      </c>
      <c r="C126" s="155" t="s">
        <v>279</v>
      </c>
      <c r="D126" s="156">
        <f>$H$7*F801ENE!R6+$I$7*F801ENE!Y6</f>
        <v>58000.677283383324</v>
      </c>
      <c r="E126" s="156">
        <f>$H$7*F801ENE!S6+$I$7*F801ENE!Z6</f>
        <v>58024.884088789433</v>
      </c>
      <c r="F126" s="156">
        <f>$H$7*F801ENE!T6+$I$7*F801ENE!AA6</f>
        <v>56928.921751315131</v>
      </c>
      <c r="G126" s="156">
        <f>$H$7*F801ENE!U6+$I$7*F801ENE!AB6</f>
        <v>57825.977919151715</v>
      </c>
      <c r="H126" s="156">
        <f>$H$7*F801ENE!V6+$I$7*F801ENE!AC6</f>
        <v>55320.32587829727</v>
      </c>
      <c r="I126" s="156">
        <f>$H$7*F801ENE!W6+$I$7*F801ENE!AD6</f>
        <v>55579.556840575548</v>
      </c>
      <c r="J126" s="156">
        <f>SUM(D126:I126)</f>
        <v>341680.34376151243</v>
      </c>
      <c r="K126" s="69"/>
      <c r="L126" s="319"/>
    </row>
    <row r="127" spans="2:13" s="37" customFormat="1" ht="15.75" customHeight="1">
      <c r="B127" s="48" t="s">
        <v>278</v>
      </c>
      <c r="C127" s="155" t="s">
        <v>278</v>
      </c>
      <c r="D127" s="156">
        <f>$F$8*F801ENE!R7</f>
        <v>2.1159631707038655</v>
      </c>
      <c r="E127" s="156">
        <f>$F$8*F801ENE!S7</f>
        <v>2.1159631707038655</v>
      </c>
      <c r="F127" s="156">
        <f>$F$8*F801ENE!T7</f>
        <v>2.1159631707038655</v>
      </c>
      <c r="G127" s="156">
        <f>$F$8*F801ENE!U7</f>
        <v>2.1159631707038655</v>
      </c>
      <c r="H127" s="156">
        <f>$F$8*F801ENE!V7</f>
        <v>2.1159631707038655</v>
      </c>
      <c r="I127" s="156">
        <f>$F$8*F801ENE!W7</f>
        <v>2.1159631707038655</v>
      </c>
      <c r="J127" s="156">
        <f>SUM(D127:I127)</f>
        <v>12.695779024223194</v>
      </c>
      <c r="K127" s="69"/>
      <c r="L127" s="319"/>
    </row>
    <row r="128" spans="2:13" s="37" customFormat="1" ht="15.75" customHeight="1">
      <c r="B128" s="48"/>
      <c r="C128" s="157"/>
      <c r="D128" s="156"/>
      <c r="E128" s="156"/>
      <c r="F128" s="156"/>
      <c r="G128" s="156"/>
      <c r="H128" s="156"/>
      <c r="I128" s="156"/>
      <c r="J128" s="156"/>
      <c r="K128" s="69"/>
      <c r="L128" s="319"/>
    </row>
    <row r="129" spans="2:12" s="37" customFormat="1" ht="15.75" customHeight="1">
      <c r="B129" s="48"/>
      <c r="C129" s="153" t="s">
        <v>630</v>
      </c>
      <c r="D129" s="154">
        <f>D130+D133</f>
        <v>110641.26019445373</v>
      </c>
      <c r="E129" s="154">
        <f t="shared" ref="E129:I129" si="29">E130+E133</f>
        <v>110687.43554205421</v>
      </c>
      <c r="F129" s="154">
        <f t="shared" si="29"/>
        <v>108596.84816214649</v>
      </c>
      <c r="G129" s="154">
        <f t="shared" si="29"/>
        <v>110308.01490522039</v>
      </c>
      <c r="H129" s="154">
        <f t="shared" si="29"/>
        <v>105528.39396758645</v>
      </c>
      <c r="I129" s="154">
        <f t="shared" si="29"/>
        <v>106022.88630522393</v>
      </c>
      <c r="J129" s="154">
        <f t="shared" ref="J129:J137" si="30">SUM(D129:I129)</f>
        <v>651784.83907668514</v>
      </c>
      <c r="K129" s="69"/>
      <c r="L129" s="319"/>
    </row>
    <row r="130" spans="2:12" s="37" customFormat="1" ht="15.75" customHeight="1">
      <c r="B130" s="48" t="s">
        <v>277</v>
      </c>
      <c r="C130" s="155" t="s">
        <v>277</v>
      </c>
      <c r="D130" s="154">
        <f>SUM(D131:D132)</f>
        <v>11103.530091155648</v>
      </c>
      <c r="E130" s="154">
        <f t="shared" ref="E130:I130" si="31">SUM(E131:E132)</f>
        <v>11108.164070926396</v>
      </c>
      <c r="F130" s="154">
        <f t="shared" si="31"/>
        <v>10898.360785604098</v>
      </c>
      <c r="G130" s="154">
        <f t="shared" si="31"/>
        <v>11070.086879371585</v>
      </c>
      <c r="H130" s="154">
        <f t="shared" si="31"/>
        <v>10590.422558736922</v>
      </c>
      <c r="I130" s="154">
        <f t="shared" si="31"/>
        <v>10640.047902312672</v>
      </c>
      <c r="J130" s="154">
        <f t="shared" si="30"/>
        <v>65410.612288107324</v>
      </c>
      <c r="K130" s="69"/>
      <c r="L130" s="319"/>
    </row>
    <row r="131" spans="2:12" s="37" customFormat="1" ht="15.75" customHeight="1">
      <c r="B131" s="48"/>
      <c r="C131" s="160" t="s">
        <v>304</v>
      </c>
      <c r="D131" s="156">
        <f>$H$9*F801ENE!R11+$I$9*F801ENE!Y11</f>
        <v>9680.92589865423</v>
      </c>
      <c r="E131" s="156">
        <f>$H$9*F801ENE!S11+$I$9*F801ENE!Z11</f>
        <v>9684.9661646244367</v>
      </c>
      <c r="F131" s="156">
        <f>$H$9*F801ENE!T11+$I$9*F801ENE!AA11</f>
        <v>9502.0432525572905</v>
      </c>
      <c r="G131" s="156">
        <f>$H$9*F801ENE!U11+$I$9*F801ENE!AB11</f>
        <v>9651.7674911535014</v>
      </c>
      <c r="H131" s="156">
        <f>$H$9*F801ENE!V11+$I$9*F801ENE!AC11</f>
        <v>9233.5586236878935</v>
      </c>
      <c r="I131" s="156">
        <f>$H$9*F801ENE!W11+$I$9*F801ENE!AD11</f>
        <v>9276.8258792280722</v>
      </c>
      <c r="J131" s="156">
        <f t="shared" si="30"/>
        <v>57030.08730990543</v>
      </c>
      <c r="K131" s="69"/>
      <c r="L131" s="319"/>
    </row>
    <row r="132" spans="2:12" s="37" customFormat="1" ht="15.75" customHeight="1">
      <c r="B132" s="48"/>
      <c r="C132" s="160" t="s">
        <v>305</v>
      </c>
      <c r="D132" s="156">
        <f>($H$9*F801ENE!R12+$I$9*F801ENE!Y12)*$L132</f>
        <v>1422.6041925014185</v>
      </c>
      <c r="E132" s="156">
        <f>($H$9*F801ENE!S12+$I$9*F801ENE!Z12)*$L132</f>
        <v>1423.1979063019585</v>
      </c>
      <c r="F132" s="156">
        <f>($H$9*F801ENE!T12+$I$9*F801ENE!AA12)*$L132</f>
        <v>1396.3175330468071</v>
      </c>
      <c r="G132" s="156">
        <f>($H$9*F801ENE!U12+$I$9*F801ENE!AB12)*$L132</f>
        <v>1418.3193882180838</v>
      </c>
      <c r="H132" s="156">
        <f>($H$9*F801ENE!V12+$I$9*F801ENE!AC12)*$L132</f>
        <v>1356.8639350490278</v>
      </c>
      <c r="I132" s="156">
        <f>($H$9*F801ENE!W12+$I$9*F801ENE!AD12)*$L132</f>
        <v>1363.2220230845994</v>
      </c>
      <c r="J132" s="156">
        <f t="shared" si="30"/>
        <v>8380.5249782018946</v>
      </c>
      <c r="K132" s="69"/>
      <c r="L132" s="319">
        <v>0.95</v>
      </c>
    </row>
    <row r="133" spans="2:12" s="37" customFormat="1" ht="15.75" customHeight="1">
      <c r="B133" s="48" t="s">
        <v>276</v>
      </c>
      <c r="C133" s="158" t="s">
        <v>276</v>
      </c>
      <c r="D133" s="159">
        <f t="shared" ref="D133:I133" si="32">SUM(D134:D137)</f>
        <v>99537.73010329809</v>
      </c>
      <c r="E133" s="159">
        <f t="shared" si="32"/>
        <v>99579.271471127824</v>
      </c>
      <c r="F133" s="159">
        <f t="shared" si="32"/>
        <v>97698.487376542398</v>
      </c>
      <c r="G133" s="159">
        <f t="shared" si="32"/>
        <v>99237.9280258488</v>
      </c>
      <c r="H133" s="159">
        <f t="shared" si="32"/>
        <v>94937.971408849538</v>
      </c>
      <c r="I133" s="159">
        <f t="shared" si="32"/>
        <v>95382.838402911264</v>
      </c>
      <c r="J133" s="159">
        <f t="shared" si="30"/>
        <v>586374.22678857786</v>
      </c>
      <c r="K133" s="69"/>
      <c r="L133" s="319"/>
    </row>
    <row r="134" spans="2:12" s="37" customFormat="1" ht="15.75" customHeight="1">
      <c r="B134" s="48"/>
      <c r="C134" s="160" t="s">
        <v>304</v>
      </c>
      <c r="D134" s="156">
        <f>$F$10*(F801ENE!R15+F801ENE!Y15)*$L134</f>
        <v>99149.687275606047</v>
      </c>
      <c r="E134" s="156">
        <f>$F$10*(F801ENE!S15+F801ENE!Z15)*$L134</f>
        <v>99191.066696505484</v>
      </c>
      <c r="F134" s="156">
        <f>$F$10*(F801ENE!T15+F801ENE!AA15)*$L134</f>
        <v>97317.614743989034</v>
      </c>
      <c r="G134" s="156">
        <f>$F$10*(F801ENE!U15+F801ENE!AB15)*$L134</f>
        <v>98851.053961456462</v>
      </c>
      <c r="H134" s="156">
        <f>$F$10*(F801ENE!V15+F801ENE!AC15)*$L134</f>
        <v>94567.860508765676</v>
      </c>
      <c r="I134" s="156">
        <f>$F$10*(F801ENE!W15+F801ENE!AD15)*$L134</f>
        <v>95010.993211256326</v>
      </c>
      <c r="J134" s="156">
        <f t="shared" si="30"/>
        <v>584088.276397579</v>
      </c>
      <c r="K134" s="69"/>
      <c r="L134" s="319">
        <v>1</v>
      </c>
    </row>
    <row r="135" spans="2:12" s="37" customFormat="1" ht="15.75" customHeight="1">
      <c r="B135" s="48"/>
      <c r="C135" s="161" t="s">
        <v>306</v>
      </c>
      <c r="D135" s="156">
        <f>$F$10*(F801ENE!R16+F801ENE!Y16)*$L135</f>
        <v>0</v>
      </c>
      <c r="E135" s="156">
        <f>$F$10*(F801ENE!S16+F801ENE!Z16)*$L135</f>
        <v>0</v>
      </c>
      <c r="F135" s="156">
        <f>$F$10*(F801ENE!T16+F801ENE!AA16)*$L135</f>
        <v>0</v>
      </c>
      <c r="G135" s="156">
        <f>$F$10*(F801ENE!U16+F801ENE!AB16)*$L135</f>
        <v>0</v>
      </c>
      <c r="H135" s="156">
        <f>$F$10*(F801ENE!V16+F801ENE!AC16)*$L135</f>
        <v>0</v>
      </c>
      <c r="I135" s="156">
        <f>$F$10*(F801ENE!W16+F801ENE!AD16)*$L135</f>
        <v>0</v>
      </c>
      <c r="J135" s="156">
        <f t="shared" si="30"/>
        <v>0</v>
      </c>
      <c r="K135" s="69"/>
      <c r="L135" s="319">
        <v>1</v>
      </c>
    </row>
    <row r="136" spans="2:12" s="37" customFormat="1" ht="15.75" customHeight="1">
      <c r="B136" s="48"/>
      <c r="C136" s="160" t="s">
        <v>305</v>
      </c>
      <c r="D136" s="156">
        <f>$F$10*(F801ENE!R17+F801ENE!Y17)*$L136</f>
        <v>388.04282769204303</v>
      </c>
      <c r="E136" s="156">
        <f>$F$10*(F801ENE!S17+F801ENE!Z17)*$L136</f>
        <v>388.20477462233873</v>
      </c>
      <c r="F136" s="156">
        <f>$F$10*(F801ENE!T17+F801ENE!AA17)*$L136</f>
        <v>380.87263255335893</v>
      </c>
      <c r="G136" s="156">
        <f>$F$10*(F801ENE!U17+F801ENE!AB17)*$L136</f>
        <v>386.87406439233104</v>
      </c>
      <c r="H136" s="156">
        <f>$F$10*(F801ENE!V17+F801ENE!AC17)*$L136</f>
        <v>370.11090008386321</v>
      </c>
      <c r="I136" s="156">
        <f>$F$10*(F801ENE!W17+F801ENE!AD17)*$L136</f>
        <v>371.84519165494316</v>
      </c>
      <c r="J136" s="156">
        <f t="shared" si="30"/>
        <v>2285.950390998878</v>
      </c>
      <c r="K136" s="69"/>
      <c r="L136" s="319">
        <v>0.95</v>
      </c>
    </row>
    <row r="137" spans="2:12" s="37" customFormat="1" ht="15.75" customHeight="1">
      <c r="B137" s="48"/>
      <c r="C137" s="160" t="s">
        <v>307</v>
      </c>
      <c r="D137" s="156">
        <f>$F$10*(F801ENE!R18+F801ENE!Y18)*$L137</f>
        <v>0</v>
      </c>
      <c r="E137" s="156">
        <f>$F$10*(F801ENE!S18+F801ENE!Z18)*$L137</f>
        <v>0</v>
      </c>
      <c r="F137" s="156">
        <f>$F$10*(F801ENE!T18+F801ENE!AA18)*$L137</f>
        <v>0</v>
      </c>
      <c r="G137" s="156">
        <f>$F$10*(F801ENE!U18+F801ENE!AB18)*$L137</f>
        <v>0</v>
      </c>
      <c r="H137" s="156">
        <f>$F$10*(F801ENE!V18+F801ENE!AC18)*$L137</f>
        <v>0</v>
      </c>
      <c r="I137" s="156">
        <f>$F$10*(F801ENE!W18+F801ENE!AD18)*$L137</f>
        <v>0</v>
      </c>
      <c r="J137" s="156">
        <f t="shared" si="30"/>
        <v>0</v>
      </c>
      <c r="K137" s="69"/>
      <c r="L137" s="319">
        <v>0.5</v>
      </c>
    </row>
    <row r="138" spans="2:12" s="37" customFormat="1" ht="15.75" customHeight="1">
      <c r="B138" s="48"/>
      <c r="C138" s="157"/>
      <c r="D138" s="157"/>
      <c r="E138" s="157"/>
      <c r="F138" s="157"/>
      <c r="G138" s="157"/>
      <c r="H138" s="157"/>
      <c r="I138" s="157"/>
      <c r="J138" s="157"/>
      <c r="K138" s="69"/>
      <c r="L138" s="319"/>
    </row>
    <row r="139" spans="2:12" s="37" customFormat="1" ht="15.75" customHeight="1">
      <c r="B139" s="48"/>
      <c r="C139" s="153" t="s">
        <v>443</v>
      </c>
      <c r="D139" s="154">
        <f t="shared" ref="D139:I139" si="33">D140+D144+D151+D156+D161+D174+D180+D187+D195+D201+D208+D167</f>
        <v>817049.47862434387</v>
      </c>
      <c r="E139" s="154">
        <f t="shared" si="33"/>
        <v>817390.46845455747</v>
      </c>
      <c r="F139" s="154">
        <f t="shared" si="33"/>
        <v>801952.16484091384</v>
      </c>
      <c r="G139" s="154">
        <f t="shared" si="33"/>
        <v>814588.57122461195</v>
      </c>
      <c r="H139" s="154">
        <f t="shared" si="33"/>
        <v>779292.63482774294</v>
      </c>
      <c r="I139" s="154">
        <f t="shared" si="33"/>
        <v>782944.29890858359</v>
      </c>
      <c r="J139" s="154">
        <f t="shared" ref="J139:J165" si="34">SUM(D139:I139)</f>
        <v>4813217.6168807531</v>
      </c>
      <c r="K139" s="69"/>
      <c r="L139" s="319"/>
    </row>
    <row r="140" spans="2:12" s="37" customFormat="1" ht="15.75" customHeight="1">
      <c r="B140" s="48" t="s">
        <v>275</v>
      </c>
      <c r="C140" s="155" t="s">
        <v>275</v>
      </c>
      <c r="D140" s="154">
        <f>SUM(D141:D143)</f>
        <v>6679.2822551249601</v>
      </c>
      <c r="E140" s="154">
        <f t="shared" ref="E140:I140" si="35">SUM(E141:E143)</f>
        <v>6682.0698063450927</v>
      </c>
      <c r="F140" s="154">
        <f t="shared" si="35"/>
        <v>6555.8635143626552</v>
      </c>
      <c r="G140" s="154">
        <f t="shared" si="35"/>
        <v>6659.164630442554</v>
      </c>
      <c r="H140" s="154">
        <f t="shared" si="35"/>
        <v>6370.6245572469461</v>
      </c>
      <c r="I140" s="154">
        <f t="shared" si="35"/>
        <v>6400.4764758736192</v>
      </c>
      <c r="J140" s="154">
        <f t="shared" si="34"/>
        <v>39347.481239395835</v>
      </c>
      <c r="K140" s="69"/>
      <c r="L140" s="319"/>
    </row>
    <row r="141" spans="2:12" s="37" customFormat="1" ht="15.75" customHeight="1">
      <c r="B141" s="48"/>
      <c r="C141" s="160" t="s">
        <v>304</v>
      </c>
      <c r="D141" s="156">
        <f>$H$11*F801ENE!R22+$I$11*F801ENE!Y22</f>
        <v>6632.0236827418503</v>
      </c>
      <c r="E141" s="156">
        <f>$H$11*F801ENE!S22+$I$11*F801ENE!Z22</f>
        <v>6634.7915109309633</v>
      </c>
      <c r="F141" s="156">
        <f>$H$11*F801ENE!T22+$I$11*F801ENE!AA22</f>
        <v>6509.4781785446376</v>
      </c>
      <c r="G141" s="156">
        <f>$H$11*F801ENE!U22+$I$11*F801ENE!AB22</f>
        <v>6612.0483982370133</v>
      </c>
      <c r="H141" s="156">
        <f>$H$11*F801ENE!V22+$I$11*F801ENE!AC22</f>
        <v>6325.5498605558059</v>
      </c>
      <c r="I141" s="156">
        <f>$H$11*F801ENE!W22+$I$11*F801ENE!AD22</f>
        <v>6355.1905650125573</v>
      </c>
      <c r="J141" s="156">
        <f t="shared" si="34"/>
        <v>39069.082196022828</v>
      </c>
      <c r="K141" s="69"/>
      <c r="L141" s="319"/>
    </row>
    <row r="142" spans="2:12" s="37" customFormat="1" ht="15.75" customHeight="1">
      <c r="B142" s="48"/>
      <c r="C142" s="161" t="s">
        <v>306</v>
      </c>
      <c r="D142" s="156">
        <f>($H$11*F801ENE!R23+$I$11*F801ENE!Y23)*$L142</f>
        <v>26.562757917838979</v>
      </c>
      <c r="E142" s="156">
        <f>($H$11*F801ENE!S23+$I$11*F801ENE!Z23)*$L142</f>
        <v>26.573843697031364</v>
      </c>
      <c r="F142" s="156">
        <f>($H$11*F801ENE!T23+$I$11*F801ENE!AA23)*$L142</f>
        <v>26.071935400063481</v>
      </c>
      <c r="G142" s="156">
        <f>($H$11*F801ENE!U23+$I$11*F801ENE!AB23)*$L142</f>
        <v>26.482752376238956</v>
      </c>
      <c r="H142" s="156">
        <f>($H$11*F801ENE!V23+$I$11*F801ENE!AC23)*$L142</f>
        <v>25.335260801375561</v>
      </c>
      <c r="I142" s="156">
        <f>($H$11*F801ENE!W23+$I$11*F801ENE!AD23)*$L142</f>
        <v>25.453978540434257</v>
      </c>
      <c r="J142" s="156">
        <f t="shared" si="34"/>
        <v>156.48052873298261</v>
      </c>
      <c r="K142" s="69"/>
      <c r="L142" s="319">
        <v>0.75</v>
      </c>
    </row>
    <row r="143" spans="2:12" s="37" customFormat="1" ht="15.75" customHeight="1">
      <c r="B143" s="48"/>
      <c r="C143" s="160" t="s">
        <v>305</v>
      </c>
      <c r="D143" s="156">
        <f>($H$11*F801ENE!R24+$I$11*F801ENE!Y24)*$L143</f>
        <v>20.695814465270924</v>
      </c>
      <c r="E143" s="156">
        <f>($H$11*F801ENE!S24+$I$11*F801ENE!Z24)*$L143</f>
        <v>20.704451717098394</v>
      </c>
      <c r="F143" s="156">
        <f>($H$11*F801ENE!T24+$I$11*F801ENE!AA24)*$L143</f>
        <v>20.313400417954057</v>
      </c>
      <c r="G143" s="156">
        <f>($H$11*F801ENE!U24+$I$11*F801ENE!AB24)*$L143</f>
        <v>20.633479829301681</v>
      </c>
      <c r="H143" s="156">
        <f>($H$11*F801ENE!V24+$I$11*F801ENE!AC24)*$L143</f>
        <v>19.7394358897646</v>
      </c>
      <c r="I143" s="156">
        <f>($H$11*F801ENE!W24+$I$11*F801ENE!AD24)*$L143</f>
        <v>19.831932320628255</v>
      </c>
      <c r="J143" s="156">
        <f t="shared" si="34"/>
        <v>121.91851464001792</v>
      </c>
      <c r="K143" s="69"/>
      <c r="L143" s="319">
        <v>0.95</v>
      </c>
    </row>
    <row r="144" spans="2:12" s="37" customFormat="1" ht="15.75" customHeight="1">
      <c r="B144" s="48" t="s">
        <v>274</v>
      </c>
      <c r="C144" s="158" t="s">
        <v>627</v>
      </c>
      <c r="D144" s="159">
        <f t="shared" ref="D144:I144" si="36">SUM(D145:D150)</f>
        <v>112584.16769992957</v>
      </c>
      <c r="E144" s="159">
        <f t="shared" si="36"/>
        <v>112631.15390623918</v>
      </c>
      <c r="F144" s="159">
        <f t="shared" si="36"/>
        <v>110503.85492431119</v>
      </c>
      <c r="G144" s="159">
        <f t="shared" si="36"/>
        <v>112245.07048192677</v>
      </c>
      <c r="H144" s="159">
        <f t="shared" si="36"/>
        <v>107381.51737127948</v>
      </c>
      <c r="I144" s="159">
        <f t="shared" si="36"/>
        <v>107884.69320431919</v>
      </c>
      <c r="J144" s="159">
        <f t="shared" si="34"/>
        <v>663230.45758800546</v>
      </c>
      <c r="K144" s="69"/>
      <c r="L144" s="319"/>
    </row>
    <row r="145" spans="2:12" s="37" customFormat="1" ht="15.75" customHeight="1">
      <c r="B145" s="48"/>
      <c r="C145" s="160" t="s">
        <v>304</v>
      </c>
      <c r="D145" s="156">
        <f>$F$12*(F801ENE!R28+F801ENE!Y28)*$L145</f>
        <v>112381.61831736066</v>
      </c>
      <c r="E145" s="156">
        <f>$F$12*(F801ENE!S28+F801ENE!Z28)*$L145</f>
        <v>112428.51999111766</v>
      </c>
      <c r="F145" s="156">
        <f>$F$12*(F801ENE!T28+F801ENE!AA28)*$L145</f>
        <v>110305.04821779398</v>
      </c>
      <c r="G145" s="156">
        <f>$F$12*(F801ENE!U28+F801ENE!AB28)*$L145</f>
        <v>112043.13116677267</v>
      </c>
      <c r="H145" s="156">
        <f>$F$12*(F801ENE!V28+F801ENE!AC28)*$L145</f>
        <v>107188.32804024639</v>
      </c>
      <c r="I145" s="156">
        <f>$F$12*(F801ENE!W28+F801ENE!AD28)*$L145</f>
        <v>107690.5986131915</v>
      </c>
      <c r="J145" s="156">
        <f t="shared" si="34"/>
        <v>662037.24434648291</v>
      </c>
      <c r="K145" s="69"/>
      <c r="L145" s="319">
        <v>1</v>
      </c>
    </row>
    <row r="146" spans="2:12" s="37" customFormat="1" ht="15.75" customHeight="1">
      <c r="B146" s="48"/>
      <c r="C146" s="162" t="s">
        <v>628</v>
      </c>
      <c r="D146" s="156">
        <f>$F$12*(F801ENE!R29+F801ENE!Y29)*$L146</f>
        <v>9.7244741743361978</v>
      </c>
      <c r="E146" s="156">
        <f>$F$12*(F801ENE!S29+F801ENE!Z29)*$L146</f>
        <v>9.7285326148713338</v>
      </c>
      <c r="F146" s="156">
        <f>$F$12*(F801ENE!T29+F801ENE!AA29)*$L146</f>
        <v>9.5447868499607047</v>
      </c>
      <c r="G146" s="156">
        <f>$F$12*(F801ENE!U29+F801ENE!AB29)*$L146</f>
        <v>9.6951846018641064</v>
      </c>
      <c r="H146" s="156">
        <f>$F$12*(F801ENE!V29+F801ENE!AC29)*$L146</f>
        <v>9.2750944809684341</v>
      </c>
      <c r="I146" s="156">
        <f>$F$12*(F801ENE!W29+F801ENE!AD29)*$L146</f>
        <v>9.3185563681370311</v>
      </c>
      <c r="J146" s="156">
        <f t="shared" si="34"/>
        <v>57.286629090137808</v>
      </c>
      <c r="K146" s="69"/>
      <c r="L146" s="319">
        <v>0.75</v>
      </c>
    </row>
    <row r="147" spans="2:12" s="37" customFormat="1" ht="15.75" customHeight="1">
      <c r="B147" s="48"/>
      <c r="C147" s="161" t="s">
        <v>629</v>
      </c>
      <c r="D147" s="156">
        <f>$F$12*(F801ENE!R30+F801ENE!Y30)*$L147</f>
        <v>51.664385869806679</v>
      </c>
      <c r="E147" s="156">
        <f>$F$12*(F801ENE!S30+F801ENE!Z30)*$L147</f>
        <v>51.685947635931797</v>
      </c>
      <c r="F147" s="156">
        <f>$F$12*(F801ENE!T30+F801ENE!AA30)*$L147</f>
        <v>50.709739366970709</v>
      </c>
      <c r="G147" s="156">
        <f>$F$12*(F801ENE!U30+F801ENE!AB30)*$L147</f>
        <v>51.5087756283652</v>
      </c>
      <c r="H147" s="156">
        <f>$F$12*(F801ENE!V30+F801ENE!AC30)*$L147</f>
        <v>49.276912216837424</v>
      </c>
      <c r="I147" s="156">
        <f>$F$12*(F801ENE!W30+F801ENE!AD30)*$L147</f>
        <v>49.507817422512638</v>
      </c>
      <c r="J147" s="156">
        <f t="shared" si="34"/>
        <v>304.35357814042447</v>
      </c>
      <c r="K147" s="69"/>
      <c r="L147" s="319">
        <v>1</v>
      </c>
    </row>
    <row r="148" spans="2:12" s="37" customFormat="1" ht="15.75" customHeight="1">
      <c r="B148" s="48"/>
      <c r="C148" s="160" t="s">
        <v>305</v>
      </c>
      <c r="D148" s="156">
        <f>$F$12*(F801ENE!R31+F801ENE!Y31)*$L148</f>
        <v>129.34708723150581</v>
      </c>
      <c r="E148" s="156">
        <f>$F$12*(F801ENE!S31+F801ENE!Z31)*$L148</f>
        <v>129.40106932375173</v>
      </c>
      <c r="F148" s="156">
        <f>$F$12*(F801ENE!T31+F801ENE!AA31)*$L148</f>
        <v>126.95703183069752</v>
      </c>
      <c r="G148" s="156">
        <f>$F$12*(F801ENE!U31+F801ENE!AB31)*$L148</f>
        <v>128.95750103716748</v>
      </c>
      <c r="H148" s="156">
        <f>$F$12*(F801ENE!V31+F801ENE!AC31)*$L148</f>
        <v>123.3698021509914</v>
      </c>
      <c r="I148" s="156">
        <f>$F$12*(F801ENE!W31+F801ENE!AD31)*$L148</f>
        <v>123.94789700836462</v>
      </c>
      <c r="J148" s="156">
        <f t="shared" si="34"/>
        <v>761.98038858247855</v>
      </c>
      <c r="K148" s="69"/>
      <c r="L148" s="319">
        <v>0.95</v>
      </c>
    </row>
    <row r="149" spans="2:12" s="37" customFormat="1" ht="15.75" customHeight="1">
      <c r="B149" s="48"/>
      <c r="C149" s="160" t="s">
        <v>307</v>
      </c>
      <c r="D149" s="156">
        <f>$F$12*(F801ENE!R32+F801ENE!Y32)*$L149</f>
        <v>11.813435293267677</v>
      </c>
      <c r="E149" s="156">
        <f>$F$12*(F801ENE!S32+F801ENE!Z32)*$L149</f>
        <v>11.818365546954803</v>
      </c>
      <c r="F149" s="156">
        <f>$F$12*(F801ENE!T32+F801ENE!AA32)*$L149</f>
        <v>11.595148469581888</v>
      </c>
      <c r="G149" s="156">
        <f>$F$12*(F801ENE!U32+F801ENE!AB32)*$L149</f>
        <v>11.777853886708987</v>
      </c>
      <c r="H149" s="156">
        <f>$F$12*(F801ENE!V32+F801ENE!AC32)*$L149</f>
        <v>11.267522184287579</v>
      </c>
      <c r="I149" s="156">
        <f>$F$12*(F801ENE!W32+F801ENE!AD32)*$L149</f>
        <v>11.320320328699799</v>
      </c>
      <c r="J149" s="156">
        <f t="shared" si="34"/>
        <v>69.592645709500729</v>
      </c>
      <c r="K149" s="69"/>
      <c r="L149" s="319">
        <v>0.5</v>
      </c>
    </row>
    <row r="150" spans="2:12" s="37" customFormat="1" ht="15.75" customHeight="1">
      <c r="B150" s="48"/>
      <c r="C150" s="160" t="s">
        <v>624</v>
      </c>
      <c r="D150" s="156">
        <f>$F$12*(F801ENE!R33+F801ENE!Y33)*$L150</f>
        <v>0</v>
      </c>
      <c r="E150" s="156">
        <f>$F$12*(F801ENE!S33+F801ENE!Z33)*$L150</f>
        <v>0</v>
      </c>
      <c r="F150" s="156">
        <f>$F$12*(F801ENE!T33+F801ENE!AA33)*$L150</f>
        <v>0</v>
      </c>
      <c r="G150" s="156">
        <f>$F$12*(F801ENE!U33+F801ENE!AB33)*$L150</f>
        <v>0</v>
      </c>
      <c r="H150" s="156">
        <f>$F$12*(F801ENE!V33+F801ENE!AC33)*$L150</f>
        <v>0</v>
      </c>
      <c r="I150" s="156">
        <f>$F$12*(F801ENE!W33+F801ENE!AD33)*$L150</f>
        <v>0</v>
      </c>
      <c r="J150" s="156">
        <f t="shared" si="34"/>
        <v>0</v>
      </c>
      <c r="K150" s="69"/>
      <c r="L150" s="319">
        <v>0</v>
      </c>
    </row>
    <row r="151" spans="2:12" s="37" customFormat="1" ht="15.75" customHeight="1">
      <c r="B151" s="48" t="s">
        <v>274</v>
      </c>
      <c r="C151" s="158" t="s">
        <v>631</v>
      </c>
      <c r="D151" s="159">
        <f t="shared" ref="D151:I151" si="37">SUM(D152:D155)</f>
        <v>53914.756515724395</v>
      </c>
      <c r="E151" s="159">
        <f t="shared" si="37"/>
        <v>53937.257458126289</v>
      </c>
      <c r="F151" s="159">
        <f t="shared" si="37"/>
        <v>52918.528013392228</v>
      </c>
      <c r="G151" s="159">
        <f t="shared" si="37"/>
        <v>53752.368283726202</v>
      </c>
      <c r="H151" s="159">
        <f t="shared" si="37"/>
        <v>51423.290518007583</v>
      </c>
      <c r="I151" s="159">
        <f t="shared" si="37"/>
        <v>51664.253373417574</v>
      </c>
      <c r="J151" s="159">
        <f t="shared" si="34"/>
        <v>317610.45416239428</v>
      </c>
      <c r="K151" s="69"/>
      <c r="L151" s="319"/>
    </row>
    <row r="152" spans="2:12" s="37" customFormat="1" ht="15.75" customHeight="1">
      <c r="B152" s="48"/>
      <c r="C152" s="160" t="s">
        <v>304</v>
      </c>
      <c r="D152" s="156">
        <f>$F$13*(F801ENE!R35+F801ENE!Y35)*$L152</f>
        <v>53876.852187105374</v>
      </c>
      <c r="E152" s="156">
        <f>$F$13*(F801ENE!S35+F801ENE!Z35)*$L152</f>
        <v>53899.337310403738</v>
      </c>
      <c r="F152" s="156">
        <f>$F$13*(F801ENE!T35+F801ENE!AA35)*$L152</f>
        <v>52881.324075073979</v>
      </c>
      <c r="G152" s="156">
        <f>$F$13*(F801ENE!U35+F801ENE!AB35)*$L152</f>
        <v>53714.578120825572</v>
      </c>
      <c r="H152" s="156">
        <f>$F$13*(F801ENE!V35+F801ENE!AC35)*$L152</f>
        <v>51387.137794181457</v>
      </c>
      <c r="I152" s="156">
        <f>$F$13*(F801ENE!W35+F801ENE!AD35)*$L152</f>
        <v>51627.931242626699</v>
      </c>
      <c r="J152" s="156">
        <f t="shared" si="34"/>
        <v>317387.16073021683</v>
      </c>
      <c r="K152" s="69"/>
      <c r="L152" s="319">
        <v>1</v>
      </c>
    </row>
    <row r="153" spans="2:12" s="37" customFormat="1" ht="15.75" customHeight="1">
      <c r="B153" s="48"/>
      <c r="C153" s="161" t="s">
        <v>306</v>
      </c>
      <c r="D153" s="156">
        <f>$F$13*(F801ENE!R36+F801ENE!Y36)*$L153</f>
        <v>0</v>
      </c>
      <c r="E153" s="156">
        <f>$F$13*(F801ENE!S36+F801ENE!Z36)*$L153</f>
        <v>0</v>
      </c>
      <c r="F153" s="156">
        <f>$F$13*(F801ENE!T36+F801ENE!AA36)*$L153</f>
        <v>0</v>
      </c>
      <c r="G153" s="156">
        <f>$F$13*(F801ENE!U36+F801ENE!AB36)*$L153</f>
        <v>0</v>
      </c>
      <c r="H153" s="156">
        <f>$F$13*(F801ENE!V36+F801ENE!AC36)*$L153</f>
        <v>0</v>
      </c>
      <c r="I153" s="156">
        <f>$F$13*(F801ENE!W36+F801ENE!AD36)*$L153</f>
        <v>0</v>
      </c>
      <c r="J153" s="156">
        <f t="shared" si="34"/>
        <v>0</v>
      </c>
      <c r="K153" s="69"/>
      <c r="L153" s="319">
        <v>1</v>
      </c>
    </row>
    <row r="154" spans="2:12" s="37" customFormat="1" ht="15.75" customHeight="1">
      <c r="B154" s="48"/>
      <c r="C154" s="160" t="s">
        <v>305</v>
      </c>
      <c r="D154" s="156">
        <f>$F$13*(F801ENE!R37+F801ENE!Y37)*$L154</f>
        <v>37.904328619021001</v>
      </c>
      <c r="E154" s="156">
        <f>$F$13*(F801ENE!S37+F801ENE!Z37)*$L154</f>
        <v>37.920147722549544</v>
      </c>
      <c r="F154" s="156">
        <f>$F$13*(F801ENE!T37+F801ENE!AA37)*$L154</f>
        <v>37.203938318250181</v>
      </c>
      <c r="G154" s="156">
        <f>$F$13*(F801ENE!U37+F801ENE!AB37)*$L154</f>
        <v>37.790162900629483</v>
      </c>
      <c r="H154" s="156">
        <f>$F$13*(F801ENE!V37+F801ENE!AC37)*$L154</f>
        <v>36.152723826128494</v>
      </c>
      <c r="I154" s="156">
        <f>$F$13*(F801ENE!W37+F801ENE!AD37)*$L154</f>
        <v>36.322130790876166</v>
      </c>
      <c r="J154" s="156">
        <f t="shared" si="34"/>
        <v>223.29343217745486</v>
      </c>
      <c r="K154" s="69"/>
      <c r="L154" s="319">
        <v>0.95</v>
      </c>
    </row>
    <row r="155" spans="2:12" s="37" customFormat="1" ht="15.75" customHeight="1">
      <c r="B155" s="48"/>
      <c r="C155" s="160" t="s">
        <v>307</v>
      </c>
      <c r="D155" s="156">
        <f>$F$13*(F801ENE!R38+F801ENE!Y38)*$L155</f>
        <v>0</v>
      </c>
      <c r="E155" s="156">
        <f>$F$13*(F801ENE!S38+F801ENE!Z38)*$L155</f>
        <v>0</v>
      </c>
      <c r="F155" s="156">
        <f>$F$13*(F801ENE!T38+F801ENE!AA38)*$L155</f>
        <v>0</v>
      </c>
      <c r="G155" s="156">
        <f>$F$13*(F801ENE!U38+F801ENE!AB38)*$L155</f>
        <v>0</v>
      </c>
      <c r="H155" s="156">
        <f>$F$13*(F801ENE!V38+F801ENE!AC38)*$L155</f>
        <v>0</v>
      </c>
      <c r="I155" s="156">
        <f>$F$13*(F801ENE!W38+F801ENE!AD38)*$L155</f>
        <v>0</v>
      </c>
      <c r="J155" s="156">
        <f t="shared" si="34"/>
        <v>0</v>
      </c>
      <c r="K155" s="69"/>
      <c r="L155" s="319">
        <v>0.5</v>
      </c>
    </row>
    <row r="156" spans="2:12" s="37" customFormat="1" ht="15.75" customHeight="1">
      <c r="B156" s="48" t="s">
        <v>274</v>
      </c>
      <c r="C156" s="158" t="s">
        <v>632</v>
      </c>
      <c r="D156" s="159">
        <f t="shared" ref="D156:I156" si="38">SUM(D157:D160)</f>
        <v>15932.234057993293</v>
      </c>
      <c r="E156" s="159">
        <f t="shared" si="38"/>
        <v>15938.883263220954</v>
      </c>
      <c r="F156" s="159">
        <f t="shared" si="38"/>
        <v>15637.840710046499</v>
      </c>
      <c r="G156" s="159">
        <f t="shared" si="38"/>
        <v>15884.247059856627</v>
      </c>
      <c r="H156" s="159">
        <f t="shared" si="38"/>
        <v>15195.986284870565</v>
      </c>
      <c r="I156" s="159">
        <f t="shared" si="38"/>
        <v>15267.192701439559</v>
      </c>
      <c r="J156" s="159">
        <f t="shared" si="34"/>
        <v>93856.384077427501</v>
      </c>
      <c r="K156" s="69"/>
      <c r="L156" s="319"/>
    </row>
    <row r="157" spans="2:12" s="37" customFormat="1" ht="15.75" customHeight="1">
      <c r="B157" s="48"/>
      <c r="C157" s="160" t="s">
        <v>304</v>
      </c>
      <c r="D157" s="156">
        <f>$F$14*(F801ENE!R40+F801ENE!Y40)*$L157</f>
        <v>15932.234057993293</v>
      </c>
      <c r="E157" s="156">
        <f>$F$14*(F801ENE!S40+F801ENE!Z40)*$L157</f>
        <v>15938.883263220954</v>
      </c>
      <c r="F157" s="156">
        <f>$F$14*(F801ENE!T40+F801ENE!AA40)*$L157</f>
        <v>15637.840710046499</v>
      </c>
      <c r="G157" s="156">
        <f>$F$14*(F801ENE!U40+F801ENE!AB40)*$L157</f>
        <v>15884.247059856627</v>
      </c>
      <c r="H157" s="156">
        <f>$F$14*(F801ENE!V40+F801ENE!AC40)*$L157</f>
        <v>15195.986284870565</v>
      </c>
      <c r="I157" s="156">
        <f>$F$14*(F801ENE!W40+F801ENE!AD40)*$L157</f>
        <v>15267.192701439559</v>
      </c>
      <c r="J157" s="156">
        <f t="shared" si="34"/>
        <v>93856.384077427501</v>
      </c>
      <c r="K157" s="69"/>
      <c r="L157" s="319">
        <v>1</v>
      </c>
    </row>
    <row r="158" spans="2:12" s="37" customFormat="1" ht="15.75" customHeight="1">
      <c r="B158" s="48"/>
      <c r="C158" s="161" t="s">
        <v>306</v>
      </c>
      <c r="D158" s="156">
        <f>$F$14*(F801ENE!R41+F801ENE!Y41)*$L158</f>
        <v>0</v>
      </c>
      <c r="E158" s="156">
        <f>$F$14*(F801ENE!S41+F801ENE!Z41)*$L158</f>
        <v>0</v>
      </c>
      <c r="F158" s="156">
        <f>$F$14*(F801ENE!T41+F801ENE!AA41)*$L158</f>
        <v>0</v>
      </c>
      <c r="G158" s="156">
        <f>$F$14*(F801ENE!U41+F801ENE!AB41)*$L158</f>
        <v>0</v>
      </c>
      <c r="H158" s="156">
        <f>$F$14*(F801ENE!V41+F801ENE!AC41)*$L158</f>
        <v>0</v>
      </c>
      <c r="I158" s="156">
        <f>$F$14*(F801ENE!W41+F801ENE!AD41)*$L158</f>
        <v>0</v>
      </c>
      <c r="J158" s="156">
        <f t="shared" si="34"/>
        <v>0</v>
      </c>
      <c r="K158" s="69"/>
      <c r="L158" s="319">
        <v>1</v>
      </c>
    </row>
    <row r="159" spans="2:12" s="37" customFormat="1" ht="15.75" customHeight="1">
      <c r="B159" s="48"/>
      <c r="C159" s="160" t="s">
        <v>305</v>
      </c>
      <c r="D159" s="156">
        <f>$F$14*(F801ENE!R42+F801ENE!Y42)*$L159</f>
        <v>0</v>
      </c>
      <c r="E159" s="156">
        <f>$F$14*(F801ENE!S42+F801ENE!Z42)*$L159</f>
        <v>0</v>
      </c>
      <c r="F159" s="156">
        <f>$F$14*(F801ENE!T42+F801ENE!AA42)*$L159</f>
        <v>0</v>
      </c>
      <c r="G159" s="156">
        <f>$F$14*(F801ENE!U42+F801ENE!AB42)*$L159</f>
        <v>0</v>
      </c>
      <c r="H159" s="156">
        <f>$F$14*(F801ENE!V42+F801ENE!AC42)*$L159</f>
        <v>0</v>
      </c>
      <c r="I159" s="156">
        <f>$F$14*(F801ENE!W42+F801ENE!AD42)*$L159</f>
        <v>0</v>
      </c>
      <c r="J159" s="156">
        <f t="shared" si="34"/>
        <v>0</v>
      </c>
      <c r="K159" s="69"/>
      <c r="L159" s="319">
        <v>0.95</v>
      </c>
    </row>
    <row r="160" spans="2:12" s="37" customFormat="1" ht="15.75" customHeight="1">
      <c r="B160" s="48"/>
      <c r="C160" s="160" t="s">
        <v>307</v>
      </c>
      <c r="D160" s="156">
        <f>$F$14*(F801ENE!R43+F801ENE!Y43)*$L160</f>
        <v>0</v>
      </c>
      <c r="E160" s="156">
        <f>$F$14*(F801ENE!S43+F801ENE!Z43)*$L160</f>
        <v>0</v>
      </c>
      <c r="F160" s="156">
        <f>$F$14*(F801ENE!T43+F801ENE!AA43)*$L160</f>
        <v>0</v>
      </c>
      <c r="G160" s="156">
        <f>$F$14*(F801ENE!U43+F801ENE!AB43)*$L160</f>
        <v>0</v>
      </c>
      <c r="H160" s="156">
        <f>$F$14*(F801ENE!V43+F801ENE!AC43)*$L160</f>
        <v>0</v>
      </c>
      <c r="I160" s="156">
        <f>$F$14*(F801ENE!W43+F801ENE!AD43)*$L160</f>
        <v>0</v>
      </c>
      <c r="J160" s="156">
        <f t="shared" si="34"/>
        <v>0</v>
      </c>
      <c r="K160" s="69"/>
      <c r="L160" s="319">
        <v>0.5</v>
      </c>
    </row>
    <row r="161" spans="2:13" s="37" customFormat="1" ht="15.75" customHeight="1">
      <c r="B161" s="48" t="s">
        <v>274</v>
      </c>
      <c r="C161" s="158" t="s">
        <v>633</v>
      </c>
      <c r="D161" s="159">
        <f t="shared" ref="D161:I161" si="39">SUM(D162:D165)</f>
        <v>16902.421908672532</v>
      </c>
      <c r="E161" s="159">
        <f t="shared" si="39"/>
        <v>16909.476014939493</v>
      </c>
      <c r="F161" s="159">
        <f t="shared" si="39"/>
        <v>16590.101580211955</v>
      </c>
      <c r="G161" s="159">
        <f t="shared" si="39"/>
        <v>16851.51275897738</v>
      </c>
      <c r="H161" s="159">
        <f t="shared" si="39"/>
        <v>16121.340583521056</v>
      </c>
      <c r="I161" s="159">
        <f t="shared" si="39"/>
        <v>16196.883090056723</v>
      </c>
      <c r="J161" s="159">
        <f t="shared" si="34"/>
        <v>99571.735936379133</v>
      </c>
      <c r="K161" s="69"/>
      <c r="L161" s="319"/>
    </row>
    <row r="162" spans="2:13" s="37" customFormat="1" ht="15.75" customHeight="1">
      <c r="B162" s="48"/>
      <c r="C162" s="160" t="s">
        <v>304</v>
      </c>
      <c r="D162" s="156">
        <f>$F$15*(F801ENE!R45+F801ENE!Y45)*$L162</f>
        <v>16902.421908672532</v>
      </c>
      <c r="E162" s="156">
        <f>$F$15*(F801ENE!S45+F801ENE!Z45)*$L162</f>
        <v>16909.476014939493</v>
      </c>
      <c r="F162" s="156">
        <f>$F$15*(F801ENE!T45+F801ENE!AA45)*$L162</f>
        <v>16590.101580211955</v>
      </c>
      <c r="G162" s="156">
        <f>$F$15*(F801ENE!U45+F801ENE!AB45)*$L162</f>
        <v>16851.51275897738</v>
      </c>
      <c r="H162" s="156">
        <f>$F$15*(F801ENE!V45+F801ENE!AC45)*$L162</f>
        <v>16121.340583521056</v>
      </c>
      <c r="I162" s="156">
        <f>$F$15*(F801ENE!W45+F801ENE!AD45)*$L162</f>
        <v>16196.883090056723</v>
      </c>
      <c r="J162" s="156">
        <f t="shared" si="34"/>
        <v>99571.735936379133</v>
      </c>
      <c r="K162" s="69"/>
      <c r="L162" s="319">
        <v>1</v>
      </c>
    </row>
    <row r="163" spans="2:13" s="37" customFormat="1" ht="15.75" customHeight="1">
      <c r="B163" s="48"/>
      <c r="C163" s="161" t="s">
        <v>306</v>
      </c>
      <c r="D163" s="156">
        <f>$F$15*(F801ENE!R46+F801ENE!Y46)*$L163</f>
        <v>0</v>
      </c>
      <c r="E163" s="156">
        <f>$F$15*(F801ENE!S46+F801ENE!Z46)*$L163</f>
        <v>0</v>
      </c>
      <c r="F163" s="156">
        <f>$F$15*(F801ENE!T46+F801ENE!AA46)*$L163</f>
        <v>0</v>
      </c>
      <c r="G163" s="156">
        <f>$F$15*(F801ENE!U46+F801ENE!AB46)*$L163</f>
        <v>0</v>
      </c>
      <c r="H163" s="156">
        <f>$F$15*(F801ENE!V46+F801ENE!AC46)*$L163</f>
        <v>0</v>
      </c>
      <c r="I163" s="156">
        <f>$F$15*(F801ENE!W46+F801ENE!AD46)*$L163</f>
        <v>0</v>
      </c>
      <c r="J163" s="156">
        <f t="shared" si="34"/>
        <v>0</v>
      </c>
      <c r="K163" s="69"/>
      <c r="L163" s="319">
        <v>1</v>
      </c>
    </row>
    <row r="164" spans="2:13" s="37" customFormat="1" ht="15.75" customHeight="1">
      <c r="B164" s="48"/>
      <c r="C164" s="160" t="s">
        <v>305</v>
      </c>
      <c r="D164" s="156">
        <f>$F$15*(F801ENE!R47+F801ENE!Y47)*$L164</f>
        <v>0</v>
      </c>
      <c r="E164" s="156">
        <f>$F$15*(F801ENE!S47+F801ENE!Z47)*$L164</f>
        <v>0</v>
      </c>
      <c r="F164" s="156">
        <f>$F$15*(F801ENE!T47+F801ENE!AA47)*$L164</f>
        <v>0</v>
      </c>
      <c r="G164" s="156">
        <f>$F$15*(F801ENE!U47+F801ENE!AB47)*$L164</f>
        <v>0</v>
      </c>
      <c r="H164" s="156">
        <f>$F$15*(F801ENE!V47+F801ENE!AC47)*$L164</f>
        <v>0</v>
      </c>
      <c r="I164" s="156">
        <f>$F$15*(F801ENE!W47+F801ENE!AD47)*$L164</f>
        <v>0</v>
      </c>
      <c r="J164" s="156">
        <f t="shared" si="34"/>
        <v>0</v>
      </c>
      <c r="K164" s="69"/>
      <c r="L164" s="319">
        <v>0.95</v>
      </c>
    </row>
    <row r="165" spans="2:13" s="37" customFormat="1" ht="15.75" customHeight="1">
      <c r="B165" s="48"/>
      <c r="C165" s="160" t="s">
        <v>307</v>
      </c>
      <c r="D165" s="156">
        <f>$F$15*(F801ENE!R48+F801ENE!Y48)*$L165</f>
        <v>0</v>
      </c>
      <c r="E165" s="156">
        <f>$F$15*(F801ENE!S48+F801ENE!Z48)*$L165</f>
        <v>0</v>
      </c>
      <c r="F165" s="156">
        <f>$F$15*(F801ENE!T48+F801ENE!AA48)*$L165</f>
        <v>0</v>
      </c>
      <c r="G165" s="156">
        <f>$F$15*(F801ENE!U48+F801ENE!AB48)*$L165</f>
        <v>0</v>
      </c>
      <c r="H165" s="156">
        <f>$F$15*(F801ENE!V48+F801ENE!AC48)*$L165</f>
        <v>0</v>
      </c>
      <c r="I165" s="156">
        <f>$F$15*(F801ENE!W48+F801ENE!AD48)*$L165</f>
        <v>0</v>
      </c>
      <c r="J165" s="156">
        <f t="shared" si="34"/>
        <v>0</v>
      </c>
      <c r="K165" s="69"/>
      <c r="L165" s="319">
        <v>0.5</v>
      </c>
    </row>
    <row r="166" spans="2:13" s="37" customFormat="1" ht="15.75">
      <c r="B166" s="48"/>
      <c r="C166" s="157"/>
      <c r="D166" s="156"/>
      <c r="E166" s="156"/>
      <c r="F166" s="156"/>
      <c r="G166" s="156"/>
      <c r="H166" s="156"/>
      <c r="I166" s="156"/>
      <c r="J166" s="156"/>
      <c r="K166" s="69"/>
      <c r="L166" s="319"/>
    </row>
    <row r="167" spans="2:13" s="37" customFormat="1" ht="15.75">
      <c r="B167" s="48" t="s">
        <v>1176</v>
      </c>
      <c r="C167" s="158" t="str">
        <f>F801ENE!$C$50</f>
        <v>BTSH</v>
      </c>
      <c r="D167" s="159">
        <f>SUM(D168:D173)</f>
        <v>2.8538307756839982</v>
      </c>
      <c r="E167" s="159">
        <f t="shared" ref="E167:J167" si="40">SUM(E168:E173)</f>
        <v>2.8538307756839982</v>
      </c>
      <c r="F167" s="159">
        <f t="shared" si="40"/>
        <v>2.8538307756839982</v>
      </c>
      <c r="G167" s="159">
        <f t="shared" si="40"/>
        <v>2.8538307756839982</v>
      </c>
      <c r="H167" s="159">
        <f t="shared" si="40"/>
        <v>2.8538307756839982</v>
      </c>
      <c r="I167" s="159">
        <f t="shared" si="40"/>
        <v>2.8538307756839982</v>
      </c>
      <c r="J167" s="159">
        <f t="shared" si="40"/>
        <v>17.122984654103991</v>
      </c>
      <c r="K167" s="69"/>
      <c r="L167" s="319"/>
    </row>
    <row r="168" spans="2:13" s="37" customFormat="1" ht="15.75">
      <c r="B168" s="48"/>
      <c r="C168" s="160" t="str">
        <f>F801ENE!$C$51</f>
        <v xml:space="preserve">    - Regulares</v>
      </c>
      <c r="D168" s="156">
        <f>($H$16*F801ENE!R51+$I$16*F801ENE!Y51)*$L168</f>
        <v>2.8538307756839982</v>
      </c>
      <c r="E168" s="156">
        <f>($H$16*F801ENE!S51+$I$16*F801ENE!Z51)*$L168</f>
        <v>2.8538307756839982</v>
      </c>
      <c r="F168" s="156">
        <f>($H$16*F801ENE!T51+$I$16*F801ENE!AA51)*$L168</f>
        <v>2.8538307756839982</v>
      </c>
      <c r="G168" s="156">
        <f>($H$16*F801ENE!U51+$I$16*F801ENE!AB51)*$L168</f>
        <v>2.8538307756839982</v>
      </c>
      <c r="H168" s="156">
        <f>($H$16*F801ENE!V51+$I$16*F801ENE!AC51)*$L168</f>
        <v>2.8538307756839982</v>
      </c>
      <c r="I168" s="156">
        <f>($H$16*F801ENE!W51+$I$16*F801ENE!AD51)*$L168</f>
        <v>2.8538307756839982</v>
      </c>
      <c r="J168" s="156">
        <f t="shared" ref="J168:J185" si="41">SUM(D168:I168)</f>
        <v>17.122984654103991</v>
      </c>
      <c r="K168" s="69"/>
      <c r="L168" s="319">
        <v>1</v>
      </c>
    </row>
    <row r="169" spans="2:13" s="37" customFormat="1" ht="15.75">
      <c r="B169" s="48"/>
      <c r="C169" s="162" t="str">
        <f>F801ENE!$C$52</f>
        <v xml:space="preserve">    - Jubilados (0 a 600 KWh)</v>
      </c>
      <c r="D169" s="156">
        <f>($H$16*F801ENE!R52+$I$16*F801ENE!Y52)*$L169</f>
        <v>0</v>
      </c>
      <c r="E169" s="156">
        <f>($H$16*F801ENE!S52+$I$16*F801ENE!Z52)*$L169</f>
        <v>0</v>
      </c>
      <c r="F169" s="156">
        <f>($H$16*F801ENE!T52+$I$16*F801ENE!AA52)*$L169</f>
        <v>0</v>
      </c>
      <c r="G169" s="156">
        <f>($H$16*F801ENE!U52+$I$16*F801ENE!AB52)*$L169</f>
        <v>0</v>
      </c>
      <c r="H169" s="156">
        <f>($H$16*F801ENE!V52+$I$16*F801ENE!AC52)*$L169</f>
        <v>0</v>
      </c>
      <c r="I169" s="156">
        <f>($H$16*F801ENE!W52+$I$16*F801ENE!AD52)*$L169</f>
        <v>0</v>
      </c>
      <c r="J169" s="156">
        <f t="shared" si="41"/>
        <v>0</v>
      </c>
      <c r="K169" s="69"/>
      <c r="L169" s="319">
        <v>0.75</v>
      </c>
    </row>
    <row r="170" spans="2:13" s="37" customFormat="1" ht="15.75">
      <c r="B170" s="48"/>
      <c r="C170" s="162" t="str">
        <f>F801ENE!$C$53</f>
        <v xml:space="preserve">    - Jubilados (601 y Más KWh)</v>
      </c>
      <c r="D170" s="156">
        <f>($H$16*F801ENE!R53+$I$16*F801ENE!Y53)*$L170</f>
        <v>0</v>
      </c>
      <c r="E170" s="156">
        <f>($H$16*F801ENE!S53+$I$16*F801ENE!Z53)*$L170</f>
        <v>0</v>
      </c>
      <c r="F170" s="156">
        <f>($H$16*F801ENE!T53+$I$16*F801ENE!AA53)*$L170</f>
        <v>0</v>
      </c>
      <c r="G170" s="156">
        <f>($H$16*F801ENE!U53+$I$16*F801ENE!AB53)*$L170</f>
        <v>0</v>
      </c>
      <c r="H170" s="156">
        <f>($H$16*F801ENE!V53+$I$16*F801ENE!AC53)*$L170</f>
        <v>0</v>
      </c>
      <c r="I170" s="156">
        <f>($H$16*F801ENE!W53+$I$16*F801ENE!AD53)*$L170</f>
        <v>0</v>
      </c>
      <c r="J170" s="156">
        <f t="shared" si="41"/>
        <v>0</v>
      </c>
      <c r="K170" s="69"/>
      <c r="L170" s="319">
        <v>1</v>
      </c>
    </row>
    <row r="171" spans="2:13" s="37" customFormat="1" ht="15.75">
      <c r="B171" s="48"/>
      <c r="C171" s="160" t="str">
        <f>F801ENE!$C$54</f>
        <v xml:space="preserve">    - Agropecuarios</v>
      </c>
      <c r="D171" s="156">
        <f>($H$16*F801ENE!R54+$I$16*F801ENE!Y54)*$L171</f>
        <v>0</v>
      </c>
      <c r="E171" s="156">
        <f>($H$16*F801ENE!S54+$I$16*F801ENE!Z54)*$L171</f>
        <v>0</v>
      </c>
      <c r="F171" s="156">
        <f>($H$16*F801ENE!T54+$I$16*F801ENE!AA54)*$L171</f>
        <v>0</v>
      </c>
      <c r="G171" s="156">
        <f>($H$16*F801ENE!U54+$I$16*F801ENE!AB54)*$L171</f>
        <v>0</v>
      </c>
      <c r="H171" s="156">
        <f>($H$16*F801ENE!V54+$I$16*F801ENE!AC54)*$L171</f>
        <v>0</v>
      </c>
      <c r="I171" s="156">
        <f>($H$16*F801ENE!W54+$I$16*F801ENE!AD54)*$L171</f>
        <v>0</v>
      </c>
      <c r="J171" s="156">
        <f t="shared" si="41"/>
        <v>0</v>
      </c>
      <c r="K171" s="69"/>
      <c r="L171" s="319">
        <v>0.95</v>
      </c>
    </row>
    <row r="172" spans="2:13" s="37" customFormat="1" ht="15.75">
      <c r="B172" s="48"/>
      <c r="C172" s="160" t="str">
        <f>F801ENE!$C$55</f>
        <v xml:space="preserve">    - Partidos Políticos</v>
      </c>
      <c r="D172" s="156">
        <f>($H$16*F801ENE!R55+$I$16*F801ENE!Y55)*$L172</f>
        <v>0</v>
      </c>
      <c r="E172" s="156">
        <f>($H$16*F801ENE!S55+$I$16*F801ENE!Z55)*$L172</f>
        <v>0</v>
      </c>
      <c r="F172" s="156">
        <f>($H$16*F801ENE!T55+$I$16*F801ENE!AA55)*$L172</f>
        <v>0</v>
      </c>
      <c r="G172" s="156">
        <f>($H$16*F801ENE!U55+$I$16*F801ENE!AB55)*$L172</f>
        <v>0</v>
      </c>
      <c r="H172" s="156">
        <f>($H$16*F801ENE!V55+$I$16*F801ENE!AC55)*$L172</f>
        <v>0</v>
      </c>
      <c r="I172" s="156">
        <f>($H$16*F801ENE!W55+$I$16*F801ENE!AD55)*$L172</f>
        <v>0</v>
      </c>
      <c r="J172" s="156">
        <f t="shared" si="41"/>
        <v>0</v>
      </c>
      <c r="K172" s="69"/>
      <c r="L172" s="319">
        <v>0.5</v>
      </c>
    </row>
    <row r="173" spans="2:13" s="37" customFormat="1" ht="15.75">
      <c r="B173" s="48"/>
      <c r="C173" s="160" t="str">
        <f>F801ENE!$C$56</f>
        <v xml:space="preserve">    - Cruz Roja</v>
      </c>
      <c r="D173" s="156">
        <f>($H$16*F801ENE!R56+$I$16*F801ENE!Y56)*$L173</f>
        <v>0</v>
      </c>
      <c r="E173" s="156">
        <f>($H$16*F801ENE!S56+$I$16*F801ENE!Z56)*$L173</f>
        <v>0</v>
      </c>
      <c r="F173" s="156">
        <f>($H$16*F801ENE!T56+$I$16*F801ENE!AA56)*$L173</f>
        <v>0</v>
      </c>
      <c r="G173" s="156">
        <f>($H$16*F801ENE!U56+$I$16*F801ENE!AB56)*$L173</f>
        <v>0</v>
      </c>
      <c r="H173" s="156">
        <f>($H$16*F801ENE!V56+$I$16*F801ENE!AC56)*$L173</f>
        <v>0</v>
      </c>
      <c r="I173" s="156">
        <f>($H$16*F801ENE!W56+$I$16*F801ENE!AD56)*$L173</f>
        <v>0</v>
      </c>
      <c r="J173" s="156">
        <f t="shared" si="41"/>
        <v>0</v>
      </c>
      <c r="K173" s="69"/>
      <c r="L173" s="319">
        <v>0</v>
      </c>
    </row>
    <row r="174" spans="2:13" s="37" customFormat="1" ht="15.75">
      <c r="B174" s="48" t="s">
        <v>751</v>
      </c>
      <c r="C174" s="158" t="s">
        <v>634</v>
      </c>
      <c r="D174" s="159">
        <f t="shared" ref="D174:I174" si="42">SUM(D175:D179)</f>
        <v>230271.48958399906</v>
      </c>
      <c r="E174" s="159">
        <f t="shared" si="42"/>
        <v>230367.59296060581</v>
      </c>
      <c r="F174" s="159">
        <f t="shared" si="42"/>
        <v>226016.51567063946</v>
      </c>
      <c r="G174" s="159">
        <f t="shared" si="42"/>
        <v>229577.91608216555</v>
      </c>
      <c r="H174" s="159">
        <f t="shared" si="42"/>
        <v>219630.23328437476</v>
      </c>
      <c r="I174" s="159">
        <f t="shared" si="42"/>
        <v>220659.40546872601</v>
      </c>
      <c r="J174" s="159">
        <f t="shared" si="41"/>
        <v>1356523.1530505107</v>
      </c>
      <c r="K174" s="69"/>
      <c r="L174" s="319"/>
      <c r="M174" s="69"/>
    </row>
    <row r="175" spans="2:13" s="37" customFormat="1" ht="15.75">
      <c r="B175" s="48"/>
      <c r="C175" s="160" t="s">
        <v>304</v>
      </c>
      <c r="D175" s="156">
        <f>(($E$18+$F$18)*(F801ENE!R66+F801ENE!Y66)*$L175)</f>
        <v>162732.86401516522</v>
      </c>
      <c r="E175" s="156">
        <f>(($E$18+$F$18)*(F801ENE!S66+F801ENE!Z66)*$L175)</f>
        <v>162800.78062395484</v>
      </c>
      <c r="F175" s="156">
        <f>(($E$18+$F$18)*(F801ENE!T66+F801ENE!AA66)*$L175)</f>
        <v>159725.85834182522</v>
      </c>
      <c r="G175" s="156">
        <f>(($E$18+$F$18)*(F801ENE!U66+F801ENE!AB66)*$L175)</f>
        <v>162242.71307714339</v>
      </c>
      <c r="H175" s="156">
        <f>(($E$18+$F$18)*(F801ENE!V66+F801ENE!AC66)*$L175)</f>
        <v>155212.64915228004</v>
      </c>
      <c r="I175" s="156">
        <f>(($E$18+$F$18)*(F801ENE!W66+F801ENE!AD66)*$L175)</f>
        <v>155939.96891033338</v>
      </c>
      <c r="J175" s="156">
        <f t="shared" si="41"/>
        <v>958654.83412070211</v>
      </c>
      <c r="K175" s="69"/>
      <c r="L175" s="319">
        <v>1</v>
      </c>
      <c r="M175" s="329"/>
    </row>
    <row r="176" spans="2:13" s="37" customFormat="1" ht="15.75">
      <c r="B176" s="48"/>
      <c r="C176" s="162" t="s">
        <v>644</v>
      </c>
      <c r="D176" s="156">
        <f>(($E$18+$F$18)*(F801ENE!R67+F801ENE!Y67)*$L176)</f>
        <v>67524.24436682291</v>
      </c>
      <c r="E176" s="156">
        <f>(($E$18+$F$18)*(F801ENE!S67+F801ENE!Z67)*$L176)</f>
        <v>67552.425132747085</v>
      </c>
      <c r="F176" s="156">
        <f>(($E$18+$F$18)*(F801ENE!T67+F801ENE!AA67)*$L176)</f>
        <v>66276.541860421858</v>
      </c>
      <c r="G176" s="156">
        <f>(($E$18+$F$18)*(F801ENE!U67+F801ENE!AB67)*$L176)</f>
        <v>67320.865118387577</v>
      </c>
      <c r="H176" s="156">
        <f>(($E$18+$F$18)*(F801ENE!V67+F801ENE!AC67)*$L176)</f>
        <v>64403.867502793219</v>
      </c>
      <c r="I176" s="156">
        <f>(($E$18+$F$18)*(F801ENE!W67+F801ENE!AD67)*$L176)</f>
        <v>64705.655654749091</v>
      </c>
      <c r="J176" s="156">
        <f t="shared" si="41"/>
        <v>397783.59963592171</v>
      </c>
      <c r="K176" s="69"/>
      <c r="L176" s="319">
        <v>0.75</v>
      </c>
      <c r="M176" s="329"/>
    </row>
    <row r="177" spans="2:28" s="37" customFormat="1" ht="15.75">
      <c r="B177" s="48"/>
      <c r="C177" s="160" t="s">
        <v>305</v>
      </c>
      <c r="D177" s="156">
        <f>(($E$18+$F$18)*(F801ENE!R68+F801ENE!Y68)*$L177)</f>
        <v>13.878222855870543</v>
      </c>
      <c r="E177" s="156">
        <f>(($E$18+$F$18)*(F801ENE!S68+F801ENE!Z68)*$L177)</f>
        <v>13.884014834046859</v>
      </c>
      <c r="F177" s="156">
        <f>(($E$18+$F$18)*(F801ENE!T68+F801ENE!AA68)*$L177)</f>
        <v>13.621783208096121</v>
      </c>
      <c r="G177" s="156">
        <f>(($E$18+$F$18)*(F801ENE!U68+F801ENE!AB68)*$L177)</f>
        <v>13.836422424625258</v>
      </c>
      <c r="H177" s="156">
        <f>(($E$18+$F$18)*(F801ENE!V68+F801ENE!AC68)*$L177)</f>
        <v>13.236893420504302</v>
      </c>
      <c r="I177" s="156">
        <f>(($E$18+$F$18)*(F801ENE!W68+F801ENE!AD68)*$L177)</f>
        <v>13.298919782552169</v>
      </c>
      <c r="J177" s="156">
        <f t="shared" si="41"/>
        <v>81.75625652569525</v>
      </c>
      <c r="K177" s="69"/>
      <c r="L177" s="319">
        <v>0.95</v>
      </c>
      <c r="M177" s="329"/>
    </row>
    <row r="178" spans="2:28" s="37" customFormat="1" ht="15.75">
      <c r="B178" s="48"/>
      <c r="C178" s="160" t="s">
        <v>307</v>
      </c>
      <c r="D178" s="156">
        <f>(($E$18+$F$18)*(F801ENE!R69+F801ENE!Y69)*$L178)</f>
        <v>0.50297915503924595</v>
      </c>
      <c r="E178" s="156">
        <f>(($E$18+$F$18)*(F801ENE!S69+F801ENE!Z69)*$L178)</f>
        <v>0.50318906983304801</v>
      </c>
      <c r="F178" s="156">
        <f>(($E$18+$F$18)*(F801ENE!T69+F801ENE!AA69)*$L178)</f>
        <v>0.49368518428407987</v>
      </c>
      <c r="G178" s="156">
        <f>(($E$18+$F$18)*(F801ENE!U69+F801ENE!AB69)*$L178)</f>
        <v>0.50146420994819385</v>
      </c>
      <c r="H178" s="156">
        <f>(($E$18+$F$18)*(F801ENE!V69+F801ENE!AC69)*$L178)</f>
        <v>0.47973588096501113</v>
      </c>
      <c r="I178" s="156">
        <f>(($E$18+$F$18)*(F801ENE!W69+F801ENE!AD69)*$L178)</f>
        <v>0.48198386094753448</v>
      </c>
      <c r="J178" s="156">
        <f t="shared" si="41"/>
        <v>2.9630373610171135</v>
      </c>
      <c r="K178" s="69"/>
      <c r="L178" s="319">
        <v>0.5</v>
      </c>
      <c r="M178" s="329"/>
    </row>
    <row r="179" spans="2:28" s="37" customFormat="1" ht="15.75">
      <c r="B179" s="48"/>
      <c r="C179" s="160" t="s">
        <v>624</v>
      </c>
      <c r="D179" s="156">
        <f>(($E$18+$F$18)*(F801ENE!R70+F801ENE!Y70)*$L179)</f>
        <v>0</v>
      </c>
      <c r="E179" s="156">
        <f>(($E$18+$F$18)*(F801ENE!S70+F801ENE!Z70)*$L179)</f>
        <v>0</v>
      </c>
      <c r="F179" s="156">
        <f>(($E$18+$F$18)*(F801ENE!T70+F801ENE!AA70)*$L179)</f>
        <v>0</v>
      </c>
      <c r="G179" s="156">
        <f>(($E$18+$F$18)*(F801ENE!U70+F801ENE!AB70)*$L179)</f>
        <v>0</v>
      </c>
      <c r="H179" s="156">
        <f>(($E$18+$F$18)*(F801ENE!V70+F801ENE!AC70)*$L179)</f>
        <v>0</v>
      </c>
      <c r="I179" s="156">
        <f>(($E$18+$F$18)*(F801ENE!W70+F801ENE!AD70)*$L179)</f>
        <v>0</v>
      </c>
      <c r="J179" s="156">
        <f t="shared" si="41"/>
        <v>0</v>
      </c>
      <c r="K179" s="69"/>
      <c r="L179" s="319">
        <v>0</v>
      </c>
      <c r="M179" s="329"/>
    </row>
    <row r="180" spans="2:28" s="37" customFormat="1" ht="15.75">
      <c r="B180" s="48" t="s">
        <v>750</v>
      </c>
      <c r="C180" s="158" t="s">
        <v>635</v>
      </c>
      <c r="D180" s="159">
        <f t="shared" ref="D180:I180" si="43">SUM(D181:D186)</f>
        <v>155931.78196658514</v>
      </c>
      <c r="E180" s="159">
        <f t="shared" si="43"/>
        <v>155996.85899319898</v>
      </c>
      <c r="F180" s="159">
        <f t="shared" si="43"/>
        <v>153050.4987028974</v>
      </c>
      <c r="G180" s="159">
        <f t="shared" si="43"/>
        <v>155462.12415817982</v>
      </c>
      <c r="H180" s="159">
        <f t="shared" si="43"/>
        <v>148725.98604279512</v>
      </c>
      <c r="I180" s="159">
        <f t="shared" si="43"/>
        <v>149422.89668210928</v>
      </c>
      <c r="J180" s="159">
        <f t="shared" si="41"/>
        <v>918590.14654576569</v>
      </c>
      <c r="K180" s="69"/>
      <c r="L180" s="319"/>
      <c r="M180" s="69"/>
    </row>
    <row r="181" spans="2:28" s="37" customFormat="1" ht="15.75">
      <c r="B181" s="48"/>
      <c r="C181" s="160" t="s">
        <v>304</v>
      </c>
      <c r="D181" s="156">
        <f>(($E$19+$F$19)*(F801ENE!R72+F801ENE!Y72)*$L181)</f>
        <v>112195.65723710302</v>
      </c>
      <c r="E181" s="156">
        <f>(($E$19+$F$19)*(F801ENE!S72+F801ENE!Z72)*$L181)</f>
        <v>112242.48130131811</v>
      </c>
      <c r="F181" s="156">
        <f>(($E$19+$F$19)*(F801ENE!T72+F801ENE!AA72)*$L181)</f>
        <v>110122.52329751279</v>
      </c>
      <c r="G181" s="156">
        <f>(($E$19+$F$19)*(F801ENE!U72+F801ENE!AB72)*$L181)</f>
        <v>111857.73019089083</v>
      </c>
      <c r="H181" s="156">
        <f>(($E$19+$F$19)*(F801ENE!V72+F801ENE!AC72)*$L181)</f>
        <v>107010.96044604536</v>
      </c>
      <c r="I181" s="156">
        <f>(($E$19+$F$19)*(F801ENE!W72+F801ENE!AD72)*$L181)</f>
        <v>107512.39989749811</v>
      </c>
      <c r="J181" s="330">
        <f t="shared" si="41"/>
        <v>660941.75237036822</v>
      </c>
      <c r="K181" s="69"/>
      <c r="L181" s="319">
        <v>1</v>
      </c>
      <c r="M181" s="329"/>
      <c r="W181" s="60"/>
      <c r="X181" s="60"/>
      <c r="Y181" s="60"/>
      <c r="Z181" s="60"/>
      <c r="AA181" s="60"/>
      <c r="AB181" s="60"/>
    </row>
    <row r="182" spans="2:28" s="37" customFormat="1" ht="15.75">
      <c r="B182" s="48"/>
      <c r="C182" s="162" t="s">
        <v>642</v>
      </c>
      <c r="D182" s="156">
        <f>(($E$19+$F$19)*(F801ENE!R73+F801ENE!Y73)*$L182)</f>
        <v>35307.983203668759</v>
      </c>
      <c r="E182" s="156">
        <f>(($E$19+$F$19)*(F801ENE!S73+F801ENE!Z73)*$L182)</f>
        <v>35322.718740796903</v>
      </c>
      <c r="F182" s="156">
        <f>(($E$19+$F$19)*(F801ENE!T73+F801ENE!AA73)*$L182)</f>
        <v>34655.567770482092</v>
      </c>
      <c r="G182" s="156">
        <f>(($E$19+$F$19)*(F801ENE!U73+F801ENE!AB73)*$L182)</f>
        <v>35201.637532494424</v>
      </c>
      <c r="H182" s="156">
        <f>(($E$19+$F$19)*(F801ENE!V73+F801ENE!AC73)*$L182)</f>
        <v>33676.358667365042</v>
      </c>
      <c r="I182" s="156">
        <f>(($E$19+$F$19)*(F801ENE!W73+F801ENE!AD73)*$L182)</f>
        <v>33834.161706854662</v>
      </c>
      <c r="J182" s="330">
        <f t="shared" si="41"/>
        <v>207998.42762166186</v>
      </c>
      <c r="K182" s="69"/>
      <c r="L182" s="319">
        <v>0.75</v>
      </c>
      <c r="M182" s="329"/>
      <c r="W182" s="60"/>
      <c r="X182" s="60"/>
      <c r="Y182" s="60"/>
      <c r="Z182" s="60"/>
      <c r="AA182" s="60"/>
      <c r="AB182" s="60"/>
    </row>
    <row r="183" spans="2:28" s="37" customFormat="1" ht="15.75">
      <c r="B183" s="48"/>
      <c r="C183" s="162" t="s">
        <v>1177</v>
      </c>
      <c r="D183" s="156">
        <f>(($E$19+$F$19)*(F801ENE!R74+F801ENE!Y74)*$L183)</f>
        <v>8402.2716514098229</v>
      </c>
      <c r="E183" s="156">
        <f>(($E$19+$F$19)*(F801ENE!S74+F801ENE!Z74)*$L183)</f>
        <v>8405.7782800712775</v>
      </c>
      <c r="F183" s="156">
        <f>(($E$19+$F$19)*(F801ENE!T74+F801ENE!AA74)*$L183)</f>
        <v>8247.0157800227244</v>
      </c>
      <c r="G183" s="156">
        <f>(($E$19+$F$19)*(F801ENE!U74+F801ENE!AB74)*$L183)</f>
        <v>8376.9644790062339</v>
      </c>
      <c r="H183" s="156">
        <f>(($E$19+$F$19)*(F801ENE!V74+F801ENE!AC74)*$L183)</f>
        <v>8013.9925331138502</v>
      </c>
      <c r="I183" s="156">
        <f>(($E$19+$F$19)*(F801ENE!W74+F801ENE!AD74)*$L183)</f>
        <v>8051.5450604718044</v>
      </c>
      <c r="J183" s="330">
        <f t="shared" si="41"/>
        <v>49497.567784095721</v>
      </c>
      <c r="K183" s="69"/>
      <c r="L183" s="319">
        <v>1</v>
      </c>
      <c r="M183" s="329"/>
      <c r="W183" s="60"/>
      <c r="X183" s="60"/>
      <c r="Y183" s="60"/>
      <c r="Z183" s="60"/>
      <c r="AA183" s="60"/>
      <c r="AB183" s="60"/>
    </row>
    <row r="184" spans="2:28" s="37" customFormat="1" ht="15.75">
      <c r="B184" s="48"/>
      <c r="C184" s="160" t="s">
        <v>305</v>
      </c>
      <c r="D184" s="156">
        <f>(($E$19+$F$19)*(F801ENE!R75+F801ENE!Y75)*$L184)</f>
        <v>24.665636123587539</v>
      </c>
      <c r="E184" s="156">
        <f>(($E$19+$F$19)*(F801ENE!S75+F801ENE!Z75)*$L184)</f>
        <v>24.675930152413592</v>
      </c>
      <c r="F184" s="156">
        <f>(($E$19+$F$19)*(F801ENE!T75+F801ENE!AA75)*$L184)</f>
        <v>24.209868327857901</v>
      </c>
      <c r="G184" s="156">
        <f>(($E$19+$F$19)*(F801ENE!U75+F801ENE!AB75)*$L184)</f>
        <v>24.591344606754813</v>
      </c>
      <c r="H184" s="156">
        <f>(($E$19+$F$19)*(F801ENE!V75+F801ENE!AC75)*$L184)</f>
        <v>23.525807295907477</v>
      </c>
      <c r="I184" s="156">
        <f>(($E$19+$F$19)*(F801ENE!W75+F801ENE!AD75)*$L184)</f>
        <v>23.636046171030845</v>
      </c>
      <c r="J184" s="156">
        <f t="shared" si="41"/>
        <v>145.30463267755218</v>
      </c>
      <c r="K184" s="69"/>
      <c r="L184" s="319">
        <v>0.95</v>
      </c>
      <c r="M184" s="329"/>
      <c r="W184" s="60"/>
      <c r="X184" s="60"/>
      <c r="Y184" s="60"/>
      <c r="Z184" s="60"/>
      <c r="AA184" s="60"/>
      <c r="AB184" s="60"/>
    </row>
    <row r="185" spans="2:28" s="37" customFormat="1" ht="15.75">
      <c r="B185" s="48"/>
      <c r="C185" s="160" t="s">
        <v>307</v>
      </c>
      <c r="D185" s="156">
        <f>(($E$19+$F$19)*(F801ENE!R76+F801ENE!Y76)*$L185)</f>
        <v>1.2042382799619031</v>
      </c>
      <c r="E185" s="156">
        <f>(($E$19+$F$19)*(F801ENE!S76+F801ENE!Z76)*$L185)</f>
        <v>1.2047408602929051</v>
      </c>
      <c r="F185" s="156">
        <f>(($E$19+$F$19)*(F801ENE!T76+F801ENE!AA76)*$L185)</f>
        <v>1.1819865519447765</v>
      </c>
      <c r="G185" s="156">
        <f>(($E$19+$F$19)*(F801ENE!U76+F801ENE!AB76)*$L185)</f>
        <v>1.200611181597274</v>
      </c>
      <c r="H185" s="156">
        <f>(($E$19+$F$19)*(F801ENE!V76+F801ENE!AC76)*$L185)</f>
        <v>1.1485889749928822</v>
      </c>
      <c r="I185" s="156">
        <f>(($E$19+$F$19)*(F801ENE!W76+F801ENE!AD76)*$L185)</f>
        <v>1.1539711136370401</v>
      </c>
      <c r="J185" s="156">
        <f t="shared" si="41"/>
        <v>7.0941369624267807</v>
      </c>
      <c r="K185" s="69"/>
      <c r="L185" s="319">
        <v>0.5</v>
      </c>
      <c r="M185" s="329"/>
      <c r="W185" s="60"/>
      <c r="X185" s="60"/>
      <c r="Y185" s="60"/>
      <c r="Z185" s="60"/>
      <c r="AA185" s="60"/>
      <c r="AB185" s="60"/>
    </row>
    <row r="186" spans="2:28" s="37" customFormat="1" ht="15.75">
      <c r="B186" s="48"/>
      <c r="C186" s="160" t="s">
        <v>624</v>
      </c>
      <c r="D186" s="156">
        <f>(($E$19+$F$19)*(F801ENE!R77+F801ENE!Y77)*$L186)</f>
        <v>0</v>
      </c>
      <c r="E186" s="156">
        <f>(($E$19+$F$19)*(F801ENE!S77+F801ENE!Z77)*$L186)</f>
        <v>0</v>
      </c>
      <c r="F186" s="156">
        <f>(($E$19+$F$19)*(F801ENE!T77+F801ENE!AA77)*$L186)</f>
        <v>0</v>
      </c>
      <c r="G186" s="156">
        <f>(($E$19+$F$19)*(F801ENE!U77+F801ENE!AB77)*$L186)</f>
        <v>0</v>
      </c>
      <c r="H186" s="156">
        <f>(($E$19+$F$19)*(F801ENE!V77+F801ENE!AC77)*$L186)</f>
        <v>0</v>
      </c>
      <c r="I186" s="156">
        <f>(($E$19+$F$19)*(F801ENE!W77+F801ENE!AD77)*$L186)</f>
        <v>0</v>
      </c>
      <c r="J186" s="156"/>
      <c r="K186" s="69"/>
      <c r="L186" s="319">
        <v>0</v>
      </c>
      <c r="M186" s="329"/>
    </row>
    <row r="187" spans="2:28" s="37" customFormat="1" ht="15.75">
      <c r="B187" s="48" t="s">
        <v>749</v>
      </c>
      <c r="C187" s="158" t="s">
        <v>636</v>
      </c>
      <c r="D187" s="159">
        <f t="shared" ref="D187:I187" si="44">SUM(D188:D193)</f>
        <v>177370.28689068535</v>
      </c>
      <c r="E187" s="159">
        <f t="shared" si="44"/>
        <v>177444.31112573811</v>
      </c>
      <c r="F187" s="159">
        <f t="shared" si="44"/>
        <v>174092.86626066174</v>
      </c>
      <c r="G187" s="159">
        <f t="shared" si="44"/>
        <v>176836.05750417605</v>
      </c>
      <c r="H187" s="159">
        <f t="shared" si="44"/>
        <v>169173.79176852829</v>
      </c>
      <c r="I187" s="159">
        <f t="shared" si="44"/>
        <v>169966.51816768409</v>
      </c>
      <c r="J187" s="159">
        <f t="shared" ref="J187:J193" si="45">SUM(D187:I187)</f>
        <v>1044883.8317174736</v>
      </c>
      <c r="K187" s="69"/>
      <c r="L187" s="319"/>
      <c r="M187" s="69"/>
    </row>
    <row r="188" spans="2:28" s="37" customFormat="1" ht="15.75">
      <c r="B188" s="48"/>
      <c r="C188" s="160" t="s">
        <v>304</v>
      </c>
      <c r="D188" s="156">
        <f>(($E$20+$F$20)*(F801ENE!R79+F801ENE!Y79)*$L188)</f>
        <v>161492.30310582762</v>
      </c>
      <c r="E188" s="156">
        <f>(($E$20+$F$20)*(F801ENE!S79+F801ENE!Z79)*$L188)</f>
        <v>161559.70077662062</v>
      </c>
      <c r="F188" s="156">
        <f>(($E$20+$F$20)*(F801ENE!T79+F801ENE!AA79)*$L188)</f>
        <v>158508.27339562445</v>
      </c>
      <c r="G188" s="156">
        <f>(($E$20+$F$20)*(F801ENE!U79+F801ENE!AB79)*$L188)</f>
        <v>161005.89731866572</v>
      </c>
      <c r="H188" s="156">
        <f>(($E$20+$F$20)*(F801ENE!V79+F801ENE!AC79)*$L188)</f>
        <v>154029.54878616746</v>
      </c>
      <c r="I188" s="156">
        <f>(($E$20+$F$20)*(F801ENE!W79+F801ENE!AD79)*$L188)</f>
        <v>154751.31123114427</v>
      </c>
      <c r="J188" s="330">
        <f t="shared" si="45"/>
        <v>951347.03461405006</v>
      </c>
      <c r="K188" s="69"/>
      <c r="L188" s="319">
        <v>1</v>
      </c>
      <c r="M188" s="329"/>
      <c r="W188" s="60"/>
      <c r="X188" s="60"/>
      <c r="Y188" s="60"/>
      <c r="Z188" s="60"/>
      <c r="AA188" s="60"/>
      <c r="AB188" s="60"/>
    </row>
    <row r="189" spans="2:28" s="37" customFormat="1" ht="15.75">
      <c r="B189" s="48"/>
      <c r="C189" s="162" t="s">
        <v>642</v>
      </c>
      <c r="D189" s="156">
        <f>(($E$20+$F$20)*(F801ENE!R80+F801ENE!Y80)*$L189)</f>
        <v>0</v>
      </c>
      <c r="E189" s="156">
        <f>(($E$20+$F$20)*(F801ENE!S80+F801ENE!Z80)*$L189)</f>
        <v>0</v>
      </c>
      <c r="F189" s="156">
        <f>(($E$20+$F$20)*(F801ENE!T80+F801ENE!AA80)*$L189)</f>
        <v>0</v>
      </c>
      <c r="G189" s="156">
        <f>(($E$20+$F$20)*(F801ENE!U80+F801ENE!AB80)*$L189)</f>
        <v>0</v>
      </c>
      <c r="H189" s="156">
        <f>(($E$20+$F$20)*(F801ENE!V80+F801ENE!AC80)*$L189)</f>
        <v>0</v>
      </c>
      <c r="I189" s="156">
        <f>(($E$20+$F$20)*(F801ENE!W80+F801ENE!AD80)*$L189)</f>
        <v>0</v>
      </c>
      <c r="J189" s="330">
        <f t="shared" si="45"/>
        <v>0</v>
      </c>
      <c r="K189" s="69"/>
      <c r="L189" s="319">
        <v>0.75</v>
      </c>
      <c r="M189" s="329"/>
      <c r="W189" s="60"/>
      <c r="X189" s="60"/>
      <c r="Y189" s="60"/>
      <c r="Z189" s="60"/>
      <c r="AA189" s="60"/>
      <c r="AB189" s="60"/>
    </row>
    <row r="190" spans="2:28" s="37" customFormat="1" ht="15.75">
      <c r="B190" s="48"/>
      <c r="C190" s="162" t="s">
        <v>1177</v>
      </c>
      <c r="D190" s="156">
        <f>(($E$20+$F$20)*(F801ENE!R81+F801ENE!Y81)*$L190)</f>
        <v>15765.583924204335</v>
      </c>
      <c r="E190" s="156">
        <f>(($E$20+$F$20)*(F801ENE!S81+F801ENE!Z81)*$L190)</f>
        <v>15772.163579177035</v>
      </c>
      <c r="F190" s="156">
        <f>(($E$20+$F$20)*(F801ENE!T81+F801ENE!AA81)*$L190)</f>
        <v>15474.269911562516</v>
      </c>
      <c r="G190" s="156">
        <f>(($E$20+$F$20)*(F801ENE!U81+F801ENE!AB81)*$L190)</f>
        <v>15718.09886695245</v>
      </c>
      <c r="H190" s="156">
        <f>(($E$20+$F$20)*(F801ENE!V81+F801ENE!AC81)*$L190)</f>
        <v>15037.037254984934</v>
      </c>
      <c r="I190" s="156">
        <f>(($E$20+$F$20)*(F801ENE!W81+F801ENE!AD81)*$L190)</f>
        <v>15107.498857059951</v>
      </c>
      <c r="J190" s="330">
        <f t="shared" si="45"/>
        <v>92874.652393941215</v>
      </c>
      <c r="K190" s="69"/>
      <c r="L190" s="319">
        <v>1</v>
      </c>
      <c r="M190" s="329"/>
      <c r="W190" s="60"/>
      <c r="X190" s="60"/>
      <c r="Y190" s="60"/>
      <c r="Z190" s="60"/>
      <c r="AA190" s="60"/>
      <c r="AB190" s="60"/>
    </row>
    <row r="191" spans="2:28" s="37" customFormat="1" ht="15.75">
      <c r="B191" s="48"/>
      <c r="C191" s="160" t="s">
        <v>305</v>
      </c>
      <c r="D191" s="156">
        <f>(($E$20+$F$20)*(F801ENE!R82+F801ENE!Y82)*$L191)</f>
        <v>111.9323889872706</v>
      </c>
      <c r="E191" s="156">
        <f>(($E$20+$F$20)*(F801ENE!S82+F801ENE!Z82)*$L191)</f>
        <v>111.97910317834318</v>
      </c>
      <c r="F191" s="156">
        <f>(($E$20+$F$20)*(F801ENE!T82+F801ENE!AA82)*$L191)</f>
        <v>109.86411967753666</v>
      </c>
      <c r="G191" s="156">
        <f>(($E$20+$F$20)*(F801ENE!U82+F801ENE!AB82)*$L191)</f>
        <v>111.59525489030634</v>
      </c>
      <c r="H191" s="156">
        <f>(($E$20+$F$20)*(F801ENE!V82+F801ENE!AC82)*$L191)</f>
        <v>106.75985813991971</v>
      </c>
      <c r="I191" s="156">
        <f>(($E$20+$F$20)*(F801ENE!W82+F801ENE!AD82)*$L191)</f>
        <v>107.26012095860405</v>
      </c>
      <c r="J191" s="156">
        <f t="shared" si="45"/>
        <v>659.39084583198053</v>
      </c>
      <c r="K191" s="69"/>
      <c r="L191" s="319">
        <v>0.95</v>
      </c>
      <c r="M191" s="329"/>
      <c r="W191" s="60"/>
      <c r="X191" s="60"/>
      <c r="Y191" s="60"/>
      <c r="Z191" s="60"/>
      <c r="AA191" s="60"/>
      <c r="AB191" s="60"/>
    </row>
    <row r="192" spans="2:28" s="37" customFormat="1" ht="15.75">
      <c r="B192" s="48"/>
      <c r="C192" s="160" t="s">
        <v>307</v>
      </c>
      <c r="D192" s="156">
        <f>(($E$20+$F$20)*(F801ENE!R83+F801ENE!Y83)*$L192)</f>
        <v>0.46747166611708724</v>
      </c>
      <c r="E192" s="156">
        <f>(($E$20+$F$20)*(F801ENE!S83+F801ENE!Z83)*$L192)</f>
        <v>0.4676667621114603</v>
      </c>
      <c r="F192" s="156">
        <f>(($E$20+$F$20)*(F801ENE!T83+F801ENE!AA83)*$L192)</f>
        <v>0.45883379723080703</v>
      </c>
      <c r="G192" s="156">
        <f>(($E$20+$F$20)*(F801ENE!U83+F801ENE!AB83)*$L192)</f>
        <v>0.46606366759727824</v>
      </c>
      <c r="H192" s="156">
        <f>(($E$20+$F$20)*(F801ENE!V83+F801ENE!AC83)*$L192)</f>
        <v>0.44586923597929995</v>
      </c>
      <c r="I192" s="156">
        <f>(($E$20+$F$20)*(F801ENE!W83+F801ENE!AD83)*$L192)</f>
        <v>0.44795852126537911</v>
      </c>
      <c r="J192" s="156">
        <f t="shared" si="45"/>
        <v>2.7538636503013119</v>
      </c>
      <c r="K192" s="69"/>
      <c r="L192" s="319">
        <v>0.5</v>
      </c>
      <c r="M192" s="329"/>
      <c r="W192" s="60"/>
      <c r="X192" s="60"/>
      <c r="Y192" s="60"/>
      <c r="Z192" s="60"/>
      <c r="AA192" s="60"/>
      <c r="AB192" s="60"/>
    </row>
    <row r="193" spans="2:13" s="37" customFormat="1" ht="15.75">
      <c r="B193" s="48"/>
      <c r="C193" s="160" t="s">
        <v>624</v>
      </c>
      <c r="D193" s="156">
        <f>(($E$20+$F$20)*(F801ENE!R84+F801ENE!Y84)*$L193)</f>
        <v>0</v>
      </c>
      <c r="E193" s="156">
        <f>(($E$20+$F$20)*(F801ENE!S84+F801ENE!Z84)*$L193)</f>
        <v>0</v>
      </c>
      <c r="F193" s="156">
        <f>(($E$20+$F$20)*(F801ENE!T84+F801ENE!AA84)*$L193)</f>
        <v>0</v>
      </c>
      <c r="G193" s="156">
        <f>(($E$20+$F$20)*(F801ENE!U84+F801ENE!AB84)*$L193)</f>
        <v>0</v>
      </c>
      <c r="H193" s="156">
        <f>(($E$20+$F$20)*(F801ENE!V84+F801ENE!AC84)*$L193)</f>
        <v>0</v>
      </c>
      <c r="I193" s="156">
        <f>(($E$20+$F$20)*(F801ENE!W84+F801ENE!AD84)*$L193)</f>
        <v>0</v>
      </c>
      <c r="J193" s="156">
        <f t="shared" si="45"/>
        <v>0</v>
      </c>
      <c r="K193" s="69"/>
      <c r="L193" s="319">
        <v>0</v>
      </c>
      <c r="M193" s="329"/>
    </row>
    <row r="194" spans="2:13" s="37" customFormat="1" ht="15.75">
      <c r="B194" s="48"/>
      <c r="C194" s="157"/>
      <c r="D194" s="156"/>
      <c r="E194" s="156"/>
      <c r="F194" s="156"/>
      <c r="G194" s="156"/>
      <c r="H194" s="156"/>
      <c r="I194" s="156"/>
      <c r="J194" s="156"/>
      <c r="K194" s="69"/>
      <c r="L194" s="319"/>
      <c r="M194" s="69"/>
    </row>
    <row r="195" spans="2:13" s="37" customFormat="1" ht="15.75">
      <c r="B195" s="48" t="s">
        <v>902</v>
      </c>
      <c r="C195" s="158" t="s">
        <v>898</v>
      </c>
      <c r="D195" s="159">
        <f t="shared" ref="D195:H195" si="46">SUM(D196:D200)</f>
        <v>43625.437701397103</v>
      </c>
      <c r="E195" s="159">
        <f t="shared" si="46"/>
        <v>43643.644469347346</v>
      </c>
      <c r="F195" s="159">
        <f t="shared" si="46"/>
        <v>42819.333635023868</v>
      </c>
      <c r="G195" s="159">
        <f t="shared" si="46"/>
        <v>43494.040322343542</v>
      </c>
      <c r="H195" s="159">
        <f t="shared" si="46"/>
        <v>41609.453549881102</v>
      </c>
      <c r="I195" s="159">
        <f t="shared" ref="I195" si="47">SUM(I196:I200)</f>
        <v>41804.430040852989</v>
      </c>
      <c r="J195" s="159">
        <f t="shared" ref="J195:J214" si="48">SUM(D195:I195)</f>
        <v>256996.33971884596</v>
      </c>
      <c r="K195" s="69"/>
      <c r="L195" s="319"/>
      <c r="M195" s="69"/>
    </row>
    <row r="196" spans="2:13" s="37" customFormat="1" ht="15.75">
      <c r="B196" s="48"/>
      <c r="C196" s="160" t="s">
        <v>304</v>
      </c>
      <c r="D196" s="156">
        <f>(($E$17+$F$17)*(F801ENE!R87+F801ENE!Y87)*$L196)</f>
        <v>41959.462199083297</v>
      </c>
      <c r="E196" s="156">
        <f>(($E$17+$F$17)*(F801ENE!S87+F801ENE!Z87)*$L196)</f>
        <v>41976.973683937722</v>
      </c>
      <c r="F196" s="156">
        <f>(($E$17+$F$17)*(F801ENE!T87+F801ENE!AA87)*$L196)</f>
        <v>41184.141769451664</v>
      </c>
      <c r="G196" s="156">
        <f>(($E$17+$F$17)*(F801ENE!U87+F801ENE!AB87)*$L196)</f>
        <v>41833.082645090188</v>
      </c>
      <c r="H196" s="156">
        <f>(($E$17+$F$17)*(F801ENE!V87+F801ENE!AC87)*$L196)</f>
        <v>40020.464787103687</v>
      </c>
      <c r="I196" s="156">
        <f>(($E$17+$F$17)*(F801ENE!W87+F801ENE!AD87)*$L196)</f>
        <v>40207.995483268664</v>
      </c>
      <c r="J196" s="156">
        <f t="shared" si="48"/>
        <v>247182.1205679352</v>
      </c>
      <c r="K196" s="69"/>
      <c r="L196" s="319">
        <v>1</v>
      </c>
      <c r="M196" s="329"/>
    </row>
    <row r="197" spans="2:13" s="37" customFormat="1" ht="15.75">
      <c r="B197" s="48"/>
      <c r="C197" s="162" t="s">
        <v>644</v>
      </c>
      <c r="D197" s="156">
        <f>(($E$17+$F$17)*(F801ENE!R88+F801ENE!Y88)*$L197)</f>
        <v>1665.9755023138093</v>
      </c>
      <c r="E197" s="156">
        <f>(($E$17+$F$17)*(F801ENE!S88+F801ENE!Z88)*$L197)</f>
        <v>1666.6707854096269</v>
      </c>
      <c r="F197" s="156">
        <f>(($E$17+$F$17)*(F801ENE!T88+F801ENE!AA88)*$L197)</f>
        <v>1635.1918655722038</v>
      </c>
      <c r="G197" s="156">
        <f>(($E$17+$F$17)*(F801ENE!U88+F801ENE!AB88)*$L197)</f>
        <v>1660.9576772533524</v>
      </c>
      <c r="H197" s="156">
        <f>(($E$17+$F$17)*(F801ENE!V88+F801ENE!AC88)*$L197)</f>
        <v>1588.9887627774178</v>
      </c>
      <c r="I197" s="156">
        <f>(($E$17+$F$17)*(F801ENE!W88+F801ENE!AD88)*$L197)</f>
        <v>1596.4345575843286</v>
      </c>
      <c r="J197" s="156">
        <f t="shared" si="48"/>
        <v>9814.2191509107397</v>
      </c>
      <c r="K197" s="69"/>
      <c r="L197" s="319">
        <v>0.75</v>
      </c>
      <c r="M197" s="329"/>
    </row>
    <row r="198" spans="2:13" s="37" customFormat="1" ht="15.75">
      <c r="B198" s="48"/>
      <c r="C198" s="160" t="s">
        <v>305</v>
      </c>
      <c r="D198" s="156">
        <f>(($E$17+$F$17)*(F801ENE!R89+F801ENE!Y89)*$L198)</f>
        <v>0</v>
      </c>
      <c r="E198" s="156">
        <f>(($E$17+$F$17)*(F801ENE!S89+F801ENE!Z89)*$L198)</f>
        <v>0</v>
      </c>
      <c r="F198" s="156">
        <f>(($E$17+$F$17)*(F801ENE!T89+F801ENE!AA89)*$L198)</f>
        <v>0</v>
      </c>
      <c r="G198" s="156">
        <f>(($E$17+$F$17)*(F801ENE!U89+F801ENE!AB89)*$L198)</f>
        <v>0</v>
      </c>
      <c r="H198" s="156">
        <f>(($E$17+$F$17)*(F801ENE!V89+F801ENE!AC89)*$L198)</f>
        <v>0</v>
      </c>
      <c r="I198" s="156">
        <f>(($E$17+$F$17)*(F801ENE!W89+F801ENE!AD89)*$L198)</f>
        <v>0</v>
      </c>
      <c r="J198" s="156">
        <f t="shared" si="48"/>
        <v>0</v>
      </c>
      <c r="K198" s="69"/>
      <c r="L198" s="319">
        <v>0.95</v>
      </c>
      <c r="M198" s="329"/>
    </row>
    <row r="199" spans="2:13" s="37" customFormat="1" ht="15.75">
      <c r="B199" s="48"/>
      <c r="C199" s="160" t="s">
        <v>307</v>
      </c>
      <c r="D199" s="156">
        <f>(($E$17+$F$17)*(F801ENE!R90+F801ENE!Y90)*$L199)</f>
        <v>0</v>
      </c>
      <c r="E199" s="156">
        <f>(($E$17+$F$17)*(F801ENE!S90+F801ENE!Z90)*$L199)</f>
        <v>0</v>
      </c>
      <c r="F199" s="156">
        <f>(($E$17+$F$17)*(F801ENE!T90+F801ENE!AA90)*$L199)</f>
        <v>0</v>
      </c>
      <c r="G199" s="156">
        <f>(($E$17+$F$17)*(F801ENE!U90+F801ENE!AB90)*$L199)</f>
        <v>0</v>
      </c>
      <c r="H199" s="156">
        <f>(($E$17+$F$17)*(F801ENE!V90+F801ENE!AC90)*$L199)</f>
        <v>0</v>
      </c>
      <c r="I199" s="156">
        <f>(($E$17+$F$17)*(F801ENE!W90+F801ENE!AD90)*$L199)</f>
        <v>0</v>
      </c>
      <c r="J199" s="156">
        <f t="shared" si="48"/>
        <v>0</v>
      </c>
      <c r="K199" s="69"/>
      <c r="L199" s="319">
        <v>0.5</v>
      </c>
      <c r="M199" s="329"/>
    </row>
    <row r="200" spans="2:13" s="37" customFormat="1" ht="15.75">
      <c r="B200" s="48"/>
      <c r="C200" s="160" t="s">
        <v>624</v>
      </c>
      <c r="D200" s="156">
        <f>(($E$17+$F$17)*(F801ENE!R91+F801ENE!Y91)*$L200)</f>
        <v>0</v>
      </c>
      <c r="E200" s="156">
        <f>(($E$17+$F$17)*(F801ENE!S91+F801ENE!Z91)*$L200)</f>
        <v>0</v>
      </c>
      <c r="F200" s="156">
        <f>(($E$17+$F$17)*(F801ENE!T91+F801ENE!AA91)*$L200)</f>
        <v>0</v>
      </c>
      <c r="G200" s="156">
        <f>(($E$17+$F$17)*(F801ENE!U91+F801ENE!AB91)*$L200)</f>
        <v>0</v>
      </c>
      <c r="H200" s="156">
        <f>(($E$17+$F$17)*(F801ENE!V91+F801ENE!AC91)*$L200)</f>
        <v>0</v>
      </c>
      <c r="I200" s="156">
        <f>(($E$17+$F$17)*(F801ENE!W91+F801ENE!AD91)*$L200)</f>
        <v>0</v>
      </c>
      <c r="J200" s="156">
        <f t="shared" si="48"/>
        <v>0</v>
      </c>
      <c r="K200" s="69"/>
      <c r="L200" s="319">
        <v>0</v>
      </c>
      <c r="M200" s="329"/>
    </row>
    <row r="201" spans="2:13" s="37" customFormat="1" ht="15.75">
      <c r="B201" s="48" t="s">
        <v>902</v>
      </c>
      <c r="C201" s="158" t="s">
        <v>899</v>
      </c>
      <c r="D201" s="159">
        <f t="shared" ref="D201:I201" si="49">SUM(D202:D207)</f>
        <v>3452.924186777148</v>
      </c>
      <c r="E201" s="159">
        <f t="shared" si="49"/>
        <v>3454.3652402709545</v>
      </c>
      <c r="F201" s="159">
        <f t="shared" si="49"/>
        <v>3389.1215896114486</v>
      </c>
      <c r="G201" s="159">
        <f t="shared" si="49"/>
        <v>3442.5241721957782</v>
      </c>
      <c r="H201" s="159">
        <f t="shared" si="49"/>
        <v>3293.3603908887212</v>
      </c>
      <c r="I201" s="159">
        <f t="shared" si="49"/>
        <v>3308.7926496121268</v>
      </c>
      <c r="J201" s="159">
        <f t="shared" si="48"/>
        <v>20341.088229356174</v>
      </c>
      <c r="K201" s="69"/>
      <c r="L201" s="319"/>
      <c r="M201" s="69"/>
    </row>
    <row r="202" spans="2:13" s="37" customFormat="1" ht="15.75">
      <c r="B202" s="48"/>
      <c r="C202" s="160" t="s">
        <v>304</v>
      </c>
      <c r="D202" s="156">
        <f>(($E$17+$F$17)*(F801ENE!R93+F801ENE!Y93)*$L202)</f>
        <v>3136.5366653586234</v>
      </c>
      <c r="E202" s="156">
        <f>(($E$17+$F$17)*(F801ENE!S93+F801ENE!Z93)*$L202)</f>
        <v>3137.8456767575349</v>
      </c>
      <c r="F202" s="156">
        <f>(($E$17+$F$17)*(F801ENE!T93+F801ENE!AA93)*$L202)</f>
        <v>3078.5802277045123</v>
      </c>
      <c r="G202" s="156">
        <f>(($E$17+$F$17)*(F801ENE!U93+F801ENE!AB93)*$L202)</f>
        <v>3127.0895923010548</v>
      </c>
      <c r="H202" s="156">
        <f>(($E$17+$F$17)*(F801ENE!V93+F801ENE!AC93)*$L202)</f>
        <v>2991.5935188556068</v>
      </c>
      <c r="I202" s="156">
        <f>(($E$17+$F$17)*(F801ENE!W93+F801ENE!AD93)*$L202)</f>
        <v>3005.6117372400772</v>
      </c>
      <c r="J202" s="156">
        <f t="shared" si="48"/>
        <v>18477.257418217407</v>
      </c>
      <c r="K202" s="69"/>
      <c r="L202" s="319">
        <v>1</v>
      </c>
      <c r="M202" s="329"/>
    </row>
    <row r="203" spans="2:13" s="37" customFormat="1" ht="15.75">
      <c r="B203" s="48"/>
      <c r="C203" s="162" t="s">
        <v>642</v>
      </c>
      <c r="D203" s="156">
        <f>(($E$17+$F$17)*(F801ENE!R94+F801ENE!Y94)*$L203)</f>
        <v>286.90227564923043</v>
      </c>
      <c r="E203" s="156">
        <f>(($E$17+$F$17)*(F801ENE!S94+F801ENE!Z94)*$L203)</f>
        <v>287.0220122852935</v>
      </c>
      <c r="F203" s="156">
        <f>(($E$17+$F$17)*(F801ENE!T94+F801ENE!AA94)*$L203)</f>
        <v>281.60093993231283</v>
      </c>
      <c r="G203" s="156">
        <f>(($E$17+$F$17)*(F801ENE!U94+F801ENE!AB94)*$L203)</f>
        <v>286.03814203702814</v>
      </c>
      <c r="H203" s="156">
        <f>(($E$17+$F$17)*(F801ENE!V94+F801ENE!AC94)*$L203)</f>
        <v>273.64417507264409</v>
      </c>
      <c r="I203" s="156">
        <f>(($E$17+$F$17)*(F801ENE!W94+F801ENE!AD94)*$L203)</f>
        <v>274.92643610898779</v>
      </c>
      <c r="J203" s="156">
        <f t="shared" si="48"/>
        <v>1690.1339810854965</v>
      </c>
      <c r="K203" s="69"/>
      <c r="L203" s="319">
        <v>0.75</v>
      </c>
      <c r="M203" s="329"/>
    </row>
    <row r="204" spans="2:13" s="37" customFormat="1" ht="15.75">
      <c r="B204" s="340"/>
      <c r="C204" s="162" t="s">
        <v>1177</v>
      </c>
      <c r="D204" s="156">
        <f>(($E$17+$F$17)*(F801ENE!R95+F801ENE!Y95)*$L204)</f>
        <v>29.485245769294007</v>
      </c>
      <c r="E204" s="156">
        <f>(($E$17+$F$17)*(F801ENE!S95+F801ENE!Z95)*$L204)</f>
        <v>29.497551228126351</v>
      </c>
      <c r="F204" s="156">
        <f>(($E$17+$F$17)*(F801ENE!T95+F801ENE!AA95)*$L204)</f>
        <v>28.940421974623387</v>
      </c>
      <c r="G204" s="156">
        <f>(($E$17+$F$17)*(F801ENE!U95+F801ENE!AB95)*$L204)</f>
        <v>29.396437857695418</v>
      </c>
      <c r="H204" s="156">
        <f>(($E$17+$F$17)*(F801ENE!V95+F801ENE!AC95)*$L204)</f>
        <v>28.122696960470321</v>
      </c>
      <c r="I204" s="156">
        <f>(($E$17+$F$17)*(F801ENE!W95+F801ENE!AD95)*$L204)</f>
        <v>28.254476263061857</v>
      </c>
      <c r="J204" s="156">
        <f t="shared" si="48"/>
        <v>173.69683005327136</v>
      </c>
      <c r="K204" s="69"/>
      <c r="L204" s="319">
        <v>1</v>
      </c>
      <c r="M204" s="329"/>
    </row>
    <row r="205" spans="2:13" s="37" customFormat="1" ht="15.75">
      <c r="B205" s="48"/>
      <c r="C205" s="160" t="s">
        <v>305</v>
      </c>
      <c r="D205" s="156">
        <f>(($E$17+$F$17)*(F801ENE!R96+F801ENE!Y96)*$L205)</f>
        <v>0</v>
      </c>
      <c r="E205" s="156">
        <f>(($E$17+$F$17)*(F801ENE!S96+F801ENE!Z96)*$L205)</f>
        <v>0</v>
      </c>
      <c r="F205" s="156">
        <f>(($E$17+$F$17)*(F801ENE!T96+F801ENE!AA96)*$L205)</f>
        <v>0</v>
      </c>
      <c r="G205" s="156">
        <f>(($E$17+$F$17)*(F801ENE!U96+F801ENE!AB96)*$L205)</f>
        <v>0</v>
      </c>
      <c r="H205" s="156">
        <f>(($E$17+$F$17)*(F801ENE!V96+F801ENE!AC96)*$L205)</f>
        <v>0</v>
      </c>
      <c r="I205" s="156">
        <f>(($E$17+$F$17)*(F801ENE!W96+F801ENE!AD96)*$L205)</f>
        <v>0</v>
      </c>
      <c r="J205" s="156">
        <f t="shared" si="48"/>
        <v>0</v>
      </c>
      <c r="K205" s="69"/>
      <c r="L205" s="319">
        <v>0.95</v>
      </c>
      <c r="M205" s="329"/>
    </row>
    <row r="206" spans="2:13" s="37" customFormat="1" ht="15.75">
      <c r="B206" s="48"/>
      <c r="C206" s="160" t="s">
        <v>307</v>
      </c>
      <c r="D206" s="156">
        <f>(($E$17+$F$17)*(F801ENE!R97+F801ENE!Y97)*$L206)</f>
        <v>0</v>
      </c>
      <c r="E206" s="156">
        <f>(($E$17+$F$17)*(F801ENE!S97+F801ENE!Z97)*$L206)</f>
        <v>0</v>
      </c>
      <c r="F206" s="156">
        <f>(($E$17+$F$17)*(F801ENE!T97+F801ENE!AA97)*$L206)</f>
        <v>0</v>
      </c>
      <c r="G206" s="156">
        <f>(($E$17+$F$17)*(F801ENE!U97+F801ENE!AB97)*$L206)</f>
        <v>0</v>
      </c>
      <c r="H206" s="156">
        <f>(($E$17+$F$17)*(F801ENE!V97+F801ENE!AC97)*$L206)</f>
        <v>0</v>
      </c>
      <c r="I206" s="156">
        <f>(($E$17+$F$17)*(F801ENE!W97+F801ENE!AD97)*$L206)</f>
        <v>0</v>
      </c>
      <c r="J206" s="156">
        <f t="shared" si="48"/>
        <v>0</v>
      </c>
      <c r="K206" s="69"/>
      <c r="L206" s="319">
        <v>0.5</v>
      </c>
      <c r="M206" s="329"/>
    </row>
    <row r="207" spans="2:13" s="37" customFormat="1" ht="15.75">
      <c r="B207" s="48"/>
      <c r="C207" s="160" t="s">
        <v>624</v>
      </c>
      <c r="D207" s="156">
        <f>(($E$17+$F$17)*(F801ENE!R98+F801ENE!Y98)*$L207)</f>
        <v>0</v>
      </c>
      <c r="E207" s="156">
        <f>(($E$17+$F$17)*(F801ENE!S98+F801ENE!Z98)*$L207)</f>
        <v>0</v>
      </c>
      <c r="F207" s="156">
        <f>(($E$17+$F$17)*(F801ENE!T98+F801ENE!AA98)*$L207)</f>
        <v>0</v>
      </c>
      <c r="G207" s="156">
        <f>(($E$17+$F$17)*(F801ENE!U98+F801ENE!AB98)*$L207)</f>
        <v>0</v>
      </c>
      <c r="H207" s="156">
        <f>(($E$17+$F$17)*(F801ENE!V98+F801ENE!AC98)*$L207)</f>
        <v>0</v>
      </c>
      <c r="I207" s="156">
        <f>(($E$17+$F$17)*(F801ENE!W98+F801ENE!AD98)*$L207)</f>
        <v>0</v>
      </c>
      <c r="J207" s="156">
        <f t="shared" si="48"/>
        <v>0</v>
      </c>
      <c r="K207" s="69"/>
      <c r="L207" s="319">
        <v>0</v>
      </c>
      <c r="M207" s="329"/>
    </row>
    <row r="208" spans="2:13" s="37" customFormat="1" ht="15.75">
      <c r="B208" s="48" t="s">
        <v>902</v>
      </c>
      <c r="C208" s="158" t="s">
        <v>900</v>
      </c>
      <c r="D208" s="159">
        <f t="shared" ref="D208:I208" si="50">SUM(D209:D214)</f>
        <v>381.84202667972596</v>
      </c>
      <c r="E208" s="159">
        <f t="shared" si="50"/>
        <v>382.00138574956486</v>
      </c>
      <c r="F208" s="159">
        <f t="shared" si="50"/>
        <v>374.78640897966864</v>
      </c>
      <c r="G208" s="159">
        <f t="shared" si="50"/>
        <v>380.69193984594705</v>
      </c>
      <c r="H208" s="159">
        <f t="shared" si="50"/>
        <v>364.19664557345402</v>
      </c>
      <c r="I208" s="159">
        <f t="shared" si="50"/>
        <v>365.90322371662808</v>
      </c>
      <c r="J208" s="159">
        <f t="shared" si="48"/>
        <v>2249.4216305449881</v>
      </c>
      <c r="K208" s="69"/>
      <c r="L208" s="319"/>
      <c r="M208" s="69"/>
    </row>
    <row r="209" spans="2:13" s="37" customFormat="1" ht="15.75">
      <c r="B209" s="48"/>
      <c r="C209" s="160" t="s">
        <v>304</v>
      </c>
      <c r="D209" s="156">
        <f>(($E$17+$F$17)*(F801ENE!R100+F801ENE!Y100)*$L209)</f>
        <v>370.96116546154428</v>
      </c>
      <c r="E209" s="156">
        <f>(($E$17+$F$17)*(F801ENE!S100+F801ENE!Z100)*$L209)</f>
        <v>371.11598348089211</v>
      </c>
      <c r="F209" s="156">
        <f>(($E$17+$F$17)*(F801ENE!T100+F801ENE!AA100)*$L209)</f>
        <v>364.10660262616602</v>
      </c>
      <c r="G209" s="156">
        <f>(($E$17+$F$17)*(F801ENE!U100+F801ENE!AB100)*$L209)</f>
        <v>369.84385117335449</v>
      </c>
      <c r="H209" s="156">
        <f>(($E$17+$F$17)*(F801ENE!V100+F801ENE!AC100)*$L209)</f>
        <v>353.81860209021045</v>
      </c>
      <c r="I209" s="156">
        <f>(($E$17+$F$17)*(F801ENE!W100+F801ENE!AD100)*$L209)</f>
        <v>355.47655007055164</v>
      </c>
      <c r="J209" s="156">
        <f t="shared" si="48"/>
        <v>2185.3227549027192</v>
      </c>
      <c r="K209" s="69"/>
      <c r="L209" s="319">
        <v>1</v>
      </c>
      <c r="M209" s="329"/>
    </row>
    <row r="210" spans="2:13" s="37" customFormat="1" ht="15.75">
      <c r="B210" s="48"/>
      <c r="C210" s="162" t="s">
        <v>642</v>
      </c>
      <c r="D210" s="156">
        <f>(($E$17+$F$17)*(F801ENE!R101+F801ENE!Y101)*$L210)</f>
        <v>10.880861218181654</v>
      </c>
      <c r="E210" s="156">
        <f>(($E$17+$F$17)*(F801ENE!S101+F801ENE!Z101)*$L210)</f>
        <v>10.885402268672753</v>
      </c>
      <c r="F210" s="156">
        <f>(($E$17+$F$17)*(F801ENE!T101+F801ENE!AA101)*$L210)</f>
        <v>10.679806353502597</v>
      </c>
      <c r="G210" s="156">
        <f>(($E$17+$F$17)*(F801ENE!U101+F801ENE!AB101)*$L210)</f>
        <v>10.848088672592528</v>
      </c>
      <c r="H210" s="156">
        <f>(($E$17+$F$17)*(F801ENE!V101+F801ENE!AC101)*$L210)</f>
        <v>10.378043483243564</v>
      </c>
      <c r="I210" s="156">
        <f>(($E$17+$F$17)*(F801ENE!W101+F801ENE!AD101)*$L210)</f>
        <v>10.426673646076411</v>
      </c>
      <c r="J210" s="156">
        <f t="shared" si="48"/>
        <v>64.098875642269519</v>
      </c>
      <c r="K210" s="69"/>
      <c r="L210" s="319">
        <v>0.75</v>
      </c>
      <c r="M210" s="329"/>
    </row>
    <row r="211" spans="2:13" s="37" customFormat="1" ht="15.75">
      <c r="B211" s="48"/>
      <c r="C211" s="162" t="s">
        <v>1177</v>
      </c>
      <c r="D211" s="156">
        <f>(($E$17+$F$17)*(F801ENE!R102+F801ENE!Y102)*$L211)</f>
        <v>0</v>
      </c>
      <c r="E211" s="156">
        <f>(($E$17+$F$17)*(F801ENE!S102+F801ENE!Z102)*$L211)</f>
        <v>0</v>
      </c>
      <c r="F211" s="156">
        <f>(($E$17+$F$17)*(F801ENE!T102+F801ENE!AA102)*$L211)</f>
        <v>0</v>
      </c>
      <c r="G211" s="156">
        <f>(($E$17+$F$17)*(F801ENE!U102+F801ENE!AB102)*$L211)</f>
        <v>0</v>
      </c>
      <c r="H211" s="156">
        <f>(($E$17+$F$17)*(F801ENE!V102+F801ENE!AC102)*$L211)</f>
        <v>0</v>
      </c>
      <c r="I211" s="156">
        <f>(($E$17+$F$17)*(F801ENE!W102+F801ENE!AD102)*$L211)</f>
        <v>0</v>
      </c>
      <c r="J211" s="156">
        <f t="shared" si="48"/>
        <v>0</v>
      </c>
      <c r="K211" s="69"/>
      <c r="L211" s="319">
        <v>1</v>
      </c>
      <c r="M211" s="329"/>
    </row>
    <row r="212" spans="2:13" s="37" customFormat="1" ht="15.75">
      <c r="B212" s="48"/>
      <c r="C212" s="160" t="s">
        <v>305</v>
      </c>
      <c r="D212" s="156">
        <f>(($E$17+$F$17)*(F801ENE!R103+F801ENE!Y103)*$L212)</f>
        <v>0</v>
      </c>
      <c r="E212" s="156">
        <f>(($E$17+$F$17)*(F801ENE!S103+F801ENE!Z103)*$L212)</f>
        <v>0</v>
      </c>
      <c r="F212" s="156">
        <f>(($E$17+$F$17)*(F801ENE!T103+F801ENE!AA103)*$L212)</f>
        <v>0</v>
      </c>
      <c r="G212" s="156">
        <f>(($E$17+$F$17)*(F801ENE!U103+F801ENE!AB103)*$L212)</f>
        <v>0</v>
      </c>
      <c r="H212" s="156">
        <f>(($E$17+$F$17)*(F801ENE!V103+F801ENE!AC103)*$L212)</f>
        <v>0</v>
      </c>
      <c r="I212" s="156">
        <f>(($E$17+$F$17)*(F801ENE!W103+F801ENE!AD103)*$L212)</f>
        <v>0</v>
      </c>
      <c r="J212" s="156">
        <f t="shared" si="48"/>
        <v>0</v>
      </c>
      <c r="K212" s="69"/>
      <c r="L212" s="319">
        <v>0.95</v>
      </c>
      <c r="M212" s="329"/>
    </row>
    <row r="213" spans="2:13" s="37" customFormat="1" ht="15.75">
      <c r="B213" s="48"/>
      <c r="C213" s="160" t="s">
        <v>307</v>
      </c>
      <c r="D213" s="156">
        <f>(($E$17+$F$17)*(F801ENE!R104+F801ENE!Y104)*$L213)</f>
        <v>0</v>
      </c>
      <c r="E213" s="156">
        <f>(($E$17+$F$17)*(F801ENE!S104+F801ENE!Z104)*$L213)</f>
        <v>0</v>
      </c>
      <c r="F213" s="156">
        <f>(($E$17+$F$17)*(F801ENE!T104+F801ENE!AA104)*$L213)</f>
        <v>0</v>
      </c>
      <c r="G213" s="156">
        <f>(($E$17+$F$17)*(F801ENE!U104+F801ENE!AB104)*$L213)</f>
        <v>0</v>
      </c>
      <c r="H213" s="156">
        <f>(($E$17+$F$17)*(F801ENE!V104+F801ENE!AC104)*$L213)</f>
        <v>0</v>
      </c>
      <c r="I213" s="156">
        <f>(($E$17+$F$17)*(F801ENE!W104+F801ENE!AD104)*$L213)</f>
        <v>0</v>
      </c>
      <c r="J213" s="156">
        <f t="shared" si="48"/>
        <v>0</v>
      </c>
      <c r="K213" s="69"/>
      <c r="L213" s="319">
        <v>0.5</v>
      </c>
      <c r="M213" s="329"/>
    </row>
    <row r="214" spans="2:13" s="37" customFormat="1" ht="15.75">
      <c r="B214" s="48"/>
      <c r="C214" s="160" t="s">
        <v>624</v>
      </c>
      <c r="D214" s="156">
        <f>(($E$17+$F$17)*(F801ENE!R105+F801ENE!Y105)*$L214)</f>
        <v>0</v>
      </c>
      <c r="E214" s="156">
        <f>(($E$17+$F$17)*(F801ENE!S105+F801ENE!Z105)*$L214)</f>
        <v>0</v>
      </c>
      <c r="F214" s="156">
        <f>(($E$17+$F$17)*(F801ENE!T105+F801ENE!AA105)*$L214)</f>
        <v>0</v>
      </c>
      <c r="G214" s="156">
        <f>(($E$17+$F$17)*(F801ENE!U105+F801ENE!AB105)*$L214)</f>
        <v>0</v>
      </c>
      <c r="H214" s="156">
        <f>(($E$17+$F$17)*(F801ENE!V105+F801ENE!AC105)*$L214)</f>
        <v>0</v>
      </c>
      <c r="I214" s="156">
        <f>(($E$17+$F$17)*(F801ENE!W105+F801ENE!AD105)*$L214)</f>
        <v>0</v>
      </c>
      <c r="J214" s="156">
        <f t="shared" si="48"/>
        <v>0</v>
      </c>
      <c r="K214" s="69"/>
      <c r="L214" s="319">
        <v>0</v>
      </c>
      <c r="M214" s="329"/>
    </row>
    <row r="215" spans="2:13" s="37" customFormat="1" ht="15.75">
      <c r="B215" s="48"/>
      <c r="C215" s="157"/>
      <c r="D215" s="156"/>
      <c r="E215" s="156"/>
      <c r="F215" s="156"/>
      <c r="G215" s="156"/>
      <c r="H215" s="156"/>
      <c r="I215" s="156"/>
      <c r="J215" s="156"/>
      <c r="K215" s="69"/>
      <c r="L215" s="319"/>
      <c r="M215" s="69"/>
    </row>
    <row r="216" spans="2:13" s="37" customFormat="1" ht="15.75">
      <c r="B216" s="48"/>
      <c r="C216" s="153" t="s">
        <v>112</v>
      </c>
      <c r="D216" s="154">
        <f t="shared" ref="D216:I216" si="51">D125+D129+D139</f>
        <v>985693.53206535161</v>
      </c>
      <c r="E216" s="154">
        <f t="shared" si="51"/>
        <v>986104.90404857183</v>
      </c>
      <c r="F216" s="154">
        <f t="shared" si="51"/>
        <v>967480.05071754614</v>
      </c>
      <c r="G216" s="154">
        <f t="shared" si="51"/>
        <v>982724.68001215474</v>
      </c>
      <c r="H216" s="154">
        <f t="shared" si="51"/>
        <v>940143.47063679737</v>
      </c>
      <c r="I216" s="154">
        <f t="shared" si="51"/>
        <v>944548.85801755381</v>
      </c>
      <c r="J216" s="154">
        <f>SUM(D216:I216)</f>
        <v>5806695.4954979755</v>
      </c>
      <c r="K216" s="69"/>
      <c r="L216" s="319"/>
      <c r="M216" s="69"/>
    </row>
    <row r="217" spans="2:13">
      <c r="C217" s="48"/>
      <c r="D217" s="48"/>
      <c r="E217" s="48"/>
      <c r="F217" s="48"/>
      <c r="G217" s="48"/>
      <c r="H217" s="48"/>
      <c r="I217" s="48"/>
      <c r="J217" s="48"/>
    </row>
    <row r="218" spans="2:13" s="69" customFormat="1" ht="30">
      <c r="B218" s="48"/>
      <c r="C218" s="320" t="s">
        <v>1454</v>
      </c>
      <c r="D218" s="320"/>
      <c r="E218" s="320"/>
      <c r="F218" s="320"/>
      <c r="G218" s="320"/>
      <c r="H218" s="320"/>
      <c r="I218" s="320"/>
      <c r="J218" s="321"/>
      <c r="L218" s="319"/>
    </row>
    <row r="219" spans="2:13" s="37" customFormat="1" ht="15.75">
      <c r="B219" s="48"/>
      <c r="C219" s="150" t="s">
        <v>310</v>
      </c>
      <c r="D219" s="151">
        <f t="shared" ref="D219:I219" si="52">D$29</f>
        <v>46204</v>
      </c>
      <c r="E219" s="151">
        <f t="shared" si="52"/>
        <v>46235</v>
      </c>
      <c r="F219" s="151">
        <f t="shared" si="52"/>
        <v>46266</v>
      </c>
      <c r="G219" s="151">
        <f t="shared" si="52"/>
        <v>46296</v>
      </c>
      <c r="H219" s="151">
        <f t="shared" si="52"/>
        <v>46327</v>
      </c>
      <c r="I219" s="151">
        <f t="shared" si="52"/>
        <v>46357</v>
      </c>
      <c r="J219" s="152" t="s">
        <v>111</v>
      </c>
      <c r="K219" s="69"/>
      <c r="L219" s="319"/>
      <c r="M219" s="69"/>
    </row>
    <row r="220" spans="2:13" s="37" customFormat="1" ht="15.75">
      <c r="B220" s="48"/>
      <c r="C220" s="153" t="s">
        <v>446</v>
      </c>
      <c r="D220" s="154">
        <f t="shared" ref="D220:I220" si="53">SUM(D221:D222)</f>
        <v>2103.7312993808841</v>
      </c>
      <c r="E220" s="154">
        <f t="shared" si="53"/>
        <v>2104.6092767632472</v>
      </c>
      <c r="F220" s="154">
        <f t="shared" si="53"/>
        <v>2064.8588789688533</v>
      </c>
      <c r="G220" s="154">
        <f t="shared" si="53"/>
        <v>2097.3949783366429</v>
      </c>
      <c r="H220" s="154">
        <f t="shared" si="53"/>
        <v>2006.5153358957962</v>
      </c>
      <c r="I220" s="154">
        <f t="shared" si="53"/>
        <v>2015.9176059545759</v>
      </c>
      <c r="J220" s="154">
        <f>SUM(D220:I220)</f>
        <v>12393.027375299998</v>
      </c>
      <c r="K220" s="69"/>
      <c r="L220" s="319"/>
      <c r="M220" s="69"/>
    </row>
    <row r="221" spans="2:13" s="37" customFormat="1" ht="15.75">
      <c r="B221" s="48" t="s">
        <v>279</v>
      </c>
      <c r="C221" s="155" t="s">
        <v>279</v>
      </c>
      <c r="D221" s="156">
        <f>$J$7*F801ENE!D6</f>
        <v>2103.6762993808843</v>
      </c>
      <c r="E221" s="156">
        <f>$J$7*F801ENE!E6</f>
        <v>2104.5542767632473</v>
      </c>
      <c r="F221" s="156">
        <f>$J$7*F801ENE!F6</f>
        <v>2064.8038789688535</v>
      </c>
      <c r="G221" s="156">
        <f>$J$7*F801ENE!G6</f>
        <v>2097.3399783366431</v>
      </c>
      <c r="H221" s="156">
        <f>$J$7*F801ENE!H6</f>
        <v>2006.4603358957961</v>
      </c>
      <c r="I221" s="156">
        <f>$J$7*F801ENE!I6</f>
        <v>2015.8626059545759</v>
      </c>
      <c r="J221" s="156">
        <f>SUM(D221:I221)</f>
        <v>12392.697375299998</v>
      </c>
      <c r="K221" s="69"/>
      <c r="L221" s="319"/>
      <c r="M221" s="69"/>
    </row>
    <row r="222" spans="2:13" s="37" customFormat="1" ht="15.75">
      <c r="B222" s="48" t="s">
        <v>278</v>
      </c>
      <c r="C222" s="155" t="s">
        <v>278</v>
      </c>
      <c r="D222" s="156">
        <f>$J$8*F801ENE!D7</f>
        <v>5.5E-2</v>
      </c>
      <c r="E222" s="156">
        <f>$J$8*F801ENE!E7</f>
        <v>5.5E-2</v>
      </c>
      <c r="F222" s="156">
        <f>$J$8*F801ENE!F7</f>
        <v>5.5E-2</v>
      </c>
      <c r="G222" s="156">
        <f>$J$8*F801ENE!G7</f>
        <v>5.5E-2</v>
      </c>
      <c r="H222" s="156">
        <f>$J$8*F801ENE!H7</f>
        <v>5.5E-2</v>
      </c>
      <c r="I222" s="156">
        <f>$J$8*F801ENE!I7</f>
        <v>5.5E-2</v>
      </c>
      <c r="J222" s="156">
        <f>SUM(D222:I222)</f>
        <v>0.33</v>
      </c>
      <c r="K222" s="69"/>
      <c r="L222" s="319"/>
    </row>
    <row r="223" spans="2:13" s="37" customFormat="1" ht="15.75">
      <c r="B223" s="48"/>
      <c r="C223" s="157"/>
      <c r="D223" s="156"/>
      <c r="E223" s="156"/>
      <c r="F223" s="156"/>
      <c r="G223" s="156"/>
      <c r="H223" s="156"/>
      <c r="I223" s="156"/>
      <c r="J223" s="156"/>
      <c r="K223" s="69"/>
      <c r="L223" s="319"/>
    </row>
    <row r="224" spans="2:13" s="37" customFormat="1" ht="15.75">
      <c r="B224" s="48"/>
      <c r="C224" s="153" t="s">
        <v>630</v>
      </c>
      <c r="D224" s="154">
        <f>D225+D228</f>
        <v>3367.7507975924518</v>
      </c>
      <c r="E224" s="154">
        <f t="shared" ref="E224:I224" si="54">E225+E228</f>
        <v>3369.1563045745424</v>
      </c>
      <c r="F224" s="154">
        <f t="shared" si="54"/>
        <v>3305.5220210916259</v>
      </c>
      <c r="G224" s="154">
        <f t="shared" si="54"/>
        <v>3357.607320496862</v>
      </c>
      <c r="H224" s="154">
        <f t="shared" si="54"/>
        <v>3212.1229668604683</v>
      </c>
      <c r="I224" s="154">
        <f t="shared" si="54"/>
        <v>3227.1745575740515</v>
      </c>
      <c r="J224" s="154">
        <f t="shared" ref="J224:J232" si="55">SUM(D224:I224)</f>
        <v>19839.333968190003</v>
      </c>
      <c r="K224" s="69"/>
      <c r="L224" s="319"/>
    </row>
    <row r="225" spans="2:12" s="37" customFormat="1" ht="15.75">
      <c r="B225" s="48" t="s">
        <v>277</v>
      </c>
      <c r="C225" s="155" t="s">
        <v>277</v>
      </c>
      <c r="D225" s="154">
        <f>SUM(D226:D227)</f>
        <v>481.77617763640444</v>
      </c>
      <c r="E225" s="154">
        <f t="shared" ref="E225:I225" si="56">SUM(E226:E227)</f>
        <v>481.97724351751316</v>
      </c>
      <c r="F225" s="154">
        <f t="shared" si="56"/>
        <v>472.87399220659449</v>
      </c>
      <c r="G225" s="154">
        <f t="shared" si="56"/>
        <v>480.32509472773165</v>
      </c>
      <c r="H225" s="154">
        <f t="shared" si="56"/>
        <v>459.51271874939272</v>
      </c>
      <c r="I225" s="154">
        <f t="shared" si="56"/>
        <v>461.6659356223638</v>
      </c>
      <c r="J225" s="154">
        <f t="shared" si="55"/>
        <v>2838.1311624600003</v>
      </c>
      <c r="K225" s="69"/>
      <c r="L225" s="319"/>
    </row>
    <row r="226" spans="2:12" s="37" customFormat="1" ht="15.75">
      <c r="B226" s="48"/>
      <c r="C226" s="160" t="s">
        <v>304</v>
      </c>
      <c r="D226" s="156">
        <f>$J$9*F801ENE!D11</f>
        <v>420.05014956009171</v>
      </c>
      <c r="E226" s="156">
        <f>$J$9*F801ENE!E11</f>
        <v>420.22545451984604</v>
      </c>
      <c r="F226" s="156">
        <f>$J$9*F801ENE!F11</f>
        <v>412.28852809605695</v>
      </c>
      <c r="G226" s="156">
        <f>$J$9*F801ENE!G11</f>
        <v>418.78498199659271</v>
      </c>
      <c r="H226" s="156">
        <f>$J$9*F801ENE!H11</f>
        <v>400.63912496129552</v>
      </c>
      <c r="I226" s="156">
        <f>$J$9*F801ENE!I11</f>
        <v>402.51646782611732</v>
      </c>
      <c r="J226" s="156">
        <f t="shared" si="55"/>
        <v>2474.50470696</v>
      </c>
      <c r="K226" s="69"/>
      <c r="L226" s="319"/>
    </row>
    <row r="227" spans="2:12" s="37" customFormat="1" ht="15.75">
      <c r="B227" s="48"/>
      <c r="C227" s="160" t="s">
        <v>305</v>
      </c>
      <c r="D227" s="156">
        <f>($J$9*F801ENE!D12)*$L227</f>
        <v>61.726028076312758</v>
      </c>
      <c r="E227" s="156">
        <f>($J$9*F801ENE!E12)*$L227</f>
        <v>61.751788997667134</v>
      </c>
      <c r="F227" s="156">
        <f>($J$9*F801ENE!F12)*$L227</f>
        <v>60.585464110537572</v>
      </c>
      <c r="G227" s="156">
        <f>($J$9*F801ENE!G12)*$L227</f>
        <v>61.54011273113894</v>
      </c>
      <c r="H227" s="156">
        <f>($J$9*F801ENE!H12)*$L227</f>
        <v>58.873593788097175</v>
      </c>
      <c r="I227" s="156">
        <f>($J$9*F801ENE!I12)*$L227</f>
        <v>59.149467796246462</v>
      </c>
      <c r="J227" s="156">
        <f t="shared" si="55"/>
        <v>363.62645550000008</v>
      </c>
      <c r="K227" s="69"/>
      <c r="L227" s="319">
        <v>0.95</v>
      </c>
    </row>
    <row r="228" spans="2:12" s="37" customFormat="1" ht="15.75">
      <c r="B228" s="48" t="s">
        <v>276</v>
      </c>
      <c r="C228" s="158" t="s">
        <v>276</v>
      </c>
      <c r="D228" s="159">
        <f t="shared" ref="D228:I228" si="57">SUM(D229:D232)</f>
        <v>2885.9746199560473</v>
      </c>
      <c r="E228" s="159">
        <f t="shared" si="57"/>
        <v>2887.1790610570292</v>
      </c>
      <c r="F228" s="159">
        <f t="shared" si="57"/>
        <v>2832.6480288850312</v>
      </c>
      <c r="G228" s="159">
        <f t="shared" si="57"/>
        <v>2877.2822257691305</v>
      </c>
      <c r="H228" s="159">
        <f t="shared" si="57"/>
        <v>2752.6102481110756</v>
      </c>
      <c r="I228" s="159">
        <f t="shared" si="57"/>
        <v>2765.5086219516875</v>
      </c>
      <c r="J228" s="159">
        <f t="shared" si="55"/>
        <v>17001.202805730001</v>
      </c>
      <c r="K228" s="69"/>
      <c r="L228" s="319"/>
    </row>
    <row r="229" spans="2:12" s="37" customFormat="1" ht="15.75">
      <c r="B229" s="48"/>
      <c r="C229" s="160" t="s">
        <v>304</v>
      </c>
      <c r="D229" s="156">
        <f>$J$10*F801ENE!D15</f>
        <v>2874.7237932492999</v>
      </c>
      <c r="E229" s="156">
        <f>$J$10*F801ENE!E15</f>
        <v>2875.9235388973098</v>
      </c>
      <c r="F229" s="156">
        <f>$J$10*F801ENE!F15</f>
        <v>2821.6050932078351</v>
      </c>
      <c r="G229" s="156">
        <f>$J$10*F801ENE!G15</f>
        <v>2866.0652859233373</v>
      </c>
      <c r="H229" s="156">
        <f>$J$10*F801ENE!H15</f>
        <v>2741.8793356912061</v>
      </c>
      <c r="I229" s="156">
        <f>$J$10*F801ENE!I15</f>
        <v>2754.7274258710136</v>
      </c>
      <c r="J229" s="156">
        <f t="shared" si="55"/>
        <v>16934.924472840001</v>
      </c>
      <c r="K229" s="69"/>
      <c r="L229" s="319">
        <v>1</v>
      </c>
    </row>
    <row r="230" spans="2:12" s="37" customFormat="1" ht="15.75">
      <c r="B230" s="48"/>
      <c r="C230" s="161" t="s">
        <v>306</v>
      </c>
      <c r="D230" s="156">
        <f>$J$10*F801ENE!D16</f>
        <v>0</v>
      </c>
      <c r="E230" s="156">
        <f>$J$10*F801ENE!E16</f>
        <v>0</v>
      </c>
      <c r="F230" s="156">
        <f>$J$10*F801ENE!F16</f>
        <v>0</v>
      </c>
      <c r="G230" s="156">
        <f>$J$10*F801ENE!G16</f>
        <v>0</v>
      </c>
      <c r="H230" s="156">
        <f>$J$10*F801ENE!H16</f>
        <v>0</v>
      </c>
      <c r="I230" s="156">
        <f>$J$10*F801ENE!I16</f>
        <v>0</v>
      </c>
      <c r="J230" s="156">
        <f t="shared" si="55"/>
        <v>0</v>
      </c>
      <c r="K230" s="69"/>
      <c r="L230" s="319">
        <v>1</v>
      </c>
    </row>
    <row r="231" spans="2:12" s="37" customFormat="1" ht="15.75">
      <c r="B231" s="48"/>
      <c r="C231" s="160" t="s">
        <v>305</v>
      </c>
      <c r="D231" s="156">
        <f>$J$10*F801ENE!D17*0.95</f>
        <v>11.25082670674753</v>
      </c>
      <c r="E231" s="156">
        <f>$J$10*F801ENE!E17*0.95</f>
        <v>11.255522159719266</v>
      </c>
      <c r="F231" s="156">
        <f>$J$10*F801ENE!F17*0.95</f>
        <v>11.042935677196226</v>
      </c>
      <c r="G231" s="156">
        <f>$J$10*F801ENE!G17*0.95</f>
        <v>11.216939845793354</v>
      </c>
      <c r="H231" s="156">
        <f>$J$10*F801ENE!H17*0.95</f>
        <v>10.730912419869682</v>
      </c>
      <c r="I231" s="156">
        <f>$J$10*F801ENE!I17*0.95</f>
        <v>10.781196080673942</v>
      </c>
      <c r="J231" s="156">
        <f t="shared" si="55"/>
        <v>66.278332890000001</v>
      </c>
      <c r="K231" s="69"/>
      <c r="L231" s="319">
        <v>0.95</v>
      </c>
    </row>
    <row r="232" spans="2:12" s="37" customFormat="1" ht="15.75">
      <c r="B232" s="48"/>
      <c r="C232" s="160" t="s">
        <v>307</v>
      </c>
      <c r="D232" s="156">
        <f>$J$10*F801ENE!D18*0.5</f>
        <v>0</v>
      </c>
      <c r="E232" s="156">
        <f>$J$10*F801ENE!E18*0.5</f>
        <v>0</v>
      </c>
      <c r="F232" s="156">
        <f>$J$10*F801ENE!F18*0.5</f>
        <v>0</v>
      </c>
      <c r="G232" s="156">
        <f>$J$10*F801ENE!G18*0.5</f>
        <v>0</v>
      </c>
      <c r="H232" s="156">
        <f>$J$10*F801ENE!H18*0.5</f>
        <v>0</v>
      </c>
      <c r="I232" s="156">
        <f>$J$10*F801ENE!I18*0.5</f>
        <v>0</v>
      </c>
      <c r="J232" s="156">
        <f t="shared" si="55"/>
        <v>0</v>
      </c>
      <c r="K232" s="69"/>
      <c r="L232" s="319">
        <v>0.5</v>
      </c>
    </row>
    <row r="233" spans="2:12" s="37" customFormat="1" ht="15.75">
      <c r="B233" s="48"/>
      <c r="C233" s="157"/>
      <c r="D233" s="157"/>
      <c r="E233" s="157"/>
      <c r="F233" s="157"/>
      <c r="G233" s="157"/>
      <c r="H233" s="157"/>
      <c r="I233" s="157"/>
      <c r="J233" s="157"/>
      <c r="K233" s="69"/>
      <c r="L233" s="319"/>
    </row>
    <row r="234" spans="2:12" s="37" customFormat="1" ht="15.75">
      <c r="B234" s="48"/>
      <c r="C234" s="153" t="s">
        <v>443</v>
      </c>
      <c r="D234" s="154">
        <f t="shared" ref="D234:I234" si="58">D235+D239+D246+D251+D256+D269+D275+D282+D290+D296+D303+D262</f>
        <v>25613.825738877171</v>
      </c>
      <c r="E234" s="154">
        <f t="shared" si="58"/>
        <v>25624.515487934539</v>
      </c>
      <c r="F234" s="154">
        <f t="shared" si="58"/>
        <v>25140.537442612742</v>
      </c>
      <c r="G234" s="154">
        <f t="shared" si="58"/>
        <v>25536.678327940932</v>
      </c>
      <c r="H234" s="154">
        <f t="shared" si="58"/>
        <v>24430.179924187381</v>
      </c>
      <c r="I234" s="154">
        <f t="shared" si="58"/>
        <v>24544.656571897249</v>
      </c>
      <c r="J234" s="154">
        <f>SUM(D234:I234)</f>
        <v>150890.39349345001</v>
      </c>
      <c r="K234" s="69"/>
      <c r="L234" s="319"/>
    </row>
    <row r="235" spans="2:12" s="37" customFormat="1" ht="15.75">
      <c r="B235" s="48" t="s">
        <v>275</v>
      </c>
      <c r="C235" s="155" t="s">
        <v>275</v>
      </c>
      <c r="D235" s="156">
        <f>$J$11*F801ENE!D21</f>
        <v>322.83747701383061</v>
      </c>
      <c r="E235" s="156">
        <f>$J$11*F801ENE!E21</f>
        <v>322.9722109520863</v>
      </c>
      <c r="F235" s="156">
        <f>$J$11*F801ENE!F21</f>
        <v>316.87213622390448</v>
      </c>
      <c r="G235" s="156">
        <f>$J$11*F801ENE!G21</f>
        <v>321.86510858442398</v>
      </c>
      <c r="H235" s="156">
        <f>$J$11*F801ENE!H21</f>
        <v>307.91876739239223</v>
      </c>
      <c r="I235" s="156">
        <f>$J$11*F801ENE!I21</f>
        <v>309.3616347133626</v>
      </c>
      <c r="J235" s="156">
        <f>SUM(D235:I235)</f>
        <v>1901.8273348800003</v>
      </c>
      <c r="K235" s="69"/>
      <c r="L235" s="319"/>
    </row>
    <row r="236" spans="2:12" s="37" customFormat="1" ht="15.75">
      <c r="B236" s="48"/>
      <c r="C236" s="160" t="s">
        <v>304</v>
      </c>
      <c r="D236" s="156"/>
      <c r="E236" s="156"/>
      <c r="F236" s="156"/>
      <c r="G236" s="156"/>
      <c r="H236" s="156"/>
      <c r="I236" s="156"/>
      <c r="J236" s="156"/>
      <c r="K236" s="69"/>
      <c r="L236" s="319"/>
    </row>
    <row r="237" spans="2:12" s="37" customFormat="1" ht="15.75">
      <c r="B237" s="48"/>
      <c r="C237" s="161" t="s">
        <v>306</v>
      </c>
      <c r="D237" s="156"/>
      <c r="E237" s="156"/>
      <c r="F237" s="156"/>
      <c r="G237" s="156"/>
      <c r="H237" s="156"/>
      <c r="I237" s="156"/>
      <c r="J237" s="156"/>
      <c r="K237" s="69"/>
      <c r="L237" s="319"/>
    </row>
    <row r="238" spans="2:12" s="37" customFormat="1" ht="15.75">
      <c r="B238" s="48"/>
      <c r="C238" s="160" t="s">
        <v>305</v>
      </c>
      <c r="D238" s="156"/>
      <c r="E238" s="156"/>
      <c r="F238" s="156"/>
      <c r="G238" s="156"/>
      <c r="H238" s="156"/>
      <c r="I238" s="156"/>
      <c r="J238" s="156"/>
      <c r="K238" s="69"/>
      <c r="L238" s="319"/>
    </row>
    <row r="239" spans="2:12" s="37" customFormat="1" ht="15.75">
      <c r="B239" s="48" t="s">
        <v>274</v>
      </c>
      <c r="C239" s="158" t="s">
        <v>627</v>
      </c>
      <c r="D239" s="159">
        <f t="shared" ref="D239:I239" si="59">SUM(D240:D245)</f>
        <v>3892.6129258400774</v>
      </c>
      <c r="E239" s="159">
        <f t="shared" si="59"/>
        <v>3894.2374803201037</v>
      </c>
      <c r="F239" s="159">
        <f t="shared" si="59"/>
        <v>3820.6858284017812</v>
      </c>
      <c r="G239" s="159">
        <f t="shared" si="59"/>
        <v>3880.8885933617116</v>
      </c>
      <c r="H239" s="159">
        <f t="shared" si="59"/>
        <v>3712.7305824194036</v>
      </c>
      <c r="I239" s="159">
        <f t="shared" si="59"/>
        <v>3730.1279553509262</v>
      </c>
      <c r="J239" s="159">
        <f t="shared" ref="J239:J260" si="60">SUM(D239:I239)</f>
        <v>22931.283365694006</v>
      </c>
      <c r="K239" s="69"/>
      <c r="L239" s="319"/>
    </row>
    <row r="240" spans="2:12" s="37" customFormat="1" ht="15.75">
      <c r="B240" s="48"/>
      <c r="C240" s="160" t="s">
        <v>304</v>
      </c>
      <c r="D240" s="156">
        <f>$J$12*F801ENE!D28</f>
        <v>3885.6097533619527</v>
      </c>
      <c r="E240" s="156">
        <f>$J$12*F801ENE!E28</f>
        <v>3887.2313851174645</v>
      </c>
      <c r="F240" s="156">
        <f>$J$12*F801ENE!F28</f>
        <v>3813.8120594576858</v>
      </c>
      <c r="G240" s="156">
        <f>$J$12*F801ENE!G28</f>
        <v>3873.9065140475109</v>
      </c>
      <c r="H240" s="156">
        <f>$J$12*F801ENE!H28</f>
        <v>3706.0510349974415</v>
      </c>
      <c r="I240" s="156">
        <f>$J$12*F801ENE!I28</f>
        <v>3723.4171084379473</v>
      </c>
      <c r="J240" s="156">
        <f t="shared" si="60"/>
        <v>22890.027855420005</v>
      </c>
      <c r="K240" s="69"/>
      <c r="L240" s="319">
        <v>1</v>
      </c>
    </row>
    <row r="241" spans="2:12" s="37" customFormat="1" ht="15.75">
      <c r="B241" s="48"/>
      <c r="C241" s="162" t="s">
        <v>628</v>
      </c>
      <c r="D241" s="156">
        <f>$J$12*F801ENE!D29*0.75</f>
        <v>0.33622501850269293</v>
      </c>
      <c r="E241" s="156">
        <f>$J$12*F801ENE!E29*0.75</f>
        <v>0.33636533963672599</v>
      </c>
      <c r="F241" s="156">
        <f>$J$12*F801ENE!F29*0.75</f>
        <v>0.33001230479912919</v>
      </c>
      <c r="G241" s="156">
        <f>$J$12*F801ENE!G29*0.75</f>
        <v>0.33521232754688224</v>
      </c>
      <c r="H241" s="156">
        <f>$J$12*F801ENE!H29*0.75</f>
        <v>0.32068765442432878</v>
      </c>
      <c r="I241" s="156">
        <f>$J$12*F801ENE!I29*0.75</f>
        <v>0.32219035509024124</v>
      </c>
      <c r="J241" s="156">
        <f t="shared" si="60"/>
        <v>1.9806930000000005</v>
      </c>
      <c r="K241" s="69"/>
      <c r="L241" s="319">
        <v>0.75</v>
      </c>
    </row>
    <row r="242" spans="2:12" s="37" customFormat="1" ht="15.75">
      <c r="B242" s="48"/>
      <c r="C242" s="161" t="s">
        <v>629</v>
      </c>
      <c r="D242" s="156">
        <f>$J$12*F801ENE!D30</f>
        <v>1.7863031752245635</v>
      </c>
      <c r="E242" s="156">
        <f>$J$12*F801ENE!E30</f>
        <v>1.7870486762238365</v>
      </c>
      <c r="F242" s="156">
        <f>$J$12*F801ENE!F30</f>
        <v>1.7532961424199889</v>
      </c>
      <c r="G242" s="156">
        <f>$J$12*F801ENE!G30</f>
        <v>1.7809229299413845</v>
      </c>
      <c r="H242" s="156">
        <f>$J$12*F801ENE!H30</f>
        <v>1.7037559486338698</v>
      </c>
      <c r="I242" s="156">
        <f>$J$12*F801ENE!I30</f>
        <v>1.7117395275563587</v>
      </c>
      <c r="J242" s="156">
        <f t="shared" si="60"/>
        <v>10.523066400000003</v>
      </c>
      <c r="K242" s="69"/>
      <c r="L242" s="319">
        <v>1</v>
      </c>
    </row>
    <row r="243" spans="2:12" s="37" customFormat="1" ht="15.75">
      <c r="B243" s="48"/>
      <c r="C243" s="160" t="s">
        <v>305</v>
      </c>
      <c r="D243" s="156">
        <f>$J$12*F801ENE!D31*0.95</f>
        <v>4.4721931508087049</v>
      </c>
      <c r="E243" s="156">
        <f>$J$12*F801ENE!E31*0.95</f>
        <v>4.4740595889974237</v>
      </c>
      <c r="F243" s="156">
        <f>$J$12*F801ENE!F31*0.95</f>
        <v>4.3895566599349873</v>
      </c>
      <c r="G243" s="156">
        <f>$J$12*F801ENE!G31*0.95</f>
        <v>4.4587231550997855</v>
      </c>
      <c r="H243" s="156">
        <f>$J$12*F801ENE!H31*0.95</f>
        <v>4.2655277053807499</v>
      </c>
      <c r="I243" s="156">
        <f>$J$12*F801ENE!I31*0.95</f>
        <v>4.2855154137783504</v>
      </c>
      <c r="J243" s="156">
        <f t="shared" si="60"/>
        <v>26.345575674000003</v>
      </c>
      <c r="K243" s="69"/>
      <c r="L243" s="319">
        <v>0.95</v>
      </c>
    </row>
    <row r="244" spans="2:12" s="37" customFormat="1" ht="15.75">
      <c r="B244" s="48"/>
      <c r="C244" s="160" t="s">
        <v>307</v>
      </c>
      <c r="D244" s="156">
        <f>$J$12*F801ENE!D32*0.5</f>
        <v>0.40845113358845653</v>
      </c>
      <c r="E244" s="156">
        <f>$J$12*F801ENE!E32*0.5</f>
        <v>0.40862159778091145</v>
      </c>
      <c r="F244" s="156">
        <f>$J$12*F801ENE!F32*0.5</f>
        <v>0.40090383694116433</v>
      </c>
      <c r="G244" s="156">
        <f>$J$12*F801ENE!G32*0.5</f>
        <v>0.40722090161250868</v>
      </c>
      <c r="H244" s="156">
        <f>$J$12*F801ENE!H32*0.5</f>
        <v>0.38957611352288823</v>
      </c>
      <c r="I244" s="156">
        <f>$J$12*F801ENE!I32*0.5</f>
        <v>0.3914016165540708</v>
      </c>
      <c r="J244" s="156">
        <f t="shared" si="60"/>
        <v>2.4061751999999998</v>
      </c>
      <c r="K244" s="69"/>
      <c r="L244" s="319">
        <v>0.5</v>
      </c>
    </row>
    <row r="245" spans="2:12" s="37" customFormat="1" ht="15.75">
      <c r="B245" s="48"/>
      <c r="C245" s="160" t="s">
        <v>624</v>
      </c>
      <c r="D245" s="156">
        <f>$J$12*F801ENE!D33*0</f>
        <v>0</v>
      </c>
      <c r="E245" s="156">
        <f>$J$12*F801ENE!E33*0</f>
        <v>0</v>
      </c>
      <c r="F245" s="156">
        <f>$J$12*F801ENE!F33*0</f>
        <v>0</v>
      </c>
      <c r="G245" s="156">
        <f>$J$12*F801ENE!G33*0</f>
        <v>0</v>
      </c>
      <c r="H245" s="156">
        <f>$J$12*F801ENE!H33*0</f>
        <v>0</v>
      </c>
      <c r="I245" s="156">
        <f>$J$12*F801ENE!I33*0</f>
        <v>0</v>
      </c>
      <c r="J245" s="156">
        <f t="shared" si="60"/>
        <v>0</v>
      </c>
      <c r="K245" s="69"/>
      <c r="L245" s="319">
        <v>0</v>
      </c>
    </row>
    <row r="246" spans="2:12" s="37" customFormat="1" ht="15.75">
      <c r="B246" s="48" t="s">
        <v>274</v>
      </c>
      <c r="C246" s="158" t="s">
        <v>631</v>
      </c>
      <c r="D246" s="159">
        <f t="shared" ref="D246:I246" si="61">SUM(D247:D250)</f>
        <v>1776.9394329870481</v>
      </c>
      <c r="E246" s="159">
        <f t="shared" si="61"/>
        <v>1777.6810260947086</v>
      </c>
      <c r="F246" s="159">
        <f t="shared" si="61"/>
        <v>1744.1054219581126</v>
      </c>
      <c r="G246" s="159">
        <f t="shared" si="61"/>
        <v>1771.5873907719176</v>
      </c>
      <c r="H246" s="159">
        <f t="shared" si="61"/>
        <v>1694.8249162313573</v>
      </c>
      <c r="I246" s="159">
        <f t="shared" si="61"/>
        <v>1702.7666454968564</v>
      </c>
      <c r="J246" s="159">
        <f t="shared" si="60"/>
        <v>10467.904833540002</v>
      </c>
      <c r="K246" s="69"/>
      <c r="L246" s="319"/>
    </row>
    <row r="247" spans="2:12" s="37" customFormat="1" ht="15.75">
      <c r="B247" s="48"/>
      <c r="C247" s="160" t="s">
        <v>304</v>
      </c>
      <c r="D247" s="156">
        <f>$J$12*F801ENE!D35</f>
        <v>1775.6901702516336</v>
      </c>
      <c r="E247" s="156">
        <f>$J$12*F801ENE!E35</f>
        <v>1776.4312419883252</v>
      </c>
      <c r="F247" s="156">
        <f>$J$12*F801ENE!F35</f>
        <v>1742.8792429056145</v>
      </c>
      <c r="G247" s="156">
        <f>$J$12*F801ENE!G35</f>
        <v>1770.34189074601</v>
      </c>
      <c r="H247" s="156">
        <f>$J$12*F801ENE!H35</f>
        <v>1693.6333834353629</v>
      </c>
      <c r="I247" s="156">
        <f>$J$12*F801ENE!I35</f>
        <v>1701.5695293330546</v>
      </c>
      <c r="J247" s="156">
        <f t="shared" si="60"/>
        <v>10460.545458660003</v>
      </c>
      <c r="K247" s="69"/>
      <c r="L247" s="319">
        <v>1</v>
      </c>
    </row>
    <row r="248" spans="2:12" s="37" customFormat="1" ht="15.75">
      <c r="B248" s="48"/>
      <c r="C248" s="161" t="s">
        <v>306</v>
      </c>
      <c r="D248" s="156">
        <f>$J$12*F801ENE!D36</f>
        <v>0</v>
      </c>
      <c r="E248" s="156">
        <f>$J$12*F801ENE!E36</f>
        <v>0</v>
      </c>
      <c r="F248" s="156">
        <f>$J$12*F801ENE!F36</f>
        <v>0</v>
      </c>
      <c r="G248" s="156">
        <f>$J$12*F801ENE!G36</f>
        <v>0</v>
      </c>
      <c r="H248" s="156">
        <f>$J$12*F801ENE!H36</f>
        <v>0</v>
      </c>
      <c r="I248" s="156">
        <f>$J$12*F801ENE!I36</f>
        <v>0</v>
      </c>
      <c r="J248" s="156">
        <f t="shared" si="60"/>
        <v>0</v>
      </c>
      <c r="K248" s="69"/>
      <c r="L248" s="319">
        <v>1</v>
      </c>
    </row>
    <row r="249" spans="2:12" s="37" customFormat="1" ht="15.75">
      <c r="B249" s="48"/>
      <c r="C249" s="160" t="s">
        <v>305</v>
      </c>
      <c r="D249" s="156">
        <f>$J$12*F801ENE!D37*0.95</f>
        <v>1.2492627354144501</v>
      </c>
      <c r="E249" s="156">
        <f>$J$12*F801ENE!E37*0.95</f>
        <v>1.2497841063835682</v>
      </c>
      <c r="F249" s="156">
        <f>$J$12*F801ENE!F37*0.95</f>
        <v>1.2261790524980978</v>
      </c>
      <c r="G249" s="156">
        <f>$J$12*F801ENE!G37*0.95</f>
        <v>1.2455000259075266</v>
      </c>
      <c r="H249" s="156">
        <f>$J$12*F801ENE!H37*0.95</f>
        <v>1.1915327959943947</v>
      </c>
      <c r="I249" s="156">
        <f>$J$12*F801ENE!I37*0.95</f>
        <v>1.197116163801963</v>
      </c>
      <c r="J249" s="156">
        <f t="shared" si="60"/>
        <v>7.3593748800000007</v>
      </c>
      <c r="K249" s="69"/>
      <c r="L249" s="319">
        <v>0.95</v>
      </c>
    </row>
    <row r="250" spans="2:12" s="37" customFormat="1" ht="15.75">
      <c r="B250" s="48"/>
      <c r="C250" s="160" t="s">
        <v>307</v>
      </c>
      <c r="D250" s="156">
        <f>$J$12*F801ENE!D38*0.5</f>
        <v>0</v>
      </c>
      <c r="E250" s="156">
        <f>$J$12*F801ENE!E38*0.5</f>
        <v>0</v>
      </c>
      <c r="F250" s="156">
        <f>$J$12*F801ENE!F38*0.5</f>
        <v>0</v>
      </c>
      <c r="G250" s="156">
        <f>$J$12*F801ENE!G38*0.5</f>
        <v>0</v>
      </c>
      <c r="H250" s="156">
        <f>$J$12*F801ENE!H38*0.5</f>
        <v>0</v>
      </c>
      <c r="I250" s="156">
        <f>$J$12*F801ENE!I38*0.5</f>
        <v>0</v>
      </c>
      <c r="J250" s="156">
        <f t="shared" si="60"/>
        <v>0</v>
      </c>
      <c r="K250" s="69"/>
      <c r="L250" s="319">
        <v>0.5</v>
      </c>
    </row>
    <row r="251" spans="2:12" s="37" customFormat="1" ht="15.75">
      <c r="B251" s="48" t="s">
        <v>274</v>
      </c>
      <c r="C251" s="158" t="s">
        <v>632</v>
      </c>
      <c r="D251" s="159">
        <f t="shared" ref="D251:I251" si="62">SUM(D252:D255)</f>
        <v>499.9235542162636</v>
      </c>
      <c r="E251" s="159">
        <f t="shared" si="62"/>
        <v>500.13219377666832</v>
      </c>
      <c r="F251" s="159">
        <f t="shared" si="62"/>
        <v>490.68604437881879</v>
      </c>
      <c r="G251" s="159">
        <f t="shared" si="62"/>
        <v>498.41781242403727</v>
      </c>
      <c r="H251" s="159">
        <f t="shared" si="62"/>
        <v>476.82148314553001</v>
      </c>
      <c r="I251" s="159">
        <f t="shared" si="62"/>
        <v>479.05580663868227</v>
      </c>
      <c r="J251" s="159">
        <f t="shared" si="60"/>
        <v>2945.0368945800001</v>
      </c>
      <c r="K251" s="69"/>
      <c r="L251" s="319"/>
    </row>
    <row r="252" spans="2:12" s="37" customFormat="1" ht="15.75">
      <c r="B252" s="48"/>
      <c r="C252" s="160" t="s">
        <v>304</v>
      </c>
      <c r="D252" s="156">
        <f>$J$12*F801ENE!D40</f>
        <v>499.9235542162636</v>
      </c>
      <c r="E252" s="156">
        <f>$J$12*F801ENE!E40</f>
        <v>500.13219377666832</v>
      </c>
      <c r="F252" s="156">
        <f>$J$12*F801ENE!F40</f>
        <v>490.68604437881879</v>
      </c>
      <c r="G252" s="156">
        <f>$J$12*F801ENE!G40</f>
        <v>498.41781242403727</v>
      </c>
      <c r="H252" s="156">
        <f>$J$12*F801ENE!H40</f>
        <v>476.82148314553001</v>
      </c>
      <c r="I252" s="156">
        <f>$J$12*F801ENE!I40</f>
        <v>479.05580663868227</v>
      </c>
      <c r="J252" s="156">
        <f t="shared" si="60"/>
        <v>2945.0368945800001</v>
      </c>
      <c r="K252" s="69"/>
      <c r="L252" s="319">
        <v>1</v>
      </c>
    </row>
    <row r="253" spans="2:12" s="37" customFormat="1" ht="15.75">
      <c r="B253" s="48"/>
      <c r="C253" s="161" t="s">
        <v>306</v>
      </c>
      <c r="D253" s="156">
        <f>$J$12*F801ENE!D41</f>
        <v>0</v>
      </c>
      <c r="E253" s="156">
        <f>$J$12*F801ENE!E41</f>
        <v>0</v>
      </c>
      <c r="F253" s="156">
        <f>$J$12*F801ENE!F41</f>
        <v>0</v>
      </c>
      <c r="G253" s="156">
        <f>$J$12*F801ENE!G41</f>
        <v>0</v>
      </c>
      <c r="H253" s="156">
        <f>$J$12*F801ENE!H41</f>
        <v>0</v>
      </c>
      <c r="I253" s="156">
        <f>$J$12*F801ENE!I41</f>
        <v>0</v>
      </c>
      <c r="J253" s="156">
        <f t="shared" si="60"/>
        <v>0</v>
      </c>
      <c r="K253" s="69"/>
      <c r="L253" s="319">
        <v>1</v>
      </c>
    </row>
    <row r="254" spans="2:12" s="37" customFormat="1" ht="15.75">
      <c r="B254" s="48"/>
      <c r="C254" s="160" t="s">
        <v>305</v>
      </c>
      <c r="D254" s="156">
        <f>$J$12*F801ENE!D42*0.95</f>
        <v>0</v>
      </c>
      <c r="E254" s="156">
        <f>$J$12*F801ENE!E42*0.95</f>
        <v>0</v>
      </c>
      <c r="F254" s="156">
        <f>$J$12*F801ENE!F42*0.95</f>
        <v>0</v>
      </c>
      <c r="G254" s="156">
        <f>$J$12*F801ENE!G42*0.95</f>
        <v>0</v>
      </c>
      <c r="H254" s="156">
        <f>$J$12*F801ENE!H42*0.95</f>
        <v>0</v>
      </c>
      <c r="I254" s="156">
        <f>$J$12*F801ENE!I42*0.95</f>
        <v>0</v>
      </c>
      <c r="J254" s="156">
        <f t="shared" si="60"/>
        <v>0</v>
      </c>
      <c r="K254" s="69"/>
      <c r="L254" s="319">
        <v>0.95</v>
      </c>
    </row>
    <row r="255" spans="2:12" s="37" customFormat="1" ht="15.75">
      <c r="B255" s="48"/>
      <c r="C255" s="160" t="s">
        <v>307</v>
      </c>
      <c r="D255" s="156">
        <f>$J$12*F801ENE!D43*0.5</f>
        <v>0</v>
      </c>
      <c r="E255" s="156">
        <f>$J$12*F801ENE!E43*0.5</f>
        <v>0</v>
      </c>
      <c r="F255" s="156">
        <f>$J$12*F801ENE!F43*0.5</f>
        <v>0</v>
      </c>
      <c r="G255" s="156">
        <f>$J$12*F801ENE!G43*0.5</f>
        <v>0</v>
      </c>
      <c r="H255" s="156">
        <f>$J$12*F801ENE!H43*0.5</f>
        <v>0</v>
      </c>
      <c r="I255" s="156">
        <f>$J$12*F801ENE!I43*0.5</f>
        <v>0</v>
      </c>
      <c r="J255" s="156">
        <f t="shared" si="60"/>
        <v>0</v>
      </c>
      <c r="K255" s="69"/>
      <c r="L255" s="319">
        <v>0.5</v>
      </c>
    </row>
    <row r="256" spans="2:12" s="37" customFormat="1" ht="15.75">
      <c r="B256" s="48" t="s">
        <v>274</v>
      </c>
      <c r="C256" s="158" t="s">
        <v>633</v>
      </c>
      <c r="D256" s="159">
        <f t="shared" ref="D256:I256" si="63">SUM(D257:D260)</f>
        <v>505.27549018599791</v>
      </c>
      <c r="E256" s="159">
        <f t="shared" si="63"/>
        <v>505.48636333903613</v>
      </c>
      <c r="F256" s="159">
        <f t="shared" si="63"/>
        <v>495.9390881064237</v>
      </c>
      <c r="G256" s="159">
        <f t="shared" si="63"/>
        <v>503.75362866188266</v>
      </c>
      <c r="H256" s="159">
        <f t="shared" si="63"/>
        <v>481.92609969193251</v>
      </c>
      <c r="I256" s="159">
        <f t="shared" si="63"/>
        <v>484.1843427547272</v>
      </c>
      <c r="J256" s="159">
        <f t="shared" si="60"/>
        <v>2976.5650127400004</v>
      </c>
      <c r="K256" s="69"/>
      <c r="L256" s="319"/>
    </row>
    <row r="257" spans="2:12" s="37" customFormat="1" ht="15.75">
      <c r="B257" s="48"/>
      <c r="C257" s="160" t="s">
        <v>304</v>
      </c>
      <c r="D257" s="156">
        <f>$J$12*F801ENE!D45</f>
        <v>505.27549018599791</v>
      </c>
      <c r="E257" s="156">
        <f>$J$12*F801ENE!E45</f>
        <v>505.48636333903613</v>
      </c>
      <c r="F257" s="156">
        <f>$J$12*F801ENE!F45</f>
        <v>495.9390881064237</v>
      </c>
      <c r="G257" s="156">
        <f>$J$12*F801ENE!G45</f>
        <v>503.75362866188266</v>
      </c>
      <c r="H257" s="156">
        <f>$J$12*F801ENE!H45</f>
        <v>481.92609969193251</v>
      </c>
      <c r="I257" s="156">
        <f>$J$12*F801ENE!I45</f>
        <v>484.1843427547272</v>
      </c>
      <c r="J257" s="156">
        <f t="shared" si="60"/>
        <v>2976.5650127400004</v>
      </c>
      <c r="K257" s="69"/>
      <c r="L257" s="319">
        <v>1</v>
      </c>
    </row>
    <row r="258" spans="2:12" s="37" customFormat="1" ht="15.75">
      <c r="B258" s="48"/>
      <c r="C258" s="161" t="s">
        <v>306</v>
      </c>
      <c r="D258" s="156">
        <f>$J$12*F801ENE!D46</f>
        <v>0</v>
      </c>
      <c r="E258" s="156">
        <f>$J$12*F801ENE!E46</f>
        <v>0</v>
      </c>
      <c r="F258" s="156">
        <f>$J$12*F801ENE!F46</f>
        <v>0</v>
      </c>
      <c r="G258" s="156">
        <f>$J$12*F801ENE!G46</f>
        <v>0</v>
      </c>
      <c r="H258" s="156">
        <f>$J$12*F801ENE!H46</f>
        <v>0</v>
      </c>
      <c r="I258" s="156">
        <f>$J$12*F801ENE!I46</f>
        <v>0</v>
      </c>
      <c r="J258" s="156">
        <f t="shared" si="60"/>
        <v>0</v>
      </c>
      <c r="K258" s="69"/>
      <c r="L258" s="319">
        <v>1</v>
      </c>
    </row>
    <row r="259" spans="2:12" s="37" customFormat="1" ht="15.75">
      <c r="B259" s="48"/>
      <c r="C259" s="160" t="s">
        <v>305</v>
      </c>
      <c r="D259" s="156">
        <f>$J$12*F801ENE!D47*0.95</f>
        <v>0</v>
      </c>
      <c r="E259" s="156">
        <f>$J$12*F801ENE!E47*0.95</f>
        <v>0</v>
      </c>
      <c r="F259" s="156">
        <f>$J$12*F801ENE!F47*0.95</f>
        <v>0</v>
      </c>
      <c r="G259" s="156">
        <f>$J$12*F801ENE!G47*0.95</f>
        <v>0</v>
      </c>
      <c r="H259" s="156">
        <f>$J$12*F801ENE!H47*0.95</f>
        <v>0</v>
      </c>
      <c r="I259" s="156">
        <f>$J$12*F801ENE!I47*0.95</f>
        <v>0</v>
      </c>
      <c r="J259" s="156">
        <f t="shared" si="60"/>
        <v>0</v>
      </c>
      <c r="K259" s="69"/>
      <c r="L259" s="319">
        <v>0.95</v>
      </c>
    </row>
    <row r="260" spans="2:12" s="37" customFormat="1" ht="15.75">
      <c r="B260" s="48"/>
      <c r="C260" s="160" t="s">
        <v>307</v>
      </c>
      <c r="D260" s="156">
        <f>$J$12*F801ENE!D48*0.5</f>
        <v>0</v>
      </c>
      <c r="E260" s="156">
        <f>$J$12*F801ENE!E48*0.5</f>
        <v>0</v>
      </c>
      <c r="F260" s="156">
        <f>$J$12*F801ENE!F48*0.5</f>
        <v>0</v>
      </c>
      <c r="G260" s="156">
        <f>$J$12*F801ENE!G48*0.5</f>
        <v>0</v>
      </c>
      <c r="H260" s="156">
        <f>$J$12*F801ENE!H48*0.5</f>
        <v>0</v>
      </c>
      <c r="I260" s="156">
        <f>$J$12*F801ENE!I48*0.5</f>
        <v>0</v>
      </c>
      <c r="J260" s="156">
        <f t="shared" si="60"/>
        <v>0</v>
      </c>
      <c r="K260" s="69"/>
      <c r="L260" s="319">
        <v>0.5</v>
      </c>
    </row>
    <row r="261" spans="2:12" s="37" customFormat="1" ht="15.75">
      <c r="B261" s="48"/>
      <c r="C261" s="157"/>
      <c r="D261" s="156"/>
      <c r="E261" s="156"/>
      <c r="F261" s="156"/>
      <c r="G261" s="156"/>
      <c r="H261" s="156"/>
      <c r="I261" s="156"/>
      <c r="J261" s="156"/>
      <c r="K261" s="69"/>
      <c r="L261" s="319"/>
    </row>
    <row r="262" spans="2:12" s="37" customFormat="1" ht="15.75">
      <c r="B262" s="48" t="s">
        <v>1176</v>
      </c>
      <c r="C262" s="158" t="str">
        <f>F801ENE!$C$50</f>
        <v>BTSH</v>
      </c>
      <c r="D262" s="159">
        <f t="shared" ref="D262:I262" si="64">SUM(D263:D268)</f>
        <v>0.12000000000000001</v>
      </c>
      <c r="E262" s="159">
        <f t="shared" si="64"/>
        <v>0.12000000000000001</v>
      </c>
      <c r="F262" s="159">
        <f t="shared" si="64"/>
        <v>0.12000000000000001</v>
      </c>
      <c r="G262" s="159">
        <f t="shared" si="64"/>
        <v>0.12000000000000001</v>
      </c>
      <c r="H262" s="159">
        <f t="shared" si="64"/>
        <v>0.12000000000000001</v>
      </c>
      <c r="I262" s="159">
        <f t="shared" si="64"/>
        <v>0.12000000000000001</v>
      </c>
      <c r="J262" s="159">
        <f t="shared" ref="J262:J288" si="65">SUM(D262:I262)</f>
        <v>0.72000000000000008</v>
      </c>
      <c r="K262" s="69"/>
      <c r="L262" s="319"/>
    </row>
    <row r="263" spans="2:12" s="37" customFormat="1" ht="15.75">
      <c r="B263" s="48"/>
      <c r="C263" s="160" t="str">
        <f>F801ENE!$C$51</f>
        <v xml:space="preserve">    - Regulares</v>
      </c>
      <c r="D263" s="156">
        <f>$J$16*F801ENE!D51*1</f>
        <v>0.12000000000000001</v>
      </c>
      <c r="E263" s="156">
        <f>$J$16*F801ENE!E51*1</f>
        <v>0.12000000000000001</v>
      </c>
      <c r="F263" s="156">
        <f>$J$16*F801ENE!F51*1</f>
        <v>0.12000000000000001</v>
      </c>
      <c r="G263" s="156">
        <f>$J$16*F801ENE!G51*1</f>
        <v>0.12000000000000001</v>
      </c>
      <c r="H263" s="156">
        <f>$J$16*F801ENE!H51*1</f>
        <v>0.12000000000000001</v>
      </c>
      <c r="I263" s="156">
        <f>$J$16*F801ENE!I51*1</f>
        <v>0.12000000000000001</v>
      </c>
      <c r="J263" s="156">
        <f t="shared" si="65"/>
        <v>0.72000000000000008</v>
      </c>
      <c r="K263" s="69"/>
      <c r="L263" s="319">
        <v>1</v>
      </c>
    </row>
    <row r="264" spans="2:12" s="37" customFormat="1" ht="15.75">
      <c r="B264" s="48"/>
      <c r="C264" s="162" t="str">
        <f>F801ENE!$C$52</f>
        <v xml:space="preserve">    - Jubilados (0 a 600 KWh)</v>
      </c>
      <c r="D264" s="156">
        <f>$J$16*F801ENE!D52*0.75</f>
        <v>0</v>
      </c>
      <c r="E264" s="156">
        <f>$J$16*F801ENE!E52*0.75</f>
        <v>0</v>
      </c>
      <c r="F264" s="156">
        <f>$J$16*F801ENE!F52*0.75</f>
        <v>0</v>
      </c>
      <c r="G264" s="156">
        <f>$J$16*F801ENE!G52*0.75</f>
        <v>0</v>
      </c>
      <c r="H264" s="156">
        <f>$J$16*F801ENE!H52*0.75</f>
        <v>0</v>
      </c>
      <c r="I264" s="156">
        <f>$J$16*F801ENE!I52*0.75</f>
        <v>0</v>
      </c>
      <c r="J264" s="156">
        <f t="shared" si="65"/>
        <v>0</v>
      </c>
      <c r="K264" s="69"/>
      <c r="L264" s="319">
        <v>0.75</v>
      </c>
    </row>
    <row r="265" spans="2:12" s="37" customFormat="1" ht="15.75">
      <c r="B265" s="48"/>
      <c r="C265" s="162" t="str">
        <f>F801ENE!$C$53</f>
        <v xml:space="preserve">    - Jubilados (601 y Más KWh)</v>
      </c>
      <c r="D265" s="156">
        <f>$J$16*F801ENE!D53*1</f>
        <v>0</v>
      </c>
      <c r="E265" s="156">
        <f>$J$16*F801ENE!E53*1</f>
        <v>0</v>
      </c>
      <c r="F265" s="156">
        <f>$J$16*F801ENE!F53*1</f>
        <v>0</v>
      </c>
      <c r="G265" s="156">
        <f>$J$16*F801ENE!G53*1</f>
        <v>0</v>
      </c>
      <c r="H265" s="156">
        <f>$J$16*F801ENE!H53*1</f>
        <v>0</v>
      </c>
      <c r="I265" s="156">
        <f>$J$16*F801ENE!I53*1</f>
        <v>0</v>
      </c>
      <c r="J265" s="156">
        <f t="shared" si="65"/>
        <v>0</v>
      </c>
      <c r="K265" s="69"/>
      <c r="L265" s="319">
        <v>1</v>
      </c>
    </row>
    <row r="266" spans="2:12" s="37" customFormat="1" ht="15.75">
      <c r="B266" s="48"/>
      <c r="C266" s="160" t="str">
        <f>F801ENE!$C$54</f>
        <v xml:space="preserve">    - Agropecuarios</v>
      </c>
      <c r="D266" s="156">
        <f>$J$16*F801ENE!D54*0.95</f>
        <v>0</v>
      </c>
      <c r="E266" s="156">
        <f>$J$16*F801ENE!E54*0.95</f>
        <v>0</v>
      </c>
      <c r="F266" s="156">
        <f>$J$16*F801ENE!F54*0.95</f>
        <v>0</v>
      </c>
      <c r="G266" s="156">
        <f>$J$16*F801ENE!G54*0.95</f>
        <v>0</v>
      </c>
      <c r="H266" s="156">
        <f>$J$16*F801ENE!H54*0.95</f>
        <v>0</v>
      </c>
      <c r="I266" s="156">
        <f>$J$16*F801ENE!I54*0.95</f>
        <v>0</v>
      </c>
      <c r="J266" s="156">
        <f t="shared" si="65"/>
        <v>0</v>
      </c>
      <c r="K266" s="69"/>
      <c r="L266" s="319">
        <v>0.95</v>
      </c>
    </row>
    <row r="267" spans="2:12" s="37" customFormat="1" ht="15.75">
      <c r="B267" s="48"/>
      <c r="C267" s="160" t="str">
        <f>F801ENE!$C$55</f>
        <v xml:space="preserve">    - Partidos Políticos</v>
      </c>
      <c r="D267" s="156">
        <f>$J$16*F801ENE!D55*0.5</f>
        <v>0</v>
      </c>
      <c r="E267" s="156">
        <f>$J$16*F801ENE!E55*0.5</f>
        <v>0</v>
      </c>
      <c r="F267" s="156">
        <f>$J$16*F801ENE!F55*0.5</f>
        <v>0</v>
      </c>
      <c r="G267" s="156">
        <f>$J$16*F801ENE!G55*0.5</f>
        <v>0</v>
      </c>
      <c r="H267" s="156">
        <f>$J$16*F801ENE!H55*0.5</f>
        <v>0</v>
      </c>
      <c r="I267" s="156">
        <f>$J$16*F801ENE!I55*0.5</f>
        <v>0</v>
      </c>
      <c r="J267" s="156">
        <f t="shared" si="65"/>
        <v>0</v>
      </c>
      <c r="K267" s="69"/>
      <c r="L267" s="319">
        <v>0.5</v>
      </c>
    </row>
    <row r="268" spans="2:12" s="37" customFormat="1" ht="15.75">
      <c r="B268" s="48"/>
      <c r="C268" s="160" t="str">
        <f>F801ENE!$C$56</f>
        <v xml:space="preserve">    - Cruz Roja</v>
      </c>
      <c r="D268" s="156">
        <f>$J$16*F801ENE!D56*0</f>
        <v>0</v>
      </c>
      <c r="E268" s="156">
        <f>$J$16*F801ENE!E56*0</f>
        <v>0</v>
      </c>
      <c r="F268" s="156">
        <f>$J$16*F801ENE!F56*0</f>
        <v>0</v>
      </c>
      <c r="G268" s="156">
        <f>$J$16*F801ENE!G56*0</f>
        <v>0</v>
      </c>
      <c r="H268" s="156">
        <f>$J$16*F801ENE!H56*0</f>
        <v>0</v>
      </c>
      <c r="I268" s="156">
        <f>$J$16*F801ENE!I56*0</f>
        <v>0</v>
      </c>
      <c r="J268" s="156">
        <f t="shared" si="65"/>
        <v>0</v>
      </c>
      <c r="K268" s="69"/>
      <c r="L268" s="319">
        <v>0</v>
      </c>
    </row>
    <row r="269" spans="2:12" s="37" customFormat="1" ht="15.75">
      <c r="B269" s="48" t="s">
        <v>751</v>
      </c>
      <c r="C269" s="158" t="s">
        <v>634</v>
      </c>
      <c r="D269" s="159">
        <f t="shared" ref="D269:I269" si="66">SUM(D270:D274)</f>
        <v>9620.8562249391161</v>
      </c>
      <c r="E269" s="159">
        <f t="shared" si="66"/>
        <v>9624.8714713369009</v>
      </c>
      <c r="F269" s="159">
        <f t="shared" si="66"/>
        <v>9443.0813196077888</v>
      </c>
      <c r="G269" s="159">
        <f t="shared" si="66"/>
        <v>9591.8783825035516</v>
      </c>
      <c r="H269" s="159">
        <f t="shared" si="66"/>
        <v>9176.2592967811161</v>
      </c>
      <c r="I269" s="159">
        <f t="shared" si="66"/>
        <v>9219.2586174275275</v>
      </c>
      <c r="J269" s="159">
        <f t="shared" si="65"/>
        <v>56676.205312595994</v>
      </c>
      <c r="K269" s="69"/>
      <c r="L269" s="319"/>
    </row>
    <row r="270" spans="2:12" s="37" customFormat="1" ht="15.75">
      <c r="B270" s="48"/>
      <c r="C270" s="160" t="s">
        <v>304</v>
      </c>
      <c r="D270" s="156">
        <f>$J$18*F801ENE!D66*$L270</f>
        <v>6799.0591913522949</v>
      </c>
      <c r="E270" s="156">
        <f>$J$18*F801ENE!E66*$L270</f>
        <v>6801.896780710973</v>
      </c>
      <c r="F270" s="156">
        <f>$J$18*F801ENE!F66*$L270</f>
        <v>6673.4250136126002</v>
      </c>
      <c r="G270" s="156">
        <f>$J$18*F801ENE!G66*$L270</f>
        <v>6778.5804438019741</v>
      </c>
      <c r="H270" s="156">
        <f>$J$18*F801ENE!H66*$L270</f>
        <v>6484.8609112822114</v>
      </c>
      <c r="I270" s="156">
        <f>$J$18*F801ENE!I66*$L270</f>
        <v>6515.2486889199472</v>
      </c>
      <c r="J270" s="156">
        <f t="shared" si="65"/>
        <v>40053.071029680003</v>
      </c>
      <c r="K270" s="69"/>
      <c r="L270" s="319">
        <v>1</v>
      </c>
    </row>
    <row r="271" spans="2:12" s="37" customFormat="1" ht="15.75">
      <c r="B271" s="48"/>
      <c r="C271" s="162" t="s">
        <v>644</v>
      </c>
      <c r="D271" s="156">
        <f>$J$18*F801ENE!D67*$L271</f>
        <v>2821.196179885224</v>
      </c>
      <c r="E271" s="156">
        <f>$J$18*F801ENE!E67*$L271</f>
        <v>2822.3735861622881</v>
      </c>
      <c r="F271" s="156">
        <f>$J$18*F801ENE!F67*$L271</f>
        <v>2769.0665547750264</v>
      </c>
      <c r="G271" s="156">
        <f>$J$18*F801ENE!G67*$L271</f>
        <v>2812.6988947377336</v>
      </c>
      <c r="H271" s="156">
        <f>$J$18*F801ENE!H67*$L271</f>
        <v>2690.8252979723547</v>
      </c>
      <c r="I271" s="156">
        <f>$J$18*F801ENE!I67*$L271</f>
        <v>2703.4341555673741</v>
      </c>
      <c r="J271" s="156">
        <f t="shared" si="65"/>
        <v>16619.594669100003</v>
      </c>
      <c r="K271" s="69"/>
      <c r="L271" s="319">
        <v>0.75</v>
      </c>
    </row>
    <row r="272" spans="2:12" s="37" customFormat="1" ht="15.75">
      <c r="B272" s="48"/>
      <c r="C272" s="160" t="s">
        <v>305</v>
      </c>
      <c r="D272" s="156">
        <f>$J$18*F801ENE!D68*$L272</f>
        <v>0.57983898482268914</v>
      </c>
      <c r="E272" s="156">
        <f>$J$18*F801ENE!E68*$L272</f>
        <v>0.5800809765229773</v>
      </c>
      <c r="F272" s="156">
        <f>$J$18*F801ENE!F68*$L272</f>
        <v>0.56912481006284865</v>
      </c>
      <c r="G272" s="156">
        <f>$J$18*F801ENE!G68*$L272</f>
        <v>0.57809254222192319</v>
      </c>
      <c r="H272" s="156">
        <f>$J$18*F801ENE!H68*$L272</f>
        <v>0.55304392521011281</v>
      </c>
      <c r="I272" s="156">
        <f>$J$18*F801ENE!I68*$L272</f>
        <v>0.55563541715944897</v>
      </c>
      <c r="J272" s="156">
        <f t="shared" si="65"/>
        <v>3.4158166560000001</v>
      </c>
      <c r="K272" s="69"/>
      <c r="L272" s="319">
        <v>0.95</v>
      </c>
    </row>
    <row r="273" spans="2:28" s="37" customFormat="1" ht="15.75">
      <c r="B273" s="48"/>
      <c r="C273" s="160" t="s">
        <v>307</v>
      </c>
      <c r="D273" s="156">
        <f>$J$18*F801ENE!D69*$L273</f>
        <v>2.1014716774169866E-2</v>
      </c>
      <c r="E273" s="156">
        <f>$J$18*F801ENE!E69*$L273</f>
        <v>2.1023487117621007E-2</v>
      </c>
      <c r="F273" s="156">
        <f>$J$18*F801ENE!F69*$L273</f>
        <v>2.0626410099488696E-2</v>
      </c>
      <c r="G273" s="156">
        <f>$J$18*F801ENE!G69*$L273</f>
        <v>2.0951421622277547E-2</v>
      </c>
      <c r="H273" s="156">
        <f>$J$18*F801ENE!H69*$L273</f>
        <v>2.0043601337912203E-2</v>
      </c>
      <c r="I273" s="156">
        <f>$J$18*F801ENE!I69*$L273</f>
        <v>2.0137523048530694E-2</v>
      </c>
      <c r="J273" s="156">
        <f t="shared" si="65"/>
        <v>0.12379716000000002</v>
      </c>
      <c r="K273" s="69"/>
      <c r="L273" s="319">
        <v>0.5</v>
      </c>
    </row>
    <row r="274" spans="2:28" s="37" customFormat="1" ht="15.75">
      <c r="B274" s="48"/>
      <c r="C274" s="160" t="s">
        <v>624</v>
      </c>
      <c r="D274" s="156">
        <f>$J$18*F801ENE!D70*$L274</f>
        <v>0</v>
      </c>
      <c r="E274" s="156">
        <f>$J$18*F801ENE!E70*$L274</f>
        <v>0</v>
      </c>
      <c r="F274" s="156">
        <f>$J$18*F801ENE!F70*$L274</f>
        <v>0</v>
      </c>
      <c r="G274" s="156">
        <f>$J$18*F801ENE!G70*$L274</f>
        <v>0</v>
      </c>
      <c r="H274" s="156">
        <f>$J$18*F801ENE!H70*$L274</f>
        <v>0</v>
      </c>
      <c r="I274" s="156">
        <f>$J$18*F801ENE!I70*$L274</f>
        <v>0</v>
      </c>
      <c r="J274" s="156">
        <f t="shared" si="65"/>
        <v>0</v>
      </c>
      <c r="K274" s="69"/>
      <c r="L274" s="319">
        <v>0</v>
      </c>
    </row>
    <row r="275" spans="2:28" s="37" customFormat="1" ht="15.75">
      <c r="B275" s="48" t="s">
        <v>750</v>
      </c>
      <c r="C275" s="158" t="s">
        <v>635</v>
      </c>
      <c r="D275" s="159">
        <f t="shared" ref="D275:I275" si="67">SUM(D276:D281)</f>
        <v>3619.5740888261012</v>
      </c>
      <c r="E275" s="159">
        <f t="shared" si="67"/>
        <v>3621.0846924781508</v>
      </c>
      <c r="F275" s="159">
        <f t="shared" si="67"/>
        <v>3552.6921606374817</v>
      </c>
      <c r="G275" s="159">
        <f t="shared" si="67"/>
        <v>3608.6721340579379</v>
      </c>
      <c r="H275" s="159">
        <f t="shared" si="67"/>
        <v>3452.3091997433339</v>
      </c>
      <c r="I275" s="159">
        <f t="shared" si="67"/>
        <v>3468.4862719249954</v>
      </c>
      <c r="J275" s="159">
        <f t="shared" si="65"/>
        <v>21322.818547667997</v>
      </c>
      <c r="K275" s="69"/>
      <c r="L275" s="319"/>
    </row>
    <row r="276" spans="2:28" s="37" customFormat="1" ht="15.75">
      <c r="B276" s="48"/>
      <c r="C276" s="160" t="s">
        <v>304</v>
      </c>
      <c r="D276" s="156">
        <f>$J$18*F801ENE!D72*$L276</f>
        <v>2604.3471618970952</v>
      </c>
      <c r="E276" s="156">
        <f>$J$18*F801ENE!E72*$L276</f>
        <v>2605.4340677698365</v>
      </c>
      <c r="F276" s="156">
        <f>$J$18*F801ENE!F72*$L276</f>
        <v>2556.2244392823122</v>
      </c>
      <c r="G276" s="156">
        <f>$J$18*F801ENE!G72*$L276</f>
        <v>2596.5030138667385</v>
      </c>
      <c r="H276" s="156">
        <f>$J$18*F801ENE!H72*$L276</f>
        <v>2483.9971349388088</v>
      </c>
      <c r="I276" s="156">
        <f>$J$18*F801ENE!I72*$L276</f>
        <v>2495.6368226452091</v>
      </c>
      <c r="J276" s="156">
        <f t="shared" si="65"/>
        <v>15342.142640399999</v>
      </c>
      <c r="K276" s="69"/>
      <c r="L276" s="319">
        <v>1</v>
      </c>
      <c r="W276" s="60"/>
      <c r="X276" s="60"/>
      <c r="Y276" s="60"/>
      <c r="Z276" s="60"/>
      <c r="AA276" s="60"/>
      <c r="AB276" s="60"/>
    </row>
    <row r="277" spans="2:28" s="37" customFormat="1" ht="15.75">
      <c r="B277" s="48"/>
      <c r="C277" s="162" t="s">
        <v>642</v>
      </c>
      <c r="D277" s="156">
        <f>$J$18*F801ENE!D73*$L277</f>
        <v>819.58828098362301</v>
      </c>
      <c r="E277" s="156">
        <f>$J$18*F801ENE!E73*$L277</f>
        <v>819.93033035740223</v>
      </c>
      <c r="F277" s="156">
        <f>$J$18*F801ENE!F73*$L277</f>
        <v>804.44405594283694</v>
      </c>
      <c r="G277" s="156">
        <f>$J$18*F801ENE!G73*$L277</f>
        <v>817.11972690832908</v>
      </c>
      <c r="H277" s="156">
        <f>$J$18*F801ENE!H73*$L277</f>
        <v>781.71411691126332</v>
      </c>
      <c r="I277" s="156">
        <f>$J$18*F801ENE!I73*$L277</f>
        <v>785.37712765654578</v>
      </c>
      <c r="J277" s="156">
        <f t="shared" si="65"/>
        <v>4828.1736387600004</v>
      </c>
      <c r="K277" s="69"/>
      <c r="L277" s="319">
        <v>0.75</v>
      </c>
      <c r="W277" s="60"/>
      <c r="X277" s="60"/>
      <c r="Y277" s="60"/>
      <c r="Z277" s="60"/>
      <c r="AA277" s="60"/>
      <c r="AB277" s="60"/>
    </row>
    <row r="278" spans="2:28" s="37" customFormat="1" ht="15.75">
      <c r="B278" s="48"/>
      <c r="C278" s="162" t="s">
        <v>1177</v>
      </c>
      <c r="D278" s="156">
        <f>$J$18*F801ENE!D74*$L278</f>
        <v>195.03814022492384</v>
      </c>
      <c r="E278" s="156">
        <f>$J$18*F801ENE!E74*$L278</f>
        <v>195.11953801363671</v>
      </c>
      <c r="F278" s="156">
        <f>$J$18*F801ENE!F74*$L278</f>
        <v>191.43425574336715</v>
      </c>
      <c r="G278" s="156">
        <f>$J$18*F801ENE!G74*$L278</f>
        <v>194.45069625206452</v>
      </c>
      <c r="H278" s="156">
        <f>$J$18*F801ENE!H74*$L278</f>
        <v>186.02519226722328</v>
      </c>
      <c r="I278" s="156">
        <f>$J$18*F801ENE!I74*$L278</f>
        <v>186.8968821387846</v>
      </c>
      <c r="J278" s="156">
        <f t="shared" si="65"/>
        <v>1148.96470464</v>
      </c>
      <c r="K278" s="69"/>
      <c r="L278" s="319">
        <v>1</v>
      </c>
      <c r="W278" s="60"/>
      <c r="X278" s="60"/>
      <c r="Y278" s="60"/>
      <c r="Z278" s="60"/>
      <c r="AA278" s="60"/>
      <c r="AB278" s="60"/>
    </row>
    <row r="279" spans="2:28" s="37" customFormat="1" ht="15.75">
      <c r="B279" s="48"/>
      <c r="C279" s="160" t="s">
        <v>305</v>
      </c>
      <c r="D279" s="156">
        <f>$J$18*F801ENE!D75*$L279</f>
        <v>0.57255228069209319</v>
      </c>
      <c r="E279" s="156">
        <f>$J$18*F801ENE!E75*$L279</f>
        <v>0.57279123133793641</v>
      </c>
      <c r="F279" s="156">
        <f>$J$18*F801ENE!F75*$L279</f>
        <v>0.56197274852014689</v>
      </c>
      <c r="G279" s="156">
        <f>$J$18*F801ENE!G75*$L279</f>
        <v>0.57082778523673461</v>
      </c>
      <c r="H279" s="156">
        <f>$J$18*F801ENE!H75*$L279</f>
        <v>0.54609394847568904</v>
      </c>
      <c r="I279" s="156">
        <f>$J$18*F801ENE!I75*$L279</f>
        <v>0.54865287373740002</v>
      </c>
      <c r="J279" s="156">
        <f t="shared" si="65"/>
        <v>3.3728908679999998</v>
      </c>
      <c r="K279" s="69"/>
      <c r="L279" s="319">
        <v>0.95</v>
      </c>
      <c r="W279" s="60"/>
      <c r="X279" s="60"/>
      <c r="Y279" s="60"/>
      <c r="Z279" s="60"/>
      <c r="AA279" s="60"/>
      <c r="AB279" s="60"/>
    </row>
    <row r="280" spans="2:28" s="37" customFormat="1" ht="15.75">
      <c r="B280" s="48"/>
      <c r="C280" s="160" t="s">
        <v>307</v>
      </c>
      <c r="D280" s="156">
        <f>$J$18*F801ENE!D76*$L280</f>
        <v>2.7953439766735151E-2</v>
      </c>
      <c r="E280" s="156">
        <f>$J$18*F801ENE!E76*$L280</f>
        <v>2.7965105937163694E-2</v>
      </c>
      <c r="F280" s="156">
        <f>$J$18*F801ENE!F76*$L280</f>
        <v>2.7436920445615246E-2</v>
      </c>
      <c r="G280" s="156">
        <f>$J$18*F801ENE!G76*$L280</f>
        <v>2.7869245569165806E-2</v>
      </c>
      <c r="H280" s="156">
        <f>$J$18*F801ENE!H76*$L280</f>
        <v>2.6661677562861832E-2</v>
      </c>
      <c r="I280" s="156">
        <f>$J$18*F801ENE!I76*$L280</f>
        <v>2.6786610718458285E-2</v>
      </c>
      <c r="J280" s="156">
        <f t="shared" si="65"/>
        <v>0.16467300000000001</v>
      </c>
      <c r="K280" s="69"/>
      <c r="L280" s="319">
        <v>0.5</v>
      </c>
      <c r="W280" s="60"/>
      <c r="X280" s="60"/>
      <c r="Y280" s="60"/>
      <c r="Z280" s="60"/>
      <c r="AA280" s="60"/>
      <c r="AB280" s="60"/>
    </row>
    <row r="281" spans="2:28" s="37" customFormat="1" ht="15.75">
      <c r="B281" s="48"/>
      <c r="C281" s="160" t="s">
        <v>624</v>
      </c>
      <c r="D281" s="156">
        <f>$J$18*F801ENE!D77*$L281</f>
        <v>0</v>
      </c>
      <c r="E281" s="156">
        <f>$J$18*F801ENE!E77*$L281</f>
        <v>0</v>
      </c>
      <c r="F281" s="156">
        <f>$J$18*F801ENE!F77*$L281</f>
        <v>0</v>
      </c>
      <c r="G281" s="156">
        <f>$J$18*F801ENE!G77*$L281</f>
        <v>0</v>
      </c>
      <c r="H281" s="156">
        <f>$J$18*F801ENE!H77*$L281</f>
        <v>0</v>
      </c>
      <c r="I281" s="156">
        <f>$J$18*F801ENE!I77*$L281</f>
        <v>0</v>
      </c>
      <c r="J281" s="156">
        <f t="shared" si="65"/>
        <v>0</v>
      </c>
      <c r="K281" s="69"/>
      <c r="L281" s="319">
        <v>0</v>
      </c>
      <c r="W281" s="60"/>
      <c r="X281" s="60"/>
      <c r="Y281" s="60"/>
      <c r="Z281" s="60"/>
      <c r="AA281" s="60"/>
      <c r="AB281" s="60"/>
    </row>
    <row r="282" spans="2:28" s="37" customFormat="1" ht="15.75">
      <c r="B282" s="48" t="s">
        <v>749</v>
      </c>
      <c r="C282" s="158" t="s">
        <v>636</v>
      </c>
      <c r="D282" s="159">
        <f t="shared" ref="D282:I282" si="68">SUM(D283:D288)</f>
        <v>3580.3443349113168</v>
      </c>
      <c r="E282" s="159">
        <f t="shared" si="68"/>
        <v>3581.838566302963</v>
      </c>
      <c r="F282" s="159">
        <f t="shared" si="68"/>
        <v>3514.1872880263536</v>
      </c>
      <c r="G282" s="159">
        <f t="shared" si="68"/>
        <v>3569.5605379684262</v>
      </c>
      <c r="H282" s="159">
        <f t="shared" si="68"/>
        <v>3414.8923001247385</v>
      </c>
      <c r="I282" s="159">
        <f t="shared" si="68"/>
        <v>3430.8940415782049</v>
      </c>
      <c r="J282" s="159">
        <f t="shared" si="65"/>
        <v>21091.717068912003</v>
      </c>
      <c r="K282" s="69"/>
      <c r="L282" s="319"/>
      <c r="W282" s="60"/>
      <c r="X282" s="60"/>
      <c r="Y282" s="60"/>
      <c r="Z282" s="60"/>
      <c r="AA282" s="60"/>
      <c r="AB282" s="60"/>
    </row>
    <row r="283" spans="2:28" s="37" customFormat="1" ht="15.75">
      <c r="B283" s="48"/>
      <c r="C283" s="160" t="s">
        <v>304</v>
      </c>
      <c r="D283" s="156">
        <f>$J$18*F801ENE!D79*$L283</f>
        <v>3259.8360339411247</v>
      </c>
      <c r="E283" s="156">
        <f>$J$18*F801ENE!E79*$L283</f>
        <v>3261.1965034596674</v>
      </c>
      <c r="F283" s="156">
        <f>$J$18*F801ENE!F79*$L283</f>
        <v>3199.6012896926845</v>
      </c>
      <c r="G283" s="156">
        <f>$J$18*F801ENE!G79*$L283</f>
        <v>3250.0175900796321</v>
      </c>
      <c r="H283" s="156">
        <f>$J$18*F801ENE!H79*$L283</f>
        <v>3109.195074738655</v>
      </c>
      <c r="I283" s="156">
        <f>$J$18*F801ENE!I79*$L283</f>
        <v>3123.7643587282387</v>
      </c>
      <c r="J283" s="156">
        <f t="shared" si="65"/>
        <v>19203.610850640001</v>
      </c>
      <c r="K283" s="69"/>
      <c r="L283" s="319">
        <v>1</v>
      </c>
      <c r="W283" s="60"/>
      <c r="X283" s="60"/>
      <c r="Y283" s="60"/>
      <c r="Z283" s="60"/>
      <c r="AA283" s="60"/>
      <c r="AB283" s="60"/>
    </row>
    <row r="284" spans="2:28" s="37" customFormat="1" ht="15.75">
      <c r="B284" s="48"/>
      <c r="C284" s="162" t="s">
        <v>642</v>
      </c>
      <c r="D284" s="156">
        <f>$J$18*F801ENE!D80*$L284</f>
        <v>0</v>
      </c>
      <c r="E284" s="156">
        <f>$J$18*F801ENE!E80*$L284</f>
        <v>0</v>
      </c>
      <c r="F284" s="156">
        <f>$J$18*F801ENE!F80*$L284</f>
        <v>0</v>
      </c>
      <c r="G284" s="156">
        <f>$J$18*F801ENE!G80*$L284</f>
        <v>0</v>
      </c>
      <c r="H284" s="156">
        <f>$J$18*F801ENE!H80*$L284</f>
        <v>0</v>
      </c>
      <c r="I284" s="156">
        <f>$J$18*F801ENE!I80*$L284</f>
        <v>0</v>
      </c>
      <c r="J284" s="156">
        <f t="shared" si="65"/>
        <v>0</v>
      </c>
      <c r="K284" s="69"/>
      <c r="L284" s="319">
        <v>0.75</v>
      </c>
      <c r="W284" s="60"/>
      <c r="X284" s="60"/>
      <c r="Y284" s="60"/>
      <c r="Z284" s="60"/>
      <c r="AA284" s="60"/>
      <c r="AB284" s="60"/>
    </row>
    <row r="285" spans="2:28" s="37" customFormat="1" ht="15.75">
      <c r="B285" s="48"/>
      <c r="C285" s="162" t="s">
        <v>1177</v>
      </c>
      <c r="D285" s="156">
        <f>$J$18*F801ENE!D81*$L285</f>
        <v>318.23943051060269</v>
      </c>
      <c r="E285" s="156">
        <f>$J$18*F801ENE!E81*$L285</f>
        <v>318.37224548666291</v>
      </c>
      <c r="F285" s="156">
        <f>$J$18*F801ENE!F81*$L285</f>
        <v>312.35905171026155</v>
      </c>
      <c r="G285" s="156">
        <f>$J$18*F801ENE!G81*$L285</f>
        <v>317.28091114016553</v>
      </c>
      <c r="H285" s="156">
        <f>$J$18*F801ENE!H81*$L285</f>
        <v>303.53320216996866</v>
      </c>
      <c r="I285" s="156">
        <f>$J$18*F801ENE!I81*$L285</f>
        <v>304.95551930233893</v>
      </c>
      <c r="J285" s="156">
        <f t="shared" si="65"/>
        <v>1874.7403603200003</v>
      </c>
      <c r="K285" s="69"/>
      <c r="L285" s="319">
        <v>1</v>
      </c>
      <c r="W285" s="60"/>
      <c r="X285" s="60"/>
      <c r="Y285" s="60"/>
      <c r="Z285" s="60"/>
      <c r="AA285" s="60"/>
      <c r="AB285" s="60"/>
    </row>
    <row r="286" spans="2:28" s="37" customFormat="1" ht="15.75">
      <c r="B286" s="48"/>
      <c r="C286" s="160" t="s">
        <v>305</v>
      </c>
      <c r="D286" s="156">
        <f>$J$18*F801ENE!D82*$L286</f>
        <v>2.2594342143149011</v>
      </c>
      <c r="E286" s="156">
        <f>$J$18*F801ENE!E82*$L286</f>
        <v>2.2603771732078397</v>
      </c>
      <c r="F286" s="156">
        <f>$J$18*F801ENE!F82*$L286</f>
        <v>2.2176847396086856</v>
      </c>
      <c r="G286" s="156">
        <f>$J$18*F801ENE!G82*$L286</f>
        <v>2.2526289247969595</v>
      </c>
      <c r="H286" s="156">
        <f>$J$18*F801ENE!H82*$L286</f>
        <v>2.1550230311279419</v>
      </c>
      <c r="I286" s="156">
        <f>$J$18*F801ENE!I82*$L286</f>
        <v>2.165121188943671</v>
      </c>
      <c r="J286" s="156">
        <f t="shared" si="65"/>
        <v>13.310269271999998</v>
      </c>
      <c r="K286" s="69"/>
      <c r="L286" s="319">
        <v>0.95</v>
      </c>
      <c r="W286" s="60"/>
      <c r="X286" s="60"/>
      <c r="Y286" s="60"/>
      <c r="Z286" s="60"/>
      <c r="AA286" s="60"/>
      <c r="AB286" s="60"/>
    </row>
    <row r="287" spans="2:28" s="37" customFormat="1" ht="15.75">
      <c r="B287" s="48"/>
      <c r="C287" s="160" t="s">
        <v>307</v>
      </c>
      <c r="D287" s="156">
        <f>$J$18*F801ENE!D83*$L287</f>
        <v>9.4362452745277905E-3</v>
      </c>
      <c r="E287" s="156">
        <f>$J$18*F801ENE!E83*$L287</f>
        <v>9.4401834247696513E-3</v>
      </c>
      <c r="F287" s="156">
        <f>$J$18*F801ENE!F83*$L287</f>
        <v>9.26188379902451E-3</v>
      </c>
      <c r="G287" s="156">
        <f>$J$18*F801ENE!G83*$L287</f>
        <v>9.4078238313856904E-3</v>
      </c>
      <c r="H287" s="156">
        <f>$J$18*F801ENE!H83*$L287</f>
        <v>9.0001849866408346E-3</v>
      </c>
      <c r="I287" s="156">
        <f>$J$18*F801ENE!I83*$L287</f>
        <v>9.0423586836515246E-3</v>
      </c>
      <c r="J287" s="156">
        <f t="shared" si="65"/>
        <v>5.5588680000000001E-2</v>
      </c>
      <c r="K287" s="69"/>
      <c r="L287" s="319">
        <v>0.5</v>
      </c>
      <c r="W287" s="60"/>
      <c r="X287" s="60"/>
      <c r="Y287" s="60"/>
      <c r="Z287" s="60"/>
      <c r="AA287" s="60"/>
      <c r="AB287" s="60"/>
    </row>
    <row r="288" spans="2:28" s="37" customFormat="1" ht="15.75">
      <c r="B288" s="48"/>
      <c r="C288" s="160" t="s">
        <v>624</v>
      </c>
      <c r="D288" s="156">
        <f>$J$18*F801ENE!D84*$L288</f>
        <v>0</v>
      </c>
      <c r="E288" s="156">
        <f>$J$18*F801ENE!E84*$L288</f>
        <v>0</v>
      </c>
      <c r="F288" s="156">
        <f>$J$18*F801ENE!F84*$L288</f>
        <v>0</v>
      </c>
      <c r="G288" s="156">
        <f>$J$18*F801ENE!G84*$L288</f>
        <v>0</v>
      </c>
      <c r="H288" s="156">
        <f>$J$18*F801ENE!H84*$L288</f>
        <v>0</v>
      </c>
      <c r="I288" s="156">
        <f>$J$18*F801ENE!I84*$L288</f>
        <v>0</v>
      </c>
      <c r="J288" s="156">
        <f t="shared" si="65"/>
        <v>0</v>
      </c>
      <c r="K288" s="69"/>
      <c r="L288" s="319">
        <v>0</v>
      </c>
    </row>
    <row r="289" spans="2:12" s="37" customFormat="1" ht="15.75">
      <c r="B289" s="48"/>
      <c r="C289" s="157"/>
      <c r="D289" s="156"/>
      <c r="E289" s="156"/>
      <c r="F289" s="156"/>
      <c r="G289" s="156"/>
      <c r="H289" s="156"/>
      <c r="I289" s="156"/>
      <c r="J289" s="156"/>
      <c r="K289" s="69"/>
      <c r="L289" s="319"/>
    </row>
    <row r="290" spans="2:12" s="37" customFormat="1" ht="15.75">
      <c r="B290" s="48" t="s">
        <v>902</v>
      </c>
      <c r="C290" s="158" t="s">
        <v>898</v>
      </c>
      <c r="D290" s="159">
        <f t="shared" ref="D290:I290" si="69">SUM(D291:D295)</f>
        <v>1650.2792502472321</v>
      </c>
      <c r="E290" s="159">
        <f t="shared" si="69"/>
        <v>1650.9679826232375</v>
      </c>
      <c r="F290" s="159">
        <f t="shared" si="69"/>
        <v>1619.785646414965</v>
      </c>
      <c r="G290" s="159">
        <f t="shared" si="69"/>
        <v>1645.3087014203486</v>
      </c>
      <c r="H290" s="159">
        <f t="shared" si="69"/>
        <v>1574.0178534712045</v>
      </c>
      <c r="I290" s="159">
        <f t="shared" si="69"/>
        <v>1581.393496543013</v>
      </c>
      <c r="J290" s="159">
        <f t="shared" ref="J290:J309" si="70">SUM(D290:I290)</f>
        <v>9721.7529307200002</v>
      </c>
      <c r="K290" s="69"/>
      <c r="L290" s="319"/>
    </row>
    <row r="291" spans="2:12" s="37" customFormat="1" ht="15.75">
      <c r="B291" s="48"/>
      <c r="C291" s="160" t="s">
        <v>304</v>
      </c>
      <c r="D291" s="156">
        <f>$J$17*F801ENE!D87*$L291</f>
        <v>1587.2581105693455</v>
      </c>
      <c r="E291" s="156">
        <f>$J$17*F801ENE!E87*$L291</f>
        <v>1587.9205415183274</v>
      </c>
      <c r="F291" s="156">
        <f>$J$17*F801ENE!F87*$L291</f>
        <v>1557.9290015740021</v>
      </c>
      <c r="G291" s="156">
        <f>$J$17*F801ENE!G87*$L291</f>
        <v>1582.4773778913639</v>
      </c>
      <c r="H291" s="156">
        <f>$J$17*F801ENE!H87*$L291</f>
        <v>1513.9089967524187</v>
      </c>
      <c r="I291" s="156">
        <f>$J$17*F801ENE!I87*$L291</f>
        <v>1521.0029775345431</v>
      </c>
      <c r="J291" s="156">
        <f t="shared" si="70"/>
        <v>9350.4970058400013</v>
      </c>
      <c r="K291" s="69"/>
      <c r="L291" s="319">
        <v>1</v>
      </c>
    </row>
    <row r="292" spans="2:12" s="37" customFormat="1" ht="15.75">
      <c r="B292" s="48"/>
      <c r="C292" s="162" t="s">
        <v>644</v>
      </c>
      <c r="D292" s="156">
        <f>$J$17*F801ENE!D88*$L292</f>
        <v>63.021139677886659</v>
      </c>
      <c r="E292" s="156">
        <f>$J$17*F801ENE!E88*$L292</f>
        <v>63.047441104910256</v>
      </c>
      <c r="F292" s="156">
        <f>$J$17*F801ENE!F88*$L292</f>
        <v>61.856644840962815</v>
      </c>
      <c r="G292" s="156">
        <f>$J$17*F801ENE!G88*$L292</f>
        <v>62.831323528984676</v>
      </c>
      <c r="H292" s="156">
        <f>$J$17*F801ENE!H88*$L292</f>
        <v>60.108856718785795</v>
      </c>
      <c r="I292" s="156">
        <f>$J$17*F801ENE!I88*$L292</f>
        <v>60.390519008469823</v>
      </c>
      <c r="J292" s="156">
        <f t="shared" si="70"/>
        <v>371.25592488000001</v>
      </c>
      <c r="K292" s="69"/>
      <c r="L292" s="319">
        <v>0.75</v>
      </c>
    </row>
    <row r="293" spans="2:12" s="37" customFormat="1" ht="15.75">
      <c r="B293" s="48"/>
      <c r="C293" s="160" t="s">
        <v>305</v>
      </c>
      <c r="D293" s="156">
        <f>$J$17*F801ENE!D89*$L293</f>
        <v>0</v>
      </c>
      <c r="E293" s="156">
        <f>$J$17*F801ENE!E89*$L293</f>
        <v>0</v>
      </c>
      <c r="F293" s="156">
        <f>$J$17*F801ENE!F89*$L293</f>
        <v>0</v>
      </c>
      <c r="G293" s="156">
        <f>$J$17*F801ENE!G89*$L293</f>
        <v>0</v>
      </c>
      <c r="H293" s="156">
        <f>$J$17*F801ENE!H89*$L293</f>
        <v>0</v>
      </c>
      <c r="I293" s="156">
        <f>$J$17*F801ENE!I89*$L293</f>
        <v>0</v>
      </c>
      <c r="J293" s="156">
        <f t="shared" si="70"/>
        <v>0</v>
      </c>
      <c r="K293" s="69"/>
      <c r="L293" s="319">
        <v>0.95</v>
      </c>
    </row>
    <row r="294" spans="2:12" s="37" customFormat="1" ht="15.75">
      <c r="B294" s="48"/>
      <c r="C294" s="160" t="s">
        <v>307</v>
      </c>
      <c r="D294" s="156">
        <f>$J$17*F801ENE!D90*$L294</f>
        <v>0</v>
      </c>
      <c r="E294" s="156">
        <f>$J$17*F801ENE!E90*$L294</f>
        <v>0</v>
      </c>
      <c r="F294" s="156">
        <f>$J$17*F801ENE!F90*$L294</f>
        <v>0</v>
      </c>
      <c r="G294" s="156">
        <f>$J$17*F801ENE!G90*$L294</f>
        <v>0</v>
      </c>
      <c r="H294" s="156">
        <f>$J$17*F801ENE!H90*$L294</f>
        <v>0</v>
      </c>
      <c r="I294" s="156">
        <f>$J$17*F801ENE!I90*$L294</f>
        <v>0</v>
      </c>
      <c r="J294" s="156">
        <f t="shared" si="70"/>
        <v>0</v>
      </c>
      <c r="K294" s="69"/>
      <c r="L294" s="319">
        <v>0.5</v>
      </c>
    </row>
    <row r="295" spans="2:12" s="37" customFormat="1" ht="15.75">
      <c r="B295" s="48"/>
      <c r="C295" s="160" t="s">
        <v>624</v>
      </c>
      <c r="D295" s="156">
        <f>$J$17*F801ENE!D91*$L295</f>
        <v>0</v>
      </c>
      <c r="E295" s="156">
        <f>$J$17*F801ENE!E91*$L295</f>
        <v>0</v>
      </c>
      <c r="F295" s="156">
        <f>$J$17*F801ENE!F91*$L295</f>
        <v>0</v>
      </c>
      <c r="G295" s="156">
        <f>$J$17*F801ENE!G91*$L295</f>
        <v>0</v>
      </c>
      <c r="H295" s="156">
        <f>$J$17*F801ENE!H91*$L295</f>
        <v>0</v>
      </c>
      <c r="I295" s="156">
        <f>$J$17*F801ENE!I91*$L295</f>
        <v>0</v>
      </c>
      <c r="J295" s="156">
        <f t="shared" si="70"/>
        <v>0</v>
      </c>
      <c r="K295" s="69"/>
      <c r="L295" s="319">
        <v>0</v>
      </c>
    </row>
    <row r="296" spans="2:12" s="37" customFormat="1" ht="15.75">
      <c r="B296" s="48" t="s">
        <v>902</v>
      </c>
      <c r="C296" s="158" t="s">
        <v>899</v>
      </c>
      <c r="D296" s="159">
        <f t="shared" ref="D296:I296" si="71">SUM(D297:D302)</f>
        <v>130.61849779292044</v>
      </c>
      <c r="E296" s="159">
        <f t="shared" si="71"/>
        <v>130.67301049937404</v>
      </c>
      <c r="F296" s="159">
        <f t="shared" si="71"/>
        <v>128.2049494651047</v>
      </c>
      <c r="G296" s="159">
        <f t="shared" si="71"/>
        <v>130.22508218106165</v>
      </c>
      <c r="H296" s="159">
        <f t="shared" si="71"/>
        <v>124.58245929520417</v>
      </c>
      <c r="I296" s="159">
        <f t="shared" si="71"/>
        <v>125.16623650633501</v>
      </c>
      <c r="J296" s="159">
        <f t="shared" si="70"/>
        <v>769.47023574000013</v>
      </c>
      <c r="K296" s="69"/>
      <c r="L296" s="319"/>
    </row>
    <row r="297" spans="2:12" s="37" customFormat="1" ht="15.75">
      <c r="B297" s="48"/>
      <c r="C297" s="160" t="s">
        <v>304</v>
      </c>
      <c r="D297" s="156">
        <f>$J$17*F801ENE!D93*$L297</f>
        <v>118.6500731960614</v>
      </c>
      <c r="E297" s="156">
        <f>$J$17*F801ENE!E93*$L297</f>
        <v>118.69959096513794</v>
      </c>
      <c r="F297" s="156">
        <f>$J$17*F801ENE!F93*$L297</f>
        <v>116.45767556022602</v>
      </c>
      <c r="G297" s="156">
        <f>$J$17*F801ENE!G93*$L297</f>
        <v>118.29270580987753</v>
      </c>
      <c r="H297" s="156">
        <f>$J$17*F801ENE!H93*$L297</f>
        <v>113.16711005018533</v>
      </c>
      <c r="I297" s="156">
        <f>$J$17*F801ENE!I93*$L297</f>
        <v>113.69739641851179</v>
      </c>
      <c r="J297" s="156">
        <f t="shared" si="70"/>
        <v>698.96455199999991</v>
      </c>
      <c r="K297" s="69"/>
      <c r="L297" s="319">
        <v>1</v>
      </c>
    </row>
    <row r="298" spans="2:12" s="37" customFormat="1" ht="15.75">
      <c r="B298" s="48"/>
      <c r="C298" s="162" t="s">
        <v>642</v>
      </c>
      <c r="D298" s="156">
        <f>$J$17*F801ENE!D94*$L298</f>
        <v>10.853045775572216</v>
      </c>
      <c r="E298" s="156">
        <f>$J$17*F801ENE!E94*$L298</f>
        <v>10.857575217485024</v>
      </c>
      <c r="F298" s="156">
        <f>$J$17*F801ENE!F94*$L298</f>
        <v>10.652504880324226</v>
      </c>
      <c r="G298" s="156">
        <f>$J$17*F801ENE!G94*$L298</f>
        <v>10.820357008540938</v>
      </c>
      <c r="H298" s="156">
        <f>$J$17*F801ENE!H94*$L298</f>
        <v>10.351513425822738</v>
      </c>
      <c r="I298" s="156">
        <f>$J$17*F801ENE!I94*$L298</f>
        <v>10.400019272254866</v>
      </c>
      <c r="J298" s="156">
        <f t="shared" si="70"/>
        <v>63.935015580000005</v>
      </c>
      <c r="K298" s="69"/>
      <c r="L298" s="319">
        <v>0.75</v>
      </c>
    </row>
    <row r="299" spans="2:12" s="37" customFormat="1" ht="15.75">
      <c r="B299" s="48"/>
      <c r="C299" s="162" t="s">
        <v>1177</v>
      </c>
      <c r="D299" s="156">
        <f>$J$17*F801ENE!D95*$L299</f>
        <v>1.1153788212868199</v>
      </c>
      <c r="E299" s="156">
        <f>$J$17*F801ENE!E95*$L299</f>
        <v>1.115844316751067</v>
      </c>
      <c r="F299" s="156">
        <f>$J$17*F801ENE!F95*$L299</f>
        <v>1.094769024554463</v>
      </c>
      <c r="G299" s="156">
        <f>$J$17*F801ENE!G95*$L299</f>
        <v>1.1120193626431705</v>
      </c>
      <c r="H299" s="156">
        <f>$J$17*F801ENE!H95*$L299</f>
        <v>1.0638358191961197</v>
      </c>
      <c r="I299" s="156">
        <f>$J$17*F801ENE!I95*$L299</f>
        <v>1.0688208155683601</v>
      </c>
      <c r="J299" s="156">
        <f t="shared" si="70"/>
        <v>6.5706681600000003</v>
      </c>
      <c r="K299" s="69"/>
      <c r="L299" s="319">
        <v>1</v>
      </c>
    </row>
    <row r="300" spans="2:12" s="37" customFormat="1" ht="15.75">
      <c r="B300" s="48"/>
      <c r="C300" s="160" t="s">
        <v>305</v>
      </c>
      <c r="D300" s="156">
        <f>$J$17*F801ENE!D96*$L300</f>
        <v>0</v>
      </c>
      <c r="E300" s="156">
        <f>$J$17*F801ENE!E96*$L300</f>
        <v>0</v>
      </c>
      <c r="F300" s="156">
        <f>$J$17*F801ENE!F96*$L300</f>
        <v>0</v>
      </c>
      <c r="G300" s="156">
        <f>$J$17*F801ENE!G96*$L300</f>
        <v>0</v>
      </c>
      <c r="H300" s="156">
        <f>$J$17*F801ENE!H96*$L300</f>
        <v>0</v>
      </c>
      <c r="I300" s="156">
        <f>$J$17*F801ENE!I96*$L300</f>
        <v>0</v>
      </c>
      <c r="J300" s="156">
        <f t="shared" si="70"/>
        <v>0</v>
      </c>
      <c r="K300" s="69"/>
      <c r="L300" s="319">
        <v>0.95</v>
      </c>
    </row>
    <row r="301" spans="2:12" s="37" customFormat="1" ht="15.75">
      <c r="B301" s="48"/>
      <c r="C301" s="160" t="s">
        <v>307</v>
      </c>
      <c r="D301" s="156">
        <f>$J$17*F801ENE!D97*$L301</f>
        <v>0</v>
      </c>
      <c r="E301" s="156">
        <f>$J$17*F801ENE!E97*$L301</f>
        <v>0</v>
      </c>
      <c r="F301" s="156">
        <f>$J$17*F801ENE!F97*$L301</f>
        <v>0</v>
      </c>
      <c r="G301" s="156">
        <f>$J$17*F801ENE!G97*$L301</f>
        <v>0</v>
      </c>
      <c r="H301" s="156">
        <f>$J$17*F801ENE!H97*$L301</f>
        <v>0</v>
      </c>
      <c r="I301" s="156">
        <f>$J$17*F801ENE!I97*$L301</f>
        <v>0</v>
      </c>
      <c r="J301" s="156">
        <f t="shared" si="70"/>
        <v>0</v>
      </c>
      <c r="K301" s="69"/>
      <c r="L301" s="319">
        <v>0.5</v>
      </c>
    </row>
    <row r="302" spans="2:12" s="37" customFormat="1" ht="15.75">
      <c r="B302" s="48"/>
      <c r="C302" s="160" t="s">
        <v>624</v>
      </c>
      <c r="D302" s="156">
        <f>$J$17*F801ENE!D98*$L302</f>
        <v>0</v>
      </c>
      <c r="E302" s="156">
        <f>$J$17*F801ENE!E98*$L302</f>
        <v>0</v>
      </c>
      <c r="F302" s="156">
        <f>$J$17*F801ENE!F98*$L302</f>
        <v>0</v>
      </c>
      <c r="G302" s="156">
        <f>$J$17*F801ENE!G98*$L302</f>
        <v>0</v>
      </c>
      <c r="H302" s="156">
        <f>$J$17*F801ENE!H98*$L302</f>
        <v>0</v>
      </c>
      <c r="I302" s="156">
        <f>$J$17*F801ENE!I98*$L302</f>
        <v>0</v>
      </c>
      <c r="J302" s="156">
        <f t="shared" si="70"/>
        <v>0</v>
      </c>
      <c r="K302" s="69"/>
      <c r="L302" s="319">
        <v>0</v>
      </c>
    </row>
    <row r="303" spans="2:12" s="37" customFormat="1" ht="15.75">
      <c r="B303" s="48" t="s">
        <v>902</v>
      </c>
      <c r="C303" s="158" t="s">
        <v>900</v>
      </c>
      <c r="D303" s="159">
        <f t="shared" ref="D303:I303" si="72">SUM(D304:D309)</f>
        <v>14.444461917266249</v>
      </c>
      <c r="E303" s="159">
        <f t="shared" si="72"/>
        <v>14.450490211310976</v>
      </c>
      <c r="F303" s="159">
        <f t="shared" si="72"/>
        <v>14.177559392006113</v>
      </c>
      <c r="G303" s="159">
        <f t="shared" si="72"/>
        <v>14.400956005629128</v>
      </c>
      <c r="H303" s="159">
        <f t="shared" si="72"/>
        <v>13.77696589117016</v>
      </c>
      <c r="I303" s="159">
        <f t="shared" si="72"/>
        <v>13.841522962617386</v>
      </c>
      <c r="J303" s="159">
        <f t="shared" si="70"/>
        <v>85.091956380000013</v>
      </c>
      <c r="K303" s="69"/>
      <c r="L303" s="319"/>
    </row>
    <row r="304" spans="2:12" s="37" customFormat="1" ht="15.75">
      <c r="B304" s="48"/>
      <c r="C304" s="160" t="s">
        <v>304</v>
      </c>
      <c r="D304" s="156">
        <f>$J$17*F801ENE!D100*$L304</f>
        <v>14.032856660349596</v>
      </c>
      <c r="E304" s="156">
        <f>$J$17*F801ENE!E100*$L304</f>
        <v>14.0387131738508</v>
      </c>
      <c r="F304" s="156">
        <f>$J$17*F801ENE!F100*$L304</f>
        <v>13.773559713138033</v>
      </c>
      <c r="G304" s="156">
        <f>$J$17*F801ENE!G100*$L304</f>
        <v>13.990590480731525</v>
      </c>
      <c r="H304" s="156">
        <f>$J$17*F801ENE!H100*$L304</f>
        <v>13.384381410166503</v>
      </c>
      <c r="I304" s="156">
        <f>$J$17*F801ENE!I100*$L304</f>
        <v>13.447098881763557</v>
      </c>
      <c r="J304" s="156">
        <f t="shared" si="70"/>
        <v>82.667200320000006</v>
      </c>
      <c r="K304" s="69"/>
      <c r="L304" s="319">
        <v>1</v>
      </c>
    </row>
    <row r="305" spans="2:12" s="37" customFormat="1" ht="15.75">
      <c r="B305" s="48"/>
      <c r="C305" s="162" t="s">
        <v>642</v>
      </c>
      <c r="D305" s="156">
        <f>$J$17*F801ENE!D101*$L305</f>
        <v>0.41160525691665328</v>
      </c>
      <c r="E305" s="156">
        <f>$J$17*F801ENE!E101*$L305</f>
        <v>0.41177703746017652</v>
      </c>
      <c r="F305" s="156">
        <f>$J$17*F801ENE!F101*$L305</f>
        <v>0.40399967886808075</v>
      </c>
      <c r="G305" s="156">
        <f>$J$17*F801ENE!G101*$L305</f>
        <v>0.41036552489760275</v>
      </c>
      <c r="H305" s="156">
        <f>$J$17*F801ENE!H101*$L305</f>
        <v>0.39258448100365723</v>
      </c>
      <c r="I305" s="156">
        <f>$J$17*F801ENE!I101*$L305</f>
        <v>0.39442408085382952</v>
      </c>
      <c r="J305" s="156">
        <f t="shared" si="70"/>
        <v>2.42475606</v>
      </c>
      <c r="K305" s="69"/>
      <c r="L305" s="319">
        <v>0.75</v>
      </c>
    </row>
    <row r="306" spans="2:12" s="37" customFormat="1" ht="15.75">
      <c r="B306" s="48"/>
      <c r="C306" s="162" t="s">
        <v>1177</v>
      </c>
      <c r="D306" s="156">
        <f>$J$17*F801ENE!D102*$L306</f>
        <v>0</v>
      </c>
      <c r="E306" s="156">
        <f>$J$17*F801ENE!E102*$L306</f>
        <v>0</v>
      </c>
      <c r="F306" s="156">
        <f>$J$17*F801ENE!F102*$L306</f>
        <v>0</v>
      </c>
      <c r="G306" s="156">
        <f>$J$17*F801ENE!G102*$L306</f>
        <v>0</v>
      </c>
      <c r="H306" s="156">
        <f>$J$17*F801ENE!H102*$L306</f>
        <v>0</v>
      </c>
      <c r="I306" s="156">
        <f>$J$17*F801ENE!I102*$L306</f>
        <v>0</v>
      </c>
      <c r="J306" s="156">
        <f t="shared" si="70"/>
        <v>0</v>
      </c>
      <c r="K306" s="69"/>
      <c r="L306" s="319">
        <v>1</v>
      </c>
    </row>
    <row r="307" spans="2:12" s="37" customFormat="1" ht="15.75">
      <c r="B307" s="48"/>
      <c r="C307" s="160" t="s">
        <v>305</v>
      </c>
      <c r="D307" s="156">
        <f>$J$17*F801ENE!D103*$L307</f>
        <v>0</v>
      </c>
      <c r="E307" s="156">
        <f>$J$17*F801ENE!E103*$L307</f>
        <v>0</v>
      </c>
      <c r="F307" s="156">
        <f>$J$17*F801ENE!F103*$L307</f>
        <v>0</v>
      </c>
      <c r="G307" s="156">
        <f>$J$17*F801ENE!G103*$L307</f>
        <v>0</v>
      </c>
      <c r="H307" s="156">
        <f>$J$17*F801ENE!H103*$L307</f>
        <v>0</v>
      </c>
      <c r="I307" s="156">
        <f>$J$17*F801ENE!I103*$L307</f>
        <v>0</v>
      </c>
      <c r="J307" s="156">
        <f t="shared" si="70"/>
        <v>0</v>
      </c>
      <c r="K307" s="69"/>
      <c r="L307" s="319">
        <v>0.95</v>
      </c>
    </row>
    <row r="308" spans="2:12" s="37" customFormat="1" ht="15.75">
      <c r="B308" s="48"/>
      <c r="C308" s="160" t="s">
        <v>307</v>
      </c>
      <c r="D308" s="156">
        <f>$J$17*F801ENE!D104*$L308</f>
        <v>0</v>
      </c>
      <c r="E308" s="156">
        <f>$J$17*F801ENE!E104*$L308</f>
        <v>0</v>
      </c>
      <c r="F308" s="156">
        <f>$J$17*F801ENE!F104*$L308</f>
        <v>0</v>
      </c>
      <c r="G308" s="156">
        <f>$J$17*F801ENE!G104*$L308</f>
        <v>0</v>
      </c>
      <c r="H308" s="156">
        <f>$J$17*F801ENE!H104*$L308</f>
        <v>0</v>
      </c>
      <c r="I308" s="156">
        <f>$J$17*F801ENE!I104*$L308</f>
        <v>0</v>
      </c>
      <c r="J308" s="156">
        <f t="shared" si="70"/>
        <v>0</v>
      </c>
      <c r="K308" s="69"/>
      <c r="L308" s="319">
        <v>0.5</v>
      </c>
    </row>
    <row r="309" spans="2:12" s="37" customFormat="1" ht="15.75">
      <c r="B309" s="48"/>
      <c r="C309" s="160" t="s">
        <v>624</v>
      </c>
      <c r="D309" s="156">
        <f>$J$17*F801ENE!D105*$L309</f>
        <v>0</v>
      </c>
      <c r="E309" s="156">
        <f>$J$17*F801ENE!E105*$L309</f>
        <v>0</v>
      </c>
      <c r="F309" s="156">
        <f>$J$17*F801ENE!F105*$L309</f>
        <v>0</v>
      </c>
      <c r="G309" s="156">
        <f>$J$17*F801ENE!G105*$L309</f>
        <v>0</v>
      </c>
      <c r="H309" s="156">
        <f>$J$17*F801ENE!H105*$L309</f>
        <v>0</v>
      </c>
      <c r="I309" s="156">
        <f>$J$17*F801ENE!I105*$L309</f>
        <v>0</v>
      </c>
      <c r="J309" s="156">
        <f t="shared" si="70"/>
        <v>0</v>
      </c>
      <c r="K309" s="69"/>
      <c r="L309" s="319">
        <v>0</v>
      </c>
    </row>
    <row r="310" spans="2:12" s="37" customFormat="1" ht="15.75">
      <c r="B310" s="48"/>
      <c r="C310" s="157"/>
      <c r="D310" s="156"/>
      <c r="E310" s="156"/>
      <c r="F310" s="156"/>
      <c r="G310" s="156"/>
      <c r="H310" s="156"/>
      <c r="I310" s="156"/>
      <c r="J310" s="156"/>
      <c r="K310" s="69"/>
      <c r="L310" s="319"/>
    </row>
    <row r="311" spans="2:12" s="37" customFormat="1" ht="15.75">
      <c r="B311" s="48"/>
      <c r="C311" s="153" t="s">
        <v>112</v>
      </c>
      <c r="D311" s="154">
        <f t="shared" ref="D311:I311" si="73">D234+D224+D220</f>
        <v>31085.307835850508</v>
      </c>
      <c r="E311" s="154">
        <f t="shared" si="73"/>
        <v>31098.281069272329</v>
      </c>
      <c r="F311" s="154">
        <f t="shared" si="73"/>
        <v>30510.918342673223</v>
      </c>
      <c r="G311" s="154">
        <f t="shared" si="73"/>
        <v>30991.68062677444</v>
      </c>
      <c r="H311" s="154">
        <f t="shared" si="73"/>
        <v>29648.818226943647</v>
      </c>
      <c r="I311" s="154">
        <f t="shared" si="73"/>
        <v>29787.748735425874</v>
      </c>
      <c r="J311" s="154">
        <f>SUM(D311:I311)</f>
        <v>183122.75483694003</v>
      </c>
      <c r="K311" s="69"/>
      <c r="L311" s="319"/>
    </row>
    <row r="312" spans="2:12">
      <c r="C312" s="48"/>
      <c r="D312" s="48"/>
      <c r="E312" s="48"/>
      <c r="F312" s="48"/>
      <c r="G312" s="48"/>
      <c r="H312" s="48"/>
      <c r="I312" s="48"/>
      <c r="J312" s="48"/>
    </row>
    <row r="313" spans="2:12" s="69" customFormat="1" ht="53.25">
      <c r="B313" s="48"/>
      <c r="C313" s="320" t="s">
        <v>1459</v>
      </c>
      <c r="D313" s="320"/>
      <c r="E313" s="320"/>
      <c r="F313" s="320"/>
      <c r="G313" s="320"/>
      <c r="H313" s="320"/>
      <c r="I313" s="320"/>
      <c r="J313" s="321"/>
      <c r="L313" s="319"/>
    </row>
    <row r="314" spans="2:12" s="37" customFormat="1" ht="15.75">
      <c r="B314" s="48"/>
      <c r="C314" s="150" t="s">
        <v>310</v>
      </c>
      <c r="D314" s="151">
        <f t="shared" ref="D314:I314" si="74">D$29</f>
        <v>46204</v>
      </c>
      <c r="E314" s="151">
        <f t="shared" si="74"/>
        <v>46235</v>
      </c>
      <c r="F314" s="151">
        <f t="shared" si="74"/>
        <v>46266</v>
      </c>
      <c r="G314" s="151">
        <f t="shared" si="74"/>
        <v>46296</v>
      </c>
      <c r="H314" s="151">
        <f t="shared" si="74"/>
        <v>46327</v>
      </c>
      <c r="I314" s="151">
        <f t="shared" si="74"/>
        <v>46357</v>
      </c>
      <c r="J314" s="152" t="s">
        <v>111</v>
      </c>
      <c r="K314" s="69"/>
      <c r="L314" s="319"/>
    </row>
    <row r="315" spans="2:12" s="37" customFormat="1" ht="15.75">
      <c r="B315" s="48"/>
      <c r="C315" s="334" t="s">
        <v>446</v>
      </c>
      <c r="D315" s="154">
        <f t="shared" ref="D315:I315" si="75">D316+D317+D320</f>
        <v>1899.5165795934904</v>
      </c>
      <c r="E315" s="154">
        <f t="shared" si="75"/>
        <v>1785.2943920664602</v>
      </c>
      <c r="F315" s="154">
        <f t="shared" si="75"/>
        <v>1813.4319509541183</v>
      </c>
      <c r="G315" s="154">
        <f t="shared" si="75"/>
        <v>2068.3647349168323</v>
      </c>
      <c r="H315" s="154">
        <f t="shared" si="75"/>
        <v>1692.8792987560746</v>
      </c>
      <c r="I315" s="154">
        <f t="shared" si="75"/>
        <v>1956.2183144742949</v>
      </c>
      <c r="J315" s="154">
        <f t="shared" ref="J315:J342" si="76">SUM(D315:I315)</f>
        <v>11215.705270761271</v>
      </c>
      <c r="K315" s="69"/>
      <c r="L315" s="319"/>
    </row>
    <row r="316" spans="2:12" s="37" customFormat="1" ht="15.75">
      <c r="B316" s="48" t="s">
        <v>870</v>
      </c>
      <c r="C316" s="157" t="s">
        <v>1029</v>
      </c>
      <c r="D316" s="156">
        <f>$J$7*F801ENE!D116</f>
        <v>1098.3745169822701</v>
      </c>
      <c r="E316" s="156">
        <f>$J$7*F801ENE!E116</f>
        <v>994.22322892397983</v>
      </c>
      <c r="F316" s="156">
        <f>$J$7*F801ENE!F116</f>
        <v>1004.9326105145578</v>
      </c>
      <c r="G316" s="156">
        <f>$J$7*F801ENE!G116</f>
        <v>1152.2902683328739</v>
      </c>
      <c r="H316" s="156">
        <f>$J$7*F801ENE!H116</f>
        <v>800.54801153019002</v>
      </c>
      <c r="I316" s="156">
        <f>$J$7*F801ENE!I116</f>
        <v>1032.282373252086</v>
      </c>
      <c r="J316" s="154">
        <f t="shared" si="76"/>
        <v>6082.6510095359572</v>
      </c>
      <c r="K316" s="69"/>
      <c r="L316" s="319"/>
    </row>
    <row r="317" spans="2:12" s="37" customFormat="1" ht="15.75">
      <c r="B317" s="48" t="s">
        <v>871</v>
      </c>
      <c r="C317" s="335" t="s">
        <v>193</v>
      </c>
      <c r="D317" s="154">
        <f t="shared" ref="D317:I317" si="77">SUM(D318:D319)</f>
        <v>524.36984161121995</v>
      </c>
      <c r="E317" s="154">
        <f t="shared" si="77"/>
        <v>514.29894214247997</v>
      </c>
      <c r="F317" s="154">
        <f t="shared" si="77"/>
        <v>531.72711943955994</v>
      </c>
      <c r="G317" s="154">
        <f t="shared" si="77"/>
        <v>639.30224558395798</v>
      </c>
      <c r="H317" s="154">
        <f t="shared" si="77"/>
        <v>615.55906622588384</v>
      </c>
      <c r="I317" s="154">
        <f t="shared" si="77"/>
        <v>647.16372022220833</v>
      </c>
      <c r="J317" s="154">
        <f t="shared" si="76"/>
        <v>3472.4209352253101</v>
      </c>
      <c r="K317" s="69"/>
      <c r="L317" s="319"/>
    </row>
    <row r="318" spans="2:12" s="37" customFormat="1" ht="15.75">
      <c r="B318" s="48"/>
      <c r="C318" s="157" t="s">
        <v>1030</v>
      </c>
      <c r="D318" s="156">
        <f>+$J$8*F801ENE!D118</f>
        <v>0</v>
      </c>
      <c r="E318" s="156">
        <f>+$J$8*F801ENE!E118</f>
        <v>0</v>
      </c>
      <c r="F318" s="156">
        <f>+$J$8*F801ENE!F118</f>
        <v>0</v>
      </c>
      <c r="G318" s="156">
        <f>+$J$8*F801ENE!G118</f>
        <v>0</v>
      </c>
      <c r="H318" s="156">
        <f>+$J$8*F801ENE!H118</f>
        <v>0</v>
      </c>
      <c r="I318" s="156">
        <f>+$J$8*F801ENE!I118</f>
        <v>0</v>
      </c>
      <c r="J318" s="154">
        <f t="shared" si="76"/>
        <v>0</v>
      </c>
      <c r="K318" s="69"/>
      <c r="L318" s="319"/>
    </row>
    <row r="319" spans="2:12" s="37" customFormat="1" ht="15.75">
      <c r="B319" s="48"/>
      <c r="C319" s="157" t="s">
        <v>1476</v>
      </c>
      <c r="D319" s="156">
        <f>+$J$8*F801ENE!D119</f>
        <v>524.36984161121995</v>
      </c>
      <c r="E319" s="156">
        <f>+$J$8*F801ENE!E119</f>
        <v>514.29894214247997</v>
      </c>
      <c r="F319" s="156">
        <f>+$J$8*F801ENE!F119</f>
        <v>531.72711943955994</v>
      </c>
      <c r="G319" s="156">
        <f>+$J$8*F801ENE!G119</f>
        <v>639.30224558395798</v>
      </c>
      <c r="H319" s="156">
        <f>+$J$8*F801ENE!H119</f>
        <v>615.55906622588384</v>
      </c>
      <c r="I319" s="156">
        <f>+$J$8*F801ENE!I119</f>
        <v>647.16372022220833</v>
      </c>
      <c r="J319" s="154">
        <f t="shared" si="76"/>
        <v>3472.4209352253101</v>
      </c>
      <c r="K319" s="69"/>
      <c r="L319" s="319"/>
    </row>
    <row r="320" spans="2:12" s="37" customFormat="1" ht="15.75">
      <c r="B320" s="48" t="s">
        <v>893</v>
      </c>
      <c r="C320" s="153" t="s">
        <v>942</v>
      </c>
      <c r="D320" s="154">
        <f>+$J$8*F801ENE!D120</f>
        <v>276.77222100000051</v>
      </c>
      <c r="E320" s="154">
        <f>+$J$8*F801ENE!E120</f>
        <v>276.77222100000051</v>
      </c>
      <c r="F320" s="154">
        <f>+$J$8*F801ENE!F120</f>
        <v>276.77222100000051</v>
      </c>
      <c r="G320" s="154">
        <f>+$J$8*F801ENE!G120</f>
        <v>276.77222100000051</v>
      </c>
      <c r="H320" s="154">
        <f>+$J$8*F801ENE!H120</f>
        <v>276.77222100000051</v>
      </c>
      <c r="I320" s="154">
        <f>+$J$8*F801ENE!I120</f>
        <v>276.77222100000051</v>
      </c>
      <c r="J320" s="154">
        <f t="shared" si="76"/>
        <v>1660.6333260000033</v>
      </c>
      <c r="K320" s="69"/>
      <c r="L320" s="319"/>
    </row>
    <row r="321" spans="2:12" s="37" customFormat="1" ht="15.75">
      <c r="B321" s="48"/>
      <c r="C321" s="334" t="s">
        <v>630</v>
      </c>
      <c r="D321" s="154">
        <f t="shared" ref="D321:I321" si="78">D322+D327</f>
        <v>5969.4960124355594</v>
      </c>
      <c r="E321" s="154">
        <f t="shared" si="78"/>
        <v>5931.5741454000545</v>
      </c>
      <c r="F321" s="154">
        <f t="shared" si="78"/>
        <v>5764.5206847682348</v>
      </c>
      <c r="G321" s="154">
        <f t="shared" si="78"/>
        <v>6032.6913438508873</v>
      </c>
      <c r="H321" s="154">
        <f t="shared" si="78"/>
        <v>5581.1954175789233</v>
      </c>
      <c r="I321" s="154">
        <f t="shared" si="78"/>
        <v>5896.4596537344878</v>
      </c>
      <c r="J321" s="154">
        <f t="shared" si="76"/>
        <v>35175.93725776815</v>
      </c>
      <c r="K321" s="69"/>
      <c r="L321" s="319"/>
    </row>
    <row r="322" spans="2:12" s="37" customFormat="1" ht="15.75">
      <c r="B322" s="48" t="s">
        <v>872</v>
      </c>
      <c r="C322" s="335" t="s">
        <v>1073</v>
      </c>
      <c r="D322" s="154">
        <f t="shared" ref="D322:I322" si="79">SUM(D323:D326)</f>
        <v>1149.8175321195415</v>
      </c>
      <c r="E322" s="154">
        <f t="shared" si="79"/>
        <v>1160.6173909763399</v>
      </c>
      <c r="F322" s="154">
        <f t="shared" si="79"/>
        <v>1129.0101573356101</v>
      </c>
      <c r="G322" s="154">
        <f t="shared" si="79"/>
        <v>1210.0877986635901</v>
      </c>
      <c r="H322" s="154">
        <f t="shared" si="79"/>
        <v>1134.6350032967403</v>
      </c>
      <c r="I322" s="154">
        <f t="shared" si="79"/>
        <v>1128.5220758886167</v>
      </c>
      <c r="J322" s="154">
        <f t="shared" si="76"/>
        <v>6912.6899582804381</v>
      </c>
      <c r="K322" s="69"/>
      <c r="L322" s="319"/>
    </row>
    <row r="323" spans="2:12" s="37" customFormat="1" ht="15.75">
      <c r="B323" s="48"/>
      <c r="C323" s="157" t="s">
        <v>1477</v>
      </c>
      <c r="D323" s="156">
        <f>$J$9*F801ENE!D124</f>
        <v>766.56844445810361</v>
      </c>
      <c r="E323" s="156">
        <f>$J$9*F801ENE!E124</f>
        <v>764.4558500382675</v>
      </c>
      <c r="F323" s="156">
        <f>$J$9*F801ENE!F124</f>
        <v>728.47402688832756</v>
      </c>
      <c r="G323" s="156">
        <f>$J$9*F801ENE!G124</f>
        <v>755.13933779630611</v>
      </c>
      <c r="H323" s="156">
        <f>$J$9*F801ENE!H124</f>
        <v>697.51141789858161</v>
      </c>
      <c r="I323" s="156">
        <f>$J$9*F801ENE!I124</f>
        <v>692.90407860651305</v>
      </c>
      <c r="J323" s="154">
        <f t="shared" si="76"/>
        <v>4405.0531556860997</v>
      </c>
      <c r="K323" s="69"/>
    </row>
    <row r="324" spans="2:12" s="37" customFormat="1" ht="15.75">
      <c r="B324" s="48"/>
      <c r="C324" s="157" t="s">
        <v>1477</v>
      </c>
      <c r="D324" s="156">
        <f>$J$9*F801ENE!D125</f>
        <v>37.066593817383591</v>
      </c>
      <c r="E324" s="156">
        <f>$J$9*F801ENE!E125</f>
        <v>37.776912999650811</v>
      </c>
      <c r="F324" s="156">
        <f>$J$9*F801ENE!F125</f>
        <v>39.839882058024074</v>
      </c>
      <c r="G324" s="156">
        <f>$J$9*F801ENE!G125</f>
        <v>42.923060129746688</v>
      </c>
      <c r="H324" s="156">
        <f>$J$9*F801ENE!H125</f>
        <v>46.371160511464659</v>
      </c>
      <c r="I324" s="156">
        <f>$J$9*F801ENE!I125</f>
        <v>25.871753981417818</v>
      </c>
      <c r="J324" s="154">
        <f t="shared" si="76"/>
        <v>229.84936349768765</v>
      </c>
      <c r="K324" s="69"/>
    </row>
    <row r="325" spans="2:12" s="37" customFormat="1" ht="15.75">
      <c r="B325" s="48"/>
      <c r="C325" s="157" t="s">
        <v>1477</v>
      </c>
      <c r="D325" s="156">
        <f>$J$9*F801ENE!D126</f>
        <v>13.87804214451584</v>
      </c>
      <c r="E325" s="156">
        <f>$J$9*F801ENE!E126</f>
        <v>13.562884154689353</v>
      </c>
      <c r="F325" s="156">
        <f>$J$9*F801ENE!F126</f>
        <v>13.095309361234932</v>
      </c>
      <c r="G325" s="156">
        <f>$J$9*F801ENE!G126</f>
        <v>14.040212204897685</v>
      </c>
      <c r="H325" s="156">
        <f>$J$9*F801ENE!H126</f>
        <v>13.550695450264126</v>
      </c>
      <c r="I325" s="156">
        <f>$J$9*F801ENE!I126</f>
        <v>12.987661053351733</v>
      </c>
      <c r="J325" s="154">
        <f>SUM(D325:I325)</f>
        <v>81.114804368953671</v>
      </c>
      <c r="K325" s="69"/>
    </row>
    <row r="326" spans="2:12" s="37" customFormat="1" ht="15.75">
      <c r="B326" s="48"/>
      <c r="C326" s="157" t="s">
        <v>1477</v>
      </c>
      <c r="D326" s="156">
        <f>$J$9*F801ENE!D127</f>
        <v>332.30445169953856</v>
      </c>
      <c r="E326" s="156">
        <f>$J$9*F801ENE!E127</f>
        <v>344.82174378373242</v>
      </c>
      <c r="F326" s="156">
        <f>$J$9*F801ENE!F127</f>
        <v>347.60093902802345</v>
      </c>
      <c r="G326" s="156">
        <f>$J$9*F801ENE!G127</f>
        <v>397.9851885326396</v>
      </c>
      <c r="H326" s="156">
        <f>$J$9*F801ENE!H127</f>
        <v>377.20172943642979</v>
      </c>
      <c r="I326" s="156">
        <f>$J$9*F801ENE!I127</f>
        <v>396.75858224733395</v>
      </c>
      <c r="J326" s="154">
        <f>SUM(D326:I326)</f>
        <v>2196.6726347276976</v>
      </c>
      <c r="K326" s="69"/>
    </row>
    <row r="327" spans="2:12" s="37" customFormat="1" ht="15.75">
      <c r="B327" s="48" t="s">
        <v>873</v>
      </c>
      <c r="C327" s="335" t="s">
        <v>193</v>
      </c>
      <c r="D327" s="154">
        <f t="shared" ref="D327:I327" si="80">SUM(D328:D332)</f>
        <v>4819.6784803160181</v>
      </c>
      <c r="E327" s="154">
        <f t="shared" si="80"/>
        <v>4770.9567544237143</v>
      </c>
      <c r="F327" s="154">
        <f t="shared" si="80"/>
        <v>4635.5105274326252</v>
      </c>
      <c r="G327" s="154">
        <f t="shared" si="80"/>
        <v>4822.6035451872967</v>
      </c>
      <c r="H327" s="154">
        <f t="shared" si="80"/>
        <v>4446.560414282183</v>
      </c>
      <c r="I327" s="154">
        <f t="shared" si="80"/>
        <v>4767.9375778458716</v>
      </c>
      <c r="J327" s="154">
        <f t="shared" si="76"/>
        <v>28263.24729948771</v>
      </c>
      <c r="K327" s="69"/>
    </row>
    <row r="328" spans="2:12" s="37" customFormat="1" ht="15.75">
      <c r="B328" s="48"/>
      <c r="C328" s="157" t="s">
        <v>1031</v>
      </c>
      <c r="D328" s="156">
        <f>$J$10*F801ENE!D129</f>
        <v>0</v>
      </c>
      <c r="E328" s="156">
        <f>$J$10*F801ENE!E129</f>
        <v>0</v>
      </c>
      <c r="F328" s="156">
        <f>$J$10*F801ENE!F129</f>
        <v>0</v>
      </c>
      <c r="G328" s="156">
        <f>$J$10*F801ENE!G129</f>
        <v>0</v>
      </c>
      <c r="H328" s="156">
        <f>$J$10*F801ENE!H129</f>
        <v>0</v>
      </c>
      <c r="I328" s="156">
        <f>$J$10*F801ENE!I129</f>
        <v>0</v>
      </c>
      <c r="J328" s="154">
        <f t="shared" si="76"/>
        <v>0</v>
      </c>
      <c r="K328" s="69"/>
    </row>
    <row r="329" spans="2:12" s="37" customFormat="1" ht="15.75">
      <c r="B329" s="48"/>
      <c r="C329" s="157" t="s">
        <v>1478</v>
      </c>
      <c r="D329" s="156">
        <f>$J$10*F801ENE!D130</f>
        <v>3141.7815316164861</v>
      </c>
      <c r="E329" s="156">
        <f>$J$10*F801ENE!E130</f>
        <v>3133.9793204176945</v>
      </c>
      <c r="F329" s="156">
        <f>$J$10*F801ENE!F130</f>
        <v>2854.7471031464488</v>
      </c>
      <c r="G329" s="156">
        <f>$J$10*F801ENE!G130</f>
        <v>2959.330714284979</v>
      </c>
      <c r="H329" s="156">
        <f>$J$10*F801ENE!H130</f>
        <v>2702.8980840110034</v>
      </c>
      <c r="I329" s="156">
        <f>$J$10*F801ENE!I130</f>
        <v>2862.8065683967884</v>
      </c>
      <c r="J329" s="154">
        <f t="shared" si="76"/>
        <v>17655.5433218734</v>
      </c>
      <c r="K329" s="69"/>
    </row>
    <row r="330" spans="2:12" s="37" customFormat="1" ht="15.75">
      <c r="B330" s="48"/>
      <c r="C330" s="157" t="s">
        <v>1478</v>
      </c>
      <c r="D330" s="156">
        <f>$J$10*F801ENE!D131</f>
        <v>221.32422716857198</v>
      </c>
      <c r="E330" s="156">
        <f>$J$10*F801ENE!E131</f>
        <v>196.36646434732802</v>
      </c>
      <c r="F330" s="156">
        <f>$J$10*F801ENE!F131</f>
        <v>218.08112725099798</v>
      </c>
      <c r="G330" s="156">
        <f>$J$10*F801ENE!G131</f>
        <v>190.87958550394805</v>
      </c>
      <c r="H330" s="156">
        <f>$J$10*F801ENE!H131</f>
        <v>182.36827968559206</v>
      </c>
      <c r="I330" s="156">
        <f>$J$10*F801ENE!I131</f>
        <v>204.3042929829987</v>
      </c>
      <c r="J330" s="154">
        <f t="shared" si="76"/>
        <v>1213.3239769394368</v>
      </c>
      <c r="K330" s="69"/>
    </row>
    <row r="331" spans="2:12" s="37" customFormat="1" ht="15.75">
      <c r="B331" s="48"/>
      <c r="C331" s="157" t="s">
        <v>1478</v>
      </c>
      <c r="D331" s="156">
        <f>$J$10*F801ENE!D132</f>
        <v>208.84464486349199</v>
      </c>
      <c r="E331" s="156">
        <f>$J$10*F801ENE!E132</f>
        <v>215.746476060258</v>
      </c>
      <c r="F331" s="156">
        <f>$J$10*F801ENE!F132</f>
        <v>206.98996286370604</v>
      </c>
      <c r="G331" s="156">
        <f>$J$10*F801ENE!G132</f>
        <v>216.83609814378605</v>
      </c>
      <c r="H331" s="156">
        <f>$J$10*F801ENE!H132</f>
        <v>191.87530877849403</v>
      </c>
      <c r="I331" s="156">
        <f>$J$10*F801ENE!I132</f>
        <v>216.88614249451371</v>
      </c>
      <c r="J331" s="154">
        <f t="shared" si="76"/>
        <v>1257.1786332042498</v>
      </c>
      <c r="K331" s="69"/>
    </row>
    <row r="332" spans="2:12" s="37" customFormat="1" ht="15.75">
      <c r="B332" s="48"/>
      <c r="C332" s="157" t="s">
        <v>1478</v>
      </c>
      <c r="D332" s="156">
        <f>$J$10*F801ENE!D133</f>
        <v>1247.728076667468</v>
      </c>
      <c r="E332" s="156">
        <f>$J$10*F801ENE!E133</f>
        <v>1224.8644935984337</v>
      </c>
      <c r="F332" s="156">
        <f>$J$10*F801ENE!F133</f>
        <v>1355.6923341714721</v>
      </c>
      <c r="G332" s="156">
        <f>$J$10*F801ENE!G133</f>
        <v>1455.5571472545839</v>
      </c>
      <c r="H332" s="156">
        <f>$J$10*F801ENE!H133</f>
        <v>1369.4187418070937</v>
      </c>
      <c r="I332" s="156">
        <f>$J$10*F801ENE!I133</f>
        <v>1483.9405739715712</v>
      </c>
      <c r="J332" s="154">
        <f t="shared" si="76"/>
        <v>8137.2013674706232</v>
      </c>
      <c r="K332" s="69"/>
    </row>
    <row r="333" spans="2:12" s="37" customFormat="1" ht="15.75">
      <c r="B333" s="48"/>
      <c r="C333" s="334" t="s">
        <v>443</v>
      </c>
      <c r="D333" s="154">
        <f t="shared" ref="D333:I333" si="81">D334+D335</f>
        <v>967.46161140525635</v>
      </c>
      <c r="E333" s="154">
        <f t="shared" si="81"/>
        <v>949.81312688506227</v>
      </c>
      <c r="F333" s="154">
        <f t="shared" si="81"/>
        <v>962.7314149141921</v>
      </c>
      <c r="G333" s="154">
        <f t="shared" si="81"/>
        <v>1014.1086597691499</v>
      </c>
      <c r="H333" s="154">
        <f t="shared" si="81"/>
        <v>934.78711314542397</v>
      </c>
      <c r="I333" s="154">
        <f t="shared" si="81"/>
        <v>1047.970573104554</v>
      </c>
      <c r="J333" s="154">
        <f t="shared" si="76"/>
        <v>5876.8724992236384</v>
      </c>
      <c r="K333" s="69"/>
    </row>
    <row r="334" spans="2:12" s="37" customFormat="1" ht="15.75">
      <c r="B334" s="48" t="s">
        <v>874</v>
      </c>
      <c r="C334" s="157" t="s">
        <v>1479</v>
      </c>
      <c r="D334" s="156">
        <f>$J$11*F801ENE!D137</f>
        <v>31.319228193065996</v>
      </c>
      <c r="E334" s="156">
        <f>$J$11*F801ENE!E137</f>
        <v>31.040917441973999</v>
      </c>
      <c r="F334" s="156">
        <f>$J$11*F801ENE!F137</f>
        <v>29.72972836944</v>
      </c>
      <c r="G334" s="156">
        <f>$J$11*F801ENE!G137</f>
        <v>30.830251735799997</v>
      </c>
      <c r="H334" s="156">
        <f>$J$11*F801ENE!H137</f>
        <v>29.856586271094006</v>
      </c>
      <c r="I334" s="156">
        <f>$J$11*F801ENE!I137</f>
        <v>30.933796271400034</v>
      </c>
      <c r="J334" s="154">
        <f t="shared" si="76"/>
        <v>183.71050828277404</v>
      </c>
      <c r="K334" s="69"/>
    </row>
    <row r="335" spans="2:12" s="37" customFormat="1" ht="15.75">
      <c r="B335" s="48" t="s">
        <v>875</v>
      </c>
      <c r="C335" s="335" t="s">
        <v>193</v>
      </c>
      <c r="D335" s="154">
        <f t="shared" ref="D335:I335" si="82">SUM(D336:D341)</f>
        <v>936.14238321219034</v>
      </c>
      <c r="E335" s="154">
        <f t="shared" si="82"/>
        <v>918.77220944308829</v>
      </c>
      <c r="F335" s="154">
        <f t="shared" si="82"/>
        <v>933.00168654475215</v>
      </c>
      <c r="G335" s="154">
        <f t="shared" si="82"/>
        <v>983.27840803334993</v>
      </c>
      <c r="H335" s="154">
        <f t="shared" si="82"/>
        <v>904.93052687432998</v>
      </c>
      <c r="I335" s="154">
        <f t="shared" si="82"/>
        <v>1017.0367768331539</v>
      </c>
      <c r="J335" s="154">
        <f t="shared" si="76"/>
        <v>5693.1619909408637</v>
      </c>
      <c r="K335" s="69"/>
    </row>
    <row r="336" spans="2:12" s="37" customFormat="1" ht="15.75">
      <c r="B336" s="48"/>
      <c r="C336" s="157" t="s">
        <v>1032</v>
      </c>
      <c r="D336" s="156">
        <f>$J$12*(F801ENE!D140)</f>
        <v>9.6505301088900026</v>
      </c>
      <c r="E336" s="156">
        <f>$J$12*(F801ENE!E140)</f>
        <v>9.3971759654520017</v>
      </c>
      <c r="F336" s="156">
        <f>$J$12*(F801ENE!F140)</f>
        <v>9.5920841245679984</v>
      </c>
      <c r="G336" s="156">
        <f>$J$12*(F801ENE!G140)</f>
        <v>10.040406378354001</v>
      </c>
      <c r="H336" s="156">
        <f>$J$12*(F801ENE!H140)</f>
        <v>9.2551901626800017</v>
      </c>
      <c r="I336" s="156">
        <f>$J$12*(F801ENE!I140)</f>
        <v>9.798693777774</v>
      </c>
      <c r="J336" s="154">
        <f t="shared" si="76"/>
        <v>57.734080517717999</v>
      </c>
      <c r="K336" s="69"/>
    </row>
    <row r="337" spans="2:11" s="37" customFormat="1" ht="15.75">
      <c r="B337" s="48"/>
      <c r="C337" s="157" t="s">
        <v>1480</v>
      </c>
      <c r="D337" s="156">
        <f>$J$12*(F801ENE!D141)</f>
        <v>621.22236023707228</v>
      </c>
      <c r="E337" s="156">
        <f>$J$12*(F801ENE!E141)</f>
        <v>606.36745871242226</v>
      </c>
      <c r="F337" s="156">
        <f>$J$12*(F801ENE!F141)</f>
        <v>590.62447814475604</v>
      </c>
      <c r="G337" s="156">
        <f>$J$12*(F801ENE!G141)</f>
        <v>612.92148604196404</v>
      </c>
      <c r="H337" s="156">
        <f>$J$12*(F801ENE!H141)</f>
        <v>561.41310341971791</v>
      </c>
      <c r="I337" s="156">
        <f>$J$12*(F801ENE!I141)</f>
        <v>605.83542549747654</v>
      </c>
      <c r="J337" s="154">
        <f t="shared" si="76"/>
        <v>3598.3843120534093</v>
      </c>
      <c r="K337" s="69"/>
    </row>
    <row r="338" spans="2:11" s="37" customFormat="1" ht="15.75">
      <c r="B338" s="48"/>
      <c r="C338" s="157" t="s">
        <v>1480</v>
      </c>
      <c r="D338" s="156">
        <f>$J$12*(F801ENE!D142)</f>
        <v>12.204265797504004</v>
      </c>
      <c r="E338" s="156">
        <f>$J$12*(F801ENE!E142)</f>
        <v>11.913427371978003</v>
      </c>
      <c r="F338" s="156">
        <f>$J$12*(F801ENE!F142)</f>
        <v>11.708995747481998</v>
      </c>
      <c r="G338" s="156">
        <f>$J$12*(F801ENE!G142)</f>
        <v>11.905338560346005</v>
      </c>
      <c r="H338" s="156">
        <f>$J$12*(F801ENE!H142)</f>
        <v>10.287670449474001</v>
      </c>
      <c r="I338" s="156">
        <f>$J$12*(F801ENE!I142)</f>
        <v>11.524324166653299</v>
      </c>
      <c r="J338" s="154">
        <f t="shared" si="76"/>
        <v>69.544022093437306</v>
      </c>
      <c r="K338" s="69"/>
    </row>
    <row r="339" spans="2:11" s="37" customFormat="1" ht="15.75">
      <c r="B339" s="48"/>
      <c r="C339" s="157" t="s">
        <v>1480</v>
      </c>
      <c r="D339" s="156">
        <f>$J$12*(F801ENE!D143)</f>
        <v>125.84146258787399</v>
      </c>
      <c r="E339" s="156">
        <f>$J$12*(F801ENE!E143)</f>
        <v>121.12467290550001</v>
      </c>
      <c r="F339" s="156">
        <f>$J$12*(F801ENE!F143)</f>
        <v>119.42723345058</v>
      </c>
      <c r="G339" s="156">
        <f>$J$12*(F801ENE!G143)</f>
        <v>124.68676426588802</v>
      </c>
      <c r="H339" s="156">
        <f>$J$12*(F801ENE!H143)</f>
        <v>110.27373134421599</v>
      </c>
      <c r="I339" s="156">
        <f>$J$12*(F801ENE!I143)</f>
        <v>111.94029680692717</v>
      </c>
      <c r="J339" s="154">
        <f t="shared" si="76"/>
        <v>713.29416136098507</v>
      </c>
      <c r="K339" s="69"/>
    </row>
    <row r="340" spans="2:11" s="37" customFormat="1" ht="15.75">
      <c r="B340" s="48"/>
      <c r="C340" s="157" t="s">
        <v>1480</v>
      </c>
      <c r="D340" s="156">
        <f>$J$12*(F801ENE!D144)</f>
        <v>167.22376448085001</v>
      </c>
      <c r="E340" s="156">
        <f>$J$12*(F801ENE!E144)</f>
        <v>169.96947448773597</v>
      </c>
      <c r="F340" s="156">
        <f>$J$12*(F801ENE!F144)</f>
        <v>201.64889507736601</v>
      </c>
      <c r="G340" s="156">
        <f>$J$12*(F801ENE!G144)</f>
        <v>223.72441278679804</v>
      </c>
      <c r="H340" s="156">
        <f>$J$12*(F801ENE!H144)</f>
        <v>213.700831498242</v>
      </c>
      <c r="I340" s="156">
        <f>$J$12*(F801ENE!I144)</f>
        <v>277.9380365843229</v>
      </c>
      <c r="J340" s="154">
        <f t="shared" si="76"/>
        <v>1254.2054149153148</v>
      </c>
      <c r="K340" s="69"/>
    </row>
    <row r="341" spans="2:11" s="37" customFormat="1" ht="15.75">
      <c r="B341" s="48"/>
      <c r="C341" s="157"/>
      <c r="D341" s="156"/>
      <c r="E341" s="156"/>
      <c r="F341" s="156"/>
      <c r="G341" s="156"/>
      <c r="H341" s="156"/>
      <c r="I341" s="156"/>
      <c r="J341" s="156">
        <f t="shared" si="76"/>
        <v>0</v>
      </c>
      <c r="K341" s="69"/>
    </row>
    <row r="342" spans="2:11" s="37" customFormat="1" ht="15.75">
      <c r="B342" s="48"/>
      <c r="C342" s="153" t="s">
        <v>112</v>
      </c>
      <c r="D342" s="154">
        <f t="shared" ref="D342:I342" si="83">D315+D321+D333</f>
        <v>8836.4742034343071</v>
      </c>
      <c r="E342" s="154">
        <f t="shared" si="83"/>
        <v>8666.6816643515776</v>
      </c>
      <c r="F342" s="154">
        <f t="shared" si="83"/>
        <v>8540.6840506365443</v>
      </c>
      <c r="G342" s="154">
        <f t="shared" si="83"/>
        <v>9115.1647385368688</v>
      </c>
      <c r="H342" s="154">
        <f t="shared" si="83"/>
        <v>8208.8618294804219</v>
      </c>
      <c r="I342" s="154">
        <f t="shared" si="83"/>
        <v>8900.648541313336</v>
      </c>
      <c r="J342" s="154">
        <f t="shared" si="76"/>
        <v>52268.515027753048</v>
      </c>
      <c r="K342" s="69"/>
    </row>
    <row r="343" spans="2:11" s="37" customFormat="1" ht="13.5">
      <c r="B343" s="48"/>
      <c r="C343" s="48"/>
      <c r="D343" s="48"/>
      <c r="E343" s="48"/>
      <c r="F343" s="48"/>
      <c r="G343" s="48"/>
      <c r="H343" s="48"/>
      <c r="I343" s="48"/>
      <c r="J343" s="48"/>
      <c r="K343" s="48"/>
    </row>
    <row r="344" spans="2:11" s="37" customFormat="1" ht="54" customHeight="1">
      <c r="B344" s="48"/>
      <c r="C344" s="320" t="s">
        <v>1460</v>
      </c>
      <c r="D344" s="320"/>
      <c r="E344" s="320"/>
      <c r="F344" s="320"/>
      <c r="G344" s="320"/>
      <c r="H344" s="320"/>
      <c r="I344" s="320"/>
      <c r="J344" s="321"/>
      <c r="K344" s="69"/>
    </row>
    <row r="345" spans="2:11" s="37" customFormat="1" ht="15.75">
      <c r="B345" s="48"/>
      <c r="C345" s="150" t="s">
        <v>310</v>
      </c>
      <c r="D345" s="151">
        <f t="shared" ref="D345:I345" si="84">D$29</f>
        <v>46204</v>
      </c>
      <c r="E345" s="151">
        <f t="shared" si="84"/>
        <v>46235</v>
      </c>
      <c r="F345" s="151">
        <f t="shared" si="84"/>
        <v>46266</v>
      </c>
      <c r="G345" s="151">
        <f t="shared" si="84"/>
        <v>46296</v>
      </c>
      <c r="H345" s="151">
        <f t="shared" si="84"/>
        <v>46327</v>
      </c>
      <c r="I345" s="151">
        <f t="shared" si="84"/>
        <v>46357</v>
      </c>
      <c r="J345" s="152" t="s">
        <v>111</v>
      </c>
      <c r="K345" s="69"/>
    </row>
    <row r="346" spans="2:11">
      <c r="C346" s="153" t="s">
        <v>230</v>
      </c>
      <c r="D346" s="154">
        <f t="shared" ref="D346:I346" si="85">SUM(D347:D348)</f>
        <v>0</v>
      </c>
      <c r="E346" s="154">
        <f t="shared" si="85"/>
        <v>0</v>
      </c>
      <c r="F346" s="154">
        <f t="shared" si="85"/>
        <v>0</v>
      </c>
      <c r="G346" s="154">
        <f t="shared" si="85"/>
        <v>0</v>
      </c>
      <c r="H346" s="154">
        <f t="shared" si="85"/>
        <v>0</v>
      </c>
      <c r="I346" s="154">
        <f t="shared" si="85"/>
        <v>0</v>
      </c>
      <c r="J346" s="154">
        <f t="shared" ref="J346:J373" si="86">SUM(D346:I346)</f>
        <v>0</v>
      </c>
    </row>
    <row r="347" spans="2:11">
      <c r="B347" s="48" t="s">
        <v>870</v>
      </c>
      <c r="C347" s="157" t="s">
        <v>1029</v>
      </c>
      <c r="D347" s="156">
        <f>F801D!D116*0*(1+D$25)*(1+D$26)</f>
        <v>0</v>
      </c>
      <c r="E347" s="156">
        <f>F801D!E116*0*(1+E$25)*(1+E$26)</f>
        <v>0</v>
      </c>
      <c r="F347" s="156">
        <f>F801D!F116*0*(1+F$25)*(1+F$26)</f>
        <v>0</v>
      </c>
      <c r="G347" s="156">
        <f>F801D!G116*0*(1+G$25)*(1+G$26)</f>
        <v>0</v>
      </c>
      <c r="H347" s="156">
        <f>F801D!H116*0*(1+H$25)*(1+H$26)</f>
        <v>0</v>
      </c>
      <c r="I347" s="156">
        <f>F801D!I116*0*(1+I$25)*(1+I$26)</f>
        <v>0</v>
      </c>
      <c r="J347" s="154">
        <f t="shared" si="86"/>
        <v>0</v>
      </c>
    </row>
    <row r="348" spans="2:11">
      <c r="B348" s="48" t="s">
        <v>871</v>
      </c>
      <c r="C348" s="335" t="s">
        <v>193</v>
      </c>
      <c r="D348" s="154">
        <f t="shared" ref="D348:I348" si="87">D349+D350</f>
        <v>0</v>
      </c>
      <c r="E348" s="154">
        <f t="shared" si="87"/>
        <v>0</v>
      </c>
      <c r="F348" s="154">
        <f t="shared" si="87"/>
        <v>0</v>
      </c>
      <c r="G348" s="154">
        <f t="shared" si="87"/>
        <v>0</v>
      </c>
      <c r="H348" s="154">
        <f t="shared" si="87"/>
        <v>0</v>
      </c>
      <c r="I348" s="154">
        <f t="shared" si="87"/>
        <v>0</v>
      </c>
      <c r="J348" s="154">
        <f t="shared" si="86"/>
        <v>0</v>
      </c>
    </row>
    <row r="349" spans="2:11">
      <c r="C349" s="157" t="s">
        <v>1030</v>
      </c>
      <c r="D349" s="156">
        <f>F801D!D118*0</f>
        <v>0</v>
      </c>
      <c r="E349" s="156">
        <f>F801D!E118*0</f>
        <v>0</v>
      </c>
      <c r="F349" s="156">
        <f>F801D!F118*0</f>
        <v>0</v>
      </c>
      <c r="G349" s="156">
        <f>F801D!G118*0</f>
        <v>0</v>
      </c>
      <c r="H349" s="156">
        <f>F801D!H118*0</f>
        <v>0</v>
      </c>
      <c r="I349" s="156">
        <f>F801D!I118*0</f>
        <v>0</v>
      </c>
      <c r="J349" s="154">
        <f t="shared" si="86"/>
        <v>0</v>
      </c>
    </row>
    <row r="350" spans="2:11">
      <c r="C350" s="157" t="s">
        <v>1476</v>
      </c>
      <c r="D350" s="156">
        <f>F801D!D119*$D$21*(1+D$25)*(1+D$26)</f>
        <v>0</v>
      </c>
      <c r="E350" s="156">
        <f>F801D!E119*$D$21*(1+E$25)*(1+E$26)</f>
        <v>0</v>
      </c>
      <c r="F350" s="156">
        <f>F801D!F119*$D$21*(1+F$25)*(1+F$26)</f>
        <v>0</v>
      </c>
      <c r="G350" s="156">
        <f>F801D!G119*$D$21*(1+G$25)*(1+G$26)</f>
        <v>0</v>
      </c>
      <c r="H350" s="156">
        <f>F801D!H119*$D$21*(1+H$25)*(1+H$26)</f>
        <v>0</v>
      </c>
      <c r="I350" s="156">
        <f>F801D!I119*$D$21*(1+I$25)*(1+I$26)</f>
        <v>0</v>
      </c>
      <c r="J350" s="154">
        <f t="shared" si="86"/>
        <v>0</v>
      </c>
    </row>
    <row r="351" spans="2:11">
      <c r="C351" s="153" t="s">
        <v>942</v>
      </c>
      <c r="D351" s="156"/>
      <c r="E351" s="156"/>
      <c r="F351" s="156"/>
      <c r="G351" s="156"/>
      <c r="H351" s="156"/>
      <c r="I351" s="156"/>
      <c r="J351" s="154">
        <f t="shared" si="86"/>
        <v>0</v>
      </c>
    </row>
    <row r="352" spans="2:11">
      <c r="C352" s="153" t="s">
        <v>194</v>
      </c>
      <c r="D352" s="154">
        <f t="shared" ref="D352:I352" si="88">D353+D358</f>
        <v>0</v>
      </c>
      <c r="E352" s="154">
        <f t="shared" si="88"/>
        <v>0</v>
      </c>
      <c r="F352" s="154">
        <f t="shared" si="88"/>
        <v>0</v>
      </c>
      <c r="G352" s="154">
        <f t="shared" si="88"/>
        <v>0</v>
      </c>
      <c r="H352" s="154">
        <f t="shared" si="88"/>
        <v>0</v>
      </c>
      <c r="I352" s="154">
        <f t="shared" si="88"/>
        <v>0</v>
      </c>
      <c r="J352" s="154">
        <f t="shared" si="86"/>
        <v>0</v>
      </c>
    </row>
    <row r="353" spans="2:10">
      <c r="B353" s="48" t="s">
        <v>872</v>
      </c>
      <c r="C353" s="335" t="s">
        <v>1073</v>
      </c>
      <c r="D353" s="154">
        <f t="shared" ref="D353:I353" si="89">SUM(D354:D357)</f>
        <v>0</v>
      </c>
      <c r="E353" s="154">
        <f t="shared" si="89"/>
        <v>0</v>
      </c>
      <c r="F353" s="154">
        <f t="shared" si="89"/>
        <v>0</v>
      </c>
      <c r="G353" s="154">
        <f t="shared" si="89"/>
        <v>0</v>
      </c>
      <c r="H353" s="154">
        <f t="shared" si="89"/>
        <v>0</v>
      </c>
      <c r="I353" s="154">
        <f t="shared" si="89"/>
        <v>0</v>
      </c>
      <c r="J353" s="154">
        <f t="shared" si="86"/>
        <v>0</v>
      </c>
    </row>
    <row r="354" spans="2:10">
      <c r="C354" s="157" t="s">
        <v>1477</v>
      </c>
      <c r="D354" s="156">
        <f>F801D!D124*$D21*(1+D$25)*(1+D$26)</f>
        <v>0</v>
      </c>
      <c r="E354" s="156">
        <f>F801D!E124*$D21*(1+E$25)*(1+E$26)</f>
        <v>0</v>
      </c>
      <c r="F354" s="156">
        <f>F801D!F124*$D21*(1+F$25)*(1+F$26)</f>
        <v>0</v>
      </c>
      <c r="G354" s="156">
        <f>F801D!G124*$D21*(1+G$25)*(1+G$26)</f>
        <v>0</v>
      </c>
      <c r="H354" s="156">
        <f>F801D!H124*$D21*(1+H$25)*(1+H$26)</f>
        <v>0</v>
      </c>
      <c r="I354" s="156">
        <f>F801D!I124*$D21*(1+I$25)*(1+I$26)</f>
        <v>0</v>
      </c>
      <c r="J354" s="154">
        <f t="shared" si="86"/>
        <v>0</v>
      </c>
    </row>
    <row r="355" spans="2:10">
      <c r="C355" s="157" t="s">
        <v>1477</v>
      </c>
      <c r="D355" s="156">
        <f>F801D!D125*$D22*(1+D$25)*(1+D$26)</f>
        <v>0</v>
      </c>
      <c r="E355" s="156">
        <f>F801D!E125*$D22*(1+E$25)*(1+E$26)</f>
        <v>0</v>
      </c>
      <c r="F355" s="156">
        <f>F801D!F125*$D22*(1+F$25)*(1+F$26)</f>
        <v>0</v>
      </c>
      <c r="G355" s="156">
        <f>F801D!G125*$D22*(1+G$25)*(1+G$26)</f>
        <v>0</v>
      </c>
      <c r="H355" s="156">
        <f>F801D!H125*$D22*(1+H$25)*(1+H$26)</f>
        <v>0</v>
      </c>
      <c r="I355" s="156">
        <f>F801D!I125*$D22*(1+I$25)*(1+I$26)</f>
        <v>0</v>
      </c>
      <c r="J355" s="154">
        <f t="shared" si="86"/>
        <v>0</v>
      </c>
    </row>
    <row r="356" spans="2:10">
      <c r="C356" s="157" t="s">
        <v>1477</v>
      </c>
      <c r="D356" s="156">
        <f>F801D!D126*$D23*(1+D$25)*(1+D$26)</f>
        <v>0</v>
      </c>
      <c r="E356" s="156">
        <f>F801D!E126*$D23*(1+E$25)*(1+E$26)</f>
        <v>0</v>
      </c>
      <c r="F356" s="156">
        <f>F801D!F126*$D23*(1+F$25)*(1+F$26)</f>
        <v>0</v>
      </c>
      <c r="G356" s="156">
        <f>F801D!G126*$D23*(1+G$25)*(1+G$26)</f>
        <v>0</v>
      </c>
      <c r="H356" s="156">
        <f>F801D!H126*$D23*(1+H$25)*(1+H$26)</f>
        <v>0</v>
      </c>
      <c r="I356" s="156">
        <f>F801D!I126*$D23*(1+I$25)*(1+I$26)</f>
        <v>0</v>
      </c>
      <c r="J356" s="154">
        <f>SUM(D356:I356)</f>
        <v>0</v>
      </c>
    </row>
    <row r="357" spans="2:10">
      <c r="C357" s="157" t="s">
        <v>1477</v>
      </c>
      <c r="D357" s="156">
        <f>F801D!D127*$D24*(1+D$25)*(1+D$26)</f>
        <v>0</v>
      </c>
      <c r="E357" s="156">
        <f>F801D!E127*$D24*(1+E$25)*(1+E$26)</f>
        <v>0</v>
      </c>
      <c r="F357" s="156">
        <f>F801D!F127*$D24*(1+F$25)*(1+F$26)</f>
        <v>0</v>
      </c>
      <c r="G357" s="156">
        <f>F801D!G127*$D24*(1+G$25)*(1+G$26)</f>
        <v>0</v>
      </c>
      <c r="H357" s="156">
        <f>F801D!H127*$D24*(1+H$25)*(1+H$26)</f>
        <v>0</v>
      </c>
      <c r="I357" s="156">
        <f>F801D!I127*$D24*(1+I$25)*(1+I$26)</f>
        <v>0</v>
      </c>
      <c r="J357" s="154">
        <f>SUM(D357:I357)</f>
        <v>0</v>
      </c>
    </row>
    <row r="358" spans="2:10">
      <c r="B358" s="48" t="s">
        <v>873</v>
      </c>
      <c r="C358" s="335" t="s">
        <v>193</v>
      </c>
      <c r="D358" s="154">
        <f t="shared" ref="D358:I358" si="90">SUM(D359:D363)</f>
        <v>0</v>
      </c>
      <c r="E358" s="154">
        <f t="shared" si="90"/>
        <v>0</v>
      </c>
      <c r="F358" s="154">
        <f t="shared" si="90"/>
        <v>0</v>
      </c>
      <c r="G358" s="154">
        <f t="shared" si="90"/>
        <v>0</v>
      </c>
      <c r="H358" s="154">
        <f t="shared" si="90"/>
        <v>0</v>
      </c>
      <c r="I358" s="154">
        <f t="shared" si="90"/>
        <v>0</v>
      </c>
      <c r="J358" s="154">
        <f t="shared" si="86"/>
        <v>0</v>
      </c>
    </row>
    <row r="359" spans="2:10">
      <c r="C359" s="157" t="s">
        <v>1031</v>
      </c>
      <c r="D359" s="156">
        <f>F801D!D129*0</f>
        <v>0</v>
      </c>
      <c r="E359" s="156">
        <f>F801D!E129*0</f>
        <v>0</v>
      </c>
      <c r="F359" s="156">
        <f>F801D!F129*0</f>
        <v>0</v>
      </c>
      <c r="G359" s="156">
        <f>F801D!G129*0</f>
        <v>0</v>
      </c>
      <c r="H359" s="156">
        <f>F801D!H129*0</f>
        <v>0</v>
      </c>
      <c r="I359" s="156">
        <f>F801D!I129*0</f>
        <v>0</v>
      </c>
      <c r="J359" s="154">
        <f t="shared" si="86"/>
        <v>0</v>
      </c>
    </row>
    <row r="360" spans="2:10">
      <c r="C360" s="157" t="s">
        <v>1478</v>
      </c>
      <c r="D360" s="156">
        <f>F801D!D130*$D21*(1+D$25)*(1+D$26)</f>
        <v>0</v>
      </c>
      <c r="E360" s="156">
        <f>F801D!E130*$D21*(1+E$25)*(1+E$26)</f>
        <v>0</v>
      </c>
      <c r="F360" s="156">
        <f>F801D!F130*$D21*(1+F$25)*(1+F$26)</f>
        <v>0</v>
      </c>
      <c r="G360" s="156">
        <f>F801D!G130*$D21*(1+G$25)*(1+G$26)</f>
        <v>0</v>
      </c>
      <c r="H360" s="156">
        <f>F801D!H130*$D21*(1+H$25)*(1+H$26)</f>
        <v>0</v>
      </c>
      <c r="I360" s="156">
        <f>F801D!I130*$D21*(1+I$25)*(1+I$26)</f>
        <v>0</v>
      </c>
      <c r="J360" s="154">
        <f t="shared" si="86"/>
        <v>0</v>
      </c>
    </row>
    <row r="361" spans="2:10">
      <c r="C361" s="157" t="s">
        <v>1478</v>
      </c>
      <c r="D361" s="156">
        <f>F801D!D131*$D22*(1+D$25)*(1+D$26)</f>
        <v>0</v>
      </c>
      <c r="E361" s="156">
        <f>F801D!E131*$D22*(1+E$25)*(1+E$26)</f>
        <v>0</v>
      </c>
      <c r="F361" s="156">
        <f>F801D!F131*$D22*(1+F$25)*(1+F$26)</f>
        <v>0</v>
      </c>
      <c r="G361" s="156">
        <f>F801D!G131*$D22*(1+G$25)*(1+G$26)</f>
        <v>0</v>
      </c>
      <c r="H361" s="156">
        <f>F801D!H131*$D22*(1+H$25)*(1+H$26)</f>
        <v>0</v>
      </c>
      <c r="I361" s="156">
        <f>F801D!I131*$D22*(1+I$25)*(1+I$26)</f>
        <v>0</v>
      </c>
      <c r="J361" s="154">
        <f t="shared" si="86"/>
        <v>0</v>
      </c>
    </row>
    <row r="362" spans="2:10">
      <c r="C362" s="157" t="s">
        <v>1478</v>
      </c>
      <c r="D362" s="156">
        <f>F801D!D132*$D23*(1+D$25)*(1+D$26)</f>
        <v>0</v>
      </c>
      <c r="E362" s="156">
        <f>F801D!E132*$D23*(1+E$25)*(1+E$26)</f>
        <v>0</v>
      </c>
      <c r="F362" s="156">
        <f>F801D!F132*$D23*(1+F$25)*(1+F$26)</f>
        <v>0</v>
      </c>
      <c r="G362" s="156">
        <f>F801D!G132*$D23*(1+G$25)*(1+G$26)</f>
        <v>0</v>
      </c>
      <c r="H362" s="156">
        <f>F801D!H132*$D23*(1+H$25)*(1+H$26)</f>
        <v>0</v>
      </c>
      <c r="I362" s="156">
        <f>F801D!I132*$D23*(1+I$25)*(1+I$26)</f>
        <v>0</v>
      </c>
      <c r="J362" s="154">
        <f t="shared" si="86"/>
        <v>0</v>
      </c>
    </row>
    <row r="363" spans="2:10">
      <c r="C363" s="157" t="s">
        <v>1478</v>
      </c>
      <c r="D363" s="156">
        <f>F801D!D133*$D24*(1+D$25)*(1+D$26)</f>
        <v>0</v>
      </c>
      <c r="E363" s="156">
        <f>F801D!E133*$D24*(1+E$25)*(1+E$26)</f>
        <v>0</v>
      </c>
      <c r="F363" s="156">
        <f>F801D!F133*$D24*(1+F$25)*(1+F$26)</f>
        <v>0</v>
      </c>
      <c r="G363" s="156">
        <f>F801D!G133*$D24*(1+G$25)*(1+G$26)</f>
        <v>0</v>
      </c>
      <c r="H363" s="156">
        <f>F801D!H133*$D24*(1+H$25)*(1+H$26)</f>
        <v>0</v>
      </c>
      <c r="I363" s="156">
        <f>F801D!I133*$D24*(1+I$25)*(1+I$26)</f>
        <v>0</v>
      </c>
      <c r="J363" s="154">
        <f t="shared" si="86"/>
        <v>0</v>
      </c>
    </row>
    <row r="364" spans="2:10">
      <c r="C364" s="153" t="s">
        <v>308</v>
      </c>
      <c r="D364" s="154">
        <f t="shared" ref="D364:I364" si="91">SUM(D365:D366)</f>
        <v>0</v>
      </c>
      <c r="E364" s="154">
        <f t="shared" si="91"/>
        <v>0</v>
      </c>
      <c r="F364" s="154">
        <f t="shared" si="91"/>
        <v>0</v>
      </c>
      <c r="G364" s="154">
        <f t="shared" si="91"/>
        <v>0</v>
      </c>
      <c r="H364" s="154">
        <f t="shared" si="91"/>
        <v>0</v>
      </c>
      <c r="I364" s="154">
        <f t="shared" si="91"/>
        <v>0</v>
      </c>
      <c r="J364" s="154">
        <f t="shared" si="86"/>
        <v>0</v>
      </c>
    </row>
    <row r="365" spans="2:10">
      <c r="B365" s="48" t="s">
        <v>874</v>
      </c>
      <c r="C365" s="157" t="s">
        <v>1479</v>
      </c>
      <c r="D365" s="156">
        <f>F801D!D137*$D21*(1+D$25)*(1+D$26)</f>
        <v>0</v>
      </c>
      <c r="E365" s="156">
        <f>F801D!E137*$D21*(1+E$25)*(1+E$26)</f>
        <v>0</v>
      </c>
      <c r="F365" s="156">
        <f>F801D!F137*$D21*(1+F$25)*(1+F$26)</f>
        <v>0</v>
      </c>
      <c r="G365" s="156">
        <f>F801D!G137*$D21*(1+G$25)*(1+G$26)</f>
        <v>0</v>
      </c>
      <c r="H365" s="156">
        <f>F801D!H137*$D21*(1+H$25)*(1+H$26)</f>
        <v>0</v>
      </c>
      <c r="I365" s="156">
        <f>F801D!I137*$D21*(1+I$25)*(1+I$26)</f>
        <v>0</v>
      </c>
      <c r="J365" s="154">
        <f t="shared" si="86"/>
        <v>0</v>
      </c>
    </row>
    <row r="366" spans="2:10">
      <c r="B366" s="48" t="s">
        <v>875</v>
      </c>
      <c r="C366" s="335" t="s">
        <v>193</v>
      </c>
      <c r="D366" s="154">
        <f t="shared" ref="D366:I366" si="92">SUM(D367:D372)</f>
        <v>0</v>
      </c>
      <c r="E366" s="154">
        <f t="shared" si="92"/>
        <v>0</v>
      </c>
      <c r="F366" s="154">
        <f t="shared" si="92"/>
        <v>0</v>
      </c>
      <c r="G366" s="154">
        <f t="shared" si="92"/>
        <v>0</v>
      </c>
      <c r="H366" s="154">
        <f t="shared" si="92"/>
        <v>0</v>
      </c>
      <c r="I366" s="154">
        <f t="shared" si="92"/>
        <v>0</v>
      </c>
      <c r="J366" s="154">
        <f t="shared" si="86"/>
        <v>0</v>
      </c>
    </row>
    <row r="367" spans="2:10">
      <c r="C367" s="157" t="s">
        <v>1032</v>
      </c>
      <c r="D367" s="156">
        <f>F801D!D140*0</f>
        <v>0</v>
      </c>
      <c r="E367" s="156">
        <f>F801D!E140*0</f>
        <v>0</v>
      </c>
      <c r="F367" s="156">
        <f>F801D!F140*0</f>
        <v>0</v>
      </c>
      <c r="G367" s="156">
        <f>F801D!G140*0</f>
        <v>0</v>
      </c>
      <c r="H367" s="156">
        <f>F801D!H140*0</f>
        <v>0</v>
      </c>
      <c r="I367" s="156">
        <f>F801D!I140*0</f>
        <v>0</v>
      </c>
      <c r="J367" s="154">
        <f t="shared" si="86"/>
        <v>0</v>
      </c>
    </row>
    <row r="368" spans="2:10">
      <c r="C368" s="157" t="s">
        <v>1480</v>
      </c>
      <c r="D368" s="156">
        <f>F801D!D141*$D21*(1+D$25)*(1+D$26)</f>
        <v>0</v>
      </c>
      <c r="E368" s="156">
        <f>F801D!E141*$D21*(1+E$25)*(1+E$26)</f>
        <v>0</v>
      </c>
      <c r="F368" s="156">
        <f>F801D!F141*$D21*(1+F$25)*(1+F$26)</f>
        <v>0</v>
      </c>
      <c r="G368" s="156">
        <f>F801D!G141*$D21*(1+G$25)*(1+G$26)</f>
        <v>0</v>
      </c>
      <c r="H368" s="156">
        <f>F801D!H141*$D21*(1+H$25)*(1+H$26)</f>
        <v>0</v>
      </c>
      <c r="I368" s="156">
        <f>F801D!I141*$D21*(1+I$25)*(1+I$26)</f>
        <v>0</v>
      </c>
      <c r="J368" s="154">
        <f t="shared" si="86"/>
        <v>0</v>
      </c>
    </row>
    <row r="369" spans="2:10">
      <c r="C369" s="157" t="s">
        <v>1480</v>
      </c>
      <c r="D369" s="156">
        <f>F801D!D142*$D22*(1+D$25)*(1+D$26)</f>
        <v>0</v>
      </c>
      <c r="E369" s="156">
        <f>F801D!E142*$D22*(1+E$25)*(1+E$26)</f>
        <v>0</v>
      </c>
      <c r="F369" s="156">
        <f>F801D!F142*$D22*(1+F$25)*(1+F$26)</f>
        <v>0</v>
      </c>
      <c r="G369" s="156">
        <f>F801D!G142*$D22*(1+G$25)*(1+G$26)</f>
        <v>0</v>
      </c>
      <c r="H369" s="156">
        <f>F801D!H142*$D22*(1+H$25)*(1+H$26)</f>
        <v>0</v>
      </c>
      <c r="I369" s="156">
        <f>F801D!I142*$D22*(1+I$25)*(1+I$26)</f>
        <v>0</v>
      </c>
      <c r="J369" s="154">
        <f t="shared" si="86"/>
        <v>0</v>
      </c>
    </row>
    <row r="370" spans="2:10">
      <c r="C370" s="157" t="s">
        <v>1480</v>
      </c>
      <c r="D370" s="156">
        <f>F801D!D143*$D23*(1+D$25)*(1+D$26)</f>
        <v>0</v>
      </c>
      <c r="E370" s="156">
        <f>F801D!E143*$D23*(1+E$25)*(1+E$26)</f>
        <v>0</v>
      </c>
      <c r="F370" s="156">
        <f>F801D!F143*$D23*(1+F$25)*(1+F$26)</f>
        <v>0</v>
      </c>
      <c r="G370" s="156">
        <f>F801D!G143*$D23*(1+G$25)*(1+G$26)</f>
        <v>0</v>
      </c>
      <c r="H370" s="156">
        <f>F801D!H143*$D23*(1+H$25)*(1+H$26)</f>
        <v>0</v>
      </c>
      <c r="I370" s="156">
        <f>F801D!I143*$D23*(1+I$25)*(1+I$26)</f>
        <v>0</v>
      </c>
      <c r="J370" s="154">
        <f t="shared" si="86"/>
        <v>0</v>
      </c>
    </row>
    <row r="371" spans="2:10">
      <c r="C371" s="157" t="s">
        <v>1480</v>
      </c>
      <c r="D371" s="156">
        <f>F801D!D144*$D24*(1+D$25)*(1+D$26)</f>
        <v>0</v>
      </c>
      <c r="E371" s="156">
        <f>F801D!E144*$D24*(1+E$25)*(1+E$26)</f>
        <v>0</v>
      </c>
      <c r="F371" s="156">
        <f>F801D!F144*$D24*(1+F$25)*(1+F$26)</f>
        <v>0</v>
      </c>
      <c r="G371" s="156">
        <f>F801D!G144*$D24*(1+G$25)*(1+G$26)</f>
        <v>0</v>
      </c>
      <c r="H371" s="156">
        <f>F801D!H144*$D24*(1+H$25)*(1+H$26)</f>
        <v>0</v>
      </c>
      <c r="I371" s="156">
        <f>F801D!I144*$D24*(1+I$25)*(1+I$26)</f>
        <v>0</v>
      </c>
      <c r="J371" s="154">
        <f t="shared" si="86"/>
        <v>0</v>
      </c>
    </row>
    <row r="372" spans="2:10">
      <c r="C372" s="157"/>
      <c r="D372" s="156"/>
      <c r="E372" s="156"/>
      <c r="F372" s="156"/>
      <c r="G372" s="156"/>
      <c r="H372" s="156"/>
      <c r="I372" s="156"/>
      <c r="J372" s="154">
        <f t="shared" si="86"/>
        <v>0</v>
      </c>
    </row>
    <row r="373" spans="2:10">
      <c r="C373" s="153" t="s">
        <v>112</v>
      </c>
      <c r="D373" s="154">
        <f t="shared" ref="D373:I373" si="93">D346+D352+D364</f>
        <v>0</v>
      </c>
      <c r="E373" s="154">
        <f t="shared" si="93"/>
        <v>0</v>
      </c>
      <c r="F373" s="154">
        <f t="shared" si="93"/>
        <v>0</v>
      </c>
      <c r="G373" s="154">
        <f t="shared" si="93"/>
        <v>0</v>
      </c>
      <c r="H373" s="154">
        <f t="shared" si="93"/>
        <v>0</v>
      </c>
      <c r="I373" s="154">
        <f t="shared" si="93"/>
        <v>0</v>
      </c>
      <c r="J373" s="154">
        <f t="shared" si="86"/>
        <v>0</v>
      </c>
    </row>
    <row r="374" spans="2:10">
      <c r="C374" s="164"/>
      <c r="D374" s="164"/>
      <c r="E374" s="164"/>
      <c r="F374" s="164"/>
      <c r="G374" s="164"/>
      <c r="H374" s="164"/>
      <c r="I374" s="164"/>
      <c r="J374" s="164"/>
    </row>
    <row r="375" spans="2:10">
      <c r="C375" s="153" t="s">
        <v>111</v>
      </c>
      <c r="D375" s="154">
        <f t="shared" ref="D375:J375" si="94">D121+D216+D311+D342+D373</f>
        <v>1443599.6323969585</v>
      </c>
      <c r="E375" s="154">
        <f t="shared" si="94"/>
        <v>1444028.6273341891</v>
      </c>
      <c r="F375" s="154">
        <f t="shared" si="94"/>
        <v>1416792.5459576251</v>
      </c>
      <c r="G375" s="154">
        <f t="shared" si="94"/>
        <v>1439556.9021717913</v>
      </c>
      <c r="H375" s="154">
        <f t="shared" si="94"/>
        <v>1376669.9687379105</v>
      </c>
      <c r="I375" s="154">
        <f t="shared" si="94"/>
        <v>1383774.1775385207</v>
      </c>
      <c r="J375" s="154">
        <f t="shared" si="94"/>
        <v>8504421.8541369941</v>
      </c>
    </row>
    <row r="376" spans="2:10">
      <c r="D376" s="336"/>
      <c r="E376" s="336"/>
      <c r="F376" s="336"/>
      <c r="G376" s="336"/>
      <c r="H376" s="336"/>
      <c r="I376" s="336"/>
    </row>
    <row r="377" spans="2:10">
      <c r="C377" s="52" t="str">
        <f>'PORTADA PORTADA PORTADA'!$B$23</f>
        <v>1 DE JULIO DE 2026</v>
      </c>
    </row>
    <row r="381" spans="2:10">
      <c r="B381" s="48" t="s">
        <v>902</v>
      </c>
      <c r="D381" s="64">
        <f t="shared" ref="D381:J396" si="95">SUMIF($B$29:$B$375,$B381,D$29:D$375)</f>
        <v>63585.036602658583</v>
      </c>
      <c r="E381" s="64">
        <f t="shared" si="95"/>
        <v>63611.573368076424</v>
      </c>
      <c r="F381" s="64">
        <f t="shared" si="95"/>
        <v>62410.122165886016</v>
      </c>
      <c r="G381" s="64">
        <f t="shared" si="95"/>
        <v>63393.522027749314</v>
      </c>
      <c r="H381" s="64">
        <f t="shared" si="95"/>
        <v>60646.695285789247</v>
      </c>
      <c r="I381" s="64">
        <f t="shared" si="95"/>
        <v>60930.877817090441</v>
      </c>
      <c r="J381" s="64">
        <f t="shared" si="95"/>
        <v>374577.82726725005</v>
      </c>
    </row>
    <row r="382" spans="2:10">
      <c r="B382" s="48" t="s">
        <v>751</v>
      </c>
      <c r="D382" s="64">
        <f t="shared" si="95"/>
        <v>309417.39722324273</v>
      </c>
      <c r="E382" s="64">
        <f t="shared" si="95"/>
        <v>309546.53199675621</v>
      </c>
      <c r="F382" s="64">
        <f t="shared" si="95"/>
        <v>303699.95927248744</v>
      </c>
      <c r="G382" s="64">
        <f t="shared" si="95"/>
        <v>308485.43769969069</v>
      </c>
      <c r="H382" s="64">
        <f t="shared" si="95"/>
        <v>295118.66734850459</v>
      </c>
      <c r="I382" s="64">
        <f t="shared" si="95"/>
        <v>296501.57314874855</v>
      </c>
      <c r="J382" s="64">
        <f t="shared" si="95"/>
        <v>1822769.56668943</v>
      </c>
    </row>
    <row r="383" spans="2:10">
      <c r="B383" s="48" t="s">
        <v>750</v>
      </c>
      <c r="D383" s="64">
        <f t="shared" si="95"/>
        <v>206631.28409138418</v>
      </c>
      <c r="E383" s="64">
        <f t="shared" si="95"/>
        <v>206717.52019671485</v>
      </c>
      <c r="F383" s="64">
        <f t="shared" si="95"/>
        <v>202813.18329693296</v>
      </c>
      <c r="G383" s="64">
        <f t="shared" si="95"/>
        <v>206008.92221742615</v>
      </c>
      <c r="H383" s="64">
        <f t="shared" si="95"/>
        <v>197082.60295752613</v>
      </c>
      <c r="I383" s="64">
        <f t="shared" si="95"/>
        <v>198006.10641834911</v>
      </c>
      <c r="J383" s="64">
        <f t="shared" si="95"/>
        <v>1217259.6191783333</v>
      </c>
    </row>
    <row r="384" spans="2:10">
      <c r="B384" s="48" t="s">
        <v>749</v>
      </c>
      <c r="D384" s="64">
        <f t="shared" si="95"/>
        <v>234503.41076301516</v>
      </c>
      <c r="E384" s="64">
        <f t="shared" si="95"/>
        <v>234601.27910332906</v>
      </c>
      <c r="F384" s="64">
        <f t="shared" si="95"/>
        <v>230170.29313819401</v>
      </c>
      <c r="G384" s="64">
        <f t="shared" si="95"/>
        <v>233797.09960198356</v>
      </c>
      <c r="H384" s="64">
        <f t="shared" si="95"/>
        <v>223666.72500158963</v>
      </c>
      <c r="I384" s="64">
        <f t="shared" si="95"/>
        <v>224714.7982029285</v>
      </c>
      <c r="J384" s="64">
        <f t="shared" si="95"/>
        <v>1381453.6058110399</v>
      </c>
    </row>
    <row r="385" spans="2:10">
      <c r="B385" s="48" t="s">
        <v>1176</v>
      </c>
      <c r="D385" s="64">
        <f t="shared" si="95"/>
        <v>5.3801975417373757</v>
      </c>
      <c r="E385" s="64">
        <f t="shared" si="95"/>
        <v>5.3801975417373757</v>
      </c>
      <c r="F385" s="64">
        <f t="shared" si="95"/>
        <v>5.3801975417373757</v>
      </c>
      <c r="G385" s="64">
        <f t="shared" si="95"/>
        <v>5.3801975417373757</v>
      </c>
      <c r="H385" s="64">
        <f t="shared" si="95"/>
        <v>5.3801975417373757</v>
      </c>
      <c r="I385" s="64">
        <f t="shared" si="95"/>
        <v>5.3801975417373757</v>
      </c>
      <c r="J385" s="64">
        <f t="shared" si="95"/>
        <v>32.281185250424258</v>
      </c>
    </row>
    <row r="386" spans="2:10">
      <c r="B386" s="48" t="s">
        <v>274</v>
      </c>
      <c r="D386" s="64">
        <f t="shared" si="95"/>
        <v>338743.15200162528</v>
      </c>
      <c r="E386" s="64">
        <f t="shared" si="95"/>
        <v>338884.52406086837</v>
      </c>
      <c r="F386" s="64">
        <f t="shared" si="95"/>
        <v>332483.90861812903</v>
      </c>
      <c r="G386" s="64">
        <f t="shared" si="95"/>
        <v>337722.87656851625</v>
      </c>
      <c r="H386" s="64">
        <f t="shared" si="95"/>
        <v>323089.42193376657</v>
      </c>
      <c r="I386" s="64">
        <f t="shared" si="95"/>
        <v>324603.37697004847</v>
      </c>
      <c r="J386" s="64">
        <f t="shared" si="95"/>
        <v>1995527.2601529541</v>
      </c>
    </row>
    <row r="387" spans="2:10">
      <c r="B387" s="48" t="s">
        <v>275</v>
      </c>
      <c r="D387" s="64">
        <f t="shared" si="95"/>
        <v>16758.026469687829</v>
      </c>
      <c r="E387" s="64">
        <f t="shared" si="95"/>
        <v>16765.020313539353</v>
      </c>
      <c r="F387" s="64">
        <f t="shared" si="95"/>
        <v>16448.374257735974</v>
      </c>
      <c r="G387" s="64">
        <f t="shared" si="95"/>
        <v>16707.552230981069</v>
      </c>
      <c r="H387" s="64">
        <f t="shared" si="95"/>
        <v>15983.617832121443</v>
      </c>
      <c r="I387" s="64">
        <f t="shared" si="95"/>
        <v>16058.514987745149</v>
      </c>
      <c r="J387" s="64">
        <f t="shared" si="95"/>
        <v>98721.106091810812</v>
      </c>
    </row>
    <row r="388" spans="2:10">
      <c r="B388" s="48" t="s">
        <v>276</v>
      </c>
      <c r="D388" s="64">
        <f t="shared" si="95"/>
        <v>147709.42827593224</v>
      </c>
      <c r="E388" s="64">
        <f t="shared" si="95"/>
        <v>147771.07376137338</v>
      </c>
      <c r="F388" s="64">
        <f t="shared" si="95"/>
        <v>144980.07638747935</v>
      </c>
      <c r="G388" s="64">
        <f t="shared" si="95"/>
        <v>147264.53573709278</v>
      </c>
      <c r="H388" s="64">
        <f t="shared" si="95"/>
        <v>140883.59724423051</v>
      </c>
      <c r="I388" s="64">
        <f t="shared" si="95"/>
        <v>141543.75946898182</v>
      </c>
      <c r="J388" s="64">
        <f t="shared" si="95"/>
        <v>870152.47087508999</v>
      </c>
    </row>
    <row r="389" spans="2:10">
      <c r="B389" s="48" t="s">
        <v>277</v>
      </c>
      <c r="D389" s="64">
        <f t="shared" si="95"/>
        <v>23288.416127566816</v>
      </c>
      <c r="E389" s="64">
        <f t="shared" si="95"/>
        <v>23298.135383365821</v>
      </c>
      <c r="F389" s="64">
        <f t="shared" si="95"/>
        <v>22858.096389153689</v>
      </c>
      <c r="G389" s="64">
        <f t="shared" si="95"/>
        <v>23218.272720355268</v>
      </c>
      <c r="H389" s="64">
        <f t="shared" si="95"/>
        <v>22212.230298820832</v>
      </c>
      <c r="I389" s="64">
        <f t="shared" si="95"/>
        <v>22316.313922873524</v>
      </c>
      <c r="J389" s="64">
        <f t="shared" si="95"/>
        <v>137191.46484213593</v>
      </c>
    </row>
    <row r="390" spans="2:10">
      <c r="B390" s="48" t="s">
        <v>278</v>
      </c>
      <c r="D390" s="64">
        <f t="shared" si="95"/>
        <v>2.8149999999999999</v>
      </c>
      <c r="E390" s="64">
        <f t="shared" si="95"/>
        <v>2.8149999999999999</v>
      </c>
      <c r="F390" s="64">
        <f t="shared" si="95"/>
        <v>2.8149999999999999</v>
      </c>
      <c r="G390" s="64">
        <f t="shared" si="95"/>
        <v>2.8149999999999999</v>
      </c>
      <c r="H390" s="64">
        <f t="shared" si="95"/>
        <v>2.8149999999999999</v>
      </c>
      <c r="I390" s="64">
        <f t="shared" si="95"/>
        <v>2.8149999999999999</v>
      </c>
      <c r="J390" s="64">
        <f t="shared" si="95"/>
        <v>16.89</v>
      </c>
    </row>
    <row r="391" spans="2:10">
      <c r="B391" s="48" t="s">
        <v>279</v>
      </c>
      <c r="D391" s="64">
        <f t="shared" si="95"/>
        <v>94118.81144086986</v>
      </c>
      <c r="E391" s="64">
        <f t="shared" si="95"/>
        <v>94158.092288272237</v>
      </c>
      <c r="F391" s="64">
        <f t="shared" si="95"/>
        <v>92379.653183448376</v>
      </c>
      <c r="G391" s="64">
        <f t="shared" si="95"/>
        <v>93835.323431917495</v>
      </c>
      <c r="H391" s="64">
        <f t="shared" si="95"/>
        <v>89769.353808539105</v>
      </c>
      <c r="I391" s="64">
        <f t="shared" si="95"/>
        <v>90190.012862899734</v>
      </c>
      <c r="J391" s="64">
        <f t="shared" si="95"/>
        <v>554451.24701594678</v>
      </c>
    </row>
    <row r="392" spans="2:10">
      <c r="B392" s="48" t="s">
        <v>875</v>
      </c>
      <c r="D392" s="64">
        <f t="shared" si="95"/>
        <v>936.14238321219034</v>
      </c>
      <c r="E392" s="64">
        <f t="shared" si="95"/>
        <v>918.77220944308829</v>
      </c>
      <c r="F392" s="64">
        <f t="shared" si="95"/>
        <v>933.00168654475215</v>
      </c>
      <c r="G392" s="64">
        <f t="shared" si="95"/>
        <v>983.27840803334993</v>
      </c>
      <c r="H392" s="64">
        <f t="shared" si="95"/>
        <v>904.93052687432998</v>
      </c>
      <c r="I392" s="64">
        <f t="shared" si="95"/>
        <v>1017.0367768331539</v>
      </c>
      <c r="J392" s="64">
        <f t="shared" si="95"/>
        <v>5693.1619909408637</v>
      </c>
    </row>
    <row r="393" spans="2:10">
      <c r="B393" s="48" t="s">
        <v>874</v>
      </c>
      <c r="D393" s="64">
        <f t="shared" si="95"/>
        <v>31.319228193065996</v>
      </c>
      <c r="E393" s="64">
        <f t="shared" si="95"/>
        <v>31.040917441973999</v>
      </c>
      <c r="F393" s="64">
        <f t="shared" si="95"/>
        <v>29.72972836944</v>
      </c>
      <c r="G393" s="64">
        <f t="shared" si="95"/>
        <v>30.830251735799997</v>
      </c>
      <c r="H393" s="64">
        <f t="shared" si="95"/>
        <v>29.856586271094006</v>
      </c>
      <c r="I393" s="64">
        <f t="shared" si="95"/>
        <v>30.933796271400034</v>
      </c>
      <c r="J393" s="64">
        <f t="shared" si="95"/>
        <v>183.71050828277404</v>
      </c>
    </row>
    <row r="394" spans="2:10">
      <c r="B394" s="48" t="s">
        <v>873</v>
      </c>
      <c r="D394" s="64">
        <f t="shared" si="95"/>
        <v>4819.6784803160181</v>
      </c>
      <c r="E394" s="64">
        <f t="shared" si="95"/>
        <v>4770.9567544237143</v>
      </c>
      <c r="F394" s="64">
        <f t="shared" si="95"/>
        <v>4635.5105274326252</v>
      </c>
      <c r="G394" s="64">
        <f t="shared" si="95"/>
        <v>4822.6035451872967</v>
      </c>
      <c r="H394" s="64">
        <f t="shared" si="95"/>
        <v>4446.560414282183</v>
      </c>
      <c r="I394" s="64">
        <f t="shared" si="95"/>
        <v>4767.9375778458716</v>
      </c>
      <c r="J394" s="64">
        <f t="shared" si="95"/>
        <v>28263.24729948771</v>
      </c>
    </row>
    <row r="395" spans="2:10">
      <c r="B395" s="48" t="s">
        <v>872</v>
      </c>
      <c r="D395" s="64">
        <f t="shared" si="95"/>
        <v>1149.8175321195415</v>
      </c>
      <c r="E395" s="64">
        <f t="shared" si="95"/>
        <v>1160.6173909763399</v>
      </c>
      <c r="F395" s="64">
        <f t="shared" si="95"/>
        <v>1129.0101573356101</v>
      </c>
      <c r="G395" s="64">
        <f t="shared" si="95"/>
        <v>1210.0877986635901</v>
      </c>
      <c r="H395" s="64">
        <f t="shared" si="95"/>
        <v>1134.6350032967403</v>
      </c>
      <c r="I395" s="64">
        <f t="shared" si="95"/>
        <v>1128.5220758886167</v>
      </c>
      <c r="J395" s="64">
        <f t="shared" si="95"/>
        <v>6912.6899582804381</v>
      </c>
    </row>
    <row r="396" spans="2:10">
      <c r="B396" s="48" t="s">
        <v>871</v>
      </c>
      <c r="D396" s="64">
        <f t="shared" si="95"/>
        <v>524.36984161121995</v>
      </c>
      <c r="E396" s="64">
        <f t="shared" si="95"/>
        <v>514.29894214247997</v>
      </c>
      <c r="F396" s="64">
        <f t="shared" si="95"/>
        <v>531.72711943955994</v>
      </c>
      <c r="G396" s="64">
        <f t="shared" si="95"/>
        <v>639.30224558395798</v>
      </c>
      <c r="H396" s="64">
        <f t="shared" si="95"/>
        <v>615.55906622588384</v>
      </c>
      <c r="I396" s="64">
        <f t="shared" si="95"/>
        <v>647.16372022220833</v>
      </c>
      <c r="J396" s="64">
        <f t="shared" si="95"/>
        <v>3472.4209352253101</v>
      </c>
    </row>
    <row r="397" spans="2:10">
      <c r="B397" s="48" t="s">
        <v>870</v>
      </c>
      <c r="D397" s="64">
        <f t="shared" ref="D397:J398" si="96">SUMIF($B$29:$B$375,$B397,D$29:D$375)</f>
        <v>1098.3745169822701</v>
      </c>
      <c r="E397" s="64">
        <f t="shared" si="96"/>
        <v>994.22322892397983</v>
      </c>
      <c r="F397" s="64">
        <f t="shared" si="96"/>
        <v>1004.9326105145578</v>
      </c>
      <c r="G397" s="64">
        <f t="shared" si="96"/>
        <v>1152.2902683328739</v>
      </c>
      <c r="H397" s="64">
        <f t="shared" si="96"/>
        <v>800.54801153019002</v>
      </c>
      <c r="I397" s="64">
        <f t="shared" si="96"/>
        <v>1032.282373252086</v>
      </c>
      <c r="J397" s="64">
        <f t="shared" si="96"/>
        <v>6082.6510095359572</v>
      </c>
    </row>
    <row r="398" spans="2:10">
      <c r="B398" s="48" t="s">
        <v>890</v>
      </c>
      <c r="D398" s="64">
        <f t="shared" si="96"/>
        <v>276.77222100000051</v>
      </c>
      <c r="E398" s="64">
        <f t="shared" si="96"/>
        <v>276.77222100000051</v>
      </c>
      <c r="F398" s="64">
        <f t="shared" si="96"/>
        <v>276.77222100000051</v>
      </c>
      <c r="G398" s="64">
        <f t="shared" si="96"/>
        <v>276.77222100000051</v>
      </c>
      <c r="H398" s="64">
        <f t="shared" si="96"/>
        <v>276.77222100000051</v>
      </c>
      <c r="I398" s="64">
        <f t="shared" si="96"/>
        <v>276.77222100000051</v>
      </c>
      <c r="J398" s="64">
        <f t="shared" si="96"/>
        <v>1660.6333260000033</v>
      </c>
    </row>
    <row r="399" spans="2:10">
      <c r="B399" s="48" t="s">
        <v>111</v>
      </c>
      <c r="D399" s="65">
        <f t="shared" ref="D399:J399" si="97">SUM(D381:D398)</f>
        <v>1443599.6323969588</v>
      </c>
      <c r="E399" s="65">
        <f t="shared" si="97"/>
        <v>1444028.6273341887</v>
      </c>
      <c r="F399" s="65">
        <f t="shared" si="97"/>
        <v>1416792.5459576251</v>
      </c>
      <c r="G399" s="65">
        <f t="shared" si="97"/>
        <v>1439556.9021717913</v>
      </c>
      <c r="H399" s="65">
        <f t="shared" si="97"/>
        <v>1376669.96873791</v>
      </c>
      <c r="I399" s="65">
        <f t="shared" si="97"/>
        <v>1383774.1775385202</v>
      </c>
      <c r="J399" s="65">
        <f t="shared" si="97"/>
        <v>8504421.8541369941</v>
      </c>
    </row>
    <row r="400" spans="2:10" ht="17.25" customHeight="1">
      <c r="D400" s="66">
        <f t="shared" ref="D400:J400" si="98">D399-D375</f>
        <v>0</v>
      </c>
      <c r="E400" s="66">
        <f t="shared" si="98"/>
        <v>0</v>
      </c>
      <c r="F400" s="66">
        <f t="shared" si="98"/>
        <v>0</v>
      </c>
      <c r="G400" s="66">
        <f t="shared" si="98"/>
        <v>0</v>
      </c>
      <c r="H400" s="66">
        <f t="shared" si="98"/>
        <v>0</v>
      </c>
      <c r="I400" s="66">
        <f t="shared" si="98"/>
        <v>0</v>
      </c>
      <c r="J400" s="66">
        <f t="shared" si="98"/>
        <v>0</v>
      </c>
    </row>
    <row r="402" spans="2:10">
      <c r="B402" s="48" t="s">
        <v>902</v>
      </c>
      <c r="D402" s="64">
        <f t="shared" ref="D402:J417" si="99">D381-D422</f>
        <v>61789.694392701167</v>
      </c>
      <c r="E402" s="64">
        <f t="shared" si="99"/>
        <v>61815.481884742505</v>
      </c>
      <c r="F402" s="64">
        <f t="shared" si="99"/>
        <v>60647.954010613939</v>
      </c>
      <c r="G402" s="64">
        <f t="shared" si="99"/>
        <v>61603.587288142277</v>
      </c>
      <c r="H402" s="64">
        <f t="shared" si="99"/>
        <v>58934.318007131667</v>
      </c>
      <c r="I402" s="64">
        <f t="shared" si="99"/>
        <v>59210.476561078474</v>
      </c>
      <c r="J402" s="64">
        <f t="shared" si="99"/>
        <v>364001.51214441005</v>
      </c>
    </row>
    <row r="403" spans="2:10">
      <c r="B403" s="48" t="s">
        <v>751</v>
      </c>
      <c r="D403" s="64">
        <f t="shared" si="99"/>
        <v>299796.54099830362</v>
      </c>
      <c r="E403" s="64">
        <f t="shared" si="99"/>
        <v>299921.66052541928</v>
      </c>
      <c r="F403" s="64">
        <f t="shared" si="99"/>
        <v>294256.87795287964</v>
      </c>
      <c r="G403" s="64">
        <f t="shared" si="99"/>
        <v>298893.55931718712</v>
      </c>
      <c r="H403" s="64">
        <f t="shared" si="99"/>
        <v>285942.4080517235</v>
      </c>
      <c r="I403" s="64">
        <f t="shared" si="99"/>
        <v>287282.314531321</v>
      </c>
      <c r="J403" s="64">
        <f t="shared" si="99"/>
        <v>1766093.3613768341</v>
      </c>
    </row>
    <row r="404" spans="2:10">
      <c r="B404" s="48" t="s">
        <v>750</v>
      </c>
      <c r="D404" s="64">
        <f t="shared" si="99"/>
        <v>203011.71000255807</v>
      </c>
      <c r="E404" s="64">
        <f t="shared" si="99"/>
        <v>203096.4355042367</v>
      </c>
      <c r="F404" s="64">
        <f t="shared" si="99"/>
        <v>199260.49113629549</v>
      </c>
      <c r="G404" s="64">
        <f t="shared" si="99"/>
        <v>202400.25008336821</v>
      </c>
      <c r="H404" s="64">
        <f t="shared" si="99"/>
        <v>193630.29375778281</v>
      </c>
      <c r="I404" s="64">
        <f t="shared" si="99"/>
        <v>194537.6201464241</v>
      </c>
      <c r="J404" s="64">
        <f t="shared" si="99"/>
        <v>1195936.8006306654</v>
      </c>
    </row>
    <row r="405" spans="2:10">
      <c r="B405" s="48" t="s">
        <v>749</v>
      </c>
      <c r="D405" s="64">
        <f t="shared" si="99"/>
        <v>230923.06642810383</v>
      </c>
      <c r="E405" s="64">
        <f t="shared" si="99"/>
        <v>231019.44053702609</v>
      </c>
      <c r="F405" s="64">
        <f t="shared" si="99"/>
        <v>226656.10585016766</v>
      </c>
      <c r="G405" s="64">
        <f t="shared" si="99"/>
        <v>230227.53906401515</v>
      </c>
      <c r="H405" s="64">
        <f t="shared" si="99"/>
        <v>220251.83270146488</v>
      </c>
      <c r="I405" s="64">
        <f t="shared" si="99"/>
        <v>221283.90416135031</v>
      </c>
      <c r="J405" s="64">
        <f t="shared" si="99"/>
        <v>1360361.8887421279</v>
      </c>
    </row>
    <row r="406" spans="2:10">
      <c r="B406" s="48" t="s">
        <v>1176</v>
      </c>
      <c r="D406" s="64">
        <f t="shared" si="99"/>
        <v>5.2601975417373756</v>
      </c>
      <c r="E406" s="64">
        <f t="shared" si="99"/>
        <v>5.2601975417373756</v>
      </c>
      <c r="F406" s="64">
        <f t="shared" si="99"/>
        <v>5.2601975417373756</v>
      </c>
      <c r="G406" s="64">
        <f t="shared" si="99"/>
        <v>5.2601975417373756</v>
      </c>
      <c r="H406" s="64">
        <f t="shared" si="99"/>
        <v>5.2601975417373756</v>
      </c>
      <c r="I406" s="64">
        <f t="shared" si="99"/>
        <v>5.2601975417373756</v>
      </c>
      <c r="J406" s="64">
        <f t="shared" si="99"/>
        <v>31.561185250424259</v>
      </c>
    </row>
    <row r="407" spans="2:10">
      <c r="B407" s="48" t="s">
        <v>274</v>
      </c>
      <c r="D407" s="64">
        <f t="shared" si="99"/>
        <v>332068.40059839591</v>
      </c>
      <c r="E407" s="64">
        <f t="shared" si="99"/>
        <v>332206.98699733784</v>
      </c>
      <c r="F407" s="64">
        <f t="shared" si="99"/>
        <v>325932.49223528389</v>
      </c>
      <c r="G407" s="64">
        <f t="shared" si="99"/>
        <v>331068.22914329672</v>
      </c>
      <c r="H407" s="64">
        <f t="shared" si="99"/>
        <v>316723.11885227833</v>
      </c>
      <c r="I407" s="64">
        <f t="shared" si="99"/>
        <v>318207.24221980729</v>
      </c>
      <c r="J407" s="64">
        <f t="shared" si="99"/>
        <v>1956206.4700464001</v>
      </c>
    </row>
    <row r="408" spans="2:10">
      <c r="B408" s="48" t="s">
        <v>275</v>
      </c>
      <c r="D408" s="64">
        <f t="shared" si="99"/>
        <v>16435.188992674</v>
      </c>
      <c r="E408" s="64">
        <f t="shared" si="99"/>
        <v>16442.048102587265</v>
      </c>
      <c r="F408" s="64">
        <f t="shared" si="99"/>
        <v>16131.502121512069</v>
      </c>
      <c r="G408" s="64">
        <f t="shared" si="99"/>
        <v>16385.687122396645</v>
      </c>
      <c r="H408" s="64">
        <f t="shared" si="99"/>
        <v>15675.699064729051</v>
      </c>
      <c r="I408" s="64">
        <f t="shared" si="99"/>
        <v>15749.153353031787</v>
      </c>
      <c r="J408" s="64">
        <f t="shared" si="99"/>
        <v>96819.278756930813</v>
      </c>
    </row>
    <row r="409" spans="2:10">
      <c r="B409" s="48" t="s">
        <v>276</v>
      </c>
      <c r="D409" s="64">
        <f t="shared" si="99"/>
        <v>144823.45365597619</v>
      </c>
      <c r="E409" s="64">
        <f t="shared" si="99"/>
        <v>144883.89470031636</v>
      </c>
      <c r="F409" s="64">
        <f t="shared" si="99"/>
        <v>142147.4283585943</v>
      </c>
      <c r="G409" s="64">
        <f t="shared" si="99"/>
        <v>144387.25351132365</v>
      </c>
      <c r="H409" s="64">
        <f t="shared" si="99"/>
        <v>138130.98699611943</v>
      </c>
      <c r="I409" s="64">
        <f t="shared" si="99"/>
        <v>138778.25084703014</v>
      </c>
      <c r="J409" s="64">
        <f t="shared" si="99"/>
        <v>853151.26806935994</v>
      </c>
    </row>
    <row r="410" spans="2:10">
      <c r="B410" s="48" t="s">
        <v>277</v>
      </c>
      <c r="D410" s="64">
        <f t="shared" si="99"/>
        <v>22806.63994993041</v>
      </c>
      <c r="E410" s="64">
        <f t="shared" si="99"/>
        <v>22816.158139848307</v>
      </c>
      <c r="F410" s="64">
        <f t="shared" si="99"/>
        <v>22385.222396947094</v>
      </c>
      <c r="G410" s="64">
        <f t="shared" si="99"/>
        <v>22737.947625627537</v>
      </c>
      <c r="H410" s="64">
        <f t="shared" si="99"/>
        <v>21752.717580071439</v>
      </c>
      <c r="I410" s="64">
        <f t="shared" si="99"/>
        <v>21854.647987251159</v>
      </c>
      <c r="J410" s="64">
        <f t="shared" si="99"/>
        <v>134353.33367967594</v>
      </c>
    </row>
    <row r="411" spans="2:10">
      <c r="B411" s="48" t="s">
        <v>278</v>
      </c>
      <c r="D411" s="64">
        <f t="shared" si="99"/>
        <v>2.76</v>
      </c>
      <c r="E411" s="64">
        <f t="shared" si="99"/>
        <v>2.76</v>
      </c>
      <c r="F411" s="64">
        <f t="shared" si="99"/>
        <v>2.76</v>
      </c>
      <c r="G411" s="64">
        <f t="shared" si="99"/>
        <v>2.76</v>
      </c>
      <c r="H411" s="64">
        <f t="shared" si="99"/>
        <v>2.76</v>
      </c>
      <c r="I411" s="64">
        <f t="shared" si="99"/>
        <v>2.76</v>
      </c>
      <c r="J411" s="64">
        <f t="shared" si="99"/>
        <v>16.560000000000002</v>
      </c>
    </row>
    <row r="412" spans="2:10">
      <c r="B412" s="48" t="s">
        <v>279</v>
      </c>
      <c r="D412" s="64">
        <f t="shared" si="99"/>
        <v>92015.13514148898</v>
      </c>
      <c r="E412" s="64">
        <f t="shared" si="99"/>
        <v>92053.538011508994</v>
      </c>
      <c r="F412" s="64">
        <f t="shared" si="99"/>
        <v>90314.849304479518</v>
      </c>
      <c r="G412" s="64">
        <f t="shared" si="99"/>
        <v>91737.983453580848</v>
      </c>
      <c r="H412" s="64">
        <f t="shared" si="99"/>
        <v>87762.893472643307</v>
      </c>
      <c r="I412" s="64">
        <f t="shared" si="99"/>
        <v>88174.150256945155</v>
      </c>
      <c r="J412" s="64">
        <f t="shared" si="99"/>
        <v>542058.54964064679</v>
      </c>
    </row>
    <row r="413" spans="2:10">
      <c r="B413" s="48" t="s">
        <v>875</v>
      </c>
      <c r="D413" s="64">
        <f t="shared" si="99"/>
        <v>0</v>
      </c>
      <c r="E413" s="64">
        <f t="shared" si="99"/>
        <v>0</v>
      </c>
      <c r="F413" s="64">
        <f t="shared" si="99"/>
        <v>0</v>
      </c>
      <c r="G413" s="64">
        <f t="shared" si="99"/>
        <v>0</v>
      </c>
      <c r="H413" s="64">
        <f t="shared" si="99"/>
        <v>0</v>
      </c>
      <c r="I413" s="64">
        <f t="shared" si="99"/>
        <v>0</v>
      </c>
      <c r="J413" s="64">
        <f t="shared" si="99"/>
        <v>0</v>
      </c>
    </row>
    <row r="414" spans="2:10">
      <c r="B414" s="48" t="s">
        <v>874</v>
      </c>
      <c r="D414" s="64">
        <f t="shared" si="99"/>
        <v>0</v>
      </c>
      <c r="E414" s="64">
        <f t="shared" si="99"/>
        <v>0</v>
      </c>
      <c r="F414" s="64">
        <f t="shared" si="99"/>
        <v>0</v>
      </c>
      <c r="G414" s="64">
        <f t="shared" si="99"/>
        <v>0</v>
      </c>
      <c r="H414" s="64">
        <f t="shared" si="99"/>
        <v>0</v>
      </c>
      <c r="I414" s="64">
        <f t="shared" si="99"/>
        <v>0</v>
      </c>
      <c r="J414" s="64">
        <f t="shared" si="99"/>
        <v>0</v>
      </c>
    </row>
    <row r="415" spans="2:10">
      <c r="B415" s="48" t="s">
        <v>873</v>
      </c>
      <c r="D415" s="64">
        <f t="shared" si="99"/>
        <v>0</v>
      </c>
      <c r="E415" s="64">
        <f t="shared" si="99"/>
        <v>0</v>
      </c>
      <c r="F415" s="64">
        <f t="shared" si="99"/>
        <v>0</v>
      </c>
      <c r="G415" s="64">
        <f t="shared" si="99"/>
        <v>0</v>
      </c>
      <c r="H415" s="64">
        <f t="shared" si="99"/>
        <v>0</v>
      </c>
      <c r="I415" s="64">
        <f t="shared" si="99"/>
        <v>0</v>
      </c>
      <c r="J415" s="64">
        <f t="shared" si="99"/>
        <v>0</v>
      </c>
    </row>
    <row r="416" spans="2:10">
      <c r="B416" s="48" t="s">
        <v>872</v>
      </c>
      <c r="D416" s="64">
        <f t="shared" si="99"/>
        <v>0</v>
      </c>
      <c r="E416" s="64">
        <f t="shared" si="99"/>
        <v>0</v>
      </c>
      <c r="F416" s="64">
        <f t="shared" si="99"/>
        <v>0</v>
      </c>
      <c r="G416" s="64">
        <f t="shared" si="99"/>
        <v>0</v>
      </c>
      <c r="H416" s="64">
        <f t="shared" si="99"/>
        <v>0</v>
      </c>
      <c r="I416" s="64">
        <f t="shared" si="99"/>
        <v>0</v>
      </c>
      <c r="J416" s="64">
        <f t="shared" si="99"/>
        <v>0</v>
      </c>
    </row>
    <row r="417" spans="2:10">
      <c r="B417" s="48" t="s">
        <v>871</v>
      </c>
      <c r="D417" s="64">
        <f t="shared" si="99"/>
        <v>0</v>
      </c>
      <c r="E417" s="64">
        <f t="shared" si="99"/>
        <v>0</v>
      </c>
      <c r="F417" s="64">
        <f t="shared" si="99"/>
        <v>0</v>
      </c>
      <c r="G417" s="64">
        <f t="shared" si="99"/>
        <v>0</v>
      </c>
      <c r="H417" s="64">
        <f t="shared" si="99"/>
        <v>0</v>
      </c>
      <c r="I417" s="64">
        <f t="shared" si="99"/>
        <v>0</v>
      </c>
      <c r="J417" s="64">
        <f t="shared" si="99"/>
        <v>0</v>
      </c>
    </row>
    <row r="418" spans="2:10">
      <c r="B418" s="48" t="s">
        <v>870</v>
      </c>
      <c r="D418" s="64">
        <f t="shared" ref="D418:J418" si="100">D397-D438</f>
        <v>0</v>
      </c>
      <c r="E418" s="64">
        <f t="shared" si="100"/>
        <v>0</v>
      </c>
      <c r="F418" s="64">
        <f t="shared" si="100"/>
        <v>0</v>
      </c>
      <c r="G418" s="64">
        <f t="shared" si="100"/>
        <v>0</v>
      </c>
      <c r="H418" s="64">
        <f t="shared" si="100"/>
        <v>0</v>
      </c>
      <c r="I418" s="64">
        <f t="shared" si="100"/>
        <v>0</v>
      </c>
      <c r="J418" s="64">
        <f t="shared" si="100"/>
        <v>0</v>
      </c>
    </row>
    <row r="419" spans="2:10">
      <c r="B419" s="48" t="s">
        <v>893</v>
      </c>
      <c r="D419" s="64">
        <f>D398-D439</f>
        <v>0</v>
      </c>
      <c r="E419" s="64"/>
      <c r="F419" s="64"/>
      <c r="G419" s="64"/>
      <c r="H419" s="64"/>
      <c r="I419" s="64"/>
      <c r="J419" s="64"/>
    </row>
    <row r="420" spans="2:10">
      <c r="B420" s="48" t="s">
        <v>111</v>
      </c>
      <c r="C420" s="48" t="s">
        <v>889</v>
      </c>
      <c r="D420" s="65">
        <f>SUM(D402:D419)</f>
        <v>1403677.8503576736</v>
      </c>
      <c r="E420" s="65">
        <f t="shared" ref="E420:J420" si="101">SUM(E402:E419)</f>
        <v>1404263.6646005651</v>
      </c>
      <c r="F420" s="65">
        <f t="shared" si="101"/>
        <v>1377740.9435643156</v>
      </c>
      <c r="G420" s="65">
        <f t="shared" si="101"/>
        <v>1399450.0568064798</v>
      </c>
      <c r="H420" s="65">
        <f t="shared" si="101"/>
        <v>1338812.2886814862</v>
      </c>
      <c r="I420" s="65">
        <f t="shared" si="101"/>
        <v>1345085.7802617811</v>
      </c>
      <c r="J420" s="65">
        <f t="shared" si="101"/>
        <v>8269030.5842723008</v>
      </c>
    </row>
    <row r="422" spans="2:10">
      <c r="B422" s="48" t="s">
        <v>902</v>
      </c>
      <c r="D422" s="64">
        <f t="shared" ref="D422:J437" si="102">SUMIF($B$219:$B$342,$B422,D$219:D$342)</f>
        <v>1795.3422099574186</v>
      </c>
      <c r="E422" s="64">
        <f t="shared" si="102"/>
        <v>1796.0914833339225</v>
      </c>
      <c r="F422" s="64">
        <f t="shared" si="102"/>
        <v>1762.1681552720756</v>
      </c>
      <c r="G422" s="64">
        <f t="shared" si="102"/>
        <v>1789.9347396070393</v>
      </c>
      <c r="H422" s="64">
        <f t="shared" si="102"/>
        <v>1712.3772786575789</v>
      </c>
      <c r="I422" s="64">
        <f t="shared" si="102"/>
        <v>1720.4012560119654</v>
      </c>
      <c r="J422" s="64">
        <f t="shared" si="102"/>
        <v>10576.31512284</v>
      </c>
    </row>
    <row r="423" spans="2:10">
      <c r="B423" s="48" t="s">
        <v>751</v>
      </c>
      <c r="D423" s="64">
        <f t="shared" si="102"/>
        <v>9620.8562249391161</v>
      </c>
      <c r="E423" s="64">
        <f t="shared" si="102"/>
        <v>9624.8714713369009</v>
      </c>
      <c r="F423" s="64">
        <f t="shared" si="102"/>
        <v>9443.0813196077888</v>
      </c>
      <c r="G423" s="64">
        <f t="shared" si="102"/>
        <v>9591.8783825035516</v>
      </c>
      <c r="H423" s="64">
        <f t="shared" si="102"/>
        <v>9176.2592967811161</v>
      </c>
      <c r="I423" s="64">
        <f t="shared" si="102"/>
        <v>9219.2586174275275</v>
      </c>
      <c r="J423" s="64">
        <f t="shared" si="102"/>
        <v>56676.205312595994</v>
      </c>
    </row>
    <row r="424" spans="2:10">
      <c r="B424" s="48" t="s">
        <v>750</v>
      </c>
      <c r="D424" s="64">
        <f t="shared" si="102"/>
        <v>3619.5740888261012</v>
      </c>
      <c r="E424" s="64">
        <f t="shared" si="102"/>
        <v>3621.0846924781508</v>
      </c>
      <c r="F424" s="64">
        <f t="shared" si="102"/>
        <v>3552.6921606374817</v>
      </c>
      <c r="G424" s="64">
        <f t="shared" si="102"/>
        <v>3608.6721340579379</v>
      </c>
      <c r="H424" s="64">
        <f t="shared" si="102"/>
        <v>3452.3091997433339</v>
      </c>
      <c r="I424" s="64">
        <f t="shared" si="102"/>
        <v>3468.4862719249954</v>
      </c>
      <c r="J424" s="64">
        <f t="shared" si="102"/>
        <v>21322.818547667997</v>
      </c>
    </row>
    <row r="425" spans="2:10">
      <c r="B425" s="48" t="s">
        <v>749</v>
      </c>
      <c r="D425" s="64">
        <f t="shared" si="102"/>
        <v>3580.3443349113168</v>
      </c>
      <c r="E425" s="64">
        <f t="shared" si="102"/>
        <v>3581.838566302963</v>
      </c>
      <c r="F425" s="64">
        <f t="shared" si="102"/>
        <v>3514.1872880263536</v>
      </c>
      <c r="G425" s="64">
        <f t="shared" si="102"/>
        <v>3569.5605379684262</v>
      </c>
      <c r="H425" s="64">
        <f t="shared" si="102"/>
        <v>3414.8923001247385</v>
      </c>
      <c r="I425" s="64">
        <f t="shared" si="102"/>
        <v>3430.8940415782049</v>
      </c>
      <c r="J425" s="64">
        <f t="shared" si="102"/>
        <v>21091.717068912003</v>
      </c>
    </row>
    <row r="426" spans="2:10">
      <c r="B426" s="48" t="s">
        <v>1176</v>
      </c>
      <c r="D426" s="64">
        <f t="shared" si="102"/>
        <v>0.12000000000000001</v>
      </c>
      <c r="E426" s="64">
        <f t="shared" si="102"/>
        <v>0.12000000000000001</v>
      </c>
      <c r="F426" s="64">
        <f t="shared" si="102"/>
        <v>0.12000000000000001</v>
      </c>
      <c r="G426" s="64">
        <f t="shared" si="102"/>
        <v>0.12000000000000001</v>
      </c>
      <c r="H426" s="64">
        <f t="shared" si="102"/>
        <v>0.12000000000000001</v>
      </c>
      <c r="I426" s="64">
        <f t="shared" si="102"/>
        <v>0.12000000000000001</v>
      </c>
      <c r="J426" s="64">
        <f t="shared" si="102"/>
        <v>0.72000000000000008</v>
      </c>
    </row>
    <row r="427" spans="2:10">
      <c r="B427" s="48" t="s">
        <v>274</v>
      </c>
      <c r="D427" s="64">
        <f t="shared" si="102"/>
        <v>6674.7514032293866</v>
      </c>
      <c r="E427" s="64">
        <f t="shared" si="102"/>
        <v>6677.5370635305162</v>
      </c>
      <c r="F427" s="64">
        <f t="shared" si="102"/>
        <v>6551.4163828451365</v>
      </c>
      <c r="G427" s="64">
        <f t="shared" si="102"/>
        <v>6654.6474252195485</v>
      </c>
      <c r="H427" s="64">
        <f t="shared" si="102"/>
        <v>6366.3030814882241</v>
      </c>
      <c r="I427" s="64">
        <f t="shared" si="102"/>
        <v>6396.1347502411918</v>
      </c>
      <c r="J427" s="64">
        <f t="shared" si="102"/>
        <v>39320.790106554006</v>
      </c>
    </row>
    <row r="428" spans="2:10">
      <c r="B428" s="48" t="s">
        <v>275</v>
      </c>
      <c r="D428" s="64">
        <f t="shared" si="102"/>
        <v>322.83747701383061</v>
      </c>
      <c r="E428" s="64">
        <f t="shared" si="102"/>
        <v>322.9722109520863</v>
      </c>
      <c r="F428" s="64">
        <f t="shared" si="102"/>
        <v>316.87213622390448</v>
      </c>
      <c r="G428" s="64">
        <f t="shared" si="102"/>
        <v>321.86510858442398</v>
      </c>
      <c r="H428" s="64">
        <f t="shared" si="102"/>
        <v>307.91876739239223</v>
      </c>
      <c r="I428" s="64">
        <f t="shared" si="102"/>
        <v>309.3616347133626</v>
      </c>
      <c r="J428" s="64">
        <f t="shared" si="102"/>
        <v>1901.8273348800003</v>
      </c>
    </row>
    <row r="429" spans="2:10">
      <c r="B429" s="48" t="s">
        <v>276</v>
      </c>
      <c r="D429" s="64">
        <f t="shared" si="102"/>
        <v>2885.9746199560473</v>
      </c>
      <c r="E429" s="64">
        <f t="shared" si="102"/>
        <v>2887.1790610570292</v>
      </c>
      <c r="F429" s="64">
        <f t="shared" si="102"/>
        <v>2832.6480288850312</v>
      </c>
      <c r="G429" s="64">
        <f t="shared" si="102"/>
        <v>2877.2822257691305</v>
      </c>
      <c r="H429" s="64">
        <f t="shared" si="102"/>
        <v>2752.6102481110756</v>
      </c>
      <c r="I429" s="64">
        <f t="shared" si="102"/>
        <v>2765.5086219516875</v>
      </c>
      <c r="J429" s="64">
        <f t="shared" si="102"/>
        <v>17001.202805730001</v>
      </c>
    </row>
    <row r="430" spans="2:10">
      <c r="B430" s="48" t="s">
        <v>277</v>
      </c>
      <c r="D430" s="64">
        <f t="shared" si="102"/>
        <v>481.77617763640444</v>
      </c>
      <c r="E430" s="64">
        <f t="shared" si="102"/>
        <v>481.97724351751316</v>
      </c>
      <c r="F430" s="64">
        <f t="shared" si="102"/>
        <v>472.87399220659449</v>
      </c>
      <c r="G430" s="64">
        <f t="shared" si="102"/>
        <v>480.32509472773165</v>
      </c>
      <c r="H430" s="64">
        <f t="shared" si="102"/>
        <v>459.51271874939272</v>
      </c>
      <c r="I430" s="64">
        <f t="shared" si="102"/>
        <v>461.6659356223638</v>
      </c>
      <c r="J430" s="64">
        <f t="shared" si="102"/>
        <v>2838.1311624600003</v>
      </c>
    </row>
    <row r="431" spans="2:10">
      <c r="B431" s="48" t="s">
        <v>278</v>
      </c>
      <c r="D431" s="64">
        <f t="shared" si="102"/>
        <v>5.5E-2</v>
      </c>
      <c r="E431" s="64">
        <f t="shared" si="102"/>
        <v>5.5E-2</v>
      </c>
      <c r="F431" s="64">
        <f t="shared" si="102"/>
        <v>5.5E-2</v>
      </c>
      <c r="G431" s="64">
        <f t="shared" si="102"/>
        <v>5.5E-2</v>
      </c>
      <c r="H431" s="64">
        <f t="shared" si="102"/>
        <v>5.5E-2</v>
      </c>
      <c r="I431" s="64">
        <f t="shared" si="102"/>
        <v>5.5E-2</v>
      </c>
      <c r="J431" s="64">
        <f t="shared" si="102"/>
        <v>0.33</v>
      </c>
    </row>
    <row r="432" spans="2:10">
      <c r="B432" s="48" t="s">
        <v>279</v>
      </c>
      <c r="D432" s="64">
        <f t="shared" si="102"/>
        <v>2103.6762993808843</v>
      </c>
      <c r="E432" s="64">
        <f t="shared" si="102"/>
        <v>2104.5542767632473</v>
      </c>
      <c r="F432" s="64">
        <f t="shared" si="102"/>
        <v>2064.8038789688535</v>
      </c>
      <c r="G432" s="64">
        <f t="shared" si="102"/>
        <v>2097.3399783366431</v>
      </c>
      <c r="H432" s="64">
        <f t="shared" si="102"/>
        <v>2006.4603358957961</v>
      </c>
      <c r="I432" s="64">
        <f t="shared" si="102"/>
        <v>2015.8626059545759</v>
      </c>
      <c r="J432" s="64">
        <f t="shared" si="102"/>
        <v>12392.697375299998</v>
      </c>
    </row>
    <row r="433" spans="2:10">
      <c r="B433" s="48" t="s">
        <v>875</v>
      </c>
      <c r="D433" s="64">
        <f t="shared" si="102"/>
        <v>936.14238321219034</v>
      </c>
      <c r="E433" s="64">
        <f t="shared" si="102"/>
        <v>918.77220944308829</v>
      </c>
      <c r="F433" s="64">
        <f t="shared" si="102"/>
        <v>933.00168654475215</v>
      </c>
      <c r="G433" s="64">
        <f t="shared" si="102"/>
        <v>983.27840803334993</v>
      </c>
      <c r="H433" s="64">
        <f t="shared" si="102"/>
        <v>904.93052687432998</v>
      </c>
      <c r="I433" s="64">
        <f t="shared" si="102"/>
        <v>1017.0367768331539</v>
      </c>
      <c r="J433" s="64">
        <f t="shared" si="102"/>
        <v>5693.1619909408637</v>
      </c>
    </row>
    <row r="434" spans="2:10">
      <c r="B434" s="48" t="s">
        <v>874</v>
      </c>
      <c r="D434" s="64">
        <f t="shared" si="102"/>
        <v>31.319228193065996</v>
      </c>
      <c r="E434" s="64">
        <f t="shared" si="102"/>
        <v>31.040917441973999</v>
      </c>
      <c r="F434" s="64">
        <f t="shared" si="102"/>
        <v>29.72972836944</v>
      </c>
      <c r="G434" s="64">
        <f t="shared" si="102"/>
        <v>30.830251735799997</v>
      </c>
      <c r="H434" s="64">
        <f t="shared" si="102"/>
        <v>29.856586271094006</v>
      </c>
      <c r="I434" s="64">
        <f t="shared" si="102"/>
        <v>30.933796271400034</v>
      </c>
      <c r="J434" s="64">
        <f t="shared" si="102"/>
        <v>183.71050828277404</v>
      </c>
    </row>
    <row r="435" spans="2:10">
      <c r="B435" s="48" t="s">
        <v>873</v>
      </c>
      <c r="D435" s="64">
        <f t="shared" si="102"/>
        <v>4819.6784803160181</v>
      </c>
      <c r="E435" s="64">
        <f t="shared" si="102"/>
        <v>4770.9567544237143</v>
      </c>
      <c r="F435" s="64">
        <f t="shared" si="102"/>
        <v>4635.5105274326252</v>
      </c>
      <c r="G435" s="64">
        <f t="shared" si="102"/>
        <v>4822.6035451872967</v>
      </c>
      <c r="H435" s="64">
        <f t="shared" si="102"/>
        <v>4446.560414282183</v>
      </c>
      <c r="I435" s="64">
        <f t="shared" si="102"/>
        <v>4767.9375778458716</v>
      </c>
      <c r="J435" s="64">
        <f t="shared" si="102"/>
        <v>28263.24729948771</v>
      </c>
    </row>
    <row r="436" spans="2:10">
      <c r="B436" s="48" t="s">
        <v>872</v>
      </c>
      <c r="D436" s="64">
        <f t="shared" si="102"/>
        <v>1149.8175321195415</v>
      </c>
      <c r="E436" s="64">
        <f t="shared" si="102"/>
        <v>1160.6173909763399</v>
      </c>
      <c r="F436" s="64">
        <f t="shared" si="102"/>
        <v>1129.0101573356101</v>
      </c>
      <c r="G436" s="64">
        <f t="shared" si="102"/>
        <v>1210.0877986635901</v>
      </c>
      <c r="H436" s="64">
        <f t="shared" si="102"/>
        <v>1134.6350032967403</v>
      </c>
      <c r="I436" s="64">
        <f t="shared" si="102"/>
        <v>1128.5220758886167</v>
      </c>
      <c r="J436" s="64">
        <f t="shared" si="102"/>
        <v>6912.6899582804381</v>
      </c>
    </row>
    <row r="437" spans="2:10">
      <c r="B437" s="48" t="s">
        <v>871</v>
      </c>
      <c r="D437" s="64">
        <f t="shared" si="102"/>
        <v>524.36984161121995</v>
      </c>
      <c r="E437" s="64">
        <f t="shared" si="102"/>
        <v>514.29894214247997</v>
      </c>
      <c r="F437" s="64">
        <f t="shared" si="102"/>
        <v>531.72711943955994</v>
      </c>
      <c r="G437" s="64">
        <f t="shared" si="102"/>
        <v>639.30224558395798</v>
      </c>
      <c r="H437" s="64">
        <f t="shared" si="102"/>
        <v>615.55906622588384</v>
      </c>
      <c r="I437" s="64">
        <f t="shared" si="102"/>
        <v>647.16372022220833</v>
      </c>
      <c r="J437" s="64">
        <f t="shared" si="102"/>
        <v>3472.4209352253101</v>
      </c>
    </row>
    <row r="438" spans="2:10">
      <c r="B438" s="48" t="s">
        <v>870</v>
      </c>
      <c r="D438" s="64">
        <f t="shared" ref="D438:J439" si="103">SUMIF($B$219:$B$342,$B438,D$219:D$342)</f>
        <v>1098.3745169822701</v>
      </c>
      <c r="E438" s="64">
        <f t="shared" si="103"/>
        <v>994.22322892397983</v>
      </c>
      <c r="F438" s="64">
        <f t="shared" si="103"/>
        <v>1004.9326105145578</v>
      </c>
      <c r="G438" s="64">
        <f t="shared" si="103"/>
        <v>1152.2902683328739</v>
      </c>
      <c r="H438" s="64">
        <f t="shared" si="103"/>
        <v>800.54801153019002</v>
      </c>
      <c r="I438" s="64">
        <f t="shared" si="103"/>
        <v>1032.282373252086</v>
      </c>
      <c r="J438" s="64">
        <f t="shared" si="103"/>
        <v>6082.6510095359572</v>
      </c>
    </row>
    <row r="439" spans="2:10">
      <c r="B439" s="48" t="s">
        <v>893</v>
      </c>
      <c r="D439" s="64">
        <f t="shared" si="103"/>
        <v>276.77222100000051</v>
      </c>
      <c r="E439" s="64">
        <f t="shared" si="103"/>
        <v>276.77222100000051</v>
      </c>
      <c r="F439" s="64">
        <f t="shared" si="103"/>
        <v>276.77222100000051</v>
      </c>
      <c r="G439" s="64">
        <f t="shared" si="103"/>
        <v>276.77222100000051</v>
      </c>
      <c r="H439" s="64">
        <f t="shared" si="103"/>
        <v>276.77222100000051</v>
      </c>
      <c r="I439" s="64">
        <f t="shared" si="103"/>
        <v>276.77222100000051</v>
      </c>
      <c r="J439" s="64">
        <f t="shared" si="103"/>
        <v>1660.6333260000033</v>
      </c>
    </row>
    <row r="440" spans="2:10">
      <c r="B440" s="48" t="s">
        <v>888</v>
      </c>
      <c r="D440" s="65">
        <f t="shared" ref="D440:J440" si="104">SUM(D422:D439)</f>
        <v>39921.782039284808</v>
      </c>
      <c r="E440" s="65">
        <f t="shared" si="104"/>
        <v>39764.962733623899</v>
      </c>
      <c r="F440" s="65">
        <f t="shared" si="104"/>
        <v>39051.60239330976</v>
      </c>
      <c r="G440" s="65">
        <f t="shared" si="104"/>
        <v>40106.845365311303</v>
      </c>
      <c r="H440" s="65">
        <f t="shared" si="104"/>
        <v>37857.680056424069</v>
      </c>
      <c r="I440" s="65">
        <f t="shared" si="104"/>
        <v>38688.397276739212</v>
      </c>
      <c r="J440" s="65">
        <f t="shared" si="104"/>
        <v>235391.26986469305</v>
      </c>
    </row>
    <row r="441" spans="2:10">
      <c r="D441" s="66">
        <f t="shared" ref="D441:J441" si="105">D311+D342-D440</f>
        <v>0</v>
      </c>
      <c r="E441" s="66">
        <f t="shared" si="105"/>
        <v>0</v>
      </c>
      <c r="F441" s="66">
        <f t="shared" si="105"/>
        <v>0</v>
      </c>
      <c r="G441" s="66">
        <f t="shared" si="105"/>
        <v>0</v>
      </c>
      <c r="H441" s="66">
        <f t="shared" si="105"/>
        <v>0</v>
      </c>
      <c r="I441" s="66">
        <f t="shared" si="105"/>
        <v>0</v>
      </c>
      <c r="J441" s="66">
        <f t="shared" si="105"/>
        <v>0</v>
      </c>
    </row>
  </sheetData>
  <printOptions horizontalCentered="1" verticalCentered="1"/>
  <pageMargins left="0.39370078740157483" right="0.39370078740157483" top="0.39370078740157483" bottom="0.39370078740157483" header="0.31496062992125984" footer="0.23622047244094491"/>
  <pageSetup scale="45" orientation="portrait" horizontalDpi="300" r:id="rId1"/>
  <headerFooter alignWithMargins="0">
    <oddHeader>&amp;L
NOMBRE DE LA DISTRIBUIDORA: &amp;UENSA.&amp;R&amp;9&amp;A</oddHeader>
  </headerFooter>
  <rowBreaks count="3" manualBreakCount="3">
    <brk id="121" max="9" man="1"/>
    <brk id="216" max="16383" man="1"/>
    <brk id="311" max="9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57">
    <tabColor theme="5" tint="0.79998168889431442"/>
  </sheetPr>
  <dimension ref="B1:M441"/>
  <sheetViews>
    <sheetView view="pageBreakPreview" zoomScale="70" zoomScaleNormal="85" zoomScaleSheetLayoutView="70" workbookViewId="0">
      <selection activeCell="F19" sqref="F19"/>
    </sheetView>
  </sheetViews>
  <sheetFormatPr baseColWidth="10" defaultColWidth="8" defaultRowHeight="15"/>
  <cols>
    <col min="1" max="1" width="2.5" style="63" customWidth="1"/>
    <col min="2" max="2" width="7" style="48" customWidth="1"/>
    <col min="3" max="3" width="30.25" style="63" customWidth="1"/>
    <col min="4" max="4" width="11.75" style="63" customWidth="1"/>
    <col min="5" max="5" width="12.625" style="63" customWidth="1"/>
    <col min="6" max="6" width="12.75" style="63" customWidth="1"/>
    <col min="7" max="7" width="13.25" style="63" customWidth="1"/>
    <col min="8" max="8" width="13.875" style="63" customWidth="1"/>
    <col min="9" max="9" width="11.5" style="63" customWidth="1"/>
    <col min="10" max="10" width="13.125" style="63" customWidth="1"/>
    <col min="11" max="11" width="2.25" style="63" customWidth="1"/>
    <col min="12" max="12" width="4.25" style="319" bestFit="1" customWidth="1"/>
    <col min="13" max="16384" width="8" style="63"/>
  </cols>
  <sheetData>
    <row r="1" spans="2:10" s="69" customFormat="1" ht="15.75">
      <c r="B1" s="48"/>
      <c r="C1" s="136" t="s">
        <v>151</v>
      </c>
      <c r="E1" s="63"/>
    </row>
    <row r="2" spans="2:10" s="69" customFormat="1" ht="15.75">
      <c r="B2" s="48"/>
      <c r="C2" s="136"/>
      <c r="E2" s="137" t="s">
        <v>138</v>
      </c>
    </row>
    <row r="3" spans="2:10" s="69" customFormat="1" ht="15.75">
      <c r="B3" s="48"/>
      <c r="C3" s="70" t="s">
        <v>865</v>
      </c>
      <c r="D3" s="137"/>
    </row>
    <row r="4" spans="2:10" s="69" customFormat="1" ht="15.75">
      <c r="B4" s="48"/>
      <c r="C4" s="219" t="s">
        <v>1530</v>
      </c>
      <c r="D4" s="338"/>
      <c r="E4" s="338"/>
      <c r="F4" s="338"/>
      <c r="G4" s="338"/>
      <c r="H4" s="338"/>
      <c r="I4" s="338"/>
      <c r="J4" s="339"/>
    </row>
    <row r="5" spans="2:10" s="74" customFormat="1" ht="18.75" customHeight="1">
      <c r="B5" s="48"/>
      <c r="C5" s="322"/>
      <c r="D5" s="322"/>
      <c r="E5" s="323"/>
      <c r="F5" s="322"/>
      <c r="G5" s="322"/>
      <c r="H5" s="322"/>
      <c r="I5" s="322"/>
    </row>
    <row r="6" spans="2:10" s="58" customFormat="1" ht="22.5">
      <c r="B6" s="48"/>
      <c r="C6" s="324" t="s">
        <v>2</v>
      </c>
      <c r="D6" s="325" t="s">
        <v>1449</v>
      </c>
      <c r="E6" s="325" t="s">
        <v>1450</v>
      </c>
      <c r="F6" s="325" t="s">
        <v>1451</v>
      </c>
      <c r="G6" s="325" t="s">
        <v>1234</v>
      </c>
      <c r="H6" s="325" t="s">
        <v>1233</v>
      </c>
      <c r="I6" s="325" t="s">
        <v>1232</v>
      </c>
      <c r="J6" s="325" t="s">
        <v>291</v>
      </c>
    </row>
    <row r="7" spans="2:10" s="143" customFormat="1" ht="13.5">
      <c r="B7" s="48"/>
      <c r="C7" s="144" t="s">
        <v>266</v>
      </c>
      <c r="D7" s="178"/>
      <c r="E7" s="144"/>
      <c r="F7" s="144"/>
      <c r="G7" s="146">
        <f>RAT1000PT!$H$106</f>
        <v>9.7769999999999996E-2</v>
      </c>
      <c r="H7" s="146">
        <f>RAT1000PT!$H$111</f>
        <v>9.7769999999999996E-2</v>
      </c>
      <c r="I7" s="146">
        <f>RAT1000PT!$H$116</f>
        <v>9.7769999999999996E-2</v>
      </c>
      <c r="J7" s="146">
        <f>RAT1000PT!$H$45</f>
        <v>1.9499999999999999E-3</v>
      </c>
    </row>
    <row r="8" spans="2:10" s="143" customFormat="1" ht="13.5">
      <c r="B8" s="48"/>
      <c r="C8" s="326" t="s">
        <v>265</v>
      </c>
      <c r="D8" s="327"/>
      <c r="E8" s="328"/>
      <c r="F8" s="328">
        <f>RAT1000PT!$H$127</f>
        <v>9.7769999999999996E-2</v>
      </c>
      <c r="G8" s="328"/>
      <c r="H8" s="328"/>
      <c r="I8" s="328"/>
      <c r="J8" s="328">
        <f>RAT1000PT!$H$44</f>
        <v>1.9499999999999999E-3</v>
      </c>
    </row>
    <row r="9" spans="2:10" s="143" customFormat="1" ht="13.5">
      <c r="B9" s="48"/>
      <c r="C9" s="144" t="s">
        <v>264</v>
      </c>
      <c r="D9" s="178"/>
      <c r="E9" s="146"/>
      <c r="F9" s="146"/>
      <c r="G9" s="146">
        <f>RAT1000PT!$H$105</f>
        <v>9.7769999999999996E-2</v>
      </c>
      <c r="H9" s="146">
        <f>RAT1000PT!$H$110</f>
        <v>9.7769999999999996E-2</v>
      </c>
      <c r="I9" s="146">
        <f>RAT1000PT!$H$115</f>
        <v>9.7769999999999996E-2</v>
      </c>
      <c r="J9" s="146">
        <f>RAT1000PT!$H$43</f>
        <v>1.9499999999999999E-3</v>
      </c>
    </row>
    <row r="10" spans="2:10" s="143" customFormat="1" ht="13.5">
      <c r="B10" s="48"/>
      <c r="C10" s="326" t="s">
        <v>262</v>
      </c>
      <c r="D10" s="327"/>
      <c r="E10" s="328"/>
      <c r="F10" s="328">
        <f>RAT1000PT!$H126</f>
        <v>9.7769999999999996E-2</v>
      </c>
      <c r="G10" s="328"/>
      <c r="H10" s="328"/>
      <c r="I10" s="328"/>
      <c r="J10" s="328">
        <f>RAT1000PT!$H$42</f>
        <v>1.9499999999999999E-3</v>
      </c>
    </row>
    <row r="11" spans="2:10" s="143" customFormat="1" ht="13.5">
      <c r="B11" s="48"/>
      <c r="C11" s="144" t="s">
        <v>263</v>
      </c>
      <c r="D11" s="178"/>
      <c r="E11" s="146"/>
      <c r="F11" s="146"/>
      <c r="G11" s="146">
        <f>RAT1000PT!$H$104</f>
        <v>9.7769999999999996E-2</v>
      </c>
      <c r="H11" s="146">
        <f>RAT1000PT!$H$109</f>
        <v>9.7769999999999996E-2</v>
      </c>
      <c r="I11" s="146">
        <f>RAT1000PT!$H$114</f>
        <v>9.7769999999999996E-2</v>
      </c>
      <c r="J11" s="146">
        <f>RAT1000PT!$H$41</f>
        <v>1.9499999999999999E-3</v>
      </c>
    </row>
    <row r="12" spans="2:10" s="143" customFormat="1" ht="13.5">
      <c r="B12" s="48"/>
      <c r="C12" s="326" t="s">
        <v>648</v>
      </c>
      <c r="D12" s="327"/>
      <c r="E12" s="328"/>
      <c r="F12" s="328">
        <f>RAT1000PT!$H122</f>
        <v>9.3820000000000001E-2</v>
      </c>
      <c r="G12" s="328"/>
      <c r="H12" s="328"/>
      <c r="I12" s="328"/>
      <c r="J12" s="328">
        <f>RAT1000PT!$H$40</f>
        <v>1.9499999999999999E-3</v>
      </c>
    </row>
    <row r="13" spans="2:10" s="143" customFormat="1" ht="13.5">
      <c r="B13" s="48"/>
      <c r="C13" s="326" t="s">
        <v>649</v>
      </c>
      <c r="D13" s="327"/>
      <c r="E13" s="328"/>
      <c r="F13" s="328">
        <f>RAT1000PT!$H123</f>
        <v>9.8500000000000004E-2</v>
      </c>
      <c r="G13" s="328"/>
      <c r="H13" s="328"/>
      <c r="I13" s="328"/>
      <c r="J13" s="328"/>
    </row>
    <row r="14" spans="2:10" s="143" customFormat="1" ht="13.5">
      <c r="B14" s="48"/>
      <c r="C14" s="326" t="s">
        <v>650</v>
      </c>
      <c r="D14" s="327"/>
      <c r="E14" s="328"/>
      <c r="F14" s="328">
        <f>RAT1000PT!$H124</f>
        <v>0.10345</v>
      </c>
      <c r="G14" s="328"/>
      <c r="H14" s="328"/>
      <c r="I14" s="328"/>
      <c r="J14" s="328"/>
    </row>
    <row r="15" spans="2:10" s="143" customFormat="1" ht="13.5">
      <c r="B15" s="48"/>
      <c r="C15" s="326" t="s">
        <v>651</v>
      </c>
      <c r="D15" s="327"/>
      <c r="E15" s="328"/>
      <c r="F15" s="328">
        <f>RAT1000PT!$H125</f>
        <v>0.10861999999999999</v>
      </c>
      <c r="G15" s="328"/>
      <c r="H15" s="328"/>
      <c r="I15" s="328"/>
      <c r="J15" s="328"/>
    </row>
    <row r="16" spans="2:10" s="143" customFormat="1" ht="13.5">
      <c r="B16" s="48"/>
      <c r="C16" s="144" t="s">
        <v>1178</v>
      </c>
      <c r="D16" s="178"/>
      <c r="E16" s="146"/>
      <c r="F16" s="146"/>
      <c r="G16" s="146">
        <f>RAT1000PT!$H$103</f>
        <v>7.3139999999999997E-2</v>
      </c>
      <c r="H16" s="146">
        <f>RAT1000PT!$H$108</f>
        <v>7.3139999999999997E-2</v>
      </c>
      <c r="I16" s="146">
        <f>RAT1000PT!$H$113</f>
        <v>7.3139999999999997E-2</v>
      </c>
      <c r="J16" s="146">
        <f>RAT1000PT!$H$39</f>
        <v>2.0400000000000001E-3</v>
      </c>
    </row>
    <row r="17" spans="2:13" s="143" customFormat="1" ht="13.5">
      <c r="B17" s="48"/>
      <c r="C17" s="2062" t="s">
        <v>1768</v>
      </c>
      <c r="D17" s="178"/>
      <c r="E17" s="146"/>
      <c r="F17" s="146">
        <f>RAT1000PT!$H118</f>
        <v>7.3139999999999997E-2</v>
      </c>
      <c r="G17" s="146"/>
      <c r="H17" s="146"/>
      <c r="I17" s="146"/>
      <c r="J17" s="146">
        <f>RAT1000PT!$H$37</f>
        <v>2.0400000000000001E-3</v>
      </c>
    </row>
    <row r="18" spans="2:13" s="143" customFormat="1" ht="13.5">
      <c r="B18" s="48"/>
      <c r="C18" s="326" t="s">
        <v>645</v>
      </c>
      <c r="D18" s="327"/>
      <c r="E18" s="328"/>
      <c r="F18" s="328">
        <f>RAT1000PT!$H119</f>
        <v>7.3139999999999997E-2</v>
      </c>
      <c r="G18" s="328"/>
      <c r="H18" s="328"/>
      <c r="I18" s="328"/>
      <c r="J18" s="328">
        <f>RAT1000PT!$H$38</f>
        <v>2.0400000000000001E-3</v>
      </c>
      <c r="L18" s="319"/>
    </row>
    <row r="19" spans="2:13" s="143" customFormat="1" ht="13.5">
      <c r="B19" s="48"/>
      <c r="C19" s="326" t="s">
        <v>646</v>
      </c>
      <c r="D19" s="327"/>
      <c r="E19" s="328"/>
      <c r="F19" s="328">
        <f>RAT1000PT!$H$120</f>
        <v>0.10095</v>
      </c>
      <c r="G19" s="328"/>
      <c r="H19" s="328"/>
      <c r="I19" s="328"/>
      <c r="J19" s="328"/>
      <c r="L19" s="319"/>
    </row>
    <row r="20" spans="2:13" s="143" customFormat="1" ht="13.5">
      <c r="B20" s="48"/>
      <c r="C20" s="326" t="s">
        <v>647</v>
      </c>
      <c r="D20" s="328"/>
      <c r="E20" s="328"/>
      <c r="F20" s="328">
        <f>RAT1000PT!$H$121</f>
        <v>0.12820999999999999</v>
      </c>
      <c r="G20" s="328"/>
      <c r="H20" s="328"/>
      <c r="I20" s="328"/>
      <c r="J20" s="328"/>
      <c r="L20" s="319"/>
    </row>
    <row r="21" spans="2:13" s="143" customFormat="1" ht="13.5">
      <c r="B21" s="48"/>
      <c r="C21" s="144" t="s">
        <v>1164</v>
      </c>
      <c r="D21" s="178"/>
      <c r="E21" s="146"/>
      <c r="F21" s="146"/>
      <c r="G21" s="146"/>
      <c r="H21" s="146"/>
      <c r="I21" s="146"/>
      <c r="J21" s="146"/>
      <c r="L21" s="319"/>
    </row>
    <row r="22" spans="2:13" s="143" customFormat="1" ht="13.5">
      <c r="B22" s="48"/>
      <c r="C22" s="144" t="s">
        <v>1167</v>
      </c>
      <c r="D22" s="178"/>
      <c r="E22" s="146"/>
      <c r="F22" s="146"/>
      <c r="G22" s="146"/>
      <c r="H22" s="146"/>
      <c r="I22" s="146"/>
      <c r="J22" s="146"/>
      <c r="L22" s="319"/>
    </row>
    <row r="23" spans="2:13" s="143" customFormat="1" ht="13.5">
      <c r="B23" s="48"/>
      <c r="C23" s="144" t="s">
        <v>1166</v>
      </c>
      <c r="D23" s="178"/>
      <c r="E23" s="146"/>
      <c r="F23" s="146"/>
      <c r="G23" s="146"/>
      <c r="H23" s="146"/>
      <c r="I23" s="146"/>
      <c r="J23" s="146"/>
      <c r="L23" s="319"/>
    </row>
    <row r="24" spans="2:13" s="143" customFormat="1" ht="13.5">
      <c r="B24" s="48"/>
      <c r="C24" s="144" t="s">
        <v>1165</v>
      </c>
      <c r="D24" s="178"/>
      <c r="E24" s="146"/>
      <c r="F24" s="146"/>
      <c r="G24" s="146"/>
      <c r="H24" s="146"/>
      <c r="I24" s="146"/>
      <c r="J24" s="146"/>
      <c r="L24" s="319"/>
    </row>
    <row r="25" spans="2:13" s="143" customFormat="1" ht="13.5">
      <c r="B25" s="52"/>
      <c r="L25" s="958"/>
    </row>
    <row r="26" spans="2:13" s="143" customFormat="1" ht="13.5">
      <c r="B26" s="52"/>
      <c r="L26" s="958"/>
    </row>
    <row r="27" spans="2:13" s="143" customFormat="1" ht="13.5">
      <c r="B27" s="48"/>
      <c r="C27" s="147"/>
      <c r="J27" s="148"/>
      <c r="L27" s="319"/>
    </row>
    <row r="28" spans="2:13" s="69" customFormat="1" ht="33" customHeight="1">
      <c r="B28" s="48"/>
      <c r="C28" s="320" t="s">
        <v>1461</v>
      </c>
      <c r="D28" s="320"/>
      <c r="E28" s="320"/>
      <c r="F28" s="320"/>
      <c r="G28" s="320"/>
      <c r="H28" s="320"/>
      <c r="I28" s="320"/>
      <c r="J28" s="321"/>
      <c r="L28" s="319"/>
    </row>
    <row r="29" spans="2:13" s="37" customFormat="1" ht="15.75">
      <c r="B29" s="48"/>
      <c r="C29" s="150" t="s">
        <v>310</v>
      </c>
      <c r="D29" s="151">
        <f>F801EVE!D4</f>
        <v>46204</v>
      </c>
      <c r="E29" s="151">
        <f>F801EVE!E4</f>
        <v>46235</v>
      </c>
      <c r="F29" s="151">
        <f>F801EVE!F4</f>
        <v>46266</v>
      </c>
      <c r="G29" s="151">
        <f>F801EVE!G4</f>
        <v>46296</v>
      </c>
      <c r="H29" s="151">
        <f>F801EVE!H4</f>
        <v>46327</v>
      </c>
      <c r="I29" s="151">
        <f>F801EVE!I4</f>
        <v>46357</v>
      </c>
      <c r="J29" s="152" t="s">
        <v>111</v>
      </c>
      <c r="K29" s="69"/>
      <c r="L29" s="319" t="s">
        <v>678</v>
      </c>
      <c r="M29" s="319"/>
    </row>
    <row r="30" spans="2:13" s="37" customFormat="1" ht="15.75" customHeight="1">
      <c r="B30" s="48"/>
      <c r="C30" s="153" t="s">
        <v>446</v>
      </c>
      <c r="D30" s="154">
        <f t="shared" ref="D30:I30" si="0">SUM(D31:D32)</f>
        <v>436319.69763741893</v>
      </c>
      <c r="E30" s="154">
        <f t="shared" si="0"/>
        <v>436501.79257802176</v>
      </c>
      <c r="F30" s="154">
        <f t="shared" si="0"/>
        <v>428257.44998934551</v>
      </c>
      <c r="G30" s="154">
        <f t="shared" si="0"/>
        <v>435005.5271048178</v>
      </c>
      <c r="H30" s="154">
        <f t="shared" si="0"/>
        <v>416156.83757737838</v>
      </c>
      <c r="I30" s="154">
        <f t="shared" si="0"/>
        <v>418106.89442653937</v>
      </c>
      <c r="J30" s="154">
        <f>SUM(D30:I30)</f>
        <v>2570348.1993135219</v>
      </c>
      <c r="K30" s="69"/>
      <c r="L30" s="319"/>
      <c r="M30" s="69"/>
    </row>
    <row r="31" spans="2:13" s="37" customFormat="1" ht="15.75" customHeight="1">
      <c r="B31" s="48" t="s">
        <v>279</v>
      </c>
      <c r="C31" s="155" t="s">
        <v>279</v>
      </c>
      <c r="D31" s="156">
        <f>$D$7*F801D!K6+$G$7*F801EVE!K6</f>
        <v>436308.29048510001</v>
      </c>
      <c r="E31" s="156">
        <f>$D$7*F801D!L6+$G$7*F801EVE!L6</f>
        <v>436490.38542570284</v>
      </c>
      <c r="F31" s="156">
        <f>$D$7*F801D!M6+$G$7*F801EVE!M6</f>
        <v>428246.04283702659</v>
      </c>
      <c r="G31" s="156">
        <f>$D$7*F801D!N6+$G$7*F801EVE!N6</f>
        <v>434994.11995249888</v>
      </c>
      <c r="H31" s="156">
        <f>$D$7*F801D!O6+$G$7*F801EVE!O6</f>
        <v>416145.43042505946</v>
      </c>
      <c r="I31" s="156">
        <f>$D$7*F801D!P6+$G$7*F801EVE!P6</f>
        <v>418095.48727422045</v>
      </c>
      <c r="J31" s="156">
        <f>SUM(D31:I31)</f>
        <v>2570279.7563996082</v>
      </c>
      <c r="K31" s="69"/>
      <c r="L31" s="319"/>
      <c r="M31" s="69"/>
    </row>
    <row r="32" spans="2:13" s="37" customFormat="1" ht="15.75" customHeight="1">
      <c r="B32" s="48" t="s">
        <v>278</v>
      </c>
      <c r="C32" s="155" t="s">
        <v>278</v>
      </c>
      <c r="D32" s="156">
        <f>$D$8*F801D!K7+$F$8*F801EVE!K7</f>
        <v>11.40715231889186</v>
      </c>
      <c r="E32" s="156">
        <f>$D$8*F801D!L7+$F$8*F801EVE!L7</f>
        <v>11.40715231889186</v>
      </c>
      <c r="F32" s="156">
        <f>$D$8*F801D!M7+$F$8*F801EVE!M7</f>
        <v>11.40715231889186</v>
      </c>
      <c r="G32" s="156">
        <f>$D$8*F801D!N7+$F$8*F801EVE!N7</f>
        <v>11.40715231889186</v>
      </c>
      <c r="H32" s="156">
        <f>$D$8*F801D!O7+$F$8*F801EVE!O7</f>
        <v>11.40715231889186</v>
      </c>
      <c r="I32" s="156">
        <f>$D$8*F801D!P7+$F$8*F801EVE!P7</f>
        <v>11.40715231889186</v>
      </c>
      <c r="J32" s="156">
        <f>SUM(D32:I32)</f>
        <v>68.442913913351163</v>
      </c>
      <c r="K32" s="69"/>
      <c r="L32" s="319"/>
      <c r="M32" s="69"/>
    </row>
    <row r="33" spans="2:13" s="37" customFormat="1" ht="15.75" customHeight="1">
      <c r="B33" s="48"/>
      <c r="C33" s="157"/>
      <c r="D33" s="156"/>
      <c r="E33" s="156"/>
      <c r="F33" s="156"/>
      <c r="G33" s="156"/>
      <c r="H33" s="156"/>
      <c r="I33" s="156"/>
      <c r="J33" s="156"/>
      <c r="K33" s="69"/>
      <c r="L33" s="319"/>
      <c r="M33" s="69"/>
    </row>
    <row r="34" spans="2:13" s="37" customFormat="1" ht="15.75" customHeight="1">
      <c r="B34" s="48"/>
      <c r="C34" s="153" t="s">
        <v>630</v>
      </c>
      <c r="D34" s="154">
        <f>D35+D38</f>
        <v>935998.79304391064</v>
      </c>
      <c r="E34" s="154">
        <f t="shared" ref="E34:I34" si="1">E35+E38</f>
        <v>936389.42552176246</v>
      </c>
      <c r="F34" s="154">
        <f t="shared" si="1"/>
        <v>918703.55263033486</v>
      </c>
      <c r="G34" s="154">
        <f t="shared" si="1"/>
        <v>933179.61701534945</v>
      </c>
      <c r="H34" s="154">
        <f t="shared" si="1"/>
        <v>892745.15864990663</v>
      </c>
      <c r="I34" s="154">
        <f t="shared" si="1"/>
        <v>896928.44642505213</v>
      </c>
      <c r="J34" s="154">
        <f t="shared" ref="J34:J42" si="2">SUM(D34:I34)</f>
        <v>5513944.9932863163</v>
      </c>
      <c r="K34" s="69"/>
      <c r="L34" s="319"/>
      <c r="M34" s="69"/>
    </row>
    <row r="35" spans="2:13" s="37" customFormat="1" ht="15.75" customHeight="1">
      <c r="B35" s="48" t="s">
        <v>277</v>
      </c>
      <c r="C35" s="155" t="s">
        <v>277</v>
      </c>
      <c r="D35" s="154">
        <f>SUM(D36:D37)</f>
        <v>133900.02642337847</v>
      </c>
      <c r="E35" s="154">
        <f t="shared" ref="E35:I35" si="3">SUM(E36:E37)</f>
        <v>133955.90865260237</v>
      </c>
      <c r="F35" s="154">
        <f t="shared" si="3"/>
        <v>131425.84251888294</v>
      </c>
      <c r="G35" s="154">
        <f t="shared" si="3"/>
        <v>133496.72703077039</v>
      </c>
      <c r="H35" s="154">
        <f t="shared" si="3"/>
        <v>127712.34452538207</v>
      </c>
      <c r="I35" s="154">
        <f t="shared" si="3"/>
        <v>128310.78797188158</v>
      </c>
      <c r="J35" s="154">
        <f t="shared" si="2"/>
        <v>788801.63712289778</v>
      </c>
      <c r="K35" s="69"/>
      <c r="L35" s="319"/>
      <c r="M35" s="69"/>
    </row>
    <row r="36" spans="2:13" s="37" customFormat="1" ht="15.75" customHeight="1">
      <c r="B36" s="48"/>
      <c r="C36" s="160" t="s">
        <v>304</v>
      </c>
      <c r="D36" s="156">
        <f>$D$9*F801D!K11+$G$9*F801EVE!K11</f>
        <v>116744.51485164164</v>
      </c>
      <c r="E36" s="156">
        <f>$D$9*F801D!L11+$G$9*F801EVE!L11</f>
        <v>116793.23734941728</v>
      </c>
      <c r="F36" s="156">
        <f>$D$9*F801D!M11+$G$9*F801EVE!M11</f>
        <v>114587.32782711661</v>
      </c>
      <c r="G36" s="156">
        <f>$D$9*F801D!N11+$G$9*F801EVE!N11</f>
        <v>116392.88690064242</v>
      </c>
      <c r="H36" s="156">
        <f>$D$9*F801D!O11+$G$9*F801EVE!O11</f>
        <v>111349.60985771885</v>
      </c>
      <c r="I36" s="156">
        <f>$D$9*F801D!P11+$G$9*F801EVE!P11</f>
        <v>111871.37965638062</v>
      </c>
      <c r="J36" s="156">
        <f t="shared" si="2"/>
        <v>687738.95644291735</v>
      </c>
      <c r="K36" s="69"/>
      <c r="L36" s="319"/>
      <c r="M36" s="69"/>
    </row>
    <row r="37" spans="2:13" s="37" customFormat="1" ht="15.75" customHeight="1">
      <c r="B37" s="48"/>
      <c r="C37" s="160" t="s">
        <v>305</v>
      </c>
      <c r="D37" s="156">
        <f>($D$9*F801D!K12+$G$9*F801EVE!K12)*$L37</f>
        <v>17155.511571736839</v>
      </c>
      <c r="E37" s="156">
        <f>($D$9*F801D!L12+$G$9*F801EVE!L12)*$L37</f>
        <v>17162.671303185089</v>
      </c>
      <c r="F37" s="156">
        <f>($D$9*F801D!M12+$G$9*F801EVE!M12)*$L37</f>
        <v>16838.514691766344</v>
      </c>
      <c r="G37" s="156">
        <f>($D$9*F801D!N12+$G$9*F801EVE!N12)*$L37</f>
        <v>17103.840130127963</v>
      </c>
      <c r="H37" s="156">
        <f>($D$9*F801D!O12+$G$9*F801EVE!O12)*$L37</f>
        <v>16362.734667663208</v>
      </c>
      <c r="I37" s="156">
        <f>($D$9*F801D!P12+$G$9*F801EVE!P12)*$L37</f>
        <v>16439.408315500961</v>
      </c>
      <c r="J37" s="156">
        <f t="shared" si="2"/>
        <v>101062.68067998039</v>
      </c>
      <c r="K37" s="69"/>
      <c r="L37" s="319">
        <v>0.95</v>
      </c>
      <c r="M37" s="69"/>
    </row>
    <row r="38" spans="2:13" s="37" customFormat="1" ht="15.75" customHeight="1">
      <c r="B38" s="48" t="s">
        <v>276</v>
      </c>
      <c r="C38" s="158" t="s">
        <v>276</v>
      </c>
      <c r="D38" s="159">
        <f t="shared" ref="D38:I38" si="4">SUM(D39:D42)</f>
        <v>802098.76662053214</v>
      </c>
      <c r="E38" s="159">
        <f t="shared" si="4"/>
        <v>802433.51686916011</v>
      </c>
      <c r="F38" s="159">
        <f t="shared" si="4"/>
        <v>787277.71011145192</v>
      </c>
      <c r="G38" s="159">
        <f t="shared" si="4"/>
        <v>799682.88998457906</v>
      </c>
      <c r="H38" s="159">
        <f t="shared" si="4"/>
        <v>765032.81412452459</v>
      </c>
      <c r="I38" s="159">
        <f t="shared" si="4"/>
        <v>768617.65845317056</v>
      </c>
      <c r="J38" s="159">
        <f t="shared" si="2"/>
        <v>4725143.3561634179</v>
      </c>
      <c r="K38" s="69"/>
      <c r="L38" s="319"/>
    </row>
    <row r="39" spans="2:13" s="37" customFormat="1" ht="15.75" customHeight="1">
      <c r="B39" s="48"/>
      <c r="C39" s="160" t="s">
        <v>304</v>
      </c>
      <c r="D39" s="156">
        <f>($D$10*F801D!K15+$F$10*F801EVE!K15)*$L39</f>
        <v>798971.82497574354</v>
      </c>
      <c r="E39" s="156">
        <f>($D$10*F801D!L15+$F$10*F801EVE!L15)*$L39</f>
        <v>799305.27021738654</v>
      </c>
      <c r="F39" s="156">
        <f>($D$10*F801D!M15+$F$10*F801EVE!M15)*$L39</f>
        <v>784208.54760901665</v>
      </c>
      <c r="G39" s="156">
        <f>($D$10*F801D!N15+$F$10*F801EVE!N15)*$L39</f>
        <v>796565.36651318253</v>
      </c>
      <c r="H39" s="156">
        <f>($D$10*F801D!O15+$F$10*F801EVE!O15)*$L39</f>
        <v>762050.37222875305</v>
      </c>
      <c r="I39" s="156">
        <f>($D$10*F801D!P15+$F$10*F801EVE!P15)*$L39</f>
        <v>765621.24122233072</v>
      </c>
      <c r="J39" s="156">
        <f t="shared" si="2"/>
        <v>4706722.6227664128</v>
      </c>
      <c r="K39" s="69"/>
      <c r="L39" s="319">
        <v>1</v>
      </c>
    </row>
    <row r="40" spans="2:13" s="37" customFormat="1" ht="15.75" customHeight="1">
      <c r="B40" s="48"/>
      <c r="C40" s="161" t="s">
        <v>306</v>
      </c>
      <c r="D40" s="156">
        <f>($D$10*F801D!K16+$F$10*F801EVE!K16)*$L40</f>
        <v>0</v>
      </c>
      <c r="E40" s="156">
        <f>($D$10*F801D!L16+$F$10*F801EVE!L16)*$L40</f>
        <v>0</v>
      </c>
      <c r="F40" s="156">
        <f>($D$10*F801D!M16+$F$10*F801EVE!M16)*$L40</f>
        <v>0</v>
      </c>
      <c r="G40" s="156">
        <f>($D$10*F801D!N16+$F$10*F801EVE!N16)*$L40</f>
        <v>0</v>
      </c>
      <c r="H40" s="156">
        <f>($D$10*F801D!O16+$F$10*F801EVE!O16)*$L40</f>
        <v>0</v>
      </c>
      <c r="I40" s="156">
        <f>($D$10*F801D!P16+$F$10*F801EVE!P16)*$L40</f>
        <v>0</v>
      </c>
      <c r="J40" s="156">
        <f t="shared" si="2"/>
        <v>0</v>
      </c>
      <c r="K40" s="69"/>
      <c r="L40" s="319">
        <v>1</v>
      </c>
    </row>
    <row r="41" spans="2:13" s="37" customFormat="1" ht="15.75" customHeight="1">
      <c r="B41" s="48"/>
      <c r="C41" s="160" t="s">
        <v>305</v>
      </c>
      <c r="D41" s="156">
        <f>($D$10*F801D!K17+$F$10*F801EVE!K17)*$L41</f>
        <v>3126.9416447886065</v>
      </c>
      <c r="E41" s="156">
        <f>($D$10*F801D!L17+$F$10*F801EVE!L17)*$L41</f>
        <v>3128.2466517735297</v>
      </c>
      <c r="F41" s="156">
        <f>($D$10*F801D!M17+$F$10*F801EVE!M17)*$L41</f>
        <v>3069.1625024352638</v>
      </c>
      <c r="G41" s="156">
        <f>($D$10*F801D!N17+$F$10*F801EVE!N17)*$L41</f>
        <v>3117.5234713964919</v>
      </c>
      <c r="H41" s="156">
        <f>($D$10*F801D!O17+$F$10*F801EVE!O17)*$L41</f>
        <v>2982.4418957715943</v>
      </c>
      <c r="I41" s="156">
        <f>($D$10*F801D!P17+$F$10*F801EVE!P17)*$L41</f>
        <v>2996.4172308398138</v>
      </c>
      <c r="J41" s="156">
        <f t="shared" si="2"/>
        <v>18420.733397005301</v>
      </c>
      <c r="K41" s="69"/>
      <c r="L41" s="319">
        <v>0.95</v>
      </c>
    </row>
    <row r="42" spans="2:13" s="37" customFormat="1" ht="15.75" customHeight="1">
      <c r="B42" s="48"/>
      <c r="C42" s="160" t="s">
        <v>307</v>
      </c>
      <c r="D42" s="156">
        <f>($D$10*F801D!K18+$F$10*F801EVE!K18)*$L42</f>
        <v>0</v>
      </c>
      <c r="E42" s="156">
        <f>($D$10*F801D!L18+$F$10*F801EVE!L18)*$L42</f>
        <v>0</v>
      </c>
      <c r="F42" s="156">
        <f>($D$10*F801D!M18+$F$10*F801EVE!M18)*$L42</f>
        <v>0</v>
      </c>
      <c r="G42" s="156">
        <f>($D$10*F801D!N18+$F$10*F801EVE!N18)*$L42</f>
        <v>0</v>
      </c>
      <c r="H42" s="156">
        <f>($D$10*F801D!O18+$F$10*F801EVE!O18)*$L42</f>
        <v>0</v>
      </c>
      <c r="I42" s="156">
        <f>($D$10*F801D!P18+$F$10*F801EVE!P18)*$L42</f>
        <v>0</v>
      </c>
      <c r="J42" s="156">
        <f t="shared" si="2"/>
        <v>0</v>
      </c>
      <c r="K42" s="69"/>
      <c r="L42" s="319">
        <v>0.5</v>
      </c>
    </row>
    <row r="43" spans="2:13" s="37" customFormat="1" ht="15.75" customHeight="1">
      <c r="B43" s="48"/>
      <c r="C43" s="157"/>
      <c r="D43" s="157"/>
      <c r="E43" s="157"/>
      <c r="F43" s="157"/>
      <c r="G43" s="157"/>
      <c r="H43" s="157"/>
      <c r="I43" s="157"/>
      <c r="J43" s="157"/>
      <c r="K43" s="69"/>
      <c r="L43" s="319"/>
    </row>
    <row r="44" spans="2:13" s="37" customFormat="1" ht="15.75" customHeight="1">
      <c r="B44" s="48"/>
      <c r="C44" s="153" t="s">
        <v>443</v>
      </c>
      <c r="D44" s="154">
        <f t="shared" ref="D44:I44" si="5">D45+D49+D56+D61+D66+D79+D85+D92+D100+D106+D113+D72</f>
        <v>6076413.2408640515</v>
      </c>
      <c r="E44" s="154">
        <f t="shared" si="5"/>
        <v>6078949.1889639525</v>
      </c>
      <c r="F44" s="154">
        <f t="shared" si="5"/>
        <v>5964134.2201708611</v>
      </c>
      <c r="G44" s="154">
        <f t="shared" si="5"/>
        <v>6058111.4239433613</v>
      </c>
      <c r="H44" s="154">
        <f t="shared" si="5"/>
        <v>5795614.8480664566</v>
      </c>
      <c r="I44" s="154">
        <f t="shared" si="5"/>
        <v>5822772.3459352031</v>
      </c>
      <c r="J44" s="154">
        <f t="shared" ref="J44:J70" si="6">SUM(D44:I44)</f>
        <v>35795995.267943889</v>
      </c>
      <c r="K44" s="69"/>
      <c r="L44" s="319"/>
    </row>
    <row r="45" spans="2:13" s="37" customFormat="1" ht="15.75" customHeight="1">
      <c r="B45" s="48" t="s">
        <v>275</v>
      </c>
      <c r="C45" s="155" t="s">
        <v>275</v>
      </c>
      <c r="D45" s="154">
        <f>SUM(D46:D48)</f>
        <v>114678.88609019166</v>
      </c>
      <c r="E45" s="154">
        <f t="shared" ref="E45:I45" si="7">SUM(E46:E48)</f>
        <v>114726.74651240975</v>
      </c>
      <c r="F45" s="154">
        <f t="shared" si="7"/>
        <v>112559.86743329701</v>
      </c>
      <c r="G45" s="154">
        <f t="shared" si="7"/>
        <v>114333.47969752293</v>
      </c>
      <c r="H45" s="154">
        <f t="shared" si="7"/>
        <v>109379.43629546947</v>
      </c>
      <c r="I45" s="154">
        <f t="shared" si="7"/>
        <v>109891.97411690006</v>
      </c>
      <c r="J45" s="154">
        <f t="shared" si="6"/>
        <v>675570.39014579076</v>
      </c>
      <c r="K45" s="69"/>
      <c r="L45" s="319"/>
    </row>
    <row r="46" spans="2:13" s="37" customFormat="1" ht="15.75" customHeight="1">
      <c r="B46" s="48"/>
      <c r="C46" s="160" t="s">
        <v>304</v>
      </c>
      <c r="D46" s="156">
        <f>$D$11*F801D!K22+$G$11*F801EVE!K22</f>
        <v>113716.74121448956</v>
      </c>
      <c r="E46" s="156">
        <f>$D$11*F801D!L22+$G$11*F801EVE!L22</f>
        <v>113764.20009234708</v>
      </c>
      <c r="F46" s="156">
        <f>$D$11*F801D!M22+$G$11*F801EVE!M22</f>
        <v>111615.50092126548</v>
      </c>
      <c r="G46" s="156">
        <f>$D$11*F801D!N22+$G$11*F801EVE!N22</f>
        <v>113374.23274838841</v>
      </c>
      <c r="H46" s="156">
        <f>$D$11*F801D!O22+$G$11*F801EVE!O22</f>
        <v>108461.75329621098</v>
      </c>
      <c r="I46" s="156">
        <f>$D$11*F801D!P22+$G$11*F801EVE!P22</f>
        <v>108969.99097438673</v>
      </c>
      <c r="J46" s="156">
        <f t="shared" si="6"/>
        <v>669902.41924708826</v>
      </c>
      <c r="K46" s="69"/>
      <c r="L46" s="319"/>
    </row>
    <row r="47" spans="2:13" s="37" customFormat="1" ht="15.75" customHeight="1">
      <c r="B47" s="48"/>
      <c r="C47" s="161" t="s">
        <v>306</v>
      </c>
      <c r="D47" s="156">
        <f>($D$11*F801D!K23+$G$11*F801EVE!K23)*$L47</f>
        <v>607.2817614622312</v>
      </c>
      <c r="E47" s="156">
        <f>($D$11*F801D!L23+$G$11*F801EVE!L23)*$L47</f>
        <v>607.53520621130269</v>
      </c>
      <c r="F47" s="156">
        <f>($D$11*F801D!M23+$G$11*F801EVE!M23)*$L47</f>
        <v>596.06050333527094</v>
      </c>
      <c r="G47" s="156">
        <f>($D$11*F801D!N23+$G$11*F801EVE!N23)*$L47</f>
        <v>605.45266275268148</v>
      </c>
      <c r="H47" s="156">
        <f>($D$11*F801D!O23+$G$11*F801EVE!O23)*$L47</f>
        <v>579.21853800548706</v>
      </c>
      <c r="I47" s="156">
        <f>($D$11*F801D!P23+$G$11*F801EVE!P23)*$L47</f>
        <v>581.93268078822734</v>
      </c>
      <c r="J47" s="156">
        <f t="shared" si="6"/>
        <v>3577.4813525552008</v>
      </c>
      <c r="K47" s="69"/>
      <c r="L47" s="319">
        <v>1</v>
      </c>
    </row>
    <row r="48" spans="2:13" s="37" customFormat="1" ht="15.75" customHeight="1">
      <c r="B48" s="48"/>
      <c r="C48" s="160" t="s">
        <v>305</v>
      </c>
      <c r="D48" s="156">
        <f>($D$11*F801D!K24+$G$11*F801EVE!K24)*$L48</f>
        <v>354.86311423986371</v>
      </c>
      <c r="E48" s="156">
        <f>($D$11*F801D!L24+$G$11*F801EVE!L24)*$L48</f>
        <v>355.01121385136315</v>
      </c>
      <c r="F48" s="156">
        <f>($D$11*F801D!M24+$G$11*F801EVE!M24)*$L48</f>
        <v>348.30600869624499</v>
      </c>
      <c r="G48" s="156">
        <f>($D$11*F801D!N24+$G$11*F801EVE!N24)*$L48</f>
        <v>353.79428638183606</v>
      </c>
      <c r="H48" s="156">
        <f>($D$11*F801D!O24+$G$11*F801EVE!O24)*$L48</f>
        <v>338.46446125300173</v>
      </c>
      <c r="I48" s="156">
        <f>($D$11*F801D!P24+$G$11*F801EVE!P24)*$L48</f>
        <v>340.05046172509856</v>
      </c>
      <c r="J48" s="156">
        <f t="shared" si="6"/>
        <v>2090.489546147408</v>
      </c>
      <c r="K48" s="69"/>
      <c r="L48" s="319">
        <v>0.95</v>
      </c>
    </row>
    <row r="49" spans="2:12" s="37" customFormat="1" ht="15.75" customHeight="1">
      <c r="B49" s="48" t="s">
        <v>274</v>
      </c>
      <c r="C49" s="158" t="s">
        <v>627</v>
      </c>
      <c r="D49" s="159">
        <f t="shared" ref="D49:I49" si="8">SUM(D50:D55)</f>
        <v>1327092.7605925591</v>
      </c>
      <c r="E49" s="159">
        <f t="shared" si="8"/>
        <v>1327646.613372351</v>
      </c>
      <c r="F49" s="159">
        <f t="shared" si="8"/>
        <v>1302570.9465516219</v>
      </c>
      <c r="G49" s="159">
        <f t="shared" si="8"/>
        <v>1323095.6314016411</v>
      </c>
      <c r="H49" s="159">
        <f t="shared" si="8"/>
        <v>1265766.2017335168</v>
      </c>
      <c r="I49" s="159">
        <f t="shared" si="8"/>
        <v>1271697.417631581</v>
      </c>
      <c r="J49" s="159">
        <f t="shared" si="6"/>
        <v>7817869.5712832715</v>
      </c>
      <c r="K49" s="69"/>
      <c r="L49" s="319"/>
    </row>
    <row r="50" spans="2:12" s="37" customFormat="1" ht="15.75" customHeight="1">
      <c r="B50" s="48"/>
      <c r="C50" s="160" t="s">
        <v>304</v>
      </c>
      <c r="D50" s="156">
        <f>($D$12*F801D!K28+$F$12*F801EVE!K28)*$L50</f>
        <v>1324705.1973608786</v>
      </c>
      <c r="E50" s="156">
        <f>($D$12*F801D!L28+$F$12*F801EVE!L28)*$L50</f>
        <v>1325258.0537080383</v>
      </c>
      <c r="F50" s="156">
        <f>($D$12*F801D!M28+$F$12*F801EVE!M28)*$L50</f>
        <v>1300227.5003427425</v>
      </c>
      <c r="G50" s="156">
        <f>($D$12*F801D!N28+$F$12*F801EVE!N28)*$L50</f>
        <v>1320715.2593769147</v>
      </c>
      <c r="H50" s="156">
        <f>($D$12*F801D!O28+$F$12*F801EVE!O28)*$L50</f>
        <v>1263488.9706816245</v>
      </c>
      <c r="I50" s="156">
        <f>($D$12*F801D!P28+$F$12*F801EVE!P28)*$L50</f>
        <v>1269409.515770972</v>
      </c>
      <c r="J50" s="156">
        <f t="shared" si="6"/>
        <v>7803804.4972411711</v>
      </c>
      <c r="K50" s="69"/>
      <c r="L50" s="319">
        <v>1</v>
      </c>
    </row>
    <row r="51" spans="2:12" s="37" customFormat="1" ht="15.75" customHeight="1">
      <c r="B51" s="48"/>
      <c r="C51" s="162" t="s">
        <v>628</v>
      </c>
      <c r="D51" s="156">
        <f>($D$12*F801D!K29+$F$12*F801EVE!K29)*$L51</f>
        <v>114.6278339217935</v>
      </c>
      <c r="E51" s="156">
        <f>($D$12*F801D!L29+$F$12*F801EVE!L29)*$L51</f>
        <v>114.67567303775007</v>
      </c>
      <c r="F51" s="156">
        <f>($D$12*F801D!M29+$F$12*F801EVE!M29)*$L51</f>
        <v>112.50975859894226</v>
      </c>
      <c r="G51" s="156">
        <f>($D$12*F801D!N29+$F$12*F801EVE!N29)*$L51</f>
        <v>114.28258129540143</v>
      </c>
      <c r="H51" s="156">
        <f>($D$12*F801D!O29+$F$12*F801EVE!O29)*$L51</f>
        <v>109.33074330941568</v>
      </c>
      <c r="I51" s="156">
        <f>($D$12*F801D!P29+$F$12*F801EVE!P29)*$L51</f>
        <v>109.8430529618427</v>
      </c>
      <c r="J51" s="156">
        <f t="shared" si="6"/>
        <v>675.26964312514554</v>
      </c>
      <c r="K51" s="69"/>
      <c r="L51" s="319">
        <v>0.75</v>
      </c>
    </row>
    <row r="52" spans="2:12" s="37" customFormat="1" ht="15.75" customHeight="1">
      <c r="B52" s="48"/>
      <c r="C52" s="161" t="s">
        <v>629</v>
      </c>
      <c r="D52" s="156">
        <f>($D$12*F801D!K30+$F$12*F801EVE!K30)*$L52</f>
        <v>608.99710739988757</v>
      </c>
      <c r="E52" s="156">
        <f>($D$12*F801D!L30+$F$12*F801EVE!L30)*$L52</f>
        <v>609.25126803645685</v>
      </c>
      <c r="F52" s="156">
        <f>($D$12*F801D!M30+$F$12*F801EVE!M30)*$L52</f>
        <v>597.74415337694438</v>
      </c>
      <c r="G52" s="156">
        <f>($D$12*F801D!N30+$F$12*F801EVE!N30)*$L52</f>
        <v>607.16284216428653</v>
      </c>
      <c r="H52" s="156">
        <f>($D$12*F801D!O30+$F$12*F801EVE!O30)*$L52</f>
        <v>580.85461573617772</v>
      </c>
      <c r="I52" s="156">
        <f>($D$12*F801D!P30+$F$12*F801EVE!P30)*$L52</f>
        <v>583.57642496650794</v>
      </c>
      <c r="J52" s="156">
        <f t="shared" si="6"/>
        <v>3587.5864116802613</v>
      </c>
      <c r="K52" s="69"/>
      <c r="L52" s="319">
        <v>1</v>
      </c>
    </row>
    <row r="53" spans="2:12" s="37" customFormat="1" ht="15.75" customHeight="1">
      <c r="B53" s="48"/>
      <c r="C53" s="160" t="s">
        <v>305</v>
      </c>
      <c r="D53" s="156">
        <f>($D$12*F801D!K31+$F$12*F801EVE!K31)*$L53</f>
        <v>1524.6866995204782</v>
      </c>
      <c r="E53" s="156">
        <f>($D$12*F801D!L31+$F$12*F801EVE!L31)*$L53</f>
        <v>1525.3230167334996</v>
      </c>
      <c r="F53" s="156">
        <f>($D$12*F801D!M31+$F$12*F801EVE!M31)*$L53</f>
        <v>1496.5137753462577</v>
      </c>
      <c r="G53" s="156">
        <f>($D$12*F801D!N31+$F$12*F801EVE!N31)*$L53</f>
        <v>1520.0944284339143</v>
      </c>
      <c r="H53" s="156">
        <f>($D$12*F801D!O31+$F$12*F801EVE!O31)*$L53</f>
        <v>1454.2290861596825</v>
      </c>
      <c r="I53" s="156">
        <f>($D$12*F801D!P31+$F$12*F801EVE!P31)*$L53</f>
        <v>1461.0434146379152</v>
      </c>
      <c r="J53" s="156">
        <f t="shared" si="6"/>
        <v>8981.890420831749</v>
      </c>
      <c r="K53" s="69"/>
      <c r="L53" s="319">
        <v>0.95</v>
      </c>
    </row>
    <row r="54" spans="2:12" s="37" customFormat="1" ht="15.75" customHeight="1">
      <c r="B54" s="48"/>
      <c r="C54" s="160" t="s">
        <v>307</v>
      </c>
      <c r="D54" s="156">
        <f>($D$12*F801D!K32+$F$12*F801EVE!K32)*$L54</f>
        <v>139.25159083832688</v>
      </c>
      <c r="E54" s="156">
        <f>($D$12*F801D!L32+$F$12*F801EVE!L32)*$L54</f>
        <v>139.30970650511861</v>
      </c>
      <c r="F54" s="156">
        <f>($D$12*F801D!M32+$F$12*F801EVE!M32)*$L54</f>
        <v>136.67852155723355</v>
      </c>
      <c r="G54" s="156">
        <f>($D$12*F801D!N32+$F$12*F801EVE!N32)*$L54</f>
        <v>138.83217283293209</v>
      </c>
      <c r="H54" s="156">
        <f>($D$12*F801D!O32+$F$12*F801EVE!O32)*$L54</f>
        <v>132.81660668699385</v>
      </c>
      <c r="I54" s="156">
        <f>($D$12*F801D!P32+$F$12*F801EVE!P32)*$L54</f>
        <v>133.43896804253484</v>
      </c>
      <c r="J54" s="156">
        <f t="shared" si="6"/>
        <v>820.32756646313987</v>
      </c>
      <c r="K54" s="69"/>
      <c r="L54" s="319">
        <v>0.5</v>
      </c>
    </row>
    <row r="55" spans="2:12" s="37" customFormat="1" ht="15.75" customHeight="1">
      <c r="B55" s="48"/>
      <c r="C55" s="160" t="s">
        <v>624</v>
      </c>
      <c r="D55" s="156">
        <f>($D$12*F801D!K33+$F$12*F801EVE!K33)*$L55</f>
        <v>0</v>
      </c>
      <c r="E55" s="156">
        <f>($D$12*F801D!L33+$F$12*F801EVE!L33)*$L55</f>
        <v>0</v>
      </c>
      <c r="F55" s="156">
        <f>($D$12*F801D!M33+$F$12*F801EVE!M33)*$L55</f>
        <v>0</v>
      </c>
      <c r="G55" s="156">
        <f>($D$12*F801D!N33+$F$12*F801EVE!N33)*$L55</f>
        <v>0</v>
      </c>
      <c r="H55" s="156">
        <f>($D$12*F801D!O33+$F$12*F801EVE!O33)*$L55</f>
        <v>0</v>
      </c>
      <c r="I55" s="156">
        <f>($D$12*F801D!P33+$F$12*F801EVE!P33)*$L55</f>
        <v>0</v>
      </c>
      <c r="J55" s="156">
        <f t="shared" si="6"/>
        <v>0</v>
      </c>
      <c r="K55" s="69"/>
      <c r="L55" s="319">
        <v>0</v>
      </c>
    </row>
    <row r="56" spans="2:12" s="37" customFormat="1" ht="15.75" customHeight="1">
      <c r="B56" s="48" t="s">
        <v>274</v>
      </c>
      <c r="C56" s="158" t="s">
        <v>631</v>
      </c>
      <c r="D56" s="159">
        <f t="shared" ref="D56:I56" si="9">SUM(D57:D60)</f>
        <v>636023.97485580901</v>
      </c>
      <c r="E56" s="159">
        <f t="shared" si="9"/>
        <v>636289.41496440477</v>
      </c>
      <c r="F56" s="159">
        <f t="shared" si="9"/>
        <v>624271.6225710843</v>
      </c>
      <c r="G56" s="159">
        <f t="shared" si="9"/>
        <v>634108.30620662984</v>
      </c>
      <c r="H56" s="159">
        <f t="shared" si="9"/>
        <v>606632.53901349404</v>
      </c>
      <c r="I56" s="159">
        <f t="shared" si="9"/>
        <v>609475.14024170849</v>
      </c>
      <c r="J56" s="159">
        <f t="shared" si="6"/>
        <v>3746800.9978531301</v>
      </c>
      <c r="K56" s="69"/>
      <c r="L56" s="319"/>
    </row>
    <row r="57" spans="2:12" s="37" customFormat="1" ht="15.75" customHeight="1">
      <c r="B57" s="48"/>
      <c r="C57" s="160" t="s">
        <v>304</v>
      </c>
      <c r="D57" s="156">
        <f>($D$13*F801D!K35+$F$13*F801EVE!K35)*$L57</f>
        <v>635576.82340209745</v>
      </c>
      <c r="E57" s="156">
        <f>($D$13*F801D!L35+$F$13*F801EVE!L35)*$L57</f>
        <v>635842.07689519576</v>
      </c>
      <c r="F57" s="156">
        <f>($D$13*F801D!M35+$F$13*F801EVE!M35)*$L57</f>
        <v>623832.73351252824</v>
      </c>
      <c r="G57" s="156">
        <f>($D$13*F801D!N35+$F$13*F801EVE!N35)*$L57</f>
        <v>633662.50154809456</v>
      </c>
      <c r="H57" s="156">
        <f>($D$13*F801D!O35+$F$13*F801EVE!O35)*$L57</f>
        <v>606206.05096836947</v>
      </c>
      <c r="I57" s="156">
        <f>($D$13*F801D!P35+$F$13*F801EVE!P35)*$L57</f>
        <v>609046.65372903901</v>
      </c>
      <c r="J57" s="156">
        <f t="shared" si="6"/>
        <v>3744166.8400553241</v>
      </c>
      <c r="K57" s="69"/>
      <c r="L57" s="319">
        <v>1</v>
      </c>
    </row>
    <row r="58" spans="2:12" s="37" customFormat="1" ht="15.75" customHeight="1">
      <c r="B58" s="48"/>
      <c r="C58" s="161" t="s">
        <v>306</v>
      </c>
      <c r="D58" s="156">
        <f>($D$13*F801D!K36+$F$13*F801EVE!K36)*$L58</f>
        <v>0</v>
      </c>
      <c r="E58" s="156">
        <f>($D$13*F801D!L36+$F$13*F801EVE!L36)*$L58</f>
        <v>0</v>
      </c>
      <c r="F58" s="156">
        <f>($D$13*F801D!M36+$F$13*F801EVE!M36)*$L58</f>
        <v>0</v>
      </c>
      <c r="G58" s="156">
        <f>($D$13*F801D!N36+$F$13*F801EVE!N36)*$L58</f>
        <v>0</v>
      </c>
      <c r="H58" s="156">
        <f>($D$13*F801D!O36+$F$13*F801EVE!O36)*$L58</f>
        <v>0</v>
      </c>
      <c r="I58" s="156">
        <f>($D$13*F801D!P36+$F$13*F801EVE!P36)*$L58</f>
        <v>0</v>
      </c>
      <c r="J58" s="156">
        <f t="shared" si="6"/>
        <v>0</v>
      </c>
      <c r="K58" s="69"/>
      <c r="L58" s="319">
        <v>1</v>
      </c>
    </row>
    <row r="59" spans="2:12" s="37" customFormat="1" ht="15.75" customHeight="1">
      <c r="B59" s="48"/>
      <c r="C59" s="160" t="s">
        <v>305</v>
      </c>
      <c r="D59" s="156">
        <f>($D$13*F801D!K37+$F$13*F801EVE!K37)*$L59</f>
        <v>447.15145371155199</v>
      </c>
      <c r="E59" s="156">
        <f>($D$13*F801D!L37+$F$13*F801EVE!L37)*$L59</f>
        <v>447.3380692089612</v>
      </c>
      <c r="F59" s="156">
        <f>($D$13*F801D!M37+$F$13*F801EVE!M37)*$L59</f>
        <v>438.88905855602923</v>
      </c>
      <c r="G59" s="156">
        <f>($D$13*F801D!N37+$F$13*F801EVE!N37)*$L59</f>
        <v>445.80465853530995</v>
      </c>
      <c r="H59" s="156">
        <f>($D$13*F801D!O37+$F$13*F801EVE!O37)*$L59</f>
        <v>426.48804512457161</v>
      </c>
      <c r="I59" s="156">
        <f>($D$13*F801D!P37+$F$13*F801EVE!P37)*$L59</f>
        <v>428.48651266945683</v>
      </c>
      <c r="J59" s="156">
        <f t="shared" si="6"/>
        <v>2634.1577978058808</v>
      </c>
      <c r="K59" s="69"/>
      <c r="L59" s="319">
        <v>0.95</v>
      </c>
    </row>
    <row r="60" spans="2:12" s="37" customFormat="1" ht="15.75" customHeight="1">
      <c r="B60" s="48"/>
      <c r="C60" s="160" t="s">
        <v>307</v>
      </c>
      <c r="D60" s="156">
        <f>($D$13*F801D!K38+$F$13*F801EVE!K38)*$L60</f>
        <v>0</v>
      </c>
      <c r="E60" s="156">
        <f>($D$13*F801D!L38+$F$13*F801EVE!L38)*$L60</f>
        <v>0</v>
      </c>
      <c r="F60" s="156">
        <f>($D$13*F801D!M38+$F$13*F801EVE!M38)*$L60</f>
        <v>0</v>
      </c>
      <c r="G60" s="156">
        <f>($D$13*F801D!N38+$F$13*F801EVE!N38)*$L60</f>
        <v>0</v>
      </c>
      <c r="H60" s="156">
        <f>($D$13*F801D!O38+$F$13*F801EVE!O38)*$L60</f>
        <v>0</v>
      </c>
      <c r="I60" s="156">
        <f>($D$13*F801D!P38+$F$13*F801EVE!P38)*$L60</f>
        <v>0</v>
      </c>
      <c r="J60" s="156">
        <f t="shared" si="6"/>
        <v>0</v>
      </c>
      <c r="K60" s="69"/>
      <c r="L60" s="319">
        <v>0.5</v>
      </c>
    </row>
    <row r="61" spans="2:12" s="37" customFormat="1" ht="15.75" customHeight="1">
      <c r="B61" s="48" t="s">
        <v>274</v>
      </c>
      <c r="C61" s="158" t="s">
        <v>632</v>
      </c>
      <c r="D61" s="159">
        <f t="shared" ref="D61:I61" si="10">SUM(D62:D65)</f>
        <v>187931.1300898389</v>
      </c>
      <c r="E61" s="159">
        <f t="shared" si="10"/>
        <v>188009.56181812537</v>
      </c>
      <c r="F61" s="159">
        <f t="shared" si="10"/>
        <v>184458.56783841911</v>
      </c>
      <c r="G61" s="159">
        <f t="shared" si="10"/>
        <v>187365.09203412011</v>
      </c>
      <c r="H61" s="159">
        <f t="shared" si="10"/>
        <v>179246.60565180733</v>
      </c>
      <c r="I61" s="159">
        <f t="shared" si="10"/>
        <v>180086.53194756401</v>
      </c>
      <c r="J61" s="159">
        <f t="shared" si="6"/>
        <v>1107097.4893798749</v>
      </c>
      <c r="K61" s="69"/>
      <c r="L61" s="319"/>
    </row>
    <row r="62" spans="2:12" s="37" customFormat="1" ht="15.75" customHeight="1">
      <c r="B62" s="48"/>
      <c r="C62" s="160" t="s">
        <v>304</v>
      </c>
      <c r="D62" s="156">
        <f>($D$14*F801D!K40+$F$14*F801EVE!K40)*$L62</f>
        <v>187931.1300898389</v>
      </c>
      <c r="E62" s="156">
        <f>($D$14*F801D!L40+$F$14*F801EVE!L40)*$L62</f>
        <v>188009.56181812537</v>
      </c>
      <c r="F62" s="156">
        <f>($D$14*F801D!M40+$F$14*F801EVE!M40)*$L62</f>
        <v>184458.56783841911</v>
      </c>
      <c r="G62" s="156">
        <f>($D$14*F801D!N40+$F$14*F801EVE!N40)*$L62</f>
        <v>187365.09203412011</v>
      </c>
      <c r="H62" s="156">
        <f>($D$14*F801D!O40+$F$14*F801EVE!O40)*$L62</f>
        <v>179246.60565180733</v>
      </c>
      <c r="I62" s="156">
        <f>($D$14*F801D!P40+$F$14*F801EVE!P40)*$L62</f>
        <v>180086.53194756401</v>
      </c>
      <c r="J62" s="156">
        <f t="shared" si="6"/>
        <v>1107097.4893798749</v>
      </c>
      <c r="K62" s="69"/>
      <c r="L62" s="319">
        <v>1</v>
      </c>
    </row>
    <row r="63" spans="2:12" s="37" customFormat="1" ht="15.75" customHeight="1">
      <c r="B63" s="48"/>
      <c r="C63" s="161" t="s">
        <v>306</v>
      </c>
      <c r="D63" s="156">
        <f>($D$14*F801D!K41+$F$14*F801EVE!K41)*$L63</f>
        <v>0</v>
      </c>
      <c r="E63" s="156">
        <f>($D$14*F801D!L41+$F$14*F801EVE!L41)*$L63</f>
        <v>0</v>
      </c>
      <c r="F63" s="156">
        <f>($D$14*F801D!M41+$F$14*F801EVE!M41)*$L63</f>
        <v>0</v>
      </c>
      <c r="G63" s="156">
        <f>($D$14*F801D!N41+$F$14*F801EVE!N41)*$L63</f>
        <v>0</v>
      </c>
      <c r="H63" s="156">
        <f>($D$14*F801D!O41+$F$14*F801EVE!O41)*$L63</f>
        <v>0</v>
      </c>
      <c r="I63" s="156">
        <f>($D$14*F801D!P41+$F$14*F801EVE!P41)*$L63</f>
        <v>0</v>
      </c>
      <c r="J63" s="156">
        <f t="shared" si="6"/>
        <v>0</v>
      </c>
      <c r="K63" s="69"/>
      <c r="L63" s="319">
        <v>1</v>
      </c>
    </row>
    <row r="64" spans="2:12" s="37" customFormat="1" ht="15.75" customHeight="1">
      <c r="B64" s="48"/>
      <c r="C64" s="160" t="s">
        <v>305</v>
      </c>
      <c r="D64" s="156">
        <f>($D$14*F801D!K42+$F$14*F801EVE!K42)*$L64</f>
        <v>0</v>
      </c>
      <c r="E64" s="156">
        <f>($D$14*F801D!L42+$F$14*F801EVE!L42)*$L64</f>
        <v>0</v>
      </c>
      <c r="F64" s="156">
        <f>($D$14*F801D!M42+$F$14*F801EVE!M42)*$L64</f>
        <v>0</v>
      </c>
      <c r="G64" s="156">
        <f>($D$14*F801D!N42+$F$14*F801EVE!N42)*$L64</f>
        <v>0</v>
      </c>
      <c r="H64" s="156">
        <f>($D$14*F801D!O42+$F$14*F801EVE!O42)*$L64</f>
        <v>0</v>
      </c>
      <c r="I64" s="156">
        <f>($D$14*F801D!P42+$F$14*F801EVE!P42)*$L64</f>
        <v>0</v>
      </c>
      <c r="J64" s="156">
        <f t="shared" si="6"/>
        <v>0</v>
      </c>
      <c r="K64" s="69"/>
      <c r="L64" s="319">
        <v>0.95</v>
      </c>
    </row>
    <row r="65" spans="2:13" s="37" customFormat="1" ht="15.75" customHeight="1">
      <c r="B65" s="48"/>
      <c r="C65" s="160" t="s">
        <v>307</v>
      </c>
      <c r="D65" s="156">
        <f>($D$14*F801D!K43+$F$14*F801EVE!K43)*$L65</f>
        <v>0</v>
      </c>
      <c r="E65" s="156">
        <f>($D$14*F801D!L43+$F$14*F801EVE!L43)*$L65</f>
        <v>0</v>
      </c>
      <c r="F65" s="156">
        <f>($D$14*F801D!M43+$F$14*F801EVE!M43)*$L65</f>
        <v>0</v>
      </c>
      <c r="G65" s="156">
        <f>($D$14*F801D!N43+$F$14*F801EVE!N43)*$L65</f>
        <v>0</v>
      </c>
      <c r="H65" s="156">
        <f>($D$14*F801D!O43+$F$14*F801EVE!O43)*$L65</f>
        <v>0</v>
      </c>
      <c r="I65" s="156">
        <f>($D$14*F801D!P43+$F$14*F801EVE!P43)*$L65</f>
        <v>0</v>
      </c>
      <c r="J65" s="156">
        <f t="shared" si="6"/>
        <v>0</v>
      </c>
      <c r="K65" s="69"/>
      <c r="L65" s="319">
        <v>0.5</v>
      </c>
    </row>
    <row r="66" spans="2:13" s="37" customFormat="1" ht="15.75" customHeight="1">
      <c r="B66" s="48" t="s">
        <v>274</v>
      </c>
      <c r="C66" s="158" t="s">
        <v>633</v>
      </c>
      <c r="D66" s="159">
        <f t="shared" ref="D66:I66" si="11">SUM(D67:D70)</f>
        <v>199435.58965080499</v>
      </c>
      <c r="E66" s="159">
        <f t="shared" si="11"/>
        <v>199518.82268394146</v>
      </c>
      <c r="F66" s="159">
        <f t="shared" si="11"/>
        <v>195750.44978132218</v>
      </c>
      <c r="G66" s="159">
        <f t="shared" si="11"/>
        <v>198834.90080615695</v>
      </c>
      <c r="H66" s="159">
        <f t="shared" si="11"/>
        <v>190219.43024545434</v>
      </c>
      <c r="I66" s="159">
        <f t="shared" si="11"/>
        <v>191110.77377101805</v>
      </c>
      <c r="J66" s="159">
        <f t="shared" si="6"/>
        <v>1174869.966938698</v>
      </c>
      <c r="K66" s="69"/>
      <c r="L66" s="319"/>
    </row>
    <row r="67" spans="2:13" s="37" customFormat="1" ht="15.75" customHeight="1">
      <c r="B67" s="48"/>
      <c r="C67" s="160" t="s">
        <v>304</v>
      </c>
      <c r="D67" s="156">
        <f>($D$15*F801D!K45+$F$15*F801EVE!K45)*$L67</f>
        <v>199435.58965080499</v>
      </c>
      <c r="E67" s="156">
        <f>($D$15*F801D!L45+$F$15*F801EVE!L45)*$L67</f>
        <v>199518.82268394146</v>
      </c>
      <c r="F67" s="156">
        <f>($D$15*F801D!M45+$F$15*F801EVE!M45)*$L67</f>
        <v>195750.44978132218</v>
      </c>
      <c r="G67" s="156">
        <f>($D$15*F801D!N45+$F$15*F801EVE!N45)*$L67</f>
        <v>198834.90080615695</v>
      </c>
      <c r="H67" s="156">
        <f>($D$15*F801D!O45+$F$15*F801EVE!O45)*$L67</f>
        <v>190219.43024545434</v>
      </c>
      <c r="I67" s="156">
        <f>($D$15*F801D!P45+$F$15*F801EVE!P45)*$L67</f>
        <v>191110.77377101805</v>
      </c>
      <c r="J67" s="156">
        <f t="shared" si="6"/>
        <v>1174869.966938698</v>
      </c>
      <c r="K67" s="69"/>
      <c r="L67" s="319">
        <v>1</v>
      </c>
    </row>
    <row r="68" spans="2:13" s="37" customFormat="1" ht="15.75" customHeight="1">
      <c r="B68" s="48"/>
      <c r="C68" s="161" t="s">
        <v>306</v>
      </c>
      <c r="D68" s="156">
        <f>($D$15*F801D!K46+$F$15*F801EVE!K46)*$L68</f>
        <v>0</v>
      </c>
      <c r="E68" s="156">
        <f>($D$15*F801D!L46+$F$15*F801EVE!L46)*$L68</f>
        <v>0</v>
      </c>
      <c r="F68" s="156">
        <f>($D$15*F801D!M46+$F$15*F801EVE!M46)*$L68</f>
        <v>0</v>
      </c>
      <c r="G68" s="156">
        <f>($D$15*F801D!N46+$F$15*F801EVE!N46)*$L68</f>
        <v>0</v>
      </c>
      <c r="H68" s="156">
        <f>($D$15*F801D!O46+$F$15*F801EVE!O46)*$L68</f>
        <v>0</v>
      </c>
      <c r="I68" s="156">
        <f>($D$15*F801D!P46+$F$15*F801EVE!P46)*$L68</f>
        <v>0</v>
      </c>
      <c r="J68" s="156">
        <f t="shared" si="6"/>
        <v>0</v>
      </c>
      <c r="K68" s="69"/>
      <c r="L68" s="319">
        <v>1</v>
      </c>
    </row>
    <row r="69" spans="2:13" s="37" customFormat="1" ht="15.75" customHeight="1">
      <c r="B69" s="48"/>
      <c r="C69" s="160" t="s">
        <v>305</v>
      </c>
      <c r="D69" s="156">
        <f>($D$15*F801D!K47+$F$15*F801EVE!K47)*$L69</f>
        <v>0</v>
      </c>
      <c r="E69" s="156">
        <f>($D$15*F801D!L47+$F$15*F801EVE!L47)*$L69</f>
        <v>0</v>
      </c>
      <c r="F69" s="156">
        <f>($D$15*F801D!M47+$F$15*F801EVE!M47)*$L69</f>
        <v>0</v>
      </c>
      <c r="G69" s="156">
        <f>($D$15*F801D!N47+$F$15*F801EVE!N47)*$L69</f>
        <v>0</v>
      </c>
      <c r="H69" s="156">
        <f>($D$15*F801D!O47+$F$15*F801EVE!O47)*$L69</f>
        <v>0</v>
      </c>
      <c r="I69" s="156">
        <f>($D$15*F801D!P47+$F$15*F801EVE!P47)*$L69</f>
        <v>0</v>
      </c>
      <c r="J69" s="156">
        <f t="shared" si="6"/>
        <v>0</v>
      </c>
      <c r="K69" s="69"/>
      <c r="L69" s="319">
        <v>0.95</v>
      </c>
    </row>
    <row r="70" spans="2:13" s="37" customFormat="1" ht="15.75" customHeight="1">
      <c r="B70" s="48"/>
      <c r="C70" s="160" t="s">
        <v>307</v>
      </c>
      <c r="D70" s="156">
        <f>($D$15*F801D!K48+$F$15*F801EVE!K48)*$L70</f>
        <v>0</v>
      </c>
      <c r="E70" s="156">
        <f>($D$15*F801D!L48+$F$15*F801EVE!L48)*$L70</f>
        <v>0</v>
      </c>
      <c r="F70" s="156">
        <f>($D$15*F801D!M48+$F$15*F801EVE!M48)*$L70</f>
        <v>0</v>
      </c>
      <c r="G70" s="156">
        <f>($D$15*F801D!N48+$F$15*F801EVE!N48)*$L70</f>
        <v>0</v>
      </c>
      <c r="H70" s="156">
        <f>($D$15*F801D!O48+$F$15*F801EVE!O48)*$L70</f>
        <v>0</v>
      </c>
      <c r="I70" s="156">
        <f>($D$15*F801D!P48+$F$15*F801EVE!P48)*$L70</f>
        <v>0</v>
      </c>
      <c r="J70" s="156">
        <f t="shared" si="6"/>
        <v>0</v>
      </c>
      <c r="K70" s="69"/>
      <c r="L70" s="319">
        <v>0.5</v>
      </c>
    </row>
    <row r="71" spans="2:13" s="37" customFormat="1" ht="15.75">
      <c r="B71" s="48"/>
      <c r="C71" s="157"/>
      <c r="D71" s="156"/>
      <c r="E71" s="156"/>
      <c r="F71" s="156"/>
      <c r="G71" s="156"/>
      <c r="H71" s="156"/>
      <c r="I71" s="156"/>
      <c r="J71" s="156"/>
      <c r="K71" s="69"/>
      <c r="L71" s="319"/>
    </row>
    <row r="72" spans="2:13" s="37" customFormat="1" ht="15.75">
      <c r="B72" s="48" t="s">
        <v>1176</v>
      </c>
      <c r="C72" s="158" t="str">
        <f>F801EVE!$C$50</f>
        <v>BTSH</v>
      </c>
      <c r="D72" s="159">
        <f>SUM(D73:D78)</f>
        <v>16.961710910703971</v>
      </c>
      <c r="E72" s="159">
        <f t="shared" ref="E72:J72" si="12">SUM(E73:E78)</f>
        <v>16.961710910703971</v>
      </c>
      <c r="F72" s="159">
        <f t="shared" si="12"/>
        <v>16.961710910703971</v>
      </c>
      <c r="G72" s="159">
        <f t="shared" si="12"/>
        <v>16.961710910703971</v>
      </c>
      <c r="H72" s="159">
        <f t="shared" si="12"/>
        <v>16.961710910703971</v>
      </c>
      <c r="I72" s="159">
        <f t="shared" si="12"/>
        <v>16.961710910703971</v>
      </c>
      <c r="J72" s="159">
        <f t="shared" si="12"/>
        <v>101.77026546422383</v>
      </c>
      <c r="K72" s="69"/>
      <c r="L72" s="319"/>
    </row>
    <row r="73" spans="2:13" s="37" customFormat="1" ht="15.75">
      <c r="B73" s="48"/>
      <c r="C73" s="160" t="str">
        <f>F801EVE!$C$51</f>
        <v xml:space="preserve">    - Regulares</v>
      </c>
      <c r="D73" s="156">
        <f>($G$16*F801EVE!K51)*$L73</f>
        <v>16.961710910703971</v>
      </c>
      <c r="E73" s="156">
        <f>($G$16*F801EVE!L51)*$L73</f>
        <v>16.961710910703971</v>
      </c>
      <c r="F73" s="156">
        <f>($G$16*F801EVE!M51)*$L73</f>
        <v>16.961710910703971</v>
      </c>
      <c r="G73" s="156">
        <f>($G$16*F801EVE!N51)*$L73</f>
        <v>16.961710910703971</v>
      </c>
      <c r="H73" s="156">
        <f>($G$16*F801EVE!O51)*$L73</f>
        <v>16.961710910703971</v>
      </c>
      <c r="I73" s="156">
        <f>($G$16*F801EVE!P51)*$L73</f>
        <v>16.961710910703971</v>
      </c>
      <c r="J73" s="156">
        <f t="shared" ref="J73:J90" si="13">SUM(D73:I73)</f>
        <v>101.77026546422383</v>
      </c>
      <c r="K73" s="69"/>
      <c r="L73" s="319">
        <v>1</v>
      </c>
      <c r="M73" s="69"/>
    </row>
    <row r="74" spans="2:13" s="37" customFormat="1" ht="15.75">
      <c r="B74" s="48"/>
      <c r="C74" s="162" t="str">
        <f>F801EVE!$C$52</f>
        <v xml:space="preserve">    - Jubilados (0 a 600 KWh)</v>
      </c>
      <c r="D74" s="156">
        <f>($G$16*F801EVE!K52)*$L74</f>
        <v>0</v>
      </c>
      <c r="E74" s="156">
        <f>($G$16*F801EVE!L52)*$L74</f>
        <v>0</v>
      </c>
      <c r="F74" s="156">
        <f>($G$16*F801EVE!M52)*$L74</f>
        <v>0</v>
      </c>
      <c r="G74" s="156">
        <f>($G$16*F801EVE!N52)*$L74</f>
        <v>0</v>
      </c>
      <c r="H74" s="156">
        <f>($G$16*F801EVE!O52)*$L74</f>
        <v>0</v>
      </c>
      <c r="I74" s="156">
        <f>($G$16*F801EVE!P52)*$L74</f>
        <v>0</v>
      </c>
      <c r="J74" s="156">
        <f t="shared" si="13"/>
        <v>0</v>
      </c>
      <c r="K74" s="69"/>
      <c r="L74" s="319">
        <v>0.75</v>
      </c>
      <c r="M74" s="69"/>
    </row>
    <row r="75" spans="2:13" s="37" customFormat="1" ht="15.75">
      <c r="B75" s="48"/>
      <c r="C75" s="162" t="str">
        <f>F801EVE!$C$53</f>
        <v xml:space="preserve">    - Jubilados (601 y Más KWh)</v>
      </c>
      <c r="D75" s="156">
        <f>($G$16*F801EVE!K53)*$L75</f>
        <v>0</v>
      </c>
      <c r="E75" s="156">
        <f>($G$16*F801EVE!L53)*$L75</f>
        <v>0</v>
      </c>
      <c r="F75" s="156">
        <f>($G$16*F801EVE!M53)*$L75</f>
        <v>0</v>
      </c>
      <c r="G75" s="156">
        <f>($G$16*F801EVE!N53)*$L75</f>
        <v>0</v>
      </c>
      <c r="H75" s="156">
        <f>($G$16*F801EVE!O53)*$L75</f>
        <v>0</v>
      </c>
      <c r="I75" s="156">
        <f>($G$16*F801EVE!P53)*$L75</f>
        <v>0</v>
      </c>
      <c r="J75" s="156">
        <f t="shared" si="13"/>
        <v>0</v>
      </c>
      <c r="K75" s="69"/>
      <c r="L75" s="319">
        <v>1</v>
      </c>
      <c r="M75" s="69"/>
    </row>
    <row r="76" spans="2:13" s="37" customFormat="1" ht="15.75">
      <c r="B76" s="48"/>
      <c r="C76" s="160" t="str">
        <f>F801EVE!$C$54</f>
        <v xml:space="preserve">    - Agropecuarios</v>
      </c>
      <c r="D76" s="156">
        <f>($G$16*F801EVE!K54)*$L76</f>
        <v>0</v>
      </c>
      <c r="E76" s="156">
        <f>($G$16*F801EVE!L54)*$L76</f>
        <v>0</v>
      </c>
      <c r="F76" s="156">
        <f>($G$16*F801EVE!M54)*$L76</f>
        <v>0</v>
      </c>
      <c r="G76" s="156">
        <f>($G$16*F801EVE!N54)*$L76</f>
        <v>0</v>
      </c>
      <c r="H76" s="156">
        <f>($G$16*F801EVE!O54)*$L76</f>
        <v>0</v>
      </c>
      <c r="I76" s="156">
        <f>($G$16*F801EVE!P54)*$L76</f>
        <v>0</v>
      </c>
      <c r="J76" s="156">
        <f t="shared" si="13"/>
        <v>0</v>
      </c>
      <c r="K76" s="69"/>
      <c r="L76" s="319">
        <v>0.95</v>
      </c>
      <c r="M76" s="69"/>
    </row>
    <row r="77" spans="2:13" s="37" customFormat="1" ht="15.75">
      <c r="B77" s="48"/>
      <c r="C77" s="160" t="str">
        <f>F801EVE!$C$55</f>
        <v xml:space="preserve">    - Partidos Políticos</v>
      </c>
      <c r="D77" s="156">
        <f>($G$16*F801EVE!K55)*$L77</f>
        <v>0</v>
      </c>
      <c r="E77" s="156">
        <f>($G$16*F801EVE!L55)*$L77</f>
        <v>0</v>
      </c>
      <c r="F77" s="156">
        <f>($G$16*F801EVE!M55)*$L77</f>
        <v>0</v>
      </c>
      <c r="G77" s="156">
        <f>($G$16*F801EVE!N55)*$L77</f>
        <v>0</v>
      </c>
      <c r="H77" s="156">
        <f>($G$16*F801EVE!O55)*$L77</f>
        <v>0</v>
      </c>
      <c r="I77" s="156">
        <f>($G$16*F801EVE!P55)*$L77</f>
        <v>0</v>
      </c>
      <c r="J77" s="156">
        <f t="shared" si="13"/>
        <v>0</v>
      </c>
      <c r="K77" s="69"/>
      <c r="L77" s="319">
        <v>0.5</v>
      </c>
      <c r="M77" s="69"/>
    </row>
    <row r="78" spans="2:13" s="37" customFormat="1" ht="15.75">
      <c r="B78" s="48"/>
      <c r="C78" s="160" t="str">
        <f>F801EVE!$C$56</f>
        <v xml:space="preserve">    - Cruz Roja</v>
      </c>
      <c r="D78" s="156">
        <f>($G$16*F801EVE!K56)*$L78</f>
        <v>0</v>
      </c>
      <c r="E78" s="156">
        <f>($G$16*F801EVE!L56)*$L78</f>
        <v>0</v>
      </c>
      <c r="F78" s="156">
        <f>($G$16*F801EVE!M56)*$L78</f>
        <v>0</v>
      </c>
      <c r="G78" s="156">
        <f>($G$16*F801EVE!N56)*$L78</f>
        <v>0</v>
      </c>
      <c r="H78" s="156">
        <f>($G$16*F801EVE!O56)*$L78</f>
        <v>0</v>
      </c>
      <c r="I78" s="156">
        <f>($G$16*F801EVE!P56)*$L78</f>
        <v>0</v>
      </c>
      <c r="J78" s="156">
        <f t="shared" si="13"/>
        <v>0</v>
      </c>
      <c r="K78" s="69"/>
      <c r="L78" s="319">
        <v>0</v>
      </c>
      <c r="M78" s="69"/>
    </row>
    <row r="79" spans="2:13" s="37" customFormat="1" ht="15.75">
      <c r="B79" s="48" t="s">
        <v>751</v>
      </c>
      <c r="C79" s="158" t="s">
        <v>634</v>
      </c>
      <c r="D79" s="159">
        <f t="shared" ref="D79" si="14">SUM(D80:D84)</f>
        <v>697729.44772606494</v>
      </c>
      <c r="E79" s="159">
        <f t="shared" ref="E79:I79" si="15">SUM(E80:E84)</f>
        <v>698020.64725629508</v>
      </c>
      <c r="F79" s="159">
        <f t="shared" si="15"/>
        <v>684836.59787561034</v>
      </c>
      <c r="G79" s="159">
        <f t="shared" si="15"/>
        <v>695627.87455511838</v>
      </c>
      <c r="H79" s="159">
        <f t="shared" si="15"/>
        <v>665485.74365528405</v>
      </c>
      <c r="I79" s="159">
        <f t="shared" si="15"/>
        <v>668604.20283113082</v>
      </c>
      <c r="J79" s="159">
        <f t="shared" si="13"/>
        <v>4110304.5138995037</v>
      </c>
      <c r="K79" s="69"/>
      <c r="L79" s="319"/>
      <c r="M79" s="69"/>
    </row>
    <row r="80" spans="2:13" s="37" customFormat="1" ht="15.75">
      <c r="B80" s="48"/>
      <c r="C80" s="160" t="s">
        <v>304</v>
      </c>
      <c r="D80" s="156">
        <f>(($E$18+$F$18)*F801EVE!K66)*$L80</f>
        <v>505583.64929926657</v>
      </c>
      <c r="E80" s="156">
        <f>(($E$18+$F$18)*F801EVE!L66)*$L80</f>
        <v>505794.65813918179</v>
      </c>
      <c r="F80" s="156">
        <f>(($E$18+$F$18)*F801EVE!M66)*$L80</f>
        <v>496241.23968756787</v>
      </c>
      <c r="G80" s="156">
        <f>(($E$18+$F$18)*F801EVE!N66)*$L80</f>
        <v>504060.80852940789</v>
      </c>
      <c r="H80" s="156">
        <f>(($E$18+$F$18)*F801EVE!O66)*$L80</f>
        <v>482219.2345793501</v>
      </c>
      <c r="I80" s="156">
        <f>(($E$18+$F$18)*F801EVE!P66)*$L80</f>
        <v>484478.93071449851</v>
      </c>
      <c r="J80" s="156">
        <f t="shared" si="13"/>
        <v>2978378.5209492724</v>
      </c>
      <c r="K80" s="69"/>
      <c r="L80" s="319">
        <v>1</v>
      </c>
      <c r="M80" s="329"/>
    </row>
    <row r="81" spans="2:13" s="37" customFormat="1" ht="15.75">
      <c r="B81" s="48"/>
      <c r="C81" s="162" t="s">
        <v>644</v>
      </c>
      <c r="D81" s="156">
        <f>(($E$18+$F$18)*F801EVE!K67)*$L81</f>
        <v>192126.97676644885</v>
      </c>
      <c r="E81" s="156">
        <f>(($E$18+$F$18)*F801EVE!L67)*$L81</f>
        <v>192207.15960167703</v>
      </c>
      <c r="F81" s="156">
        <f>(($E$18+$F$18)*F801EVE!M67)*$L81</f>
        <v>188576.8843114115</v>
      </c>
      <c r="G81" s="156">
        <f>(($E$18+$F$18)*F801EVE!N67)*$L81</f>
        <v>191548.30105514958</v>
      </c>
      <c r="H81" s="156">
        <f>(($E$18+$F$18)*F801EVE!O67)*$L81</f>
        <v>183248.55718723533</v>
      </c>
      <c r="I81" s="156">
        <f>(($E$18+$F$18)*F801EVE!P67)*$L81</f>
        <v>184107.2361077166</v>
      </c>
      <c r="J81" s="156">
        <f t="shared" si="13"/>
        <v>1131815.1150296391</v>
      </c>
      <c r="K81" s="69"/>
      <c r="L81" s="319">
        <v>0.75</v>
      </c>
      <c r="M81" s="329"/>
    </row>
    <row r="82" spans="2:13" s="37" customFormat="1" ht="15.75">
      <c r="B82" s="48"/>
      <c r="C82" s="160" t="s">
        <v>305</v>
      </c>
      <c r="D82" s="156">
        <f>(($E$18+$F$18)*F801EVE!K68)*$L82</f>
        <v>18.421375481849164</v>
      </c>
      <c r="E82" s="156">
        <f>(($E$18+$F$18)*F801EVE!L68)*$L82</f>
        <v>18.429063512649407</v>
      </c>
      <c r="F82" s="156">
        <f>(($E$18+$F$18)*F801EVE!M68)*$L82</f>
        <v>18.080988165033059</v>
      </c>
      <c r="G82" s="156">
        <f>(($E$18+$F$18)*F801EVE!N68)*$L82</f>
        <v>18.365891328923428</v>
      </c>
      <c r="H82" s="156">
        <f>(($E$18+$F$18)*F801EVE!O68)*$L82</f>
        <v>17.570101478027677</v>
      </c>
      <c r="I82" s="156">
        <f>(($E$18+$F$18)*F801EVE!P68)*$L82</f>
        <v>17.652432689806243</v>
      </c>
      <c r="J82" s="156">
        <f t="shared" si="13"/>
        <v>108.51985265628899</v>
      </c>
      <c r="K82" s="69"/>
      <c r="L82" s="319">
        <v>0.95</v>
      </c>
      <c r="M82" s="329"/>
    </row>
    <row r="83" spans="2:13" s="37" customFormat="1" ht="15.75">
      <c r="B83" s="48"/>
      <c r="C83" s="160" t="s">
        <v>307</v>
      </c>
      <c r="D83" s="156">
        <f>(($E$18+$F$18)*F801EVE!K69)*$L83</f>
        <v>0.40028486766582666</v>
      </c>
      <c r="E83" s="156">
        <f>(($E$18+$F$18)*F801EVE!L69)*$L83</f>
        <v>0.40045192372494226</v>
      </c>
      <c r="F83" s="156">
        <f>(($E$18+$F$18)*F801EVE!M69)*$L83</f>
        <v>0.39288846601269756</v>
      </c>
      <c r="G83" s="156">
        <f>(($E$18+$F$18)*F801EVE!N69)*$L83</f>
        <v>0.39907923202622347</v>
      </c>
      <c r="H83" s="156">
        <f>(($E$18+$F$18)*F801EVE!O69)*$L83</f>
        <v>0.38178722060886339</v>
      </c>
      <c r="I83" s="156">
        <f>(($E$18+$F$18)*F801EVE!P69)*$L83</f>
        <v>0.38357622590024482</v>
      </c>
      <c r="J83" s="156">
        <f t="shared" si="13"/>
        <v>2.3580679359387982</v>
      </c>
      <c r="K83" s="69"/>
      <c r="L83" s="319">
        <v>0.5</v>
      </c>
      <c r="M83" s="329"/>
    </row>
    <row r="84" spans="2:13" s="37" customFormat="1" ht="15.75">
      <c r="B84" s="48"/>
      <c r="C84" s="160" t="s">
        <v>624</v>
      </c>
      <c r="D84" s="156">
        <f>(($E$18+$F$18)*F801EVE!K70)*$L84</f>
        <v>0</v>
      </c>
      <c r="E84" s="156">
        <f>(($E$18+$F$18)*F801EVE!L70)*$L84</f>
        <v>0</v>
      </c>
      <c r="F84" s="156">
        <f>(($E$18+$F$18)*F801EVE!M70)*$L84</f>
        <v>0</v>
      </c>
      <c r="G84" s="156">
        <f>(($E$18+$F$18)*F801EVE!N70)*$L84</f>
        <v>0</v>
      </c>
      <c r="H84" s="156">
        <f>(($E$18+$F$18)*F801EVE!O70)*$L84</f>
        <v>0</v>
      </c>
      <c r="I84" s="156">
        <f>(($E$18+$F$18)*F801EVE!P70)*$L84</f>
        <v>0</v>
      </c>
      <c r="J84" s="156">
        <f t="shared" si="13"/>
        <v>0</v>
      </c>
      <c r="K84" s="69"/>
      <c r="L84" s="319">
        <v>0</v>
      </c>
      <c r="M84" s="329"/>
    </row>
    <row r="85" spans="2:13" s="37" customFormat="1" ht="15.75">
      <c r="B85" s="48" t="s">
        <v>750</v>
      </c>
      <c r="C85" s="158" t="s">
        <v>635</v>
      </c>
      <c r="D85" s="159">
        <f t="shared" ref="D85" si="16">SUM(D86:D91)</f>
        <v>1055169.1362883404</v>
      </c>
      <c r="E85" s="159">
        <f t="shared" ref="E85:I85" si="17">SUM(E86:E91)</f>
        <v>1055609.5036662947</v>
      </c>
      <c r="F85" s="159">
        <f t="shared" si="17"/>
        <v>1035671.8847697311</v>
      </c>
      <c r="G85" s="159">
        <f t="shared" si="17"/>
        <v>1051991.0258493002</v>
      </c>
      <c r="H85" s="159">
        <f t="shared" si="17"/>
        <v>1006408.4964413275</v>
      </c>
      <c r="I85" s="159">
        <f t="shared" si="17"/>
        <v>1011124.3958434956</v>
      </c>
      <c r="J85" s="159">
        <f t="shared" si="13"/>
        <v>6215974.4428584902</v>
      </c>
      <c r="K85" s="69"/>
      <c r="L85" s="319"/>
      <c r="M85" s="69"/>
    </row>
    <row r="86" spans="2:13" s="37" customFormat="1" ht="15.75">
      <c r="B86" s="48"/>
      <c r="C86" s="160" t="s">
        <v>304</v>
      </c>
      <c r="D86" s="156">
        <f>(($E$19+$F$19)*F801EVE!K72)*$L86</f>
        <v>680473.32260013407</v>
      </c>
      <c r="E86" s="156">
        <f>(($E$19+$F$19)*F801EVE!L72)*$L86</f>
        <v>680757.31332971074</v>
      </c>
      <c r="F86" s="156">
        <f>(($E$19+$F$19)*F801EVE!M72)*$L86</f>
        <v>667899.64216714888</v>
      </c>
      <c r="G86" s="156">
        <f>(($E$19+$F$19)*F801EVE!N72)*$L86</f>
        <v>678423.77500092075</v>
      </c>
      <c r="H86" s="156">
        <f>(($E$19+$F$19)*F801EVE!O72)*$L86</f>
        <v>649027.82872839307</v>
      </c>
      <c r="I86" s="156">
        <f>(($E$19+$F$19)*F801EVE!P72)*$L86</f>
        <v>652069.08877370611</v>
      </c>
      <c r="J86" s="330">
        <f t="shared" si="13"/>
        <v>4008650.9706000136</v>
      </c>
      <c r="K86" s="69"/>
      <c r="L86" s="319">
        <v>1</v>
      </c>
      <c r="M86" s="329"/>
    </row>
    <row r="87" spans="2:13" s="37" customFormat="1" ht="15.75">
      <c r="B87" s="48"/>
      <c r="C87" s="162" t="s">
        <v>642</v>
      </c>
      <c r="D87" s="156">
        <f>(($E$19+$F$19)*F801EVE!K73)*$L87</f>
        <v>364068.48361998593</v>
      </c>
      <c r="E87" s="156">
        <f>(($E$19+$F$19)*F801EVE!L73)*$L87</f>
        <v>364220.4250273052</v>
      </c>
      <c r="F87" s="156">
        <f>(($E$19+$F$19)*F801EVE!M73)*$L87</f>
        <v>357341.28268980456</v>
      </c>
      <c r="G87" s="156">
        <f>(($E$19+$F$19)*F801EVE!N73)*$L87</f>
        <v>362971.92970410071</v>
      </c>
      <c r="H87" s="156">
        <f>(($E$19+$F$19)*F801EVE!O73)*$L87</f>
        <v>347244.43939908745</v>
      </c>
      <c r="I87" s="156">
        <f>(($E$19+$F$19)*F801EVE!P73)*$L87</f>
        <v>348871.58170756244</v>
      </c>
      <c r="J87" s="330">
        <f t="shared" si="13"/>
        <v>2144718.1421478461</v>
      </c>
      <c r="K87" s="69"/>
      <c r="L87" s="319">
        <v>0.75</v>
      </c>
      <c r="M87" s="329"/>
    </row>
    <row r="88" spans="2:13" s="37" customFormat="1" ht="15.75">
      <c r="B88" s="48"/>
      <c r="C88" s="162" t="s">
        <v>1177</v>
      </c>
      <c r="D88" s="156">
        <f>(($E$19+$F$19)*F801EVE!K74)*$L88</f>
        <v>10581.299907844623</v>
      </c>
      <c r="E88" s="156">
        <f>(($E$19+$F$19)*F801EVE!L74)*$L88</f>
        <v>10585.715938541043</v>
      </c>
      <c r="F88" s="156">
        <f>(($E$19+$F$19)*F801EVE!M74)*$L88</f>
        <v>10385.780290560528</v>
      </c>
      <c r="G88" s="156">
        <f>(($E$19+$F$19)*F801EVE!N74)*$L88</f>
        <v>10549.429624172351</v>
      </c>
      <c r="H88" s="156">
        <f>(($E$19+$F$19)*F801EVE!O74)*$L88</f>
        <v>10092.325262761136</v>
      </c>
      <c r="I88" s="156">
        <f>(($E$19+$F$19)*F801EVE!P74)*$L88</f>
        <v>10139.616587150223</v>
      </c>
      <c r="J88" s="330">
        <f t="shared" si="13"/>
        <v>62334.167611029901</v>
      </c>
      <c r="K88" s="69"/>
      <c r="L88" s="319">
        <v>1</v>
      </c>
      <c r="M88" s="329"/>
    </row>
    <row r="89" spans="2:13" s="37" customFormat="1" ht="15.75">
      <c r="B89" s="48"/>
      <c r="C89" s="160" t="s">
        <v>305</v>
      </c>
      <c r="D89" s="156">
        <f>(($E$19+$F$19)*F801EVE!K75)*$L89</f>
        <v>44.572496837370139</v>
      </c>
      <c r="E89" s="156">
        <f>(($E$19+$F$19)*F801EVE!L75)*$L89</f>
        <v>44.591098853754154</v>
      </c>
      <c r="F89" s="156">
        <f>(($E$19+$F$19)*F801EVE!M75)*$L89</f>
        <v>43.748893159283455</v>
      </c>
      <c r="G89" s="156">
        <f>(($E$19+$F$19)*F801EVE!N75)*$L89</f>
        <v>44.438246969153546</v>
      </c>
      <c r="H89" s="156">
        <f>(($E$19+$F$19)*F801EVE!O75)*$L89</f>
        <v>42.512747939658624</v>
      </c>
      <c r="I89" s="156">
        <f>(($E$19+$F$19)*F801EVE!P75)*$L89</f>
        <v>42.711957150731536</v>
      </c>
      <c r="J89" s="156">
        <f t="shared" si="13"/>
        <v>262.57544090995145</v>
      </c>
      <c r="K89" s="69"/>
      <c r="L89" s="319">
        <v>0.95</v>
      </c>
      <c r="M89" s="329"/>
    </row>
    <row r="90" spans="2:13" s="37" customFormat="1" ht="15.75">
      <c r="B90" s="48"/>
      <c r="C90" s="160" t="s">
        <v>307</v>
      </c>
      <c r="D90" s="156">
        <f>(($E$19+$F$19)*F801EVE!K76)*$L90</f>
        <v>1.4576635383825702</v>
      </c>
      <c r="E90" s="156">
        <f>(($E$19+$F$19)*F801EVE!L76)*$L90</f>
        <v>1.4582718839532101</v>
      </c>
      <c r="F90" s="156">
        <f>(($E$19+$F$19)*F801EVE!M76)*$L90</f>
        <v>1.4307290577766241</v>
      </c>
      <c r="G90" s="156">
        <f>(($E$19+$F$19)*F801EVE!N76)*$L90</f>
        <v>1.453273137309774</v>
      </c>
      <c r="H90" s="156">
        <f>(($E$19+$F$19)*F801EVE!O76)*$L90</f>
        <v>1.3903031462247655</v>
      </c>
      <c r="I90" s="156">
        <f>(($E$19+$F$19)*F801EVE!P76)*$L90</f>
        <v>1.3968179260575051</v>
      </c>
      <c r="J90" s="156">
        <f t="shared" si="13"/>
        <v>8.587058689704449</v>
      </c>
      <c r="K90" s="69"/>
      <c r="L90" s="319">
        <v>0.5</v>
      </c>
      <c r="M90" s="329"/>
    </row>
    <row r="91" spans="2:13" s="37" customFormat="1" ht="15.75">
      <c r="B91" s="48"/>
      <c r="C91" s="160" t="s">
        <v>624</v>
      </c>
      <c r="D91" s="156">
        <f>(($E$19+$F$19)*F801EVE!K77)*$L91</f>
        <v>0</v>
      </c>
      <c r="E91" s="156">
        <f>(($E$19+$F$19)*F801EVE!L77)*$L91</f>
        <v>0</v>
      </c>
      <c r="F91" s="156">
        <f>(($E$19+$F$19)*F801EVE!M77)*$L91</f>
        <v>0</v>
      </c>
      <c r="G91" s="156">
        <f>(($E$19+$F$19)*F801EVE!N77)*$L91</f>
        <v>0</v>
      </c>
      <c r="H91" s="156">
        <f>(($E$19+$F$19)*F801EVE!O77)*$L91</f>
        <v>0</v>
      </c>
      <c r="I91" s="156">
        <f>(($E$19+$F$19)*F801EVE!P77)*$L91</f>
        <v>0</v>
      </c>
      <c r="J91" s="156"/>
      <c r="K91" s="69"/>
      <c r="L91" s="319">
        <v>0</v>
      </c>
      <c r="M91" s="329"/>
    </row>
    <row r="92" spans="2:13" s="37" customFormat="1" ht="15.75">
      <c r="B92" s="48" t="s">
        <v>749</v>
      </c>
      <c r="C92" s="158" t="s">
        <v>636</v>
      </c>
      <c r="D92" s="159">
        <f t="shared" ref="D92" si="18">SUM(D93:D98)</f>
        <v>1604568.057600514</v>
      </c>
      <c r="E92" s="159">
        <f t="shared" ref="E92:I92" si="19">SUM(E93:E98)</f>
        <v>1605237.7127334913</v>
      </c>
      <c r="F92" s="159">
        <f t="shared" si="19"/>
        <v>1574919.098090752</v>
      </c>
      <c r="G92" s="159">
        <f t="shared" si="19"/>
        <v>1599735.1883299551</v>
      </c>
      <c r="H92" s="159">
        <f t="shared" si="19"/>
        <v>1530419.0302304609</v>
      </c>
      <c r="I92" s="159">
        <f t="shared" si="19"/>
        <v>1537590.374883503</v>
      </c>
      <c r="J92" s="159">
        <f t="shared" ref="J92:J97" si="20">SUM(D92:I92)</f>
        <v>9452469.4618686754</v>
      </c>
      <c r="K92" s="69"/>
      <c r="L92" s="319"/>
      <c r="M92" s="69"/>
    </row>
    <row r="93" spans="2:13" s="37" customFormat="1" ht="15.75">
      <c r="B93" s="48"/>
      <c r="C93" s="160" t="s">
        <v>304</v>
      </c>
      <c r="D93" s="156">
        <f>(($E$20+$F$20)*F801EVE!K79)*$L93</f>
        <v>1387137.2002688581</v>
      </c>
      <c r="E93" s="156">
        <f>(($E$20+$F$20)*F801EVE!L79)*$L93</f>
        <v>1387716.1121709764</v>
      </c>
      <c r="F93" s="156">
        <f>(($E$20+$F$20)*F801EVE!M79)*$L93</f>
        <v>1361505.8943915879</v>
      </c>
      <c r="G93" s="156">
        <f>(($E$20+$F$20)*F801EVE!N79)*$L93</f>
        <v>1382959.2205830021</v>
      </c>
      <c r="H93" s="156">
        <f>(($E$20+$F$20)*F801EVE!O79)*$L93</f>
        <v>1323035.9153519913</v>
      </c>
      <c r="I93" s="156">
        <f>(($E$20+$F$20)*F801EVE!P79)*$L93</f>
        <v>1329235.4896842008</v>
      </c>
      <c r="J93" s="330">
        <f t="shared" si="20"/>
        <v>8171589.8324506171</v>
      </c>
      <c r="K93" s="69"/>
      <c r="L93" s="319">
        <v>1</v>
      </c>
      <c r="M93" s="329"/>
    </row>
    <row r="94" spans="2:13" s="37" customFormat="1" ht="15.75">
      <c r="B94" s="48"/>
      <c r="C94" s="162" t="s">
        <v>642</v>
      </c>
      <c r="D94" s="156">
        <f>(($E$20+$F$20)*F801EVE!K80)*$L94</f>
        <v>102924.36977756501</v>
      </c>
      <c r="E94" s="156">
        <f>(($E$20+$F$20)*F801EVE!L80)*$L94</f>
        <v>102967.32453551595</v>
      </c>
      <c r="F94" s="156">
        <f>(($E$20+$F$20)*F801EVE!M80)*$L94</f>
        <v>101022.54924857715</v>
      </c>
      <c r="G94" s="156">
        <f>(($E$20+$F$20)*F801EVE!N80)*$L94</f>
        <v>102614.36733077976</v>
      </c>
      <c r="H94" s="156">
        <f>(($E$20+$F$20)*F801EVE!O80)*$L94</f>
        <v>98168.11037458606</v>
      </c>
      <c r="I94" s="156">
        <f>(($E$20+$F$20)*F801EVE!P80)*$L94</f>
        <v>98628.113379990406</v>
      </c>
      <c r="J94" s="330">
        <f t="shared" si="20"/>
        <v>606324.83464701439</v>
      </c>
      <c r="K94" s="69"/>
      <c r="L94" s="319">
        <v>0.75</v>
      </c>
      <c r="M94" s="329"/>
    </row>
    <row r="95" spans="2:13" s="37" customFormat="1" ht="15.75">
      <c r="B95" s="48"/>
      <c r="C95" s="162" t="s">
        <v>1177</v>
      </c>
      <c r="D95" s="156">
        <f>(($E$20+$F$20)*F801EVE!K81)*$L95</f>
        <v>113738.10869435777</v>
      </c>
      <c r="E95" s="156">
        <f>(($E$20+$F$20)*F801EVE!L81)*$L95</f>
        <v>113785.57648978189</v>
      </c>
      <c r="F95" s="156">
        <f>(($E$20+$F$20)*F801EVE!M81)*$L95</f>
        <v>111636.4735761573</v>
      </c>
      <c r="G95" s="156">
        <f>(($E$20+$F$20)*F801EVE!N81)*$L95</f>
        <v>113395.53587060201</v>
      </c>
      <c r="H95" s="156">
        <f>(($E$20+$F$20)*F801EVE!O81)*$L95</f>
        <v>108482.13335903439</v>
      </c>
      <c r="I95" s="156">
        <f>(($E$20+$F$20)*F801EVE!P81)*$L95</f>
        <v>108990.46653553555</v>
      </c>
      <c r="J95" s="330">
        <f t="shared" si="20"/>
        <v>670028.29452546884</v>
      </c>
      <c r="K95" s="69"/>
      <c r="L95" s="319">
        <v>1</v>
      </c>
      <c r="M95" s="329"/>
    </row>
    <row r="96" spans="2:13" s="37" customFormat="1" ht="15.75">
      <c r="B96" s="48"/>
      <c r="C96" s="160" t="s">
        <v>305</v>
      </c>
      <c r="D96" s="156">
        <f>(($E$20+$F$20)*F801EVE!K82)*$L96</f>
        <v>756.4607384516703</v>
      </c>
      <c r="E96" s="156">
        <f>(($E$20+$F$20)*F801EVE!L82)*$L96</f>
        <v>756.77644199194731</v>
      </c>
      <c r="F96" s="156">
        <f>(($E$20+$F$20)*F801EVE!M82)*$L96</f>
        <v>742.4829743432299</v>
      </c>
      <c r="G96" s="156">
        <f>(($E$20+$F$20)*F801EVE!N82)*$L96</f>
        <v>754.1823210047254</v>
      </c>
      <c r="H96" s="156">
        <f>(($E$20+$F$20)*F801EVE!O82)*$L96</f>
        <v>721.50377434277357</v>
      </c>
      <c r="I96" s="156">
        <f>(($E$20+$F$20)*F801EVE!P82)*$L96</f>
        <v>724.88464724887126</v>
      </c>
      <c r="J96" s="156">
        <f t="shared" si="20"/>
        <v>4456.2908973832173</v>
      </c>
      <c r="K96" s="69"/>
      <c r="L96" s="319">
        <v>0.95</v>
      </c>
      <c r="M96" s="329"/>
    </row>
    <row r="97" spans="2:13" s="37" customFormat="1" ht="15.75">
      <c r="B97" s="48"/>
      <c r="C97" s="160" t="s">
        <v>307</v>
      </c>
      <c r="D97" s="156">
        <f>(($E$20+$F$20)*F801EVE!K83)*$L97</f>
        <v>11.918121281455583</v>
      </c>
      <c r="E97" s="156">
        <f>(($E$20+$F$20)*F801EVE!L83)*$L97</f>
        <v>11.923095225099647</v>
      </c>
      <c r="F97" s="156">
        <f>(($E$20+$F$20)*F801EVE!M83)*$L97</f>
        <v>11.697900086329259</v>
      </c>
      <c r="G97" s="156">
        <f>(($E$20+$F$20)*F801EVE!N83)*$L97</f>
        <v>11.882224566553955</v>
      </c>
      <c r="H97" s="156">
        <f>(($E$20+$F$20)*F801EVE!O83)*$L97</f>
        <v>11.367370506558704</v>
      </c>
      <c r="I97" s="156">
        <f>(($E$20+$F$20)*F801EVE!P83)*$L97</f>
        <v>11.420636527230887</v>
      </c>
      <c r="J97" s="156">
        <f t="shared" si="20"/>
        <v>70.209348193228024</v>
      </c>
      <c r="K97" s="69"/>
      <c r="L97" s="319">
        <v>0.5</v>
      </c>
      <c r="M97" s="329"/>
    </row>
    <row r="98" spans="2:13" s="37" customFormat="1" ht="15.75">
      <c r="B98" s="48"/>
      <c r="C98" s="160" t="s">
        <v>624</v>
      </c>
      <c r="D98" s="156">
        <f>(($E$20+$F$20)*F801EVE!K84)*$L98</f>
        <v>0</v>
      </c>
      <c r="E98" s="156">
        <f>(($E$20+$F$20)*F801EVE!L84)*$L98</f>
        <v>0</v>
      </c>
      <c r="F98" s="156">
        <f>(($E$20+$F$20)*F801EVE!M84)*$L98</f>
        <v>0</v>
      </c>
      <c r="G98" s="156">
        <f>(($E$20+$F$20)*F801EVE!N84)*$L98</f>
        <v>0</v>
      </c>
      <c r="H98" s="156">
        <f>(($E$20+$F$20)*F801EVE!O84)*$L98</f>
        <v>0</v>
      </c>
      <c r="I98" s="156">
        <f>(($E$20+$F$20)*F801EVE!P84)*$L98</f>
        <v>0</v>
      </c>
      <c r="J98" s="156"/>
      <c r="K98" s="69"/>
      <c r="L98" s="319">
        <v>0</v>
      </c>
      <c r="M98" s="329"/>
    </row>
    <row r="99" spans="2:13" s="37" customFormat="1" ht="15.75">
      <c r="B99" s="48"/>
      <c r="C99" s="157"/>
      <c r="D99" s="156"/>
      <c r="E99" s="156"/>
      <c r="F99" s="156"/>
      <c r="G99" s="156"/>
      <c r="H99" s="156"/>
      <c r="I99" s="156"/>
      <c r="J99" s="156"/>
      <c r="K99" s="69"/>
      <c r="L99" s="319"/>
      <c r="M99" s="69"/>
    </row>
    <row r="100" spans="2:13" s="37" customFormat="1" ht="15.75">
      <c r="B100" s="48" t="s">
        <v>902</v>
      </c>
      <c r="C100" s="158" t="s">
        <v>898</v>
      </c>
      <c r="D100" s="159">
        <f t="shared" ref="D100" si="21">SUM(D101:D105)</f>
        <v>233262.99637189042</v>
      </c>
      <c r="E100" s="159">
        <f t="shared" ref="E100:I100" si="22">SUM(E101:E105)</f>
        <v>233360.34703402911</v>
      </c>
      <c r="F100" s="159">
        <f t="shared" si="22"/>
        <v>228952.79893165326</v>
      </c>
      <c r="G100" s="159">
        <f t="shared" si="22"/>
        <v>232560.42126964757</v>
      </c>
      <c r="H100" s="159">
        <f t="shared" si="22"/>
        <v>222483.63165721146</v>
      </c>
      <c r="I100" s="159">
        <f t="shared" si="22"/>
        <v>223526.16103691602</v>
      </c>
      <c r="J100" s="159">
        <f t="shared" ref="J100:J119" si="23">SUM(D100:I100)</f>
        <v>1374146.3563013477</v>
      </c>
      <c r="K100" s="69"/>
      <c r="L100" s="319"/>
      <c r="M100" s="69"/>
    </row>
    <row r="101" spans="2:13" s="37" customFormat="1" ht="15.75">
      <c r="B101" s="48"/>
      <c r="C101" s="160" t="s">
        <v>304</v>
      </c>
      <c r="D101" s="156">
        <f>(($E$17+$F$17)*F801EVE!K87)*$L101</f>
        <v>224355.11010122867</v>
      </c>
      <c r="E101" s="156">
        <f>(($E$17+$F$17)*F801EVE!L87)*$L101</f>
        <v>224448.74312001976</v>
      </c>
      <c r="F101" s="156">
        <f>(($E$17+$F$17)*F801EVE!M87)*$L101</f>
        <v>220209.51120083244</v>
      </c>
      <c r="G101" s="156">
        <f>(($E$17+$F$17)*F801EVE!N87)*$L101</f>
        <v>223679.36505435131</v>
      </c>
      <c r="H101" s="156">
        <f>(($E$17+$F$17)*F801EVE!O87)*$L101</f>
        <v>213987.38956690338</v>
      </c>
      <c r="I101" s="156">
        <f>(($E$17+$F$17)*F801EVE!P87)*$L101</f>
        <v>214990.10666050736</v>
      </c>
      <c r="J101" s="156">
        <f t="shared" si="23"/>
        <v>1321670.2257038429</v>
      </c>
      <c r="K101" s="69"/>
      <c r="L101" s="319">
        <v>1</v>
      </c>
      <c r="M101" s="329"/>
    </row>
    <row r="102" spans="2:13" s="37" customFormat="1" ht="15.75">
      <c r="B102" s="48"/>
      <c r="C102" s="162" t="s">
        <v>644</v>
      </c>
      <c r="D102" s="156">
        <f>(($E$17+$F$17)*F801EVE!K88)*$L102</f>
        <v>8907.8862706617401</v>
      </c>
      <c r="E102" s="156">
        <f>(($E$17+$F$17)*F801EVE!L88)*$L102</f>
        <v>8911.6039140093526</v>
      </c>
      <c r="F102" s="156">
        <f>(($E$17+$F$17)*F801EVE!M88)*$L102</f>
        <v>8743.2877308208299</v>
      </c>
      <c r="G102" s="156">
        <f>(($E$17+$F$17)*F801EVE!N88)*$L102</f>
        <v>8881.0562152962539</v>
      </c>
      <c r="H102" s="156">
        <f>(($E$17+$F$17)*F801EVE!O88)*$L102</f>
        <v>8496.2420903080874</v>
      </c>
      <c r="I102" s="156">
        <f>(($E$17+$F$17)*F801EVE!P88)*$L102</f>
        <v>8536.0543764086506</v>
      </c>
      <c r="J102" s="156">
        <f t="shared" si="23"/>
        <v>52476.130597504918</v>
      </c>
      <c r="K102" s="69"/>
      <c r="L102" s="319">
        <v>0.75</v>
      </c>
      <c r="M102" s="329"/>
    </row>
    <row r="103" spans="2:13" s="37" customFormat="1" ht="15.75">
      <c r="B103" s="48"/>
      <c r="C103" s="160" t="s">
        <v>305</v>
      </c>
      <c r="D103" s="156">
        <f>(($E$17+$F$17)*F801EVE!K89)*$L103</f>
        <v>0</v>
      </c>
      <c r="E103" s="156">
        <f>(($E$17+$F$17)*F801EVE!L89)*$L103</f>
        <v>0</v>
      </c>
      <c r="F103" s="156">
        <f>(($E$17+$F$17)*F801EVE!M89)*$L103</f>
        <v>0</v>
      </c>
      <c r="G103" s="156">
        <f>(($E$17+$F$17)*F801EVE!N89)*$L103</f>
        <v>0</v>
      </c>
      <c r="H103" s="156">
        <f>(($E$17+$F$17)*F801EVE!O89)*$L103</f>
        <v>0</v>
      </c>
      <c r="I103" s="156">
        <f>(($E$17+$F$17)*F801EVE!P89)*$L103</f>
        <v>0</v>
      </c>
      <c r="J103" s="156">
        <f t="shared" si="23"/>
        <v>0</v>
      </c>
      <c r="K103" s="69"/>
      <c r="L103" s="319">
        <v>0.95</v>
      </c>
      <c r="M103" s="329"/>
    </row>
    <row r="104" spans="2:13" s="37" customFormat="1" ht="15.75">
      <c r="B104" s="48"/>
      <c r="C104" s="160" t="s">
        <v>307</v>
      </c>
      <c r="D104" s="156">
        <f>(($E$17+$F$17)*F801EVE!K90)*$L104</f>
        <v>0</v>
      </c>
      <c r="E104" s="156">
        <f>(($E$17+$F$17)*F801EVE!L90)*$L104</f>
        <v>0</v>
      </c>
      <c r="F104" s="156">
        <f>(($E$17+$F$17)*F801EVE!M90)*$L104</f>
        <v>0</v>
      </c>
      <c r="G104" s="156">
        <f>(($E$17+$F$17)*F801EVE!N90)*$L104</f>
        <v>0</v>
      </c>
      <c r="H104" s="156">
        <f>(($E$17+$F$17)*F801EVE!O90)*$L104</f>
        <v>0</v>
      </c>
      <c r="I104" s="156">
        <f>(($E$17+$F$17)*F801EVE!P90)*$L104</f>
        <v>0</v>
      </c>
      <c r="J104" s="156">
        <f t="shared" si="23"/>
        <v>0</v>
      </c>
      <c r="K104" s="69"/>
      <c r="L104" s="319">
        <v>0.5</v>
      </c>
      <c r="M104" s="329"/>
    </row>
    <row r="105" spans="2:13" s="37" customFormat="1" ht="15.75">
      <c r="B105" s="48"/>
      <c r="C105" s="160" t="s">
        <v>624</v>
      </c>
      <c r="D105" s="156">
        <f>(($E$17+$F$17)*F801EVE!K91)*$L105</f>
        <v>0</v>
      </c>
      <c r="E105" s="156">
        <f>(($E$17+$F$17)*F801EVE!L91)*$L105</f>
        <v>0</v>
      </c>
      <c r="F105" s="156">
        <f>(($E$17+$F$17)*F801EVE!M91)*$L105</f>
        <v>0</v>
      </c>
      <c r="G105" s="156">
        <f>(($E$17+$F$17)*F801EVE!N91)*$L105</f>
        <v>0</v>
      </c>
      <c r="H105" s="156">
        <f>(($E$17+$F$17)*F801EVE!O91)*$L105</f>
        <v>0</v>
      </c>
      <c r="I105" s="156">
        <f>(($E$17+$F$17)*F801EVE!P91)*$L105</f>
        <v>0</v>
      </c>
      <c r="J105" s="156">
        <f t="shared" si="23"/>
        <v>0</v>
      </c>
      <c r="K105" s="69"/>
      <c r="L105" s="319">
        <v>0</v>
      </c>
      <c r="M105" s="329"/>
    </row>
    <row r="106" spans="2:13" s="37" customFormat="1" ht="15.75">
      <c r="B106" s="48" t="s">
        <v>902</v>
      </c>
      <c r="C106" s="158" t="s">
        <v>899</v>
      </c>
      <c r="D106" s="159">
        <f t="shared" ref="D106:I106" si="24">SUM(D107:D112)</f>
        <v>18462.609992949507</v>
      </c>
      <c r="E106" s="159">
        <f t="shared" si="24"/>
        <v>18470.315232681391</v>
      </c>
      <c r="F106" s="159">
        <f t="shared" si="24"/>
        <v>18121.46075123765</v>
      </c>
      <c r="G106" s="159">
        <f t="shared" si="24"/>
        <v>18407.001643981956</v>
      </c>
      <c r="H106" s="159">
        <f t="shared" si="24"/>
        <v>17609.43049258165</v>
      </c>
      <c r="I106" s="159">
        <f t="shared" si="24"/>
        <v>17691.945995010465</v>
      </c>
      <c r="J106" s="159">
        <f t="shared" si="23"/>
        <v>108762.76410844263</v>
      </c>
      <c r="K106" s="69"/>
      <c r="L106" s="319"/>
      <c r="M106" s="69"/>
    </row>
    <row r="107" spans="2:13" s="37" customFormat="1" ht="15.75">
      <c r="B107" s="48"/>
      <c r="C107" s="160" t="s">
        <v>304</v>
      </c>
      <c r="D107" s="156">
        <f>(($E$17+$F$17)*F801EVE!K93)*$L107</f>
        <v>16770.902009045494</v>
      </c>
      <c r="E107" s="156">
        <f>(($E$17+$F$17)*F801EVE!L93)*$L107</f>
        <v>16777.901226412323</v>
      </c>
      <c r="F107" s="156">
        <f>(($E$17+$F$17)*F801EVE!M93)*$L107</f>
        <v>16461.011884875908</v>
      </c>
      <c r="G107" s="156">
        <f>(($E$17+$F$17)*F801EVE!N93)*$L107</f>
        <v>16720.388989934123</v>
      </c>
      <c r="H107" s="156">
        <f>(($E$17+$F$17)*F801EVE!O93)*$L107</f>
        <v>15995.89837725888</v>
      </c>
      <c r="I107" s="156">
        <f>(($E$17+$F$17)*F801EVE!P93)*$L107</f>
        <v>16070.853077920881</v>
      </c>
      <c r="J107" s="156">
        <f t="shared" si="23"/>
        <v>98796.955565447613</v>
      </c>
      <c r="K107" s="69"/>
      <c r="L107" s="319">
        <v>1</v>
      </c>
      <c r="M107" s="329"/>
    </row>
    <row r="108" spans="2:13" s="37" customFormat="1" ht="15.75">
      <c r="B108" s="48"/>
      <c r="C108" s="162" t="s">
        <v>642</v>
      </c>
      <c r="D108" s="156">
        <f>(($E$17+$F$17)*F801EVE!K94)*$L108</f>
        <v>1534.0518745491077</v>
      </c>
      <c r="E108" s="156">
        <f>(($E$17+$F$17)*F801EVE!L94)*$L108</f>
        <v>1534.6921002517065</v>
      </c>
      <c r="F108" s="156">
        <f>(($E$17+$F$17)*F801EVE!M94)*$L108</f>
        <v>1505.705902124356</v>
      </c>
      <c r="G108" s="156">
        <f>(($E$17+$F$17)*F801EVE!N94)*$L108</f>
        <v>1529.4313960790082</v>
      </c>
      <c r="H108" s="156">
        <f>(($E$17+$F$17)*F801EVE!O94)*$L108</f>
        <v>1463.1614851423012</v>
      </c>
      <c r="I108" s="156">
        <f>(($E$17+$F$17)*F801EVE!P94)*$L108</f>
        <v>1470.0176696811411</v>
      </c>
      <c r="J108" s="156">
        <f t="shared" si="23"/>
        <v>9037.0604278276205</v>
      </c>
      <c r="K108" s="69"/>
      <c r="L108" s="319">
        <v>0.75</v>
      </c>
      <c r="M108" s="329"/>
    </row>
    <row r="109" spans="2:13" s="37" customFormat="1" ht="15.75">
      <c r="B109" s="48"/>
      <c r="C109" s="162" t="s">
        <v>1177</v>
      </c>
      <c r="D109" s="156">
        <f>(($E$17+$F$17)*F801EVE!K95)*$L109</f>
        <v>157.65610935490656</v>
      </c>
      <c r="E109" s="156">
        <f>(($E$17+$F$17)*F801EVE!L95)*$L109</f>
        <v>157.72190601736324</v>
      </c>
      <c r="F109" s="156">
        <f>(($E$17+$F$17)*F801EVE!M95)*$L109</f>
        <v>154.74296423738483</v>
      </c>
      <c r="G109" s="156">
        <f>(($E$17+$F$17)*F801EVE!N95)*$L109</f>
        <v>157.18125796882282</v>
      </c>
      <c r="H109" s="156">
        <f>(($E$17+$F$17)*F801EVE!O95)*$L109</f>
        <v>150.37063018047101</v>
      </c>
      <c r="I109" s="156">
        <f>(($E$17+$F$17)*F801EVE!P95)*$L109</f>
        <v>151.07524740844477</v>
      </c>
      <c r="J109" s="156">
        <f t="shared" si="23"/>
        <v>928.74811516739328</v>
      </c>
      <c r="K109" s="69"/>
      <c r="L109" s="319">
        <v>1</v>
      </c>
      <c r="M109" s="329"/>
    </row>
    <row r="110" spans="2:13" s="37" customFormat="1" ht="15.75">
      <c r="B110" s="48"/>
      <c r="C110" s="160" t="s">
        <v>305</v>
      </c>
      <c r="D110" s="156">
        <f>(($E$17+$F$17)*F801EVE!K96)*$L110</f>
        <v>0</v>
      </c>
      <c r="E110" s="156">
        <f>(($E$17+$F$17)*F801EVE!L96)*$L110</f>
        <v>0</v>
      </c>
      <c r="F110" s="156">
        <f>(($E$17+$F$17)*F801EVE!M96)*$L110</f>
        <v>0</v>
      </c>
      <c r="G110" s="156">
        <f>(($E$17+$F$17)*F801EVE!N96)*$L110</f>
        <v>0</v>
      </c>
      <c r="H110" s="156">
        <f>(($E$17+$F$17)*F801EVE!O96)*$L110</f>
        <v>0</v>
      </c>
      <c r="I110" s="156">
        <f>(($E$17+$F$17)*F801EVE!P96)*$L110</f>
        <v>0</v>
      </c>
      <c r="J110" s="156">
        <f t="shared" si="23"/>
        <v>0</v>
      </c>
      <c r="K110" s="69"/>
      <c r="L110" s="319">
        <v>0.95</v>
      </c>
      <c r="M110" s="329"/>
    </row>
    <row r="111" spans="2:13" s="37" customFormat="1" ht="15.75">
      <c r="B111" s="48"/>
      <c r="C111" s="160" t="s">
        <v>307</v>
      </c>
      <c r="D111" s="156">
        <f>(($E$17+$F$17)*F801EVE!K97)*$L111</f>
        <v>0</v>
      </c>
      <c r="E111" s="156">
        <f>(($E$17+$F$17)*F801EVE!L97)*$L111</f>
        <v>0</v>
      </c>
      <c r="F111" s="156">
        <f>(($E$17+$F$17)*F801EVE!M97)*$L111</f>
        <v>0</v>
      </c>
      <c r="G111" s="156">
        <f>(($E$17+$F$17)*F801EVE!N97)*$L111</f>
        <v>0</v>
      </c>
      <c r="H111" s="156">
        <f>(($E$17+$F$17)*F801EVE!O97)*$L111</f>
        <v>0</v>
      </c>
      <c r="I111" s="156">
        <f>(($E$17+$F$17)*F801EVE!P97)*$L111</f>
        <v>0</v>
      </c>
      <c r="J111" s="156">
        <f t="shared" si="23"/>
        <v>0</v>
      </c>
      <c r="K111" s="69"/>
      <c r="L111" s="319">
        <v>0.5</v>
      </c>
      <c r="M111" s="329"/>
    </row>
    <row r="112" spans="2:13" s="37" customFormat="1" ht="15.75">
      <c r="B112" s="48"/>
      <c r="C112" s="160" t="s">
        <v>624</v>
      </c>
      <c r="D112" s="156">
        <f>(($E$17+$F$17)*F801EVE!K98)*$L112</f>
        <v>0</v>
      </c>
      <c r="E112" s="156">
        <f>($E$17*F801EVE!L98+$F$17*F801EVE!L98)*$L112</f>
        <v>0</v>
      </c>
      <c r="F112" s="156">
        <f>($E$17*F801EVE!M98+$F$17*F801EVE!M98)*$L112</f>
        <v>0</v>
      </c>
      <c r="G112" s="156">
        <f>($E$17*F801EVE!N98+$F$17*F801EVE!N98)*$L112</f>
        <v>0</v>
      </c>
      <c r="H112" s="156">
        <f>($E$17*F801EVE!O98+$F$17*F801EVE!O98)*$L112</f>
        <v>0</v>
      </c>
      <c r="I112" s="156">
        <f>($E$17*F801EVE!P98+$F$17*F801EVE!P98)*$L112</f>
        <v>0</v>
      </c>
      <c r="J112" s="156">
        <f t="shared" si="23"/>
        <v>0</v>
      </c>
      <c r="K112" s="69"/>
      <c r="L112" s="319">
        <v>0</v>
      </c>
      <c r="M112" s="329"/>
    </row>
    <row r="113" spans="2:13" s="37" customFormat="1" ht="15.75">
      <c r="B113" s="48" t="s">
        <v>902</v>
      </c>
      <c r="C113" s="158" t="s">
        <v>900</v>
      </c>
      <c r="D113" s="159">
        <f t="shared" ref="D113:I113" si="25">SUM(D114:D119)</f>
        <v>2041.6898941778579</v>
      </c>
      <c r="E113" s="159">
        <f t="shared" si="25"/>
        <v>2042.5419790184524</v>
      </c>
      <c r="F113" s="159">
        <f t="shared" si="25"/>
        <v>2003.9638652211972</v>
      </c>
      <c r="G113" s="159">
        <f t="shared" si="25"/>
        <v>2035.5404383770619</v>
      </c>
      <c r="H113" s="159">
        <f t="shared" si="25"/>
        <v>1947.3409389388112</v>
      </c>
      <c r="I113" s="159">
        <f t="shared" si="25"/>
        <v>1956.4659254648905</v>
      </c>
      <c r="J113" s="159">
        <f t="shared" si="23"/>
        <v>12027.543041198271</v>
      </c>
      <c r="K113" s="69"/>
      <c r="L113" s="319"/>
      <c r="M113" s="69"/>
    </row>
    <row r="114" spans="2:13" s="37" customFormat="1" ht="15.75">
      <c r="B114" s="48"/>
      <c r="C114" s="160" t="s">
        <v>304</v>
      </c>
      <c r="D114" s="156">
        <f>(($E$17+$F$17)*F801EVE!K100)*$L114</f>
        <v>1983.5104827016387</v>
      </c>
      <c r="E114" s="156">
        <f>(($E$17+$F$17)*F801EVE!L100)*$L114</f>
        <v>1984.3382867762389</v>
      </c>
      <c r="F114" s="156">
        <f>(($E$17+$F$17)*F801EVE!M100)*$L114</f>
        <v>1946.8594838797171</v>
      </c>
      <c r="G114" s="156">
        <f>(($E$17+$F$17)*F801EVE!N100)*$L114</f>
        <v>1977.536260035125</v>
      </c>
      <c r="H114" s="156">
        <f>(($E$17+$F$17)*F801EVE!O100)*$L114</f>
        <v>1891.8500683153713</v>
      </c>
      <c r="I114" s="156">
        <f>(($E$17+$F$17)*F801EVE!P100)*$L114</f>
        <v>1900.7150318343672</v>
      </c>
      <c r="J114" s="156">
        <f t="shared" si="23"/>
        <v>11684.809613542457</v>
      </c>
      <c r="K114" s="69"/>
      <c r="L114" s="319">
        <v>1</v>
      </c>
      <c r="M114" s="329"/>
    </row>
    <row r="115" spans="2:13" s="37" customFormat="1" ht="15.75">
      <c r="B115" s="48"/>
      <c r="C115" s="162" t="s">
        <v>642</v>
      </c>
      <c r="D115" s="156">
        <f>(($E$17+$F$17)*F801EVE!K101)*$L115</f>
        <v>58.179411476219229</v>
      </c>
      <c r="E115" s="156">
        <f>(($E$17+$F$17)*F801EVE!L101)*$L115</f>
        <v>58.203692242213606</v>
      </c>
      <c r="F115" s="156">
        <f>(($E$17+$F$17)*F801EVE!M101)*$L115</f>
        <v>57.104381341480206</v>
      </c>
      <c r="G115" s="156">
        <f>(($E$17+$F$17)*F801EVE!N101)*$L115</f>
        <v>58.004178341936907</v>
      </c>
      <c r="H115" s="156">
        <f>(($E$17+$F$17)*F801EVE!O101)*$L115</f>
        <v>55.490870623439911</v>
      </c>
      <c r="I115" s="156">
        <f>(($E$17+$F$17)*F801EVE!P101)*$L115</f>
        <v>55.750893630523208</v>
      </c>
      <c r="J115" s="156">
        <f t="shared" si="23"/>
        <v>342.73342765581305</v>
      </c>
      <c r="K115" s="69"/>
      <c r="L115" s="319">
        <v>0.75</v>
      </c>
      <c r="M115" s="329"/>
    </row>
    <row r="116" spans="2:13" s="37" customFormat="1" ht="15.75">
      <c r="B116" s="48"/>
      <c r="C116" s="162" t="s">
        <v>1177</v>
      </c>
      <c r="D116" s="156">
        <f>(($E$17+$F$17)*F801EVE!K102)*$L116</f>
        <v>0</v>
      </c>
      <c r="E116" s="156">
        <f>(($E$17+$F$17)*F801EVE!L102)*$L116</f>
        <v>0</v>
      </c>
      <c r="F116" s="156">
        <f>(($E$17+$F$17)*F801EVE!M102)*$L116</f>
        <v>0</v>
      </c>
      <c r="G116" s="156">
        <f>(($E$17+$F$17)*F801EVE!N102)*$L116</f>
        <v>0</v>
      </c>
      <c r="H116" s="156">
        <f>(($E$17+$F$17)*F801EVE!O102)*$L116</f>
        <v>0</v>
      </c>
      <c r="I116" s="156">
        <f>(($E$17+$F$17)*F801EVE!P102)*$L116</f>
        <v>0</v>
      </c>
      <c r="J116" s="156">
        <f t="shared" si="23"/>
        <v>0</v>
      </c>
      <c r="K116" s="69"/>
      <c r="L116" s="319">
        <v>1</v>
      </c>
      <c r="M116" s="329"/>
    </row>
    <row r="117" spans="2:13" s="37" customFormat="1" ht="15.75">
      <c r="B117" s="48"/>
      <c r="C117" s="160" t="s">
        <v>305</v>
      </c>
      <c r="D117" s="156">
        <f>(($E$17+$F$17)*F801EVE!K103)*$L117</f>
        <v>0</v>
      </c>
      <c r="E117" s="156">
        <f>(($E$17+$F$17)*F801EVE!L103)*$L117</f>
        <v>0</v>
      </c>
      <c r="F117" s="156">
        <f>(($E$17+$F$17)*F801EVE!M103)*$L117</f>
        <v>0</v>
      </c>
      <c r="G117" s="156">
        <f>(($E$17+$F$17)*F801EVE!N103)*$L117</f>
        <v>0</v>
      </c>
      <c r="H117" s="156">
        <f>(($E$17+$F$17)*F801EVE!O103)*$L117</f>
        <v>0</v>
      </c>
      <c r="I117" s="156">
        <f>(($E$17+$F$17)*F801EVE!P103)*$L117</f>
        <v>0</v>
      </c>
      <c r="J117" s="156">
        <f t="shared" si="23"/>
        <v>0</v>
      </c>
      <c r="K117" s="69"/>
      <c r="L117" s="319">
        <v>0.95</v>
      </c>
      <c r="M117" s="329"/>
    </row>
    <row r="118" spans="2:13" s="37" customFormat="1" ht="15.75">
      <c r="B118" s="48"/>
      <c r="C118" s="160" t="s">
        <v>307</v>
      </c>
      <c r="D118" s="156">
        <f>(($E$17+$F$17)*F801EVE!K104)*$L118</f>
        <v>0</v>
      </c>
      <c r="E118" s="156">
        <f>(($E$17+$F$17)*F801EVE!L104)*$L118</f>
        <v>0</v>
      </c>
      <c r="F118" s="156">
        <f>(($E$17+$F$17)*F801EVE!M104)*$L118</f>
        <v>0</v>
      </c>
      <c r="G118" s="156">
        <f>(($E$17+$F$17)*F801EVE!N104)*$L118</f>
        <v>0</v>
      </c>
      <c r="H118" s="156">
        <f>(($E$17+$F$17)*F801EVE!O104)*$L118</f>
        <v>0</v>
      </c>
      <c r="I118" s="156">
        <f>(($E$17+$F$17)*F801EVE!P104)*$L118</f>
        <v>0</v>
      </c>
      <c r="J118" s="156">
        <f t="shared" si="23"/>
        <v>0</v>
      </c>
      <c r="K118" s="69"/>
      <c r="L118" s="319">
        <v>0.5</v>
      </c>
      <c r="M118" s="329"/>
    </row>
    <row r="119" spans="2:13" s="37" customFormat="1" ht="15.75">
      <c r="B119" s="48"/>
      <c r="C119" s="160" t="s">
        <v>624</v>
      </c>
      <c r="D119" s="156">
        <f>(($E$17+$F$17)*F801EVE!K105)*$L119</f>
        <v>0</v>
      </c>
      <c r="E119" s="156">
        <f>(($E$17+$F$17)*F801EVE!L105)*$L119</f>
        <v>0</v>
      </c>
      <c r="F119" s="156">
        <f>(($E$17+$F$17)*F801EVE!M105)*$L119</f>
        <v>0</v>
      </c>
      <c r="G119" s="156">
        <f>(($E$17+$F$17)*F801EVE!N105)*$L119</f>
        <v>0</v>
      </c>
      <c r="H119" s="156">
        <f>(($E$17+$F$17)*F801EVE!O105)*$L119</f>
        <v>0</v>
      </c>
      <c r="I119" s="156">
        <f>(($E$17+$F$17)*F801EVE!P105)*$L119</f>
        <v>0</v>
      </c>
      <c r="J119" s="156">
        <f t="shared" si="23"/>
        <v>0</v>
      </c>
      <c r="K119" s="69"/>
      <c r="L119" s="319">
        <v>0</v>
      </c>
      <c r="M119" s="329"/>
    </row>
    <row r="120" spans="2:13" s="37" customFormat="1" ht="15.75">
      <c r="B120" s="48"/>
      <c r="C120" s="157"/>
      <c r="D120" s="156"/>
      <c r="E120" s="156"/>
      <c r="F120" s="156"/>
      <c r="G120" s="156"/>
      <c r="H120" s="156"/>
      <c r="I120" s="156"/>
      <c r="J120" s="156"/>
      <c r="K120" s="69"/>
      <c r="L120" s="319"/>
      <c r="M120" s="69"/>
    </row>
    <row r="121" spans="2:13" s="37" customFormat="1" ht="15.75">
      <c r="B121" s="48"/>
      <c r="C121" s="153" t="s">
        <v>112</v>
      </c>
      <c r="D121" s="154">
        <f t="shared" ref="D121:I121" si="26">D44+D34+D30</f>
        <v>7448731.7315453812</v>
      </c>
      <c r="E121" s="154">
        <f t="shared" si="26"/>
        <v>7451840.4070637366</v>
      </c>
      <c r="F121" s="154">
        <f t="shared" si="26"/>
        <v>7311095.2227905421</v>
      </c>
      <c r="G121" s="154">
        <f t="shared" si="26"/>
        <v>7426296.5680635292</v>
      </c>
      <c r="H121" s="154">
        <f t="shared" si="26"/>
        <v>7104516.8442937415</v>
      </c>
      <c r="I121" s="154">
        <f t="shared" si="26"/>
        <v>7137807.686786795</v>
      </c>
      <c r="J121" s="154">
        <f>SUM(D121:I121)</f>
        <v>43880288.460543729</v>
      </c>
      <c r="K121" s="69"/>
      <c r="L121" s="319"/>
    </row>
    <row r="122" spans="2:13">
      <c r="C122" s="48"/>
      <c r="D122" s="48"/>
      <c r="E122" s="48"/>
      <c r="F122" s="48"/>
      <c r="G122" s="48"/>
      <c r="H122" s="48"/>
      <c r="I122" s="48"/>
      <c r="J122" s="48"/>
    </row>
    <row r="123" spans="2:13" s="69" customFormat="1" ht="31.5" customHeight="1">
      <c r="B123" s="48"/>
      <c r="C123" s="320" t="s">
        <v>1462</v>
      </c>
      <c r="D123" s="320"/>
      <c r="E123" s="320"/>
      <c r="F123" s="320"/>
      <c r="G123" s="320"/>
      <c r="H123" s="320"/>
      <c r="I123" s="320"/>
      <c r="J123" s="321"/>
      <c r="L123" s="319"/>
    </row>
    <row r="124" spans="2:13" s="37" customFormat="1" ht="15.75">
      <c r="B124" s="48"/>
      <c r="C124" s="150" t="s">
        <v>310</v>
      </c>
      <c r="D124" s="151">
        <f t="shared" ref="D124:I124" si="27">D$29</f>
        <v>46204</v>
      </c>
      <c r="E124" s="151">
        <f t="shared" si="27"/>
        <v>46235</v>
      </c>
      <c r="F124" s="151">
        <f t="shared" si="27"/>
        <v>46266</v>
      </c>
      <c r="G124" s="151">
        <f t="shared" si="27"/>
        <v>46296</v>
      </c>
      <c r="H124" s="151">
        <f t="shared" si="27"/>
        <v>46327</v>
      </c>
      <c r="I124" s="151">
        <f t="shared" si="27"/>
        <v>46357</v>
      </c>
      <c r="J124" s="152" t="s">
        <v>111</v>
      </c>
      <c r="K124" s="69"/>
      <c r="L124" s="319"/>
    </row>
    <row r="125" spans="2:13" s="37" customFormat="1" ht="15.75" customHeight="1">
      <c r="B125" s="48"/>
      <c r="C125" s="153" t="s">
        <v>446</v>
      </c>
      <c r="D125" s="154">
        <f t="shared" ref="D125:I125" si="28">SUM(D126:D127)</f>
        <v>1433514.9309122998</v>
      </c>
      <c r="E125" s="154">
        <f t="shared" si="28"/>
        <v>1434113.1982323662</v>
      </c>
      <c r="F125" s="154">
        <f t="shared" si="28"/>
        <v>1407026.6645268798</v>
      </c>
      <c r="G125" s="154">
        <f t="shared" si="28"/>
        <v>1429197.264094942</v>
      </c>
      <c r="H125" s="154">
        <f t="shared" si="28"/>
        <v>1367270.4750638215</v>
      </c>
      <c r="I125" s="154">
        <f t="shared" si="28"/>
        <v>1373677.3267932686</v>
      </c>
      <c r="J125" s="154">
        <f>SUM(D125:I125)</f>
        <v>8444799.8596235774</v>
      </c>
      <c r="K125" s="69"/>
      <c r="L125" s="319"/>
    </row>
    <row r="126" spans="2:13" s="37" customFormat="1" ht="15.75" customHeight="1">
      <c r="B126" s="48" t="s">
        <v>279</v>
      </c>
      <c r="C126" s="155" t="s">
        <v>279</v>
      </c>
      <c r="D126" s="156">
        <f>$H$7*F801EVE!R6+$I$7*F801EVE!Y6</f>
        <v>1433477.4530646186</v>
      </c>
      <c r="E126" s="156">
        <f>$H$7*F801EVE!S6+$I$7*F801EVE!Z6</f>
        <v>1434075.7203846851</v>
      </c>
      <c r="F126" s="156">
        <f>$H$7*F801EVE!T6+$I$7*F801EVE!AA6</f>
        <v>1406989.1866791986</v>
      </c>
      <c r="G126" s="156">
        <f>$H$7*F801EVE!U6+$I$7*F801EVE!AB6</f>
        <v>1429159.7862472609</v>
      </c>
      <c r="H126" s="156">
        <f>$H$7*F801EVE!V6+$I$7*F801EVE!AC6</f>
        <v>1367232.9972161404</v>
      </c>
      <c r="I126" s="156">
        <f>$H$7*F801EVE!W6+$I$7*F801EVE!AD6</f>
        <v>1373639.8489455874</v>
      </c>
      <c r="J126" s="156">
        <f>SUM(D126:I126)</f>
        <v>8444574.992537491</v>
      </c>
      <c r="K126" s="69"/>
      <c r="L126" s="319"/>
    </row>
    <row r="127" spans="2:13" s="37" customFormat="1" ht="15.75" customHeight="1">
      <c r="B127" s="48" t="s">
        <v>278</v>
      </c>
      <c r="C127" s="155" t="s">
        <v>278</v>
      </c>
      <c r="D127" s="156">
        <f>$F$8*F801EVE!R7</f>
        <v>37.477847681108138</v>
      </c>
      <c r="E127" s="156">
        <f>$F$8*F801EVE!S7</f>
        <v>37.477847681108138</v>
      </c>
      <c r="F127" s="156">
        <f>$F$8*F801EVE!T7</f>
        <v>37.477847681108138</v>
      </c>
      <c r="G127" s="156">
        <f>$F$8*F801EVE!U7</f>
        <v>37.477847681108138</v>
      </c>
      <c r="H127" s="156">
        <f>$F$8*F801EVE!V7</f>
        <v>37.477847681108138</v>
      </c>
      <c r="I127" s="156">
        <f>$F$8*F801EVE!W7</f>
        <v>37.477847681108138</v>
      </c>
      <c r="J127" s="156">
        <f>SUM(D127:I127)</f>
        <v>224.86708608664881</v>
      </c>
      <c r="K127" s="69"/>
      <c r="L127" s="319"/>
    </row>
    <row r="128" spans="2:13" s="37" customFormat="1" ht="15.75" customHeight="1">
      <c r="B128" s="48"/>
      <c r="C128" s="157"/>
      <c r="D128" s="156"/>
      <c r="E128" s="156"/>
      <c r="F128" s="156"/>
      <c r="G128" s="156"/>
      <c r="H128" s="156"/>
      <c r="I128" s="156"/>
      <c r="J128" s="156"/>
      <c r="K128" s="69"/>
      <c r="L128" s="319"/>
    </row>
    <row r="129" spans="2:12" s="37" customFormat="1" ht="15.75" customHeight="1">
      <c r="B129" s="48"/>
      <c r="C129" s="153" t="s">
        <v>630</v>
      </c>
      <c r="D129" s="154">
        <f>D130+D133</f>
        <v>2057319.3476889438</v>
      </c>
      <c r="E129" s="154">
        <f t="shared" ref="E129:I129" si="29">E130+E133</f>
        <v>2058177.9553714464</v>
      </c>
      <c r="F129" s="154">
        <f t="shared" si="29"/>
        <v>2019304.5201162854</v>
      </c>
      <c r="G129" s="154">
        <f t="shared" si="29"/>
        <v>2051122.816848089</v>
      </c>
      <c r="H129" s="154">
        <f t="shared" si="29"/>
        <v>1962248.1365314382</v>
      </c>
      <c r="I129" s="154">
        <f t="shared" si="29"/>
        <v>1971442.9762478112</v>
      </c>
      <c r="J129" s="154">
        <f t="shared" ref="J129:J137" si="30">SUM(D129:I129)</f>
        <v>12119615.752804015</v>
      </c>
      <c r="K129" s="69"/>
      <c r="L129" s="319"/>
    </row>
    <row r="130" spans="2:12" s="37" customFormat="1" ht="15.75" customHeight="1">
      <c r="B130" s="48" t="s">
        <v>277</v>
      </c>
      <c r="C130" s="155" t="s">
        <v>277</v>
      </c>
      <c r="D130" s="154">
        <f>SUM(D131:D132)</f>
        <v>294311.39982672385</v>
      </c>
      <c r="E130" s="154">
        <f t="shared" ref="E130:I130" si="31">SUM(E131:E132)</f>
        <v>294434.22860837268</v>
      </c>
      <c r="F130" s="154">
        <f t="shared" si="31"/>
        <v>288873.15946328745</v>
      </c>
      <c r="G130" s="154">
        <f t="shared" si="31"/>
        <v>293424.95034677791</v>
      </c>
      <c r="H130" s="154">
        <f t="shared" si="31"/>
        <v>280710.91467578267</v>
      </c>
      <c r="I130" s="154">
        <f t="shared" si="31"/>
        <v>282026.28953537747</v>
      </c>
      <c r="J130" s="154">
        <f t="shared" si="30"/>
        <v>1733780.9424563218</v>
      </c>
      <c r="K130" s="69"/>
      <c r="L130" s="319"/>
    </row>
    <row r="131" spans="2:12" s="37" customFormat="1" ht="15.75" customHeight="1">
      <c r="B131" s="48"/>
      <c r="C131" s="160" t="s">
        <v>304</v>
      </c>
      <c r="D131" s="156">
        <f>$H$9*F801EVE!R11+$I$9*F801EVE!Y11</f>
        <v>256603.69535281436</v>
      </c>
      <c r="E131" s="156">
        <f>$H$9*F801EVE!S11+$I$9*F801EVE!Z11</f>
        <v>256710.78709063129</v>
      </c>
      <c r="F131" s="156">
        <f>$H$9*F801EVE!T11+$I$9*F801EVE!AA11</f>
        <v>251862.21209971511</v>
      </c>
      <c r="G131" s="156">
        <f>$H$9*F801EVE!U11+$I$9*F801EVE!AB11</f>
        <v>255830.81937032906</v>
      </c>
      <c r="H131" s="156">
        <f>$H$9*F801EVE!V11+$I$9*F801EVE!AC11</f>
        <v>244745.72875560712</v>
      </c>
      <c r="I131" s="156">
        <f>$H$9*F801EVE!W11+$I$9*F801EVE!AD11</f>
        <v>245892.57542870558</v>
      </c>
      <c r="J131" s="156">
        <f t="shared" si="30"/>
        <v>1511645.8180978026</v>
      </c>
      <c r="K131" s="69"/>
      <c r="L131" s="319"/>
    </row>
    <row r="132" spans="2:12" s="37" customFormat="1" ht="15.75" customHeight="1">
      <c r="B132" s="48"/>
      <c r="C132" s="160" t="s">
        <v>305</v>
      </c>
      <c r="D132" s="156">
        <f>($H$9*F801EVE!R12+$I$9*F801EVE!Y12)*$L132</f>
        <v>37707.7044739095</v>
      </c>
      <c r="E132" s="156">
        <f>($H$9*F801EVE!S12+$I$9*F801EVE!Z12)*$L132</f>
        <v>37723.441517741412</v>
      </c>
      <c r="F132" s="156">
        <f>($H$9*F801EVE!T12+$I$9*F801EVE!AA12)*$L132</f>
        <v>37010.947363572363</v>
      </c>
      <c r="G132" s="156">
        <f>($H$9*F801EVE!U12+$I$9*F801EVE!AB12)*$L132</f>
        <v>37594.130976448883</v>
      </c>
      <c r="H132" s="156">
        <f>($H$9*F801EVE!V12+$I$9*F801EVE!AC12)*$L132</f>
        <v>35965.185920175521</v>
      </c>
      <c r="I132" s="156">
        <f>($H$9*F801EVE!W12+$I$9*F801EVE!AD12)*$L132</f>
        <v>36133.714106671912</v>
      </c>
      <c r="J132" s="156">
        <f t="shared" si="30"/>
        <v>222135.12435851959</v>
      </c>
      <c r="K132" s="69"/>
      <c r="L132" s="319">
        <v>0.95</v>
      </c>
    </row>
    <row r="133" spans="2:12" s="37" customFormat="1" ht="15.75" customHeight="1">
      <c r="B133" s="48" t="s">
        <v>276</v>
      </c>
      <c r="C133" s="158" t="s">
        <v>276</v>
      </c>
      <c r="D133" s="159">
        <f t="shared" ref="D133:I133" si="32">SUM(D134:D137)</f>
        <v>1763007.94786222</v>
      </c>
      <c r="E133" s="159">
        <f t="shared" si="32"/>
        <v>1763743.7267630738</v>
      </c>
      <c r="F133" s="159">
        <f t="shared" si="32"/>
        <v>1730431.3606529981</v>
      </c>
      <c r="G133" s="159">
        <f t="shared" si="32"/>
        <v>1757697.8665013111</v>
      </c>
      <c r="H133" s="159">
        <f t="shared" si="32"/>
        <v>1681537.2218556555</v>
      </c>
      <c r="I133" s="159">
        <f t="shared" si="32"/>
        <v>1689416.6867124338</v>
      </c>
      <c r="J133" s="159">
        <f t="shared" si="30"/>
        <v>10385834.810347693</v>
      </c>
      <c r="K133" s="69"/>
      <c r="L133" s="319"/>
    </row>
    <row r="134" spans="2:12" s="37" customFormat="1" ht="15.75" customHeight="1">
      <c r="B134" s="48"/>
      <c r="C134" s="160" t="s">
        <v>304</v>
      </c>
      <c r="D134" s="156">
        <f>$F$10*(F801EVE!R15+F801EVE!Y15)*$L134</f>
        <v>1756134.9501695659</v>
      </c>
      <c r="E134" s="156">
        <f>$F$10*(F801EVE!S15+F801EVE!Z15)*$L134</f>
        <v>1756867.8606734313</v>
      </c>
      <c r="F134" s="156">
        <f>$F$10*(F801EVE!T15+F801EVE!AA15)*$L134</f>
        <v>1723685.3611448926</v>
      </c>
      <c r="G134" s="156">
        <f>$F$10*(F801EVE!U15+F801EVE!AB15)*$L134</f>
        <v>1750845.5698934055</v>
      </c>
      <c r="H134" s="156">
        <f>$F$10*(F801EVE!V15+F801EVE!AC15)*$L134</f>
        <v>1674981.8336851485</v>
      </c>
      <c r="I134" s="156">
        <f>$F$10*(F801EVE!W15+F801EVE!AD15)*$L134</f>
        <v>1682830.5808450237</v>
      </c>
      <c r="J134" s="156">
        <f t="shared" si="30"/>
        <v>10345346.156411469</v>
      </c>
      <c r="K134" s="69"/>
      <c r="L134" s="319">
        <v>1</v>
      </c>
    </row>
    <row r="135" spans="2:12" s="37" customFormat="1" ht="15.75" customHeight="1">
      <c r="B135" s="48"/>
      <c r="C135" s="161" t="s">
        <v>306</v>
      </c>
      <c r="D135" s="156">
        <f>$F$10*(F801EVE!R16+F801EVE!Y16)*$L135</f>
        <v>0</v>
      </c>
      <c r="E135" s="156">
        <f>$F$10*(F801EVE!S16+F801EVE!Z16)*$L135</f>
        <v>0</v>
      </c>
      <c r="F135" s="156">
        <f>$F$10*(F801EVE!T16+F801EVE!AA16)*$L135</f>
        <v>0</v>
      </c>
      <c r="G135" s="156">
        <f>$F$10*(F801EVE!U16+F801EVE!AB16)*$L135</f>
        <v>0</v>
      </c>
      <c r="H135" s="156">
        <f>$F$10*(F801EVE!V16+F801EVE!AC16)*$L135</f>
        <v>0</v>
      </c>
      <c r="I135" s="156">
        <f>$F$10*(F801EVE!W16+F801EVE!AD16)*$L135</f>
        <v>0</v>
      </c>
      <c r="J135" s="156">
        <f t="shared" si="30"/>
        <v>0</v>
      </c>
      <c r="K135" s="69"/>
      <c r="L135" s="319">
        <v>1</v>
      </c>
    </row>
    <row r="136" spans="2:12" s="37" customFormat="1" ht="15.75" customHeight="1">
      <c r="B136" s="48"/>
      <c r="C136" s="160" t="s">
        <v>305</v>
      </c>
      <c r="D136" s="156">
        <f>$F$10*(F801EVE!R17+F801EVE!Y17)*$L136</f>
        <v>6872.9976926541758</v>
      </c>
      <c r="E136" s="156">
        <f>$F$10*(F801EVE!S17+F801EVE!Z17)*$L136</f>
        <v>6875.8660896424026</v>
      </c>
      <c r="F136" s="156">
        <f>$F$10*(F801EVE!T17+F801EVE!AA17)*$L136</f>
        <v>6745.9995081054176</v>
      </c>
      <c r="G136" s="156">
        <f>$F$10*(F801EVE!U17+F801EVE!AB17)*$L136</f>
        <v>6852.2966079054722</v>
      </c>
      <c r="H136" s="156">
        <f>$F$10*(F801EVE!V17+F801EVE!AC17)*$L136</f>
        <v>6555.3881705071217</v>
      </c>
      <c r="I136" s="156">
        <f>$F$10*(F801EVE!W17+F801EVE!AD17)*$L136</f>
        <v>6586.1058674101068</v>
      </c>
      <c r="J136" s="156">
        <f t="shared" si="30"/>
        <v>40488.653936224699</v>
      </c>
      <c r="K136" s="69"/>
      <c r="L136" s="319">
        <v>0.95</v>
      </c>
    </row>
    <row r="137" spans="2:12" s="37" customFormat="1" ht="15.75" customHeight="1">
      <c r="B137" s="48"/>
      <c r="C137" s="160" t="s">
        <v>307</v>
      </c>
      <c r="D137" s="156">
        <f>$F$10*(F801EVE!R18+F801EVE!Y18)*$L137</f>
        <v>0</v>
      </c>
      <c r="E137" s="156">
        <f>$F$10*(F801EVE!S18+F801EVE!Z18)*$L137</f>
        <v>0</v>
      </c>
      <c r="F137" s="156">
        <f>$F$10*(F801EVE!T18+F801EVE!AA18)*$L137</f>
        <v>0</v>
      </c>
      <c r="G137" s="156">
        <f>$F$10*(F801EVE!U18+F801EVE!AB18)*$L137</f>
        <v>0</v>
      </c>
      <c r="H137" s="156">
        <f>$F$10*(F801EVE!V18+F801EVE!AC18)*$L137</f>
        <v>0</v>
      </c>
      <c r="I137" s="156">
        <f>$F$10*(F801EVE!W18+F801EVE!AD18)*$L137</f>
        <v>0</v>
      </c>
      <c r="J137" s="156">
        <f t="shared" si="30"/>
        <v>0</v>
      </c>
      <c r="K137" s="69"/>
      <c r="L137" s="319">
        <v>0.5</v>
      </c>
    </row>
    <row r="138" spans="2:12" s="37" customFormat="1" ht="15.75" customHeight="1">
      <c r="B138" s="48"/>
      <c r="C138" s="157"/>
      <c r="D138" s="157"/>
      <c r="E138" s="157"/>
      <c r="F138" s="157"/>
      <c r="G138" s="157"/>
      <c r="H138" s="157"/>
      <c r="I138" s="157"/>
      <c r="J138" s="157"/>
      <c r="K138" s="69"/>
      <c r="L138" s="319"/>
    </row>
    <row r="139" spans="2:12" s="37" customFormat="1" ht="15.75" customHeight="1">
      <c r="B139" s="48"/>
      <c r="C139" s="153" t="s">
        <v>443</v>
      </c>
      <c r="D139" s="154">
        <f t="shared" ref="D139:I139" si="33">D140+D144+D151+D156+D161+D174+D180+D187+D195+D201+D208+D167</f>
        <v>15662509.879898459</v>
      </c>
      <c r="E139" s="154">
        <f t="shared" si="33"/>
        <v>15669046.517647602</v>
      </c>
      <c r="F139" s="154">
        <f t="shared" si="33"/>
        <v>15373100.453448333</v>
      </c>
      <c r="G139" s="154">
        <f t="shared" si="33"/>
        <v>15615335.275904668</v>
      </c>
      <c r="H139" s="154">
        <f t="shared" si="33"/>
        <v>14938726.386722716</v>
      </c>
      <c r="I139" s="154">
        <f t="shared" si="33"/>
        <v>15008727.316847418</v>
      </c>
      <c r="J139" s="154">
        <f t="shared" ref="J139:J165" si="34">SUM(D139:I139)</f>
        <v>92267445.830469191</v>
      </c>
      <c r="K139" s="69"/>
      <c r="L139" s="319"/>
    </row>
    <row r="140" spans="2:12" s="37" customFormat="1" ht="15.75" customHeight="1">
      <c r="B140" s="48" t="s">
        <v>275</v>
      </c>
      <c r="C140" s="155" t="s">
        <v>275</v>
      </c>
      <c r="D140" s="154">
        <f>SUM(D141:D143)</f>
        <v>171990.21290867313</v>
      </c>
      <c r="E140" s="154">
        <f t="shared" ref="E140:I140" si="35">SUM(E141:E143)</f>
        <v>172061.9918078919</v>
      </c>
      <c r="F140" s="154">
        <f t="shared" si="35"/>
        <v>168812.20445060235</v>
      </c>
      <c r="G140" s="154">
        <f t="shared" si="35"/>
        <v>171472.18800417255</v>
      </c>
      <c r="H140" s="154">
        <f t="shared" si="35"/>
        <v>164042.33750137052</v>
      </c>
      <c r="I140" s="154">
        <f t="shared" si="35"/>
        <v>164811.01857281264</v>
      </c>
      <c r="J140" s="154">
        <f t="shared" si="34"/>
        <v>1013189.9532455232</v>
      </c>
      <c r="K140" s="69"/>
      <c r="L140" s="319"/>
    </row>
    <row r="141" spans="2:12" s="37" customFormat="1" ht="15.75" customHeight="1">
      <c r="B141" s="48"/>
      <c r="C141" s="160" t="s">
        <v>304</v>
      </c>
      <c r="D141" s="156">
        <f>$H$11*F801EVE!R22+$I$11*F801EVE!Y22</f>
        <v>170773.31390433857</v>
      </c>
      <c r="E141" s="156">
        <f>$H$11*F801EVE!S22+$I$11*F801EVE!Z22</f>
        <v>170844.58493936254</v>
      </c>
      <c r="F141" s="156">
        <f>$H$11*F801EVE!T22+$I$11*F801EVE!AA22</f>
        <v>167617.79111718471</v>
      </c>
      <c r="G141" s="156">
        <f>$H$11*F801EVE!U22+$I$11*F801EVE!AB22</f>
        <v>170258.95423159649</v>
      </c>
      <c r="H141" s="156">
        <f>$H$11*F801EVE!V22+$I$11*F801EVE!AC22</f>
        <v>162881.67286936537</v>
      </c>
      <c r="I141" s="156">
        <f>$H$11*F801EVE!W22+$I$11*F801EVE!AD22</f>
        <v>163644.91521720416</v>
      </c>
      <c r="J141" s="156">
        <f t="shared" si="34"/>
        <v>1006021.2322790519</v>
      </c>
      <c r="K141" s="69"/>
      <c r="L141" s="319"/>
    </row>
    <row r="142" spans="2:12" s="37" customFormat="1" ht="15.75" customHeight="1">
      <c r="B142" s="48"/>
      <c r="C142" s="161" t="s">
        <v>306</v>
      </c>
      <c r="D142" s="156">
        <f>($H$11*F801EVE!R23+$I$11*F801EVE!Y23)*$L142</f>
        <v>683.98582590595993</v>
      </c>
      <c r="E142" s="156">
        <f>($H$11*F801EVE!S23+$I$11*F801EVE!Z23)*$L142</f>
        <v>684.27128255395428</v>
      </c>
      <c r="F142" s="156">
        <f>($H$11*F801EVE!T23+$I$11*F801EVE!AA23)*$L142</f>
        <v>671.34724198209494</v>
      </c>
      <c r="G142" s="156">
        <f>($H$11*F801EVE!U23+$I$11*F801EVE!AB23)*$L142</f>
        <v>681.92569884318993</v>
      </c>
      <c r="H142" s="156">
        <f>($H$11*F801EVE!V23+$I$11*F801EVE!AC23)*$L142</f>
        <v>652.37801501530078</v>
      </c>
      <c r="I142" s="156">
        <f>($H$11*F801EVE!W23+$I$11*F801EVE!AD23)*$L142</f>
        <v>655.43497359809976</v>
      </c>
      <c r="J142" s="156">
        <f t="shared" si="34"/>
        <v>4029.3430378985995</v>
      </c>
      <c r="K142" s="69"/>
      <c r="L142" s="319">
        <v>0.75</v>
      </c>
    </row>
    <row r="143" spans="2:12" s="37" customFormat="1" ht="15.75" customHeight="1">
      <c r="B143" s="48"/>
      <c r="C143" s="160" t="s">
        <v>305</v>
      </c>
      <c r="D143" s="156">
        <f>($H$11*F801EVE!R24+$I$11*F801EVE!Y24)*$L143</f>
        <v>532.91317842859291</v>
      </c>
      <c r="E143" s="156">
        <f>($H$11*F801EVE!S24+$I$11*F801EVE!Z24)*$L143</f>
        <v>533.13558597539384</v>
      </c>
      <c r="F143" s="156">
        <f>($H$11*F801EVE!T24+$I$11*F801EVE!AA24)*$L143</f>
        <v>523.06609143555136</v>
      </c>
      <c r="G143" s="156">
        <f>($H$11*F801EVE!U24+$I$11*F801EVE!AB24)*$L143</f>
        <v>531.30807373284392</v>
      </c>
      <c r="H143" s="156">
        <f>($H$11*F801EVE!V24+$I$11*F801EVE!AC24)*$L143</f>
        <v>508.28661698983734</v>
      </c>
      <c r="I143" s="156">
        <f>($H$11*F801EVE!W24+$I$11*F801EVE!AD24)*$L143</f>
        <v>510.6683820103716</v>
      </c>
      <c r="J143" s="156">
        <f t="shared" si="34"/>
        <v>3139.3779285725909</v>
      </c>
      <c r="K143" s="69"/>
      <c r="L143" s="319">
        <v>0.95</v>
      </c>
    </row>
    <row r="144" spans="2:12" s="37" customFormat="1" ht="15.75" customHeight="1">
      <c r="B144" s="48" t="s">
        <v>274</v>
      </c>
      <c r="C144" s="158" t="s">
        <v>627</v>
      </c>
      <c r="D144" s="159">
        <f t="shared" ref="D144:I144" si="36">SUM(D145:D150)</f>
        <v>1992952.1912466774</v>
      </c>
      <c r="E144" s="159">
        <f t="shared" si="36"/>
        <v>1993783.9357515774</v>
      </c>
      <c r="F144" s="159">
        <f t="shared" si="36"/>
        <v>1956126.7299997879</v>
      </c>
      <c r="G144" s="159">
        <f t="shared" si="36"/>
        <v>1986949.5306819568</v>
      </c>
      <c r="H144" s="159">
        <f t="shared" si="36"/>
        <v>1900855.4641081961</v>
      </c>
      <c r="I144" s="159">
        <f t="shared" si="36"/>
        <v>1909762.6257413637</v>
      </c>
      <c r="J144" s="159">
        <f t="shared" si="34"/>
        <v>11740430.477529561</v>
      </c>
      <c r="K144" s="69"/>
      <c r="L144" s="319"/>
    </row>
    <row r="145" spans="2:12" s="37" customFormat="1" ht="15.75" customHeight="1">
      <c r="B145" s="48"/>
      <c r="C145" s="160" t="s">
        <v>304</v>
      </c>
      <c r="D145" s="156">
        <f>$F$12*(F801EVE!R28+F801EVE!Y28)*$L145</f>
        <v>1989366.6850065615</v>
      </c>
      <c r="E145" s="156">
        <f>$F$12*(F801EVE!S28+F801EVE!Z28)*$L145</f>
        <v>1990196.9331257846</v>
      </c>
      <c r="F145" s="156">
        <f>$F$12*(F801EVE!T28+F801EVE!AA28)*$L145</f>
        <v>1952607.4761874399</v>
      </c>
      <c r="G145" s="156">
        <f>$F$12*(F801EVE!U28+F801EVE!AB28)*$L145</f>
        <v>1983374.8237861532</v>
      </c>
      <c r="H145" s="156">
        <f>$F$12*(F801EVE!V28+F801EVE!AC28)*$L145</f>
        <v>1897435.6484407389</v>
      </c>
      <c r="I145" s="156">
        <f>$F$12*(F801EVE!W28+F801EVE!AD28)*$L145</f>
        <v>1906326.7852621935</v>
      </c>
      <c r="J145" s="156">
        <f t="shared" si="34"/>
        <v>11719308.351808872</v>
      </c>
      <c r="K145" s="69"/>
      <c r="L145" s="319">
        <v>1</v>
      </c>
    </row>
    <row r="146" spans="2:12" s="37" customFormat="1" ht="15.75" customHeight="1">
      <c r="B146" s="48"/>
      <c r="C146" s="162" t="s">
        <v>628</v>
      </c>
      <c r="D146" s="156">
        <f>$F$12*(F801EVE!R29+F801EVE!Y29)*$L146</f>
        <v>172.14154095023062</v>
      </c>
      <c r="E146" s="156">
        <f>$F$12*(F801EVE!S29+F801EVE!Z29)*$L146</f>
        <v>172.21338300513744</v>
      </c>
      <c r="F146" s="156">
        <f>$F$12*(F801EVE!T29+F801EVE!AA29)*$L146</f>
        <v>168.96073627609684</v>
      </c>
      <c r="G146" s="156">
        <f>$F$12*(F801EVE!U29+F801EVE!AB29)*$L146</f>
        <v>171.62306025413028</v>
      </c>
      <c r="H146" s="156">
        <f>$F$12*(F801EVE!V29+F801EVE!AC29)*$L146</f>
        <v>164.18667249140722</v>
      </c>
      <c r="I146" s="156">
        <f>$F$12*(F801EVE!W29+F801EVE!AD29)*$L146</f>
        <v>164.95602989785212</v>
      </c>
      <c r="J146" s="156">
        <f t="shared" si="34"/>
        <v>1014.0814228748545</v>
      </c>
      <c r="K146" s="69"/>
      <c r="L146" s="319">
        <v>0.75</v>
      </c>
    </row>
    <row r="147" spans="2:12" s="37" customFormat="1" ht="15.75" customHeight="1">
      <c r="B147" s="48"/>
      <c r="C147" s="161" t="s">
        <v>629</v>
      </c>
      <c r="D147" s="156">
        <f>$F$12*(F801EVE!R30+F801EVE!Y30)*$L147</f>
        <v>914.55710986891745</v>
      </c>
      <c r="E147" s="156">
        <f>$F$12*(F801EVE!S30+F801EVE!Z30)*$L147</f>
        <v>914.9387938119097</v>
      </c>
      <c r="F147" s="156">
        <f>$F$12*(F801EVE!T30+F801EVE!AA30)*$L147</f>
        <v>897.65806554890423</v>
      </c>
      <c r="G147" s="156">
        <f>$F$12*(F801EVE!U30+F801EVE!AB30)*$L147</f>
        <v>911.80251499117412</v>
      </c>
      <c r="H147" s="156">
        <f>$F$12*(F801EVE!V30+F801EVE!AC30)*$L147</f>
        <v>872.29432154409187</v>
      </c>
      <c r="I147" s="156">
        <f>$F$12*(F801EVE!W30+F801EVE!AD30)*$L147</f>
        <v>876.38177935474266</v>
      </c>
      <c r="J147" s="156">
        <f t="shared" si="34"/>
        <v>5387.6325851197398</v>
      </c>
      <c r="K147" s="69"/>
      <c r="L147" s="319">
        <v>1</v>
      </c>
    </row>
    <row r="148" spans="2:12" s="37" customFormat="1" ht="15.75" customHeight="1">
      <c r="B148" s="48"/>
      <c r="C148" s="160" t="s">
        <v>305</v>
      </c>
      <c r="D148" s="156">
        <f>$F$12*(F801EVE!R31+F801EVE!Y31)*$L148</f>
        <v>2289.6874951056375</v>
      </c>
      <c r="E148" s="156">
        <f>$F$12*(F801EVE!S31+F801EVE!Z31)*$L148</f>
        <v>2290.6430799913937</v>
      </c>
      <c r="F148" s="156">
        <f>$F$12*(F801EVE!T31+F801EVE!AA31)*$L148</f>
        <v>2247.3790049728382</v>
      </c>
      <c r="G148" s="156">
        <f>$F$12*(F801EVE!U31+F801EVE!AB31)*$L148</f>
        <v>2282.7910843975574</v>
      </c>
      <c r="H148" s="156">
        <f>$F$12*(F801EVE!V31+F801EVE!AC31)*$L148</f>
        <v>2183.878271284153</v>
      </c>
      <c r="I148" s="156">
        <f>$F$12*(F801EVE!W31+F801EVE!AD31)*$L148</f>
        <v>2194.1116410046734</v>
      </c>
      <c r="J148" s="156">
        <f t="shared" si="34"/>
        <v>13488.490576756252</v>
      </c>
      <c r="K148" s="69"/>
      <c r="L148" s="319">
        <v>0.95</v>
      </c>
    </row>
    <row r="149" spans="2:12" s="37" customFormat="1" ht="15.75" customHeight="1">
      <c r="B149" s="48"/>
      <c r="C149" s="160" t="s">
        <v>307</v>
      </c>
      <c r="D149" s="156">
        <f>$F$12*(F801EVE!R32+F801EVE!Y32)*$L149</f>
        <v>209.12009419139119</v>
      </c>
      <c r="E149" s="156">
        <f>$F$12*(F801EVE!S32+F801EVE!Z32)*$L149</f>
        <v>209.20736898401881</v>
      </c>
      <c r="F149" s="156">
        <f>$F$12*(F801EVE!T32+F801EVE!AA32)*$L149</f>
        <v>205.25600555022129</v>
      </c>
      <c r="G149" s="156">
        <f>$F$12*(F801EVE!U32+F801EVE!AB32)*$L149</f>
        <v>208.49023616057306</v>
      </c>
      <c r="H149" s="156">
        <f>$F$12*(F801EVE!V32+F801EVE!AC32)*$L149</f>
        <v>199.45640213770957</v>
      </c>
      <c r="I149" s="156">
        <f>$F$12*(F801EVE!W32+F801EVE!AD32)*$L149</f>
        <v>200.39102891294624</v>
      </c>
      <c r="J149" s="156">
        <f t="shared" si="34"/>
        <v>1231.9211359368601</v>
      </c>
      <c r="K149" s="69"/>
      <c r="L149" s="319">
        <v>0.5</v>
      </c>
    </row>
    <row r="150" spans="2:12" s="37" customFormat="1" ht="15.75" customHeight="1">
      <c r="B150" s="48"/>
      <c r="C150" s="160" t="s">
        <v>624</v>
      </c>
      <c r="D150" s="156">
        <f>$F$12*(F801EVE!R33+F801EVE!Y33)*$L150</f>
        <v>0</v>
      </c>
      <c r="E150" s="156">
        <f>$F$12*(F801EVE!S33+F801EVE!Z33)*$L150</f>
        <v>0</v>
      </c>
      <c r="F150" s="156">
        <f>$F$12*(F801EVE!T33+F801EVE!AA33)*$L150</f>
        <v>0</v>
      </c>
      <c r="G150" s="156">
        <f>$F$12*(F801EVE!U33+F801EVE!AB33)*$L150</f>
        <v>0</v>
      </c>
      <c r="H150" s="156">
        <f>$F$12*(F801EVE!V33+F801EVE!AC33)*$L150</f>
        <v>0</v>
      </c>
      <c r="I150" s="156">
        <f>$F$12*(F801EVE!W33+F801EVE!AD33)*$L150</f>
        <v>0</v>
      </c>
      <c r="J150" s="156">
        <f t="shared" si="34"/>
        <v>0</v>
      </c>
      <c r="K150" s="69"/>
      <c r="L150" s="319">
        <v>0</v>
      </c>
    </row>
    <row r="151" spans="2:12" s="37" customFormat="1" ht="15.75" customHeight="1">
      <c r="B151" s="48" t="s">
        <v>274</v>
      </c>
      <c r="C151" s="158" t="s">
        <v>631</v>
      </c>
      <c r="D151" s="159">
        <f t="shared" ref="D151:I151" si="37">SUM(D152:D155)</f>
        <v>955144.51740986574</v>
      </c>
      <c r="E151" s="159">
        <f t="shared" si="37"/>
        <v>955543.14022040286</v>
      </c>
      <c r="F151" s="159">
        <f t="shared" si="37"/>
        <v>937495.50527322572</v>
      </c>
      <c r="G151" s="159">
        <f t="shared" si="37"/>
        <v>952267.67553004157</v>
      </c>
      <c r="H151" s="159">
        <f t="shared" si="37"/>
        <v>911006.13597549417</v>
      </c>
      <c r="I151" s="159">
        <f t="shared" si="37"/>
        <v>915274.99231684022</v>
      </c>
      <c r="J151" s="159">
        <f t="shared" si="34"/>
        <v>5626731.96672587</v>
      </c>
      <c r="K151" s="69"/>
      <c r="L151" s="319"/>
    </row>
    <row r="152" spans="2:12" s="37" customFormat="1" ht="15.75" customHeight="1">
      <c r="B152" s="48"/>
      <c r="C152" s="160" t="s">
        <v>304</v>
      </c>
      <c r="D152" s="156">
        <f>$F$13*(F801EVE!R35+F801EVE!Y35)*$L152</f>
        <v>954473.01086868346</v>
      </c>
      <c r="E152" s="156">
        <f>$F$13*(F801EVE!S35+F801EVE!Z35)*$L152</f>
        <v>954871.35343071376</v>
      </c>
      <c r="F152" s="156">
        <f>$F$13*(F801EVE!T35+F801EVE!AA35)*$L152</f>
        <v>936836.40672568115</v>
      </c>
      <c r="G152" s="156">
        <f>$F$13*(F801EVE!U35+F801EVE!AB35)*$L152</f>
        <v>951598.19152901426</v>
      </c>
      <c r="H152" s="156">
        <f>$F$13*(F801EVE!V35+F801EVE!AC35)*$L152</f>
        <v>910365.66056238743</v>
      </c>
      <c r="I152" s="156">
        <f>$F$13*(F801EVE!W35+F801EVE!AD35)*$L152</f>
        <v>914631.51571919606</v>
      </c>
      <c r="J152" s="156">
        <f t="shared" si="34"/>
        <v>5622776.138835676</v>
      </c>
      <c r="K152" s="69"/>
      <c r="L152" s="319">
        <v>1</v>
      </c>
    </row>
    <row r="153" spans="2:12" s="37" customFormat="1" ht="15.75" customHeight="1">
      <c r="B153" s="48"/>
      <c r="C153" s="161" t="s">
        <v>306</v>
      </c>
      <c r="D153" s="156">
        <f>$F$13*(F801EVE!R36+F801EVE!Y36)*$L153</f>
        <v>0</v>
      </c>
      <c r="E153" s="156">
        <f>$F$13*(F801EVE!S36+F801EVE!Z36)*$L153</f>
        <v>0</v>
      </c>
      <c r="F153" s="156">
        <f>$F$13*(F801EVE!T36+F801EVE!AA36)*$L153</f>
        <v>0</v>
      </c>
      <c r="G153" s="156">
        <f>$F$13*(F801EVE!U36+F801EVE!AB36)*$L153</f>
        <v>0</v>
      </c>
      <c r="H153" s="156">
        <f>$F$13*(F801EVE!V36+F801EVE!AC36)*$L153</f>
        <v>0</v>
      </c>
      <c r="I153" s="156">
        <f>$F$13*(F801EVE!W36+F801EVE!AD36)*$L153</f>
        <v>0</v>
      </c>
      <c r="J153" s="156">
        <f t="shared" si="34"/>
        <v>0</v>
      </c>
      <c r="K153" s="69"/>
      <c r="L153" s="319">
        <v>1</v>
      </c>
    </row>
    <row r="154" spans="2:12" s="37" customFormat="1" ht="15.75" customHeight="1">
      <c r="B154" s="48"/>
      <c r="C154" s="160" t="s">
        <v>305</v>
      </c>
      <c r="D154" s="156">
        <f>$F$13*(F801EVE!R37+F801EVE!Y37)*$L154</f>
        <v>671.50654118229647</v>
      </c>
      <c r="E154" s="156">
        <f>$F$13*(F801EVE!S37+F801EVE!Z37)*$L154</f>
        <v>671.78678968905228</v>
      </c>
      <c r="F154" s="156">
        <f>$F$13*(F801EVE!T37+F801EVE!AA37)*$L154</f>
        <v>659.09854754454011</v>
      </c>
      <c r="G154" s="156">
        <f>$F$13*(F801EVE!U37+F801EVE!AB37)*$L154</f>
        <v>669.48400102733899</v>
      </c>
      <c r="H154" s="156">
        <f>$F$13*(F801EVE!V37+F801EVE!AC37)*$L154</f>
        <v>640.47541310677286</v>
      </c>
      <c r="I154" s="156">
        <f>$F$13*(F801EVE!W37+F801EVE!AD37)*$L154</f>
        <v>643.47659764411901</v>
      </c>
      <c r="J154" s="156">
        <f t="shared" si="34"/>
        <v>3955.8278901941198</v>
      </c>
      <c r="K154" s="69"/>
      <c r="L154" s="319">
        <v>0.95</v>
      </c>
    </row>
    <row r="155" spans="2:12" s="37" customFormat="1" ht="15.75" customHeight="1">
      <c r="B155" s="48"/>
      <c r="C155" s="160" t="s">
        <v>307</v>
      </c>
      <c r="D155" s="156">
        <f>$F$13*(F801EVE!R38+F801EVE!Y38)*$L155</f>
        <v>0</v>
      </c>
      <c r="E155" s="156">
        <f>$F$13*(F801EVE!S38+F801EVE!Z38)*$L155</f>
        <v>0</v>
      </c>
      <c r="F155" s="156">
        <f>$F$13*(F801EVE!T38+F801EVE!AA38)*$L155</f>
        <v>0</v>
      </c>
      <c r="G155" s="156">
        <f>$F$13*(F801EVE!U38+F801EVE!AB38)*$L155</f>
        <v>0</v>
      </c>
      <c r="H155" s="156">
        <f>$F$13*(F801EVE!V38+F801EVE!AC38)*$L155</f>
        <v>0</v>
      </c>
      <c r="I155" s="156">
        <f>$F$13*(F801EVE!W38+F801EVE!AD38)*$L155</f>
        <v>0</v>
      </c>
      <c r="J155" s="156">
        <f t="shared" si="34"/>
        <v>0</v>
      </c>
      <c r="K155" s="69"/>
      <c r="L155" s="319">
        <v>0.5</v>
      </c>
    </row>
    <row r="156" spans="2:12" s="37" customFormat="1" ht="15.75" customHeight="1">
      <c r="B156" s="48" t="s">
        <v>274</v>
      </c>
      <c r="C156" s="158" t="s">
        <v>632</v>
      </c>
      <c r="D156" s="159">
        <f t="shared" ref="D156:I156" si="38">SUM(D157:D160)</f>
        <v>282224.24885263806</v>
      </c>
      <c r="E156" s="159">
        <f t="shared" si="38"/>
        <v>282342.03314729582</v>
      </c>
      <c r="F156" s="159">
        <f t="shared" si="38"/>
        <v>277009.35298875178</v>
      </c>
      <c r="G156" s="159">
        <f t="shared" si="38"/>
        <v>281374.20519557671</v>
      </c>
      <c r="H156" s="159">
        <f t="shared" si="38"/>
        <v>269182.3255427843</v>
      </c>
      <c r="I156" s="159">
        <f t="shared" si="38"/>
        <v>270443.67893217853</v>
      </c>
      <c r="J156" s="159">
        <f t="shared" si="34"/>
        <v>1662575.8446592251</v>
      </c>
      <c r="K156" s="69"/>
      <c r="L156" s="319"/>
    </row>
    <row r="157" spans="2:12" s="37" customFormat="1" ht="15.75" customHeight="1">
      <c r="B157" s="48"/>
      <c r="C157" s="160" t="s">
        <v>304</v>
      </c>
      <c r="D157" s="156">
        <f>$F$14*(F801EVE!R40+F801EVE!Y40)*$L157</f>
        <v>282224.24885263806</v>
      </c>
      <c r="E157" s="156">
        <f>$F$14*(F801EVE!S40+F801EVE!Z40)*$L157</f>
        <v>282342.03314729582</v>
      </c>
      <c r="F157" s="156">
        <f>$F$14*(F801EVE!T40+F801EVE!AA40)*$L157</f>
        <v>277009.35298875178</v>
      </c>
      <c r="G157" s="156">
        <f>$F$14*(F801EVE!U40+F801EVE!AB40)*$L157</f>
        <v>281374.20519557671</v>
      </c>
      <c r="H157" s="156">
        <f>$F$14*(F801EVE!V40+F801EVE!AC40)*$L157</f>
        <v>269182.3255427843</v>
      </c>
      <c r="I157" s="156">
        <f>$F$14*(F801EVE!W40+F801EVE!AD40)*$L157</f>
        <v>270443.67893217853</v>
      </c>
      <c r="J157" s="156">
        <f t="shared" si="34"/>
        <v>1662575.8446592251</v>
      </c>
      <c r="K157" s="69"/>
      <c r="L157" s="319">
        <v>1</v>
      </c>
    </row>
    <row r="158" spans="2:12" s="37" customFormat="1" ht="15.75" customHeight="1">
      <c r="B158" s="48"/>
      <c r="C158" s="161" t="s">
        <v>306</v>
      </c>
      <c r="D158" s="156">
        <f>$F$14*(F801EVE!R41+F801EVE!Y41)*$L158</f>
        <v>0</v>
      </c>
      <c r="E158" s="156">
        <f>$F$14*(F801EVE!S41+F801EVE!Z41)*$L158</f>
        <v>0</v>
      </c>
      <c r="F158" s="156">
        <f>$F$14*(F801EVE!T41+F801EVE!AA41)*$L158</f>
        <v>0</v>
      </c>
      <c r="G158" s="156">
        <f>$F$14*(F801EVE!U41+F801EVE!AB41)*$L158</f>
        <v>0</v>
      </c>
      <c r="H158" s="156">
        <f>$F$14*(F801EVE!V41+F801EVE!AC41)*$L158</f>
        <v>0</v>
      </c>
      <c r="I158" s="156">
        <f>$F$14*(F801EVE!W41+F801EVE!AD41)*$L158</f>
        <v>0</v>
      </c>
      <c r="J158" s="156">
        <f t="shared" si="34"/>
        <v>0</v>
      </c>
      <c r="K158" s="69"/>
      <c r="L158" s="319">
        <v>1</v>
      </c>
    </row>
    <row r="159" spans="2:12" s="37" customFormat="1" ht="15.75" customHeight="1">
      <c r="B159" s="48"/>
      <c r="C159" s="160" t="s">
        <v>305</v>
      </c>
      <c r="D159" s="156">
        <f>$F$14*(F801EVE!R42+F801EVE!Y42)*$L159</f>
        <v>0</v>
      </c>
      <c r="E159" s="156">
        <f>$F$14*(F801EVE!S42+F801EVE!Z42)*$L159</f>
        <v>0</v>
      </c>
      <c r="F159" s="156">
        <f>$F$14*(F801EVE!T42+F801EVE!AA42)*$L159</f>
        <v>0</v>
      </c>
      <c r="G159" s="156">
        <f>$F$14*(F801EVE!U42+F801EVE!AB42)*$L159</f>
        <v>0</v>
      </c>
      <c r="H159" s="156">
        <f>$F$14*(F801EVE!V42+F801EVE!AC42)*$L159</f>
        <v>0</v>
      </c>
      <c r="I159" s="156">
        <f>$F$14*(F801EVE!W42+F801EVE!AD42)*$L159</f>
        <v>0</v>
      </c>
      <c r="J159" s="156">
        <f t="shared" si="34"/>
        <v>0</v>
      </c>
      <c r="K159" s="69"/>
      <c r="L159" s="319">
        <v>0.95</v>
      </c>
    </row>
    <row r="160" spans="2:12" s="37" customFormat="1" ht="15.75" customHeight="1">
      <c r="B160" s="48"/>
      <c r="C160" s="160" t="s">
        <v>307</v>
      </c>
      <c r="D160" s="156">
        <f>$F$14*(F801EVE!R43+F801EVE!Y43)*$L160</f>
        <v>0</v>
      </c>
      <c r="E160" s="156">
        <f>$F$14*(F801EVE!S43+F801EVE!Z43)*$L160</f>
        <v>0</v>
      </c>
      <c r="F160" s="156">
        <f>$F$14*(F801EVE!T43+F801EVE!AA43)*$L160</f>
        <v>0</v>
      </c>
      <c r="G160" s="156">
        <f>$F$14*(F801EVE!U43+F801EVE!AB43)*$L160</f>
        <v>0</v>
      </c>
      <c r="H160" s="156">
        <f>$F$14*(F801EVE!V43+F801EVE!AC43)*$L160</f>
        <v>0</v>
      </c>
      <c r="I160" s="156">
        <f>$F$14*(F801EVE!W43+F801EVE!AD43)*$L160</f>
        <v>0</v>
      </c>
      <c r="J160" s="156">
        <f t="shared" si="34"/>
        <v>0</v>
      </c>
      <c r="K160" s="69"/>
      <c r="L160" s="319">
        <v>0.5</v>
      </c>
    </row>
    <row r="161" spans="2:13" s="37" customFormat="1" ht="15.75" customHeight="1">
      <c r="B161" s="48" t="s">
        <v>274</v>
      </c>
      <c r="C161" s="158" t="s">
        <v>633</v>
      </c>
      <c r="D161" s="159">
        <f t="shared" ref="D161:I161" si="39">SUM(D162:D165)</f>
        <v>299500.98984013218</v>
      </c>
      <c r="E161" s="159">
        <f t="shared" si="39"/>
        <v>299625.9844604776</v>
      </c>
      <c r="F161" s="159">
        <f t="shared" si="39"/>
        <v>293966.85703794815</v>
      </c>
      <c r="G161" s="159">
        <f t="shared" si="39"/>
        <v>298598.90960524027</v>
      </c>
      <c r="H161" s="159">
        <f t="shared" si="39"/>
        <v>285660.68746852479</v>
      </c>
      <c r="I161" s="159">
        <f t="shared" si="39"/>
        <v>286999.25632005889</v>
      </c>
      <c r="J161" s="159">
        <f t="shared" si="34"/>
        <v>1764352.6847323817</v>
      </c>
      <c r="K161" s="69"/>
      <c r="L161" s="319"/>
    </row>
    <row r="162" spans="2:13" s="37" customFormat="1" ht="15.75" customHeight="1">
      <c r="B162" s="48"/>
      <c r="C162" s="160" t="s">
        <v>304</v>
      </c>
      <c r="D162" s="156">
        <f>$F$15*(F801EVE!R45+F801EVE!Y45)*$L162</f>
        <v>299500.98984013218</v>
      </c>
      <c r="E162" s="156">
        <f>$F$15*(F801EVE!S45+F801EVE!Z45)*$L162</f>
        <v>299625.9844604776</v>
      </c>
      <c r="F162" s="156">
        <f>$F$15*(F801EVE!T45+F801EVE!AA45)*$L162</f>
        <v>293966.85703794815</v>
      </c>
      <c r="G162" s="156">
        <f>$F$15*(F801EVE!U45+F801EVE!AB45)*$L162</f>
        <v>298598.90960524027</v>
      </c>
      <c r="H162" s="156">
        <f>$F$15*(F801EVE!V45+F801EVE!AC45)*$L162</f>
        <v>285660.68746852479</v>
      </c>
      <c r="I162" s="156">
        <f>$F$15*(F801EVE!W45+F801EVE!AD45)*$L162</f>
        <v>286999.25632005889</v>
      </c>
      <c r="J162" s="156">
        <f t="shared" si="34"/>
        <v>1764352.6847323817</v>
      </c>
      <c r="K162" s="69"/>
      <c r="L162" s="319">
        <v>1</v>
      </c>
    </row>
    <row r="163" spans="2:13" s="37" customFormat="1" ht="15.75" customHeight="1">
      <c r="B163" s="48"/>
      <c r="C163" s="161" t="s">
        <v>306</v>
      </c>
      <c r="D163" s="156">
        <f>$F$15*(F801EVE!R46+F801EVE!Y46)*$L163</f>
        <v>0</v>
      </c>
      <c r="E163" s="156">
        <f>$F$15*(F801EVE!S46+F801EVE!Z46)*$L163</f>
        <v>0</v>
      </c>
      <c r="F163" s="156">
        <f>$F$15*(F801EVE!T46+F801EVE!AA46)*$L163</f>
        <v>0</v>
      </c>
      <c r="G163" s="156">
        <f>$F$15*(F801EVE!U46+F801EVE!AB46)*$L163</f>
        <v>0</v>
      </c>
      <c r="H163" s="156">
        <f>$F$15*(F801EVE!V46+F801EVE!AC46)*$L163</f>
        <v>0</v>
      </c>
      <c r="I163" s="156">
        <f>$F$15*(F801EVE!W46+F801EVE!AD46)*$L163</f>
        <v>0</v>
      </c>
      <c r="J163" s="156">
        <f t="shared" si="34"/>
        <v>0</v>
      </c>
      <c r="K163" s="69"/>
      <c r="L163" s="319">
        <v>1</v>
      </c>
    </row>
    <row r="164" spans="2:13" s="37" customFormat="1" ht="15.75" customHeight="1">
      <c r="B164" s="48"/>
      <c r="C164" s="160" t="s">
        <v>305</v>
      </c>
      <c r="D164" s="156">
        <f>$F$15*(F801EVE!R47+F801EVE!Y47)*$L164</f>
        <v>0</v>
      </c>
      <c r="E164" s="156">
        <f>$F$15*(F801EVE!S47+F801EVE!Z47)*$L164</f>
        <v>0</v>
      </c>
      <c r="F164" s="156">
        <f>$F$15*(F801EVE!T47+F801EVE!AA47)*$L164</f>
        <v>0</v>
      </c>
      <c r="G164" s="156">
        <f>$F$15*(F801EVE!U47+F801EVE!AB47)*$L164</f>
        <v>0</v>
      </c>
      <c r="H164" s="156">
        <f>$F$15*(F801EVE!V47+F801EVE!AC47)*$L164</f>
        <v>0</v>
      </c>
      <c r="I164" s="156">
        <f>$F$15*(F801EVE!W47+F801EVE!AD47)*$L164</f>
        <v>0</v>
      </c>
      <c r="J164" s="156">
        <f t="shared" si="34"/>
        <v>0</v>
      </c>
      <c r="K164" s="69"/>
      <c r="L164" s="319">
        <v>0.95</v>
      </c>
    </row>
    <row r="165" spans="2:13" s="37" customFormat="1" ht="15.75" customHeight="1">
      <c r="B165" s="48"/>
      <c r="C165" s="160" t="s">
        <v>307</v>
      </c>
      <c r="D165" s="156">
        <f>$F$15*(F801EVE!R48+F801EVE!Y48)*$L165</f>
        <v>0</v>
      </c>
      <c r="E165" s="156">
        <f>$F$15*(F801EVE!S48+F801EVE!Z48)*$L165</f>
        <v>0</v>
      </c>
      <c r="F165" s="156">
        <f>$F$15*(F801EVE!T48+F801EVE!AA48)*$L165</f>
        <v>0</v>
      </c>
      <c r="G165" s="156">
        <f>$F$15*(F801EVE!U48+F801EVE!AB48)*$L165</f>
        <v>0</v>
      </c>
      <c r="H165" s="156">
        <f>$F$15*(F801EVE!V48+F801EVE!AC48)*$L165</f>
        <v>0</v>
      </c>
      <c r="I165" s="156">
        <f>$F$15*(F801EVE!W48+F801EVE!AD48)*$L165</f>
        <v>0</v>
      </c>
      <c r="J165" s="156">
        <f t="shared" si="34"/>
        <v>0</v>
      </c>
      <c r="K165" s="69"/>
      <c r="L165" s="319">
        <v>0.5</v>
      </c>
    </row>
    <row r="166" spans="2:13" s="37" customFormat="1" ht="15.75">
      <c r="B166" s="48"/>
      <c r="C166" s="157"/>
      <c r="D166" s="156"/>
      <c r="E166" s="156"/>
      <c r="F166" s="156"/>
      <c r="G166" s="156"/>
      <c r="H166" s="156"/>
      <c r="I166" s="156"/>
      <c r="J166" s="156"/>
      <c r="K166" s="69"/>
      <c r="L166" s="319"/>
    </row>
    <row r="167" spans="2:13" s="37" customFormat="1" ht="15.75">
      <c r="B167" s="48" t="s">
        <v>1176</v>
      </c>
      <c r="C167" s="158" t="str">
        <f>F801EVE!$C$50</f>
        <v>BTSH</v>
      </c>
      <c r="D167" s="159">
        <f>SUM(D168:D173)</f>
        <v>56.17828908929603</v>
      </c>
      <c r="E167" s="159">
        <f t="shared" ref="E167:J167" si="40">SUM(E168:E173)</f>
        <v>56.17828908929603</v>
      </c>
      <c r="F167" s="159">
        <f t="shared" si="40"/>
        <v>56.17828908929603</v>
      </c>
      <c r="G167" s="159">
        <f t="shared" si="40"/>
        <v>56.17828908929603</v>
      </c>
      <c r="H167" s="159">
        <f t="shared" si="40"/>
        <v>56.17828908929603</v>
      </c>
      <c r="I167" s="159">
        <f t="shared" si="40"/>
        <v>56.17828908929603</v>
      </c>
      <c r="J167" s="159">
        <f t="shared" si="40"/>
        <v>337.06973453577615</v>
      </c>
      <c r="K167" s="69"/>
      <c r="L167" s="319"/>
    </row>
    <row r="168" spans="2:13" s="37" customFormat="1" ht="15.75">
      <c r="B168" s="48"/>
      <c r="C168" s="160" t="str">
        <f>F801EVE!$C$51</f>
        <v xml:space="preserve">    - Regulares</v>
      </c>
      <c r="D168" s="156">
        <f>($H$16*F801EVE!R51+$I$16*F801EVE!Y51)*$L168</f>
        <v>56.17828908929603</v>
      </c>
      <c r="E168" s="156">
        <f>($H$16*F801EVE!S51+$I$16*F801EVE!Z51)*$L168</f>
        <v>56.17828908929603</v>
      </c>
      <c r="F168" s="156">
        <f>($H$16*F801EVE!T51+$I$16*F801EVE!AA51)*$L168</f>
        <v>56.17828908929603</v>
      </c>
      <c r="G168" s="156">
        <f>($H$16*F801EVE!U51+$I$16*F801EVE!AB51)*$L168</f>
        <v>56.17828908929603</v>
      </c>
      <c r="H168" s="156">
        <f>($H$16*F801EVE!V51+$I$16*F801EVE!AC51)*$L168</f>
        <v>56.17828908929603</v>
      </c>
      <c r="I168" s="156">
        <f>($H$16*F801EVE!W51+$I$16*F801EVE!AD51)*$L168</f>
        <v>56.17828908929603</v>
      </c>
      <c r="J168" s="156">
        <f t="shared" ref="J168:J185" si="41">SUM(D168:I168)</f>
        <v>337.06973453577615</v>
      </c>
      <c r="K168" s="69"/>
      <c r="L168" s="319">
        <v>1</v>
      </c>
    </row>
    <row r="169" spans="2:13" s="37" customFormat="1" ht="15.75">
      <c r="B169" s="48"/>
      <c r="C169" s="162" t="str">
        <f>F801EVE!$C$52</f>
        <v xml:space="preserve">    - Jubilados (0 a 600 KWh)</v>
      </c>
      <c r="D169" s="156">
        <f>($H$16*F801EVE!R52+$I$16*F801EVE!Y52)*$L169</f>
        <v>0</v>
      </c>
      <c r="E169" s="156">
        <f>($H$16*F801EVE!S52+$I$16*F801EVE!Z52)*$L169</f>
        <v>0</v>
      </c>
      <c r="F169" s="156">
        <f>($H$16*F801EVE!T52+$I$16*F801EVE!AA52)*$L169</f>
        <v>0</v>
      </c>
      <c r="G169" s="156">
        <f>($H$16*F801EVE!U52+$I$16*F801EVE!AB52)*$L169</f>
        <v>0</v>
      </c>
      <c r="H169" s="156">
        <f>($H$16*F801EVE!V52+$I$16*F801EVE!AC52)*$L169</f>
        <v>0</v>
      </c>
      <c r="I169" s="156">
        <f>($H$16*F801EVE!W52+$I$16*F801EVE!AD52)*$L169</f>
        <v>0</v>
      </c>
      <c r="J169" s="156">
        <f t="shared" si="41"/>
        <v>0</v>
      </c>
      <c r="K169" s="69"/>
      <c r="L169" s="319">
        <v>0.75</v>
      </c>
    </row>
    <row r="170" spans="2:13" s="37" customFormat="1" ht="15.75">
      <c r="B170" s="48"/>
      <c r="C170" s="162" t="str">
        <f>F801EVE!$C$53</f>
        <v xml:space="preserve">    - Jubilados (601 y Más KWh)</v>
      </c>
      <c r="D170" s="156">
        <f>($H$16*F801EVE!R53+$I$16*F801EVE!Y53)*$L170</f>
        <v>0</v>
      </c>
      <c r="E170" s="156">
        <f>($H$16*F801EVE!S53+$I$16*F801EVE!Z53)*$L170</f>
        <v>0</v>
      </c>
      <c r="F170" s="156">
        <f>($H$16*F801EVE!T53+$I$16*F801EVE!AA53)*$L170</f>
        <v>0</v>
      </c>
      <c r="G170" s="156">
        <f>($H$16*F801EVE!U53+$I$16*F801EVE!AB53)*$L170</f>
        <v>0</v>
      </c>
      <c r="H170" s="156">
        <f>($H$16*F801EVE!V53+$I$16*F801EVE!AC53)*$L170</f>
        <v>0</v>
      </c>
      <c r="I170" s="156">
        <f>($H$16*F801EVE!W53+$I$16*F801EVE!AD53)*$L170</f>
        <v>0</v>
      </c>
      <c r="J170" s="156">
        <f t="shared" si="41"/>
        <v>0</v>
      </c>
      <c r="K170" s="69"/>
      <c r="L170" s="319">
        <v>1</v>
      </c>
    </row>
    <row r="171" spans="2:13" s="37" customFormat="1" ht="15.75">
      <c r="B171" s="48"/>
      <c r="C171" s="160" t="str">
        <f>F801EVE!$C$54</f>
        <v xml:space="preserve">    - Agropecuarios</v>
      </c>
      <c r="D171" s="156">
        <f>($H$16*F801EVE!R54+$I$16*F801EVE!Y54)*$L171</f>
        <v>0</v>
      </c>
      <c r="E171" s="156">
        <f>($H$16*F801EVE!S54+$I$16*F801EVE!Z54)*$L171</f>
        <v>0</v>
      </c>
      <c r="F171" s="156">
        <f>($H$16*F801EVE!T54+$I$16*F801EVE!AA54)*$L171</f>
        <v>0</v>
      </c>
      <c r="G171" s="156">
        <f>($H$16*F801EVE!U54+$I$16*F801EVE!AB54)*$L171</f>
        <v>0</v>
      </c>
      <c r="H171" s="156">
        <f>($H$16*F801EVE!V54+$I$16*F801EVE!AC54)*$L171</f>
        <v>0</v>
      </c>
      <c r="I171" s="156">
        <f>($H$16*F801EVE!W54+$I$16*F801EVE!AD54)*$L171</f>
        <v>0</v>
      </c>
      <c r="J171" s="156">
        <f t="shared" si="41"/>
        <v>0</v>
      </c>
      <c r="K171" s="69"/>
      <c r="L171" s="319">
        <v>0.95</v>
      </c>
    </row>
    <row r="172" spans="2:13" s="37" customFormat="1" ht="15.75">
      <c r="B172" s="48"/>
      <c r="C172" s="160" t="str">
        <f>F801EVE!$C$55</f>
        <v xml:space="preserve">    - Partidos Políticos</v>
      </c>
      <c r="D172" s="156">
        <f>($H$16*F801EVE!R55+$I$16*F801EVE!Y55)*$L172</f>
        <v>0</v>
      </c>
      <c r="E172" s="156">
        <f>($H$16*F801EVE!S55+$I$16*F801EVE!Z55)*$L172</f>
        <v>0</v>
      </c>
      <c r="F172" s="156">
        <f>($H$16*F801EVE!T55+$I$16*F801EVE!AA55)*$L172</f>
        <v>0</v>
      </c>
      <c r="G172" s="156">
        <f>($H$16*F801EVE!U55+$I$16*F801EVE!AB55)*$L172</f>
        <v>0</v>
      </c>
      <c r="H172" s="156">
        <f>($H$16*F801EVE!V55+$I$16*F801EVE!AC55)*$L172</f>
        <v>0</v>
      </c>
      <c r="I172" s="156">
        <f>($H$16*F801EVE!W55+$I$16*F801EVE!AD55)*$L172</f>
        <v>0</v>
      </c>
      <c r="J172" s="156">
        <f t="shared" si="41"/>
        <v>0</v>
      </c>
      <c r="K172" s="69"/>
      <c r="L172" s="319">
        <v>0.5</v>
      </c>
    </row>
    <row r="173" spans="2:13" s="37" customFormat="1" ht="15.75">
      <c r="B173" s="48"/>
      <c r="C173" s="160" t="str">
        <f>F801EVE!$C$56</f>
        <v xml:space="preserve">    - Cruz Roja</v>
      </c>
      <c r="D173" s="156">
        <f>($H$16*F801EVE!R56+$I$16*F801EVE!Y56)*$L173</f>
        <v>0</v>
      </c>
      <c r="E173" s="156">
        <f>($H$16*F801EVE!S56+$I$16*F801EVE!Z56)*$L173</f>
        <v>0</v>
      </c>
      <c r="F173" s="156">
        <f>($H$16*F801EVE!T56+$I$16*F801EVE!AA56)*$L173</f>
        <v>0</v>
      </c>
      <c r="G173" s="156">
        <f>($H$16*F801EVE!U56+$I$16*F801EVE!AB56)*$L173</f>
        <v>0</v>
      </c>
      <c r="H173" s="156">
        <f>($H$16*F801EVE!V56+$I$16*F801EVE!AC56)*$L173</f>
        <v>0</v>
      </c>
      <c r="I173" s="156">
        <f>($H$16*F801EVE!W56+$I$16*F801EVE!AD56)*$L173</f>
        <v>0</v>
      </c>
      <c r="J173" s="156">
        <f t="shared" si="41"/>
        <v>0</v>
      </c>
      <c r="K173" s="69"/>
      <c r="L173" s="319">
        <v>0</v>
      </c>
    </row>
    <row r="174" spans="2:13" s="37" customFormat="1" ht="15.75">
      <c r="B174" s="48" t="s">
        <v>751</v>
      </c>
      <c r="C174" s="158" t="s">
        <v>634</v>
      </c>
      <c r="D174" s="159">
        <f t="shared" ref="D174:I174" si="42">SUM(D175:D179)</f>
        <v>2310925.2850037464</v>
      </c>
      <c r="E174" s="159">
        <f t="shared" si="42"/>
        <v>2311889.7567765573</v>
      </c>
      <c r="F174" s="159">
        <f t="shared" si="42"/>
        <v>2268223.328232001</v>
      </c>
      <c r="G174" s="159">
        <f t="shared" si="42"/>
        <v>2303964.7380541326</v>
      </c>
      <c r="H174" s="159">
        <f t="shared" si="42"/>
        <v>2204132.0412010285</v>
      </c>
      <c r="I174" s="159">
        <f t="shared" si="42"/>
        <v>2214460.5806989712</v>
      </c>
      <c r="J174" s="159">
        <f t="shared" si="41"/>
        <v>13613595.729966437</v>
      </c>
      <c r="K174" s="69"/>
      <c r="L174" s="319"/>
      <c r="M174" s="69"/>
    </row>
    <row r="175" spans="2:13" s="37" customFormat="1" ht="15.75">
      <c r="B175" s="48"/>
      <c r="C175" s="160" t="s">
        <v>304</v>
      </c>
      <c r="D175" s="156">
        <f>(($E$18+$F$18)*(F801EVE!R66+F801EVE!Y66)*$L175)</f>
        <v>1674525.910663374</v>
      </c>
      <c r="E175" s="156">
        <f>(($E$18+$F$18)*(F801EVE!S66+F801EVE!Z66)*$L175)</f>
        <v>1675224.7856572685</v>
      </c>
      <c r="F175" s="156">
        <f>(($E$18+$F$18)*(F801EVE!T66+F801EVE!AA66)*$L175)</f>
        <v>1643583.2427497606</v>
      </c>
      <c r="G175" s="156">
        <f>(($E$18+$F$18)*(F801EVE!U66+F801EVE!AB66)*$L175)</f>
        <v>1669482.1630451961</v>
      </c>
      <c r="H175" s="156">
        <f>(($E$18+$F$18)*(F801EVE!V66+F801EVE!AC66)*$L175)</f>
        <v>1597141.4503664267</v>
      </c>
      <c r="I175" s="156">
        <f>(($E$18+$F$18)*(F801EVE!W66+F801EVE!AD66)*$L175)</f>
        <v>1604625.7108518607</v>
      </c>
      <c r="J175" s="156">
        <f t="shared" si="41"/>
        <v>9864583.2633338869</v>
      </c>
      <c r="K175" s="69"/>
      <c r="L175" s="319">
        <v>1</v>
      </c>
      <c r="M175" s="329"/>
    </row>
    <row r="176" spans="2:13" s="37" customFormat="1" ht="15.75">
      <c r="B176" s="48"/>
      <c r="C176" s="162" t="s">
        <v>644</v>
      </c>
      <c r="D176" s="156">
        <f>(($E$18+$F$18)*(F801EVE!R67+F801EVE!Y67)*$L176)</f>
        <v>636337.03577784076</v>
      </c>
      <c r="E176" s="156">
        <f>(($E$18+$F$18)*(F801EVE!S67+F801EVE!Z67)*$L176)</f>
        <v>636602.60654019844</v>
      </c>
      <c r="F176" s="156">
        <f>(($E$18+$F$18)*(F801EVE!T67+F801EVE!AA67)*$L176)</f>
        <v>624578.89880199125</v>
      </c>
      <c r="G176" s="156">
        <f>(($E$18+$F$18)*(F801EVE!U67+F801EVE!AB67)*$L176)</f>
        <v>634420.42420666909</v>
      </c>
      <c r="H176" s="156">
        <f>(($E$18+$F$18)*(F801EVE!V67+F801EVE!AC67)*$L176)</f>
        <v>606931.13301231479</v>
      </c>
      <c r="I176" s="156">
        <f>(($E$18+$F$18)*(F801EVE!W67+F801EVE!AD67)*$L176)</f>
        <v>609775.13341319654</v>
      </c>
      <c r="J176" s="156">
        <f t="shared" si="41"/>
        <v>3748645.2317522108</v>
      </c>
      <c r="K176" s="69"/>
      <c r="L176" s="319">
        <v>0.75</v>
      </c>
      <c r="M176" s="329"/>
    </row>
    <row r="177" spans="2:13" s="37" customFormat="1" ht="15.75">
      <c r="B177" s="48"/>
      <c r="C177" s="160" t="s">
        <v>305</v>
      </c>
      <c r="D177" s="156">
        <f>(($E$18+$F$18)*(F801EVE!R68+F801EVE!Y68)*$L177)</f>
        <v>61.012793030726222</v>
      </c>
      <c r="E177" s="156">
        <f>(($E$18+$F$18)*(F801EVE!S68+F801EVE!Z68)*$L177)</f>
        <v>61.038256288477591</v>
      </c>
      <c r="F177" s="156">
        <f>(($E$18+$F$18)*(F801EVE!T68+F801EVE!AA68)*$L177)</f>
        <v>59.88540811141614</v>
      </c>
      <c r="G177" s="156">
        <f>(($E$18+$F$18)*(F801EVE!U68+F801EVE!AB68)*$L177)</f>
        <v>60.829025909629401</v>
      </c>
      <c r="H177" s="156">
        <f>(($E$18+$F$18)*(F801EVE!V68+F801EVE!AC68)*$L177)</f>
        <v>58.193318195159584</v>
      </c>
      <c r="I177" s="156">
        <f>(($E$18+$F$18)*(F801EVE!W68+F801EVE!AD68)*$L177)</f>
        <v>58.466004520302029</v>
      </c>
      <c r="J177" s="156">
        <f t="shared" si="41"/>
        <v>359.42480605571097</v>
      </c>
      <c r="K177" s="69"/>
      <c r="L177" s="319">
        <v>0.95</v>
      </c>
      <c r="M177" s="329"/>
    </row>
    <row r="178" spans="2:13" s="37" customFormat="1" ht="15.75">
      <c r="B178" s="48"/>
      <c r="C178" s="160" t="s">
        <v>307</v>
      </c>
      <c r="D178" s="156">
        <f>(($E$18+$F$18)*(F801EVE!R69+F801EVE!Y69)*$L178)</f>
        <v>1.3257695012129005</v>
      </c>
      <c r="E178" s="156">
        <f>(($E$18+$F$18)*(F801EVE!S69+F801EVE!Z69)*$L178)</f>
        <v>1.326322801739747</v>
      </c>
      <c r="F178" s="156">
        <f>(($E$18+$F$18)*(F801EVE!T69+F801EVE!AA69)*$L178)</f>
        <v>1.3012721381533863</v>
      </c>
      <c r="G178" s="156">
        <f>(($E$18+$F$18)*(F801EVE!U69+F801EVE!AB69)*$L178)</f>
        <v>1.3217763576052444</v>
      </c>
      <c r="H178" s="156">
        <f>(($E$18+$F$18)*(F801EVE!V69+F801EVE!AC69)*$L178)</f>
        <v>1.2645040917675556</v>
      </c>
      <c r="I178" s="156">
        <f>(($E$18+$F$18)*(F801EVE!W69+F801EVE!AD69)*$L178)</f>
        <v>1.2704293935823674</v>
      </c>
      <c r="J178" s="156">
        <f t="shared" si="41"/>
        <v>7.8100742840612023</v>
      </c>
      <c r="K178" s="69"/>
      <c r="L178" s="319">
        <v>0.5</v>
      </c>
      <c r="M178" s="329"/>
    </row>
    <row r="179" spans="2:13" s="37" customFormat="1" ht="15.75">
      <c r="B179" s="48"/>
      <c r="C179" s="160" t="s">
        <v>624</v>
      </c>
      <c r="D179" s="156">
        <f>(($E$18+$F$18)*(F801EVE!R70+F801EVE!Y70)*$L179)</f>
        <v>0</v>
      </c>
      <c r="E179" s="156">
        <f>(($E$18+$F$18)*(F801EVE!S70+F801EVE!Z70)*$L179)</f>
        <v>0</v>
      </c>
      <c r="F179" s="156">
        <f>(($E$18+$F$18)*(F801EVE!T70+F801EVE!AA70)*$L179)</f>
        <v>0</v>
      </c>
      <c r="G179" s="156">
        <f>(($E$18+$F$18)*(F801EVE!U70+F801EVE!AB70)*$L179)</f>
        <v>0</v>
      </c>
      <c r="H179" s="156">
        <f>(($E$18+$F$18)*(F801EVE!V70+F801EVE!AC70)*$L179)</f>
        <v>0</v>
      </c>
      <c r="I179" s="156">
        <f>(($E$18+$F$18)*(F801EVE!W70+F801EVE!AD70)*$L179)</f>
        <v>0</v>
      </c>
      <c r="J179" s="156">
        <f t="shared" si="41"/>
        <v>0</v>
      </c>
      <c r="K179" s="69"/>
      <c r="L179" s="319">
        <v>0</v>
      </c>
      <c r="M179" s="329"/>
    </row>
    <row r="180" spans="2:13" s="37" customFormat="1" ht="15.75">
      <c r="B180" s="48" t="s">
        <v>750</v>
      </c>
      <c r="C180" s="158" t="s">
        <v>635</v>
      </c>
      <c r="D180" s="159">
        <f t="shared" ref="D180:I180" si="43">SUM(D181:D186)</f>
        <v>3494788.7679833677</v>
      </c>
      <c r="E180" s="159">
        <f t="shared" si="43"/>
        <v>3496247.2933641174</v>
      </c>
      <c r="F180" s="159">
        <f t="shared" si="43"/>
        <v>3430212.6035842961</v>
      </c>
      <c r="G180" s="159">
        <f t="shared" si="43"/>
        <v>3484262.6596242497</v>
      </c>
      <c r="H180" s="159">
        <f t="shared" si="43"/>
        <v>3333290.3592482056</v>
      </c>
      <c r="I180" s="159">
        <f t="shared" si="43"/>
        <v>3348909.7246132791</v>
      </c>
      <c r="J180" s="159">
        <f t="shared" si="41"/>
        <v>20587711.408417515</v>
      </c>
      <c r="K180" s="69"/>
      <c r="L180" s="319"/>
      <c r="M180" s="69"/>
    </row>
    <row r="181" spans="2:13" s="37" customFormat="1" ht="15.75">
      <c r="B181" s="48"/>
      <c r="C181" s="160" t="s">
        <v>304</v>
      </c>
      <c r="D181" s="156">
        <f>(($E$19+$F$19)*(F801EVE!R72+F801EVE!Y72)*$L181)</f>
        <v>2253771.8768959688</v>
      </c>
      <c r="E181" s="156">
        <f>(($E$19+$F$19)*(F801EVE!S72+F801EVE!Z72)*$L181)</f>
        <v>2254712.4726524246</v>
      </c>
      <c r="F181" s="156">
        <f>(($E$19+$F$19)*(F801EVE!T72+F801EVE!AA72)*$L181)</f>
        <v>2212127.0299816816</v>
      </c>
      <c r="G181" s="156">
        <f>(($E$19+$F$19)*(F801EVE!U72+F801EVE!AB72)*$L181)</f>
        <v>2246983.6420217254</v>
      </c>
      <c r="H181" s="156">
        <f>(($E$19+$F$19)*(F801EVE!V72+F801EVE!AC72)*$L181)</f>
        <v>2149622.3571581021</v>
      </c>
      <c r="I181" s="156">
        <f>(($E$19+$F$19)*(F801EVE!W72+F801EVE!AD72)*$L181)</f>
        <v>2159695.2081175833</v>
      </c>
      <c r="J181" s="330">
        <f t="shared" si="41"/>
        <v>13276912.586827487</v>
      </c>
      <c r="K181" s="69"/>
      <c r="L181" s="319">
        <v>1</v>
      </c>
      <c r="M181" s="329"/>
    </row>
    <row r="182" spans="2:13" s="37" customFormat="1" ht="15.75">
      <c r="B182" s="48"/>
      <c r="C182" s="162" t="s">
        <v>642</v>
      </c>
      <c r="D182" s="156">
        <f>(($E$19+$F$19)*(F801EVE!R73+F801EVE!Y73)*$L182)</f>
        <v>1205818.4830987868</v>
      </c>
      <c r="E182" s="156">
        <f>(($E$19+$F$19)*(F801EVE!S73+F801EVE!Z73)*$L182)</f>
        <v>1206321.7229163942</v>
      </c>
      <c r="F182" s="156">
        <f>(($E$19+$F$19)*(F801EVE!T73+F801EVE!AA73)*$L182)</f>
        <v>1183537.5563333733</v>
      </c>
      <c r="G182" s="156">
        <f>(($E$19+$F$19)*(F801EVE!U73+F801EVE!AB73)*$L182)</f>
        <v>1202186.6252506659</v>
      </c>
      <c r="H182" s="156">
        <f>(($E$19+$F$19)*(F801EVE!V73+F801EVE!AC73)*$L182)</f>
        <v>1150096.1550348012</v>
      </c>
      <c r="I182" s="156">
        <f>(($E$19+$F$19)*(F801EVE!W73+F801EVE!AD73)*$L182)</f>
        <v>1155485.3561287336</v>
      </c>
      <c r="J182" s="330">
        <f t="shared" si="41"/>
        <v>7103445.8987627551</v>
      </c>
      <c r="K182" s="69"/>
      <c r="L182" s="319">
        <v>0.75</v>
      </c>
      <c r="M182" s="329"/>
    </row>
    <row r="183" spans="2:13" s="37" customFormat="1" ht="15.75">
      <c r="B183" s="48"/>
      <c r="C183" s="162" t="s">
        <v>1177</v>
      </c>
      <c r="D183" s="156">
        <f>(($E$19+$F$19)*(F801EVE!R74+F801EVE!Y74)*$L183)</f>
        <v>35045.953105373686</v>
      </c>
      <c r="E183" s="156">
        <f>(($E$19+$F$19)*(F801EVE!S74+F801EVE!Z74)*$L183)</f>
        <v>35060.579286093118</v>
      </c>
      <c r="F183" s="156">
        <f>(($E$19+$F$19)*(F801EVE!T74+F801EVE!AA74)*$L183)</f>
        <v>34398.379423671409</v>
      </c>
      <c r="G183" s="156">
        <f>(($E$19+$F$19)*(F801EVE!U74+F801EVE!AB74)*$L183)</f>
        <v>34940.39665420408</v>
      </c>
      <c r="H183" s="156">
        <f>(($E$19+$F$19)*(F801EVE!V74+F801EVE!AC74)*$L183)</f>
        <v>33426.43729629922</v>
      </c>
      <c r="I183" s="156">
        <f>(($E$19+$F$19)*(F801EVE!W74+F801EVE!AD74)*$L183)</f>
        <v>33583.069236728603</v>
      </c>
      <c r="J183" s="330">
        <f t="shared" si="41"/>
        <v>206454.8150023701</v>
      </c>
      <c r="K183" s="69"/>
      <c r="L183" s="319">
        <v>1</v>
      </c>
      <c r="M183" s="329"/>
    </row>
    <row r="184" spans="2:13" s="37" customFormat="1" ht="15.75">
      <c r="B184" s="48"/>
      <c r="C184" s="160" t="s">
        <v>305</v>
      </c>
      <c r="D184" s="156">
        <f>(($E$19+$F$19)*(F801EVE!R75+F801EVE!Y75)*$L184)</f>
        <v>147.62700684760031</v>
      </c>
      <c r="E184" s="156">
        <f>(($E$19+$F$19)*(F801EVE!S75+F801EVE!Z75)*$L184)</f>
        <v>147.68861793504112</v>
      </c>
      <c r="F184" s="156">
        <f>(($E$19+$F$19)*(F801EVE!T75+F801EVE!AA75)*$L184)</f>
        <v>144.89917792950678</v>
      </c>
      <c r="G184" s="156">
        <f>(($E$19+$F$19)*(F801EVE!U75+F801EVE!AB75)*$L184)</f>
        <v>147.18236255749446</v>
      </c>
      <c r="H184" s="156">
        <f>(($E$19+$F$19)*(F801EVE!V75+F801EVE!AC75)*$L184)</f>
        <v>140.80498460962116</v>
      </c>
      <c r="I184" s="156">
        <f>(($E$19+$F$19)*(F801EVE!W75+F801EVE!AD75)*$L184)</f>
        <v>141.46477846578475</v>
      </c>
      <c r="J184" s="156">
        <f t="shared" si="41"/>
        <v>869.66692834504852</v>
      </c>
      <c r="K184" s="69"/>
      <c r="L184" s="319">
        <v>0.95</v>
      </c>
      <c r="M184" s="329"/>
    </row>
    <row r="185" spans="2:13" s="37" customFormat="1" ht="15.75">
      <c r="B185" s="48"/>
      <c r="C185" s="160" t="s">
        <v>307</v>
      </c>
      <c r="D185" s="156">
        <f>(($E$19+$F$19)*(F801EVE!R76+F801EVE!Y76)*$L185)</f>
        <v>4.8278763908483278</v>
      </c>
      <c r="E185" s="156">
        <f>(($E$19+$F$19)*(F801EVE!S76+F801EVE!Z76)*$L185)</f>
        <v>4.829891270922249</v>
      </c>
      <c r="F185" s="156">
        <f>(($E$19+$F$19)*(F801EVE!T76+F801EVE!AA76)*$L185)</f>
        <v>4.7386676402737624</v>
      </c>
      <c r="G185" s="156">
        <f>(($E$19+$F$19)*(F801EVE!U76+F801EVE!AB76)*$L185)</f>
        <v>4.813335097108328</v>
      </c>
      <c r="H185" s="156">
        <f>(($E$19+$F$19)*(F801EVE!V76+F801EVE!AC76)*$L185)</f>
        <v>4.6047743934300458</v>
      </c>
      <c r="I185" s="156">
        <f>(($E$19+$F$19)*(F801EVE!W76+F801EVE!AD76)*$L185)</f>
        <v>4.626351767712837</v>
      </c>
      <c r="J185" s="156">
        <f t="shared" si="41"/>
        <v>28.440896560295549</v>
      </c>
      <c r="K185" s="69"/>
      <c r="L185" s="319">
        <v>0.5</v>
      </c>
      <c r="M185" s="329"/>
    </row>
    <row r="186" spans="2:13" s="37" customFormat="1" ht="15.75">
      <c r="B186" s="48"/>
      <c r="C186" s="160" t="s">
        <v>624</v>
      </c>
      <c r="D186" s="156">
        <f>(($E$19+$F$19)*(F801EVE!R77+F801EVE!Y77)*$L186)</f>
        <v>0</v>
      </c>
      <c r="E186" s="156">
        <f>(($E$19+$F$19)*(F801EVE!S77+F801EVE!Z77)*$L186)</f>
        <v>0</v>
      </c>
      <c r="F186" s="156">
        <f>(($E$19+$F$19)*(F801EVE!T77+F801EVE!AA77)*$L186)</f>
        <v>0</v>
      </c>
      <c r="G186" s="156">
        <f>(($E$19+$F$19)*(F801EVE!U77+F801EVE!AB77)*$L186)</f>
        <v>0</v>
      </c>
      <c r="H186" s="156">
        <f>(($E$19+$F$19)*(F801EVE!V77+F801EVE!AC77)*$L186)</f>
        <v>0</v>
      </c>
      <c r="I186" s="156">
        <f>(($E$19+$F$19)*(F801EVE!W77+F801EVE!AD77)*$L186)</f>
        <v>0</v>
      </c>
      <c r="J186" s="156"/>
      <c r="K186" s="69"/>
      <c r="L186" s="319">
        <v>0</v>
      </c>
      <c r="M186" s="329"/>
    </row>
    <row r="187" spans="2:13" s="37" customFormat="1" ht="15.75">
      <c r="B187" s="48" t="s">
        <v>749</v>
      </c>
      <c r="C187" s="158" t="s">
        <v>636</v>
      </c>
      <c r="D187" s="159">
        <f t="shared" ref="D187:I187" si="44">SUM(D188:D193)</f>
        <v>5314433.7076542396</v>
      </c>
      <c r="E187" s="159">
        <f t="shared" si="44"/>
        <v>5316651.6489838958</v>
      </c>
      <c r="F187" s="159">
        <f t="shared" si="44"/>
        <v>5216234.4265024122</v>
      </c>
      <c r="G187" s="159">
        <f t="shared" si="44"/>
        <v>5298426.9304817263</v>
      </c>
      <c r="H187" s="159">
        <f t="shared" si="44"/>
        <v>5068847.3091349583</v>
      </c>
      <c r="I187" s="159">
        <f t="shared" si="44"/>
        <v>5092599.2687809244</v>
      </c>
      <c r="J187" s="159">
        <f t="shared" ref="J187:J193" si="45">SUM(D187:I187)</f>
        <v>31307193.291538157</v>
      </c>
      <c r="K187" s="69"/>
      <c r="L187" s="319"/>
      <c r="M187" s="69"/>
    </row>
    <row r="188" spans="2:13" s="37" customFormat="1" ht="15.75">
      <c r="B188" s="48"/>
      <c r="C188" s="160" t="s">
        <v>304</v>
      </c>
      <c r="D188" s="156">
        <f>(($E$20+$F$20)*(F801EVE!R79+F801EVE!Y79)*$L188)</f>
        <v>4594288.5746297855</v>
      </c>
      <c r="E188" s="156">
        <f>(($E$20+$F$20)*(F801EVE!S79+F801EVE!Z79)*$L188)</f>
        <v>4596205.968480303</v>
      </c>
      <c r="F188" s="156">
        <f>(($E$20+$F$20)*(F801EVE!T79+F801EVE!AA79)*$L188)</f>
        <v>4509396.0234661661</v>
      </c>
      <c r="G188" s="156">
        <f>(($E$20+$F$20)*(F801EVE!U79+F801EVE!AB79)*$L188)</f>
        <v>4580450.8343312461</v>
      </c>
      <c r="H188" s="156">
        <f>(($E$20+$F$20)*(F801EVE!V79+F801EVE!AC79)*$L188)</f>
        <v>4381980.9522434995</v>
      </c>
      <c r="I188" s="156">
        <f>(($E$20+$F$20)*(F801EVE!W79+F801EVE!AD79)*$L188)</f>
        <v>4402514.3454194004</v>
      </c>
      <c r="J188" s="330">
        <f t="shared" si="45"/>
        <v>27064836.6985704</v>
      </c>
      <c r="K188" s="69"/>
      <c r="L188" s="319">
        <v>1</v>
      </c>
      <c r="M188" s="329"/>
    </row>
    <row r="189" spans="2:13" s="37" customFormat="1" ht="15.75">
      <c r="B189" s="48"/>
      <c r="C189" s="162" t="s">
        <v>642</v>
      </c>
      <c r="D189" s="156">
        <f>(($E$20+$F$20)*(F801EVE!R80+F801EVE!Y80)*$L189)</f>
        <v>340892.20304118912</v>
      </c>
      <c r="E189" s="156">
        <f>(($E$20+$F$20)*(F801EVE!S80+F801EVE!Z80)*$L189)</f>
        <v>341034.47199168772</v>
      </c>
      <c r="F189" s="156">
        <f>(($E$20+$F$20)*(F801EVE!T80+F801EVE!AA80)*$L189)</f>
        <v>334593.24982615619</v>
      </c>
      <c r="G189" s="156">
        <f>(($E$20+$F$20)*(F801EVE!U80+F801EVE!AB80)*$L189)</f>
        <v>339865.45478651265</v>
      </c>
      <c r="H189" s="156">
        <f>(($E$20+$F$20)*(F801EVE!V80+F801EVE!AC80)*$L189)</f>
        <v>325139.16272993048</v>
      </c>
      <c r="I189" s="156">
        <f>(($E$20+$F$20)*(F801EVE!W80+F801EVE!AD80)*$L189)</f>
        <v>326662.72258515959</v>
      </c>
      <c r="J189" s="330">
        <f t="shared" si="45"/>
        <v>2008187.2649606357</v>
      </c>
      <c r="K189" s="69"/>
      <c r="L189" s="319">
        <v>0.75</v>
      </c>
      <c r="M189" s="329"/>
    </row>
    <row r="190" spans="2:13" s="37" customFormat="1" ht="15.75">
      <c r="B190" s="48"/>
      <c r="C190" s="162" t="s">
        <v>1177</v>
      </c>
      <c r="D190" s="156">
        <f>(($E$20+$F$20)*(F801EVE!R81+F801EVE!Y81)*$L190)</f>
        <v>376708.00925330783</v>
      </c>
      <c r="E190" s="156">
        <f>(($E$20+$F$20)*(F801EVE!S81+F801EVE!Z81)*$L190)</f>
        <v>376865.22567727632</v>
      </c>
      <c r="F190" s="156">
        <f>(($E$20+$F$20)*(F801EVE!T81+F801EVE!AA81)*$L190)</f>
        <v>369747.25713036157</v>
      </c>
      <c r="G190" s="156">
        <f>(($E$20+$F$20)*(F801EVE!U81+F801EVE!AB81)*$L190)</f>
        <v>375573.38579295028</v>
      </c>
      <c r="H190" s="156">
        <f>(($E$20+$F$20)*(F801EVE!V81+F801EVE!AC81)*$L190)</f>
        <v>359299.87729135645</v>
      </c>
      <c r="I190" s="156">
        <f>(($E$20+$F$20)*(F801EVE!W81+F801EVE!AD81)*$L190)</f>
        <v>360983.50981483853</v>
      </c>
      <c r="J190" s="330">
        <f t="shared" si="45"/>
        <v>2219177.2649600911</v>
      </c>
      <c r="K190" s="69"/>
      <c r="L190" s="319">
        <v>1</v>
      </c>
      <c r="M190" s="329"/>
    </row>
    <row r="191" spans="2:13" s="37" customFormat="1" ht="15.75">
      <c r="B191" s="48"/>
      <c r="C191" s="160" t="s">
        <v>305</v>
      </c>
      <c r="D191" s="156">
        <f>(($E$20+$F$20)*(F801EVE!R82+F801EVE!Y82)*$L191)</f>
        <v>2505.4471375657063</v>
      </c>
      <c r="E191" s="156">
        <f>(($E$20+$F$20)*(F801EVE!S82+F801EVE!Z82)*$L191)</f>
        <v>2506.4927682126131</v>
      </c>
      <c r="F191" s="156">
        <f>(($E$20+$F$20)*(F801EVE!T82+F801EVE!AA82)*$L191)</f>
        <v>2459.15187424941</v>
      </c>
      <c r="G191" s="156">
        <f>(($E$20+$F$20)*(F801EVE!U82+F801EVE!AB82)*$L191)</f>
        <v>2497.9008708786714</v>
      </c>
      <c r="H191" s="156">
        <f>(($E$20+$F$20)*(F801EVE!V82+F801EVE!AC82)*$L191)</f>
        <v>2389.6674001481533</v>
      </c>
      <c r="I191" s="156">
        <f>(($E$20+$F$20)*(F801EVE!W82+F801EVE!AD82)*$L191)</f>
        <v>2400.8650709782273</v>
      </c>
      <c r="J191" s="156">
        <f t="shared" si="45"/>
        <v>14759.525122032781</v>
      </c>
      <c r="K191" s="69"/>
      <c r="L191" s="319">
        <v>0.95</v>
      </c>
      <c r="M191" s="329"/>
    </row>
    <row r="192" spans="2:13" s="37" customFormat="1" ht="15.75">
      <c r="B192" s="48"/>
      <c r="C192" s="160" t="s">
        <v>307</v>
      </c>
      <c r="D192" s="156">
        <f>(($E$20+$F$20)*(F801EVE!R83+F801EVE!Y83)*$L192)</f>
        <v>39.473592391459682</v>
      </c>
      <c r="E192" s="156">
        <f>(($E$20+$F$20)*(F801EVE!S83+F801EVE!Z83)*$L192)</f>
        <v>39.490066416127426</v>
      </c>
      <c r="F192" s="156">
        <f>(($E$20+$F$20)*(F801EVE!T83+F801EVE!AA83)*$L192)</f>
        <v>38.744205478280449</v>
      </c>
      <c r="G192" s="156">
        <f>(($E$20+$F$20)*(F801EVE!U83+F801EVE!AB83)*$L192)</f>
        <v>39.354700138330486</v>
      </c>
      <c r="H192" s="156">
        <f>(($E$20+$F$20)*(F801EVE!V83+F801EVE!AC83)*$L192)</f>
        <v>37.649470024842444</v>
      </c>
      <c r="I192" s="156">
        <f>(($E$20+$F$20)*(F801EVE!W83+F801EVE!AD83)*$L192)</f>
        <v>37.82589054773144</v>
      </c>
      <c r="J192" s="156">
        <f t="shared" si="45"/>
        <v>232.53792499677195</v>
      </c>
      <c r="K192" s="69"/>
      <c r="L192" s="319">
        <v>0.5</v>
      </c>
      <c r="M192" s="329"/>
    </row>
    <row r="193" spans="2:13" s="37" customFormat="1" ht="15.75">
      <c r="B193" s="48"/>
      <c r="C193" s="160" t="s">
        <v>624</v>
      </c>
      <c r="D193" s="156">
        <f>(($E$20+$F$20)*(F801EVE!R84+F801EVE!Y84)*$L193)</f>
        <v>0</v>
      </c>
      <c r="E193" s="156">
        <f>(($E$20+$F$20)*(F801EVE!S84+F801EVE!Z84)*$L193)</f>
        <v>0</v>
      </c>
      <c r="F193" s="156">
        <f>(($E$20+$F$20)*(F801EVE!T84+F801EVE!AA84)*$L193)</f>
        <v>0</v>
      </c>
      <c r="G193" s="156">
        <f>(($E$20+$F$20)*(F801EVE!U84+F801EVE!AB84)*$L193)</f>
        <v>0</v>
      </c>
      <c r="H193" s="156">
        <f>(($E$20+$F$20)*(F801EVE!V84+F801EVE!AC84)*$L193)</f>
        <v>0</v>
      </c>
      <c r="I193" s="156">
        <f>(($E$20+$F$20)*(F801EVE!W84+F801EVE!AD84)*$L193)</f>
        <v>0</v>
      </c>
      <c r="J193" s="156">
        <f t="shared" si="45"/>
        <v>0</v>
      </c>
      <c r="K193" s="69"/>
      <c r="L193" s="319">
        <v>0</v>
      </c>
      <c r="M193" s="329"/>
    </row>
    <row r="194" spans="2:13" s="37" customFormat="1" ht="15.75">
      <c r="B194" s="48"/>
      <c r="C194" s="157"/>
      <c r="D194" s="156"/>
      <c r="E194" s="156"/>
      <c r="F194" s="156"/>
      <c r="G194" s="156"/>
      <c r="H194" s="156"/>
      <c r="I194" s="156"/>
      <c r="J194" s="156"/>
      <c r="K194" s="69"/>
      <c r="L194" s="319"/>
      <c r="M194" s="69"/>
    </row>
    <row r="195" spans="2:13" s="37" customFormat="1" ht="15.75">
      <c r="B195" s="48" t="s">
        <v>902</v>
      </c>
      <c r="C195" s="158" t="s">
        <v>898</v>
      </c>
      <c r="D195" s="159">
        <f t="shared" ref="D195:H195" si="46">SUM(D196:D200)</f>
        <v>772582.20665379753</v>
      </c>
      <c r="E195" s="159">
        <f t="shared" si="46"/>
        <v>772904.63837483409</v>
      </c>
      <c r="F195" s="159">
        <f t="shared" si="46"/>
        <v>758306.55255826772</v>
      </c>
      <c r="G195" s="159">
        <f t="shared" si="46"/>
        <v>770255.2322460548</v>
      </c>
      <c r="H195" s="159">
        <f t="shared" si="46"/>
        <v>736880.25003348757</v>
      </c>
      <c r="I195" s="159">
        <f t="shared" ref="I195" si="47">SUM(I196:I200)</f>
        <v>740333.17510605021</v>
      </c>
      <c r="J195" s="159">
        <f t="shared" ref="J195:J214" si="48">SUM(D195:I195)</f>
        <v>4551262.0549724922</v>
      </c>
      <c r="K195" s="69"/>
      <c r="L195" s="319"/>
      <c r="M195" s="69"/>
    </row>
    <row r="196" spans="2:13" s="37" customFormat="1" ht="15.75">
      <c r="B196" s="48"/>
      <c r="C196" s="160" t="s">
        <v>304</v>
      </c>
      <c r="D196" s="156">
        <f>(($E$17+$F$17)*(F801EVE!R87+F801EVE!Y87)*$L196)</f>
        <v>743078.70829078741</v>
      </c>
      <c r="E196" s="156">
        <f>(($E$17+$F$17)*(F801EVE!S87+F801EVE!Z87)*$L196)</f>
        <v>743388.8269354006</v>
      </c>
      <c r="F196" s="156">
        <f>(($E$17+$F$17)*(F801EVE!T87+F801EVE!AA87)*$L196)</f>
        <v>729348.21525852173</v>
      </c>
      <c r="G196" s="156">
        <f>(($E$17+$F$17)*(F801EVE!U87+F801EVE!AB87)*$L196)</f>
        <v>740840.59677043487</v>
      </c>
      <c r="H196" s="156">
        <f>(($E$17+$F$17)*(F801EVE!V87+F801EVE!AC87)*$L196)</f>
        <v>708740.14395369578</v>
      </c>
      <c r="I196" s="156">
        <f>(($E$17+$F$17)*(F801EVE!W87+F801EVE!AD87)*$L196)</f>
        <v>712061.20814679656</v>
      </c>
      <c r="J196" s="156">
        <f t="shared" si="48"/>
        <v>4377457.6993556367</v>
      </c>
      <c r="K196" s="69"/>
      <c r="L196" s="319">
        <v>1</v>
      </c>
      <c r="M196" s="329"/>
    </row>
    <row r="197" spans="2:13" s="37" customFormat="1" ht="15.75">
      <c r="B197" s="48"/>
      <c r="C197" s="162" t="s">
        <v>644</v>
      </c>
      <c r="D197" s="156">
        <f>(($E$17+$F$17)*(F801EVE!R88+F801EVE!Y88)*$L197)</f>
        <v>29503.498363010174</v>
      </c>
      <c r="E197" s="156">
        <f>(($E$17+$F$17)*(F801EVE!S88+F801EVE!Z88)*$L197)</f>
        <v>29515.811439433441</v>
      </c>
      <c r="F197" s="156">
        <f>(($E$17+$F$17)*(F801EVE!T88+F801EVE!AA88)*$L197)</f>
        <v>28958.337299745999</v>
      </c>
      <c r="G197" s="156">
        <f>(($E$17+$F$17)*(F801EVE!U88+F801EVE!AB88)*$L197)</f>
        <v>29414.635475619907</v>
      </c>
      <c r="H197" s="156">
        <f>(($E$17+$F$17)*(F801EVE!V88+F801EVE!AC88)*$L197)</f>
        <v>28140.106079791847</v>
      </c>
      <c r="I197" s="156">
        <f>(($E$17+$F$17)*(F801EVE!W88+F801EVE!AD88)*$L197)</f>
        <v>28271.966959253703</v>
      </c>
      <c r="J197" s="156">
        <f t="shared" si="48"/>
        <v>173804.35561685509</v>
      </c>
      <c r="K197" s="69"/>
      <c r="L197" s="319">
        <v>0.75</v>
      </c>
      <c r="M197" s="329"/>
    </row>
    <row r="198" spans="2:13" s="37" customFormat="1" ht="15.75">
      <c r="B198" s="48"/>
      <c r="C198" s="160" t="s">
        <v>305</v>
      </c>
      <c r="D198" s="156">
        <f>(($E$17+$F$17)*(F801EVE!R89+F801EVE!Y89)*$L198)</f>
        <v>0</v>
      </c>
      <c r="E198" s="156">
        <f>(($E$17+$F$17)*(F801EVE!S89+F801EVE!Z89)*$L198)</f>
        <v>0</v>
      </c>
      <c r="F198" s="156">
        <f>(($E$17+$F$17)*(F801EVE!T89+F801EVE!AA89)*$L198)</f>
        <v>0</v>
      </c>
      <c r="G198" s="156">
        <f>(($E$17+$F$17)*(F801EVE!U89+F801EVE!AB89)*$L198)</f>
        <v>0</v>
      </c>
      <c r="H198" s="156">
        <f>(($E$17+$F$17)*(F801EVE!V89+F801EVE!AC89)*$L198)</f>
        <v>0</v>
      </c>
      <c r="I198" s="156">
        <f>(($E$17+$F$17)*(F801EVE!W89+F801EVE!AD89)*$L198)</f>
        <v>0</v>
      </c>
      <c r="J198" s="156">
        <f t="shared" si="48"/>
        <v>0</v>
      </c>
      <c r="K198" s="69"/>
      <c r="L198" s="319">
        <v>0.95</v>
      </c>
      <c r="M198" s="329"/>
    </row>
    <row r="199" spans="2:13" s="37" customFormat="1" ht="15.75">
      <c r="B199" s="48"/>
      <c r="C199" s="160" t="s">
        <v>307</v>
      </c>
      <c r="D199" s="156">
        <f>(($E$17+$F$17)*(F801EVE!R90+F801EVE!Y90)*$L199)</f>
        <v>0</v>
      </c>
      <c r="E199" s="156">
        <f>(($E$17+$F$17)*(F801EVE!S90+F801EVE!Z90)*$L199)</f>
        <v>0</v>
      </c>
      <c r="F199" s="156">
        <f>(($E$17+$F$17)*(F801EVE!T90+F801EVE!AA90)*$L199)</f>
        <v>0</v>
      </c>
      <c r="G199" s="156">
        <f>(($E$17+$F$17)*(F801EVE!U90+F801EVE!AB90)*$L199)</f>
        <v>0</v>
      </c>
      <c r="H199" s="156">
        <f>(($E$17+$F$17)*(F801EVE!V90+F801EVE!AC90)*$L199)</f>
        <v>0</v>
      </c>
      <c r="I199" s="156">
        <f>(($E$17+$F$17)*(F801EVE!W90+F801EVE!AD90)*$L199)</f>
        <v>0</v>
      </c>
      <c r="J199" s="156">
        <f t="shared" si="48"/>
        <v>0</v>
      </c>
      <c r="K199" s="69"/>
      <c r="L199" s="319">
        <v>0.5</v>
      </c>
      <c r="M199" s="329"/>
    </row>
    <row r="200" spans="2:13" s="37" customFormat="1" ht="15.75">
      <c r="B200" s="48"/>
      <c r="C200" s="160" t="s">
        <v>624</v>
      </c>
      <c r="D200" s="156">
        <f>(($E$17+$F$17)*(F801EVE!R91+F801EVE!Y91)*$L200)</f>
        <v>0</v>
      </c>
      <c r="E200" s="156">
        <f>(($E$17+$F$17)*(F801EVE!S91+F801EVE!Z91)*$L200)</f>
        <v>0</v>
      </c>
      <c r="F200" s="156">
        <f>(($E$17+$F$17)*(F801EVE!T91+F801EVE!AA91)*$L200)</f>
        <v>0</v>
      </c>
      <c r="G200" s="156">
        <f>(($E$17+$F$17)*(F801EVE!U91+F801EVE!AB91)*$L200)</f>
        <v>0</v>
      </c>
      <c r="H200" s="156">
        <f>(($E$17+$F$17)*(F801EVE!V91+F801EVE!AC91)*$L200)</f>
        <v>0</v>
      </c>
      <c r="I200" s="156">
        <f>(($E$17+$F$17)*(F801EVE!W91+F801EVE!AD91)*$L200)</f>
        <v>0</v>
      </c>
      <c r="J200" s="156">
        <f t="shared" si="48"/>
        <v>0</v>
      </c>
      <c r="K200" s="69"/>
      <c r="L200" s="319">
        <v>0</v>
      </c>
      <c r="M200" s="329"/>
    </row>
    <row r="201" spans="2:13" s="37" customFormat="1" ht="15.75">
      <c r="B201" s="48" t="s">
        <v>902</v>
      </c>
      <c r="C201" s="158" t="s">
        <v>899</v>
      </c>
      <c r="D201" s="159">
        <f t="shared" ref="D201:I201" si="49">SUM(D202:D207)</f>
        <v>61149.364411835493</v>
      </c>
      <c r="E201" s="159">
        <f t="shared" si="49"/>
        <v>61174.884666687074</v>
      </c>
      <c r="F201" s="159">
        <f t="shared" si="49"/>
        <v>60019.455947743663</v>
      </c>
      <c r="G201" s="159">
        <f t="shared" si="49"/>
        <v>60965.185945375117</v>
      </c>
      <c r="H201" s="159">
        <f t="shared" si="49"/>
        <v>58323.578447845299</v>
      </c>
      <c r="I201" s="159">
        <f t="shared" si="49"/>
        <v>58596.875155600712</v>
      </c>
      <c r="J201" s="159">
        <f t="shared" si="48"/>
        <v>360229.34457508737</v>
      </c>
      <c r="K201" s="69"/>
      <c r="L201" s="319"/>
      <c r="M201" s="69"/>
    </row>
    <row r="202" spans="2:13" s="37" customFormat="1" ht="15.75">
      <c r="B202" s="48"/>
      <c r="C202" s="160" t="s">
        <v>304</v>
      </c>
      <c r="D202" s="156">
        <f>(($E$17+$F$17)*(F801EVE!R93+F801EVE!Y93)*$L202)</f>
        <v>55546.317603953925</v>
      </c>
      <c r="E202" s="156">
        <f>(($E$17+$F$17)*(F801EVE!S93+F801EVE!Z93)*$L202)</f>
        <v>55569.499466839246</v>
      </c>
      <c r="F202" s="156">
        <f>(($E$17+$F$17)*(F801EVE!T93+F801EVE!AA93)*$L202)</f>
        <v>54519.941369081847</v>
      </c>
      <c r="G202" s="156">
        <f>(($E$17+$F$17)*(F801EVE!U93+F801EVE!AB93)*$L202)</f>
        <v>55379.01520118623</v>
      </c>
      <c r="H202" s="156">
        <f>(($E$17+$F$17)*(F801EVE!V93+F801EVE!AC93)*$L202)</f>
        <v>52979.455198329073</v>
      </c>
      <c r="I202" s="156">
        <f>(($E$17+$F$17)*(F801EVE!W93+F801EVE!AD93)*$L202)</f>
        <v>53227.710039162048</v>
      </c>
      <c r="J202" s="156">
        <f t="shared" si="48"/>
        <v>327221.93887855241</v>
      </c>
      <c r="K202" s="69"/>
      <c r="L202" s="319">
        <v>1</v>
      </c>
      <c r="M202" s="329"/>
    </row>
    <row r="203" spans="2:13" s="37" customFormat="1" ht="15.75">
      <c r="B203" s="48"/>
      <c r="C203" s="162" t="s">
        <v>642</v>
      </c>
      <c r="D203" s="156">
        <f>(($E$17+$F$17)*(F801EVE!R94+F801EVE!Y94)*$L203)</f>
        <v>5080.879525662157</v>
      </c>
      <c r="E203" s="156">
        <f>(($E$17+$F$17)*(F801EVE!S94+F801EVE!Z94)*$L203)</f>
        <v>5082.9999948054156</v>
      </c>
      <c r="F203" s="156">
        <f>(($E$17+$F$17)*(F801EVE!T94+F801EVE!AA94)*$L203)</f>
        <v>4986.9958224332586</v>
      </c>
      <c r="G203" s="156">
        <f>(($E$17+$F$17)*(F801EVE!U94+F801EVE!AB94)*$L203)</f>
        <v>5065.5762006266923</v>
      </c>
      <c r="H203" s="156">
        <f>(($E$17+$F$17)*(F801EVE!V94+F801EVE!AC94)*$L203)</f>
        <v>4846.0859478966559</v>
      </c>
      <c r="I203" s="156">
        <f>(($E$17+$F$17)*(F801EVE!W94+F801EVE!AD94)*$L203)</f>
        <v>4868.7940767581986</v>
      </c>
      <c r="J203" s="156">
        <f t="shared" si="48"/>
        <v>29931.331568182381</v>
      </c>
      <c r="K203" s="69"/>
      <c r="L203" s="319">
        <v>0.75</v>
      </c>
      <c r="M203" s="329"/>
    </row>
    <row r="204" spans="2:13" s="37" customFormat="1" ht="15.75">
      <c r="B204" s="48"/>
      <c r="C204" s="162" t="s">
        <v>1177</v>
      </c>
      <c r="D204" s="156">
        <f>(($E$17+$F$17)*(F801EVE!R95+F801EVE!Y95)*$L204)</f>
        <v>522.16728221941003</v>
      </c>
      <c r="E204" s="156">
        <f>(($E$17+$F$17)*(F801EVE!S95+F801EVE!Z95)*$L204)</f>
        <v>522.38520504241194</v>
      </c>
      <c r="F204" s="156">
        <f>(($E$17+$F$17)*(F801EVE!T95+F801EVE!AA95)*$L204)</f>
        <v>512.51875622856039</v>
      </c>
      <c r="G204" s="156">
        <f>(($E$17+$F$17)*(F801EVE!U95+F801EVE!AB95)*$L204)</f>
        <v>520.59454356218953</v>
      </c>
      <c r="H204" s="156">
        <f>(($E$17+$F$17)*(F801EVE!V95+F801EVE!AC95)*$L204)</f>
        <v>498.03730161956395</v>
      </c>
      <c r="I204" s="156">
        <f>(($E$17+$F$17)*(F801EVE!W95+F801EVE!AD95)*$L204)</f>
        <v>500.37103968047074</v>
      </c>
      <c r="J204" s="156">
        <f t="shared" si="48"/>
        <v>3076.0741283526072</v>
      </c>
      <c r="K204" s="69"/>
      <c r="L204" s="319">
        <v>1</v>
      </c>
      <c r="M204" s="329"/>
    </row>
    <row r="205" spans="2:13" s="37" customFormat="1" ht="15.75">
      <c r="B205" s="48"/>
      <c r="C205" s="160" t="s">
        <v>305</v>
      </c>
      <c r="D205" s="156">
        <f>(($E$17+$F$17)*(F801EVE!R96+F801EVE!Y96)*$L205)</f>
        <v>0</v>
      </c>
      <c r="E205" s="156">
        <f>(($E$17+$F$17)*(F801EVE!S96+F801EVE!Z96)*$L205)</f>
        <v>0</v>
      </c>
      <c r="F205" s="156">
        <f>(($E$17+$F$17)*(F801EVE!T96+F801EVE!AA96)*$L205)</f>
        <v>0</v>
      </c>
      <c r="G205" s="156">
        <f>(($E$17+$F$17)*(F801EVE!U96+F801EVE!AB96)*$L205)</f>
        <v>0</v>
      </c>
      <c r="H205" s="156">
        <f>(($E$17+$F$17)*(F801EVE!V96+F801EVE!AC96)*$L205)</f>
        <v>0</v>
      </c>
      <c r="I205" s="156">
        <f>(($E$17+$F$17)*(F801EVE!W96+F801EVE!AD96)*$L205)</f>
        <v>0</v>
      </c>
      <c r="J205" s="156">
        <f t="shared" si="48"/>
        <v>0</v>
      </c>
      <c r="K205" s="69"/>
      <c r="L205" s="319">
        <v>0.95</v>
      </c>
      <c r="M205" s="329"/>
    </row>
    <row r="206" spans="2:13" s="37" customFormat="1" ht="15.75">
      <c r="B206" s="48"/>
      <c r="C206" s="160" t="s">
        <v>307</v>
      </c>
      <c r="D206" s="156">
        <f>(($E$17+$F$17)*(F801EVE!R97+F801EVE!Y97)*$L206)</f>
        <v>0</v>
      </c>
      <c r="E206" s="156">
        <f>(($E$17+$F$17)*(F801EVE!S97+F801EVE!Z97)*$L206)</f>
        <v>0</v>
      </c>
      <c r="F206" s="156">
        <f>(($E$17+$F$17)*(F801EVE!T97+F801EVE!AA97)*$L206)</f>
        <v>0</v>
      </c>
      <c r="G206" s="156">
        <f>(($E$17+$F$17)*(F801EVE!U97+F801EVE!AB97)*$L206)</f>
        <v>0</v>
      </c>
      <c r="H206" s="156">
        <f>(($E$17+$F$17)*(F801EVE!V97+F801EVE!AC97)*$L206)</f>
        <v>0</v>
      </c>
      <c r="I206" s="156">
        <f>(($E$17+$F$17)*(F801EVE!W97+F801EVE!AD97)*$L206)</f>
        <v>0</v>
      </c>
      <c r="J206" s="156">
        <f t="shared" si="48"/>
        <v>0</v>
      </c>
      <c r="K206" s="69"/>
      <c r="L206" s="319">
        <v>0.5</v>
      </c>
      <c r="M206" s="329"/>
    </row>
    <row r="207" spans="2:13" s="37" customFormat="1" ht="15.75">
      <c r="B207" s="48"/>
      <c r="C207" s="160" t="s">
        <v>624</v>
      </c>
      <c r="D207" s="156">
        <f>(($E$17+$F$17)*(F801EVE!R98+F801EVE!Y98)*$L207)</f>
        <v>0</v>
      </c>
      <c r="E207" s="156">
        <f>(($E$17+$F$17)*(F801EVE!S98+F801EVE!Z98)*$L207)</f>
        <v>0</v>
      </c>
      <c r="F207" s="156">
        <f>(($E$17+$F$17)*(F801EVE!T98+F801EVE!AA98)*$L207)</f>
        <v>0</v>
      </c>
      <c r="G207" s="156">
        <f>(($E$17+$F$17)*(F801EVE!U98+F801EVE!AB98)*$L207)</f>
        <v>0</v>
      </c>
      <c r="H207" s="156">
        <f>(($E$17+$F$17)*(F801EVE!V98+F801EVE!AC98)*$L207)</f>
        <v>0</v>
      </c>
      <c r="I207" s="156">
        <f>(($E$17+$F$17)*(F801EVE!W98+F801EVE!AD98)*$L207)</f>
        <v>0</v>
      </c>
      <c r="J207" s="156">
        <f t="shared" si="48"/>
        <v>0</v>
      </c>
      <c r="K207" s="69"/>
      <c r="L207" s="319">
        <v>0</v>
      </c>
      <c r="M207" s="329"/>
    </row>
    <row r="208" spans="2:13" s="37" customFormat="1" ht="15.75">
      <c r="B208" s="48" t="s">
        <v>902</v>
      </c>
      <c r="C208" s="158" t="s">
        <v>900</v>
      </c>
      <c r="D208" s="159">
        <f t="shared" ref="D208:I208" si="50">SUM(D209:D214)</f>
        <v>6762.2096443959208</v>
      </c>
      <c r="E208" s="159">
        <f t="shared" si="50"/>
        <v>6765.0318047755873</v>
      </c>
      <c r="F208" s="159">
        <f t="shared" si="50"/>
        <v>6637.2585842065282</v>
      </c>
      <c r="G208" s="159">
        <f t="shared" si="50"/>
        <v>6741.8422470538899</v>
      </c>
      <c r="H208" s="159">
        <f t="shared" si="50"/>
        <v>6449.7197717294002</v>
      </c>
      <c r="I208" s="159">
        <f t="shared" si="50"/>
        <v>6479.9423202504049</v>
      </c>
      <c r="J208" s="159">
        <f t="shared" si="48"/>
        <v>39836.004372411735</v>
      </c>
      <c r="K208" s="69"/>
      <c r="L208" s="319"/>
      <c r="M208" s="69"/>
    </row>
    <row r="209" spans="2:13" s="37" customFormat="1" ht="15.75">
      <c r="B209" s="48"/>
      <c r="C209" s="160" t="s">
        <v>304</v>
      </c>
      <c r="D209" s="156">
        <f>(($E$17+$F$17)*(F801EVE!R100+F801EVE!Y100)*$L209)</f>
        <v>6569.5156517814403</v>
      </c>
      <c r="E209" s="156">
        <f>(($E$17+$F$17)*(F801EVE!S100+F801EVE!Z100)*$L209)</f>
        <v>6572.2573926858231</v>
      </c>
      <c r="F209" s="156">
        <f>(($E$17+$F$17)*(F801EVE!T100+F801EVE!AA100)*$L209)</f>
        <v>6448.1251612779133</v>
      </c>
      <c r="G209" s="156">
        <f>(($E$17+$F$17)*(F801EVE!U100+F801EVE!AB100)*$L209)</f>
        <v>6549.7286379707375</v>
      </c>
      <c r="H209" s="156">
        <f>(($E$17+$F$17)*(F801EVE!V100+F801EVE!AC100)*$L209)</f>
        <v>6265.9304011811109</v>
      </c>
      <c r="I209" s="156">
        <f>(($E$17+$F$17)*(F801EVE!W100+F801EVE!AD100)*$L209)</f>
        <v>6295.2917366005195</v>
      </c>
      <c r="J209" s="156">
        <f t="shared" si="48"/>
        <v>38700.84898149754</v>
      </c>
      <c r="K209" s="69"/>
      <c r="L209" s="319">
        <v>1</v>
      </c>
      <c r="M209" s="329"/>
    </row>
    <row r="210" spans="2:13" s="37" customFormat="1" ht="15.75">
      <c r="B210" s="48"/>
      <c r="C210" s="162" t="s">
        <v>642</v>
      </c>
      <c r="D210" s="156">
        <f>(($E$17+$F$17)*(F801EVE!R101+F801EVE!Y101)*$L210)</f>
        <v>192.69399261448086</v>
      </c>
      <c r="E210" s="156">
        <f>(($E$17+$F$17)*(F801EVE!S101+F801EVE!Z101)*$L210)</f>
        <v>192.77441208976393</v>
      </c>
      <c r="F210" s="156">
        <f>(($E$17+$F$17)*(F801EVE!T101+F801EVE!AA101)*$L210)</f>
        <v>189.133422928615</v>
      </c>
      <c r="G210" s="156">
        <f>(($E$17+$F$17)*(F801EVE!U101+F801EVE!AB101)*$L210)</f>
        <v>192.11360908315197</v>
      </c>
      <c r="H210" s="156">
        <f>(($E$17+$F$17)*(F801EVE!V101+F801EVE!AC101)*$L210)</f>
        <v>183.78937054828916</v>
      </c>
      <c r="I210" s="156">
        <f>(($E$17+$F$17)*(F801EVE!W101+F801EVE!AD101)*$L210)</f>
        <v>184.65058364988587</v>
      </c>
      <c r="J210" s="156">
        <f t="shared" si="48"/>
        <v>1135.1553909141867</v>
      </c>
      <c r="K210" s="69"/>
      <c r="L210" s="319">
        <v>0.75</v>
      </c>
      <c r="M210" s="329"/>
    </row>
    <row r="211" spans="2:13" s="37" customFormat="1" ht="15.75">
      <c r="B211" s="48"/>
      <c r="C211" s="162" t="s">
        <v>1177</v>
      </c>
      <c r="D211" s="156">
        <f>(($E$17+$F$17)*(F801EVE!R102+F801EVE!Y102)*$L211)</f>
        <v>0</v>
      </c>
      <c r="E211" s="156">
        <f>(($E$17+$F$17)*(F801EVE!S102+F801EVE!Z102)*$L211)</f>
        <v>0</v>
      </c>
      <c r="F211" s="156">
        <f>(($E$17+$F$17)*(F801EVE!T102+F801EVE!AA102)*$L211)</f>
        <v>0</v>
      </c>
      <c r="G211" s="156">
        <f>(($E$17+$F$17)*(F801EVE!U102+F801EVE!AB102)*$L211)</f>
        <v>0</v>
      </c>
      <c r="H211" s="156">
        <f>(($E$17+$F$17)*(F801EVE!V102+F801EVE!AC102)*$L211)</f>
        <v>0</v>
      </c>
      <c r="I211" s="156">
        <f>(($E$17+$F$17)*(F801EVE!W102+F801EVE!AD102)*$L211)</f>
        <v>0</v>
      </c>
      <c r="J211" s="156">
        <f t="shared" si="48"/>
        <v>0</v>
      </c>
      <c r="K211" s="69"/>
      <c r="L211" s="319">
        <v>1</v>
      </c>
      <c r="M211" s="329"/>
    </row>
    <row r="212" spans="2:13" s="37" customFormat="1" ht="15.75">
      <c r="B212" s="48"/>
      <c r="C212" s="160" t="s">
        <v>305</v>
      </c>
      <c r="D212" s="156">
        <f>(($E$17+$F$17)*(F801EVE!R103+F801EVE!Y103)*$L212)</f>
        <v>0</v>
      </c>
      <c r="E212" s="156">
        <f>(($E$17+$F$17)*(F801EVE!S103+F801EVE!Z103)*$L212)</f>
        <v>0</v>
      </c>
      <c r="F212" s="156">
        <f>(($E$17+$F$17)*(F801EVE!T103+F801EVE!AA103)*$L212)</f>
        <v>0</v>
      </c>
      <c r="G212" s="156">
        <f>(($E$17+$F$17)*(F801EVE!U103+F801EVE!AB103)*$L212)</f>
        <v>0</v>
      </c>
      <c r="H212" s="156">
        <f>(($E$17+$F$17)*(F801EVE!V103+F801EVE!AC103)*$L212)</f>
        <v>0</v>
      </c>
      <c r="I212" s="156">
        <f>(($E$17+$F$17)*(F801EVE!W103+F801EVE!AD103)*$L212)</f>
        <v>0</v>
      </c>
      <c r="J212" s="156">
        <f t="shared" si="48"/>
        <v>0</v>
      </c>
      <c r="K212" s="69"/>
      <c r="L212" s="319">
        <v>0.95</v>
      </c>
      <c r="M212" s="329"/>
    </row>
    <row r="213" spans="2:13" s="37" customFormat="1" ht="15.75">
      <c r="B213" s="48"/>
      <c r="C213" s="160" t="s">
        <v>307</v>
      </c>
      <c r="D213" s="156">
        <f>(($E$17+$F$17)*(F801EVE!R104+F801EVE!Y104)*$L213)</f>
        <v>0</v>
      </c>
      <c r="E213" s="156">
        <f>(($E$17+$F$17)*(F801EVE!S104+F801EVE!Z104)*$L213)</f>
        <v>0</v>
      </c>
      <c r="F213" s="156">
        <f>(($E$17+$F$17)*(F801EVE!T104+F801EVE!AA104)*$L213)</f>
        <v>0</v>
      </c>
      <c r="G213" s="156">
        <f>(($E$17+$F$17)*(F801EVE!U104+F801EVE!AB104)*$L213)</f>
        <v>0</v>
      </c>
      <c r="H213" s="156">
        <f>(($E$17+$F$17)*(F801EVE!V104+F801EVE!AC104)*$L213)</f>
        <v>0</v>
      </c>
      <c r="I213" s="156">
        <f>(($E$17+$F$17)*(F801EVE!W104+F801EVE!AD104)*$L213)</f>
        <v>0</v>
      </c>
      <c r="J213" s="156">
        <f t="shared" si="48"/>
        <v>0</v>
      </c>
      <c r="K213" s="69"/>
      <c r="L213" s="319">
        <v>0.5</v>
      </c>
      <c r="M213" s="329"/>
    </row>
    <row r="214" spans="2:13" s="37" customFormat="1" ht="15.75">
      <c r="B214" s="48"/>
      <c r="C214" s="160" t="s">
        <v>624</v>
      </c>
      <c r="D214" s="156">
        <f>(($E$17+$F$17)*(F801EVE!R105+F801EVE!Y105)*$L214)</f>
        <v>0</v>
      </c>
      <c r="E214" s="156">
        <f>(($E$17+$F$17)*(F801EVE!S105+F801EVE!Z105)*$L214)</f>
        <v>0</v>
      </c>
      <c r="F214" s="156">
        <f>(($E$17+$F$17)*(F801EVE!T105+F801EVE!AA105)*$L214)</f>
        <v>0</v>
      </c>
      <c r="G214" s="156">
        <f>(($E$17+$F$17)*(F801EVE!U105+F801EVE!AB105)*$L214)</f>
        <v>0</v>
      </c>
      <c r="H214" s="156">
        <f>(($E$17+$F$17)*(F801EVE!V105+F801EVE!AC105)*$L214)</f>
        <v>0</v>
      </c>
      <c r="I214" s="156">
        <f>(($E$17+$F$17)*(F801EVE!W105+F801EVE!AD105)*$L214)</f>
        <v>0</v>
      </c>
      <c r="J214" s="156">
        <f t="shared" si="48"/>
        <v>0</v>
      </c>
      <c r="K214" s="69"/>
      <c r="L214" s="319">
        <v>0</v>
      </c>
      <c r="M214" s="329"/>
    </row>
    <row r="215" spans="2:13" s="37" customFormat="1" ht="15.75">
      <c r="B215" s="48"/>
      <c r="C215" s="157"/>
      <c r="D215" s="156"/>
      <c r="E215" s="156"/>
      <c r="F215" s="156"/>
      <c r="G215" s="156"/>
      <c r="H215" s="156"/>
      <c r="I215" s="156"/>
      <c r="J215" s="156"/>
      <c r="K215" s="69"/>
      <c r="L215" s="319"/>
      <c r="M215" s="69"/>
    </row>
    <row r="216" spans="2:13" s="37" customFormat="1" ht="15.75">
      <c r="B216" s="48"/>
      <c r="C216" s="153" t="s">
        <v>112</v>
      </c>
      <c r="D216" s="154">
        <f t="shared" ref="D216:I216" si="51">D125+D129+D139</f>
        <v>19153344.158499703</v>
      </c>
      <c r="E216" s="154">
        <f t="shared" si="51"/>
        <v>19161337.671251416</v>
      </c>
      <c r="F216" s="154">
        <f t="shared" si="51"/>
        <v>18799431.638091497</v>
      </c>
      <c r="G216" s="154">
        <f t="shared" si="51"/>
        <v>19095655.3568477</v>
      </c>
      <c r="H216" s="154">
        <f t="shared" si="51"/>
        <v>18268244.998317976</v>
      </c>
      <c r="I216" s="154">
        <f t="shared" si="51"/>
        <v>18353847.619888499</v>
      </c>
      <c r="J216" s="154">
        <f>SUM(D216:I216)</f>
        <v>112831861.44289678</v>
      </c>
      <c r="K216" s="69"/>
      <c r="L216" s="319"/>
      <c r="M216" s="69"/>
    </row>
    <row r="217" spans="2:13">
      <c r="C217" s="48"/>
      <c r="D217" s="48"/>
      <c r="E217" s="48"/>
      <c r="F217" s="48"/>
      <c r="G217" s="48"/>
      <c r="H217" s="48"/>
      <c r="I217" s="48"/>
      <c r="J217" s="48"/>
    </row>
    <row r="218" spans="2:13" s="69" customFormat="1" ht="30">
      <c r="B218" s="48"/>
      <c r="C218" s="320" t="s">
        <v>1463</v>
      </c>
      <c r="D218" s="320"/>
      <c r="E218" s="320"/>
      <c r="F218" s="320"/>
      <c r="G218" s="320"/>
      <c r="H218" s="320"/>
      <c r="I218" s="320"/>
      <c r="J218" s="321"/>
      <c r="L218" s="319"/>
    </row>
    <row r="219" spans="2:13" s="37" customFormat="1" ht="15.75">
      <c r="B219" s="48"/>
      <c r="C219" s="150" t="s">
        <v>310</v>
      </c>
      <c r="D219" s="151">
        <f t="shared" ref="D219:I219" si="52">D$29</f>
        <v>46204</v>
      </c>
      <c r="E219" s="151">
        <f t="shared" si="52"/>
        <v>46235</v>
      </c>
      <c r="F219" s="151">
        <f t="shared" si="52"/>
        <v>46266</v>
      </c>
      <c r="G219" s="151">
        <f t="shared" si="52"/>
        <v>46296</v>
      </c>
      <c r="H219" s="151">
        <f t="shared" si="52"/>
        <v>46327</v>
      </c>
      <c r="I219" s="151">
        <f t="shared" si="52"/>
        <v>46357</v>
      </c>
      <c r="J219" s="152" t="s">
        <v>111</v>
      </c>
      <c r="K219" s="69"/>
      <c r="L219" s="319"/>
      <c r="M219" s="69"/>
    </row>
    <row r="220" spans="2:13" s="37" customFormat="1" ht="15.75">
      <c r="B220" s="48"/>
      <c r="C220" s="153" t="s">
        <v>446</v>
      </c>
      <c r="D220" s="154">
        <f t="shared" ref="D220:I220" si="53">SUM(D221:D222)</f>
        <v>37293.418489024763</v>
      </c>
      <c r="E220" s="154">
        <f t="shared" si="53"/>
        <v>37308.982633530293</v>
      </c>
      <c r="F220" s="154">
        <f t="shared" si="53"/>
        <v>36604.316490811492</v>
      </c>
      <c r="G220" s="154">
        <f t="shared" si="53"/>
        <v>37181.092797785939</v>
      </c>
      <c r="H220" s="154">
        <f t="shared" si="53"/>
        <v>35570.044590880017</v>
      </c>
      <c r="I220" s="154">
        <f t="shared" si="53"/>
        <v>35736.721196467479</v>
      </c>
      <c r="J220" s="154">
        <f>SUM(D220:I220)</f>
        <v>219694.5761985</v>
      </c>
      <c r="K220" s="69"/>
      <c r="L220" s="319"/>
      <c r="M220" s="69"/>
    </row>
    <row r="221" spans="2:13" s="37" customFormat="1" ht="15.75">
      <c r="B221" s="48" t="s">
        <v>279</v>
      </c>
      <c r="C221" s="155" t="s">
        <v>279</v>
      </c>
      <c r="D221" s="156">
        <f>$J$7*F801EVE!D6</f>
        <v>37292.443489024765</v>
      </c>
      <c r="E221" s="156">
        <f>$J$7*F801EVE!E6</f>
        <v>37308.007633530295</v>
      </c>
      <c r="F221" s="156">
        <f>$J$7*F801EVE!F6</f>
        <v>36603.341490811494</v>
      </c>
      <c r="G221" s="156">
        <f>$J$7*F801EVE!G6</f>
        <v>37180.117797785941</v>
      </c>
      <c r="H221" s="156">
        <f>$J$7*F801EVE!H6</f>
        <v>35569.069590880019</v>
      </c>
      <c r="I221" s="156">
        <f>$J$7*F801EVE!I6</f>
        <v>35735.74619646748</v>
      </c>
      <c r="J221" s="156">
        <f>SUM(D221:I221)</f>
        <v>219688.72619849999</v>
      </c>
      <c r="K221" s="69"/>
      <c r="L221" s="319"/>
      <c r="M221" s="69"/>
    </row>
    <row r="222" spans="2:13" s="37" customFormat="1" ht="15.75">
      <c r="B222" s="48" t="s">
        <v>278</v>
      </c>
      <c r="C222" s="155" t="s">
        <v>278</v>
      </c>
      <c r="D222" s="156">
        <f>$J$8*F801EVE!D7</f>
        <v>0.97499999999999998</v>
      </c>
      <c r="E222" s="156">
        <f>$J$8*F801EVE!E7</f>
        <v>0.97499999999999998</v>
      </c>
      <c r="F222" s="156">
        <f>$J$8*F801EVE!F7</f>
        <v>0.97499999999999998</v>
      </c>
      <c r="G222" s="156">
        <f>$J$8*F801EVE!G7</f>
        <v>0.97499999999999998</v>
      </c>
      <c r="H222" s="156">
        <f>$J$8*F801EVE!H7</f>
        <v>0.97499999999999998</v>
      </c>
      <c r="I222" s="156">
        <f>$J$8*F801EVE!I7</f>
        <v>0.97499999999999998</v>
      </c>
      <c r="J222" s="156">
        <f>SUM(D222:I222)</f>
        <v>5.85</v>
      </c>
      <c r="K222" s="69"/>
      <c r="L222" s="319"/>
    </row>
    <row r="223" spans="2:13" s="37" customFormat="1" ht="15.75">
      <c r="B223" s="48"/>
      <c r="C223" s="157"/>
      <c r="D223" s="156"/>
      <c r="E223" s="156"/>
      <c r="F223" s="156"/>
      <c r="G223" s="156"/>
      <c r="H223" s="156"/>
      <c r="I223" s="156"/>
      <c r="J223" s="156"/>
      <c r="K223" s="69"/>
      <c r="L223" s="319"/>
    </row>
    <row r="224" spans="2:13" s="37" customFormat="1" ht="15.75">
      <c r="B224" s="48"/>
      <c r="C224" s="153" t="s">
        <v>630</v>
      </c>
      <c r="D224" s="154">
        <f>D225+D228</f>
        <v>59701.036866411639</v>
      </c>
      <c r="E224" s="154">
        <f t="shared" ref="E224:I224" si="54">E225+E228</f>
        <v>59725.952672003245</v>
      </c>
      <c r="F224" s="154">
        <f t="shared" si="54"/>
        <v>58597.890373896997</v>
      </c>
      <c r="G224" s="154">
        <f t="shared" si="54"/>
        <v>59521.220681535284</v>
      </c>
      <c r="H224" s="154">
        <f t="shared" si="54"/>
        <v>56942.179867071936</v>
      </c>
      <c r="I224" s="154">
        <f t="shared" si="54"/>
        <v>57209.003520630904</v>
      </c>
      <c r="J224" s="154">
        <f t="shared" ref="J224:J232" si="55">SUM(D224:I224)</f>
        <v>351697.28398154996</v>
      </c>
      <c r="K224" s="69"/>
      <c r="L224" s="319"/>
    </row>
    <row r="225" spans="2:12" s="37" customFormat="1" ht="15.75">
      <c r="B225" s="48" t="s">
        <v>277</v>
      </c>
      <c r="C225" s="155" t="s">
        <v>277</v>
      </c>
      <c r="D225" s="154">
        <f>SUM(D226:D227)</f>
        <v>8540.5776944635327</v>
      </c>
      <c r="E225" s="154">
        <f t="shared" ref="E225:I225" si="56">SUM(E226:E227)</f>
        <v>8544.1420441740956</v>
      </c>
      <c r="F225" s="154">
        <f t="shared" si="56"/>
        <v>8382.7662254805382</v>
      </c>
      <c r="G225" s="154">
        <f t="shared" si="56"/>
        <v>8514.8539519916048</v>
      </c>
      <c r="H225" s="154">
        <f t="shared" si="56"/>
        <v>8145.9072869210513</v>
      </c>
      <c r="I225" s="154">
        <f t="shared" si="56"/>
        <v>8184.0779496691748</v>
      </c>
      <c r="J225" s="154">
        <f t="shared" si="55"/>
        <v>50312.325152700003</v>
      </c>
      <c r="K225" s="69"/>
      <c r="L225" s="319"/>
    </row>
    <row r="226" spans="2:12" s="37" customFormat="1" ht="15.75">
      <c r="B226" s="48"/>
      <c r="C226" s="160" t="s">
        <v>304</v>
      </c>
      <c r="D226" s="156">
        <f>$J$9*F801EVE!D11</f>
        <v>7446.3435603834432</v>
      </c>
      <c r="E226" s="156">
        <f>$J$9*F801EVE!E11</f>
        <v>7449.451239215452</v>
      </c>
      <c r="F226" s="156">
        <f>$J$9*F801EVE!F11</f>
        <v>7308.7511798846454</v>
      </c>
      <c r="G226" s="156">
        <f>$J$9*F801EVE!G11</f>
        <v>7423.9155899395973</v>
      </c>
      <c r="H226" s="156">
        <f>$J$9*F801EVE!H11</f>
        <v>7102.2390334047832</v>
      </c>
      <c r="I226" s="156">
        <f>$J$9*F801EVE!I11</f>
        <v>7135.5192023720783</v>
      </c>
      <c r="J226" s="156">
        <f t="shared" si="55"/>
        <v>43866.219805200002</v>
      </c>
      <c r="K226" s="69"/>
      <c r="L226" s="319"/>
    </row>
    <row r="227" spans="2:12" s="37" customFormat="1" ht="15.75">
      <c r="B227" s="48"/>
      <c r="C227" s="160" t="s">
        <v>305</v>
      </c>
      <c r="D227" s="156">
        <f>($J$9*F801EVE!D12)*$L227</f>
        <v>1094.2341340800897</v>
      </c>
      <c r="E227" s="156">
        <f>($J$9*F801EVE!E12)*$L227</f>
        <v>1094.6908049586443</v>
      </c>
      <c r="F227" s="156">
        <f>($J$9*F801EVE!F12)*$L227</f>
        <v>1074.0150455958933</v>
      </c>
      <c r="G227" s="156">
        <f>($J$9*F801EVE!G12)*$L227</f>
        <v>1090.9383620520082</v>
      </c>
      <c r="H227" s="156">
        <f>($J$9*F801EVE!H12)*$L227</f>
        <v>1043.6682535162679</v>
      </c>
      <c r="I227" s="156">
        <f>($J$9*F801EVE!I12)*$L227</f>
        <v>1048.5587472970963</v>
      </c>
      <c r="J227" s="156">
        <f t="shared" si="55"/>
        <v>6446.1053474999999</v>
      </c>
      <c r="K227" s="69"/>
      <c r="L227" s="319">
        <v>0.95</v>
      </c>
    </row>
    <row r="228" spans="2:12" s="37" customFormat="1" ht="15.75">
      <c r="B228" s="48" t="s">
        <v>276</v>
      </c>
      <c r="C228" s="158" t="s">
        <v>276</v>
      </c>
      <c r="D228" s="159">
        <f t="shared" ref="D228:I228" si="57">SUM(D229:D232)</f>
        <v>51160.45917194811</v>
      </c>
      <c r="E228" s="159">
        <f t="shared" si="57"/>
        <v>51181.810627829145</v>
      </c>
      <c r="F228" s="159">
        <f t="shared" si="57"/>
        <v>50215.124148416457</v>
      </c>
      <c r="G228" s="159">
        <f t="shared" si="57"/>
        <v>51006.366729543683</v>
      </c>
      <c r="H228" s="159">
        <f t="shared" si="57"/>
        <v>48796.272580150886</v>
      </c>
      <c r="I228" s="159">
        <f t="shared" si="57"/>
        <v>49024.925570961728</v>
      </c>
      <c r="J228" s="159">
        <f t="shared" si="55"/>
        <v>301384.95882885001</v>
      </c>
      <c r="K228" s="69"/>
      <c r="L228" s="319"/>
    </row>
    <row r="229" spans="2:12" s="37" customFormat="1" ht="15.75">
      <c r="B229" s="48"/>
      <c r="C229" s="160" t="s">
        <v>304</v>
      </c>
      <c r="D229" s="156">
        <f>$J$10*F801EVE!D15</f>
        <v>50961.012698510312</v>
      </c>
      <c r="E229" s="156">
        <f>$J$10*F801EVE!E15</f>
        <v>50982.280916815937</v>
      </c>
      <c r="F229" s="156">
        <f>$J$10*F801EVE!F15</f>
        <v>50019.363015957068</v>
      </c>
      <c r="G229" s="156">
        <f>$J$10*F801EVE!G15</f>
        <v>50807.520977731889</v>
      </c>
      <c r="H229" s="156">
        <f>$J$10*F801EVE!H15</f>
        <v>48606.042769071377</v>
      </c>
      <c r="I229" s="156">
        <f>$J$10*F801EVE!I15</f>
        <v>48833.804367713419</v>
      </c>
      <c r="J229" s="156">
        <f t="shared" si="55"/>
        <v>300210.02474580001</v>
      </c>
      <c r="K229" s="69"/>
      <c r="L229" s="319">
        <v>1</v>
      </c>
    </row>
    <row r="230" spans="2:12" s="37" customFormat="1" ht="15.75">
      <c r="B230" s="48"/>
      <c r="C230" s="161" t="s">
        <v>306</v>
      </c>
      <c r="D230" s="156">
        <f>$J$10*F801EVE!D16</f>
        <v>0</v>
      </c>
      <c r="E230" s="156">
        <f>$J$10*F801EVE!E16</f>
        <v>0</v>
      </c>
      <c r="F230" s="156">
        <f>$J$10*F801EVE!F16</f>
        <v>0</v>
      </c>
      <c r="G230" s="156">
        <f>$J$10*F801EVE!G16</f>
        <v>0</v>
      </c>
      <c r="H230" s="156">
        <f>$J$10*F801EVE!H16</f>
        <v>0</v>
      </c>
      <c r="I230" s="156">
        <f>$J$10*F801EVE!I16</f>
        <v>0</v>
      </c>
      <c r="J230" s="156">
        <f t="shared" si="55"/>
        <v>0</v>
      </c>
      <c r="K230" s="69"/>
      <c r="L230" s="319">
        <v>1</v>
      </c>
    </row>
    <row r="231" spans="2:12" s="37" customFormat="1" ht="15.75">
      <c r="B231" s="48"/>
      <c r="C231" s="160" t="s">
        <v>305</v>
      </c>
      <c r="D231" s="156">
        <f>$J$10*F801EVE!D17*0.95</f>
        <v>199.4464734377971</v>
      </c>
      <c r="E231" s="156">
        <f>$J$10*F801EVE!E17*0.95</f>
        <v>199.52971101320514</v>
      </c>
      <c r="F231" s="156">
        <f>$J$10*F801EVE!F17*0.95</f>
        <v>195.76113245938762</v>
      </c>
      <c r="G231" s="156">
        <f>$J$10*F801EVE!G17*0.95</f>
        <v>198.84575181179122</v>
      </c>
      <c r="H231" s="156">
        <f>$J$10*F801EVE!H17*0.95</f>
        <v>190.22981107950798</v>
      </c>
      <c r="I231" s="156">
        <f>$J$10*F801EVE!I17*0.95</f>
        <v>191.12120324831079</v>
      </c>
      <c r="J231" s="156">
        <f t="shared" si="55"/>
        <v>1174.9340830499998</v>
      </c>
      <c r="K231" s="69"/>
      <c r="L231" s="319">
        <v>0.95</v>
      </c>
    </row>
    <row r="232" spans="2:12" s="37" customFormat="1" ht="15.75">
      <c r="B232" s="48"/>
      <c r="C232" s="160" t="s">
        <v>307</v>
      </c>
      <c r="D232" s="156">
        <f>$J$10*F801EVE!D18*0.5</f>
        <v>0</v>
      </c>
      <c r="E232" s="156">
        <f>$J$10*F801EVE!E18*0.5</f>
        <v>0</v>
      </c>
      <c r="F232" s="156">
        <f>$J$10*F801EVE!F18*0.5</f>
        <v>0</v>
      </c>
      <c r="G232" s="156">
        <f>$J$10*F801EVE!G18*0.5</f>
        <v>0</v>
      </c>
      <c r="H232" s="156">
        <f>$J$10*F801EVE!H18*0.5</f>
        <v>0</v>
      </c>
      <c r="I232" s="156">
        <f>$J$10*F801EVE!I18*0.5</f>
        <v>0</v>
      </c>
      <c r="J232" s="156">
        <f t="shared" si="55"/>
        <v>0</v>
      </c>
      <c r="K232" s="69"/>
      <c r="L232" s="319">
        <v>0.5</v>
      </c>
    </row>
    <row r="233" spans="2:12" s="37" customFormat="1" ht="15.75">
      <c r="B233" s="48"/>
      <c r="C233" s="157"/>
      <c r="D233" s="157"/>
      <c r="E233" s="157"/>
      <c r="F233" s="157"/>
      <c r="G233" s="157"/>
      <c r="H233" s="157"/>
      <c r="I233" s="157"/>
      <c r="J233" s="157"/>
      <c r="K233" s="69"/>
      <c r="L233" s="319"/>
    </row>
    <row r="234" spans="2:12" s="37" customFormat="1" ht="15.75">
      <c r="B234" s="48"/>
      <c r="C234" s="153" t="s">
        <v>443</v>
      </c>
      <c r="D234" s="154">
        <f t="shared" ref="D234:I234" si="58">D235+D239+D246+D251+D256+D269+D275+D282+D290+D296+D303+D262</f>
        <v>440524.19311017968</v>
      </c>
      <c r="E234" s="154">
        <f t="shared" si="58"/>
        <v>440708.04276723816</v>
      </c>
      <c r="F234" s="154">
        <f t="shared" si="58"/>
        <v>432384.25544737588</v>
      </c>
      <c r="G234" s="154">
        <f t="shared" si="58"/>
        <v>439197.35887230776</v>
      </c>
      <c r="H234" s="154">
        <f t="shared" si="58"/>
        <v>420167.03823764401</v>
      </c>
      <c r="I234" s="154">
        <f t="shared" si="58"/>
        <v>422135.88636585651</v>
      </c>
      <c r="J234" s="154">
        <f>SUM(D234:I234)</f>
        <v>2595116.7748006019</v>
      </c>
      <c r="K234" s="69"/>
      <c r="L234" s="319"/>
    </row>
    <row r="235" spans="2:12" s="37" customFormat="1" ht="15.75">
      <c r="B235" s="48" t="s">
        <v>275</v>
      </c>
      <c r="C235" s="155" t="s">
        <v>275</v>
      </c>
      <c r="D235" s="156">
        <f>$J$11*F801EVE!D21</f>
        <v>5723.0280016088145</v>
      </c>
      <c r="E235" s="156">
        <f>$J$11*F801EVE!E21</f>
        <v>5725.4164668778931</v>
      </c>
      <c r="F235" s="156">
        <f>$J$11*F801EVE!F21</f>
        <v>5617.2787785146702</v>
      </c>
      <c r="G235" s="156">
        <f>$J$11*F801EVE!G21</f>
        <v>5705.7905612693339</v>
      </c>
      <c r="H235" s="156">
        <f>$J$11*F801EVE!H21</f>
        <v>5458.5599674105888</v>
      </c>
      <c r="I235" s="156">
        <f>$J$11*F801EVE!I21</f>
        <v>5484.1380699187002</v>
      </c>
      <c r="J235" s="156">
        <f>SUM(D235:I235)</f>
        <v>33714.211845600003</v>
      </c>
      <c r="K235" s="69"/>
      <c r="L235" s="319"/>
    </row>
    <row r="236" spans="2:12" s="37" customFormat="1" ht="15.75">
      <c r="B236" s="48"/>
      <c r="C236" s="160" t="s">
        <v>304</v>
      </c>
      <c r="D236" s="156"/>
      <c r="E236" s="156"/>
      <c r="F236" s="156"/>
      <c r="G236" s="156"/>
      <c r="H236" s="156"/>
      <c r="I236" s="156"/>
      <c r="J236" s="156"/>
      <c r="K236" s="69"/>
      <c r="L236" s="319"/>
    </row>
    <row r="237" spans="2:12" s="37" customFormat="1" ht="15.75">
      <c r="B237" s="48"/>
      <c r="C237" s="161" t="s">
        <v>306</v>
      </c>
      <c r="D237" s="156"/>
      <c r="E237" s="156"/>
      <c r="F237" s="156"/>
      <c r="G237" s="156"/>
      <c r="H237" s="156"/>
      <c r="I237" s="156"/>
      <c r="J237" s="156"/>
      <c r="K237" s="69"/>
      <c r="L237" s="319"/>
    </row>
    <row r="238" spans="2:12" s="37" customFormat="1" ht="15.75">
      <c r="B238" s="48"/>
      <c r="C238" s="160" t="s">
        <v>305</v>
      </c>
      <c r="D238" s="156"/>
      <c r="E238" s="156"/>
      <c r="F238" s="156"/>
      <c r="G238" s="156"/>
      <c r="H238" s="156"/>
      <c r="I238" s="156"/>
      <c r="J238" s="156"/>
      <c r="K238" s="69"/>
      <c r="L238" s="319"/>
    </row>
    <row r="239" spans="2:12" s="37" customFormat="1" ht="15.75">
      <c r="B239" s="48" t="s">
        <v>274</v>
      </c>
      <c r="C239" s="158" t="s">
        <v>627</v>
      </c>
      <c r="D239" s="159">
        <f t="shared" ref="D239:I239" si="59">SUM(D240:D245)</f>
        <v>69005.410958074091</v>
      </c>
      <c r="E239" s="159">
        <f t="shared" si="59"/>
        <v>69034.209878401831</v>
      </c>
      <c r="F239" s="159">
        <f t="shared" si="59"/>
        <v>67730.339685304294</v>
      </c>
      <c r="G239" s="159">
        <f t="shared" si="59"/>
        <v>68797.570518684894</v>
      </c>
      <c r="H239" s="159">
        <f t="shared" si="59"/>
        <v>65816.587597434889</v>
      </c>
      <c r="I239" s="159">
        <f t="shared" si="59"/>
        <v>66124.99557213005</v>
      </c>
      <c r="J239" s="159">
        <f t="shared" ref="J239:J260" si="60">SUM(D239:I239)</f>
        <v>406509.11421003006</v>
      </c>
      <c r="K239" s="69"/>
      <c r="L239" s="319"/>
    </row>
    <row r="240" spans="2:12" s="37" customFormat="1" ht="15.75">
      <c r="B240" s="48"/>
      <c r="C240" s="160" t="s">
        <v>304</v>
      </c>
      <c r="D240" s="156">
        <f>$J$12*F801EVE!D28</f>
        <v>68881.263809598255</v>
      </c>
      <c r="E240" s="156">
        <f>$J$12*F801EVE!E28</f>
        <v>68910.010917991414</v>
      </c>
      <c r="F240" s="156">
        <f>$J$12*F801EVE!F28</f>
        <v>67608.486508568065</v>
      </c>
      <c r="G240" s="156">
        <f>$J$12*F801EVE!G28</f>
        <v>68673.797294478602</v>
      </c>
      <c r="H240" s="156">
        <f>$J$12*F801EVE!H28</f>
        <v>65698.17743859101</v>
      </c>
      <c r="I240" s="156">
        <f>$J$12*F801EVE!I28</f>
        <v>66006.03055867269</v>
      </c>
      <c r="J240" s="156">
        <f t="shared" si="60"/>
        <v>405777.76652790006</v>
      </c>
      <c r="K240" s="69"/>
      <c r="L240" s="319">
        <v>1</v>
      </c>
    </row>
    <row r="241" spans="2:12" s="37" customFormat="1" ht="15.75">
      <c r="B241" s="48"/>
      <c r="C241" s="162" t="s">
        <v>628</v>
      </c>
      <c r="D241" s="156">
        <f>$J$12*F801EVE!D29*0.75</f>
        <v>5.9603526007295553</v>
      </c>
      <c r="E241" s="156">
        <f>$J$12*F801EVE!E29*0.75</f>
        <v>5.9628401117419596</v>
      </c>
      <c r="F241" s="156">
        <f>$J$12*F801EVE!F29*0.75</f>
        <v>5.8502181305300169</v>
      </c>
      <c r="G241" s="156">
        <f>$J$12*F801EVE!G29*0.75</f>
        <v>5.9424003519674571</v>
      </c>
      <c r="H241" s="156">
        <f>$J$12*F801EVE!H29*0.75</f>
        <v>5.6849175102494636</v>
      </c>
      <c r="I241" s="156">
        <f>$J$12*F801EVE!I29*0.75</f>
        <v>5.7115562947815484</v>
      </c>
      <c r="J241" s="156">
        <f t="shared" si="60"/>
        <v>35.112285</v>
      </c>
      <c r="K241" s="69"/>
      <c r="L241" s="319">
        <v>0.75</v>
      </c>
    </row>
    <row r="242" spans="2:12" s="37" customFormat="1" ht="15.75">
      <c r="B242" s="48"/>
      <c r="C242" s="161" t="s">
        <v>629</v>
      </c>
      <c r="D242" s="156">
        <f>$J$12*F801EVE!D30</f>
        <v>31.666283560799076</v>
      </c>
      <c r="E242" s="156">
        <f>$J$12*F801EVE!E30</f>
        <v>31.679499260331642</v>
      </c>
      <c r="F242" s="156">
        <f>$J$12*F801EVE!F30</f>
        <v>31.081158888354345</v>
      </c>
      <c r="G242" s="156">
        <f>$J$12*F801EVE!G30</f>
        <v>31.570906485324539</v>
      </c>
      <c r="H242" s="156">
        <f>$J$12*F801EVE!H30</f>
        <v>30.20294636214587</v>
      </c>
      <c r="I242" s="156">
        <f>$J$12*F801EVE!I30</f>
        <v>30.344473443044539</v>
      </c>
      <c r="J242" s="156">
        <f t="shared" si="60"/>
        <v>186.54526800000002</v>
      </c>
      <c r="K242" s="69"/>
      <c r="L242" s="319">
        <v>1</v>
      </c>
    </row>
    <row r="243" spans="2:12" s="37" customFormat="1" ht="15.75">
      <c r="B243" s="48"/>
      <c r="C243" s="160" t="s">
        <v>305</v>
      </c>
      <c r="D243" s="156">
        <f>$J$12*F801EVE!D31*0.95</f>
        <v>79.279787673427037</v>
      </c>
      <c r="E243" s="156">
        <f>$J$12*F801EVE!E31*0.95</f>
        <v>79.312874532227056</v>
      </c>
      <c r="F243" s="156">
        <f>$J$12*F801EVE!F31*0.95</f>
        <v>77.814868062483868</v>
      </c>
      <c r="G243" s="156">
        <f>$J$12*F801EVE!G31*0.95</f>
        <v>79.041001385859829</v>
      </c>
      <c r="H243" s="156">
        <f>$J$12*F801EVE!H31*0.95</f>
        <v>75.616172959022379</v>
      </c>
      <c r="I243" s="156">
        <f>$J$12*F801EVE!I31*0.95</f>
        <v>75.97050051697984</v>
      </c>
      <c r="J243" s="156">
        <f t="shared" si="60"/>
        <v>467.03520513000001</v>
      </c>
      <c r="K243" s="69"/>
      <c r="L243" s="319">
        <v>0.95</v>
      </c>
    </row>
    <row r="244" spans="2:12" s="37" customFormat="1" ht="15.75">
      <c r="B244" s="48"/>
      <c r="C244" s="160" t="s">
        <v>307</v>
      </c>
      <c r="D244" s="156">
        <f>$J$12*F801EVE!D32*0.5</f>
        <v>7.2407246408862749</v>
      </c>
      <c r="E244" s="156">
        <f>$J$12*F801EVE!E32*0.5</f>
        <v>7.2437465061161577</v>
      </c>
      <c r="F244" s="156">
        <f>$J$12*F801EVE!F32*0.5</f>
        <v>7.1069316548660941</v>
      </c>
      <c r="G244" s="156">
        <f>$J$12*F801EVE!G32*0.5</f>
        <v>7.2189159831308354</v>
      </c>
      <c r="H244" s="156">
        <f>$J$12*F801EVE!H32*0.5</f>
        <v>6.9061220124511999</v>
      </c>
      <c r="I244" s="156">
        <f>$J$12*F801EVE!I32*0.5</f>
        <v>6.9384832025494356</v>
      </c>
      <c r="J244" s="156">
        <f t="shared" si="60"/>
        <v>42.654923999999994</v>
      </c>
      <c r="K244" s="69"/>
      <c r="L244" s="319">
        <v>0.5</v>
      </c>
    </row>
    <row r="245" spans="2:12" s="37" customFormat="1" ht="15.75">
      <c r="B245" s="48"/>
      <c r="C245" s="160" t="s">
        <v>624</v>
      </c>
      <c r="D245" s="156">
        <f>$J$12*F801EVE!D33*0</f>
        <v>0</v>
      </c>
      <c r="E245" s="156">
        <f>$J$12*F801EVE!E33*0</f>
        <v>0</v>
      </c>
      <c r="F245" s="156">
        <f>$J$12*F801EVE!F33*0</f>
        <v>0</v>
      </c>
      <c r="G245" s="156">
        <f>$J$12*F801EVE!G33*0</f>
        <v>0</v>
      </c>
      <c r="H245" s="156">
        <f>$J$12*F801EVE!H33*0</f>
        <v>0</v>
      </c>
      <c r="I245" s="156">
        <f>$J$12*F801EVE!I33*0</f>
        <v>0</v>
      </c>
      <c r="J245" s="156">
        <f t="shared" si="60"/>
        <v>0</v>
      </c>
      <c r="K245" s="69"/>
      <c r="L245" s="319">
        <v>0</v>
      </c>
    </row>
    <row r="246" spans="2:12" s="37" customFormat="1" ht="15.75">
      <c r="B246" s="48" t="s">
        <v>274</v>
      </c>
      <c r="C246" s="158" t="s">
        <v>631</v>
      </c>
      <c r="D246" s="159">
        <f t="shared" ref="D246:I246" si="61">SUM(D247:D250)</f>
        <v>31500.28994840676</v>
      </c>
      <c r="E246" s="159">
        <f t="shared" si="61"/>
        <v>31513.436371678927</v>
      </c>
      <c r="F246" s="159">
        <f t="shared" si="61"/>
        <v>30918.232480166542</v>
      </c>
      <c r="G246" s="159">
        <f t="shared" si="61"/>
        <v>31405.412836411262</v>
      </c>
      <c r="H246" s="159">
        <f t="shared" si="61"/>
        <v>30044.623515010422</v>
      </c>
      <c r="I246" s="159">
        <f t="shared" si="61"/>
        <v>30185.40871562609</v>
      </c>
      <c r="J246" s="159">
        <f t="shared" si="60"/>
        <v>185567.40386729999</v>
      </c>
      <c r="K246" s="69"/>
      <c r="L246" s="319"/>
    </row>
    <row r="247" spans="2:12" s="37" customFormat="1" ht="15.75">
      <c r="B247" s="48"/>
      <c r="C247" s="160" t="s">
        <v>304</v>
      </c>
      <c r="D247" s="156">
        <f>$J$12*F801EVE!D35</f>
        <v>31478.143927188048</v>
      </c>
      <c r="E247" s="156">
        <f>$J$12*F801EVE!E35</f>
        <v>31491.281107974854</v>
      </c>
      <c r="F247" s="156">
        <f>$J$12*F801EVE!F35</f>
        <v>30896.495669690437</v>
      </c>
      <c r="G247" s="156">
        <f>$J$12*F801EVE!G35</f>
        <v>31383.333517770174</v>
      </c>
      <c r="H247" s="156">
        <f>$J$12*F801EVE!H35</f>
        <v>30023.500888172341</v>
      </c>
      <c r="I247" s="156">
        <f>$J$12*F801EVE!I35</f>
        <v>30164.187110904146</v>
      </c>
      <c r="J247" s="156">
        <f t="shared" si="60"/>
        <v>185436.94222169998</v>
      </c>
      <c r="K247" s="69"/>
      <c r="L247" s="319">
        <v>1</v>
      </c>
    </row>
    <row r="248" spans="2:12" s="37" customFormat="1" ht="15.75">
      <c r="B248" s="48"/>
      <c r="C248" s="161" t="s">
        <v>306</v>
      </c>
      <c r="D248" s="156">
        <f>$J$12*F801EVE!D36</f>
        <v>0</v>
      </c>
      <c r="E248" s="156">
        <f>$J$12*F801EVE!E36</f>
        <v>0</v>
      </c>
      <c r="F248" s="156">
        <f>$J$12*F801EVE!F36</f>
        <v>0</v>
      </c>
      <c r="G248" s="156">
        <f>$J$12*F801EVE!G36</f>
        <v>0</v>
      </c>
      <c r="H248" s="156">
        <f>$J$12*F801EVE!H36</f>
        <v>0</v>
      </c>
      <c r="I248" s="156">
        <f>$J$12*F801EVE!I36</f>
        <v>0</v>
      </c>
      <c r="J248" s="156">
        <f t="shared" si="60"/>
        <v>0</v>
      </c>
      <c r="K248" s="69"/>
      <c r="L248" s="319">
        <v>1</v>
      </c>
    </row>
    <row r="249" spans="2:12" s="37" customFormat="1" ht="15.75">
      <c r="B249" s="48"/>
      <c r="C249" s="160" t="s">
        <v>305</v>
      </c>
      <c r="D249" s="156">
        <f>$J$12*F801EVE!D37*0.95</f>
        <v>22.146021218710704</v>
      </c>
      <c r="E249" s="156">
        <f>$J$12*F801EVE!E37*0.95</f>
        <v>22.155263704072343</v>
      </c>
      <c r="F249" s="156">
        <f>$J$12*F801EVE!F37*0.95</f>
        <v>21.736810476102637</v>
      </c>
      <c r="G249" s="156">
        <f>$J$12*F801EVE!G37*0.95</f>
        <v>22.079318641087973</v>
      </c>
      <c r="H249" s="156">
        <f>$J$12*F801EVE!H37*0.95</f>
        <v>21.122626838082454</v>
      </c>
      <c r="I249" s="156">
        <f>$J$12*F801EVE!I37*0.95</f>
        <v>21.221604721943887</v>
      </c>
      <c r="J249" s="156">
        <f t="shared" si="60"/>
        <v>130.4616456</v>
      </c>
      <c r="K249" s="69"/>
      <c r="L249" s="319">
        <v>0.95</v>
      </c>
    </row>
    <row r="250" spans="2:12" s="37" customFormat="1" ht="15.75">
      <c r="B250" s="48"/>
      <c r="C250" s="160" t="s">
        <v>307</v>
      </c>
      <c r="D250" s="156">
        <f>$J$12*F801EVE!D38*0.5</f>
        <v>0</v>
      </c>
      <c r="E250" s="156">
        <f>$J$12*F801EVE!E38*0.5</f>
        <v>0</v>
      </c>
      <c r="F250" s="156">
        <f>$J$12*F801EVE!F38*0.5</f>
        <v>0</v>
      </c>
      <c r="G250" s="156">
        <f>$J$12*F801EVE!G38*0.5</f>
        <v>0</v>
      </c>
      <c r="H250" s="156">
        <f>$J$12*F801EVE!H38*0.5</f>
        <v>0</v>
      </c>
      <c r="I250" s="156">
        <f>$J$12*F801EVE!I38*0.5</f>
        <v>0</v>
      </c>
      <c r="J250" s="156">
        <f t="shared" si="60"/>
        <v>0</v>
      </c>
      <c r="K250" s="69"/>
      <c r="L250" s="319">
        <v>0.5</v>
      </c>
    </row>
    <row r="251" spans="2:12" s="37" customFormat="1" ht="15.75">
      <c r="B251" s="48" t="s">
        <v>274</v>
      </c>
      <c r="C251" s="158" t="s">
        <v>632</v>
      </c>
      <c r="D251" s="159">
        <f t="shared" ref="D251:I251" si="62">SUM(D252:D255)</f>
        <v>8862.2811883792165</v>
      </c>
      <c r="E251" s="159">
        <f t="shared" si="62"/>
        <v>8865.9797987682105</v>
      </c>
      <c r="F251" s="159">
        <f t="shared" si="62"/>
        <v>8698.5253321699693</v>
      </c>
      <c r="G251" s="159">
        <f t="shared" si="62"/>
        <v>8835.5884929715685</v>
      </c>
      <c r="H251" s="159">
        <f t="shared" si="62"/>
        <v>8452.744473943485</v>
      </c>
      <c r="I251" s="159">
        <f t="shared" si="62"/>
        <v>8492.3529358675496</v>
      </c>
      <c r="J251" s="159">
        <f t="shared" si="60"/>
        <v>52207.472222100005</v>
      </c>
      <c r="K251" s="69"/>
      <c r="L251" s="319"/>
    </row>
    <row r="252" spans="2:12" s="37" customFormat="1" ht="15.75">
      <c r="B252" s="48"/>
      <c r="C252" s="160" t="s">
        <v>304</v>
      </c>
      <c r="D252" s="156">
        <f>$J$12*F801EVE!D40</f>
        <v>8862.2811883792165</v>
      </c>
      <c r="E252" s="156">
        <f>$J$12*F801EVE!E40</f>
        <v>8865.9797987682105</v>
      </c>
      <c r="F252" s="156">
        <f>$J$12*F801EVE!F40</f>
        <v>8698.5253321699693</v>
      </c>
      <c r="G252" s="156">
        <f>$J$12*F801EVE!G40</f>
        <v>8835.5884929715685</v>
      </c>
      <c r="H252" s="156">
        <f>$J$12*F801EVE!H40</f>
        <v>8452.744473943485</v>
      </c>
      <c r="I252" s="156">
        <f>$J$12*F801EVE!I40</f>
        <v>8492.3529358675496</v>
      </c>
      <c r="J252" s="156">
        <f t="shared" si="60"/>
        <v>52207.472222100005</v>
      </c>
      <c r="K252" s="69"/>
      <c r="L252" s="319">
        <v>1</v>
      </c>
    </row>
    <row r="253" spans="2:12" s="37" customFormat="1" ht="15.75">
      <c r="B253" s="48"/>
      <c r="C253" s="161" t="s">
        <v>306</v>
      </c>
      <c r="D253" s="156">
        <f>$J$12*F801EVE!D41</f>
        <v>0</v>
      </c>
      <c r="E253" s="156">
        <f>$J$12*F801EVE!E41</f>
        <v>0</v>
      </c>
      <c r="F253" s="156">
        <f>$J$12*F801EVE!F41</f>
        <v>0</v>
      </c>
      <c r="G253" s="156">
        <f>$J$12*F801EVE!G41</f>
        <v>0</v>
      </c>
      <c r="H253" s="156">
        <f>$J$12*F801EVE!H41</f>
        <v>0</v>
      </c>
      <c r="I253" s="156">
        <f>$J$12*F801EVE!I41</f>
        <v>0</v>
      </c>
      <c r="J253" s="156">
        <f t="shared" si="60"/>
        <v>0</v>
      </c>
      <c r="K253" s="69"/>
      <c r="L253" s="319">
        <v>1</v>
      </c>
    </row>
    <row r="254" spans="2:12" s="37" customFormat="1" ht="15.75">
      <c r="B254" s="48"/>
      <c r="C254" s="160" t="s">
        <v>305</v>
      </c>
      <c r="D254" s="156">
        <f>$J$12*F801EVE!D42*0.95</f>
        <v>0</v>
      </c>
      <c r="E254" s="156">
        <f>$J$12*F801EVE!E42*0.95</f>
        <v>0</v>
      </c>
      <c r="F254" s="156">
        <f>$J$12*F801EVE!F42*0.95</f>
        <v>0</v>
      </c>
      <c r="G254" s="156">
        <f>$J$12*F801EVE!G42*0.95</f>
        <v>0</v>
      </c>
      <c r="H254" s="156">
        <f>$J$12*F801EVE!H42*0.95</f>
        <v>0</v>
      </c>
      <c r="I254" s="156">
        <f>$J$12*F801EVE!I42*0.95</f>
        <v>0</v>
      </c>
      <c r="J254" s="156">
        <f t="shared" si="60"/>
        <v>0</v>
      </c>
      <c r="K254" s="69"/>
      <c r="L254" s="319">
        <v>0.95</v>
      </c>
    </row>
    <row r="255" spans="2:12" s="37" customFormat="1" ht="15.75">
      <c r="B255" s="48"/>
      <c r="C255" s="160" t="s">
        <v>307</v>
      </c>
      <c r="D255" s="156">
        <f>$J$12*F801EVE!D43*0.5</f>
        <v>0</v>
      </c>
      <c r="E255" s="156">
        <f>$J$12*F801EVE!E43*0.5</f>
        <v>0</v>
      </c>
      <c r="F255" s="156">
        <f>$J$12*F801EVE!F43*0.5</f>
        <v>0</v>
      </c>
      <c r="G255" s="156">
        <f>$J$12*F801EVE!G43*0.5</f>
        <v>0</v>
      </c>
      <c r="H255" s="156">
        <f>$J$12*F801EVE!H43*0.5</f>
        <v>0</v>
      </c>
      <c r="I255" s="156">
        <f>$J$12*F801EVE!I43*0.5</f>
        <v>0</v>
      </c>
      <c r="J255" s="156">
        <f t="shared" si="60"/>
        <v>0</v>
      </c>
      <c r="K255" s="69"/>
      <c r="L255" s="319">
        <v>0.5</v>
      </c>
    </row>
    <row r="256" spans="2:12" s="37" customFormat="1" ht="15.75">
      <c r="B256" s="48" t="s">
        <v>274</v>
      </c>
      <c r="C256" s="158" t="s">
        <v>633</v>
      </c>
      <c r="D256" s="159">
        <f t="shared" ref="D256:I256" si="63">SUM(D257:D260)</f>
        <v>8957.1564169335998</v>
      </c>
      <c r="E256" s="159">
        <f t="shared" si="63"/>
        <v>8960.8946228283676</v>
      </c>
      <c r="F256" s="159">
        <f t="shared" si="63"/>
        <v>8791.6474709775102</v>
      </c>
      <c r="G256" s="159">
        <f t="shared" si="63"/>
        <v>8930.177962642465</v>
      </c>
      <c r="H256" s="159">
        <f t="shared" si="63"/>
        <v>8543.2354036297111</v>
      </c>
      <c r="I256" s="159">
        <f t="shared" si="63"/>
        <v>8583.2678942883449</v>
      </c>
      <c r="J256" s="159">
        <f t="shared" si="60"/>
        <v>52766.379771299995</v>
      </c>
      <c r="K256" s="69"/>
      <c r="L256" s="319"/>
    </row>
    <row r="257" spans="2:12" s="37" customFormat="1" ht="15.75">
      <c r="B257" s="48"/>
      <c r="C257" s="160" t="s">
        <v>304</v>
      </c>
      <c r="D257" s="156">
        <f>$J$12*F801EVE!D45</f>
        <v>8957.1564169335998</v>
      </c>
      <c r="E257" s="156">
        <f>$J$12*F801EVE!E45</f>
        <v>8960.8946228283676</v>
      </c>
      <c r="F257" s="156">
        <f>$J$12*F801EVE!F45</f>
        <v>8791.6474709775102</v>
      </c>
      <c r="G257" s="156">
        <f>$J$12*F801EVE!G45</f>
        <v>8930.177962642465</v>
      </c>
      <c r="H257" s="156">
        <f>$J$12*F801EVE!H45</f>
        <v>8543.2354036297111</v>
      </c>
      <c r="I257" s="156">
        <f>$J$12*F801EVE!I45</f>
        <v>8583.2678942883449</v>
      </c>
      <c r="J257" s="156">
        <f t="shared" si="60"/>
        <v>52766.379771299995</v>
      </c>
      <c r="K257" s="69"/>
      <c r="L257" s="319">
        <v>1</v>
      </c>
    </row>
    <row r="258" spans="2:12" s="37" customFormat="1" ht="15.75">
      <c r="B258" s="48"/>
      <c r="C258" s="161" t="s">
        <v>306</v>
      </c>
      <c r="D258" s="156">
        <f>$J$12*F801EVE!D46</f>
        <v>0</v>
      </c>
      <c r="E258" s="156">
        <f>$J$12*F801EVE!E46</f>
        <v>0</v>
      </c>
      <c r="F258" s="156">
        <f>$J$12*F801EVE!F46</f>
        <v>0</v>
      </c>
      <c r="G258" s="156">
        <f>$J$12*F801EVE!G46</f>
        <v>0</v>
      </c>
      <c r="H258" s="156">
        <f>$J$12*F801EVE!H46</f>
        <v>0</v>
      </c>
      <c r="I258" s="156">
        <f>$J$12*F801EVE!I46</f>
        <v>0</v>
      </c>
      <c r="J258" s="156">
        <f t="shared" si="60"/>
        <v>0</v>
      </c>
      <c r="K258" s="69"/>
      <c r="L258" s="319">
        <v>1</v>
      </c>
    </row>
    <row r="259" spans="2:12" s="37" customFormat="1" ht="15.75">
      <c r="B259" s="48"/>
      <c r="C259" s="160" t="s">
        <v>305</v>
      </c>
      <c r="D259" s="156">
        <f>$J$12*F801EVE!D47*0.95</f>
        <v>0</v>
      </c>
      <c r="E259" s="156">
        <f>$J$12*F801EVE!E47*0.95</f>
        <v>0</v>
      </c>
      <c r="F259" s="156">
        <f>$J$12*F801EVE!F47*0.95</f>
        <v>0</v>
      </c>
      <c r="G259" s="156">
        <f>$J$12*F801EVE!G47*0.95</f>
        <v>0</v>
      </c>
      <c r="H259" s="156">
        <f>$J$12*F801EVE!H47*0.95</f>
        <v>0</v>
      </c>
      <c r="I259" s="156">
        <f>$J$12*F801EVE!I47*0.95</f>
        <v>0</v>
      </c>
      <c r="J259" s="156">
        <f t="shared" si="60"/>
        <v>0</v>
      </c>
      <c r="K259" s="69"/>
      <c r="L259" s="319">
        <v>0.95</v>
      </c>
    </row>
    <row r="260" spans="2:12" s="37" customFormat="1" ht="15.75">
      <c r="B260" s="48"/>
      <c r="C260" s="160" t="s">
        <v>307</v>
      </c>
      <c r="D260" s="156">
        <f>$J$12*F801EVE!D48*0.5</f>
        <v>0</v>
      </c>
      <c r="E260" s="156">
        <f>$J$12*F801EVE!E48*0.5</f>
        <v>0</v>
      </c>
      <c r="F260" s="156">
        <f>$J$12*F801EVE!F48*0.5</f>
        <v>0</v>
      </c>
      <c r="G260" s="156">
        <f>$J$12*F801EVE!G48*0.5</f>
        <v>0</v>
      </c>
      <c r="H260" s="156">
        <f>$J$12*F801EVE!H48*0.5</f>
        <v>0</v>
      </c>
      <c r="I260" s="156">
        <f>$J$12*F801EVE!I48*0.5</f>
        <v>0</v>
      </c>
      <c r="J260" s="156">
        <f t="shared" si="60"/>
        <v>0</v>
      </c>
      <c r="K260" s="69"/>
      <c r="L260" s="319">
        <v>0.5</v>
      </c>
    </row>
    <row r="261" spans="2:12" s="37" customFormat="1" ht="15.75">
      <c r="B261" s="48"/>
      <c r="C261" s="157"/>
      <c r="D261" s="156"/>
      <c r="E261" s="156"/>
      <c r="F261" s="156"/>
      <c r="G261" s="156"/>
      <c r="H261" s="156"/>
      <c r="I261" s="156"/>
      <c r="J261" s="156"/>
      <c r="K261" s="69"/>
      <c r="L261" s="319"/>
    </row>
    <row r="262" spans="2:12" s="37" customFormat="1" ht="15.75">
      <c r="B262" s="48" t="s">
        <v>1176</v>
      </c>
      <c r="C262" s="158" t="str">
        <f>F801EVE!$C$50</f>
        <v>BTSH</v>
      </c>
      <c r="D262" s="159">
        <f t="shared" ref="D262:I262" si="64">SUM(D263:D268)</f>
        <v>2.04</v>
      </c>
      <c r="E262" s="159">
        <f t="shared" si="64"/>
        <v>2.04</v>
      </c>
      <c r="F262" s="159">
        <f t="shared" si="64"/>
        <v>2.04</v>
      </c>
      <c r="G262" s="159">
        <f t="shared" si="64"/>
        <v>2.04</v>
      </c>
      <c r="H262" s="159">
        <f t="shared" si="64"/>
        <v>2.04</v>
      </c>
      <c r="I262" s="159">
        <f t="shared" si="64"/>
        <v>2.04</v>
      </c>
      <c r="J262" s="159">
        <f t="shared" ref="J262:J288" si="65">SUM(D262:I262)</f>
        <v>12.239999999999998</v>
      </c>
      <c r="K262" s="69"/>
      <c r="L262" s="319"/>
    </row>
    <row r="263" spans="2:12" s="37" customFormat="1" ht="15.75">
      <c r="B263" s="48"/>
      <c r="C263" s="160" t="str">
        <f>F801EVE!$C$51</f>
        <v xml:space="preserve">    - Regulares</v>
      </c>
      <c r="D263" s="156">
        <f>$J$16*F801EVE!D51*1</f>
        <v>2.04</v>
      </c>
      <c r="E263" s="156">
        <f>$J$16*F801EVE!E51*1</f>
        <v>2.04</v>
      </c>
      <c r="F263" s="156">
        <f>$J$16*F801EVE!F51*1</f>
        <v>2.04</v>
      </c>
      <c r="G263" s="156">
        <f>$J$16*F801EVE!G51*1</f>
        <v>2.04</v>
      </c>
      <c r="H263" s="156">
        <f>$J$16*F801EVE!H51*1</f>
        <v>2.04</v>
      </c>
      <c r="I263" s="156">
        <f>$J$16*F801EVE!I51*1</f>
        <v>2.04</v>
      </c>
      <c r="J263" s="156">
        <f t="shared" si="65"/>
        <v>12.239999999999998</v>
      </c>
      <c r="K263" s="69"/>
      <c r="L263" s="319">
        <v>1</v>
      </c>
    </row>
    <row r="264" spans="2:12" s="37" customFormat="1" ht="15.75">
      <c r="B264" s="48"/>
      <c r="C264" s="162" t="str">
        <f>F801EVE!$C$52</f>
        <v xml:space="preserve">    - Jubilados (0 a 600 KWh)</v>
      </c>
      <c r="D264" s="156">
        <f>$J$16*F801EVE!D52*0.75</f>
        <v>0</v>
      </c>
      <c r="E264" s="156">
        <f>$J$16*F801EVE!E52*0.75</f>
        <v>0</v>
      </c>
      <c r="F264" s="156">
        <f>$J$16*F801EVE!F52*0.75</f>
        <v>0</v>
      </c>
      <c r="G264" s="156">
        <f>$J$16*F801EVE!G52*0.75</f>
        <v>0</v>
      </c>
      <c r="H264" s="156">
        <f>$J$16*F801EVE!H52*0.75</f>
        <v>0</v>
      </c>
      <c r="I264" s="156">
        <f>$J$16*F801EVE!I52*0.75</f>
        <v>0</v>
      </c>
      <c r="J264" s="156">
        <f t="shared" si="65"/>
        <v>0</v>
      </c>
      <c r="K264" s="69"/>
      <c r="L264" s="319">
        <v>0.75</v>
      </c>
    </row>
    <row r="265" spans="2:12" s="37" customFormat="1" ht="15.75">
      <c r="B265" s="48"/>
      <c r="C265" s="162" t="str">
        <f>F801EVE!$C$53</f>
        <v xml:space="preserve">    - Jubilados (601 y Más KWh)</v>
      </c>
      <c r="D265" s="156">
        <f>$J$16*F801EVE!D53*1</f>
        <v>0</v>
      </c>
      <c r="E265" s="156">
        <f>$J$16*F801EVE!E53*1</f>
        <v>0</v>
      </c>
      <c r="F265" s="156">
        <f>$J$16*F801EVE!F53*1</f>
        <v>0</v>
      </c>
      <c r="G265" s="156">
        <f>$J$16*F801EVE!G53*1</f>
        <v>0</v>
      </c>
      <c r="H265" s="156">
        <f>$J$16*F801EVE!H53*1</f>
        <v>0</v>
      </c>
      <c r="I265" s="156">
        <f>$J$16*F801EVE!I53*1</f>
        <v>0</v>
      </c>
      <c r="J265" s="156">
        <f t="shared" si="65"/>
        <v>0</v>
      </c>
      <c r="K265" s="69"/>
      <c r="L265" s="319">
        <v>1</v>
      </c>
    </row>
    <row r="266" spans="2:12" s="37" customFormat="1" ht="15.75">
      <c r="B266" s="48"/>
      <c r="C266" s="160" t="str">
        <f>F801EVE!$C$54</f>
        <v xml:space="preserve">    - Agropecuarios</v>
      </c>
      <c r="D266" s="156">
        <f>$J$16*F801EVE!D54*0.95</f>
        <v>0</v>
      </c>
      <c r="E266" s="156">
        <f>$J$16*F801EVE!E54*0.95</f>
        <v>0</v>
      </c>
      <c r="F266" s="156">
        <f>$J$16*F801EVE!F54*0.95</f>
        <v>0</v>
      </c>
      <c r="G266" s="156">
        <f>$J$16*F801EVE!G54*0.95</f>
        <v>0</v>
      </c>
      <c r="H266" s="156">
        <f>$J$16*F801EVE!H54*0.95</f>
        <v>0</v>
      </c>
      <c r="I266" s="156">
        <f>$J$16*F801EVE!I54*0.95</f>
        <v>0</v>
      </c>
      <c r="J266" s="156">
        <f t="shared" si="65"/>
        <v>0</v>
      </c>
      <c r="K266" s="69"/>
      <c r="L266" s="319">
        <v>0.95</v>
      </c>
    </row>
    <row r="267" spans="2:12" s="37" customFormat="1" ht="15.75">
      <c r="B267" s="48"/>
      <c r="C267" s="160" t="str">
        <f>F801EVE!$C$55</f>
        <v xml:space="preserve">    - Partidos Políticos</v>
      </c>
      <c r="D267" s="156">
        <f>$J$16*F801EVE!D55*0.5</f>
        <v>0</v>
      </c>
      <c r="E267" s="156">
        <f>$J$16*F801EVE!E55*0.5</f>
        <v>0</v>
      </c>
      <c r="F267" s="156">
        <f>$J$16*F801EVE!F55*0.5</f>
        <v>0</v>
      </c>
      <c r="G267" s="156">
        <f>$J$16*F801EVE!G55*0.5</f>
        <v>0</v>
      </c>
      <c r="H267" s="156">
        <f>$J$16*F801EVE!H55*0.5</f>
        <v>0</v>
      </c>
      <c r="I267" s="156">
        <f>$J$16*F801EVE!I55*0.5</f>
        <v>0</v>
      </c>
      <c r="J267" s="156">
        <f t="shared" si="65"/>
        <v>0</v>
      </c>
      <c r="K267" s="69"/>
      <c r="L267" s="319">
        <v>0.5</v>
      </c>
    </row>
    <row r="268" spans="2:12" s="37" customFormat="1" ht="15.75">
      <c r="B268" s="48"/>
      <c r="C268" s="160" t="str">
        <f>F801EVE!$C$56</f>
        <v xml:space="preserve">    - Cruz Roja</v>
      </c>
      <c r="D268" s="156">
        <f>$J$16*F801EVE!D56*0</f>
        <v>0</v>
      </c>
      <c r="E268" s="156">
        <f>$J$16*F801EVE!E56*0</f>
        <v>0</v>
      </c>
      <c r="F268" s="156">
        <f>$J$16*F801EVE!F56*0</f>
        <v>0</v>
      </c>
      <c r="G268" s="156">
        <f>$J$16*F801EVE!G56*0</f>
        <v>0</v>
      </c>
      <c r="H268" s="156">
        <f>$J$16*F801EVE!H56*0</f>
        <v>0</v>
      </c>
      <c r="I268" s="156">
        <f>$J$16*F801EVE!I56*0</f>
        <v>0</v>
      </c>
      <c r="J268" s="156">
        <f t="shared" si="65"/>
        <v>0</v>
      </c>
      <c r="K268" s="69"/>
      <c r="L268" s="319">
        <v>0</v>
      </c>
    </row>
    <row r="269" spans="2:12" s="37" customFormat="1" ht="15.75">
      <c r="B269" s="48" t="s">
        <v>751</v>
      </c>
      <c r="C269" s="158" t="s">
        <v>634</v>
      </c>
      <c r="D269" s="159">
        <f t="shared" ref="D269:I269" si="66">SUM(D270:D274)</f>
        <v>83916.538894843005</v>
      </c>
      <c r="E269" s="159">
        <f t="shared" si="66"/>
        <v>83951.561720358484</v>
      </c>
      <c r="F269" s="159">
        <f t="shared" si="66"/>
        <v>82365.904419736529</v>
      </c>
      <c r="G269" s="159">
        <f t="shared" si="66"/>
        <v>83663.78082749348</v>
      </c>
      <c r="H269" s="159">
        <f t="shared" si="66"/>
        <v>80038.560037009534</v>
      </c>
      <c r="I269" s="159">
        <f t="shared" si="66"/>
        <v>80413.619885171007</v>
      </c>
      <c r="J269" s="159">
        <f t="shared" si="65"/>
        <v>494349.96578461205</v>
      </c>
      <c r="K269" s="69"/>
      <c r="L269" s="319"/>
    </row>
    <row r="270" spans="2:12" s="37" customFormat="1" ht="15.75">
      <c r="B270" s="48"/>
      <c r="C270" s="160" t="s">
        <v>304</v>
      </c>
      <c r="D270" s="156">
        <f>$J$18*F801EVE!D66*$L270</f>
        <v>60806.993469015419</v>
      </c>
      <c r="E270" s="156">
        <f>$J$18*F801EVE!E66*$L270</f>
        <v>60832.371689154483</v>
      </c>
      <c r="F270" s="156">
        <f>$J$18*F801EVE!F66*$L270</f>
        <v>59683.373587259375</v>
      </c>
      <c r="G270" s="156">
        <f>$J$18*F801EVE!G66*$L270</f>
        <v>60623.840060325303</v>
      </c>
      <c r="H270" s="156">
        <f>$J$18*F801EVE!H66*$L270</f>
        <v>57996.934608823969</v>
      </c>
      <c r="I270" s="156">
        <f>$J$18*F801EVE!I66*$L270</f>
        <v>58268.710265181471</v>
      </c>
      <c r="J270" s="156">
        <f t="shared" si="65"/>
        <v>358212.22367976006</v>
      </c>
      <c r="K270" s="69"/>
      <c r="L270" s="319">
        <v>1</v>
      </c>
    </row>
    <row r="271" spans="2:12" s="37" customFormat="1" ht="15.75">
      <c r="B271" s="48"/>
      <c r="C271" s="162" t="s">
        <v>644</v>
      </c>
      <c r="D271" s="156">
        <f>$J$18*F801EVE!D67*$L271</f>
        <v>23107.281728060581</v>
      </c>
      <c r="E271" s="156">
        <f>$J$18*F801EVE!E67*$L271</f>
        <v>23116.92538869875</v>
      </c>
      <c r="F271" s="156">
        <f>$J$18*F801EVE!F67*$L271</f>
        <v>22680.308962966119</v>
      </c>
      <c r="G271" s="156">
        <f>$J$18*F801EVE!G67*$L271</f>
        <v>23037.683887532272</v>
      </c>
      <c r="H271" s="156">
        <f>$J$18*F801EVE!H67*$L271</f>
        <v>22039.46633862568</v>
      </c>
      <c r="I271" s="156">
        <f>$J$18*F801EVE!I67*$L271</f>
        <v>22142.740413216608</v>
      </c>
      <c r="J271" s="156">
        <f t="shared" si="65"/>
        <v>136124.40671910002</v>
      </c>
      <c r="K271" s="69"/>
      <c r="L271" s="319">
        <v>0.75</v>
      </c>
    </row>
    <row r="272" spans="2:12" s="37" customFormat="1" ht="15.75">
      <c r="B272" s="48"/>
      <c r="C272" s="160" t="s">
        <v>305</v>
      </c>
      <c r="D272" s="156">
        <f>$J$18*F801EVE!D68*$L272</f>
        <v>2.2155551512941458</v>
      </c>
      <c r="E272" s="156">
        <f>$J$18*F801EVE!E68*$L272</f>
        <v>2.2164797975704014</v>
      </c>
      <c r="F272" s="156">
        <f>$J$18*F801EVE!F68*$L272</f>
        <v>2.1746164671035872</v>
      </c>
      <c r="G272" s="156">
        <f>$J$18*F801EVE!G68*$L272</f>
        <v>2.2088820230605384</v>
      </c>
      <c r="H272" s="156">
        <f>$J$18*F801EVE!H68*$L272</f>
        <v>2.1131716725909491</v>
      </c>
      <c r="I272" s="156">
        <f>$J$18*F801EVE!I68*$L272</f>
        <v>2.1230737203803787</v>
      </c>
      <c r="J272" s="156">
        <f t="shared" si="65"/>
        <v>13.051778832000002</v>
      </c>
      <c r="K272" s="69"/>
      <c r="L272" s="319">
        <v>0.95</v>
      </c>
    </row>
    <row r="273" spans="2:12" s="37" customFormat="1" ht="15.75">
      <c r="B273" s="48"/>
      <c r="C273" s="160" t="s">
        <v>307</v>
      </c>
      <c r="D273" s="156">
        <f>$J$18*F801EVE!D69*$L273</f>
        <v>4.8142615702934148E-2</v>
      </c>
      <c r="E273" s="156">
        <f>$J$18*F801EVE!E69*$L273</f>
        <v>4.8162707683182482E-2</v>
      </c>
      <c r="F273" s="156">
        <f>$J$18*F801EVE!F69*$L273</f>
        <v>4.7253043922597923E-2</v>
      </c>
      <c r="G273" s="156">
        <f>$J$18*F801EVE!G69*$L273</f>
        <v>4.7997612836316587E-2</v>
      </c>
      <c r="H273" s="156">
        <f>$J$18*F801EVE!H69*$L273</f>
        <v>4.5917887301721291E-2</v>
      </c>
      <c r="I273" s="156">
        <f>$J$18*F801EVE!I69*$L273</f>
        <v>4.6133052553247594E-2</v>
      </c>
      <c r="J273" s="156">
        <f t="shared" si="65"/>
        <v>0.2836069200000001</v>
      </c>
      <c r="K273" s="69"/>
      <c r="L273" s="319">
        <v>0.5</v>
      </c>
    </row>
    <row r="274" spans="2:12" s="37" customFormat="1" ht="15.75">
      <c r="B274" s="48"/>
      <c r="C274" s="160" t="s">
        <v>624</v>
      </c>
      <c r="D274" s="156">
        <f>$J$18*F801EVE!D70*$L274</f>
        <v>0</v>
      </c>
      <c r="E274" s="156">
        <f>$J$18*F801EVE!E70*$L274</f>
        <v>0</v>
      </c>
      <c r="F274" s="156">
        <f>$J$18*F801EVE!F70*$L274</f>
        <v>0</v>
      </c>
      <c r="G274" s="156">
        <f>$J$18*F801EVE!G70*$L274</f>
        <v>0</v>
      </c>
      <c r="H274" s="156">
        <f>$J$18*F801EVE!H70*$L274</f>
        <v>0</v>
      </c>
      <c r="I274" s="156">
        <f>$J$18*F801EVE!I70*$L274</f>
        <v>0</v>
      </c>
      <c r="J274" s="156">
        <f t="shared" si="65"/>
        <v>0</v>
      </c>
      <c r="K274" s="69"/>
      <c r="L274" s="319">
        <v>0</v>
      </c>
    </row>
    <row r="275" spans="2:12" s="37" customFormat="1" ht="15.75">
      <c r="B275" s="48" t="s">
        <v>750</v>
      </c>
      <c r="C275" s="158" t="s">
        <v>635</v>
      </c>
      <c r="D275" s="159">
        <f t="shared" ref="D275:I275" si="67">SUM(D276:D281)</f>
        <v>91945.657500884452</v>
      </c>
      <c r="E275" s="159">
        <f t="shared" si="67"/>
        <v>91984.03037089693</v>
      </c>
      <c r="F275" s="159">
        <f t="shared" si="67"/>
        <v>90246.699913246324</v>
      </c>
      <c r="G275" s="159">
        <f t="shared" si="67"/>
        <v>91668.722321605208</v>
      </c>
      <c r="H275" s="159">
        <f t="shared" si="67"/>
        <v>87696.737648406634</v>
      </c>
      <c r="I275" s="159">
        <f t="shared" si="67"/>
        <v>88107.67316227658</v>
      </c>
      <c r="J275" s="159">
        <f t="shared" si="65"/>
        <v>541649.5209173162</v>
      </c>
      <c r="K275" s="69"/>
      <c r="L275" s="319"/>
    </row>
    <row r="276" spans="2:12" s="37" customFormat="1" ht="15.75">
      <c r="B276" s="48"/>
      <c r="C276" s="160" t="s">
        <v>304</v>
      </c>
      <c r="D276" s="156">
        <f>$J$18*F801EVE!D72*$L276</f>
        <v>59295.296750589907</v>
      </c>
      <c r="E276" s="156">
        <f>$J$18*F801EVE!E72*$L276</f>
        <v>59320.043223413144</v>
      </c>
      <c r="F276" s="156">
        <f>$J$18*F801EVE!F72*$L276</f>
        <v>58199.647460957058</v>
      </c>
      <c r="G276" s="156">
        <f>$J$18*F801EVE!G72*$L276</f>
        <v>59116.702632255568</v>
      </c>
      <c r="H276" s="156">
        <f>$J$18*F801EVE!H72*$L276</f>
        <v>56555.189491911355</v>
      </c>
      <c r="I276" s="156">
        <f>$J$18*F801EVE!I72*$L276</f>
        <v>56820.199758873016</v>
      </c>
      <c r="J276" s="156">
        <f t="shared" si="65"/>
        <v>349307.07931800006</v>
      </c>
      <c r="K276" s="69"/>
      <c r="L276" s="319">
        <v>1</v>
      </c>
    </row>
    <row r="277" spans="2:12" s="37" customFormat="1" ht="15.75">
      <c r="B277" s="48"/>
      <c r="C277" s="162" t="s">
        <v>642</v>
      </c>
      <c r="D277" s="156">
        <f>$J$18*F801EVE!D73*$L277</f>
        <v>31724.313146174311</v>
      </c>
      <c r="E277" s="156">
        <f>$J$18*F801EVE!E73*$L277</f>
        <v>31737.553063944004</v>
      </c>
      <c r="F277" s="156">
        <f>$J$18*F801EVE!F73*$L277</f>
        <v>31138.116212058274</v>
      </c>
      <c r="G277" s="156">
        <f>$J$18*F801EVE!G73*$L277</f>
        <v>31628.761288833328</v>
      </c>
      <c r="H277" s="156">
        <f>$J$18*F801EVE!H73*$L277</f>
        <v>30258.294330313351</v>
      </c>
      <c r="I277" s="156">
        <f>$J$18*F801EVE!I73*$L277</f>
        <v>30400.080764596765</v>
      </c>
      <c r="J277" s="156">
        <f t="shared" si="65"/>
        <v>186887.11880592001</v>
      </c>
      <c r="K277" s="69"/>
      <c r="L277" s="319">
        <v>0.75</v>
      </c>
    </row>
    <row r="278" spans="2:12" s="37" customFormat="1" ht="15.75">
      <c r="B278" s="48"/>
      <c r="C278" s="162" t="s">
        <v>1177</v>
      </c>
      <c r="D278" s="156">
        <f>$J$18*F801EVE!D74*$L278</f>
        <v>922.03661364007291</v>
      </c>
      <c r="E278" s="156">
        <f>$J$18*F801EVE!E74*$L278</f>
        <v>922.42141910107682</v>
      </c>
      <c r="F278" s="156">
        <f>$J$18*F801EVE!F74*$L278</f>
        <v>904.99936421033328</v>
      </c>
      <c r="G278" s="156">
        <f>$J$18*F801EVE!G74*$L278</f>
        <v>919.25949091518521</v>
      </c>
      <c r="H278" s="156">
        <f>$J$18*F801EVE!H74*$L278</f>
        <v>879.42818841488986</v>
      </c>
      <c r="I278" s="156">
        <f>$J$18*F801EVE!I74*$L278</f>
        <v>883.54907459844287</v>
      </c>
      <c r="J278" s="156">
        <f t="shared" si="65"/>
        <v>5431.694150880001</v>
      </c>
      <c r="K278" s="69"/>
      <c r="L278" s="319">
        <v>1</v>
      </c>
    </row>
    <row r="279" spans="2:12" s="37" customFormat="1" ht="15.75">
      <c r="B279" s="48"/>
      <c r="C279" s="160" t="s">
        <v>305</v>
      </c>
      <c r="D279" s="156">
        <f>$J$18*F801EVE!D75*$L279</f>
        <v>3.8839721398448717</v>
      </c>
      <c r="E279" s="156">
        <f>$J$18*F801EVE!E75*$L279</f>
        <v>3.8855930881539615</v>
      </c>
      <c r="F279" s="156">
        <f>$J$18*F801EVE!F75*$L279</f>
        <v>3.8122047055089858</v>
      </c>
      <c r="G279" s="156">
        <f>$J$18*F801EVE!G75*$L279</f>
        <v>3.8722738329307766</v>
      </c>
      <c r="H279" s="156">
        <f>$J$18*F801EVE!H75*$L279</f>
        <v>3.704489097578314</v>
      </c>
      <c r="I279" s="156">
        <f>$J$18*F801EVE!I75*$L279</f>
        <v>3.7218478519830929</v>
      </c>
      <c r="J279" s="156">
        <f t="shared" si="65"/>
        <v>22.880380716000001</v>
      </c>
      <c r="K279" s="69"/>
      <c r="L279" s="319">
        <v>0.95</v>
      </c>
    </row>
    <row r="280" spans="2:12" s="37" customFormat="1" ht="15.75">
      <c r="B280" s="48"/>
      <c r="C280" s="160" t="s">
        <v>307</v>
      </c>
      <c r="D280" s="156">
        <f>$J$18*F801EVE!D76*$L280</f>
        <v>0.12701834032323955</v>
      </c>
      <c r="E280" s="156">
        <f>$J$18*F801EVE!E76*$L280</f>
        <v>0.12707135052942981</v>
      </c>
      <c r="F280" s="156">
        <f>$J$18*F801EVE!F76*$L280</f>
        <v>0.12467131514633768</v>
      </c>
      <c r="G280" s="156">
        <f>$J$18*F801EVE!G76*$L280</f>
        <v>0.12663576818437772</v>
      </c>
      <c r="H280" s="156">
        <f>$J$18*F801EVE!H76*$L280</f>
        <v>0.12114866944919087</v>
      </c>
      <c r="I280" s="156">
        <f>$J$18*F801EVE!I76*$L280</f>
        <v>0.12171635636742446</v>
      </c>
      <c r="J280" s="156">
        <f t="shared" si="65"/>
        <v>0.74826180000000009</v>
      </c>
      <c r="K280" s="69"/>
      <c r="L280" s="319">
        <v>0.5</v>
      </c>
    </row>
    <row r="281" spans="2:12" s="37" customFormat="1" ht="15.75">
      <c r="B281" s="48"/>
      <c r="C281" s="160" t="s">
        <v>624</v>
      </c>
      <c r="D281" s="156">
        <f>$J$18*F801EVE!D77*$L281</f>
        <v>0</v>
      </c>
      <c r="E281" s="156">
        <f>$J$18*F801EVE!E77*$L281</f>
        <v>0</v>
      </c>
      <c r="F281" s="156">
        <f>$J$18*F801EVE!F77*$L281</f>
        <v>0</v>
      </c>
      <c r="G281" s="156">
        <f>$J$18*F801EVE!G77*$L281</f>
        <v>0</v>
      </c>
      <c r="H281" s="156">
        <f>$J$18*F801EVE!H77*$L281</f>
        <v>0</v>
      </c>
      <c r="I281" s="156">
        <f>$J$18*F801EVE!I77*$L281</f>
        <v>0</v>
      </c>
      <c r="J281" s="156">
        <f t="shared" si="65"/>
        <v>0</v>
      </c>
      <c r="K281" s="69"/>
      <c r="L281" s="319">
        <v>0</v>
      </c>
    </row>
    <row r="282" spans="2:12" s="37" customFormat="1" ht="15.75">
      <c r="B282" s="48" t="s">
        <v>749</v>
      </c>
      <c r="C282" s="158" t="s">
        <v>636</v>
      </c>
      <c r="D282" s="159">
        <f t="shared" ref="D282:I282" si="68">SUM(D283:D288)</f>
        <v>110090.97263177366</v>
      </c>
      <c r="E282" s="159">
        <f t="shared" si="68"/>
        <v>110136.91832075088</v>
      </c>
      <c r="F282" s="159">
        <f t="shared" si="68"/>
        <v>108056.72872763478</v>
      </c>
      <c r="G282" s="159">
        <f t="shared" si="68"/>
        <v>109759.38477790993</v>
      </c>
      <c r="H282" s="159">
        <f t="shared" si="68"/>
        <v>105003.53585762001</v>
      </c>
      <c r="I282" s="159">
        <f t="shared" si="68"/>
        <v>105495.5687783748</v>
      </c>
      <c r="J282" s="159">
        <f t="shared" si="65"/>
        <v>648543.1090940641</v>
      </c>
      <c r="K282" s="69"/>
      <c r="L282" s="319"/>
    </row>
    <row r="283" spans="2:12" s="37" customFormat="1" ht="15.75">
      <c r="B283" s="48"/>
      <c r="C283" s="160" t="s">
        <v>304</v>
      </c>
      <c r="D283" s="156">
        <f>$J$18*F801EVE!D79*$L283</f>
        <v>95172.830362633453</v>
      </c>
      <c r="E283" s="156">
        <f>$J$18*F801EVE!E79*$L283</f>
        <v>95212.55007042049</v>
      </c>
      <c r="F283" s="156">
        <f>$J$18*F801EVE!F79*$L283</f>
        <v>93414.241575772714</v>
      </c>
      <c r="G283" s="156">
        <f>$J$18*F801EVE!G79*$L283</f>
        <v>94886.175119141</v>
      </c>
      <c r="H283" s="156">
        <f>$J$18*F801EVE!H79*$L283</f>
        <v>90774.778955579153</v>
      </c>
      <c r="I283" s="156">
        <f>$J$18*F801EVE!I79*$L283</f>
        <v>91200.137770933216</v>
      </c>
      <c r="J283" s="156">
        <f t="shared" si="65"/>
        <v>560660.71385448007</v>
      </c>
      <c r="K283" s="69"/>
      <c r="L283" s="319">
        <v>1</v>
      </c>
    </row>
    <row r="284" spans="2:12" s="37" customFormat="1" ht="15.75">
      <c r="B284" s="48"/>
      <c r="C284" s="162" t="s">
        <v>642</v>
      </c>
      <c r="D284" s="156">
        <f>$J$18*F801EVE!D80*$L284</f>
        <v>7061.7409605355169</v>
      </c>
      <c r="E284" s="156">
        <f>$J$18*F801EVE!E80*$L284</f>
        <v>7064.6881281919941</v>
      </c>
      <c r="F284" s="156">
        <f>$J$18*F801EVE!F80*$L284</f>
        <v>6931.2552071792852</v>
      </c>
      <c r="G284" s="156">
        <f>$J$18*F801EVE!G80*$L284</f>
        <v>7040.4713916174769</v>
      </c>
      <c r="H284" s="156">
        <f>$J$18*F801EVE!H80*$L284</f>
        <v>6735.4093840824735</v>
      </c>
      <c r="I284" s="156">
        <f>$J$18*F801EVE!I80*$L284</f>
        <v>6766.9706369932628</v>
      </c>
      <c r="J284" s="156">
        <f t="shared" si="65"/>
        <v>41600.535708600008</v>
      </c>
      <c r="K284" s="69"/>
      <c r="L284" s="319">
        <v>0.75</v>
      </c>
    </row>
    <row r="285" spans="2:12" s="37" customFormat="1" ht="15.75">
      <c r="B285" s="48"/>
      <c r="C285" s="162" t="s">
        <v>1177</v>
      </c>
      <c r="D285" s="156">
        <f>$J$18*F801EVE!D81*$L285</f>
        <v>7803.6820888638786</v>
      </c>
      <c r="E285" s="156">
        <f>$J$18*F801EVE!E81*$L285</f>
        <v>7806.9389004040158</v>
      </c>
      <c r="F285" s="156">
        <f>$J$18*F801EVE!F81*$L285</f>
        <v>7659.4868625013551</v>
      </c>
      <c r="G285" s="156">
        <f>$J$18*F801EVE!G81*$L285</f>
        <v>7780.1778347527252</v>
      </c>
      <c r="H285" s="156">
        <f>$J$18*F801EVE!H81*$L285</f>
        <v>7443.064517017373</v>
      </c>
      <c r="I285" s="156">
        <f>$J$18*F801EVE!I81*$L285</f>
        <v>7477.9417499006577</v>
      </c>
      <c r="J285" s="156">
        <f t="shared" si="65"/>
        <v>45971.291953440006</v>
      </c>
      <c r="K285" s="69"/>
      <c r="L285" s="319">
        <v>1</v>
      </c>
    </row>
    <row r="286" spans="2:12" s="37" customFormat="1" ht="15.75">
      <c r="B286" s="48"/>
      <c r="C286" s="160" t="s">
        <v>305</v>
      </c>
      <c r="D286" s="156">
        <f>$J$18*F801EVE!D82*$L286</f>
        <v>51.901505865965611</v>
      </c>
      <c r="E286" s="156">
        <f>$J$18*F801EVE!E82*$L286</f>
        <v>51.92316659244446</v>
      </c>
      <c r="F286" s="156">
        <f>$J$18*F801EVE!F82*$L286</f>
        <v>50.942477896646018</v>
      </c>
      <c r="G286" s="156">
        <f>$J$18*F801EVE!G82*$L286</f>
        <v>51.745181432354194</v>
      </c>
      <c r="H286" s="156">
        <f>$J$18*F801EVE!H82*$L286</f>
        <v>49.503074611664395</v>
      </c>
      <c r="I286" s="156">
        <f>$J$18*F801EVE!I82*$L286</f>
        <v>49.735039584925367</v>
      </c>
      <c r="J286" s="156">
        <f t="shared" si="65"/>
        <v>305.75044598400001</v>
      </c>
      <c r="K286" s="69"/>
      <c r="L286" s="319">
        <v>0.95</v>
      </c>
    </row>
    <row r="287" spans="2:12" s="37" customFormat="1" ht="15.75">
      <c r="B287" s="48"/>
      <c r="C287" s="160" t="s">
        <v>307</v>
      </c>
      <c r="D287" s="156">
        <f>$J$18*F801EVE!D83*$L287</f>
        <v>0.81771387483618407</v>
      </c>
      <c r="E287" s="156">
        <f>$J$18*F801EVE!E83*$L287</f>
        <v>0.81805514193981166</v>
      </c>
      <c r="F287" s="156">
        <f>$J$18*F801EVE!F83*$L287</f>
        <v>0.80260428478124812</v>
      </c>
      <c r="G287" s="156">
        <f>$J$18*F801EVE!G83*$L287</f>
        <v>0.81525096636739935</v>
      </c>
      <c r="H287" s="156">
        <f>$J$18*F801EVE!H83*$L287</f>
        <v>0.7799263293351405</v>
      </c>
      <c r="I287" s="156">
        <f>$J$18*F801EVE!I83*$L287</f>
        <v>0.78358096274021649</v>
      </c>
      <c r="J287" s="156">
        <f t="shared" si="65"/>
        <v>4.81713156</v>
      </c>
      <c r="K287" s="69"/>
      <c r="L287" s="319">
        <v>0.5</v>
      </c>
    </row>
    <row r="288" spans="2:12" s="37" customFormat="1" ht="15.75">
      <c r="B288" s="48"/>
      <c r="C288" s="160" t="s">
        <v>624</v>
      </c>
      <c r="D288" s="156">
        <f>$J$18*F801EVE!D84*$L288</f>
        <v>0</v>
      </c>
      <c r="E288" s="156">
        <f>$J$18*F801EVE!E84*$L288</f>
        <v>0</v>
      </c>
      <c r="F288" s="156">
        <f>$J$18*F801EVE!F84*$L288</f>
        <v>0</v>
      </c>
      <c r="G288" s="156">
        <f>$J$18*F801EVE!G84*$L288</f>
        <v>0</v>
      </c>
      <c r="H288" s="156">
        <f>$J$18*F801EVE!H84*$L288</f>
        <v>0</v>
      </c>
      <c r="I288" s="156">
        <f>$J$18*F801EVE!I84*$L288</f>
        <v>0</v>
      </c>
      <c r="J288" s="156">
        <f t="shared" si="65"/>
        <v>0</v>
      </c>
      <c r="K288" s="69"/>
      <c r="L288" s="319">
        <v>0</v>
      </c>
    </row>
    <row r="289" spans="2:12" s="37" customFormat="1" ht="15.75">
      <c r="B289" s="48"/>
      <c r="C289" s="157"/>
      <c r="D289" s="156"/>
      <c r="E289" s="156"/>
      <c r="F289" s="156"/>
      <c r="G289" s="156"/>
      <c r="H289" s="156"/>
      <c r="I289" s="156"/>
      <c r="J289" s="156"/>
      <c r="K289" s="69"/>
      <c r="L289" s="319"/>
    </row>
    <row r="290" spans="2:12" s="37" customFormat="1" ht="15.75">
      <c r="B290" s="48" t="s">
        <v>902</v>
      </c>
      <c r="C290" s="158" t="s">
        <v>898</v>
      </c>
      <c r="D290" s="159">
        <f t="shared" ref="D290:I290" si="69">SUM(D291:D295)</f>
        <v>28054.747254202946</v>
      </c>
      <c r="E290" s="159">
        <f t="shared" si="69"/>
        <v>28066.455704595039</v>
      </c>
      <c r="F290" s="159">
        <f t="shared" si="69"/>
        <v>27536.355989054402</v>
      </c>
      <c r="G290" s="159">
        <f t="shared" si="69"/>
        <v>27970.247924145922</v>
      </c>
      <c r="H290" s="159">
        <f t="shared" si="69"/>
        <v>26758.303509010479</v>
      </c>
      <c r="I290" s="159">
        <f t="shared" si="69"/>
        <v>26883.689441231218</v>
      </c>
      <c r="J290" s="159">
        <f t="shared" ref="J290:J309" si="70">SUM(D290:I290)</f>
        <v>165269.79982224002</v>
      </c>
      <c r="K290" s="69"/>
      <c r="L290" s="319"/>
    </row>
    <row r="291" spans="2:12" s="37" customFormat="1" ht="15.75">
      <c r="B291" s="48"/>
      <c r="C291" s="160" t="s">
        <v>304</v>
      </c>
      <c r="D291" s="156">
        <f>$J$17*F801EVE!D87*$L291</f>
        <v>26983.387879678874</v>
      </c>
      <c r="E291" s="156">
        <f>$J$17*F801EVE!E87*$L291</f>
        <v>26994.649205811565</v>
      </c>
      <c r="F291" s="156">
        <f>$J$17*F801EVE!F87*$L291</f>
        <v>26484.793026758034</v>
      </c>
      <c r="G291" s="156">
        <f>$J$17*F801EVE!G87*$L291</f>
        <v>26902.115424153184</v>
      </c>
      <c r="H291" s="156">
        <f>$J$17*F801EVE!H87*$L291</f>
        <v>25736.452944791119</v>
      </c>
      <c r="I291" s="156">
        <f>$J$17*F801EVE!I87*$L291</f>
        <v>25857.050618087233</v>
      </c>
      <c r="J291" s="156">
        <f t="shared" si="70"/>
        <v>158958.44909928</v>
      </c>
      <c r="K291" s="69"/>
      <c r="L291" s="319">
        <v>1</v>
      </c>
    </row>
    <row r="292" spans="2:12" s="37" customFormat="1" ht="15.75">
      <c r="B292" s="48"/>
      <c r="C292" s="162" t="s">
        <v>644</v>
      </c>
      <c r="D292" s="156">
        <f>$J$17*F801EVE!D88*$L292</f>
        <v>1071.3593745240732</v>
      </c>
      <c r="E292" s="156">
        <f>$J$17*F801EVE!E88*$L292</f>
        <v>1071.8064987834744</v>
      </c>
      <c r="F292" s="156">
        <f>$J$17*F801EVE!F88*$L292</f>
        <v>1051.5629622963679</v>
      </c>
      <c r="G292" s="156">
        <f>$J$17*F801EVE!G88*$L292</f>
        <v>1068.1324999927397</v>
      </c>
      <c r="H292" s="156">
        <f>$J$17*F801EVE!H88*$L292</f>
        <v>1021.8505642193585</v>
      </c>
      <c r="I292" s="156">
        <f>$J$17*F801EVE!I88*$L292</f>
        <v>1026.6388231439869</v>
      </c>
      <c r="J292" s="156">
        <f t="shared" si="70"/>
        <v>6311.3507229600009</v>
      </c>
      <c r="K292" s="69"/>
      <c r="L292" s="319">
        <v>0.75</v>
      </c>
    </row>
    <row r="293" spans="2:12" s="37" customFormat="1" ht="15.75">
      <c r="B293" s="48"/>
      <c r="C293" s="160" t="s">
        <v>305</v>
      </c>
      <c r="D293" s="156">
        <f>$J$17*F801EVE!D89*$L293</f>
        <v>0</v>
      </c>
      <c r="E293" s="156">
        <f>$J$17*F801EVE!E89*$L293</f>
        <v>0</v>
      </c>
      <c r="F293" s="156">
        <f>$J$17*F801EVE!F89*$L293</f>
        <v>0</v>
      </c>
      <c r="G293" s="156">
        <f>$J$17*F801EVE!G89*$L293</f>
        <v>0</v>
      </c>
      <c r="H293" s="156">
        <f>$J$17*F801EVE!H89*$L293</f>
        <v>0</v>
      </c>
      <c r="I293" s="156">
        <f>$J$17*F801EVE!I89*$L293</f>
        <v>0</v>
      </c>
      <c r="J293" s="156">
        <f t="shared" si="70"/>
        <v>0</v>
      </c>
      <c r="K293" s="69"/>
      <c r="L293" s="319">
        <v>0.95</v>
      </c>
    </row>
    <row r="294" spans="2:12" s="37" customFormat="1" ht="15.75">
      <c r="B294" s="48"/>
      <c r="C294" s="160" t="s">
        <v>307</v>
      </c>
      <c r="D294" s="156">
        <f>$J$17*F801EVE!D90*$L294</f>
        <v>0</v>
      </c>
      <c r="E294" s="156">
        <f>$J$17*F801EVE!E90*$L294</f>
        <v>0</v>
      </c>
      <c r="F294" s="156">
        <f>$J$17*F801EVE!F90*$L294</f>
        <v>0</v>
      </c>
      <c r="G294" s="156">
        <f>$J$17*F801EVE!G90*$L294</f>
        <v>0</v>
      </c>
      <c r="H294" s="156">
        <f>$J$17*F801EVE!H90*$L294</f>
        <v>0</v>
      </c>
      <c r="I294" s="156">
        <f>$J$17*F801EVE!I90*$L294</f>
        <v>0</v>
      </c>
      <c r="J294" s="156">
        <f t="shared" si="70"/>
        <v>0</v>
      </c>
      <c r="K294" s="69"/>
      <c r="L294" s="319">
        <v>0.5</v>
      </c>
    </row>
    <row r="295" spans="2:12" s="37" customFormat="1" ht="15.75">
      <c r="B295" s="48"/>
      <c r="C295" s="160" t="s">
        <v>624</v>
      </c>
      <c r="D295" s="156">
        <f>$J$17*F801EVE!D91*$L295</f>
        <v>0</v>
      </c>
      <c r="E295" s="156">
        <f>$J$17*F801EVE!E91*$L295</f>
        <v>0</v>
      </c>
      <c r="F295" s="156">
        <f>$J$17*F801EVE!F91*$L295</f>
        <v>0</v>
      </c>
      <c r="G295" s="156">
        <f>$J$17*F801EVE!G91*$L295</f>
        <v>0</v>
      </c>
      <c r="H295" s="156">
        <f>$J$17*F801EVE!H91*$L295</f>
        <v>0</v>
      </c>
      <c r="I295" s="156">
        <f>$J$17*F801EVE!I91*$L295</f>
        <v>0</v>
      </c>
      <c r="J295" s="156">
        <f t="shared" si="70"/>
        <v>0</v>
      </c>
      <c r="K295" s="69"/>
      <c r="L295" s="319">
        <v>0</v>
      </c>
    </row>
    <row r="296" spans="2:12" s="37" customFormat="1" ht="15.75">
      <c r="B296" s="48" t="s">
        <v>902</v>
      </c>
      <c r="C296" s="158" t="s">
        <v>899</v>
      </c>
      <c r="D296" s="159">
        <f t="shared" ref="D296:I296" si="71">SUM(D297:D302)</f>
        <v>2220.5144624796476</v>
      </c>
      <c r="E296" s="159">
        <f t="shared" si="71"/>
        <v>2221.4411784893587</v>
      </c>
      <c r="F296" s="159">
        <f t="shared" si="71"/>
        <v>2179.4841409067803</v>
      </c>
      <c r="G296" s="159">
        <f t="shared" si="71"/>
        <v>2213.8263970780481</v>
      </c>
      <c r="H296" s="159">
        <f t="shared" si="71"/>
        <v>2117.9018080184715</v>
      </c>
      <c r="I296" s="159">
        <f t="shared" si="71"/>
        <v>2127.8260206076952</v>
      </c>
      <c r="J296" s="159">
        <f t="shared" si="70"/>
        <v>13080.994007580004</v>
      </c>
      <c r="K296" s="69"/>
      <c r="L296" s="319"/>
    </row>
    <row r="297" spans="2:12" s="37" customFormat="1" ht="15.75">
      <c r="B297" s="48"/>
      <c r="C297" s="160" t="s">
        <v>304</v>
      </c>
      <c r="D297" s="156">
        <f>$J$17*F801EVE!D93*$L297</f>
        <v>2017.051244333044</v>
      </c>
      <c r="E297" s="156">
        <f>$J$17*F801EVE!E93*$L297</f>
        <v>2017.8930464073451</v>
      </c>
      <c r="F297" s="156">
        <f>$J$17*F801EVE!F93*$L297</f>
        <v>1979.7804845238427</v>
      </c>
      <c r="G297" s="156">
        <f>$J$17*F801EVE!G93*$L297</f>
        <v>2010.9759987679181</v>
      </c>
      <c r="H297" s="156">
        <f>$J$17*F801EVE!H93*$L297</f>
        <v>1923.8408708531508</v>
      </c>
      <c r="I297" s="156">
        <f>$J$17*F801EVE!I93*$L297</f>
        <v>1932.8557391147006</v>
      </c>
      <c r="J297" s="156">
        <f t="shared" si="70"/>
        <v>11882.397384000002</v>
      </c>
      <c r="K297" s="69"/>
      <c r="L297" s="319">
        <v>1</v>
      </c>
    </row>
    <row r="298" spans="2:12" s="37" customFormat="1" ht="15.75">
      <c r="B298" s="48"/>
      <c r="C298" s="162" t="s">
        <v>642</v>
      </c>
      <c r="D298" s="156">
        <f>$J$17*F801EVE!D94*$L298</f>
        <v>184.50177818472767</v>
      </c>
      <c r="E298" s="156">
        <f>$J$17*F801EVE!E94*$L298</f>
        <v>184.57877869724541</v>
      </c>
      <c r="F298" s="156">
        <f>$J$17*F801EVE!F94*$L298</f>
        <v>181.09258296551184</v>
      </c>
      <c r="G298" s="156">
        <f>$J$17*F801EVE!G94*$L298</f>
        <v>183.94606914519593</v>
      </c>
      <c r="H298" s="156">
        <f>$J$17*F801EVE!H94*$L298</f>
        <v>175.97572823898656</v>
      </c>
      <c r="I298" s="156">
        <f>$J$17*F801EVE!I94*$L298</f>
        <v>176.8003276283327</v>
      </c>
      <c r="J298" s="156">
        <f t="shared" si="70"/>
        <v>1086.89526486</v>
      </c>
      <c r="K298" s="69"/>
      <c r="L298" s="319">
        <v>0.75</v>
      </c>
    </row>
    <row r="299" spans="2:12" s="37" customFormat="1" ht="15.75">
      <c r="B299" s="48"/>
      <c r="C299" s="162" t="s">
        <v>1177</v>
      </c>
      <c r="D299" s="156">
        <f>$J$17*F801EVE!D95*$L299</f>
        <v>18.961439961875936</v>
      </c>
      <c r="E299" s="156">
        <f>$J$17*F801EVE!E95*$L299</f>
        <v>18.969353384768137</v>
      </c>
      <c r="F299" s="156">
        <f>$J$17*F801EVE!F95*$L299</f>
        <v>18.611073417425875</v>
      </c>
      <c r="G299" s="156">
        <f>$J$17*F801EVE!G95*$L299</f>
        <v>18.904329164933898</v>
      </c>
      <c r="H299" s="156">
        <f>$J$17*F801EVE!H95*$L299</f>
        <v>18.085208926334037</v>
      </c>
      <c r="I299" s="156">
        <f>$J$17*F801EVE!I95*$L299</f>
        <v>18.169953864662123</v>
      </c>
      <c r="J299" s="156">
        <f t="shared" si="70"/>
        <v>111.70135872</v>
      </c>
      <c r="K299" s="69"/>
      <c r="L299" s="319">
        <v>1</v>
      </c>
    </row>
    <row r="300" spans="2:12" s="37" customFormat="1" ht="15.75">
      <c r="B300" s="48"/>
      <c r="C300" s="160" t="s">
        <v>305</v>
      </c>
      <c r="D300" s="156">
        <f>$J$17*F801EVE!D96*$L300</f>
        <v>0</v>
      </c>
      <c r="E300" s="156">
        <f>$J$17*F801EVE!E96*$L300</f>
        <v>0</v>
      </c>
      <c r="F300" s="156">
        <f>$J$17*F801EVE!F96*$L300</f>
        <v>0</v>
      </c>
      <c r="G300" s="156">
        <f>$J$17*F801EVE!G96*$L300</f>
        <v>0</v>
      </c>
      <c r="H300" s="156">
        <f>$J$17*F801EVE!H96*$L300</f>
        <v>0</v>
      </c>
      <c r="I300" s="156">
        <f>$J$17*F801EVE!I96*$L300</f>
        <v>0</v>
      </c>
      <c r="J300" s="156">
        <f t="shared" si="70"/>
        <v>0</v>
      </c>
      <c r="K300" s="69"/>
      <c r="L300" s="319">
        <v>0.95</v>
      </c>
    </row>
    <row r="301" spans="2:12" s="37" customFormat="1" ht="15.75">
      <c r="B301" s="48"/>
      <c r="C301" s="160" t="s">
        <v>307</v>
      </c>
      <c r="D301" s="156">
        <f>$J$17*F801EVE!D97*$L301</f>
        <v>0</v>
      </c>
      <c r="E301" s="156">
        <f>$J$17*F801EVE!E97*$L301</f>
        <v>0</v>
      </c>
      <c r="F301" s="156">
        <f>$J$17*F801EVE!F97*$L301</f>
        <v>0</v>
      </c>
      <c r="G301" s="156">
        <f>$J$17*F801EVE!G97*$L301</f>
        <v>0</v>
      </c>
      <c r="H301" s="156">
        <f>$J$17*F801EVE!H97*$L301</f>
        <v>0</v>
      </c>
      <c r="I301" s="156">
        <f>$J$17*F801EVE!I97*$L301</f>
        <v>0</v>
      </c>
      <c r="J301" s="156">
        <f t="shared" si="70"/>
        <v>0</v>
      </c>
      <c r="K301" s="69"/>
      <c r="L301" s="319">
        <v>0.5</v>
      </c>
    </row>
    <row r="302" spans="2:12" s="37" customFormat="1" ht="15.75">
      <c r="B302" s="48"/>
      <c r="C302" s="160" t="s">
        <v>624</v>
      </c>
      <c r="D302" s="156">
        <f>$J$17*F801EVE!D98*$L302</f>
        <v>0</v>
      </c>
      <c r="E302" s="156">
        <f>$J$17*F801EVE!E98*$L302</f>
        <v>0</v>
      </c>
      <c r="F302" s="156">
        <f>$J$17*F801EVE!F98*$L302</f>
        <v>0</v>
      </c>
      <c r="G302" s="156">
        <f>$J$17*F801EVE!G98*$L302</f>
        <v>0</v>
      </c>
      <c r="H302" s="156">
        <f>$J$17*F801EVE!H98*$L302</f>
        <v>0</v>
      </c>
      <c r="I302" s="156">
        <f>$J$17*F801EVE!I98*$L302</f>
        <v>0</v>
      </c>
      <c r="J302" s="156">
        <f t="shared" si="70"/>
        <v>0</v>
      </c>
      <c r="K302" s="69"/>
      <c r="L302" s="319">
        <v>0</v>
      </c>
    </row>
    <row r="303" spans="2:12" s="37" customFormat="1" ht="15.75">
      <c r="B303" s="48" t="s">
        <v>902</v>
      </c>
      <c r="C303" s="158" t="s">
        <v>900</v>
      </c>
      <c r="D303" s="159">
        <f t="shared" ref="D303:I303" si="72">SUM(D304:D309)</f>
        <v>245.55585259352625</v>
      </c>
      <c r="E303" s="159">
        <f t="shared" si="72"/>
        <v>245.6583335922866</v>
      </c>
      <c r="F303" s="159">
        <f t="shared" si="72"/>
        <v>241.01850966410393</v>
      </c>
      <c r="G303" s="159">
        <f t="shared" si="72"/>
        <v>244.81625209569518</v>
      </c>
      <c r="H303" s="159">
        <f t="shared" si="72"/>
        <v>234.20842014989273</v>
      </c>
      <c r="I303" s="159">
        <f t="shared" si="72"/>
        <v>235.30589036449558</v>
      </c>
      <c r="J303" s="159">
        <f t="shared" si="70"/>
        <v>1446.5632584600003</v>
      </c>
      <c r="K303" s="69"/>
      <c r="L303" s="319"/>
    </row>
    <row r="304" spans="2:12" s="37" customFormat="1" ht="15.75">
      <c r="B304" s="48"/>
      <c r="C304" s="160" t="s">
        <v>304</v>
      </c>
      <c r="D304" s="156">
        <f>$J$17*F801EVE!D100*$L304</f>
        <v>238.55856322594315</v>
      </c>
      <c r="E304" s="156">
        <f>$J$17*F801EVE!E100*$L304</f>
        <v>238.65812395546359</v>
      </c>
      <c r="F304" s="156">
        <f>$J$17*F801EVE!F100*$L304</f>
        <v>234.15051512334657</v>
      </c>
      <c r="G304" s="156">
        <f>$J$17*F801EVE!G100*$L304</f>
        <v>237.84003817243592</v>
      </c>
      <c r="H304" s="156">
        <f>$J$17*F801EVE!H100*$L304</f>
        <v>227.53448397283054</v>
      </c>
      <c r="I304" s="156">
        <f>$J$17*F801EVE!I100*$L304</f>
        <v>228.60068098998048</v>
      </c>
      <c r="J304" s="156">
        <f t="shared" si="70"/>
        <v>1405.3424054400002</v>
      </c>
      <c r="K304" s="69"/>
      <c r="L304" s="319">
        <v>1</v>
      </c>
    </row>
    <row r="305" spans="2:12" s="37" customFormat="1" ht="15.75">
      <c r="B305" s="48"/>
      <c r="C305" s="162" t="s">
        <v>642</v>
      </c>
      <c r="D305" s="156">
        <f>$J$17*F801EVE!D101*$L305</f>
        <v>6.9972893675831056</v>
      </c>
      <c r="E305" s="156">
        <f>$J$17*F801EVE!E101*$L305</f>
        <v>7.0002096368230013</v>
      </c>
      <c r="F305" s="156">
        <f>$J$17*F801EVE!F101*$L305</f>
        <v>6.8679945407573726</v>
      </c>
      <c r="G305" s="156">
        <f>$J$17*F801EVE!G101*$L305</f>
        <v>6.9762139232592473</v>
      </c>
      <c r="H305" s="156">
        <f>$J$17*F801EVE!H101*$L305</f>
        <v>6.6739361770621741</v>
      </c>
      <c r="I305" s="156">
        <f>$J$17*F801EVE!I101*$L305</f>
        <v>6.7052093745151025</v>
      </c>
      <c r="J305" s="156">
        <f t="shared" si="70"/>
        <v>41.22085302</v>
      </c>
      <c r="K305" s="69"/>
      <c r="L305" s="319">
        <v>0.75</v>
      </c>
    </row>
    <row r="306" spans="2:12" s="37" customFormat="1" ht="15.75">
      <c r="B306" s="48"/>
      <c r="C306" s="162" t="s">
        <v>1177</v>
      </c>
      <c r="D306" s="156">
        <f>$J$17*F801EVE!D102*$L306</f>
        <v>0</v>
      </c>
      <c r="E306" s="156">
        <f>$J$17*F801EVE!E102*$L306</f>
        <v>0</v>
      </c>
      <c r="F306" s="156">
        <f>$J$17*F801EVE!F102*$L306</f>
        <v>0</v>
      </c>
      <c r="G306" s="156">
        <f>$J$17*F801EVE!G102*$L306</f>
        <v>0</v>
      </c>
      <c r="H306" s="156">
        <f>$J$17*F801EVE!H102*$L306</f>
        <v>0</v>
      </c>
      <c r="I306" s="156">
        <f>$J$17*F801EVE!I102*$L306</f>
        <v>0</v>
      </c>
      <c r="J306" s="156">
        <f t="shared" si="70"/>
        <v>0</v>
      </c>
      <c r="K306" s="69"/>
      <c r="L306" s="319">
        <v>1</v>
      </c>
    </row>
    <row r="307" spans="2:12" s="37" customFormat="1" ht="15.75">
      <c r="B307" s="48"/>
      <c r="C307" s="160" t="s">
        <v>305</v>
      </c>
      <c r="D307" s="156">
        <f>$J$17*F801EVE!D103*$L307</f>
        <v>0</v>
      </c>
      <c r="E307" s="156">
        <f>$J$17*F801EVE!E103*$L307</f>
        <v>0</v>
      </c>
      <c r="F307" s="156">
        <f>$J$17*F801EVE!F103*$L307</f>
        <v>0</v>
      </c>
      <c r="G307" s="156">
        <f>$J$17*F801EVE!G103*$L307</f>
        <v>0</v>
      </c>
      <c r="H307" s="156">
        <f>$J$17*F801EVE!H103*$L307</f>
        <v>0</v>
      </c>
      <c r="I307" s="156">
        <f>$J$17*F801EVE!I103*$L307</f>
        <v>0</v>
      </c>
      <c r="J307" s="156">
        <f t="shared" si="70"/>
        <v>0</v>
      </c>
      <c r="K307" s="69"/>
      <c r="L307" s="319">
        <v>0.95</v>
      </c>
    </row>
    <row r="308" spans="2:12" s="37" customFormat="1" ht="15.75">
      <c r="B308" s="48"/>
      <c r="C308" s="160" t="s">
        <v>307</v>
      </c>
      <c r="D308" s="156">
        <f>$J$17*F801EVE!D104*$L308</f>
        <v>0</v>
      </c>
      <c r="E308" s="156">
        <f>$J$17*F801EVE!E104*$L308</f>
        <v>0</v>
      </c>
      <c r="F308" s="156">
        <f>$J$17*F801EVE!F104*$L308</f>
        <v>0</v>
      </c>
      <c r="G308" s="156">
        <f>$J$17*F801EVE!G104*$L308</f>
        <v>0</v>
      </c>
      <c r="H308" s="156">
        <f>$J$17*F801EVE!H104*$L308</f>
        <v>0</v>
      </c>
      <c r="I308" s="156">
        <f>$J$17*F801EVE!I104*$L308</f>
        <v>0</v>
      </c>
      <c r="J308" s="156">
        <f t="shared" si="70"/>
        <v>0</v>
      </c>
      <c r="K308" s="69"/>
      <c r="L308" s="319">
        <v>0.5</v>
      </c>
    </row>
    <row r="309" spans="2:12" s="37" customFormat="1" ht="15.75">
      <c r="B309" s="48"/>
      <c r="C309" s="160" t="s">
        <v>624</v>
      </c>
      <c r="D309" s="156">
        <f>$J$17*F801EVE!D105*$L309</f>
        <v>0</v>
      </c>
      <c r="E309" s="156">
        <f>$J$17*F801EVE!E105*$L309</f>
        <v>0</v>
      </c>
      <c r="F309" s="156">
        <f>$J$17*F801EVE!F105*$L309</f>
        <v>0</v>
      </c>
      <c r="G309" s="156">
        <f>$J$17*F801EVE!G105*$L309</f>
        <v>0</v>
      </c>
      <c r="H309" s="156">
        <f>$J$17*F801EVE!H105*$L309</f>
        <v>0</v>
      </c>
      <c r="I309" s="156">
        <f>$J$17*F801EVE!I105*$L309</f>
        <v>0</v>
      </c>
      <c r="J309" s="156">
        <f t="shared" si="70"/>
        <v>0</v>
      </c>
      <c r="K309" s="69"/>
      <c r="L309" s="319">
        <v>0</v>
      </c>
    </row>
    <row r="310" spans="2:12" s="37" customFormat="1" ht="15.75">
      <c r="B310" s="48"/>
      <c r="C310" s="157"/>
      <c r="D310" s="156"/>
      <c r="E310" s="156"/>
      <c r="F310" s="156"/>
      <c r="G310" s="156"/>
      <c r="H310" s="156"/>
      <c r="I310" s="156"/>
      <c r="J310" s="156"/>
      <c r="K310" s="69"/>
      <c r="L310" s="319"/>
    </row>
    <row r="311" spans="2:12" s="37" customFormat="1" ht="15.75">
      <c r="B311" s="48"/>
      <c r="C311" s="153" t="s">
        <v>112</v>
      </c>
      <c r="D311" s="154">
        <f t="shared" ref="D311:I311" si="73">D234+D224+D220</f>
        <v>537518.64846561605</v>
      </c>
      <c r="E311" s="154">
        <f t="shared" si="73"/>
        <v>537742.97807277169</v>
      </c>
      <c r="F311" s="154">
        <f t="shared" si="73"/>
        <v>527586.46231208439</v>
      </c>
      <c r="G311" s="154">
        <f t="shared" si="73"/>
        <v>535899.67235162901</v>
      </c>
      <c r="H311" s="154">
        <f t="shared" si="73"/>
        <v>512679.26269559597</v>
      </c>
      <c r="I311" s="154">
        <f t="shared" si="73"/>
        <v>515081.61108295486</v>
      </c>
      <c r="J311" s="154">
        <f>SUM(D311:I311)</f>
        <v>3166508.634980652</v>
      </c>
      <c r="K311" s="69"/>
      <c r="L311" s="319"/>
    </row>
    <row r="312" spans="2:12">
      <c r="C312" s="48"/>
      <c r="D312" s="48"/>
      <c r="E312" s="48"/>
      <c r="F312" s="48"/>
      <c r="G312" s="48"/>
      <c r="H312" s="48"/>
      <c r="I312" s="48"/>
      <c r="J312" s="48"/>
    </row>
    <row r="313" spans="2:12" s="69" customFormat="1" ht="53.25">
      <c r="B313" s="48"/>
      <c r="C313" s="320" t="s">
        <v>1464</v>
      </c>
      <c r="D313" s="320"/>
      <c r="E313" s="320"/>
      <c r="F313" s="320"/>
      <c r="G313" s="320"/>
      <c r="H313" s="320"/>
      <c r="I313" s="320"/>
      <c r="J313" s="321"/>
      <c r="L313" s="319"/>
    </row>
    <row r="314" spans="2:12" s="37" customFormat="1" ht="15.75">
      <c r="B314" s="48"/>
      <c r="C314" s="150" t="s">
        <v>310</v>
      </c>
      <c r="D314" s="151">
        <f t="shared" ref="D314:I314" si="74">D$29</f>
        <v>46204</v>
      </c>
      <c r="E314" s="151">
        <f t="shared" si="74"/>
        <v>46235</v>
      </c>
      <c r="F314" s="151">
        <f t="shared" si="74"/>
        <v>46266</v>
      </c>
      <c r="G314" s="151">
        <f t="shared" si="74"/>
        <v>46296</v>
      </c>
      <c r="H314" s="151">
        <f t="shared" si="74"/>
        <v>46327</v>
      </c>
      <c r="I314" s="151">
        <f t="shared" si="74"/>
        <v>46357</v>
      </c>
      <c r="J314" s="152" t="s">
        <v>111</v>
      </c>
      <c r="K314" s="69"/>
      <c r="L314" s="319"/>
    </row>
    <row r="315" spans="2:12" s="37" customFormat="1" ht="15.75">
      <c r="B315" s="48"/>
      <c r="C315" s="334" t="s">
        <v>446</v>
      </c>
      <c r="D315" s="154">
        <f t="shared" ref="D315:I315" si="75">D316+D317+D320</f>
        <v>33673.248456430061</v>
      </c>
      <c r="E315" s="154">
        <f t="shared" si="75"/>
        <v>31648.400586632702</v>
      </c>
      <c r="F315" s="154">
        <f t="shared" si="75"/>
        <v>32147.202766913913</v>
      </c>
      <c r="G315" s="154">
        <f t="shared" si="75"/>
        <v>36666.465755343845</v>
      </c>
      <c r="H315" s="154">
        <f t="shared" si="75"/>
        <v>30010.133023403134</v>
      </c>
      <c r="I315" s="154">
        <f t="shared" si="75"/>
        <v>34678.415574771592</v>
      </c>
      <c r="J315" s="154">
        <f t="shared" ref="J315:J342" si="76">SUM(D315:I315)</f>
        <v>198823.86616349523</v>
      </c>
      <c r="K315" s="69"/>
      <c r="L315" s="319"/>
    </row>
    <row r="316" spans="2:12" s="37" customFormat="1" ht="15.75">
      <c r="B316" s="48" t="s">
        <v>870</v>
      </c>
      <c r="C316" s="157" t="s">
        <v>1029</v>
      </c>
      <c r="D316" s="156">
        <f>$J$7*F801EVE!D116</f>
        <v>19471.18461923115</v>
      </c>
      <c r="E316" s="156">
        <f>$J$7*F801EVE!E116</f>
        <v>17624.866330925095</v>
      </c>
      <c r="F316" s="156">
        <f>$J$7*F801EVE!F116</f>
        <v>17814.714459121707</v>
      </c>
      <c r="G316" s="156">
        <f>$J$7*F801EVE!G116</f>
        <v>20426.963847719126</v>
      </c>
      <c r="H316" s="156">
        <f>$J$7*F801EVE!H116</f>
        <v>14191.532931671549</v>
      </c>
      <c r="I316" s="156">
        <f>$J$7*F801EVE!I116</f>
        <v>18299.551162196069</v>
      </c>
      <c r="J316" s="154">
        <f t="shared" si="76"/>
        <v>107828.81335086472</v>
      </c>
      <c r="K316" s="69"/>
      <c r="L316" s="319"/>
    </row>
    <row r="317" spans="2:12" s="37" customFormat="1" ht="15.75">
      <c r="B317" s="48" t="s">
        <v>871</v>
      </c>
      <c r="C317" s="335" t="s">
        <v>193</v>
      </c>
      <c r="D317" s="154">
        <f t="shared" ref="D317:I317" si="77">SUM(D318:D319)</f>
        <v>9295.6471921988996</v>
      </c>
      <c r="E317" s="154">
        <f t="shared" si="77"/>
        <v>9117.1176107075989</v>
      </c>
      <c r="F317" s="154">
        <f t="shared" si="77"/>
        <v>9426.0716627921975</v>
      </c>
      <c r="G317" s="154">
        <f t="shared" si="77"/>
        <v>11333.085262624709</v>
      </c>
      <c r="H317" s="154">
        <f t="shared" si="77"/>
        <v>10912.183446731577</v>
      </c>
      <c r="I317" s="154">
        <f t="shared" si="77"/>
        <v>11472.44776757551</v>
      </c>
      <c r="J317" s="154">
        <f t="shared" si="76"/>
        <v>61556.552942630493</v>
      </c>
      <c r="K317" s="69"/>
      <c r="L317" s="319"/>
    </row>
    <row r="318" spans="2:12" s="37" customFormat="1" ht="15.75">
      <c r="B318" s="48"/>
      <c r="C318" s="157" t="s">
        <v>1030</v>
      </c>
      <c r="D318" s="156">
        <f>+$J$8*F801EVE!D118</f>
        <v>0</v>
      </c>
      <c r="E318" s="156">
        <f>+$J$8*F801EVE!E118</f>
        <v>0</v>
      </c>
      <c r="F318" s="156">
        <f>+$J$8*F801EVE!F118</f>
        <v>0</v>
      </c>
      <c r="G318" s="156">
        <f>+$J$8*F801EVE!G118</f>
        <v>0</v>
      </c>
      <c r="H318" s="156">
        <f>+$J$8*F801EVE!H118</f>
        <v>0</v>
      </c>
      <c r="I318" s="156">
        <f>+$J$8*F801EVE!I118</f>
        <v>0</v>
      </c>
      <c r="J318" s="154">
        <f t="shared" si="76"/>
        <v>0</v>
      </c>
      <c r="K318" s="69"/>
      <c r="L318" s="319"/>
    </row>
    <row r="319" spans="2:12" s="37" customFormat="1" ht="15.75">
      <c r="B319" s="48"/>
      <c r="C319" s="157" t="s">
        <v>1476</v>
      </c>
      <c r="D319" s="156">
        <f>+$J$8*F801EVE!D119</f>
        <v>9295.6471921988996</v>
      </c>
      <c r="E319" s="156">
        <f>+$J$8*F801EVE!E119</f>
        <v>9117.1176107075989</v>
      </c>
      <c r="F319" s="156">
        <f>+$J$8*F801EVE!F119</f>
        <v>9426.0716627921975</v>
      </c>
      <c r="G319" s="156">
        <f>+$J$8*F801EVE!G119</f>
        <v>11333.085262624709</v>
      </c>
      <c r="H319" s="156">
        <f>+$J$8*F801EVE!H119</f>
        <v>10912.183446731577</v>
      </c>
      <c r="I319" s="156">
        <f>+$J$8*F801EVE!I119</f>
        <v>11472.44776757551</v>
      </c>
      <c r="J319" s="154">
        <f t="shared" si="76"/>
        <v>61556.552942630493</v>
      </c>
      <c r="K319" s="69"/>
      <c r="L319" s="319"/>
    </row>
    <row r="320" spans="2:12" s="37" customFormat="1" ht="15.75">
      <c r="B320" s="48" t="s">
        <v>893</v>
      </c>
      <c r="C320" s="153" t="s">
        <v>942</v>
      </c>
      <c r="D320" s="154">
        <f>+$J$8*F801EVE!D120</f>
        <v>4906.4166450000093</v>
      </c>
      <c r="E320" s="154">
        <f>+$J$8*F801EVE!E120</f>
        <v>4906.4166450000093</v>
      </c>
      <c r="F320" s="154">
        <f>+$J$8*F801EVE!F120</f>
        <v>4906.4166450000093</v>
      </c>
      <c r="G320" s="154">
        <f>+$J$8*F801EVE!G120</f>
        <v>4906.4166450000093</v>
      </c>
      <c r="H320" s="154">
        <f>+$J$8*F801EVE!H120</f>
        <v>4906.4166450000093</v>
      </c>
      <c r="I320" s="154">
        <f>+$J$8*F801EVE!I120</f>
        <v>4906.4166450000093</v>
      </c>
      <c r="J320" s="154">
        <f t="shared" si="76"/>
        <v>29438.499870000054</v>
      </c>
      <c r="K320" s="69"/>
      <c r="L320" s="319"/>
    </row>
    <row r="321" spans="2:12" s="37" customFormat="1" ht="15.75">
      <c r="B321" s="48"/>
      <c r="C321" s="334" t="s">
        <v>630</v>
      </c>
      <c r="D321" s="154">
        <f t="shared" ref="D321:I321" si="78">D322+D327</f>
        <v>105822.88385681219</v>
      </c>
      <c r="E321" s="154">
        <f t="shared" si="78"/>
        <v>105150.63257754641</v>
      </c>
      <c r="F321" s="154">
        <f t="shared" si="78"/>
        <v>102189.23032089142</v>
      </c>
      <c r="G321" s="154">
        <f t="shared" si="78"/>
        <v>106943.16473190207</v>
      </c>
      <c r="H321" s="154">
        <f t="shared" si="78"/>
        <v>98939.373311626347</v>
      </c>
      <c r="I321" s="154">
        <f t="shared" si="78"/>
        <v>104528.14840711138</v>
      </c>
      <c r="J321" s="154">
        <f t="shared" si="76"/>
        <v>623573.43320588989</v>
      </c>
      <c r="K321" s="69"/>
      <c r="L321" s="319"/>
    </row>
    <row r="322" spans="2:12" s="37" customFormat="1" ht="15.75">
      <c r="B322" s="48" t="s">
        <v>872</v>
      </c>
      <c r="C322" s="335" t="s">
        <v>1073</v>
      </c>
      <c r="D322" s="154">
        <f t="shared" ref="D322:I322" si="79">SUM(D323:D326)</f>
        <v>20383.128978482782</v>
      </c>
      <c r="E322" s="154">
        <f t="shared" si="79"/>
        <v>20574.581021853301</v>
      </c>
      <c r="F322" s="154">
        <f t="shared" si="79"/>
        <v>20014.270970949448</v>
      </c>
      <c r="G322" s="154">
        <f t="shared" si="79"/>
        <v>21451.556430854551</v>
      </c>
      <c r="H322" s="154">
        <f t="shared" si="79"/>
        <v>20113.984149351301</v>
      </c>
      <c r="I322" s="154">
        <f t="shared" si="79"/>
        <v>20005.618618025474</v>
      </c>
      <c r="J322" s="154">
        <f t="shared" si="76"/>
        <v>122543.14016951688</v>
      </c>
      <c r="K322" s="69"/>
      <c r="L322" s="319"/>
    </row>
    <row r="323" spans="2:12" s="37" customFormat="1" ht="15.75">
      <c r="B323" s="48"/>
      <c r="C323" s="157" t="s">
        <v>1477</v>
      </c>
      <c r="D323" s="156">
        <f>$J$9*F801EVE!D124</f>
        <v>13589.167879030018</v>
      </c>
      <c r="E323" s="156">
        <f>$J$9*F801EVE!E124</f>
        <v>13551.717341587469</v>
      </c>
      <c r="F323" s="156">
        <f>$J$9*F801EVE!F124</f>
        <v>12913.857749383988</v>
      </c>
      <c r="G323" s="156">
        <f>$J$9*F801EVE!G124</f>
        <v>13386.560988207244</v>
      </c>
      <c r="H323" s="156">
        <f>$J$9*F801EVE!H124</f>
        <v>12364.975135474855</v>
      </c>
      <c r="I323" s="156">
        <f>$J$9*F801EVE!I124</f>
        <v>12283.299575297275</v>
      </c>
      <c r="J323" s="154">
        <f t="shared" si="76"/>
        <v>78089.578668980859</v>
      </c>
      <c r="K323" s="69"/>
    </row>
    <row r="324" spans="2:12" s="37" customFormat="1" ht="15.75">
      <c r="B324" s="48"/>
      <c r="C324" s="157" t="s">
        <v>1477</v>
      </c>
      <c r="D324" s="156">
        <f>$J$9*F801EVE!D125</f>
        <v>657.08961767179994</v>
      </c>
      <c r="E324" s="156">
        <f>$J$9*F801EVE!E125</f>
        <v>669.68163953926432</v>
      </c>
      <c r="F324" s="156">
        <f>$J$9*F801EVE!F125</f>
        <v>706.25245466497222</v>
      </c>
      <c r="G324" s="156">
        <f>$J$9*F801EVE!G125</f>
        <v>760.90879320914576</v>
      </c>
      <c r="H324" s="156">
        <f>$J$9*F801EVE!H125</f>
        <v>822.03420906687347</v>
      </c>
      <c r="I324" s="156">
        <f>$J$9*F801EVE!I125</f>
        <v>458.63563876149766</v>
      </c>
      <c r="J324" s="154">
        <f t="shared" si="76"/>
        <v>4074.6023529135537</v>
      </c>
      <c r="K324" s="69"/>
    </row>
    <row r="325" spans="2:12" s="37" customFormat="1" ht="15.75">
      <c r="B325" s="48"/>
      <c r="C325" s="157" t="s">
        <v>1477</v>
      </c>
      <c r="D325" s="156">
        <f>$J$9*F801EVE!D126</f>
        <v>246.01983801641714</v>
      </c>
      <c r="E325" s="156">
        <f>$J$9*F801EVE!E126</f>
        <v>240.43294637858398</v>
      </c>
      <c r="F325" s="156">
        <f>$J$9*F801EVE!F126</f>
        <v>232.14412049461924</v>
      </c>
      <c r="G325" s="156">
        <f>$J$9*F801EVE!G126</f>
        <v>248.8946709050044</v>
      </c>
      <c r="H325" s="156">
        <f>$J$9*F801EVE!H126</f>
        <v>240.21687389104585</v>
      </c>
      <c r="I325" s="156">
        <f>$J$9*F801EVE!I126</f>
        <v>230.23580958214433</v>
      </c>
      <c r="J325" s="154">
        <f>SUM(D325:I325)</f>
        <v>1437.9442592678151</v>
      </c>
      <c r="K325" s="69"/>
    </row>
    <row r="326" spans="2:12" s="37" customFormat="1" ht="15.75">
      <c r="B326" s="48"/>
      <c r="C326" s="157" t="s">
        <v>1477</v>
      </c>
      <c r="D326" s="156">
        <f>$J$9*F801EVE!D127</f>
        <v>5890.8516437645467</v>
      </c>
      <c r="E326" s="156">
        <f>$J$9*F801EVE!E127</f>
        <v>6112.7490943479834</v>
      </c>
      <c r="F326" s="156">
        <f>$J$9*F801EVE!F127</f>
        <v>6162.0166464058693</v>
      </c>
      <c r="G326" s="156">
        <f>$J$9*F801EVE!G127</f>
        <v>7055.1919785331556</v>
      </c>
      <c r="H326" s="156">
        <f>$J$9*F801EVE!H127</f>
        <v>6686.7579309185276</v>
      </c>
      <c r="I326" s="156">
        <f>$J$9*F801EVE!I127</f>
        <v>7033.4475943845564</v>
      </c>
      <c r="J326" s="154">
        <f>SUM(D326:I326)</f>
        <v>38941.014888354643</v>
      </c>
      <c r="K326" s="69"/>
    </row>
    <row r="327" spans="2:12" s="37" customFormat="1" ht="15.75">
      <c r="B327" s="48" t="s">
        <v>873</v>
      </c>
      <c r="C327" s="335" t="s">
        <v>193</v>
      </c>
      <c r="D327" s="154">
        <f t="shared" ref="D327:I327" si="80">SUM(D328:D332)</f>
        <v>85439.754878329404</v>
      </c>
      <c r="E327" s="154">
        <f t="shared" si="80"/>
        <v>84576.051555693106</v>
      </c>
      <c r="F327" s="154">
        <f t="shared" si="80"/>
        <v>82174.959349941972</v>
      </c>
      <c r="G327" s="154">
        <f t="shared" si="80"/>
        <v>85491.608301047527</v>
      </c>
      <c r="H327" s="154">
        <f t="shared" si="80"/>
        <v>78825.389162275053</v>
      </c>
      <c r="I327" s="154">
        <f t="shared" si="80"/>
        <v>84522.529789085907</v>
      </c>
      <c r="J327" s="154">
        <f t="shared" si="76"/>
        <v>501030.29303637298</v>
      </c>
      <c r="K327" s="69"/>
    </row>
    <row r="328" spans="2:12" s="37" customFormat="1" ht="15.75">
      <c r="B328" s="48"/>
      <c r="C328" s="157" t="s">
        <v>1031</v>
      </c>
      <c r="D328" s="156">
        <f>$J$10*F801EVE!D129</f>
        <v>0</v>
      </c>
      <c r="E328" s="156">
        <f>$J$10*F801EVE!E129</f>
        <v>0</v>
      </c>
      <c r="F328" s="156">
        <f>$J$10*F801EVE!F129</f>
        <v>0</v>
      </c>
      <c r="G328" s="156">
        <f>$J$10*F801EVE!G129</f>
        <v>0</v>
      </c>
      <c r="H328" s="156">
        <f>$J$10*F801EVE!H129</f>
        <v>0</v>
      </c>
      <c r="I328" s="156">
        <f>$J$10*F801EVE!I129</f>
        <v>0</v>
      </c>
      <c r="J328" s="154">
        <f t="shared" si="76"/>
        <v>0</v>
      </c>
      <c r="K328" s="69"/>
    </row>
    <row r="329" spans="2:12" s="37" customFormat="1" ht="15.75">
      <c r="B329" s="48"/>
      <c r="C329" s="157" t="s">
        <v>1478</v>
      </c>
      <c r="D329" s="156">
        <f>$J$10*F801EVE!D130</f>
        <v>55695.218060474072</v>
      </c>
      <c r="E329" s="156">
        <f>$J$10*F801EVE!E130</f>
        <v>55556.906134677309</v>
      </c>
      <c r="F329" s="156">
        <f>$J$10*F801EVE!F130</f>
        <v>50606.88046486886</v>
      </c>
      <c r="G329" s="156">
        <f>$J$10*F801EVE!G130</f>
        <v>52460.862662324624</v>
      </c>
      <c r="H329" s="156">
        <f>$J$10*F801EVE!H130</f>
        <v>47915.011489285964</v>
      </c>
      <c r="I329" s="156">
        <f>$J$10*F801EVE!I130</f>
        <v>50749.752803397605</v>
      </c>
      <c r="J329" s="154">
        <f t="shared" si="76"/>
        <v>312984.63161502843</v>
      </c>
      <c r="K329" s="69"/>
    </row>
    <row r="330" spans="2:12" s="37" customFormat="1" ht="15.75">
      <c r="B330" s="48"/>
      <c r="C330" s="157" t="s">
        <v>1478</v>
      </c>
      <c r="D330" s="156">
        <f>$J$10*F801EVE!D131</f>
        <v>3923.4749361701392</v>
      </c>
      <c r="E330" s="156">
        <f>$J$10*F801EVE!E131</f>
        <v>3481.0418679753598</v>
      </c>
      <c r="F330" s="156">
        <f>$J$10*F801EVE!F131</f>
        <v>3865.9836194495097</v>
      </c>
      <c r="G330" s="156">
        <f>$J$10*F801EVE!G131</f>
        <v>3383.7744702972605</v>
      </c>
      <c r="H330" s="156">
        <f>$J$10*F801EVE!H131</f>
        <v>3232.8922307900407</v>
      </c>
      <c r="I330" s="156">
        <f>$J$10*F801EVE!I131</f>
        <v>3621.7579210622494</v>
      </c>
      <c r="J330" s="154">
        <f t="shared" si="76"/>
        <v>21508.92504574456</v>
      </c>
      <c r="K330" s="69"/>
    </row>
    <row r="331" spans="2:12" s="37" customFormat="1" ht="15.75">
      <c r="B331" s="48"/>
      <c r="C331" s="157" t="s">
        <v>1478</v>
      </c>
      <c r="D331" s="156">
        <f>$J$10*F801EVE!D132</f>
        <v>3702.2459771255399</v>
      </c>
      <c r="E331" s="156">
        <f>$J$10*F801EVE!E132</f>
        <v>3824.59662106821</v>
      </c>
      <c r="F331" s="156">
        <f>$J$10*F801EVE!F132</f>
        <v>3669.3675234929706</v>
      </c>
      <c r="G331" s="156">
        <f>$J$10*F801EVE!G132</f>
        <v>3843.9126489125706</v>
      </c>
      <c r="H331" s="156">
        <f>$J$10*F801EVE!H132</f>
        <v>3401.4259283460301</v>
      </c>
      <c r="I331" s="156">
        <f>$J$10*F801EVE!I132</f>
        <v>3844.7997987663789</v>
      </c>
      <c r="J331" s="154">
        <f t="shared" si="76"/>
        <v>22286.3484977117</v>
      </c>
      <c r="K331" s="69"/>
    </row>
    <row r="332" spans="2:12" s="37" customFormat="1" ht="15.75">
      <c r="B332" s="48"/>
      <c r="C332" s="157" t="s">
        <v>1478</v>
      </c>
      <c r="D332" s="156">
        <f>$J$10*F801EVE!D133</f>
        <v>22118.815904559659</v>
      </c>
      <c r="E332" s="156">
        <f>$J$10*F801EVE!E133</f>
        <v>21713.506931972232</v>
      </c>
      <c r="F332" s="156">
        <f>$J$10*F801EVE!F133</f>
        <v>24032.727742130639</v>
      </c>
      <c r="G332" s="156">
        <f>$J$10*F801EVE!G133</f>
        <v>25803.058519513077</v>
      </c>
      <c r="H332" s="156">
        <f>$J$10*F801EVE!H133</f>
        <v>24276.059513853023</v>
      </c>
      <c r="I332" s="156">
        <f>$J$10*F801EVE!I133</f>
        <v>26306.219265859672</v>
      </c>
      <c r="J332" s="154">
        <f t="shared" si="76"/>
        <v>144250.38787788828</v>
      </c>
      <c r="K332" s="69"/>
    </row>
    <row r="333" spans="2:12" s="37" customFormat="1" ht="15.75">
      <c r="B333" s="48"/>
      <c r="C333" s="334" t="s">
        <v>443</v>
      </c>
      <c r="D333" s="154">
        <f t="shared" ref="D333:I333" si="81">D334+D335</f>
        <v>17150.455838547725</v>
      </c>
      <c r="E333" s="154">
        <f t="shared" si="81"/>
        <v>16837.596340235192</v>
      </c>
      <c r="F333" s="154">
        <f t="shared" si="81"/>
        <v>17066.60235529704</v>
      </c>
      <c r="G333" s="154">
        <f t="shared" si="81"/>
        <v>17977.38078681675</v>
      </c>
      <c r="H333" s="154">
        <f t="shared" si="81"/>
        <v>16571.226096668877</v>
      </c>
      <c r="I333" s="154">
        <f t="shared" si="81"/>
        <v>18577.660159580726</v>
      </c>
      <c r="J333" s="154">
        <f t="shared" si="76"/>
        <v>104180.92157714632</v>
      </c>
      <c r="K333" s="69"/>
    </row>
    <row r="334" spans="2:12" s="37" customFormat="1" ht="15.75">
      <c r="B334" s="48" t="s">
        <v>874</v>
      </c>
      <c r="C334" s="157" t="s">
        <v>1479</v>
      </c>
      <c r="D334" s="156">
        <f>$J$11*F801EVE!D137</f>
        <v>555.20449978616989</v>
      </c>
      <c r="E334" s="156">
        <f>$J$11*F801EVE!E137</f>
        <v>550.27080919862988</v>
      </c>
      <c r="F334" s="156">
        <f>$J$11*F801EVE!F137</f>
        <v>527.02700291279996</v>
      </c>
      <c r="G334" s="156">
        <f>$J$11*F801EVE!G137</f>
        <v>546.53628077099984</v>
      </c>
      <c r="H334" s="156">
        <f>$J$11*F801EVE!H137</f>
        <v>529.27584753303006</v>
      </c>
      <c r="I334" s="156">
        <f>$J$11*F801EVE!I137</f>
        <v>548.37184299300054</v>
      </c>
      <c r="J334" s="154">
        <f t="shared" si="76"/>
        <v>3256.6862831946301</v>
      </c>
      <c r="K334" s="69"/>
    </row>
    <row r="335" spans="2:12" s="37" customFormat="1" ht="15.75">
      <c r="B335" s="48" t="s">
        <v>875</v>
      </c>
      <c r="C335" s="335" t="s">
        <v>193</v>
      </c>
      <c r="D335" s="154">
        <f t="shared" ref="D335:I335" si="82">SUM(D336:D341)</f>
        <v>16595.251338761555</v>
      </c>
      <c r="E335" s="154">
        <f t="shared" si="82"/>
        <v>16287.32553103656</v>
      </c>
      <c r="F335" s="154">
        <f t="shared" si="82"/>
        <v>16539.57535238424</v>
      </c>
      <c r="G335" s="154">
        <f t="shared" si="82"/>
        <v>17430.844506045749</v>
      </c>
      <c r="H335" s="154">
        <f t="shared" si="82"/>
        <v>16041.950249135847</v>
      </c>
      <c r="I335" s="154">
        <f t="shared" si="82"/>
        <v>18029.288316587725</v>
      </c>
      <c r="J335" s="154">
        <f t="shared" si="76"/>
        <v>100924.23529395167</v>
      </c>
      <c r="K335" s="69"/>
    </row>
    <row r="336" spans="2:12" s="37" customFormat="1" ht="15.75">
      <c r="B336" s="48"/>
      <c r="C336" s="157" t="s">
        <v>1032</v>
      </c>
      <c r="D336" s="156">
        <f>$J$12*(F801EVE!D140)</f>
        <v>171.07757920305002</v>
      </c>
      <c r="E336" s="156">
        <f>$J$12*(F801EVE!E140)</f>
        <v>166.58630120574</v>
      </c>
      <c r="F336" s="156">
        <f>$J$12*(F801EVE!F140)</f>
        <v>170.04149129915996</v>
      </c>
      <c r="G336" s="156">
        <f>$J$12*(F801EVE!G140)</f>
        <v>177.98902216172999</v>
      </c>
      <c r="H336" s="156">
        <f>$J$12*(F801EVE!H140)</f>
        <v>164.0692801566</v>
      </c>
      <c r="I336" s="156">
        <f>$J$12*(F801EVE!I140)</f>
        <v>173.70411696962998</v>
      </c>
      <c r="J336" s="154">
        <f t="shared" si="76"/>
        <v>1023.46779099591</v>
      </c>
      <c r="K336" s="69"/>
    </row>
    <row r="337" spans="2:11" s="37" customFormat="1" ht="15.75">
      <c r="B337" s="48"/>
      <c r="C337" s="157" t="s">
        <v>1480</v>
      </c>
      <c r="D337" s="156">
        <f>$J$12*(F801EVE!D141)</f>
        <v>11012.578204202644</v>
      </c>
      <c r="E337" s="156">
        <f>$J$12*(F801EVE!E141)</f>
        <v>10749.241313538392</v>
      </c>
      <c r="F337" s="156">
        <f>$J$12*(F801EVE!F141)</f>
        <v>10470.16120347522</v>
      </c>
      <c r="G337" s="156">
        <f>$J$12*(F801EVE!G141)</f>
        <v>10865.426343471179</v>
      </c>
      <c r="H337" s="156">
        <f>$J$12*(F801EVE!H141)</f>
        <v>9952.323196985908</v>
      </c>
      <c r="I337" s="156">
        <f>$J$12*(F801EVE!I141)</f>
        <v>10739.809815637082</v>
      </c>
      <c r="J337" s="154">
        <f t="shared" si="76"/>
        <v>63789.540077310419</v>
      </c>
      <c r="K337" s="69"/>
    </row>
    <row r="338" spans="2:11" s="37" customFormat="1" ht="15.75">
      <c r="B338" s="48"/>
      <c r="C338" s="157" t="s">
        <v>1480</v>
      </c>
      <c r="D338" s="156">
        <f>$J$12*(F801EVE!D142)</f>
        <v>216.34834822848003</v>
      </c>
      <c r="E338" s="156">
        <f>$J$12*(F801EVE!E142)</f>
        <v>211.19257613961003</v>
      </c>
      <c r="F338" s="156">
        <f>$J$12*(F801EVE!F142)</f>
        <v>207.56856097808995</v>
      </c>
      <c r="G338" s="156">
        <f>$J$12*(F801EVE!G142)</f>
        <v>211.04918356977007</v>
      </c>
      <c r="H338" s="156">
        <f>$J$12*(F801EVE!H142)</f>
        <v>182.37233978613</v>
      </c>
      <c r="I338" s="156">
        <f>$J$12*(F801EVE!I142)</f>
        <v>204.29483749976302</v>
      </c>
      <c r="J338" s="154">
        <f t="shared" si="76"/>
        <v>1232.825846201843</v>
      </c>
      <c r="K338" s="69"/>
    </row>
    <row r="339" spans="2:11" s="37" customFormat="1" ht="15.75">
      <c r="B339" s="48"/>
      <c r="C339" s="157" t="s">
        <v>1480</v>
      </c>
      <c r="D339" s="156">
        <f>$J$12*(F801EVE!D143)</f>
        <v>2230.8259276941299</v>
      </c>
      <c r="E339" s="156">
        <f>$J$12*(F801EVE!E143)</f>
        <v>2147.2101105974998</v>
      </c>
      <c r="F339" s="156">
        <f>$J$12*(F801EVE!F143)</f>
        <v>2117.1191384420999</v>
      </c>
      <c r="G339" s="156">
        <f>$J$12*(F801EVE!G143)</f>
        <v>2210.3562756225601</v>
      </c>
      <c r="H339" s="156">
        <f>$J$12*(F801EVE!H143)</f>
        <v>1954.8525101929197</v>
      </c>
      <c r="I339" s="156">
        <f>$J$12*(F801EVE!I143)</f>
        <v>1984.3961706682542</v>
      </c>
      <c r="J339" s="154">
        <f t="shared" si="76"/>
        <v>12644.760133217464</v>
      </c>
      <c r="K339" s="69"/>
    </row>
    <row r="340" spans="2:11" s="37" customFormat="1" ht="15.75">
      <c r="B340" s="48"/>
      <c r="C340" s="157" t="s">
        <v>1480</v>
      </c>
      <c r="D340" s="156">
        <f>$J$12*(F801EVE!D144)</f>
        <v>2964.4212794332498</v>
      </c>
      <c r="E340" s="156">
        <f>$J$12*(F801EVE!E144)</f>
        <v>3013.0952295553188</v>
      </c>
      <c r="F340" s="156">
        <f>$J$12*(F801EVE!F144)</f>
        <v>3574.6849581896699</v>
      </c>
      <c r="G340" s="156">
        <f>$J$12*(F801EVE!G144)</f>
        <v>3966.0236812205103</v>
      </c>
      <c r="H340" s="156">
        <f>$J$12*(F801EVE!H144)</f>
        <v>3788.3329220142896</v>
      </c>
      <c r="I340" s="156">
        <f>$J$12*(F801EVE!I144)</f>
        <v>4927.0833758129966</v>
      </c>
      <c r="J340" s="154">
        <f t="shared" si="76"/>
        <v>22233.641446226036</v>
      </c>
      <c r="K340" s="69"/>
    </row>
    <row r="341" spans="2:11" s="37" customFormat="1" ht="15.75">
      <c r="B341" s="48"/>
      <c r="C341" s="157"/>
      <c r="D341" s="156"/>
      <c r="E341" s="156"/>
      <c r="F341" s="156"/>
      <c r="G341" s="156"/>
      <c r="H341" s="156"/>
      <c r="I341" s="156"/>
      <c r="J341" s="156">
        <f t="shared" si="76"/>
        <v>0</v>
      </c>
      <c r="K341" s="69"/>
    </row>
    <row r="342" spans="2:11" s="37" customFormat="1" ht="15.75">
      <c r="B342" s="48"/>
      <c r="C342" s="153" t="s">
        <v>112</v>
      </c>
      <c r="D342" s="154">
        <f t="shared" ref="D342:I342" si="83">D315+D321+D333</f>
        <v>156646.58815178997</v>
      </c>
      <c r="E342" s="154">
        <f t="shared" si="83"/>
        <v>153636.62950441428</v>
      </c>
      <c r="F342" s="154">
        <f t="shared" si="83"/>
        <v>151403.03544310239</v>
      </c>
      <c r="G342" s="154">
        <f t="shared" si="83"/>
        <v>161587.01127406268</v>
      </c>
      <c r="H342" s="154">
        <f t="shared" si="83"/>
        <v>145520.73243169836</v>
      </c>
      <c r="I342" s="154">
        <f t="shared" si="83"/>
        <v>157784.2241414637</v>
      </c>
      <c r="J342" s="154">
        <f t="shared" si="76"/>
        <v>926578.22094653128</v>
      </c>
      <c r="K342" s="69"/>
    </row>
    <row r="343" spans="2:11" s="37" customFormat="1" ht="13.5">
      <c r="B343" s="48"/>
      <c r="C343" s="48"/>
      <c r="D343" s="48"/>
      <c r="E343" s="48"/>
      <c r="F343" s="48"/>
      <c r="G343" s="48"/>
      <c r="H343" s="48"/>
      <c r="I343" s="48"/>
      <c r="J343" s="48"/>
      <c r="K343" s="48"/>
    </row>
    <row r="344" spans="2:11" s="37" customFormat="1" ht="54" customHeight="1">
      <c r="B344" s="48"/>
      <c r="C344" s="320" t="s">
        <v>1460</v>
      </c>
      <c r="D344" s="320"/>
      <c r="E344" s="320"/>
      <c r="F344" s="320"/>
      <c r="G344" s="320"/>
      <c r="H344" s="320"/>
      <c r="I344" s="320"/>
      <c r="J344" s="321"/>
      <c r="K344" s="69"/>
    </row>
    <row r="345" spans="2:11" s="37" customFormat="1" ht="15.75">
      <c r="B345" s="48"/>
      <c r="C345" s="150" t="s">
        <v>310</v>
      </c>
      <c r="D345" s="151">
        <f t="shared" ref="D345:I345" si="84">D$29</f>
        <v>46204</v>
      </c>
      <c r="E345" s="151">
        <f t="shared" si="84"/>
        <v>46235</v>
      </c>
      <c r="F345" s="151">
        <f t="shared" si="84"/>
        <v>46266</v>
      </c>
      <c r="G345" s="151">
        <f t="shared" si="84"/>
        <v>46296</v>
      </c>
      <c r="H345" s="151">
        <f t="shared" si="84"/>
        <v>46327</v>
      </c>
      <c r="I345" s="151">
        <f t="shared" si="84"/>
        <v>46357</v>
      </c>
      <c r="J345" s="152" t="s">
        <v>111</v>
      </c>
      <c r="K345" s="69"/>
    </row>
    <row r="346" spans="2:11">
      <c r="C346" s="153" t="s">
        <v>230</v>
      </c>
      <c r="D346" s="154">
        <f t="shared" ref="D346:I346" si="85">SUM(D347:D348)</f>
        <v>0</v>
      </c>
      <c r="E346" s="154">
        <f t="shared" si="85"/>
        <v>0</v>
      </c>
      <c r="F346" s="154">
        <f t="shared" si="85"/>
        <v>0</v>
      </c>
      <c r="G346" s="154">
        <f t="shared" si="85"/>
        <v>0</v>
      </c>
      <c r="H346" s="154">
        <f t="shared" si="85"/>
        <v>0</v>
      </c>
      <c r="I346" s="154">
        <f t="shared" si="85"/>
        <v>0</v>
      </c>
      <c r="J346" s="154">
        <f t="shared" ref="J346:J373" si="86">SUM(D346:I346)</f>
        <v>0</v>
      </c>
    </row>
    <row r="347" spans="2:11">
      <c r="B347" s="48" t="s">
        <v>870</v>
      </c>
      <c r="C347" s="157" t="s">
        <v>1029</v>
      </c>
      <c r="D347" s="156">
        <f>F801D!D116*0*(1+D$25)*(1+D$26)</f>
        <v>0</v>
      </c>
      <c r="E347" s="156">
        <f>F801D!E116*0*(1+E$25)*(1+E$26)</f>
        <v>0</v>
      </c>
      <c r="F347" s="156">
        <f>F801D!F116*0*(1+F$25)*(1+F$26)</f>
        <v>0</v>
      </c>
      <c r="G347" s="156">
        <f>F801D!G116*0*(1+G$25)*(1+G$26)</f>
        <v>0</v>
      </c>
      <c r="H347" s="156">
        <f>F801D!H116*0*(1+H$25)*(1+H$26)</f>
        <v>0</v>
      </c>
      <c r="I347" s="156">
        <f>F801D!I116*0*(1+I$25)*(1+I$26)</f>
        <v>0</v>
      </c>
      <c r="J347" s="154">
        <f t="shared" si="86"/>
        <v>0</v>
      </c>
    </row>
    <row r="348" spans="2:11">
      <c r="B348" s="48" t="s">
        <v>871</v>
      </c>
      <c r="C348" s="335" t="s">
        <v>193</v>
      </c>
      <c r="D348" s="154">
        <f t="shared" ref="D348:I348" si="87">D349+D350</f>
        <v>0</v>
      </c>
      <c r="E348" s="154">
        <f t="shared" si="87"/>
        <v>0</v>
      </c>
      <c r="F348" s="154">
        <f t="shared" si="87"/>
        <v>0</v>
      </c>
      <c r="G348" s="154">
        <f t="shared" si="87"/>
        <v>0</v>
      </c>
      <c r="H348" s="154">
        <f t="shared" si="87"/>
        <v>0</v>
      </c>
      <c r="I348" s="154">
        <f t="shared" si="87"/>
        <v>0</v>
      </c>
      <c r="J348" s="154">
        <f t="shared" si="86"/>
        <v>0</v>
      </c>
    </row>
    <row r="349" spans="2:11">
      <c r="C349" s="157" t="s">
        <v>1030</v>
      </c>
      <c r="D349" s="156">
        <f>F801D!D118*0</f>
        <v>0</v>
      </c>
      <c r="E349" s="156">
        <f>F801D!E118*0</f>
        <v>0</v>
      </c>
      <c r="F349" s="156">
        <f>F801D!F118*0</f>
        <v>0</v>
      </c>
      <c r="G349" s="156">
        <f>F801D!G118*0</f>
        <v>0</v>
      </c>
      <c r="H349" s="156">
        <f>F801D!H118*0</f>
        <v>0</v>
      </c>
      <c r="I349" s="156">
        <f>F801D!I118*0</f>
        <v>0</v>
      </c>
      <c r="J349" s="154">
        <f t="shared" si="86"/>
        <v>0</v>
      </c>
    </row>
    <row r="350" spans="2:11">
      <c r="C350" s="157" t="s">
        <v>1476</v>
      </c>
      <c r="D350" s="156">
        <f>F801D!D119*$D$21*(1+D$25)*(1+D$26)</f>
        <v>0</v>
      </c>
      <c r="E350" s="156">
        <f>F801D!E119*$D$21*(1+E$25)*(1+E$26)</f>
        <v>0</v>
      </c>
      <c r="F350" s="156">
        <f>F801D!F119*$D$21*(1+F$25)*(1+F$26)</f>
        <v>0</v>
      </c>
      <c r="G350" s="156">
        <f>F801D!G119*$D$21*(1+G$25)*(1+G$26)</f>
        <v>0</v>
      </c>
      <c r="H350" s="156">
        <f>F801D!H119*$D$21*(1+H$25)*(1+H$26)</f>
        <v>0</v>
      </c>
      <c r="I350" s="156">
        <f>F801D!I119*$D$21*(1+I$25)*(1+I$26)</f>
        <v>0</v>
      </c>
      <c r="J350" s="154">
        <f t="shared" si="86"/>
        <v>0</v>
      </c>
    </row>
    <row r="351" spans="2:11">
      <c r="C351" s="153" t="s">
        <v>942</v>
      </c>
      <c r="D351" s="156"/>
      <c r="E351" s="156"/>
      <c r="F351" s="156"/>
      <c r="G351" s="156"/>
      <c r="H351" s="156"/>
      <c r="I351" s="156"/>
      <c r="J351" s="154">
        <f t="shared" si="86"/>
        <v>0</v>
      </c>
    </row>
    <row r="352" spans="2:11">
      <c r="C352" s="153" t="s">
        <v>194</v>
      </c>
      <c r="D352" s="154">
        <f t="shared" ref="D352:I352" si="88">D353+D358</f>
        <v>0</v>
      </c>
      <c r="E352" s="154">
        <f t="shared" si="88"/>
        <v>0</v>
      </c>
      <c r="F352" s="154">
        <f t="shared" si="88"/>
        <v>0</v>
      </c>
      <c r="G352" s="154">
        <f t="shared" si="88"/>
        <v>0</v>
      </c>
      <c r="H352" s="154">
        <f t="shared" si="88"/>
        <v>0</v>
      </c>
      <c r="I352" s="154">
        <f t="shared" si="88"/>
        <v>0</v>
      </c>
      <c r="J352" s="154">
        <f t="shared" si="86"/>
        <v>0</v>
      </c>
    </row>
    <row r="353" spans="2:10">
      <c r="B353" s="48" t="s">
        <v>872</v>
      </c>
      <c r="C353" s="335" t="s">
        <v>1073</v>
      </c>
      <c r="D353" s="154">
        <f t="shared" ref="D353:I353" si="89">SUM(D354:D357)</f>
        <v>0</v>
      </c>
      <c r="E353" s="154">
        <f t="shared" si="89"/>
        <v>0</v>
      </c>
      <c r="F353" s="154">
        <f t="shared" si="89"/>
        <v>0</v>
      </c>
      <c r="G353" s="154">
        <f t="shared" si="89"/>
        <v>0</v>
      </c>
      <c r="H353" s="154">
        <f t="shared" si="89"/>
        <v>0</v>
      </c>
      <c r="I353" s="154">
        <f t="shared" si="89"/>
        <v>0</v>
      </c>
      <c r="J353" s="154">
        <f t="shared" si="86"/>
        <v>0</v>
      </c>
    </row>
    <row r="354" spans="2:10">
      <c r="C354" s="157" t="s">
        <v>1477</v>
      </c>
      <c r="D354" s="156">
        <f>F801D!D124*$D21*(1+D$25)*(1+D$26)</f>
        <v>0</v>
      </c>
      <c r="E354" s="156">
        <f>F801D!E124*$D21*(1+E$25)*(1+E$26)</f>
        <v>0</v>
      </c>
      <c r="F354" s="156">
        <f>F801D!F124*$D21*(1+F$25)*(1+F$26)</f>
        <v>0</v>
      </c>
      <c r="G354" s="156">
        <f>F801D!G124*$D21*(1+G$25)*(1+G$26)</f>
        <v>0</v>
      </c>
      <c r="H354" s="156">
        <f>F801D!H124*$D21*(1+H$25)*(1+H$26)</f>
        <v>0</v>
      </c>
      <c r="I354" s="156">
        <f>F801D!I124*$D21*(1+I$25)*(1+I$26)</f>
        <v>0</v>
      </c>
      <c r="J354" s="154">
        <f t="shared" si="86"/>
        <v>0</v>
      </c>
    </row>
    <row r="355" spans="2:10">
      <c r="C355" s="157" t="s">
        <v>1477</v>
      </c>
      <c r="D355" s="156">
        <f>F801D!D125*$D22*(1+D$25)*(1+D$26)</f>
        <v>0</v>
      </c>
      <c r="E355" s="156">
        <f>F801D!E125*$D22*(1+E$25)*(1+E$26)</f>
        <v>0</v>
      </c>
      <c r="F355" s="156">
        <f>F801D!F125*$D22*(1+F$25)*(1+F$26)</f>
        <v>0</v>
      </c>
      <c r="G355" s="156">
        <f>F801D!G125*$D22*(1+G$25)*(1+G$26)</f>
        <v>0</v>
      </c>
      <c r="H355" s="156">
        <f>F801D!H125*$D22*(1+H$25)*(1+H$26)</f>
        <v>0</v>
      </c>
      <c r="I355" s="156">
        <f>F801D!I125*$D22*(1+I$25)*(1+I$26)</f>
        <v>0</v>
      </c>
      <c r="J355" s="154">
        <f t="shared" si="86"/>
        <v>0</v>
      </c>
    </row>
    <row r="356" spans="2:10">
      <c r="C356" s="157" t="s">
        <v>1477</v>
      </c>
      <c r="D356" s="156">
        <f>F801D!D126*$D23*(1+D$25)*(1+D$26)</f>
        <v>0</v>
      </c>
      <c r="E356" s="156">
        <f>F801D!E126*$D23*(1+E$25)*(1+E$26)</f>
        <v>0</v>
      </c>
      <c r="F356" s="156">
        <f>F801D!F126*$D23*(1+F$25)*(1+F$26)</f>
        <v>0</v>
      </c>
      <c r="G356" s="156">
        <f>F801D!G126*$D23*(1+G$25)*(1+G$26)</f>
        <v>0</v>
      </c>
      <c r="H356" s="156">
        <f>F801D!H126*$D23*(1+H$25)*(1+H$26)</f>
        <v>0</v>
      </c>
      <c r="I356" s="156">
        <f>F801D!I126*$D23*(1+I$25)*(1+I$26)</f>
        <v>0</v>
      </c>
      <c r="J356" s="154">
        <f>SUM(D356:I356)</f>
        <v>0</v>
      </c>
    </row>
    <row r="357" spans="2:10">
      <c r="C357" s="157" t="s">
        <v>1477</v>
      </c>
      <c r="D357" s="156">
        <f>F801D!D127*$D24*(1+D$25)*(1+D$26)</f>
        <v>0</v>
      </c>
      <c r="E357" s="156">
        <f>F801D!E127*$D24*(1+E$25)*(1+E$26)</f>
        <v>0</v>
      </c>
      <c r="F357" s="156">
        <f>F801D!F127*$D24*(1+F$25)*(1+F$26)</f>
        <v>0</v>
      </c>
      <c r="G357" s="156">
        <f>F801D!G127*$D24*(1+G$25)*(1+G$26)</f>
        <v>0</v>
      </c>
      <c r="H357" s="156">
        <f>F801D!H127*$D24*(1+H$25)*(1+H$26)</f>
        <v>0</v>
      </c>
      <c r="I357" s="156">
        <f>F801D!I127*$D24*(1+I$25)*(1+I$26)</f>
        <v>0</v>
      </c>
      <c r="J357" s="154">
        <f>SUM(D357:I357)</f>
        <v>0</v>
      </c>
    </row>
    <row r="358" spans="2:10">
      <c r="B358" s="48" t="s">
        <v>873</v>
      </c>
      <c r="C358" s="335" t="s">
        <v>193</v>
      </c>
      <c r="D358" s="154">
        <f t="shared" ref="D358:I358" si="90">SUM(D359:D363)</f>
        <v>0</v>
      </c>
      <c r="E358" s="154">
        <f t="shared" si="90"/>
        <v>0</v>
      </c>
      <c r="F358" s="154">
        <f t="shared" si="90"/>
        <v>0</v>
      </c>
      <c r="G358" s="154">
        <f t="shared" si="90"/>
        <v>0</v>
      </c>
      <c r="H358" s="154">
        <f t="shared" si="90"/>
        <v>0</v>
      </c>
      <c r="I358" s="154">
        <f t="shared" si="90"/>
        <v>0</v>
      </c>
      <c r="J358" s="154">
        <f t="shared" si="86"/>
        <v>0</v>
      </c>
    </row>
    <row r="359" spans="2:10">
      <c r="C359" s="157" t="s">
        <v>1031</v>
      </c>
      <c r="D359" s="156">
        <f>F801D!D129*0</f>
        <v>0</v>
      </c>
      <c r="E359" s="156">
        <f>F801D!E129*0</f>
        <v>0</v>
      </c>
      <c r="F359" s="156">
        <f>F801D!F129*0</f>
        <v>0</v>
      </c>
      <c r="G359" s="156">
        <f>F801D!G129*0</f>
        <v>0</v>
      </c>
      <c r="H359" s="156">
        <f>F801D!H129*0</f>
        <v>0</v>
      </c>
      <c r="I359" s="156">
        <f>F801D!I129*0</f>
        <v>0</v>
      </c>
      <c r="J359" s="154">
        <f t="shared" si="86"/>
        <v>0</v>
      </c>
    </row>
    <row r="360" spans="2:10">
      <c r="C360" s="157" t="s">
        <v>1478</v>
      </c>
      <c r="D360" s="156">
        <f>F801D!D130*$D21*(1+D$25)*(1+D$26)</f>
        <v>0</v>
      </c>
      <c r="E360" s="156">
        <f>F801D!E130*$D21*(1+E$25)*(1+E$26)</f>
        <v>0</v>
      </c>
      <c r="F360" s="156">
        <f>F801D!F130*$D21*(1+F$25)*(1+F$26)</f>
        <v>0</v>
      </c>
      <c r="G360" s="156">
        <f>F801D!G130*$D21*(1+G$25)*(1+G$26)</f>
        <v>0</v>
      </c>
      <c r="H360" s="156">
        <f>F801D!H130*$D21*(1+H$25)*(1+H$26)</f>
        <v>0</v>
      </c>
      <c r="I360" s="156">
        <f>F801D!I130*$D21*(1+I$25)*(1+I$26)</f>
        <v>0</v>
      </c>
      <c r="J360" s="154">
        <f t="shared" si="86"/>
        <v>0</v>
      </c>
    </row>
    <row r="361" spans="2:10">
      <c r="C361" s="157" t="s">
        <v>1478</v>
      </c>
      <c r="D361" s="156">
        <f>F801D!D131*$D22*(1+D$25)*(1+D$26)</f>
        <v>0</v>
      </c>
      <c r="E361" s="156">
        <f>F801D!E131*$D22*(1+E$25)*(1+E$26)</f>
        <v>0</v>
      </c>
      <c r="F361" s="156">
        <f>F801D!F131*$D22*(1+F$25)*(1+F$26)</f>
        <v>0</v>
      </c>
      <c r="G361" s="156">
        <f>F801D!G131*$D22*(1+G$25)*(1+G$26)</f>
        <v>0</v>
      </c>
      <c r="H361" s="156">
        <f>F801D!H131*$D22*(1+H$25)*(1+H$26)</f>
        <v>0</v>
      </c>
      <c r="I361" s="156">
        <f>F801D!I131*$D22*(1+I$25)*(1+I$26)</f>
        <v>0</v>
      </c>
      <c r="J361" s="154">
        <f t="shared" si="86"/>
        <v>0</v>
      </c>
    </row>
    <row r="362" spans="2:10">
      <c r="C362" s="157" t="s">
        <v>1478</v>
      </c>
      <c r="D362" s="156">
        <f>F801D!D132*$D23*(1+D$25)*(1+D$26)</f>
        <v>0</v>
      </c>
      <c r="E362" s="156">
        <f>F801D!E132*$D23*(1+E$25)*(1+E$26)</f>
        <v>0</v>
      </c>
      <c r="F362" s="156">
        <f>F801D!F132*$D23*(1+F$25)*(1+F$26)</f>
        <v>0</v>
      </c>
      <c r="G362" s="156">
        <f>F801D!G132*$D23*(1+G$25)*(1+G$26)</f>
        <v>0</v>
      </c>
      <c r="H362" s="156">
        <f>F801D!H132*$D23*(1+H$25)*(1+H$26)</f>
        <v>0</v>
      </c>
      <c r="I362" s="156">
        <f>F801D!I132*$D23*(1+I$25)*(1+I$26)</f>
        <v>0</v>
      </c>
      <c r="J362" s="154">
        <f t="shared" si="86"/>
        <v>0</v>
      </c>
    </row>
    <row r="363" spans="2:10">
      <c r="C363" s="157" t="s">
        <v>1478</v>
      </c>
      <c r="D363" s="156">
        <f>F801D!D133*$D24*(1+D$25)*(1+D$26)</f>
        <v>0</v>
      </c>
      <c r="E363" s="156">
        <f>F801D!E133*$D24*(1+E$25)*(1+E$26)</f>
        <v>0</v>
      </c>
      <c r="F363" s="156">
        <f>F801D!F133*$D24*(1+F$25)*(1+F$26)</f>
        <v>0</v>
      </c>
      <c r="G363" s="156">
        <f>F801D!G133*$D24*(1+G$25)*(1+G$26)</f>
        <v>0</v>
      </c>
      <c r="H363" s="156">
        <f>F801D!H133*$D24*(1+H$25)*(1+H$26)</f>
        <v>0</v>
      </c>
      <c r="I363" s="156">
        <f>F801D!I133*$D24*(1+I$25)*(1+I$26)</f>
        <v>0</v>
      </c>
      <c r="J363" s="154">
        <f t="shared" si="86"/>
        <v>0</v>
      </c>
    </row>
    <row r="364" spans="2:10">
      <c r="C364" s="153" t="s">
        <v>308</v>
      </c>
      <c r="D364" s="154">
        <f t="shared" ref="D364:I364" si="91">SUM(D365:D366)</f>
        <v>0</v>
      </c>
      <c r="E364" s="154">
        <f t="shared" si="91"/>
        <v>0</v>
      </c>
      <c r="F364" s="154">
        <f t="shared" si="91"/>
        <v>0</v>
      </c>
      <c r="G364" s="154">
        <f t="shared" si="91"/>
        <v>0</v>
      </c>
      <c r="H364" s="154">
        <f t="shared" si="91"/>
        <v>0</v>
      </c>
      <c r="I364" s="154">
        <f t="shared" si="91"/>
        <v>0</v>
      </c>
      <c r="J364" s="154">
        <f t="shared" si="86"/>
        <v>0</v>
      </c>
    </row>
    <row r="365" spans="2:10">
      <c r="B365" s="48" t="s">
        <v>874</v>
      </c>
      <c r="C365" s="157" t="s">
        <v>1479</v>
      </c>
      <c r="D365" s="156">
        <f>F801D!D137*$D21*(1+D$25)*(1+D$26)</f>
        <v>0</v>
      </c>
      <c r="E365" s="156">
        <f>F801D!E137*$D21*(1+E$25)*(1+E$26)</f>
        <v>0</v>
      </c>
      <c r="F365" s="156">
        <f>F801D!F137*$D21*(1+F$25)*(1+F$26)</f>
        <v>0</v>
      </c>
      <c r="G365" s="156">
        <f>F801D!G137*$D21*(1+G$25)*(1+G$26)</f>
        <v>0</v>
      </c>
      <c r="H365" s="156">
        <f>F801D!H137*$D21*(1+H$25)*(1+H$26)</f>
        <v>0</v>
      </c>
      <c r="I365" s="156">
        <f>F801D!I137*$D21*(1+I$25)*(1+I$26)</f>
        <v>0</v>
      </c>
      <c r="J365" s="154">
        <f t="shared" si="86"/>
        <v>0</v>
      </c>
    </row>
    <row r="366" spans="2:10">
      <c r="B366" s="48" t="s">
        <v>875</v>
      </c>
      <c r="C366" s="335" t="s">
        <v>193</v>
      </c>
      <c r="D366" s="154">
        <f t="shared" ref="D366:I366" si="92">SUM(D367:D372)</f>
        <v>0</v>
      </c>
      <c r="E366" s="154">
        <f t="shared" si="92"/>
        <v>0</v>
      </c>
      <c r="F366" s="154">
        <f t="shared" si="92"/>
        <v>0</v>
      </c>
      <c r="G366" s="154">
        <f t="shared" si="92"/>
        <v>0</v>
      </c>
      <c r="H366" s="154">
        <f t="shared" si="92"/>
        <v>0</v>
      </c>
      <c r="I366" s="154">
        <f t="shared" si="92"/>
        <v>0</v>
      </c>
      <c r="J366" s="154">
        <f t="shared" si="86"/>
        <v>0</v>
      </c>
    </row>
    <row r="367" spans="2:10">
      <c r="C367" s="157" t="s">
        <v>1032</v>
      </c>
      <c r="D367" s="156">
        <f>F801D!D140*0</f>
        <v>0</v>
      </c>
      <c r="E367" s="156">
        <f>F801D!E140*0</f>
        <v>0</v>
      </c>
      <c r="F367" s="156">
        <f>F801D!F140*0</f>
        <v>0</v>
      </c>
      <c r="G367" s="156">
        <f>F801D!G140*0</f>
        <v>0</v>
      </c>
      <c r="H367" s="156">
        <f>F801D!H140*0</f>
        <v>0</v>
      </c>
      <c r="I367" s="156">
        <f>F801D!I140*0</f>
        <v>0</v>
      </c>
      <c r="J367" s="154">
        <f t="shared" si="86"/>
        <v>0</v>
      </c>
    </row>
    <row r="368" spans="2:10">
      <c r="C368" s="157" t="s">
        <v>1480</v>
      </c>
      <c r="D368" s="156">
        <f>F801D!D141*$D21*(1+D$25)*(1+D$26)</f>
        <v>0</v>
      </c>
      <c r="E368" s="156">
        <f>F801D!E141*$D21*(1+E$25)*(1+E$26)</f>
        <v>0</v>
      </c>
      <c r="F368" s="156">
        <f>F801D!F141*$D21*(1+F$25)*(1+F$26)</f>
        <v>0</v>
      </c>
      <c r="G368" s="156">
        <f>F801D!G141*$D21*(1+G$25)*(1+G$26)</f>
        <v>0</v>
      </c>
      <c r="H368" s="156">
        <f>F801D!H141*$D21*(1+H$25)*(1+H$26)</f>
        <v>0</v>
      </c>
      <c r="I368" s="156">
        <f>F801D!I141*$D21*(1+I$25)*(1+I$26)</f>
        <v>0</v>
      </c>
      <c r="J368" s="154">
        <f t="shared" si="86"/>
        <v>0</v>
      </c>
    </row>
    <row r="369" spans="2:10">
      <c r="C369" s="157" t="s">
        <v>1480</v>
      </c>
      <c r="D369" s="156">
        <f>F801D!D142*$D22*(1+D$25)*(1+D$26)</f>
        <v>0</v>
      </c>
      <c r="E369" s="156">
        <f>F801D!E142*$D22*(1+E$25)*(1+E$26)</f>
        <v>0</v>
      </c>
      <c r="F369" s="156">
        <f>F801D!F142*$D22*(1+F$25)*(1+F$26)</f>
        <v>0</v>
      </c>
      <c r="G369" s="156">
        <f>F801D!G142*$D22*(1+G$25)*(1+G$26)</f>
        <v>0</v>
      </c>
      <c r="H369" s="156">
        <f>F801D!H142*$D22*(1+H$25)*(1+H$26)</f>
        <v>0</v>
      </c>
      <c r="I369" s="156">
        <f>F801D!I142*$D22*(1+I$25)*(1+I$26)</f>
        <v>0</v>
      </c>
      <c r="J369" s="154">
        <f t="shared" si="86"/>
        <v>0</v>
      </c>
    </row>
    <row r="370" spans="2:10">
      <c r="C370" s="157" t="s">
        <v>1480</v>
      </c>
      <c r="D370" s="156">
        <f>F801D!D143*$D23*(1+D$25)*(1+D$26)</f>
        <v>0</v>
      </c>
      <c r="E370" s="156">
        <f>F801D!E143*$D23*(1+E$25)*(1+E$26)</f>
        <v>0</v>
      </c>
      <c r="F370" s="156">
        <f>F801D!F143*$D23*(1+F$25)*(1+F$26)</f>
        <v>0</v>
      </c>
      <c r="G370" s="156">
        <f>F801D!G143*$D23*(1+G$25)*(1+G$26)</f>
        <v>0</v>
      </c>
      <c r="H370" s="156">
        <f>F801D!H143*$D23*(1+H$25)*(1+H$26)</f>
        <v>0</v>
      </c>
      <c r="I370" s="156">
        <f>F801D!I143*$D23*(1+I$25)*(1+I$26)</f>
        <v>0</v>
      </c>
      <c r="J370" s="154">
        <f t="shared" si="86"/>
        <v>0</v>
      </c>
    </row>
    <row r="371" spans="2:10">
      <c r="C371" s="157" t="s">
        <v>1480</v>
      </c>
      <c r="D371" s="156">
        <f>F801D!D144*$D24*(1+D$25)*(1+D$26)</f>
        <v>0</v>
      </c>
      <c r="E371" s="156">
        <f>F801D!E144*$D24*(1+E$25)*(1+E$26)</f>
        <v>0</v>
      </c>
      <c r="F371" s="156">
        <f>F801D!F144*$D24*(1+F$25)*(1+F$26)</f>
        <v>0</v>
      </c>
      <c r="G371" s="156">
        <f>F801D!G144*$D24*(1+G$25)*(1+G$26)</f>
        <v>0</v>
      </c>
      <c r="H371" s="156">
        <f>F801D!H144*$D24*(1+H$25)*(1+H$26)</f>
        <v>0</v>
      </c>
      <c r="I371" s="156">
        <f>F801D!I144*$D24*(1+I$25)*(1+I$26)</f>
        <v>0</v>
      </c>
      <c r="J371" s="154">
        <f t="shared" si="86"/>
        <v>0</v>
      </c>
    </row>
    <row r="372" spans="2:10">
      <c r="C372" s="157"/>
      <c r="D372" s="156"/>
      <c r="E372" s="156"/>
      <c r="F372" s="156"/>
      <c r="G372" s="156"/>
      <c r="H372" s="156"/>
      <c r="I372" s="156"/>
      <c r="J372" s="154">
        <f t="shared" si="86"/>
        <v>0</v>
      </c>
    </row>
    <row r="373" spans="2:10">
      <c r="C373" s="153" t="s">
        <v>112</v>
      </c>
      <c r="D373" s="154">
        <f t="shared" ref="D373:I373" si="93">D346+D352+D364</f>
        <v>0</v>
      </c>
      <c r="E373" s="154">
        <f t="shared" si="93"/>
        <v>0</v>
      </c>
      <c r="F373" s="154">
        <f t="shared" si="93"/>
        <v>0</v>
      </c>
      <c r="G373" s="154">
        <f t="shared" si="93"/>
        <v>0</v>
      </c>
      <c r="H373" s="154">
        <f t="shared" si="93"/>
        <v>0</v>
      </c>
      <c r="I373" s="154">
        <f t="shared" si="93"/>
        <v>0</v>
      </c>
      <c r="J373" s="154">
        <f t="shared" si="86"/>
        <v>0</v>
      </c>
    </row>
    <row r="374" spans="2:10">
      <c r="C374" s="164"/>
      <c r="D374" s="164"/>
      <c r="E374" s="164"/>
      <c r="F374" s="164"/>
      <c r="G374" s="164"/>
      <c r="H374" s="164"/>
      <c r="I374" s="164"/>
      <c r="J374" s="164"/>
    </row>
    <row r="375" spans="2:10">
      <c r="C375" s="153" t="s">
        <v>111</v>
      </c>
      <c r="D375" s="154">
        <f t="shared" ref="D375:J375" si="94">D121+D216+D311+D342+D373</f>
        <v>27296241.126662489</v>
      </c>
      <c r="E375" s="154">
        <f t="shared" si="94"/>
        <v>27304557.685892336</v>
      </c>
      <c r="F375" s="154">
        <f t="shared" si="94"/>
        <v>26789516.358637225</v>
      </c>
      <c r="G375" s="154">
        <f t="shared" si="94"/>
        <v>27219438.608536921</v>
      </c>
      <c r="H375" s="154">
        <f t="shared" si="94"/>
        <v>26030961.837739009</v>
      </c>
      <c r="I375" s="154">
        <f t="shared" si="94"/>
        <v>26164521.141899712</v>
      </c>
      <c r="J375" s="154">
        <f t="shared" si="94"/>
        <v>160805236.75936767</v>
      </c>
    </row>
    <row r="376" spans="2:10">
      <c r="D376" s="336"/>
      <c r="E376" s="336"/>
      <c r="F376" s="336"/>
      <c r="G376" s="336"/>
      <c r="H376" s="336"/>
      <c r="I376" s="336"/>
    </row>
    <row r="377" spans="2:10">
      <c r="C377" s="52" t="str">
        <f>'PORTADA PORTADA PORTADA'!$B$23</f>
        <v>1 DE JULIO DE 2026</v>
      </c>
    </row>
    <row r="381" spans="2:10">
      <c r="B381" s="48" t="s">
        <v>902</v>
      </c>
      <c r="D381" s="64">
        <f t="shared" ref="D381:J390" si="95">SUMIF($B$29:$B$375,$B381,D$29:D$375)</f>
        <v>1124781.8945383227</v>
      </c>
      <c r="E381" s="64">
        <f t="shared" si="95"/>
        <v>1125251.3143087022</v>
      </c>
      <c r="F381" s="64">
        <f t="shared" si="95"/>
        <v>1103998.349277955</v>
      </c>
      <c r="G381" s="64">
        <f t="shared" si="95"/>
        <v>1121394.1143638103</v>
      </c>
      <c r="H381" s="64">
        <f t="shared" si="95"/>
        <v>1072804.3650789734</v>
      </c>
      <c r="I381" s="64">
        <f t="shared" si="95"/>
        <v>1077831.3868914964</v>
      </c>
      <c r="J381" s="64">
        <f t="shared" si="95"/>
        <v>6626061.42445926</v>
      </c>
    </row>
    <row r="382" spans="2:10">
      <c r="B382" s="48" t="s">
        <v>751</v>
      </c>
      <c r="D382" s="64">
        <f t="shared" si="95"/>
        <v>3092571.2716246541</v>
      </c>
      <c r="E382" s="64">
        <f t="shared" si="95"/>
        <v>3093861.9657532112</v>
      </c>
      <c r="F382" s="64">
        <f t="shared" si="95"/>
        <v>3035425.830527348</v>
      </c>
      <c r="G382" s="64">
        <f t="shared" si="95"/>
        <v>3083256.3934367443</v>
      </c>
      <c r="H382" s="64">
        <f t="shared" si="95"/>
        <v>2949656.3448933219</v>
      </c>
      <c r="I382" s="64">
        <f t="shared" si="95"/>
        <v>2963478.4034152729</v>
      </c>
      <c r="J382" s="64">
        <f t="shared" si="95"/>
        <v>18218250.209650554</v>
      </c>
    </row>
    <row r="383" spans="2:10">
      <c r="B383" s="48" t="s">
        <v>750</v>
      </c>
      <c r="D383" s="64">
        <f t="shared" si="95"/>
        <v>4641903.5617725924</v>
      </c>
      <c r="E383" s="64">
        <f t="shared" si="95"/>
        <v>4643840.8274013083</v>
      </c>
      <c r="F383" s="64">
        <f t="shared" si="95"/>
        <v>4556131.1882672738</v>
      </c>
      <c r="G383" s="64">
        <f t="shared" si="95"/>
        <v>4627922.4077951554</v>
      </c>
      <c r="H383" s="64">
        <f t="shared" si="95"/>
        <v>4427395.5933379401</v>
      </c>
      <c r="I383" s="64">
        <f t="shared" si="95"/>
        <v>4448141.7936190516</v>
      </c>
      <c r="J383" s="64">
        <f t="shared" si="95"/>
        <v>27345335.372193322</v>
      </c>
    </row>
    <row r="384" spans="2:10">
      <c r="B384" s="48" t="s">
        <v>749</v>
      </c>
      <c r="D384" s="64">
        <f t="shared" si="95"/>
        <v>7029092.7378865276</v>
      </c>
      <c r="E384" s="64">
        <f t="shared" si="95"/>
        <v>7032026.2800381379</v>
      </c>
      <c r="F384" s="64">
        <f t="shared" si="95"/>
        <v>6899210.2533207992</v>
      </c>
      <c r="G384" s="64">
        <f t="shared" si="95"/>
        <v>7007921.5035895919</v>
      </c>
      <c r="H384" s="64">
        <f t="shared" si="95"/>
        <v>6704269.8752230387</v>
      </c>
      <c r="I384" s="64">
        <f t="shared" si="95"/>
        <v>6735685.2124428023</v>
      </c>
      <c r="J384" s="64">
        <f t="shared" si="95"/>
        <v>41408205.862500891</v>
      </c>
    </row>
    <row r="385" spans="2:10">
      <c r="B385" s="48" t="s">
        <v>1176</v>
      </c>
      <c r="D385" s="64">
        <f t="shared" si="95"/>
        <v>75.180000000000007</v>
      </c>
      <c r="E385" s="64">
        <f t="shared" si="95"/>
        <v>75.180000000000007</v>
      </c>
      <c r="F385" s="64">
        <f t="shared" si="95"/>
        <v>75.180000000000007</v>
      </c>
      <c r="G385" s="64">
        <f t="shared" si="95"/>
        <v>75.180000000000007</v>
      </c>
      <c r="H385" s="64">
        <f t="shared" si="95"/>
        <v>75.180000000000007</v>
      </c>
      <c r="I385" s="64">
        <f t="shared" si="95"/>
        <v>75.180000000000007</v>
      </c>
      <c r="J385" s="64">
        <f t="shared" si="95"/>
        <v>451.08</v>
      </c>
    </row>
    <row r="386" spans="2:10">
      <c r="B386" s="48" t="s">
        <v>274</v>
      </c>
      <c r="D386" s="64">
        <f t="shared" si="95"/>
        <v>5998630.5410501184</v>
      </c>
      <c r="E386" s="64">
        <f t="shared" si="95"/>
        <v>6001134.0270902542</v>
      </c>
      <c r="F386" s="64">
        <f t="shared" si="95"/>
        <v>5887788.7770107789</v>
      </c>
      <c r="G386" s="64">
        <f t="shared" si="95"/>
        <v>5980563.001272073</v>
      </c>
      <c r="H386" s="64">
        <f t="shared" si="95"/>
        <v>5721426.5807292918</v>
      </c>
      <c r="I386" s="64">
        <f t="shared" si="95"/>
        <v>5748236.4420202263</v>
      </c>
      <c r="J386" s="64">
        <f t="shared" si="95"/>
        <v>35337779.369172744</v>
      </c>
    </row>
    <row r="387" spans="2:10">
      <c r="B387" s="48" t="s">
        <v>275</v>
      </c>
      <c r="D387" s="64">
        <f t="shared" si="95"/>
        <v>292392.12700047356</v>
      </c>
      <c r="E387" s="64">
        <f t="shared" si="95"/>
        <v>292514.15478717955</v>
      </c>
      <c r="F387" s="64">
        <f t="shared" si="95"/>
        <v>286989.35066241404</v>
      </c>
      <c r="G387" s="64">
        <f t="shared" si="95"/>
        <v>291511.45826296479</v>
      </c>
      <c r="H387" s="64">
        <f t="shared" si="95"/>
        <v>278880.33376425056</v>
      </c>
      <c r="I387" s="64">
        <f t="shared" si="95"/>
        <v>280187.1307596314</v>
      </c>
      <c r="J387" s="64">
        <f t="shared" si="95"/>
        <v>1722474.555236914</v>
      </c>
    </row>
    <row r="388" spans="2:10">
      <c r="B388" s="48" t="s">
        <v>276</v>
      </c>
      <c r="D388" s="64">
        <f t="shared" si="95"/>
        <v>2616267.1736547002</v>
      </c>
      <c r="E388" s="64">
        <f t="shared" si="95"/>
        <v>2617359.054260063</v>
      </c>
      <c r="F388" s="64">
        <f t="shared" si="95"/>
        <v>2567924.1949128662</v>
      </c>
      <c r="G388" s="64">
        <f t="shared" si="95"/>
        <v>2608387.1232154337</v>
      </c>
      <c r="H388" s="64">
        <f t="shared" si="95"/>
        <v>2495366.3085603309</v>
      </c>
      <c r="I388" s="64">
        <f t="shared" si="95"/>
        <v>2507059.2707365658</v>
      </c>
      <c r="J388" s="64">
        <f t="shared" si="95"/>
        <v>15412363.125339961</v>
      </c>
    </row>
    <row r="389" spans="2:10">
      <c r="B389" s="48" t="s">
        <v>277</v>
      </c>
      <c r="D389" s="64">
        <f t="shared" si="95"/>
        <v>436752.00394456589</v>
      </c>
      <c r="E389" s="64">
        <f t="shared" si="95"/>
        <v>436934.27930514916</v>
      </c>
      <c r="F389" s="64">
        <f t="shared" si="95"/>
        <v>428681.76820765092</v>
      </c>
      <c r="G389" s="64">
        <f t="shared" si="95"/>
        <v>435436.5313295399</v>
      </c>
      <c r="H389" s="64">
        <f t="shared" si="95"/>
        <v>416569.16648808576</v>
      </c>
      <c r="I389" s="64">
        <f t="shared" si="95"/>
        <v>418521.15545692819</v>
      </c>
      <c r="J389" s="64">
        <f t="shared" si="95"/>
        <v>2572894.9047319195</v>
      </c>
    </row>
    <row r="390" spans="2:10">
      <c r="B390" s="48" t="s">
        <v>278</v>
      </c>
      <c r="D390" s="64">
        <f t="shared" si="95"/>
        <v>49.86</v>
      </c>
      <c r="E390" s="64">
        <f t="shared" si="95"/>
        <v>49.86</v>
      </c>
      <c r="F390" s="64">
        <f t="shared" si="95"/>
        <v>49.86</v>
      </c>
      <c r="G390" s="64">
        <f t="shared" si="95"/>
        <v>49.86</v>
      </c>
      <c r="H390" s="64">
        <f t="shared" si="95"/>
        <v>49.86</v>
      </c>
      <c r="I390" s="64">
        <f t="shared" si="95"/>
        <v>49.86</v>
      </c>
      <c r="J390" s="64">
        <f t="shared" si="95"/>
        <v>299.15999999999997</v>
      </c>
    </row>
    <row r="391" spans="2:10">
      <c r="B391" s="48" t="s">
        <v>279</v>
      </c>
      <c r="D391" s="64">
        <f t="shared" ref="D391:J398" si="96">SUMIF($B$29:$B$375,$B391,D$29:D$375)</f>
        <v>1907078.1870387434</v>
      </c>
      <c r="E391" s="64">
        <f t="shared" si="96"/>
        <v>1907874.1134439183</v>
      </c>
      <c r="F391" s="64">
        <f t="shared" si="96"/>
        <v>1871838.5710070366</v>
      </c>
      <c r="G391" s="64">
        <f t="shared" si="96"/>
        <v>1901334.0239975457</v>
      </c>
      <c r="H391" s="64">
        <f t="shared" si="96"/>
        <v>1818947.49723208</v>
      </c>
      <c r="I391" s="64">
        <f t="shared" si="96"/>
        <v>1827471.0824162753</v>
      </c>
      <c r="J391" s="64">
        <f t="shared" si="96"/>
        <v>11234543.4751356</v>
      </c>
    </row>
    <row r="392" spans="2:10">
      <c r="B392" s="48" t="s">
        <v>875</v>
      </c>
      <c r="D392" s="64">
        <f t="shared" si="96"/>
        <v>16595.251338761555</v>
      </c>
      <c r="E392" s="64">
        <f t="shared" si="96"/>
        <v>16287.32553103656</v>
      </c>
      <c r="F392" s="64">
        <f t="shared" si="96"/>
        <v>16539.57535238424</v>
      </c>
      <c r="G392" s="64">
        <f t="shared" si="96"/>
        <v>17430.844506045749</v>
      </c>
      <c r="H392" s="64">
        <f t="shared" si="96"/>
        <v>16041.950249135847</v>
      </c>
      <c r="I392" s="64">
        <f t="shared" si="96"/>
        <v>18029.288316587725</v>
      </c>
      <c r="J392" s="64">
        <f t="shared" si="96"/>
        <v>100924.23529395167</v>
      </c>
    </row>
    <row r="393" spans="2:10">
      <c r="B393" s="48" t="s">
        <v>874</v>
      </c>
      <c r="D393" s="64">
        <f t="shared" si="96"/>
        <v>555.20449978616989</v>
      </c>
      <c r="E393" s="64">
        <f t="shared" si="96"/>
        <v>550.27080919862988</v>
      </c>
      <c r="F393" s="64">
        <f t="shared" si="96"/>
        <v>527.02700291279996</v>
      </c>
      <c r="G393" s="64">
        <f t="shared" si="96"/>
        <v>546.53628077099984</v>
      </c>
      <c r="H393" s="64">
        <f t="shared" si="96"/>
        <v>529.27584753303006</v>
      </c>
      <c r="I393" s="64">
        <f t="shared" si="96"/>
        <v>548.37184299300054</v>
      </c>
      <c r="J393" s="64">
        <f t="shared" si="96"/>
        <v>3256.6862831946301</v>
      </c>
    </row>
    <row r="394" spans="2:10">
      <c r="B394" s="48" t="s">
        <v>873</v>
      </c>
      <c r="D394" s="64">
        <f t="shared" si="96"/>
        <v>85439.754878329404</v>
      </c>
      <c r="E394" s="64">
        <f t="shared" si="96"/>
        <v>84576.051555693106</v>
      </c>
      <c r="F394" s="64">
        <f t="shared" si="96"/>
        <v>82174.959349941972</v>
      </c>
      <c r="G394" s="64">
        <f t="shared" si="96"/>
        <v>85491.608301047527</v>
      </c>
      <c r="H394" s="64">
        <f t="shared" si="96"/>
        <v>78825.389162275053</v>
      </c>
      <c r="I394" s="64">
        <f t="shared" si="96"/>
        <v>84522.529789085907</v>
      </c>
      <c r="J394" s="64">
        <f t="shared" si="96"/>
        <v>501030.29303637298</v>
      </c>
    </row>
    <row r="395" spans="2:10">
      <c r="B395" s="48" t="s">
        <v>872</v>
      </c>
      <c r="D395" s="64">
        <f t="shared" si="96"/>
        <v>20383.128978482782</v>
      </c>
      <c r="E395" s="64">
        <f t="shared" si="96"/>
        <v>20574.581021853301</v>
      </c>
      <c r="F395" s="64">
        <f t="shared" si="96"/>
        <v>20014.270970949448</v>
      </c>
      <c r="G395" s="64">
        <f t="shared" si="96"/>
        <v>21451.556430854551</v>
      </c>
      <c r="H395" s="64">
        <f t="shared" si="96"/>
        <v>20113.984149351301</v>
      </c>
      <c r="I395" s="64">
        <f t="shared" si="96"/>
        <v>20005.618618025474</v>
      </c>
      <c r="J395" s="64">
        <f t="shared" si="96"/>
        <v>122543.14016951688</v>
      </c>
    </row>
    <row r="396" spans="2:10">
      <c r="B396" s="48" t="s">
        <v>871</v>
      </c>
      <c r="D396" s="64">
        <f t="shared" si="96"/>
        <v>9295.6471921988996</v>
      </c>
      <c r="E396" s="64">
        <f t="shared" si="96"/>
        <v>9117.1176107075989</v>
      </c>
      <c r="F396" s="64">
        <f t="shared" si="96"/>
        <v>9426.0716627921975</v>
      </c>
      <c r="G396" s="64">
        <f t="shared" si="96"/>
        <v>11333.085262624709</v>
      </c>
      <c r="H396" s="64">
        <f t="shared" si="96"/>
        <v>10912.183446731577</v>
      </c>
      <c r="I396" s="64">
        <f t="shared" si="96"/>
        <v>11472.44776757551</v>
      </c>
      <c r="J396" s="64">
        <f t="shared" si="96"/>
        <v>61556.552942630493</v>
      </c>
    </row>
    <row r="397" spans="2:10">
      <c r="B397" s="48" t="s">
        <v>870</v>
      </c>
      <c r="D397" s="64">
        <f t="shared" si="96"/>
        <v>19471.18461923115</v>
      </c>
      <c r="E397" s="64">
        <f t="shared" si="96"/>
        <v>17624.866330925095</v>
      </c>
      <c r="F397" s="64">
        <f t="shared" si="96"/>
        <v>17814.714459121707</v>
      </c>
      <c r="G397" s="64">
        <f t="shared" si="96"/>
        <v>20426.963847719126</v>
      </c>
      <c r="H397" s="64">
        <f t="shared" si="96"/>
        <v>14191.532931671549</v>
      </c>
      <c r="I397" s="64">
        <f t="shared" si="96"/>
        <v>18299.551162196069</v>
      </c>
      <c r="J397" s="64">
        <f t="shared" si="96"/>
        <v>107828.81335086472</v>
      </c>
    </row>
    <row r="398" spans="2:10">
      <c r="B398" s="48" t="s">
        <v>890</v>
      </c>
      <c r="D398" s="64">
        <f t="shared" si="96"/>
        <v>4906.4166450000093</v>
      </c>
      <c r="E398" s="64">
        <f t="shared" si="96"/>
        <v>4906.4166450000093</v>
      </c>
      <c r="F398" s="64">
        <f t="shared" si="96"/>
        <v>4906.4166450000093</v>
      </c>
      <c r="G398" s="64">
        <f t="shared" si="96"/>
        <v>4906.4166450000093</v>
      </c>
      <c r="H398" s="64">
        <f t="shared" si="96"/>
        <v>4906.4166450000093</v>
      </c>
      <c r="I398" s="64">
        <f t="shared" si="96"/>
        <v>4906.4166450000093</v>
      </c>
      <c r="J398" s="64">
        <f t="shared" si="96"/>
        <v>29438.499870000054</v>
      </c>
    </row>
    <row r="399" spans="2:10">
      <c r="B399" s="48" t="s">
        <v>111</v>
      </c>
      <c r="D399" s="65">
        <f t="shared" ref="D399:J399" si="97">SUM(D381:D398)</f>
        <v>27296241.126662489</v>
      </c>
      <c r="E399" s="65">
        <f t="shared" si="97"/>
        <v>27304557.68589234</v>
      </c>
      <c r="F399" s="65">
        <f t="shared" si="97"/>
        <v>26789516.358637221</v>
      </c>
      <c r="G399" s="65">
        <f t="shared" si="97"/>
        <v>27219438.608536921</v>
      </c>
      <c r="H399" s="65">
        <f t="shared" si="97"/>
        <v>26030961.837739009</v>
      </c>
      <c r="I399" s="65">
        <f t="shared" si="97"/>
        <v>26164521.141899709</v>
      </c>
      <c r="J399" s="65">
        <f t="shared" si="97"/>
        <v>160805236.75936773</v>
      </c>
    </row>
    <row r="400" spans="2:10" ht="17.25" customHeight="1">
      <c r="D400" s="66">
        <f t="shared" ref="D400:J400" si="98">D399-D375</f>
        <v>0</v>
      </c>
      <c r="E400" s="66">
        <f t="shared" si="98"/>
        <v>0</v>
      </c>
      <c r="F400" s="66">
        <f t="shared" si="98"/>
        <v>0</v>
      </c>
      <c r="G400" s="66">
        <f t="shared" si="98"/>
        <v>0</v>
      </c>
      <c r="H400" s="66">
        <f t="shared" si="98"/>
        <v>0</v>
      </c>
      <c r="I400" s="66">
        <f t="shared" si="98"/>
        <v>0</v>
      </c>
      <c r="J400" s="66">
        <f t="shared" si="98"/>
        <v>0</v>
      </c>
    </row>
    <row r="402" spans="2:10">
      <c r="B402" s="48" t="s">
        <v>902</v>
      </c>
      <c r="D402" s="64">
        <f t="shared" ref="D402:J417" si="99">D381-D422</f>
        <v>1094261.0769690466</v>
      </c>
      <c r="E402" s="64">
        <f t="shared" si="99"/>
        <v>1094717.7590920255</v>
      </c>
      <c r="F402" s="64">
        <f t="shared" si="99"/>
        <v>1074041.4906383296</v>
      </c>
      <c r="G402" s="64">
        <f t="shared" si="99"/>
        <v>1090965.2237904905</v>
      </c>
      <c r="H402" s="64">
        <f t="shared" si="99"/>
        <v>1043693.9513417945</v>
      </c>
      <c r="I402" s="64">
        <f t="shared" si="99"/>
        <v>1048584.565539293</v>
      </c>
      <c r="J402" s="64">
        <f t="shared" si="99"/>
        <v>6446264.06737098</v>
      </c>
    </row>
    <row r="403" spans="2:10">
      <c r="B403" s="48" t="s">
        <v>751</v>
      </c>
      <c r="D403" s="64">
        <f t="shared" si="99"/>
        <v>3008654.7327298112</v>
      </c>
      <c r="E403" s="64">
        <f t="shared" si="99"/>
        <v>3009910.4040328525</v>
      </c>
      <c r="F403" s="64">
        <f t="shared" si="99"/>
        <v>2953059.9261076115</v>
      </c>
      <c r="G403" s="64">
        <f t="shared" si="99"/>
        <v>2999592.6126092509</v>
      </c>
      <c r="H403" s="64">
        <f t="shared" si="99"/>
        <v>2869617.7848563124</v>
      </c>
      <c r="I403" s="64">
        <f t="shared" si="99"/>
        <v>2883064.7835301021</v>
      </c>
      <c r="J403" s="64">
        <f t="shared" si="99"/>
        <v>17723900.243865941</v>
      </c>
    </row>
    <row r="404" spans="2:10">
      <c r="B404" s="48" t="s">
        <v>750</v>
      </c>
      <c r="D404" s="64">
        <f t="shared" si="99"/>
        <v>4549957.9042717079</v>
      </c>
      <c r="E404" s="64">
        <f t="shared" si="99"/>
        <v>4551856.7970304117</v>
      </c>
      <c r="F404" s="64">
        <f t="shared" si="99"/>
        <v>4465884.4883540273</v>
      </c>
      <c r="G404" s="64">
        <f t="shared" si="99"/>
        <v>4536253.6854735501</v>
      </c>
      <c r="H404" s="64">
        <f t="shared" si="99"/>
        <v>4339698.8556895331</v>
      </c>
      <c r="I404" s="64">
        <f t="shared" si="99"/>
        <v>4360034.1204567747</v>
      </c>
      <c r="J404" s="64">
        <f t="shared" si="99"/>
        <v>26803685.851276007</v>
      </c>
    </row>
    <row r="405" spans="2:10">
      <c r="B405" s="48" t="s">
        <v>749</v>
      </c>
      <c r="D405" s="64">
        <f t="shared" si="99"/>
        <v>6919001.7652547536</v>
      </c>
      <c r="E405" s="64">
        <f t="shared" si="99"/>
        <v>6921889.3617173871</v>
      </c>
      <c r="F405" s="64">
        <f t="shared" si="99"/>
        <v>6791153.5245931642</v>
      </c>
      <c r="G405" s="64">
        <f t="shared" si="99"/>
        <v>6898162.1188116819</v>
      </c>
      <c r="H405" s="64">
        <f t="shared" si="99"/>
        <v>6599266.339365419</v>
      </c>
      <c r="I405" s="64">
        <f t="shared" si="99"/>
        <v>6630189.6436644271</v>
      </c>
      <c r="J405" s="64">
        <f t="shared" si="99"/>
        <v>40759662.75340683</v>
      </c>
    </row>
    <row r="406" spans="2:10">
      <c r="B406" s="48" t="s">
        <v>1176</v>
      </c>
      <c r="D406" s="64">
        <f t="shared" si="99"/>
        <v>73.14</v>
      </c>
      <c r="E406" s="64">
        <f t="shared" si="99"/>
        <v>73.14</v>
      </c>
      <c r="F406" s="64">
        <f t="shared" si="99"/>
        <v>73.14</v>
      </c>
      <c r="G406" s="64">
        <f t="shared" si="99"/>
        <v>73.14</v>
      </c>
      <c r="H406" s="64">
        <f t="shared" si="99"/>
        <v>73.14</v>
      </c>
      <c r="I406" s="64">
        <f t="shared" si="99"/>
        <v>73.14</v>
      </c>
      <c r="J406" s="64">
        <f t="shared" si="99"/>
        <v>438.84</v>
      </c>
    </row>
    <row r="407" spans="2:10">
      <c r="B407" s="48" t="s">
        <v>274</v>
      </c>
      <c r="D407" s="64">
        <f t="shared" si="99"/>
        <v>5880305.4025383247</v>
      </c>
      <c r="E407" s="64">
        <f t="shared" si="99"/>
        <v>5882759.5064185765</v>
      </c>
      <c r="F407" s="64">
        <f t="shared" si="99"/>
        <v>5771650.0320421606</v>
      </c>
      <c r="G407" s="64">
        <f t="shared" si="99"/>
        <v>5862594.2514613625</v>
      </c>
      <c r="H407" s="64">
        <f t="shared" si="99"/>
        <v>5608569.3897392731</v>
      </c>
      <c r="I407" s="64">
        <f t="shared" si="99"/>
        <v>5634850.4169023139</v>
      </c>
      <c r="J407" s="64">
        <f t="shared" si="99"/>
        <v>34640728.999102011</v>
      </c>
    </row>
    <row r="408" spans="2:10">
      <c r="B408" s="48" t="s">
        <v>275</v>
      </c>
      <c r="D408" s="64">
        <f t="shared" si="99"/>
        <v>286669.09899886476</v>
      </c>
      <c r="E408" s="64">
        <f t="shared" si="99"/>
        <v>286788.73832030164</v>
      </c>
      <c r="F408" s="64">
        <f t="shared" si="99"/>
        <v>281372.07188389939</v>
      </c>
      <c r="G408" s="64">
        <f t="shared" si="99"/>
        <v>285805.66770169546</v>
      </c>
      <c r="H408" s="64">
        <f t="shared" si="99"/>
        <v>273421.77379683999</v>
      </c>
      <c r="I408" s="64">
        <f t="shared" si="99"/>
        <v>274702.99268971267</v>
      </c>
      <c r="J408" s="64">
        <f t="shared" si="99"/>
        <v>1688760.3433913139</v>
      </c>
    </row>
    <row r="409" spans="2:10">
      <c r="B409" s="48" t="s">
        <v>276</v>
      </c>
      <c r="D409" s="64">
        <f t="shared" si="99"/>
        <v>2565106.7144827521</v>
      </c>
      <c r="E409" s="64">
        <f t="shared" si="99"/>
        <v>2566177.2436322337</v>
      </c>
      <c r="F409" s="64">
        <f t="shared" si="99"/>
        <v>2517709.0707644499</v>
      </c>
      <c r="G409" s="64">
        <f t="shared" si="99"/>
        <v>2557380.7564858901</v>
      </c>
      <c r="H409" s="64">
        <f t="shared" si="99"/>
        <v>2446570.0359801799</v>
      </c>
      <c r="I409" s="64">
        <f t="shared" si="99"/>
        <v>2458034.3451656043</v>
      </c>
      <c r="J409" s="64">
        <f t="shared" si="99"/>
        <v>15110978.166511111</v>
      </c>
    </row>
    <row r="410" spans="2:10">
      <c r="B410" s="48" t="s">
        <v>277</v>
      </c>
      <c r="D410" s="64">
        <f t="shared" si="99"/>
        <v>428211.42625010235</v>
      </c>
      <c r="E410" s="64">
        <f t="shared" si="99"/>
        <v>428390.13726097508</v>
      </c>
      <c r="F410" s="64">
        <f t="shared" si="99"/>
        <v>420299.00198217039</v>
      </c>
      <c r="G410" s="64">
        <f t="shared" si="99"/>
        <v>426921.6773775483</v>
      </c>
      <c r="H410" s="64">
        <f t="shared" si="99"/>
        <v>408423.25920116471</v>
      </c>
      <c r="I410" s="64">
        <f t="shared" si="99"/>
        <v>410337.07750725903</v>
      </c>
      <c r="J410" s="64">
        <f t="shared" si="99"/>
        <v>2522582.5795792197</v>
      </c>
    </row>
    <row r="411" spans="2:10">
      <c r="B411" s="48" t="s">
        <v>278</v>
      </c>
      <c r="D411" s="64">
        <f t="shared" si="99"/>
        <v>48.884999999999998</v>
      </c>
      <c r="E411" s="64">
        <f t="shared" si="99"/>
        <v>48.884999999999998</v>
      </c>
      <c r="F411" s="64">
        <f t="shared" si="99"/>
        <v>48.884999999999998</v>
      </c>
      <c r="G411" s="64">
        <f t="shared" si="99"/>
        <v>48.884999999999998</v>
      </c>
      <c r="H411" s="64">
        <f t="shared" si="99"/>
        <v>48.884999999999998</v>
      </c>
      <c r="I411" s="64">
        <f t="shared" si="99"/>
        <v>48.884999999999998</v>
      </c>
      <c r="J411" s="64">
        <f t="shared" si="99"/>
        <v>293.30999999999995</v>
      </c>
    </row>
    <row r="412" spans="2:10">
      <c r="B412" s="48" t="s">
        <v>279</v>
      </c>
      <c r="D412" s="64">
        <f t="shared" si="99"/>
        <v>1869785.7435497185</v>
      </c>
      <c r="E412" s="64">
        <f t="shared" si="99"/>
        <v>1870566.105810388</v>
      </c>
      <c r="F412" s="64">
        <f t="shared" si="99"/>
        <v>1835235.2295162252</v>
      </c>
      <c r="G412" s="64">
        <f t="shared" si="99"/>
        <v>1864153.9061997598</v>
      </c>
      <c r="H412" s="64">
        <f t="shared" si="99"/>
        <v>1783378.4276411999</v>
      </c>
      <c r="I412" s="64">
        <f t="shared" si="99"/>
        <v>1791735.3362198079</v>
      </c>
      <c r="J412" s="64">
        <f t="shared" si="99"/>
        <v>11014854.7489371</v>
      </c>
    </row>
    <row r="413" spans="2:10">
      <c r="B413" s="48" t="s">
        <v>875</v>
      </c>
      <c r="D413" s="64">
        <f t="shared" si="99"/>
        <v>0</v>
      </c>
      <c r="E413" s="64">
        <f t="shared" si="99"/>
        <v>0</v>
      </c>
      <c r="F413" s="64">
        <f t="shared" si="99"/>
        <v>0</v>
      </c>
      <c r="G413" s="64">
        <f t="shared" si="99"/>
        <v>0</v>
      </c>
      <c r="H413" s="64">
        <f t="shared" si="99"/>
        <v>0</v>
      </c>
      <c r="I413" s="64">
        <f t="shared" si="99"/>
        <v>0</v>
      </c>
      <c r="J413" s="64">
        <f t="shared" si="99"/>
        <v>0</v>
      </c>
    </row>
    <row r="414" spans="2:10">
      <c r="B414" s="48" t="s">
        <v>874</v>
      </c>
      <c r="D414" s="64">
        <f t="shared" si="99"/>
        <v>0</v>
      </c>
      <c r="E414" s="64">
        <f t="shared" si="99"/>
        <v>0</v>
      </c>
      <c r="F414" s="64">
        <f t="shared" si="99"/>
        <v>0</v>
      </c>
      <c r="G414" s="64">
        <f t="shared" si="99"/>
        <v>0</v>
      </c>
      <c r="H414" s="64">
        <f t="shared" si="99"/>
        <v>0</v>
      </c>
      <c r="I414" s="64">
        <f t="shared" si="99"/>
        <v>0</v>
      </c>
      <c r="J414" s="64">
        <f t="shared" si="99"/>
        <v>0</v>
      </c>
    </row>
    <row r="415" spans="2:10">
      <c r="B415" s="48" t="s">
        <v>873</v>
      </c>
      <c r="D415" s="64">
        <f t="shared" si="99"/>
        <v>0</v>
      </c>
      <c r="E415" s="64">
        <f t="shared" si="99"/>
        <v>0</v>
      </c>
      <c r="F415" s="64">
        <f t="shared" si="99"/>
        <v>0</v>
      </c>
      <c r="G415" s="64">
        <f t="shared" si="99"/>
        <v>0</v>
      </c>
      <c r="H415" s="64">
        <f t="shared" si="99"/>
        <v>0</v>
      </c>
      <c r="I415" s="64">
        <f t="shared" si="99"/>
        <v>0</v>
      </c>
      <c r="J415" s="64">
        <f t="shared" si="99"/>
        <v>0</v>
      </c>
    </row>
    <row r="416" spans="2:10">
      <c r="B416" s="48" t="s">
        <v>872</v>
      </c>
      <c r="D416" s="64">
        <f t="shared" si="99"/>
        <v>0</v>
      </c>
      <c r="E416" s="64">
        <f t="shared" si="99"/>
        <v>0</v>
      </c>
      <c r="F416" s="64">
        <f t="shared" si="99"/>
        <v>0</v>
      </c>
      <c r="G416" s="64">
        <f t="shared" si="99"/>
        <v>0</v>
      </c>
      <c r="H416" s="64">
        <f t="shared" si="99"/>
        <v>0</v>
      </c>
      <c r="I416" s="64">
        <f t="shared" si="99"/>
        <v>0</v>
      </c>
      <c r="J416" s="64">
        <f t="shared" si="99"/>
        <v>0</v>
      </c>
    </row>
    <row r="417" spans="2:10">
      <c r="B417" s="48" t="s">
        <v>871</v>
      </c>
      <c r="D417" s="64">
        <f t="shared" si="99"/>
        <v>0</v>
      </c>
      <c r="E417" s="64">
        <f t="shared" si="99"/>
        <v>0</v>
      </c>
      <c r="F417" s="64">
        <f t="shared" si="99"/>
        <v>0</v>
      </c>
      <c r="G417" s="64">
        <f t="shared" si="99"/>
        <v>0</v>
      </c>
      <c r="H417" s="64">
        <f t="shared" si="99"/>
        <v>0</v>
      </c>
      <c r="I417" s="64">
        <f t="shared" si="99"/>
        <v>0</v>
      </c>
      <c r="J417" s="64">
        <f t="shared" si="99"/>
        <v>0</v>
      </c>
    </row>
    <row r="418" spans="2:10">
      <c r="B418" s="48" t="s">
        <v>870</v>
      </c>
      <c r="D418" s="64">
        <f t="shared" ref="D418:J418" si="100">D397-D438</f>
        <v>0</v>
      </c>
      <c r="E418" s="64">
        <f t="shared" si="100"/>
        <v>0</v>
      </c>
      <c r="F418" s="64">
        <f t="shared" si="100"/>
        <v>0</v>
      </c>
      <c r="G418" s="64">
        <f t="shared" si="100"/>
        <v>0</v>
      </c>
      <c r="H418" s="64">
        <f t="shared" si="100"/>
        <v>0</v>
      </c>
      <c r="I418" s="64">
        <f t="shared" si="100"/>
        <v>0</v>
      </c>
      <c r="J418" s="64">
        <f t="shared" si="100"/>
        <v>0</v>
      </c>
    </row>
    <row r="419" spans="2:10">
      <c r="B419" s="48" t="s">
        <v>893</v>
      </c>
      <c r="D419" s="64">
        <f>D398-D439</f>
        <v>0</v>
      </c>
      <c r="E419" s="64"/>
      <c r="F419" s="64"/>
      <c r="G419" s="64"/>
      <c r="H419" s="64"/>
      <c r="I419" s="64"/>
      <c r="J419" s="64"/>
    </row>
    <row r="420" spans="2:10">
      <c r="B420" s="48" t="s">
        <v>111</v>
      </c>
      <c r="C420" s="48" t="s">
        <v>889</v>
      </c>
      <c r="D420" s="65">
        <f>SUM(D402:D419)</f>
        <v>26602075.890045084</v>
      </c>
      <c r="E420" s="65">
        <f t="shared" ref="E420:J420" si="101">SUM(E402:E419)</f>
        <v>26613178.078315154</v>
      </c>
      <c r="F420" s="65">
        <f t="shared" si="101"/>
        <v>26110526.86088204</v>
      </c>
      <c r="G420" s="65">
        <f t="shared" si="101"/>
        <v>26521951.924911231</v>
      </c>
      <c r="H420" s="65">
        <f t="shared" si="101"/>
        <v>25372761.842611723</v>
      </c>
      <c r="I420" s="65">
        <f t="shared" si="101"/>
        <v>25491655.306675293</v>
      </c>
      <c r="J420" s="65">
        <f t="shared" si="101"/>
        <v>156712149.90344054</v>
      </c>
    </row>
    <row r="422" spans="2:10">
      <c r="B422" s="48" t="s">
        <v>902</v>
      </c>
      <c r="D422" s="64">
        <f t="shared" ref="D422:J431" si="102">SUMIF($B$219:$B$342,$B422,D$219:D$342)</f>
        <v>30520.817569276122</v>
      </c>
      <c r="E422" s="64">
        <f t="shared" si="102"/>
        <v>30533.555216676687</v>
      </c>
      <c r="F422" s="64">
        <f t="shared" si="102"/>
        <v>29956.858639625287</v>
      </c>
      <c r="G422" s="64">
        <f t="shared" si="102"/>
        <v>30428.890573319663</v>
      </c>
      <c r="H422" s="64">
        <f t="shared" si="102"/>
        <v>29110.413737178842</v>
      </c>
      <c r="I422" s="64">
        <f t="shared" si="102"/>
        <v>29246.821352203409</v>
      </c>
      <c r="J422" s="64">
        <f t="shared" si="102"/>
        <v>179797.35708828003</v>
      </c>
    </row>
    <row r="423" spans="2:10">
      <c r="B423" s="48" t="s">
        <v>751</v>
      </c>
      <c r="D423" s="64">
        <f t="shared" si="102"/>
        <v>83916.538894843005</v>
      </c>
      <c r="E423" s="64">
        <f t="shared" si="102"/>
        <v>83951.561720358484</v>
      </c>
      <c r="F423" s="64">
        <f t="shared" si="102"/>
        <v>82365.904419736529</v>
      </c>
      <c r="G423" s="64">
        <f t="shared" si="102"/>
        <v>83663.78082749348</v>
      </c>
      <c r="H423" s="64">
        <f t="shared" si="102"/>
        <v>80038.560037009534</v>
      </c>
      <c r="I423" s="64">
        <f t="shared" si="102"/>
        <v>80413.619885171007</v>
      </c>
      <c r="J423" s="64">
        <f t="shared" si="102"/>
        <v>494349.96578461205</v>
      </c>
    </row>
    <row r="424" spans="2:10">
      <c r="B424" s="48" t="s">
        <v>750</v>
      </c>
      <c r="D424" s="64">
        <f t="shared" si="102"/>
        <v>91945.657500884452</v>
      </c>
      <c r="E424" s="64">
        <f t="shared" si="102"/>
        <v>91984.03037089693</v>
      </c>
      <c r="F424" s="64">
        <f t="shared" si="102"/>
        <v>90246.699913246324</v>
      </c>
      <c r="G424" s="64">
        <f t="shared" si="102"/>
        <v>91668.722321605208</v>
      </c>
      <c r="H424" s="64">
        <f t="shared" si="102"/>
        <v>87696.737648406634</v>
      </c>
      <c r="I424" s="64">
        <f t="shared" si="102"/>
        <v>88107.67316227658</v>
      </c>
      <c r="J424" s="64">
        <f t="shared" si="102"/>
        <v>541649.5209173162</v>
      </c>
    </row>
    <row r="425" spans="2:10">
      <c r="B425" s="48" t="s">
        <v>749</v>
      </c>
      <c r="D425" s="64">
        <f t="shared" si="102"/>
        <v>110090.97263177366</v>
      </c>
      <c r="E425" s="64">
        <f t="shared" si="102"/>
        <v>110136.91832075088</v>
      </c>
      <c r="F425" s="64">
        <f t="shared" si="102"/>
        <v>108056.72872763478</v>
      </c>
      <c r="G425" s="64">
        <f t="shared" si="102"/>
        <v>109759.38477790993</v>
      </c>
      <c r="H425" s="64">
        <f t="shared" si="102"/>
        <v>105003.53585762001</v>
      </c>
      <c r="I425" s="64">
        <f t="shared" si="102"/>
        <v>105495.5687783748</v>
      </c>
      <c r="J425" s="64">
        <f t="shared" si="102"/>
        <v>648543.1090940641</v>
      </c>
    </row>
    <row r="426" spans="2:10">
      <c r="B426" s="48" t="s">
        <v>1176</v>
      </c>
      <c r="D426" s="64">
        <f t="shared" si="102"/>
        <v>2.04</v>
      </c>
      <c r="E426" s="64">
        <f t="shared" si="102"/>
        <v>2.04</v>
      </c>
      <c r="F426" s="64">
        <f t="shared" si="102"/>
        <v>2.04</v>
      </c>
      <c r="G426" s="64">
        <f t="shared" si="102"/>
        <v>2.04</v>
      </c>
      <c r="H426" s="64">
        <f t="shared" si="102"/>
        <v>2.04</v>
      </c>
      <c r="I426" s="64">
        <f t="shared" si="102"/>
        <v>2.04</v>
      </c>
      <c r="J426" s="64">
        <f t="shared" si="102"/>
        <v>12.239999999999998</v>
      </c>
    </row>
    <row r="427" spans="2:10">
      <c r="B427" s="48" t="s">
        <v>274</v>
      </c>
      <c r="D427" s="64">
        <f t="shared" si="102"/>
        <v>118325.13851179367</v>
      </c>
      <c r="E427" s="64">
        <f t="shared" si="102"/>
        <v>118374.52067167734</v>
      </c>
      <c r="F427" s="64">
        <f t="shared" si="102"/>
        <v>116138.74496861831</v>
      </c>
      <c r="G427" s="64">
        <f t="shared" si="102"/>
        <v>117968.7498107102</v>
      </c>
      <c r="H427" s="64">
        <f t="shared" si="102"/>
        <v>112857.19099001851</v>
      </c>
      <c r="I427" s="64">
        <f t="shared" si="102"/>
        <v>113386.02511791204</v>
      </c>
      <c r="J427" s="64">
        <f t="shared" si="102"/>
        <v>697050.3700707301</v>
      </c>
    </row>
    <row r="428" spans="2:10">
      <c r="B428" s="48" t="s">
        <v>275</v>
      </c>
      <c r="D428" s="64">
        <f t="shared" si="102"/>
        <v>5723.0280016088145</v>
      </c>
      <c r="E428" s="64">
        <f t="shared" si="102"/>
        <v>5725.4164668778931</v>
      </c>
      <c r="F428" s="64">
        <f t="shared" si="102"/>
        <v>5617.2787785146702</v>
      </c>
      <c r="G428" s="64">
        <f t="shared" si="102"/>
        <v>5705.7905612693339</v>
      </c>
      <c r="H428" s="64">
        <f t="shared" si="102"/>
        <v>5458.5599674105888</v>
      </c>
      <c r="I428" s="64">
        <f t="shared" si="102"/>
        <v>5484.1380699187002</v>
      </c>
      <c r="J428" s="64">
        <f t="shared" si="102"/>
        <v>33714.211845600003</v>
      </c>
    </row>
    <row r="429" spans="2:10">
      <c r="B429" s="48" t="s">
        <v>276</v>
      </c>
      <c r="D429" s="64">
        <f t="shared" si="102"/>
        <v>51160.45917194811</v>
      </c>
      <c r="E429" s="64">
        <f t="shared" si="102"/>
        <v>51181.810627829145</v>
      </c>
      <c r="F429" s="64">
        <f t="shared" si="102"/>
        <v>50215.124148416457</v>
      </c>
      <c r="G429" s="64">
        <f t="shared" si="102"/>
        <v>51006.366729543683</v>
      </c>
      <c r="H429" s="64">
        <f t="shared" si="102"/>
        <v>48796.272580150886</v>
      </c>
      <c r="I429" s="64">
        <f t="shared" si="102"/>
        <v>49024.925570961728</v>
      </c>
      <c r="J429" s="64">
        <f t="shared" si="102"/>
        <v>301384.95882885001</v>
      </c>
    </row>
    <row r="430" spans="2:10">
      <c r="B430" s="48" t="s">
        <v>277</v>
      </c>
      <c r="D430" s="64">
        <f t="shared" si="102"/>
        <v>8540.5776944635327</v>
      </c>
      <c r="E430" s="64">
        <f t="shared" si="102"/>
        <v>8544.1420441740956</v>
      </c>
      <c r="F430" s="64">
        <f t="shared" si="102"/>
        <v>8382.7662254805382</v>
      </c>
      <c r="G430" s="64">
        <f t="shared" si="102"/>
        <v>8514.8539519916048</v>
      </c>
      <c r="H430" s="64">
        <f t="shared" si="102"/>
        <v>8145.9072869210513</v>
      </c>
      <c r="I430" s="64">
        <f t="shared" si="102"/>
        <v>8184.0779496691748</v>
      </c>
      <c r="J430" s="64">
        <f t="shared" si="102"/>
        <v>50312.325152700003</v>
      </c>
    </row>
    <row r="431" spans="2:10">
      <c r="B431" s="48" t="s">
        <v>278</v>
      </c>
      <c r="D431" s="64">
        <f t="shared" si="102"/>
        <v>0.97499999999999998</v>
      </c>
      <c r="E431" s="64">
        <f t="shared" si="102"/>
        <v>0.97499999999999998</v>
      </c>
      <c r="F431" s="64">
        <f t="shared" si="102"/>
        <v>0.97499999999999998</v>
      </c>
      <c r="G431" s="64">
        <f t="shared" si="102"/>
        <v>0.97499999999999998</v>
      </c>
      <c r="H431" s="64">
        <f t="shared" si="102"/>
        <v>0.97499999999999998</v>
      </c>
      <c r="I431" s="64">
        <f t="shared" si="102"/>
        <v>0.97499999999999998</v>
      </c>
      <c r="J431" s="64">
        <f t="shared" si="102"/>
        <v>5.85</v>
      </c>
    </row>
    <row r="432" spans="2:10">
      <c r="B432" s="48" t="s">
        <v>279</v>
      </c>
      <c r="D432" s="64">
        <f t="shared" ref="D432:J439" si="103">SUMIF($B$219:$B$342,$B432,D$219:D$342)</f>
        <v>37292.443489024765</v>
      </c>
      <c r="E432" s="64">
        <f t="shared" si="103"/>
        <v>37308.007633530295</v>
      </c>
      <c r="F432" s="64">
        <f t="shared" si="103"/>
        <v>36603.341490811494</v>
      </c>
      <c r="G432" s="64">
        <f t="shared" si="103"/>
        <v>37180.117797785941</v>
      </c>
      <c r="H432" s="64">
        <f t="shared" si="103"/>
        <v>35569.069590880019</v>
      </c>
      <c r="I432" s="64">
        <f t="shared" si="103"/>
        <v>35735.74619646748</v>
      </c>
      <c r="J432" s="64">
        <f t="shared" si="103"/>
        <v>219688.72619849999</v>
      </c>
    </row>
    <row r="433" spans="2:10">
      <c r="B433" s="48" t="s">
        <v>875</v>
      </c>
      <c r="D433" s="64">
        <f t="shared" si="103"/>
        <v>16595.251338761555</v>
      </c>
      <c r="E433" s="64">
        <f t="shared" si="103"/>
        <v>16287.32553103656</v>
      </c>
      <c r="F433" s="64">
        <f t="shared" si="103"/>
        <v>16539.57535238424</v>
      </c>
      <c r="G433" s="64">
        <f t="shared" si="103"/>
        <v>17430.844506045749</v>
      </c>
      <c r="H433" s="64">
        <f t="shared" si="103"/>
        <v>16041.950249135847</v>
      </c>
      <c r="I433" s="64">
        <f t="shared" si="103"/>
        <v>18029.288316587725</v>
      </c>
      <c r="J433" s="64">
        <f t="shared" si="103"/>
        <v>100924.23529395167</v>
      </c>
    </row>
    <row r="434" spans="2:10">
      <c r="B434" s="48" t="s">
        <v>874</v>
      </c>
      <c r="D434" s="64">
        <f t="shared" si="103"/>
        <v>555.20449978616989</v>
      </c>
      <c r="E434" s="64">
        <f t="shared" si="103"/>
        <v>550.27080919862988</v>
      </c>
      <c r="F434" s="64">
        <f t="shared" si="103"/>
        <v>527.02700291279996</v>
      </c>
      <c r="G434" s="64">
        <f t="shared" si="103"/>
        <v>546.53628077099984</v>
      </c>
      <c r="H434" s="64">
        <f t="shared" si="103"/>
        <v>529.27584753303006</v>
      </c>
      <c r="I434" s="64">
        <f t="shared" si="103"/>
        <v>548.37184299300054</v>
      </c>
      <c r="J434" s="64">
        <f t="shared" si="103"/>
        <v>3256.6862831946301</v>
      </c>
    </row>
    <row r="435" spans="2:10">
      <c r="B435" s="48" t="s">
        <v>873</v>
      </c>
      <c r="D435" s="64">
        <f t="shared" si="103"/>
        <v>85439.754878329404</v>
      </c>
      <c r="E435" s="64">
        <f t="shared" si="103"/>
        <v>84576.051555693106</v>
      </c>
      <c r="F435" s="64">
        <f t="shared" si="103"/>
        <v>82174.959349941972</v>
      </c>
      <c r="G435" s="64">
        <f t="shared" si="103"/>
        <v>85491.608301047527</v>
      </c>
      <c r="H435" s="64">
        <f t="shared" si="103"/>
        <v>78825.389162275053</v>
      </c>
      <c r="I435" s="64">
        <f t="shared" si="103"/>
        <v>84522.529789085907</v>
      </c>
      <c r="J435" s="64">
        <f t="shared" si="103"/>
        <v>501030.29303637298</v>
      </c>
    </row>
    <row r="436" spans="2:10">
      <c r="B436" s="48" t="s">
        <v>872</v>
      </c>
      <c r="D436" s="64">
        <f t="shared" si="103"/>
        <v>20383.128978482782</v>
      </c>
      <c r="E436" s="64">
        <f t="shared" si="103"/>
        <v>20574.581021853301</v>
      </c>
      <c r="F436" s="64">
        <f t="shared" si="103"/>
        <v>20014.270970949448</v>
      </c>
      <c r="G436" s="64">
        <f t="shared" si="103"/>
        <v>21451.556430854551</v>
      </c>
      <c r="H436" s="64">
        <f t="shared" si="103"/>
        <v>20113.984149351301</v>
      </c>
      <c r="I436" s="64">
        <f t="shared" si="103"/>
        <v>20005.618618025474</v>
      </c>
      <c r="J436" s="64">
        <f t="shared" si="103"/>
        <v>122543.14016951688</v>
      </c>
    </row>
    <row r="437" spans="2:10">
      <c r="B437" s="48" t="s">
        <v>871</v>
      </c>
      <c r="D437" s="64">
        <f t="shared" si="103"/>
        <v>9295.6471921988996</v>
      </c>
      <c r="E437" s="64">
        <f t="shared" si="103"/>
        <v>9117.1176107075989</v>
      </c>
      <c r="F437" s="64">
        <f t="shared" si="103"/>
        <v>9426.0716627921975</v>
      </c>
      <c r="G437" s="64">
        <f t="shared" si="103"/>
        <v>11333.085262624709</v>
      </c>
      <c r="H437" s="64">
        <f t="shared" si="103"/>
        <v>10912.183446731577</v>
      </c>
      <c r="I437" s="64">
        <f t="shared" si="103"/>
        <v>11472.44776757551</v>
      </c>
      <c r="J437" s="64">
        <f t="shared" si="103"/>
        <v>61556.552942630493</v>
      </c>
    </row>
    <row r="438" spans="2:10">
      <c r="B438" s="48" t="s">
        <v>870</v>
      </c>
      <c r="D438" s="64">
        <f t="shared" si="103"/>
        <v>19471.18461923115</v>
      </c>
      <c r="E438" s="64">
        <f t="shared" si="103"/>
        <v>17624.866330925095</v>
      </c>
      <c r="F438" s="64">
        <f t="shared" si="103"/>
        <v>17814.714459121707</v>
      </c>
      <c r="G438" s="64">
        <f t="shared" si="103"/>
        <v>20426.963847719126</v>
      </c>
      <c r="H438" s="64">
        <f t="shared" si="103"/>
        <v>14191.532931671549</v>
      </c>
      <c r="I438" s="64">
        <f t="shared" si="103"/>
        <v>18299.551162196069</v>
      </c>
      <c r="J438" s="64">
        <f t="shared" si="103"/>
        <v>107828.81335086472</v>
      </c>
    </row>
    <row r="439" spans="2:10">
      <c r="B439" s="48" t="s">
        <v>893</v>
      </c>
      <c r="D439" s="64">
        <f t="shared" si="103"/>
        <v>4906.4166450000093</v>
      </c>
      <c r="E439" s="64">
        <f t="shared" si="103"/>
        <v>4906.4166450000093</v>
      </c>
      <c r="F439" s="64">
        <f t="shared" si="103"/>
        <v>4906.4166450000093</v>
      </c>
      <c r="G439" s="64">
        <f t="shared" si="103"/>
        <v>4906.4166450000093</v>
      </c>
      <c r="H439" s="64">
        <f t="shared" si="103"/>
        <v>4906.4166450000093</v>
      </c>
      <c r="I439" s="64">
        <f t="shared" si="103"/>
        <v>4906.4166450000093</v>
      </c>
      <c r="J439" s="64">
        <f t="shared" si="103"/>
        <v>29438.499870000054</v>
      </c>
    </row>
    <row r="440" spans="2:10">
      <c r="B440" s="48" t="s">
        <v>888</v>
      </c>
      <c r="D440" s="65">
        <f t="shared" ref="D440:J440" si="104">SUM(D422:D439)</f>
        <v>694165.23661740613</v>
      </c>
      <c r="E440" s="65">
        <f t="shared" si="104"/>
        <v>691379.60757718608</v>
      </c>
      <c r="F440" s="65">
        <f t="shared" si="104"/>
        <v>678989.49775518675</v>
      </c>
      <c r="G440" s="65">
        <f t="shared" si="104"/>
        <v>697486.68362569169</v>
      </c>
      <c r="H440" s="65">
        <f t="shared" si="104"/>
        <v>658199.99512729421</v>
      </c>
      <c r="I440" s="65">
        <f t="shared" si="104"/>
        <v>672865.83522441844</v>
      </c>
      <c r="J440" s="65">
        <f t="shared" si="104"/>
        <v>4093086.8559271833</v>
      </c>
    </row>
    <row r="441" spans="2:10">
      <c r="D441" s="66">
        <f t="shared" ref="D441:J441" si="105">D311+D342-D440</f>
        <v>0</v>
      </c>
      <c r="E441" s="66">
        <f t="shared" si="105"/>
        <v>0</v>
      </c>
      <c r="F441" s="66">
        <f t="shared" si="105"/>
        <v>0</v>
      </c>
      <c r="G441" s="66">
        <f t="shared" si="105"/>
        <v>0</v>
      </c>
      <c r="H441" s="66">
        <f t="shared" si="105"/>
        <v>0</v>
      </c>
      <c r="I441" s="66">
        <f t="shared" si="105"/>
        <v>0</v>
      </c>
      <c r="J441" s="66">
        <f t="shared" si="105"/>
        <v>0</v>
      </c>
    </row>
  </sheetData>
  <printOptions horizontalCentered="1" verticalCentered="1"/>
  <pageMargins left="0.39370078740157483" right="0.39370078740157483" top="0.39370078740157483" bottom="0.39370078740157483" header="0.31496062992125984" footer="0.23622047244094491"/>
  <pageSetup scale="46" orientation="portrait" horizontalDpi="300" r:id="rId1"/>
  <headerFooter alignWithMargins="0">
    <oddHeader>&amp;L
NOMBRE DE LA DISTRIBUIDORA: &amp;UENSA.&amp;R&amp;9&amp;A</oddHeader>
  </headerFooter>
  <rowBreaks count="5" manualBreakCount="5">
    <brk id="122" max="9" man="1"/>
    <brk id="217" max="9" man="1"/>
    <brk id="312" max="9" man="1"/>
    <brk id="412" max="16383" man="1"/>
    <brk id="503" max="9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7FB91-4607-408D-92CF-486AEE8BDA70}">
  <sheetPr codeName="Hoja58">
    <tabColor theme="5" tint="0.79998168889431442"/>
  </sheetPr>
  <dimension ref="B1:O456"/>
  <sheetViews>
    <sheetView zoomScale="70" zoomScaleNormal="70" zoomScaleSheetLayoutView="85" workbookViewId="0">
      <selection activeCell="D292" sqref="D292"/>
    </sheetView>
  </sheetViews>
  <sheetFormatPr baseColWidth="10" defaultColWidth="8" defaultRowHeight="15"/>
  <cols>
    <col min="1" max="1" width="2.5" style="63" customWidth="1"/>
    <col min="2" max="2" width="7" style="48" customWidth="1"/>
    <col min="3" max="3" width="30.25" style="63" customWidth="1"/>
    <col min="4" max="4" width="11.75" style="63" customWidth="1"/>
    <col min="5" max="5" width="12.625" style="63" customWidth="1"/>
    <col min="6" max="6" width="12.75" style="63" customWidth="1"/>
    <col min="7" max="7" width="13.25" style="63" customWidth="1"/>
    <col min="8" max="8" width="13.875" style="63" customWidth="1"/>
    <col min="9" max="9" width="11.5" style="63" customWidth="1"/>
    <col min="10" max="10" width="13.125" style="63" customWidth="1"/>
    <col min="11" max="11" width="2.25" style="63" customWidth="1"/>
    <col min="12" max="12" width="4.25" style="319" bestFit="1" customWidth="1"/>
    <col min="13" max="14" width="8" style="63"/>
    <col min="15" max="15" width="8.25" style="63" bestFit="1" customWidth="1"/>
    <col min="16" max="16384" width="8" style="63"/>
  </cols>
  <sheetData>
    <row r="1" spans="2:10" s="69" customFormat="1" ht="15.75">
      <c r="B1" s="48"/>
      <c r="C1" s="136" t="s">
        <v>151</v>
      </c>
      <c r="E1" s="63"/>
    </row>
    <row r="2" spans="2:10" s="69" customFormat="1" ht="15.75">
      <c r="B2" s="48"/>
      <c r="C2" s="136"/>
      <c r="E2" s="137" t="s">
        <v>138</v>
      </c>
    </row>
    <row r="3" spans="2:10" s="69" customFormat="1" ht="15.75">
      <c r="B3" s="48"/>
      <c r="C3" s="70" t="s">
        <v>865</v>
      </c>
      <c r="D3" s="137"/>
    </row>
    <row r="4" spans="2:10" s="69" customFormat="1" ht="15.75">
      <c r="B4" s="48"/>
      <c r="C4" s="219" t="s">
        <v>1531</v>
      </c>
      <c r="D4" s="338"/>
      <c r="E4" s="338"/>
      <c r="F4" s="338"/>
      <c r="G4" s="338"/>
      <c r="H4" s="338"/>
      <c r="I4" s="338"/>
      <c r="J4" s="339"/>
    </row>
    <row r="5" spans="2:10" s="74" customFormat="1" ht="18.75" customHeight="1">
      <c r="B5" s="48"/>
      <c r="C5" s="322"/>
      <c r="D5" s="322"/>
      <c r="E5" s="323"/>
      <c r="F5" s="322"/>
      <c r="G5" s="322"/>
      <c r="H5" s="322"/>
      <c r="I5" s="322"/>
    </row>
    <row r="6" spans="2:10" s="58" customFormat="1" ht="22.5">
      <c r="B6" s="48"/>
      <c r="C6" s="324" t="s">
        <v>3</v>
      </c>
      <c r="D6" s="325" t="s">
        <v>1449</v>
      </c>
      <c r="E6" s="325" t="s">
        <v>1450</v>
      </c>
      <c r="F6" s="325" t="s">
        <v>1451</v>
      </c>
      <c r="G6" s="325" t="s">
        <v>1234</v>
      </c>
      <c r="H6" s="325" t="s">
        <v>1233</v>
      </c>
      <c r="I6" s="325" t="s">
        <v>1232</v>
      </c>
      <c r="J6" s="325" t="s">
        <v>291</v>
      </c>
    </row>
    <row r="7" spans="2:10" s="143" customFormat="1" ht="13.5">
      <c r="B7" s="48"/>
      <c r="C7" s="144" t="s">
        <v>266</v>
      </c>
      <c r="D7" s="178"/>
      <c r="E7" s="144"/>
      <c r="F7" s="144"/>
      <c r="G7" s="146">
        <f>RAT1000PT!$E$106</f>
        <v>8.7849999999999998E-2</v>
      </c>
      <c r="H7" s="146">
        <f>RAT1000PT!$E$111</f>
        <v>8.7849999999999998E-2</v>
      </c>
      <c r="I7" s="146">
        <f>RAT1000PT!$E$116</f>
        <v>8.7849999999999998E-2</v>
      </c>
      <c r="J7" s="146">
        <f>RAT1000PT!$E$45</f>
        <v>1.7600000000000001E-3</v>
      </c>
    </row>
    <row r="8" spans="2:10" s="143" customFormat="1" ht="13.5">
      <c r="B8" s="48"/>
      <c r="C8" s="326" t="s">
        <v>265</v>
      </c>
      <c r="D8" s="327"/>
      <c r="E8" s="328"/>
      <c r="F8" s="328">
        <f>RAT1000PT!$E$127</f>
        <v>8.7849999999999998E-2</v>
      </c>
      <c r="G8" s="328"/>
      <c r="H8" s="328"/>
      <c r="I8" s="328"/>
      <c r="J8" s="328">
        <f>RAT1000PT!$E$44</f>
        <v>1.7600000000000001E-3</v>
      </c>
    </row>
    <row r="9" spans="2:10" s="143" customFormat="1" ht="13.5">
      <c r="B9" s="48"/>
      <c r="C9" s="144" t="s">
        <v>264</v>
      </c>
      <c r="D9" s="178"/>
      <c r="E9" s="146"/>
      <c r="F9" s="146"/>
      <c r="G9" s="146">
        <f>RAT1000PT!$E$105</f>
        <v>8.7849999999999998E-2</v>
      </c>
      <c r="H9" s="146">
        <f>RAT1000PT!$E$110</f>
        <v>8.7849999999999998E-2</v>
      </c>
      <c r="I9" s="146">
        <f>RAT1000PT!$E$115</f>
        <v>8.7849999999999998E-2</v>
      </c>
      <c r="J9" s="146">
        <f>RAT1000PT!$E$43</f>
        <v>1.7600000000000001E-3</v>
      </c>
    </row>
    <row r="10" spans="2:10" s="143" customFormat="1" ht="13.5">
      <c r="B10" s="48"/>
      <c r="C10" s="326" t="s">
        <v>262</v>
      </c>
      <c r="D10" s="327"/>
      <c r="E10" s="328"/>
      <c r="F10" s="328">
        <f>RAT1000PT!$E126</f>
        <v>8.7849999999999998E-2</v>
      </c>
      <c r="G10" s="328"/>
      <c r="H10" s="328"/>
      <c r="I10" s="328"/>
      <c r="J10" s="328">
        <f>RAT1000PT!$E$42</f>
        <v>1.7600000000000001E-3</v>
      </c>
    </row>
    <row r="11" spans="2:10" s="143" customFormat="1" ht="13.5">
      <c r="B11" s="48"/>
      <c r="C11" s="144" t="s">
        <v>263</v>
      </c>
      <c r="D11" s="178"/>
      <c r="E11" s="146"/>
      <c r="F11" s="146"/>
      <c r="G11" s="146">
        <f>RAT1000PT!$E$104</f>
        <v>8.7849999999999998E-2</v>
      </c>
      <c r="H11" s="146">
        <f>RAT1000PT!$E$109</f>
        <v>8.7849999999999998E-2</v>
      </c>
      <c r="I11" s="146">
        <f>RAT1000PT!$E$114</f>
        <v>8.7849999999999998E-2</v>
      </c>
      <c r="J11" s="146">
        <f>RAT1000PT!$E$41</f>
        <v>1.7600000000000001E-3</v>
      </c>
    </row>
    <row r="12" spans="2:10" s="143" customFormat="1" ht="13.5">
      <c r="B12" s="48"/>
      <c r="C12" s="326" t="s">
        <v>648</v>
      </c>
      <c r="D12" s="327"/>
      <c r="E12" s="328"/>
      <c r="F12" s="328">
        <f>RAT1000PT!$E122</f>
        <v>8.43E-2</v>
      </c>
      <c r="G12" s="328"/>
      <c r="H12" s="328"/>
      <c r="I12" s="328"/>
      <c r="J12" s="328">
        <f>RAT1000PT!$E$40</f>
        <v>1.7600000000000001E-3</v>
      </c>
    </row>
    <row r="13" spans="2:10" s="143" customFormat="1" ht="13.5">
      <c r="B13" s="48"/>
      <c r="C13" s="326" t="s">
        <v>649</v>
      </c>
      <c r="D13" s="327"/>
      <c r="E13" s="328"/>
      <c r="F13" s="328">
        <f>RAT1000PT!$E123</f>
        <v>8.8499999999999995E-2</v>
      </c>
      <c r="G13" s="328"/>
      <c r="H13" s="328"/>
      <c r="I13" s="328"/>
      <c r="J13" s="328"/>
    </row>
    <row r="14" spans="2:10" s="143" customFormat="1" ht="13.5">
      <c r="B14" s="48"/>
      <c r="C14" s="326" t="s">
        <v>650</v>
      </c>
      <c r="D14" s="327"/>
      <c r="E14" s="328"/>
      <c r="F14" s="328">
        <f>RAT1000PT!$E124</f>
        <v>9.2950000000000005E-2</v>
      </c>
      <c r="G14" s="328"/>
      <c r="H14" s="328"/>
      <c r="I14" s="328"/>
      <c r="J14" s="328"/>
    </row>
    <row r="15" spans="2:10" s="143" customFormat="1" ht="13.5">
      <c r="B15" s="48"/>
      <c r="C15" s="326" t="s">
        <v>651</v>
      </c>
      <c r="D15" s="327"/>
      <c r="E15" s="328"/>
      <c r="F15" s="328">
        <f>RAT1000PT!$E125</f>
        <v>9.7600000000000006E-2</v>
      </c>
      <c r="G15" s="328"/>
      <c r="H15" s="328"/>
      <c r="I15" s="328"/>
      <c r="J15" s="328"/>
    </row>
    <row r="16" spans="2:10" s="143" customFormat="1" ht="13.5">
      <c r="B16" s="48"/>
      <c r="C16" s="144" t="s">
        <v>1178</v>
      </c>
      <c r="D16" s="178"/>
      <c r="E16" s="146"/>
      <c r="F16" s="146"/>
      <c r="G16" s="146">
        <f>RAT1000PT!$E$103</f>
        <v>6.5720000000000001E-2</v>
      </c>
      <c r="H16" s="146">
        <f>RAT1000PT!$E$108</f>
        <v>6.5720000000000001E-2</v>
      </c>
      <c r="I16" s="146">
        <f>RAT1000PT!$E$113</f>
        <v>6.5720000000000001E-2</v>
      </c>
      <c r="J16" s="146">
        <f>RAT1000PT!$E$39</f>
        <v>1.83E-3</v>
      </c>
    </row>
    <row r="17" spans="2:13" s="143" customFormat="1" ht="13.5">
      <c r="B17" s="48"/>
      <c r="C17" s="2062" t="s">
        <v>1768</v>
      </c>
      <c r="D17" s="178"/>
      <c r="E17" s="146"/>
      <c r="F17" s="146">
        <f>RAT1000PT!$E118</f>
        <v>6.5720000000000001E-2</v>
      </c>
      <c r="G17" s="146"/>
      <c r="H17" s="146"/>
      <c r="I17" s="146"/>
      <c r="J17" s="146">
        <f>RAT1000PT!$E$37</f>
        <v>1.83E-3</v>
      </c>
    </row>
    <row r="18" spans="2:13" s="143" customFormat="1" ht="13.5">
      <c r="B18" s="48"/>
      <c r="C18" s="326" t="s">
        <v>645</v>
      </c>
      <c r="D18" s="327"/>
      <c r="E18" s="328"/>
      <c r="F18" s="328">
        <f>RAT1000PT!$E119</f>
        <v>6.5720000000000001E-2</v>
      </c>
      <c r="G18" s="328"/>
      <c r="H18" s="328"/>
      <c r="I18" s="328"/>
      <c r="J18" s="328">
        <f>RAT1000PT!$E$38</f>
        <v>1.83E-3</v>
      </c>
      <c r="L18" s="319"/>
    </row>
    <row r="19" spans="2:13" s="143" customFormat="1" ht="13.5">
      <c r="B19" s="48"/>
      <c r="C19" s="326" t="s">
        <v>646</v>
      </c>
      <c r="D19" s="327"/>
      <c r="E19" s="328"/>
      <c r="F19" s="328">
        <f>RAT1000PT!$E$120</f>
        <v>9.0700000000000003E-2</v>
      </c>
      <c r="G19" s="328"/>
      <c r="H19" s="328"/>
      <c r="I19" s="328"/>
      <c r="J19" s="328"/>
      <c r="L19" s="319"/>
    </row>
    <row r="20" spans="2:13" s="143" customFormat="1" ht="13.5">
      <c r="B20" s="48"/>
      <c r="C20" s="326" t="s">
        <v>647</v>
      </c>
      <c r="D20" s="328"/>
      <c r="E20" s="328"/>
      <c r="F20" s="328">
        <f>RAT1000PT!$E$121</f>
        <v>0.1152</v>
      </c>
      <c r="G20" s="328"/>
      <c r="H20" s="328"/>
      <c r="I20" s="328"/>
      <c r="J20" s="328"/>
      <c r="L20" s="319"/>
    </row>
    <row r="21" spans="2:13" s="143" customFormat="1" ht="13.5">
      <c r="B21" s="48"/>
      <c r="C21" s="144" t="s">
        <v>1164</v>
      </c>
      <c r="D21" s="178"/>
      <c r="E21" s="146"/>
      <c r="F21" s="146"/>
      <c r="G21" s="146"/>
      <c r="H21" s="146"/>
      <c r="I21" s="146"/>
      <c r="J21" s="146"/>
      <c r="L21" s="319"/>
    </row>
    <row r="22" spans="2:13" s="143" customFormat="1" ht="13.5">
      <c r="B22" s="48"/>
      <c r="C22" s="144" t="s">
        <v>1167</v>
      </c>
      <c r="D22" s="178"/>
      <c r="E22" s="146"/>
      <c r="F22" s="146"/>
      <c r="G22" s="146"/>
      <c r="H22" s="146"/>
      <c r="I22" s="146"/>
      <c r="J22" s="146"/>
      <c r="L22" s="319"/>
    </row>
    <row r="23" spans="2:13" s="143" customFormat="1" ht="13.5">
      <c r="B23" s="48"/>
      <c r="C23" s="144" t="s">
        <v>1166</v>
      </c>
      <c r="D23" s="178"/>
      <c r="E23" s="146"/>
      <c r="F23" s="146"/>
      <c r="G23" s="146"/>
      <c r="H23" s="146"/>
      <c r="I23" s="146"/>
      <c r="J23" s="146"/>
      <c r="L23" s="319"/>
    </row>
    <row r="24" spans="2:13" s="143" customFormat="1" ht="13.5">
      <c r="B24" s="48"/>
      <c r="C24" s="144" t="s">
        <v>1165</v>
      </c>
      <c r="D24" s="178"/>
      <c r="E24" s="146"/>
      <c r="F24" s="146"/>
      <c r="G24" s="146"/>
      <c r="H24" s="146"/>
      <c r="I24" s="146"/>
      <c r="J24" s="146"/>
      <c r="L24" s="319"/>
    </row>
    <row r="25" spans="2:13" s="143" customFormat="1" ht="13.5">
      <c r="B25" s="52"/>
      <c r="L25" s="958"/>
    </row>
    <row r="26" spans="2:13" s="143" customFormat="1" ht="13.5">
      <c r="B26" s="52"/>
      <c r="L26" s="958"/>
    </row>
    <row r="27" spans="2:13" s="143" customFormat="1" ht="13.5">
      <c r="B27" s="48"/>
      <c r="C27" s="147"/>
      <c r="J27" s="148"/>
      <c r="L27" s="319"/>
    </row>
    <row r="28" spans="2:13" s="69" customFormat="1" ht="45">
      <c r="B28" s="48"/>
      <c r="C28" s="320" t="s">
        <v>659</v>
      </c>
      <c r="D28" s="320"/>
      <c r="E28" s="320"/>
      <c r="F28" s="320"/>
      <c r="G28" s="320"/>
      <c r="H28" s="320"/>
      <c r="I28" s="320"/>
      <c r="J28" s="321"/>
      <c r="L28" s="319" t="s">
        <v>678</v>
      </c>
    </row>
    <row r="29" spans="2:13" s="37" customFormat="1" ht="15.75">
      <c r="B29" s="48"/>
      <c r="C29" s="150" t="s">
        <v>310</v>
      </c>
      <c r="D29" s="151">
        <f>F821EA!D4</f>
        <v>45839</v>
      </c>
      <c r="E29" s="151">
        <f>F821EA!E4</f>
        <v>45870</v>
      </c>
      <c r="F29" s="151">
        <f>F821EA!F4</f>
        <v>45901</v>
      </c>
      <c r="G29" s="151">
        <f>F821EA!G4</f>
        <v>45931</v>
      </c>
      <c r="H29" s="151">
        <f>F821EA!H4</f>
        <v>45962</v>
      </c>
      <c r="I29" s="151">
        <f>F821EA!I4</f>
        <v>45992</v>
      </c>
      <c r="J29" s="152" t="s">
        <v>111</v>
      </c>
      <c r="K29" s="69"/>
      <c r="L29" s="319" t="s">
        <v>678</v>
      </c>
      <c r="M29" s="319"/>
    </row>
    <row r="30" spans="2:13" s="37" customFormat="1" ht="15.75" customHeight="1">
      <c r="B30" s="48"/>
      <c r="C30" s="153" t="s">
        <v>446</v>
      </c>
      <c r="D30" s="154">
        <f t="shared" ref="D30:I30" si="0">SUM(D31:D32)</f>
        <v>419895.23939999996</v>
      </c>
      <c r="E30" s="154">
        <f t="shared" si="0"/>
        <v>398519.48955</v>
      </c>
      <c r="F30" s="154">
        <f t="shared" si="0"/>
        <v>381471.93349999998</v>
      </c>
      <c r="G30" s="154">
        <f t="shared" si="0"/>
        <v>381471.93349999998</v>
      </c>
      <c r="H30" s="154">
        <f t="shared" si="0"/>
        <v>306206.446</v>
      </c>
      <c r="I30" s="154">
        <f t="shared" si="0"/>
        <v>357573.92229999998</v>
      </c>
      <c r="J30" s="154">
        <f>SUM(D30:I30)</f>
        <v>2245138.9642500002</v>
      </c>
      <c r="K30" s="69"/>
      <c r="L30" s="319"/>
      <c r="M30" s="69"/>
    </row>
    <row r="31" spans="2:13" s="37" customFormat="1" ht="15.75" customHeight="1">
      <c r="B31" s="48" t="s">
        <v>279</v>
      </c>
      <c r="C31" s="155" t="s">
        <v>279</v>
      </c>
      <c r="D31" s="156">
        <f>$D$7*F821D!K6+$G$7*F821EA!K6</f>
        <v>419895.23939999996</v>
      </c>
      <c r="E31" s="156">
        <f>$D$7*F821D!L6+$G$7*F821EA!L6</f>
        <v>398519.48955</v>
      </c>
      <c r="F31" s="156">
        <f>$D$7*F821D!M6+$G$7*F821EA!M6</f>
        <v>381471.93349999998</v>
      </c>
      <c r="G31" s="156">
        <f>$D$7*F821D!N6+$G$7*F821EA!N6</f>
        <v>381471.93349999998</v>
      </c>
      <c r="H31" s="156">
        <f>$D$7*F821D!O6+$G$7*F821EA!O6</f>
        <v>306206.446</v>
      </c>
      <c r="I31" s="156">
        <f>$D$7*F821D!P6+$G$7*F821EA!P6</f>
        <v>357573.92229999998</v>
      </c>
      <c r="J31" s="156">
        <f>SUM(D31:I31)</f>
        <v>2245138.9642500002</v>
      </c>
      <c r="K31" s="69"/>
      <c r="L31" s="319"/>
      <c r="M31" s="69"/>
    </row>
    <row r="32" spans="2:13" s="37" customFormat="1" ht="15.75" customHeight="1">
      <c r="B32" s="48" t="s">
        <v>278</v>
      </c>
      <c r="C32" s="155" t="s">
        <v>278</v>
      </c>
      <c r="D32" s="156">
        <f>$D$8*F821D!K7+$F$8*F821EA!K7</f>
        <v>0</v>
      </c>
      <c r="E32" s="156">
        <f>$D$8*F821D!L7+$F$8*F821EA!L7</f>
        <v>0</v>
      </c>
      <c r="F32" s="156">
        <f>$D$8*F821D!M7+$F$8*F821EA!M7</f>
        <v>0</v>
      </c>
      <c r="G32" s="156">
        <f>$D$8*F821D!N7+$F$8*F821EA!N7</f>
        <v>0</v>
      </c>
      <c r="H32" s="156">
        <f>$D$8*F821D!O7+$F$8*F821EA!O7</f>
        <v>0</v>
      </c>
      <c r="I32" s="156">
        <f>$D$8*F821D!P7+$F$8*F821EA!P7</f>
        <v>0</v>
      </c>
      <c r="J32" s="156">
        <f>SUM(D32:I32)</f>
        <v>0</v>
      </c>
      <c r="K32" s="69"/>
      <c r="L32" s="319"/>
      <c r="M32" s="69"/>
    </row>
    <row r="33" spans="2:15" s="37" customFormat="1" ht="15.75" customHeight="1">
      <c r="B33" s="48"/>
      <c r="C33" s="157"/>
      <c r="D33" s="156"/>
      <c r="E33" s="156"/>
      <c r="F33" s="156"/>
      <c r="G33" s="156"/>
      <c r="H33" s="156"/>
      <c r="I33" s="156"/>
      <c r="J33" s="156"/>
      <c r="K33" s="69"/>
      <c r="L33" s="319"/>
      <c r="M33" s="69"/>
    </row>
    <row r="34" spans="2:15" s="37" customFormat="1" ht="15.75" customHeight="1">
      <c r="B34" s="48"/>
      <c r="C34" s="153" t="s">
        <v>630</v>
      </c>
      <c r="D34" s="154">
        <f>D35+D38</f>
        <v>798966.8416777798</v>
      </c>
      <c r="E34" s="154">
        <f t="shared" ref="E34:I34" si="1">E35+E38</f>
        <v>814217.76842487394</v>
      </c>
      <c r="F34" s="154">
        <f t="shared" si="1"/>
        <v>785990.73003021523</v>
      </c>
      <c r="G34" s="154">
        <f t="shared" si="1"/>
        <v>823529.11301419663</v>
      </c>
      <c r="H34" s="154">
        <f t="shared" si="1"/>
        <v>730593.84601581236</v>
      </c>
      <c r="I34" s="154">
        <f t="shared" si="1"/>
        <v>739673.49483588536</v>
      </c>
      <c r="J34" s="154">
        <f t="shared" ref="J34:J42" si="2">SUM(D34:I34)</f>
        <v>4692971.793998763</v>
      </c>
      <c r="K34" s="69"/>
      <c r="L34" s="319"/>
      <c r="M34" s="69"/>
    </row>
    <row r="35" spans="2:15" s="37" customFormat="1" ht="15.75" customHeight="1">
      <c r="B35" s="48" t="s">
        <v>277</v>
      </c>
      <c r="C35" s="155" t="s">
        <v>277</v>
      </c>
      <c r="D35" s="154">
        <f>SUM(D36:D37)</f>
        <v>105619.2438</v>
      </c>
      <c r="E35" s="154">
        <f t="shared" ref="E35:I35" si="3">SUM(E36:E37)</f>
        <v>102201.52740000001</v>
      </c>
      <c r="F35" s="154">
        <f t="shared" si="3"/>
        <v>100742.558525</v>
      </c>
      <c r="G35" s="154">
        <f t="shared" si="3"/>
        <v>100742.558525</v>
      </c>
      <c r="H35" s="154">
        <f t="shared" si="3"/>
        <v>81573.117499999993</v>
      </c>
      <c r="I35" s="154">
        <f t="shared" si="3"/>
        <v>63966.13265</v>
      </c>
      <c r="J35" s="154">
        <f t="shared" si="2"/>
        <v>554845.13840000005</v>
      </c>
      <c r="K35" s="69"/>
      <c r="L35" s="319"/>
      <c r="M35" s="69"/>
    </row>
    <row r="36" spans="2:15" s="37" customFormat="1" ht="15.75" customHeight="1">
      <c r="B36" s="48"/>
      <c r="C36" s="160" t="s">
        <v>304</v>
      </c>
      <c r="D36" s="156">
        <f>$D$9*F821D!K11+$G$9*F821EA!K11</f>
        <v>90897.340799999991</v>
      </c>
      <c r="E36" s="156">
        <f>$D$9*F821D!L11+$G$9*F821EA!L11</f>
        <v>87654.885150000002</v>
      </c>
      <c r="F36" s="156">
        <f>$D$9*F821D!M11+$G$9*F821EA!M11</f>
        <v>86108.285900000003</v>
      </c>
      <c r="G36" s="156">
        <f>$D$9*F821D!N11+$G$9*F821EA!N11</f>
        <v>86108.285900000003</v>
      </c>
      <c r="H36" s="156">
        <f>$D$9*F821D!O11+$G$9*F821EA!O11</f>
        <v>69655.386499999993</v>
      </c>
      <c r="I36" s="156">
        <f>$D$9*F821D!P11+$G$9*F821EA!P11</f>
        <v>63966.13265</v>
      </c>
      <c r="J36" s="156">
        <f t="shared" si="2"/>
        <v>484390.31690000003</v>
      </c>
      <c r="K36" s="69"/>
      <c r="L36" s="319"/>
      <c r="M36" s="69"/>
    </row>
    <row r="37" spans="2:15" s="37" customFormat="1" ht="15.75" customHeight="1">
      <c r="B37" s="48"/>
      <c r="C37" s="160" t="s">
        <v>305</v>
      </c>
      <c r="D37" s="156">
        <f>($D$9*F821D!K12+$G$9*F821EA!K12)*$L37</f>
        <v>14721.902999999998</v>
      </c>
      <c r="E37" s="156">
        <f>($D$9*F821D!L12+$G$9*F821EA!L12)*$L37</f>
        <v>14546.642249999999</v>
      </c>
      <c r="F37" s="156">
        <f>($D$9*F821D!M12+$G$9*F821EA!M12)*$L37</f>
        <v>14634.272625</v>
      </c>
      <c r="G37" s="156">
        <f>($D$9*F821D!N12+$G$9*F821EA!N12)*$L37</f>
        <v>14634.272625</v>
      </c>
      <c r="H37" s="156">
        <f>($D$9*F821D!O12+$G$9*F821EA!O12)*$L37</f>
        <v>11917.731</v>
      </c>
      <c r="I37" s="156">
        <f>($D$9*F821D!P12+$G$9*F821EA!P12)*$L37</f>
        <v>0</v>
      </c>
      <c r="J37" s="156">
        <f t="shared" si="2"/>
        <v>70454.821499999991</v>
      </c>
      <c r="K37" s="69"/>
      <c r="L37" s="319">
        <v>0.95</v>
      </c>
      <c r="M37" s="69"/>
    </row>
    <row r="38" spans="2:15" s="37" customFormat="1" ht="15.75" customHeight="1">
      <c r="B38" s="48" t="s">
        <v>276</v>
      </c>
      <c r="C38" s="158" t="s">
        <v>276</v>
      </c>
      <c r="D38" s="159">
        <f t="shared" ref="D38:I38" si="4">SUM(D39:D42)</f>
        <v>693347.59787777986</v>
      </c>
      <c r="E38" s="159">
        <f t="shared" si="4"/>
        <v>712016.24102487392</v>
      </c>
      <c r="F38" s="159">
        <f t="shared" si="4"/>
        <v>685248.17150521523</v>
      </c>
      <c r="G38" s="159">
        <f t="shared" si="4"/>
        <v>722786.55448919663</v>
      </c>
      <c r="H38" s="159">
        <f t="shared" si="4"/>
        <v>649020.72851581243</v>
      </c>
      <c r="I38" s="159">
        <f t="shared" si="4"/>
        <v>675707.36218588531</v>
      </c>
      <c r="J38" s="159">
        <f t="shared" si="2"/>
        <v>4138126.6555987634</v>
      </c>
      <c r="K38" s="69"/>
      <c r="L38" s="319"/>
    </row>
    <row r="39" spans="2:15" s="37" customFormat="1" ht="15.75" customHeight="1">
      <c r="B39" s="48"/>
      <c r="C39" s="160" t="s">
        <v>304</v>
      </c>
      <c r="D39" s="156">
        <f>($D$10*F821D!K15+$F$10*F821EA!K15)*$L39</f>
        <v>691378.33096961689</v>
      </c>
      <c r="E39" s="156">
        <f>($D$10*F821D!L15+$F$10*F821EA!L15)*$L39</f>
        <v>709062.34066262946</v>
      </c>
      <c r="F39" s="156">
        <f>($D$10*F821D!M15+$F$10*F821EA!M15)*$L39</f>
        <v>683152.85690070421</v>
      </c>
      <c r="G39" s="156">
        <f>($D$10*F821D!N15+$F$10*F821EA!N15)*$L39</f>
        <v>721263.02146377182</v>
      </c>
      <c r="H39" s="156">
        <f>($D$10*F821D!O15+$F$10*F821EA!O15)*$L39</f>
        <v>645224.68339970615</v>
      </c>
      <c r="I39" s="156">
        <f>($D$10*F821D!P15+$F$10*F821EA!P15)*$L39</f>
        <v>671913.14384798694</v>
      </c>
      <c r="J39" s="156">
        <f t="shared" si="2"/>
        <v>4121994.3772444157</v>
      </c>
      <c r="K39" s="69"/>
      <c r="L39" s="319">
        <v>1</v>
      </c>
    </row>
    <row r="40" spans="2:15" s="37" customFormat="1" ht="15.75" customHeight="1">
      <c r="B40" s="48"/>
      <c r="C40" s="161" t="s">
        <v>306</v>
      </c>
      <c r="D40" s="156">
        <f>($D$10*F821D!K16+$F$10*F821EA!K16)*$L40</f>
        <v>0</v>
      </c>
      <c r="E40" s="156">
        <f>($D$10*F821D!L16+$F$10*F821EA!L16)*$L40</f>
        <v>0</v>
      </c>
      <c r="F40" s="156">
        <f>($D$10*F821D!M16+$F$10*F821EA!M16)*$L40</f>
        <v>0</v>
      </c>
      <c r="G40" s="156">
        <f>($D$10*F821D!N16+$F$10*F821EA!N16)*$L40</f>
        <v>0</v>
      </c>
      <c r="H40" s="156">
        <f>($D$10*F821D!O16+$F$10*F821EA!O16)*$L40</f>
        <v>0</v>
      </c>
      <c r="I40" s="156">
        <f>($D$10*F821D!P16+$F$10*F821EA!P16)*$L40</f>
        <v>0</v>
      </c>
      <c r="J40" s="156">
        <f t="shared" si="2"/>
        <v>0</v>
      </c>
      <c r="K40" s="69"/>
      <c r="L40" s="319">
        <v>1</v>
      </c>
      <c r="O40" s="60"/>
    </row>
    <row r="41" spans="2:15" s="37" customFormat="1" ht="15.75" customHeight="1">
      <c r="B41" s="48"/>
      <c r="C41" s="160" t="s">
        <v>305</v>
      </c>
      <c r="D41" s="156">
        <f>($D$10*F821D!K17+$F$10*F821EA!K17)*$L41</f>
        <v>1969.2669081629554</v>
      </c>
      <c r="E41" s="156">
        <f>($D$10*F821D!L17+$F$10*F821EA!L17)*$L41</f>
        <v>2953.9003622444334</v>
      </c>
      <c r="F41" s="156">
        <f>($D$10*F821D!M17+$F$10*F821EA!M17)*$L41</f>
        <v>2095.3146045110479</v>
      </c>
      <c r="G41" s="156">
        <f>($D$10*F821D!N17+$F$10*F821EA!N17)*$L41</f>
        <v>1523.5330254247724</v>
      </c>
      <c r="H41" s="156">
        <f>($D$10*F821D!O17+$F$10*F821EA!O17)*$L41</f>
        <v>3796.0451161063274</v>
      </c>
      <c r="I41" s="156">
        <f>($D$10*F821D!P17+$F$10*F821EA!P17)*$L41</f>
        <v>3794.2183378983841</v>
      </c>
      <c r="J41" s="156">
        <f t="shared" si="2"/>
        <v>16132.278354347922</v>
      </c>
      <c r="K41" s="69"/>
      <c r="L41" s="319">
        <v>0.95</v>
      </c>
      <c r="O41" s="60"/>
    </row>
    <row r="42" spans="2:15" s="37" customFormat="1" ht="15.75" customHeight="1">
      <c r="B42" s="48"/>
      <c r="C42" s="160" t="s">
        <v>307</v>
      </c>
      <c r="D42" s="156">
        <f>($D$10*F821D!K18+$F$10*F821EA!K18)*$L42</f>
        <v>0</v>
      </c>
      <c r="E42" s="156">
        <f>($D$10*F821D!L18+$F$10*F821EA!L18)*$L42</f>
        <v>0</v>
      </c>
      <c r="F42" s="156">
        <f>($D$10*F821D!M18+$F$10*F821EA!M18)*$L42</f>
        <v>0</v>
      </c>
      <c r="G42" s="156">
        <f>($D$10*F821D!N18+$F$10*F821EA!N18)*$L42</f>
        <v>0</v>
      </c>
      <c r="H42" s="156">
        <f>($D$10*F821D!O18+$F$10*F821EA!O18)*$L42</f>
        <v>0</v>
      </c>
      <c r="I42" s="156">
        <f>($D$10*F821D!P18+$F$10*F821EA!P18)*$L42</f>
        <v>0</v>
      </c>
      <c r="J42" s="156">
        <f t="shared" si="2"/>
        <v>0</v>
      </c>
      <c r="K42" s="69"/>
      <c r="L42" s="319">
        <v>0.5</v>
      </c>
    </row>
    <row r="43" spans="2:15" s="37" customFormat="1" ht="15.75" customHeight="1">
      <c r="B43" s="48"/>
      <c r="C43" s="157"/>
      <c r="D43" s="157"/>
      <c r="E43" s="157"/>
      <c r="F43" s="157"/>
      <c r="G43" s="157"/>
      <c r="H43" s="157"/>
      <c r="I43" s="157"/>
      <c r="J43" s="157"/>
      <c r="K43" s="69"/>
      <c r="L43" s="319"/>
    </row>
    <row r="44" spans="2:15" s="37" customFormat="1" ht="15.75" customHeight="1">
      <c r="B44" s="48"/>
      <c r="C44" s="153" t="s">
        <v>443</v>
      </c>
      <c r="D44" s="154">
        <f t="shared" ref="D44:I44" si="5">D45+D49+D56+D61+D66+D79+D85+D92+D100+D106+D113+D72</f>
        <v>5328987.4174525309</v>
      </c>
      <c r="E44" s="154">
        <f t="shared" si="5"/>
        <v>5302625.2092365194</v>
      </c>
      <c r="F44" s="154">
        <f t="shared" si="5"/>
        <v>5176359.9143807944</v>
      </c>
      <c r="G44" s="154">
        <f t="shared" si="5"/>
        <v>5266036.097290149</v>
      </c>
      <c r="H44" s="154">
        <f t="shared" si="5"/>
        <v>4992324.9795652656</v>
      </c>
      <c r="I44" s="154">
        <f t="shared" si="5"/>
        <v>5031658.0098158689</v>
      </c>
      <c r="J44" s="154">
        <f t="shared" ref="J44:J70" si="6">SUM(D44:I44)</f>
        <v>31097991.627741128</v>
      </c>
      <c r="K44" s="69"/>
      <c r="L44" s="319"/>
    </row>
    <row r="45" spans="2:15" s="37" customFormat="1" ht="15.75" customHeight="1">
      <c r="B45" s="48" t="s">
        <v>275</v>
      </c>
      <c r="C45" s="155" t="s">
        <v>275</v>
      </c>
      <c r="D45" s="154">
        <f>SUM(D46:D48)</f>
        <v>63739.655349999994</v>
      </c>
      <c r="E45" s="154">
        <f t="shared" ref="E45:I45" si="7">SUM(E46:E48)</f>
        <v>59127.969599999997</v>
      </c>
      <c r="F45" s="154">
        <f t="shared" si="7"/>
        <v>57771.829149999998</v>
      </c>
      <c r="G45" s="154">
        <f t="shared" si="7"/>
        <v>57771.829149999998</v>
      </c>
      <c r="H45" s="154">
        <f t="shared" si="7"/>
        <v>47343.770600000003</v>
      </c>
      <c r="I45" s="154">
        <f t="shared" si="7"/>
        <v>55699.096249999995</v>
      </c>
      <c r="J45" s="154">
        <f t="shared" si="6"/>
        <v>341454.15010000003</v>
      </c>
      <c r="K45" s="69"/>
      <c r="L45" s="319"/>
    </row>
    <row r="46" spans="2:15" s="37" customFormat="1" ht="15.75" customHeight="1">
      <c r="B46" s="48"/>
      <c r="C46" s="160" t="s">
        <v>304</v>
      </c>
      <c r="D46" s="156">
        <f>$D$11*F821D!K22+$G$11*F821EA!K22</f>
        <v>63143.153849999995</v>
      </c>
      <c r="E46" s="156">
        <f>$D$11*F821D!L22+$G$11*F821EA!L22</f>
        <v>58914.318399999996</v>
      </c>
      <c r="F46" s="156">
        <f>$D$11*F821D!M22+$G$11*F821EA!M22</f>
        <v>57388.97885</v>
      </c>
      <c r="G46" s="156">
        <f>$D$11*F821D!N22+$G$11*F821EA!N22</f>
        <v>57388.97885</v>
      </c>
      <c r="H46" s="156">
        <f>$D$11*F821D!O22+$G$11*F821EA!O22</f>
        <v>47085.843000000001</v>
      </c>
      <c r="I46" s="156">
        <f>$D$11*F821D!P22+$G$11*F821EA!P22</f>
        <v>55416.658499999998</v>
      </c>
      <c r="J46" s="156">
        <f t="shared" si="6"/>
        <v>339337.93145000003</v>
      </c>
      <c r="K46" s="69"/>
      <c r="L46" s="319"/>
    </row>
    <row r="47" spans="2:15" s="37" customFormat="1" ht="15.75" customHeight="1">
      <c r="B47" s="48"/>
      <c r="C47" s="161" t="s">
        <v>306</v>
      </c>
      <c r="D47" s="156">
        <f>($D$11*F821D!K23+$G$11*F821EA!K23)*$L47</f>
        <v>342.79070000000002</v>
      </c>
      <c r="E47" s="156">
        <f>($D$11*F821D!L23+$G$11*F821EA!L23)*$L47</f>
        <v>0</v>
      </c>
      <c r="F47" s="156">
        <f>($D$11*F821D!M23+$G$11*F821EA!M23)*$L47</f>
        <v>195.90549999999999</v>
      </c>
      <c r="G47" s="156">
        <f>($D$11*F821D!N23+$G$11*F821EA!N23)*$L47</f>
        <v>195.90549999999999</v>
      </c>
      <c r="H47" s="156">
        <f>($D$11*F821D!O23+$G$11*F821EA!O23)*$L47</f>
        <v>124.3956</v>
      </c>
      <c r="I47" s="156">
        <f>($D$11*F821D!P23+$G$11*F821EA!P23)*$L47</f>
        <v>108.84614999999999</v>
      </c>
      <c r="J47" s="156">
        <f t="shared" si="6"/>
        <v>967.84344999999996</v>
      </c>
      <c r="K47" s="69"/>
      <c r="L47" s="319">
        <v>1</v>
      </c>
    </row>
    <row r="48" spans="2:15" s="37" customFormat="1" ht="15.75" customHeight="1">
      <c r="B48" s="48"/>
      <c r="C48" s="160" t="s">
        <v>305</v>
      </c>
      <c r="D48" s="156">
        <f>($D$11*F821D!K24+$G$11*F821EA!K24)*$L48</f>
        <v>253.71079999999995</v>
      </c>
      <c r="E48" s="156">
        <f>($D$11*F821D!L24+$G$11*F821EA!L24)*$L48</f>
        <v>213.65119999999999</v>
      </c>
      <c r="F48" s="156">
        <f>($D$11*F821D!M24+$G$11*F821EA!M24)*$L48</f>
        <v>186.94479999999999</v>
      </c>
      <c r="G48" s="156">
        <f>($D$11*F821D!N24+$G$11*F821EA!N24)*$L48</f>
        <v>186.94479999999999</v>
      </c>
      <c r="H48" s="156">
        <f>($D$11*F821D!O24+$G$11*F821EA!O24)*$L48</f>
        <v>133.53199999999998</v>
      </c>
      <c r="I48" s="156">
        <f>($D$11*F821D!P24+$G$11*F821EA!P24)*$L48</f>
        <v>173.5916</v>
      </c>
      <c r="J48" s="156">
        <f t="shared" si="6"/>
        <v>1148.3751999999999</v>
      </c>
      <c r="K48" s="69"/>
      <c r="L48" s="319">
        <v>0.95</v>
      </c>
    </row>
    <row r="49" spans="2:12" s="37" customFormat="1" ht="15.75" customHeight="1">
      <c r="B49" s="48" t="s">
        <v>274</v>
      </c>
      <c r="C49" s="158" t="s">
        <v>627</v>
      </c>
      <c r="D49" s="159">
        <f t="shared" ref="D49:I49" si="8">SUM(D50:D55)</f>
        <v>1156508.112355008</v>
      </c>
      <c r="E49" s="159">
        <f t="shared" si="8"/>
        <v>1156403.2488235764</v>
      </c>
      <c r="F49" s="159">
        <f t="shared" si="8"/>
        <v>1139472.6407944206</v>
      </c>
      <c r="G49" s="159">
        <f t="shared" si="8"/>
        <v>1161927.926019069</v>
      </c>
      <c r="H49" s="159">
        <f t="shared" si="8"/>
        <v>1120563.5760221777</v>
      </c>
      <c r="I49" s="159">
        <f t="shared" si="8"/>
        <v>1111696.9095367647</v>
      </c>
      <c r="J49" s="159">
        <f t="shared" si="6"/>
        <v>6846572.4135510167</v>
      </c>
      <c r="K49" s="69"/>
      <c r="L49" s="319"/>
    </row>
    <row r="50" spans="2:12" s="37" customFormat="1" ht="15.75" customHeight="1">
      <c r="B50" s="48"/>
      <c r="C50" s="160" t="s">
        <v>304</v>
      </c>
      <c r="D50" s="156">
        <f>($D$12*F821D!K28+$F$12*F821EA!K28)*$L50</f>
        <v>1154566.519591158</v>
      </c>
      <c r="E50" s="156">
        <f>($D$12*F821D!L28+$F$12*F821EA!L28)*$L50</f>
        <v>1154372.3266182654</v>
      </c>
      <c r="F50" s="156">
        <f>($D$12*F821D!M28+$F$12*F821EA!M28)*$L50</f>
        <v>1137168.4399130456</v>
      </c>
      <c r="G50" s="156">
        <f>($D$12*F821D!N28+$F$12*F821EA!N28)*$L50</f>
        <v>1159985.8615041135</v>
      </c>
      <c r="H50" s="156">
        <f>($D$12*F821D!O28+$F$12*F821EA!O28)*$L50</f>
        <v>1118656.8928401282</v>
      </c>
      <c r="I50" s="156">
        <f>($D$12*F821D!P28+$F$12*F821EA!P28)*$L50</f>
        <v>1109504.7529125761</v>
      </c>
      <c r="J50" s="156">
        <f t="shared" si="6"/>
        <v>6834254.7933792872</v>
      </c>
      <c r="K50" s="69"/>
      <c r="L50" s="319">
        <v>1</v>
      </c>
    </row>
    <row r="51" spans="2:12" s="37" customFormat="1" ht="15.75" customHeight="1">
      <c r="B51" s="48"/>
      <c r="C51" s="162" t="s">
        <v>628</v>
      </c>
      <c r="D51" s="156">
        <f>($D$12*F821D!K29+$F$12*F821EA!K29)*$L51</f>
        <v>90.98057032966905</v>
      </c>
      <c r="E51" s="156">
        <f>($D$12*F821D!L29+$F$12*F821EA!L29)*$L51</f>
        <v>90.98057032966905</v>
      </c>
      <c r="F51" s="156">
        <f>($D$12*F821D!M29+$F$12*F821EA!M29)*$L51</f>
        <v>106.14399871794721</v>
      </c>
      <c r="G51" s="156">
        <f>($D$12*F821D!N29+$F$12*F821EA!N29)*$L51</f>
        <v>106.14399871794721</v>
      </c>
      <c r="H51" s="156">
        <f>($D$12*F821D!O29+$F$12*F821EA!O29)*$L51</f>
        <v>106.14399871794721</v>
      </c>
      <c r="I51" s="156">
        <f>($D$12*F821D!P29+$F$12*F821EA!P29)*$L51</f>
        <v>90.98057032966905</v>
      </c>
      <c r="J51" s="156">
        <f t="shared" si="6"/>
        <v>591.37370714284884</v>
      </c>
      <c r="K51" s="69"/>
      <c r="L51" s="319">
        <v>0.75</v>
      </c>
    </row>
    <row r="52" spans="2:12" s="37" customFormat="1" ht="15.75" customHeight="1">
      <c r="B52" s="48"/>
      <c r="C52" s="161" t="s">
        <v>629</v>
      </c>
      <c r="D52" s="156">
        <f>($D$12*F821D!K30+$F$12*F821EA!K30)*$L52</f>
        <v>506.39111515343205</v>
      </c>
      <c r="E52" s="156">
        <f>($D$12*F821D!L30+$F$12*F821EA!L30)*$L52</f>
        <v>550.29766446437975</v>
      </c>
      <c r="F52" s="156">
        <f>($D$12*F821D!M30+$F$12*F821EA!M30)*$L52</f>
        <v>546.05190451566182</v>
      </c>
      <c r="G52" s="156">
        <f>($D$12*F821D!N30+$F$12*F821EA!N30)*$L52</f>
        <v>510.36730304191389</v>
      </c>
      <c r="H52" s="156">
        <f>($D$12*F821D!O30+$F$12*F821EA!O30)*$L52</f>
        <v>503.9649666113076</v>
      </c>
      <c r="I52" s="156">
        <f>($D$12*F821D!P30+$F$12*F821EA!P30)*$L52</f>
        <v>524.78940826454289</v>
      </c>
      <c r="J52" s="156">
        <f t="shared" si="6"/>
        <v>3141.8623620512385</v>
      </c>
      <c r="K52" s="69"/>
      <c r="L52" s="319">
        <v>1</v>
      </c>
    </row>
    <row r="53" spans="2:12" s="37" customFormat="1" ht="15.75" customHeight="1">
      <c r="B53" s="48"/>
      <c r="C53" s="160" t="s">
        <v>305</v>
      </c>
      <c r="D53" s="156">
        <f>($D$12*F821D!K31+$F$12*F821EA!K31)*$L53</f>
        <v>1221.5657909596898</v>
      </c>
      <c r="E53" s="156">
        <f>($D$12*F821D!L31+$F$12*F821EA!L31)*$L53</f>
        <v>1280.467286121268</v>
      </c>
      <c r="F53" s="156">
        <f>($D$12*F821D!M31+$F$12*F821EA!M31)*$L53</f>
        <v>1519.9146686259453</v>
      </c>
      <c r="G53" s="156">
        <f>($D$12*F821D!N31+$F$12*F821EA!N31)*$L53</f>
        <v>1192.1150433789007</v>
      </c>
      <c r="H53" s="156">
        <f>($D$12*F821D!O31+$F$12*F821EA!O31)*$L53</f>
        <v>1179.3103705176877</v>
      </c>
      <c r="I53" s="156">
        <f>($D$12*F821D!P31+$F$12*F821EA!P31)*$L53</f>
        <v>1472.6014024037643</v>
      </c>
      <c r="J53" s="156">
        <f t="shared" si="6"/>
        <v>7865.9745620072563</v>
      </c>
      <c r="K53" s="69"/>
      <c r="L53" s="319">
        <v>0.95</v>
      </c>
    </row>
    <row r="54" spans="2:12" s="37" customFormat="1" ht="15.75" customHeight="1">
      <c r="B54" s="48"/>
      <c r="C54" s="160" t="s">
        <v>307</v>
      </c>
      <c r="D54" s="156">
        <f>($D$12*F821D!K32+$F$12*F821EA!K32)*$L54</f>
        <v>122.65528740740569</v>
      </c>
      <c r="E54" s="156">
        <f>($D$12*F821D!L32+$F$12*F821EA!L32)*$L54</f>
        <v>109.17668439560286</v>
      </c>
      <c r="F54" s="156">
        <f>($D$12*F821D!M32+$F$12*F821EA!M32)*$L54</f>
        <v>132.09030951566766</v>
      </c>
      <c r="G54" s="156">
        <f>($D$12*F821D!N32+$F$12*F821EA!N32)*$L54</f>
        <v>133.43816981684793</v>
      </c>
      <c r="H54" s="156">
        <f>($D$12*F821D!O32+$F$12*F821EA!O32)*$L54</f>
        <v>117.26384620268455</v>
      </c>
      <c r="I54" s="156">
        <f>($D$12*F821D!P32+$F$12*F821EA!P32)*$L54</f>
        <v>103.78524319088174</v>
      </c>
      <c r="J54" s="156">
        <f t="shared" si="6"/>
        <v>718.40954052909046</v>
      </c>
      <c r="K54" s="69"/>
      <c r="L54" s="319">
        <v>0.5</v>
      </c>
    </row>
    <row r="55" spans="2:12" s="37" customFormat="1" ht="15.75" customHeight="1">
      <c r="B55" s="48"/>
      <c r="C55" s="160" t="s">
        <v>624</v>
      </c>
      <c r="D55" s="156">
        <f>($D$12*F821D!K33+$F$12*F821EA!K33)*$L55</f>
        <v>0</v>
      </c>
      <c r="E55" s="156">
        <f>($D$12*F821D!L33+$F$12*F821EA!L33)*$L55</f>
        <v>0</v>
      </c>
      <c r="F55" s="156">
        <f>($D$12*F821D!M33+$F$12*F821EA!M33)*$L55</f>
        <v>0</v>
      </c>
      <c r="G55" s="156">
        <f>($D$12*F821D!N33+$F$12*F821EA!N33)*$L55</f>
        <v>0</v>
      </c>
      <c r="H55" s="156">
        <f>($D$12*F821D!O33+$F$12*F821EA!O33)*$L55</f>
        <v>0</v>
      </c>
      <c r="I55" s="156">
        <f>($D$12*F821D!P33+$F$12*F821EA!P33)*$L55</f>
        <v>0</v>
      </c>
      <c r="J55" s="156">
        <f t="shared" si="6"/>
        <v>0</v>
      </c>
      <c r="K55" s="69"/>
      <c r="L55" s="319">
        <v>0</v>
      </c>
    </row>
    <row r="56" spans="2:12" s="37" customFormat="1" ht="15.75" customHeight="1">
      <c r="B56" s="48" t="s">
        <v>274</v>
      </c>
      <c r="C56" s="158" t="s">
        <v>631</v>
      </c>
      <c r="D56" s="159">
        <f t="shared" ref="D56:I56" si="9">SUM(D57:D60)</f>
        <v>566128.95943063858</v>
      </c>
      <c r="E56" s="159">
        <f t="shared" si="9"/>
        <v>569884.19296368049</v>
      </c>
      <c r="F56" s="159">
        <f t="shared" si="9"/>
        <v>544416.7095379543</v>
      </c>
      <c r="G56" s="159">
        <f t="shared" si="9"/>
        <v>563842.93439745833</v>
      </c>
      <c r="H56" s="159">
        <f t="shared" si="9"/>
        <v>523027.5779742148</v>
      </c>
      <c r="I56" s="159">
        <f t="shared" si="9"/>
        <v>513805.9704779376</v>
      </c>
      <c r="J56" s="159">
        <f t="shared" si="6"/>
        <v>3281106.344781884</v>
      </c>
      <c r="K56" s="69"/>
      <c r="L56" s="319"/>
    </row>
    <row r="57" spans="2:12" s="37" customFormat="1" ht="15.75" customHeight="1">
      <c r="B57" s="48"/>
      <c r="C57" s="160" t="s">
        <v>304</v>
      </c>
      <c r="D57" s="156">
        <f>($D$13*F821D!K35+$F$13*F821EA!K35)*$L57</f>
        <v>565784.8281514647</v>
      </c>
      <c r="E57" s="156">
        <f>($D$13*F821D!L35+$F$13*F821EA!L35)*$L57</f>
        <v>569548.12726136215</v>
      </c>
      <c r="F57" s="156">
        <f>($D$13*F821D!M35+$F$13*F821EA!M35)*$L57</f>
        <v>544075.26678439893</v>
      </c>
      <c r="G57" s="156">
        <f>($D$13*F821D!N35+$F$13*F821EA!N35)*$L57</f>
        <v>563391.26209354249</v>
      </c>
      <c r="H57" s="156">
        <f>($D$13*F821D!O35+$F$13*F821EA!O35)*$L57</f>
        <v>522774.85656607145</v>
      </c>
      <c r="I57" s="156">
        <f>($D$13*F821D!P35+$F$13*F821EA!P35)*$L57</f>
        <v>513225.2489443316</v>
      </c>
      <c r="J57" s="156">
        <f t="shared" si="6"/>
        <v>3278799.5898011713</v>
      </c>
      <c r="K57" s="69"/>
      <c r="L57" s="319">
        <v>1</v>
      </c>
    </row>
    <row r="58" spans="2:12" s="37" customFormat="1" ht="15.75" customHeight="1">
      <c r="B58" s="48"/>
      <c r="C58" s="161" t="s">
        <v>306</v>
      </c>
      <c r="D58" s="156">
        <f>($D$13*F821D!K36+$F$13*F821EA!K36)*$L58</f>
        <v>0</v>
      </c>
      <c r="E58" s="156">
        <f>($D$13*F821D!L36+$F$13*F821EA!L36)*$L58</f>
        <v>0</v>
      </c>
      <c r="F58" s="156">
        <f>($D$13*F821D!M36+$F$13*F821EA!M36)*$L58</f>
        <v>0</v>
      </c>
      <c r="G58" s="156">
        <f>($D$13*F821D!N36+$F$13*F821EA!N36)*$L58</f>
        <v>0</v>
      </c>
      <c r="H58" s="156">
        <f>($D$13*F821D!O36+$F$13*F821EA!O36)*$L58</f>
        <v>0</v>
      </c>
      <c r="I58" s="156">
        <f>($D$13*F821D!P36+$F$13*F821EA!P36)*$L58</f>
        <v>0</v>
      </c>
      <c r="J58" s="156">
        <f t="shared" si="6"/>
        <v>0</v>
      </c>
      <c r="K58" s="69"/>
      <c r="L58" s="319">
        <v>1</v>
      </c>
    </row>
    <row r="59" spans="2:12" s="37" customFormat="1" ht="15.75" customHeight="1">
      <c r="B59" s="48"/>
      <c r="C59" s="160" t="s">
        <v>305</v>
      </c>
      <c r="D59" s="156">
        <f>($D$13*F821D!K37+$F$13*F821EA!K37)*$L59</f>
        <v>344.1312791739436</v>
      </c>
      <c r="E59" s="156">
        <f>($D$13*F821D!L37+$F$13*F821EA!L37)*$L59</f>
        <v>336.06570231830437</v>
      </c>
      <c r="F59" s="156">
        <f>($D$13*F821D!M37+$F$13*F821EA!M37)*$L59</f>
        <v>341.44275355539719</v>
      </c>
      <c r="G59" s="156">
        <f>($D$13*F821D!N37+$F$13*F821EA!N37)*$L59</f>
        <v>451.67230391580102</v>
      </c>
      <c r="H59" s="156">
        <f>($D$13*F821D!O37+$F$13*F821EA!O37)*$L59</f>
        <v>252.72140814336487</v>
      </c>
      <c r="I59" s="156">
        <f>($D$13*F821D!P37+$F$13*F821EA!P37)*$L59</f>
        <v>580.72153360602988</v>
      </c>
      <c r="J59" s="156">
        <f t="shared" si="6"/>
        <v>2306.7549807128407</v>
      </c>
      <c r="K59" s="69"/>
      <c r="L59" s="319">
        <v>0.95</v>
      </c>
    </row>
    <row r="60" spans="2:12" s="37" customFormat="1" ht="15.75" customHeight="1">
      <c r="B60" s="48"/>
      <c r="C60" s="160" t="s">
        <v>307</v>
      </c>
      <c r="D60" s="156">
        <f>($D$13*F821D!K38+$F$13*F821EA!K38)*$L60</f>
        <v>0</v>
      </c>
      <c r="E60" s="156">
        <f>($D$13*F821D!L38+$F$13*F821EA!L38)*$L60</f>
        <v>0</v>
      </c>
      <c r="F60" s="156">
        <f>($D$13*F821D!M38+$F$13*F821EA!M38)*$L60</f>
        <v>0</v>
      </c>
      <c r="G60" s="156">
        <f>($D$13*F821D!N38+$F$13*F821EA!N38)*$L60</f>
        <v>0</v>
      </c>
      <c r="H60" s="156">
        <f>($D$13*F821D!O38+$F$13*F821EA!O38)*$L60</f>
        <v>0</v>
      </c>
      <c r="I60" s="156">
        <f>($D$13*F821D!P38+$F$13*F821EA!P38)*$L60</f>
        <v>0</v>
      </c>
      <c r="J60" s="156">
        <f t="shared" si="6"/>
        <v>0</v>
      </c>
      <c r="K60" s="69"/>
      <c r="L60" s="319">
        <v>0.5</v>
      </c>
    </row>
    <row r="61" spans="2:12" s="37" customFormat="1" ht="15.75" customHeight="1">
      <c r="B61" s="48" t="s">
        <v>274</v>
      </c>
      <c r="C61" s="158" t="s">
        <v>632</v>
      </c>
      <c r="D61" s="159">
        <f t="shared" ref="D61:I61" si="10">SUM(D62:D65)</f>
        <v>175660.78077290818</v>
      </c>
      <c r="E61" s="159">
        <f t="shared" si="10"/>
        <v>169311.21990832765</v>
      </c>
      <c r="F61" s="159">
        <f t="shared" si="10"/>
        <v>155353.16875731593</v>
      </c>
      <c r="G61" s="159">
        <f t="shared" si="10"/>
        <v>169907.87755162542</v>
      </c>
      <c r="H61" s="159">
        <f t="shared" si="10"/>
        <v>146450.22973232725</v>
      </c>
      <c r="I61" s="159">
        <f t="shared" si="10"/>
        <v>152838.13362498445</v>
      </c>
      <c r="J61" s="159">
        <f t="shared" si="6"/>
        <v>969521.41034748883</v>
      </c>
      <c r="K61" s="69"/>
      <c r="L61" s="319"/>
    </row>
    <row r="62" spans="2:12" s="37" customFormat="1" ht="15.75" customHeight="1">
      <c r="B62" s="48"/>
      <c r="C62" s="160" t="s">
        <v>304</v>
      </c>
      <c r="D62" s="156">
        <f>($D$14*F821D!K40+$F$14*F821EA!K40)*$L62</f>
        <v>175660.78077290818</v>
      </c>
      <c r="E62" s="156">
        <f>($D$14*F821D!L40+$F$14*F821EA!L40)*$L62</f>
        <v>169311.21990832765</v>
      </c>
      <c r="F62" s="156">
        <f>($D$14*F821D!M40+$F$14*F821EA!M40)*$L62</f>
        <v>155353.16875731593</v>
      </c>
      <c r="G62" s="156">
        <f>($D$14*F821D!N40+$F$14*F821EA!N40)*$L62</f>
        <v>169907.87755162542</v>
      </c>
      <c r="H62" s="156">
        <f>($D$14*F821D!O40+$F$14*F821EA!O40)*$L62</f>
        <v>146450.22973232725</v>
      </c>
      <c r="I62" s="156">
        <f>($D$14*F821D!P40+$F$14*F821EA!P40)*$L62</f>
        <v>152838.13362498445</v>
      </c>
      <c r="J62" s="156">
        <f t="shared" si="6"/>
        <v>969521.41034748883</v>
      </c>
      <c r="K62" s="69"/>
      <c r="L62" s="319">
        <v>1</v>
      </c>
    </row>
    <row r="63" spans="2:12" s="37" customFormat="1" ht="15.75" customHeight="1">
      <c r="B63" s="48"/>
      <c r="C63" s="161" t="s">
        <v>306</v>
      </c>
      <c r="D63" s="156">
        <f>($D$14*F821D!K41+$F$14*F821EA!K41)*$L63</f>
        <v>0</v>
      </c>
      <c r="E63" s="156">
        <f>($D$14*F821D!L41+$F$14*F821EA!L41)*$L63</f>
        <v>0</v>
      </c>
      <c r="F63" s="156">
        <f>($D$14*F821D!M41+$F$14*F821EA!M41)*$L63</f>
        <v>0</v>
      </c>
      <c r="G63" s="156">
        <f>($D$14*F821D!N41+$F$14*F821EA!N41)*$L63</f>
        <v>0</v>
      </c>
      <c r="H63" s="156">
        <f>($D$14*F821D!O41+$F$14*F821EA!O41)*$L63</f>
        <v>0</v>
      </c>
      <c r="I63" s="156">
        <f>($D$14*F821D!P41+$F$14*F821EA!P41)*$L63</f>
        <v>0</v>
      </c>
      <c r="J63" s="156">
        <f t="shared" si="6"/>
        <v>0</v>
      </c>
      <c r="K63" s="69"/>
      <c r="L63" s="319">
        <v>1</v>
      </c>
    </row>
    <row r="64" spans="2:12" s="37" customFormat="1" ht="15.75" customHeight="1">
      <c r="B64" s="48"/>
      <c r="C64" s="160" t="s">
        <v>305</v>
      </c>
      <c r="D64" s="156">
        <f>($D$14*F821D!K42+$F$14*F821EA!K42)*$L64</f>
        <v>0</v>
      </c>
      <c r="E64" s="156">
        <f>($D$14*F821D!L42+$F$14*F821EA!L42)*$L64</f>
        <v>0</v>
      </c>
      <c r="F64" s="156">
        <f>($D$14*F821D!M42+$F$14*F821EA!M42)*$L64</f>
        <v>0</v>
      </c>
      <c r="G64" s="156">
        <f>($D$14*F821D!N42+$F$14*F821EA!N42)*$L64</f>
        <v>0</v>
      </c>
      <c r="H64" s="156">
        <f>($D$14*F821D!O42+$F$14*F821EA!O42)*$L64</f>
        <v>0</v>
      </c>
      <c r="I64" s="156">
        <f>($D$14*F821D!P42+$F$14*F821EA!P42)*$L64</f>
        <v>0</v>
      </c>
      <c r="J64" s="156">
        <f t="shared" si="6"/>
        <v>0</v>
      </c>
      <c r="K64" s="69"/>
      <c r="L64" s="319">
        <v>0.95</v>
      </c>
    </row>
    <row r="65" spans="2:13" s="37" customFormat="1" ht="15.75" customHeight="1">
      <c r="B65" s="48"/>
      <c r="C65" s="160" t="s">
        <v>307</v>
      </c>
      <c r="D65" s="156">
        <f>($D$14*F821D!K43+$F$14*F821EA!K43)*$L65</f>
        <v>0</v>
      </c>
      <c r="E65" s="156">
        <f>($D$14*F821D!L43+$F$14*F821EA!L43)*$L65</f>
        <v>0</v>
      </c>
      <c r="F65" s="156">
        <f>($D$14*F821D!M43+$F$14*F821EA!M43)*$L65</f>
        <v>0</v>
      </c>
      <c r="G65" s="156">
        <f>($D$14*F821D!N43+$F$14*F821EA!N43)*$L65</f>
        <v>0</v>
      </c>
      <c r="H65" s="156">
        <f>($D$14*F821D!O43+$F$14*F821EA!O43)*$L65</f>
        <v>0</v>
      </c>
      <c r="I65" s="156">
        <f>($D$14*F821D!P43+$F$14*F821EA!P43)*$L65</f>
        <v>0</v>
      </c>
      <c r="J65" s="156">
        <f t="shared" si="6"/>
        <v>0</v>
      </c>
      <c r="K65" s="69"/>
      <c r="L65" s="319">
        <v>0.5</v>
      </c>
    </row>
    <row r="66" spans="2:13" s="37" customFormat="1" ht="15.75" customHeight="1">
      <c r="B66" s="48" t="s">
        <v>274</v>
      </c>
      <c r="C66" s="158" t="s">
        <v>633</v>
      </c>
      <c r="D66" s="159">
        <f t="shared" ref="D66:I66" si="11">SUM(D67:D70)</f>
        <v>194165.15068958257</v>
      </c>
      <c r="E66" s="159">
        <f t="shared" si="11"/>
        <v>178864.83725457502</v>
      </c>
      <c r="F66" s="159">
        <f t="shared" si="11"/>
        <v>153974.28000849293</v>
      </c>
      <c r="G66" s="159">
        <f t="shared" si="11"/>
        <v>176415.96471512609</v>
      </c>
      <c r="H66" s="159">
        <f t="shared" si="11"/>
        <v>160073.93146446531</v>
      </c>
      <c r="I66" s="159">
        <f t="shared" si="11"/>
        <v>165427.85322692367</v>
      </c>
      <c r="J66" s="159">
        <f t="shared" si="6"/>
        <v>1028922.0173591657</v>
      </c>
      <c r="K66" s="69"/>
      <c r="L66" s="319"/>
    </row>
    <row r="67" spans="2:13" s="37" customFormat="1" ht="15.75" customHeight="1">
      <c r="B67" s="48"/>
      <c r="C67" s="160" t="s">
        <v>304</v>
      </c>
      <c r="D67" s="156">
        <f>($D$15*F821D!K45+$F$15*F821EA!K45)*$L67</f>
        <v>194165.15068958257</v>
      </c>
      <c r="E67" s="156">
        <f>($D$15*F821D!L45+$F$15*F821EA!L45)*$L67</f>
        <v>178864.83725457502</v>
      </c>
      <c r="F67" s="156">
        <f>($D$15*F821D!M45+$F$15*F821EA!M45)*$L67</f>
        <v>153974.28000849293</v>
      </c>
      <c r="G67" s="156">
        <f>($D$15*F821D!N45+$F$15*F821EA!N45)*$L67</f>
        <v>176415.96471512609</v>
      </c>
      <c r="H67" s="156">
        <f>($D$15*F821D!O45+$F$15*F821EA!O45)*$L67</f>
        <v>160073.93146446531</v>
      </c>
      <c r="I67" s="156">
        <f>($D$15*F821D!P45+$F$15*F821EA!P45)*$L67</f>
        <v>165427.85322692367</v>
      </c>
      <c r="J67" s="156">
        <f t="shared" si="6"/>
        <v>1028922.0173591657</v>
      </c>
      <c r="K67" s="69"/>
      <c r="L67" s="319">
        <v>1</v>
      </c>
    </row>
    <row r="68" spans="2:13" s="37" customFormat="1" ht="15.75" customHeight="1">
      <c r="B68" s="48"/>
      <c r="C68" s="161" t="s">
        <v>306</v>
      </c>
      <c r="D68" s="156">
        <f>($D$15*F821D!K46+$F$15*F821EA!K46)*$L68</f>
        <v>0</v>
      </c>
      <c r="E68" s="156">
        <f>($D$15*F821D!L46+$F$15*F821EA!L46)*$L68</f>
        <v>0</v>
      </c>
      <c r="F68" s="156">
        <f>($D$15*F821D!M46+$F$15*F821EA!M46)*$L68</f>
        <v>0</v>
      </c>
      <c r="G68" s="156">
        <f>($D$15*F821D!N46+$F$15*F821EA!N46)*$L68</f>
        <v>0</v>
      </c>
      <c r="H68" s="156">
        <f>($D$15*F821D!O46+$F$15*F821EA!O46)*$L68</f>
        <v>0</v>
      </c>
      <c r="I68" s="156">
        <f>($D$15*F821D!P46+$F$15*F821EA!P46)*$L68</f>
        <v>0</v>
      </c>
      <c r="J68" s="156">
        <f t="shared" si="6"/>
        <v>0</v>
      </c>
      <c r="K68" s="69"/>
      <c r="L68" s="319">
        <v>1</v>
      </c>
    </row>
    <row r="69" spans="2:13" s="37" customFormat="1" ht="15.75" customHeight="1">
      <c r="B69" s="48"/>
      <c r="C69" s="160" t="s">
        <v>305</v>
      </c>
      <c r="D69" s="156">
        <f>($D$15*F821D!K47+$F$15*F821EA!K47)*$L69</f>
        <v>0</v>
      </c>
      <c r="E69" s="156">
        <f>($D$15*F821D!L47+$F$15*F821EA!L47)*$L69</f>
        <v>0</v>
      </c>
      <c r="F69" s="156">
        <f>($D$15*F821D!M47+$F$15*F821EA!M47)*$L69</f>
        <v>0</v>
      </c>
      <c r="G69" s="156">
        <f>($D$15*F821D!N47+$F$15*F821EA!N47)*$L69</f>
        <v>0</v>
      </c>
      <c r="H69" s="156">
        <f>($D$15*F821D!O47+$F$15*F821EA!O47)*$L69</f>
        <v>0</v>
      </c>
      <c r="I69" s="156">
        <f>($D$15*F821D!P47+$F$15*F821EA!P47)*$L69</f>
        <v>0</v>
      </c>
      <c r="J69" s="156">
        <f t="shared" si="6"/>
        <v>0</v>
      </c>
      <c r="K69" s="69"/>
      <c r="L69" s="319">
        <v>0.95</v>
      </c>
    </row>
    <row r="70" spans="2:13" s="37" customFormat="1" ht="15.75" customHeight="1">
      <c r="B70" s="48"/>
      <c r="C70" s="160" t="s">
        <v>307</v>
      </c>
      <c r="D70" s="156">
        <f>($D$15*F821D!K48+$F$15*F821EA!K48)*$L70</f>
        <v>0</v>
      </c>
      <c r="E70" s="156">
        <f>($D$15*F821D!L48+$F$15*F821EA!L48)*$L70</f>
        <v>0</v>
      </c>
      <c r="F70" s="156">
        <f>($D$15*F821D!M48+$F$15*F821EA!M48)*$L70</f>
        <v>0</v>
      </c>
      <c r="G70" s="156">
        <f>($D$15*F821D!N48+$F$15*F821EA!N48)*$L70</f>
        <v>0</v>
      </c>
      <c r="H70" s="156">
        <f>($D$15*F821D!O48+$F$15*F821EA!O48)*$L70</f>
        <v>0</v>
      </c>
      <c r="I70" s="156">
        <f>($D$15*F821D!P48+$F$15*F821EA!P48)*$L70</f>
        <v>0</v>
      </c>
      <c r="J70" s="156">
        <f t="shared" si="6"/>
        <v>0</v>
      </c>
      <c r="K70" s="69"/>
      <c r="L70" s="319">
        <v>0.5</v>
      </c>
    </row>
    <row r="71" spans="2:13" s="37" customFormat="1" ht="15.75">
      <c r="B71" s="48"/>
      <c r="C71" s="157"/>
      <c r="D71" s="156"/>
      <c r="E71" s="156"/>
      <c r="F71" s="156"/>
      <c r="G71" s="156"/>
      <c r="H71" s="156"/>
      <c r="I71" s="156"/>
      <c r="J71" s="156"/>
      <c r="K71" s="69"/>
      <c r="L71" s="319"/>
    </row>
    <row r="72" spans="2:13" s="37" customFormat="1" ht="15.75">
      <c r="B72" s="48" t="s">
        <v>1176</v>
      </c>
      <c r="C72" s="158" t="str">
        <f>F821EA!$C$50</f>
        <v>BTSH</v>
      </c>
      <c r="D72" s="159">
        <f>SUM(D73:D78)</f>
        <v>0</v>
      </c>
      <c r="E72" s="159">
        <f t="shared" ref="E72:J72" si="12">SUM(E73:E78)</f>
        <v>0</v>
      </c>
      <c r="F72" s="159">
        <f t="shared" si="12"/>
        <v>0</v>
      </c>
      <c r="G72" s="159">
        <f t="shared" si="12"/>
        <v>0</v>
      </c>
      <c r="H72" s="159">
        <f t="shared" si="12"/>
        <v>0</v>
      </c>
      <c r="I72" s="159">
        <f t="shared" si="12"/>
        <v>0</v>
      </c>
      <c r="J72" s="159">
        <f t="shared" si="12"/>
        <v>0</v>
      </c>
      <c r="K72" s="69"/>
      <c r="L72" s="319"/>
    </row>
    <row r="73" spans="2:13" s="37" customFormat="1" ht="15.75">
      <c r="B73" s="48"/>
      <c r="C73" s="160" t="str">
        <f>F821EA!$C$51</f>
        <v xml:space="preserve">    - Regulares</v>
      </c>
      <c r="D73" s="156">
        <f>($G$16*F821EA!K51)*$L73</f>
        <v>0</v>
      </c>
      <c r="E73" s="156">
        <f>($G$16*F821EA!L51)*$L73</f>
        <v>0</v>
      </c>
      <c r="F73" s="156">
        <f>($G$16*F821EA!M51)*$L73</f>
        <v>0</v>
      </c>
      <c r="G73" s="156">
        <f>($G$16*F821EA!N51)*$L73</f>
        <v>0</v>
      </c>
      <c r="H73" s="156">
        <f>($G$16*F821EA!O51)*$L73</f>
        <v>0</v>
      </c>
      <c r="I73" s="156">
        <f>($G$16*F821EA!P51)*$L73</f>
        <v>0</v>
      </c>
      <c r="J73" s="156">
        <f t="shared" ref="J73:J90" si="13">SUM(D73:I73)</f>
        <v>0</v>
      </c>
      <c r="K73" s="69"/>
      <c r="L73" s="319">
        <v>1</v>
      </c>
      <c r="M73" s="69"/>
    </row>
    <row r="74" spans="2:13" s="37" customFormat="1" ht="15.75">
      <c r="B74" s="48"/>
      <c r="C74" s="162" t="str">
        <f>F821EA!$C$52</f>
        <v xml:space="preserve">    - Jubilados (0 a 600 KWh)</v>
      </c>
      <c r="D74" s="156">
        <f>($G$16*F821EA!K52)*$L74</f>
        <v>0</v>
      </c>
      <c r="E74" s="156">
        <f>($G$16*F821EA!L52)*$L74</f>
        <v>0</v>
      </c>
      <c r="F74" s="156">
        <f>($G$16*F821EA!M52)*$L74</f>
        <v>0</v>
      </c>
      <c r="G74" s="156">
        <f>($G$16*F821EA!N52)*$L74</f>
        <v>0</v>
      </c>
      <c r="H74" s="156">
        <f>($G$16*F821EA!O52)*$L74</f>
        <v>0</v>
      </c>
      <c r="I74" s="156">
        <f>($G$16*F821EA!P52)*$L74</f>
        <v>0</v>
      </c>
      <c r="J74" s="156">
        <f t="shared" si="13"/>
        <v>0</v>
      </c>
      <c r="K74" s="69"/>
      <c r="L74" s="319">
        <v>0.75</v>
      </c>
      <c r="M74" s="69"/>
    </row>
    <row r="75" spans="2:13" s="37" customFormat="1" ht="15.75">
      <c r="B75" s="48"/>
      <c r="C75" s="162" t="str">
        <f>F821EA!$C$53</f>
        <v xml:space="preserve">    - Jubilados (601 y Más KWh)</v>
      </c>
      <c r="D75" s="156">
        <f>($G$16*F821EA!K53)*$L75</f>
        <v>0</v>
      </c>
      <c r="E75" s="156">
        <f>($G$16*F821EA!L53)*$L75</f>
        <v>0</v>
      </c>
      <c r="F75" s="156">
        <f>($G$16*F821EA!M53)*$L75</f>
        <v>0</v>
      </c>
      <c r="G75" s="156">
        <f>($G$16*F821EA!N53)*$L75</f>
        <v>0</v>
      </c>
      <c r="H75" s="156">
        <f>($G$16*F821EA!O53)*$L75</f>
        <v>0</v>
      </c>
      <c r="I75" s="156">
        <f>($G$16*F821EA!P53)*$L75</f>
        <v>0</v>
      </c>
      <c r="J75" s="156">
        <f t="shared" si="13"/>
        <v>0</v>
      </c>
      <c r="K75" s="69"/>
      <c r="L75" s="319">
        <v>1</v>
      </c>
      <c r="M75" s="69"/>
    </row>
    <row r="76" spans="2:13" s="37" customFormat="1" ht="15.75">
      <c r="B76" s="48"/>
      <c r="C76" s="160" t="str">
        <f>F821EA!$C$54</f>
        <v xml:space="preserve">    - Agropecuarios</v>
      </c>
      <c r="D76" s="156">
        <f>($G$16*F821EA!K54)*$L76</f>
        <v>0</v>
      </c>
      <c r="E76" s="156">
        <f>($G$16*F821EA!L54)*$L76</f>
        <v>0</v>
      </c>
      <c r="F76" s="156">
        <f>($G$16*F821EA!M54)*$L76</f>
        <v>0</v>
      </c>
      <c r="G76" s="156">
        <f>($G$16*F821EA!N54)*$L76</f>
        <v>0</v>
      </c>
      <c r="H76" s="156">
        <f>($G$16*F821EA!O54)*$L76</f>
        <v>0</v>
      </c>
      <c r="I76" s="156">
        <f>($G$16*F821EA!P54)*$L76</f>
        <v>0</v>
      </c>
      <c r="J76" s="156">
        <f t="shared" si="13"/>
        <v>0</v>
      </c>
      <c r="K76" s="69"/>
      <c r="L76" s="319">
        <v>0.95</v>
      </c>
      <c r="M76" s="69"/>
    </row>
    <row r="77" spans="2:13" s="37" customFormat="1" ht="15.75">
      <c r="B77" s="48"/>
      <c r="C77" s="160" t="str">
        <f>F821EA!$C$55</f>
        <v xml:space="preserve">    - Partidos Políticos</v>
      </c>
      <c r="D77" s="156">
        <f>($G$16*F821EA!K55)*$L77</f>
        <v>0</v>
      </c>
      <c r="E77" s="156">
        <f>($G$16*F821EA!L55)*$L77</f>
        <v>0</v>
      </c>
      <c r="F77" s="156">
        <f>($G$16*F821EA!M55)*$L77</f>
        <v>0</v>
      </c>
      <c r="G77" s="156">
        <f>($G$16*F821EA!N55)*$L77</f>
        <v>0</v>
      </c>
      <c r="H77" s="156">
        <f>($G$16*F821EA!O55)*$L77</f>
        <v>0</v>
      </c>
      <c r="I77" s="156">
        <f>($G$16*F821EA!P55)*$L77</f>
        <v>0</v>
      </c>
      <c r="J77" s="156">
        <f t="shared" si="13"/>
        <v>0</v>
      </c>
      <c r="K77" s="69"/>
      <c r="L77" s="319">
        <v>0.5</v>
      </c>
      <c r="M77" s="69"/>
    </row>
    <row r="78" spans="2:13" s="37" customFormat="1" ht="15.75">
      <c r="B78" s="48"/>
      <c r="C78" s="160" t="str">
        <f>F821EA!$C$56</f>
        <v xml:space="preserve">    - Cruz Roja</v>
      </c>
      <c r="D78" s="156">
        <f>($G$16*F821EA!K56)*$L78</f>
        <v>0</v>
      </c>
      <c r="E78" s="156">
        <f>($G$16*F821EA!L56)*$L78</f>
        <v>0</v>
      </c>
      <c r="F78" s="156">
        <f>($G$16*F821EA!M56)*$L78</f>
        <v>0</v>
      </c>
      <c r="G78" s="156">
        <f>($G$16*F821EA!N56)*$L78</f>
        <v>0</v>
      </c>
      <c r="H78" s="156">
        <f>($G$16*F821EA!O56)*$L78</f>
        <v>0</v>
      </c>
      <c r="I78" s="156">
        <f>($G$16*F821EA!P56)*$L78</f>
        <v>0</v>
      </c>
      <c r="J78" s="156">
        <f t="shared" si="13"/>
        <v>0</v>
      </c>
      <c r="K78" s="69"/>
      <c r="L78" s="319">
        <v>0</v>
      </c>
      <c r="M78" s="69"/>
    </row>
    <row r="79" spans="2:13" s="37" customFormat="1" ht="15.75">
      <c r="B79" s="48" t="s">
        <v>751</v>
      </c>
      <c r="C79" s="158" t="s">
        <v>634</v>
      </c>
      <c r="D79" s="159">
        <f t="shared" ref="D79" si="14">SUM(D80:D84)</f>
        <v>594890.23632592056</v>
      </c>
      <c r="E79" s="159">
        <f t="shared" ref="E79:I79" si="15">SUM(E80:E84)</f>
        <v>591392.70250456722</v>
      </c>
      <c r="F79" s="159">
        <f t="shared" si="15"/>
        <v>600339.98441008863</v>
      </c>
      <c r="G79" s="159">
        <f t="shared" si="15"/>
        <v>596754.51559754612</v>
      </c>
      <c r="H79" s="159">
        <f t="shared" si="15"/>
        <v>612479.20064733445</v>
      </c>
      <c r="I79" s="159">
        <f t="shared" si="15"/>
        <v>603956.7573875552</v>
      </c>
      <c r="J79" s="159">
        <f t="shared" si="13"/>
        <v>3599813.3968730122</v>
      </c>
      <c r="K79" s="69"/>
      <c r="L79" s="319"/>
      <c r="M79" s="69"/>
    </row>
    <row r="80" spans="2:13" s="37" customFormat="1" ht="15.75">
      <c r="B80" s="48"/>
      <c r="C80" s="160" t="s">
        <v>304</v>
      </c>
      <c r="D80" s="156">
        <f>(($E$18+$F$18)*F821EA!K66)*$L80</f>
        <v>432557.36776999355</v>
      </c>
      <c r="E80" s="156">
        <f>(($E$18+$F$18)*F821EA!L66)*$L80</f>
        <v>428779.51539748011</v>
      </c>
      <c r="F80" s="156">
        <f>(($E$18+$F$18)*F821EA!M66)*$L80</f>
        <v>435510.31855174579</v>
      </c>
      <c r="G80" s="156">
        <f>(($E$18+$F$18)*F821EA!N66)*$L80</f>
        <v>432160.75232959044</v>
      </c>
      <c r="H80" s="156">
        <f>(($E$18+$F$18)*F821EA!O66)*$L80</f>
        <v>444167.47206372849</v>
      </c>
      <c r="I80" s="156">
        <f>(($E$18+$F$18)*F821EA!P66)*$L80</f>
        <v>435319.33411168546</v>
      </c>
      <c r="J80" s="156">
        <f t="shared" si="13"/>
        <v>2608494.7602242236</v>
      </c>
      <c r="K80" s="69"/>
      <c r="L80" s="319">
        <v>1</v>
      </c>
      <c r="M80" s="329"/>
    </row>
    <row r="81" spans="2:13" s="37" customFormat="1" ht="15.75">
      <c r="B81" s="48"/>
      <c r="C81" s="162" t="s">
        <v>644</v>
      </c>
      <c r="D81" s="156">
        <f>(($E$18+$F$18)*F821EA!K67)*$L81</f>
        <v>162318.6792243736</v>
      </c>
      <c r="E81" s="156">
        <f>(($E$18+$F$18)*F821EA!L67)*$L81</f>
        <v>162600.50358214759</v>
      </c>
      <c r="F81" s="156">
        <f>(($E$18+$F$18)*F821EA!M67)*$L81</f>
        <v>164816.14255663785</v>
      </c>
      <c r="G81" s="156">
        <f>(($E$18+$F$18)*F821EA!N67)*$L81</f>
        <v>164577.42343728061</v>
      </c>
      <c r="H81" s="156">
        <f>(($E$18+$F$18)*F821EA!O67)*$L81</f>
        <v>168294.41866597781</v>
      </c>
      <c r="I81" s="156">
        <f>(($E$18+$F$18)*F821EA!P67)*$L81</f>
        <v>168614.36446902365</v>
      </c>
      <c r="J81" s="156">
        <f t="shared" si="13"/>
        <v>991221.53193544107</v>
      </c>
      <c r="K81" s="69"/>
      <c r="L81" s="319">
        <v>0.75</v>
      </c>
      <c r="M81" s="329"/>
    </row>
    <row r="82" spans="2:13" s="37" customFormat="1" ht="15.75">
      <c r="B82" s="48"/>
      <c r="C82" s="160" t="s">
        <v>305</v>
      </c>
      <c r="D82" s="156">
        <f>(($E$18+$F$18)*F821EA!K68)*$L82</f>
        <v>14.189331553444269</v>
      </c>
      <c r="E82" s="156">
        <f>(($E$18+$F$18)*F821EA!L68)*$L82</f>
        <v>12.683524939609368</v>
      </c>
      <c r="F82" s="156">
        <f>(($E$18+$F$18)*F821EA!M68)*$L82</f>
        <v>13.523301705017293</v>
      </c>
      <c r="G82" s="156">
        <f>(($E$18+$F$18)*F821EA!N68)*$L82</f>
        <v>15.318686513820449</v>
      </c>
      <c r="H82" s="156">
        <f>(($E$18+$F$18)*F821EA!O68)*$L82</f>
        <v>16.867929856900584</v>
      </c>
      <c r="I82" s="156">
        <f>(($E$18+$F$18)*F821EA!P68)*$L82</f>
        <v>22.456789019787816</v>
      </c>
      <c r="J82" s="156">
        <f t="shared" si="13"/>
        <v>95.039563588579796</v>
      </c>
      <c r="K82" s="69"/>
      <c r="L82" s="319">
        <v>0.95</v>
      </c>
      <c r="M82" s="329"/>
    </row>
    <row r="83" spans="2:13" s="37" customFormat="1" ht="15.75">
      <c r="B83" s="48"/>
      <c r="C83" s="160" t="s">
        <v>307</v>
      </c>
      <c r="D83" s="156">
        <f>(($E$18+$F$18)*F821EA!K69)*$L83</f>
        <v>0</v>
      </c>
      <c r="E83" s="156">
        <f>(($E$18+$F$18)*F821EA!L69)*$L83</f>
        <v>0</v>
      </c>
      <c r="F83" s="156">
        <f>(($E$18+$F$18)*F821EA!M69)*$L83</f>
        <v>0</v>
      </c>
      <c r="G83" s="156">
        <f>(($E$18+$F$18)*F821EA!N69)*$L83</f>
        <v>1.0211441612038306</v>
      </c>
      <c r="H83" s="156">
        <f>(($E$18+$F$18)*F821EA!O69)*$L83</f>
        <v>0.44198777126732958</v>
      </c>
      <c r="I83" s="156">
        <f>(($E$18+$F$18)*F821EA!P69)*$L83</f>
        <v>0.60201782638136281</v>
      </c>
      <c r="J83" s="156">
        <f t="shared" si="13"/>
        <v>2.0651497588525229</v>
      </c>
      <c r="K83" s="69"/>
      <c r="L83" s="319">
        <v>0.5</v>
      </c>
      <c r="M83" s="329"/>
    </row>
    <row r="84" spans="2:13" s="37" customFormat="1" ht="15.75">
      <c r="B84" s="48"/>
      <c r="C84" s="160" t="s">
        <v>624</v>
      </c>
      <c r="D84" s="156">
        <f>(($E$18+$F$18)*F821EA!K70)*$L84</f>
        <v>0</v>
      </c>
      <c r="E84" s="156">
        <f>(($E$18+$F$18)*F821EA!L70)*$L84</f>
        <v>0</v>
      </c>
      <c r="F84" s="156">
        <f>(($E$18+$F$18)*F821EA!M70)*$L84</f>
        <v>0</v>
      </c>
      <c r="G84" s="156">
        <f>(($E$18+$F$18)*F821EA!N70)*$L84</f>
        <v>0</v>
      </c>
      <c r="H84" s="156">
        <f>(($E$18+$F$18)*F821EA!O70)*$L84</f>
        <v>0</v>
      </c>
      <c r="I84" s="156">
        <f>(($E$18+$F$18)*F821EA!P70)*$L84</f>
        <v>0</v>
      </c>
      <c r="J84" s="156">
        <f t="shared" si="13"/>
        <v>0</v>
      </c>
      <c r="K84" s="69"/>
      <c r="L84" s="319">
        <v>0</v>
      </c>
      <c r="M84" s="329"/>
    </row>
    <row r="85" spans="2:13" s="37" customFormat="1" ht="15.75">
      <c r="B85" s="48" t="s">
        <v>750</v>
      </c>
      <c r="C85" s="158" t="s">
        <v>635</v>
      </c>
      <c r="D85" s="159">
        <f t="shared" ref="D85" si="16">SUM(D86:D91)</f>
        <v>929831.8269116102</v>
      </c>
      <c r="E85" s="159">
        <f t="shared" ref="E85:I85" si="17">SUM(E86:E91)</f>
        <v>940382.05299214914</v>
      </c>
      <c r="F85" s="159">
        <f t="shared" si="17"/>
        <v>915210.09777048277</v>
      </c>
      <c r="G85" s="159">
        <f t="shared" si="17"/>
        <v>914228.77411172993</v>
      </c>
      <c r="H85" s="159">
        <f t="shared" si="17"/>
        <v>882196.50324823556</v>
      </c>
      <c r="I85" s="159">
        <f t="shared" si="17"/>
        <v>861457.67192058882</v>
      </c>
      <c r="J85" s="159">
        <f t="shared" si="13"/>
        <v>5443306.9269547965</v>
      </c>
      <c r="K85" s="69"/>
      <c r="L85" s="319"/>
      <c r="M85" s="69"/>
    </row>
    <row r="86" spans="2:13" s="37" customFormat="1" ht="15.75">
      <c r="B86" s="48"/>
      <c r="C86" s="160" t="s">
        <v>304</v>
      </c>
      <c r="D86" s="156">
        <f>(($E$19+$F$19)*F821EA!K72)*$L86</f>
        <v>601975.78596687538</v>
      </c>
      <c r="E86" s="156">
        <f>(($E$19+$F$19)*F821EA!L72)*$L86</f>
        <v>609819.53497823165</v>
      </c>
      <c r="F86" s="156">
        <f>(($E$19+$F$19)*F821EA!M72)*$L86</f>
        <v>590914.29682589136</v>
      </c>
      <c r="G86" s="156">
        <f>(($E$19+$F$19)*F821EA!N72)*$L86</f>
        <v>589206.18832201045</v>
      </c>
      <c r="H86" s="156">
        <f>(($E$19+$F$19)*F821EA!O72)*$L86</f>
        <v>566744.64668370038</v>
      </c>
      <c r="I86" s="156">
        <f>(($E$19+$F$19)*F821EA!P72)*$L86</f>
        <v>551701.08371261903</v>
      </c>
      <c r="J86" s="330">
        <f t="shared" si="13"/>
        <v>3510361.5364893284</v>
      </c>
      <c r="K86" s="69"/>
      <c r="L86" s="319">
        <v>1</v>
      </c>
      <c r="M86" s="329"/>
    </row>
    <row r="87" spans="2:13" s="37" customFormat="1" ht="15.75">
      <c r="B87" s="48"/>
      <c r="C87" s="162" t="s">
        <v>642</v>
      </c>
      <c r="D87" s="156">
        <f>(($E$19+$F$19)*F821EA!K73)*$L87</f>
        <v>318294.46256374649</v>
      </c>
      <c r="E87" s="156">
        <f>(($E$19+$F$19)*F821EA!L73)*$L87</f>
        <v>320769.90737241576</v>
      </c>
      <c r="F87" s="156">
        <f>(($E$19+$F$19)*F821EA!M73)*$L87</f>
        <v>315201.29633309576</v>
      </c>
      <c r="G87" s="156">
        <f>(($E$19+$F$19)*F821EA!N73)*$L87</f>
        <v>315993.4790571609</v>
      </c>
      <c r="H87" s="156">
        <f>(($E$19+$F$19)*F821EA!O73)*$L87</f>
        <v>306881.64242493809</v>
      </c>
      <c r="I87" s="156">
        <f>(($E$19+$F$19)*F821EA!P73)*$L87</f>
        <v>300981.33563214919</v>
      </c>
      <c r="J87" s="330">
        <f t="shared" si="13"/>
        <v>1878122.123383506</v>
      </c>
      <c r="K87" s="69"/>
      <c r="L87" s="319">
        <v>0.75</v>
      </c>
      <c r="M87" s="329"/>
    </row>
    <row r="88" spans="2:13" s="37" customFormat="1" ht="15.75">
      <c r="B88" s="48"/>
      <c r="C88" s="162" t="s">
        <v>1177</v>
      </c>
      <c r="D88" s="156">
        <f>(($E$19+$F$19)*F821EA!K74)*$L88</f>
        <v>9534.46239249262</v>
      </c>
      <c r="E88" s="156">
        <f>(($E$19+$F$19)*F821EA!L74)*$L88</f>
        <v>9764.5954492606397</v>
      </c>
      <c r="F88" s="156">
        <f>(($E$19+$F$19)*F821EA!M74)*$L88</f>
        <v>9052.3419469958862</v>
      </c>
      <c r="G88" s="156">
        <f>(($E$19+$F$19)*F821EA!N74)*$L88</f>
        <v>9002.4703193935675</v>
      </c>
      <c r="H88" s="156">
        <f>(($E$19+$F$19)*F821EA!O74)*$L88</f>
        <v>8509.6014969652497</v>
      </c>
      <c r="I88" s="156">
        <f>(($E$19+$F$19)*F821EA!P74)*$L88</f>
        <v>8722.3394309888081</v>
      </c>
      <c r="J88" s="330">
        <f t="shared" si="13"/>
        <v>54585.811036096769</v>
      </c>
      <c r="K88" s="69"/>
      <c r="L88" s="319">
        <v>1</v>
      </c>
      <c r="M88" s="329"/>
    </row>
    <row r="89" spans="2:13" s="37" customFormat="1" ht="15.75">
      <c r="B89" s="48"/>
      <c r="C89" s="160" t="s">
        <v>305</v>
      </c>
      <c r="D89" s="156">
        <f>(($E$19+$F$19)*F821EA!K75)*$L89</f>
        <v>27.115988495794856</v>
      </c>
      <c r="E89" s="156">
        <f>(($E$19+$F$19)*F821EA!L75)*$L89</f>
        <v>28.015192241049665</v>
      </c>
      <c r="F89" s="156">
        <f>(($E$19+$F$19)*F821EA!M75)*$L89</f>
        <v>42.162664499725246</v>
      </c>
      <c r="G89" s="156">
        <f>(($E$19+$F$19)*F821EA!N75)*$L89</f>
        <v>26.636413164992298</v>
      </c>
      <c r="H89" s="156">
        <f>(($E$19+$F$19)*F821EA!O75)*$L89</f>
        <v>53.092985580933629</v>
      </c>
      <c r="I89" s="156">
        <f>(($E$19+$F$19)*F821EA!P75)*$L89</f>
        <v>52.913144831882668</v>
      </c>
      <c r="J89" s="156">
        <f t="shared" si="13"/>
        <v>229.93638881437838</v>
      </c>
      <c r="K89" s="69"/>
      <c r="L89" s="319">
        <v>0.95</v>
      </c>
      <c r="M89" s="329"/>
    </row>
    <row r="90" spans="2:13" s="37" customFormat="1" ht="15.75">
      <c r="B90" s="48"/>
      <c r="C90" s="160" t="s">
        <v>307</v>
      </c>
      <c r="D90" s="156">
        <f>(($E$19+$F$19)*F821EA!K76)*$L90</f>
        <v>0</v>
      </c>
      <c r="E90" s="156">
        <f>(($E$19+$F$19)*F821EA!L76)*$L90</f>
        <v>0</v>
      </c>
      <c r="F90" s="156">
        <f>(($E$19+$F$19)*F821EA!M76)*$L90</f>
        <v>0</v>
      </c>
      <c r="G90" s="156">
        <f>(($E$19+$F$19)*F821EA!N76)*$L90</f>
        <v>0</v>
      </c>
      <c r="H90" s="156">
        <f>(($E$19+$F$19)*F821EA!O76)*$L90</f>
        <v>7.5196570509612242</v>
      </c>
      <c r="I90" s="156">
        <f>(($E$19+$F$19)*F821EA!P76)*$L90</f>
        <v>0</v>
      </c>
      <c r="J90" s="156">
        <f t="shared" si="13"/>
        <v>7.5196570509612242</v>
      </c>
      <c r="K90" s="69"/>
      <c r="L90" s="319">
        <v>0.5</v>
      </c>
      <c r="M90" s="329"/>
    </row>
    <row r="91" spans="2:13" s="37" customFormat="1" ht="15.75">
      <c r="B91" s="48"/>
      <c r="C91" s="160" t="s">
        <v>624</v>
      </c>
      <c r="D91" s="156">
        <f>(($E$19+$F$19)*F821EA!K77)*$L91</f>
        <v>0</v>
      </c>
      <c r="E91" s="156">
        <f>(($E$19+$F$19)*F821EA!L77)*$L91</f>
        <v>0</v>
      </c>
      <c r="F91" s="156">
        <f>(($E$19+$F$19)*F821EA!M77)*$L91</f>
        <v>0</v>
      </c>
      <c r="G91" s="156">
        <f>(($E$19+$F$19)*F821EA!N77)*$L91</f>
        <v>0</v>
      </c>
      <c r="H91" s="156">
        <f>(($E$19+$F$19)*F821EA!O77)*$L91</f>
        <v>0</v>
      </c>
      <c r="I91" s="156">
        <f>(($E$19+$F$19)*F821EA!P77)*$L91</f>
        <v>0</v>
      </c>
      <c r="J91" s="156"/>
      <c r="K91" s="69"/>
      <c r="L91" s="319">
        <v>0</v>
      </c>
      <c r="M91" s="329"/>
    </row>
    <row r="92" spans="2:13" s="37" customFormat="1" ht="15.75">
      <c r="B92" s="48" t="s">
        <v>749</v>
      </c>
      <c r="C92" s="158" t="s">
        <v>636</v>
      </c>
      <c r="D92" s="159">
        <f t="shared" ref="D92" si="18">SUM(D93:D98)</f>
        <v>1427057.2725782723</v>
      </c>
      <c r="E92" s="159">
        <f t="shared" ref="E92:I92" si="19">SUM(E93:E98)</f>
        <v>1420022.0756267777</v>
      </c>
      <c r="F92" s="159">
        <f t="shared" si="19"/>
        <v>1386029.1051691992</v>
      </c>
      <c r="G92" s="159">
        <f t="shared" si="19"/>
        <v>1405394.7721227899</v>
      </c>
      <c r="H92" s="159">
        <f t="shared" si="19"/>
        <v>1295153.6059325552</v>
      </c>
      <c r="I92" s="159">
        <f t="shared" si="19"/>
        <v>1344401.857366272</v>
      </c>
      <c r="J92" s="159">
        <f t="shared" ref="J92:J97" si="20">SUM(D92:I92)</f>
        <v>8278058.6887958664</v>
      </c>
      <c r="K92" s="69"/>
      <c r="L92" s="319"/>
      <c r="M92" s="69"/>
    </row>
    <row r="93" spans="2:13" s="37" customFormat="1" ht="15.75">
      <c r="B93" s="48"/>
      <c r="C93" s="160" t="s">
        <v>304</v>
      </c>
      <c r="D93" s="156">
        <f>(($E$20+$F$20)*F821EA!K79)*$L93</f>
        <v>1225786.7578936433</v>
      </c>
      <c r="E93" s="156">
        <f>(($E$20+$F$20)*F821EA!L79)*$L93</f>
        <v>1223633.6296836815</v>
      </c>
      <c r="F93" s="156">
        <f>(($E$20+$F$20)*F821EA!M79)*$L93</f>
        <v>1199278.200176026</v>
      </c>
      <c r="G93" s="156">
        <f>(($E$20+$F$20)*F821EA!N79)*$L93</f>
        <v>1215529.1166069976</v>
      </c>
      <c r="H93" s="156">
        <f>(($E$20+$F$20)*F821EA!O79)*$L93</f>
        <v>1127294.406651936</v>
      </c>
      <c r="I93" s="156">
        <f>(($E$20+$F$20)*F821EA!P79)*$L93</f>
        <v>1164798.3073369903</v>
      </c>
      <c r="J93" s="330">
        <f t="shared" si="20"/>
        <v>7156320.4183492735</v>
      </c>
      <c r="K93" s="69"/>
      <c r="L93" s="319">
        <v>1</v>
      </c>
      <c r="M93" s="329"/>
    </row>
    <row r="94" spans="2:13" s="37" customFormat="1" ht="15.75">
      <c r="B94" s="48"/>
      <c r="C94" s="162" t="s">
        <v>642</v>
      </c>
      <c r="D94" s="156">
        <f>(($E$20+$F$20)*F821EA!K80)*$L94</f>
        <v>95395.823524160834</v>
      </c>
      <c r="E94" s="156">
        <f>(($E$20+$F$20)*F821EA!L80)*$L94</f>
        <v>93496.334533314221</v>
      </c>
      <c r="F94" s="156">
        <f>(($E$20+$F$20)*F821EA!M80)*$L94</f>
        <v>88966.013216537656</v>
      </c>
      <c r="G94" s="156">
        <f>(($E$20+$F$20)*F821EA!N80)*$L94</f>
        <v>90075.05030138322</v>
      </c>
      <c r="H94" s="156">
        <f>(($E$20+$F$20)*F821EA!O80)*$L94</f>
        <v>79885.734515357617</v>
      </c>
      <c r="I94" s="156">
        <f>(($E$20+$F$20)*F821EA!P80)*$L94</f>
        <v>83173.774002677528</v>
      </c>
      <c r="J94" s="330">
        <f t="shared" si="20"/>
        <v>530992.73009343108</v>
      </c>
      <c r="K94" s="69"/>
      <c r="L94" s="319">
        <v>0.75</v>
      </c>
      <c r="M94" s="329"/>
    </row>
    <row r="95" spans="2:13" s="37" customFormat="1" ht="15.75">
      <c r="B95" s="48"/>
      <c r="C95" s="162" t="s">
        <v>1177</v>
      </c>
      <c r="D95" s="156">
        <f>(($E$20+$F$20)*F821EA!K81)*$L95</f>
        <v>105068.35006913247</v>
      </c>
      <c r="E95" s="156">
        <f>(($E$20+$F$20)*F821EA!L81)*$L95</f>
        <v>102026.09537387709</v>
      </c>
      <c r="F95" s="156">
        <f>(($E$20+$F$20)*F821EA!M81)*$L95</f>
        <v>97051.518045443867</v>
      </c>
      <c r="G95" s="156">
        <f>(($E$20+$F$20)*F821EA!N81)*$L95</f>
        <v>99106.172044150357</v>
      </c>
      <c r="H95" s="156">
        <f>(($E$20+$F$20)*F821EA!O81)*$L95</f>
        <v>87375.15779203079</v>
      </c>
      <c r="I95" s="156">
        <f>(($E$20+$F$20)*F821EA!P81)*$L95</f>
        <v>96154.136397025606</v>
      </c>
      <c r="J95" s="330">
        <f t="shared" si="20"/>
        <v>586781.42972166021</v>
      </c>
      <c r="K95" s="69"/>
      <c r="L95" s="319">
        <v>1</v>
      </c>
      <c r="M95" s="329"/>
    </row>
    <row r="96" spans="2:13" s="37" customFormat="1" ht="15.75">
      <c r="B96" s="48"/>
      <c r="C96" s="160" t="s">
        <v>305</v>
      </c>
      <c r="D96" s="156">
        <f>(($E$20+$F$20)*F821EA!K82)*$L96</f>
        <v>793.25037958460382</v>
      </c>
      <c r="E96" s="156">
        <f>(($E$20+$F$20)*F821EA!L82)*$L96</f>
        <v>855.07594108414287</v>
      </c>
      <c r="F96" s="156">
        <f>(($E$20+$F$20)*F821EA!M82)*$L96</f>
        <v>720.53681895398813</v>
      </c>
      <c r="G96" s="156">
        <f>(($E$20+$F$20)*F821EA!N82)*$L96</f>
        <v>672.26415147774696</v>
      </c>
      <c r="H96" s="156">
        <f>(($E$20+$F$20)*F821EA!O82)*$L96</f>
        <v>598.3069732307614</v>
      </c>
      <c r="I96" s="156">
        <f>(($E$20+$F$20)*F821EA!P82)*$L96</f>
        <v>263.19009554606748</v>
      </c>
      <c r="J96" s="156">
        <f t="shared" si="20"/>
        <v>3902.6243598773103</v>
      </c>
      <c r="K96" s="69"/>
      <c r="L96" s="319">
        <v>0.95</v>
      </c>
      <c r="M96" s="329"/>
    </row>
    <row r="97" spans="2:13" s="37" customFormat="1" ht="15.75">
      <c r="B97" s="48"/>
      <c r="C97" s="160" t="s">
        <v>307</v>
      </c>
      <c r="D97" s="156">
        <f>(($E$20+$F$20)*F821EA!K83)*$L97</f>
        <v>13.090711751263573</v>
      </c>
      <c r="E97" s="156">
        <f>(($E$20+$F$20)*F821EA!L83)*$L97</f>
        <v>10.940094820698842</v>
      </c>
      <c r="F97" s="156">
        <f>(($E$20+$F$20)*F821EA!M83)*$L97</f>
        <v>12.836912237718668</v>
      </c>
      <c r="G97" s="156">
        <f>(($E$20+$F$20)*F821EA!N83)*$L97</f>
        <v>12.169018781021547</v>
      </c>
      <c r="H97" s="156">
        <f>(($E$20+$F$20)*F821EA!O83)*$L97</f>
        <v>0</v>
      </c>
      <c r="I97" s="156">
        <f>(($E$20+$F$20)*F821EA!P83)*$L97</f>
        <v>12.449534032834336</v>
      </c>
      <c r="J97" s="156">
        <f t="shared" si="20"/>
        <v>61.486271623536965</v>
      </c>
      <c r="K97" s="69"/>
      <c r="L97" s="319">
        <v>0.5</v>
      </c>
      <c r="M97" s="329"/>
    </row>
    <row r="98" spans="2:13" s="37" customFormat="1" ht="15.75">
      <c r="B98" s="48"/>
      <c r="C98" s="160" t="s">
        <v>624</v>
      </c>
      <c r="D98" s="156">
        <f>(($E$20+$F$20)*F821EA!K84)*$L98</f>
        <v>0</v>
      </c>
      <c r="E98" s="156">
        <f>(($E$20+$F$20)*F821EA!L84)*$L98</f>
        <v>0</v>
      </c>
      <c r="F98" s="156">
        <f>(($E$20+$F$20)*F821EA!M84)*$L98</f>
        <v>0</v>
      </c>
      <c r="G98" s="156">
        <f>(($E$20+$F$20)*F821EA!N84)*$L98</f>
        <v>0</v>
      </c>
      <c r="H98" s="156">
        <f>(($E$20+$F$20)*F821EA!O84)*$L98</f>
        <v>0</v>
      </c>
      <c r="I98" s="156">
        <f>(($E$20+$F$20)*F821EA!P84)*$L98</f>
        <v>0</v>
      </c>
      <c r="J98" s="156"/>
      <c r="K98" s="69"/>
      <c r="L98" s="319">
        <v>0</v>
      </c>
      <c r="M98" s="329"/>
    </row>
    <row r="99" spans="2:13" s="37" customFormat="1" ht="15.75">
      <c r="B99" s="48"/>
      <c r="C99" s="157"/>
      <c r="D99" s="156"/>
      <c r="E99" s="156"/>
      <c r="F99" s="156"/>
      <c r="G99" s="156"/>
      <c r="H99" s="156"/>
      <c r="I99" s="156"/>
      <c r="J99" s="156"/>
      <c r="K99" s="69"/>
      <c r="L99" s="319"/>
      <c r="M99" s="69"/>
    </row>
    <row r="100" spans="2:13" s="37" customFormat="1" ht="15.75">
      <c r="B100" s="48" t="s">
        <v>902</v>
      </c>
      <c r="C100" s="158" t="s">
        <v>898</v>
      </c>
      <c r="D100" s="159">
        <f t="shared" ref="D100" si="21">SUM(D101:D105)</f>
        <v>201410.1123830998</v>
      </c>
      <c r="E100" s="159">
        <f t="shared" ref="E100:I100" si="22">SUM(E101:E105)</f>
        <v>198898.45209880327</v>
      </c>
      <c r="F100" s="159">
        <f t="shared" si="22"/>
        <v>206307.28735562952</v>
      </c>
      <c r="G100" s="159">
        <f t="shared" si="22"/>
        <v>201605.2271226779</v>
      </c>
      <c r="H100" s="159">
        <f t="shared" si="22"/>
        <v>191061.44118856182</v>
      </c>
      <c r="I100" s="159">
        <f t="shared" si="22"/>
        <v>204167.97128671044</v>
      </c>
      <c r="J100" s="159">
        <f t="shared" ref="J100:J119" si="23">SUM(D100:I100)</f>
        <v>1203450.4914354829</v>
      </c>
      <c r="K100" s="69"/>
      <c r="L100" s="319"/>
      <c r="M100" s="69"/>
    </row>
    <row r="101" spans="2:13" s="37" customFormat="1" ht="15.75">
      <c r="B101" s="48"/>
      <c r="C101" s="160" t="s">
        <v>304</v>
      </c>
      <c r="D101" s="156">
        <f>(($E$17+$F$17)*F821EA!K87)*$L101</f>
        <v>193742.94670468604</v>
      </c>
      <c r="E101" s="156">
        <f>(($E$17+$F$17)*F821EA!L87)*$L101</f>
        <v>191522.14104555926</v>
      </c>
      <c r="F101" s="156">
        <f>(($E$17+$F$17)*F821EA!M87)*$L101</f>
        <v>198544.91522514113</v>
      </c>
      <c r="G101" s="156">
        <f>(($E$17+$F$17)*F821EA!N87)*$L101</f>
        <v>193774.64789655624</v>
      </c>
      <c r="H101" s="156">
        <f>(($E$17+$F$17)*F821EA!O87)*$L101</f>
        <v>183812.59407421612</v>
      </c>
      <c r="I101" s="156">
        <f>(($E$17+$F$17)*F821EA!P87)*$L101</f>
        <v>196095.67809305727</v>
      </c>
      <c r="J101" s="156">
        <f t="shared" si="23"/>
        <v>1157492.9230392161</v>
      </c>
      <c r="K101" s="69"/>
      <c r="L101" s="319">
        <v>1</v>
      </c>
      <c r="M101" s="329"/>
    </row>
    <row r="102" spans="2:13" s="37" customFormat="1" ht="15.75">
      <c r="B102" s="48"/>
      <c r="C102" s="162" t="s">
        <v>644</v>
      </c>
      <c r="D102" s="156">
        <f>(($E$17+$F$17)*F821EA!K88)*$L102</f>
        <v>7667.165678413774</v>
      </c>
      <c r="E102" s="156">
        <f>(($E$17+$F$17)*F821EA!L88)*$L102</f>
        <v>7376.3110532440196</v>
      </c>
      <c r="F102" s="156">
        <f>(($E$17+$F$17)*F821EA!M88)*$L102</f>
        <v>7762.372130488402</v>
      </c>
      <c r="G102" s="156">
        <f>(($E$17+$F$17)*F821EA!N88)*$L102</f>
        <v>7830.5792261216475</v>
      </c>
      <c r="H102" s="156">
        <f>(($E$17+$F$17)*F821EA!O88)*$L102</f>
        <v>7248.8471143456918</v>
      </c>
      <c r="I102" s="156">
        <f>(($E$17+$F$17)*F821EA!P88)*$L102</f>
        <v>8072.2931936531722</v>
      </c>
      <c r="J102" s="156">
        <f t="shared" si="23"/>
        <v>45957.56839626671</v>
      </c>
      <c r="K102" s="69"/>
      <c r="L102" s="319">
        <v>0.75</v>
      </c>
      <c r="M102" s="329"/>
    </row>
    <row r="103" spans="2:13" s="37" customFormat="1" ht="15.75">
      <c r="B103" s="48"/>
      <c r="C103" s="160" t="s">
        <v>305</v>
      </c>
      <c r="D103" s="156">
        <f>(($E$17+$F$17)*F821EA!K89)*$L103</f>
        <v>0</v>
      </c>
      <c r="E103" s="156">
        <f>(($E$17+$F$17)*F821EA!L89)*$L103</f>
        <v>0</v>
      </c>
      <c r="F103" s="156">
        <f>(($E$17+$F$17)*F821EA!M89)*$L103</f>
        <v>0</v>
      </c>
      <c r="G103" s="156">
        <f>(($E$17+$F$17)*F821EA!N89)*$L103</f>
        <v>0</v>
      </c>
      <c r="H103" s="156">
        <f>(($E$17+$F$17)*F821EA!O89)*$L103</f>
        <v>0</v>
      </c>
      <c r="I103" s="156">
        <f>(($E$17+$F$17)*F821EA!P89)*$L103</f>
        <v>0</v>
      </c>
      <c r="J103" s="156">
        <f t="shared" si="23"/>
        <v>0</v>
      </c>
      <c r="K103" s="69"/>
      <c r="L103" s="319">
        <v>0.95</v>
      </c>
      <c r="M103" s="329"/>
    </row>
    <row r="104" spans="2:13" s="37" customFormat="1" ht="15.75">
      <c r="B104" s="48"/>
      <c r="C104" s="160" t="s">
        <v>307</v>
      </c>
      <c r="D104" s="156">
        <f>(($E$17+$F$17)*F821EA!K90)*$L104</f>
        <v>0</v>
      </c>
      <c r="E104" s="156">
        <f>(($E$17+$F$17)*F821EA!L90)*$L104</f>
        <v>0</v>
      </c>
      <c r="F104" s="156">
        <f>(($E$17+$F$17)*F821EA!M90)*$L104</f>
        <v>0</v>
      </c>
      <c r="G104" s="156">
        <f>(($E$17+$F$17)*F821EA!N90)*$L104</f>
        <v>0</v>
      </c>
      <c r="H104" s="156">
        <f>(($E$17+$F$17)*F821EA!O90)*$L104</f>
        <v>0</v>
      </c>
      <c r="I104" s="156">
        <f>(($E$17+$F$17)*F821EA!P90)*$L104</f>
        <v>0</v>
      </c>
      <c r="J104" s="156">
        <f t="shared" si="23"/>
        <v>0</v>
      </c>
      <c r="K104" s="69"/>
      <c r="L104" s="319">
        <v>0.5</v>
      </c>
      <c r="M104" s="329"/>
    </row>
    <row r="105" spans="2:13" s="37" customFormat="1" ht="15.75">
      <c r="B105" s="48"/>
      <c r="C105" s="160" t="s">
        <v>624</v>
      </c>
      <c r="D105" s="156">
        <f>(($E$17+$F$17)*F821EA!K91)*$L105</f>
        <v>0</v>
      </c>
      <c r="E105" s="156">
        <f>(($E$17+$F$17)*F821EA!L91)*$L105</f>
        <v>0</v>
      </c>
      <c r="F105" s="156">
        <f>(($E$17+$F$17)*F821EA!M91)*$L105</f>
        <v>0</v>
      </c>
      <c r="G105" s="156">
        <f>(($E$17+$F$17)*F821EA!N91)*$L105</f>
        <v>0</v>
      </c>
      <c r="H105" s="156">
        <f>(($E$17+$F$17)*F821EA!O91)*$L105</f>
        <v>0</v>
      </c>
      <c r="I105" s="156">
        <f>(($E$17+$F$17)*F821EA!P91)*$L105</f>
        <v>0</v>
      </c>
      <c r="J105" s="156">
        <f t="shared" si="23"/>
        <v>0</v>
      </c>
      <c r="K105" s="69"/>
      <c r="L105" s="319">
        <v>0</v>
      </c>
      <c r="M105" s="329"/>
    </row>
    <row r="106" spans="2:13" s="37" customFormat="1" ht="15.75">
      <c r="B106" s="48" t="s">
        <v>902</v>
      </c>
      <c r="C106" s="158" t="s">
        <v>899</v>
      </c>
      <c r="D106" s="159">
        <f t="shared" ref="D106:I106" si="24">SUM(D107:D112)</f>
        <v>17707.184619509688</v>
      </c>
      <c r="E106" s="159">
        <f t="shared" si="24"/>
        <v>16464.585533703892</v>
      </c>
      <c r="F106" s="159">
        <f t="shared" si="24"/>
        <v>15368.029114147275</v>
      </c>
      <c r="G106" s="159">
        <f t="shared" si="24"/>
        <v>16581.422714894761</v>
      </c>
      <c r="H106" s="159">
        <f t="shared" si="24"/>
        <v>12707.483725003585</v>
      </c>
      <c r="I106" s="159">
        <f t="shared" si="24"/>
        <v>16423.594978158253</v>
      </c>
      <c r="J106" s="159">
        <f t="shared" si="23"/>
        <v>95252.30068541746</v>
      </c>
      <c r="K106" s="69"/>
      <c r="L106" s="319"/>
      <c r="M106" s="69"/>
    </row>
    <row r="107" spans="2:13" s="37" customFormat="1" ht="15.75">
      <c r="B107" s="48"/>
      <c r="C107" s="160" t="s">
        <v>304</v>
      </c>
      <c r="D107" s="156">
        <f>(($E$17+$F$17)*F821EA!K93)*$L107</f>
        <v>16134.748349156236</v>
      </c>
      <c r="E107" s="156">
        <f>(($E$17+$F$17)*F821EA!L93)*$L107</f>
        <v>15045.995299906135</v>
      </c>
      <c r="F107" s="156">
        <f>(($E$17+$F$17)*F821EA!M93)*$L107</f>
        <v>13867.594937876915</v>
      </c>
      <c r="G107" s="156">
        <f>(($E$17+$F$17)*F821EA!N93)*$L107</f>
        <v>15098.04317021227</v>
      </c>
      <c r="H107" s="156">
        <f>(($E$17+$F$17)*F821EA!O93)*$L107</f>
        <v>11506.099998868463</v>
      </c>
      <c r="I107" s="156">
        <f>(($E$17+$F$17)*F821EA!P93)*$L107</f>
        <v>14871.958804730217</v>
      </c>
      <c r="J107" s="156">
        <f t="shared" si="23"/>
        <v>86524.440560750227</v>
      </c>
      <c r="K107" s="69"/>
      <c r="L107" s="319">
        <v>1</v>
      </c>
      <c r="M107" s="329"/>
    </row>
    <row r="108" spans="2:13" s="37" customFormat="1" ht="15.75">
      <c r="B108" s="48"/>
      <c r="C108" s="162" t="s">
        <v>642</v>
      </c>
      <c r="D108" s="156">
        <f>(($E$17+$F$17)*F821EA!K94)*$L108</f>
        <v>1398.491220923313</v>
      </c>
      <c r="E108" s="156">
        <f>(($E$17+$F$17)*F821EA!L94)*$L108</f>
        <v>1293.019983884943</v>
      </c>
      <c r="F108" s="156">
        <f>(($E$17+$F$17)*F821EA!M94)*$L108</f>
        <v>1375.4126008322251</v>
      </c>
      <c r="G108" s="156">
        <f>(($E$17+$F$17)*F821EA!N94)*$L108</f>
        <v>1343.8180956654257</v>
      </c>
      <c r="H108" s="156">
        <f>(($E$17+$F$17)*F821EA!O94)*$L108</f>
        <v>1092.3194333355004</v>
      </c>
      <c r="I108" s="156">
        <f>(($E$17+$F$17)*F821EA!P94)*$L108</f>
        <v>1411.4193632328825</v>
      </c>
      <c r="J108" s="156">
        <f t="shared" si="23"/>
        <v>7914.4806978742899</v>
      </c>
      <c r="K108" s="69"/>
      <c r="L108" s="319">
        <v>0.75</v>
      </c>
      <c r="M108" s="329"/>
    </row>
    <row r="109" spans="2:13" s="37" customFormat="1" ht="15.75">
      <c r="B109" s="48"/>
      <c r="C109" s="162" t="s">
        <v>1177</v>
      </c>
      <c r="D109" s="156">
        <f>(($E$17+$F$17)*F821EA!K95)*$L109</f>
        <v>173.94504943013905</v>
      </c>
      <c r="E109" s="156">
        <f>(($E$17+$F$17)*F821EA!L95)*$L109</f>
        <v>125.57024991281133</v>
      </c>
      <c r="F109" s="156">
        <f>(($E$17+$F$17)*F821EA!M95)*$L109</f>
        <v>125.02157543813465</v>
      </c>
      <c r="G109" s="156">
        <f>(($E$17+$F$17)*F821EA!N95)*$L109</f>
        <v>139.56144901706682</v>
      </c>
      <c r="H109" s="156">
        <f>(($E$17+$F$17)*F821EA!O95)*$L109</f>
        <v>109.06429279962106</v>
      </c>
      <c r="I109" s="156">
        <f>(($E$17+$F$17)*F821EA!P95)*$L109</f>
        <v>140.21681019515285</v>
      </c>
      <c r="J109" s="156">
        <f t="shared" si="23"/>
        <v>813.37942679292564</v>
      </c>
      <c r="K109" s="69"/>
      <c r="L109" s="319">
        <v>1</v>
      </c>
      <c r="M109" s="329"/>
    </row>
    <row r="110" spans="2:13" s="37" customFormat="1" ht="15.75">
      <c r="B110" s="48"/>
      <c r="C110" s="160" t="s">
        <v>305</v>
      </c>
      <c r="D110" s="156">
        <f>(($E$17+$F$17)*F821EA!K96)*$L110</f>
        <v>0</v>
      </c>
      <c r="E110" s="156">
        <f>(($E$17+$F$17)*F821EA!L96)*$L110</f>
        <v>0</v>
      </c>
      <c r="F110" s="156">
        <f>(($E$17+$F$17)*F821EA!M96)*$L110</f>
        <v>0</v>
      </c>
      <c r="G110" s="156">
        <f>(($E$17+$F$17)*F821EA!N96)*$L110</f>
        <v>0</v>
      </c>
      <c r="H110" s="156">
        <f>(($E$17+$F$17)*F821EA!O96)*$L110</f>
        <v>0</v>
      </c>
      <c r="I110" s="156">
        <f>(($E$17+$F$17)*F821EA!P96)*$L110</f>
        <v>0</v>
      </c>
      <c r="J110" s="156">
        <f t="shared" si="23"/>
        <v>0</v>
      </c>
      <c r="K110" s="69"/>
      <c r="L110" s="319">
        <v>0.95</v>
      </c>
      <c r="M110" s="329"/>
    </row>
    <row r="111" spans="2:13" s="37" customFormat="1" ht="15.75">
      <c r="B111" s="48"/>
      <c r="C111" s="160" t="s">
        <v>307</v>
      </c>
      <c r="D111" s="156">
        <f>(($E$17+$F$17)*F821EA!K97)*$L111</f>
        <v>0</v>
      </c>
      <c r="E111" s="156">
        <f>(($E$17+$F$17)*F821EA!L97)*$L111</f>
        <v>0</v>
      </c>
      <c r="F111" s="156">
        <f>(($E$17+$F$17)*F821EA!M97)*$L111</f>
        <v>0</v>
      </c>
      <c r="G111" s="156">
        <f>(($E$17+$F$17)*F821EA!N97)*$L111</f>
        <v>0</v>
      </c>
      <c r="H111" s="156">
        <f>(($E$17+$F$17)*F821EA!O97)*$L111</f>
        <v>0</v>
      </c>
      <c r="I111" s="156">
        <f>(($E$17+$F$17)*F821EA!P97)*$L111</f>
        <v>0</v>
      </c>
      <c r="J111" s="156">
        <f t="shared" si="23"/>
        <v>0</v>
      </c>
      <c r="K111" s="69"/>
      <c r="L111" s="319">
        <v>0.5</v>
      </c>
      <c r="M111" s="329"/>
    </row>
    <row r="112" spans="2:13" s="37" customFormat="1" ht="15.75">
      <c r="B112" s="48"/>
      <c r="C112" s="160" t="s">
        <v>624</v>
      </c>
      <c r="D112" s="156">
        <f>(($E$17+$F$17)*F821EA!K98)*$L112</f>
        <v>0</v>
      </c>
      <c r="E112" s="156">
        <f>($E$17*F821EA!L98+$F$17*F821EA!L98)*$L112</f>
        <v>0</v>
      </c>
      <c r="F112" s="156">
        <f>($E$17*F821EA!M98+$F$17*F821EA!M98)*$L112</f>
        <v>0</v>
      </c>
      <c r="G112" s="156">
        <f>($E$17*F821EA!N98+$F$17*F821EA!N98)*$L112</f>
        <v>0</v>
      </c>
      <c r="H112" s="156">
        <f>($E$17*F821EA!O98+$F$17*F821EA!O98)*$L112</f>
        <v>0</v>
      </c>
      <c r="I112" s="156">
        <f>($E$17*F821EA!P98+$F$17*F821EA!P98)*$L112</f>
        <v>0</v>
      </c>
      <c r="J112" s="156">
        <f t="shared" si="23"/>
        <v>0</v>
      </c>
      <c r="K112" s="69"/>
      <c r="L112" s="319">
        <v>0</v>
      </c>
      <c r="M112" s="329"/>
    </row>
    <row r="113" spans="2:13" s="37" customFormat="1" ht="15.75">
      <c r="B113" s="48" t="s">
        <v>902</v>
      </c>
      <c r="C113" s="158" t="s">
        <v>900</v>
      </c>
      <c r="D113" s="159">
        <f t="shared" ref="D113:I113" si="25">SUM(D114:D119)</f>
        <v>1888.1260359811422</v>
      </c>
      <c r="E113" s="159">
        <f t="shared" si="25"/>
        <v>1873.8719303577709</v>
      </c>
      <c r="F113" s="159">
        <f t="shared" si="25"/>
        <v>2116.7823130632432</v>
      </c>
      <c r="G113" s="159">
        <f t="shared" si="25"/>
        <v>1604.8537872322665</v>
      </c>
      <c r="H113" s="159">
        <f t="shared" si="25"/>
        <v>1267.659030388776</v>
      </c>
      <c r="I113" s="159">
        <f t="shared" si="25"/>
        <v>1782.1937599744674</v>
      </c>
      <c r="J113" s="159">
        <f t="shared" si="23"/>
        <v>10533.486856997666</v>
      </c>
      <c r="K113" s="69"/>
      <c r="L113" s="319"/>
      <c r="M113" s="69"/>
    </row>
    <row r="114" spans="2:13" s="37" customFormat="1" ht="15.75">
      <c r="B114" s="48"/>
      <c r="C114" s="160" t="s">
        <v>304</v>
      </c>
      <c r="D114" s="156">
        <f>(($E$17+$F$17)*F821EA!K100)*$L114</f>
        <v>1818.2614862056444</v>
      </c>
      <c r="E114" s="156">
        <f>(($E$17+$F$17)*F821EA!L100)*$L114</f>
        <v>1836.9621412175413</v>
      </c>
      <c r="F114" s="156">
        <f>(($E$17+$F$17)*F821EA!M100)*$L114</f>
        <v>2065.7898790729787</v>
      </c>
      <c r="G114" s="156">
        <f>(($E$17+$F$17)*F821EA!N100)*$L114</f>
        <v>1540.464551485313</v>
      </c>
      <c r="H114" s="156">
        <f>(($E$17+$F$17)*F821EA!O100)*$L114</f>
        <v>1239.5623249980408</v>
      </c>
      <c r="I114" s="156">
        <f>(($E$17+$F$17)*F821EA!P100)*$L114</f>
        <v>1732.2872442153339</v>
      </c>
      <c r="J114" s="156">
        <f t="shared" si="23"/>
        <v>10233.327627194853</v>
      </c>
      <c r="K114" s="69"/>
      <c r="L114" s="319">
        <v>1</v>
      </c>
      <c r="M114" s="329"/>
    </row>
    <row r="115" spans="2:13" s="37" customFormat="1" ht="15.75">
      <c r="B115" s="48"/>
      <c r="C115" s="162" t="s">
        <v>642</v>
      </c>
      <c r="D115" s="156">
        <f>(($E$17+$F$17)*F821EA!K101)*$L115</f>
        <v>69.864549775497892</v>
      </c>
      <c r="E115" s="156">
        <f>(($E$17+$F$17)*F821EA!L101)*$L115</f>
        <v>36.909789140229492</v>
      </c>
      <c r="F115" s="156">
        <f>(($E$17+$F$17)*F821EA!M101)*$L115</f>
        <v>50.992433990264409</v>
      </c>
      <c r="G115" s="156">
        <f>(($E$17+$F$17)*F821EA!N101)*$L115</f>
        <v>64.389235746953489</v>
      </c>
      <c r="H115" s="156">
        <f>(($E$17+$F$17)*F821EA!O101)*$L115</f>
        <v>28.096705390735245</v>
      </c>
      <c r="I115" s="156">
        <f>(($E$17+$F$17)*F821EA!P101)*$L115</f>
        <v>49.906515759133477</v>
      </c>
      <c r="J115" s="156">
        <f t="shared" si="23"/>
        <v>300.15922980281402</v>
      </c>
      <c r="K115" s="69"/>
      <c r="L115" s="319">
        <v>0.75</v>
      </c>
      <c r="M115" s="329"/>
    </row>
    <row r="116" spans="2:13" s="37" customFormat="1" ht="15.75">
      <c r="B116" s="48"/>
      <c r="C116" s="162" t="s">
        <v>1177</v>
      </c>
      <c r="D116" s="156">
        <f>(($E$17+$F$17)*F821EA!K102)*$L116</f>
        <v>0</v>
      </c>
      <c r="E116" s="156">
        <f>(($E$17+$F$17)*F821EA!L102)*$L116</f>
        <v>0</v>
      </c>
      <c r="F116" s="156">
        <f>(($E$17+$F$17)*F821EA!M102)*$L116</f>
        <v>0</v>
      </c>
      <c r="G116" s="156">
        <f>(($E$17+$F$17)*F821EA!N102)*$L116</f>
        <v>0</v>
      </c>
      <c r="H116" s="156">
        <f>(($E$17+$F$17)*F821EA!O102)*$L116</f>
        <v>0</v>
      </c>
      <c r="I116" s="156">
        <f>(($E$17+$F$17)*F821EA!P102)*$L116</f>
        <v>0</v>
      </c>
      <c r="J116" s="156">
        <f t="shared" si="23"/>
        <v>0</v>
      </c>
      <c r="K116" s="69"/>
      <c r="L116" s="319">
        <v>1</v>
      </c>
      <c r="M116" s="329"/>
    </row>
    <row r="117" spans="2:13" s="37" customFormat="1" ht="15.75">
      <c r="B117" s="48"/>
      <c r="C117" s="160" t="s">
        <v>305</v>
      </c>
      <c r="D117" s="156">
        <f>(($E$17+$F$17)*F821EA!K103)*$L117</f>
        <v>0</v>
      </c>
      <c r="E117" s="156">
        <f>(($E$17+$F$17)*F821EA!L103)*$L117</f>
        <v>0</v>
      </c>
      <c r="F117" s="156">
        <f>(($E$17+$F$17)*F821EA!M103)*$L117</f>
        <v>0</v>
      </c>
      <c r="G117" s="156">
        <f>(($E$17+$F$17)*F821EA!N103)*$L117</f>
        <v>0</v>
      </c>
      <c r="H117" s="156">
        <f>(($E$17+$F$17)*F821EA!O103)*$L117</f>
        <v>0</v>
      </c>
      <c r="I117" s="156">
        <f>(($E$17+$F$17)*F821EA!P103)*$L117</f>
        <v>0</v>
      </c>
      <c r="J117" s="156">
        <f t="shared" si="23"/>
        <v>0</v>
      </c>
      <c r="K117" s="69"/>
      <c r="L117" s="319">
        <v>0.95</v>
      </c>
      <c r="M117" s="329"/>
    </row>
    <row r="118" spans="2:13" s="37" customFormat="1" ht="15.75">
      <c r="B118" s="48"/>
      <c r="C118" s="160" t="s">
        <v>307</v>
      </c>
      <c r="D118" s="156">
        <f>(($E$17+$F$17)*F821EA!K104)*$L118</f>
        <v>0</v>
      </c>
      <c r="E118" s="156">
        <f>(($E$17+$F$17)*F821EA!L104)*$L118</f>
        <v>0</v>
      </c>
      <c r="F118" s="156">
        <f>(($E$17+$F$17)*F821EA!M104)*$L118</f>
        <v>0</v>
      </c>
      <c r="G118" s="156">
        <f>(($E$17+$F$17)*F821EA!N104)*$L118</f>
        <v>0</v>
      </c>
      <c r="H118" s="156">
        <f>(($E$17+$F$17)*F821EA!O104)*$L118</f>
        <v>0</v>
      </c>
      <c r="I118" s="156">
        <f>(($E$17+$F$17)*F821EA!P104)*$L118</f>
        <v>0</v>
      </c>
      <c r="J118" s="156">
        <f t="shared" si="23"/>
        <v>0</v>
      </c>
      <c r="K118" s="69"/>
      <c r="L118" s="319">
        <v>0.5</v>
      </c>
      <c r="M118" s="329"/>
    </row>
    <row r="119" spans="2:13" s="37" customFormat="1" ht="15.75">
      <c r="B119" s="48"/>
      <c r="C119" s="160" t="s">
        <v>624</v>
      </c>
      <c r="D119" s="156">
        <f>(($E$17+$F$17)*F821EA!K105)*$L119</f>
        <v>0</v>
      </c>
      <c r="E119" s="156">
        <f>(($E$17+$F$17)*F821EA!L105)*$L119</f>
        <v>0</v>
      </c>
      <c r="F119" s="156">
        <f>(($E$17+$F$17)*F821EA!M105)*$L119</f>
        <v>0</v>
      </c>
      <c r="G119" s="156">
        <f>(($E$17+$F$17)*F821EA!N105)*$L119</f>
        <v>0</v>
      </c>
      <c r="H119" s="156">
        <f>(($E$17+$F$17)*F821EA!O105)*$L119</f>
        <v>0</v>
      </c>
      <c r="I119" s="156">
        <f>(($E$17+$F$17)*F821EA!P105)*$L119</f>
        <v>0</v>
      </c>
      <c r="J119" s="156">
        <f t="shared" si="23"/>
        <v>0</v>
      </c>
      <c r="K119" s="69"/>
      <c r="L119" s="319">
        <v>0</v>
      </c>
      <c r="M119" s="329"/>
    </row>
    <row r="120" spans="2:13" s="37" customFormat="1" ht="15.75">
      <c r="B120" s="48"/>
      <c r="C120" s="157"/>
      <c r="D120" s="156"/>
      <c r="E120" s="156"/>
      <c r="F120" s="156"/>
      <c r="G120" s="156"/>
      <c r="H120" s="156"/>
      <c r="I120" s="156"/>
      <c r="J120" s="156"/>
      <c r="K120" s="69"/>
      <c r="L120" s="319"/>
      <c r="M120" s="69"/>
    </row>
    <row r="121" spans="2:13" s="37" customFormat="1" ht="15.75">
      <c r="B121" s="48"/>
      <c r="C121" s="153" t="s">
        <v>112</v>
      </c>
      <c r="D121" s="154">
        <f t="shared" ref="D121:I121" si="26">D44+D34+D30</f>
        <v>6547849.4985303106</v>
      </c>
      <c r="E121" s="154">
        <f t="shared" si="26"/>
        <v>6515362.4672113936</v>
      </c>
      <c r="F121" s="154">
        <f t="shared" si="26"/>
        <v>6343822.57791101</v>
      </c>
      <c r="G121" s="154">
        <f t="shared" si="26"/>
        <v>6471037.1438043462</v>
      </c>
      <c r="H121" s="154">
        <f t="shared" si="26"/>
        <v>6029125.2715810779</v>
      </c>
      <c r="I121" s="154">
        <f t="shared" si="26"/>
        <v>6128905.4269517539</v>
      </c>
      <c r="J121" s="154">
        <f>SUM(D121:I121)</f>
        <v>38036102.38598989</v>
      </c>
      <c r="K121" s="69"/>
      <c r="L121" s="319"/>
    </row>
    <row r="122" spans="2:13">
      <c r="C122" s="48"/>
      <c r="D122" s="48"/>
      <c r="E122" s="48"/>
      <c r="F122" s="48"/>
      <c r="G122" s="48"/>
      <c r="H122" s="48"/>
      <c r="I122" s="48"/>
      <c r="J122" s="48"/>
    </row>
    <row r="123" spans="2:13" s="69" customFormat="1" ht="31.5" customHeight="1">
      <c r="B123" s="48"/>
      <c r="C123" s="320" t="s">
        <v>660</v>
      </c>
      <c r="D123" s="320"/>
      <c r="E123" s="320"/>
      <c r="F123" s="320"/>
      <c r="G123" s="320"/>
      <c r="H123" s="320"/>
      <c r="I123" s="320"/>
      <c r="J123" s="321"/>
      <c r="L123" s="319"/>
    </row>
    <row r="124" spans="2:13" s="37" customFormat="1" ht="15.75">
      <c r="B124" s="48"/>
      <c r="C124" s="150" t="s">
        <v>310</v>
      </c>
      <c r="D124" s="151">
        <f t="shared" ref="D124:I124" si="27">D$29</f>
        <v>45839</v>
      </c>
      <c r="E124" s="151">
        <f t="shared" si="27"/>
        <v>45870</v>
      </c>
      <c r="F124" s="151">
        <f t="shared" si="27"/>
        <v>45901</v>
      </c>
      <c r="G124" s="151">
        <f t="shared" si="27"/>
        <v>45931</v>
      </c>
      <c r="H124" s="151">
        <f t="shared" si="27"/>
        <v>45962</v>
      </c>
      <c r="I124" s="151">
        <f t="shared" si="27"/>
        <v>45992</v>
      </c>
      <c r="J124" s="152" t="s">
        <v>111</v>
      </c>
      <c r="K124" s="69"/>
      <c r="L124" s="319"/>
    </row>
    <row r="125" spans="2:13" s="37" customFormat="1" ht="15.75" customHeight="1">
      <c r="B125" s="48"/>
      <c r="C125" s="153" t="s">
        <v>446</v>
      </c>
      <c r="D125" s="154">
        <f t="shared" ref="D125:I125" si="28">SUM(D126:D127)</f>
        <v>1194032.1627499999</v>
      </c>
      <c r="E125" s="154">
        <f t="shared" si="28"/>
        <v>1219897.0475999999</v>
      </c>
      <c r="F125" s="154">
        <f t="shared" si="28"/>
        <v>1200151.3544999999</v>
      </c>
      <c r="G125" s="154">
        <f t="shared" si="28"/>
        <v>1260440.3496999999</v>
      </c>
      <c r="H125" s="154">
        <f t="shared" si="28"/>
        <v>1259556.7544</v>
      </c>
      <c r="I125" s="154">
        <f t="shared" si="28"/>
        <v>1267491.2785499999</v>
      </c>
      <c r="J125" s="154">
        <f>SUM(D125:I125)</f>
        <v>7401568.9474999998</v>
      </c>
      <c r="K125" s="69"/>
      <c r="L125" s="319"/>
    </row>
    <row r="126" spans="2:13" s="37" customFormat="1" ht="15.75" customHeight="1">
      <c r="B126" s="48" t="s">
        <v>279</v>
      </c>
      <c r="C126" s="155" t="s">
        <v>279</v>
      </c>
      <c r="D126" s="156">
        <f>$H$7*F821EA!R6+$I$7*F821EA!Y6</f>
        <v>1194032.1627499999</v>
      </c>
      <c r="E126" s="156">
        <f>$H$7*F821EA!S6+$I$7*F821EA!Z6</f>
        <v>1219897.0475999999</v>
      </c>
      <c r="F126" s="156">
        <f>$H$7*F821EA!T6+$I$7*F821EA!AA6</f>
        <v>1200151.3544999999</v>
      </c>
      <c r="G126" s="156">
        <f>$H$7*F821EA!U6+$I$7*F821EA!AB6</f>
        <v>1260440.3496999999</v>
      </c>
      <c r="H126" s="156">
        <f>$H$7*F821EA!V6+$I$7*F821EA!AC6</f>
        <v>1259556.7544</v>
      </c>
      <c r="I126" s="156">
        <f>$H$7*F821EA!W6+$I$7*F821EA!AD6</f>
        <v>1267491.2785499999</v>
      </c>
      <c r="J126" s="156">
        <f>SUM(D126:I126)</f>
        <v>7401568.9474999998</v>
      </c>
      <c r="K126" s="69"/>
      <c r="L126" s="319"/>
    </row>
    <row r="127" spans="2:13" s="37" customFormat="1" ht="15.75" customHeight="1">
      <c r="B127" s="48" t="s">
        <v>278</v>
      </c>
      <c r="C127" s="155" t="s">
        <v>278</v>
      </c>
      <c r="D127" s="156">
        <f>$F$8*F821EA!R7</f>
        <v>0</v>
      </c>
      <c r="E127" s="156">
        <f>$F$8*F821EA!S7</f>
        <v>0</v>
      </c>
      <c r="F127" s="156">
        <f>$F$8*F821EA!T7</f>
        <v>0</v>
      </c>
      <c r="G127" s="156">
        <f>$F$8*F821EA!U7</f>
        <v>0</v>
      </c>
      <c r="H127" s="156">
        <f>$F$8*F821EA!V7</f>
        <v>0</v>
      </c>
      <c r="I127" s="156">
        <f>$F$8*F821EA!W7</f>
        <v>0</v>
      </c>
      <c r="J127" s="156">
        <f>SUM(D127:I127)</f>
        <v>0</v>
      </c>
      <c r="K127" s="69"/>
      <c r="L127" s="319"/>
    </row>
    <row r="128" spans="2:13" s="37" customFormat="1" ht="15.75" customHeight="1">
      <c r="B128" s="48"/>
      <c r="C128" s="157"/>
      <c r="D128" s="156"/>
      <c r="E128" s="156"/>
      <c r="F128" s="156"/>
      <c r="G128" s="156"/>
      <c r="H128" s="156"/>
      <c r="I128" s="156"/>
      <c r="J128" s="156"/>
      <c r="K128" s="69"/>
      <c r="L128" s="319"/>
    </row>
    <row r="129" spans="2:12" s="37" customFormat="1" ht="15.75" customHeight="1">
      <c r="B129" s="48"/>
      <c r="C129" s="153" t="s">
        <v>630</v>
      </c>
      <c r="D129" s="154">
        <f>D130+D133</f>
        <v>1790900.7496472201</v>
      </c>
      <c r="E129" s="154">
        <f t="shared" ref="E129:I129" si="29">E130+E133</f>
        <v>1843372.4654751262</v>
      </c>
      <c r="F129" s="154">
        <f t="shared" si="29"/>
        <v>1784280.8645947846</v>
      </c>
      <c r="G129" s="154">
        <f t="shared" si="29"/>
        <v>1845157.0590608034</v>
      </c>
      <c r="H129" s="154">
        <f t="shared" si="29"/>
        <v>1779875.3545591875</v>
      </c>
      <c r="I129" s="154">
        <f t="shared" si="29"/>
        <v>1706339.8971891145</v>
      </c>
      <c r="J129" s="154">
        <f t="shared" ref="J129:J137" si="30">SUM(D129:I129)</f>
        <v>10749926.390526237</v>
      </c>
      <c r="K129" s="69"/>
      <c r="L129" s="319"/>
    </row>
    <row r="130" spans="2:12" s="37" customFormat="1" ht="15.75" customHeight="1">
      <c r="B130" s="48" t="s">
        <v>277</v>
      </c>
      <c r="C130" s="155" t="s">
        <v>277</v>
      </c>
      <c r="D130" s="154">
        <f>SUM(D131:D132)</f>
        <v>266927.173625</v>
      </c>
      <c r="E130" s="154">
        <f t="shared" ref="E130:I130" si="31">SUM(E131:E132)</f>
        <v>278365.33147500001</v>
      </c>
      <c r="F130" s="154">
        <f t="shared" si="31"/>
        <v>278109.77582499996</v>
      </c>
      <c r="G130" s="154">
        <f t="shared" si="31"/>
        <v>256476.84509999998</v>
      </c>
      <c r="H130" s="154">
        <f t="shared" si="31"/>
        <v>353331.95327499998</v>
      </c>
      <c r="I130" s="154">
        <f t="shared" si="31"/>
        <v>221139.44615</v>
      </c>
      <c r="J130" s="154">
        <f t="shared" si="30"/>
        <v>1654350.5254499998</v>
      </c>
      <c r="K130" s="69"/>
      <c r="L130" s="319"/>
    </row>
    <row r="131" spans="2:12" s="37" customFormat="1" ht="15.75" customHeight="1">
      <c r="B131" s="48"/>
      <c r="C131" s="160" t="s">
        <v>304</v>
      </c>
      <c r="D131" s="156">
        <f>$H$9*F821EA!R11+$I$9*F821EA!Y11</f>
        <v>226880.09224999999</v>
      </c>
      <c r="E131" s="156">
        <f>$H$9*F821EA!S11+$I$9*F821EA!Z11</f>
        <v>236565.64259999999</v>
      </c>
      <c r="F131" s="156">
        <f>$H$9*F821EA!T11+$I$9*F821EA!AA11</f>
        <v>236485.34769999998</v>
      </c>
      <c r="G131" s="156">
        <f>$H$9*F821EA!U11+$I$9*F821EA!AB11</f>
        <v>212836.91834999999</v>
      </c>
      <c r="H131" s="156">
        <f>$H$9*F821EA!V11+$I$9*F821EA!AC11</f>
        <v>307851.78865</v>
      </c>
      <c r="I131" s="156">
        <f>$H$9*F821EA!W11+$I$9*F821EA!AD11</f>
        <v>221139.44615</v>
      </c>
      <c r="J131" s="156">
        <f t="shared" si="30"/>
        <v>1441759.2356999998</v>
      </c>
      <c r="K131" s="69"/>
      <c r="L131" s="319"/>
    </row>
    <row r="132" spans="2:12" s="37" customFormat="1" ht="15.75" customHeight="1">
      <c r="B132" s="48"/>
      <c r="C132" s="160" t="s">
        <v>305</v>
      </c>
      <c r="D132" s="156">
        <f>($H$9*F821EA!R12+$I$9*F821EA!Y12)*$L132</f>
        <v>40047.081375000002</v>
      </c>
      <c r="E132" s="156">
        <f>($H$9*F821EA!S12+$I$9*F821EA!Z12)*$L132</f>
        <v>41799.688875</v>
      </c>
      <c r="F132" s="156">
        <f>($H$9*F821EA!T12+$I$9*F821EA!AA12)*$L132</f>
        <v>41624.428124999999</v>
      </c>
      <c r="G132" s="156">
        <f>($H$9*F821EA!U12+$I$9*F821EA!AB12)*$L132</f>
        <v>43639.926749999999</v>
      </c>
      <c r="H132" s="156">
        <f>($H$9*F821EA!V12+$I$9*F821EA!AC12)*$L132</f>
        <v>45480.164624999998</v>
      </c>
      <c r="I132" s="156">
        <f>($H$9*F821EA!W12+$I$9*F821EA!AD12)*$L132</f>
        <v>0</v>
      </c>
      <c r="J132" s="156">
        <f t="shared" si="30"/>
        <v>212591.28975000003</v>
      </c>
      <c r="K132" s="69"/>
      <c r="L132" s="319">
        <v>0.95</v>
      </c>
    </row>
    <row r="133" spans="2:12" s="37" customFormat="1" ht="15.75" customHeight="1">
      <c r="B133" s="48" t="s">
        <v>276</v>
      </c>
      <c r="C133" s="158" t="s">
        <v>276</v>
      </c>
      <c r="D133" s="159">
        <f t="shared" ref="D133:I133" si="32">SUM(D134:D137)</f>
        <v>1523973.5760222201</v>
      </c>
      <c r="E133" s="159">
        <f t="shared" si="32"/>
        <v>1565007.1340001263</v>
      </c>
      <c r="F133" s="159">
        <f t="shared" si="32"/>
        <v>1506171.0887697847</v>
      </c>
      <c r="G133" s="159">
        <f t="shared" si="32"/>
        <v>1588680.2139608033</v>
      </c>
      <c r="H133" s="159">
        <f t="shared" si="32"/>
        <v>1426543.4012841876</v>
      </c>
      <c r="I133" s="159">
        <f t="shared" si="32"/>
        <v>1485200.4510391145</v>
      </c>
      <c r="J133" s="159">
        <f t="shared" si="30"/>
        <v>9095575.8650762364</v>
      </c>
      <c r="K133" s="69"/>
      <c r="L133" s="319"/>
    </row>
    <row r="134" spans="2:12" s="37" customFormat="1" ht="15.75" customHeight="1">
      <c r="B134" s="48"/>
      <c r="C134" s="160" t="s">
        <v>304</v>
      </c>
      <c r="D134" s="156">
        <f>$F$10*(F821EA!R15+F821EA!Y15)*$L134</f>
        <v>1519645.139980383</v>
      </c>
      <c r="E134" s="156">
        <f>$F$10*(F821EA!S15+F821EA!Z15)*$L134</f>
        <v>1558514.4799373706</v>
      </c>
      <c r="F134" s="156">
        <f>$F$10*(F821EA!T15+F821EA!AA15)*$L134</f>
        <v>1501565.6006992958</v>
      </c>
      <c r="G134" s="156">
        <f>$F$10*(F821EA!U15+F821EA!AB15)*$L134</f>
        <v>1585331.4981362282</v>
      </c>
      <c r="H134" s="156">
        <f>$F$10*(F821EA!V15+F821EA!AC15)*$L134</f>
        <v>1418199.7184502939</v>
      </c>
      <c r="I134" s="156">
        <f>$F$10*(F821EA!W15+F821EA!AD15)*$L134</f>
        <v>1476860.7834520128</v>
      </c>
      <c r="J134" s="156">
        <f t="shared" si="30"/>
        <v>9060117.2206555847</v>
      </c>
      <c r="K134" s="69"/>
      <c r="L134" s="319">
        <v>1</v>
      </c>
    </row>
    <row r="135" spans="2:12" s="37" customFormat="1" ht="15.75" customHeight="1">
      <c r="B135" s="48"/>
      <c r="C135" s="161" t="s">
        <v>306</v>
      </c>
      <c r="D135" s="156">
        <f>$F$10*(F821EA!R16+F821EA!Y16)*$L135</f>
        <v>0</v>
      </c>
      <c r="E135" s="156">
        <f>$F$10*(F821EA!S16+F821EA!Z16)*$L135</f>
        <v>0</v>
      </c>
      <c r="F135" s="156">
        <f>$F$10*(F821EA!T16+F821EA!AA16)*$L135</f>
        <v>0</v>
      </c>
      <c r="G135" s="156">
        <f>$F$10*(F821EA!U16+F821EA!AB16)*$L135</f>
        <v>0</v>
      </c>
      <c r="H135" s="156">
        <f>$F$10*(F821EA!V16+F821EA!AC16)*$L135</f>
        <v>0</v>
      </c>
      <c r="I135" s="156">
        <f>$F$10*(F821EA!W16+F821EA!AD16)*$L135</f>
        <v>0</v>
      </c>
      <c r="J135" s="156">
        <f t="shared" si="30"/>
        <v>0</v>
      </c>
      <c r="K135" s="69"/>
      <c r="L135" s="319">
        <v>1</v>
      </c>
    </row>
    <row r="136" spans="2:12" s="37" customFormat="1" ht="15.75" customHeight="1">
      <c r="B136" s="48"/>
      <c r="C136" s="160" t="s">
        <v>305</v>
      </c>
      <c r="D136" s="156">
        <f>$F$10*(F821EA!R17+F821EA!Y17)*$L136</f>
        <v>4328.4360418370443</v>
      </c>
      <c r="E136" s="156">
        <f>$F$10*(F821EA!S17+F821EA!Z17)*$L136</f>
        <v>6492.654062755566</v>
      </c>
      <c r="F136" s="156">
        <f>$F$10*(F821EA!T17+F821EA!AA17)*$L136</f>
        <v>4605.4880704889511</v>
      </c>
      <c r="G136" s="156">
        <f>$F$10*(F821EA!U17+F821EA!AB17)*$L136</f>
        <v>3348.7158245752271</v>
      </c>
      <c r="H136" s="156">
        <f>$F$10*(F821EA!V17+F821EA!AC17)*$L136</f>
        <v>8343.6828338936721</v>
      </c>
      <c r="I136" s="156">
        <f>$F$10*(F821EA!W17+F821EA!AD17)*$L136</f>
        <v>8339.6675871016141</v>
      </c>
      <c r="J136" s="156">
        <f t="shared" si="30"/>
        <v>35458.644420652075</v>
      </c>
      <c r="K136" s="69"/>
      <c r="L136" s="319">
        <v>0.95</v>
      </c>
    </row>
    <row r="137" spans="2:12" s="37" customFormat="1" ht="15.75" customHeight="1">
      <c r="B137" s="48"/>
      <c r="C137" s="160" t="s">
        <v>307</v>
      </c>
      <c r="D137" s="156">
        <f>$F$10*(F821EA!R18+F821EA!Y18)*$L137</f>
        <v>0</v>
      </c>
      <c r="E137" s="156">
        <f>$F$10*(F821EA!S18+F821EA!Z18)*$L137</f>
        <v>0</v>
      </c>
      <c r="F137" s="156">
        <f>$F$10*(F821EA!T18+F821EA!AA18)*$L137</f>
        <v>0</v>
      </c>
      <c r="G137" s="156">
        <f>$F$10*(F821EA!U18+F821EA!AB18)*$L137</f>
        <v>0</v>
      </c>
      <c r="H137" s="156">
        <f>$F$10*(F821EA!V18+F821EA!AC18)*$L137</f>
        <v>0</v>
      </c>
      <c r="I137" s="156">
        <f>$F$10*(F821EA!W18+F821EA!AD18)*$L137</f>
        <v>0</v>
      </c>
      <c r="J137" s="156">
        <f t="shared" si="30"/>
        <v>0</v>
      </c>
      <c r="K137" s="69"/>
      <c r="L137" s="319">
        <v>0.5</v>
      </c>
    </row>
    <row r="138" spans="2:12" s="37" customFormat="1" ht="15.75" customHeight="1">
      <c r="B138" s="48"/>
      <c r="C138" s="157"/>
      <c r="D138" s="157"/>
      <c r="E138" s="157"/>
      <c r="F138" s="157"/>
      <c r="G138" s="157"/>
      <c r="H138" s="157"/>
      <c r="I138" s="157"/>
      <c r="J138" s="157"/>
      <c r="K138" s="69"/>
      <c r="L138" s="319"/>
    </row>
    <row r="139" spans="2:12" s="37" customFormat="1" ht="15.75" customHeight="1">
      <c r="B139" s="48"/>
      <c r="C139" s="153" t="s">
        <v>443</v>
      </c>
      <c r="D139" s="154">
        <f t="shared" ref="D139:I139" si="33">D140+D144+D151+D156+D161+D174+D180+D187+D195+D201+D208+D167</f>
        <v>13832301.744424971</v>
      </c>
      <c r="E139" s="154">
        <f t="shared" si="33"/>
        <v>13795854.056262484</v>
      </c>
      <c r="F139" s="154">
        <f t="shared" si="33"/>
        <v>13527821.318690205</v>
      </c>
      <c r="G139" s="154">
        <f t="shared" si="33"/>
        <v>13689231.526216852</v>
      </c>
      <c r="H139" s="154">
        <f t="shared" si="33"/>
        <v>13045166.542537235</v>
      </c>
      <c r="I139" s="154">
        <f t="shared" si="33"/>
        <v>13162055.58672813</v>
      </c>
      <c r="J139" s="154">
        <f t="shared" ref="J139:J165" si="34">SUM(D139:I139)</f>
        <v>81052430.774859875</v>
      </c>
      <c r="K139" s="69"/>
      <c r="L139" s="319"/>
    </row>
    <row r="140" spans="2:12" s="37" customFormat="1" ht="15.75" customHeight="1">
      <c r="B140" s="48" t="s">
        <v>275</v>
      </c>
      <c r="C140" s="155" t="s">
        <v>275</v>
      </c>
      <c r="D140" s="154">
        <f>SUM(D141:D143)</f>
        <v>181490.83041250001</v>
      </c>
      <c r="E140" s="154">
        <f t="shared" ref="E140:I140" si="35">SUM(E141:E143)</f>
        <v>184497.38685000001</v>
      </c>
      <c r="F140" s="154">
        <f t="shared" si="35"/>
        <v>183089.19527499998</v>
      </c>
      <c r="G140" s="154">
        <f t="shared" si="35"/>
        <v>190280.4645</v>
      </c>
      <c r="H140" s="154">
        <f t="shared" si="35"/>
        <v>197404.11118750001</v>
      </c>
      <c r="I140" s="154">
        <f t="shared" si="35"/>
        <v>200203.86872499998</v>
      </c>
      <c r="J140" s="154">
        <f t="shared" si="34"/>
        <v>1136965.8569499999</v>
      </c>
      <c r="K140" s="69"/>
      <c r="L140" s="319"/>
    </row>
    <row r="141" spans="2:12" s="37" customFormat="1" ht="15.75" customHeight="1">
      <c r="B141" s="48"/>
      <c r="C141" s="160" t="s">
        <v>304</v>
      </c>
      <c r="D141" s="156">
        <f>$H$11*F821EA!R22+$I$11*F821EA!Y22</f>
        <v>179787.48480000001</v>
      </c>
      <c r="E141" s="156">
        <f>$H$11*F821EA!S22+$I$11*F821EA!Z22</f>
        <v>183276.09615</v>
      </c>
      <c r="F141" s="156">
        <f>$H$11*F821EA!T22+$I$11*F821EA!AA22</f>
        <v>181643.49174999999</v>
      </c>
      <c r="G141" s="156">
        <f>$H$11*F821EA!U22+$I$11*F821EA!AB22</f>
        <v>188762.06510000001</v>
      </c>
      <c r="H141" s="156">
        <f>$H$11*F821EA!V22+$I$11*F821EA!AC22</f>
        <v>196200.06104999999</v>
      </c>
      <c r="I141" s="156">
        <f>$H$11*F821EA!W22+$I$11*F821EA!AD22</f>
        <v>198712.21964999998</v>
      </c>
      <c r="J141" s="156">
        <f t="shared" si="34"/>
        <v>1128381.4184999999</v>
      </c>
      <c r="K141" s="69"/>
      <c r="L141" s="319"/>
    </row>
    <row r="142" spans="2:12" s="37" customFormat="1" ht="15.75" customHeight="1">
      <c r="B142" s="48"/>
      <c r="C142" s="161" t="s">
        <v>306</v>
      </c>
      <c r="D142" s="156">
        <f>($H$11*F821EA!R23+$I$11*F821EA!Y23)*$L142</f>
        <v>1075.7452125</v>
      </c>
      <c r="E142" s="156">
        <f>($H$11*F821EA!S23+$I$11*F821EA!Z23)*$L142</f>
        <v>700.51589999999999</v>
      </c>
      <c r="F142" s="156">
        <f>($H$11*F821EA!T23+$I$11*F821EA!AA23)*$L142</f>
        <v>884.86912499999994</v>
      </c>
      <c r="G142" s="156">
        <f>($H$11*F821EA!U23+$I$11*F821EA!AB23)*$L142</f>
        <v>930.85860000000002</v>
      </c>
      <c r="H142" s="156">
        <f>($H$11*F821EA!V23+$I$11*F821EA!AC23)*$L142</f>
        <v>656.56893749999995</v>
      </c>
      <c r="I142" s="156">
        <f>($H$11*F821EA!W23+$I$11*F821EA!AD23)*$L142</f>
        <v>904.10827499999994</v>
      </c>
      <c r="J142" s="156">
        <f t="shared" si="34"/>
        <v>5152.6660499999989</v>
      </c>
      <c r="K142" s="69"/>
      <c r="L142" s="319">
        <v>0.75</v>
      </c>
    </row>
    <row r="143" spans="2:12" s="37" customFormat="1" ht="15.75" customHeight="1">
      <c r="B143" s="48"/>
      <c r="C143" s="160" t="s">
        <v>305</v>
      </c>
      <c r="D143" s="156">
        <f>($H$11*F821EA!R24+$I$11*F821EA!Y24)*$L143</f>
        <v>627.60039999999992</v>
      </c>
      <c r="E143" s="156">
        <f>($H$11*F821EA!S24+$I$11*F821EA!Z24)*$L143</f>
        <v>520.77479999999991</v>
      </c>
      <c r="F143" s="156">
        <f>($H$11*F821EA!T24+$I$11*F821EA!AA24)*$L143</f>
        <v>560.83439999999996</v>
      </c>
      <c r="G143" s="156">
        <f>($H$11*F821EA!U24+$I$11*F821EA!AB24)*$L143</f>
        <v>587.54079999999988</v>
      </c>
      <c r="H143" s="156">
        <f>($H$11*F821EA!V24+$I$11*F821EA!AC24)*$L143</f>
        <v>547.48119999999994</v>
      </c>
      <c r="I143" s="156">
        <f>($H$11*F821EA!W24+$I$11*F821EA!AD24)*$L143</f>
        <v>587.54079999999988</v>
      </c>
      <c r="J143" s="156">
        <f t="shared" si="34"/>
        <v>3431.7723999999998</v>
      </c>
      <c r="K143" s="69"/>
      <c r="L143" s="319">
        <v>0.95</v>
      </c>
    </row>
    <row r="144" spans="2:12" s="37" customFormat="1" ht="15.75" customHeight="1">
      <c r="B144" s="48" t="s">
        <v>274</v>
      </c>
      <c r="C144" s="158" t="s">
        <v>627</v>
      </c>
      <c r="D144" s="159">
        <f t="shared" ref="D144:I144" si="36">SUM(D145:D150)</f>
        <v>1736777.899144992</v>
      </c>
      <c r="E144" s="159">
        <f t="shared" si="36"/>
        <v>1736620.421076424</v>
      </c>
      <c r="F144" s="159">
        <f t="shared" si="36"/>
        <v>1711194.999905579</v>
      </c>
      <c r="G144" s="159">
        <f t="shared" si="36"/>
        <v>1744917.0660809311</v>
      </c>
      <c r="H144" s="159">
        <f t="shared" si="36"/>
        <v>1682798.4452778222</v>
      </c>
      <c r="I144" s="159">
        <f t="shared" si="36"/>
        <v>1669482.9914332349</v>
      </c>
      <c r="J144" s="159">
        <f t="shared" si="34"/>
        <v>10281791.822918983</v>
      </c>
      <c r="K144" s="69"/>
      <c r="L144" s="319"/>
    </row>
    <row r="145" spans="2:12" s="37" customFormat="1" ht="15.75" customHeight="1">
      <c r="B145" s="48"/>
      <c r="C145" s="160" t="s">
        <v>304</v>
      </c>
      <c r="D145" s="156">
        <f>$F$12*(F821EA!R28+F821EA!Y28)*$L145</f>
        <v>1733862.1259088421</v>
      </c>
      <c r="E145" s="156">
        <f>$F$12*(F821EA!S28+F821EA!Z28)*$L145</f>
        <v>1733570.4979817348</v>
      </c>
      <c r="F145" s="156">
        <f>$F$12*(F821EA!T28+F821EA!AA28)*$L145</f>
        <v>1707734.6824869544</v>
      </c>
      <c r="G145" s="156">
        <f>$F$12*(F821EA!U28+F821EA!AB28)*$L145</f>
        <v>1742000.5843958866</v>
      </c>
      <c r="H145" s="156">
        <f>$F$12*(F821EA!V28+F821EA!AC28)*$L145</f>
        <v>1679935.0972598719</v>
      </c>
      <c r="I145" s="156">
        <f>$F$12*(F821EA!W28+F821EA!AD28)*$L145</f>
        <v>1666190.9356874239</v>
      </c>
      <c r="J145" s="156">
        <f t="shared" si="34"/>
        <v>10263293.923720714</v>
      </c>
      <c r="K145" s="69"/>
      <c r="L145" s="319">
        <v>1</v>
      </c>
    </row>
    <row r="146" spans="2:12" s="37" customFormat="1" ht="15.75" customHeight="1">
      <c r="B146" s="48"/>
      <c r="C146" s="162" t="s">
        <v>628</v>
      </c>
      <c r="D146" s="156">
        <f>$F$12*(F821EA!R29+F821EA!Y29)*$L146</f>
        <v>136.62942967033095</v>
      </c>
      <c r="E146" s="156">
        <f>$F$12*(F821EA!S29+F821EA!Z29)*$L146</f>
        <v>136.62942967033095</v>
      </c>
      <c r="F146" s="156">
        <f>$F$12*(F821EA!T29+F821EA!AA29)*$L146</f>
        <v>159.40100128205276</v>
      </c>
      <c r="G146" s="156">
        <f>$F$12*(F821EA!U29+F821EA!AB29)*$L146</f>
        <v>159.40100128205276</v>
      </c>
      <c r="H146" s="156">
        <f>$F$12*(F821EA!V29+F821EA!AC29)*$L146</f>
        <v>159.40100128205276</v>
      </c>
      <c r="I146" s="156">
        <f>$F$12*(F821EA!W29+F821EA!AD29)*$L146</f>
        <v>136.62942967033095</v>
      </c>
      <c r="J146" s="156">
        <f t="shared" si="34"/>
        <v>888.09129285715119</v>
      </c>
      <c r="K146" s="69"/>
      <c r="L146" s="319">
        <v>0.75</v>
      </c>
    </row>
    <row r="147" spans="2:12" s="37" customFormat="1" ht="15.75" customHeight="1">
      <c r="B147" s="48"/>
      <c r="C147" s="161" t="s">
        <v>629</v>
      </c>
      <c r="D147" s="156">
        <f>$F$12*(F821EA!R30+F821EA!Y30)*$L147</f>
        <v>760.46928484656792</v>
      </c>
      <c r="E147" s="156">
        <f>$F$12*(F821EA!S30+F821EA!Z30)*$L147</f>
        <v>826.40563553562026</v>
      </c>
      <c r="F147" s="156">
        <f>$F$12*(F821EA!T30+F821EA!AA30)*$L147</f>
        <v>820.02959548433807</v>
      </c>
      <c r="G147" s="156">
        <f>$F$12*(F821EA!U30+F821EA!AB30)*$L147</f>
        <v>766.4404969580861</v>
      </c>
      <c r="H147" s="156">
        <f>$F$12*(F821EA!V30+F821EA!AC30)*$L147</f>
        <v>756.82583338869244</v>
      </c>
      <c r="I147" s="156">
        <f>$F$12*(F821EA!W30+F821EA!AD30)*$L147</f>
        <v>788.0987917354571</v>
      </c>
      <c r="J147" s="156">
        <f t="shared" si="34"/>
        <v>4718.2696379487616</v>
      </c>
      <c r="K147" s="69"/>
      <c r="L147" s="319">
        <v>1</v>
      </c>
    </row>
    <row r="148" spans="2:12" s="37" customFormat="1" ht="15.75" customHeight="1">
      <c r="B148" s="48"/>
      <c r="C148" s="160" t="s">
        <v>305</v>
      </c>
      <c r="D148" s="156">
        <f>$F$12*(F821EA!R31+F821EA!Y31)*$L148</f>
        <v>1834.4778090403101</v>
      </c>
      <c r="E148" s="156">
        <f>$F$12*(F821EA!S31+F821EA!Z31)*$L148</f>
        <v>1922.9327138787319</v>
      </c>
      <c r="F148" s="156">
        <f>$F$12*(F821EA!T31+F821EA!AA31)*$L148</f>
        <v>2282.5211313740547</v>
      </c>
      <c r="G148" s="156">
        <f>$F$12*(F821EA!U31+F821EA!AB31)*$L148</f>
        <v>1790.2503566210992</v>
      </c>
      <c r="H148" s="156">
        <f>$F$12*(F821EA!V31+F821EA!AC31)*$L148</f>
        <v>1771.0210294823119</v>
      </c>
      <c r="I148" s="156">
        <f>$F$12*(F821EA!W31+F821EA!AD31)*$L148</f>
        <v>2211.4687675962355</v>
      </c>
      <c r="J148" s="156">
        <f t="shared" si="34"/>
        <v>11812.671807992743</v>
      </c>
      <c r="K148" s="69"/>
      <c r="L148" s="319">
        <v>0.95</v>
      </c>
    </row>
    <row r="149" spans="2:12" s="37" customFormat="1" ht="15.75" customHeight="1">
      <c r="B149" s="48"/>
      <c r="C149" s="160" t="s">
        <v>307</v>
      </c>
      <c r="D149" s="156">
        <f>$F$12*(F821EA!R32+F821EA!Y32)*$L149</f>
        <v>184.19671259259431</v>
      </c>
      <c r="E149" s="156">
        <f>$F$12*(F821EA!S32+F821EA!Z32)*$L149</f>
        <v>163.95531560439713</v>
      </c>
      <c r="F149" s="156">
        <f>$F$12*(F821EA!T32+F821EA!AA32)*$L149</f>
        <v>198.36569048433236</v>
      </c>
      <c r="G149" s="156">
        <f>$F$12*(F821EA!U32+F821EA!AB32)*$L149</f>
        <v>200.38983018315207</v>
      </c>
      <c r="H149" s="156">
        <f>$F$12*(F821EA!V32+F821EA!AC32)*$L149</f>
        <v>176.10015379731544</v>
      </c>
      <c r="I149" s="156">
        <f>$F$12*(F821EA!W32+F821EA!AD32)*$L149</f>
        <v>155.85875680911826</v>
      </c>
      <c r="J149" s="156">
        <f t="shared" si="34"/>
        <v>1078.8664594709096</v>
      </c>
      <c r="K149" s="69"/>
      <c r="L149" s="319">
        <v>0.5</v>
      </c>
    </row>
    <row r="150" spans="2:12" s="37" customFormat="1" ht="15.75" customHeight="1">
      <c r="B150" s="48"/>
      <c r="C150" s="160" t="s">
        <v>624</v>
      </c>
      <c r="D150" s="156">
        <f>$F$12*(F821EA!R33+F821EA!Y33)*$L150</f>
        <v>0</v>
      </c>
      <c r="E150" s="156">
        <f>$F$12*(F821EA!S33+F821EA!Z33)*$L150</f>
        <v>0</v>
      </c>
      <c r="F150" s="156">
        <f>$F$12*(F821EA!T33+F821EA!AA33)*$L150</f>
        <v>0</v>
      </c>
      <c r="G150" s="156">
        <f>$F$12*(F821EA!U33+F821EA!AB33)*$L150</f>
        <v>0</v>
      </c>
      <c r="H150" s="156">
        <f>$F$12*(F821EA!V33+F821EA!AC33)*$L150</f>
        <v>0</v>
      </c>
      <c r="I150" s="156">
        <f>$F$12*(F821EA!W33+F821EA!AD33)*$L150</f>
        <v>0</v>
      </c>
      <c r="J150" s="156">
        <f t="shared" si="34"/>
        <v>0</v>
      </c>
      <c r="K150" s="69"/>
      <c r="L150" s="319">
        <v>0</v>
      </c>
    </row>
    <row r="151" spans="2:12" s="37" customFormat="1" ht="15.75" customHeight="1">
      <c r="B151" s="48" t="s">
        <v>274</v>
      </c>
      <c r="C151" s="158" t="s">
        <v>631</v>
      </c>
      <c r="D151" s="159">
        <f t="shared" ref="D151:I151" si="37">SUM(D152:D155)</f>
        <v>850180.17106936115</v>
      </c>
      <c r="E151" s="159">
        <f t="shared" si="37"/>
        <v>855819.56653631933</v>
      </c>
      <c r="F151" s="159">
        <f t="shared" si="37"/>
        <v>817573.95296204556</v>
      </c>
      <c r="G151" s="159">
        <f t="shared" si="37"/>
        <v>846747.1491025415</v>
      </c>
      <c r="H151" s="159">
        <f t="shared" si="37"/>
        <v>785452.97552578524</v>
      </c>
      <c r="I151" s="159">
        <f t="shared" si="37"/>
        <v>771604.49152206222</v>
      </c>
      <c r="J151" s="159">
        <f t="shared" si="34"/>
        <v>4927378.3067181157</v>
      </c>
      <c r="K151" s="69"/>
      <c r="L151" s="319"/>
    </row>
    <row r="152" spans="2:12" s="37" customFormat="1" ht="15.75" customHeight="1">
      <c r="B152" s="48"/>
      <c r="C152" s="160" t="s">
        <v>304</v>
      </c>
      <c r="D152" s="156">
        <f>$F$13*(F821EA!R35+F821EA!Y35)*$L152</f>
        <v>849663.37434853509</v>
      </c>
      <c r="E152" s="156">
        <f>$F$13*(F821EA!S35+F821EA!Z35)*$L152</f>
        <v>855314.88223863766</v>
      </c>
      <c r="F152" s="156">
        <f>$F$13*(F821EA!T35+F821EA!AA35)*$L152</f>
        <v>817061.193715601</v>
      </c>
      <c r="G152" s="156">
        <f>$F$13*(F821EA!U35+F821EA!AB35)*$L152</f>
        <v>846068.85340645735</v>
      </c>
      <c r="H152" s="156">
        <f>$F$13*(F821EA!V35+F821EA!AC35)*$L152</f>
        <v>785073.45293392858</v>
      </c>
      <c r="I152" s="156">
        <f>$F$13*(F821EA!W35+F821EA!AD35)*$L152</f>
        <v>770732.39705566829</v>
      </c>
      <c r="J152" s="156">
        <f t="shared" si="34"/>
        <v>4923914.1536988281</v>
      </c>
      <c r="K152" s="69"/>
      <c r="L152" s="319">
        <v>1</v>
      </c>
    </row>
    <row r="153" spans="2:12" s="37" customFormat="1" ht="15.75" customHeight="1">
      <c r="B153" s="48"/>
      <c r="C153" s="161" t="s">
        <v>306</v>
      </c>
      <c r="D153" s="156">
        <f>$F$13*(F821EA!R36+F821EA!Y36)*$L153</f>
        <v>0</v>
      </c>
      <c r="E153" s="156">
        <f>$F$13*(F821EA!S36+F821EA!Z36)*$L153</f>
        <v>0</v>
      </c>
      <c r="F153" s="156">
        <f>$F$13*(F821EA!T36+F821EA!AA36)*$L153</f>
        <v>0</v>
      </c>
      <c r="G153" s="156">
        <f>$F$13*(F821EA!U36+F821EA!AB36)*$L153</f>
        <v>0</v>
      </c>
      <c r="H153" s="156">
        <f>$F$13*(F821EA!V36+F821EA!AC36)*$L153</f>
        <v>0</v>
      </c>
      <c r="I153" s="156">
        <f>$F$13*(F821EA!W36+F821EA!AD36)*$L153</f>
        <v>0</v>
      </c>
      <c r="J153" s="156">
        <f t="shared" si="34"/>
        <v>0</v>
      </c>
      <c r="K153" s="69"/>
      <c r="L153" s="319">
        <v>1</v>
      </c>
    </row>
    <row r="154" spans="2:12" s="37" customFormat="1" ht="15.75" customHeight="1">
      <c r="B154" s="48"/>
      <c r="C154" s="160" t="s">
        <v>305</v>
      </c>
      <c r="D154" s="156">
        <f>$F$13*(F821EA!R37+F821EA!Y37)*$L154</f>
        <v>516.79672082605634</v>
      </c>
      <c r="E154" s="156">
        <f>$F$13*(F821EA!S37+F821EA!Z37)*$L154</f>
        <v>504.68429768169563</v>
      </c>
      <c r="F154" s="156">
        <f>$F$13*(F821EA!T37+F821EA!AA37)*$L154</f>
        <v>512.7592464446027</v>
      </c>
      <c r="G154" s="156">
        <f>$F$13*(F821EA!U37+F821EA!AB37)*$L154</f>
        <v>678.29569608419888</v>
      </c>
      <c r="H154" s="156">
        <f>$F$13*(F821EA!V37+F821EA!AC37)*$L154</f>
        <v>379.52259185663513</v>
      </c>
      <c r="I154" s="156">
        <f>$F$13*(F821EA!W37+F821EA!AD37)*$L154</f>
        <v>872.09446639396992</v>
      </c>
      <c r="J154" s="156">
        <f t="shared" si="34"/>
        <v>3464.1530192871587</v>
      </c>
      <c r="K154" s="69"/>
      <c r="L154" s="319">
        <v>0.95</v>
      </c>
    </row>
    <row r="155" spans="2:12" s="37" customFormat="1" ht="15.75" customHeight="1">
      <c r="B155" s="48"/>
      <c r="C155" s="160" t="s">
        <v>307</v>
      </c>
      <c r="D155" s="156">
        <f>$F$13*(F821EA!R38+F821EA!Y38)*$L155</f>
        <v>0</v>
      </c>
      <c r="E155" s="156">
        <f>$F$13*(F821EA!S38+F821EA!Z38)*$L155</f>
        <v>0</v>
      </c>
      <c r="F155" s="156">
        <f>$F$13*(F821EA!T38+F821EA!AA38)*$L155</f>
        <v>0</v>
      </c>
      <c r="G155" s="156">
        <f>$F$13*(F821EA!U38+F821EA!AB38)*$L155</f>
        <v>0</v>
      </c>
      <c r="H155" s="156">
        <f>$F$13*(F821EA!V38+F821EA!AC38)*$L155</f>
        <v>0</v>
      </c>
      <c r="I155" s="156">
        <f>$F$13*(F821EA!W38+F821EA!AD38)*$L155</f>
        <v>0</v>
      </c>
      <c r="J155" s="156">
        <f t="shared" si="34"/>
        <v>0</v>
      </c>
      <c r="K155" s="69"/>
      <c r="L155" s="319">
        <v>0.5</v>
      </c>
    </row>
    <row r="156" spans="2:12" s="37" customFormat="1" ht="15.75" customHeight="1">
      <c r="B156" s="48" t="s">
        <v>274</v>
      </c>
      <c r="C156" s="158" t="s">
        <v>632</v>
      </c>
      <c r="D156" s="159">
        <f t="shared" ref="D156:I156" si="38">SUM(D157:D160)</f>
        <v>263797.33832709183</v>
      </c>
      <c r="E156" s="159">
        <f t="shared" si="38"/>
        <v>254261.93009167237</v>
      </c>
      <c r="F156" s="159">
        <f t="shared" si="38"/>
        <v>233300.52524268412</v>
      </c>
      <c r="G156" s="159">
        <f t="shared" si="38"/>
        <v>255157.95649837461</v>
      </c>
      <c r="H156" s="159">
        <f t="shared" si="38"/>
        <v>219930.59936767278</v>
      </c>
      <c r="I156" s="159">
        <f t="shared" si="38"/>
        <v>229523.58897501556</v>
      </c>
      <c r="J156" s="159">
        <f t="shared" si="34"/>
        <v>1455971.9385025112</v>
      </c>
      <c r="K156" s="69"/>
      <c r="L156" s="319"/>
    </row>
    <row r="157" spans="2:12" s="37" customFormat="1" ht="15.75" customHeight="1">
      <c r="B157" s="48"/>
      <c r="C157" s="160" t="s">
        <v>304</v>
      </c>
      <c r="D157" s="156">
        <f>$F$14*(F821EA!R40+F821EA!Y40)*$L157</f>
        <v>263797.33832709183</v>
      </c>
      <c r="E157" s="156">
        <f>$F$14*(F821EA!S40+F821EA!Z40)*$L157</f>
        <v>254261.93009167237</v>
      </c>
      <c r="F157" s="156">
        <f>$F$14*(F821EA!T40+F821EA!AA40)*$L157</f>
        <v>233300.52524268412</v>
      </c>
      <c r="G157" s="156">
        <f>$F$14*(F821EA!U40+F821EA!AB40)*$L157</f>
        <v>255157.95649837461</v>
      </c>
      <c r="H157" s="156">
        <f>$F$14*(F821EA!V40+F821EA!AC40)*$L157</f>
        <v>219930.59936767278</v>
      </c>
      <c r="I157" s="156">
        <f>$F$14*(F821EA!W40+F821EA!AD40)*$L157</f>
        <v>229523.58897501556</v>
      </c>
      <c r="J157" s="156">
        <f t="shared" si="34"/>
        <v>1455971.9385025112</v>
      </c>
      <c r="K157" s="69"/>
      <c r="L157" s="319">
        <v>1</v>
      </c>
    </row>
    <row r="158" spans="2:12" s="37" customFormat="1" ht="15.75" customHeight="1">
      <c r="B158" s="48"/>
      <c r="C158" s="161" t="s">
        <v>306</v>
      </c>
      <c r="D158" s="156">
        <f>$F$14*(F821EA!R41+F821EA!Y41)*$L158</f>
        <v>0</v>
      </c>
      <c r="E158" s="156">
        <f>$F$14*(F821EA!S41+F821EA!Z41)*$L158</f>
        <v>0</v>
      </c>
      <c r="F158" s="156">
        <f>$F$14*(F821EA!T41+F821EA!AA41)*$L158</f>
        <v>0</v>
      </c>
      <c r="G158" s="156">
        <f>$F$14*(F821EA!U41+F821EA!AB41)*$L158</f>
        <v>0</v>
      </c>
      <c r="H158" s="156">
        <f>$F$14*(F821EA!V41+F821EA!AC41)*$L158</f>
        <v>0</v>
      </c>
      <c r="I158" s="156">
        <f>$F$14*(F821EA!W41+F821EA!AD41)*$L158</f>
        <v>0</v>
      </c>
      <c r="J158" s="156">
        <f t="shared" si="34"/>
        <v>0</v>
      </c>
      <c r="K158" s="69"/>
      <c r="L158" s="319">
        <v>1</v>
      </c>
    </row>
    <row r="159" spans="2:12" s="37" customFormat="1" ht="15.75" customHeight="1">
      <c r="B159" s="48"/>
      <c r="C159" s="160" t="s">
        <v>305</v>
      </c>
      <c r="D159" s="156">
        <f>$F$14*(F821EA!R42+F821EA!Y42)*$L159</f>
        <v>0</v>
      </c>
      <c r="E159" s="156">
        <f>$F$14*(F821EA!S42+F821EA!Z42)*$L159</f>
        <v>0</v>
      </c>
      <c r="F159" s="156">
        <f>$F$14*(F821EA!T42+F821EA!AA42)*$L159</f>
        <v>0</v>
      </c>
      <c r="G159" s="156">
        <f>$F$14*(F821EA!U42+F821EA!AB42)*$L159</f>
        <v>0</v>
      </c>
      <c r="H159" s="156">
        <f>$F$14*(F821EA!V42+F821EA!AC42)*$L159</f>
        <v>0</v>
      </c>
      <c r="I159" s="156">
        <f>$F$14*(F821EA!W42+F821EA!AD42)*$L159</f>
        <v>0</v>
      </c>
      <c r="J159" s="156">
        <f t="shared" si="34"/>
        <v>0</v>
      </c>
      <c r="K159" s="69"/>
      <c r="L159" s="319">
        <v>0.95</v>
      </c>
    </row>
    <row r="160" spans="2:12" s="37" customFormat="1" ht="15.75" customHeight="1">
      <c r="B160" s="48"/>
      <c r="C160" s="160" t="s">
        <v>307</v>
      </c>
      <c r="D160" s="156">
        <f>$F$14*(F821EA!R43+F821EA!Y43)*$L160</f>
        <v>0</v>
      </c>
      <c r="E160" s="156">
        <f>$F$14*(F821EA!S43+F821EA!Z43)*$L160</f>
        <v>0</v>
      </c>
      <c r="F160" s="156">
        <f>$F$14*(F821EA!T43+F821EA!AA43)*$L160</f>
        <v>0</v>
      </c>
      <c r="G160" s="156">
        <f>$F$14*(F821EA!U43+F821EA!AB43)*$L160</f>
        <v>0</v>
      </c>
      <c r="H160" s="156">
        <f>$F$14*(F821EA!V43+F821EA!AC43)*$L160</f>
        <v>0</v>
      </c>
      <c r="I160" s="156">
        <f>$F$14*(F821EA!W43+F821EA!AD43)*$L160</f>
        <v>0</v>
      </c>
      <c r="J160" s="156">
        <f t="shared" si="34"/>
        <v>0</v>
      </c>
      <c r="K160" s="69"/>
      <c r="L160" s="319">
        <v>0.5</v>
      </c>
    </row>
    <row r="161" spans="2:13" s="37" customFormat="1" ht="15.75" customHeight="1">
      <c r="B161" s="48" t="s">
        <v>274</v>
      </c>
      <c r="C161" s="158" t="s">
        <v>633</v>
      </c>
      <c r="D161" s="159">
        <f t="shared" ref="D161:I161" si="39">SUM(D162:D165)</f>
        <v>291586.14531041746</v>
      </c>
      <c r="E161" s="159">
        <f t="shared" si="39"/>
        <v>268609.00754542503</v>
      </c>
      <c r="F161" s="159">
        <f t="shared" si="39"/>
        <v>231229.7887915071</v>
      </c>
      <c r="G161" s="159">
        <f t="shared" si="39"/>
        <v>264931.43048487394</v>
      </c>
      <c r="H161" s="159">
        <f t="shared" si="39"/>
        <v>240389.89733553471</v>
      </c>
      <c r="I161" s="159">
        <f t="shared" si="39"/>
        <v>248430.11157307637</v>
      </c>
      <c r="J161" s="159">
        <f t="shared" si="34"/>
        <v>1545176.3810408346</v>
      </c>
      <c r="K161" s="69"/>
      <c r="L161" s="319"/>
    </row>
    <row r="162" spans="2:13" s="37" customFormat="1" ht="15.75" customHeight="1">
      <c r="B162" s="48"/>
      <c r="C162" s="160" t="s">
        <v>304</v>
      </c>
      <c r="D162" s="156">
        <f>$F$15*(F821EA!R45+F821EA!Y45)*$L162</f>
        <v>291586.14531041746</v>
      </c>
      <c r="E162" s="156">
        <f>$F$15*(F821EA!S45+F821EA!Z45)*$L162</f>
        <v>268609.00754542503</v>
      </c>
      <c r="F162" s="156">
        <f>$F$15*(F821EA!T45+F821EA!AA45)*$L162</f>
        <v>231229.7887915071</v>
      </c>
      <c r="G162" s="156">
        <f>$F$15*(F821EA!U45+F821EA!AB45)*$L162</f>
        <v>264931.43048487394</v>
      </c>
      <c r="H162" s="156">
        <f>$F$15*(F821EA!V45+F821EA!AC45)*$L162</f>
        <v>240389.89733553471</v>
      </c>
      <c r="I162" s="156">
        <f>$F$15*(F821EA!W45+F821EA!AD45)*$L162</f>
        <v>248430.11157307637</v>
      </c>
      <c r="J162" s="156">
        <f t="shared" si="34"/>
        <v>1545176.3810408346</v>
      </c>
      <c r="K162" s="69"/>
      <c r="L162" s="319">
        <v>1</v>
      </c>
    </row>
    <row r="163" spans="2:13" s="37" customFormat="1" ht="15.75" customHeight="1">
      <c r="B163" s="48"/>
      <c r="C163" s="161" t="s">
        <v>306</v>
      </c>
      <c r="D163" s="156">
        <f>$F$15*(F821EA!R46+F821EA!Y46)*$L163</f>
        <v>0</v>
      </c>
      <c r="E163" s="156">
        <f>$F$15*(F821EA!S46+F821EA!Z46)*$L163</f>
        <v>0</v>
      </c>
      <c r="F163" s="156">
        <f>$F$15*(F821EA!T46+F821EA!AA46)*$L163</f>
        <v>0</v>
      </c>
      <c r="G163" s="156">
        <f>$F$15*(F821EA!U46+F821EA!AB46)*$L163</f>
        <v>0</v>
      </c>
      <c r="H163" s="156">
        <f>$F$15*(F821EA!V46+F821EA!AC46)*$L163</f>
        <v>0</v>
      </c>
      <c r="I163" s="156">
        <f>$F$15*(F821EA!W46+F821EA!AD46)*$L163</f>
        <v>0</v>
      </c>
      <c r="J163" s="156">
        <f t="shared" si="34"/>
        <v>0</v>
      </c>
      <c r="K163" s="69"/>
      <c r="L163" s="319">
        <v>1</v>
      </c>
    </row>
    <row r="164" spans="2:13" s="37" customFormat="1" ht="15.75" customHeight="1">
      <c r="B164" s="48"/>
      <c r="C164" s="160" t="s">
        <v>305</v>
      </c>
      <c r="D164" s="156">
        <f>$F$15*(F821EA!R47+F821EA!Y47)*$L164</f>
        <v>0</v>
      </c>
      <c r="E164" s="156">
        <f>$F$15*(F821EA!S47+F821EA!Z47)*$L164</f>
        <v>0</v>
      </c>
      <c r="F164" s="156">
        <f>$F$15*(F821EA!T47+F821EA!AA47)*$L164</f>
        <v>0</v>
      </c>
      <c r="G164" s="156">
        <f>$F$15*(F821EA!U47+F821EA!AB47)*$L164</f>
        <v>0</v>
      </c>
      <c r="H164" s="156">
        <f>$F$15*(F821EA!V47+F821EA!AC47)*$L164</f>
        <v>0</v>
      </c>
      <c r="I164" s="156">
        <f>$F$15*(F821EA!W47+F821EA!AD47)*$L164</f>
        <v>0</v>
      </c>
      <c r="J164" s="156">
        <f t="shared" si="34"/>
        <v>0</v>
      </c>
      <c r="K164" s="69"/>
      <c r="L164" s="319">
        <v>0.95</v>
      </c>
    </row>
    <row r="165" spans="2:13" s="37" customFormat="1" ht="15.75" customHeight="1">
      <c r="B165" s="48"/>
      <c r="C165" s="160" t="s">
        <v>307</v>
      </c>
      <c r="D165" s="156">
        <f>$F$15*(F821EA!R48+F821EA!Y48)*$L165</f>
        <v>0</v>
      </c>
      <c r="E165" s="156">
        <f>$F$15*(F821EA!S48+F821EA!Z48)*$L165</f>
        <v>0</v>
      </c>
      <c r="F165" s="156">
        <f>$F$15*(F821EA!T48+F821EA!AA48)*$L165</f>
        <v>0</v>
      </c>
      <c r="G165" s="156">
        <f>$F$15*(F821EA!U48+F821EA!AB48)*$L165</f>
        <v>0</v>
      </c>
      <c r="H165" s="156">
        <f>$F$15*(F821EA!V48+F821EA!AC48)*$L165</f>
        <v>0</v>
      </c>
      <c r="I165" s="156">
        <f>$F$15*(F821EA!W48+F821EA!AD48)*$L165</f>
        <v>0</v>
      </c>
      <c r="J165" s="156">
        <f t="shared" si="34"/>
        <v>0</v>
      </c>
      <c r="K165" s="69"/>
      <c r="L165" s="319">
        <v>0.5</v>
      </c>
    </row>
    <row r="166" spans="2:13" s="37" customFormat="1" ht="15.75">
      <c r="B166" s="48"/>
      <c r="C166" s="157"/>
      <c r="D166" s="156"/>
      <c r="E166" s="156"/>
      <c r="F166" s="156"/>
      <c r="G166" s="156"/>
      <c r="H166" s="156"/>
      <c r="I166" s="156"/>
      <c r="J166" s="156"/>
      <c r="K166" s="69"/>
      <c r="L166" s="319"/>
    </row>
    <row r="167" spans="2:13" s="37" customFormat="1" ht="15.75">
      <c r="B167" s="48" t="s">
        <v>1176</v>
      </c>
      <c r="C167" s="158" t="str">
        <f>F821EA!$C$50</f>
        <v>BTSH</v>
      </c>
      <c r="D167" s="159">
        <f>SUM(D168:D173)</f>
        <v>0</v>
      </c>
      <c r="E167" s="159">
        <f t="shared" ref="E167:J167" si="40">SUM(E168:E173)</f>
        <v>0</v>
      </c>
      <c r="F167" s="159">
        <f t="shared" si="40"/>
        <v>0</v>
      </c>
      <c r="G167" s="159">
        <f t="shared" si="40"/>
        <v>0</v>
      </c>
      <c r="H167" s="159">
        <f t="shared" si="40"/>
        <v>0</v>
      </c>
      <c r="I167" s="159">
        <f t="shared" si="40"/>
        <v>0</v>
      </c>
      <c r="J167" s="159">
        <f t="shared" si="40"/>
        <v>0</v>
      </c>
      <c r="K167" s="69"/>
      <c r="L167" s="319"/>
    </row>
    <row r="168" spans="2:13" s="37" customFormat="1" ht="15.75">
      <c r="B168" s="48"/>
      <c r="C168" s="160" t="str">
        <f>F821EA!$C$51</f>
        <v xml:space="preserve">    - Regulares</v>
      </c>
      <c r="D168" s="156">
        <f>($H$16*F821EA!R51+$I$16*F821EA!Y51)*$L168</f>
        <v>0</v>
      </c>
      <c r="E168" s="156">
        <f>($H$16*F821EA!S51+$I$16*F821EA!Z51)*$L168</f>
        <v>0</v>
      </c>
      <c r="F168" s="156">
        <f>($H$16*F821EA!T51+$I$16*F821EA!AA51)*$L168</f>
        <v>0</v>
      </c>
      <c r="G168" s="156">
        <f>($H$16*F821EA!U51+$I$16*F821EA!AB51)*$L168</f>
        <v>0</v>
      </c>
      <c r="H168" s="156">
        <f>($H$16*F821EA!V51+$I$16*F821EA!AC51)*$L168</f>
        <v>0</v>
      </c>
      <c r="I168" s="156">
        <f>($H$16*F821EA!W51+$I$16*F821EA!AD51)*$L168</f>
        <v>0</v>
      </c>
      <c r="J168" s="156">
        <f t="shared" ref="J168:J185" si="41">SUM(D168:I168)</f>
        <v>0</v>
      </c>
      <c r="K168" s="69"/>
      <c r="L168" s="319">
        <v>1</v>
      </c>
    </row>
    <row r="169" spans="2:13" s="37" customFormat="1" ht="15.75">
      <c r="B169" s="48"/>
      <c r="C169" s="162" t="str">
        <f>F821EA!$C$52</f>
        <v xml:space="preserve">    - Jubilados (0 a 600 KWh)</v>
      </c>
      <c r="D169" s="156">
        <f>($H$16*F821EA!R52+$I$16*F821EA!Y52)*$L169</f>
        <v>0</v>
      </c>
      <c r="E169" s="156">
        <f>($H$16*F821EA!S52+$I$16*F821EA!Z52)*$L169</f>
        <v>0</v>
      </c>
      <c r="F169" s="156">
        <f>($H$16*F821EA!T52+$I$16*F821EA!AA52)*$L169</f>
        <v>0</v>
      </c>
      <c r="G169" s="156">
        <f>($H$16*F821EA!U52+$I$16*F821EA!AB52)*$L169</f>
        <v>0</v>
      </c>
      <c r="H169" s="156">
        <f>($H$16*F821EA!V52+$I$16*F821EA!AC52)*$L169</f>
        <v>0</v>
      </c>
      <c r="I169" s="156">
        <f>($H$16*F821EA!W52+$I$16*F821EA!AD52)*$L169</f>
        <v>0</v>
      </c>
      <c r="J169" s="156">
        <f t="shared" si="41"/>
        <v>0</v>
      </c>
      <c r="K169" s="69"/>
      <c r="L169" s="319">
        <v>0.75</v>
      </c>
    </row>
    <row r="170" spans="2:13" s="37" customFormat="1" ht="15.75">
      <c r="B170" s="48"/>
      <c r="C170" s="162" t="str">
        <f>F821EA!$C$53</f>
        <v xml:space="preserve">    - Jubilados (601 y Más KWh)</v>
      </c>
      <c r="D170" s="156">
        <f>($H$16*F821EA!R53+$I$16*F821EA!Y53)*$L170</f>
        <v>0</v>
      </c>
      <c r="E170" s="156">
        <f>($H$16*F821EA!S53+$I$16*F821EA!Z53)*$L170</f>
        <v>0</v>
      </c>
      <c r="F170" s="156">
        <f>($H$16*F821EA!T53+$I$16*F821EA!AA53)*$L170</f>
        <v>0</v>
      </c>
      <c r="G170" s="156">
        <f>($H$16*F821EA!U53+$I$16*F821EA!AB53)*$L170</f>
        <v>0</v>
      </c>
      <c r="H170" s="156">
        <f>($H$16*F821EA!V53+$I$16*F821EA!AC53)*$L170</f>
        <v>0</v>
      </c>
      <c r="I170" s="156">
        <f>($H$16*F821EA!W53+$I$16*F821EA!AD53)*$L170</f>
        <v>0</v>
      </c>
      <c r="J170" s="156">
        <f t="shared" si="41"/>
        <v>0</v>
      </c>
      <c r="K170" s="69"/>
      <c r="L170" s="319">
        <v>1</v>
      </c>
    </row>
    <row r="171" spans="2:13" s="37" customFormat="1" ht="15.75">
      <c r="B171" s="48"/>
      <c r="C171" s="160" t="str">
        <f>F821EA!$C$54</f>
        <v xml:space="preserve">    - Agropecuarios</v>
      </c>
      <c r="D171" s="156">
        <f>($H$16*F821EA!R54+$I$16*F821EA!Y54)*$L171</f>
        <v>0</v>
      </c>
      <c r="E171" s="156">
        <f>($H$16*F821EA!S54+$I$16*F821EA!Z54)*$L171</f>
        <v>0</v>
      </c>
      <c r="F171" s="156">
        <f>($H$16*F821EA!T54+$I$16*F821EA!AA54)*$L171</f>
        <v>0</v>
      </c>
      <c r="G171" s="156">
        <f>($H$16*F821EA!U54+$I$16*F821EA!AB54)*$L171</f>
        <v>0</v>
      </c>
      <c r="H171" s="156">
        <f>($H$16*F821EA!V54+$I$16*F821EA!AC54)*$L171</f>
        <v>0</v>
      </c>
      <c r="I171" s="156">
        <f>($H$16*F821EA!W54+$I$16*F821EA!AD54)*$L171</f>
        <v>0</v>
      </c>
      <c r="J171" s="156">
        <f t="shared" si="41"/>
        <v>0</v>
      </c>
      <c r="K171" s="69"/>
      <c r="L171" s="319">
        <v>0.95</v>
      </c>
    </row>
    <row r="172" spans="2:13" s="37" customFormat="1" ht="15.75">
      <c r="B172" s="48"/>
      <c r="C172" s="160" t="str">
        <f>F821EA!$C$55</f>
        <v xml:space="preserve">    - Partidos Políticos</v>
      </c>
      <c r="D172" s="156">
        <f>($H$16*F821EA!R55+$I$16*F821EA!Y55)*$L172</f>
        <v>0</v>
      </c>
      <c r="E172" s="156">
        <f>($H$16*F821EA!S55+$I$16*F821EA!Z55)*$L172</f>
        <v>0</v>
      </c>
      <c r="F172" s="156">
        <f>($H$16*F821EA!T55+$I$16*F821EA!AA55)*$L172</f>
        <v>0</v>
      </c>
      <c r="G172" s="156">
        <f>($H$16*F821EA!U55+$I$16*F821EA!AB55)*$L172</f>
        <v>0</v>
      </c>
      <c r="H172" s="156">
        <f>($H$16*F821EA!V55+$I$16*F821EA!AC55)*$L172</f>
        <v>0</v>
      </c>
      <c r="I172" s="156">
        <f>($H$16*F821EA!W55+$I$16*F821EA!AD55)*$L172</f>
        <v>0</v>
      </c>
      <c r="J172" s="156">
        <f t="shared" si="41"/>
        <v>0</v>
      </c>
      <c r="K172" s="69"/>
      <c r="L172" s="319">
        <v>0.5</v>
      </c>
    </row>
    <row r="173" spans="2:13" s="37" customFormat="1" ht="15.75">
      <c r="B173" s="48"/>
      <c r="C173" s="160" t="str">
        <f>F821EA!$C$56</f>
        <v xml:space="preserve">    - Cruz Roja</v>
      </c>
      <c r="D173" s="156">
        <f>($H$16*F821EA!R56+$I$16*F821EA!Y56)*$L173</f>
        <v>0</v>
      </c>
      <c r="E173" s="156">
        <f>($H$16*F821EA!S56+$I$16*F821EA!Z56)*$L173</f>
        <v>0</v>
      </c>
      <c r="F173" s="156">
        <f>($H$16*F821EA!T56+$I$16*F821EA!AA56)*$L173</f>
        <v>0</v>
      </c>
      <c r="G173" s="156">
        <f>($H$16*F821EA!U56+$I$16*F821EA!AB56)*$L173</f>
        <v>0</v>
      </c>
      <c r="H173" s="156">
        <f>($H$16*F821EA!V56+$I$16*F821EA!AC56)*$L173</f>
        <v>0</v>
      </c>
      <c r="I173" s="156">
        <f>($H$16*F821EA!W56+$I$16*F821EA!AD56)*$L173</f>
        <v>0</v>
      </c>
      <c r="J173" s="156">
        <f t="shared" si="41"/>
        <v>0</v>
      </c>
      <c r="K173" s="69"/>
      <c r="L173" s="319">
        <v>0</v>
      </c>
    </row>
    <row r="174" spans="2:13" s="37" customFormat="1" ht="15.75">
      <c r="B174" s="48" t="s">
        <v>751</v>
      </c>
      <c r="C174" s="158" t="s">
        <v>634</v>
      </c>
      <c r="D174" s="159">
        <f t="shared" ref="D174:I174" si="42">SUM(D175:D179)</f>
        <v>1970315.1320440792</v>
      </c>
      <c r="E174" s="159">
        <f t="shared" si="42"/>
        <v>1958731.0726794328</v>
      </c>
      <c r="F174" s="159">
        <f t="shared" si="42"/>
        <v>1988365.0519459115</v>
      </c>
      <c r="G174" s="159">
        <f t="shared" si="42"/>
        <v>1976489.746174454</v>
      </c>
      <c r="H174" s="159">
        <f t="shared" si="42"/>
        <v>2028570.9252026652</v>
      </c>
      <c r="I174" s="159">
        <f t="shared" si="42"/>
        <v>2000344.0391464445</v>
      </c>
      <c r="J174" s="159">
        <f t="shared" si="41"/>
        <v>11922815.967192987</v>
      </c>
      <c r="K174" s="69"/>
      <c r="L174" s="319"/>
      <c r="M174" s="69"/>
    </row>
    <row r="175" spans="2:13" s="37" customFormat="1" ht="15.75">
      <c r="B175" s="48"/>
      <c r="C175" s="160" t="s">
        <v>304</v>
      </c>
      <c r="D175" s="156">
        <f>(($E$18+$F$18)*(F821EA!R66+F821EA!Y66)*$L175)</f>
        <v>1432658.1193500063</v>
      </c>
      <c r="E175" s="156">
        <f>(($E$18+$F$18)*(F821EA!S66+F821EA!Z66)*$L175)</f>
        <v>1420145.62672252</v>
      </c>
      <c r="F175" s="156">
        <f>(($E$18+$F$18)*(F821EA!T66+F821EA!AA66)*$L175)</f>
        <v>1442438.4842882543</v>
      </c>
      <c r="G175" s="156">
        <f>(($E$18+$F$18)*(F821EA!U66+F821EA!AB66)*$L175)</f>
        <v>1431344.5032304097</v>
      </c>
      <c r="H175" s="156">
        <f>(($E$18+$F$18)*(F821EA!V66+F821EA!AC66)*$L175)</f>
        <v>1471111.5394562713</v>
      </c>
      <c r="I175" s="156">
        <f>(($E$18+$F$18)*(F821EA!W66+F821EA!AD66)*$L175)</f>
        <v>1441805.9314083145</v>
      </c>
      <c r="J175" s="156">
        <f t="shared" si="41"/>
        <v>8639504.2044557761</v>
      </c>
      <c r="K175" s="69"/>
      <c r="L175" s="319">
        <v>1</v>
      </c>
      <c r="M175" s="329"/>
    </row>
    <row r="176" spans="2:13" s="37" customFormat="1" ht="15.75">
      <c r="B176" s="48"/>
      <c r="C176" s="162" t="s">
        <v>644</v>
      </c>
      <c r="D176" s="156">
        <f>(($E$18+$F$18)*(F821EA!R67+F821EA!Y67)*$L176)</f>
        <v>537610.01670562639</v>
      </c>
      <c r="E176" s="156">
        <f>(($E$18+$F$18)*(F821EA!S67+F821EA!Z67)*$L176)</f>
        <v>538543.43729785248</v>
      </c>
      <c r="F176" s="156">
        <f>(($E$18+$F$18)*(F821EA!T67+F821EA!AA67)*$L176)</f>
        <v>545881.7776033621</v>
      </c>
      <c r="G176" s="156">
        <f>(($E$18+$F$18)*(F821EA!U67+F821EA!AB67)*$L176)</f>
        <v>545091.12436271936</v>
      </c>
      <c r="H176" s="156">
        <f>(($E$18+$F$18)*(F821EA!V67+F821EA!AC67)*$L176)</f>
        <v>557402.05417402217</v>
      </c>
      <c r="I176" s="156">
        <f>(($E$18+$F$18)*(F821EA!W67+F821EA!AD67)*$L176)</f>
        <v>558461.73547097633</v>
      </c>
      <c r="J176" s="156">
        <f t="shared" si="41"/>
        <v>3282990.1456145588</v>
      </c>
      <c r="K176" s="69"/>
      <c r="L176" s="319">
        <v>0.75</v>
      </c>
      <c r="M176" s="329"/>
    </row>
    <row r="177" spans="2:13" s="37" customFormat="1" ht="15.75">
      <c r="B177" s="48"/>
      <c r="C177" s="160" t="s">
        <v>305</v>
      </c>
      <c r="D177" s="156">
        <f>(($E$18+$F$18)*(F821EA!R68+F821EA!Y68)*$L177)</f>
        <v>46.995988446555728</v>
      </c>
      <c r="E177" s="156">
        <f>(($E$18+$F$18)*(F821EA!S68+F821EA!Z68)*$L177)</f>
        <v>42.008659060390627</v>
      </c>
      <c r="F177" s="156">
        <f>(($E$18+$F$18)*(F821EA!T68+F821EA!AA68)*$L177)</f>
        <v>44.790054294982703</v>
      </c>
      <c r="G177" s="156">
        <f>(($E$18+$F$18)*(F821EA!U68+F821EA!AB68)*$L177)</f>
        <v>50.736485486179554</v>
      </c>
      <c r="H177" s="156">
        <f>(($E$18+$F$18)*(F821EA!V68+F821EA!AC68)*$L177)</f>
        <v>55.867680143099413</v>
      </c>
      <c r="I177" s="156">
        <f>(($E$18+$F$18)*(F821EA!W68+F821EA!AD68)*$L177)</f>
        <v>74.378344980212177</v>
      </c>
      <c r="J177" s="156">
        <f t="shared" si="41"/>
        <v>314.77721241142024</v>
      </c>
      <c r="K177" s="69"/>
      <c r="L177" s="319">
        <v>0.95</v>
      </c>
      <c r="M177" s="329"/>
    </row>
    <row r="178" spans="2:13" s="37" customFormat="1" ht="15.75">
      <c r="B178" s="48"/>
      <c r="C178" s="160" t="s">
        <v>307</v>
      </c>
      <c r="D178" s="156">
        <f>(($E$18+$F$18)*(F821EA!R69+F821EA!Y69)*$L178)</f>
        <v>0</v>
      </c>
      <c r="E178" s="156">
        <f>(($E$18+$F$18)*(F821EA!S69+F821EA!Z69)*$L178)</f>
        <v>0</v>
      </c>
      <c r="F178" s="156">
        <f>(($E$18+$F$18)*(F821EA!T69+F821EA!AA69)*$L178)</f>
        <v>0</v>
      </c>
      <c r="G178" s="156">
        <f>(($E$18+$F$18)*(F821EA!U69+F821EA!AB69)*$L178)</f>
        <v>3.3820958387961695</v>
      </c>
      <c r="H178" s="156">
        <f>(($E$18+$F$18)*(F821EA!V69+F821EA!AC69)*$L178)</f>
        <v>1.4638922287326706</v>
      </c>
      <c r="I178" s="156">
        <f>(($E$18+$F$18)*(F821EA!W69+F821EA!AD69)*$L178)</f>
        <v>1.9939221736186372</v>
      </c>
      <c r="J178" s="156">
        <f t="shared" si="41"/>
        <v>6.8399102411474768</v>
      </c>
      <c r="K178" s="69"/>
      <c r="L178" s="319">
        <v>0.5</v>
      </c>
      <c r="M178" s="329"/>
    </row>
    <row r="179" spans="2:13" s="37" customFormat="1" ht="15.75">
      <c r="B179" s="48"/>
      <c r="C179" s="160" t="s">
        <v>624</v>
      </c>
      <c r="D179" s="156">
        <f>(($E$18+$F$18)*(F821EA!R70+F821EA!Y70)*$L179)</f>
        <v>0</v>
      </c>
      <c r="E179" s="156">
        <f>(($E$18+$F$18)*(F821EA!S70+F821EA!Z70)*$L179)</f>
        <v>0</v>
      </c>
      <c r="F179" s="156">
        <f>(($E$18+$F$18)*(F821EA!T70+F821EA!AA70)*$L179)</f>
        <v>0</v>
      </c>
      <c r="G179" s="156">
        <f>(($E$18+$F$18)*(F821EA!U70+F821EA!AB70)*$L179)</f>
        <v>0</v>
      </c>
      <c r="H179" s="156">
        <f>(($E$18+$F$18)*(F821EA!V70+F821EA!AC70)*$L179)</f>
        <v>0</v>
      </c>
      <c r="I179" s="156">
        <f>(($E$18+$F$18)*(F821EA!W70+F821EA!AD70)*$L179)</f>
        <v>0</v>
      </c>
      <c r="J179" s="156">
        <f t="shared" si="41"/>
        <v>0</v>
      </c>
      <c r="K179" s="69"/>
      <c r="L179" s="319">
        <v>0</v>
      </c>
      <c r="M179" s="329"/>
    </row>
    <row r="180" spans="2:13" s="37" customFormat="1" ht="15.75">
      <c r="B180" s="48" t="s">
        <v>750</v>
      </c>
      <c r="C180" s="158" t="s">
        <v>635</v>
      </c>
      <c r="D180" s="159">
        <f t="shared" ref="D180:I180" si="43">SUM(D181:D186)</f>
        <v>3079663.4520933903</v>
      </c>
      <c r="E180" s="159">
        <f t="shared" si="43"/>
        <v>3114606.4866628516</v>
      </c>
      <c r="F180" s="159">
        <f t="shared" si="43"/>
        <v>3031235.3347295173</v>
      </c>
      <c r="G180" s="159">
        <f t="shared" si="43"/>
        <v>3027985.1269832696</v>
      </c>
      <c r="H180" s="159">
        <f t="shared" si="43"/>
        <v>2921892.1637067646</v>
      </c>
      <c r="I180" s="159">
        <f t="shared" si="43"/>
        <v>2853203.8062744113</v>
      </c>
      <c r="J180" s="159">
        <f t="shared" si="41"/>
        <v>18028586.370450206</v>
      </c>
      <c r="K180" s="69"/>
      <c r="L180" s="319"/>
      <c r="M180" s="69"/>
    </row>
    <row r="181" spans="2:13" s="37" customFormat="1" ht="15.75">
      <c r="B181" s="48"/>
      <c r="C181" s="160" t="s">
        <v>304</v>
      </c>
      <c r="D181" s="156">
        <f>(($E$19+$F$19)*(F821EA!R72+F821EA!Y72)*$L181)</f>
        <v>1993782.9330331248</v>
      </c>
      <c r="E181" s="156">
        <f>(($E$19+$F$19)*(F821EA!S72+F821EA!Z72)*$L181)</f>
        <v>2019761.9396217687</v>
      </c>
      <c r="F181" s="156">
        <f>(($E$19+$F$19)*(F821EA!T72+F821EA!AA72)*$L181)</f>
        <v>1957146.5619741089</v>
      </c>
      <c r="G181" s="156">
        <f>(($E$19+$F$19)*(F821EA!U72+F821EA!AB72)*$L181)</f>
        <v>1951489.1955779896</v>
      </c>
      <c r="H181" s="156">
        <f>(($E$19+$F$19)*(F821EA!V72+F821EA!AC72)*$L181)</f>
        <v>1877095.1096162999</v>
      </c>
      <c r="I181" s="156">
        <f>(($E$19+$F$19)*(F821EA!W72+F821EA!AD72)*$L181)</f>
        <v>1827269.8511873807</v>
      </c>
      <c r="J181" s="330">
        <f t="shared" si="41"/>
        <v>11626545.591010671</v>
      </c>
      <c r="K181" s="69"/>
      <c r="L181" s="319">
        <v>1</v>
      </c>
      <c r="M181" s="329"/>
    </row>
    <row r="182" spans="2:13" s="37" customFormat="1" ht="15.75">
      <c r="B182" s="48"/>
      <c r="C182" s="162" t="s">
        <v>642</v>
      </c>
      <c r="D182" s="156">
        <f>(($E$19+$F$19)*(F821EA!R73+F821EA!Y73)*$L182)</f>
        <v>1054211.9499362535</v>
      </c>
      <c r="E182" s="156">
        <f>(($E$19+$F$19)*(F821EA!S73+F821EA!Z73)*$L182)</f>
        <v>1062410.7840525843</v>
      </c>
      <c r="F182" s="156">
        <f>(($E$19+$F$19)*(F821EA!T73+F821EA!AA73)*$L182)</f>
        <v>1043967.1823169042</v>
      </c>
      <c r="G182" s="156">
        <f>(($E$19+$F$19)*(F821EA!U73+F821EA!AB73)*$L182)</f>
        <v>1046590.942992839</v>
      </c>
      <c r="H182" s="156">
        <f>(($E$19+$F$19)*(F821EA!V73+F821EA!AC73)*$L182)</f>
        <v>1016411.9477750619</v>
      </c>
      <c r="I182" s="156">
        <f>(($E$19+$F$19)*(F821EA!W73+F821EA!AD73)*$L182)</f>
        <v>996869.74814285093</v>
      </c>
      <c r="J182" s="330">
        <f t="shared" si="41"/>
        <v>6220462.555216494</v>
      </c>
      <c r="K182" s="69"/>
      <c r="L182" s="319">
        <v>0.75</v>
      </c>
      <c r="M182" s="329"/>
    </row>
    <row r="183" spans="2:13" s="37" customFormat="1" ht="15.75">
      <c r="B183" s="48"/>
      <c r="C183" s="162" t="s">
        <v>1177</v>
      </c>
      <c r="D183" s="156">
        <f>(($E$19+$F$19)*(F821EA!R74+F821EA!Y74)*$L183)</f>
        <v>31578.759207507381</v>
      </c>
      <c r="E183" s="156">
        <f>(($E$19+$F$19)*(F821EA!S74+F821EA!Z74)*$L183)</f>
        <v>32340.974850739363</v>
      </c>
      <c r="F183" s="156">
        <f>(($E$19+$F$19)*(F821EA!T74+F821EA!AA74)*$L183)</f>
        <v>29981.944953004117</v>
      </c>
      <c r="G183" s="156">
        <f>(($E$19+$F$19)*(F821EA!U74+F821EA!AB74)*$L183)</f>
        <v>29816.766880606436</v>
      </c>
      <c r="H183" s="156">
        <f>(($E$19+$F$19)*(F821EA!V74+F821EA!AC74)*$L183)</f>
        <v>28184.35330303475</v>
      </c>
      <c r="I183" s="156">
        <f>(($E$19+$F$19)*(F821EA!W74+F821EA!AD74)*$L183)</f>
        <v>28888.955169011191</v>
      </c>
      <c r="J183" s="330">
        <f t="shared" si="41"/>
        <v>180791.75436390325</v>
      </c>
      <c r="K183" s="69"/>
      <c r="L183" s="319">
        <v>1</v>
      </c>
      <c r="M183" s="329"/>
    </row>
    <row r="184" spans="2:13" s="37" customFormat="1" ht="15.75">
      <c r="B184" s="48"/>
      <c r="C184" s="160" t="s">
        <v>305</v>
      </c>
      <c r="D184" s="156">
        <f>(($E$19+$F$19)*(F821EA!R75+F821EA!Y75)*$L184)</f>
        <v>89.809916504205134</v>
      </c>
      <c r="E184" s="156">
        <f>(($E$19+$F$19)*(F821EA!S75+F821EA!Z75)*$L184)</f>
        <v>92.788137758950342</v>
      </c>
      <c r="F184" s="156">
        <f>(($E$19+$F$19)*(F821EA!T75+F821EA!AA75)*$L184)</f>
        <v>139.64548550027476</v>
      </c>
      <c r="G184" s="156">
        <f>(($E$19+$F$19)*(F821EA!U75+F821EA!AB75)*$L184)</f>
        <v>88.22153183500771</v>
      </c>
      <c r="H184" s="156">
        <f>(($E$19+$F$19)*(F821EA!V75+F821EA!AC75)*$L184)</f>
        <v>175.84741941906637</v>
      </c>
      <c r="I184" s="156">
        <f>(($E$19+$F$19)*(F821EA!W75+F821EA!AD75)*$L184)</f>
        <v>175.25177516811732</v>
      </c>
      <c r="J184" s="156">
        <f t="shared" si="41"/>
        <v>761.56426618562159</v>
      </c>
      <c r="K184" s="69"/>
      <c r="L184" s="319">
        <v>0.95</v>
      </c>
      <c r="M184" s="329"/>
    </row>
    <row r="185" spans="2:13" s="37" customFormat="1" ht="15.75">
      <c r="B185" s="48"/>
      <c r="C185" s="160" t="s">
        <v>307</v>
      </c>
      <c r="D185" s="156">
        <f>(($E$19+$F$19)*(F821EA!R76+F821EA!Y76)*$L185)</f>
        <v>0</v>
      </c>
      <c r="E185" s="156">
        <f>(($E$19+$F$19)*(F821EA!S76+F821EA!Z76)*$L185)</f>
        <v>0</v>
      </c>
      <c r="F185" s="156">
        <f>(($E$19+$F$19)*(F821EA!T76+F821EA!AA76)*$L185)</f>
        <v>0</v>
      </c>
      <c r="G185" s="156">
        <f>(($E$19+$F$19)*(F821EA!U76+F821EA!AB76)*$L185)</f>
        <v>0</v>
      </c>
      <c r="H185" s="156">
        <f>(($E$19+$F$19)*(F821EA!V76+F821EA!AC76)*$L185)</f>
        <v>24.905592949038777</v>
      </c>
      <c r="I185" s="156">
        <f>(($E$19+$F$19)*(F821EA!W76+F821EA!AD76)*$L185)</f>
        <v>0</v>
      </c>
      <c r="J185" s="156">
        <f t="shared" si="41"/>
        <v>24.905592949038777</v>
      </c>
      <c r="K185" s="69"/>
      <c r="L185" s="319">
        <v>0.5</v>
      </c>
      <c r="M185" s="329"/>
    </row>
    <row r="186" spans="2:13" s="37" customFormat="1" ht="15.75">
      <c r="B186" s="48"/>
      <c r="C186" s="160" t="s">
        <v>624</v>
      </c>
      <c r="D186" s="156">
        <f>(($E$19+$F$19)*(F821EA!R77+F821EA!Y77)*$L186)</f>
        <v>0</v>
      </c>
      <c r="E186" s="156">
        <f>(($E$19+$F$19)*(F821EA!S77+F821EA!Z77)*$L186)</f>
        <v>0</v>
      </c>
      <c r="F186" s="156">
        <f>(($E$19+$F$19)*(F821EA!T77+F821EA!AA77)*$L186)</f>
        <v>0</v>
      </c>
      <c r="G186" s="156">
        <f>(($E$19+$F$19)*(F821EA!U77+F821EA!AB77)*$L186)</f>
        <v>0</v>
      </c>
      <c r="H186" s="156">
        <f>(($E$19+$F$19)*(F821EA!V77+F821EA!AC77)*$L186)</f>
        <v>0</v>
      </c>
      <c r="I186" s="156">
        <f>(($E$19+$F$19)*(F821EA!W77+F821EA!AD77)*$L186)</f>
        <v>0</v>
      </c>
      <c r="J186" s="156"/>
      <c r="K186" s="69"/>
      <c r="L186" s="319">
        <v>0</v>
      </c>
      <c r="M186" s="329"/>
    </row>
    <row r="187" spans="2:13" s="37" customFormat="1" ht="15.75">
      <c r="B187" s="48" t="s">
        <v>749</v>
      </c>
      <c r="C187" s="158" t="s">
        <v>636</v>
      </c>
      <c r="D187" s="159">
        <f t="shared" ref="D187:I187" si="44">SUM(D188:D193)</f>
        <v>4726506.4490217278</v>
      </c>
      <c r="E187" s="159">
        <f t="shared" si="44"/>
        <v>4703205.419413222</v>
      </c>
      <c r="F187" s="159">
        <f t="shared" si="44"/>
        <v>4590618.4916308001</v>
      </c>
      <c r="G187" s="159">
        <f t="shared" si="44"/>
        <v>4654758.8393972106</v>
      </c>
      <c r="H187" s="159">
        <f t="shared" si="44"/>
        <v>4289632.931027445</v>
      </c>
      <c r="I187" s="159">
        <f t="shared" si="44"/>
        <v>4452746.3410337279</v>
      </c>
      <c r="J187" s="159">
        <f t="shared" ref="J187:J193" si="45">SUM(D187:I187)</f>
        <v>27417468.471524134</v>
      </c>
      <c r="K187" s="69"/>
      <c r="L187" s="319"/>
      <c r="M187" s="69"/>
    </row>
    <row r="188" spans="2:13" s="37" customFormat="1" ht="15.75">
      <c r="B188" s="48"/>
      <c r="C188" s="160" t="s">
        <v>304</v>
      </c>
      <c r="D188" s="156">
        <f>(($E$20+$F$20)*(F821EA!R79+F821EA!Y79)*$L188)</f>
        <v>4059885.4213063568</v>
      </c>
      <c r="E188" s="156">
        <f>(($E$20+$F$20)*(F821EA!S79+F821EA!Z79)*$L188)</f>
        <v>4052754.1207163185</v>
      </c>
      <c r="F188" s="156">
        <f>(($E$20+$F$20)*(F821EA!T79+F821EA!AA79)*$L188)</f>
        <v>3972087.3550239741</v>
      </c>
      <c r="G188" s="156">
        <f>(($E$20+$F$20)*(F821EA!U79+F821EA!AB79)*$L188)</f>
        <v>4025911.4465930024</v>
      </c>
      <c r="H188" s="156">
        <f>(($E$20+$F$20)*(F821EA!V79+F821EA!AC79)*$L188)</f>
        <v>3733672.3517480637</v>
      </c>
      <c r="I188" s="156">
        <f>(($E$20+$F$20)*(F821EA!W79+F821EA!AD79)*$L188)</f>
        <v>3857887.7086630096</v>
      </c>
      <c r="J188" s="330">
        <f t="shared" si="45"/>
        <v>23702198.404050726</v>
      </c>
      <c r="K188" s="69"/>
      <c r="L188" s="319">
        <v>1</v>
      </c>
      <c r="M188" s="329"/>
    </row>
    <row r="189" spans="2:13" s="37" customFormat="1" ht="15.75">
      <c r="B189" s="48"/>
      <c r="C189" s="162" t="s">
        <v>642</v>
      </c>
      <c r="D189" s="156">
        <f>(($E$20+$F$20)*(F821EA!R80+F821EA!Y80)*$L189)</f>
        <v>315957.16847583913</v>
      </c>
      <c r="E189" s="156">
        <f>(($E$20+$F$20)*(F821EA!S80+F821EA!Z80)*$L189)</f>
        <v>309665.93746668578</v>
      </c>
      <c r="F189" s="156">
        <f>(($E$20+$F$20)*(F821EA!T80+F821EA!AA80)*$L189)</f>
        <v>294661.21878346236</v>
      </c>
      <c r="G189" s="156">
        <f>(($E$20+$F$20)*(F821EA!U80+F821EA!AB80)*$L189)</f>
        <v>298334.42169861676</v>
      </c>
      <c r="H189" s="156">
        <f>(($E$20+$F$20)*(F821EA!V80+F821EA!AC80)*$L189)</f>
        <v>264586.74548464239</v>
      </c>
      <c r="I189" s="156">
        <f>(($E$20+$F$20)*(F821EA!W80+F821EA!AD80)*$L189)</f>
        <v>275476.94599732244</v>
      </c>
      <c r="J189" s="330">
        <f t="shared" si="45"/>
        <v>1758682.4379065691</v>
      </c>
      <c r="K189" s="69"/>
      <c r="L189" s="319">
        <v>0.75</v>
      </c>
      <c r="M189" s="329"/>
    </row>
    <row r="190" spans="2:13" s="37" customFormat="1" ht="15.75">
      <c r="B190" s="48"/>
      <c r="C190" s="162" t="s">
        <v>1177</v>
      </c>
      <c r="D190" s="156">
        <f>(($E$20+$F$20)*(F821EA!R81+F821EA!Y81)*$L190)</f>
        <v>347993.20513086749</v>
      </c>
      <c r="E190" s="156">
        <f>(($E$20+$F$20)*(F821EA!S81+F821EA!Z81)*$L190)</f>
        <v>337917.05982612289</v>
      </c>
      <c r="F190" s="156">
        <f>(($E$20+$F$20)*(F821EA!T81+F821EA!AA81)*$L190)</f>
        <v>321440.93635455612</v>
      </c>
      <c r="G190" s="156">
        <f>(($E$20+$F$20)*(F821EA!U81+F821EA!AB81)*$L190)</f>
        <v>328246.08395584964</v>
      </c>
      <c r="H190" s="156">
        <f>(($E$20+$F$20)*(F821EA!V81+F821EA!AC81)*$L190)</f>
        <v>289392.20220796921</v>
      </c>
      <c r="I190" s="156">
        <f>(($E$20+$F$20)*(F821EA!W81+F821EA!AD81)*$L190)</f>
        <v>318468.75000297435</v>
      </c>
      <c r="J190" s="330">
        <f t="shared" si="45"/>
        <v>1943458.2374783398</v>
      </c>
      <c r="K190" s="69"/>
      <c r="L190" s="319">
        <v>1</v>
      </c>
      <c r="M190" s="329"/>
    </row>
    <row r="191" spans="2:13" s="37" customFormat="1" ht="15.75">
      <c r="B191" s="48"/>
      <c r="C191" s="160" t="s">
        <v>305</v>
      </c>
      <c r="D191" s="156">
        <f>(($E$20+$F$20)*(F821EA!R82+F821EA!Y82)*$L191)</f>
        <v>2627.2968204153958</v>
      </c>
      <c r="E191" s="156">
        <f>(($E$20+$F$20)*(F821EA!S82+F821EA!Z82)*$L191)</f>
        <v>2832.0670989158571</v>
      </c>
      <c r="F191" s="156">
        <f>(($E$20+$F$20)*(F821EA!T82+F821EA!AA82)*$L191)</f>
        <v>2386.4647810460115</v>
      </c>
      <c r="G191" s="156">
        <f>(($E$20+$F$20)*(F821EA!U82+F821EA!AB82)*$L191)</f>
        <v>2226.582568522253</v>
      </c>
      <c r="H191" s="156">
        <f>(($E$20+$F$20)*(F821EA!V82+F821EA!AC82)*$L191)</f>
        <v>1981.6315867692383</v>
      </c>
      <c r="I191" s="156">
        <f>(($E$20+$F$20)*(F821EA!W82+F821EA!AD82)*$L191)</f>
        <v>871.70270445393237</v>
      </c>
      <c r="J191" s="156">
        <f t="shared" si="45"/>
        <v>12925.745560122687</v>
      </c>
      <c r="K191" s="69"/>
      <c r="L191" s="319">
        <v>0.95</v>
      </c>
      <c r="M191" s="329"/>
    </row>
    <row r="192" spans="2:13" s="37" customFormat="1" ht="15.75">
      <c r="B192" s="48"/>
      <c r="C192" s="160" t="s">
        <v>307</v>
      </c>
      <c r="D192" s="156">
        <f>(($E$20+$F$20)*(F821EA!R83+F821EA!Y83)*$L192)</f>
        <v>43.357288248736424</v>
      </c>
      <c r="E192" s="156">
        <f>(($E$20+$F$20)*(F821EA!S83+F821EA!Z83)*$L192)</f>
        <v>36.234305179301153</v>
      </c>
      <c r="F192" s="156">
        <f>(($E$20+$F$20)*(F821EA!T83+F821EA!AA83)*$L192)</f>
        <v>42.516687762281329</v>
      </c>
      <c r="G192" s="156">
        <f>(($E$20+$F$20)*(F821EA!U83+F821EA!AB83)*$L192)</f>
        <v>40.304581218978448</v>
      </c>
      <c r="H192" s="156">
        <f>(($E$20+$F$20)*(F821EA!V83+F821EA!AC83)*$L192)</f>
        <v>0</v>
      </c>
      <c r="I192" s="156">
        <f>(($E$20+$F$20)*(F821EA!W83+F821EA!AD83)*$L192)</f>
        <v>41.233665967165663</v>
      </c>
      <c r="J192" s="156">
        <f t="shared" si="45"/>
        <v>203.64652837646304</v>
      </c>
      <c r="K192" s="69"/>
      <c r="L192" s="319">
        <v>0.5</v>
      </c>
      <c r="M192" s="329"/>
    </row>
    <row r="193" spans="2:13" s="37" customFormat="1" ht="15.75">
      <c r="B193" s="48"/>
      <c r="C193" s="160" t="s">
        <v>624</v>
      </c>
      <c r="D193" s="156">
        <f>(($E$20+$F$20)*(F821EA!R84+F821EA!Y84)*$L193)</f>
        <v>0</v>
      </c>
      <c r="E193" s="156">
        <f>(($E$20+$F$20)*(F821EA!S84+F821EA!Z84)*$L193)</f>
        <v>0</v>
      </c>
      <c r="F193" s="156">
        <f>(($E$20+$F$20)*(F821EA!T84+F821EA!AA84)*$L193)</f>
        <v>0</v>
      </c>
      <c r="G193" s="156">
        <f>(($E$20+$F$20)*(F821EA!U84+F821EA!AB84)*$L193)</f>
        <v>0</v>
      </c>
      <c r="H193" s="156">
        <f>(($E$20+$F$20)*(F821EA!V84+F821EA!AC84)*$L193)</f>
        <v>0</v>
      </c>
      <c r="I193" s="156">
        <f>(($E$20+$F$20)*(F821EA!W84+F821EA!AD84)*$L193)</f>
        <v>0</v>
      </c>
      <c r="J193" s="156">
        <f t="shared" si="45"/>
        <v>0</v>
      </c>
      <c r="K193" s="69"/>
      <c r="L193" s="319">
        <v>0</v>
      </c>
      <c r="M193" s="329"/>
    </row>
    <row r="194" spans="2:13" s="37" customFormat="1" ht="15.75">
      <c r="B194" s="48"/>
      <c r="C194" s="157"/>
      <c r="D194" s="156"/>
      <c r="E194" s="156"/>
      <c r="F194" s="156"/>
      <c r="G194" s="156"/>
      <c r="H194" s="156"/>
      <c r="I194" s="156"/>
      <c r="J194" s="156"/>
      <c r="K194" s="69"/>
      <c r="L194" s="319"/>
      <c r="M194" s="69"/>
    </row>
    <row r="195" spans="2:13" s="37" customFormat="1" ht="15.75">
      <c r="B195" s="48" t="s">
        <v>902</v>
      </c>
      <c r="C195" s="158" t="s">
        <v>898</v>
      </c>
      <c r="D195" s="159">
        <f t="shared" ref="D195:H195" si="46">SUM(D196:D200)</f>
        <v>667083.38436690019</v>
      </c>
      <c r="E195" s="159">
        <f t="shared" si="46"/>
        <v>658764.60224119679</v>
      </c>
      <c r="F195" s="159">
        <f t="shared" si="46"/>
        <v>683303.14620437042</v>
      </c>
      <c r="G195" s="159">
        <f t="shared" si="46"/>
        <v>667729.61706732213</v>
      </c>
      <c r="H195" s="159">
        <f t="shared" si="46"/>
        <v>632807.91268143815</v>
      </c>
      <c r="I195" s="159">
        <f t="shared" ref="I195" si="47">SUM(I196:I200)</f>
        <v>676217.59232328949</v>
      </c>
      <c r="J195" s="159">
        <f t="shared" ref="J195:J214" si="48">SUM(D195:I195)</f>
        <v>3985906.2548845168</v>
      </c>
      <c r="K195" s="69"/>
      <c r="L195" s="319"/>
      <c r="M195" s="69"/>
    </row>
    <row r="196" spans="2:13" s="37" customFormat="1" ht="15.75">
      <c r="B196" s="48"/>
      <c r="C196" s="160" t="s">
        <v>304</v>
      </c>
      <c r="D196" s="156">
        <f>(($E$17+$F$17)*(F821EA!R87+F821EA!Y87)*$L196)</f>
        <v>641689.23325531394</v>
      </c>
      <c r="E196" s="156">
        <f>(($E$17+$F$17)*(F821EA!S87+F821EA!Z87)*$L196)</f>
        <v>634333.7805544408</v>
      </c>
      <c r="F196" s="156">
        <f>(($E$17+$F$17)*(F821EA!T87+F821EA!AA87)*$L196)</f>
        <v>657593.66513485881</v>
      </c>
      <c r="G196" s="156">
        <f>(($E$17+$F$17)*(F821EA!U87+F821EA!AB87)*$L196)</f>
        <v>641794.22966344375</v>
      </c>
      <c r="H196" s="156">
        <f>(($E$17+$F$17)*(F821EA!V87+F821EA!AC87)*$L196)</f>
        <v>608799.25984578382</v>
      </c>
      <c r="I196" s="156">
        <f>(($E$17+$F$17)*(F821EA!W87+F821EA!AD87)*$L196)</f>
        <v>649481.63254694268</v>
      </c>
      <c r="J196" s="156">
        <f t="shared" si="48"/>
        <v>3833691.8010007842</v>
      </c>
      <c r="K196" s="69"/>
      <c r="L196" s="319">
        <v>1</v>
      </c>
      <c r="M196" s="329"/>
    </row>
    <row r="197" spans="2:13" s="37" customFormat="1" ht="15.75">
      <c r="B197" s="48"/>
      <c r="C197" s="162" t="s">
        <v>644</v>
      </c>
      <c r="D197" s="156">
        <f>(($E$17+$F$17)*(F821EA!R88+F821EA!Y88)*$L197)</f>
        <v>25394.151111586227</v>
      </c>
      <c r="E197" s="156">
        <f>(($E$17+$F$17)*(F821EA!S88+F821EA!Z88)*$L197)</f>
        <v>24430.821686755982</v>
      </c>
      <c r="F197" s="156">
        <f>(($E$17+$F$17)*(F821EA!T88+F821EA!AA88)*$L197)</f>
        <v>25709.481069511603</v>
      </c>
      <c r="G197" s="156">
        <f>(($E$17+$F$17)*(F821EA!U88+F821EA!AB88)*$L197)</f>
        <v>25935.387403878354</v>
      </c>
      <c r="H197" s="156">
        <f>(($E$17+$F$17)*(F821EA!V88+F821EA!AC88)*$L197)</f>
        <v>24008.652835654313</v>
      </c>
      <c r="I197" s="156">
        <f>(($E$17+$F$17)*(F821EA!W88+F821EA!AD88)*$L197)</f>
        <v>26735.959776346826</v>
      </c>
      <c r="J197" s="156">
        <f t="shared" si="48"/>
        <v>152214.45388373331</v>
      </c>
      <c r="K197" s="69"/>
      <c r="L197" s="319">
        <v>0.75</v>
      </c>
      <c r="M197" s="329"/>
    </row>
    <row r="198" spans="2:13" s="37" customFormat="1" ht="15.75">
      <c r="B198" s="48"/>
      <c r="C198" s="160" t="s">
        <v>305</v>
      </c>
      <c r="D198" s="156">
        <f>(($E$17+$F$17)*(F821EA!R89+F821EA!Y89)*$L198)</f>
        <v>0</v>
      </c>
      <c r="E198" s="156">
        <f>(($E$17+$F$17)*(F821EA!S89+F821EA!Z89)*$L198)</f>
        <v>0</v>
      </c>
      <c r="F198" s="156">
        <f>(($E$17+$F$17)*(F821EA!T89+F821EA!AA89)*$L198)</f>
        <v>0</v>
      </c>
      <c r="G198" s="156">
        <f>(($E$17+$F$17)*(F821EA!U89+F821EA!AB89)*$L198)</f>
        <v>0</v>
      </c>
      <c r="H198" s="156">
        <f>(($E$17+$F$17)*(F821EA!V89+F821EA!AC89)*$L198)</f>
        <v>0</v>
      </c>
      <c r="I198" s="156">
        <f>(($E$17+$F$17)*(F821EA!W89+F821EA!AD89)*$L198)</f>
        <v>0</v>
      </c>
      <c r="J198" s="156">
        <f t="shared" si="48"/>
        <v>0</v>
      </c>
      <c r="K198" s="69"/>
      <c r="L198" s="319">
        <v>0.95</v>
      </c>
      <c r="M198" s="329"/>
    </row>
    <row r="199" spans="2:13" s="37" customFormat="1" ht="15.75">
      <c r="B199" s="48"/>
      <c r="C199" s="160" t="s">
        <v>307</v>
      </c>
      <c r="D199" s="156">
        <f>(($E$17+$F$17)*(F821EA!R90+F821EA!Y90)*$L199)</f>
        <v>0</v>
      </c>
      <c r="E199" s="156">
        <f>(($E$17+$F$17)*(F821EA!S90+F821EA!Z90)*$L199)</f>
        <v>0</v>
      </c>
      <c r="F199" s="156">
        <f>(($E$17+$F$17)*(F821EA!T90+F821EA!AA90)*$L199)</f>
        <v>0</v>
      </c>
      <c r="G199" s="156">
        <f>(($E$17+$F$17)*(F821EA!U90+F821EA!AB90)*$L199)</f>
        <v>0</v>
      </c>
      <c r="H199" s="156">
        <f>(($E$17+$F$17)*(F821EA!V90+F821EA!AC90)*$L199)</f>
        <v>0</v>
      </c>
      <c r="I199" s="156">
        <f>(($E$17+$F$17)*(F821EA!W90+F821EA!AD90)*$L199)</f>
        <v>0</v>
      </c>
      <c r="J199" s="156">
        <f t="shared" si="48"/>
        <v>0</v>
      </c>
      <c r="K199" s="69"/>
      <c r="L199" s="319">
        <v>0.5</v>
      </c>
      <c r="M199" s="329"/>
    </row>
    <row r="200" spans="2:13" s="37" customFormat="1" ht="15.75">
      <c r="B200" s="48"/>
      <c r="C200" s="160" t="s">
        <v>624</v>
      </c>
      <c r="D200" s="156">
        <f>(($E$17+$F$17)*(F821EA!R91+F821EA!Y91)*$L200)</f>
        <v>0</v>
      </c>
      <c r="E200" s="156">
        <f>(($E$17+$F$17)*(F821EA!S91+F821EA!Z91)*$L200)</f>
        <v>0</v>
      </c>
      <c r="F200" s="156">
        <f>(($E$17+$F$17)*(F821EA!T91+F821EA!AA91)*$L200)</f>
        <v>0</v>
      </c>
      <c r="G200" s="156">
        <f>(($E$17+$F$17)*(F821EA!U91+F821EA!AB91)*$L200)</f>
        <v>0</v>
      </c>
      <c r="H200" s="156">
        <f>(($E$17+$F$17)*(F821EA!V91+F821EA!AC91)*$L200)</f>
        <v>0</v>
      </c>
      <c r="I200" s="156">
        <f>(($E$17+$F$17)*(F821EA!W91+F821EA!AD91)*$L200)</f>
        <v>0</v>
      </c>
      <c r="J200" s="156">
        <f t="shared" si="48"/>
        <v>0</v>
      </c>
      <c r="K200" s="69"/>
      <c r="L200" s="319">
        <v>0</v>
      </c>
      <c r="M200" s="329"/>
    </row>
    <row r="201" spans="2:13" s="37" customFormat="1" ht="15.75">
      <c r="B201" s="48" t="s">
        <v>902</v>
      </c>
      <c r="C201" s="158" t="s">
        <v>899</v>
      </c>
      <c r="D201" s="159">
        <f t="shared" ref="D201:I201" si="49">SUM(D202:D207)</f>
        <v>58647.346470490316</v>
      </c>
      <c r="E201" s="159">
        <f t="shared" si="49"/>
        <v>54531.777526296115</v>
      </c>
      <c r="F201" s="159">
        <f t="shared" si="49"/>
        <v>50899.91138585272</v>
      </c>
      <c r="G201" s="159">
        <f t="shared" si="49"/>
        <v>54918.749865105237</v>
      </c>
      <c r="H201" s="159">
        <f t="shared" si="49"/>
        <v>42088.012114996411</v>
      </c>
      <c r="I201" s="159">
        <f t="shared" si="49"/>
        <v>54396.014141841755</v>
      </c>
      <c r="J201" s="159">
        <f t="shared" si="48"/>
        <v>315481.81150458253</v>
      </c>
      <c r="K201" s="69"/>
      <c r="L201" s="319"/>
      <c r="M201" s="69"/>
    </row>
    <row r="202" spans="2:13" s="37" customFormat="1" ht="15.75">
      <c r="B202" s="48"/>
      <c r="C202" s="160" t="s">
        <v>304</v>
      </c>
      <c r="D202" s="156">
        <f>(($E$17+$F$17)*(F821EA!R93+F821EA!Y93)*$L202)</f>
        <v>53439.335330843765</v>
      </c>
      <c r="E202" s="156">
        <f>(($E$17+$F$17)*(F821EA!S93+F821EA!Z93)*$L202)</f>
        <v>49833.314460093869</v>
      </c>
      <c r="F202" s="156">
        <f>(($E$17+$F$17)*(F821EA!T93+F821EA!AA93)*$L202)</f>
        <v>45930.375862123081</v>
      </c>
      <c r="G202" s="156">
        <f>(($E$17+$F$17)*(F821EA!U93+F821EA!AB93)*$L202)</f>
        <v>50005.700389787729</v>
      </c>
      <c r="H202" s="156">
        <f>(($E$17+$F$17)*(F821EA!V93+F821EA!AC93)*$L202)</f>
        <v>38108.951121131533</v>
      </c>
      <c r="I202" s="156">
        <f>(($E$17+$F$17)*(F821EA!W93+F821EA!AD93)*$L202)</f>
        <v>49256.894275269784</v>
      </c>
      <c r="J202" s="156">
        <f t="shared" si="48"/>
        <v>286574.57143924973</v>
      </c>
      <c r="K202" s="69"/>
      <c r="L202" s="319">
        <v>1</v>
      </c>
      <c r="M202" s="329"/>
    </row>
    <row r="203" spans="2:13" s="37" customFormat="1" ht="15.75">
      <c r="B203" s="48"/>
      <c r="C203" s="162" t="s">
        <v>642</v>
      </c>
      <c r="D203" s="156">
        <f>(($E$17+$F$17)*(F821EA!R94+F821EA!Y94)*$L203)</f>
        <v>4631.8938290766873</v>
      </c>
      <c r="E203" s="156">
        <f>(($E$17+$F$17)*(F821EA!S94+F821EA!Z94)*$L203)</f>
        <v>4282.5662361150571</v>
      </c>
      <c r="F203" s="156">
        <f>(($E$17+$F$17)*(F821EA!T94+F821EA!AA94)*$L203)</f>
        <v>4555.4559391677758</v>
      </c>
      <c r="G203" s="156">
        <f>(($E$17+$F$17)*(F821EA!U94+F821EA!AB94)*$L203)</f>
        <v>4450.8128843345739</v>
      </c>
      <c r="H203" s="156">
        <f>(($E$17+$F$17)*(F821EA!V94+F821EA!AC94)*$L203)</f>
        <v>3617.8329666644995</v>
      </c>
      <c r="I203" s="156">
        <f>(($E$17+$F$17)*(F821EA!W94+F821EA!AD94)*$L203)</f>
        <v>4674.712676767118</v>
      </c>
      <c r="J203" s="156">
        <f t="shared" si="48"/>
        <v>26213.274532125713</v>
      </c>
      <c r="K203" s="69"/>
      <c r="L203" s="319">
        <v>0.75</v>
      </c>
      <c r="M203" s="329"/>
    </row>
    <row r="204" spans="2:13" s="37" customFormat="1" ht="15.75">
      <c r="B204" s="48"/>
      <c r="C204" s="162" t="s">
        <v>1177</v>
      </c>
      <c r="D204" s="156">
        <f>(($E$17+$F$17)*(F821EA!R95+F821EA!Y95)*$L204)</f>
        <v>576.11731056986093</v>
      </c>
      <c r="E204" s="156">
        <f>(($E$17+$F$17)*(F821EA!S95+F821EA!Z95)*$L204)</f>
        <v>415.89683008718868</v>
      </c>
      <c r="F204" s="156">
        <f>(($E$17+$F$17)*(F821EA!T95+F821EA!AA95)*$L204)</f>
        <v>414.07958456186537</v>
      </c>
      <c r="G204" s="156">
        <f>(($E$17+$F$17)*(F821EA!U95+F821EA!AB95)*$L204)</f>
        <v>462.23659098293319</v>
      </c>
      <c r="H204" s="156">
        <f>(($E$17+$F$17)*(F821EA!V95+F821EA!AC95)*$L204)</f>
        <v>361.22802720037896</v>
      </c>
      <c r="I204" s="156">
        <f>(($E$17+$F$17)*(F821EA!W95+F821EA!AD95)*$L204)</f>
        <v>464.40718980484718</v>
      </c>
      <c r="J204" s="156">
        <f t="shared" si="48"/>
        <v>2693.9655332070747</v>
      </c>
      <c r="K204" s="69"/>
      <c r="L204" s="319">
        <v>1</v>
      </c>
      <c r="M204" s="329"/>
    </row>
    <row r="205" spans="2:13" s="37" customFormat="1" ht="15.75">
      <c r="B205" s="48"/>
      <c r="C205" s="160" t="s">
        <v>305</v>
      </c>
      <c r="D205" s="156">
        <f>(($E$17+$F$17)*(F821EA!R96+F821EA!Y96)*$L205)</f>
        <v>0</v>
      </c>
      <c r="E205" s="156">
        <f>(($E$17+$F$17)*(F821EA!S96+F821EA!Z96)*$L205)</f>
        <v>0</v>
      </c>
      <c r="F205" s="156">
        <f>(($E$17+$F$17)*(F821EA!T96+F821EA!AA96)*$L205)</f>
        <v>0</v>
      </c>
      <c r="G205" s="156">
        <f>(($E$17+$F$17)*(F821EA!U96+F821EA!AB96)*$L205)</f>
        <v>0</v>
      </c>
      <c r="H205" s="156">
        <f>(($E$17+$F$17)*(F821EA!V96+F821EA!AC96)*$L205)</f>
        <v>0</v>
      </c>
      <c r="I205" s="156">
        <f>(($E$17+$F$17)*(F821EA!W96+F821EA!AD96)*$L205)</f>
        <v>0</v>
      </c>
      <c r="J205" s="156">
        <f t="shared" si="48"/>
        <v>0</v>
      </c>
      <c r="K205" s="69"/>
      <c r="L205" s="319">
        <v>0.95</v>
      </c>
      <c r="M205" s="329"/>
    </row>
    <row r="206" spans="2:13" s="37" customFormat="1" ht="15.75">
      <c r="B206" s="48"/>
      <c r="C206" s="160" t="s">
        <v>307</v>
      </c>
      <c r="D206" s="156">
        <f>(($E$17+$F$17)*(F821EA!R97+F821EA!Y97)*$L206)</f>
        <v>0</v>
      </c>
      <c r="E206" s="156">
        <f>(($E$17+$F$17)*(F821EA!S97+F821EA!Z97)*$L206)</f>
        <v>0</v>
      </c>
      <c r="F206" s="156">
        <f>(($E$17+$F$17)*(F821EA!T97+F821EA!AA97)*$L206)</f>
        <v>0</v>
      </c>
      <c r="G206" s="156">
        <f>(($E$17+$F$17)*(F821EA!U97+F821EA!AB97)*$L206)</f>
        <v>0</v>
      </c>
      <c r="H206" s="156">
        <f>(($E$17+$F$17)*(F821EA!V97+F821EA!AC97)*$L206)</f>
        <v>0</v>
      </c>
      <c r="I206" s="156">
        <f>(($E$17+$F$17)*(F821EA!W97+F821EA!AD97)*$L206)</f>
        <v>0</v>
      </c>
      <c r="J206" s="156">
        <f t="shared" si="48"/>
        <v>0</v>
      </c>
      <c r="K206" s="69"/>
      <c r="L206" s="319">
        <v>0.5</v>
      </c>
      <c r="M206" s="329"/>
    </row>
    <row r="207" spans="2:13" s="37" customFormat="1" ht="15.75">
      <c r="B207" s="48"/>
      <c r="C207" s="160" t="s">
        <v>624</v>
      </c>
      <c r="D207" s="156">
        <f>(($E$17+$F$17)*(F821EA!R98+F821EA!Y98)*$L207)</f>
        <v>0</v>
      </c>
      <c r="E207" s="156">
        <f>(($E$17+$F$17)*(F821EA!S98+F821EA!Z98)*$L207)</f>
        <v>0</v>
      </c>
      <c r="F207" s="156">
        <f>(($E$17+$F$17)*(F821EA!T98+F821EA!AA98)*$L207)</f>
        <v>0</v>
      </c>
      <c r="G207" s="156">
        <f>(($E$17+$F$17)*(F821EA!U98+F821EA!AB98)*$L207)</f>
        <v>0</v>
      </c>
      <c r="H207" s="156">
        <f>(($E$17+$F$17)*(F821EA!V98+F821EA!AC98)*$L207)</f>
        <v>0</v>
      </c>
      <c r="I207" s="156">
        <f>(($E$17+$F$17)*(F821EA!W98+F821EA!AD98)*$L207)</f>
        <v>0</v>
      </c>
      <c r="J207" s="156">
        <f t="shared" si="48"/>
        <v>0</v>
      </c>
      <c r="K207" s="69"/>
      <c r="L207" s="319">
        <v>0</v>
      </c>
      <c r="M207" s="329"/>
    </row>
    <row r="208" spans="2:13" s="37" customFormat="1" ht="15.75">
      <c r="B208" s="48" t="s">
        <v>902</v>
      </c>
      <c r="C208" s="158" t="s">
        <v>900</v>
      </c>
      <c r="D208" s="159">
        <f t="shared" ref="D208:I208" si="50">SUM(D209:D214)</f>
        <v>6253.596164018858</v>
      </c>
      <c r="E208" s="159">
        <f t="shared" si="50"/>
        <v>6206.3856396422298</v>
      </c>
      <c r="F208" s="159">
        <f t="shared" si="50"/>
        <v>7010.9206169367571</v>
      </c>
      <c r="G208" s="159">
        <f t="shared" si="50"/>
        <v>5315.3800627677347</v>
      </c>
      <c r="H208" s="159">
        <f t="shared" si="50"/>
        <v>4198.5691096112232</v>
      </c>
      <c r="I208" s="159">
        <f t="shared" si="50"/>
        <v>5902.741580025533</v>
      </c>
      <c r="J208" s="159">
        <f t="shared" si="48"/>
        <v>34887.593173002337</v>
      </c>
      <c r="K208" s="69"/>
      <c r="L208" s="319"/>
      <c r="M208" s="69"/>
    </row>
    <row r="209" spans="2:13" s="37" customFormat="1" ht="15.75">
      <c r="B209" s="48"/>
      <c r="C209" s="160" t="s">
        <v>304</v>
      </c>
      <c r="D209" s="156">
        <f>(($E$17+$F$17)*(F821EA!R100+F821EA!Y100)*$L209)</f>
        <v>6022.2002337943559</v>
      </c>
      <c r="E209" s="156">
        <f>(($E$17+$F$17)*(F821EA!S100+F821EA!Z100)*$L209)</f>
        <v>6084.1380187824589</v>
      </c>
      <c r="F209" s="156">
        <f>(($E$17+$F$17)*(F821EA!T100+F821EA!AA100)*$L209)</f>
        <v>6842.0303609270213</v>
      </c>
      <c r="G209" s="156">
        <f>(($E$17+$F$17)*(F821EA!U100+F821EA!AB100)*$L209)</f>
        <v>5102.118728514688</v>
      </c>
      <c r="H209" s="156">
        <f>(($E$17+$F$17)*(F821EA!V100+F821EA!AC100)*$L209)</f>
        <v>4105.5109950019587</v>
      </c>
      <c r="I209" s="156">
        <f>(($E$17+$F$17)*(F821EA!W100+F821EA!AD100)*$L209)</f>
        <v>5737.4479557846662</v>
      </c>
      <c r="J209" s="156">
        <f t="shared" si="48"/>
        <v>33893.446292805151</v>
      </c>
      <c r="K209" s="69"/>
      <c r="L209" s="319">
        <v>1</v>
      </c>
      <c r="M209" s="329"/>
    </row>
    <row r="210" spans="2:13" s="37" customFormat="1" ht="15.75">
      <c r="B210" s="48"/>
      <c r="C210" s="162" t="s">
        <v>642</v>
      </c>
      <c r="D210" s="156">
        <f>(($E$17+$F$17)*(F821EA!R101+F821EA!Y101)*$L210)</f>
        <v>231.39593022450208</v>
      </c>
      <c r="E210" s="156">
        <f>(($E$17+$F$17)*(F821EA!S101+F821EA!Z101)*$L210)</f>
        <v>122.24762085977051</v>
      </c>
      <c r="F210" s="156">
        <f>(($E$17+$F$17)*(F821EA!T101+F821EA!AA101)*$L210)</f>
        <v>168.89025600973559</v>
      </c>
      <c r="G210" s="156">
        <f>(($E$17+$F$17)*(F821EA!U101+F821EA!AB101)*$L210)</f>
        <v>213.26133425304653</v>
      </c>
      <c r="H210" s="156">
        <f>(($E$17+$F$17)*(F821EA!V101+F821EA!AC101)*$L210)</f>
        <v>93.058114609264763</v>
      </c>
      <c r="I210" s="156">
        <f>(($E$17+$F$17)*(F821EA!W101+F821EA!AD101)*$L210)</f>
        <v>165.29362424086654</v>
      </c>
      <c r="J210" s="156">
        <f t="shared" si="48"/>
        <v>994.14688019718585</v>
      </c>
      <c r="K210" s="69"/>
      <c r="L210" s="319">
        <v>0.75</v>
      </c>
      <c r="M210" s="329"/>
    </row>
    <row r="211" spans="2:13" s="37" customFormat="1" ht="15.75">
      <c r="B211" s="48"/>
      <c r="C211" s="162" t="s">
        <v>1177</v>
      </c>
      <c r="D211" s="156">
        <f>(($E$17+$F$17)*(F821EA!R102+F821EA!Y102)*$L211)</f>
        <v>0</v>
      </c>
      <c r="E211" s="156">
        <f>(($E$17+$F$17)*(F821EA!S102+F821EA!Z102)*$L211)</f>
        <v>0</v>
      </c>
      <c r="F211" s="156">
        <f>(($E$17+$F$17)*(F821EA!T102+F821EA!AA102)*$L211)</f>
        <v>0</v>
      </c>
      <c r="G211" s="156">
        <f>(($E$17+$F$17)*(F821EA!U102+F821EA!AB102)*$L211)</f>
        <v>0</v>
      </c>
      <c r="H211" s="156">
        <f>(($E$17+$F$17)*(F821EA!V102+F821EA!AC102)*$L211)</f>
        <v>0</v>
      </c>
      <c r="I211" s="156">
        <f>(($E$17+$F$17)*(F821EA!W102+F821EA!AD102)*$L211)</f>
        <v>0</v>
      </c>
      <c r="J211" s="156">
        <f t="shared" si="48"/>
        <v>0</v>
      </c>
      <c r="K211" s="69"/>
      <c r="L211" s="319">
        <v>1</v>
      </c>
      <c r="M211" s="329"/>
    </row>
    <row r="212" spans="2:13" s="37" customFormat="1" ht="15.75">
      <c r="B212" s="48"/>
      <c r="C212" s="160" t="s">
        <v>305</v>
      </c>
      <c r="D212" s="156">
        <f>(($E$17+$F$17)*(F821EA!R103+F821EA!Y103)*$L212)</f>
        <v>0</v>
      </c>
      <c r="E212" s="156">
        <f>(($E$17+$F$17)*(F821EA!S103+F821EA!Z103)*$L212)</f>
        <v>0</v>
      </c>
      <c r="F212" s="156">
        <f>(($E$17+$F$17)*(F821EA!T103+F821EA!AA103)*$L212)</f>
        <v>0</v>
      </c>
      <c r="G212" s="156">
        <f>(($E$17+$F$17)*(F821EA!U103+F821EA!AB103)*$L212)</f>
        <v>0</v>
      </c>
      <c r="H212" s="156">
        <f>(($E$17+$F$17)*(F821EA!V103+F821EA!AC103)*$L212)</f>
        <v>0</v>
      </c>
      <c r="I212" s="156">
        <f>(($E$17+$F$17)*(F821EA!W103+F821EA!AD103)*$L212)</f>
        <v>0</v>
      </c>
      <c r="J212" s="156">
        <f t="shared" si="48"/>
        <v>0</v>
      </c>
      <c r="K212" s="69"/>
      <c r="L212" s="319">
        <v>0.95</v>
      </c>
      <c r="M212" s="329"/>
    </row>
    <row r="213" spans="2:13" s="37" customFormat="1" ht="15.75">
      <c r="B213" s="48"/>
      <c r="C213" s="160" t="s">
        <v>307</v>
      </c>
      <c r="D213" s="156">
        <f>(($E$17+$F$17)*(F821EA!R104+F821EA!Y104)*$L213)</f>
        <v>0</v>
      </c>
      <c r="E213" s="156">
        <f>(($E$17+$F$17)*(F821EA!S104+F821EA!Z104)*$L213)</f>
        <v>0</v>
      </c>
      <c r="F213" s="156">
        <f>(($E$17+$F$17)*(F821EA!T104+F821EA!AA104)*$L213)</f>
        <v>0</v>
      </c>
      <c r="G213" s="156">
        <f>(($E$17+$F$17)*(F821EA!U104+F821EA!AB104)*$L213)</f>
        <v>0</v>
      </c>
      <c r="H213" s="156">
        <f>(($E$17+$F$17)*(F821EA!V104+F821EA!AC104)*$L213)</f>
        <v>0</v>
      </c>
      <c r="I213" s="156">
        <f>(($E$17+$F$17)*(F821EA!W104+F821EA!AD104)*$L213)</f>
        <v>0</v>
      </c>
      <c r="J213" s="156">
        <f t="shared" si="48"/>
        <v>0</v>
      </c>
      <c r="K213" s="69"/>
      <c r="L213" s="319">
        <v>0.5</v>
      </c>
      <c r="M213" s="329"/>
    </row>
    <row r="214" spans="2:13" s="37" customFormat="1" ht="15.75">
      <c r="B214" s="48"/>
      <c r="C214" s="160" t="s">
        <v>624</v>
      </c>
      <c r="D214" s="156">
        <f>(($E$17+$F$17)*(F821EA!R105+F821EA!Y105)*$L214)</f>
        <v>0</v>
      </c>
      <c r="E214" s="156">
        <f>(($E$17+$F$17)*(F821EA!S105+F821EA!Z105)*$L214)</f>
        <v>0</v>
      </c>
      <c r="F214" s="156">
        <f>(($E$17+$F$17)*(F821EA!T105+F821EA!AA105)*$L214)</f>
        <v>0</v>
      </c>
      <c r="G214" s="156">
        <f>(($E$17+$F$17)*(F821EA!U105+F821EA!AB105)*$L214)</f>
        <v>0</v>
      </c>
      <c r="H214" s="156">
        <f>(($E$17+$F$17)*(F821EA!V105+F821EA!AC105)*$L214)</f>
        <v>0</v>
      </c>
      <c r="I214" s="156">
        <f>(($E$17+$F$17)*(F821EA!W105+F821EA!AD105)*$L214)</f>
        <v>0</v>
      </c>
      <c r="J214" s="156">
        <f t="shared" si="48"/>
        <v>0</v>
      </c>
      <c r="K214" s="69"/>
      <c r="L214" s="319">
        <v>0</v>
      </c>
      <c r="M214" s="329"/>
    </row>
    <row r="215" spans="2:13" s="37" customFormat="1" ht="15.75">
      <c r="B215" s="48"/>
      <c r="C215" s="157"/>
      <c r="D215" s="156"/>
      <c r="E215" s="156"/>
      <c r="F215" s="156"/>
      <c r="G215" s="156"/>
      <c r="H215" s="156"/>
      <c r="I215" s="156"/>
      <c r="J215" s="156"/>
      <c r="K215" s="69"/>
      <c r="L215" s="319"/>
      <c r="M215" s="69"/>
    </row>
    <row r="216" spans="2:13" s="37" customFormat="1" ht="15.75">
      <c r="B216" s="48"/>
      <c r="C216" s="153" t="s">
        <v>112</v>
      </c>
      <c r="D216" s="154">
        <f t="shared" ref="D216:I216" si="51">D125+D129+D139</f>
        <v>16817234.65682219</v>
      </c>
      <c r="E216" s="154">
        <f t="shared" si="51"/>
        <v>16859123.56933761</v>
      </c>
      <c r="F216" s="154">
        <f t="shared" si="51"/>
        <v>16512253.53778499</v>
      </c>
      <c r="G216" s="154">
        <f t="shared" si="51"/>
        <v>16794828.934977654</v>
      </c>
      <c r="H216" s="154">
        <f t="shared" si="51"/>
        <v>16084598.651496422</v>
      </c>
      <c r="I216" s="154">
        <f t="shared" si="51"/>
        <v>16135886.762467243</v>
      </c>
      <c r="J216" s="154">
        <f>SUM(D216:I216)</f>
        <v>99203926.112886101</v>
      </c>
      <c r="K216" s="69"/>
      <c r="L216" s="319"/>
      <c r="M216" s="69"/>
    </row>
    <row r="217" spans="2:13">
      <c r="C217" s="48"/>
      <c r="D217" s="48"/>
      <c r="E217" s="48"/>
      <c r="F217" s="48"/>
      <c r="G217" s="48"/>
      <c r="H217" s="48"/>
      <c r="I217" s="48"/>
      <c r="J217" s="48"/>
    </row>
    <row r="218" spans="2:13" s="69" customFormat="1" ht="30">
      <c r="B218" s="48"/>
      <c r="C218" s="320" t="s">
        <v>661</v>
      </c>
      <c r="D218" s="320"/>
      <c r="E218" s="320"/>
      <c r="F218" s="320"/>
      <c r="G218" s="320"/>
      <c r="H218" s="320"/>
      <c r="I218" s="320"/>
      <c r="J218" s="321"/>
      <c r="L218" s="319"/>
    </row>
    <row r="219" spans="2:13" s="37" customFormat="1" ht="15.75">
      <c r="B219" s="48"/>
      <c r="C219" s="150" t="s">
        <v>310</v>
      </c>
      <c r="D219" s="151">
        <f t="shared" ref="D219:I219" si="52">D$29</f>
        <v>45839</v>
      </c>
      <c r="E219" s="151">
        <f t="shared" si="52"/>
        <v>45870</v>
      </c>
      <c r="F219" s="151">
        <f t="shared" si="52"/>
        <v>45901</v>
      </c>
      <c r="G219" s="151">
        <f t="shared" si="52"/>
        <v>45931</v>
      </c>
      <c r="H219" s="151">
        <f t="shared" si="52"/>
        <v>45962</v>
      </c>
      <c r="I219" s="151">
        <f t="shared" si="52"/>
        <v>45992</v>
      </c>
      <c r="J219" s="152" t="s">
        <v>111</v>
      </c>
      <c r="K219" s="69"/>
      <c r="L219" s="319"/>
      <c r="M219" s="69"/>
    </row>
    <row r="220" spans="2:13" s="37" customFormat="1" ht="15.75">
      <c r="B220" s="48"/>
      <c r="C220" s="153" t="s">
        <v>446</v>
      </c>
      <c r="D220" s="154">
        <f t="shared" ref="D220:I220" si="53">SUM(D221:D222)</f>
        <v>32333.662240000001</v>
      </c>
      <c r="E220" s="154">
        <f t="shared" si="53"/>
        <v>32423.598239999999</v>
      </c>
      <c r="F220" s="154">
        <f t="shared" si="53"/>
        <v>31686.4768</v>
      </c>
      <c r="G220" s="154">
        <f t="shared" si="53"/>
        <v>32894.315520000004</v>
      </c>
      <c r="H220" s="154">
        <f t="shared" si="53"/>
        <v>31368.73344</v>
      </c>
      <c r="I220" s="154">
        <f t="shared" si="53"/>
        <v>32556.798560000003</v>
      </c>
      <c r="J220" s="154">
        <f>SUM(D220:I220)</f>
        <v>193263.58480000001</v>
      </c>
      <c r="K220" s="69"/>
      <c r="L220" s="319"/>
      <c r="M220" s="69"/>
    </row>
    <row r="221" spans="2:13" s="37" customFormat="1" ht="15.75">
      <c r="B221" s="48" t="s">
        <v>279</v>
      </c>
      <c r="C221" s="155" t="s">
        <v>279</v>
      </c>
      <c r="D221" s="156">
        <f>$J$7*F821EA!D6</f>
        <v>32333.662240000001</v>
      </c>
      <c r="E221" s="156">
        <f>$J$7*F821EA!E6</f>
        <v>32423.598239999999</v>
      </c>
      <c r="F221" s="156">
        <f>$J$7*F821EA!F6</f>
        <v>31686.4768</v>
      </c>
      <c r="G221" s="156">
        <f>$J$7*F821EA!G6</f>
        <v>32894.315520000004</v>
      </c>
      <c r="H221" s="156">
        <f>$J$7*F821EA!H6</f>
        <v>31368.73344</v>
      </c>
      <c r="I221" s="156">
        <f>$J$7*F821EA!I6</f>
        <v>32556.798560000003</v>
      </c>
      <c r="J221" s="156">
        <f>SUM(D221:I221)</f>
        <v>193263.58480000001</v>
      </c>
      <c r="K221" s="69"/>
      <c r="L221" s="319"/>
      <c r="M221" s="69"/>
    </row>
    <row r="222" spans="2:13" s="37" customFormat="1" ht="15.75">
      <c r="B222" s="48" t="s">
        <v>278</v>
      </c>
      <c r="C222" s="155" t="s">
        <v>278</v>
      </c>
      <c r="D222" s="156">
        <f>$J$8*F821EA!D7</f>
        <v>0</v>
      </c>
      <c r="E222" s="156">
        <f>$J$8*F821EA!E7</f>
        <v>0</v>
      </c>
      <c r="F222" s="156">
        <f>$J$8*F821EA!F7</f>
        <v>0</v>
      </c>
      <c r="G222" s="156">
        <f>$J$8*F821EA!G7</f>
        <v>0</v>
      </c>
      <c r="H222" s="156">
        <f>$J$8*F821EA!H7</f>
        <v>0</v>
      </c>
      <c r="I222" s="156">
        <f>$J$8*F821EA!I7</f>
        <v>0</v>
      </c>
      <c r="J222" s="156">
        <f>SUM(D222:I222)</f>
        <v>0</v>
      </c>
      <c r="K222" s="69"/>
      <c r="L222" s="319"/>
    </row>
    <row r="223" spans="2:13" s="37" customFormat="1" ht="15.75">
      <c r="B223" s="48"/>
      <c r="C223" s="157"/>
      <c r="D223" s="156"/>
      <c r="E223" s="156"/>
      <c r="F223" s="156"/>
      <c r="G223" s="156"/>
      <c r="H223" s="156"/>
      <c r="I223" s="156"/>
      <c r="J223" s="156"/>
      <c r="K223" s="69"/>
      <c r="L223" s="319"/>
    </row>
    <row r="224" spans="2:13" s="37" customFormat="1" ht="15.75">
      <c r="B224" s="48"/>
      <c r="C224" s="153" t="s">
        <v>630</v>
      </c>
      <c r="D224" s="154">
        <f>D225+D228</f>
        <v>51885.793520000007</v>
      </c>
      <c r="E224" s="154">
        <f t="shared" ref="E224:I224" si="54">E225+E228</f>
        <v>53242.559040000007</v>
      </c>
      <c r="F224" s="154">
        <f t="shared" si="54"/>
        <v>51493.204400000002</v>
      </c>
      <c r="G224" s="154">
        <f t="shared" si="54"/>
        <v>53464.856720000003</v>
      </c>
      <c r="H224" s="154">
        <f t="shared" si="54"/>
        <v>50295.114320000001</v>
      </c>
      <c r="I224" s="154">
        <f t="shared" si="54"/>
        <v>49003.797040000005</v>
      </c>
      <c r="J224" s="154">
        <f t="shared" ref="J224:J232" si="55">SUM(D224:I224)</f>
        <v>309385.32504000003</v>
      </c>
      <c r="K224" s="69"/>
      <c r="L224" s="319"/>
    </row>
    <row r="225" spans="2:12" s="37" customFormat="1" ht="15.75">
      <c r="B225" s="48" t="s">
        <v>277</v>
      </c>
      <c r="C225" s="155" t="s">
        <v>277</v>
      </c>
      <c r="D225" s="154">
        <f>SUM(D226:D227)</f>
        <v>7463.6504800000002</v>
      </c>
      <c r="E225" s="154">
        <f t="shared" ref="E225:I225" si="56">SUM(E226:E227)</f>
        <v>7624.3332</v>
      </c>
      <c r="F225" s="154">
        <f t="shared" si="56"/>
        <v>7589.98416</v>
      </c>
      <c r="G225" s="154">
        <f t="shared" si="56"/>
        <v>7156.5868</v>
      </c>
      <c r="H225" s="154">
        <f t="shared" si="56"/>
        <v>8712.9530400000003</v>
      </c>
      <c r="I225" s="154">
        <f t="shared" si="56"/>
        <v>5711.8476799999999</v>
      </c>
      <c r="J225" s="154">
        <f t="shared" si="55"/>
        <v>44259.355360000001</v>
      </c>
      <c r="K225" s="69"/>
      <c r="L225" s="319"/>
    </row>
    <row r="226" spans="2:12" s="37" customFormat="1" ht="15.75">
      <c r="B226" s="48"/>
      <c r="C226" s="160" t="s">
        <v>304</v>
      </c>
      <c r="D226" s="156">
        <f>$J$9*F821EA!D11</f>
        <v>6366.4004800000002</v>
      </c>
      <c r="E226" s="156">
        <f>$J$9*F821EA!E11</f>
        <v>6495.4823999999999</v>
      </c>
      <c r="F226" s="156">
        <f>$J$9*F821EA!F11</f>
        <v>6462.8889600000002</v>
      </c>
      <c r="G226" s="156">
        <f>$J$9*F821EA!G11</f>
        <v>5989.1127999999999</v>
      </c>
      <c r="H226" s="156">
        <f>$J$9*F821EA!H11</f>
        <v>7563.0350400000007</v>
      </c>
      <c r="I226" s="156">
        <f>$J$9*F821EA!I11</f>
        <v>5711.8476799999999</v>
      </c>
      <c r="J226" s="156">
        <f t="shared" si="55"/>
        <v>38588.767359999998</v>
      </c>
      <c r="K226" s="69"/>
      <c r="L226" s="319"/>
    </row>
    <row r="227" spans="2:12" s="37" customFormat="1" ht="15.75">
      <c r="B227" s="48"/>
      <c r="C227" s="160" t="s">
        <v>305</v>
      </c>
      <c r="D227" s="156">
        <f>($J$9*F821EA!D12)*$L227</f>
        <v>1097.25</v>
      </c>
      <c r="E227" s="156">
        <f>($J$9*F821EA!E12)*$L227</f>
        <v>1128.8508000000002</v>
      </c>
      <c r="F227" s="156">
        <f>($J$9*F821EA!F12)*$L227</f>
        <v>1127.0952</v>
      </c>
      <c r="G227" s="156">
        <f>($J$9*F821EA!G12)*$L227</f>
        <v>1167.4739999999999</v>
      </c>
      <c r="H227" s="156">
        <f>($J$9*F821EA!H12)*$L227</f>
        <v>1149.9179999999999</v>
      </c>
      <c r="I227" s="156">
        <f>($J$9*F821EA!I12)*$L227</f>
        <v>0</v>
      </c>
      <c r="J227" s="156">
        <f t="shared" si="55"/>
        <v>5670.5879999999997</v>
      </c>
      <c r="K227" s="69"/>
      <c r="L227" s="319">
        <v>0.95</v>
      </c>
    </row>
    <row r="228" spans="2:12" s="37" customFormat="1" ht="15.75">
      <c r="B228" s="48" t="s">
        <v>276</v>
      </c>
      <c r="C228" s="158" t="s">
        <v>276</v>
      </c>
      <c r="D228" s="159">
        <f t="shared" ref="D228:I228" si="57">SUM(D229:D232)</f>
        <v>44422.143040000003</v>
      </c>
      <c r="E228" s="159">
        <f t="shared" si="57"/>
        <v>45618.225840000006</v>
      </c>
      <c r="F228" s="159">
        <f t="shared" si="57"/>
        <v>43903.220240000002</v>
      </c>
      <c r="G228" s="159">
        <f t="shared" si="57"/>
        <v>46308.269920000006</v>
      </c>
      <c r="H228" s="159">
        <f t="shared" si="57"/>
        <v>41582.16128</v>
      </c>
      <c r="I228" s="159">
        <f t="shared" si="57"/>
        <v>43291.949360000006</v>
      </c>
      <c r="J228" s="159">
        <f t="shared" si="55"/>
        <v>265125.96968000004</v>
      </c>
      <c r="K228" s="69"/>
      <c r="L228" s="319"/>
    </row>
    <row r="229" spans="2:12" s="37" customFormat="1" ht="15.75">
      <c r="B229" s="48"/>
      <c r="C229" s="160" t="s">
        <v>304</v>
      </c>
      <c r="D229" s="156">
        <f>$J$10*F821EA!D15</f>
        <v>44295.973920000004</v>
      </c>
      <c r="E229" s="156">
        <f>$J$10*F821EA!E15</f>
        <v>45428.972160000005</v>
      </c>
      <c r="F229" s="156">
        <f>$J$10*F821EA!F15</f>
        <v>43768.975360000004</v>
      </c>
      <c r="G229" s="156">
        <f>$J$10*F821EA!G15</f>
        <v>46210.658560000003</v>
      </c>
      <c r="H229" s="156">
        <f>$J$10*F821EA!H15</f>
        <v>41338.952160000001</v>
      </c>
      <c r="I229" s="156">
        <f>$J$10*F821EA!I15</f>
        <v>43048.857280000004</v>
      </c>
      <c r="J229" s="156">
        <f t="shared" si="55"/>
        <v>264092.38944</v>
      </c>
      <c r="K229" s="69"/>
      <c r="L229" s="319">
        <v>1</v>
      </c>
    </row>
    <row r="230" spans="2:12" s="37" customFormat="1" ht="15.75">
      <c r="B230" s="48"/>
      <c r="C230" s="161" t="s">
        <v>306</v>
      </c>
      <c r="D230" s="156">
        <f>$J$10*F821EA!D16</f>
        <v>0</v>
      </c>
      <c r="E230" s="156">
        <f>$J$10*F821EA!E16</f>
        <v>0</v>
      </c>
      <c r="F230" s="156">
        <f>$J$10*F821EA!F16</f>
        <v>0</v>
      </c>
      <c r="G230" s="156">
        <f>$J$10*F821EA!G16</f>
        <v>0</v>
      </c>
      <c r="H230" s="156">
        <f>$J$10*F821EA!H16</f>
        <v>0</v>
      </c>
      <c r="I230" s="156">
        <f>$J$10*F821EA!I16</f>
        <v>0</v>
      </c>
      <c r="J230" s="156">
        <f t="shared" si="55"/>
        <v>0</v>
      </c>
      <c r="K230" s="69"/>
      <c r="L230" s="319">
        <v>1</v>
      </c>
    </row>
    <row r="231" spans="2:12" s="37" customFormat="1" ht="15.75">
      <c r="B231" s="48"/>
      <c r="C231" s="160" t="s">
        <v>305</v>
      </c>
      <c r="D231" s="156">
        <f>$J$10*F821EA!D17*0.95</f>
        <v>126.16912000000001</v>
      </c>
      <c r="E231" s="156">
        <f>$J$10*F821EA!E17*0.95</f>
        <v>189.25368</v>
      </c>
      <c r="F231" s="156">
        <f>$J$10*F821EA!F17*0.95</f>
        <v>134.24487999999999</v>
      </c>
      <c r="G231" s="156">
        <f>$J$10*F821EA!G17*0.95</f>
        <v>97.611360000000005</v>
      </c>
      <c r="H231" s="156">
        <f>$J$10*F821EA!H17*0.95</f>
        <v>243.20912000000001</v>
      </c>
      <c r="I231" s="156">
        <f>$J$10*F821EA!I17*0.95</f>
        <v>243.09208000000001</v>
      </c>
      <c r="J231" s="156">
        <f t="shared" si="55"/>
        <v>1033.58024</v>
      </c>
      <c r="K231" s="69"/>
      <c r="L231" s="319">
        <v>0.95</v>
      </c>
    </row>
    <row r="232" spans="2:12" s="37" customFormat="1" ht="15.75">
      <c r="B232" s="48"/>
      <c r="C232" s="160" t="s">
        <v>307</v>
      </c>
      <c r="D232" s="156">
        <f>$J$10*F821EA!D18*0.5</f>
        <v>0</v>
      </c>
      <c r="E232" s="156">
        <f>$J$10*F821EA!E18*0.5</f>
        <v>0</v>
      </c>
      <c r="F232" s="156">
        <f>$J$10*F821EA!F18*0.5</f>
        <v>0</v>
      </c>
      <c r="G232" s="156">
        <f>$J$10*F821EA!G18*0.5</f>
        <v>0</v>
      </c>
      <c r="H232" s="156">
        <f>$J$10*F821EA!H18*0.5</f>
        <v>0</v>
      </c>
      <c r="I232" s="156">
        <f>$J$10*F821EA!I18*0.5</f>
        <v>0</v>
      </c>
      <c r="J232" s="156">
        <f t="shared" si="55"/>
        <v>0</v>
      </c>
      <c r="K232" s="69"/>
      <c r="L232" s="319">
        <v>0.5</v>
      </c>
    </row>
    <row r="233" spans="2:12" s="37" customFormat="1" ht="15.75">
      <c r="B233" s="48"/>
      <c r="C233" s="157"/>
      <c r="D233" s="157"/>
      <c r="E233" s="157"/>
      <c r="F233" s="157"/>
      <c r="G233" s="157"/>
      <c r="H233" s="157"/>
      <c r="I233" s="157"/>
      <c r="J233" s="157"/>
      <c r="K233" s="69"/>
      <c r="L233" s="319"/>
    </row>
    <row r="234" spans="2:12" s="37" customFormat="1" ht="15.75">
      <c r="B234" s="48"/>
      <c r="C234" s="153" t="s">
        <v>443</v>
      </c>
      <c r="D234" s="154">
        <f t="shared" ref="D234:I234" si="58">D235+D239+D246+D251+D256+D269+D275+D282+D290+D296+D303+D262</f>
        <v>387187.98612950009</v>
      </c>
      <c r="E234" s="154">
        <f t="shared" si="58"/>
        <v>385907.03627149999</v>
      </c>
      <c r="F234" s="154">
        <f t="shared" si="58"/>
        <v>379260.34958149999</v>
      </c>
      <c r="G234" s="154">
        <f t="shared" si="58"/>
        <v>383576.27751650003</v>
      </c>
      <c r="H234" s="154">
        <f t="shared" si="58"/>
        <v>367246.72086850001</v>
      </c>
      <c r="I234" s="154">
        <f t="shared" si="58"/>
        <v>369721.69187049998</v>
      </c>
      <c r="J234" s="154">
        <f>SUM(D234:I234)</f>
        <v>2272900.0622380003</v>
      </c>
      <c r="K234" s="69"/>
      <c r="L234" s="319"/>
    </row>
    <row r="235" spans="2:12" s="37" customFormat="1" ht="15.75">
      <c r="B235" s="48" t="s">
        <v>275</v>
      </c>
      <c r="C235" s="155" t="s">
        <v>275</v>
      </c>
      <c r="D235" s="156">
        <f>$J$11*F821EA!D21</f>
        <v>4921.09728</v>
      </c>
      <c r="E235" s="156">
        <f>$J$11*F821EA!E21</f>
        <v>4886.2791999999999</v>
      </c>
      <c r="F235" s="156">
        <f>$J$11*F821EA!F21</f>
        <v>4832.14336</v>
      </c>
      <c r="G235" s="156">
        <f>$J$11*F821EA!G21</f>
        <v>4976.5496000000003</v>
      </c>
      <c r="H235" s="156">
        <f>$J$11*F821EA!H21</f>
        <v>4908.41824</v>
      </c>
      <c r="I235" s="156">
        <f>$J$11*F821EA!I21</f>
        <v>5133.6383999999998</v>
      </c>
      <c r="J235" s="156">
        <f>SUM(D235:I235)</f>
        <v>29658.126079999998</v>
      </c>
      <c r="K235" s="69"/>
      <c r="L235" s="319"/>
    </row>
    <row r="236" spans="2:12" s="37" customFormat="1" ht="15.75">
      <c r="B236" s="48"/>
      <c r="C236" s="160" t="s">
        <v>304</v>
      </c>
      <c r="D236" s="156"/>
      <c r="E236" s="156"/>
      <c r="F236" s="156"/>
      <c r="G236" s="156"/>
      <c r="H236" s="156"/>
      <c r="I236" s="156"/>
      <c r="J236" s="156"/>
      <c r="K236" s="69"/>
      <c r="L236" s="319"/>
    </row>
    <row r="237" spans="2:12" s="37" customFormat="1" ht="15.75">
      <c r="B237" s="48"/>
      <c r="C237" s="161" t="s">
        <v>306</v>
      </c>
      <c r="D237" s="156"/>
      <c r="E237" s="156"/>
      <c r="F237" s="156"/>
      <c r="G237" s="156"/>
      <c r="H237" s="156"/>
      <c r="I237" s="156"/>
      <c r="J237" s="156"/>
      <c r="K237" s="69"/>
      <c r="L237" s="319"/>
    </row>
    <row r="238" spans="2:12" s="37" customFormat="1" ht="15.75">
      <c r="B238" s="48"/>
      <c r="C238" s="160" t="s">
        <v>305</v>
      </c>
      <c r="D238" s="156"/>
      <c r="E238" s="156"/>
      <c r="F238" s="156"/>
      <c r="G238" s="156"/>
      <c r="H238" s="156"/>
      <c r="I238" s="156"/>
      <c r="J238" s="156"/>
      <c r="K238" s="69"/>
      <c r="L238" s="319"/>
    </row>
    <row r="239" spans="2:12" s="37" customFormat="1" ht="15.75">
      <c r="B239" s="48" t="s">
        <v>274</v>
      </c>
      <c r="C239" s="158" t="s">
        <v>627</v>
      </c>
      <c r="D239" s="159">
        <f t="shared" ref="D239:I239" si="59">SUM(D240:D245)</f>
        <v>60405.496800000001</v>
      </c>
      <c r="E239" s="159">
        <f t="shared" si="59"/>
        <v>60400.019679999998</v>
      </c>
      <c r="F239" s="159">
        <f t="shared" si="59"/>
        <v>59515.718240000002</v>
      </c>
      <c r="G239" s="159">
        <f t="shared" si="59"/>
        <v>60688.578719999998</v>
      </c>
      <c r="H239" s="159">
        <f t="shared" si="59"/>
        <v>58528.080160000005</v>
      </c>
      <c r="I239" s="159">
        <f t="shared" si="59"/>
        <v>58064.965904000004</v>
      </c>
      <c r="J239" s="159">
        <f t="shared" ref="J239:J260" si="60">SUM(D239:I239)</f>
        <v>357602.85950399999</v>
      </c>
      <c r="K239" s="69"/>
      <c r="L239" s="319"/>
    </row>
    <row r="240" spans="2:12" s="37" customFormat="1" ht="15.75">
      <c r="B240" s="48"/>
      <c r="C240" s="160" t="s">
        <v>304</v>
      </c>
      <c r="D240" s="156">
        <f>$J$12*F821EA!D28</f>
        <v>60304.085599999999</v>
      </c>
      <c r="E240" s="156">
        <f>$J$12*F821EA!E28</f>
        <v>60293.942719999999</v>
      </c>
      <c r="F240" s="156">
        <f>$J$12*F821EA!F28</f>
        <v>59395.367680000003</v>
      </c>
      <c r="G240" s="156">
        <f>$J$12*F821EA!G28</f>
        <v>60587.142879999999</v>
      </c>
      <c r="H240" s="156">
        <f>$J$12*F821EA!H28</f>
        <v>58428.492320000005</v>
      </c>
      <c r="I240" s="156">
        <f>$J$12*F821EA!I28</f>
        <v>57950.467520000006</v>
      </c>
      <c r="J240" s="156">
        <f t="shared" si="60"/>
        <v>356959.49872000003</v>
      </c>
      <c r="K240" s="69"/>
      <c r="L240" s="319">
        <v>1</v>
      </c>
    </row>
    <row r="241" spans="2:12" s="37" customFormat="1" ht="15.75">
      <c r="B241" s="48"/>
      <c r="C241" s="162" t="s">
        <v>628</v>
      </c>
      <c r="D241" s="156">
        <f>$J$12*F821EA!D29*0.75</f>
        <v>4.7520000000000007</v>
      </c>
      <c r="E241" s="156">
        <f>$J$12*F821EA!E29*0.75</f>
        <v>4.7520000000000007</v>
      </c>
      <c r="F241" s="156">
        <f>$J$12*F821EA!F29*0.75</f>
        <v>5.5440000000000005</v>
      </c>
      <c r="G241" s="156">
        <f>$J$12*F821EA!G29*0.75</f>
        <v>5.5440000000000005</v>
      </c>
      <c r="H241" s="156">
        <f>$J$12*F821EA!H29*0.75</f>
        <v>5.5440000000000005</v>
      </c>
      <c r="I241" s="156">
        <f>$J$12*F821EA!I29*0.75</f>
        <v>4.7520000000000007</v>
      </c>
      <c r="J241" s="156">
        <f t="shared" si="60"/>
        <v>30.888000000000005</v>
      </c>
      <c r="K241" s="69"/>
      <c r="L241" s="319">
        <v>0.75</v>
      </c>
    </row>
    <row r="242" spans="2:12" s="37" customFormat="1" ht="15.75">
      <c r="B242" s="48"/>
      <c r="C242" s="161" t="s">
        <v>629</v>
      </c>
      <c r="D242" s="156">
        <f>$J$12*F821EA!D30</f>
        <v>26.449280000000002</v>
      </c>
      <c r="E242" s="156">
        <f>$J$12*F821EA!E30</f>
        <v>28.742560000000001</v>
      </c>
      <c r="F242" s="156">
        <f>$J$12*F821EA!F30</f>
        <v>28.520800000000001</v>
      </c>
      <c r="G242" s="156">
        <f>$J$12*F821EA!G30</f>
        <v>26.656960000000002</v>
      </c>
      <c r="H242" s="156">
        <f>$J$12*F821EA!H30</f>
        <v>26.322559999999999</v>
      </c>
      <c r="I242" s="156">
        <f>$J$12*F821EA!I30</f>
        <v>27.410240000000002</v>
      </c>
      <c r="J242" s="156">
        <f t="shared" si="60"/>
        <v>164.10239999999999</v>
      </c>
      <c r="K242" s="69"/>
      <c r="L242" s="319">
        <v>1</v>
      </c>
    </row>
    <row r="243" spans="2:12" s="37" customFormat="1" ht="15.75">
      <c r="B243" s="48"/>
      <c r="C243" s="160" t="s">
        <v>305</v>
      </c>
      <c r="D243" s="156">
        <f>$J$12*F821EA!D31*0.95</f>
        <v>63.803520000000006</v>
      </c>
      <c r="E243" s="156">
        <f>$J$12*F821EA!E31*0.95</f>
        <v>66.88</v>
      </c>
      <c r="F243" s="156">
        <f>$J$12*F821EA!F31*0.95</f>
        <v>79.386560000000003</v>
      </c>
      <c r="G243" s="156">
        <f>$J$12*F821EA!G31*0.95</f>
        <v>62.265279999999997</v>
      </c>
      <c r="H243" s="156">
        <f>$J$12*F821EA!H31*0.95</f>
        <v>61.596480000000007</v>
      </c>
      <c r="I243" s="156">
        <f>$J$12*F821EA!I31*0.95</f>
        <v>76.915344000000005</v>
      </c>
      <c r="J243" s="156">
        <f t="shared" si="60"/>
        <v>410.84718399999997</v>
      </c>
      <c r="K243" s="69"/>
      <c r="L243" s="319">
        <v>0.95</v>
      </c>
    </row>
    <row r="244" spans="2:12" s="37" customFormat="1" ht="15.75">
      <c r="B244" s="48"/>
      <c r="C244" s="160" t="s">
        <v>307</v>
      </c>
      <c r="D244" s="156">
        <f>$J$12*F821EA!D32*0.5</f>
        <v>6.4064000000000005</v>
      </c>
      <c r="E244" s="156">
        <f>$J$12*F821EA!E32*0.5</f>
        <v>5.7023999999999999</v>
      </c>
      <c r="F244" s="156">
        <f>$J$12*F821EA!F32*0.5</f>
        <v>6.8992000000000004</v>
      </c>
      <c r="G244" s="156">
        <f>$J$12*F821EA!G32*0.5</f>
        <v>6.9696000000000007</v>
      </c>
      <c r="H244" s="156">
        <f>$J$12*F821EA!H32*0.5</f>
        <v>6.1248000000000005</v>
      </c>
      <c r="I244" s="156">
        <f>$J$12*F821EA!I32*0.5</f>
        <v>5.4207999999999998</v>
      </c>
      <c r="J244" s="156">
        <f t="shared" si="60"/>
        <v>37.523200000000003</v>
      </c>
      <c r="K244" s="69"/>
      <c r="L244" s="319">
        <v>0.5</v>
      </c>
    </row>
    <row r="245" spans="2:12" s="37" customFormat="1" ht="15.75">
      <c r="B245" s="48"/>
      <c r="C245" s="160" t="s">
        <v>624</v>
      </c>
      <c r="D245" s="156">
        <f>$J$12*F821EA!D33*0</f>
        <v>0</v>
      </c>
      <c r="E245" s="156">
        <f>$J$12*F821EA!E33*0</f>
        <v>0</v>
      </c>
      <c r="F245" s="156">
        <f>$J$12*F821EA!F33*0</f>
        <v>0</v>
      </c>
      <c r="G245" s="156">
        <f>$J$12*F821EA!G33*0</f>
        <v>0</v>
      </c>
      <c r="H245" s="156">
        <f>$J$12*F821EA!H33*0</f>
        <v>0</v>
      </c>
      <c r="I245" s="156">
        <f>$J$12*F821EA!I33*0</f>
        <v>0</v>
      </c>
      <c r="J245" s="156">
        <f t="shared" si="60"/>
        <v>0</v>
      </c>
      <c r="K245" s="69"/>
      <c r="L245" s="319">
        <v>0</v>
      </c>
    </row>
    <row r="246" spans="2:12" s="37" customFormat="1" ht="15.75">
      <c r="B246" s="48" t="s">
        <v>274</v>
      </c>
      <c r="C246" s="158" t="s">
        <v>631</v>
      </c>
      <c r="D246" s="159">
        <f t="shared" ref="D246:I246" si="61">SUM(D247:D250)</f>
        <v>28166.147680000002</v>
      </c>
      <c r="E246" s="159">
        <f t="shared" si="61"/>
        <v>28352.978720000003</v>
      </c>
      <c r="F246" s="159">
        <f t="shared" si="61"/>
        <v>27085.916000000001</v>
      </c>
      <c r="G246" s="159">
        <f t="shared" si="61"/>
        <v>28052.412960000001</v>
      </c>
      <c r="H246" s="159">
        <f t="shared" si="61"/>
        <v>26021.760160000002</v>
      </c>
      <c r="I246" s="159">
        <f t="shared" si="61"/>
        <v>25562.965120000001</v>
      </c>
      <c r="J246" s="159">
        <f t="shared" si="60"/>
        <v>163242.18064000001</v>
      </c>
      <c r="K246" s="69"/>
      <c r="L246" s="319"/>
    </row>
    <row r="247" spans="2:12" s="37" customFormat="1" ht="15.75">
      <c r="B247" s="48"/>
      <c r="C247" s="160" t="s">
        <v>304</v>
      </c>
      <c r="D247" s="156">
        <f>$J$12*F821EA!D35</f>
        <v>28149.026400000002</v>
      </c>
      <c r="E247" s="156">
        <f>$J$12*F821EA!E35</f>
        <v>28336.258720000002</v>
      </c>
      <c r="F247" s="156">
        <f>$J$12*F821EA!F35</f>
        <v>27068.928480000002</v>
      </c>
      <c r="G247" s="156">
        <f>$J$12*F821EA!G35</f>
        <v>28029.941280000003</v>
      </c>
      <c r="H247" s="156">
        <f>$J$12*F821EA!H35</f>
        <v>26009.186720000002</v>
      </c>
      <c r="I247" s="156">
        <f>$J$12*F821EA!I35</f>
        <v>25534.072960000001</v>
      </c>
      <c r="J247" s="156">
        <f t="shared" si="60"/>
        <v>163127.41456</v>
      </c>
      <c r="K247" s="69"/>
      <c r="L247" s="319">
        <v>1</v>
      </c>
    </row>
    <row r="248" spans="2:12" s="37" customFormat="1" ht="15.75">
      <c r="B248" s="48"/>
      <c r="C248" s="161" t="s">
        <v>306</v>
      </c>
      <c r="D248" s="156">
        <f>$J$12*F821EA!D36</f>
        <v>0</v>
      </c>
      <c r="E248" s="156">
        <f>$J$12*F821EA!E36</f>
        <v>0</v>
      </c>
      <c r="F248" s="156">
        <f>$J$12*F821EA!F36</f>
        <v>0</v>
      </c>
      <c r="G248" s="156">
        <f>$J$12*F821EA!G36</f>
        <v>0</v>
      </c>
      <c r="H248" s="156">
        <f>$J$12*F821EA!H36</f>
        <v>0</v>
      </c>
      <c r="I248" s="156">
        <f>$J$12*F821EA!I36</f>
        <v>0</v>
      </c>
      <c r="J248" s="156">
        <f t="shared" si="60"/>
        <v>0</v>
      </c>
      <c r="K248" s="69"/>
      <c r="L248" s="319">
        <v>1</v>
      </c>
    </row>
    <row r="249" spans="2:12" s="37" customFormat="1" ht="15.75">
      <c r="B249" s="48"/>
      <c r="C249" s="160" t="s">
        <v>305</v>
      </c>
      <c r="D249" s="156">
        <f>$J$12*F821EA!D37*0.95</f>
        <v>17.121279999999999</v>
      </c>
      <c r="E249" s="156">
        <f>$J$12*F821EA!E37*0.95</f>
        <v>16.72</v>
      </c>
      <c r="F249" s="156">
        <f>$J$12*F821EA!F37*0.95</f>
        <v>16.98752</v>
      </c>
      <c r="G249" s="156">
        <f>$J$12*F821EA!G37*0.95</f>
        <v>22.471680000000003</v>
      </c>
      <c r="H249" s="156">
        <f>$J$12*F821EA!H37*0.95</f>
        <v>12.57344</v>
      </c>
      <c r="I249" s="156">
        <f>$J$12*F821EA!I37*0.95</f>
        <v>28.892160000000001</v>
      </c>
      <c r="J249" s="156">
        <f t="shared" si="60"/>
        <v>114.76608000000002</v>
      </c>
      <c r="K249" s="69"/>
      <c r="L249" s="319">
        <v>0.95</v>
      </c>
    </row>
    <row r="250" spans="2:12" s="37" customFormat="1" ht="15.75">
      <c r="B250" s="48"/>
      <c r="C250" s="160" t="s">
        <v>307</v>
      </c>
      <c r="D250" s="156">
        <f>$J$12*F821EA!D38*0.5</f>
        <v>0</v>
      </c>
      <c r="E250" s="156">
        <f>$J$12*F821EA!E38*0.5</f>
        <v>0</v>
      </c>
      <c r="F250" s="156">
        <f>$J$12*F821EA!F38*0.5</f>
        <v>0</v>
      </c>
      <c r="G250" s="156">
        <f>$J$12*F821EA!G38*0.5</f>
        <v>0</v>
      </c>
      <c r="H250" s="156">
        <f>$J$12*F821EA!H38*0.5</f>
        <v>0</v>
      </c>
      <c r="I250" s="156">
        <f>$J$12*F821EA!I38*0.5</f>
        <v>0</v>
      </c>
      <c r="J250" s="156">
        <f t="shared" si="60"/>
        <v>0</v>
      </c>
      <c r="K250" s="69"/>
      <c r="L250" s="319">
        <v>0.5</v>
      </c>
    </row>
    <row r="251" spans="2:12" s="37" customFormat="1" ht="15.75">
      <c r="B251" s="48" t="s">
        <v>274</v>
      </c>
      <c r="C251" s="158" t="s">
        <v>632</v>
      </c>
      <c r="D251" s="159">
        <f t="shared" ref="D251:I251" si="62">SUM(D252:D255)</f>
        <v>8321.100480000001</v>
      </c>
      <c r="E251" s="159">
        <f t="shared" si="62"/>
        <v>8020.3200000000006</v>
      </c>
      <c r="F251" s="159">
        <f t="shared" si="62"/>
        <v>7359.1232</v>
      </c>
      <c r="G251" s="159">
        <f t="shared" si="62"/>
        <v>8048.5838400000002</v>
      </c>
      <c r="H251" s="159">
        <f t="shared" si="62"/>
        <v>6937.3884800000005</v>
      </c>
      <c r="I251" s="159">
        <f t="shared" si="62"/>
        <v>7239.9852799999999</v>
      </c>
      <c r="J251" s="159">
        <f t="shared" si="60"/>
        <v>45926.501280000004</v>
      </c>
      <c r="K251" s="69"/>
      <c r="L251" s="319"/>
    </row>
    <row r="252" spans="2:12" s="37" customFormat="1" ht="15.75">
      <c r="B252" s="48"/>
      <c r="C252" s="160" t="s">
        <v>304</v>
      </c>
      <c r="D252" s="156">
        <f>$J$12*F821EA!D40</f>
        <v>8321.100480000001</v>
      </c>
      <c r="E252" s="156">
        <f>$J$12*F821EA!E40</f>
        <v>8020.3200000000006</v>
      </c>
      <c r="F252" s="156">
        <f>$J$12*F821EA!F40</f>
        <v>7359.1232</v>
      </c>
      <c r="G252" s="156">
        <f>$J$12*F821EA!G40</f>
        <v>8048.5838400000002</v>
      </c>
      <c r="H252" s="156">
        <f>$J$12*F821EA!H40</f>
        <v>6937.3884800000005</v>
      </c>
      <c r="I252" s="156">
        <f>$J$12*F821EA!I40</f>
        <v>7239.9852799999999</v>
      </c>
      <c r="J252" s="156">
        <f t="shared" si="60"/>
        <v>45926.501280000004</v>
      </c>
      <c r="K252" s="69"/>
      <c r="L252" s="319">
        <v>1</v>
      </c>
    </row>
    <row r="253" spans="2:12" s="37" customFormat="1" ht="15.75">
      <c r="B253" s="48"/>
      <c r="C253" s="161" t="s">
        <v>306</v>
      </c>
      <c r="D253" s="156">
        <f>$J$12*F821EA!D41</f>
        <v>0</v>
      </c>
      <c r="E253" s="156">
        <f>$J$12*F821EA!E41</f>
        <v>0</v>
      </c>
      <c r="F253" s="156">
        <f>$J$12*F821EA!F41</f>
        <v>0</v>
      </c>
      <c r="G253" s="156">
        <f>$J$12*F821EA!G41</f>
        <v>0</v>
      </c>
      <c r="H253" s="156">
        <f>$J$12*F821EA!H41</f>
        <v>0</v>
      </c>
      <c r="I253" s="156">
        <f>$J$12*F821EA!I41</f>
        <v>0</v>
      </c>
      <c r="J253" s="156">
        <f t="shared" si="60"/>
        <v>0</v>
      </c>
      <c r="K253" s="69"/>
      <c r="L253" s="319">
        <v>1</v>
      </c>
    </row>
    <row r="254" spans="2:12" s="37" customFormat="1" ht="15.75">
      <c r="B254" s="48"/>
      <c r="C254" s="160" t="s">
        <v>305</v>
      </c>
      <c r="D254" s="156">
        <f>$J$12*F821EA!D42*0.95</f>
        <v>0</v>
      </c>
      <c r="E254" s="156">
        <f>$J$12*F821EA!E42*0.95</f>
        <v>0</v>
      </c>
      <c r="F254" s="156">
        <f>$J$12*F821EA!F42*0.95</f>
        <v>0</v>
      </c>
      <c r="G254" s="156">
        <f>$J$12*F821EA!G42*0.95</f>
        <v>0</v>
      </c>
      <c r="H254" s="156">
        <f>$J$12*F821EA!H42*0.95</f>
        <v>0</v>
      </c>
      <c r="I254" s="156">
        <f>$J$12*F821EA!I42*0.95</f>
        <v>0</v>
      </c>
      <c r="J254" s="156">
        <f t="shared" si="60"/>
        <v>0</v>
      </c>
      <c r="K254" s="69"/>
      <c r="L254" s="319">
        <v>0.95</v>
      </c>
    </row>
    <row r="255" spans="2:12" s="37" customFormat="1" ht="15.75">
      <c r="B255" s="48"/>
      <c r="C255" s="160" t="s">
        <v>307</v>
      </c>
      <c r="D255" s="156">
        <f>$J$12*F821EA!D43*0.5</f>
        <v>0</v>
      </c>
      <c r="E255" s="156">
        <f>$J$12*F821EA!E43*0.5</f>
        <v>0</v>
      </c>
      <c r="F255" s="156">
        <f>$J$12*F821EA!F43*0.5</f>
        <v>0</v>
      </c>
      <c r="G255" s="156">
        <f>$J$12*F821EA!G43*0.5</f>
        <v>0</v>
      </c>
      <c r="H255" s="156">
        <f>$J$12*F821EA!H43*0.5</f>
        <v>0</v>
      </c>
      <c r="I255" s="156">
        <f>$J$12*F821EA!I43*0.5</f>
        <v>0</v>
      </c>
      <c r="J255" s="156">
        <f t="shared" si="60"/>
        <v>0</v>
      </c>
      <c r="K255" s="69"/>
      <c r="L255" s="319">
        <v>0.5</v>
      </c>
    </row>
    <row r="256" spans="2:12" s="37" customFormat="1" ht="15.75">
      <c r="B256" s="48" t="s">
        <v>274</v>
      </c>
      <c r="C256" s="158" t="s">
        <v>633</v>
      </c>
      <c r="D256" s="159">
        <f t="shared" ref="D256:I256" si="63">SUM(D257:D260)</f>
        <v>8759.4495999999999</v>
      </c>
      <c r="E256" s="159">
        <f t="shared" si="63"/>
        <v>8069.2004800000004</v>
      </c>
      <c r="F256" s="159">
        <f t="shared" si="63"/>
        <v>6946.3028800000002</v>
      </c>
      <c r="G256" s="159">
        <f t="shared" si="63"/>
        <v>7958.7235200000005</v>
      </c>
      <c r="H256" s="159">
        <f t="shared" si="63"/>
        <v>7221.4788800000006</v>
      </c>
      <c r="I256" s="159">
        <f t="shared" si="63"/>
        <v>7463.0124800000003</v>
      </c>
      <c r="J256" s="159">
        <f t="shared" si="60"/>
        <v>46418.167839999995</v>
      </c>
      <c r="K256" s="69"/>
      <c r="L256" s="319"/>
    </row>
    <row r="257" spans="2:12" s="37" customFormat="1" ht="15.75">
      <c r="B257" s="48"/>
      <c r="C257" s="160" t="s">
        <v>304</v>
      </c>
      <c r="D257" s="156">
        <f>$J$12*F821EA!D45</f>
        <v>8759.4495999999999</v>
      </c>
      <c r="E257" s="156">
        <f>$J$12*F821EA!E45</f>
        <v>8069.2004800000004</v>
      </c>
      <c r="F257" s="156">
        <f>$J$12*F821EA!F45</f>
        <v>6946.3028800000002</v>
      </c>
      <c r="G257" s="156">
        <f>$J$12*F821EA!G45</f>
        <v>7958.7235200000005</v>
      </c>
      <c r="H257" s="156">
        <f>$J$12*F821EA!H45</f>
        <v>7221.4788800000006</v>
      </c>
      <c r="I257" s="156">
        <f>$J$12*F821EA!I45</f>
        <v>7463.0124800000003</v>
      </c>
      <c r="J257" s="156">
        <f t="shared" si="60"/>
        <v>46418.167839999995</v>
      </c>
      <c r="K257" s="69"/>
      <c r="L257" s="319">
        <v>1</v>
      </c>
    </row>
    <row r="258" spans="2:12" s="37" customFormat="1" ht="15.75">
      <c r="B258" s="48"/>
      <c r="C258" s="161" t="s">
        <v>306</v>
      </c>
      <c r="D258" s="156">
        <f>$J$12*F821EA!D46</f>
        <v>0</v>
      </c>
      <c r="E258" s="156">
        <f>$J$12*F821EA!E46</f>
        <v>0</v>
      </c>
      <c r="F258" s="156">
        <f>$J$12*F821EA!F46</f>
        <v>0</v>
      </c>
      <c r="G258" s="156">
        <f>$J$12*F821EA!G46</f>
        <v>0</v>
      </c>
      <c r="H258" s="156">
        <f>$J$12*F821EA!H46</f>
        <v>0</v>
      </c>
      <c r="I258" s="156">
        <f>$J$12*F821EA!I46</f>
        <v>0</v>
      </c>
      <c r="J258" s="156">
        <f t="shared" si="60"/>
        <v>0</v>
      </c>
      <c r="K258" s="69"/>
      <c r="L258" s="319">
        <v>1</v>
      </c>
    </row>
    <row r="259" spans="2:12" s="37" customFormat="1" ht="15.75">
      <c r="B259" s="48"/>
      <c r="C259" s="160" t="s">
        <v>305</v>
      </c>
      <c r="D259" s="156">
        <f>$J$12*F821EA!D47*0.95</f>
        <v>0</v>
      </c>
      <c r="E259" s="156">
        <f>$J$12*F821EA!E47*0.95</f>
        <v>0</v>
      </c>
      <c r="F259" s="156">
        <f>$J$12*F821EA!F47*0.95</f>
        <v>0</v>
      </c>
      <c r="G259" s="156">
        <f>$J$12*F821EA!G47*0.95</f>
        <v>0</v>
      </c>
      <c r="H259" s="156">
        <f>$J$12*F821EA!H47*0.95</f>
        <v>0</v>
      </c>
      <c r="I259" s="156">
        <f>$J$12*F821EA!I47*0.95</f>
        <v>0</v>
      </c>
      <c r="J259" s="156">
        <f t="shared" si="60"/>
        <v>0</v>
      </c>
      <c r="K259" s="69"/>
      <c r="L259" s="319">
        <v>0.95</v>
      </c>
    </row>
    <row r="260" spans="2:12" s="37" customFormat="1" ht="15.75">
      <c r="B260" s="48"/>
      <c r="C260" s="160" t="s">
        <v>307</v>
      </c>
      <c r="D260" s="156">
        <f>$J$12*F821EA!D48*0.5</f>
        <v>0</v>
      </c>
      <c r="E260" s="156">
        <f>$J$12*F821EA!E48*0.5</f>
        <v>0</v>
      </c>
      <c r="F260" s="156">
        <f>$J$12*F821EA!F48*0.5</f>
        <v>0</v>
      </c>
      <c r="G260" s="156">
        <f>$J$12*F821EA!G48*0.5</f>
        <v>0</v>
      </c>
      <c r="H260" s="156">
        <f>$J$12*F821EA!H48*0.5</f>
        <v>0</v>
      </c>
      <c r="I260" s="156">
        <f>$J$12*F821EA!I48*0.5</f>
        <v>0</v>
      </c>
      <c r="J260" s="156">
        <f t="shared" si="60"/>
        <v>0</v>
      </c>
      <c r="K260" s="69"/>
      <c r="L260" s="319">
        <v>0.5</v>
      </c>
    </row>
    <row r="261" spans="2:12" s="37" customFormat="1" ht="15.75">
      <c r="B261" s="48"/>
      <c r="C261" s="157"/>
      <c r="D261" s="156"/>
      <c r="E261" s="156"/>
      <c r="F261" s="156"/>
      <c r="G261" s="156"/>
      <c r="H261" s="156"/>
      <c r="I261" s="156"/>
      <c r="J261" s="156"/>
      <c r="K261" s="69"/>
      <c r="L261" s="319"/>
    </row>
    <row r="262" spans="2:12" s="37" customFormat="1" ht="15.75">
      <c r="B262" s="48" t="s">
        <v>1176</v>
      </c>
      <c r="C262" s="158" t="str">
        <f>F821EA!$C$50</f>
        <v>BTSH</v>
      </c>
      <c r="D262" s="159">
        <f t="shared" ref="D262:I262" si="64">SUM(D263:D268)</f>
        <v>0</v>
      </c>
      <c r="E262" s="159">
        <f t="shared" si="64"/>
        <v>0</v>
      </c>
      <c r="F262" s="159">
        <f t="shared" si="64"/>
        <v>0</v>
      </c>
      <c r="G262" s="159">
        <f t="shared" si="64"/>
        <v>0</v>
      </c>
      <c r="H262" s="159">
        <f t="shared" si="64"/>
        <v>0</v>
      </c>
      <c r="I262" s="159">
        <f t="shared" si="64"/>
        <v>0</v>
      </c>
      <c r="J262" s="159">
        <f t="shared" ref="J262:J288" si="65">SUM(D262:I262)</f>
        <v>0</v>
      </c>
      <c r="K262" s="69"/>
      <c r="L262" s="319"/>
    </row>
    <row r="263" spans="2:12" s="37" customFormat="1" ht="15.75">
      <c r="B263" s="48"/>
      <c r="C263" s="160" t="str">
        <f>F821EA!$C$51</f>
        <v xml:space="preserve">    - Regulares</v>
      </c>
      <c r="D263" s="156">
        <f>$J$16*F821EA!D51*1</f>
        <v>0</v>
      </c>
      <c r="E263" s="156">
        <f>$J$16*F821EA!E51*1</f>
        <v>0</v>
      </c>
      <c r="F263" s="156">
        <f>$J$16*F821EA!F51*1</f>
        <v>0</v>
      </c>
      <c r="G263" s="156">
        <f>$J$16*F821EA!G51*1</f>
        <v>0</v>
      </c>
      <c r="H263" s="156">
        <f>$J$16*F821EA!H51*1</f>
        <v>0</v>
      </c>
      <c r="I263" s="156">
        <f>$J$16*F821EA!I51*1</f>
        <v>0</v>
      </c>
      <c r="J263" s="156">
        <f t="shared" si="65"/>
        <v>0</v>
      </c>
      <c r="K263" s="69"/>
      <c r="L263" s="319">
        <v>1</v>
      </c>
    </row>
    <row r="264" spans="2:12" s="37" customFormat="1" ht="15.75">
      <c r="B264" s="48"/>
      <c r="C264" s="162" t="str">
        <f>F821EA!$C$52</f>
        <v xml:space="preserve">    - Jubilados (0 a 600 KWh)</v>
      </c>
      <c r="D264" s="156">
        <f>$J$16*F821EA!D52*0.75</f>
        <v>0</v>
      </c>
      <c r="E264" s="156">
        <f>$J$16*F821EA!E52*0.75</f>
        <v>0</v>
      </c>
      <c r="F264" s="156">
        <f>$J$16*F821EA!F52*0.75</f>
        <v>0</v>
      </c>
      <c r="G264" s="156">
        <f>$J$16*F821EA!G52*0.75</f>
        <v>0</v>
      </c>
      <c r="H264" s="156">
        <f>$J$16*F821EA!H52*0.75</f>
        <v>0</v>
      </c>
      <c r="I264" s="156">
        <f>$J$16*F821EA!I52*0.75</f>
        <v>0</v>
      </c>
      <c r="J264" s="156">
        <f t="shared" si="65"/>
        <v>0</v>
      </c>
      <c r="K264" s="69"/>
      <c r="L264" s="319">
        <v>0.75</v>
      </c>
    </row>
    <row r="265" spans="2:12" s="37" customFormat="1" ht="15.75">
      <c r="B265" s="48"/>
      <c r="C265" s="162" t="str">
        <f>F821EA!$C$53</f>
        <v xml:space="preserve">    - Jubilados (601 y Más KWh)</v>
      </c>
      <c r="D265" s="156">
        <f>$J$16*F821EA!D53*1</f>
        <v>0</v>
      </c>
      <c r="E265" s="156">
        <f>$J$16*F821EA!E53*1</f>
        <v>0</v>
      </c>
      <c r="F265" s="156">
        <f>$J$16*F821EA!F53*1</f>
        <v>0</v>
      </c>
      <c r="G265" s="156">
        <f>$J$16*F821EA!G53*1</f>
        <v>0</v>
      </c>
      <c r="H265" s="156">
        <f>$J$16*F821EA!H53*1</f>
        <v>0</v>
      </c>
      <c r="I265" s="156">
        <f>$J$16*F821EA!I53*1</f>
        <v>0</v>
      </c>
      <c r="J265" s="156">
        <f t="shared" si="65"/>
        <v>0</v>
      </c>
      <c r="K265" s="69"/>
      <c r="L265" s="319">
        <v>1</v>
      </c>
    </row>
    <row r="266" spans="2:12" s="37" customFormat="1" ht="15.75">
      <c r="B266" s="48"/>
      <c r="C266" s="160" t="str">
        <f>F821EA!$C$54</f>
        <v xml:space="preserve">    - Agropecuarios</v>
      </c>
      <c r="D266" s="156">
        <f>$J$16*F821EA!D54*0.95</f>
        <v>0</v>
      </c>
      <c r="E266" s="156">
        <f>$J$16*F821EA!E54*0.95</f>
        <v>0</v>
      </c>
      <c r="F266" s="156">
        <f>$J$16*F821EA!F54*0.95</f>
        <v>0</v>
      </c>
      <c r="G266" s="156">
        <f>$J$16*F821EA!G54*0.95</f>
        <v>0</v>
      </c>
      <c r="H266" s="156">
        <f>$J$16*F821EA!H54*0.95</f>
        <v>0</v>
      </c>
      <c r="I266" s="156">
        <f>$J$16*F821EA!I54*0.95</f>
        <v>0</v>
      </c>
      <c r="J266" s="156">
        <f t="shared" si="65"/>
        <v>0</v>
      </c>
      <c r="K266" s="69"/>
      <c r="L266" s="319">
        <v>0.95</v>
      </c>
    </row>
    <row r="267" spans="2:12" s="37" customFormat="1" ht="15.75">
      <c r="B267" s="48"/>
      <c r="C267" s="160" t="str">
        <f>F821EA!$C$55</f>
        <v xml:space="preserve">    - Partidos Políticos</v>
      </c>
      <c r="D267" s="156">
        <f>$J$16*F821EA!D55*0.5</f>
        <v>0</v>
      </c>
      <c r="E267" s="156">
        <f>$J$16*F821EA!E55*0.5</f>
        <v>0</v>
      </c>
      <c r="F267" s="156">
        <f>$J$16*F821EA!F55*0.5</f>
        <v>0</v>
      </c>
      <c r="G267" s="156">
        <f>$J$16*F821EA!G55*0.5</f>
        <v>0</v>
      </c>
      <c r="H267" s="156">
        <f>$J$16*F821EA!H55*0.5</f>
        <v>0</v>
      </c>
      <c r="I267" s="156">
        <f>$J$16*F821EA!I55*0.5</f>
        <v>0</v>
      </c>
      <c r="J267" s="156">
        <f t="shared" si="65"/>
        <v>0</v>
      </c>
      <c r="K267" s="69"/>
      <c r="L267" s="319">
        <v>0.5</v>
      </c>
    </row>
    <row r="268" spans="2:12" s="37" customFormat="1" ht="15.75">
      <c r="B268" s="48"/>
      <c r="C268" s="160" t="str">
        <f>F821EA!$C$56</f>
        <v xml:space="preserve">    - Cruz Roja</v>
      </c>
      <c r="D268" s="156">
        <f>$J$16*F821EA!D56*0</f>
        <v>0</v>
      </c>
      <c r="E268" s="156">
        <f>$J$16*F821EA!E56*0</f>
        <v>0</v>
      </c>
      <c r="F268" s="156">
        <f>$J$16*F821EA!F56*0</f>
        <v>0</v>
      </c>
      <c r="G268" s="156">
        <f>$J$16*F821EA!G56*0</f>
        <v>0</v>
      </c>
      <c r="H268" s="156">
        <f>$J$16*F821EA!H56*0</f>
        <v>0</v>
      </c>
      <c r="I268" s="156">
        <f>$J$16*F821EA!I56*0</f>
        <v>0</v>
      </c>
      <c r="J268" s="156">
        <f t="shared" si="65"/>
        <v>0</v>
      </c>
      <c r="K268" s="69"/>
      <c r="L268" s="319">
        <v>0</v>
      </c>
    </row>
    <row r="269" spans="2:12" s="37" customFormat="1" ht="15.75">
      <c r="B269" s="48" t="s">
        <v>751</v>
      </c>
      <c r="C269" s="158" t="s">
        <v>634</v>
      </c>
      <c r="D269" s="159">
        <f t="shared" ref="D269:I269" si="66">SUM(D270:D274)</f>
        <v>71429.181742500004</v>
      </c>
      <c r="E269" s="159">
        <f t="shared" si="66"/>
        <v>71009.228675999999</v>
      </c>
      <c r="F269" s="159">
        <f t="shared" si="66"/>
        <v>72083.539509000009</v>
      </c>
      <c r="G269" s="159">
        <f t="shared" si="66"/>
        <v>71653.027983000007</v>
      </c>
      <c r="H269" s="159">
        <f t="shared" si="66"/>
        <v>73541.109712499994</v>
      </c>
      <c r="I269" s="159">
        <f t="shared" si="66"/>
        <v>72517.809763500001</v>
      </c>
      <c r="J269" s="159">
        <f t="shared" si="65"/>
        <v>432233.89738650003</v>
      </c>
      <c r="K269" s="69"/>
      <c r="L269" s="319"/>
    </row>
    <row r="270" spans="2:12" s="37" customFormat="1" ht="15.75">
      <c r="B270" s="48"/>
      <c r="C270" s="160" t="s">
        <v>304</v>
      </c>
      <c r="D270" s="156">
        <f>$J$18*F821EA!D66*$L270</f>
        <v>51937.680180000003</v>
      </c>
      <c r="E270" s="156">
        <f>$J$18*F821EA!E66*$L270</f>
        <v>51484.068930000001</v>
      </c>
      <c r="F270" s="156">
        <f>$J$18*F821EA!F66*$L270</f>
        <v>52292.244510000004</v>
      </c>
      <c r="G270" s="156">
        <f>$J$18*F821EA!G66*$L270</f>
        <v>51890.058089999999</v>
      </c>
      <c r="H270" s="156">
        <f>$J$18*F821EA!H66*$L270</f>
        <v>53331.719279999998</v>
      </c>
      <c r="I270" s="156">
        <f>$J$18*F821EA!I66*$L270</f>
        <v>52269.31278</v>
      </c>
      <c r="J270" s="156">
        <f t="shared" si="65"/>
        <v>313205.08377000003</v>
      </c>
      <c r="K270" s="69"/>
      <c r="L270" s="319">
        <v>1</v>
      </c>
    </row>
    <row r="271" spans="2:12" s="37" customFormat="1" ht="15.75">
      <c r="B271" s="48"/>
      <c r="C271" s="162" t="s">
        <v>644</v>
      </c>
      <c r="D271" s="156">
        <f>$J$18*F821EA!D67*$L271</f>
        <v>19489.7978325</v>
      </c>
      <c r="E271" s="156">
        <f>$J$18*F821EA!E67*$L271</f>
        <v>19523.63682</v>
      </c>
      <c r="F271" s="156">
        <f>$J$18*F821EA!F67*$L271</f>
        <v>19789.671240000003</v>
      </c>
      <c r="G271" s="156">
        <f>$J$18*F821EA!G67*$L271</f>
        <v>19761.007949999999</v>
      </c>
      <c r="H271" s="156">
        <f>$J$18*F821EA!H67*$L271</f>
        <v>20207.312010000001</v>
      </c>
      <c r="I271" s="156">
        <f>$J$18*F821EA!I67*$L271</f>
        <v>20245.728285000001</v>
      </c>
      <c r="J271" s="156">
        <f t="shared" si="65"/>
        <v>119017.15413749999</v>
      </c>
      <c r="K271" s="69"/>
      <c r="L271" s="319">
        <v>0.75</v>
      </c>
    </row>
    <row r="272" spans="2:12" s="37" customFormat="1" ht="15.75">
      <c r="B272" s="48"/>
      <c r="C272" s="160" t="s">
        <v>305</v>
      </c>
      <c r="D272" s="156">
        <f>$J$18*F821EA!D68*$L272</f>
        <v>1.70373</v>
      </c>
      <c r="E272" s="156">
        <f>$J$18*F821EA!E68*$L272</f>
        <v>1.522926</v>
      </c>
      <c r="F272" s="156">
        <f>$J$18*F821EA!F68*$L272</f>
        <v>1.623759</v>
      </c>
      <c r="G272" s="156">
        <f>$J$18*F821EA!G68*$L272</f>
        <v>1.8393329999999999</v>
      </c>
      <c r="H272" s="156">
        <f>$J$18*F821EA!H68*$L272</f>
        <v>2.0253525000000003</v>
      </c>
      <c r="I272" s="156">
        <f>$J$18*F821EA!I68*$L272</f>
        <v>2.6964134999999998</v>
      </c>
      <c r="J272" s="156">
        <f t="shared" si="65"/>
        <v>11.411514</v>
      </c>
      <c r="K272" s="69"/>
      <c r="L272" s="319">
        <v>0.95</v>
      </c>
    </row>
    <row r="273" spans="2:12" s="37" customFormat="1" ht="15.75">
      <c r="B273" s="48"/>
      <c r="C273" s="160" t="s">
        <v>307</v>
      </c>
      <c r="D273" s="156">
        <f>$J$18*F821EA!D69*$L273</f>
        <v>0</v>
      </c>
      <c r="E273" s="156">
        <f>$J$18*F821EA!E69*$L273</f>
        <v>0</v>
      </c>
      <c r="F273" s="156">
        <f>$J$18*F821EA!F69*$L273</f>
        <v>0</v>
      </c>
      <c r="G273" s="156">
        <f>$J$18*F821EA!G69*$L273</f>
        <v>0.12261</v>
      </c>
      <c r="H273" s="156">
        <f>$J$18*F821EA!H69*$L273</f>
        <v>5.3069999999999999E-2</v>
      </c>
      <c r="I273" s="156">
        <f>$J$18*F821EA!I69*$L273</f>
        <v>7.2285000000000002E-2</v>
      </c>
      <c r="J273" s="156">
        <f t="shared" si="65"/>
        <v>0.24796499999999999</v>
      </c>
      <c r="K273" s="69"/>
      <c r="L273" s="319">
        <v>0.5</v>
      </c>
    </row>
    <row r="274" spans="2:12" s="37" customFormat="1" ht="15.75">
      <c r="B274" s="48"/>
      <c r="C274" s="160" t="s">
        <v>624</v>
      </c>
      <c r="D274" s="156">
        <f>$J$18*F821EA!D70*$L274</f>
        <v>0</v>
      </c>
      <c r="E274" s="156">
        <f>$J$18*F821EA!E70*$L274</f>
        <v>0</v>
      </c>
      <c r="F274" s="156">
        <f>$J$18*F821EA!F70*$L274</f>
        <v>0</v>
      </c>
      <c r="G274" s="156">
        <f>$J$18*F821EA!G70*$L274</f>
        <v>0</v>
      </c>
      <c r="H274" s="156">
        <f>$J$18*F821EA!H70*$L274</f>
        <v>0</v>
      </c>
      <c r="I274" s="156">
        <f>$J$18*F821EA!I70*$L274</f>
        <v>0</v>
      </c>
      <c r="J274" s="156">
        <f t="shared" si="65"/>
        <v>0</v>
      </c>
      <c r="K274" s="69"/>
      <c r="L274" s="319">
        <v>0</v>
      </c>
    </row>
    <row r="275" spans="2:12" s="37" customFormat="1" ht="15.75">
      <c r="B275" s="48" t="s">
        <v>750</v>
      </c>
      <c r="C275" s="158" t="s">
        <v>635</v>
      </c>
      <c r="D275" s="159">
        <f t="shared" ref="D275:I275" si="67">SUM(D276:D281)</f>
        <v>80897.203534500019</v>
      </c>
      <c r="E275" s="159">
        <f t="shared" si="67"/>
        <v>81815.0940195</v>
      </c>
      <c r="F275" s="159">
        <f t="shared" si="67"/>
        <v>79625.084250000014</v>
      </c>
      <c r="G275" s="159">
        <f t="shared" si="67"/>
        <v>79539.7071555</v>
      </c>
      <c r="H275" s="159">
        <f t="shared" si="67"/>
        <v>76752.836389500007</v>
      </c>
      <c r="I275" s="159">
        <f t="shared" si="67"/>
        <v>74948.517145500009</v>
      </c>
      <c r="J275" s="159">
        <f t="shared" si="65"/>
        <v>473578.44249450002</v>
      </c>
      <c r="K275" s="69"/>
      <c r="L275" s="319"/>
    </row>
    <row r="276" spans="2:12" s="37" customFormat="1" ht="15.75">
      <c r="B276" s="48"/>
      <c r="C276" s="160" t="s">
        <v>304</v>
      </c>
      <c r="D276" s="156">
        <f>$J$18*F821EA!D72*$L276</f>
        <v>52373.081100000003</v>
      </c>
      <c r="E276" s="156">
        <f>$J$18*F821EA!E72*$L276</f>
        <v>53055.502740000004</v>
      </c>
      <c r="F276" s="156">
        <f>$J$18*F821EA!F72*$L276</f>
        <v>51410.709719999999</v>
      </c>
      <c r="G276" s="156">
        <f>$J$18*F821EA!G72*$L276</f>
        <v>51262.100910000001</v>
      </c>
      <c r="H276" s="156">
        <f>$J$18*F821EA!H72*$L276</f>
        <v>49307.902470000001</v>
      </c>
      <c r="I276" s="156">
        <f>$J$18*F821EA!I72*$L276</f>
        <v>47999.08281</v>
      </c>
      <c r="J276" s="156">
        <f t="shared" si="65"/>
        <v>305408.37975000002</v>
      </c>
      <c r="K276" s="69"/>
      <c r="L276" s="319">
        <v>1</v>
      </c>
    </row>
    <row r="277" spans="2:12" s="37" customFormat="1" ht="15.75">
      <c r="B277" s="48"/>
      <c r="C277" s="162" t="s">
        <v>642</v>
      </c>
      <c r="D277" s="156">
        <f>$J$18*F821EA!D73*$L277</f>
        <v>27692.246250000004</v>
      </c>
      <c r="E277" s="156">
        <f>$J$18*F821EA!E73*$L277</f>
        <v>27907.614832499999</v>
      </c>
      <c r="F277" s="156">
        <f>$J$18*F821EA!F73*$L277</f>
        <v>27423.134685000005</v>
      </c>
      <c r="G277" s="156">
        <f>$J$18*F821EA!G73*$L277</f>
        <v>27492.056145000002</v>
      </c>
      <c r="H277" s="156">
        <f>$J$18*F821EA!H73*$L277</f>
        <v>26699.308379999999</v>
      </c>
      <c r="I277" s="156">
        <f>$J$18*F821EA!I73*$L277</f>
        <v>26185.970047500003</v>
      </c>
      <c r="J277" s="156">
        <f t="shared" si="65"/>
        <v>163400.33034000004</v>
      </c>
      <c r="K277" s="69"/>
      <c r="L277" s="319">
        <v>0.75</v>
      </c>
    </row>
    <row r="278" spans="2:12" s="37" customFormat="1" ht="15.75">
      <c r="B278" s="48"/>
      <c r="C278" s="162" t="s">
        <v>1177</v>
      </c>
      <c r="D278" s="156">
        <f>$J$18*F821EA!D74*$L278</f>
        <v>829.51704000000007</v>
      </c>
      <c r="E278" s="156">
        <f>$J$18*F821EA!E74*$L278</f>
        <v>849.53907000000004</v>
      </c>
      <c r="F278" s="156">
        <f>$J$18*F821EA!F74*$L278</f>
        <v>787.57160999999996</v>
      </c>
      <c r="G278" s="156">
        <f>$J$18*F821EA!G74*$L278</f>
        <v>783.23267999999996</v>
      </c>
      <c r="H278" s="156">
        <f>$J$18*F821EA!H74*$L278</f>
        <v>740.35212000000001</v>
      </c>
      <c r="I278" s="156">
        <f>$J$18*F821EA!I74*$L278</f>
        <v>758.86073999999996</v>
      </c>
      <c r="J278" s="156">
        <f t="shared" si="65"/>
        <v>4749.0732600000001</v>
      </c>
      <c r="K278" s="69"/>
      <c r="L278" s="319">
        <v>1</v>
      </c>
    </row>
    <row r="279" spans="2:12" s="37" customFormat="1" ht="15.75">
      <c r="B279" s="48"/>
      <c r="C279" s="160" t="s">
        <v>305</v>
      </c>
      <c r="D279" s="156">
        <f>$J$18*F821EA!D75*$L279</f>
        <v>2.3591444999999998</v>
      </c>
      <c r="E279" s="156">
        <f>$J$18*F821EA!E75*$L279</f>
        <v>2.4373769999999997</v>
      </c>
      <c r="F279" s="156">
        <f>$J$18*F821EA!F75*$L279</f>
        <v>3.6682349999999997</v>
      </c>
      <c r="G279" s="156">
        <f>$J$18*F821EA!G75*$L279</f>
        <v>2.3174204999999999</v>
      </c>
      <c r="H279" s="156">
        <f>$J$18*F821EA!H75*$L279</f>
        <v>4.6191944999999999</v>
      </c>
      <c r="I279" s="156">
        <f>$J$18*F821EA!I75*$L279</f>
        <v>4.603548</v>
      </c>
      <c r="J279" s="156">
        <f t="shared" si="65"/>
        <v>20.004919499999996</v>
      </c>
      <c r="K279" s="69"/>
      <c r="L279" s="319">
        <v>0.95</v>
      </c>
    </row>
    <row r="280" spans="2:12" s="37" customFormat="1" ht="15.75">
      <c r="B280" s="48"/>
      <c r="C280" s="160" t="s">
        <v>307</v>
      </c>
      <c r="D280" s="156">
        <f>$J$18*F821EA!D76*$L280</f>
        <v>0</v>
      </c>
      <c r="E280" s="156">
        <f>$J$18*F821EA!E76*$L280</f>
        <v>0</v>
      </c>
      <c r="F280" s="156">
        <f>$J$18*F821EA!F76*$L280</f>
        <v>0</v>
      </c>
      <c r="G280" s="156">
        <f>$J$18*F821EA!G76*$L280</f>
        <v>0</v>
      </c>
      <c r="H280" s="156">
        <f>$J$18*F821EA!H76*$L280</f>
        <v>0.65422500000000006</v>
      </c>
      <c r="I280" s="156">
        <f>$J$18*F821EA!I76*$L280</f>
        <v>0</v>
      </c>
      <c r="J280" s="156">
        <f t="shared" si="65"/>
        <v>0.65422500000000006</v>
      </c>
      <c r="K280" s="69"/>
      <c r="L280" s="319">
        <v>0.5</v>
      </c>
    </row>
    <row r="281" spans="2:12" s="37" customFormat="1" ht="15.75">
      <c r="B281" s="48"/>
      <c r="C281" s="160" t="s">
        <v>624</v>
      </c>
      <c r="D281" s="156">
        <f>$J$18*F821EA!D77*$L281</f>
        <v>0</v>
      </c>
      <c r="E281" s="156">
        <f>$J$18*F821EA!E77*$L281</f>
        <v>0</v>
      </c>
      <c r="F281" s="156">
        <f>$J$18*F821EA!F77*$L281</f>
        <v>0</v>
      </c>
      <c r="G281" s="156">
        <f>$J$18*F821EA!G77*$L281</f>
        <v>0</v>
      </c>
      <c r="H281" s="156">
        <f>$J$18*F821EA!H77*$L281</f>
        <v>0</v>
      </c>
      <c r="I281" s="156">
        <f>$J$18*F821EA!I77*$L281</f>
        <v>0</v>
      </c>
      <c r="J281" s="156">
        <f t="shared" si="65"/>
        <v>0</v>
      </c>
      <c r="K281" s="69"/>
      <c r="L281" s="319">
        <v>0</v>
      </c>
    </row>
    <row r="282" spans="2:12" s="37" customFormat="1" ht="15.75">
      <c r="B282" s="48" t="s">
        <v>749</v>
      </c>
      <c r="C282" s="158" t="s">
        <v>636</v>
      </c>
      <c r="D282" s="159">
        <f t="shared" ref="D282:I282" si="68">SUM(D283:D288)</f>
        <v>97751.923702500004</v>
      </c>
      <c r="E282" s="159">
        <f t="shared" si="68"/>
        <v>97270.020103500006</v>
      </c>
      <c r="F282" s="159">
        <f t="shared" si="68"/>
        <v>94941.53734499999</v>
      </c>
      <c r="G282" s="159">
        <f t="shared" si="68"/>
        <v>96268.065182999999</v>
      </c>
      <c r="H282" s="159">
        <f t="shared" si="68"/>
        <v>88716.661133999994</v>
      </c>
      <c r="I282" s="159">
        <f t="shared" si="68"/>
        <v>92090.11460999999</v>
      </c>
      <c r="J282" s="159">
        <f t="shared" si="65"/>
        <v>567038.32207800006</v>
      </c>
      <c r="K282" s="69"/>
      <c r="L282" s="319"/>
    </row>
    <row r="283" spans="2:12" s="37" customFormat="1" ht="15.75">
      <c r="B283" s="48"/>
      <c r="C283" s="160" t="s">
        <v>304</v>
      </c>
      <c r="D283" s="156">
        <f>$J$18*F821EA!D79*$L283</f>
        <v>83965.104930000001</v>
      </c>
      <c r="E283" s="156">
        <f>$J$18*F821EA!E79*$L283</f>
        <v>83817.617910000001</v>
      </c>
      <c r="F283" s="156">
        <f>$J$18*F821EA!F79*$L283</f>
        <v>82149.296579999995</v>
      </c>
      <c r="G283" s="156">
        <f>$J$18*F821EA!G79*$L283</f>
        <v>83262.467279999997</v>
      </c>
      <c r="H283" s="156">
        <f>$J$18*F821EA!H79*$L283</f>
        <v>77218.482359999995</v>
      </c>
      <c r="I283" s="156">
        <f>$J$18*F821EA!I79*$L283</f>
        <v>79787.460149999999</v>
      </c>
      <c r="J283" s="156">
        <f t="shared" si="65"/>
        <v>490200.42921000003</v>
      </c>
      <c r="K283" s="69"/>
      <c r="L283" s="319">
        <v>1</v>
      </c>
    </row>
    <row r="284" spans="2:12" s="37" customFormat="1" ht="15.75">
      <c r="B284" s="48"/>
      <c r="C284" s="162" t="s">
        <v>642</v>
      </c>
      <c r="D284" s="156">
        <f>$J$18*F821EA!D80*$L284</f>
        <v>6534.5136750000001</v>
      </c>
      <c r="E284" s="156">
        <f>$J$18*F821EA!E80*$L284</f>
        <v>6404.4006749999999</v>
      </c>
      <c r="F284" s="156">
        <f>$J$18*F821EA!F80*$L284</f>
        <v>6094.0784249999997</v>
      </c>
      <c r="G284" s="156">
        <f>$J$18*F821EA!G80*$L284</f>
        <v>6170.0463</v>
      </c>
      <c r="H284" s="156">
        <f>$J$18*F821EA!H80*$L284</f>
        <v>5472.0888750000004</v>
      </c>
      <c r="I284" s="156">
        <f>$J$18*F821EA!I80*$L284</f>
        <v>5697.3161250000003</v>
      </c>
      <c r="J284" s="156">
        <f t="shared" si="65"/>
        <v>36372.444074999999</v>
      </c>
      <c r="K284" s="69"/>
      <c r="L284" s="319">
        <v>0.75</v>
      </c>
    </row>
    <row r="285" spans="2:12" s="37" customFormat="1" ht="15.75">
      <c r="B285" s="48"/>
      <c r="C285" s="162" t="s">
        <v>1177</v>
      </c>
      <c r="D285" s="156">
        <f>$J$18*F821EA!D81*$L285</f>
        <v>7197.0715799999998</v>
      </c>
      <c r="E285" s="156">
        <f>$J$18*F821EA!E81*$L285</f>
        <v>6988.6803300000001</v>
      </c>
      <c r="F285" s="156">
        <f>$J$18*F821EA!F81*$L285</f>
        <v>6647.9270100000003</v>
      </c>
      <c r="G285" s="156">
        <f>$J$18*F821EA!G81*$L285</f>
        <v>6788.6686500000005</v>
      </c>
      <c r="H285" s="156">
        <f>$J$18*F821EA!H81*$L285</f>
        <v>5985.1064999999999</v>
      </c>
      <c r="I285" s="156">
        <f>$J$18*F821EA!I81*$L285</f>
        <v>6586.4573099999998</v>
      </c>
      <c r="J285" s="156">
        <f t="shared" si="65"/>
        <v>40193.911379999998</v>
      </c>
      <c r="K285" s="69"/>
      <c r="L285" s="319">
        <v>1</v>
      </c>
    </row>
    <row r="286" spans="2:12" s="37" customFormat="1" ht="15.75">
      <c r="B286" s="48"/>
      <c r="C286" s="160" t="s">
        <v>305</v>
      </c>
      <c r="D286" s="156">
        <f>$J$18*F821EA!D82*$L286</f>
        <v>54.336817499999995</v>
      </c>
      <c r="E286" s="156">
        <f>$J$18*F821EA!E82*$L286</f>
        <v>58.571803500000001</v>
      </c>
      <c r="F286" s="156">
        <f>$J$18*F821EA!F82*$L286</f>
        <v>49.356014999999992</v>
      </c>
      <c r="G286" s="156">
        <f>$J$18*F821EA!G82*$L286</f>
        <v>46.049387999999993</v>
      </c>
      <c r="H286" s="156">
        <f>$J$18*F821EA!H82*$L286</f>
        <v>40.983398999999999</v>
      </c>
      <c r="I286" s="156">
        <f>$J$18*F821EA!I82*$L286</f>
        <v>18.028244999999998</v>
      </c>
      <c r="J286" s="156">
        <f t="shared" si="65"/>
        <v>267.32566799999995</v>
      </c>
      <c r="K286" s="69"/>
      <c r="L286" s="319">
        <v>0.95</v>
      </c>
    </row>
    <row r="287" spans="2:12" s="37" customFormat="1" ht="15.75">
      <c r="B287" s="48"/>
      <c r="C287" s="160" t="s">
        <v>307</v>
      </c>
      <c r="D287" s="156">
        <f>$J$18*F821EA!D83*$L287</f>
        <v>0.89670000000000005</v>
      </c>
      <c r="E287" s="156">
        <f>$J$18*F821EA!E83*$L287</f>
        <v>0.74938499999999997</v>
      </c>
      <c r="F287" s="156">
        <f>$J$18*F821EA!F83*$L287</f>
        <v>0.87931500000000007</v>
      </c>
      <c r="G287" s="156">
        <f>$J$18*F821EA!G83*$L287</f>
        <v>0.833565</v>
      </c>
      <c r="H287" s="156">
        <f>$J$18*F821EA!H83*$L287</f>
        <v>0</v>
      </c>
      <c r="I287" s="156">
        <f>$J$18*F821EA!I83*$L287</f>
        <v>0.85277999999999998</v>
      </c>
      <c r="J287" s="156">
        <f t="shared" si="65"/>
        <v>4.2117450000000005</v>
      </c>
      <c r="K287" s="69"/>
      <c r="L287" s="319">
        <v>0.5</v>
      </c>
    </row>
    <row r="288" spans="2:12" s="37" customFormat="1" ht="15.75">
      <c r="B288" s="48"/>
      <c r="C288" s="160" t="s">
        <v>624</v>
      </c>
      <c r="D288" s="156">
        <f>$J$18*F821EA!D84*$L288</f>
        <v>0</v>
      </c>
      <c r="E288" s="156">
        <f>$J$18*F821EA!E84*$L288</f>
        <v>0</v>
      </c>
      <c r="F288" s="156">
        <f>$J$18*F821EA!F84*$L288</f>
        <v>0</v>
      </c>
      <c r="G288" s="156">
        <f>$J$18*F821EA!G84*$L288</f>
        <v>0</v>
      </c>
      <c r="H288" s="156">
        <f>$J$18*F821EA!H84*$L288</f>
        <v>0</v>
      </c>
      <c r="I288" s="156">
        <f>$J$18*F821EA!I84*$L288</f>
        <v>0</v>
      </c>
      <c r="J288" s="156">
        <f t="shared" si="65"/>
        <v>0</v>
      </c>
      <c r="K288" s="69"/>
      <c r="L288" s="319">
        <v>0</v>
      </c>
    </row>
    <row r="289" spans="2:12" s="37" customFormat="1" ht="15.75">
      <c r="B289" s="48"/>
      <c r="C289" s="157"/>
      <c r="D289" s="156"/>
      <c r="E289" s="156"/>
      <c r="F289" s="156"/>
      <c r="G289" s="156"/>
      <c r="H289" s="156"/>
      <c r="I289" s="156"/>
      <c r="J289" s="156"/>
      <c r="K289" s="69"/>
      <c r="L289" s="319"/>
    </row>
    <row r="290" spans="2:12" s="37" customFormat="1" ht="15.75">
      <c r="B290" s="48" t="s">
        <v>902</v>
      </c>
      <c r="C290" s="158" t="s">
        <v>898</v>
      </c>
      <c r="D290" s="159">
        <f t="shared" ref="D290:I290" si="69">SUM(D291:D295)</f>
        <v>24183.552937500001</v>
      </c>
      <c r="E290" s="159">
        <f t="shared" si="69"/>
        <v>23881.974885000003</v>
      </c>
      <c r="F290" s="159">
        <f t="shared" si="69"/>
        <v>24771.562590000001</v>
      </c>
      <c r="G290" s="159">
        <f t="shared" si="69"/>
        <v>24206.980597500002</v>
      </c>
      <c r="H290" s="159">
        <f t="shared" si="69"/>
        <v>22940.9756175</v>
      </c>
      <c r="I290" s="159">
        <f t="shared" si="69"/>
        <v>24514.692352500002</v>
      </c>
      <c r="J290" s="159">
        <f t="shared" ref="J290:J309" si="70">SUM(D290:I290)</f>
        <v>144499.73898000002</v>
      </c>
      <c r="K290" s="69"/>
      <c r="L290" s="319"/>
    </row>
    <row r="291" spans="2:12" s="37" customFormat="1" ht="15.75">
      <c r="B291" s="48"/>
      <c r="C291" s="160" t="s">
        <v>304</v>
      </c>
      <c r="D291" s="156">
        <f>$J$17*F821EA!D87*$L291</f>
        <v>23262.947189999999</v>
      </c>
      <c r="E291" s="156">
        <f>$J$17*F821EA!E87*$L291</f>
        <v>22996.292400000002</v>
      </c>
      <c r="F291" s="156">
        <f>$J$17*F821EA!F87*$L291</f>
        <v>23839.525290000001</v>
      </c>
      <c r="G291" s="156">
        <f>$J$17*F821EA!G87*$L291</f>
        <v>23266.75359</v>
      </c>
      <c r="H291" s="156">
        <f>$J$17*F821EA!H87*$L291</f>
        <v>22070.597880000001</v>
      </c>
      <c r="I291" s="156">
        <f>$J$17*F821EA!I87*$L291</f>
        <v>23545.442460000002</v>
      </c>
      <c r="J291" s="156">
        <f t="shared" si="70"/>
        <v>138981.55881000002</v>
      </c>
      <c r="K291" s="69"/>
      <c r="L291" s="319">
        <v>1</v>
      </c>
    </row>
    <row r="292" spans="2:12" s="37" customFormat="1" ht="15.75">
      <c r="B292" s="48"/>
      <c r="C292" s="162" t="s">
        <v>644</v>
      </c>
      <c r="D292" s="156">
        <f>$J$17*F821EA!D88*$L292</f>
        <v>920.60574750000001</v>
      </c>
      <c r="E292" s="156">
        <f>$J$17*F821EA!E88*$L292</f>
        <v>885.68248500000004</v>
      </c>
      <c r="F292" s="156">
        <f>$J$17*F821EA!F88*$L292</f>
        <v>932.03729999999996</v>
      </c>
      <c r="G292" s="156">
        <f>$J$17*F821EA!G88*$L292</f>
        <v>940.2270074999999</v>
      </c>
      <c r="H292" s="156">
        <f>$J$17*F821EA!H88*$L292</f>
        <v>870.37773750000008</v>
      </c>
      <c r="I292" s="156">
        <f>$J$17*F821EA!I88*$L292</f>
        <v>969.24989249999999</v>
      </c>
      <c r="J292" s="156">
        <f t="shared" si="70"/>
        <v>5518.1801699999996</v>
      </c>
      <c r="K292" s="69"/>
      <c r="L292" s="319">
        <v>0.75</v>
      </c>
    </row>
    <row r="293" spans="2:12" s="37" customFormat="1" ht="15.75">
      <c r="B293" s="48"/>
      <c r="C293" s="160" t="s">
        <v>305</v>
      </c>
      <c r="D293" s="156">
        <f>$J$17*F821EA!D89*$L293</f>
        <v>0</v>
      </c>
      <c r="E293" s="156">
        <f>$J$17*F821EA!E89*$L293</f>
        <v>0</v>
      </c>
      <c r="F293" s="156">
        <f>$J$17*F821EA!F89*$L293</f>
        <v>0</v>
      </c>
      <c r="G293" s="156">
        <f>$J$17*F821EA!G89*$L293</f>
        <v>0</v>
      </c>
      <c r="H293" s="156">
        <f>$J$17*F821EA!H89*$L293</f>
        <v>0</v>
      </c>
      <c r="I293" s="156">
        <f>$J$17*F821EA!I89*$L293</f>
        <v>0</v>
      </c>
      <c r="J293" s="156">
        <f t="shared" si="70"/>
        <v>0</v>
      </c>
      <c r="K293" s="69"/>
      <c r="L293" s="319">
        <v>0.95</v>
      </c>
    </row>
    <row r="294" spans="2:12" s="37" customFormat="1" ht="15.75">
      <c r="B294" s="48"/>
      <c r="C294" s="160" t="s">
        <v>307</v>
      </c>
      <c r="D294" s="156">
        <f>$J$17*F821EA!D90*$L294</f>
        <v>0</v>
      </c>
      <c r="E294" s="156">
        <f>$J$17*F821EA!E90*$L294</f>
        <v>0</v>
      </c>
      <c r="F294" s="156">
        <f>$J$17*F821EA!F90*$L294</f>
        <v>0</v>
      </c>
      <c r="G294" s="156">
        <f>$J$17*F821EA!G90*$L294</f>
        <v>0</v>
      </c>
      <c r="H294" s="156">
        <f>$J$17*F821EA!H90*$L294</f>
        <v>0</v>
      </c>
      <c r="I294" s="156">
        <f>$J$17*F821EA!I90*$L294</f>
        <v>0</v>
      </c>
      <c r="J294" s="156">
        <f t="shared" si="70"/>
        <v>0</v>
      </c>
      <c r="K294" s="69"/>
      <c r="L294" s="319">
        <v>0.5</v>
      </c>
    </row>
    <row r="295" spans="2:12" s="37" customFormat="1" ht="15.75">
      <c r="B295" s="48"/>
      <c r="C295" s="160" t="s">
        <v>624</v>
      </c>
      <c r="D295" s="156">
        <f>$J$17*F821EA!D91*$L295</f>
        <v>0</v>
      </c>
      <c r="E295" s="156">
        <f>$J$17*F821EA!E91*$L295</f>
        <v>0</v>
      </c>
      <c r="F295" s="156">
        <f>$J$17*F821EA!F91*$L295</f>
        <v>0</v>
      </c>
      <c r="G295" s="156">
        <f>$J$17*F821EA!G91*$L295</f>
        <v>0</v>
      </c>
      <c r="H295" s="156">
        <f>$J$17*F821EA!H91*$L295</f>
        <v>0</v>
      </c>
      <c r="I295" s="156">
        <f>$J$17*F821EA!I91*$L295</f>
        <v>0</v>
      </c>
      <c r="J295" s="156">
        <f t="shared" si="70"/>
        <v>0</v>
      </c>
      <c r="K295" s="69"/>
      <c r="L295" s="319">
        <v>0</v>
      </c>
    </row>
    <row r="296" spans="2:12" s="37" customFormat="1" ht="15.75">
      <c r="B296" s="48" t="s">
        <v>902</v>
      </c>
      <c r="C296" s="158" t="s">
        <v>899</v>
      </c>
      <c r="D296" s="159">
        <f t="shared" ref="D296:I296" si="71">SUM(D297:D302)</f>
        <v>2126.1228225</v>
      </c>
      <c r="E296" s="159">
        <f t="shared" si="71"/>
        <v>1976.9224650000001</v>
      </c>
      <c r="F296" s="159">
        <f t="shared" si="71"/>
        <v>1845.2576250000002</v>
      </c>
      <c r="G296" s="159">
        <f t="shared" si="71"/>
        <v>1990.951245</v>
      </c>
      <c r="H296" s="159">
        <f t="shared" si="71"/>
        <v>1525.8027599999998</v>
      </c>
      <c r="I296" s="159">
        <f t="shared" si="71"/>
        <v>1972.0006800000001</v>
      </c>
      <c r="J296" s="159">
        <f t="shared" si="70"/>
        <v>11437.057597499999</v>
      </c>
      <c r="K296" s="69"/>
      <c r="L296" s="319"/>
    </row>
    <row r="297" spans="2:12" s="37" customFormat="1" ht="15.75">
      <c r="B297" s="48"/>
      <c r="C297" s="160" t="s">
        <v>304</v>
      </c>
      <c r="D297" s="156">
        <f>$J$17*F821EA!D93*$L297</f>
        <v>1937.31852</v>
      </c>
      <c r="E297" s="156">
        <f>$J$17*F821EA!E93*$L297</f>
        <v>1806.5906400000001</v>
      </c>
      <c r="F297" s="156">
        <f>$J$17*F821EA!F93*$L297</f>
        <v>1665.0987</v>
      </c>
      <c r="G297" s="156">
        <f>$J$17*F821EA!G93*$L297</f>
        <v>1812.8400899999999</v>
      </c>
      <c r="H297" s="156">
        <f>$J$17*F821EA!H93*$L297</f>
        <v>1381.5511799999999</v>
      </c>
      <c r="I297" s="156">
        <f>$J$17*F821EA!I93*$L297</f>
        <v>1785.6938700000001</v>
      </c>
      <c r="J297" s="156">
        <f t="shared" si="70"/>
        <v>10389.093000000001</v>
      </c>
      <c r="K297" s="69"/>
      <c r="L297" s="319">
        <v>1</v>
      </c>
    </row>
    <row r="298" spans="2:12" s="37" customFormat="1" ht="15.75">
      <c r="B298" s="48"/>
      <c r="C298" s="162" t="s">
        <v>642</v>
      </c>
      <c r="D298" s="156">
        <f>$J$17*F821EA!D94*$L298</f>
        <v>167.91851250000002</v>
      </c>
      <c r="E298" s="156">
        <f>$J$17*F821EA!E94*$L298</f>
        <v>155.25445500000001</v>
      </c>
      <c r="F298" s="156">
        <f>$J$17*F821EA!F94*$L298</f>
        <v>165.147435</v>
      </c>
      <c r="G298" s="156">
        <f>$J$17*F821EA!G94*$L298</f>
        <v>161.35384500000001</v>
      </c>
      <c r="H298" s="156">
        <f>$J$17*F821EA!H94*$L298</f>
        <v>131.15609999999998</v>
      </c>
      <c r="I298" s="156">
        <f>$J$17*F821EA!I94*$L298</f>
        <v>169.47081</v>
      </c>
      <c r="J298" s="156">
        <f t="shared" si="70"/>
        <v>950.30115750000004</v>
      </c>
      <c r="K298" s="69"/>
      <c r="L298" s="319">
        <v>0.75</v>
      </c>
    </row>
    <row r="299" spans="2:12" s="37" customFormat="1" ht="15.75">
      <c r="B299" s="48"/>
      <c r="C299" s="162" t="s">
        <v>1177</v>
      </c>
      <c r="D299" s="156">
        <f>$J$17*F821EA!D95*$L299</f>
        <v>20.88579</v>
      </c>
      <c r="E299" s="156">
        <f>$J$17*F821EA!E95*$L299</f>
        <v>15.07737</v>
      </c>
      <c r="F299" s="156">
        <f>$J$17*F821EA!F95*$L299</f>
        <v>15.01149</v>
      </c>
      <c r="G299" s="156">
        <f>$J$17*F821EA!G95*$L299</f>
        <v>16.75731</v>
      </c>
      <c r="H299" s="156">
        <f>$J$17*F821EA!H95*$L299</f>
        <v>13.09548</v>
      </c>
      <c r="I299" s="156">
        <f>$J$17*F821EA!I95*$L299</f>
        <v>16.835999999999999</v>
      </c>
      <c r="J299" s="156">
        <f t="shared" si="70"/>
        <v>97.663439999999994</v>
      </c>
      <c r="K299" s="69"/>
      <c r="L299" s="319">
        <v>1</v>
      </c>
    </row>
    <row r="300" spans="2:12" s="37" customFormat="1" ht="15.75">
      <c r="B300" s="48"/>
      <c r="C300" s="160" t="s">
        <v>305</v>
      </c>
      <c r="D300" s="156">
        <f>$J$17*F821EA!D96*$L300</f>
        <v>0</v>
      </c>
      <c r="E300" s="156">
        <f>$J$17*F821EA!E96*$L300</f>
        <v>0</v>
      </c>
      <c r="F300" s="156">
        <f>$J$17*F821EA!F96*$L300</f>
        <v>0</v>
      </c>
      <c r="G300" s="156">
        <f>$J$17*F821EA!G96*$L300</f>
        <v>0</v>
      </c>
      <c r="H300" s="156">
        <f>$J$17*F821EA!H96*$L300</f>
        <v>0</v>
      </c>
      <c r="I300" s="156">
        <f>$J$17*F821EA!I96*$L300</f>
        <v>0</v>
      </c>
      <c r="J300" s="156">
        <f t="shared" si="70"/>
        <v>0</v>
      </c>
      <c r="K300" s="69"/>
      <c r="L300" s="319">
        <v>0.95</v>
      </c>
    </row>
    <row r="301" spans="2:12" s="37" customFormat="1" ht="15.75">
      <c r="B301" s="48"/>
      <c r="C301" s="160" t="s">
        <v>307</v>
      </c>
      <c r="D301" s="156">
        <f>$J$17*F821EA!D97*$L301</f>
        <v>0</v>
      </c>
      <c r="E301" s="156">
        <f>$J$17*F821EA!E97*$L301</f>
        <v>0</v>
      </c>
      <c r="F301" s="156">
        <f>$J$17*F821EA!F97*$L301</f>
        <v>0</v>
      </c>
      <c r="G301" s="156">
        <f>$J$17*F821EA!G97*$L301</f>
        <v>0</v>
      </c>
      <c r="H301" s="156">
        <f>$J$17*F821EA!H97*$L301</f>
        <v>0</v>
      </c>
      <c r="I301" s="156">
        <f>$J$17*F821EA!I97*$L301</f>
        <v>0</v>
      </c>
      <c r="J301" s="156">
        <f t="shared" si="70"/>
        <v>0</v>
      </c>
      <c r="K301" s="69"/>
      <c r="L301" s="319">
        <v>0.5</v>
      </c>
    </row>
    <row r="302" spans="2:12" s="37" customFormat="1" ht="15.75">
      <c r="B302" s="48"/>
      <c r="C302" s="160" t="s">
        <v>624</v>
      </c>
      <c r="D302" s="156">
        <f>$J$17*F821EA!D98*$L302</f>
        <v>0</v>
      </c>
      <c r="E302" s="156">
        <f>$J$17*F821EA!E98*$L302</f>
        <v>0</v>
      </c>
      <c r="F302" s="156">
        <f>$J$17*F821EA!F98*$L302</f>
        <v>0</v>
      </c>
      <c r="G302" s="156">
        <f>$J$17*F821EA!G98*$L302</f>
        <v>0</v>
      </c>
      <c r="H302" s="156">
        <f>$J$17*F821EA!H98*$L302</f>
        <v>0</v>
      </c>
      <c r="I302" s="156">
        <f>$J$17*F821EA!I98*$L302</f>
        <v>0</v>
      </c>
      <c r="J302" s="156">
        <f t="shared" si="70"/>
        <v>0</v>
      </c>
      <c r="K302" s="69"/>
      <c r="L302" s="319">
        <v>0</v>
      </c>
    </row>
    <row r="303" spans="2:12" s="37" customFormat="1" ht="15.75">
      <c r="B303" s="48" t="s">
        <v>902</v>
      </c>
      <c r="C303" s="158" t="s">
        <v>900</v>
      </c>
      <c r="D303" s="159">
        <f t="shared" ref="D303:I303" si="72">SUM(D304:D309)</f>
        <v>226.70955000000001</v>
      </c>
      <c r="E303" s="159">
        <f t="shared" si="72"/>
        <v>224.9980425</v>
      </c>
      <c r="F303" s="159">
        <f t="shared" si="72"/>
        <v>254.16458250000002</v>
      </c>
      <c r="G303" s="159">
        <f t="shared" si="72"/>
        <v>192.69671249999999</v>
      </c>
      <c r="H303" s="159">
        <f t="shared" si="72"/>
        <v>152.20933500000001</v>
      </c>
      <c r="I303" s="159">
        <f t="shared" si="72"/>
        <v>213.99013500000001</v>
      </c>
      <c r="J303" s="159">
        <f t="shared" si="70"/>
        <v>1264.7683575000001</v>
      </c>
      <c r="K303" s="69"/>
      <c r="L303" s="319"/>
    </row>
    <row r="304" spans="2:12" s="37" customFormat="1" ht="15.75">
      <c r="B304" s="48"/>
      <c r="C304" s="160" t="s">
        <v>304</v>
      </c>
      <c r="D304" s="156">
        <f>$J$17*F821EA!D100*$L304</f>
        <v>218.32083</v>
      </c>
      <c r="E304" s="156">
        <f>$J$17*F821EA!E100*$L304</f>
        <v>220.56623999999999</v>
      </c>
      <c r="F304" s="156">
        <f>$J$17*F821EA!F100*$L304</f>
        <v>248.04186000000001</v>
      </c>
      <c r="G304" s="156">
        <f>$J$17*F821EA!G100*$L304</f>
        <v>184.96541999999999</v>
      </c>
      <c r="H304" s="156">
        <f>$J$17*F821EA!H100*$L304</f>
        <v>148.83573000000001</v>
      </c>
      <c r="I304" s="156">
        <f>$J$17*F821EA!I100*$L304</f>
        <v>207.99780000000001</v>
      </c>
      <c r="J304" s="156">
        <f t="shared" si="70"/>
        <v>1228.7278800000001</v>
      </c>
      <c r="K304" s="69"/>
      <c r="L304" s="319">
        <v>1</v>
      </c>
    </row>
    <row r="305" spans="2:12" s="37" customFormat="1" ht="15.75">
      <c r="B305" s="48"/>
      <c r="C305" s="162" t="s">
        <v>642</v>
      </c>
      <c r="D305" s="156">
        <f>$J$17*F821EA!D101*$L305</f>
        <v>8.3887199999999993</v>
      </c>
      <c r="E305" s="156">
        <f>$J$17*F821EA!E101*$L305</f>
        <v>4.4318024999999999</v>
      </c>
      <c r="F305" s="156">
        <f>$J$17*F821EA!F101*$L305</f>
        <v>6.1227225000000001</v>
      </c>
      <c r="G305" s="156">
        <f>$J$17*F821EA!G101*$L305</f>
        <v>7.7312925000000003</v>
      </c>
      <c r="H305" s="156">
        <f>$J$17*F821EA!H101*$L305</f>
        <v>3.3736050000000004</v>
      </c>
      <c r="I305" s="156">
        <f>$J$17*F821EA!I101*$L305</f>
        <v>5.9923350000000006</v>
      </c>
      <c r="J305" s="156">
        <f t="shared" si="70"/>
        <v>36.040477500000001</v>
      </c>
      <c r="K305" s="69"/>
      <c r="L305" s="319">
        <v>0.75</v>
      </c>
    </row>
    <row r="306" spans="2:12" s="37" customFormat="1" ht="15.75">
      <c r="B306" s="48"/>
      <c r="C306" s="162" t="s">
        <v>1177</v>
      </c>
      <c r="D306" s="156">
        <f>$J$17*F821EA!D102*$L306</f>
        <v>0</v>
      </c>
      <c r="E306" s="156">
        <f>$J$17*F821EA!E102*$L306</f>
        <v>0</v>
      </c>
      <c r="F306" s="156">
        <f>$J$17*F821EA!F102*$L306</f>
        <v>0</v>
      </c>
      <c r="G306" s="156">
        <f>$J$17*F821EA!G102*$L306</f>
        <v>0</v>
      </c>
      <c r="H306" s="156">
        <f>$J$17*F821EA!H102*$L306</f>
        <v>0</v>
      </c>
      <c r="I306" s="156">
        <f>$J$17*F821EA!I102*$L306</f>
        <v>0</v>
      </c>
      <c r="J306" s="156">
        <f t="shared" si="70"/>
        <v>0</v>
      </c>
      <c r="K306" s="69"/>
      <c r="L306" s="319">
        <v>1</v>
      </c>
    </row>
    <row r="307" spans="2:12" s="37" customFormat="1" ht="15.75">
      <c r="B307" s="48"/>
      <c r="C307" s="160" t="s">
        <v>305</v>
      </c>
      <c r="D307" s="156">
        <f>$J$17*F821EA!D103*$L307</f>
        <v>0</v>
      </c>
      <c r="E307" s="156">
        <f>$J$17*F821EA!E103*$L307</f>
        <v>0</v>
      </c>
      <c r="F307" s="156">
        <f>$J$17*F821EA!F103*$L307</f>
        <v>0</v>
      </c>
      <c r="G307" s="156">
        <f>$J$17*F821EA!G103*$L307</f>
        <v>0</v>
      </c>
      <c r="H307" s="156">
        <f>$J$17*F821EA!H103*$L307</f>
        <v>0</v>
      </c>
      <c r="I307" s="156">
        <f>$J$17*F821EA!I103*$L307</f>
        <v>0</v>
      </c>
      <c r="J307" s="156">
        <f t="shared" si="70"/>
        <v>0</v>
      </c>
      <c r="K307" s="69"/>
      <c r="L307" s="319">
        <v>0.95</v>
      </c>
    </row>
    <row r="308" spans="2:12" s="37" customFormat="1" ht="15.75">
      <c r="B308" s="48"/>
      <c r="C308" s="160" t="s">
        <v>307</v>
      </c>
      <c r="D308" s="156">
        <f>$J$17*F821EA!D104*$L308</f>
        <v>0</v>
      </c>
      <c r="E308" s="156">
        <f>$J$17*F821EA!E104*$L308</f>
        <v>0</v>
      </c>
      <c r="F308" s="156">
        <f>$J$17*F821EA!F104*$L308</f>
        <v>0</v>
      </c>
      <c r="G308" s="156">
        <f>$J$17*F821EA!G104*$L308</f>
        <v>0</v>
      </c>
      <c r="H308" s="156">
        <f>$J$17*F821EA!H104*$L308</f>
        <v>0</v>
      </c>
      <c r="I308" s="156">
        <f>$J$17*F821EA!I104*$L308</f>
        <v>0</v>
      </c>
      <c r="J308" s="156">
        <f t="shared" si="70"/>
        <v>0</v>
      </c>
      <c r="K308" s="69"/>
      <c r="L308" s="319">
        <v>0.5</v>
      </c>
    </row>
    <row r="309" spans="2:12" s="37" customFormat="1" ht="15.75">
      <c r="B309" s="48"/>
      <c r="C309" s="160" t="s">
        <v>624</v>
      </c>
      <c r="D309" s="156">
        <f>$J$17*F821EA!D105*$L309</f>
        <v>0</v>
      </c>
      <c r="E309" s="156">
        <f>$J$17*F821EA!E105*$L309</f>
        <v>0</v>
      </c>
      <c r="F309" s="156">
        <f>$J$17*F821EA!F105*$L309</f>
        <v>0</v>
      </c>
      <c r="G309" s="156">
        <f>$J$17*F821EA!G105*$L309</f>
        <v>0</v>
      </c>
      <c r="H309" s="156">
        <f>$J$17*F821EA!H105*$L309</f>
        <v>0</v>
      </c>
      <c r="I309" s="156">
        <f>$J$17*F821EA!I105*$L309</f>
        <v>0</v>
      </c>
      <c r="J309" s="156">
        <f t="shared" si="70"/>
        <v>0</v>
      </c>
      <c r="K309" s="69"/>
      <c r="L309" s="319">
        <v>0</v>
      </c>
    </row>
    <row r="310" spans="2:12" s="37" customFormat="1" ht="15.75">
      <c r="B310" s="48"/>
      <c r="C310" s="157"/>
      <c r="D310" s="156"/>
      <c r="E310" s="156"/>
      <c r="F310" s="156"/>
      <c r="G310" s="156"/>
      <c r="H310" s="156"/>
      <c r="I310" s="156"/>
      <c r="J310" s="156"/>
      <c r="K310" s="69"/>
      <c r="L310" s="319"/>
    </row>
    <row r="311" spans="2:12" s="37" customFormat="1" ht="15.75">
      <c r="B311" s="48"/>
      <c r="C311" s="153" t="s">
        <v>112</v>
      </c>
      <c r="D311" s="154">
        <f t="shared" ref="D311:I311" si="73">D234+D224+D220</f>
        <v>471407.44188950007</v>
      </c>
      <c r="E311" s="154">
        <f t="shared" si="73"/>
        <v>471573.19355150004</v>
      </c>
      <c r="F311" s="154">
        <f t="shared" si="73"/>
        <v>462440.03078149998</v>
      </c>
      <c r="G311" s="154">
        <f t="shared" si="73"/>
        <v>469935.44975650002</v>
      </c>
      <c r="H311" s="154">
        <f t="shared" si="73"/>
        <v>448910.56862849998</v>
      </c>
      <c r="I311" s="154">
        <f t="shared" si="73"/>
        <v>451282.28747049998</v>
      </c>
      <c r="J311" s="154">
        <f>SUM(D311:I311)</f>
        <v>2775548.9720780002</v>
      </c>
      <c r="K311" s="69"/>
      <c r="L311" s="319"/>
    </row>
    <row r="312" spans="2:12">
      <c r="C312" s="48"/>
      <c r="D312" s="48"/>
      <c r="E312" s="48"/>
      <c r="F312" s="48"/>
      <c r="G312" s="48"/>
      <c r="H312" s="48"/>
      <c r="I312" s="48"/>
      <c r="J312" s="48"/>
    </row>
    <row r="313" spans="2:12" s="69" customFormat="1" ht="30">
      <c r="B313" s="48"/>
      <c r="C313" s="320" t="s">
        <v>662</v>
      </c>
      <c r="D313" s="320"/>
      <c r="E313" s="320"/>
      <c r="F313" s="320"/>
      <c r="G313" s="320"/>
      <c r="H313" s="320"/>
      <c r="I313" s="320"/>
      <c r="J313" s="321"/>
      <c r="L313" s="319"/>
    </row>
    <row r="314" spans="2:12" s="37" customFormat="1" ht="15.75">
      <c r="B314" s="48"/>
      <c r="C314" s="150" t="s">
        <v>310</v>
      </c>
      <c r="D314" s="151">
        <f t="shared" ref="D314:I314" si="74">D$29</f>
        <v>45839</v>
      </c>
      <c r="E314" s="151">
        <f t="shared" si="74"/>
        <v>45870</v>
      </c>
      <c r="F314" s="151">
        <f t="shared" si="74"/>
        <v>45901</v>
      </c>
      <c r="G314" s="151">
        <f t="shared" si="74"/>
        <v>45931</v>
      </c>
      <c r="H314" s="151">
        <f t="shared" si="74"/>
        <v>45962</v>
      </c>
      <c r="I314" s="151">
        <f t="shared" si="74"/>
        <v>45992</v>
      </c>
      <c r="J314" s="152" t="s">
        <v>111</v>
      </c>
      <c r="K314" s="69"/>
      <c r="L314" s="319"/>
    </row>
    <row r="315" spans="2:12" s="37" customFormat="1" ht="15.75">
      <c r="B315" s="48"/>
      <c r="C315" s="334" t="s">
        <v>446</v>
      </c>
      <c r="D315" s="154">
        <f t="shared" ref="D315:I315" si="75">D316+D317+D320</f>
        <v>47998.236829839996</v>
      </c>
      <c r="E315" s="154">
        <f t="shared" si="75"/>
        <v>43899.54101808001</v>
      </c>
      <c r="F315" s="154">
        <f t="shared" si="75"/>
        <v>45072.308809967988</v>
      </c>
      <c r="G315" s="154">
        <f t="shared" si="75"/>
        <v>49992.485824511998</v>
      </c>
      <c r="H315" s="154">
        <f t="shared" si="75"/>
        <v>38782.231183344004</v>
      </c>
      <c r="I315" s="154">
        <f t="shared" si="75"/>
        <v>30506.328490827211</v>
      </c>
      <c r="J315" s="154">
        <f t="shared" ref="J315:J342" si="76">SUM(D315:I315)</f>
        <v>256251.1321565712</v>
      </c>
      <c r="K315" s="69"/>
      <c r="L315" s="319"/>
    </row>
    <row r="316" spans="2:12" s="37" customFormat="1" ht="15.75">
      <c r="B316" s="48" t="s">
        <v>870</v>
      </c>
      <c r="C316" s="157" t="s">
        <v>1029</v>
      </c>
      <c r="D316" s="156">
        <f>$J$7*F821EA!D116</f>
        <v>17128.64743832</v>
      </c>
      <c r="E316" s="156">
        <f>$J$7*F821EA!E116</f>
        <v>15504.45581168</v>
      </c>
      <c r="F316" s="156">
        <f>$J$7*F821EA!F116</f>
        <v>15671.463711727998</v>
      </c>
      <c r="G316" s="156">
        <f>$J$7*F821EA!G116</f>
        <v>17969.438882383998</v>
      </c>
      <c r="H316" s="156">
        <f>$J$7*F821EA!H116</f>
        <v>12484.17951704</v>
      </c>
      <c r="I316" s="156">
        <f>$J$7*F821EA!I116</f>
        <v>16097.970732975999</v>
      </c>
      <c r="J316" s="154">
        <f t="shared" si="76"/>
        <v>94856.156094127989</v>
      </c>
      <c r="K316" s="69"/>
      <c r="L316" s="319"/>
    </row>
    <row r="317" spans="2:12" s="37" customFormat="1" ht="15.75">
      <c r="B317" s="48" t="s">
        <v>871</v>
      </c>
      <c r="C317" s="335" t="s">
        <v>193</v>
      </c>
      <c r="D317" s="154">
        <f t="shared" ref="D317:I317" si="77">SUM(D318:D319)</f>
        <v>8177.3074715200009</v>
      </c>
      <c r="E317" s="154">
        <f t="shared" si="77"/>
        <v>8020.2564076799999</v>
      </c>
      <c r="F317" s="154">
        <f t="shared" si="77"/>
        <v>8292.0408489599977</v>
      </c>
      <c r="G317" s="154">
        <f t="shared" si="77"/>
        <v>9969.625662127999</v>
      </c>
      <c r="H317" s="154">
        <f t="shared" si="77"/>
        <v>9599.3616565439988</v>
      </c>
      <c r="I317" s="154">
        <f t="shared" si="77"/>
        <v>10092.221757851203</v>
      </c>
      <c r="J317" s="154">
        <f t="shared" si="76"/>
        <v>54150.813804683203</v>
      </c>
      <c r="K317" s="69"/>
      <c r="L317" s="319"/>
    </row>
    <row r="318" spans="2:12" s="37" customFormat="1" ht="15.75">
      <c r="B318" s="48"/>
      <c r="C318" s="157" t="s">
        <v>1030</v>
      </c>
      <c r="D318" s="156">
        <f>+$J$8*F821EA!D118</f>
        <v>0</v>
      </c>
      <c r="E318" s="156">
        <f>+$J$8*F821EA!E118</f>
        <v>0</v>
      </c>
      <c r="F318" s="156">
        <f>+$J$8*F821EA!F118</f>
        <v>0</v>
      </c>
      <c r="G318" s="156">
        <f>+$J$8*F821EA!G118</f>
        <v>0</v>
      </c>
      <c r="H318" s="156">
        <f>+$J$8*F821EA!H118</f>
        <v>0</v>
      </c>
      <c r="I318" s="156">
        <f>+$J$8*F821EA!I118</f>
        <v>0</v>
      </c>
      <c r="J318" s="154">
        <f t="shared" si="76"/>
        <v>0</v>
      </c>
      <c r="K318" s="69"/>
      <c r="L318" s="319"/>
    </row>
    <row r="319" spans="2:12" s="37" customFormat="1" ht="15.75">
      <c r="B319" s="48"/>
      <c r="C319" s="157" t="s">
        <v>1476</v>
      </c>
      <c r="D319" s="156">
        <f>+$J$8*F821EA!D119</f>
        <v>8177.3074715200009</v>
      </c>
      <c r="E319" s="156">
        <f>+$J$8*F821EA!E119</f>
        <v>8020.2564076799999</v>
      </c>
      <c r="F319" s="156">
        <f>+$J$8*F821EA!F119</f>
        <v>8292.0408489599977</v>
      </c>
      <c r="G319" s="156">
        <f>+$J$8*F821EA!G119</f>
        <v>9969.625662127999</v>
      </c>
      <c r="H319" s="156">
        <f>+$J$8*F821EA!H119</f>
        <v>9599.3616565439988</v>
      </c>
      <c r="I319" s="156">
        <f>+$J$8*F821EA!I119</f>
        <v>10092.221757851203</v>
      </c>
      <c r="J319" s="154">
        <f t="shared" si="76"/>
        <v>54150.813804683203</v>
      </c>
      <c r="K319" s="69"/>
      <c r="L319" s="319"/>
    </row>
    <row r="320" spans="2:12" s="37" customFormat="1" ht="15.75">
      <c r="B320" s="48" t="s">
        <v>893</v>
      </c>
      <c r="C320" s="153" t="s">
        <v>942</v>
      </c>
      <c r="D320" s="154">
        <f>+$J$8*F821EA!D120</f>
        <v>22692.281919999998</v>
      </c>
      <c r="E320" s="154">
        <f>+$J$8*F821EA!E120</f>
        <v>20374.828798720006</v>
      </c>
      <c r="F320" s="154">
        <f>+$J$8*F821EA!F120</f>
        <v>21108.804249279998</v>
      </c>
      <c r="G320" s="154">
        <f>+$J$8*F821EA!G120</f>
        <v>22053.421280000002</v>
      </c>
      <c r="H320" s="154">
        <f>+$J$8*F821EA!H120</f>
        <v>16698.690009760001</v>
      </c>
      <c r="I320" s="154">
        <f>+$J$8*F821EA!I120</f>
        <v>4316.1360000000086</v>
      </c>
      <c r="J320" s="154">
        <f t="shared" si="76"/>
        <v>107244.16225776002</v>
      </c>
      <c r="K320" s="69"/>
      <c r="L320" s="319"/>
    </row>
    <row r="321" spans="2:12" s="37" customFormat="1" ht="15.75">
      <c r="B321" s="48"/>
      <c r="C321" s="334" t="s">
        <v>630</v>
      </c>
      <c r="D321" s="154">
        <f t="shared" ref="D321:I321" si="78">D322+D327</f>
        <v>93091.555749482417</v>
      </c>
      <c r="E321" s="154">
        <f t="shared" si="78"/>
        <v>92500.181604679208</v>
      </c>
      <c r="F321" s="154">
        <f t="shared" si="78"/>
        <v>89895.059411590395</v>
      </c>
      <c r="G321" s="154">
        <f t="shared" si="78"/>
        <v>94077.05799377599</v>
      </c>
      <c r="H321" s="154">
        <f t="shared" si="78"/>
        <v>87036.185849183996</v>
      </c>
      <c r="I321" s="154">
        <f t="shared" si="78"/>
        <v>91952.587192740553</v>
      </c>
      <c r="J321" s="154">
        <f t="shared" si="76"/>
        <v>548552.62780145253</v>
      </c>
      <c r="K321" s="69"/>
      <c r="L321" s="319"/>
    </row>
    <row r="322" spans="2:12" s="37" customFormat="1" ht="15.75">
      <c r="B322" s="48" t="s">
        <v>872</v>
      </c>
      <c r="C322" s="335" t="s">
        <v>1073</v>
      </c>
      <c r="D322" s="154">
        <f t="shared" ref="D322:I322" si="79">SUM(D323:D326)</f>
        <v>17930.877693871993</v>
      </c>
      <c r="E322" s="154">
        <f t="shared" si="79"/>
        <v>18099.296545440004</v>
      </c>
      <c r="F322" s="154">
        <f t="shared" si="79"/>
        <v>17606.39621576</v>
      </c>
      <c r="G322" s="154">
        <f t="shared" si="79"/>
        <v>18870.764891439998</v>
      </c>
      <c r="H322" s="154">
        <f t="shared" si="79"/>
        <v>17694.113111840004</v>
      </c>
      <c r="I322" s="154">
        <f t="shared" si="79"/>
        <v>17598.784809179204</v>
      </c>
      <c r="J322" s="154">
        <f t="shared" si="76"/>
        <v>107800.23326753121</v>
      </c>
      <c r="K322" s="69"/>
      <c r="L322" s="319"/>
    </row>
    <row r="323" spans="2:12" s="37" customFormat="1" ht="15.75">
      <c r="B323" s="48"/>
      <c r="C323" s="157" t="s">
        <v>1477</v>
      </c>
      <c r="D323" s="156">
        <f>$J$9*F821EA!D124</f>
        <v>11954.283734239432</v>
      </c>
      <c r="E323" s="156">
        <f>$J$9*F821EA!E124</f>
        <v>11921.338792019767</v>
      </c>
      <c r="F323" s="156">
        <f>$J$9*F821EA!F124</f>
        <v>11360.218742897896</v>
      </c>
      <c r="G323" s="156">
        <f>$J$9*F821EA!G124</f>
        <v>11776.052051404382</v>
      </c>
      <c r="H323" s="156">
        <f>$J$9*F821EA!H124</f>
        <v>10877.371039354101</v>
      </c>
      <c r="I323" s="156">
        <f>$J$9*F821EA!I124</f>
        <v>10805.521693668819</v>
      </c>
      <c r="J323" s="154">
        <f t="shared" si="76"/>
        <v>68694.786053584394</v>
      </c>
      <c r="K323" s="69"/>
    </row>
    <row r="324" spans="2:12" s="37" customFormat="1" ht="15.75">
      <c r="B324" s="48"/>
      <c r="C324" s="157" t="s">
        <v>1477</v>
      </c>
      <c r="D324" s="156">
        <f>$J$9*F821EA!D125</f>
        <v>578.03655075841857</v>
      </c>
      <c r="E324" s="156">
        <f>$J$9*F821EA!E125</f>
        <v>589.11365301599699</v>
      </c>
      <c r="F324" s="156">
        <f>$J$9*F821EA!F125</f>
        <v>621.28471045651577</v>
      </c>
      <c r="G324" s="156">
        <f>$J$9*F821EA!G125</f>
        <v>669.36546011300868</v>
      </c>
      <c r="H324" s="156">
        <f>$J$9*F821EA!H125</f>
        <v>723.13700602673941</v>
      </c>
      <c r="I324" s="156">
        <f>$J$9*F821EA!I125</f>
        <v>403.45815175700301</v>
      </c>
      <c r="J324" s="154">
        <f t="shared" si="76"/>
        <v>3584.3955321276826</v>
      </c>
      <c r="K324" s="69"/>
    </row>
    <row r="325" spans="2:12" s="37" customFormat="1" ht="15.75">
      <c r="B325" s="48"/>
      <c r="C325" s="157" t="s">
        <v>1477</v>
      </c>
      <c r="D325" s="156">
        <f>$J$9*F821EA!D126</f>
        <v>216.42170985599748</v>
      </c>
      <c r="E325" s="156">
        <f>$J$9*F821EA!E126</f>
        <v>211.50696537527256</v>
      </c>
      <c r="F325" s="156">
        <f>$J$9*F821EA!F126</f>
        <v>204.21535066253307</v>
      </c>
      <c r="G325" s="156">
        <f>$J$9*F821EA!G126</f>
        <v>218.95067765922317</v>
      </c>
      <c r="H325" s="156">
        <f>$J$9*F821EA!H126</f>
        <v>211.31688811328073</v>
      </c>
      <c r="I325" s="156">
        <f>$J$9*F821EA!I126</f>
        <v>202.53662461367225</v>
      </c>
      <c r="J325" s="154">
        <f>SUM(D325:I325)</f>
        <v>1264.9482162799793</v>
      </c>
      <c r="K325" s="69"/>
    </row>
    <row r="326" spans="2:12" s="37" customFormat="1" ht="15.75">
      <c r="B326" s="48"/>
      <c r="C326" s="157" t="s">
        <v>1477</v>
      </c>
      <c r="D326" s="156">
        <f>$J$9*F821EA!D127</f>
        <v>5182.1356990181448</v>
      </c>
      <c r="E326" s="156">
        <f>$J$9*F821EA!E127</f>
        <v>5377.3371350289663</v>
      </c>
      <c r="F326" s="156">
        <f>$J$9*F821EA!F127</f>
        <v>5420.677411743055</v>
      </c>
      <c r="G326" s="156">
        <f>$J$9*F821EA!G127</f>
        <v>6206.3967022633851</v>
      </c>
      <c r="H326" s="156">
        <f>$J$9*F821EA!H127</f>
        <v>5882.2881783458834</v>
      </c>
      <c r="I326" s="156">
        <f>$J$9*F821EA!I127</f>
        <v>6187.2683391397104</v>
      </c>
      <c r="J326" s="154">
        <f>SUM(D326:I326)</f>
        <v>34256.103465539141</v>
      </c>
      <c r="K326" s="69"/>
    </row>
    <row r="327" spans="2:12" s="37" customFormat="1" ht="15.75">
      <c r="B327" s="48" t="s">
        <v>873</v>
      </c>
      <c r="C327" s="335" t="s">
        <v>193</v>
      </c>
      <c r="D327" s="154">
        <f t="shared" ref="D327:I327" si="80">SUM(D328:D332)</f>
        <v>75160.67805561042</v>
      </c>
      <c r="E327" s="154">
        <f t="shared" si="80"/>
        <v>74400.885059239197</v>
      </c>
      <c r="F327" s="154">
        <f t="shared" si="80"/>
        <v>72288.663195830391</v>
      </c>
      <c r="G327" s="154">
        <f t="shared" si="80"/>
        <v>75206.293102336</v>
      </c>
      <c r="H327" s="154">
        <f t="shared" si="80"/>
        <v>69342.072737343988</v>
      </c>
      <c r="I327" s="154">
        <f t="shared" si="80"/>
        <v>74353.802383561357</v>
      </c>
      <c r="J327" s="154">
        <f t="shared" si="76"/>
        <v>440752.39453392138</v>
      </c>
      <c r="K327" s="69"/>
    </row>
    <row r="328" spans="2:12" s="37" customFormat="1" ht="15.75">
      <c r="B328" s="48"/>
      <c r="C328" s="157" t="s">
        <v>1031</v>
      </c>
      <c r="D328" s="156">
        <f>$J$10*F821EA!D129</f>
        <v>0</v>
      </c>
      <c r="E328" s="156">
        <f>$J$10*F821EA!E129</f>
        <v>0</v>
      </c>
      <c r="F328" s="156">
        <f>$J$10*F821EA!F129</f>
        <v>0</v>
      </c>
      <c r="G328" s="156">
        <f>$J$10*F821EA!G129</f>
        <v>0</v>
      </c>
      <c r="H328" s="156">
        <f>$J$10*F821EA!H129</f>
        <v>0</v>
      </c>
      <c r="I328" s="156">
        <f>$J$10*F821EA!I129</f>
        <v>0</v>
      </c>
      <c r="J328" s="154">
        <f t="shared" si="76"/>
        <v>0</v>
      </c>
      <c r="K328" s="69"/>
    </row>
    <row r="329" spans="2:12" s="37" customFormat="1" ht="15.75">
      <c r="B329" s="48"/>
      <c r="C329" s="157" t="s">
        <v>1478</v>
      </c>
      <c r="D329" s="156">
        <f>$J$10*F821EA!D130</f>
        <v>48994.643767898422</v>
      </c>
      <c r="E329" s="156">
        <f>$J$10*F821EA!E130</f>
        <v>48872.971858365599</v>
      </c>
      <c r="F329" s="156">
        <f>$J$10*F821EA!F130</f>
        <v>44518.4733434144</v>
      </c>
      <c r="G329" s="156">
        <f>$J$10*F821EA!G130</f>
        <v>46149.406850448009</v>
      </c>
      <c r="H329" s="156">
        <f>$J$10*F821EA!H130</f>
        <v>42150.45745046399</v>
      </c>
      <c r="I329" s="156">
        <f>$J$10*F821EA!I130</f>
        <v>44644.157012035677</v>
      </c>
      <c r="J329" s="154">
        <f t="shared" si="76"/>
        <v>275330.11028262612</v>
      </c>
      <c r="K329" s="69"/>
    </row>
    <row r="330" spans="2:12" s="37" customFormat="1" ht="15.75">
      <c r="B330" s="48"/>
      <c r="C330" s="157" t="s">
        <v>1478</v>
      </c>
      <c r="D330" s="156">
        <f>$J$10*F821EA!D131</f>
        <v>3451.4499363519999</v>
      </c>
      <c r="E330" s="156">
        <f>$J$10*F821EA!E131</f>
        <v>3062.2450580479999</v>
      </c>
      <c r="F330" s="156">
        <f>$J$10*F821EA!F131</f>
        <v>3400.8752787679996</v>
      </c>
      <c r="G330" s="156">
        <f>$J$10*F821EA!G131</f>
        <v>2976.6796959680005</v>
      </c>
      <c r="H330" s="156">
        <f>$J$10*F821EA!H131</f>
        <v>2843.949780672001</v>
      </c>
      <c r="I330" s="156">
        <f>$J$10*F821EA!I131</f>
        <v>3186.0318593839952</v>
      </c>
      <c r="J330" s="154">
        <f t="shared" si="76"/>
        <v>18921.231609191997</v>
      </c>
      <c r="K330" s="69"/>
    </row>
    <row r="331" spans="2:12" s="37" customFormat="1" ht="15.75">
      <c r="B331" s="48"/>
      <c r="C331" s="157" t="s">
        <v>1478</v>
      </c>
      <c r="D331" s="156">
        <f>$J$10*F821EA!D132</f>
        <v>3256.836567072</v>
      </c>
      <c r="E331" s="156">
        <f>$J$10*F821EA!E132</f>
        <v>3364.4674629279998</v>
      </c>
      <c r="F331" s="156">
        <f>$J$10*F821EA!F132</f>
        <v>3227.9136508960009</v>
      </c>
      <c r="G331" s="156">
        <f>$J$10*F821EA!G132</f>
        <v>3381.4596201760005</v>
      </c>
      <c r="H331" s="156">
        <f>$J$10*F821EA!H132</f>
        <v>2992.2075443040003</v>
      </c>
      <c r="I331" s="156">
        <f>$J$10*F821EA!I132</f>
        <v>3382.2400389007985</v>
      </c>
      <c r="J331" s="154">
        <f t="shared" si="76"/>
        <v>19605.1248842768</v>
      </c>
      <c r="K331" s="69"/>
    </row>
    <row r="332" spans="2:12" s="37" customFormat="1" ht="15.75">
      <c r="B332" s="48"/>
      <c r="C332" s="157" t="s">
        <v>1478</v>
      </c>
      <c r="D332" s="156">
        <f>$J$10*F821EA!D133</f>
        <v>19457.747784288003</v>
      </c>
      <c r="E332" s="156">
        <f>$J$10*F821EA!E133</f>
        <v>19101.2006798976</v>
      </c>
      <c r="F332" s="156">
        <f>$J$10*F821EA!F133</f>
        <v>21141.400922752</v>
      </c>
      <c r="G332" s="156">
        <f>$J$10*F821EA!G133</f>
        <v>22698.746935743999</v>
      </c>
      <c r="H332" s="156">
        <f>$J$10*F821EA!H133</f>
        <v>21355.457961903994</v>
      </c>
      <c r="I332" s="156">
        <f>$J$10*F821EA!I133</f>
        <v>23141.373473240878</v>
      </c>
      <c r="J332" s="154">
        <f t="shared" si="76"/>
        <v>126895.92775782649</v>
      </c>
      <c r="K332" s="69"/>
    </row>
    <row r="333" spans="2:12" s="37" customFormat="1" ht="15.75">
      <c r="B333" s="48"/>
      <c r="C333" s="334" t="s">
        <v>443</v>
      </c>
      <c r="D333" s="154">
        <f t="shared" ref="D333:I333" si="81">D334+D335</f>
        <v>15087.120645696004</v>
      </c>
      <c r="E333" s="154">
        <f t="shared" si="81"/>
        <v>14811.900614192002</v>
      </c>
      <c r="F333" s="154">
        <f t="shared" si="81"/>
        <v>15013.355398272002</v>
      </c>
      <c r="G333" s="154">
        <f t="shared" si="81"/>
        <v>15814.559996400001</v>
      </c>
      <c r="H333" s="154">
        <f t="shared" si="81"/>
        <v>14577.576813183996</v>
      </c>
      <c r="I333" s="154">
        <f t="shared" si="81"/>
        <v>16342.621023072965</v>
      </c>
      <c r="J333" s="154">
        <f t="shared" si="76"/>
        <v>91647.13449081697</v>
      </c>
      <c r="K333" s="69"/>
    </row>
    <row r="334" spans="2:12" s="37" customFormat="1" ht="15.75">
      <c r="B334" s="48" t="s">
        <v>874</v>
      </c>
      <c r="C334" s="157" t="s">
        <v>1479</v>
      </c>
      <c r="D334" s="156">
        <f>$J$11*F821EA!D137</f>
        <v>488.40901665599995</v>
      </c>
      <c r="E334" s="156">
        <f>$J$11*F821EA!E137</f>
        <v>484.06888798400001</v>
      </c>
      <c r="F334" s="156">
        <f>$J$11*F821EA!F137</f>
        <v>463.62149504000001</v>
      </c>
      <c r="G334" s="156">
        <f>$J$11*F821EA!G137</f>
        <v>480.78365279999997</v>
      </c>
      <c r="H334" s="156">
        <f>$J$11*F821EA!H137</f>
        <v>465.5997859040001</v>
      </c>
      <c r="I334" s="156">
        <f>$J$11*F821EA!I137</f>
        <v>482.39838240000051</v>
      </c>
      <c r="J334" s="154">
        <f t="shared" si="76"/>
        <v>2864.8812207840006</v>
      </c>
      <c r="K334" s="69"/>
    </row>
    <row r="335" spans="2:12" s="37" customFormat="1" ht="15.75">
      <c r="B335" s="48" t="s">
        <v>875</v>
      </c>
      <c r="C335" s="335" t="s">
        <v>193</v>
      </c>
      <c r="D335" s="154">
        <f t="shared" ref="D335:I335" si="82">SUM(D336:D341)</f>
        <v>14598.711629040004</v>
      </c>
      <c r="E335" s="154">
        <f t="shared" si="82"/>
        <v>14327.831726208002</v>
      </c>
      <c r="F335" s="154">
        <f t="shared" si="82"/>
        <v>14549.733903232001</v>
      </c>
      <c r="G335" s="154">
        <f t="shared" si="82"/>
        <v>15333.7763436</v>
      </c>
      <c r="H335" s="154">
        <f t="shared" si="82"/>
        <v>14111.977027279996</v>
      </c>
      <c r="I335" s="154">
        <f t="shared" si="82"/>
        <v>15860.222640672964</v>
      </c>
      <c r="J335" s="154">
        <f t="shared" si="76"/>
        <v>88782.253270032976</v>
      </c>
      <c r="K335" s="69"/>
    </row>
    <row r="336" spans="2:12" s="37" customFormat="1" ht="15.75">
      <c r="B336" s="48"/>
      <c r="C336" s="157" t="s">
        <v>1032</v>
      </c>
      <c r="D336" s="156">
        <f>$J$12*(F821EA!D140)</f>
        <v>150.49559624000003</v>
      </c>
      <c r="E336" s="156">
        <f>$J$12*(F821EA!E140)</f>
        <v>146.54465443200002</v>
      </c>
      <c r="F336" s="156">
        <f>$J$12*(F821EA!F140)</f>
        <v>149.58415788799999</v>
      </c>
      <c r="G336" s="156">
        <f>$J$12*(F821EA!G140)</f>
        <v>156.57553806400003</v>
      </c>
      <c r="H336" s="156">
        <f>$J$12*(F821EA!H140)</f>
        <v>144.33045088000003</v>
      </c>
      <c r="I336" s="156">
        <f>$J$12*(F821EA!I140)</f>
        <v>152.80614078400001</v>
      </c>
      <c r="J336" s="154">
        <f t="shared" si="76"/>
        <v>900.33653828800016</v>
      </c>
      <c r="K336" s="69"/>
    </row>
    <row r="337" spans="2:11" s="37" customFormat="1" ht="15.75">
      <c r="B337" s="48"/>
      <c r="C337" s="157" t="s">
        <v>1480</v>
      </c>
      <c r="D337" s="156">
        <f>$J$12*(F821EA!D141)</f>
        <v>9687.6781323520045</v>
      </c>
      <c r="E337" s="156">
        <f>$J$12*(F821EA!E141)</f>
        <v>9456.0227479520017</v>
      </c>
      <c r="F337" s="156">
        <f>$J$12*(F821EA!F141)</f>
        <v>9210.5181776959998</v>
      </c>
      <c r="G337" s="156">
        <f>$J$12*(F821EA!G141)</f>
        <v>9558.2298018239999</v>
      </c>
      <c r="H337" s="156">
        <f>$J$12*(F821EA!H141)</f>
        <v>8754.9801702879977</v>
      </c>
      <c r="I337" s="156">
        <f>$J$12*(F821EA!I141)</f>
        <v>9447.7259336838433</v>
      </c>
      <c r="J337" s="154">
        <f t="shared" si="76"/>
        <v>56115.154963795852</v>
      </c>
      <c r="K337" s="69"/>
    </row>
    <row r="338" spans="2:11" s="37" customFormat="1" ht="15.75">
      <c r="B338" s="48"/>
      <c r="C338" s="157" t="s">
        <v>1480</v>
      </c>
      <c r="D338" s="156">
        <f>$J$12*(F821EA!D142)</f>
        <v>190.31993446400003</v>
      </c>
      <c r="E338" s="156">
        <f>$J$12*(F821EA!E142)</f>
        <v>185.78444244800005</v>
      </c>
      <c r="F338" s="156">
        <f>$J$12*(F821EA!F142)</f>
        <v>182.59642491199995</v>
      </c>
      <c r="G338" s="156">
        <f>$J$12*(F821EA!G142)</f>
        <v>185.65830113600006</v>
      </c>
      <c r="H338" s="156">
        <f>$J$12*(F821EA!H142)</f>
        <v>160.43150798400001</v>
      </c>
      <c r="I338" s="156">
        <f>$J$12*(F821EA!I142)</f>
        <v>179.71655620511967</v>
      </c>
      <c r="J338" s="154">
        <f t="shared" si="76"/>
        <v>1084.5071671491196</v>
      </c>
      <c r="K338" s="69"/>
    </row>
    <row r="339" spans="2:11" s="37" customFormat="1" ht="15.75">
      <c r="B339" s="48"/>
      <c r="C339" s="157" t="s">
        <v>1480</v>
      </c>
      <c r="D339" s="156">
        <f>$J$12*(F821EA!D143)</f>
        <v>1962.439962384</v>
      </c>
      <c r="E339" s="156">
        <f>$J$12*(F821EA!E143)</f>
        <v>1888.8837880000001</v>
      </c>
      <c r="F339" s="156">
        <f>$J$12*(F821EA!F143)</f>
        <v>1862.4129972800001</v>
      </c>
      <c r="G339" s="156">
        <f>$J$12*(F821EA!G143)</f>
        <v>1944.4329710080001</v>
      </c>
      <c r="H339" s="156">
        <f>$J$12*(F821EA!H143)</f>
        <v>1719.668325056</v>
      </c>
      <c r="I339" s="156">
        <f>$J$12*(F821EA!I143)</f>
        <v>1745.6576500105602</v>
      </c>
      <c r="J339" s="154">
        <f t="shared" si="76"/>
        <v>11123.49569373856</v>
      </c>
      <c r="K339" s="69"/>
    </row>
    <row r="340" spans="2:11" s="37" customFormat="1" ht="15.75">
      <c r="B340" s="48"/>
      <c r="C340" s="157" t="s">
        <v>1480</v>
      </c>
      <c r="D340" s="156">
        <f>$J$12*(F821EA!D144)</f>
        <v>2607.7780036000004</v>
      </c>
      <c r="E340" s="156">
        <f>$J$12*(F821EA!E144)</f>
        <v>2650.5960933759993</v>
      </c>
      <c r="F340" s="156">
        <f>$J$12*(F821EA!F144)</f>
        <v>3144.6221454560005</v>
      </c>
      <c r="G340" s="156">
        <f>$J$12*(F821EA!G144)</f>
        <v>3488.8797315680004</v>
      </c>
      <c r="H340" s="156">
        <f>$J$12*(F821EA!H144)</f>
        <v>3332.5665730719998</v>
      </c>
      <c r="I340" s="156">
        <f>$J$12*(F821EA!I144)</f>
        <v>4334.3163599894406</v>
      </c>
      <c r="J340" s="154">
        <f t="shared" si="76"/>
        <v>19558.758907061441</v>
      </c>
      <c r="K340" s="69"/>
    </row>
    <row r="341" spans="2:11" s="37" customFormat="1" ht="15.75">
      <c r="B341" s="48"/>
      <c r="C341" s="157"/>
      <c r="D341" s="156"/>
      <c r="E341" s="156"/>
      <c r="F341" s="156"/>
      <c r="G341" s="156"/>
      <c r="H341" s="156"/>
      <c r="I341" s="156"/>
      <c r="J341" s="156">
        <f t="shared" si="76"/>
        <v>0</v>
      </c>
      <c r="K341" s="69"/>
    </row>
    <row r="342" spans="2:11" s="37" customFormat="1" ht="15.75">
      <c r="B342" s="48"/>
      <c r="C342" s="153" t="s">
        <v>112</v>
      </c>
      <c r="D342" s="154">
        <f t="shared" ref="D342:I342" si="83">D315+D321+D333</f>
        <v>156176.91322501842</v>
      </c>
      <c r="E342" s="154">
        <f t="shared" si="83"/>
        <v>151211.62323695124</v>
      </c>
      <c r="F342" s="154">
        <f t="shared" si="83"/>
        <v>149980.72361983039</v>
      </c>
      <c r="G342" s="154">
        <f t="shared" si="83"/>
        <v>159884.10381468799</v>
      </c>
      <c r="H342" s="154">
        <f t="shared" si="83"/>
        <v>140395.99384571199</v>
      </c>
      <c r="I342" s="154">
        <f t="shared" si="83"/>
        <v>138801.53670664073</v>
      </c>
      <c r="J342" s="154">
        <f t="shared" si="76"/>
        <v>896450.89444884064</v>
      </c>
      <c r="K342" s="69"/>
    </row>
    <row r="343" spans="2:11" s="37" customFormat="1" ht="13.5">
      <c r="B343" s="48"/>
      <c r="C343" s="48"/>
      <c r="D343" s="48"/>
      <c r="E343" s="48"/>
      <c r="F343" s="48"/>
      <c r="G343" s="48"/>
      <c r="H343" s="48"/>
      <c r="I343" s="48"/>
      <c r="J343" s="48"/>
      <c r="K343" s="48"/>
    </row>
    <row r="344" spans="2:11" s="37" customFormat="1" ht="54" customHeight="1">
      <c r="B344" s="48"/>
      <c r="C344" s="320" t="s">
        <v>1460</v>
      </c>
      <c r="D344" s="320"/>
      <c r="E344" s="320"/>
      <c r="F344" s="320"/>
      <c r="G344" s="320"/>
      <c r="H344" s="320"/>
      <c r="I344" s="320"/>
      <c r="J344" s="321"/>
      <c r="K344" s="69"/>
    </row>
    <row r="345" spans="2:11" s="37" customFormat="1" ht="15.75">
      <c r="B345" s="48"/>
      <c r="C345" s="150" t="s">
        <v>310</v>
      </c>
      <c r="D345" s="151">
        <f t="shared" ref="D345:I345" si="84">D$29</f>
        <v>45839</v>
      </c>
      <c r="E345" s="151">
        <f t="shared" si="84"/>
        <v>45870</v>
      </c>
      <c r="F345" s="151">
        <f t="shared" si="84"/>
        <v>45901</v>
      </c>
      <c r="G345" s="151">
        <f t="shared" si="84"/>
        <v>45931</v>
      </c>
      <c r="H345" s="151">
        <f t="shared" si="84"/>
        <v>45962</v>
      </c>
      <c r="I345" s="151">
        <f t="shared" si="84"/>
        <v>45992</v>
      </c>
      <c r="J345" s="152" t="s">
        <v>111</v>
      </c>
      <c r="K345" s="69"/>
    </row>
    <row r="346" spans="2:11">
      <c r="C346" s="153" t="s">
        <v>230</v>
      </c>
      <c r="D346" s="154">
        <f t="shared" ref="D346:I346" si="85">SUM(D347:D348)</f>
        <v>0</v>
      </c>
      <c r="E346" s="154">
        <f t="shared" si="85"/>
        <v>0</v>
      </c>
      <c r="F346" s="154">
        <f t="shared" si="85"/>
        <v>0</v>
      </c>
      <c r="G346" s="154">
        <f t="shared" si="85"/>
        <v>0</v>
      </c>
      <c r="H346" s="154">
        <f t="shared" si="85"/>
        <v>0</v>
      </c>
      <c r="I346" s="154">
        <f t="shared" si="85"/>
        <v>0</v>
      </c>
      <c r="J346" s="154">
        <f t="shared" ref="J346:J373" si="86">SUM(D346:I346)</f>
        <v>0</v>
      </c>
    </row>
    <row r="347" spans="2:11">
      <c r="B347" s="48" t="s">
        <v>870</v>
      </c>
      <c r="C347" s="157" t="s">
        <v>1029</v>
      </c>
      <c r="D347" s="156">
        <f>F821D!D116*0*(1+D$25)*(1+D$26)</f>
        <v>0</v>
      </c>
      <c r="E347" s="156">
        <f>F821D!E116*0*(1+E$25)*(1+E$26)</f>
        <v>0</v>
      </c>
      <c r="F347" s="156">
        <f>F821D!F116*0*(1+F$25)*(1+F$26)</f>
        <v>0</v>
      </c>
      <c r="G347" s="156">
        <f>F821D!G116*0*(1+G$25)*(1+G$26)</f>
        <v>0</v>
      </c>
      <c r="H347" s="156">
        <f>F821D!H116*0*(1+H$25)*(1+H$26)</f>
        <v>0</v>
      </c>
      <c r="I347" s="156">
        <f>F821D!I116*0*(1+I$25)*(1+I$26)</f>
        <v>0</v>
      </c>
      <c r="J347" s="154">
        <f t="shared" si="86"/>
        <v>0</v>
      </c>
    </row>
    <row r="348" spans="2:11">
      <c r="B348" s="48" t="s">
        <v>871</v>
      </c>
      <c r="C348" s="335" t="s">
        <v>193</v>
      </c>
      <c r="D348" s="154">
        <f t="shared" ref="D348:I348" si="87">D349+D350</f>
        <v>0</v>
      </c>
      <c r="E348" s="154">
        <f t="shared" si="87"/>
        <v>0</v>
      </c>
      <c r="F348" s="154">
        <f t="shared" si="87"/>
        <v>0</v>
      </c>
      <c r="G348" s="154">
        <f t="shared" si="87"/>
        <v>0</v>
      </c>
      <c r="H348" s="154">
        <f t="shared" si="87"/>
        <v>0</v>
      </c>
      <c r="I348" s="154">
        <f t="shared" si="87"/>
        <v>0</v>
      </c>
      <c r="J348" s="154">
        <f t="shared" si="86"/>
        <v>0</v>
      </c>
    </row>
    <row r="349" spans="2:11">
      <c r="C349" s="157" t="s">
        <v>1030</v>
      </c>
      <c r="D349" s="156">
        <f>F821D!D118*0</f>
        <v>0</v>
      </c>
      <c r="E349" s="156">
        <f>F821D!E118*0</f>
        <v>0</v>
      </c>
      <c r="F349" s="156">
        <f>F821D!F118*0</f>
        <v>0</v>
      </c>
      <c r="G349" s="156">
        <f>F821D!G118*0</f>
        <v>0</v>
      </c>
      <c r="H349" s="156">
        <f>F821D!H118*0</f>
        <v>0</v>
      </c>
      <c r="I349" s="156">
        <f>F821D!I118*0</f>
        <v>0</v>
      </c>
      <c r="J349" s="154">
        <f t="shared" si="86"/>
        <v>0</v>
      </c>
    </row>
    <row r="350" spans="2:11">
      <c r="C350" s="157" t="s">
        <v>1476</v>
      </c>
      <c r="D350" s="156">
        <f>F821D!D119*$D$21*(1+D$25)*(1+D$26)</f>
        <v>0</v>
      </c>
      <c r="E350" s="156">
        <f>F821D!E119*$D$21*(1+E$25)*(1+E$26)</f>
        <v>0</v>
      </c>
      <c r="F350" s="156">
        <f>F821D!F119*$D$21*(1+F$25)*(1+F$26)</f>
        <v>0</v>
      </c>
      <c r="G350" s="156">
        <f>F821D!G119*$D$21*(1+G$25)*(1+G$26)</f>
        <v>0</v>
      </c>
      <c r="H350" s="156">
        <f>F821D!H119*$D$21*(1+H$25)*(1+H$26)</f>
        <v>0</v>
      </c>
      <c r="I350" s="156">
        <f>F821D!I119*$D$21*(1+I$25)*(1+I$26)</f>
        <v>0</v>
      </c>
      <c r="J350" s="154">
        <f t="shared" si="86"/>
        <v>0</v>
      </c>
    </row>
    <row r="351" spans="2:11">
      <c r="C351" s="153" t="s">
        <v>942</v>
      </c>
      <c r="D351" s="156"/>
      <c r="E351" s="156"/>
      <c r="F351" s="156"/>
      <c r="G351" s="156"/>
      <c r="H351" s="156"/>
      <c r="I351" s="156"/>
      <c r="J351" s="154">
        <f t="shared" si="86"/>
        <v>0</v>
      </c>
    </row>
    <row r="352" spans="2:11">
      <c r="C352" s="153" t="s">
        <v>194</v>
      </c>
      <c r="D352" s="154">
        <f t="shared" ref="D352:I352" si="88">D353+D358</f>
        <v>0</v>
      </c>
      <c r="E352" s="154">
        <f t="shared" si="88"/>
        <v>0</v>
      </c>
      <c r="F352" s="154">
        <f t="shared" si="88"/>
        <v>0</v>
      </c>
      <c r="G352" s="154">
        <f t="shared" si="88"/>
        <v>0</v>
      </c>
      <c r="H352" s="154">
        <f t="shared" si="88"/>
        <v>0</v>
      </c>
      <c r="I352" s="154">
        <f t="shared" si="88"/>
        <v>0</v>
      </c>
      <c r="J352" s="154">
        <f t="shared" si="86"/>
        <v>0</v>
      </c>
    </row>
    <row r="353" spans="2:10">
      <c r="B353" s="48" t="s">
        <v>872</v>
      </c>
      <c r="C353" s="335" t="s">
        <v>1073</v>
      </c>
      <c r="D353" s="154">
        <f t="shared" ref="D353:I353" si="89">SUM(D354:D357)</f>
        <v>0</v>
      </c>
      <c r="E353" s="154">
        <f t="shared" si="89"/>
        <v>0</v>
      </c>
      <c r="F353" s="154">
        <f t="shared" si="89"/>
        <v>0</v>
      </c>
      <c r="G353" s="154">
        <f t="shared" si="89"/>
        <v>0</v>
      </c>
      <c r="H353" s="154">
        <f t="shared" si="89"/>
        <v>0</v>
      </c>
      <c r="I353" s="154">
        <f t="shared" si="89"/>
        <v>0</v>
      </c>
      <c r="J353" s="154">
        <f t="shared" si="86"/>
        <v>0</v>
      </c>
    </row>
    <row r="354" spans="2:10">
      <c r="C354" s="157" t="s">
        <v>1477</v>
      </c>
      <c r="D354" s="156">
        <f>F821D!D124*$D21*(1+D$25)*(1+D$26)</f>
        <v>0</v>
      </c>
      <c r="E354" s="156">
        <f>F821D!E124*$D21*(1+E$25)*(1+E$26)</f>
        <v>0</v>
      </c>
      <c r="F354" s="156">
        <f>F821D!F124*$D21*(1+F$25)*(1+F$26)</f>
        <v>0</v>
      </c>
      <c r="G354" s="156">
        <f>F821D!G124*$D21*(1+G$25)*(1+G$26)</f>
        <v>0</v>
      </c>
      <c r="H354" s="156">
        <f>F821D!H124*$D21*(1+H$25)*(1+H$26)</f>
        <v>0</v>
      </c>
      <c r="I354" s="156">
        <f>F821D!I124*$D21*(1+I$25)*(1+I$26)</f>
        <v>0</v>
      </c>
      <c r="J354" s="154">
        <f t="shared" si="86"/>
        <v>0</v>
      </c>
    </row>
    <row r="355" spans="2:10">
      <c r="C355" s="157" t="s">
        <v>1477</v>
      </c>
      <c r="D355" s="156">
        <f>F821D!D125*$D22*(1+D$25)*(1+D$26)</f>
        <v>0</v>
      </c>
      <c r="E355" s="156">
        <f>F821D!E125*$D22*(1+E$25)*(1+E$26)</f>
        <v>0</v>
      </c>
      <c r="F355" s="156">
        <f>F821D!F125*$D22*(1+F$25)*(1+F$26)</f>
        <v>0</v>
      </c>
      <c r="G355" s="156">
        <f>F821D!G125*$D22*(1+G$25)*(1+G$26)</f>
        <v>0</v>
      </c>
      <c r="H355" s="156">
        <f>F821D!H125*$D22*(1+H$25)*(1+H$26)</f>
        <v>0</v>
      </c>
      <c r="I355" s="156">
        <f>F821D!I125*$D22*(1+I$25)*(1+I$26)</f>
        <v>0</v>
      </c>
      <c r="J355" s="154">
        <f t="shared" si="86"/>
        <v>0</v>
      </c>
    </row>
    <row r="356" spans="2:10">
      <c r="C356" s="157" t="s">
        <v>1477</v>
      </c>
      <c r="D356" s="156">
        <f>F821D!D126*$D23*(1+D$25)*(1+D$26)</f>
        <v>0</v>
      </c>
      <c r="E356" s="156">
        <f>F821D!E126*$D23*(1+E$25)*(1+E$26)</f>
        <v>0</v>
      </c>
      <c r="F356" s="156">
        <f>F821D!F126*$D23*(1+F$25)*(1+F$26)</f>
        <v>0</v>
      </c>
      <c r="G356" s="156">
        <f>F821D!G126*$D23*(1+G$25)*(1+G$26)</f>
        <v>0</v>
      </c>
      <c r="H356" s="156">
        <f>F821D!H126*$D23*(1+H$25)*(1+H$26)</f>
        <v>0</v>
      </c>
      <c r="I356" s="156">
        <f>F821D!I126*$D23*(1+I$25)*(1+I$26)</f>
        <v>0</v>
      </c>
      <c r="J356" s="154">
        <f>SUM(D356:I356)</f>
        <v>0</v>
      </c>
    </row>
    <row r="357" spans="2:10">
      <c r="C357" s="157" t="s">
        <v>1477</v>
      </c>
      <c r="D357" s="156">
        <f>F821D!D127*$D24*(1+D$25)*(1+D$26)</f>
        <v>0</v>
      </c>
      <c r="E357" s="156">
        <f>F821D!E127*$D24*(1+E$25)*(1+E$26)</f>
        <v>0</v>
      </c>
      <c r="F357" s="156">
        <f>F821D!F127*$D24*(1+F$25)*(1+F$26)</f>
        <v>0</v>
      </c>
      <c r="G357" s="156">
        <f>F821D!G127*$D24*(1+G$25)*(1+G$26)</f>
        <v>0</v>
      </c>
      <c r="H357" s="156">
        <f>F821D!H127*$D24*(1+H$25)*(1+H$26)</f>
        <v>0</v>
      </c>
      <c r="I357" s="156">
        <f>F821D!I127*$D24*(1+I$25)*(1+I$26)</f>
        <v>0</v>
      </c>
      <c r="J357" s="154">
        <f>SUM(D357:I357)</f>
        <v>0</v>
      </c>
    </row>
    <row r="358" spans="2:10">
      <c r="B358" s="48" t="s">
        <v>873</v>
      </c>
      <c r="C358" s="335" t="s">
        <v>193</v>
      </c>
      <c r="D358" s="154">
        <f t="shared" ref="D358:I358" si="90">SUM(D359:D363)</f>
        <v>0</v>
      </c>
      <c r="E358" s="154">
        <f t="shared" si="90"/>
        <v>0</v>
      </c>
      <c r="F358" s="154">
        <f t="shared" si="90"/>
        <v>0</v>
      </c>
      <c r="G358" s="154">
        <f t="shared" si="90"/>
        <v>0</v>
      </c>
      <c r="H358" s="154">
        <f t="shared" si="90"/>
        <v>0</v>
      </c>
      <c r="I358" s="154">
        <f t="shared" si="90"/>
        <v>0</v>
      </c>
      <c r="J358" s="154">
        <f t="shared" si="86"/>
        <v>0</v>
      </c>
    </row>
    <row r="359" spans="2:10">
      <c r="C359" s="157" t="s">
        <v>1031</v>
      </c>
      <c r="D359" s="156">
        <f>F821D!D129*0</f>
        <v>0</v>
      </c>
      <c r="E359" s="156">
        <f>F821D!E129*0</f>
        <v>0</v>
      </c>
      <c r="F359" s="156">
        <f>F821D!F129*0</f>
        <v>0</v>
      </c>
      <c r="G359" s="156">
        <f>F821D!G129*0</f>
        <v>0</v>
      </c>
      <c r="H359" s="156">
        <f>F821D!H129*0</f>
        <v>0</v>
      </c>
      <c r="I359" s="156">
        <f>F821D!I129*0</f>
        <v>0</v>
      </c>
      <c r="J359" s="154">
        <f t="shared" si="86"/>
        <v>0</v>
      </c>
    </row>
    <row r="360" spans="2:10">
      <c r="C360" s="157" t="s">
        <v>1478</v>
      </c>
      <c r="D360" s="156">
        <f>F821D!D130*$D21*(1+D$25)*(1+D$26)</f>
        <v>0</v>
      </c>
      <c r="E360" s="156">
        <f>F821D!E130*$D21*(1+E$25)*(1+E$26)</f>
        <v>0</v>
      </c>
      <c r="F360" s="156">
        <f>F821D!F130*$D21*(1+F$25)*(1+F$26)</f>
        <v>0</v>
      </c>
      <c r="G360" s="156">
        <f>F821D!G130*$D21*(1+G$25)*(1+G$26)</f>
        <v>0</v>
      </c>
      <c r="H360" s="156">
        <f>F821D!H130*$D21*(1+H$25)*(1+H$26)</f>
        <v>0</v>
      </c>
      <c r="I360" s="156">
        <f>F821D!I130*$D21*(1+I$25)*(1+I$26)</f>
        <v>0</v>
      </c>
      <c r="J360" s="154">
        <f t="shared" si="86"/>
        <v>0</v>
      </c>
    </row>
    <row r="361" spans="2:10">
      <c r="C361" s="157" t="s">
        <v>1478</v>
      </c>
      <c r="D361" s="156">
        <f>F821D!D131*$D22*(1+D$25)*(1+D$26)</f>
        <v>0</v>
      </c>
      <c r="E361" s="156">
        <f>F821D!E131*$D22*(1+E$25)*(1+E$26)</f>
        <v>0</v>
      </c>
      <c r="F361" s="156">
        <f>F821D!F131*$D22*(1+F$25)*(1+F$26)</f>
        <v>0</v>
      </c>
      <c r="G361" s="156">
        <f>F821D!G131*$D22*(1+G$25)*(1+G$26)</f>
        <v>0</v>
      </c>
      <c r="H361" s="156">
        <f>F821D!H131*$D22*(1+H$25)*(1+H$26)</f>
        <v>0</v>
      </c>
      <c r="I361" s="156">
        <f>F821D!I131*$D22*(1+I$25)*(1+I$26)</f>
        <v>0</v>
      </c>
      <c r="J361" s="154">
        <f t="shared" si="86"/>
        <v>0</v>
      </c>
    </row>
    <row r="362" spans="2:10">
      <c r="C362" s="157" t="s">
        <v>1478</v>
      </c>
      <c r="D362" s="156">
        <f>F821D!D132*$D23*(1+D$25)*(1+D$26)</f>
        <v>0</v>
      </c>
      <c r="E362" s="156">
        <f>F821D!E132*$D23*(1+E$25)*(1+E$26)</f>
        <v>0</v>
      </c>
      <c r="F362" s="156">
        <f>F821D!F132*$D23*(1+F$25)*(1+F$26)</f>
        <v>0</v>
      </c>
      <c r="G362" s="156">
        <f>F821D!G132*$D23*(1+G$25)*(1+G$26)</f>
        <v>0</v>
      </c>
      <c r="H362" s="156">
        <f>F821D!H132*$D23*(1+H$25)*(1+H$26)</f>
        <v>0</v>
      </c>
      <c r="I362" s="156">
        <f>F821D!I132*$D23*(1+I$25)*(1+I$26)</f>
        <v>0</v>
      </c>
      <c r="J362" s="154">
        <f t="shared" si="86"/>
        <v>0</v>
      </c>
    </row>
    <row r="363" spans="2:10">
      <c r="C363" s="157" t="s">
        <v>1478</v>
      </c>
      <c r="D363" s="156">
        <f>F821D!D133*$D24*(1+D$25)*(1+D$26)</f>
        <v>0</v>
      </c>
      <c r="E363" s="156">
        <f>F821D!E133*$D24*(1+E$25)*(1+E$26)</f>
        <v>0</v>
      </c>
      <c r="F363" s="156">
        <f>F821D!F133*$D24*(1+F$25)*(1+F$26)</f>
        <v>0</v>
      </c>
      <c r="G363" s="156">
        <f>F821D!G133*$D24*(1+G$25)*(1+G$26)</f>
        <v>0</v>
      </c>
      <c r="H363" s="156">
        <f>F821D!H133*$D24*(1+H$25)*(1+H$26)</f>
        <v>0</v>
      </c>
      <c r="I363" s="156">
        <f>F821D!I133*$D24*(1+I$25)*(1+I$26)</f>
        <v>0</v>
      </c>
      <c r="J363" s="154">
        <f t="shared" si="86"/>
        <v>0</v>
      </c>
    </row>
    <row r="364" spans="2:10">
      <c r="C364" s="153" t="s">
        <v>308</v>
      </c>
      <c r="D364" s="154">
        <f t="shared" ref="D364:I364" si="91">SUM(D365:D366)</f>
        <v>0</v>
      </c>
      <c r="E364" s="154">
        <f t="shared" si="91"/>
        <v>0</v>
      </c>
      <c r="F364" s="154">
        <f t="shared" si="91"/>
        <v>0</v>
      </c>
      <c r="G364" s="154">
        <f t="shared" si="91"/>
        <v>0</v>
      </c>
      <c r="H364" s="154">
        <f t="shared" si="91"/>
        <v>0</v>
      </c>
      <c r="I364" s="154">
        <f t="shared" si="91"/>
        <v>0</v>
      </c>
      <c r="J364" s="154">
        <f t="shared" si="86"/>
        <v>0</v>
      </c>
    </row>
    <row r="365" spans="2:10">
      <c r="B365" s="48" t="s">
        <v>874</v>
      </c>
      <c r="C365" s="157" t="s">
        <v>1479</v>
      </c>
      <c r="D365" s="156">
        <f>F821D!D137*$D21*(1+D$25)*(1+D$26)</f>
        <v>0</v>
      </c>
      <c r="E365" s="156">
        <f>F821D!E137*$D21*(1+E$25)*(1+E$26)</f>
        <v>0</v>
      </c>
      <c r="F365" s="156">
        <f>F821D!F137*$D21*(1+F$25)*(1+F$26)</f>
        <v>0</v>
      </c>
      <c r="G365" s="156">
        <f>F821D!G137*$D21*(1+G$25)*(1+G$26)</f>
        <v>0</v>
      </c>
      <c r="H365" s="156">
        <f>F821D!H137*$D21*(1+H$25)*(1+H$26)</f>
        <v>0</v>
      </c>
      <c r="I365" s="156">
        <f>F821D!I137*$D21*(1+I$25)*(1+I$26)</f>
        <v>0</v>
      </c>
      <c r="J365" s="154">
        <f t="shared" si="86"/>
        <v>0</v>
      </c>
    </row>
    <row r="366" spans="2:10">
      <c r="B366" s="48" t="s">
        <v>875</v>
      </c>
      <c r="C366" s="335" t="s">
        <v>193</v>
      </c>
      <c r="D366" s="154">
        <f t="shared" ref="D366:I366" si="92">SUM(D367:D372)</f>
        <v>0</v>
      </c>
      <c r="E366" s="154">
        <f t="shared" si="92"/>
        <v>0</v>
      </c>
      <c r="F366" s="154">
        <f t="shared" si="92"/>
        <v>0</v>
      </c>
      <c r="G366" s="154">
        <f t="shared" si="92"/>
        <v>0</v>
      </c>
      <c r="H366" s="154">
        <f t="shared" si="92"/>
        <v>0</v>
      </c>
      <c r="I366" s="154">
        <f t="shared" si="92"/>
        <v>0</v>
      </c>
      <c r="J366" s="154">
        <f t="shared" si="86"/>
        <v>0</v>
      </c>
    </row>
    <row r="367" spans="2:10">
      <c r="C367" s="157" t="s">
        <v>1032</v>
      </c>
      <c r="D367" s="156">
        <f>F821D!D140*0</f>
        <v>0</v>
      </c>
      <c r="E367" s="156">
        <f>F821D!E140*0</f>
        <v>0</v>
      </c>
      <c r="F367" s="156">
        <f>F821D!F140*0</f>
        <v>0</v>
      </c>
      <c r="G367" s="156">
        <f>F821D!G140*0</f>
        <v>0</v>
      </c>
      <c r="H367" s="156">
        <f>F821D!H140*0</f>
        <v>0</v>
      </c>
      <c r="I367" s="156">
        <f>F821D!I140*0</f>
        <v>0</v>
      </c>
      <c r="J367" s="154">
        <f t="shared" si="86"/>
        <v>0</v>
      </c>
    </row>
    <row r="368" spans="2:10">
      <c r="C368" s="157" t="s">
        <v>1480</v>
      </c>
      <c r="D368" s="156">
        <f>F821D!D141*$D21*(1+D$25)*(1+D$26)</f>
        <v>0</v>
      </c>
      <c r="E368" s="156">
        <f>F821D!E141*$D21*(1+E$25)*(1+E$26)</f>
        <v>0</v>
      </c>
      <c r="F368" s="156">
        <f>F821D!F141*$D21*(1+F$25)*(1+F$26)</f>
        <v>0</v>
      </c>
      <c r="G368" s="156">
        <f>F821D!G141*$D21*(1+G$25)*(1+G$26)</f>
        <v>0</v>
      </c>
      <c r="H368" s="156">
        <f>F821D!H141*$D21*(1+H$25)*(1+H$26)</f>
        <v>0</v>
      </c>
      <c r="I368" s="156">
        <f>F821D!I141*$D21*(1+I$25)*(1+I$26)</f>
        <v>0</v>
      </c>
      <c r="J368" s="154">
        <f t="shared" si="86"/>
        <v>0</v>
      </c>
    </row>
    <row r="369" spans="2:10">
      <c r="C369" s="157" t="s">
        <v>1480</v>
      </c>
      <c r="D369" s="156">
        <f>F821D!D142*$D22*(1+D$25)*(1+D$26)</f>
        <v>0</v>
      </c>
      <c r="E369" s="156">
        <f>F821D!E142*$D22*(1+E$25)*(1+E$26)</f>
        <v>0</v>
      </c>
      <c r="F369" s="156">
        <f>F821D!F142*$D22*(1+F$25)*(1+F$26)</f>
        <v>0</v>
      </c>
      <c r="G369" s="156">
        <f>F821D!G142*$D22*(1+G$25)*(1+G$26)</f>
        <v>0</v>
      </c>
      <c r="H369" s="156">
        <f>F821D!H142*$D22*(1+H$25)*(1+H$26)</f>
        <v>0</v>
      </c>
      <c r="I369" s="156">
        <f>F821D!I142*$D22*(1+I$25)*(1+I$26)</f>
        <v>0</v>
      </c>
      <c r="J369" s="154">
        <f t="shared" si="86"/>
        <v>0</v>
      </c>
    </row>
    <row r="370" spans="2:10">
      <c r="C370" s="157" t="s">
        <v>1480</v>
      </c>
      <c r="D370" s="156">
        <f>F821D!D143*$D23*(1+D$25)*(1+D$26)</f>
        <v>0</v>
      </c>
      <c r="E370" s="156">
        <f>F821D!E143*$D23*(1+E$25)*(1+E$26)</f>
        <v>0</v>
      </c>
      <c r="F370" s="156">
        <f>F821D!F143*$D23*(1+F$25)*(1+F$26)</f>
        <v>0</v>
      </c>
      <c r="G370" s="156">
        <f>F821D!G143*$D23*(1+G$25)*(1+G$26)</f>
        <v>0</v>
      </c>
      <c r="H370" s="156">
        <f>F821D!H143*$D23*(1+H$25)*(1+H$26)</f>
        <v>0</v>
      </c>
      <c r="I370" s="156">
        <f>F821D!I143*$D23*(1+I$25)*(1+I$26)</f>
        <v>0</v>
      </c>
      <c r="J370" s="154">
        <f t="shared" si="86"/>
        <v>0</v>
      </c>
    </row>
    <row r="371" spans="2:10">
      <c r="C371" s="157" t="s">
        <v>1480</v>
      </c>
      <c r="D371" s="156">
        <f>F821D!D144*$D24*(1+D$25)*(1+D$26)</f>
        <v>0</v>
      </c>
      <c r="E371" s="156">
        <f>F821D!E144*$D24*(1+E$25)*(1+E$26)</f>
        <v>0</v>
      </c>
      <c r="F371" s="156">
        <f>F821D!F144*$D24*(1+F$25)*(1+F$26)</f>
        <v>0</v>
      </c>
      <c r="G371" s="156">
        <f>F821D!G144*$D24*(1+G$25)*(1+G$26)</f>
        <v>0</v>
      </c>
      <c r="H371" s="156">
        <f>F821D!H144*$D24*(1+H$25)*(1+H$26)</f>
        <v>0</v>
      </c>
      <c r="I371" s="156">
        <f>F821D!I144*$D24*(1+I$25)*(1+I$26)</f>
        <v>0</v>
      </c>
      <c r="J371" s="154">
        <f t="shared" si="86"/>
        <v>0</v>
      </c>
    </row>
    <row r="372" spans="2:10">
      <c r="C372" s="157"/>
      <c r="D372" s="156"/>
      <c r="E372" s="156"/>
      <c r="F372" s="156"/>
      <c r="G372" s="156"/>
      <c r="H372" s="156"/>
      <c r="I372" s="156"/>
      <c r="J372" s="154">
        <f t="shared" si="86"/>
        <v>0</v>
      </c>
    </row>
    <row r="373" spans="2:10">
      <c r="C373" s="153" t="s">
        <v>112</v>
      </c>
      <c r="D373" s="154">
        <f t="shared" ref="D373:I373" si="93">D346+D352+D364</f>
        <v>0</v>
      </c>
      <c r="E373" s="154">
        <f t="shared" si="93"/>
        <v>0</v>
      </c>
      <c r="F373" s="154">
        <f t="shared" si="93"/>
        <v>0</v>
      </c>
      <c r="G373" s="154">
        <f t="shared" si="93"/>
        <v>0</v>
      </c>
      <c r="H373" s="154">
        <f t="shared" si="93"/>
        <v>0</v>
      </c>
      <c r="I373" s="154">
        <f t="shared" si="93"/>
        <v>0</v>
      </c>
      <c r="J373" s="154">
        <f t="shared" si="86"/>
        <v>0</v>
      </c>
    </row>
    <row r="374" spans="2:10">
      <c r="C374" s="164"/>
      <c r="D374" s="164"/>
      <c r="E374" s="164"/>
      <c r="F374" s="164"/>
      <c r="G374" s="164"/>
      <c r="H374" s="164"/>
      <c r="I374" s="164"/>
      <c r="J374" s="164"/>
    </row>
    <row r="375" spans="2:10">
      <c r="C375" s="153" t="s">
        <v>111</v>
      </c>
      <c r="D375" s="154">
        <f t="shared" ref="D375:J375" si="94">D121+D216+D311+D342+D373</f>
        <v>23992668.510467015</v>
      </c>
      <c r="E375" s="154">
        <f t="shared" si="94"/>
        <v>23997270.853337452</v>
      </c>
      <c r="F375" s="154">
        <f t="shared" si="94"/>
        <v>23468496.870097328</v>
      </c>
      <c r="G375" s="154">
        <f t="shared" si="94"/>
        <v>23895685.632353187</v>
      </c>
      <c r="H375" s="154">
        <f t="shared" si="94"/>
        <v>22703030.485551715</v>
      </c>
      <c r="I375" s="154">
        <f t="shared" si="94"/>
        <v>22854876.01359614</v>
      </c>
      <c r="J375" s="154">
        <f t="shared" si="94"/>
        <v>140912028.36540282</v>
      </c>
    </row>
    <row r="376" spans="2:10">
      <c r="D376" s="336"/>
      <c r="E376" s="336"/>
      <c r="H376" s="336"/>
      <c r="I376" s="336"/>
      <c r="J376" s="154">
        <f>J375</f>
        <v>140912028.36540282</v>
      </c>
    </row>
    <row r="377" spans="2:10">
      <c r="C377" s="52" t="str">
        <f>'PORTADA PORTADA PORTADA'!B23</f>
        <v>1 DE JULIO DE 2026</v>
      </c>
    </row>
    <row r="381" spans="2:10">
      <c r="B381" s="48" t="s">
        <v>902</v>
      </c>
      <c r="D381" s="64">
        <f t="shared" ref="D381:I390" si="95">SUMIF($B$29:$B$375,$B381,D$29:D$375)</f>
        <v>979526.13534999988</v>
      </c>
      <c r="E381" s="64">
        <f t="shared" si="95"/>
        <v>962823.57036250003</v>
      </c>
      <c r="F381" s="64">
        <f t="shared" si="95"/>
        <v>991877.06178749993</v>
      </c>
      <c r="G381" s="64">
        <f t="shared" si="95"/>
        <v>974145.87917500001</v>
      </c>
      <c r="H381" s="64">
        <f t="shared" si="95"/>
        <v>908750.06556250004</v>
      </c>
      <c r="I381" s="64">
        <f t="shared" si="95"/>
        <v>985590.79123750003</v>
      </c>
      <c r="J381" s="64">
        <f t="shared" ref="J381:J398" si="96">SUMIF($B$29:$B$375,$B381,J$29:J$376)</f>
        <v>5802713.5034750002</v>
      </c>
    </row>
    <row r="382" spans="2:10">
      <c r="B382" s="48" t="s">
        <v>751</v>
      </c>
      <c r="D382" s="64">
        <f t="shared" si="95"/>
        <v>2636634.5501124999</v>
      </c>
      <c r="E382" s="64">
        <f t="shared" si="95"/>
        <v>2621133.0038600001</v>
      </c>
      <c r="F382" s="64">
        <f t="shared" si="95"/>
        <v>2660788.575865</v>
      </c>
      <c r="G382" s="64">
        <f t="shared" si="95"/>
        <v>2644897.2897550003</v>
      </c>
      <c r="H382" s="64">
        <f t="shared" si="95"/>
        <v>2714591.2355624996</v>
      </c>
      <c r="I382" s="64">
        <f t="shared" si="95"/>
        <v>2676818.6062975</v>
      </c>
      <c r="J382" s="64">
        <f t="shared" si="96"/>
        <v>15954863.2614525</v>
      </c>
    </row>
    <row r="383" spans="2:10">
      <c r="B383" s="48" t="s">
        <v>750</v>
      </c>
      <c r="D383" s="64">
        <f t="shared" si="95"/>
        <v>4090392.4825395006</v>
      </c>
      <c r="E383" s="64">
        <f t="shared" si="95"/>
        <v>4136803.633674501</v>
      </c>
      <c r="F383" s="64">
        <f t="shared" si="95"/>
        <v>4026070.51675</v>
      </c>
      <c r="G383" s="64">
        <f t="shared" si="95"/>
        <v>4021753.6082504997</v>
      </c>
      <c r="H383" s="64">
        <f t="shared" si="95"/>
        <v>3880841.5033445004</v>
      </c>
      <c r="I383" s="64">
        <f t="shared" si="95"/>
        <v>3789609.9953405</v>
      </c>
      <c r="J383" s="64">
        <f t="shared" si="96"/>
        <v>23945471.739899505</v>
      </c>
    </row>
    <row r="384" spans="2:10">
      <c r="B384" s="48" t="s">
        <v>749</v>
      </c>
      <c r="D384" s="64">
        <f t="shared" si="95"/>
        <v>6251315.6453024996</v>
      </c>
      <c r="E384" s="64">
        <f t="shared" si="95"/>
        <v>6220497.5151434997</v>
      </c>
      <c r="F384" s="64">
        <f t="shared" si="95"/>
        <v>6071589.1341449991</v>
      </c>
      <c r="G384" s="64">
        <f t="shared" si="95"/>
        <v>6156421.6767030004</v>
      </c>
      <c r="H384" s="64">
        <f t="shared" si="95"/>
        <v>5673503.1980940001</v>
      </c>
      <c r="I384" s="64">
        <f t="shared" si="95"/>
        <v>5889238.3130099997</v>
      </c>
      <c r="J384" s="64">
        <f t="shared" si="96"/>
        <v>36262565.482397996</v>
      </c>
    </row>
    <row r="385" spans="2:11">
      <c r="B385" s="48" t="s">
        <v>1176</v>
      </c>
      <c r="D385" s="64">
        <f t="shared" si="95"/>
        <v>0</v>
      </c>
      <c r="E385" s="64">
        <f t="shared" si="95"/>
        <v>0</v>
      </c>
      <c r="F385" s="64">
        <f t="shared" si="95"/>
        <v>0</v>
      </c>
      <c r="G385" s="64">
        <f t="shared" si="95"/>
        <v>0</v>
      </c>
      <c r="H385" s="64">
        <f t="shared" si="95"/>
        <v>0</v>
      </c>
      <c r="I385" s="64">
        <f t="shared" si="95"/>
        <v>0</v>
      </c>
      <c r="J385" s="64">
        <f t="shared" si="96"/>
        <v>0</v>
      </c>
    </row>
    <row r="386" spans="2:11">
      <c r="B386" s="48" t="s">
        <v>274</v>
      </c>
      <c r="D386" s="64">
        <f t="shared" si="95"/>
        <v>5340456.7516599996</v>
      </c>
      <c r="E386" s="64">
        <f t="shared" si="95"/>
        <v>5294616.9430800006</v>
      </c>
      <c r="F386" s="64">
        <f t="shared" si="95"/>
        <v>5087423.1263200017</v>
      </c>
      <c r="G386" s="64">
        <f t="shared" si="95"/>
        <v>5288596.6038900008</v>
      </c>
      <c r="H386" s="64">
        <f t="shared" si="95"/>
        <v>4977395.9403800005</v>
      </c>
      <c r="I386" s="64">
        <f t="shared" si="95"/>
        <v>4961140.9791539991</v>
      </c>
      <c r="J386" s="64">
        <f t="shared" si="96"/>
        <v>30949630.344484001</v>
      </c>
    </row>
    <row r="387" spans="2:11">
      <c r="B387" s="48" t="s">
        <v>275</v>
      </c>
      <c r="D387" s="64">
        <f t="shared" si="95"/>
        <v>250151.58304249999</v>
      </c>
      <c r="E387" s="64">
        <f t="shared" si="95"/>
        <v>248511.63565000001</v>
      </c>
      <c r="F387" s="64">
        <f t="shared" si="95"/>
        <v>245693.16778499997</v>
      </c>
      <c r="G387" s="64">
        <f t="shared" si="95"/>
        <v>253028.84325000001</v>
      </c>
      <c r="H387" s="64">
        <f t="shared" si="95"/>
        <v>249656.30002749999</v>
      </c>
      <c r="I387" s="64">
        <f t="shared" si="95"/>
        <v>261036.60337499998</v>
      </c>
      <c r="J387" s="64">
        <f t="shared" si="96"/>
        <v>1508078.13313</v>
      </c>
    </row>
    <row r="388" spans="2:11">
      <c r="B388" s="48" t="s">
        <v>276</v>
      </c>
      <c r="D388" s="64">
        <f t="shared" si="95"/>
        <v>2261743.3169399998</v>
      </c>
      <c r="E388" s="64">
        <f t="shared" si="95"/>
        <v>2322641.6008650004</v>
      </c>
      <c r="F388" s="64">
        <f t="shared" si="95"/>
        <v>2235322.4805149999</v>
      </c>
      <c r="G388" s="64">
        <f t="shared" si="95"/>
        <v>2357775.0383699997</v>
      </c>
      <c r="H388" s="64">
        <f t="shared" si="95"/>
        <v>2117146.2910799999</v>
      </c>
      <c r="I388" s="64">
        <f t="shared" si="95"/>
        <v>2204199.7625849997</v>
      </c>
      <c r="J388" s="64">
        <f t="shared" si="96"/>
        <v>13498828.490355</v>
      </c>
    </row>
    <row r="389" spans="2:11">
      <c r="B389" s="48" t="s">
        <v>277</v>
      </c>
      <c r="D389" s="64">
        <f t="shared" si="95"/>
        <v>380010.067905</v>
      </c>
      <c r="E389" s="64">
        <f t="shared" si="95"/>
        <v>388191.19207500003</v>
      </c>
      <c r="F389" s="64">
        <f t="shared" si="95"/>
        <v>386442.31850999995</v>
      </c>
      <c r="G389" s="64">
        <f t="shared" si="95"/>
        <v>364375.99042499997</v>
      </c>
      <c r="H389" s="64">
        <f t="shared" si="95"/>
        <v>443618.02381499996</v>
      </c>
      <c r="I389" s="64">
        <f t="shared" si="95"/>
        <v>290817.42648000002</v>
      </c>
      <c r="J389" s="64">
        <f t="shared" si="96"/>
        <v>2253455.0192100001</v>
      </c>
    </row>
    <row r="390" spans="2:11">
      <c r="B390" s="48" t="s">
        <v>278</v>
      </c>
      <c r="D390" s="64">
        <f t="shared" si="95"/>
        <v>0</v>
      </c>
      <c r="E390" s="64">
        <f t="shared" si="95"/>
        <v>0</v>
      </c>
      <c r="F390" s="64">
        <f t="shared" si="95"/>
        <v>0</v>
      </c>
      <c r="G390" s="64">
        <f t="shared" si="95"/>
        <v>0</v>
      </c>
      <c r="H390" s="64">
        <f t="shared" si="95"/>
        <v>0</v>
      </c>
      <c r="I390" s="64">
        <f t="shared" si="95"/>
        <v>0</v>
      </c>
      <c r="J390" s="64">
        <f t="shared" si="96"/>
        <v>0</v>
      </c>
    </row>
    <row r="391" spans="2:11">
      <c r="B391" s="48" t="s">
        <v>279</v>
      </c>
      <c r="D391" s="64">
        <f t="shared" ref="D391:I398" si="97">SUMIF($B$29:$B$375,$B391,D$29:D$375)</f>
        <v>1646261.06439</v>
      </c>
      <c r="E391" s="64">
        <f t="shared" si="97"/>
        <v>1650840.13539</v>
      </c>
      <c r="F391" s="64">
        <f t="shared" si="97"/>
        <v>1613309.7648</v>
      </c>
      <c r="G391" s="64">
        <f t="shared" si="97"/>
        <v>1674806.5987199999</v>
      </c>
      <c r="H391" s="64">
        <f t="shared" si="97"/>
        <v>1597131.9338400001</v>
      </c>
      <c r="I391" s="64">
        <f t="shared" si="97"/>
        <v>1657621.9994099999</v>
      </c>
      <c r="J391" s="64">
        <f t="shared" si="96"/>
        <v>9839971.4965499993</v>
      </c>
    </row>
    <row r="392" spans="2:11">
      <c r="B392" s="48" t="s">
        <v>875</v>
      </c>
      <c r="D392" s="64">
        <f t="shared" si="97"/>
        <v>14598.711629040004</v>
      </c>
      <c r="E392" s="64">
        <f t="shared" si="97"/>
        <v>14327.831726208002</v>
      </c>
      <c r="F392" s="64">
        <f t="shared" si="97"/>
        <v>14549.733903232001</v>
      </c>
      <c r="G392" s="64">
        <f t="shared" si="97"/>
        <v>15333.7763436</v>
      </c>
      <c r="H392" s="64">
        <f t="shared" si="97"/>
        <v>14111.977027279996</v>
      </c>
      <c r="I392" s="64">
        <f t="shared" si="97"/>
        <v>15860.222640672964</v>
      </c>
      <c r="J392" s="64">
        <f t="shared" si="96"/>
        <v>88782.253270032976</v>
      </c>
    </row>
    <row r="393" spans="2:11">
      <c r="B393" s="48" t="s">
        <v>874</v>
      </c>
      <c r="D393" s="64">
        <f t="shared" si="97"/>
        <v>488.40901665599995</v>
      </c>
      <c r="E393" s="64">
        <f t="shared" si="97"/>
        <v>484.06888798400001</v>
      </c>
      <c r="F393" s="64">
        <f t="shared" si="97"/>
        <v>463.62149504000001</v>
      </c>
      <c r="G393" s="64">
        <f t="shared" si="97"/>
        <v>480.78365279999997</v>
      </c>
      <c r="H393" s="64">
        <f t="shared" si="97"/>
        <v>465.5997859040001</v>
      </c>
      <c r="I393" s="64">
        <f t="shared" si="97"/>
        <v>482.39838240000051</v>
      </c>
      <c r="J393" s="64">
        <f t="shared" si="96"/>
        <v>2864.8812207840006</v>
      </c>
    </row>
    <row r="394" spans="2:11">
      <c r="B394" s="48" t="s">
        <v>873</v>
      </c>
      <c r="D394" s="64">
        <f t="shared" si="97"/>
        <v>75160.67805561042</v>
      </c>
      <c r="E394" s="64">
        <f t="shared" si="97"/>
        <v>74400.885059239197</v>
      </c>
      <c r="F394" s="64">
        <f t="shared" si="97"/>
        <v>72288.663195830391</v>
      </c>
      <c r="G394" s="64">
        <f t="shared" si="97"/>
        <v>75206.293102336</v>
      </c>
      <c r="H394" s="64">
        <f t="shared" si="97"/>
        <v>69342.072737343988</v>
      </c>
      <c r="I394" s="64">
        <f t="shared" si="97"/>
        <v>74353.802383561357</v>
      </c>
      <c r="J394" s="64">
        <f t="shared" si="96"/>
        <v>440752.39453392138</v>
      </c>
    </row>
    <row r="395" spans="2:11">
      <c r="B395" s="48" t="s">
        <v>872</v>
      </c>
      <c r="D395" s="64">
        <f t="shared" si="97"/>
        <v>17930.877693871993</v>
      </c>
      <c r="E395" s="64">
        <f t="shared" si="97"/>
        <v>18099.296545440004</v>
      </c>
      <c r="F395" s="64">
        <f t="shared" si="97"/>
        <v>17606.39621576</v>
      </c>
      <c r="G395" s="64">
        <f t="shared" si="97"/>
        <v>18870.764891439998</v>
      </c>
      <c r="H395" s="64">
        <f t="shared" si="97"/>
        <v>17694.113111840004</v>
      </c>
      <c r="I395" s="64">
        <f t="shared" si="97"/>
        <v>17598.784809179204</v>
      </c>
      <c r="J395" s="64">
        <f t="shared" si="96"/>
        <v>107800.23326753121</v>
      </c>
    </row>
    <row r="396" spans="2:11">
      <c r="B396" s="48" t="s">
        <v>871</v>
      </c>
      <c r="D396" s="64">
        <f t="shared" si="97"/>
        <v>8177.3074715200009</v>
      </c>
      <c r="E396" s="64">
        <f t="shared" si="97"/>
        <v>8020.2564076799999</v>
      </c>
      <c r="F396" s="64">
        <f t="shared" si="97"/>
        <v>8292.0408489599977</v>
      </c>
      <c r="G396" s="64">
        <f t="shared" si="97"/>
        <v>9969.625662127999</v>
      </c>
      <c r="H396" s="64">
        <f t="shared" si="97"/>
        <v>9599.3616565439988</v>
      </c>
      <c r="I396" s="64">
        <f t="shared" si="97"/>
        <v>10092.221757851203</v>
      </c>
      <c r="J396" s="64">
        <f t="shared" si="96"/>
        <v>54150.813804683203</v>
      </c>
    </row>
    <row r="397" spans="2:11">
      <c r="B397" s="48" t="s">
        <v>870</v>
      </c>
      <c r="D397" s="64">
        <f t="shared" si="97"/>
        <v>17128.64743832</v>
      </c>
      <c r="E397" s="64">
        <f t="shared" si="97"/>
        <v>15504.45581168</v>
      </c>
      <c r="F397" s="64">
        <f t="shared" si="97"/>
        <v>15671.463711727998</v>
      </c>
      <c r="G397" s="64">
        <f t="shared" si="97"/>
        <v>17969.438882383998</v>
      </c>
      <c r="H397" s="64">
        <f t="shared" si="97"/>
        <v>12484.17951704</v>
      </c>
      <c r="I397" s="64">
        <f t="shared" si="97"/>
        <v>16097.970732975999</v>
      </c>
      <c r="J397" s="64">
        <f t="shared" si="96"/>
        <v>94856.156094127989</v>
      </c>
    </row>
    <row r="398" spans="2:11">
      <c r="B398" s="48" t="s">
        <v>890</v>
      </c>
      <c r="D398" s="64">
        <f t="shared" si="97"/>
        <v>22692.281919999998</v>
      </c>
      <c r="E398" s="64">
        <f t="shared" si="97"/>
        <v>20374.828798720006</v>
      </c>
      <c r="F398" s="64">
        <f t="shared" si="97"/>
        <v>21108.804249279998</v>
      </c>
      <c r="G398" s="64">
        <f t="shared" si="97"/>
        <v>22053.421280000002</v>
      </c>
      <c r="H398" s="64">
        <f t="shared" si="97"/>
        <v>16698.690009760001</v>
      </c>
      <c r="I398" s="64">
        <f t="shared" si="97"/>
        <v>4316.1360000000086</v>
      </c>
      <c r="J398" s="64">
        <f t="shared" si="96"/>
        <v>107244.16225776002</v>
      </c>
    </row>
    <row r="399" spans="2:11">
      <c r="B399" s="48" t="s">
        <v>111</v>
      </c>
      <c r="D399" s="65">
        <f t="shared" ref="D399:J399" si="98">SUM(D381:D398)</f>
        <v>23992668.510467023</v>
      </c>
      <c r="E399" s="65">
        <f t="shared" si="98"/>
        <v>23997270.853337444</v>
      </c>
      <c r="F399" s="65">
        <f t="shared" si="98"/>
        <v>23468496.870097328</v>
      </c>
      <c r="G399" s="65">
        <f t="shared" si="98"/>
        <v>23895685.632353183</v>
      </c>
      <c r="H399" s="65">
        <f t="shared" ref="H399:I399" si="99">SUM(H381:H398)</f>
        <v>22703030.485551707</v>
      </c>
      <c r="I399" s="65">
        <f t="shared" si="99"/>
        <v>22854876.013596136</v>
      </c>
      <c r="J399" s="65">
        <f t="shared" si="98"/>
        <v>140912028.36540288</v>
      </c>
    </row>
    <row r="400" spans="2:11" ht="17.25" customHeight="1">
      <c r="D400" s="66">
        <f t="shared" ref="D400:J400" si="100">D399-D375</f>
        <v>0</v>
      </c>
      <c r="E400" s="66">
        <f t="shared" si="100"/>
        <v>0</v>
      </c>
      <c r="F400" s="66">
        <f t="shared" si="100"/>
        <v>0</v>
      </c>
      <c r="G400" s="66">
        <f t="shared" si="100"/>
        <v>0</v>
      </c>
      <c r="H400" s="66">
        <f t="shared" si="100"/>
        <v>0</v>
      </c>
      <c r="I400" s="66">
        <f t="shared" si="100"/>
        <v>0</v>
      </c>
      <c r="J400" s="66">
        <f t="shared" si="100"/>
        <v>0</v>
      </c>
      <c r="K400" s="66"/>
    </row>
    <row r="402" spans="2:10">
      <c r="B402" s="48" t="s">
        <v>902</v>
      </c>
      <c r="D402" s="64">
        <f t="shared" ref="D402:F418" si="101">D381-D422</f>
        <v>952989.75003999984</v>
      </c>
      <c r="E402" s="64">
        <f t="shared" si="101"/>
        <v>936739.67497000005</v>
      </c>
      <c r="F402" s="64">
        <f t="shared" si="101"/>
        <v>965006.07698999997</v>
      </c>
      <c r="G402" s="64">
        <f t="shared" ref="G402:J417" si="102">G381-G422</f>
        <v>947755.25062000006</v>
      </c>
      <c r="H402" s="64">
        <f t="shared" ref="H402:I402" si="103">H381-H422</f>
        <v>884131.07785</v>
      </c>
      <c r="I402" s="64">
        <f t="shared" si="103"/>
        <v>958890.10807000007</v>
      </c>
      <c r="J402" s="64">
        <f t="shared" si="102"/>
        <v>5645511.9385400005</v>
      </c>
    </row>
    <row r="403" spans="2:10">
      <c r="B403" s="48" t="s">
        <v>751</v>
      </c>
      <c r="D403" s="64">
        <f t="shared" si="101"/>
        <v>2565205.3683699998</v>
      </c>
      <c r="E403" s="64">
        <f t="shared" si="101"/>
        <v>2550123.7751839999</v>
      </c>
      <c r="F403" s="64">
        <f t="shared" si="101"/>
        <v>2588705.0363560002</v>
      </c>
      <c r="G403" s="64">
        <f t="shared" si="102"/>
        <v>2573244.2617720002</v>
      </c>
      <c r="H403" s="64">
        <f t="shared" ref="H403:I403" si="104">H382-H423</f>
        <v>2641050.1258499995</v>
      </c>
      <c r="I403" s="64">
        <f t="shared" si="104"/>
        <v>2604300.796534</v>
      </c>
      <c r="J403" s="64">
        <f t="shared" si="102"/>
        <v>15522629.364065999</v>
      </c>
    </row>
    <row r="404" spans="2:10">
      <c r="B404" s="48" t="s">
        <v>750</v>
      </c>
      <c r="D404" s="64">
        <f t="shared" si="101"/>
        <v>4009495.2790050004</v>
      </c>
      <c r="E404" s="64">
        <f t="shared" si="101"/>
        <v>4054988.5396550009</v>
      </c>
      <c r="F404" s="64">
        <f t="shared" si="101"/>
        <v>3946445.4325000001</v>
      </c>
      <c r="G404" s="64">
        <f t="shared" si="102"/>
        <v>3942213.9010949996</v>
      </c>
      <c r="H404" s="64">
        <f t="shared" ref="H404:I404" si="105">H383-H424</f>
        <v>3804088.6669550003</v>
      </c>
      <c r="I404" s="64">
        <f t="shared" si="105"/>
        <v>3714661.478195</v>
      </c>
      <c r="J404" s="64">
        <f t="shared" si="102"/>
        <v>23471893.297405005</v>
      </c>
    </row>
    <row r="405" spans="2:10">
      <c r="B405" s="48" t="s">
        <v>749</v>
      </c>
      <c r="D405" s="64">
        <f t="shared" si="101"/>
        <v>6153563.7215999998</v>
      </c>
      <c r="E405" s="64">
        <f t="shared" si="101"/>
        <v>6123227.4950399995</v>
      </c>
      <c r="F405" s="64">
        <f t="shared" si="101"/>
        <v>5976647.5967999995</v>
      </c>
      <c r="G405" s="64">
        <f t="shared" si="102"/>
        <v>6060153.6115200007</v>
      </c>
      <c r="H405" s="64">
        <f t="shared" ref="H405:I405" si="106">H384-H425</f>
        <v>5584786.5369600002</v>
      </c>
      <c r="I405" s="64">
        <f t="shared" si="106"/>
        <v>5797148.1984000001</v>
      </c>
      <c r="J405" s="64">
        <f t="shared" si="102"/>
        <v>35695527.160319999</v>
      </c>
    </row>
    <row r="406" spans="2:10">
      <c r="B406" s="48" t="s">
        <v>1176</v>
      </c>
      <c r="D406" s="64">
        <f t="shared" si="101"/>
        <v>0</v>
      </c>
      <c r="E406" s="64">
        <f t="shared" si="101"/>
        <v>0</v>
      </c>
      <c r="F406" s="64">
        <f t="shared" si="101"/>
        <v>0</v>
      </c>
      <c r="G406" s="64">
        <f t="shared" si="102"/>
        <v>0</v>
      </c>
      <c r="H406" s="64">
        <f t="shared" ref="H406:I406" si="107">H385-H426</f>
        <v>0</v>
      </c>
      <c r="I406" s="64">
        <f t="shared" si="107"/>
        <v>0</v>
      </c>
      <c r="J406" s="64">
        <f t="shared" si="102"/>
        <v>0</v>
      </c>
    </row>
    <row r="407" spans="2:10">
      <c r="B407" s="48" t="s">
        <v>274</v>
      </c>
      <c r="D407" s="64">
        <f t="shared" si="101"/>
        <v>5234804.5570999999</v>
      </c>
      <c r="E407" s="64">
        <f t="shared" si="101"/>
        <v>5189774.4242000002</v>
      </c>
      <c r="F407" s="64">
        <f t="shared" si="101"/>
        <v>4986516.0660000015</v>
      </c>
      <c r="G407" s="64">
        <f t="shared" si="102"/>
        <v>5183848.3048500009</v>
      </c>
      <c r="H407" s="64">
        <f t="shared" ref="H407:I407" si="108">H386-H427</f>
        <v>4878687.2327000005</v>
      </c>
      <c r="I407" s="64">
        <f t="shared" si="108"/>
        <v>4862810.0503699994</v>
      </c>
      <c r="J407" s="64">
        <f t="shared" si="102"/>
        <v>30336440.635220002</v>
      </c>
    </row>
    <row r="408" spans="2:10">
      <c r="B408" s="48" t="s">
        <v>275</v>
      </c>
      <c r="D408" s="64">
        <f t="shared" si="101"/>
        <v>245230.4857625</v>
      </c>
      <c r="E408" s="64">
        <f t="shared" si="101"/>
        <v>243625.35645000002</v>
      </c>
      <c r="F408" s="64">
        <f t="shared" si="101"/>
        <v>240861.02442499998</v>
      </c>
      <c r="G408" s="64">
        <f t="shared" si="102"/>
        <v>248052.29365000001</v>
      </c>
      <c r="H408" s="64">
        <f t="shared" ref="H408:I408" si="109">H387-H428</f>
        <v>244747.88178749999</v>
      </c>
      <c r="I408" s="64">
        <f t="shared" si="109"/>
        <v>255902.96497499998</v>
      </c>
      <c r="J408" s="64">
        <f t="shared" si="102"/>
        <v>1478420.0070499999</v>
      </c>
    </row>
    <row r="409" spans="2:10">
      <c r="B409" s="48" t="s">
        <v>276</v>
      </c>
      <c r="D409" s="64">
        <f t="shared" si="101"/>
        <v>2217321.1738999998</v>
      </c>
      <c r="E409" s="64">
        <f t="shared" si="101"/>
        <v>2277023.3750250004</v>
      </c>
      <c r="F409" s="64">
        <f t="shared" si="101"/>
        <v>2191419.2602749998</v>
      </c>
      <c r="G409" s="64">
        <f t="shared" si="102"/>
        <v>2311466.7684499999</v>
      </c>
      <c r="H409" s="64">
        <f t="shared" ref="H409:I409" si="110">H388-H429</f>
        <v>2075564.1297999998</v>
      </c>
      <c r="I409" s="64">
        <f t="shared" si="110"/>
        <v>2160907.8132249997</v>
      </c>
      <c r="J409" s="64">
        <f t="shared" si="102"/>
        <v>13233702.520675</v>
      </c>
    </row>
    <row r="410" spans="2:10">
      <c r="B410" s="48" t="s">
        <v>277</v>
      </c>
      <c r="D410" s="64">
        <f t="shared" si="101"/>
        <v>372546.41742499999</v>
      </c>
      <c r="E410" s="64">
        <f t="shared" si="101"/>
        <v>380566.85887500003</v>
      </c>
      <c r="F410" s="64">
        <f t="shared" si="101"/>
        <v>378852.33434999996</v>
      </c>
      <c r="G410" s="64">
        <f t="shared" si="102"/>
        <v>357219.40362499998</v>
      </c>
      <c r="H410" s="64">
        <f t="shared" ref="H410:I410" si="111">H389-H430</f>
        <v>434905.07077499997</v>
      </c>
      <c r="I410" s="64">
        <f t="shared" si="111"/>
        <v>285105.57880000002</v>
      </c>
      <c r="J410" s="64">
        <f t="shared" si="102"/>
        <v>2209195.6638500001</v>
      </c>
    </row>
    <row r="411" spans="2:10">
      <c r="B411" s="48" t="s">
        <v>278</v>
      </c>
      <c r="D411" s="64">
        <f t="shared" si="101"/>
        <v>0</v>
      </c>
      <c r="E411" s="64">
        <f t="shared" si="101"/>
        <v>0</v>
      </c>
      <c r="F411" s="64">
        <f t="shared" si="101"/>
        <v>0</v>
      </c>
      <c r="G411" s="64">
        <f t="shared" si="102"/>
        <v>0</v>
      </c>
      <c r="H411" s="64">
        <f t="shared" ref="H411:I411" si="112">H390-H431</f>
        <v>0</v>
      </c>
      <c r="I411" s="64">
        <f t="shared" si="112"/>
        <v>0</v>
      </c>
      <c r="J411" s="64">
        <f t="shared" si="102"/>
        <v>0</v>
      </c>
    </row>
    <row r="412" spans="2:10">
      <c r="B412" s="48" t="s">
        <v>279</v>
      </c>
      <c r="D412" s="64">
        <f t="shared" si="101"/>
        <v>1613927.40215</v>
      </c>
      <c r="E412" s="64">
        <f t="shared" si="101"/>
        <v>1618416.53715</v>
      </c>
      <c r="F412" s="64">
        <f t="shared" si="101"/>
        <v>1581623.2879999999</v>
      </c>
      <c r="G412" s="64">
        <f t="shared" si="102"/>
        <v>1641912.2831999999</v>
      </c>
      <c r="H412" s="64">
        <f t="shared" ref="H412:I412" si="113">H391-H432</f>
        <v>1565763.2004</v>
      </c>
      <c r="I412" s="64">
        <f t="shared" si="113"/>
        <v>1625065.2008499999</v>
      </c>
      <c r="J412" s="64">
        <f t="shared" si="102"/>
        <v>9646707.91175</v>
      </c>
    </row>
    <row r="413" spans="2:10">
      <c r="B413" s="48" t="s">
        <v>875</v>
      </c>
      <c r="D413" s="64">
        <f t="shared" si="101"/>
        <v>0</v>
      </c>
      <c r="E413" s="64">
        <f t="shared" si="101"/>
        <v>0</v>
      </c>
      <c r="F413" s="64">
        <f t="shared" si="101"/>
        <v>0</v>
      </c>
      <c r="G413" s="64">
        <f t="shared" si="102"/>
        <v>0</v>
      </c>
      <c r="H413" s="64">
        <f t="shared" ref="H413:I413" si="114">H392-H433</f>
        <v>0</v>
      </c>
      <c r="I413" s="64">
        <f t="shared" si="114"/>
        <v>0</v>
      </c>
      <c r="J413" s="64">
        <f t="shared" si="102"/>
        <v>0</v>
      </c>
    </row>
    <row r="414" spans="2:10">
      <c r="B414" s="48" t="s">
        <v>874</v>
      </c>
      <c r="D414" s="64">
        <f t="shared" si="101"/>
        <v>0</v>
      </c>
      <c r="E414" s="64">
        <f t="shared" si="101"/>
        <v>0</v>
      </c>
      <c r="F414" s="64">
        <f t="shared" si="101"/>
        <v>0</v>
      </c>
      <c r="G414" s="64">
        <f t="shared" si="102"/>
        <v>0</v>
      </c>
      <c r="H414" s="64">
        <f t="shared" ref="H414:I414" si="115">H393-H434</f>
        <v>0</v>
      </c>
      <c r="I414" s="64">
        <f t="shared" si="115"/>
        <v>0</v>
      </c>
      <c r="J414" s="64">
        <f t="shared" si="102"/>
        <v>0</v>
      </c>
    </row>
    <row r="415" spans="2:10">
      <c r="B415" s="48" t="s">
        <v>873</v>
      </c>
      <c r="D415" s="64">
        <f t="shared" si="101"/>
        <v>0</v>
      </c>
      <c r="E415" s="64">
        <f t="shared" si="101"/>
        <v>0</v>
      </c>
      <c r="F415" s="64">
        <f t="shared" si="101"/>
        <v>0</v>
      </c>
      <c r="G415" s="64">
        <f t="shared" si="102"/>
        <v>0</v>
      </c>
      <c r="H415" s="64">
        <f t="shared" ref="H415:I415" si="116">H394-H435</f>
        <v>0</v>
      </c>
      <c r="I415" s="64">
        <f t="shared" si="116"/>
        <v>0</v>
      </c>
      <c r="J415" s="64">
        <f t="shared" si="102"/>
        <v>0</v>
      </c>
    </row>
    <row r="416" spans="2:10">
      <c r="B416" s="48" t="s">
        <v>872</v>
      </c>
      <c r="D416" s="64">
        <f t="shared" si="101"/>
        <v>0</v>
      </c>
      <c r="E416" s="64">
        <f t="shared" si="101"/>
        <v>0</v>
      </c>
      <c r="F416" s="64">
        <f t="shared" si="101"/>
        <v>0</v>
      </c>
      <c r="G416" s="64">
        <f t="shared" si="102"/>
        <v>0</v>
      </c>
      <c r="H416" s="64">
        <f t="shared" ref="H416:I416" si="117">H395-H436</f>
        <v>0</v>
      </c>
      <c r="I416" s="64">
        <f t="shared" si="117"/>
        <v>0</v>
      </c>
      <c r="J416" s="64">
        <f t="shared" si="102"/>
        <v>0</v>
      </c>
    </row>
    <row r="417" spans="2:10">
      <c r="B417" s="48" t="s">
        <v>871</v>
      </c>
      <c r="D417" s="64">
        <f t="shared" si="101"/>
        <v>0</v>
      </c>
      <c r="E417" s="64">
        <f t="shared" si="101"/>
        <v>0</v>
      </c>
      <c r="F417" s="64">
        <f t="shared" si="101"/>
        <v>0</v>
      </c>
      <c r="G417" s="64">
        <f t="shared" si="102"/>
        <v>0</v>
      </c>
      <c r="H417" s="64">
        <f t="shared" ref="H417:I417" si="118">H396-H437</f>
        <v>0</v>
      </c>
      <c r="I417" s="64">
        <f t="shared" si="118"/>
        <v>0</v>
      </c>
      <c r="J417" s="64">
        <f t="shared" si="102"/>
        <v>0</v>
      </c>
    </row>
    <row r="418" spans="2:10">
      <c r="B418" s="48" t="s">
        <v>870</v>
      </c>
      <c r="D418" s="64">
        <f t="shared" si="101"/>
        <v>0</v>
      </c>
      <c r="E418" s="64">
        <f t="shared" si="101"/>
        <v>0</v>
      </c>
      <c r="F418" s="64">
        <f t="shared" si="101"/>
        <v>0</v>
      </c>
      <c r="G418" s="64">
        <f>G397-G438</f>
        <v>0</v>
      </c>
      <c r="H418" s="64">
        <f t="shared" ref="H418:I418" si="119">H397-H438</f>
        <v>0</v>
      </c>
      <c r="I418" s="64">
        <f t="shared" si="119"/>
        <v>0</v>
      </c>
      <c r="J418" s="64">
        <f>J397-J438</f>
        <v>0</v>
      </c>
    </row>
    <row r="419" spans="2:10">
      <c r="B419" s="48" t="s">
        <v>893</v>
      </c>
      <c r="D419" s="64"/>
      <c r="E419" s="64"/>
      <c r="F419" s="64"/>
      <c r="G419" s="64"/>
      <c r="H419" s="64"/>
      <c r="I419" s="64"/>
      <c r="J419" s="64"/>
    </row>
    <row r="420" spans="2:10">
      <c r="B420" s="48" t="s">
        <v>111</v>
      </c>
      <c r="C420" s="48" t="s">
        <v>889</v>
      </c>
      <c r="D420" s="65">
        <f t="shared" ref="D420:J420" si="120">SUM(D402:D419)</f>
        <v>23365084.155352499</v>
      </c>
      <c r="E420" s="65">
        <f t="shared" si="120"/>
        <v>23374486.036548998</v>
      </c>
      <c r="F420" s="65">
        <f t="shared" si="120"/>
        <v>22856076.115695998</v>
      </c>
      <c r="G420" s="65">
        <f t="shared" si="120"/>
        <v>23265866.078782003</v>
      </c>
      <c r="H420" s="65">
        <f t="shared" ref="H420:I420" si="121">SUM(H402:H419)</f>
        <v>22113723.923077498</v>
      </c>
      <c r="I420" s="65">
        <f t="shared" si="121"/>
        <v>22264792.189418998</v>
      </c>
      <c r="J420" s="65">
        <f t="shared" si="120"/>
        <v>137240028.49887601</v>
      </c>
    </row>
    <row r="422" spans="2:10">
      <c r="B422" s="48" t="s">
        <v>902</v>
      </c>
      <c r="D422" s="64">
        <f t="shared" ref="D422:J431" si="122">SUMIF($B$219:$B$342,$B422,D$219:D$342)</f>
        <v>26536.385310000001</v>
      </c>
      <c r="E422" s="64">
        <f t="shared" si="122"/>
        <v>26083.895392500002</v>
      </c>
      <c r="F422" s="64">
        <f t="shared" si="122"/>
        <v>26870.984797500001</v>
      </c>
      <c r="G422" s="64">
        <f t="shared" si="122"/>
        <v>26390.628555000003</v>
      </c>
      <c r="H422" s="64">
        <f t="shared" si="122"/>
        <v>24618.987712499998</v>
      </c>
      <c r="I422" s="64">
        <f t="shared" si="122"/>
        <v>26700.683167500003</v>
      </c>
      <c r="J422" s="64">
        <f t="shared" si="122"/>
        <v>157201.56493500003</v>
      </c>
    </row>
    <row r="423" spans="2:10">
      <c r="B423" s="48" t="s">
        <v>751</v>
      </c>
      <c r="D423" s="64">
        <f t="shared" si="122"/>
        <v>71429.181742500004</v>
      </c>
      <c r="E423" s="64">
        <f t="shared" si="122"/>
        <v>71009.228675999999</v>
      </c>
      <c r="F423" s="64">
        <f t="shared" si="122"/>
        <v>72083.539509000009</v>
      </c>
      <c r="G423" s="64">
        <f t="shared" si="122"/>
        <v>71653.027983000007</v>
      </c>
      <c r="H423" s="64">
        <f t="shared" si="122"/>
        <v>73541.109712499994</v>
      </c>
      <c r="I423" s="64">
        <f t="shared" si="122"/>
        <v>72517.809763500001</v>
      </c>
      <c r="J423" s="64">
        <f t="shared" si="122"/>
        <v>432233.89738650003</v>
      </c>
    </row>
    <row r="424" spans="2:10">
      <c r="B424" s="48" t="s">
        <v>750</v>
      </c>
      <c r="D424" s="64">
        <f t="shared" si="122"/>
        <v>80897.203534500019</v>
      </c>
      <c r="E424" s="64">
        <f t="shared" si="122"/>
        <v>81815.0940195</v>
      </c>
      <c r="F424" s="64">
        <f t="shared" si="122"/>
        <v>79625.084250000014</v>
      </c>
      <c r="G424" s="64">
        <f t="shared" si="122"/>
        <v>79539.7071555</v>
      </c>
      <c r="H424" s="64">
        <f t="shared" si="122"/>
        <v>76752.836389500007</v>
      </c>
      <c r="I424" s="64">
        <f t="shared" si="122"/>
        <v>74948.517145500009</v>
      </c>
      <c r="J424" s="64">
        <f t="shared" si="122"/>
        <v>473578.44249450002</v>
      </c>
    </row>
    <row r="425" spans="2:10">
      <c r="B425" s="48" t="s">
        <v>749</v>
      </c>
      <c r="D425" s="64">
        <f t="shared" si="122"/>
        <v>97751.923702500004</v>
      </c>
      <c r="E425" s="64">
        <f t="shared" si="122"/>
        <v>97270.020103500006</v>
      </c>
      <c r="F425" s="64">
        <f t="shared" si="122"/>
        <v>94941.53734499999</v>
      </c>
      <c r="G425" s="64">
        <f t="shared" si="122"/>
        <v>96268.065182999999</v>
      </c>
      <c r="H425" s="64">
        <f t="shared" si="122"/>
        <v>88716.661133999994</v>
      </c>
      <c r="I425" s="64">
        <f t="shared" si="122"/>
        <v>92090.11460999999</v>
      </c>
      <c r="J425" s="64">
        <f t="shared" si="122"/>
        <v>567038.32207800006</v>
      </c>
    </row>
    <row r="426" spans="2:10">
      <c r="B426" s="48" t="s">
        <v>1176</v>
      </c>
      <c r="D426" s="64">
        <f t="shared" si="122"/>
        <v>0</v>
      </c>
      <c r="E426" s="64">
        <f t="shared" si="122"/>
        <v>0</v>
      </c>
      <c r="F426" s="64">
        <f t="shared" si="122"/>
        <v>0</v>
      </c>
      <c r="G426" s="64">
        <f t="shared" si="122"/>
        <v>0</v>
      </c>
      <c r="H426" s="64">
        <f t="shared" si="122"/>
        <v>0</v>
      </c>
      <c r="I426" s="64">
        <f t="shared" si="122"/>
        <v>0</v>
      </c>
      <c r="J426" s="64">
        <f t="shared" si="122"/>
        <v>0</v>
      </c>
    </row>
    <row r="427" spans="2:10">
      <c r="B427" s="48" t="s">
        <v>274</v>
      </c>
      <c r="D427" s="64">
        <f t="shared" si="122"/>
        <v>105652.19456</v>
      </c>
      <c r="E427" s="64">
        <f t="shared" si="122"/>
        <v>104842.51888</v>
      </c>
      <c r="F427" s="64">
        <f t="shared" si="122"/>
        <v>100907.06032</v>
      </c>
      <c r="G427" s="64">
        <f t="shared" si="122"/>
        <v>104748.29904000001</v>
      </c>
      <c r="H427" s="64">
        <f t="shared" si="122"/>
        <v>98708.707679999992</v>
      </c>
      <c r="I427" s="64">
        <f t="shared" si="122"/>
        <v>98330.928784000003</v>
      </c>
      <c r="J427" s="64">
        <f t="shared" si="122"/>
        <v>613189.70926399995</v>
      </c>
    </row>
    <row r="428" spans="2:10">
      <c r="B428" s="48" t="s">
        <v>275</v>
      </c>
      <c r="D428" s="64">
        <f t="shared" si="122"/>
        <v>4921.09728</v>
      </c>
      <c r="E428" s="64">
        <f t="shared" si="122"/>
        <v>4886.2791999999999</v>
      </c>
      <c r="F428" s="64">
        <f t="shared" si="122"/>
        <v>4832.14336</v>
      </c>
      <c r="G428" s="64">
        <f t="shared" si="122"/>
        <v>4976.5496000000003</v>
      </c>
      <c r="H428" s="64">
        <f t="shared" si="122"/>
        <v>4908.41824</v>
      </c>
      <c r="I428" s="64">
        <f t="shared" si="122"/>
        <v>5133.6383999999998</v>
      </c>
      <c r="J428" s="64">
        <f t="shared" si="122"/>
        <v>29658.126079999998</v>
      </c>
    </row>
    <row r="429" spans="2:10">
      <c r="B429" s="48" t="s">
        <v>276</v>
      </c>
      <c r="D429" s="64">
        <f t="shared" si="122"/>
        <v>44422.143040000003</v>
      </c>
      <c r="E429" s="64">
        <f t="shared" si="122"/>
        <v>45618.225840000006</v>
      </c>
      <c r="F429" s="64">
        <f t="shared" si="122"/>
        <v>43903.220240000002</v>
      </c>
      <c r="G429" s="64">
        <f t="shared" si="122"/>
        <v>46308.269920000006</v>
      </c>
      <c r="H429" s="64">
        <f t="shared" si="122"/>
        <v>41582.16128</v>
      </c>
      <c r="I429" s="64">
        <f t="shared" si="122"/>
        <v>43291.949360000006</v>
      </c>
      <c r="J429" s="64">
        <f t="shared" si="122"/>
        <v>265125.96968000004</v>
      </c>
    </row>
    <row r="430" spans="2:10">
      <c r="B430" s="48" t="s">
        <v>277</v>
      </c>
      <c r="D430" s="64">
        <f t="shared" si="122"/>
        <v>7463.6504800000002</v>
      </c>
      <c r="E430" s="64">
        <f t="shared" si="122"/>
        <v>7624.3332</v>
      </c>
      <c r="F430" s="64">
        <f t="shared" si="122"/>
        <v>7589.98416</v>
      </c>
      <c r="G430" s="64">
        <f t="shared" si="122"/>
        <v>7156.5868</v>
      </c>
      <c r="H430" s="64">
        <f t="shared" si="122"/>
        <v>8712.9530400000003</v>
      </c>
      <c r="I430" s="64">
        <f t="shared" si="122"/>
        <v>5711.8476799999999</v>
      </c>
      <c r="J430" s="64">
        <f t="shared" si="122"/>
        <v>44259.355360000001</v>
      </c>
    </row>
    <row r="431" spans="2:10">
      <c r="B431" s="48" t="s">
        <v>278</v>
      </c>
      <c r="D431" s="64">
        <f t="shared" si="122"/>
        <v>0</v>
      </c>
      <c r="E431" s="64">
        <f t="shared" si="122"/>
        <v>0</v>
      </c>
      <c r="F431" s="64">
        <f t="shared" si="122"/>
        <v>0</v>
      </c>
      <c r="G431" s="64">
        <f t="shared" si="122"/>
        <v>0</v>
      </c>
      <c r="H431" s="64">
        <f t="shared" si="122"/>
        <v>0</v>
      </c>
      <c r="I431" s="64">
        <f t="shared" si="122"/>
        <v>0</v>
      </c>
      <c r="J431" s="64">
        <f t="shared" si="122"/>
        <v>0</v>
      </c>
    </row>
    <row r="432" spans="2:10">
      <c r="B432" s="48" t="s">
        <v>279</v>
      </c>
      <c r="D432" s="64">
        <f t="shared" ref="D432:J439" si="123">SUMIF($B$219:$B$342,$B432,D$219:D$342)</f>
        <v>32333.662240000001</v>
      </c>
      <c r="E432" s="64">
        <f t="shared" si="123"/>
        <v>32423.598239999999</v>
      </c>
      <c r="F432" s="64">
        <f t="shared" si="123"/>
        <v>31686.4768</v>
      </c>
      <c r="G432" s="64">
        <f t="shared" si="123"/>
        <v>32894.315520000004</v>
      </c>
      <c r="H432" s="64">
        <f t="shared" si="123"/>
        <v>31368.73344</v>
      </c>
      <c r="I432" s="64">
        <f t="shared" si="123"/>
        <v>32556.798560000003</v>
      </c>
      <c r="J432" s="64">
        <f t="shared" si="123"/>
        <v>193263.58480000001</v>
      </c>
    </row>
    <row r="433" spans="2:10">
      <c r="B433" s="48" t="s">
        <v>875</v>
      </c>
      <c r="D433" s="64">
        <f t="shared" si="123"/>
        <v>14598.711629040004</v>
      </c>
      <c r="E433" s="64">
        <f t="shared" si="123"/>
        <v>14327.831726208002</v>
      </c>
      <c r="F433" s="64">
        <f t="shared" si="123"/>
        <v>14549.733903232001</v>
      </c>
      <c r="G433" s="64">
        <f t="shared" si="123"/>
        <v>15333.7763436</v>
      </c>
      <c r="H433" s="64">
        <f t="shared" si="123"/>
        <v>14111.977027279996</v>
      </c>
      <c r="I433" s="64">
        <f t="shared" si="123"/>
        <v>15860.222640672964</v>
      </c>
      <c r="J433" s="64">
        <f t="shared" si="123"/>
        <v>88782.253270032976</v>
      </c>
    </row>
    <row r="434" spans="2:10">
      <c r="B434" s="48" t="s">
        <v>874</v>
      </c>
      <c r="D434" s="64">
        <f t="shared" si="123"/>
        <v>488.40901665599995</v>
      </c>
      <c r="E434" s="64">
        <f t="shared" si="123"/>
        <v>484.06888798400001</v>
      </c>
      <c r="F434" s="64">
        <f t="shared" si="123"/>
        <v>463.62149504000001</v>
      </c>
      <c r="G434" s="64">
        <f t="shared" si="123"/>
        <v>480.78365279999997</v>
      </c>
      <c r="H434" s="64">
        <f t="shared" si="123"/>
        <v>465.5997859040001</v>
      </c>
      <c r="I434" s="64">
        <f t="shared" si="123"/>
        <v>482.39838240000051</v>
      </c>
      <c r="J434" s="64">
        <f t="shared" si="123"/>
        <v>2864.8812207840006</v>
      </c>
    </row>
    <row r="435" spans="2:10">
      <c r="B435" s="48" t="s">
        <v>873</v>
      </c>
      <c r="D435" s="64">
        <f t="shared" si="123"/>
        <v>75160.67805561042</v>
      </c>
      <c r="E435" s="64">
        <f t="shared" si="123"/>
        <v>74400.885059239197</v>
      </c>
      <c r="F435" s="64">
        <f t="shared" si="123"/>
        <v>72288.663195830391</v>
      </c>
      <c r="G435" s="64">
        <f t="shared" si="123"/>
        <v>75206.293102336</v>
      </c>
      <c r="H435" s="64">
        <f t="shared" si="123"/>
        <v>69342.072737343988</v>
      </c>
      <c r="I435" s="64">
        <f t="shared" si="123"/>
        <v>74353.802383561357</v>
      </c>
      <c r="J435" s="64">
        <f t="shared" si="123"/>
        <v>440752.39453392138</v>
      </c>
    </row>
    <row r="436" spans="2:10">
      <c r="B436" s="48" t="s">
        <v>872</v>
      </c>
      <c r="D436" s="64">
        <f t="shared" si="123"/>
        <v>17930.877693871993</v>
      </c>
      <c r="E436" s="64">
        <f t="shared" si="123"/>
        <v>18099.296545440004</v>
      </c>
      <c r="F436" s="64">
        <f t="shared" si="123"/>
        <v>17606.39621576</v>
      </c>
      <c r="G436" s="64">
        <f t="shared" si="123"/>
        <v>18870.764891439998</v>
      </c>
      <c r="H436" s="64">
        <f t="shared" si="123"/>
        <v>17694.113111840004</v>
      </c>
      <c r="I436" s="64">
        <f t="shared" si="123"/>
        <v>17598.784809179204</v>
      </c>
      <c r="J436" s="64">
        <f t="shared" si="123"/>
        <v>107800.23326753121</v>
      </c>
    </row>
    <row r="437" spans="2:10">
      <c r="B437" s="48" t="s">
        <v>871</v>
      </c>
      <c r="D437" s="64">
        <f t="shared" si="123"/>
        <v>8177.3074715200009</v>
      </c>
      <c r="E437" s="64">
        <f t="shared" si="123"/>
        <v>8020.2564076799999</v>
      </c>
      <c r="F437" s="64">
        <f t="shared" si="123"/>
        <v>8292.0408489599977</v>
      </c>
      <c r="G437" s="64">
        <f t="shared" si="123"/>
        <v>9969.625662127999</v>
      </c>
      <c r="H437" s="64">
        <f t="shared" si="123"/>
        <v>9599.3616565439988</v>
      </c>
      <c r="I437" s="64">
        <f t="shared" si="123"/>
        <v>10092.221757851203</v>
      </c>
      <c r="J437" s="64">
        <f t="shared" si="123"/>
        <v>54150.813804683203</v>
      </c>
    </row>
    <row r="438" spans="2:10">
      <c r="B438" s="48" t="s">
        <v>870</v>
      </c>
      <c r="D438" s="64">
        <f t="shared" si="123"/>
        <v>17128.64743832</v>
      </c>
      <c r="E438" s="64">
        <f t="shared" si="123"/>
        <v>15504.45581168</v>
      </c>
      <c r="F438" s="64">
        <f t="shared" si="123"/>
        <v>15671.463711727998</v>
      </c>
      <c r="G438" s="64">
        <f t="shared" si="123"/>
        <v>17969.438882383998</v>
      </c>
      <c r="H438" s="64">
        <f t="shared" si="123"/>
        <v>12484.17951704</v>
      </c>
      <c r="I438" s="64">
        <f t="shared" si="123"/>
        <v>16097.970732975999</v>
      </c>
      <c r="J438" s="64">
        <f t="shared" si="123"/>
        <v>94856.156094127989</v>
      </c>
    </row>
    <row r="439" spans="2:10">
      <c r="B439" s="48" t="s">
        <v>893</v>
      </c>
      <c r="D439" s="64">
        <f t="shared" si="123"/>
        <v>22692.281919999998</v>
      </c>
      <c r="E439" s="64">
        <f t="shared" si="123"/>
        <v>20374.828798720006</v>
      </c>
      <c r="F439" s="64">
        <f t="shared" si="123"/>
        <v>21108.804249279998</v>
      </c>
      <c r="G439" s="64">
        <f t="shared" si="123"/>
        <v>22053.421280000002</v>
      </c>
      <c r="H439" s="64">
        <f t="shared" si="123"/>
        <v>16698.690009760001</v>
      </c>
      <c r="I439" s="64">
        <f t="shared" si="123"/>
        <v>4316.1360000000086</v>
      </c>
      <c r="J439" s="64">
        <f t="shared" si="123"/>
        <v>107244.16225776002</v>
      </c>
    </row>
    <row r="440" spans="2:10">
      <c r="B440" s="48" t="s">
        <v>888</v>
      </c>
      <c r="D440" s="65">
        <f t="shared" ref="D440:J440" si="124">SUM(D422:D439)</f>
        <v>627584.35511451832</v>
      </c>
      <c r="E440" s="65">
        <f t="shared" si="124"/>
        <v>622784.81678845116</v>
      </c>
      <c r="F440" s="65">
        <f t="shared" si="124"/>
        <v>612420.75440133049</v>
      </c>
      <c r="G440" s="65">
        <f t="shared" si="124"/>
        <v>629819.55357118801</v>
      </c>
      <c r="H440" s="65">
        <f t="shared" ref="H440:I440" si="125">SUM(H422:H439)</f>
        <v>589306.56247421203</v>
      </c>
      <c r="I440" s="65">
        <f t="shared" si="125"/>
        <v>590083.82417714084</v>
      </c>
      <c r="J440" s="65">
        <f t="shared" si="124"/>
        <v>3671999.8665268403</v>
      </c>
    </row>
    <row r="441" spans="2:10">
      <c r="D441" s="66">
        <f t="shared" ref="D441:J441" si="126">D311+D342-D440</f>
        <v>0</v>
      </c>
      <c r="E441" s="66">
        <f t="shared" si="126"/>
        <v>0</v>
      </c>
      <c r="F441" s="66">
        <f t="shared" si="126"/>
        <v>0</v>
      </c>
      <c r="G441" s="66">
        <f t="shared" si="126"/>
        <v>0</v>
      </c>
      <c r="H441" s="66">
        <f t="shared" si="126"/>
        <v>0</v>
      </c>
      <c r="I441" s="66">
        <f t="shared" si="126"/>
        <v>0</v>
      </c>
      <c r="J441" s="66">
        <f t="shared" si="126"/>
        <v>0</v>
      </c>
    </row>
    <row r="444" spans="2:10">
      <c r="C444" s="1525"/>
      <c r="D444" s="1525">
        <v>2025.01</v>
      </c>
      <c r="E444" s="1525">
        <v>2025.02</v>
      </c>
      <c r="F444" s="1525">
        <v>2025.03</v>
      </c>
      <c r="G444" s="1525">
        <v>2025.04</v>
      </c>
      <c r="H444" s="1525">
        <v>2025.05</v>
      </c>
      <c r="I444" s="1525">
        <v>2025.06</v>
      </c>
      <c r="J444" s="1525" t="s">
        <v>112</v>
      </c>
    </row>
    <row r="445" spans="2:10">
      <c r="C445" s="1525"/>
      <c r="D445" s="1525"/>
      <c r="E445" s="1525"/>
      <c r="F445" s="1525"/>
      <c r="G445" s="1525"/>
      <c r="H445" s="1525"/>
      <c r="I445" s="1525"/>
      <c r="J445" s="1525"/>
    </row>
    <row r="446" spans="2:10">
      <c r="C446" s="1526" t="s">
        <v>276</v>
      </c>
      <c r="D446" s="1527">
        <f t="shared" ref="D446:I446" si="127">(D394+D388)/1000</f>
        <v>2336.9039949956104</v>
      </c>
      <c r="E446" s="1527">
        <f t="shared" si="127"/>
        <v>2397.0424859242398</v>
      </c>
      <c r="F446" s="1527">
        <f t="shared" si="127"/>
        <v>2307.6111437108302</v>
      </c>
      <c r="G446" s="1527">
        <f t="shared" si="127"/>
        <v>2432.981331472336</v>
      </c>
      <c r="H446" s="1527">
        <f t="shared" si="127"/>
        <v>2186.4883638173442</v>
      </c>
      <c r="I446" s="1527">
        <f t="shared" si="127"/>
        <v>2278.5535649685607</v>
      </c>
      <c r="J446" s="1527">
        <f>SUM(D446:I446)</f>
        <v>13939.580884888923</v>
      </c>
    </row>
    <row r="447" spans="2:10">
      <c r="C447" s="1526" t="s">
        <v>274</v>
      </c>
      <c r="D447" s="1527">
        <f t="shared" ref="D447:I447" si="128">(D392+D386)/1000</f>
        <v>5355.0554632890389</v>
      </c>
      <c r="E447" s="1527">
        <f t="shared" si="128"/>
        <v>5308.9447748062094</v>
      </c>
      <c r="F447" s="1527">
        <f t="shared" si="128"/>
        <v>5101.9728602232335</v>
      </c>
      <c r="G447" s="1527">
        <f t="shared" si="128"/>
        <v>5303.9303802336008</v>
      </c>
      <c r="H447" s="1527">
        <f t="shared" si="128"/>
        <v>4991.5079174072807</v>
      </c>
      <c r="I447" s="1527">
        <f t="shared" si="128"/>
        <v>4977.0012017946719</v>
      </c>
      <c r="J447" s="1527">
        <f t="shared" ref="J447:J454" si="129">SUM(D447:I447)</f>
        <v>31038.412597754035</v>
      </c>
    </row>
    <row r="448" spans="2:10">
      <c r="C448" s="1526" t="s">
        <v>273</v>
      </c>
      <c r="D448" s="1527">
        <f t="shared" ref="D448:I448" si="130">SUM(D382:D384)/1000</f>
        <v>12978.342677954499</v>
      </c>
      <c r="E448" s="1527">
        <f t="shared" si="130"/>
        <v>12978.434152678001</v>
      </c>
      <c r="F448" s="1527">
        <f t="shared" si="130"/>
        <v>12758.44822676</v>
      </c>
      <c r="G448" s="1527">
        <f t="shared" si="130"/>
        <v>12823.072574708502</v>
      </c>
      <c r="H448" s="1527">
        <f t="shared" si="130"/>
        <v>12268.935937001001</v>
      </c>
      <c r="I448" s="1527">
        <f t="shared" si="130"/>
        <v>12355.666914648</v>
      </c>
      <c r="J448" s="1527">
        <f t="shared" si="129"/>
        <v>76162.900483749996</v>
      </c>
    </row>
    <row r="449" spans="3:10">
      <c r="C449" s="1526" t="s">
        <v>892</v>
      </c>
      <c r="D449" s="1527">
        <f t="shared" ref="D449:I449" si="131">SUM(D381)/1000</f>
        <v>979.52613534999989</v>
      </c>
      <c r="E449" s="1527">
        <f t="shared" si="131"/>
        <v>962.82357036250005</v>
      </c>
      <c r="F449" s="1527">
        <f t="shared" si="131"/>
        <v>991.87706178749988</v>
      </c>
      <c r="G449" s="1527">
        <f t="shared" si="131"/>
        <v>974.145879175</v>
      </c>
      <c r="H449" s="1527">
        <f t="shared" si="131"/>
        <v>908.75006556250003</v>
      </c>
      <c r="I449" s="1527">
        <f t="shared" si="131"/>
        <v>985.59079123750007</v>
      </c>
      <c r="J449" s="1527">
        <f t="shared" si="129"/>
        <v>5802.7135034750008</v>
      </c>
    </row>
    <row r="450" spans="3:10">
      <c r="C450" s="1526" t="s">
        <v>1753</v>
      </c>
      <c r="D450" s="1528"/>
      <c r="E450" s="1528"/>
      <c r="F450" s="1528"/>
      <c r="G450" s="1528"/>
      <c r="H450" s="1528"/>
      <c r="I450" s="1528"/>
      <c r="J450" s="1527">
        <f t="shared" si="129"/>
        <v>0</v>
      </c>
    </row>
    <row r="451" spans="3:10">
      <c r="C451" s="1526" t="s">
        <v>279</v>
      </c>
      <c r="D451" s="1527">
        <f t="shared" ref="D451:I451" si="132">(D397+D391)/1000</f>
        <v>1663.3897118283201</v>
      </c>
      <c r="E451" s="1527">
        <f t="shared" si="132"/>
        <v>1666.34459120168</v>
      </c>
      <c r="F451" s="1527">
        <f t="shared" si="132"/>
        <v>1628.9812285117282</v>
      </c>
      <c r="G451" s="1527">
        <f t="shared" si="132"/>
        <v>1692.7760376023839</v>
      </c>
      <c r="H451" s="1527">
        <f t="shared" si="132"/>
        <v>1609.6161133570401</v>
      </c>
      <c r="I451" s="1527">
        <f t="shared" si="132"/>
        <v>1673.7199701429759</v>
      </c>
      <c r="J451" s="1527">
        <f t="shared" si="129"/>
        <v>9934.8276526441277</v>
      </c>
    </row>
    <row r="452" spans="3:10">
      <c r="C452" s="1526" t="s">
        <v>277</v>
      </c>
      <c r="D452" s="1527">
        <f t="shared" ref="D452:I452" si="133">(D395+D389)/1000</f>
        <v>397.94094559887196</v>
      </c>
      <c r="E452" s="1527">
        <f t="shared" si="133"/>
        <v>406.29048862043999</v>
      </c>
      <c r="F452" s="1527">
        <f t="shared" si="133"/>
        <v>404.04871472575991</v>
      </c>
      <c r="G452" s="1527">
        <f t="shared" si="133"/>
        <v>383.24675531643993</v>
      </c>
      <c r="H452" s="1527">
        <f t="shared" si="133"/>
        <v>461.31213692683997</v>
      </c>
      <c r="I452" s="1527">
        <f t="shared" si="133"/>
        <v>308.41621128917922</v>
      </c>
      <c r="J452" s="1527">
        <f t="shared" si="129"/>
        <v>2361.255252477531</v>
      </c>
    </row>
    <row r="453" spans="3:10">
      <c r="C453" s="1526" t="s">
        <v>275</v>
      </c>
      <c r="D453" s="1527">
        <f t="shared" ref="D453:I453" si="134">(D393+D387)/1000</f>
        <v>250.63999205915599</v>
      </c>
      <c r="E453" s="1527">
        <f t="shared" si="134"/>
        <v>248.99570453798401</v>
      </c>
      <c r="F453" s="1527">
        <f t="shared" si="134"/>
        <v>246.15678928003996</v>
      </c>
      <c r="G453" s="1527">
        <f t="shared" si="134"/>
        <v>253.50962690279999</v>
      </c>
      <c r="H453" s="1527">
        <f t="shared" si="134"/>
        <v>250.12189981340399</v>
      </c>
      <c r="I453" s="1527">
        <f t="shared" si="134"/>
        <v>261.51900175739996</v>
      </c>
      <c r="J453" s="1527">
        <f t="shared" si="129"/>
        <v>1510.9430143507841</v>
      </c>
    </row>
    <row r="454" spans="3:10">
      <c r="C454" s="1526" t="s">
        <v>278</v>
      </c>
      <c r="D454" s="1527">
        <f>(D396+D390+D398)/1000</f>
        <v>30.869589391519998</v>
      </c>
      <c r="E454" s="1527">
        <f t="shared" ref="E454:I454" si="135">(E396+E390+E398)/1000</f>
        <v>28.395085206400008</v>
      </c>
      <c r="F454" s="1527">
        <f t="shared" si="135"/>
        <v>29.400845098239994</v>
      </c>
      <c r="G454" s="1527">
        <f t="shared" si="135"/>
        <v>32.023046942127998</v>
      </c>
      <c r="H454" s="1527">
        <f t="shared" si="135"/>
        <v>26.298051666304001</v>
      </c>
      <c r="I454" s="1527">
        <f t="shared" si="135"/>
        <v>14.408357757851212</v>
      </c>
      <c r="J454" s="1527">
        <f t="shared" si="129"/>
        <v>161.39497606244319</v>
      </c>
    </row>
    <row r="455" spans="3:10">
      <c r="C455" s="1529" t="s">
        <v>112</v>
      </c>
      <c r="D455" s="1527">
        <f>SUM(D446:D454)</f>
        <v>23992.668510467018</v>
      </c>
      <c r="E455" s="1527">
        <f t="shared" ref="E455:J455" si="136">SUM(E446:E454)</f>
        <v>23997.270853337457</v>
      </c>
      <c r="F455" s="1527">
        <f t="shared" si="136"/>
        <v>23468.496870097337</v>
      </c>
      <c r="G455" s="1527">
        <f t="shared" si="136"/>
        <v>23895.68563235319</v>
      </c>
      <c r="H455" s="1527">
        <f t="shared" si="136"/>
        <v>22703.030485551713</v>
      </c>
      <c r="I455" s="1527">
        <f t="shared" si="136"/>
        <v>22854.876013596135</v>
      </c>
      <c r="J455" s="1527">
        <f t="shared" si="136"/>
        <v>140912.02836540283</v>
      </c>
    </row>
    <row r="456" spans="3:10">
      <c r="D456" s="1530">
        <f>D455-(D399/1000)</f>
        <v>0</v>
      </c>
      <c r="E456" s="1530">
        <f t="shared" ref="E456:J456" si="137">E455-(E399/1000)</f>
        <v>0</v>
      </c>
      <c r="F456" s="1530">
        <f t="shared" si="137"/>
        <v>0</v>
      </c>
      <c r="G456" s="1530">
        <f t="shared" si="137"/>
        <v>0</v>
      </c>
      <c r="H456" s="1530">
        <f t="shared" si="137"/>
        <v>0</v>
      </c>
      <c r="I456" s="1530">
        <f t="shared" si="137"/>
        <v>0</v>
      </c>
      <c r="J456" s="1530">
        <f t="shared" si="137"/>
        <v>0</v>
      </c>
    </row>
  </sheetData>
  <printOptions horizontalCentered="1" verticalCentered="1"/>
  <pageMargins left="0.511811023622047" right="0.31496062992126" top="0.78740157480314998" bottom="0.82677165354330695" header="0.31496062992126" footer="0.23622047244094499"/>
  <pageSetup scale="52" fitToHeight="4" orientation="portrait" horizontalDpi="300" r:id="rId1"/>
  <headerFooter alignWithMargins="0">
    <oddHeader>&amp;L
NOMBRE DE LA DISTRIBUIDORA: &amp;UENSA.&amp;R&amp;9&amp;A</oddHeader>
  </headerFooter>
  <rowBreaks count="3" manualBreakCount="3">
    <brk id="121" max="9" man="1"/>
    <brk id="216" max="9" man="1"/>
    <brk id="311" max="9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1">
    <tabColor theme="5" tint="0.59999389629810485"/>
  </sheetPr>
  <dimension ref="B1:M441"/>
  <sheetViews>
    <sheetView view="pageBreakPreview" zoomScale="70" zoomScaleNormal="85" zoomScaleSheetLayoutView="70" workbookViewId="0">
      <selection activeCell="E21" sqref="E21"/>
    </sheetView>
  </sheetViews>
  <sheetFormatPr baseColWidth="10" defaultColWidth="8" defaultRowHeight="15"/>
  <cols>
    <col min="1" max="1" width="2.25" style="63" customWidth="1"/>
    <col min="2" max="2" width="7" style="48" customWidth="1"/>
    <col min="3" max="3" width="30.25" style="63" customWidth="1"/>
    <col min="4" max="4" width="11.75" style="63" customWidth="1"/>
    <col min="5" max="5" width="12.625" style="63" customWidth="1"/>
    <col min="6" max="6" width="12.75" style="63" customWidth="1"/>
    <col min="7" max="7" width="13.25" style="63" customWidth="1"/>
    <col min="8" max="8" width="13.875" style="63" customWidth="1"/>
    <col min="9" max="9" width="11.5" style="63" customWidth="1"/>
    <col min="10" max="10" width="13.125" style="63" customWidth="1"/>
    <col min="11" max="11" width="2.25" style="63" customWidth="1"/>
    <col min="12" max="12" width="4.25" style="319" bestFit="1" customWidth="1"/>
    <col min="13" max="16384" width="8" style="63"/>
  </cols>
  <sheetData>
    <row r="1" spans="2:10" s="69" customFormat="1" ht="15.75">
      <c r="B1" s="48"/>
      <c r="C1" s="136" t="s">
        <v>151</v>
      </c>
      <c r="E1" s="63"/>
    </row>
    <row r="2" spans="2:10" s="69" customFormat="1" ht="15.75">
      <c r="B2" s="48"/>
      <c r="C2" s="136"/>
      <c r="E2" s="137" t="s">
        <v>138</v>
      </c>
    </row>
    <row r="3" spans="2:10" s="69" customFormat="1" ht="15.75">
      <c r="B3" s="48"/>
      <c r="C3" s="70" t="s">
        <v>864</v>
      </c>
      <c r="D3" s="137"/>
    </row>
    <row r="4" spans="2:10" s="69" customFormat="1" ht="15.75">
      <c r="B4" s="48"/>
      <c r="C4" s="219" t="s">
        <v>1529</v>
      </c>
      <c r="D4" s="338"/>
      <c r="E4" s="338"/>
      <c r="F4" s="338"/>
      <c r="G4" s="338"/>
      <c r="H4" s="338"/>
      <c r="I4" s="338"/>
      <c r="J4" s="339"/>
    </row>
    <row r="5" spans="2:10" s="74" customFormat="1" ht="18.75" customHeight="1">
      <c r="B5" s="48"/>
      <c r="C5" s="322"/>
      <c r="D5" s="322"/>
      <c r="E5" s="323"/>
      <c r="F5" s="322"/>
      <c r="G5" s="322"/>
      <c r="H5" s="322"/>
      <c r="I5" s="322"/>
    </row>
    <row r="6" spans="2:10" s="58" customFormat="1" ht="22.5">
      <c r="B6" s="48"/>
      <c r="C6" s="324" t="s">
        <v>665</v>
      </c>
      <c r="D6" s="325" t="s">
        <v>1449</v>
      </c>
      <c r="E6" s="325" t="s">
        <v>1450</v>
      </c>
      <c r="F6" s="325" t="s">
        <v>1451</v>
      </c>
      <c r="G6" s="325" t="s">
        <v>1234</v>
      </c>
      <c r="H6" s="325" t="s">
        <v>1233</v>
      </c>
      <c r="I6" s="325" t="s">
        <v>1232</v>
      </c>
      <c r="J6" s="325" t="s">
        <v>291</v>
      </c>
    </row>
    <row r="7" spans="2:10" s="143" customFormat="1" ht="13.5">
      <c r="B7" s="48"/>
      <c r="C7" s="144" t="s">
        <v>266</v>
      </c>
      <c r="D7" s="178">
        <f>RAT1000PT!$N$89</f>
        <v>8.24</v>
      </c>
      <c r="E7" s="144"/>
      <c r="F7" s="144"/>
      <c r="G7" s="146">
        <f>+RAT1000PT!$N$101</f>
        <v>1.315E-2</v>
      </c>
      <c r="H7" s="146">
        <f>+RAT1000PT!$N$101</f>
        <v>1.315E-2</v>
      </c>
      <c r="I7" s="146">
        <f>+RAT1000PT!$N$101</f>
        <v>1.315E-2</v>
      </c>
      <c r="J7" s="146"/>
    </row>
    <row r="8" spans="2:10" s="143" customFormat="1" ht="13.5">
      <c r="B8" s="48"/>
      <c r="C8" s="326" t="s">
        <v>265</v>
      </c>
      <c r="D8" s="327">
        <f>RAT1000PT!$N$88</f>
        <v>8.18</v>
      </c>
      <c r="E8" s="328"/>
      <c r="F8" s="328">
        <f>+RAT1000PT!$N$100</f>
        <v>1.315E-2</v>
      </c>
      <c r="G8" s="328"/>
      <c r="H8" s="328"/>
      <c r="I8" s="328"/>
      <c r="J8" s="328"/>
    </row>
    <row r="9" spans="2:10" s="143" customFormat="1" ht="13.5">
      <c r="B9" s="48"/>
      <c r="C9" s="144" t="s">
        <v>264</v>
      </c>
      <c r="D9" s="178">
        <f>RAT1000PT!$N$87</f>
        <v>2.15</v>
      </c>
      <c r="E9" s="146"/>
      <c r="F9" s="146"/>
      <c r="G9" s="146">
        <f>+RAT1000PT!$N$99</f>
        <v>3.9260000000000003E-2</v>
      </c>
      <c r="H9" s="146">
        <f>+RAT1000PT!$N$99</f>
        <v>3.9260000000000003E-2</v>
      </c>
      <c r="I9" s="146">
        <f>+RAT1000PT!$N$99</f>
        <v>3.9260000000000003E-2</v>
      </c>
      <c r="J9" s="146"/>
    </row>
    <row r="10" spans="2:10" s="143" customFormat="1" ht="13.5">
      <c r="B10" s="48"/>
      <c r="C10" s="326" t="s">
        <v>262</v>
      </c>
      <c r="D10" s="327">
        <f>RAT1000PT!$N$86</f>
        <v>2.08</v>
      </c>
      <c r="E10" s="328"/>
      <c r="F10" s="328">
        <f>+RAT1000PT!$N$98</f>
        <v>3.2620000000000003E-2</v>
      </c>
      <c r="G10" s="328"/>
      <c r="H10" s="328"/>
      <c r="I10" s="328"/>
      <c r="J10" s="328"/>
    </row>
    <row r="11" spans="2:10" s="143" customFormat="1" ht="13.5">
      <c r="B11" s="48"/>
      <c r="C11" s="144" t="s">
        <v>263</v>
      </c>
      <c r="D11" s="178">
        <f>RAT1000PT!$N$85</f>
        <v>3</v>
      </c>
      <c r="E11" s="146"/>
      <c r="F11" s="146"/>
      <c r="G11" s="146">
        <f>+RAT1000PT!$N$97</f>
        <v>2.4660000000000001E-2</v>
      </c>
      <c r="H11" s="146">
        <f>+RAT1000PT!$N$97</f>
        <v>2.4660000000000001E-2</v>
      </c>
      <c r="I11" s="146">
        <f>+RAT1000PT!$N$97</f>
        <v>2.4660000000000001E-2</v>
      </c>
      <c r="J11" s="146"/>
    </row>
    <row r="12" spans="2:10" s="143" customFormat="1" ht="13.5">
      <c r="B12" s="48"/>
      <c r="C12" s="326" t="s">
        <v>648</v>
      </c>
      <c r="D12" s="327">
        <f>RAT1000PT!$N$84</f>
        <v>2.87</v>
      </c>
      <c r="E12" s="328"/>
      <c r="F12" s="328">
        <f>+RAT1000PT!$N$96</f>
        <v>6.2390000000000001E-2</v>
      </c>
      <c r="G12" s="328"/>
      <c r="H12" s="328"/>
      <c r="I12" s="328"/>
      <c r="J12" s="328"/>
    </row>
    <row r="13" spans="2:10" s="143" customFormat="1" ht="13.5">
      <c r="B13" s="48"/>
      <c r="C13" s="326" t="s">
        <v>649</v>
      </c>
      <c r="D13" s="327">
        <f>RAT1000PT!$N$84</f>
        <v>2.87</v>
      </c>
      <c r="E13" s="328"/>
      <c r="F13" s="328">
        <f>+RAT1000PT!$N$96</f>
        <v>6.2390000000000001E-2</v>
      </c>
      <c r="G13" s="328"/>
      <c r="H13" s="328"/>
      <c r="I13" s="328"/>
      <c r="J13" s="328"/>
    </row>
    <row r="14" spans="2:10" s="143" customFormat="1" ht="13.5">
      <c r="B14" s="48"/>
      <c r="C14" s="326" t="s">
        <v>650</v>
      </c>
      <c r="D14" s="327">
        <f>RAT1000PT!$N$84</f>
        <v>2.87</v>
      </c>
      <c r="E14" s="328"/>
      <c r="F14" s="328">
        <f>+RAT1000PT!$N$96</f>
        <v>6.2390000000000001E-2</v>
      </c>
      <c r="G14" s="328"/>
      <c r="H14" s="328"/>
      <c r="I14" s="328"/>
      <c r="J14" s="328"/>
    </row>
    <row r="15" spans="2:10" s="143" customFormat="1" ht="13.5">
      <c r="B15" s="48"/>
      <c r="C15" s="326" t="s">
        <v>651</v>
      </c>
      <c r="D15" s="327">
        <f>RAT1000PT!$N$84</f>
        <v>2.87</v>
      </c>
      <c r="E15" s="328"/>
      <c r="F15" s="328">
        <f>+RAT1000PT!$N$96</f>
        <v>6.2390000000000001E-2</v>
      </c>
      <c r="G15" s="328"/>
      <c r="H15" s="328"/>
      <c r="I15" s="328"/>
      <c r="J15" s="328"/>
    </row>
    <row r="16" spans="2:10" s="143" customFormat="1" ht="13.5">
      <c r="B16" s="48"/>
      <c r="C16" s="144" t="s">
        <v>1178</v>
      </c>
      <c r="D16" s="178"/>
      <c r="E16" s="146">
        <f>RAT1000PT!$N$95</f>
        <v>2.0250000000000001E-2</v>
      </c>
      <c r="F16" s="146"/>
      <c r="G16" s="146">
        <f>+RAT1000PT!$N$95</f>
        <v>2.0250000000000001E-2</v>
      </c>
      <c r="H16" s="146">
        <f>+RAT1000PT!$N$95</f>
        <v>2.0250000000000001E-2</v>
      </c>
      <c r="I16" s="146">
        <f>+RAT1000PT!$N$95</f>
        <v>2.0250000000000001E-2</v>
      </c>
      <c r="J16" s="146"/>
    </row>
    <row r="17" spans="2:13" s="143" customFormat="1" ht="13.5">
      <c r="B17" s="48"/>
      <c r="C17" s="144" t="s">
        <v>1768</v>
      </c>
      <c r="D17" s="178"/>
      <c r="E17" s="146">
        <f>RAT1000PT!$N$91</f>
        <v>1.46E-2</v>
      </c>
      <c r="F17" s="146"/>
      <c r="G17" s="146"/>
      <c r="H17" s="146"/>
      <c r="I17" s="146"/>
      <c r="J17" s="146"/>
    </row>
    <row r="18" spans="2:13" s="143" customFormat="1" ht="13.5">
      <c r="B18" s="48"/>
      <c r="C18" s="326" t="s">
        <v>645</v>
      </c>
      <c r="D18" s="327"/>
      <c r="E18" s="328">
        <f>RAT1000PT!$N$92</f>
        <v>1.499E-2</v>
      </c>
      <c r="F18" s="328"/>
      <c r="G18" s="328"/>
      <c r="H18" s="328"/>
      <c r="I18" s="328"/>
      <c r="J18" s="328"/>
      <c r="L18" s="319"/>
    </row>
    <row r="19" spans="2:13" s="143" customFormat="1" ht="13.5">
      <c r="B19" s="48"/>
      <c r="C19" s="326" t="s">
        <v>646</v>
      </c>
      <c r="D19" s="327"/>
      <c r="E19" s="328">
        <f>RAT1000PT!$N$93</f>
        <v>2.6980000000000001E-2</v>
      </c>
      <c r="F19" s="328"/>
      <c r="G19" s="328"/>
      <c r="H19" s="328"/>
      <c r="I19" s="328"/>
      <c r="J19" s="328"/>
      <c r="L19" s="319"/>
    </row>
    <row r="20" spans="2:13" s="143" customFormat="1" ht="13.5">
      <c r="B20" s="48"/>
      <c r="C20" s="326" t="s">
        <v>647</v>
      </c>
      <c r="D20" s="328"/>
      <c r="E20" s="328">
        <f>RAT1000PT!$N$94</f>
        <v>3.1029999999999999E-2</v>
      </c>
      <c r="F20" s="328"/>
      <c r="G20" s="328"/>
      <c r="H20" s="328"/>
      <c r="I20" s="328"/>
      <c r="J20" s="328"/>
      <c r="L20" s="319"/>
    </row>
    <row r="21" spans="2:13" s="143" customFormat="1" ht="13.5">
      <c r="B21" s="48"/>
      <c r="C21" s="144" t="s">
        <v>1223</v>
      </c>
      <c r="D21" s="178">
        <f>RAT1000PT!$N$78</f>
        <v>16</v>
      </c>
      <c r="E21" s="146"/>
      <c r="F21" s="146"/>
      <c r="G21" s="146"/>
      <c r="H21" s="146"/>
      <c r="I21" s="146"/>
      <c r="J21" s="146"/>
      <c r="L21" s="319"/>
    </row>
    <row r="22" spans="2:13" s="143" customFormat="1" ht="13.5">
      <c r="B22" s="48"/>
      <c r="C22" s="144" t="s">
        <v>1223</v>
      </c>
      <c r="D22" s="178">
        <f>RAT1000PT!$N$79</f>
        <v>16</v>
      </c>
      <c r="E22" s="146"/>
      <c r="F22" s="146"/>
      <c r="G22" s="146"/>
      <c r="H22" s="146"/>
      <c r="I22" s="146"/>
      <c r="J22" s="146"/>
      <c r="L22" s="319"/>
    </row>
    <row r="23" spans="2:13" s="143" customFormat="1" ht="13.5">
      <c r="B23" s="48"/>
      <c r="C23" s="144" t="s">
        <v>1223</v>
      </c>
      <c r="D23" s="178">
        <f>RAT1000PT!$N$80</f>
        <v>16</v>
      </c>
      <c r="E23" s="146"/>
      <c r="F23" s="146"/>
      <c r="G23" s="146"/>
      <c r="H23" s="146"/>
      <c r="I23" s="146"/>
      <c r="J23" s="146"/>
      <c r="L23" s="319"/>
    </row>
    <row r="24" spans="2:13" s="143" customFormat="1" ht="13.5">
      <c r="B24" s="48"/>
      <c r="C24" s="144" t="s">
        <v>1223</v>
      </c>
      <c r="D24" s="178">
        <f>RAT1000PT!$N$81</f>
        <v>16</v>
      </c>
      <c r="E24" s="146"/>
      <c r="F24" s="146"/>
      <c r="G24" s="146"/>
      <c r="H24" s="146"/>
      <c r="I24" s="146"/>
      <c r="J24" s="146"/>
      <c r="L24" s="319"/>
    </row>
    <row r="25" spans="2:13" s="143" customFormat="1" ht="13.5">
      <c r="B25" s="52"/>
      <c r="C25" s="143" t="s">
        <v>933</v>
      </c>
      <c r="D25" s="957">
        <f>'Inf Ind Dem'!$C$3</f>
        <v>7.3800000000000004E-2</v>
      </c>
      <c r="E25" s="957">
        <f>'Inf Ind Dem'!$C$3</f>
        <v>7.3800000000000004E-2</v>
      </c>
      <c r="F25" s="957">
        <f>'Inf Ind Dem'!$C$3</f>
        <v>7.3800000000000004E-2</v>
      </c>
      <c r="G25" s="957">
        <f>'Inf Ind Dem'!$C$3</f>
        <v>7.3800000000000004E-2</v>
      </c>
      <c r="H25" s="957">
        <f>'Inf Ind Dem'!$C$3</f>
        <v>7.3800000000000004E-2</v>
      </c>
      <c r="I25" s="957">
        <f>'Inf Ind Dem'!$C$3</f>
        <v>7.3800000000000004E-2</v>
      </c>
      <c r="L25" s="958"/>
    </row>
    <row r="26" spans="2:13" s="143" customFormat="1" ht="13.5">
      <c r="B26" s="52"/>
      <c r="C26" s="957" t="str">
        <f>'Inf Ind Dem'!B$5</f>
        <v>Pérd. Trans. 2026</v>
      </c>
      <c r="D26" s="957">
        <f>'Inf Ind Dem'!C$5</f>
        <v>6.7900000000000002E-2</v>
      </c>
      <c r="E26" s="957">
        <f>'Inf Ind Dem'!D$5</f>
        <v>6.7900000000000002E-2</v>
      </c>
      <c r="F26" s="957">
        <f>'Inf Ind Dem'!E$5</f>
        <v>6.7900000000000002E-2</v>
      </c>
      <c r="G26" s="957">
        <f>'Inf Ind Dem'!F$5</f>
        <v>7.1199999999999999E-2</v>
      </c>
      <c r="H26" s="957">
        <f>'Inf Ind Dem'!G$5</f>
        <v>7.1199999999999999E-2</v>
      </c>
      <c r="I26" s="957">
        <f>'Inf Ind Dem'!H$5</f>
        <v>7.1199999999999999E-2</v>
      </c>
      <c r="L26" s="958"/>
    </row>
    <row r="27" spans="2:13" s="143" customFormat="1" ht="13.5">
      <c r="B27" s="48"/>
      <c r="C27" s="147"/>
      <c r="J27" s="148"/>
      <c r="L27" s="319"/>
    </row>
    <row r="28" spans="2:13" s="69" customFormat="1" ht="33" customHeight="1">
      <c r="B28" s="48"/>
      <c r="C28" s="320" t="s">
        <v>1457</v>
      </c>
      <c r="D28" s="320"/>
      <c r="E28" s="320"/>
      <c r="F28" s="320"/>
      <c r="G28" s="320"/>
      <c r="H28" s="320"/>
      <c r="I28" s="320"/>
      <c r="J28" s="321"/>
      <c r="L28" s="319"/>
    </row>
    <row r="29" spans="2:13" s="37" customFormat="1" ht="15.75">
      <c r="B29" s="48"/>
      <c r="C29" s="150" t="s">
        <v>310</v>
      </c>
      <c r="D29" s="151">
        <f>F801ENE!D4</f>
        <v>46204</v>
      </c>
      <c r="E29" s="151">
        <f>F801ENE!E4</f>
        <v>46235</v>
      </c>
      <c r="F29" s="151">
        <f>F801ENE!F4</f>
        <v>46266</v>
      </c>
      <c r="G29" s="151">
        <f>F801ENE!G4</f>
        <v>46296</v>
      </c>
      <c r="H29" s="151">
        <f>F801ENE!H4</f>
        <v>46327</v>
      </c>
      <c r="I29" s="151">
        <f>F801ENE!I4</f>
        <v>46357</v>
      </c>
      <c r="J29" s="152" t="s">
        <v>111</v>
      </c>
      <c r="K29" s="69"/>
      <c r="L29" s="319" t="s">
        <v>678</v>
      </c>
      <c r="M29" s="319"/>
    </row>
    <row r="30" spans="2:13" s="37" customFormat="1" ht="15.75" customHeight="1">
      <c r="B30" s="48"/>
      <c r="C30" s="153" t="s">
        <v>446</v>
      </c>
      <c r="D30" s="154">
        <f t="shared" ref="D30:I30" si="0">SUM(D31:D32)</f>
        <v>292638.69060466712</v>
      </c>
      <c r="E30" s="154">
        <f t="shared" si="0"/>
        <v>292760.82043173944</v>
      </c>
      <c r="F30" s="154">
        <f t="shared" si="0"/>
        <v>294885.49223684811</v>
      </c>
      <c r="G30" s="154">
        <f t="shared" si="0"/>
        <v>291757.28544668312</v>
      </c>
      <c r="H30" s="154">
        <f t="shared" si="0"/>
        <v>286553.41875076399</v>
      </c>
      <c r="I30" s="154">
        <f t="shared" si="0"/>
        <v>280423.48847283761</v>
      </c>
      <c r="J30" s="154">
        <f>SUM(D30:I30)</f>
        <v>1739019.195943539</v>
      </c>
      <c r="K30" s="69"/>
      <c r="L30" s="319"/>
      <c r="M30" s="69"/>
    </row>
    <row r="31" spans="2:13" s="37" customFormat="1" ht="15.75" customHeight="1">
      <c r="B31" s="48" t="s">
        <v>279</v>
      </c>
      <c r="C31" s="155" t="s">
        <v>279</v>
      </c>
      <c r="D31" s="156">
        <f>$D$7*F801D!K6+$G$7*F801ENE!K6</f>
        <v>292628.97635026398</v>
      </c>
      <c r="E31" s="156">
        <f>$D$7*F801D!L6+$G$7*F801ENE!L6</f>
        <v>292751.1061773363</v>
      </c>
      <c r="F31" s="156">
        <f>$D$7*F801D!M6+$G$7*F801ENE!M6</f>
        <v>294875.77798244497</v>
      </c>
      <c r="G31" s="156">
        <f>$D$7*F801D!N6+$G$7*F801ENE!N6</f>
        <v>291747.57119227998</v>
      </c>
      <c r="H31" s="156">
        <f>$D$7*F801D!O6+$G$7*F801ENE!O6</f>
        <v>286543.70449636085</v>
      </c>
      <c r="I31" s="156">
        <f>$D$7*F801D!P6+$G$7*F801ENE!P6</f>
        <v>280413.77421843447</v>
      </c>
      <c r="J31" s="156">
        <f>SUM(D31:I31)</f>
        <v>1738960.9104171204</v>
      </c>
      <c r="K31" s="69"/>
      <c r="L31" s="319"/>
      <c r="M31" s="69"/>
    </row>
    <row r="32" spans="2:13" s="37" customFormat="1" ht="15.75" customHeight="1">
      <c r="B32" s="48" t="s">
        <v>278</v>
      </c>
      <c r="C32" s="155" t="s">
        <v>278</v>
      </c>
      <c r="D32" s="156">
        <f>$D$8*F801D!K7+$F$8*F801ENE!K7</f>
        <v>9.7142544031239435</v>
      </c>
      <c r="E32" s="156">
        <f>$D$8*F801D!L7+$F$8*F801ENE!L7</f>
        <v>9.7142544031239435</v>
      </c>
      <c r="F32" s="156">
        <f>$D$8*F801D!M7+$F$8*F801ENE!M7</f>
        <v>9.7142544031239435</v>
      </c>
      <c r="G32" s="156">
        <f>$D$8*F801D!N7+$F$8*F801ENE!N7</f>
        <v>9.7142544031239435</v>
      </c>
      <c r="H32" s="156">
        <f>$D$8*F801D!O7+$F$8*F801ENE!O7</f>
        <v>9.7142544031239435</v>
      </c>
      <c r="I32" s="156">
        <f>$D$8*F801D!P7+$F$8*F801ENE!P7</f>
        <v>9.7142544031239435</v>
      </c>
      <c r="J32" s="156">
        <f>SUM(D32:I32)</f>
        <v>58.285526418743665</v>
      </c>
      <c r="K32" s="69"/>
      <c r="L32" s="319"/>
      <c r="M32" s="69"/>
    </row>
    <row r="33" spans="2:13" s="37" customFormat="1" ht="15.75" customHeight="1">
      <c r="B33" s="48"/>
      <c r="C33" s="157"/>
      <c r="D33" s="156"/>
      <c r="E33" s="156"/>
      <c r="F33" s="156"/>
      <c r="G33" s="156"/>
      <c r="H33" s="156"/>
      <c r="I33" s="156"/>
      <c r="J33" s="156"/>
      <c r="K33" s="69"/>
      <c r="L33" s="319"/>
      <c r="M33" s="69"/>
    </row>
    <row r="34" spans="2:13" s="37" customFormat="1" ht="15.75" customHeight="1">
      <c r="B34" s="48"/>
      <c r="C34" s="153" t="s">
        <v>630</v>
      </c>
      <c r="D34" s="154">
        <f>D35+D38</f>
        <v>518129.54312147573</v>
      </c>
      <c r="E34" s="154">
        <f t="shared" ref="E34:I34" si="1">E35+E38</f>
        <v>518345.7808226159</v>
      </c>
      <c r="F34" s="154">
        <f t="shared" si="1"/>
        <v>514992.74222822487</v>
      </c>
      <c r="G34" s="154">
        <f t="shared" si="1"/>
        <v>516568.96590864926</v>
      </c>
      <c r="H34" s="154">
        <f t="shared" si="1"/>
        <v>500441.3840000495</v>
      </c>
      <c r="I34" s="154">
        <f t="shared" si="1"/>
        <v>496501.84339187026</v>
      </c>
      <c r="J34" s="154">
        <f t="shared" ref="J34:J42" si="2">SUM(D34:I34)</f>
        <v>3064980.2594728852</v>
      </c>
      <c r="K34" s="69"/>
      <c r="L34" s="319"/>
      <c r="M34" s="69"/>
    </row>
    <row r="35" spans="2:13" s="37" customFormat="1" ht="15.75" customHeight="1">
      <c r="B35" s="48" t="s">
        <v>277</v>
      </c>
      <c r="C35" s="155" t="s">
        <v>277</v>
      </c>
      <c r="D35" s="154">
        <f>SUM(D36:D37)</f>
        <v>81190.451572470891</v>
      </c>
      <c r="E35" s="154">
        <f t="shared" ref="E35:I35" si="3">SUM(E36:E37)</f>
        <v>81224.335833338904</v>
      </c>
      <c r="F35" s="154">
        <f t="shared" si="3"/>
        <v>80587.412554034789</v>
      </c>
      <c r="G35" s="154">
        <f t="shared" si="3"/>
        <v>80945.910472073941</v>
      </c>
      <c r="H35" s="154">
        <f t="shared" si="3"/>
        <v>78310.37792305772</v>
      </c>
      <c r="I35" s="154">
        <f t="shared" si="3"/>
        <v>77801.409718301249</v>
      </c>
      <c r="J35" s="154">
        <f t="shared" si="2"/>
        <v>480059.89807327749</v>
      </c>
      <c r="K35" s="69"/>
      <c r="L35" s="319"/>
      <c r="M35" s="69"/>
    </row>
    <row r="36" spans="2:13" s="37" customFormat="1" ht="15.75" customHeight="1">
      <c r="B36" s="48"/>
      <c r="C36" s="160" t="s">
        <v>304</v>
      </c>
      <c r="D36" s="156">
        <f>$D$9*F801D!K11+$G$9*F801ENE!K11</f>
        <v>71595.499599329996</v>
      </c>
      <c r="E36" s="156">
        <f>$D$9*F801D!L11+$G$9*F801ENE!L11</f>
        <v>71625.379474837697</v>
      </c>
      <c r="F36" s="156">
        <f>$D$9*F801D!M11+$G$9*F801ENE!M11</f>
        <v>71081.218822661715</v>
      </c>
      <c r="G36" s="156">
        <f>$D$9*F801D!N11+$G$9*F801ENE!N11</f>
        <v>71379.857957777334</v>
      </c>
      <c r="H36" s="156">
        <f>$D$9*F801D!O11+$G$9*F801ENE!O11</f>
        <v>69072.786094253475</v>
      </c>
      <c r="I36" s="156">
        <f>$D$9*F801D!P11+$G$9*F801ENE!P11</f>
        <v>68606.969051550812</v>
      </c>
      <c r="J36" s="156">
        <f t="shared" si="2"/>
        <v>423361.71100041107</v>
      </c>
      <c r="K36" s="69"/>
      <c r="L36" s="319"/>
      <c r="M36" s="69"/>
    </row>
    <row r="37" spans="2:13" s="37" customFormat="1" ht="15.75" customHeight="1">
      <c r="B37" s="48"/>
      <c r="C37" s="160" t="s">
        <v>305</v>
      </c>
      <c r="D37" s="156">
        <f>($D$9*F801D!K12+$G$9*F801ENE!K12)*$L37</f>
        <v>9594.9519731408982</v>
      </c>
      <c r="E37" s="156">
        <f>($D$9*F801D!L12+$G$9*F801ENE!L12)*$L37</f>
        <v>9598.9563585012129</v>
      </c>
      <c r="F37" s="156">
        <f>($D$9*F801D!M12+$G$9*F801ENE!M12)*$L37</f>
        <v>9506.1937313730759</v>
      </c>
      <c r="G37" s="156">
        <f>($D$9*F801D!N12+$G$9*F801ENE!N12)*$L37</f>
        <v>9566.0525142966108</v>
      </c>
      <c r="H37" s="156">
        <f>($D$9*F801D!O12+$G$9*F801ENE!O12)*$L37</f>
        <v>9237.5918288042394</v>
      </c>
      <c r="I37" s="156">
        <f>($D$9*F801D!P12+$G$9*F801ENE!P12)*$L37</f>
        <v>9194.4406667504354</v>
      </c>
      <c r="J37" s="156">
        <f t="shared" si="2"/>
        <v>56698.187072866473</v>
      </c>
      <c r="K37" s="69"/>
      <c r="L37" s="319">
        <v>0.95</v>
      </c>
      <c r="M37" s="69"/>
    </row>
    <row r="38" spans="2:13" s="37" customFormat="1" ht="15.75" customHeight="1">
      <c r="B38" s="48" t="s">
        <v>276</v>
      </c>
      <c r="C38" s="158" t="s">
        <v>276</v>
      </c>
      <c r="D38" s="159">
        <f t="shared" ref="D38:I38" si="4">SUM(D39:D42)</f>
        <v>436939.09154900484</v>
      </c>
      <c r="E38" s="159">
        <f t="shared" si="4"/>
        <v>437121.44498927699</v>
      </c>
      <c r="F38" s="159">
        <f t="shared" si="4"/>
        <v>434405.32967419008</v>
      </c>
      <c r="G38" s="159">
        <f t="shared" si="4"/>
        <v>435623.05543657532</v>
      </c>
      <c r="H38" s="159">
        <f t="shared" si="4"/>
        <v>422131.00607699179</v>
      </c>
      <c r="I38" s="159">
        <f t="shared" si="4"/>
        <v>418700.433673569</v>
      </c>
      <c r="J38" s="159">
        <f t="shared" si="2"/>
        <v>2584920.3613996077</v>
      </c>
      <c r="K38" s="69"/>
      <c r="L38" s="319"/>
    </row>
    <row r="39" spans="2:13" s="37" customFormat="1" ht="15.75" customHeight="1">
      <c r="B39" s="48"/>
      <c r="C39" s="160" t="s">
        <v>304</v>
      </c>
      <c r="D39" s="156">
        <f>($D$10*F801D!K15+$F$10*F801ENE!K15)*$L39</f>
        <v>434808.77088763309</v>
      </c>
      <c r="E39" s="156">
        <f>($D$10*F801D!L15+$F$10*F801ENE!L15)*$L39</f>
        <v>434990.23525364063</v>
      </c>
      <c r="F39" s="156">
        <f>($D$10*F801D!M15+$F$10*F801ENE!M15)*$L39</f>
        <v>432278.80738034716</v>
      </c>
      <c r="G39" s="156">
        <f>($D$10*F801D!N15+$F$10*F801ENE!N15)*$L39</f>
        <v>433499.15118191938</v>
      </c>
      <c r="H39" s="156">
        <f>($D$10*F801D!O15+$F$10*F801ENE!O15)*$L39</f>
        <v>420064.56965454196</v>
      </c>
      <c r="I39" s="156">
        <f>($D$10*F801D!P15+$F$10*F801ENE!P15)*$L39</f>
        <v>416659.03659550491</v>
      </c>
      <c r="J39" s="156">
        <f t="shared" si="2"/>
        <v>2572300.5709535871</v>
      </c>
      <c r="K39" s="69"/>
      <c r="L39" s="319">
        <v>1</v>
      </c>
    </row>
    <row r="40" spans="2:13" s="37" customFormat="1" ht="15.75" customHeight="1">
      <c r="B40" s="48"/>
      <c r="C40" s="161" t="s">
        <v>306</v>
      </c>
      <c r="D40" s="156">
        <f>($D$10*F801D!K16+$F$10*F801ENE!K16)*$L40</f>
        <v>0</v>
      </c>
      <c r="E40" s="156">
        <f>($D$10*F801D!L16+$F$10*F801ENE!L16)*$L40</f>
        <v>0</v>
      </c>
      <c r="F40" s="156">
        <f>($D$10*F801D!M16+$F$10*F801ENE!M16)*$L40</f>
        <v>0</v>
      </c>
      <c r="G40" s="156">
        <f>($D$10*F801D!N16+$F$10*F801ENE!N16)*$L40</f>
        <v>0</v>
      </c>
      <c r="H40" s="156">
        <f>($D$10*F801D!O16+$F$10*F801ENE!O16)*$L40</f>
        <v>0</v>
      </c>
      <c r="I40" s="156">
        <f>($D$10*F801D!P16+$F$10*F801ENE!P16)*$L40</f>
        <v>0</v>
      </c>
      <c r="J40" s="156">
        <f t="shared" si="2"/>
        <v>0</v>
      </c>
      <c r="K40" s="69"/>
      <c r="L40" s="319">
        <v>1</v>
      </c>
    </row>
    <row r="41" spans="2:13" s="37" customFormat="1" ht="15.75" customHeight="1">
      <c r="B41" s="48"/>
      <c r="C41" s="160" t="s">
        <v>305</v>
      </c>
      <c r="D41" s="156">
        <f>($D$10*F801D!K17+$F$10*F801ENE!K17)*$L41</f>
        <v>2130.3206613717771</v>
      </c>
      <c r="E41" s="156">
        <f>($D$10*F801D!L17+$F$10*F801ENE!L17)*$L41</f>
        <v>2131.2097356363552</v>
      </c>
      <c r="F41" s="156">
        <f>($D$10*F801D!M17+$F$10*F801ENE!M17)*$L41</f>
        <v>2126.5222938429383</v>
      </c>
      <c r="G41" s="156">
        <f>($D$10*F801D!N17+$F$10*F801ENE!N17)*$L41</f>
        <v>2123.9042546559558</v>
      </c>
      <c r="H41" s="156">
        <f>($D$10*F801D!O17+$F$10*F801ENE!O17)*$L41</f>
        <v>2066.4364224498295</v>
      </c>
      <c r="I41" s="156">
        <f>($D$10*F801D!P17+$F$10*F801ENE!P17)*$L41</f>
        <v>2041.3970780641157</v>
      </c>
      <c r="J41" s="156">
        <f t="shared" si="2"/>
        <v>12619.790446020972</v>
      </c>
      <c r="K41" s="69"/>
      <c r="L41" s="319">
        <v>0.95</v>
      </c>
    </row>
    <row r="42" spans="2:13" s="37" customFormat="1" ht="15.75" customHeight="1">
      <c r="B42" s="48"/>
      <c r="C42" s="160" t="s">
        <v>307</v>
      </c>
      <c r="D42" s="156">
        <f>($D$10*F801D!K18+$F$10*F801ENE!K18)*$L42</f>
        <v>0</v>
      </c>
      <c r="E42" s="156">
        <f>($D$10*F801D!L18+$F$10*F801ENE!L18)*$L42</f>
        <v>0</v>
      </c>
      <c r="F42" s="156">
        <f>($D$10*F801D!M18+$F$10*F801ENE!M18)*$L42</f>
        <v>0</v>
      </c>
      <c r="G42" s="156">
        <f>($D$10*F801D!N18+$F$10*F801ENE!N18)*$L42</f>
        <v>0</v>
      </c>
      <c r="H42" s="156">
        <f>($D$10*F801D!O18+$F$10*F801ENE!O18)*$L42</f>
        <v>0</v>
      </c>
      <c r="I42" s="156">
        <f>($D$10*F801D!P18+$F$10*F801ENE!P18)*$L42</f>
        <v>0</v>
      </c>
      <c r="J42" s="156">
        <f t="shared" si="2"/>
        <v>0</v>
      </c>
      <c r="K42" s="69"/>
      <c r="L42" s="319">
        <v>0.5</v>
      </c>
    </row>
    <row r="43" spans="2:13" s="37" customFormat="1" ht="15.75" customHeight="1">
      <c r="B43" s="48"/>
      <c r="C43" s="157"/>
      <c r="D43" s="157"/>
      <c r="E43" s="157"/>
      <c r="F43" s="157"/>
      <c r="G43" s="157"/>
      <c r="H43" s="157"/>
      <c r="I43" s="157"/>
      <c r="J43" s="157"/>
      <c r="K43" s="69"/>
      <c r="L43" s="319"/>
    </row>
    <row r="44" spans="2:13" s="37" customFormat="1" ht="15.75" customHeight="1">
      <c r="B44" s="48"/>
      <c r="C44" s="153" t="s">
        <v>443</v>
      </c>
      <c r="D44" s="154">
        <f t="shared" ref="D44:I44" si="5">D45+D49+D56+D61+D66+D79+D85+D92+D100+D106+D113+D72</f>
        <v>2957599.8620792553</v>
      </c>
      <c r="E44" s="154">
        <f t="shared" si="5"/>
        <v>2958834.1949594873</v>
      </c>
      <c r="F44" s="154">
        <f t="shared" si="5"/>
        <v>2925283.1048041307</v>
      </c>
      <c r="G44" s="154">
        <f t="shared" si="5"/>
        <v>2948691.7403420354</v>
      </c>
      <c r="H44" s="154">
        <f t="shared" si="5"/>
        <v>2842627.9115630952</v>
      </c>
      <c r="I44" s="154">
        <f t="shared" si="5"/>
        <v>2834144.1429364653</v>
      </c>
      <c r="J44" s="154">
        <f t="shared" ref="J44:J70" si="6">SUM(D44:I44)</f>
        <v>17467180.95668447</v>
      </c>
      <c r="K44" s="69"/>
      <c r="L44" s="319"/>
    </row>
    <row r="45" spans="2:13" s="37" customFormat="1" ht="15.75" customHeight="1">
      <c r="B45" s="48" t="s">
        <v>275</v>
      </c>
      <c r="C45" s="155" t="s">
        <v>275</v>
      </c>
      <c r="D45" s="154">
        <f>SUM(D46:D48)</f>
        <v>57429.806048028389</v>
      </c>
      <c r="E45" s="154">
        <f t="shared" ref="E45:I45" si="7">SUM(E46:E48)</f>
        <v>57453.773971497758</v>
      </c>
      <c r="F45" s="154">
        <f t="shared" si="7"/>
        <v>57301.235621999913</v>
      </c>
      <c r="G45" s="154">
        <f t="shared" si="7"/>
        <v>57256.830683381821</v>
      </c>
      <c r="H45" s="154">
        <f t="shared" si="7"/>
        <v>55682.162695175466</v>
      </c>
      <c r="I45" s="154">
        <f t="shared" si="7"/>
        <v>55032.578140016522</v>
      </c>
      <c r="J45" s="154">
        <f t="shared" si="6"/>
        <v>340156.38716009987</v>
      </c>
      <c r="K45" s="69"/>
      <c r="L45" s="319"/>
    </row>
    <row r="46" spans="2:13" s="37" customFormat="1" ht="15.75" customHeight="1">
      <c r="B46" s="48"/>
      <c r="C46" s="160" t="s">
        <v>304</v>
      </c>
      <c r="D46" s="156">
        <f>$D$11*F801D!K22+$G$11*F801ENE!K22</f>
        <v>56196.731451115673</v>
      </c>
      <c r="E46" s="156">
        <f>$D$11*F801D!L22+$G$11*F801ENE!L22</f>
        <v>56220.184759621057</v>
      </c>
      <c r="F46" s="156">
        <f>$D$11*F801D!M22+$G$11*F801ENE!M22</f>
        <v>56058.542334030717</v>
      </c>
      <c r="G46" s="156">
        <f>$D$11*F801D!N22+$G$11*F801ENE!N22</f>
        <v>56027.470038208012</v>
      </c>
      <c r="H46" s="156">
        <f>$D$11*F801D!O22+$G$11*F801ENE!O22</f>
        <v>54474.582281074647</v>
      </c>
      <c r="I46" s="156">
        <f>$D$11*F801D!P22+$G$11*F801ENE!P22</f>
        <v>53850.974391427888</v>
      </c>
      <c r="J46" s="156">
        <f t="shared" si="6"/>
        <v>332828.48525547801</v>
      </c>
      <c r="K46" s="69"/>
      <c r="L46" s="319"/>
    </row>
    <row r="47" spans="2:13" s="37" customFormat="1" ht="15.75" customHeight="1">
      <c r="B47" s="48"/>
      <c r="C47" s="161" t="s">
        <v>306</v>
      </c>
      <c r="D47" s="156">
        <f>($D$11*F801D!K23+$G$11*F801ENE!K23)*$L47</f>
        <v>941.02954687957674</v>
      </c>
      <c r="E47" s="156">
        <f>($D$11*F801D!L23+$G$11*F801ENE!L23)*$L47</f>
        <v>941.4222789069695</v>
      </c>
      <c r="F47" s="156">
        <f>($D$11*F801D!M23+$G$11*F801ENE!M23)*$L47</f>
        <v>949.41802303472832</v>
      </c>
      <c r="G47" s="156">
        <f>($D$11*F801D!N23+$G$11*F801ENE!N23)*$L47</f>
        <v>938.19521850175579</v>
      </c>
      <c r="H47" s="156">
        <f>($D$11*F801D!O23+$G$11*F801ENE!O23)*$L47</f>
        <v>922.5917774808795</v>
      </c>
      <c r="I47" s="156">
        <f>($D$11*F801D!P23+$G$11*F801ENE!P23)*$L47</f>
        <v>901.74920715220753</v>
      </c>
      <c r="J47" s="156">
        <f t="shared" si="6"/>
        <v>5594.4060519561172</v>
      </c>
      <c r="K47" s="69"/>
      <c r="L47" s="319">
        <v>1</v>
      </c>
    </row>
    <row r="48" spans="2:13" s="37" customFormat="1" ht="15.75" customHeight="1">
      <c r="B48" s="48"/>
      <c r="C48" s="160" t="s">
        <v>305</v>
      </c>
      <c r="D48" s="156">
        <f>($D$11*F801D!K24+$G$11*F801ENE!K24)*$L48</f>
        <v>292.0450500331429</v>
      </c>
      <c r="E48" s="156">
        <f>($D$11*F801D!L24+$G$11*F801ENE!L24)*$L48</f>
        <v>292.16693296973068</v>
      </c>
      <c r="F48" s="156">
        <f>($D$11*F801D!M24+$G$11*F801ENE!M24)*$L48</f>
        <v>293.27526493447215</v>
      </c>
      <c r="G48" s="156">
        <f>($D$11*F801D!N24+$G$11*F801ENE!N24)*$L48</f>
        <v>291.165426672053</v>
      </c>
      <c r="H48" s="156">
        <f>($D$11*F801D!O24+$G$11*F801ENE!O24)*$L48</f>
        <v>284.98863661994471</v>
      </c>
      <c r="I48" s="156">
        <f>($D$11*F801D!P24+$G$11*F801ENE!P24)*$L48</f>
        <v>279.85454143642778</v>
      </c>
      <c r="J48" s="156">
        <f t="shared" si="6"/>
        <v>1733.4958526657713</v>
      </c>
      <c r="K48" s="69"/>
      <c r="L48" s="319">
        <v>0.95</v>
      </c>
    </row>
    <row r="49" spans="2:12" s="37" customFormat="1" ht="15.75" customHeight="1">
      <c r="B49" s="48" t="s">
        <v>274</v>
      </c>
      <c r="C49" s="158" t="s">
        <v>627</v>
      </c>
      <c r="D49" s="159">
        <f t="shared" ref="D49:I49" si="8">SUM(D50:D55)</f>
        <v>1157470.8402366319</v>
      </c>
      <c r="E49" s="159">
        <f t="shared" si="8"/>
        <v>1157953.9025073561</v>
      </c>
      <c r="F49" s="159">
        <f t="shared" si="8"/>
        <v>1145079.199023973</v>
      </c>
      <c r="G49" s="159">
        <f t="shared" si="8"/>
        <v>1153984.6027854683</v>
      </c>
      <c r="H49" s="159">
        <f t="shared" si="8"/>
        <v>1112724.4564065598</v>
      </c>
      <c r="I49" s="159">
        <f t="shared" si="8"/>
        <v>1109155.834634755</v>
      </c>
      <c r="J49" s="159">
        <f t="shared" si="6"/>
        <v>6836368.8355947435</v>
      </c>
      <c r="K49" s="69"/>
      <c r="L49" s="319"/>
    </row>
    <row r="50" spans="2:12" s="37" customFormat="1" ht="15.75" customHeight="1">
      <c r="B50" s="48"/>
      <c r="C50" s="160" t="s">
        <v>304</v>
      </c>
      <c r="D50" s="156">
        <f>($D$12*F801D!K28+$F$12*F801ENE!K28)*$L50</f>
        <v>1155317.9365868662</v>
      </c>
      <c r="E50" s="156">
        <f>($D$12*F801D!L28+$F$12*F801ENE!L28)*$L50</f>
        <v>1155800.1003584752</v>
      </c>
      <c r="F50" s="156">
        <f>($D$12*F801D!M28+$F$12*F801ENE!M28)*$L50</f>
        <v>1142947.5851138497</v>
      </c>
      <c r="G50" s="156">
        <f>($D$12*F801D!N28+$F$12*F801ENE!N28)*$L50</f>
        <v>1151838.1835611167</v>
      </c>
      <c r="H50" s="156">
        <f>($D$12*F801D!O28+$F$12*F801ENE!O28)*$L50</f>
        <v>1110653.0722338038</v>
      </c>
      <c r="I50" s="156">
        <f>($D$12*F801D!P28+$F$12*F801ENE!P28)*$L50</f>
        <v>1107092.7972246238</v>
      </c>
      <c r="J50" s="156">
        <f t="shared" si="6"/>
        <v>6823649.6750787348</v>
      </c>
      <c r="K50" s="69"/>
      <c r="L50" s="319">
        <v>1</v>
      </c>
    </row>
    <row r="51" spans="2:12" s="37" customFormat="1" ht="15.75" customHeight="1">
      <c r="B51" s="48"/>
      <c r="C51" s="162" t="s">
        <v>628</v>
      </c>
      <c r="D51" s="156">
        <f>($D$12*F801D!K29+$F$12*F801ENE!K29)*$L51</f>
        <v>76.227143022603883</v>
      </c>
      <c r="E51" s="156">
        <f>($D$12*F801D!L29+$F$12*F801ENE!L29)*$L51</f>
        <v>76.258955881744058</v>
      </c>
      <c r="F51" s="156">
        <f>($D$12*F801D!M29+$F$12*F801ENE!M29)*$L51</f>
        <v>74.818629705691819</v>
      </c>
      <c r="G51" s="156">
        <f>($D$12*F801D!N29+$F$12*F801ENE!N29)*$L51</f>
        <v>75.997551130037266</v>
      </c>
      <c r="H51" s="156">
        <f>($D$12*F801D!O29+$F$12*F801ENE!O29)*$L51</f>
        <v>72.704594703415523</v>
      </c>
      <c r="I51" s="156">
        <f>($D$12*F801D!P29+$F$12*F801ENE!P29)*$L51</f>
        <v>73.045278984111775</v>
      </c>
      <c r="J51" s="156">
        <f t="shared" si="6"/>
        <v>449.05215342760437</v>
      </c>
      <c r="K51" s="69"/>
      <c r="L51" s="319">
        <v>0.75</v>
      </c>
    </row>
    <row r="52" spans="2:12" s="37" customFormat="1" ht="15.75" customHeight="1">
      <c r="B52" s="48"/>
      <c r="C52" s="161" t="s">
        <v>629</v>
      </c>
      <c r="D52" s="156">
        <f>($D$12*F801D!K30+$F$12*F801ENE!K30)*$L52</f>
        <v>717.27260963082028</v>
      </c>
      <c r="E52" s="156">
        <f>($D$12*F801D!L30+$F$12*F801ENE!L30)*$L52</f>
        <v>717.57195828263207</v>
      </c>
      <c r="F52" s="156">
        <f>($D$12*F801D!M30+$F$12*F801ENE!M30)*$L52</f>
        <v>714.23632458542681</v>
      </c>
      <c r="G52" s="156">
        <f>($D$12*F801D!N30+$F$12*F801ENE!N30)*$L52</f>
        <v>715.11222463669139</v>
      </c>
      <c r="H52" s="156">
        <f>($D$12*F801D!O30+$F$12*F801ENE!O30)*$L52</f>
        <v>694.05524674411618</v>
      </c>
      <c r="I52" s="156">
        <f>($D$12*F801D!P30+$F$12*F801ENE!P30)*$L52</f>
        <v>687.33230448645816</v>
      </c>
      <c r="J52" s="156">
        <f t="shared" si="6"/>
        <v>4245.5806683661449</v>
      </c>
      <c r="K52" s="69"/>
      <c r="L52" s="319">
        <v>1</v>
      </c>
    </row>
    <row r="53" spans="2:12" s="37" customFormat="1" ht="15.75" customHeight="1">
      <c r="B53" s="48"/>
      <c r="C53" s="160" t="s">
        <v>305</v>
      </c>
      <c r="D53" s="156">
        <f>($D$12*F801D!K31+$F$12*F801ENE!K31)*$L53</f>
        <v>1266.8020344774425</v>
      </c>
      <c r="E53" s="156">
        <f>($D$12*F801D!L31+$F$12*F801ENE!L31)*$L53</f>
        <v>1267.3307253490048</v>
      </c>
      <c r="F53" s="156">
        <f>($D$12*F801D!M31+$F$12*F801ENE!M31)*$L53</f>
        <v>1251.6681760414685</v>
      </c>
      <c r="G53" s="156">
        <f>($D$12*F801D!N31+$F$12*F801ENE!N31)*$L53</f>
        <v>1262.986497582446</v>
      </c>
      <c r="H53" s="156">
        <f>($D$12*F801D!O31+$F$12*F801ENE!O31)*$L53</f>
        <v>1216.3017125577662</v>
      </c>
      <c r="I53" s="156">
        <f>($D$12*F801D!P31+$F$12*F801ENE!P31)*$L53</f>
        <v>1213.9233395984129</v>
      </c>
      <c r="J53" s="156">
        <f t="shared" si="6"/>
        <v>7479.0124856065404</v>
      </c>
      <c r="K53" s="69"/>
      <c r="L53" s="319">
        <v>0.95</v>
      </c>
    </row>
    <row r="54" spans="2:12" s="37" customFormat="1" ht="15.75" customHeight="1">
      <c r="B54" s="48"/>
      <c r="C54" s="160" t="s">
        <v>307</v>
      </c>
      <c r="D54" s="156">
        <f>($D$12*F801D!K32+$F$12*F801ENE!K32)*$L54</f>
        <v>92.601862634866919</v>
      </c>
      <c r="E54" s="156">
        <f>($D$12*F801D!L32+$F$12*F801ENE!L32)*$L54</f>
        <v>92.640509367452026</v>
      </c>
      <c r="F54" s="156">
        <f>($D$12*F801D!M32+$F$12*F801ENE!M32)*$L54</f>
        <v>90.890779790618211</v>
      </c>
      <c r="G54" s="156">
        <f>($D$12*F801D!N32+$F$12*F801ENE!N32)*$L54</f>
        <v>92.322951002415607</v>
      </c>
      <c r="H54" s="156">
        <f>($D$12*F801D!O32+$F$12*F801ENE!O32)*$L54</f>
        <v>88.322618750815892</v>
      </c>
      <c r="I54" s="156">
        <f>($D$12*F801D!P32+$F$12*F801ENE!P32)*$L54</f>
        <v>88.736487062180231</v>
      </c>
      <c r="J54" s="156">
        <f t="shared" si="6"/>
        <v>545.51520860834887</v>
      </c>
      <c r="K54" s="69"/>
      <c r="L54" s="319">
        <v>0.5</v>
      </c>
    </row>
    <row r="55" spans="2:12" s="37" customFormat="1" ht="15.75" customHeight="1">
      <c r="B55" s="48"/>
      <c r="C55" s="160" t="s">
        <v>624</v>
      </c>
      <c r="D55" s="156">
        <f>($D$12*F801D!K33+$F$12*F801ENE!K33)*$L55</f>
        <v>0</v>
      </c>
      <c r="E55" s="156">
        <f>($D$12*F801D!L33+$F$12*F801ENE!L33)*$L55</f>
        <v>0</v>
      </c>
      <c r="F55" s="156">
        <f>($D$12*F801D!M33+$F$12*F801ENE!M33)*$L55</f>
        <v>0</v>
      </c>
      <c r="G55" s="156">
        <f>($D$12*F801D!N33+$F$12*F801ENE!N33)*$L55</f>
        <v>0</v>
      </c>
      <c r="H55" s="156">
        <f>($D$12*F801D!O33+$F$12*F801ENE!O33)*$L55</f>
        <v>0</v>
      </c>
      <c r="I55" s="156">
        <f>($D$12*F801D!P33+$F$12*F801ENE!P33)*$L55</f>
        <v>0</v>
      </c>
      <c r="J55" s="156">
        <f t="shared" si="6"/>
        <v>0</v>
      </c>
      <c r="K55" s="69"/>
      <c r="L55" s="319">
        <v>0</v>
      </c>
    </row>
    <row r="56" spans="2:12" s="37" customFormat="1" ht="15.75" customHeight="1">
      <c r="B56" s="48" t="s">
        <v>274</v>
      </c>
      <c r="C56" s="158" t="s">
        <v>631</v>
      </c>
      <c r="D56" s="159">
        <f t="shared" ref="D56:I56" si="9">SUM(D57:D60)</f>
        <v>619131.74556049902</v>
      </c>
      <c r="E56" s="159">
        <f t="shared" si="9"/>
        <v>619390.13581664278</v>
      </c>
      <c r="F56" s="159">
        <f t="shared" si="9"/>
        <v>614767.43345843651</v>
      </c>
      <c r="G56" s="159">
        <f t="shared" si="9"/>
        <v>617266.95536143344</v>
      </c>
      <c r="H56" s="159">
        <f t="shared" si="9"/>
        <v>597396.89516198554</v>
      </c>
      <c r="I56" s="159">
        <f t="shared" si="9"/>
        <v>593288.02430619951</v>
      </c>
      <c r="J56" s="159">
        <f t="shared" si="6"/>
        <v>3661241.1896651969</v>
      </c>
      <c r="K56" s="69"/>
      <c r="L56" s="319"/>
    </row>
    <row r="57" spans="2:12" s="37" customFormat="1" ht="15.75" customHeight="1">
      <c r="B57" s="48"/>
      <c r="C57" s="160" t="s">
        <v>304</v>
      </c>
      <c r="D57" s="156">
        <f>($D$13*F801D!K35+$F$13*F801ENE!K35)*$L57</f>
        <v>618516.0982636332</v>
      </c>
      <c r="E57" s="156">
        <f>($D$13*F801D!L35+$F$13*F801ENE!L35)*$L57</f>
        <v>618774.2315837309</v>
      </c>
      <c r="F57" s="156">
        <f>($D$13*F801D!M35+$F$13*F801ENE!M35)*$L57</f>
        <v>614152.2860405487</v>
      </c>
      <c r="G57" s="156">
        <f>($D$13*F801D!N35+$F$13*F801ENE!N35)*$L57</f>
        <v>616653.16235980205</v>
      </c>
      <c r="H57" s="156">
        <f>($D$13*F801D!O35+$F$13*F801ENE!O35)*$L57</f>
        <v>596799.12901903002</v>
      </c>
      <c r="I57" s="156">
        <f>($D$13*F801D!P35+$F$13*F801ENE!P35)*$L57</f>
        <v>592698.07528315869</v>
      </c>
      <c r="J57" s="156">
        <f t="shared" si="6"/>
        <v>3657592.9825499034</v>
      </c>
      <c r="K57" s="69"/>
      <c r="L57" s="319">
        <v>1</v>
      </c>
    </row>
    <row r="58" spans="2:12" s="37" customFormat="1" ht="15.75" customHeight="1">
      <c r="B58" s="48"/>
      <c r="C58" s="161" t="s">
        <v>306</v>
      </c>
      <c r="D58" s="156">
        <f>($D$13*F801D!K36+$F$13*F801ENE!K36)*$L58</f>
        <v>0</v>
      </c>
      <c r="E58" s="156">
        <f>($D$13*F801D!L36+$F$13*F801ENE!L36)*$L58</f>
        <v>0</v>
      </c>
      <c r="F58" s="156">
        <f>($D$13*F801D!M36+$F$13*F801ENE!M36)*$L58</f>
        <v>0</v>
      </c>
      <c r="G58" s="156">
        <f>($D$13*F801D!N36+$F$13*F801ENE!N36)*$L58</f>
        <v>0</v>
      </c>
      <c r="H58" s="156">
        <f>($D$13*F801D!O36+$F$13*F801ENE!O36)*$L58</f>
        <v>0</v>
      </c>
      <c r="I58" s="156">
        <f>($D$13*F801D!P36+$F$13*F801ENE!P36)*$L58</f>
        <v>0</v>
      </c>
      <c r="J58" s="156">
        <f t="shared" si="6"/>
        <v>0</v>
      </c>
      <c r="K58" s="69"/>
      <c r="L58" s="319">
        <v>1</v>
      </c>
    </row>
    <row r="59" spans="2:12" s="37" customFormat="1" ht="15.75" customHeight="1">
      <c r="B59" s="48"/>
      <c r="C59" s="160" t="s">
        <v>305</v>
      </c>
      <c r="D59" s="156">
        <f>($D$13*F801D!K37+$F$13*F801ENE!K37)*$L59</f>
        <v>615.64729686579403</v>
      </c>
      <c r="E59" s="156">
        <f>($D$13*F801D!L37+$F$13*F801ENE!L37)*$L59</f>
        <v>615.90423291191348</v>
      </c>
      <c r="F59" s="156">
        <f>($D$13*F801D!M37+$F$13*F801ENE!M37)*$L59</f>
        <v>615.14741788786876</v>
      </c>
      <c r="G59" s="156">
        <f>($D$13*F801D!N37+$F$13*F801ENE!N37)*$L59</f>
        <v>613.7930016313652</v>
      </c>
      <c r="H59" s="156">
        <f>($D$13*F801D!O37+$F$13*F801ENE!O37)*$L59</f>
        <v>597.76614295553838</v>
      </c>
      <c r="I59" s="156">
        <f>($D$13*F801D!P37+$F$13*F801ENE!P37)*$L59</f>
        <v>589.94902304079619</v>
      </c>
      <c r="J59" s="156">
        <f t="shared" si="6"/>
        <v>3648.2071152932758</v>
      </c>
      <c r="K59" s="69"/>
      <c r="L59" s="319">
        <v>0.95</v>
      </c>
    </row>
    <row r="60" spans="2:12" s="37" customFormat="1" ht="15.75" customHeight="1">
      <c r="B60" s="48"/>
      <c r="C60" s="160" t="s">
        <v>307</v>
      </c>
      <c r="D60" s="156">
        <f>($D$13*F801D!K38+$F$13*F801ENE!K38)*$L60</f>
        <v>0</v>
      </c>
      <c r="E60" s="156">
        <f>($D$13*F801D!L38+$F$13*F801ENE!L38)*$L60</f>
        <v>0</v>
      </c>
      <c r="F60" s="156">
        <f>($D$13*F801D!M38+$F$13*F801ENE!M38)*$L60</f>
        <v>0</v>
      </c>
      <c r="G60" s="156">
        <f>($D$13*F801D!N38+$F$13*F801ENE!N38)*$L60</f>
        <v>0</v>
      </c>
      <c r="H60" s="156">
        <f>($D$13*F801D!O38+$F$13*F801ENE!O38)*$L60</f>
        <v>0</v>
      </c>
      <c r="I60" s="156">
        <f>($D$13*F801D!P38+$F$13*F801ENE!P38)*$L60</f>
        <v>0</v>
      </c>
      <c r="J60" s="156">
        <f t="shared" si="6"/>
        <v>0</v>
      </c>
      <c r="K60" s="69"/>
      <c r="L60" s="319">
        <v>0.5</v>
      </c>
    </row>
    <row r="61" spans="2:12" s="37" customFormat="1" ht="15.75" customHeight="1">
      <c r="B61" s="48" t="s">
        <v>274</v>
      </c>
      <c r="C61" s="158" t="s">
        <v>632</v>
      </c>
      <c r="D61" s="159">
        <f t="shared" ref="D61:I61" si="10">SUM(D62:D65)</f>
        <v>192026.1674481238</v>
      </c>
      <c r="E61" s="159">
        <f t="shared" si="10"/>
        <v>192106.30821129587</v>
      </c>
      <c r="F61" s="159">
        <f t="shared" si="10"/>
        <v>191052.34488876181</v>
      </c>
      <c r="G61" s="159">
        <f t="shared" si="10"/>
        <v>191447.79536885463</v>
      </c>
      <c r="H61" s="159">
        <f t="shared" si="10"/>
        <v>185654.07248053193</v>
      </c>
      <c r="I61" s="159">
        <f t="shared" si="10"/>
        <v>184010.63475957129</v>
      </c>
      <c r="J61" s="159">
        <f t="shared" si="6"/>
        <v>1136297.3231571391</v>
      </c>
      <c r="K61" s="69"/>
      <c r="L61" s="319"/>
    </row>
    <row r="62" spans="2:12" s="37" customFormat="1" ht="15.75" customHeight="1">
      <c r="B62" s="48"/>
      <c r="C62" s="160" t="s">
        <v>304</v>
      </c>
      <c r="D62" s="156">
        <f>($D$14*F801D!K40+$F$14*F801ENE!K40)*$L62</f>
        <v>192026.1674481238</v>
      </c>
      <c r="E62" s="156">
        <f>($D$14*F801D!L40+$F$14*F801ENE!L40)*$L62</f>
        <v>192106.30821129587</v>
      </c>
      <c r="F62" s="156">
        <f>($D$14*F801D!M40+$F$14*F801ENE!M40)*$L62</f>
        <v>191052.34488876181</v>
      </c>
      <c r="G62" s="156">
        <f>($D$14*F801D!N40+$F$14*F801ENE!N40)*$L62</f>
        <v>191447.79536885463</v>
      </c>
      <c r="H62" s="156">
        <f>($D$14*F801D!O40+$F$14*F801ENE!O40)*$L62</f>
        <v>185654.07248053193</v>
      </c>
      <c r="I62" s="156">
        <f>($D$14*F801D!P40+$F$14*F801ENE!P40)*$L62</f>
        <v>184010.63475957129</v>
      </c>
      <c r="J62" s="156">
        <f t="shared" si="6"/>
        <v>1136297.3231571391</v>
      </c>
      <c r="K62" s="69"/>
      <c r="L62" s="319">
        <v>1</v>
      </c>
    </row>
    <row r="63" spans="2:12" s="37" customFormat="1" ht="15.75" customHeight="1">
      <c r="B63" s="48"/>
      <c r="C63" s="161" t="s">
        <v>306</v>
      </c>
      <c r="D63" s="156">
        <f>($D$14*F801D!K41+$F$14*F801ENE!K41)*$L63</f>
        <v>0</v>
      </c>
      <c r="E63" s="156">
        <f>($D$14*F801D!L41+$F$14*F801ENE!L41)*$L63</f>
        <v>0</v>
      </c>
      <c r="F63" s="156">
        <f>($D$14*F801D!M41+$F$14*F801ENE!M41)*$L63</f>
        <v>0</v>
      </c>
      <c r="G63" s="156">
        <f>($D$14*F801D!N41+$F$14*F801ENE!N41)*$L63</f>
        <v>0</v>
      </c>
      <c r="H63" s="156">
        <f>($D$14*F801D!O41+$F$14*F801ENE!O41)*$L63</f>
        <v>0</v>
      </c>
      <c r="I63" s="156">
        <f>($D$14*F801D!P41+$F$14*F801ENE!P41)*$L63</f>
        <v>0</v>
      </c>
      <c r="J63" s="156">
        <f t="shared" si="6"/>
        <v>0</v>
      </c>
      <c r="K63" s="69"/>
      <c r="L63" s="319">
        <v>1</v>
      </c>
    </row>
    <row r="64" spans="2:12" s="37" customFormat="1" ht="15.75" customHeight="1">
      <c r="B64" s="48"/>
      <c r="C64" s="160" t="s">
        <v>305</v>
      </c>
      <c r="D64" s="156">
        <f>($D$14*F801D!K42+$F$14*F801ENE!K42)*$L64</f>
        <v>0</v>
      </c>
      <c r="E64" s="156">
        <f>($D$14*F801D!L42+$F$14*F801ENE!L42)*$L64</f>
        <v>0</v>
      </c>
      <c r="F64" s="156">
        <f>($D$14*F801D!M42+$F$14*F801ENE!M42)*$L64</f>
        <v>0</v>
      </c>
      <c r="G64" s="156">
        <f>($D$14*F801D!N42+$F$14*F801ENE!N42)*$L64</f>
        <v>0</v>
      </c>
      <c r="H64" s="156">
        <f>($D$14*F801D!O42+$F$14*F801ENE!O42)*$L64</f>
        <v>0</v>
      </c>
      <c r="I64" s="156">
        <f>($D$14*F801D!P42+$F$14*F801ENE!P42)*$L64</f>
        <v>0</v>
      </c>
      <c r="J64" s="156">
        <f t="shared" si="6"/>
        <v>0</v>
      </c>
      <c r="K64" s="69"/>
      <c r="L64" s="319">
        <v>0.95</v>
      </c>
    </row>
    <row r="65" spans="2:13" s="37" customFormat="1" ht="15.75" customHeight="1">
      <c r="B65" s="48"/>
      <c r="C65" s="160" t="s">
        <v>307</v>
      </c>
      <c r="D65" s="156">
        <f>($D$14*F801D!K43+$F$14*F801ENE!K43)*$L65</f>
        <v>0</v>
      </c>
      <c r="E65" s="156">
        <f>($D$14*F801D!L43+$F$14*F801ENE!L43)*$L65</f>
        <v>0</v>
      </c>
      <c r="F65" s="156">
        <f>($D$14*F801D!M43+$F$14*F801ENE!M43)*$L65</f>
        <v>0</v>
      </c>
      <c r="G65" s="156">
        <f>($D$14*F801D!N43+$F$14*F801ENE!N43)*$L65</f>
        <v>0</v>
      </c>
      <c r="H65" s="156">
        <f>($D$14*F801D!O43+$F$14*F801ENE!O43)*$L65</f>
        <v>0</v>
      </c>
      <c r="I65" s="156">
        <f>($D$14*F801D!P43+$F$14*F801ENE!P43)*$L65</f>
        <v>0</v>
      </c>
      <c r="J65" s="156">
        <f t="shared" si="6"/>
        <v>0</v>
      </c>
      <c r="K65" s="69"/>
      <c r="L65" s="319">
        <v>0.5</v>
      </c>
    </row>
    <row r="66" spans="2:13" s="37" customFormat="1" ht="15.75" customHeight="1">
      <c r="B66" s="48" t="s">
        <v>274</v>
      </c>
      <c r="C66" s="158" t="s">
        <v>633</v>
      </c>
      <c r="D66" s="159">
        <f t="shared" ref="D66:I66" si="11">SUM(D67:D70)</f>
        <v>198742.25621711544</v>
      </c>
      <c r="E66" s="159">
        <f t="shared" si="11"/>
        <v>198825.19989244587</v>
      </c>
      <c r="F66" s="159">
        <f t="shared" si="11"/>
        <v>197824.36974077619</v>
      </c>
      <c r="G66" s="159">
        <f t="shared" si="11"/>
        <v>198143.65565400216</v>
      </c>
      <c r="H66" s="159">
        <f t="shared" si="11"/>
        <v>192234.75063681343</v>
      </c>
      <c r="I66" s="159">
        <f t="shared" si="11"/>
        <v>190446.38137633196</v>
      </c>
      <c r="J66" s="159">
        <f t="shared" si="6"/>
        <v>1176216.6135174851</v>
      </c>
      <c r="K66" s="69"/>
      <c r="L66" s="319"/>
    </row>
    <row r="67" spans="2:13" s="37" customFormat="1" ht="15.75" customHeight="1">
      <c r="B67" s="48"/>
      <c r="C67" s="160" t="s">
        <v>304</v>
      </c>
      <c r="D67" s="156">
        <f>($D$15*F801D!K45+$F$15*F801ENE!K45)*$L67</f>
        <v>198742.25621711544</v>
      </c>
      <c r="E67" s="156">
        <f>($D$15*F801D!L45+$F$15*F801ENE!L45)*$L67</f>
        <v>198825.19989244587</v>
      </c>
      <c r="F67" s="156">
        <f>($D$15*F801D!M45+$F$15*F801ENE!M45)*$L67</f>
        <v>197824.36974077619</v>
      </c>
      <c r="G67" s="156">
        <f>($D$15*F801D!N45+$F$15*F801ENE!N45)*$L67</f>
        <v>198143.65565400216</v>
      </c>
      <c r="H67" s="156">
        <f>($D$15*F801D!O45+$F$15*F801ENE!O45)*$L67</f>
        <v>192234.75063681343</v>
      </c>
      <c r="I67" s="156">
        <f>($D$15*F801D!P45+$F$15*F801ENE!P45)*$L67</f>
        <v>190446.38137633196</v>
      </c>
      <c r="J67" s="156">
        <f t="shared" si="6"/>
        <v>1176216.6135174851</v>
      </c>
      <c r="K67" s="69"/>
      <c r="L67" s="319">
        <v>1</v>
      </c>
    </row>
    <row r="68" spans="2:13" s="37" customFormat="1" ht="15.75" customHeight="1">
      <c r="B68" s="48"/>
      <c r="C68" s="161" t="s">
        <v>306</v>
      </c>
      <c r="D68" s="156">
        <f>($D$15*F801D!K46+$F$15*F801ENE!K46)*$L68</f>
        <v>0</v>
      </c>
      <c r="E68" s="156">
        <f>($D$15*F801D!L46+$F$15*F801ENE!L46)*$L68</f>
        <v>0</v>
      </c>
      <c r="F68" s="156">
        <f>($D$15*F801D!M46+$F$15*F801ENE!M46)*$L68</f>
        <v>0</v>
      </c>
      <c r="G68" s="156">
        <f>($D$15*F801D!N46+$F$15*F801ENE!N46)*$L68</f>
        <v>0</v>
      </c>
      <c r="H68" s="156">
        <f>($D$15*F801D!O46+$F$15*F801ENE!O46)*$L68</f>
        <v>0</v>
      </c>
      <c r="I68" s="156">
        <f>($D$15*F801D!P46+$F$15*F801ENE!P46)*$L68</f>
        <v>0</v>
      </c>
      <c r="J68" s="156">
        <f t="shared" si="6"/>
        <v>0</v>
      </c>
      <c r="K68" s="69"/>
      <c r="L68" s="319">
        <v>1</v>
      </c>
    </row>
    <row r="69" spans="2:13" s="37" customFormat="1" ht="15.75" customHeight="1">
      <c r="B69" s="48"/>
      <c r="C69" s="160" t="s">
        <v>305</v>
      </c>
      <c r="D69" s="156">
        <f>($D$15*F801D!K47+$F$15*F801ENE!K47)*$L69</f>
        <v>0</v>
      </c>
      <c r="E69" s="156">
        <f>($D$15*F801D!L47+$F$15*F801ENE!L47)*$L69</f>
        <v>0</v>
      </c>
      <c r="F69" s="156">
        <f>($D$15*F801D!M47+$F$15*F801ENE!M47)*$L69</f>
        <v>0</v>
      </c>
      <c r="G69" s="156">
        <f>($D$15*F801D!N47+$F$15*F801ENE!N47)*$L69</f>
        <v>0</v>
      </c>
      <c r="H69" s="156">
        <f>($D$15*F801D!O47+$F$15*F801ENE!O47)*$L69</f>
        <v>0</v>
      </c>
      <c r="I69" s="156">
        <f>($D$15*F801D!P47+$F$15*F801ENE!P47)*$L69</f>
        <v>0</v>
      </c>
      <c r="J69" s="156">
        <f t="shared" si="6"/>
        <v>0</v>
      </c>
      <c r="K69" s="69"/>
      <c r="L69" s="319">
        <v>0.95</v>
      </c>
    </row>
    <row r="70" spans="2:13" s="37" customFormat="1" ht="15.75" customHeight="1">
      <c r="B70" s="48"/>
      <c r="C70" s="160" t="s">
        <v>307</v>
      </c>
      <c r="D70" s="156">
        <f>($D$15*F801D!K48+$F$15*F801ENE!K48)*$L70</f>
        <v>0</v>
      </c>
      <c r="E70" s="156">
        <f>($D$15*F801D!L48+$F$15*F801ENE!L48)*$L70</f>
        <v>0</v>
      </c>
      <c r="F70" s="156">
        <f>($D$15*F801D!M48+$F$15*F801ENE!M48)*$L70</f>
        <v>0</v>
      </c>
      <c r="G70" s="156">
        <f>($D$15*F801D!N48+$F$15*F801ENE!N48)*$L70</f>
        <v>0</v>
      </c>
      <c r="H70" s="156">
        <f>($D$15*F801D!O48+$F$15*F801ENE!O48)*$L70</f>
        <v>0</v>
      </c>
      <c r="I70" s="156">
        <f>($D$15*F801D!P48+$F$15*F801ENE!P48)*$L70</f>
        <v>0</v>
      </c>
      <c r="J70" s="156">
        <f t="shared" si="6"/>
        <v>0</v>
      </c>
      <c r="K70" s="69"/>
      <c r="L70" s="319">
        <v>0.5</v>
      </c>
    </row>
    <row r="71" spans="2:13" s="37" customFormat="1" ht="15.75">
      <c r="B71" s="48"/>
      <c r="C71" s="157"/>
      <c r="D71" s="156"/>
      <c r="E71" s="156"/>
      <c r="F71" s="156"/>
      <c r="G71" s="156"/>
      <c r="H71" s="156"/>
      <c r="I71" s="156"/>
      <c r="J71" s="156"/>
      <c r="K71" s="69"/>
      <c r="L71" s="319"/>
    </row>
    <row r="72" spans="2:13" s="37" customFormat="1" ht="15.75">
      <c r="B72" s="48" t="s">
        <v>1176</v>
      </c>
      <c r="C72" s="158" t="str">
        <f>F801ENE!$C$50</f>
        <v>BTSH</v>
      </c>
      <c r="D72" s="159">
        <f>SUM(D73:D78)</f>
        <v>4.6961258674016326</v>
      </c>
      <c r="E72" s="159">
        <f t="shared" ref="E72:J72" si="12">SUM(E73:E78)</f>
        <v>4.6961258674016326</v>
      </c>
      <c r="F72" s="159">
        <f t="shared" si="12"/>
        <v>4.6961258674016326</v>
      </c>
      <c r="G72" s="159">
        <f t="shared" si="12"/>
        <v>4.6961258674016326</v>
      </c>
      <c r="H72" s="159">
        <f t="shared" si="12"/>
        <v>4.6961258674016326</v>
      </c>
      <c r="I72" s="159">
        <f t="shared" si="12"/>
        <v>4.6961258674016326</v>
      </c>
      <c r="J72" s="159">
        <f t="shared" si="12"/>
        <v>28.176755204409798</v>
      </c>
      <c r="K72" s="69"/>
      <c r="L72" s="319"/>
    </row>
    <row r="73" spans="2:13" s="37" customFormat="1" ht="15.75">
      <c r="B73" s="48"/>
      <c r="C73" s="160" t="str">
        <f>F801ENE!$C$51</f>
        <v xml:space="preserve">    - Regulares</v>
      </c>
      <c r="D73" s="156">
        <f>($G$16*F801ENE!K51)*$L73</f>
        <v>4.6961258674016326</v>
      </c>
      <c r="E73" s="156">
        <f>($G$16*F801ENE!L51)*$L73</f>
        <v>4.6961258674016326</v>
      </c>
      <c r="F73" s="156">
        <f>($G$16*F801ENE!M51)*$L73</f>
        <v>4.6961258674016326</v>
      </c>
      <c r="G73" s="156">
        <f>($G$16*F801ENE!N51)*$L73</f>
        <v>4.6961258674016326</v>
      </c>
      <c r="H73" s="156">
        <f>($G$16*F801ENE!O51)*$L73</f>
        <v>4.6961258674016326</v>
      </c>
      <c r="I73" s="156">
        <f>($G$16*F801ENE!P51)*$L73</f>
        <v>4.6961258674016326</v>
      </c>
      <c r="J73" s="156">
        <f t="shared" ref="J73:J90" si="13">SUM(D73:I73)</f>
        <v>28.176755204409798</v>
      </c>
      <c r="K73" s="69"/>
      <c r="L73" s="319">
        <v>1</v>
      </c>
      <c r="M73" s="69"/>
    </row>
    <row r="74" spans="2:13" s="37" customFormat="1" ht="15.75">
      <c r="B74" s="48"/>
      <c r="C74" s="162" t="str">
        <f>F801ENE!$C$52</f>
        <v xml:space="preserve">    - Jubilados (0 a 600 KWh)</v>
      </c>
      <c r="D74" s="156">
        <f>($G$16*F801ENE!K52)*$L74</f>
        <v>0</v>
      </c>
      <c r="E74" s="156">
        <f>($G$16*F801ENE!L52)*$L74</f>
        <v>0</v>
      </c>
      <c r="F74" s="156">
        <f>($G$16*F801ENE!M52)*$L74</f>
        <v>0</v>
      </c>
      <c r="G74" s="156">
        <f>($G$16*F801ENE!N52)*$L74</f>
        <v>0</v>
      </c>
      <c r="H74" s="156">
        <f>($G$16*F801ENE!O52)*$L74</f>
        <v>0</v>
      </c>
      <c r="I74" s="156">
        <f>($G$16*F801ENE!P52)*$L74</f>
        <v>0</v>
      </c>
      <c r="J74" s="156">
        <f t="shared" si="13"/>
        <v>0</v>
      </c>
      <c r="K74" s="69"/>
      <c r="L74" s="319">
        <v>0.75</v>
      </c>
      <c r="M74" s="69"/>
    </row>
    <row r="75" spans="2:13" s="37" customFormat="1" ht="15.75">
      <c r="B75" s="48"/>
      <c r="C75" s="162" t="str">
        <f>F801ENE!$C$53</f>
        <v xml:space="preserve">    - Jubilados (601 y Más KWh)</v>
      </c>
      <c r="D75" s="156">
        <f>($G$16*F801ENE!K53)*$L75</f>
        <v>0</v>
      </c>
      <c r="E75" s="156">
        <f>($G$16*F801ENE!L53)*$L75</f>
        <v>0</v>
      </c>
      <c r="F75" s="156">
        <f>($G$16*F801ENE!M53)*$L75</f>
        <v>0</v>
      </c>
      <c r="G75" s="156">
        <f>($G$16*F801ENE!N53)*$L75</f>
        <v>0</v>
      </c>
      <c r="H75" s="156">
        <f>($G$16*F801ENE!O53)*$L75</f>
        <v>0</v>
      </c>
      <c r="I75" s="156">
        <f>($G$16*F801ENE!P53)*$L75</f>
        <v>0</v>
      </c>
      <c r="J75" s="156">
        <f t="shared" si="13"/>
        <v>0</v>
      </c>
      <c r="K75" s="69"/>
      <c r="L75" s="319">
        <v>1</v>
      </c>
      <c r="M75" s="69"/>
    </row>
    <row r="76" spans="2:13" s="37" customFormat="1" ht="15.75">
      <c r="B76" s="48"/>
      <c r="C76" s="160" t="str">
        <f>F801ENE!$C$54</f>
        <v xml:space="preserve">    - Agropecuarios</v>
      </c>
      <c r="D76" s="156">
        <f>($G$16*F801ENE!K54)*$L76</f>
        <v>0</v>
      </c>
      <c r="E76" s="156">
        <f>($G$16*F801ENE!L54)*$L76</f>
        <v>0</v>
      </c>
      <c r="F76" s="156">
        <f>($G$16*F801ENE!M54)*$L76</f>
        <v>0</v>
      </c>
      <c r="G76" s="156">
        <f>($G$16*F801ENE!N54)*$L76</f>
        <v>0</v>
      </c>
      <c r="H76" s="156">
        <f>($G$16*F801ENE!O54)*$L76</f>
        <v>0</v>
      </c>
      <c r="I76" s="156">
        <f>($G$16*F801ENE!P54)*$L76</f>
        <v>0</v>
      </c>
      <c r="J76" s="156">
        <f t="shared" si="13"/>
        <v>0</v>
      </c>
      <c r="K76" s="69"/>
      <c r="L76" s="319">
        <v>0.95</v>
      </c>
      <c r="M76" s="69"/>
    </row>
    <row r="77" spans="2:13" s="37" customFormat="1" ht="15.75">
      <c r="B77" s="48"/>
      <c r="C77" s="160" t="str">
        <f>F801ENE!$C$55</f>
        <v xml:space="preserve">    - Partidos Políticos</v>
      </c>
      <c r="D77" s="156">
        <f>($G$16*F801ENE!K55)*$L77</f>
        <v>0</v>
      </c>
      <c r="E77" s="156">
        <f>($G$16*F801ENE!L55)*$L77</f>
        <v>0</v>
      </c>
      <c r="F77" s="156">
        <f>($G$16*F801ENE!M55)*$L77</f>
        <v>0</v>
      </c>
      <c r="G77" s="156">
        <f>($G$16*F801ENE!N55)*$L77</f>
        <v>0</v>
      </c>
      <c r="H77" s="156">
        <f>($G$16*F801ENE!O55)*$L77</f>
        <v>0</v>
      </c>
      <c r="I77" s="156">
        <f>($G$16*F801ENE!P55)*$L77</f>
        <v>0</v>
      </c>
      <c r="J77" s="156">
        <f t="shared" si="13"/>
        <v>0</v>
      </c>
      <c r="K77" s="69"/>
      <c r="L77" s="319">
        <v>0.5</v>
      </c>
      <c r="M77" s="69"/>
    </row>
    <row r="78" spans="2:13" s="37" customFormat="1" ht="15.75">
      <c r="B78" s="48"/>
      <c r="C78" s="160" t="str">
        <f>F801ENE!$C$56</f>
        <v xml:space="preserve">    - Cruz Roja</v>
      </c>
      <c r="D78" s="156">
        <f>($G$16*F801ENE!K56)*$L78</f>
        <v>0</v>
      </c>
      <c r="E78" s="156">
        <f>($G$16*F801ENE!L56)*$L78</f>
        <v>0</v>
      </c>
      <c r="F78" s="156">
        <f>($G$16*F801ENE!M56)*$L78</f>
        <v>0</v>
      </c>
      <c r="G78" s="156">
        <f>($G$16*F801ENE!N56)*$L78</f>
        <v>0</v>
      </c>
      <c r="H78" s="156">
        <f>($G$16*F801ENE!O56)*$L78</f>
        <v>0</v>
      </c>
      <c r="I78" s="156">
        <f>($G$16*F801ENE!P56)*$L78</f>
        <v>0</v>
      </c>
      <c r="J78" s="156">
        <f t="shared" si="13"/>
        <v>0</v>
      </c>
      <c r="K78" s="69"/>
      <c r="L78" s="319">
        <v>0</v>
      </c>
      <c r="M78" s="69"/>
    </row>
    <row r="79" spans="2:13" s="37" customFormat="1" ht="15.75">
      <c r="B79" s="48" t="s">
        <v>751</v>
      </c>
      <c r="C79" s="158" t="s">
        <v>634</v>
      </c>
      <c r="D79" s="159">
        <f t="shared" ref="D79" si="14">SUM(D80:D84)</f>
        <v>278707.60051419097</v>
      </c>
      <c r="E79" s="159">
        <f t="shared" ref="E79:I79" si="15">SUM(E80:E84)</f>
        <v>278823.91861133697</v>
      </c>
      <c r="F79" s="159">
        <f t="shared" si="15"/>
        <v>273557.62049805734</v>
      </c>
      <c r="G79" s="159">
        <f t="shared" si="15"/>
        <v>277868.13833489356</v>
      </c>
      <c r="H79" s="159">
        <f t="shared" si="15"/>
        <v>265828.02512653562</v>
      </c>
      <c r="I79" s="159">
        <f t="shared" si="15"/>
        <v>267073.67698962422</v>
      </c>
      <c r="J79" s="159">
        <f t="shared" si="13"/>
        <v>1641858.9800746387</v>
      </c>
      <c r="K79" s="69"/>
      <c r="L79" s="319"/>
      <c r="M79" s="69"/>
    </row>
    <row r="80" spans="2:13" s="37" customFormat="1" ht="15.75">
      <c r="B80" s="48"/>
      <c r="C80" s="160" t="s">
        <v>304</v>
      </c>
      <c r="D80" s="156">
        <f>(($E$18+$F$18)*F801ENE!K66)*$L80</f>
        <v>196962.66409882306</v>
      </c>
      <c r="E80" s="156">
        <f>(($E$18+$F$18)*F801ENE!L66)*$L80</f>
        <v>197044.8665247726</v>
      </c>
      <c r="F80" s="156">
        <f>(($E$18+$F$18)*F801ENE!M66)*$L80</f>
        <v>193323.15432944955</v>
      </c>
      <c r="G80" s="156">
        <f>(($E$18+$F$18)*F801ENE!N66)*$L80</f>
        <v>196369.41309726555</v>
      </c>
      <c r="H80" s="156">
        <f>(($E$18+$F$18)*F801ENE!O66)*$L80</f>
        <v>187860.62092546996</v>
      </c>
      <c r="I80" s="156">
        <f>(($E$18+$F$18)*F801ENE!P66)*$L80</f>
        <v>188740.927666612</v>
      </c>
      <c r="J80" s="156">
        <f t="shared" si="13"/>
        <v>1160301.6466423927</v>
      </c>
      <c r="K80" s="69"/>
      <c r="L80" s="319">
        <v>1</v>
      </c>
      <c r="M80" s="329"/>
    </row>
    <row r="81" spans="2:13" s="37" customFormat="1" ht="15.75">
      <c r="B81" s="48"/>
      <c r="C81" s="162" t="s">
        <v>644</v>
      </c>
      <c r="D81" s="156">
        <f>(($E$18+$F$18)*F801ENE!K67)*$L81</f>
        <v>81727.530221000532</v>
      </c>
      <c r="E81" s="156">
        <f>(($E$18+$F$18)*F801ENE!L67)*$L81</f>
        <v>81761.638627844863</v>
      </c>
      <c r="F81" s="156">
        <f>(($E$18+$F$18)*F801ENE!M67)*$L81</f>
        <v>80217.381603198126</v>
      </c>
      <c r="G81" s="156">
        <f>(($E$18+$F$18)*F801ENE!N67)*$L81</f>
        <v>81481.371469744816</v>
      </c>
      <c r="H81" s="156">
        <f>(($E$18+$F$18)*F801ENE!O67)*$L81</f>
        <v>77950.802367957018</v>
      </c>
      <c r="I81" s="156">
        <f>(($E$18+$F$18)*F801ENE!P67)*$L81</f>
        <v>78316.069695871498</v>
      </c>
      <c r="J81" s="156">
        <f t="shared" si="13"/>
        <v>481454.79398561688</v>
      </c>
      <c r="K81" s="69"/>
      <c r="L81" s="319">
        <v>0.75</v>
      </c>
      <c r="M81" s="329"/>
    </row>
    <row r="82" spans="2:13" s="37" customFormat="1" ht="15.75">
      <c r="B82" s="48"/>
      <c r="C82" s="160" t="s">
        <v>305</v>
      </c>
      <c r="D82" s="156">
        <f>(($E$18+$F$18)*F801ENE!K68)*$L82</f>
        <v>16.797416816769736</v>
      </c>
      <c r="E82" s="156">
        <f>(($E$18+$F$18)*F801ENE!L68)*$L82</f>
        <v>16.804427099904082</v>
      </c>
      <c r="F82" s="156">
        <f>(($E$18+$F$18)*F801ENE!M68)*$L82</f>
        <v>16.487036756098604</v>
      </c>
      <c r="G82" s="156">
        <f>(($E$18+$F$18)*F801ENE!N68)*$L82</f>
        <v>16.746823936540064</v>
      </c>
      <c r="H82" s="156">
        <f>(($E$18+$F$18)*F801ENE!O68)*$L82</f>
        <v>16.021187903702998</v>
      </c>
      <c r="I82" s="156">
        <f>(($E$18+$F$18)*F801ENE!P68)*$L82</f>
        <v>16.09626110779881</v>
      </c>
      <c r="J82" s="156">
        <f t="shared" si="13"/>
        <v>98.953153620814291</v>
      </c>
      <c r="K82" s="69"/>
      <c r="L82" s="319">
        <v>0.95</v>
      </c>
      <c r="M82" s="329"/>
    </row>
    <row r="83" spans="2:13" s="37" customFormat="1" ht="15.75">
      <c r="B83" s="48"/>
      <c r="C83" s="160" t="s">
        <v>307</v>
      </c>
      <c r="D83" s="156">
        <f>(($E$18+$F$18)*F801ENE!K69)*$L83</f>
        <v>0.60877755063336569</v>
      </c>
      <c r="E83" s="156">
        <f>(($E$18+$F$18)*F801ENE!L69)*$L83</f>
        <v>0.60903161963947106</v>
      </c>
      <c r="F83" s="156">
        <f>(($E$18+$F$18)*F801ENE!M69)*$L83</f>
        <v>0.59752865354627516</v>
      </c>
      <c r="G83" s="156">
        <f>(($E$18+$F$18)*F801ENE!N69)*$L83</f>
        <v>0.60694394669046914</v>
      </c>
      <c r="H83" s="156">
        <f>(($E$18+$F$18)*F801ENE!O69)*$L83</f>
        <v>0.5806452049529397</v>
      </c>
      <c r="I83" s="156">
        <f>(($E$18+$F$18)*F801ENE!P69)*$L83</f>
        <v>0.58336603291155864</v>
      </c>
      <c r="J83" s="156">
        <f t="shared" si="13"/>
        <v>3.5862930083740792</v>
      </c>
      <c r="K83" s="69"/>
      <c r="L83" s="319">
        <v>0.5</v>
      </c>
      <c r="M83" s="329"/>
    </row>
    <row r="84" spans="2:13" s="37" customFormat="1" ht="15.75">
      <c r="B84" s="48"/>
      <c r="C84" s="160" t="s">
        <v>624</v>
      </c>
      <c r="D84" s="156">
        <f>(($E$18+$F$18)*F801ENE!K70)*$L84</f>
        <v>0</v>
      </c>
      <c r="E84" s="156">
        <f>(($E$18+$F$18)*F801ENE!L70)*$L84</f>
        <v>0</v>
      </c>
      <c r="F84" s="156">
        <f>(($E$18+$F$18)*F801ENE!M70)*$L84</f>
        <v>0</v>
      </c>
      <c r="G84" s="156">
        <f>(($E$18+$F$18)*F801ENE!N70)*$L84</f>
        <v>0</v>
      </c>
      <c r="H84" s="156">
        <f>(($E$18+$F$18)*F801ENE!O70)*$L84</f>
        <v>0</v>
      </c>
      <c r="I84" s="156">
        <f>(($E$18+$F$18)*F801ENE!P70)*$L84</f>
        <v>0</v>
      </c>
      <c r="J84" s="156">
        <f t="shared" si="13"/>
        <v>0</v>
      </c>
      <c r="K84" s="69"/>
      <c r="L84" s="319">
        <v>0</v>
      </c>
      <c r="M84" s="329"/>
    </row>
    <row r="85" spans="2:13" s="37" customFormat="1" ht="15.75">
      <c r="B85" s="48" t="s">
        <v>750</v>
      </c>
      <c r="C85" s="158" t="s">
        <v>635</v>
      </c>
      <c r="D85" s="159">
        <f t="shared" ref="D85" si="16">SUM(D86:D91)</f>
        <v>188726.49349493798</v>
      </c>
      <c r="E85" s="159">
        <f t="shared" ref="E85:I85" si="17">SUM(E86:E91)</f>
        <v>188805.25716251764</v>
      </c>
      <c r="F85" s="159">
        <f t="shared" si="17"/>
        <v>185239.23464197389</v>
      </c>
      <c r="G85" s="159">
        <f t="shared" si="17"/>
        <v>188158.05984911558</v>
      </c>
      <c r="H85" s="159">
        <f t="shared" si="17"/>
        <v>180005.21435359895</v>
      </c>
      <c r="I85" s="159">
        <f t="shared" si="17"/>
        <v>180848.69539112886</v>
      </c>
      <c r="J85" s="159">
        <f t="shared" si="13"/>
        <v>1111782.9548932728</v>
      </c>
      <c r="K85" s="69"/>
      <c r="L85" s="319"/>
      <c r="M85" s="69"/>
    </row>
    <row r="86" spans="2:13" s="37" customFormat="1" ht="15.75">
      <c r="B86" s="48"/>
      <c r="C86" s="160" t="s">
        <v>304</v>
      </c>
      <c r="D86" s="156">
        <f>(($E$19+$F$19)*F801ENE!K72)*$L86</f>
        <v>135792.02846701184</v>
      </c>
      <c r="E86" s="156">
        <f>(($E$19+$F$19)*F801ENE!L72)*$L86</f>
        <v>135848.7003099104</v>
      </c>
      <c r="F86" s="156">
        <f>(($E$19+$F$19)*F801ENE!M72)*$L86</f>
        <v>133282.88444242772</v>
      </c>
      <c r="G86" s="156">
        <f>(($E$19+$F$19)*F801ENE!N72)*$L86</f>
        <v>135383.03047003908</v>
      </c>
      <c r="H86" s="156">
        <f>(($E$19+$F$19)*F801ENE!O72)*$L86</f>
        <v>129516.91487009</v>
      </c>
      <c r="I86" s="156">
        <f>(($E$19+$F$19)*F801ENE!P72)*$L86</f>
        <v>130123.81429866821</v>
      </c>
      <c r="J86" s="330">
        <f t="shared" si="13"/>
        <v>799947.37285814714</v>
      </c>
      <c r="K86" s="69"/>
      <c r="L86" s="319">
        <v>1</v>
      </c>
      <c r="M86" s="329"/>
    </row>
    <row r="87" spans="2:13" s="37" customFormat="1" ht="15.75">
      <c r="B87" s="48"/>
      <c r="C87" s="162" t="s">
        <v>642</v>
      </c>
      <c r="D87" s="156">
        <f>(($E$19+$F$19)*F801ENE!K73)*$L87</f>
        <v>42733.763305767359</v>
      </c>
      <c r="E87" s="156">
        <f>(($E$19+$F$19)*F801ENE!L73)*$L87</f>
        <v>42751.597939713603</v>
      </c>
      <c r="F87" s="156">
        <f>(($E$19+$F$19)*F801ENE!M73)*$L87</f>
        <v>41944.135460472244</v>
      </c>
      <c r="G87" s="156">
        <f>(($E$19+$F$19)*F801ENE!N73)*$L87</f>
        <v>42605.051600135732</v>
      </c>
      <c r="H87" s="156">
        <f>(($E$19+$F$19)*F801ENE!O73)*$L87</f>
        <v>40758.984504721571</v>
      </c>
      <c r="I87" s="156">
        <f>(($E$19+$F$19)*F801ENE!P73)*$L87</f>
        <v>40949.975808291107</v>
      </c>
      <c r="J87" s="330">
        <f t="shared" si="13"/>
        <v>251743.50861910163</v>
      </c>
      <c r="K87" s="69"/>
      <c r="L87" s="319">
        <v>0.75</v>
      </c>
      <c r="M87" s="329"/>
    </row>
    <row r="88" spans="2:13" s="37" customFormat="1" ht="15.75">
      <c r="B88" s="48"/>
      <c r="C88" s="162" t="s">
        <v>1177</v>
      </c>
      <c r="D88" s="156">
        <f>(($E$19+$F$19)*F801ENE!K74)*$L88</f>
        <v>10169.391038590878</v>
      </c>
      <c r="E88" s="156">
        <f>(($E$19+$F$19)*F801ENE!L74)*$L88</f>
        <v>10173.635162033315</v>
      </c>
      <c r="F88" s="156">
        <f>(($E$19+$F$19)*F801ENE!M74)*$L88</f>
        <v>9981.4826094569962</v>
      </c>
      <c r="G88" s="156">
        <f>(($E$19+$F$19)*F801ENE!N74)*$L88</f>
        <v>10138.761401401041</v>
      </c>
      <c r="H88" s="156">
        <f>(($E$19+$F$19)*F801ENE!O74)*$L88</f>
        <v>9699.4511997130794</v>
      </c>
      <c r="I88" s="156">
        <f>(($E$19+$F$19)*F801ENE!P74)*$L88</f>
        <v>9744.9015673081758</v>
      </c>
      <c r="J88" s="330">
        <f t="shared" si="13"/>
        <v>59907.622978503481</v>
      </c>
      <c r="K88" s="69"/>
      <c r="L88" s="319">
        <v>1</v>
      </c>
      <c r="M88" s="329"/>
    </row>
    <row r="89" spans="2:13" s="37" customFormat="1" ht="15.75">
      <c r="B89" s="48"/>
      <c r="C89" s="160" t="s">
        <v>305</v>
      </c>
      <c r="D89" s="156">
        <f>(($E$19+$F$19)*F801ENE!K75)*$L89</f>
        <v>29.85317654116395</v>
      </c>
      <c r="E89" s="156">
        <f>(($E$19+$F$19)*F801ENE!L75)*$L89</f>
        <v>29.865635553302301</v>
      </c>
      <c r="F89" s="156">
        <f>(($E$19+$F$19)*F801ENE!M75)*$L89</f>
        <v>29.301554178800362</v>
      </c>
      <c r="G89" s="156">
        <f>(($E$19+$F$19)*F801ENE!N75)*$L89</f>
        <v>29.763260442653223</v>
      </c>
      <c r="H89" s="156">
        <f>(($E$19+$F$19)*F801ENE!O75)*$L89</f>
        <v>28.47362520711582</v>
      </c>
      <c r="I89" s="156">
        <f>(($E$19+$F$19)*F801ENE!P75)*$L89</f>
        <v>28.607048913857774</v>
      </c>
      <c r="J89" s="156">
        <f t="shared" si="13"/>
        <v>175.86430083689342</v>
      </c>
      <c r="K89" s="69"/>
      <c r="L89" s="319">
        <v>0.95</v>
      </c>
      <c r="M89" s="329"/>
    </row>
    <row r="90" spans="2:13" s="37" customFormat="1" ht="15.75">
      <c r="B90" s="48"/>
      <c r="C90" s="160" t="s">
        <v>307</v>
      </c>
      <c r="D90" s="156">
        <f>(($E$19+$F$19)*F801ENE!K76)*$L90</f>
        <v>1.4575070267476826</v>
      </c>
      <c r="E90" s="156">
        <f>(($E$19+$F$19)*F801ENE!L76)*$L90</f>
        <v>1.4581153069992985</v>
      </c>
      <c r="F90" s="156">
        <f>(($E$19+$F$19)*F801ENE!M76)*$L90</f>
        <v>1.4305754381394327</v>
      </c>
      <c r="G90" s="156">
        <f>(($E$19+$F$19)*F801ENE!N76)*$L90</f>
        <v>1.4531170970791796</v>
      </c>
      <c r="H90" s="156">
        <f>(($E$19+$F$19)*F801ENE!O76)*$L90</f>
        <v>1.3901538671815052</v>
      </c>
      <c r="I90" s="156">
        <f>(($E$19+$F$19)*F801ENE!P76)*$L90</f>
        <v>1.3966679475120514</v>
      </c>
      <c r="J90" s="156">
        <f t="shared" si="13"/>
        <v>8.5861366836591504</v>
      </c>
      <c r="K90" s="69"/>
      <c r="L90" s="319">
        <v>0.5</v>
      </c>
      <c r="M90" s="329"/>
    </row>
    <row r="91" spans="2:13" s="37" customFormat="1" ht="15.75">
      <c r="B91" s="48"/>
      <c r="C91" s="160" t="s">
        <v>624</v>
      </c>
      <c r="D91" s="156">
        <f>(($E$19+$F$19)*F801ENE!K77)*$L91</f>
        <v>0</v>
      </c>
      <c r="E91" s="156">
        <f>(($E$19+$F$19)*F801ENE!L77)*$L91</f>
        <v>0</v>
      </c>
      <c r="F91" s="156">
        <f>(($E$19+$F$19)*F801ENE!M77)*$L91</f>
        <v>0</v>
      </c>
      <c r="G91" s="156">
        <f>(($E$19+$F$19)*F801ENE!N77)*$L91</f>
        <v>0</v>
      </c>
      <c r="H91" s="156">
        <f>(($E$19+$F$19)*F801ENE!O77)*$L91</f>
        <v>0</v>
      </c>
      <c r="I91" s="156">
        <f>(($E$19+$F$19)*F801ENE!P77)*$L91</f>
        <v>0</v>
      </c>
      <c r="J91" s="156"/>
      <c r="K91" s="69"/>
      <c r="L91" s="319">
        <v>0</v>
      </c>
      <c r="M91" s="329"/>
    </row>
    <row r="92" spans="2:13" s="37" customFormat="1" ht="15.75">
      <c r="B92" s="48" t="s">
        <v>749</v>
      </c>
      <c r="C92" s="158" t="s">
        <v>636</v>
      </c>
      <c r="D92" s="159">
        <f t="shared" ref="D92" si="18">SUM(D93:D98)</f>
        <v>214703.94627004169</v>
      </c>
      <c r="E92" s="159">
        <f t="shared" ref="E92:I92" si="19">SUM(E93:E98)</f>
        <v>214793.55144385097</v>
      </c>
      <c r="F92" s="159">
        <f t="shared" si="19"/>
        <v>210736.68007687939</v>
      </c>
      <c r="G92" s="159">
        <f t="shared" si="19"/>
        <v>214057.26998898198</v>
      </c>
      <c r="H92" s="159">
        <f t="shared" si="19"/>
        <v>204782.217669609</v>
      </c>
      <c r="I92" s="159">
        <f t="shared" si="19"/>
        <v>205741.80052418308</v>
      </c>
      <c r="J92" s="159">
        <f t="shared" ref="J92:J97" si="20">SUM(D92:I92)</f>
        <v>1264815.4659735463</v>
      </c>
      <c r="K92" s="69"/>
      <c r="L92" s="319"/>
      <c r="M92" s="69"/>
    </row>
    <row r="93" spans="2:13" s="37" customFormat="1" ht="15.75">
      <c r="B93" s="48"/>
      <c r="C93" s="160" t="s">
        <v>304</v>
      </c>
      <c r="D93" s="156">
        <f>(($E$20+$F$20)*F801ENE!K79)*$L93</f>
        <v>195483.89629897906</v>
      </c>
      <c r="E93" s="156">
        <f>(($E$20+$F$20)*F801ENE!L79)*$L93</f>
        <v>195565.48012083746</v>
      </c>
      <c r="F93" s="156">
        <f>(($E$20+$F$20)*F801ENE!M79)*$L93</f>
        <v>191871.77520587554</v>
      </c>
      <c r="G93" s="156">
        <f>(($E$20+$F$20)*F801ENE!N79)*$L93</f>
        <v>194895.10973374898</v>
      </c>
      <c r="H93" s="156">
        <f>(($E$20+$F$20)*F801ENE!O79)*$L93</f>
        <v>186450.34941487026</v>
      </c>
      <c r="I93" s="156">
        <f>(($E$20+$F$20)*F801ENE!P79)*$L93</f>
        <v>187324.03151756394</v>
      </c>
      <c r="J93" s="330">
        <f t="shared" si="20"/>
        <v>1151590.6422918751</v>
      </c>
      <c r="K93" s="69"/>
      <c r="L93" s="319">
        <v>1</v>
      </c>
      <c r="M93" s="329"/>
    </row>
    <row r="94" spans="2:13" s="37" customFormat="1" ht="15.75">
      <c r="B94" s="48"/>
      <c r="C94" s="162" t="s">
        <v>642</v>
      </c>
      <c r="D94" s="156">
        <f>(($E$20+$F$20)*F801ENE!K80)*$L94</f>
        <v>0</v>
      </c>
      <c r="E94" s="156">
        <f>(($E$20+$F$20)*F801ENE!L80)*$L94</f>
        <v>0</v>
      </c>
      <c r="F94" s="156">
        <f>(($E$20+$F$20)*F801ENE!M80)*$L94</f>
        <v>0</v>
      </c>
      <c r="G94" s="156">
        <f>(($E$20+$F$20)*F801ENE!N80)*$L94</f>
        <v>0</v>
      </c>
      <c r="H94" s="156">
        <f>(($E$20+$F$20)*F801ENE!O80)*$L94</f>
        <v>0</v>
      </c>
      <c r="I94" s="156">
        <f>(($E$20+$F$20)*F801ENE!P80)*$L94</f>
        <v>0</v>
      </c>
      <c r="J94" s="330">
        <f t="shared" si="20"/>
        <v>0</v>
      </c>
      <c r="K94" s="69"/>
      <c r="L94" s="319">
        <v>0.75</v>
      </c>
      <c r="M94" s="329"/>
    </row>
    <row r="95" spans="2:13" s="37" customFormat="1" ht="15.75">
      <c r="B95" s="48"/>
      <c r="C95" s="162" t="s">
        <v>1177</v>
      </c>
      <c r="D95" s="156">
        <f>(($E$20+$F$20)*F801ENE!K81)*$L95</f>
        <v>19083.991705241817</v>
      </c>
      <c r="E95" s="156">
        <f>(($E$20+$F$20)*F801ENE!L81)*$L95</f>
        <v>19091.956274237553</v>
      </c>
      <c r="F95" s="156">
        <f>(($E$20+$F$20)*F801ENE!M81)*$L95</f>
        <v>18731.36066870013</v>
      </c>
      <c r="G95" s="156">
        <f>(($E$20+$F$20)*F801ENE!N81)*$L95</f>
        <v>19026.511789301207</v>
      </c>
      <c r="H95" s="156">
        <f>(($E$20+$F$20)*F801ENE!O81)*$L95</f>
        <v>18202.097405664437</v>
      </c>
      <c r="I95" s="156">
        <f>(($E$20+$F$20)*F801ENE!P81)*$L95</f>
        <v>18287.390068213597</v>
      </c>
      <c r="J95" s="330">
        <f t="shared" si="20"/>
        <v>112423.30791135874</v>
      </c>
      <c r="K95" s="69"/>
      <c r="L95" s="319">
        <v>1</v>
      </c>
      <c r="M95" s="329"/>
    </row>
    <row r="96" spans="2:13" s="37" customFormat="1" ht="15.75">
      <c r="B96" s="48"/>
      <c r="C96" s="160" t="s">
        <v>305</v>
      </c>
      <c r="D96" s="156">
        <f>(($E$20+$F$20)*F801ENE!K82)*$L96</f>
        <v>135.49239871169439</v>
      </c>
      <c r="E96" s="156">
        <f>(($E$20+$F$20)*F801ENE!L82)*$L96</f>
        <v>135.54894550623317</v>
      </c>
      <c r="F96" s="156">
        <f>(($E$20+$F$20)*F801ENE!M82)*$L96</f>
        <v>132.98879119922091</v>
      </c>
      <c r="G96" s="156">
        <f>(($E$20+$F$20)*F801ENE!N82)*$L96</f>
        <v>135.08430318279088</v>
      </c>
      <c r="H96" s="156">
        <f>(($E$20+$F$20)*F801ENE!O82)*$L96</f>
        <v>129.23113136755228</v>
      </c>
      <c r="I96" s="156">
        <f>(($E$20+$F$20)*F801ENE!P82)*$L96</f>
        <v>129.83669165178355</v>
      </c>
      <c r="J96" s="156">
        <f t="shared" si="20"/>
        <v>798.18226161927521</v>
      </c>
      <c r="K96" s="69"/>
      <c r="L96" s="319">
        <v>0.95</v>
      </c>
      <c r="M96" s="329"/>
    </row>
    <row r="97" spans="2:13" s="37" customFormat="1" ht="15.75">
      <c r="B97" s="48"/>
      <c r="C97" s="160" t="s">
        <v>307</v>
      </c>
      <c r="D97" s="156">
        <f>(($E$20+$F$20)*F801ENE!K83)*$L97</f>
        <v>0.56586710910958582</v>
      </c>
      <c r="E97" s="156">
        <f>(($E$20+$F$20)*F801ENE!L83)*$L97</f>
        <v>0.56610326974633984</v>
      </c>
      <c r="F97" s="156">
        <f>(($E$20+$F$20)*F801ENE!M83)*$L97</f>
        <v>0.55541110450047904</v>
      </c>
      <c r="G97" s="156">
        <f>(($E$20+$F$20)*F801ENE!N83)*$L97</f>
        <v>0.56416274901723462</v>
      </c>
      <c r="H97" s="156">
        <f>(($E$20+$F$20)*F801ENE!O83)*$L97</f>
        <v>0.53971770674398922</v>
      </c>
      <c r="I97" s="156">
        <f>(($E$20+$F$20)*F801ENE!P83)*$L97</f>
        <v>0.54224675376572395</v>
      </c>
      <c r="J97" s="156">
        <f t="shared" si="20"/>
        <v>3.3335086928833526</v>
      </c>
      <c r="K97" s="69"/>
      <c r="L97" s="319">
        <v>0.5</v>
      </c>
      <c r="M97" s="329"/>
    </row>
    <row r="98" spans="2:13" s="37" customFormat="1" ht="15.75">
      <c r="B98" s="48"/>
      <c r="C98" s="160" t="s">
        <v>624</v>
      </c>
      <c r="D98" s="156">
        <f>(($E$20+$F$20)*F801ENE!K84)*$L98</f>
        <v>0</v>
      </c>
      <c r="E98" s="156">
        <f>(($E$20+$F$20)*F801ENE!L84)*$L98</f>
        <v>0</v>
      </c>
      <c r="F98" s="156">
        <f>(($E$20+$F$20)*F801ENE!M84)*$L98</f>
        <v>0</v>
      </c>
      <c r="G98" s="156">
        <f>(($E$20+$F$20)*F801ENE!N84)*$L98</f>
        <v>0</v>
      </c>
      <c r="H98" s="156">
        <f>(($E$20+$F$20)*F801ENE!O84)*$L98</f>
        <v>0</v>
      </c>
      <c r="I98" s="156">
        <f>(($E$20+$F$20)*F801ENE!P84)*$L98</f>
        <v>0</v>
      </c>
      <c r="J98" s="156"/>
      <c r="K98" s="69"/>
      <c r="L98" s="319">
        <v>0</v>
      </c>
      <c r="M98" s="329"/>
    </row>
    <row r="99" spans="2:13" s="37" customFormat="1" ht="15.75">
      <c r="B99" s="48"/>
      <c r="C99" s="157"/>
      <c r="D99" s="156"/>
      <c r="E99" s="156"/>
      <c r="F99" s="156"/>
      <c r="G99" s="156"/>
      <c r="H99" s="156"/>
      <c r="I99" s="156"/>
      <c r="J99" s="156"/>
      <c r="K99" s="69"/>
      <c r="L99" s="319"/>
      <c r="M99" s="69"/>
    </row>
    <row r="100" spans="2:13" s="37" customFormat="1" ht="15.75">
      <c r="B100" s="48" t="s">
        <v>902</v>
      </c>
      <c r="C100" s="158" t="s">
        <v>898</v>
      </c>
      <c r="D100" s="159">
        <f t="shared" ref="D100" si="21">SUM(D101:D105)</f>
        <v>46563.29979531857</v>
      </c>
      <c r="E100" s="159">
        <f t="shared" ref="E100:I100" si="22">SUM(E101:E105)</f>
        <v>46582.732659240159</v>
      </c>
      <c r="F100" s="159">
        <f t="shared" si="22"/>
        <v>45702.910369184276</v>
      </c>
      <c r="G100" s="159">
        <f t="shared" si="22"/>
        <v>46423.053739907773</v>
      </c>
      <c r="H100" s="159">
        <f t="shared" si="22"/>
        <v>44411.55348913437</v>
      </c>
      <c r="I100" s="159">
        <f t="shared" si="22"/>
        <v>44619.660256206924</v>
      </c>
      <c r="J100" s="159">
        <f t="shared" ref="J100:J119" si="23">SUM(D100:I100)</f>
        <v>274303.21030899207</v>
      </c>
      <c r="K100" s="69"/>
      <c r="L100" s="319"/>
      <c r="M100" s="69"/>
    </row>
    <row r="101" spans="2:13" s="37" customFormat="1" ht="15.75">
      <c r="B101" s="48"/>
      <c r="C101" s="160" t="s">
        <v>304</v>
      </c>
      <c r="D101" s="156">
        <f>(($E$17+$F$17)*F801ENE!K87)*$L101</f>
        <v>44785.132724609495</v>
      </c>
      <c r="E101" s="156">
        <f>(($E$17+$F$17)*F801ENE!L87)*$L101</f>
        <v>44803.823483077504</v>
      </c>
      <c r="F101" s="156">
        <f>(($E$17+$F$17)*F801ENE!M87)*$L101</f>
        <v>43957.599993603413</v>
      </c>
      <c r="G101" s="156">
        <f>(($E$17+$F$17)*F801ENE!N87)*$L101</f>
        <v>44650.242408990009</v>
      </c>
      <c r="H101" s="156">
        <f>(($E$17+$F$17)*F801ENE!O87)*$L101</f>
        <v>42715.557665802429</v>
      </c>
      <c r="I101" s="156">
        <f>(($E$17+$F$17)*F801ENE!P87)*$L101</f>
        <v>42915.717216891004</v>
      </c>
      <c r="J101" s="156">
        <f t="shared" si="23"/>
        <v>263828.07349297387</v>
      </c>
      <c r="K101" s="69"/>
      <c r="L101" s="319">
        <v>1</v>
      </c>
      <c r="M101" s="329"/>
    </row>
    <row r="102" spans="2:13" s="37" customFormat="1" ht="15.75">
      <c r="B102" s="48"/>
      <c r="C102" s="162" t="s">
        <v>644</v>
      </c>
      <c r="D102" s="156">
        <f>(($E$17+$F$17)*F801ENE!K88)*$L102</f>
        <v>1778.1670707090707</v>
      </c>
      <c r="E102" s="156">
        <f>(($E$17+$F$17)*F801ENE!L88)*$L102</f>
        <v>1778.9091761626546</v>
      </c>
      <c r="F102" s="156">
        <f>(($E$17+$F$17)*F801ENE!M88)*$L102</f>
        <v>1745.3103755808602</v>
      </c>
      <c r="G102" s="156">
        <f>(($E$17+$F$17)*F801ENE!N88)*$L102</f>
        <v>1772.8113309177647</v>
      </c>
      <c r="H102" s="156">
        <f>(($E$17+$F$17)*F801ENE!O88)*$L102</f>
        <v>1695.9958233319398</v>
      </c>
      <c r="I102" s="156">
        <f>(($E$17+$F$17)*F801ENE!P88)*$L102</f>
        <v>1703.9430393159187</v>
      </c>
      <c r="J102" s="156">
        <f t="shared" si="23"/>
        <v>10475.136816018208</v>
      </c>
      <c r="K102" s="69"/>
      <c r="L102" s="319">
        <v>0.75</v>
      </c>
      <c r="M102" s="329"/>
    </row>
    <row r="103" spans="2:13" s="37" customFormat="1" ht="15.75">
      <c r="B103" s="48"/>
      <c r="C103" s="160" t="s">
        <v>305</v>
      </c>
      <c r="D103" s="156">
        <f>(($E$17+$F$17)*F801ENE!K89)*$L103</f>
        <v>0</v>
      </c>
      <c r="E103" s="156">
        <f>(($E$17+$F$17)*F801ENE!L89)*$L103</f>
        <v>0</v>
      </c>
      <c r="F103" s="156">
        <f>(($E$17+$F$17)*F801ENE!M89)*$L103</f>
        <v>0</v>
      </c>
      <c r="G103" s="156">
        <f>(($E$17+$F$17)*F801ENE!N89)*$L103</f>
        <v>0</v>
      </c>
      <c r="H103" s="156">
        <f>(($E$17+$F$17)*F801ENE!O89)*$L103</f>
        <v>0</v>
      </c>
      <c r="I103" s="156">
        <f>(($E$17+$F$17)*F801ENE!P89)*$L103</f>
        <v>0</v>
      </c>
      <c r="J103" s="156">
        <f t="shared" si="23"/>
        <v>0</v>
      </c>
      <c r="K103" s="69"/>
      <c r="L103" s="319">
        <v>0.95</v>
      </c>
      <c r="M103" s="329"/>
    </row>
    <row r="104" spans="2:13" s="37" customFormat="1" ht="15.75">
      <c r="B104" s="48"/>
      <c r="C104" s="160" t="s">
        <v>307</v>
      </c>
      <c r="D104" s="156">
        <f>(($E$17+$F$17)*F801ENE!K90)*$L104</f>
        <v>0</v>
      </c>
      <c r="E104" s="156">
        <f>(($E$17+$F$17)*F801ENE!L90)*$L104</f>
        <v>0</v>
      </c>
      <c r="F104" s="156">
        <f>(($E$17+$F$17)*F801ENE!M90)*$L104</f>
        <v>0</v>
      </c>
      <c r="G104" s="156">
        <f>(($E$17+$F$17)*F801ENE!N90)*$L104</f>
        <v>0</v>
      </c>
      <c r="H104" s="156">
        <f>(($E$17+$F$17)*F801ENE!O90)*$L104</f>
        <v>0</v>
      </c>
      <c r="I104" s="156">
        <f>(($E$17+$F$17)*F801ENE!P90)*$L104</f>
        <v>0</v>
      </c>
      <c r="J104" s="156">
        <f t="shared" si="23"/>
        <v>0</v>
      </c>
      <c r="K104" s="69"/>
      <c r="L104" s="319">
        <v>0.5</v>
      </c>
      <c r="M104" s="329"/>
    </row>
    <row r="105" spans="2:13" s="37" customFormat="1" ht="15.75">
      <c r="B105" s="48"/>
      <c r="C105" s="160" t="s">
        <v>624</v>
      </c>
      <c r="D105" s="156">
        <f>(($E$17+$F$17)*F801ENE!K91)*$L105</f>
        <v>0</v>
      </c>
      <c r="E105" s="156">
        <f>(($E$17+$F$17)*F801ENE!L91)*$L105</f>
        <v>0</v>
      </c>
      <c r="F105" s="156">
        <f>(($E$17+$F$17)*F801ENE!M91)*$L105</f>
        <v>0</v>
      </c>
      <c r="G105" s="156">
        <f>(($E$17+$F$17)*F801ENE!N91)*$L105</f>
        <v>0</v>
      </c>
      <c r="H105" s="156">
        <f>(($E$17+$F$17)*F801ENE!O91)*$L105</f>
        <v>0</v>
      </c>
      <c r="I105" s="156">
        <f>(($E$17+$F$17)*F801ENE!P91)*$L105</f>
        <v>0</v>
      </c>
      <c r="J105" s="156">
        <f t="shared" si="23"/>
        <v>0</v>
      </c>
      <c r="K105" s="69"/>
      <c r="L105" s="319">
        <v>0</v>
      </c>
      <c r="M105" s="329"/>
    </row>
    <row r="106" spans="2:13" s="37" customFormat="1" ht="15.75">
      <c r="B106" s="48" t="s">
        <v>902</v>
      </c>
      <c r="C106" s="158" t="s">
        <v>899</v>
      </c>
      <c r="D106" s="159">
        <f t="shared" ref="D106:I106" si="24">SUM(D107:D112)</f>
        <v>3685.4540046084608</v>
      </c>
      <c r="E106" s="159">
        <f t="shared" si="24"/>
        <v>3686.9921027775272</v>
      </c>
      <c r="F106" s="159">
        <f t="shared" si="24"/>
        <v>3617.3547575617954</v>
      </c>
      <c r="G106" s="159">
        <f t="shared" si="24"/>
        <v>3674.3536232176175</v>
      </c>
      <c r="H106" s="159">
        <f t="shared" si="24"/>
        <v>3515.1447250709894</v>
      </c>
      <c r="I106" s="159">
        <f t="shared" si="24"/>
        <v>3531.6162363570256</v>
      </c>
      <c r="J106" s="159">
        <f t="shared" si="23"/>
        <v>21710.915449593416</v>
      </c>
      <c r="K106" s="69"/>
      <c r="L106" s="319"/>
      <c r="M106" s="69"/>
    </row>
    <row r="107" spans="2:13" s="37" customFormat="1" ht="15.75">
      <c r="B107" s="48"/>
      <c r="C107" s="160" t="s">
        <v>304</v>
      </c>
      <c r="D107" s="156">
        <f>(($E$17+$F$17)*F801ENE!K93)*$L107</f>
        <v>3347.7600400883816</v>
      </c>
      <c r="E107" s="156">
        <f>(($E$17+$F$17)*F801ENE!L93)*$L107</f>
        <v>3349.1572040691813</v>
      </c>
      <c r="F107" s="156">
        <f>(($E$17+$F$17)*F801ENE!M93)*$L107</f>
        <v>3285.9006497017813</v>
      </c>
      <c r="G107" s="156">
        <f>(($E$17+$F$17)*F801ENE!N93)*$L107</f>
        <v>3337.6767740366176</v>
      </c>
      <c r="H107" s="156">
        <f>(($E$17+$F$17)*F801ENE!O93)*$L107</f>
        <v>3193.0560063984094</v>
      </c>
      <c r="I107" s="156">
        <f>(($E$17+$F$17)*F801ENE!P93)*$L107</f>
        <v>3208.0182518135753</v>
      </c>
      <c r="J107" s="156">
        <f t="shared" si="23"/>
        <v>19721.568926107946</v>
      </c>
      <c r="K107" s="69"/>
      <c r="L107" s="319">
        <v>1</v>
      </c>
      <c r="M107" s="329"/>
    </row>
    <row r="108" spans="2:13" s="37" customFormat="1" ht="15.75">
      <c r="B108" s="48"/>
      <c r="C108" s="162" t="s">
        <v>642</v>
      </c>
      <c r="D108" s="156">
        <f>(($E$17+$F$17)*F801ENE!K94)*$L108</f>
        <v>306.22309773608112</v>
      </c>
      <c r="E108" s="156">
        <f>(($E$17+$F$17)*F801ENE!L94)*$L108</f>
        <v>306.35089778062502</v>
      </c>
      <c r="F108" s="156">
        <f>(($E$17+$F$17)*F801ENE!M94)*$L108</f>
        <v>300.56475486759092</v>
      </c>
      <c r="G108" s="156">
        <f>(($E$17+$F$17)*F801ENE!N94)*$L108</f>
        <v>305.3007708880711</v>
      </c>
      <c r="H108" s="156">
        <f>(($E$17+$F$17)*F801ENE!O94)*$L108</f>
        <v>292.07215864202351</v>
      </c>
      <c r="I108" s="156">
        <f>(($E$17+$F$17)*F801ENE!P94)*$L108</f>
        <v>293.44077081411899</v>
      </c>
      <c r="J108" s="156">
        <f t="shared" si="23"/>
        <v>1803.9524507285105</v>
      </c>
      <c r="K108" s="69"/>
      <c r="L108" s="319">
        <v>0.75</v>
      </c>
      <c r="M108" s="329"/>
    </row>
    <row r="109" spans="2:13" s="37" customFormat="1" ht="15.75">
      <c r="B109" s="48"/>
      <c r="C109" s="162" t="s">
        <v>1177</v>
      </c>
      <c r="D109" s="156">
        <f>(($E$17+$F$17)*F801ENE!K95)*$L109</f>
        <v>31.4708667839983</v>
      </c>
      <c r="E109" s="156">
        <f>(($E$17+$F$17)*F801ENE!L95)*$L109</f>
        <v>31.484000927720857</v>
      </c>
      <c r="F109" s="156">
        <f>(($E$17+$F$17)*F801ENE!M95)*$L109</f>
        <v>30.889352992423003</v>
      </c>
      <c r="G109" s="156">
        <f>(($E$17+$F$17)*F801ENE!N95)*$L109</f>
        <v>31.376078292928813</v>
      </c>
      <c r="H109" s="156">
        <f>(($E$17+$F$17)*F801ENE!O95)*$L109</f>
        <v>30.01656003055615</v>
      </c>
      <c r="I109" s="156">
        <f>(($E$17+$F$17)*F801ENE!P95)*$L109</f>
        <v>30.157213729331332</v>
      </c>
      <c r="J109" s="156">
        <f t="shared" si="23"/>
        <v>185.39407275695845</v>
      </c>
      <c r="K109" s="69"/>
      <c r="L109" s="319">
        <v>1</v>
      </c>
      <c r="M109" s="329"/>
    </row>
    <row r="110" spans="2:13" s="37" customFormat="1" ht="15.75">
      <c r="B110" s="48"/>
      <c r="C110" s="160" t="s">
        <v>305</v>
      </c>
      <c r="D110" s="156">
        <f>(($E$17+$F$17)*F801ENE!K96)*$L110</f>
        <v>0</v>
      </c>
      <c r="E110" s="156">
        <f>(($E$17+$F$17)*F801ENE!L96)*$L110</f>
        <v>0</v>
      </c>
      <c r="F110" s="156">
        <f>(($E$17+$F$17)*F801ENE!M96)*$L110</f>
        <v>0</v>
      </c>
      <c r="G110" s="156">
        <f>(($E$17+$F$17)*F801ENE!N96)*$L110</f>
        <v>0</v>
      </c>
      <c r="H110" s="156">
        <f>(($E$17+$F$17)*F801ENE!O96)*$L110</f>
        <v>0</v>
      </c>
      <c r="I110" s="156">
        <f>(($E$17+$F$17)*F801ENE!P96)*$L110</f>
        <v>0</v>
      </c>
      <c r="J110" s="156">
        <f t="shared" si="23"/>
        <v>0</v>
      </c>
      <c r="K110" s="69"/>
      <c r="L110" s="319">
        <v>0.95</v>
      </c>
      <c r="M110" s="329"/>
    </row>
    <row r="111" spans="2:13" s="37" customFormat="1" ht="15.75">
      <c r="B111" s="48"/>
      <c r="C111" s="160" t="s">
        <v>307</v>
      </c>
      <c r="D111" s="156">
        <f>(($E$17+$F$17)*F801ENE!K97)*$L111</f>
        <v>0</v>
      </c>
      <c r="E111" s="156">
        <f>(($E$17+$F$17)*F801ENE!L97)*$L111</f>
        <v>0</v>
      </c>
      <c r="F111" s="156">
        <f>(($E$17+$F$17)*F801ENE!M97)*$L111</f>
        <v>0</v>
      </c>
      <c r="G111" s="156">
        <f>(($E$17+$F$17)*F801ENE!N97)*$L111</f>
        <v>0</v>
      </c>
      <c r="H111" s="156">
        <f>(($E$17+$F$17)*F801ENE!O97)*$L111</f>
        <v>0</v>
      </c>
      <c r="I111" s="156">
        <f>(($E$17+$F$17)*F801ENE!P97)*$L111</f>
        <v>0</v>
      </c>
      <c r="J111" s="156">
        <f t="shared" si="23"/>
        <v>0</v>
      </c>
      <c r="K111" s="69"/>
      <c r="L111" s="319">
        <v>0.5</v>
      </c>
      <c r="M111" s="329"/>
    </row>
    <row r="112" spans="2:13" s="37" customFormat="1" ht="15.75">
      <c r="B112" s="48"/>
      <c r="C112" s="160" t="s">
        <v>624</v>
      </c>
      <c r="D112" s="156">
        <f>(($E$17+$F$17)*F801ENE!K98)*$L112</f>
        <v>0</v>
      </c>
      <c r="E112" s="156">
        <f>($E$17*F801ENE!L98+$F$17*F801ENE!L98)*$L112</f>
        <v>0</v>
      </c>
      <c r="F112" s="156">
        <f>($E$17*F801ENE!M98+$F$17*F801ENE!M98)*$L112</f>
        <v>0</v>
      </c>
      <c r="G112" s="156">
        <f>($E$17*F801ENE!N98+$F$17*F801ENE!N98)*$L112</f>
        <v>0</v>
      </c>
      <c r="H112" s="156">
        <f>($E$17*F801ENE!O98+$F$17*F801ENE!O98)*$L112</f>
        <v>0</v>
      </c>
      <c r="I112" s="156">
        <f>($E$17*F801ENE!P98+$F$17*F801ENE!P98)*$L112</f>
        <v>0</v>
      </c>
      <c r="J112" s="156">
        <f t="shared" si="23"/>
        <v>0</v>
      </c>
      <c r="K112" s="69"/>
      <c r="L112" s="319">
        <v>0</v>
      </c>
      <c r="M112" s="329"/>
    </row>
    <row r="113" spans="2:13" s="37" customFormat="1" ht="15.75">
      <c r="B113" s="48" t="s">
        <v>902</v>
      </c>
      <c r="C113" s="158" t="s">
        <v>900</v>
      </c>
      <c r="D113" s="159">
        <f t="shared" ref="D113:I113" si="25">SUM(D114:D119)</f>
        <v>407.55636389112283</v>
      </c>
      <c r="E113" s="159">
        <f t="shared" si="25"/>
        <v>407.72645465777151</v>
      </c>
      <c r="F113" s="159">
        <f t="shared" si="25"/>
        <v>400.02560065941321</v>
      </c>
      <c r="G113" s="159">
        <f t="shared" si="25"/>
        <v>406.32882691147262</v>
      </c>
      <c r="H113" s="159">
        <f t="shared" si="25"/>
        <v>388.72269221365394</v>
      </c>
      <c r="I113" s="159">
        <f t="shared" si="25"/>
        <v>390.54419622350838</v>
      </c>
      <c r="J113" s="159">
        <f t="shared" si="23"/>
        <v>2400.9041345569422</v>
      </c>
      <c r="K113" s="69"/>
      <c r="L113" s="319"/>
      <c r="M113" s="69"/>
    </row>
    <row r="114" spans="2:13" s="37" customFormat="1" ht="15.75">
      <c r="B114" s="48"/>
      <c r="C114" s="160" t="s">
        <v>304</v>
      </c>
      <c r="D114" s="156">
        <f>(($E$17+$F$17)*F801ENE!K100)*$L114</f>
        <v>395.94275427186113</v>
      </c>
      <c r="E114" s="156">
        <f>(($E$17+$F$17)*F801ENE!L100)*$L114</f>
        <v>396.10799818065476</v>
      </c>
      <c r="F114" s="156">
        <f>(($E$17+$F$17)*F801ENE!M100)*$L114</f>
        <v>388.62658551604966</v>
      </c>
      <c r="G114" s="156">
        <f>(($E$17+$F$17)*F801ENE!N100)*$L114</f>
        <v>394.75019683501267</v>
      </c>
      <c r="H114" s="156">
        <f>(($E$17+$F$17)*F801ENE!O100)*$L114</f>
        <v>377.64576151769791</v>
      </c>
      <c r="I114" s="156">
        <f>(($E$17+$F$17)*F801ENE!P100)*$L114</f>
        <v>379.41536047008157</v>
      </c>
      <c r="J114" s="156">
        <f t="shared" si="23"/>
        <v>2332.4886567913577</v>
      </c>
      <c r="K114" s="69"/>
      <c r="L114" s="319">
        <v>1</v>
      </c>
      <c r="M114" s="329"/>
    </row>
    <row r="115" spans="2:13" s="37" customFormat="1" ht="15.75">
      <c r="B115" s="48"/>
      <c r="C115" s="162" t="s">
        <v>642</v>
      </c>
      <c r="D115" s="156">
        <f>(($E$17+$F$17)*F801ENE!K101)*$L115</f>
        <v>11.613609619261702</v>
      </c>
      <c r="E115" s="156">
        <f>(($E$17+$F$17)*F801ENE!L101)*$L115</f>
        <v>11.618456477116744</v>
      </c>
      <c r="F115" s="156">
        <f>(($E$17+$F$17)*F801ENE!M101)*$L115</f>
        <v>11.399015143363563</v>
      </c>
      <c r="G115" s="156">
        <f>(($E$17+$F$17)*F801ENE!N101)*$L115</f>
        <v>11.578630076459927</v>
      </c>
      <c r="H115" s="156">
        <f>(($E$17+$F$17)*F801ENE!O101)*$L115</f>
        <v>11.076930695956012</v>
      </c>
      <c r="I115" s="156">
        <f>(($E$17+$F$17)*F801ENE!P101)*$L115</f>
        <v>11.128835753426838</v>
      </c>
      <c r="J115" s="156">
        <f t="shared" si="23"/>
        <v>68.415477765584782</v>
      </c>
      <c r="K115" s="69"/>
      <c r="L115" s="319">
        <v>0.75</v>
      </c>
      <c r="M115" s="329"/>
    </row>
    <row r="116" spans="2:13" s="37" customFormat="1" ht="15.75">
      <c r="B116" s="48"/>
      <c r="C116" s="162" t="s">
        <v>1177</v>
      </c>
      <c r="D116" s="156">
        <f>(($E$17+$F$17)*F801ENE!K102)*$L116</f>
        <v>0</v>
      </c>
      <c r="E116" s="156">
        <f>(($E$17+$F$17)*F801ENE!L102)*$L116</f>
        <v>0</v>
      </c>
      <c r="F116" s="156">
        <f>(($E$17+$F$17)*F801ENE!M102)*$L116</f>
        <v>0</v>
      </c>
      <c r="G116" s="156">
        <f>(($E$17+$F$17)*F801ENE!N102)*$L116</f>
        <v>0</v>
      </c>
      <c r="H116" s="156">
        <f>(($E$17+$F$17)*F801ENE!O102)*$L116</f>
        <v>0</v>
      </c>
      <c r="I116" s="156">
        <f>(($E$17+$F$17)*F801ENE!P102)*$L116</f>
        <v>0</v>
      </c>
      <c r="J116" s="156">
        <f t="shared" si="23"/>
        <v>0</v>
      </c>
      <c r="K116" s="69"/>
      <c r="L116" s="319">
        <v>1</v>
      </c>
      <c r="M116" s="329"/>
    </row>
    <row r="117" spans="2:13" s="37" customFormat="1" ht="15.75">
      <c r="B117" s="48"/>
      <c r="C117" s="160" t="s">
        <v>305</v>
      </c>
      <c r="D117" s="156">
        <f>(($E$17+$F$17)*F801ENE!K103)*$L117</f>
        <v>0</v>
      </c>
      <c r="E117" s="156">
        <f>(($E$17+$F$17)*F801ENE!L103)*$L117</f>
        <v>0</v>
      </c>
      <c r="F117" s="156">
        <f>(($E$17+$F$17)*F801ENE!M103)*$L117</f>
        <v>0</v>
      </c>
      <c r="G117" s="156">
        <f>(($E$17+$F$17)*F801ENE!N103)*$L117</f>
        <v>0</v>
      </c>
      <c r="H117" s="156">
        <f>(($E$17+$F$17)*F801ENE!O103)*$L117</f>
        <v>0</v>
      </c>
      <c r="I117" s="156">
        <f>(($E$17+$F$17)*F801ENE!P103)*$L117</f>
        <v>0</v>
      </c>
      <c r="J117" s="156">
        <f t="shared" si="23"/>
        <v>0</v>
      </c>
      <c r="K117" s="69"/>
      <c r="L117" s="319">
        <v>0.95</v>
      </c>
      <c r="M117" s="329"/>
    </row>
    <row r="118" spans="2:13" s="37" customFormat="1" ht="15.75">
      <c r="B118" s="48"/>
      <c r="C118" s="160" t="s">
        <v>307</v>
      </c>
      <c r="D118" s="156">
        <f>(($E$17+$F$17)*F801ENE!K104)*$L118</f>
        <v>0</v>
      </c>
      <c r="E118" s="156">
        <f>(($E$17+$F$17)*F801ENE!L104)*$L118</f>
        <v>0</v>
      </c>
      <c r="F118" s="156">
        <f>(($E$17+$F$17)*F801ENE!M104)*$L118</f>
        <v>0</v>
      </c>
      <c r="G118" s="156">
        <f>(($E$17+$F$17)*F801ENE!N104)*$L118</f>
        <v>0</v>
      </c>
      <c r="H118" s="156">
        <f>(($E$17+$F$17)*F801ENE!O104)*$L118</f>
        <v>0</v>
      </c>
      <c r="I118" s="156">
        <f>(($E$17+$F$17)*F801ENE!P104)*$L118</f>
        <v>0</v>
      </c>
      <c r="J118" s="156">
        <f t="shared" si="23"/>
        <v>0</v>
      </c>
      <c r="K118" s="69"/>
      <c r="L118" s="319">
        <v>0.5</v>
      </c>
      <c r="M118" s="329"/>
    </row>
    <row r="119" spans="2:13" s="37" customFormat="1" ht="15.75">
      <c r="B119" s="48"/>
      <c r="C119" s="160" t="s">
        <v>624</v>
      </c>
      <c r="D119" s="156">
        <f>(($E$17+$F$17)*F801ENE!K105)*$L119</f>
        <v>0</v>
      </c>
      <c r="E119" s="156">
        <f>(($E$17+$F$17)*F801ENE!L105)*$L119</f>
        <v>0</v>
      </c>
      <c r="F119" s="156">
        <f>(($E$17+$F$17)*F801ENE!M105)*$L119</f>
        <v>0</v>
      </c>
      <c r="G119" s="156">
        <f>(($E$17+$F$17)*F801ENE!N105)*$L119</f>
        <v>0</v>
      </c>
      <c r="H119" s="156">
        <f>(($E$17+$F$17)*F801ENE!O105)*$L119</f>
        <v>0</v>
      </c>
      <c r="I119" s="156">
        <f>(($E$17+$F$17)*F801ENE!P105)*$L119</f>
        <v>0</v>
      </c>
      <c r="J119" s="156">
        <f t="shared" si="23"/>
        <v>0</v>
      </c>
      <c r="K119" s="69"/>
      <c r="L119" s="319">
        <v>0</v>
      </c>
      <c r="M119" s="329"/>
    </row>
    <row r="120" spans="2:13" s="37" customFormat="1" ht="15.75">
      <c r="B120" s="48"/>
      <c r="C120" s="157"/>
      <c r="D120" s="156"/>
      <c r="E120" s="156"/>
      <c r="F120" s="156"/>
      <c r="G120" s="156"/>
      <c r="H120" s="156"/>
      <c r="I120" s="156"/>
      <c r="J120" s="156"/>
      <c r="K120" s="69"/>
      <c r="L120" s="319"/>
      <c r="M120" s="69"/>
    </row>
    <row r="121" spans="2:13" s="37" customFormat="1" ht="15.75">
      <c r="B121" s="48"/>
      <c r="C121" s="153" t="s">
        <v>112</v>
      </c>
      <c r="D121" s="154">
        <f t="shared" ref="D121:I121" si="26">D44+D34+D30</f>
        <v>3768368.0958053982</v>
      </c>
      <c r="E121" s="154">
        <f t="shared" si="26"/>
        <v>3769940.7962138429</v>
      </c>
      <c r="F121" s="154">
        <f t="shared" si="26"/>
        <v>3735161.3392692036</v>
      </c>
      <c r="G121" s="154">
        <f t="shared" si="26"/>
        <v>3757017.9916973677</v>
      </c>
      <c r="H121" s="154">
        <f t="shared" si="26"/>
        <v>3629622.7143139085</v>
      </c>
      <c r="I121" s="154">
        <f t="shared" si="26"/>
        <v>3611069.474801173</v>
      </c>
      <c r="J121" s="154">
        <f>SUM(D121:I121)</f>
        <v>22271180.412100893</v>
      </c>
      <c r="K121" s="69"/>
      <c r="L121" s="319"/>
    </row>
    <row r="122" spans="2:13">
      <c r="C122" s="48"/>
      <c r="D122" s="48"/>
      <c r="E122" s="48"/>
      <c r="F122" s="48"/>
      <c r="G122" s="48"/>
      <c r="H122" s="48"/>
      <c r="I122" s="48"/>
      <c r="J122" s="48"/>
    </row>
    <row r="123" spans="2:13" s="69" customFormat="1" ht="31.5" customHeight="1">
      <c r="B123" s="48"/>
      <c r="C123" s="320" t="s">
        <v>1458</v>
      </c>
      <c r="D123" s="320"/>
      <c r="E123" s="320"/>
      <c r="F123" s="320"/>
      <c r="G123" s="320"/>
      <c r="H123" s="320"/>
      <c r="I123" s="320"/>
      <c r="J123" s="321"/>
      <c r="L123" s="319"/>
    </row>
    <row r="124" spans="2:13" s="37" customFormat="1" ht="15.75">
      <c r="B124" s="48"/>
      <c r="C124" s="150" t="s">
        <v>310</v>
      </c>
      <c r="D124" s="151">
        <f t="shared" ref="D124:I124" si="27">D$29</f>
        <v>46204</v>
      </c>
      <c r="E124" s="151">
        <f t="shared" si="27"/>
        <v>46235</v>
      </c>
      <c r="F124" s="151">
        <f t="shared" si="27"/>
        <v>46266</v>
      </c>
      <c r="G124" s="151">
        <f t="shared" si="27"/>
        <v>46296</v>
      </c>
      <c r="H124" s="151">
        <f t="shared" si="27"/>
        <v>46327</v>
      </c>
      <c r="I124" s="151">
        <f t="shared" si="27"/>
        <v>46357</v>
      </c>
      <c r="J124" s="152" t="s">
        <v>111</v>
      </c>
      <c r="K124" s="69"/>
      <c r="L124" s="319"/>
    </row>
    <row r="125" spans="2:13" s="37" customFormat="1" ht="15.75" customHeight="1">
      <c r="B125" s="48"/>
      <c r="C125" s="153" t="s">
        <v>446</v>
      </c>
      <c r="D125" s="154">
        <f t="shared" ref="D125:I125" si="28">SUM(D126:D127)</f>
        <v>192806.8051702643</v>
      </c>
      <c r="E125" s="154">
        <f t="shared" si="28"/>
        <v>192887.2717270698</v>
      </c>
      <c r="F125" s="154">
        <f t="shared" si="28"/>
        <v>189244.15095150319</v>
      </c>
      <c r="G125" s="154">
        <f t="shared" si="28"/>
        <v>192226.08185382519</v>
      </c>
      <c r="H125" s="154">
        <f t="shared" si="28"/>
        <v>183896.9698996548</v>
      </c>
      <c r="I125" s="154">
        <f t="shared" si="28"/>
        <v>184758.68719782634</v>
      </c>
      <c r="J125" s="154">
        <f>SUM(D125:I125)</f>
        <v>1135819.9668001437</v>
      </c>
      <c r="K125" s="69"/>
      <c r="L125" s="319"/>
    </row>
    <row r="126" spans="2:13" s="37" customFormat="1" ht="15.75" customHeight="1">
      <c r="B126" s="48" t="s">
        <v>279</v>
      </c>
      <c r="C126" s="155" t="s">
        <v>279</v>
      </c>
      <c r="D126" s="156">
        <f>$H$7*F801ENE!R6+$I$7*F801ENE!Y6</f>
        <v>192801.76442466743</v>
      </c>
      <c r="E126" s="156">
        <f>$H$7*F801ENE!S6+$I$7*F801ENE!Z6</f>
        <v>192882.23098147294</v>
      </c>
      <c r="F126" s="156">
        <f>$H$7*F801ENE!T6+$I$7*F801ENE!AA6</f>
        <v>189239.11020590633</v>
      </c>
      <c r="G126" s="156">
        <f>$H$7*F801ENE!U6+$I$7*F801ENE!AB6</f>
        <v>192221.04110822832</v>
      </c>
      <c r="H126" s="156">
        <f>$H$7*F801ENE!V6+$I$7*F801ENE!AC6</f>
        <v>183891.92915405793</v>
      </c>
      <c r="I126" s="156">
        <f>$H$7*F801ENE!W6+$I$7*F801ENE!AD6</f>
        <v>184753.64645222947</v>
      </c>
      <c r="J126" s="156">
        <f>SUM(D126:I126)</f>
        <v>1135789.7223265625</v>
      </c>
      <c r="K126" s="69"/>
      <c r="L126" s="319"/>
    </row>
    <row r="127" spans="2:13" s="37" customFormat="1" ht="15.75" customHeight="1">
      <c r="B127" s="48" t="s">
        <v>278</v>
      </c>
      <c r="C127" s="155" t="s">
        <v>278</v>
      </c>
      <c r="D127" s="156">
        <f>$F$8*F801ENE!R7</f>
        <v>5.0407455968760564</v>
      </c>
      <c r="E127" s="156">
        <f>$F$8*F801ENE!S7</f>
        <v>5.0407455968760564</v>
      </c>
      <c r="F127" s="156">
        <f>$F$8*F801ENE!T7</f>
        <v>5.0407455968760564</v>
      </c>
      <c r="G127" s="156">
        <f>$F$8*F801ENE!U7</f>
        <v>5.0407455968760564</v>
      </c>
      <c r="H127" s="156">
        <f>$F$8*F801ENE!V7</f>
        <v>5.0407455968760564</v>
      </c>
      <c r="I127" s="156">
        <f>$F$8*F801ENE!W7</f>
        <v>5.0407455968760564</v>
      </c>
      <c r="J127" s="156">
        <f>SUM(D127:I127)</f>
        <v>30.24447358125634</v>
      </c>
      <c r="K127" s="69"/>
      <c r="L127" s="319"/>
    </row>
    <row r="128" spans="2:13" s="37" customFormat="1" ht="15.75" customHeight="1">
      <c r="B128" s="48"/>
      <c r="C128" s="157"/>
      <c r="D128" s="156"/>
      <c r="E128" s="156"/>
      <c r="F128" s="156"/>
      <c r="G128" s="156"/>
      <c r="H128" s="156"/>
      <c r="I128" s="156"/>
      <c r="J128" s="156"/>
      <c r="K128" s="69"/>
      <c r="L128" s="319"/>
    </row>
    <row r="129" spans="2:12" s="37" customFormat="1" ht="15.75" customHeight="1">
      <c r="B129" s="48"/>
      <c r="C129" s="153" t="s">
        <v>630</v>
      </c>
      <c r="D129" s="154">
        <f>D130+D133</f>
        <v>706392.39865462622</v>
      </c>
      <c r="E129" s="154">
        <f t="shared" ref="E129:I129" si="29">E130+E133</f>
        <v>706687.20652732113</v>
      </c>
      <c r="F129" s="154">
        <f t="shared" si="29"/>
        <v>693339.78955742531</v>
      </c>
      <c r="G129" s="154">
        <f t="shared" si="29"/>
        <v>704264.78424759407</v>
      </c>
      <c r="H129" s="154">
        <f t="shared" si="29"/>
        <v>673749.15298253787</v>
      </c>
      <c r="I129" s="154">
        <f t="shared" si="29"/>
        <v>676906.25394004828</v>
      </c>
      <c r="J129" s="154">
        <f t="shared" ref="J129:J137" si="30">SUM(D129:I129)</f>
        <v>4161339.5859095524</v>
      </c>
      <c r="K129" s="69"/>
      <c r="L129" s="319"/>
    </row>
    <row r="130" spans="2:12" s="37" customFormat="1" ht="15.75" customHeight="1">
      <c r="B130" s="48" t="s">
        <v>277</v>
      </c>
      <c r="C130" s="155" t="s">
        <v>277</v>
      </c>
      <c r="D130" s="154">
        <f>SUM(D131:D132)</f>
        <v>118182.11677607836</v>
      </c>
      <c r="E130" s="154">
        <f t="shared" ref="E130:I130" si="31">SUM(E131:E132)</f>
        <v>118231.43924685192</v>
      </c>
      <c r="F130" s="154">
        <f t="shared" si="31"/>
        <v>115998.36596633597</v>
      </c>
      <c r="G130" s="154">
        <f t="shared" si="31"/>
        <v>117826.15884846581</v>
      </c>
      <c r="H130" s="154">
        <f t="shared" si="31"/>
        <v>112720.77846140154</v>
      </c>
      <c r="I130" s="154">
        <f t="shared" si="31"/>
        <v>113248.97337791674</v>
      </c>
      <c r="J130" s="154">
        <f t="shared" si="30"/>
        <v>696207.83267705038</v>
      </c>
      <c r="K130" s="69"/>
      <c r="L130" s="319"/>
    </row>
    <row r="131" spans="2:12" s="37" customFormat="1" ht="15.75" customHeight="1">
      <c r="B131" s="48"/>
      <c r="C131" s="160" t="s">
        <v>304</v>
      </c>
      <c r="D131" s="156">
        <f>$H$9*F801ENE!R11+$I$9*F801ENE!Y11</f>
        <v>103040.41198272981</v>
      </c>
      <c r="E131" s="156">
        <f>$H$9*F801ENE!S11+$I$9*F801ENE!Z11</f>
        <v>103083.41517007451</v>
      </c>
      <c r="F131" s="156">
        <f>$H$9*F801ENE!T11+$I$9*F801ENE!AA11</f>
        <v>101136.44724388684</v>
      </c>
      <c r="G131" s="156">
        <f>$H$9*F801ENE!U11+$I$9*F801ENE!AB11</f>
        <v>102730.06002331103</v>
      </c>
      <c r="H131" s="156">
        <f>$H$9*F801ENE!V11+$I$9*F801ENE!AC11</f>
        <v>98278.790129335554</v>
      </c>
      <c r="I131" s="156">
        <f>$H$9*F801ENE!W11+$I$9*F801ENE!AD11</f>
        <v>98739.311765684572</v>
      </c>
      <c r="J131" s="156">
        <f t="shared" si="30"/>
        <v>607008.43631502229</v>
      </c>
      <c r="K131" s="69"/>
      <c r="L131" s="319"/>
    </row>
    <row r="132" spans="2:12" s="37" customFormat="1" ht="15.75" customHeight="1">
      <c r="B132" s="48"/>
      <c r="C132" s="160" t="s">
        <v>305</v>
      </c>
      <c r="D132" s="156">
        <f>($H$9*F801ENE!R12+$I$9*F801ENE!Y12)*$L132</f>
        <v>15141.704793348545</v>
      </c>
      <c r="E132" s="156">
        <f>($H$9*F801ENE!S12+$I$9*F801ENE!Z12)*$L132</f>
        <v>15148.024076777416</v>
      </c>
      <c r="F132" s="156">
        <f>($H$9*F801ENE!T12+$I$9*F801ENE!AA12)*$L132</f>
        <v>14861.918722449127</v>
      </c>
      <c r="G132" s="156">
        <f>($H$9*F801ENE!U12+$I$9*F801ENE!AB12)*$L132</f>
        <v>15096.098825154786</v>
      </c>
      <c r="H132" s="156">
        <f>($H$9*F801ENE!V12+$I$9*F801ENE!AC12)*$L132</f>
        <v>14441.988332065983</v>
      </c>
      <c r="I132" s="156">
        <f>($H$9*F801ENE!W12+$I$9*F801ENE!AD12)*$L132</f>
        <v>14509.661612232174</v>
      </c>
      <c r="J132" s="156">
        <f t="shared" si="30"/>
        <v>89199.396362028026</v>
      </c>
      <c r="K132" s="69"/>
      <c r="L132" s="319">
        <v>0.95</v>
      </c>
    </row>
    <row r="133" spans="2:12" s="37" customFormat="1" ht="15.75" customHeight="1">
      <c r="B133" s="48" t="s">
        <v>276</v>
      </c>
      <c r="C133" s="158" t="s">
        <v>276</v>
      </c>
      <c r="D133" s="159">
        <f t="shared" ref="D133:I133" si="32">SUM(D134:D137)</f>
        <v>588210.28187854786</v>
      </c>
      <c r="E133" s="159">
        <f t="shared" si="32"/>
        <v>588455.76728046918</v>
      </c>
      <c r="F133" s="159">
        <f t="shared" si="32"/>
        <v>577341.42359108932</v>
      </c>
      <c r="G133" s="159">
        <f t="shared" si="32"/>
        <v>586438.6253991283</v>
      </c>
      <c r="H133" s="159">
        <f t="shared" si="32"/>
        <v>561028.37452113628</v>
      </c>
      <c r="I133" s="159">
        <f t="shared" si="32"/>
        <v>563657.28056213155</v>
      </c>
      <c r="J133" s="159">
        <f t="shared" si="30"/>
        <v>3465131.7532325024</v>
      </c>
      <c r="K133" s="69"/>
      <c r="L133" s="319"/>
    </row>
    <row r="134" spans="2:12" s="37" customFormat="1" ht="15.75" customHeight="1">
      <c r="B134" s="48"/>
      <c r="C134" s="160" t="s">
        <v>304</v>
      </c>
      <c r="D134" s="156">
        <f>$F$10*(F801ENE!R15+F801ENE!Y15)*$L134</f>
        <v>585917.17371925176</v>
      </c>
      <c r="E134" s="156">
        <f>$F$10*(F801ENE!S15+F801ENE!Z15)*$L134</f>
        <v>586161.70210869727</v>
      </c>
      <c r="F134" s="156">
        <f>$F$10*(F801ENE!T15+F801ENE!AA15)*$L134</f>
        <v>575090.68712842802</v>
      </c>
      <c r="G134" s="156">
        <f>$F$10*(F801ENE!U15+F801ENE!AB15)*$L134</f>
        <v>584152.42395338952</v>
      </c>
      <c r="H134" s="156">
        <f>$F$10*(F801ENE!V15+F801ENE!AC15)*$L134</f>
        <v>558841.23365868418</v>
      </c>
      <c r="I134" s="156">
        <f>$F$10*(F801ENE!W15+F801ENE!AD15)*$L134</f>
        <v>561459.89104188082</v>
      </c>
      <c r="J134" s="156">
        <f t="shared" si="30"/>
        <v>3451623.111610332</v>
      </c>
      <c r="K134" s="69"/>
      <c r="L134" s="319">
        <v>1</v>
      </c>
    </row>
    <row r="135" spans="2:12" s="37" customFormat="1" ht="15.75" customHeight="1">
      <c r="B135" s="48"/>
      <c r="C135" s="161" t="s">
        <v>306</v>
      </c>
      <c r="D135" s="156">
        <f>$F$10*(F801ENE!R16+F801ENE!Y16)*$L135</f>
        <v>0</v>
      </c>
      <c r="E135" s="156">
        <f>$F$10*(F801ENE!S16+F801ENE!Z16)*$L135</f>
        <v>0</v>
      </c>
      <c r="F135" s="156">
        <f>$F$10*(F801ENE!T16+F801ENE!AA16)*$L135</f>
        <v>0</v>
      </c>
      <c r="G135" s="156">
        <f>$F$10*(F801ENE!U16+F801ENE!AB16)*$L135</f>
        <v>0</v>
      </c>
      <c r="H135" s="156">
        <f>$F$10*(F801ENE!V16+F801ENE!AC16)*$L135</f>
        <v>0</v>
      </c>
      <c r="I135" s="156">
        <f>$F$10*(F801ENE!W16+F801ENE!AD16)*$L135</f>
        <v>0</v>
      </c>
      <c r="J135" s="156">
        <f t="shared" si="30"/>
        <v>0</v>
      </c>
      <c r="K135" s="69"/>
      <c r="L135" s="319">
        <v>1</v>
      </c>
    </row>
    <row r="136" spans="2:12" s="37" customFormat="1" ht="15.75" customHeight="1">
      <c r="B136" s="48"/>
      <c r="C136" s="160" t="s">
        <v>305</v>
      </c>
      <c r="D136" s="156">
        <f>$F$10*(F801ENE!R17+F801ENE!Y17)*$L136</f>
        <v>2293.1081592960954</v>
      </c>
      <c r="E136" s="156">
        <f>$F$10*(F801ENE!S17+F801ENE!Z17)*$L136</f>
        <v>2294.0651717718642</v>
      </c>
      <c r="F136" s="156">
        <f>$F$10*(F801ENE!T17+F801ENE!AA17)*$L136</f>
        <v>2250.7364626613353</v>
      </c>
      <c r="G136" s="156">
        <f>$F$10*(F801ENE!U17+F801ENE!AB17)*$L136</f>
        <v>2286.2014457387395</v>
      </c>
      <c r="H136" s="156">
        <f>$F$10*(F801ENE!V17+F801ENE!AC17)*$L136</f>
        <v>2187.140862452105</v>
      </c>
      <c r="I136" s="156">
        <f>$F$10*(F801ENE!W17+F801ENE!AD17)*$L136</f>
        <v>2197.3895202507697</v>
      </c>
      <c r="J136" s="156">
        <f t="shared" si="30"/>
        <v>13508.64162217091</v>
      </c>
      <c r="K136" s="69"/>
      <c r="L136" s="319">
        <v>0.95</v>
      </c>
    </row>
    <row r="137" spans="2:12" s="37" customFormat="1" ht="15.75" customHeight="1">
      <c r="B137" s="48"/>
      <c r="C137" s="160" t="s">
        <v>307</v>
      </c>
      <c r="D137" s="156">
        <f>$F$10*(F801ENE!R18+F801ENE!Y18)*$L137</f>
        <v>0</v>
      </c>
      <c r="E137" s="156">
        <f>$F$10*(F801ENE!S18+F801ENE!Z18)*$L137</f>
        <v>0</v>
      </c>
      <c r="F137" s="156">
        <f>$F$10*(F801ENE!T18+F801ENE!AA18)*$L137</f>
        <v>0</v>
      </c>
      <c r="G137" s="156">
        <f>$F$10*(F801ENE!U18+F801ENE!AB18)*$L137</f>
        <v>0</v>
      </c>
      <c r="H137" s="156">
        <f>$F$10*(F801ENE!V18+F801ENE!AC18)*$L137</f>
        <v>0</v>
      </c>
      <c r="I137" s="156">
        <f>$F$10*(F801ENE!W18+F801ENE!AD18)*$L137</f>
        <v>0</v>
      </c>
      <c r="J137" s="156">
        <f t="shared" si="30"/>
        <v>0</v>
      </c>
      <c r="K137" s="69"/>
      <c r="L137" s="319">
        <v>0.5</v>
      </c>
    </row>
    <row r="138" spans="2:12" s="37" customFormat="1" ht="15.75" customHeight="1">
      <c r="B138" s="48"/>
      <c r="C138" s="157"/>
      <c r="D138" s="157"/>
      <c r="E138" s="157"/>
      <c r="F138" s="157"/>
      <c r="G138" s="157"/>
      <c r="H138" s="157"/>
      <c r="I138" s="157"/>
      <c r="J138" s="157"/>
      <c r="K138" s="69"/>
      <c r="L138" s="319"/>
    </row>
    <row r="139" spans="2:12" s="37" customFormat="1" ht="15.75" customHeight="1">
      <c r="B139" s="48"/>
      <c r="C139" s="153" t="s">
        <v>443</v>
      </c>
      <c r="D139" s="154">
        <f t="shared" ref="D139:I139" si="33">D140+D144+D151+D156+D161+D174+D180+D187+D195+D201+D208+D167</f>
        <v>4742991.8369235713</v>
      </c>
      <c r="E139" s="154">
        <f t="shared" si="33"/>
        <v>4744971.2893429939</v>
      </c>
      <c r="F139" s="154">
        <f t="shared" si="33"/>
        <v>4655351.6446143547</v>
      </c>
      <c r="G139" s="154">
        <f t="shared" si="33"/>
        <v>4728706.2228824561</v>
      </c>
      <c r="H139" s="154">
        <f t="shared" si="33"/>
        <v>4523812.6439366043</v>
      </c>
      <c r="I139" s="154">
        <f t="shared" si="33"/>
        <v>4545010.6230529156</v>
      </c>
      <c r="J139" s="154">
        <f t="shared" ref="J139:J165" si="34">SUM(D139:I139)</f>
        <v>27940844.260752894</v>
      </c>
      <c r="K139" s="69"/>
      <c r="L139" s="319"/>
    </row>
    <row r="140" spans="2:12" s="37" customFormat="1" ht="15.75" customHeight="1">
      <c r="B140" s="48" t="s">
        <v>275</v>
      </c>
      <c r="C140" s="155" t="s">
        <v>275</v>
      </c>
      <c r="D140" s="154">
        <f>SUM(D141:D143)</f>
        <v>43380.164164139103</v>
      </c>
      <c r="E140" s="154">
        <f t="shared" ref="E140:I140" si="35">SUM(E141:E143)</f>
        <v>43398.268568912899</v>
      </c>
      <c r="F140" s="154">
        <f t="shared" si="35"/>
        <v>42578.592224116335</v>
      </c>
      <c r="G140" s="154">
        <f t="shared" si="35"/>
        <v>43249.505535265365</v>
      </c>
      <c r="H140" s="154">
        <f t="shared" si="35"/>
        <v>41375.514398934203</v>
      </c>
      <c r="I140" s="154">
        <f t="shared" si="35"/>
        <v>41569.394681451973</v>
      </c>
      <c r="J140" s="154">
        <f t="shared" si="34"/>
        <v>255551.43957281986</v>
      </c>
      <c r="K140" s="69"/>
      <c r="L140" s="319"/>
    </row>
    <row r="141" spans="2:12" s="37" customFormat="1" ht="15.75" customHeight="1">
      <c r="B141" s="48"/>
      <c r="C141" s="160" t="s">
        <v>304</v>
      </c>
      <c r="D141" s="156">
        <f>$H$11*F801ENE!R22+$I$11*F801ENE!Y22</f>
        <v>43073.232288851286</v>
      </c>
      <c r="E141" s="156">
        <f>$H$11*F801ENE!S22+$I$11*F801ENE!Z22</f>
        <v>43091.208597777237</v>
      </c>
      <c r="F141" s="156">
        <f>$H$11*F801ENE!T22+$I$11*F801ENE!AA22</f>
        <v>42277.331788378593</v>
      </c>
      <c r="G141" s="156">
        <f>$H$11*F801ENE!U22+$I$11*F801ENE!AB22</f>
        <v>42943.49812162391</v>
      </c>
      <c r="H141" s="156">
        <f>$H$11*F801ENE!V22+$I$11*F801ENE!AC22</f>
        <v>41082.766216206917</v>
      </c>
      <c r="I141" s="156">
        <f>$H$11*F801ENE!W22+$I$11*F801ENE!AD22</f>
        <v>41275.274718791596</v>
      </c>
      <c r="J141" s="156">
        <f t="shared" si="34"/>
        <v>253743.31173162954</v>
      </c>
      <c r="K141" s="69"/>
      <c r="L141" s="319"/>
    </row>
    <row r="142" spans="2:12" s="37" customFormat="1" ht="15.75" customHeight="1">
      <c r="B142" s="48"/>
      <c r="C142" s="161" t="s">
        <v>306</v>
      </c>
      <c r="D142" s="156">
        <f>($H$11*F801ENE!R23+$I$11*F801ENE!Y23)*$L142</f>
        <v>172.51805734725349</v>
      </c>
      <c r="E142" s="156">
        <f>($H$11*F801ENE!S23+$I$11*F801ENE!Z23)*$L142</f>
        <v>172.5900565386163</v>
      </c>
      <c r="F142" s="156">
        <f>($H$11*F801ENE!T23+$I$11*F801ENE!AA23)*$L142</f>
        <v>169.3302954615778</v>
      </c>
      <c r="G142" s="156">
        <f>($H$11*F801ENE!U23+$I$11*F801ENE!AB23)*$L142</f>
        <v>171.99844260481814</v>
      </c>
      <c r="H142" s="156">
        <f>($H$11*F801ENE!V23+$I$11*F801ENE!AC23)*$L142</f>
        <v>164.54578961110073</v>
      </c>
      <c r="I142" s="156">
        <f>($H$11*F801ENE!W23+$I$11*F801ENE!AD23)*$L142</f>
        <v>165.31682979369072</v>
      </c>
      <c r="J142" s="156">
        <f t="shared" si="34"/>
        <v>1016.2994713570572</v>
      </c>
      <c r="K142" s="69"/>
      <c r="L142" s="319">
        <v>0.75</v>
      </c>
    </row>
    <row r="143" spans="2:12" s="37" customFormat="1" ht="15.75" customHeight="1">
      <c r="B143" s="48"/>
      <c r="C143" s="160" t="s">
        <v>305</v>
      </c>
      <c r="D143" s="156">
        <f>($H$11*F801ENE!R24+$I$11*F801ENE!Y24)*$L143</f>
        <v>134.41381794056565</v>
      </c>
      <c r="E143" s="156">
        <f>($H$11*F801ENE!S24+$I$11*F801ENE!Z24)*$L143</f>
        <v>134.46991459704626</v>
      </c>
      <c r="F143" s="156">
        <f>($H$11*F801ENE!T24+$I$11*F801ENE!AA24)*$L143</f>
        <v>131.93014027616545</v>
      </c>
      <c r="G143" s="156">
        <f>($H$11*F801ENE!U24+$I$11*F801ENE!AB24)*$L143</f>
        <v>134.0089710366363</v>
      </c>
      <c r="H143" s="156">
        <f>($H$11*F801ENE!V24+$I$11*F801ENE!AC24)*$L143</f>
        <v>128.20239311618482</v>
      </c>
      <c r="I143" s="156">
        <f>($H$11*F801ENE!W24+$I$11*F801ENE!AD24)*$L143</f>
        <v>128.80313286668473</v>
      </c>
      <c r="J143" s="156">
        <f t="shared" si="34"/>
        <v>791.8283698332832</v>
      </c>
      <c r="K143" s="69"/>
      <c r="L143" s="319">
        <v>0.95</v>
      </c>
    </row>
    <row r="144" spans="2:12" s="37" customFormat="1" ht="15.75" customHeight="1">
      <c r="B144" s="48" t="s">
        <v>274</v>
      </c>
      <c r="C144" s="158" t="s">
        <v>627</v>
      </c>
      <c r="D144" s="159">
        <f t="shared" ref="D144:I144" si="36">SUM(D145:D150)</f>
        <v>1325306.8344903034</v>
      </c>
      <c r="E144" s="159">
        <f t="shared" si="36"/>
        <v>1325859.9419264647</v>
      </c>
      <c r="F144" s="159">
        <f t="shared" si="36"/>
        <v>1300818.0205146745</v>
      </c>
      <c r="G144" s="159">
        <f t="shared" si="36"/>
        <v>1321315.0844089456</v>
      </c>
      <c r="H144" s="159">
        <f t="shared" si="36"/>
        <v>1264062.805432854</v>
      </c>
      <c r="I144" s="159">
        <f t="shared" si="36"/>
        <v>1269986.0394372595</v>
      </c>
      <c r="J144" s="159">
        <f t="shared" si="34"/>
        <v>7807348.726210502</v>
      </c>
      <c r="K144" s="69"/>
      <c r="L144" s="319"/>
    </row>
    <row r="145" spans="2:12" s="37" customFormat="1" ht="15.75" customHeight="1">
      <c r="B145" s="48"/>
      <c r="C145" s="160" t="s">
        <v>304</v>
      </c>
      <c r="D145" s="156">
        <f>$F$12*(F801ENE!R28+F801ENE!Y28)*$L145</f>
        <v>1322922.4843056852</v>
      </c>
      <c r="E145" s="156">
        <f>$F$12*(F801ENE!S28+F801ENE!Z28)*$L145</f>
        <v>1323474.5966501567</v>
      </c>
      <c r="F145" s="156">
        <f>$F$12*(F801ENE!T28+F801ENE!AA28)*$L145</f>
        <v>1298477.7279826729</v>
      </c>
      <c r="G145" s="156">
        <f>$F$12*(F801ENE!U28+F801ENE!AB28)*$L145</f>
        <v>1318937.9157537636</v>
      </c>
      <c r="H145" s="156">
        <f>$F$12*(F801ENE!V28+F801ENE!AC28)*$L145</f>
        <v>1261788.6389492401</v>
      </c>
      <c r="I145" s="156">
        <f>$F$12*(F801ENE!W28+F801ENE!AD28)*$L145</f>
        <v>1267701.2165050977</v>
      </c>
      <c r="J145" s="156">
        <f t="shared" si="34"/>
        <v>7793302.5801466145</v>
      </c>
      <c r="K145" s="69"/>
      <c r="L145" s="319">
        <v>1</v>
      </c>
    </row>
    <row r="146" spans="2:12" s="37" customFormat="1" ht="15.75" customHeight="1">
      <c r="B146" s="48"/>
      <c r="C146" s="162" t="s">
        <v>628</v>
      </c>
      <c r="D146" s="156">
        <f>$F$12*(F801ENE!R29+F801ENE!Y29)*$L146</f>
        <v>114.47357428996895</v>
      </c>
      <c r="E146" s="156">
        <f>$F$12*(F801ENE!S29+F801ENE!Z29)*$L146</f>
        <v>114.52134902675897</v>
      </c>
      <c r="F146" s="156">
        <f>$F$12*(F801ENE!T29+F801ENE!AA29)*$L146</f>
        <v>112.35834935265061</v>
      </c>
      <c r="G146" s="156">
        <f>$F$12*(F801ENE!U29+F801ENE!AB29)*$L146</f>
        <v>114.12878628496256</v>
      </c>
      <c r="H146" s="156">
        <f>$F$12*(F801ENE!V29+F801ENE!AC29)*$L146</f>
        <v>109.18361220143784</v>
      </c>
      <c r="I146" s="156">
        <f>$F$12*(F801ENE!W29+F801ENE!AD29)*$L146</f>
        <v>109.69523241661688</v>
      </c>
      <c r="J146" s="156">
        <f t="shared" si="34"/>
        <v>674.36090357239573</v>
      </c>
      <c r="K146" s="69"/>
      <c r="L146" s="319">
        <v>0.75</v>
      </c>
    </row>
    <row r="147" spans="2:12" s="37" customFormat="1" ht="15.75" customHeight="1">
      <c r="B147" s="48"/>
      <c r="C147" s="161" t="s">
        <v>629</v>
      </c>
      <c r="D147" s="156">
        <f>$F$12*(F801ENE!R30+F801ENE!Y30)*$L147</f>
        <v>608.17755366362996</v>
      </c>
      <c r="E147" s="156">
        <f>$F$12*(F801ENE!S30+F801ENE!Z30)*$L147</f>
        <v>608.43137226524243</v>
      </c>
      <c r="F147" s="156">
        <f>$F$12*(F801ENE!T30+F801ENE!AA30)*$L147</f>
        <v>596.93974322741565</v>
      </c>
      <c r="G147" s="156">
        <f>$F$12*(F801ENE!U30+F801ENE!AB30)*$L147</f>
        <v>606.3457568780575</v>
      </c>
      <c r="H147" s="156">
        <f>$F$12*(F801ENE!V30+F801ENE!AC30)*$L147</f>
        <v>580.07293456763898</v>
      </c>
      <c r="I147" s="156">
        <f>$F$12*(F801ENE!W30+F801ENE!AD30)*$L147</f>
        <v>582.79108094161575</v>
      </c>
      <c r="J147" s="156">
        <f t="shared" si="34"/>
        <v>3582.7584415436004</v>
      </c>
      <c r="K147" s="69"/>
      <c r="L147" s="319">
        <v>1</v>
      </c>
    </row>
    <row r="148" spans="2:12" s="37" customFormat="1" ht="15.75" customHeight="1">
      <c r="B148" s="48"/>
      <c r="C148" s="160" t="s">
        <v>305</v>
      </c>
      <c r="D148" s="156">
        <f>$F$12*(F801ENE!R31+F801ENE!Y31)*$L148</f>
        <v>1522.6348627120092</v>
      </c>
      <c r="E148" s="156">
        <f>$F$12*(F801ENE!S31+F801ENE!Z31)*$L148</f>
        <v>1523.2703236054472</v>
      </c>
      <c r="F148" s="156">
        <f>$F$12*(F801ENE!T31+F801ENE!AA31)*$L148</f>
        <v>1494.4998520598526</v>
      </c>
      <c r="G148" s="156">
        <f>$F$12*(F801ENE!U31+F801ENE!AB31)*$L148</f>
        <v>1518.0487716431849</v>
      </c>
      <c r="H148" s="156">
        <f>$F$12*(F801ENE!V31+F801ENE!AC31)*$L148</f>
        <v>1452.2720672076139</v>
      </c>
      <c r="I148" s="156">
        <f>$F$12*(F801ENE!W31+F801ENE!AD31)*$L148</f>
        <v>1459.0772253494092</v>
      </c>
      <c r="J148" s="156">
        <f t="shared" si="34"/>
        <v>8969.8031025775163</v>
      </c>
      <c r="K148" s="69"/>
      <c r="L148" s="319">
        <v>0.95</v>
      </c>
    </row>
    <row r="149" spans="2:12" s="37" customFormat="1" ht="15.75" customHeight="1">
      <c r="B149" s="48"/>
      <c r="C149" s="160" t="s">
        <v>307</v>
      </c>
      <c r="D149" s="156">
        <f>$F$12*(F801ENE!R32+F801ENE!Y32)*$L149</f>
        <v>139.06419395225856</v>
      </c>
      <c r="E149" s="156">
        <f>$F$12*(F801ENE!S32+F801ENE!Z32)*$L149</f>
        <v>139.12223141028494</v>
      </c>
      <c r="F149" s="156">
        <f>$F$12*(F801ENE!T32+F801ENE!AA32)*$L149</f>
        <v>136.4945873617385</v>
      </c>
      <c r="G149" s="156">
        <f>$F$12*(F801ENE!U32+F801ENE!AB32)*$L149</f>
        <v>138.64534037580637</v>
      </c>
      <c r="H149" s="156">
        <f>$F$12*(F801ENE!V32+F801ENE!AC32)*$L149</f>
        <v>132.63786963730229</v>
      </c>
      <c r="I149" s="156">
        <f>$F$12*(F801ENE!W32+F801ENE!AD32)*$L149</f>
        <v>133.25939345426048</v>
      </c>
      <c r="J149" s="156">
        <f t="shared" si="34"/>
        <v>819.22361619165122</v>
      </c>
      <c r="K149" s="69"/>
      <c r="L149" s="319">
        <v>0.5</v>
      </c>
    </row>
    <row r="150" spans="2:12" s="37" customFormat="1" ht="15.75" customHeight="1">
      <c r="B150" s="48"/>
      <c r="C150" s="160" t="s">
        <v>624</v>
      </c>
      <c r="D150" s="156">
        <f>$F$12*(F801ENE!R33+F801ENE!Y33)*$L150</f>
        <v>0</v>
      </c>
      <c r="E150" s="156">
        <f>$F$12*(F801ENE!S33+F801ENE!Z33)*$L150</f>
        <v>0</v>
      </c>
      <c r="F150" s="156">
        <f>$F$12*(F801ENE!T33+F801ENE!AA33)*$L150</f>
        <v>0</v>
      </c>
      <c r="G150" s="156">
        <f>$F$12*(F801ENE!U33+F801ENE!AB33)*$L150</f>
        <v>0</v>
      </c>
      <c r="H150" s="156">
        <f>$F$12*(F801ENE!V33+F801ENE!AC33)*$L150</f>
        <v>0</v>
      </c>
      <c r="I150" s="156">
        <f>$F$12*(F801ENE!W33+F801ENE!AD33)*$L150</f>
        <v>0</v>
      </c>
      <c r="J150" s="156">
        <f t="shared" si="34"/>
        <v>0</v>
      </c>
      <c r="K150" s="69"/>
      <c r="L150" s="319">
        <v>0</v>
      </c>
    </row>
    <row r="151" spans="2:12" s="37" customFormat="1" ht="15.75" customHeight="1">
      <c r="B151" s="48" t="s">
        <v>274</v>
      </c>
      <c r="C151" s="158" t="s">
        <v>631</v>
      </c>
      <c r="D151" s="159">
        <f t="shared" ref="D151:I151" si="37">SUM(D152:D155)</f>
        <v>604989.50701727427</v>
      </c>
      <c r="E151" s="159">
        <f t="shared" si="37"/>
        <v>605241.99511016172</v>
      </c>
      <c r="F151" s="159">
        <f t="shared" si="37"/>
        <v>593810.60481214768</v>
      </c>
      <c r="G151" s="159">
        <f t="shared" si="37"/>
        <v>603167.31244994211</v>
      </c>
      <c r="H151" s="159">
        <f t="shared" si="37"/>
        <v>577032.21140620392</v>
      </c>
      <c r="I151" s="159">
        <f t="shared" si="37"/>
        <v>579736.10934667662</v>
      </c>
      <c r="J151" s="159">
        <f t="shared" si="34"/>
        <v>3563977.740142406</v>
      </c>
      <c r="K151" s="69"/>
      <c r="L151" s="319"/>
    </row>
    <row r="152" spans="2:12" s="37" customFormat="1" ht="15.75" customHeight="1">
      <c r="B152" s="48"/>
      <c r="C152" s="160" t="s">
        <v>304</v>
      </c>
      <c r="D152" s="156">
        <f>$F$13*(F801ENE!R35+F801ENE!Y35)*$L152</f>
        <v>604564.17409235693</v>
      </c>
      <c r="E152" s="156">
        <f>$F$13*(F801ENE!S35+F801ENE!Z35)*$L152</f>
        <v>604816.48467555561</v>
      </c>
      <c r="F152" s="156">
        <f>$F$13*(F801ENE!T35+F801ENE!AA35)*$L152</f>
        <v>593393.13112299738</v>
      </c>
      <c r="G152" s="156">
        <f>$F$13*(F801ENE!U35+F801ENE!AB35)*$L152</f>
        <v>602743.26060401218</v>
      </c>
      <c r="H152" s="156">
        <f>$F$13*(F801ENE!V35+F801ENE!AC35)*$L152</f>
        <v>576626.53362931323</v>
      </c>
      <c r="I152" s="156">
        <f>$F$13*(F801ENE!W35+F801ENE!AD35)*$L152</f>
        <v>579328.53061645315</v>
      </c>
      <c r="J152" s="156">
        <f t="shared" si="34"/>
        <v>3561472.1147406884</v>
      </c>
      <c r="K152" s="69"/>
      <c r="L152" s="319">
        <v>1</v>
      </c>
    </row>
    <row r="153" spans="2:12" s="37" customFormat="1" ht="15.75" customHeight="1">
      <c r="B153" s="48"/>
      <c r="C153" s="161" t="s">
        <v>306</v>
      </c>
      <c r="D153" s="156">
        <f>$F$13*(F801ENE!R36+F801ENE!Y36)*$L153</f>
        <v>0</v>
      </c>
      <c r="E153" s="156">
        <f>$F$13*(F801ENE!S36+F801ENE!Z36)*$L153</f>
        <v>0</v>
      </c>
      <c r="F153" s="156">
        <f>$F$13*(F801ENE!T36+F801ENE!AA36)*$L153</f>
        <v>0</v>
      </c>
      <c r="G153" s="156">
        <f>$F$13*(F801ENE!U36+F801ENE!AB36)*$L153</f>
        <v>0</v>
      </c>
      <c r="H153" s="156">
        <f>$F$13*(F801ENE!V36+F801ENE!AC36)*$L153</f>
        <v>0</v>
      </c>
      <c r="I153" s="156">
        <f>$F$13*(F801ENE!W36+F801ENE!AD36)*$L153</f>
        <v>0</v>
      </c>
      <c r="J153" s="156">
        <f t="shared" si="34"/>
        <v>0</v>
      </c>
      <c r="K153" s="69"/>
      <c r="L153" s="319">
        <v>1</v>
      </c>
    </row>
    <row r="154" spans="2:12" s="37" customFormat="1" ht="15.75" customHeight="1">
      <c r="B154" s="48"/>
      <c r="C154" s="160" t="s">
        <v>305</v>
      </c>
      <c r="D154" s="156">
        <f>$F$13*(F801ENE!R37+F801ENE!Y37)*$L154</f>
        <v>425.33292491739576</v>
      </c>
      <c r="E154" s="156">
        <f>$F$13*(F801ENE!S37+F801ENE!Z37)*$L154</f>
        <v>425.51043460609105</v>
      </c>
      <c r="F154" s="156">
        <f>$F$13*(F801ENE!T37+F801ENE!AA37)*$L154</f>
        <v>417.47368915029296</v>
      </c>
      <c r="G154" s="156">
        <f>$F$13*(F801ENE!U37+F801ENE!AB37)*$L154</f>
        <v>424.05184592990531</v>
      </c>
      <c r="H154" s="156">
        <f>$F$13*(F801ENE!V37+F801ENE!AC37)*$L154</f>
        <v>405.67777689067572</v>
      </c>
      <c r="I154" s="156">
        <f>$F$13*(F801ENE!W37+F801ENE!AD37)*$L154</f>
        <v>407.57873022351862</v>
      </c>
      <c r="J154" s="156">
        <f t="shared" si="34"/>
        <v>2505.6254017178794</v>
      </c>
      <c r="K154" s="69"/>
      <c r="L154" s="319">
        <v>0.95</v>
      </c>
    </row>
    <row r="155" spans="2:12" s="37" customFormat="1" ht="15.75" customHeight="1">
      <c r="B155" s="48"/>
      <c r="C155" s="160" t="s">
        <v>307</v>
      </c>
      <c r="D155" s="156">
        <f>$F$13*(F801ENE!R38+F801ENE!Y38)*$L155</f>
        <v>0</v>
      </c>
      <c r="E155" s="156">
        <f>$F$13*(F801ENE!S38+F801ENE!Z38)*$L155</f>
        <v>0</v>
      </c>
      <c r="F155" s="156">
        <f>$F$13*(F801ENE!T38+F801ENE!AA38)*$L155</f>
        <v>0</v>
      </c>
      <c r="G155" s="156">
        <f>$F$13*(F801ENE!U38+F801ENE!AB38)*$L155</f>
        <v>0</v>
      </c>
      <c r="H155" s="156">
        <f>$F$13*(F801ENE!V38+F801ENE!AC38)*$L155</f>
        <v>0</v>
      </c>
      <c r="I155" s="156">
        <f>$F$13*(F801ENE!W38+F801ENE!AD38)*$L155</f>
        <v>0</v>
      </c>
      <c r="J155" s="156">
        <f t="shared" si="34"/>
        <v>0</v>
      </c>
      <c r="K155" s="69"/>
      <c r="L155" s="319">
        <v>0.5</v>
      </c>
    </row>
    <row r="156" spans="2:12" s="37" customFormat="1" ht="15.75" customHeight="1">
      <c r="B156" s="48" t="s">
        <v>274</v>
      </c>
      <c r="C156" s="158" t="s">
        <v>632</v>
      </c>
      <c r="D156" s="159">
        <f t="shared" ref="D156:I156" si="38">SUM(D157:D160)</f>
        <v>170207.54843804822</v>
      </c>
      <c r="E156" s="159">
        <f t="shared" si="38"/>
        <v>170278.58335485536</v>
      </c>
      <c r="F156" s="159">
        <f t="shared" si="38"/>
        <v>167062.47977736322</v>
      </c>
      <c r="G156" s="159">
        <f t="shared" si="38"/>
        <v>169694.892819256</v>
      </c>
      <c r="H156" s="159">
        <f t="shared" si="38"/>
        <v>162342.05210840321</v>
      </c>
      <c r="I156" s="159">
        <f t="shared" si="38"/>
        <v>163102.76586349559</v>
      </c>
      <c r="J156" s="159">
        <f t="shared" si="34"/>
        <v>1002688.3223614215</v>
      </c>
      <c r="K156" s="69"/>
      <c r="L156" s="319"/>
    </row>
    <row r="157" spans="2:12" s="37" customFormat="1" ht="15.75" customHeight="1">
      <c r="B157" s="48"/>
      <c r="C157" s="160" t="s">
        <v>304</v>
      </c>
      <c r="D157" s="156">
        <f>$F$14*(F801ENE!R40+F801ENE!Y40)*$L157</f>
        <v>170207.54843804822</v>
      </c>
      <c r="E157" s="156">
        <f>$F$14*(F801ENE!S40+F801ENE!Z40)*$L157</f>
        <v>170278.58335485536</v>
      </c>
      <c r="F157" s="156">
        <f>$F$14*(F801ENE!T40+F801ENE!AA40)*$L157</f>
        <v>167062.47977736322</v>
      </c>
      <c r="G157" s="156">
        <f>$F$14*(F801ENE!U40+F801ENE!AB40)*$L157</f>
        <v>169694.892819256</v>
      </c>
      <c r="H157" s="156">
        <f>$F$14*(F801ENE!V40+F801ENE!AC40)*$L157</f>
        <v>162342.05210840321</v>
      </c>
      <c r="I157" s="156">
        <f>$F$14*(F801ENE!W40+F801ENE!AD40)*$L157</f>
        <v>163102.76586349559</v>
      </c>
      <c r="J157" s="156">
        <f t="shared" si="34"/>
        <v>1002688.3223614215</v>
      </c>
      <c r="K157" s="69"/>
      <c r="L157" s="319">
        <v>1</v>
      </c>
    </row>
    <row r="158" spans="2:12" s="37" customFormat="1" ht="15.75" customHeight="1">
      <c r="B158" s="48"/>
      <c r="C158" s="161" t="s">
        <v>306</v>
      </c>
      <c r="D158" s="156">
        <f>$F$14*(F801ENE!R41+F801ENE!Y41)*$L158</f>
        <v>0</v>
      </c>
      <c r="E158" s="156">
        <f>$F$14*(F801ENE!S41+F801ENE!Z41)*$L158</f>
        <v>0</v>
      </c>
      <c r="F158" s="156">
        <f>$F$14*(F801ENE!T41+F801ENE!AA41)*$L158</f>
        <v>0</v>
      </c>
      <c r="G158" s="156">
        <f>$F$14*(F801ENE!U41+F801ENE!AB41)*$L158</f>
        <v>0</v>
      </c>
      <c r="H158" s="156">
        <f>$F$14*(F801ENE!V41+F801ENE!AC41)*$L158</f>
        <v>0</v>
      </c>
      <c r="I158" s="156">
        <f>$F$14*(F801ENE!W41+F801ENE!AD41)*$L158</f>
        <v>0</v>
      </c>
      <c r="J158" s="156">
        <f t="shared" si="34"/>
        <v>0</v>
      </c>
      <c r="K158" s="69"/>
      <c r="L158" s="319">
        <v>1</v>
      </c>
    </row>
    <row r="159" spans="2:12" s="37" customFormat="1" ht="15.75" customHeight="1">
      <c r="B159" s="48"/>
      <c r="C159" s="160" t="s">
        <v>305</v>
      </c>
      <c r="D159" s="156">
        <f>$F$14*(F801ENE!R42+F801ENE!Y42)*$L159</f>
        <v>0</v>
      </c>
      <c r="E159" s="156">
        <f>$F$14*(F801ENE!S42+F801ENE!Z42)*$L159</f>
        <v>0</v>
      </c>
      <c r="F159" s="156">
        <f>$F$14*(F801ENE!T42+F801ENE!AA42)*$L159</f>
        <v>0</v>
      </c>
      <c r="G159" s="156">
        <f>$F$14*(F801ENE!U42+F801ENE!AB42)*$L159</f>
        <v>0</v>
      </c>
      <c r="H159" s="156">
        <f>$F$14*(F801ENE!V42+F801ENE!AC42)*$L159</f>
        <v>0</v>
      </c>
      <c r="I159" s="156">
        <f>$F$14*(F801ENE!W42+F801ENE!AD42)*$L159</f>
        <v>0</v>
      </c>
      <c r="J159" s="156">
        <f t="shared" si="34"/>
        <v>0</v>
      </c>
      <c r="K159" s="69"/>
      <c r="L159" s="319">
        <v>0.95</v>
      </c>
    </row>
    <row r="160" spans="2:12" s="37" customFormat="1" ht="15.75" customHeight="1">
      <c r="B160" s="48"/>
      <c r="C160" s="160" t="s">
        <v>307</v>
      </c>
      <c r="D160" s="156">
        <f>$F$14*(F801ENE!R43+F801ENE!Y43)*$L160</f>
        <v>0</v>
      </c>
      <c r="E160" s="156">
        <f>$F$14*(F801ENE!S43+F801ENE!Z43)*$L160</f>
        <v>0</v>
      </c>
      <c r="F160" s="156">
        <f>$F$14*(F801ENE!T43+F801ENE!AA43)*$L160</f>
        <v>0</v>
      </c>
      <c r="G160" s="156">
        <f>$F$14*(F801ENE!U43+F801ENE!AB43)*$L160</f>
        <v>0</v>
      </c>
      <c r="H160" s="156">
        <f>$F$14*(F801ENE!V43+F801ENE!AC43)*$L160</f>
        <v>0</v>
      </c>
      <c r="I160" s="156">
        <f>$F$14*(F801ENE!W43+F801ENE!AD43)*$L160</f>
        <v>0</v>
      </c>
      <c r="J160" s="156">
        <f t="shared" si="34"/>
        <v>0</v>
      </c>
      <c r="K160" s="69"/>
      <c r="L160" s="319">
        <v>0.5</v>
      </c>
    </row>
    <row r="161" spans="2:13" s="37" customFormat="1" ht="15.75" customHeight="1">
      <c r="B161" s="48" t="s">
        <v>274</v>
      </c>
      <c r="C161" s="158" t="s">
        <v>633</v>
      </c>
      <c r="D161" s="159">
        <f t="shared" ref="D161:I161" si="39">SUM(D162:D165)</f>
        <v>172029.7068323131</v>
      </c>
      <c r="E161" s="159">
        <f t="shared" si="39"/>
        <v>172101.5022140416</v>
      </c>
      <c r="F161" s="159">
        <f t="shared" si="39"/>
        <v>168850.96861165151</v>
      </c>
      <c r="G161" s="159">
        <f t="shared" si="39"/>
        <v>171511.56297432279</v>
      </c>
      <c r="H161" s="159">
        <f t="shared" si="39"/>
        <v>164080.00636311233</v>
      </c>
      <c r="I161" s="159">
        <f t="shared" si="39"/>
        <v>164848.86394594435</v>
      </c>
      <c r="J161" s="159">
        <f t="shared" si="34"/>
        <v>1013422.6109413857</v>
      </c>
      <c r="K161" s="69"/>
      <c r="L161" s="319"/>
    </row>
    <row r="162" spans="2:13" s="37" customFormat="1" ht="15.75" customHeight="1">
      <c r="B162" s="48"/>
      <c r="C162" s="160" t="s">
        <v>304</v>
      </c>
      <c r="D162" s="156">
        <f>$F$15*(F801ENE!R45+F801ENE!Y45)*$L162</f>
        <v>172029.7068323131</v>
      </c>
      <c r="E162" s="156">
        <f>$F$15*(F801ENE!S45+F801ENE!Z45)*$L162</f>
        <v>172101.5022140416</v>
      </c>
      <c r="F162" s="156">
        <f>$F$15*(F801ENE!T45+F801ENE!AA45)*$L162</f>
        <v>168850.96861165151</v>
      </c>
      <c r="G162" s="156">
        <f>$F$15*(F801ENE!U45+F801ENE!AB45)*$L162</f>
        <v>171511.56297432279</v>
      </c>
      <c r="H162" s="156">
        <f>$F$15*(F801ENE!V45+F801ENE!AC45)*$L162</f>
        <v>164080.00636311233</v>
      </c>
      <c r="I162" s="156">
        <f>$F$15*(F801ENE!W45+F801ENE!AD45)*$L162</f>
        <v>164848.86394594435</v>
      </c>
      <c r="J162" s="156">
        <f t="shared" si="34"/>
        <v>1013422.6109413857</v>
      </c>
      <c r="K162" s="69"/>
      <c r="L162" s="319">
        <v>1</v>
      </c>
    </row>
    <row r="163" spans="2:13" s="37" customFormat="1" ht="15.75" customHeight="1">
      <c r="B163" s="48"/>
      <c r="C163" s="161" t="s">
        <v>306</v>
      </c>
      <c r="D163" s="156">
        <f>$F$15*(F801ENE!R46+F801ENE!Y46)*$L163</f>
        <v>0</v>
      </c>
      <c r="E163" s="156">
        <f>$F$15*(F801ENE!S46+F801ENE!Z46)*$L163</f>
        <v>0</v>
      </c>
      <c r="F163" s="156">
        <f>$F$15*(F801ENE!T46+F801ENE!AA46)*$L163</f>
        <v>0</v>
      </c>
      <c r="G163" s="156">
        <f>$F$15*(F801ENE!U46+F801ENE!AB46)*$L163</f>
        <v>0</v>
      </c>
      <c r="H163" s="156">
        <f>$F$15*(F801ENE!V46+F801ENE!AC46)*$L163</f>
        <v>0</v>
      </c>
      <c r="I163" s="156">
        <f>$F$15*(F801ENE!W46+F801ENE!AD46)*$L163</f>
        <v>0</v>
      </c>
      <c r="J163" s="156">
        <f t="shared" si="34"/>
        <v>0</v>
      </c>
      <c r="K163" s="69"/>
      <c r="L163" s="319">
        <v>1</v>
      </c>
    </row>
    <row r="164" spans="2:13" s="37" customFormat="1" ht="15.75" customHeight="1">
      <c r="B164" s="48"/>
      <c r="C164" s="160" t="s">
        <v>305</v>
      </c>
      <c r="D164" s="156">
        <f>$F$15*(F801ENE!R47+F801ENE!Y47)*$L164</f>
        <v>0</v>
      </c>
      <c r="E164" s="156">
        <f>$F$15*(F801ENE!S47+F801ENE!Z47)*$L164</f>
        <v>0</v>
      </c>
      <c r="F164" s="156">
        <f>$F$15*(F801ENE!T47+F801ENE!AA47)*$L164</f>
        <v>0</v>
      </c>
      <c r="G164" s="156">
        <f>$F$15*(F801ENE!U47+F801ENE!AB47)*$L164</f>
        <v>0</v>
      </c>
      <c r="H164" s="156">
        <f>$F$15*(F801ENE!V47+F801ENE!AC47)*$L164</f>
        <v>0</v>
      </c>
      <c r="I164" s="156">
        <f>$F$15*(F801ENE!W47+F801ENE!AD47)*$L164</f>
        <v>0</v>
      </c>
      <c r="J164" s="156">
        <f t="shared" si="34"/>
        <v>0</v>
      </c>
      <c r="K164" s="69"/>
      <c r="L164" s="319">
        <v>0.95</v>
      </c>
    </row>
    <row r="165" spans="2:13" s="37" customFormat="1" ht="15.75" customHeight="1">
      <c r="B165" s="48"/>
      <c r="C165" s="160" t="s">
        <v>307</v>
      </c>
      <c r="D165" s="156">
        <f>$F$15*(F801ENE!R48+F801ENE!Y48)*$L165</f>
        <v>0</v>
      </c>
      <c r="E165" s="156">
        <f>$F$15*(F801ENE!S48+F801ENE!Z48)*$L165</f>
        <v>0</v>
      </c>
      <c r="F165" s="156">
        <f>$F$15*(F801ENE!T48+F801ENE!AA48)*$L165</f>
        <v>0</v>
      </c>
      <c r="G165" s="156">
        <f>$F$15*(F801ENE!U48+F801ENE!AB48)*$L165</f>
        <v>0</v>
      </c>
      <c r="H165" s="156">
        <f>$F$15*(F801ENE!V48+F801ENE!AC48)*$L165</f>
        <v>0</v>
      </c>
      <c r="I165" s="156">
        <f>$F$15*(F801ENE!W48+F801ENE!AD48)*$L165</f>
        <v>0</v>
      </c>
      <c r="J165" s="156">
        <f t="shared" si="34"/>
        <v>0</v>
      </c>
      <c r="K165" s="69"/>
      <c r="L165" s="319">
        <v>0.5</v>
      </c>
    </row>
    <row r="166" spans="2:13" s="37" customFormat="1" ht="15.75">
      <c r="B166" s="48"/>
      <c r="C166" s="157"/>
      <c r="D166" s="156"/>
      <c r="E166" s="156"/>
      <c r="F166" s="156"/>
      <c r="G166" s="156"/>
      <c r="H166" s="156"/>
      <c r="I166" s="156"/>
      <c r="J166" s="156"/>
      <c r="K166" s="69"/>
      <c r="L166" s="319"/>
    </row>
    <row r="167" spans="2:13" s="37" customFormat="1" ht="15.75">
      <c r="B167" s="48" t="s">
        <v>1176</v>
      </c>
      <c r="C167" s="158" t="str">
        <f>F801ENE!$C$50</f>
        <v>BTSH</v>
      </c>
      <c r="D167" s="159">
        <f>SUM(D168:D173)</f>
        <v>15.553874132598366</v>
      </c>
      <c r="E167" s="159">
        <f t="shared" ref="E167:J167" si="40">SUM(E168:E173)</f>
        <v>15.553874132598366</v>
      </c>
      <c r="F167" s="159">
        <f t="shared" si="40"/>
        <v>15.553874132598366</v>
      </c>
      <c r="G167" s="159">
        <f t="shared" si="40"/>
        <v>15.553874132598366</v>
      </c>
      <c r="H167" s="159">
        <f t="shared" si="40"/>
        <v>15.553874132598366</v>
      </c>
      <c r="I167" s="159">
        <f t="shared" si="40"/>
        <v>15.553874132598366</v>
      </c>
      <c r="J167" s="159">
        <f t="shared" si="40"/>
        <v>93.323244795590199</v>
      </c>
      <c r="K167" s="69"/>
      <c r="L167" s="319"/>
    </row>
    <row r="168" spans="2:13" s="37" customFormat="1" ht="15.75">
      <c r="B168" s="48"/>
      <c r="C168" s="160" t="str">
        <f>F801ENE!$C$51</f>
        <v xml:space="preserve">    - Regulares</v>
      </c>
      <c r="D168" s="156">
        <f>($H$16*F801ENE!R51+$I$16*F801ENE!Y51)*$L168</f>
        <v>15.553874132598366</v>
      </c>
      <c r="E168" s="156">
        <f>($H$16*F801ENE!S51+$I$16*F801ENE!Z51)*$L168</f>
        <v>15.553874132598366</v>
      </c>
      <c r="F168" s="156">
        <f>($H$16*F801ENE!T51+$I$16*F801ENE!AA51)*$L168</f>
        <v>15.553874132598366</v>
      </c>
      <c r="G168" s="156">
        <f>($H$16*F801ENE!U51+$I$16*F801ENE!AB51)*$L168</f>
        <v>15.553874132598366</v>
      </c>
      <c r="H168" s="156">
        <f>($H$16*F801ENE!V51+$I$16*F801ENE!AC51)*$L168</f>
        <v>15.553874132598366</v>
      </c>
      <c r="I168" s="156">
        <f>($H$16*F801ENE!W51+$I$16*F801ENE!AD51)*$L168</f>
        <v>15.553874132598366</v>
      </c>
      <c r="J168" s="156">
        <f t="shared" ref="J168:J185" si="41">SUM(D168:I168)</f>
        <v>93.323244795590199</v>
      </c>
      <c r="K168" s="69"/>
      <c r="L168" s="319">
        <v>1</v>
      </c>
    </row>
    <row r="169" spans="2:13" s="37" customFormat="1" ht="15.75">
      <c r="B169" s="48"/>
      <c r="C169" s="162" t="str">
        <f>F801ENE!$C$52</f>
        <v xml:space="preserve">    - Jubilados (0 a 600 KWh)</v>
      </c>
      <c r="D169" s="156">
        <f>($H$16*F801ENE!R52+$I$16*F801ENE!Y52)*$L169</f>
        <v>0</v>
      </c>
      <c r="E169" s="156">
        <f>($H$16*F801ENE!S52+$I$16*F801ENE!Z52)*$L169</f>
        <v>0</v>
      </c>
      <c r="F169" s="156">
        <f>($H$16*F801ENE!T52+$I$16*F801ENE!AA52)*$L169</f>
        <v>0</v>
      </c>
      <c r="G169" s="156">
        <f>($H$16*F801ENE!U52+$I$16*F801ENE!AB52)*$L169</f>
        <v>0</v>
      </c>
      <c r="H169" s="156">
        <f>($H$16*F801ENE!V52+$I$16*F801ENE!AC52)*$L169</f>
        <v>0</v>
      </c>
      <c r="I169" s="156">
        <f>($H$16*F801ENE!W52+$I$16*F801ENE!AD52)*$L169</f>
        <v>0</v>
      </c>
      <c r="J169" s="156">
        <f t="shared" si="41"/>
        <v>0</v>
      </c>
      <c r="K169" s="69"/>
      <c r="L169" s="319">
        <v>0.75</v>
      </c>
    </row>
    <row r="170" spans="2:13" s="37" customFormat="1" ht="15.75">
      <c r="B170" s="48"/>
      <c r="C170" s="162" t="str">
        <f>F801ENE!$C$53</f>
        <v xml:space="preserve">    - Jubilados (601 y Más KWh)</v>
      </c>
      <c r="D170" s="156">
        <f>($H$16*F801ENE!R53+$I$16*F801ENE!Y53)*$L170</f>
        <v>0</v>
      </c>
      <c r="E170" s="156">
        <f>($H$16*F801ENE!S53+$I$16*F801ENE!Z53)*$L170</f>
        <v>0</v>
      </c>
      <c r="F170" s="156">
        <f>($H$16*F801ENE!T53+$I$16*F801ENE!AA53)*$L170</f>
        <v>0</v>
      </c>
      <c r="G170" s="156">
        <f>($H$16*F801ENE!U53+$I$16*F801ENE!AB53)*$L170</f>
        <v>0</v>
      </c>
      <c r="H170" s="156">
        <f>($H$16*F801ENE!V53+$I$16*F801ENE!AC53)*$L170</f>
        <v>0</v>
      </c>
      <c r="I170" s="156">
        <f>($H$16*F801ENE!W53+$I$16*F801ENE!AD53)*$L170</f>
        <v>0</v>
      </c>
      <c r="J170" s="156">
        <f t="shared" si="41"/>
        <v>0</v>
      </c>
      <c r="K170" s="69"/>
      <c r="L170" s="319">
        <v>1</v>
      </c>
    </row>
    <row r="171" spans="2:13" s="37" customFormat="1" ht="15.75">
      <c r="B171" s="48"/>
      <c r="C171" s="160" t="str">
        <f>F801ENE!$C$54</f>
        <v xml:space="preserve">    - Agropecuarios</v>
      </c>
      <c r="D171" s="156">
        <f>($H$16*F801ENE!R54+$I$16*F801ENE!Y54)*$L171</f>
        <v>0</v>
      </c>
      <c r="E171" s="156">
        <f>($H$16*F801ENE!S54+$I$16*F801ENE!Z54)*$L171</f>
        <v>0</v>
      </c>
      <c r="F171" s="156">
        <f>($H$16*F801ENE!T54+$I$16*F801ENE!AA54)*$L171</f>
        <v>0</v>
      </c>
      <c r="G171" s="156">
        <f>($H$16*F801ENE!U54+$I$16*F801ENE!AB54)*$L171</f>
        <v>0</v>
      </c>
      <c r="H171" s="156">
        <f>($H$16*F801ENE!V54+$I$16*F801ENE!AC54)*$L171</f>
        <v>0</v>
      </c>
      <c r="I171" s="156">
        <f>($H$16*F801ENE!W54+$I$16*F801ENE!AD54)*$L171</f>
        <v>0</v>
      </c>
      <c r="J171" s="156">
        <f t="shared" si="41"/>
        <v>0</v>
      </c>
      <c r="K171" s="69"/>
      <c r="L171" s="319">
        <v>0.95</v>
      </c>
    </row>
    <row r="172" spans="2:13" s="37" customFormat="1" ht="15.75">
      <c r="B172" s="48"/>
      <c r="C172" s="160" t="str">
        <f>F801ENE!$C$55</f>
        <v xml:space="preserve">    - Partidos Políticos</v>
      </c>
      <c r="D172" s="156">
        <f>($H$16*F801ENE!R55+$I$16*F801ENE!Y55)*$L172</f>
        <v>0</v>
      </c>
      <c r="E172" s="156">
        <f>($H$16*F801ENE!S55+$I$16*F801ENE!Z55)*$L172</f>
        <v>0</v>
      </c>
      <c r="F172" s="156">
        <f>($H$16*F801ENE!T55+$I$16*F801ENE!AA55)*$L172</f>
        <v>0</v>
      </c>
      <c r="G172" s="156">
        <f>($H$16*F801ENE!U55+$I$16*F801ENE!AB55)*$L172</f>
        <v>0</v>
      </c>
      <c r="H172" s="156">
        <f>($H$16*F801ENE!V55+$I$16*F801ENE!AC55)*$L172</f>
        <v>0</v>
      </c>
      <c r="I172" s="156">
        <f>($H$16*F801ENE!W55+$I$16*F801ENE!AD55)*$L172</f>
        <v>0</v>
      </c>
      <c r="J172" s="156">
        <f t="shared" si="41"/>
        <v>0</v>
      </c>
      <c r="K172" s="69"/>
      <c r="L172" s="319">
        <v>0.5</v>
      </c>
    </row>
    <row r="173" spans="2:13" s="37" customFormat="1" ht="15.75">
      <c r="B173" s="48"/>
      <c r="C173" s="160" t="str">
        <f>F801ENE!$C$56</f>
        <v xml:space="preserve">    - Cruz Roja</v>
      </c>
      <c r="D173" s="156">
        <f>($H$16*F801ENE!R56+$I$16*F801ENE!Y56)*$L173</f>
        <v>0</v>
      </c>
      <c r="E173" s="156">
        <f>($H$16*F801ENE!S56+$I$16*F801ENE!Z56)*$L173</f>
        <v>0</v>
      </c>
      <c r="F173" s="156">
        <f>($H$16*F801ENE!T56+$I$16*F801ENE!AA56)*$L173</f>
        <v>0</v>
      </c>
      <c r="G173" s="156">
        <f>($H$16*F801ENE!U56+$I$16*F801ENE!AB56)*$L173</f>
        <v>0</v>
      </c>
      <c r="H173" s="156">
        <f>($H$16*F801ENE!V56+$I$16*F801ENE!AC56)*$L173</f>
        <v>0</v>
      </c>
      <c r="I173" s="156">
        <f>($H$16*F801ENE!W56+$I$16*F801ENE!AD56)*$L173</f>
        <v>0</v>
      </c>
      <c r="J173" s="156">
        <f t="shared" si="41"/>
        <v>0</v>
      </c>
      <c r="K173" s="69"/>
      <c r="L173" s="319">
        <v>0</v>
      </c>
    </row>
    <row r="174" spans="2:13" s="37" customFormat="1" ht="15.75">
      <c r="B174" s="48" t="s">
        <v>751</v>
      </c>
      <c r="C174" s="158" t="s">
        <v>634</v>
      </c>
      <c r="D174" s="159">
        <f t="shared" ref="D174:I174" si="42">SUM(D175:D179)</f>
        <v>923097.68958445347</v>
      </c>
      <c r="E174" s="159">
        <f t="shared" si="42"/>
        <v>923482.94268316415</v>
      </c>
      <c r="F174" s="159">
        <f t="shared" si="42"/>
        <v>906040.6210096156</v>
      </c>
      <c r="G174" s="159">
        <f t="shared" si="42"/>
        <v>920317.33627950831</v>
      </c>
      <c r="H174" s="159">
        <f t="shared" si="42"/>
        <v>880439.69869637187</v>
      </c>
      <c r="I174" s="159">
        <f t="shared" si="42"/>
        <v>884565.37863736472</v>
      </c>
      <c r="J174" s="159">
        <f t="shared" si="41"/>
        <v>5437943.6668904787</v>
      </c>
      <c r="K174" s="69"/>
      <c r="L174" s="319"/>
      <c r="M174" s="69"/>
    </row>
    <row r="175" spans="2:13" s="37" customFormat="1" ht="15.75">
      <c r="B175" s="48"/>
      <c r="C175" s="160" t="s">
        <v>304</v>
      </c>
      <c r="D175" s="156">
        <f>(($E$18+$F$18)*(F801ENE!R66+F801ENE!Y66)*$L175)</f>
        <v>652353.14655426773</v>
      </c>
      <c r="E175" s="156">
        <f>(($E$18+$F$18)*(F801ENE!S66+F801ENE!Z66)*$L175)</f>
        <v>652625.40633237304</v>
      </c>
      <c r="F175" s="156">
        <f>(($E$18+$F$18)*(F801ENE!T66+F801ENE!AA66)*$L175)</f>
        <v>640298.85362099099</v>
      </c>
      <c r="G175" s="156">
        <f>(($E$18+$F$18)*(F801ENE!U66+F801ENE!AB66)*$L175)</f>
        <v>650388.26067433099</v>
      </c>
      <c r="H175" s="156">
        <f>(($E$18+$F$18)*(F801ENE!V66+F801ENE!AC66)*$L175)</f>
        <v>622206.58790886623</v>
      </c>
      <c r="I175" s="156">
        <f>(($E$18+$F$18)*(F801ENE!W66+F801ENE!AD66)*$L175)</f>
        <v>625122.22105763806</v>
      </c>
      <c r="J175" s="156">
        <f t="shared" si="41"/>
        <v>3842994.476148467</v>
      </c>
      <c r="K175" s="69"/>
      <c r="L175" s="319">
        <v>1</v>
      </c>
      <c r="M175" s="329"/>
    </row>
    <row r="176" spans="2:13" s="37" customFormat="1" ht="15.75">
      <c r="B176" s="48"/>
      <c r="C176" s="162" t="s">
        <v>644</v>
      </c>
      <c r="D176" s="156">
        <f>(($E$18+$F$18)*(F801ENE!R67+F801ENE!Y67)*$L176)</f>
        <v>270686.89258299535</v>
      </c>
      <c r="E176" s="156">
        <f>(($E$18+$F$18)*(F801ENE!S67+F801ENE!Z67)*$L176)</f>
        <v>270799.86184359429</v>
      </c>
      <c r="F176" s="156">
        <f>(($E$18+$F$18)*(F801ENE!T67+F801ENE!AA67)*$L176)</f>
        <v>265685.18219744891</v>
      </c>
      <c r="G176" s="156">
        <f>(($E$18+$F$18)*(F801ENE!U67+F801ENE!AB67)*$L176)</f>
        <v>269871.59879791038</v>
      </c>
      <c r="H176" s="156">
        <f>(($E$18+$F$18)*(F801ENE!V67+F801ENE!AC67)*$L176)</f>
        <v>258178.1244370896</v>
      </c>
      <c r="I176" s="156">
        <f>(($E$18+$F$18)*(F801ENE!W67+F801ENE!AD67)*$L176)</f>
        <v>259387.91357041959</v>
      </c>
      <c r="J176" s="156">
        <f t="shared" si="41"/>
        <v>1594609.5734294581</v>
      </c>
      <c r="K176" s="69"/>
      <c r="L176" s="319">
        <v>0.75</v>
      </c>
      <c r="M176" s="329"/>
    </row>
    <row r="177" spans="2:13" s="37" customFormat="1" ht="15.75">
      <c r="B177" s="48"/>
      <c r="C177" s="160" t="s">
        <v>305</v>
      </c>
      <c r="D177" s="156">
        <f>(($E$18+$F$18)*(F801ENE!R68+F801ENE!Y68)*$L177)</f>
        <v>55.634136370664507</v>
      </c>
      <c r="E177" s="156">
        <f>(($E$18+$F$18)*(F801ENE!S68+F801ENE!Z68)*$L177)</f>
        <v>55.657354884091156</v>
      </c>
      <c r="F177" s="156">
        <f>(($E$18+$F$18)*(F801ENE!T68+F801ENE!AA68)*$L177)</f>
        <v>54.60613743425224</v>
      </c>
      <c r="G177" s="156">
        <f>(($E$18+$F$18)*(F801ENE!U68+F801ENE!AB68)*$L177)</f>
        <v>55.466569462681832</v>
      </c>
      <c r="H177" s="156">
        <f>(($E$18+$F$18)*(F801ENE!V68+F801ENE!AC68)*$L177)</f>
        <v>53.063215753793592</v>
      </c>
      <c r="I177" s="156">
        <f>(($E$18+$F$18)*(F801ENE!W68+F801ENE!AD68)*$L177)</f>
        <v>53.311863085702342</v>
      </c>
      <c r="J177" s="156">
        <f t="shared" si="41"/>
        <v>327.73927699118565</v>
      </c>
      <c r="K177" s="69"/>
      <c r="L177" s="319">
        <v>0.95</v>
      </c>
      <c r="M177" s="329"/>
    </row>
    <row r="178" spans="2:13" s="37" customFormat="1" ht="15.75">
      <c r="B178" s="48"/>
      <c r="C178" s="160" t="s">
        <v>307</v>
      </c>
      <c r="D178" s="156">
        <f>(($E$18+$F$18)*(F801ENE!R69+F801ENE!Y69)*$L178)</f>
        <v>2.0163108197400201</v>
      </c>
      <c r="E178" s="156">
        <f>(($E$18+$F$18)*(F801ENE!S69+F801ENE!Z69)*$L178)</f>
        <v>2.0171523128033528</v>
      </c>
      <c r="F178" s="156">
        <f>(($E$18+$F$18)*(F801ENE!T69+F801ENE!AA69)*$L178)</f>
        <v>1.9790537413815212</v>
      </c>
      <c r="G178" s="156">
        <f>(($E$18+$F$18)*(F801ENE!U69+F801ENE!AB69)*$L178)</f>
        <v>2.0102378042923674</v>
      </c>
      <c r="H178" s="156">
        <f>(($E$18+$F$18)*(F801ENE!V69+F801ENE!AC69)*$L178)</f>
        <v>1.9231346621745926</v>
      </c>
      <c r="I178" s="156">
        <f>(($E$18+$F$18)*(F801ENE!W69+F801ENE!AD69)*$L178)</f>
        <v>1.9321462212340672</v>
      </c>
      <c r="J178" s="156">
        <f t="shared" si="41"/>
        <v>11.878035561625921</v>
      </c>
      <c r="K178" s="69"/>
      <c r="L178" s="319">
        <v>0.5</v>
      </c>
      <c r="M178" s="329"/>
    </row>
    <row r="179" spans="2:13" s="37" customFormat="1" ht="15.75">
      <c r="B179" s="48"/>
      <c r="C179" s="160" t="s">
        <v>624</v>
      </c>
      <c r="D179" s="156">
        <f>(($E$18+$F$18)*(F801ENE!R70+F801ENE!Y70)*$L179)</f>
        <v>0</v>
      </c>
      <c r="E179" s="156">
        <f>(($E$18+$F$18)*(F801ENE!S70+F801ENE!Z70)*$L179)</f>
        <v>0</v>
      </c>
      <c r="F179" s="156">
        <f>(($E$18+$F$18)*(F801ENE!T70+F801ENE!AA70)*$L179)</f>
        <v>0</v>
      </c>
      <c r="G179" s="156">
        <f>(($E$18+$F$18)*(F801ENE!U70+F801ENE!AB70)*$L179)</f>
        <v>0</v>
      </c>
      <c r="H179" s="156">
        <f>(($E$18+$F$18)*(F801ENE!V70+F801ENE!AC70)*$L179)</f>
        <v>0</v>
      </c>
      <c r="I179" s="156">
        <f>(($E$18+$F$18)*(F801ENE!W70+F801ENE!AD70)*$L179)</f>
        <v>0</v>
      </c>
      <c r="J179" s="156">
        <f t="shared" si="41"/>
        <v>0</v>
      </c>
      <c r="K179" s="69"/>
      <c r="L179" s="319">
        <v>0</v>
      </c>
      <c r="M179" s="329"/>
    </row>
    <row r="180" spans="2:13" s="37" customFormat="1" ht="15.75">
      <c r="B180" s="48" t="s">
        <v>750</v>
      </c>
      <c r="C180" s="158" t="s">
        <v>635</v>
      </c>
      <c r="D180" s="159">
        <f t="shared" ref="D180:I180" si="43">SUM(D181:D186)</f>
        <v>625074.41414279712</v>
      </c>
      <c r="E180" s="159">
        <f t="shared" si="43"/>
        <v>625335.28452965315</v>
      </c>
      <c r="F180" s="159">
        <f t="shared" si="43"/>
        <v>613524.38614135352</v>
      </c>
      <c r="G180" s="159">
        <f t="shared" si="43"/>
        <v>623191.72495824413</v>
      </c>
      <c r="H180" s="159">
        <f t="shared" si="43"/>
        <v>596188.97072202724</v>
      </c>
      <c r="I180" s="159">
        <f t="shared" si="43"/>
        <v>598982.63474667422</v>
      </c>
      <c r="J180" s="159">
        <f t="shared" si="41"/>
        <v>3682297.4152407488</v>
      </c>
      <c r="K180" s="69"/>
      <c r="L180" s="319"/>
      <c r="M180" s="69"/>
    </row>
    <row r="181" spans="2:13" s="37" customFormat="1" ht="15.75">
      <c r="B181" s="48"/>
      <c r="C181" s="160" t="s">
        <v>304</v>
      </c>
      <c r="D181" s="156">
        <f>(($E$19+$F$19)*(F801ENE!R72+F801ENE!Y72)*$L181)</f>
        <v>449752.02509951842</v>
      </c>
      <c r="E181" s="156">
        <f>(($E$19+$F$19)*(F801ENE!S72+F801ENE!Z72)*$L181)</f>
        <v>449939.72592700785</v>
      </c>
      <c r="F181" s="156">
        <f>(($E$19+$F$19)*(F801ENE!T72+F801ENE!AA72)*$L181)</f>
        <v>441441.57698954549</v>
      </c>
      <c r="G181" s="156">
        <f>(($E$19+$F$19)*(F801ENE!U72+F801ENE!AB72)*$L181)</f>
        <v>448397.39714766596</v>
      </c>
      <c r="H181" s="156">
        <f>(($E$19+$F$19)*(F801ENE!V72+F801ENE!AC72)*$L181)</f>
        <v>428968.44096865214</v>
      </c>
      <c r="I181" s="156">
        <f>(($E$19+$F$19)*(F801ENE!W72+F801ENE!AD72)*$L181)</f>
        <v>430978.53132606298</v>
      </c>
      <c r="J181" s="330">
        <f t="shared" si="41"/>
        <v>2649477.697458453</v>
      </c>
      <c r="K181" s="69"/>
      <c r="L181" s="319">
        <v>1</v>
      </c>
      <c r="M181" s="329"/>
    </row>
    <row r="182" spans="2:13" s="37" customFormat="1" ht="15.75">
      <c r="B182" s="48"/>
      <c r="C182" s="162" t="s">
        <v>642</v>
      </c>
      <c r="D182" s="156">
        <f>(($E$19+$F$19)*(F801ENE!R73+F801ENE!Y73)*$L182)</f>
        <v>141537.0018687172</v>
      </c>
      <c r="E182" s="156">
        <f>(($E$19+$F$19)*(F801ENE!S73+F801ENE!Z73)*$L182)</f>
        <v>141596.07133564237</v>
      </c>
      <c r="F182" s="156">
        <f>(($E$19+$F$19)*(F801ENE!T73+F801ENE!AA73)*$L182)</f>
        <v>138921.70311734232</v>
      </c>
      <c r="G182" s="156">
        <f>(($E$19+$F$19)*(F801ENE!U73+F801ENE!AB73)*$L182)</f>
        <v>141110.70033308692</v>
      </c>
      <c r="H182" s="156">
        <f>(($E$19+$F$19)*(F801ENE!V73+F801ENE!AC73)*$L182)</f>
        <v>134996.40611416081</v>
      </c>
      <c r="I182" s="156">
        <f>(($E$19+$F$19)*(F801ENE!W73+F801ENE!AD73)*$L182)</f>
        <v>135628.98172648891</v>
      </c>
      <c r="J182" s="330">
        <f t="shared" si="41"/>
        <v>833790.86449543852</v>
      </c>
      <c r="K182" s="69"/>
      <c r="L182" s="319">
        <v>0.75</v>
      </c>
      <c r="M182" s="329"/>
    </row>
    <row r="183" spans="2:13" s="37" customFormat="1" ht="15.75">
      <c r="B183" s="48"/>
      <c r="C183" s="162" t="s">
        <v>1177</v>
      </c>
      <c r="D183" s="156">
        <f>(($E$19+$F$19)*(F801ENE!R74+F801ENE!Y74)*$L183)</f>
        <v>33681.684155312832</v>
      </c>
      <c r="E183" s="156">
        <f>(($E$19+$F$19)*(F801ENE!S74+F801ENE!Z74)*$L183)</f>
        <v>33695.740968032667</v>
      </c>
      <c r="F183" s="156">
        <f>(($E$19+$F$19)*(F801ENE!T74+F801ENE!AA74)*$L183)</f>
        <v>33059.319223510051</v>
      </c>
      <c r="G183" s="156">
        <f>(($E$19+$F$19)*(F801ENE!U74+F801ENE!AB74)*$L183)</f>
        <v>33580.236805938133</v>
      </c>
      <c r="H183" s="156">
        <f>(($E$19+$F$19)*(F801ENE!V74+F801ENE!AC74)*$L183)</f>
        <v>32125.212861700951</v>
      </c>
      <c r="I183" s="156">
        <f>(($E$19+$F$19)*(F801ENE!W74+F801ENE!AD74)*$L183)</f>
        <v>32275.747433561901</v>
      </c>
      <c r="J183" s="330">
        <f t="shared" si="41"/>
        <v>198417.94144805652</v>
      </c>
      <c r="K183" s="69"/>
      <c r="L183" s="319">
        <v>1</v>
      </c>
      <c r="M183" s="329"/>
    </row>
    <row r="184" spans="2:13" s="37" customFormat="1" ht="15.75">
      <c r="B184" s="48"/>
      <c r="C184" s="160" t="s">
        <v>305</v>
      </c>
      <c r="D184" s="156">
        <f>(($E$19+$F$19)*(F801ENE!R75+F801ENE!Y75)*$L184)</f>
        <v>98.875661234441651</v>
      </c>
      <c r="E184" s="156">
        <f>(($E$19+$F$19)*(F801ENE!S75+F801ENE!Z75)*$L184)</f>
        <v>98.916926292510396</v>
      </c>
      <c r="F184" s="156">
        <f>(($E$19+$F$19)*(F801ENE!T75+F801ENE!AA75)*$L184)</f>
        <v>97.048652113479349</v>
      </c>
      <c r="G184" s="156">
        <f>(($E$19+$F$19)*(F801ENE!U75+F801ENE!AB75)*$L184)</f>
        <v>98.577853271405957</v>
      </c>
      <c r="H184" s="156">
        <f>(($E$19+$F$19)*(F801ENE!V75+F801ENE!AC75)*$L184)</f>
        <v>94.306497541834943</v>
      </c>
      <c r="I184" s="156">
        <f>(($E$19+$F$19)*(F801ENE!W75+F801ENE!AD75)*$L184)</f>
        <v>94.748405531434301</v>
      </c>
      <c r="J184" s="156">
        <f t="shared" si="41"/>
        <v>582.47399598510663</v>
      </c>
      <c r="K184" s="69"/>
      <c r="L184" s="319">
        <v>0.95</v>
      </c>
      <c r="M184" s="329"/>
    </row>
    <row r="185" spans="2:13" s="37" customFormat="1" ht="15.75">
      <c r="B185" s="48"/>
      <c r="C185" s="160" t="s">
        <v>307</v>
      </c>
      <c r="D185" s="156">
        <f>(($E$19+$F$19)*(F801ENE!R76+F801ENE!Y76)*$L185)</f>
        <v>4.8273580141399375</v>
      </c>
      <c r="E185" s="156">
        <f>(($E$19+$F$19)*(F801ENE!S76+F801ENE!Z76)*$L185)</f>
        <v>4.8293726778730051</v>
      </c>
      <c r="F185" s="156">
        <f>(($E$19+$F$19)*(F801ENE!T76+F801ENE!AA76)*$L185)</f>
        <v>4.7381588420497289</v>
      </c>
      <c r="G185" s="156">
        <f>(($E$19+$F$19)*(F801ENE!U76+F801ENE!AB76)*$L185)</f>
        <v>4.812818281721599</v>
      </c>
      <c r="H185" s="156">
        <f>(($E$19+$F$19)*(F801ENE!V76+F801ENE!AC76)*$L185)</f>
        <v>4.6042799715352629</v>
      </c>
      <c r="I185" s="156">
        <f>(($E$19+$F$19)*(F801ENE!W76+F801ENE!AD76)*$L185)</f>
        <v>4.6258550290213201</v>
      </c>
      <c r="J185" s="156">
        <f t="shared" si="41"/>
        <v>28.437842816340851</v>
      </c>
      <c r="K185" s="69"/>
      <c r="L185" s="319">
        <v>0.5</v>
      </c>
      <c r="M185" s="329"/>
    </row>
    <row r="186" spans="2:13" s="37" customFormat="1" ht="15.75">
      <c r="B186" s="48"/>
      <c r="C186" s="160" t="s">
        <v>624</v>
      </c>
      <c r="D186" s="156">
        <f>(($E$19+$F$19)*(F801ENE!R77+F801ENE!Y77)*$L186)</f>
        <v>0</v>
      </c>
      <c r="E186" s="156">
        <f>(($E$19+$F$19)*(F801ENE!S77+F801ENE!Z77)*$L186)</f>
        <v>0</v>
      </c>
      <c r="F186" s="156">
        <f>(($E$19+$F$19)*(F801ENE!T77+F801ENE!AA77)*$L186)</f>
        <v>0</v>
      </c>
      <c r="G186" s="156">
        <f>(($E$19+$F$19)*(F801ENE!U77+F801ENE!AB77)*$L186)</f>
        <v>0</v>
      </c>
      <c r="H186" s="156">
        <f>(($E$19+$F$19)*(F801ENE!V77+F801ENE!AC77)*$L186)</f>
        <v>0</v>
      </c>
      <c r="I186" s="156">
        <f>(($E$19+$F$19)*(F801ENE!W77+F801ENE!AD77)*$L186)</f>
        <v>0</v>
      </c>
      <c r="J186" s="156"/>
      <c r="K186" s="69"/>
      <c r="L186" s="319">
        <v>0</v>
      </c>
      <c r="M186" s="329"/>
    </row>
    <row r="187" spans="2:13" s="37" customFormat="1" ht="15.75">
      <c r="B187" s="48" t="s">
        <v>749</v>
      </c>
      <c r="C187" s="158" t="s">
        <v>636</v>
      </c>
      <c r="D187" s="159">
        <f t="shared" ref="D187:I187" si="44">SUM(D188:D193)</f>
        <v>711113.4263324429</v>
      </c>
      <c r="E187" s="159">
        <f t="shared" si="44"/>
        <v>711410.20449265675</v>
      </c>
      <c r="F187" s="159">
        <f t="shared" si="44"/>
        <v>697973.58281860186</v>
      </c>
      <c r="G187" s="159">
        <f t="shared" si="44"/>
        <v>708971.59245402005</v>
      </c>
      <c r="H187" s="159">
        <f t="shared" si="44"/>
        <v>678252.01627097942</v>
      </c>
      <c r="I187" s="159">
        <f t="shared" si="44"/>
        <v>681430.21706058097</v>
      </c>
      <c r="J187" s="159">
        <f t="shared" ref="J187:J193" si="45">SUM(D187:I187)</f>
        <v>4189151.0394292814</v>
      </c>
      <c r="K187" s="69"/>
      <c r="L187" s="319"/>
      <c r="M187" s="69"/>
    </row>
    <row r="188" spans="2:13" s="37" customFormat="1" ht="15.75">
      <c r="B188" s="48"/>
      <c r="C188" s="160" t="s">
        <v>304</v>
      </c>
      <c r="D188" s="156">
        <f>(($E$20+$F$20)*(F801ENE!R79+F801ENE!Y79)*$L188)</f>
        <v>647455.37147763011</v>
      </c>
      <c r="E188" s="156">
        <f>(($E$20+$F$20)*(F801ENE!S79+F801ENE!Z79)*$L188)</f>
        <v>647725.5823987748</v>
      </c>
      <c r="F188" s="156">
        <f>(($E$20+$F$20)*(F801ENE!T79+F801ENE!AA79)*$L188)</f>
        <v>635491.79162049096</v>
      </c>
      <c r="G188" s="156">
        <f>(($E$20+$F$20)*(F801ENE!U79+F801ENE!AB79)*$L188)</f>
        <v>645505.27210100915</v>
      </c>
      <c r="H188" s="156">
        <f>(($E$20+$F$20)*(F801ENE!V79+F801ENE!AC79)*$L188)</f>
        <v>617535.6769946334</v>
      </c>
      <c r="I188" s="156">
        <f>(($E$20+$F$20)*(F801ENE!W79+F801ENE!AD79)*$L188)</f>
        <v>620429.36891024641</v>
      </c>
      <c r="J188" s="330">
        <f t="shared" si="45"/>
        <v>3814143.0635027853</v>
      </c>
      <c r="K188" s="69"/>
      <c r="L188" s="319">
        <v>1</v>
      </c>
      <c r="M188" s="329"/>
    </row>
    <row r="189" spans="2:13" s="37" customFormat="1" ht="15.75">
      <c r="B189" s="48"/>
      <c r="C189" s="162" t="s">
        <v>642</v>
      </c>
      <c r="D189" s="156">
        <f>(($E$20+$F$20)*(F801ENE!R80+F801ENE!Y80)*$L189)</f>
        <v>0</v>
      </c>
      <c r="E189" s="156">
        <f>(($E$20+$F$20)*(F801ENE!S80+F801ENE!Z80)*$L189)</f>
        <v>0</v>
      </c>
      <c r="F189" s="156">
        <f>(($E$20+$F$20)*(F801ENE!T80+F801ENE!AA80)*$L189)</f>
        <v>0</v>
      </c>
      <c r="G189" s="156">
        <f>(($E$20+$F$20)*(F801ENE!U80+F801ENE!AB80)*$L189)</f>
        <v>0</v>
      </c>
      <c r="H189" s="156">
        <f>(($E$20+$F$20)*(F801ENE!V80+F801ENE!AC80)*$L189)</f>
        <v>0</v>
      </c>
      <c r="I189" s="156">
        <f>(($E$20+$F$20)*(F801ENE!W80+F801ENE!AD80)*$L189)</f>
        <v>0</v>
      </c>
      <c r="J189" s="330">
        <f t="shared" si="45"/>
        <v>0</v>
      </c>
      <c r="K189" s="69"/>
      <c r="L189" s="319">
        <v>0.75</v>
      </c>
      <c r="M189" s="329"/>
    </row>
    <row r="190" spans="2:13" s="37" customFormat="1" ht="15.75">
      <c r="B190" s="48"/>
      <c r="C190" s="162" t="s">
        <v>1177</v>
      </c>
      <c r="D190" s="156">
        <f>(($E$20+$F$20)*(F801ENE!R81+F801ENE!Y81)*$L190)</f>
        <v>63207.421034291525</v>
      </c>
      <c r="E190" s="156">
        <f>(($E$20+$F$20)*(F801ENE!S81+F801ENE!Z81)*$L190)</f>
        <v>63233.80020452202</v>
      </c>
      <c r="F190" s="156">
        <f>(($E$20+$F$20)*(F801ENE!T81+F801ENE!AA81)*$L190)</f>
        <v>62039.484119378329</v>
      </c>
      <c r="G190" s="156">
        <f>(($E$20+$F$20)*(F801ENE!U81+F801ENE!AB81)*$L190)</f>
        <v>63017.043816359917</v>
      </c>
      <c r="H190" s="156">
        <f>(($E$20+$F$20)*(F801ENE!V81+F801ENE!AC81)*$L190)</f>
        <v>60286.529788786618</v>
      </c>
      <c r="I190" s="156">
        <f>(($E$20+$F$20)*(F801ENE!W81+F801ENE!AD81)*$L190)</f>
        <v>60569.024631382876</v>
      </c>
      <c r="J190" s="330">
        <f t="shared" si="45"/>
        <v>372353.30359472131</v>
      </c>
      <c r="K190" s="69"/>
      <c r="L190" s="319">
        <v>1</v>
      </c>
      <c r="M190" s="329"/>
    </row>
    <row r="191" spans="2:13" s="37" customFormat="1" ht="15.75">
      <c r="B191" s="48"/>
      <c r="C191" s="160" t="s">
        <v>305</v>
      </c>
      <c r="D191" s="156">
        <f>(($E$20+$F$20)*(F801ENE!R82+F801ENE!Y82)*$L191)</f>
        <v>448.75963187323373</v>
      </c>
      <c r="E191" s="156">
        <f>(($E$20+$F$20)*(F801ENE!S82+F801ENE!Z82)*$L191)</f>
        <v>448.94691853242733</v>
      </c>
      <c r="F191" s="156">
        <f>(($E$20+$F$20)*(F801ENE!T82+F801ENE!AA82)*$L191)</f>
        <v>440.4675210512583</v>
      </c>
      <c r="G191" s="156">
        <f>(($E$20+$F$20)*(F801ENE!U82+F801ENE!AB82)*$L191)</f>
        <v>447.40799295428951</v>
      </c>
      <c r="H191" s="156">
        <f>(($E$20+$F$20)*(F801ENE!V82+F801ENE!AC82)*$L191)</f>
        <v>428.02190743161469</v>
      </c>
      <c r="I191" s="156">
        <f>(($E$20+$F$20)*(F801ENE!W82+F801ENE!AD82)*$L191)</f>
        <v>430.02756245590064</v>
      </c>
      <c r="J191" s="156">
        <f t="shared" si="45"/>
        <v>2643.6315342987245</v>
      </c>
      <c r="K191" s="69"/>
      <c r="L191" s="319">
        <v>0.95</v>
      </c>
      <c r="M191" s="329"/>
    </row>
    <row r="192" spans="2:13" s="37" customFormat="1" ht="15.75">
      <c r="B192" s="48"/>
      <c r="C192" s="160" t="s">
        <v>307</v>
      </c>
      <c r="D192" s="156">
        <f>(($E$20+$F$20)*(F801ENE!R83+F801ENE!Y83)*$L192)</f>
        <v>1.8741886481287251</v>
      </c>
      <c r="E192" s="156">
        <f>(($E$20+$F$20)*(F801ENE!S83+F801ENE!Z83)*$L192)</f>
        <v>1.8749708275086789</v>
      </c>
      <c r="F192" s="156">
        <f>(($E$20+$F$20)*(F801ENE!T83+F801ENE!AA83)*$L192)</f>
        <v>1.8395576811972751</v>
      </c>
      <c r="G192" s="156">
        <f>(($E$20+$F$20)*(F801ENE!U83+F801ENE!AB83)*$L192)</f>
        <v>1.8685436967152482</v>
      </c>
      <c r="H192" s="156">
        <f>(($E$20+$F$20)*(F801ENE!V83+F801ENE!AC83)*$L192)</f>
        <v>1.7875801277182195</v>
      </c>
      <c r="I192" s="156">
        <f>(($E$20+$F$20)*(F801ENE!W83+F801ENE!AD83)*$L192)</f>
        <v>1.7959564958484993</v>
      </c>
      <c r="J192" s="156">
        <f t="shared" si="45"/>
        <v>11.040797477116646</v>
      </c>
      <c r="K192" s="69"/>
      <c r="L192" s="319">
        <v>0.5</v>
      </c>
      <c r="M192" s="329"/>
    </row>
    <row r="193" spans="2:13" s="37" customFormat="1" ht="15.75">
      <c r="B193" s="48"/>
      <c r="C193" s="160" t="s">
        <v>624</v>
      </c>
      <c r="D193" s="156">
        <f>(($E$20+$F$20)*(F801ENE!R84+F801ENE!Y84)*$L193)</f>
        <v>0</v>
      </c>
      <c r="E193" s="156">
        <f>(($E$20+$F$20)*(F801ENE!S84+F801ENE!Z84)*$L193)</f>
        <v>0</v>
      </c>
      <c r="F193" s="156">
        <f>(($E$20+$F$20)*(F801ENE!T84+F801ENE!AA84)*$L193)</f>
        <v>0</v>
      </c>
      <c r="G193" s="156">
        <f>(($E$20+$F$20)*(F801ENE!U84+F801ENE!AB84)*$L193)</f>
        <v>0</v>
      </c>
      <c r="H193" s="156">
        <f>(($E$20+$F$20)*(F801ENE!V84+F801ENE!AC84)*$L193)</f>
        <v>0</v>
      </c>
      <c r="I193" s="156">
        <f>(($E$20+$F$20)*(F801ENE!W84+F801ENE!AD84)*$L193)</f>
        <v>0</v>
      </c>
      <c r="J193" s="156">
        <f t="shared" si="45"/>
        <v>0</v>
      </c>
      <c r="K193" s="69"/>
      <c r="L193" s="319">
        <v>0</v>
      </c>
      <c r="M193" s="329"/>
    </row>
    <row r="194" spans="2:13" s="37" customFormat="1" ht="15.75">
      <c r="B194" s="48"/>
      <c r="C194" s="157"/>
      <c r="D194" s="156"/>
      <c r="E194" s="156"/>
      <c r="F194" s="156"/>
      <c r="G194" s="156"/>
      <c r="H194" s="156"/>
      <c r="I194" s="156"/>
      <c r="J194" s="156"/>
      <c r="K194" s="69"/>
      <c r="L194" s="319"/>
      <c r="M194" s="69"/>
    </row>
    <row r="195" spans="2:13" s="37" customFormat="1" ht="15.75">
      <c r="B195" s="48" t="s">
        <v>902</v>
      </c>
      <c r="C195" s="158" t="s">
        <v>898</v>
      </c>
      <c r="D195" s="159">
        <f t="shared" ref="D195:H195" si="46">SUM(D196:D200)</f>
        <v>154220.67565142803</v>
      </c>
      <c r="E195" s="159">
        <f t="shared" si="46"/>
        <v>154285.03855992042</v>
      </c>
      <c r="F195" s="159">
        <f t="shared" si="46"/>
        <v>151371.00994463643</v>
      </c>
      <c r="G195" s="159">
        <f t="shared" si="46"/>
        <v>153756.17159956798</v>
      </c>
      <c r="H195" s="159">
        <f t="shared" si="46"/>
        <v>147093.95201652884</v>
      </c>
      <c r="I195" s="159">
        <f t="shared" ref="I195" si="47">SUM(I196:I200)</f>
        <v>147783.21515652633</v>
      </c>
      <c r="J195" s="159">
        <f t="shared" ref="J195:J214" si="48">SUM(D195:I195)</f>
        <v>908510.06292860804</v>
      </c>
      <c r="K195" s="69"/>
      <c r="L195" s="319"/>
      <c r="M195" s="69"/>
    </row>
    <row r="196" spans="2:13" s="37" customFormat="1" ht="15.75">
      <c r="B196" s="48"/>
      <c r="C196" s="160" t="s">
        <v>304</v>
      </c>
      <c r="D196" s="156">
        <f>(($E$17+$F$17)*(F801ENE!R87+F801ENE!Y87)*$L196)</f>
        <v>148331.27072799421</v>
      </c>
      <c r="E196" s="156">
        <f>(($E$17+$F$17)*(F801ENE!S87+F801ENE!Z87)*$L196)</f>
        <v>148393.17573498565</v>
      </c>
      <c r="F196" s="156">
        <f>(($E$17+$F$17)*(F801ENE!T87+F801ENE!AA87)*$L196)</f>
        <v>145590.42853123348</v>
      </c>
      <c r="G196" s="156">
        <f>(($E$17+$F$17)*(F801ENE!U87+F801ENE!AB87)*$L196)</f>
        <v>147884.50523445927</v>
      </c>
      <c r="H196" s="156">
        <f>(($E$17+$F$17)*(F801ENE!V87+F801ENE!AC87)*$L196)</f>
        <v>141476.70360574184</v>
      </c>
      <c r="I196" s="156">
        <f>(($E$17+$F$17)*(F801ENE!W87+F801ENE!AD87)*$L196)</f>
        <v>142139.64504981175</v>
      </c>
      <c r="J196" s="156">
        <f t="shared" si="48"/>
        <v>873815.72888422618</v>
      </c>
      <c r="K196" s="69"/>
      <c r="L196" s="319">
        <v>1</v>
      </c>
      <c r="M196" s="329"/>
    </row>
    <row r="197" spans="2:13" s="37" customFormat="1" ht="15.75">
      <c r="B197" s="48"/>
      <c r="C197" s="162" t="s">
        <v>644</v>
      </c>
      <c r="D197" s="156">
        <f>(($E$17+$F$17)*(F801ENE!R88+F801ENE!Y88)*$L197)</f>
        <v>5889.4049234338054</v>
      </c>
      <c r="E197" s="156">
        <f>(($E$17+$F$17)*(F801ENE!S88+F801ENE!Z88)*$L197)</f>
        <v>5891.8628249347594</v>
      </c>
      <c r="F197" s="156">
        <f>(($E$17+$F$17)*(F801ENE!T88+F801ENE!AA88)*$L197)</f>
        <v>5780.5814134029479</v>
      </c>
      <c r="G197" s="156">
        <f>(($E$17+$F$17)*(F801ENE!U88+F801ENE!AB88)*$L197)</f>
        <v>5871.6663651087038</v>
      </c>
      <c r="H197" s="156">
        <f>(($E$17+$F$17)*(F801ENE!V88+F801ENE!AC88)*$L197)</f>
        <v>5617.2484107869968</v>
      </c>
      <c r="I197" s="156">
        <f>(($E$17+$F$17)*(F801ENE!W88+F801ENE!AD88)*$L197)</f>
        <v>5643.5701067145746</v>
      </c>
      <c r="J197" s="156">
        <f t="shared" si="48"/>
        <v>34694.334044381787</v>
      </c>
      <c r="K197" s="69"/>
      <c r="L197" s="319">
        <v>0.75</v>
      </c>
      <c r="M197" s="329"/>
    </row>
    <row r="198" spans="2:13" s="37" customFormat="1" ht="15.75">
      <c r="B198" s="48"/>
      <c r="C198" s="160" t="s">
        <v>305</v>
      </c>
      <c r="D198" s="156">
        <f>(($E$17+$F$17)*(F801ENE!R89+F801ENE!Y89)*$L198)</f>
        <v>0</v>
      </c>
      <c r="E198" s="156">
        <f>(($E$17+$F$17)*(F801ENE!S89+F801ENE!Z89)*$L198)</f>
        <v>0</v>
      </c>
      <c r="F198" s="156">
        <f>(($E$17+$F$17)*(F801ENE!T89+F801ENE!AA89)*$L198)</f>
        <v>0</v>
      </c>
      <c r="G198" s="156">
        <f>(($E$17+$F$17)*(F801ENE!U89+F801ENE!AB89)*$L198)</f>
        <v>0</v>
      </c>
      <c r="H198" s="156">
        <f>(($E$17+$F$17)*(F801ENE!V89+F801ENE!AC89)*$L198)</f>
        <v>0</v>
      </c>
      <c r="I198" s="156">
        <f>(($E$17+$F$17)*(F801ENE!W89+F801ENE!AD89)*$L198)</f>
        <v>0</v>
      </c>
      <c r="J198" s="156">
        <f t="shared" si="48"/>
        <v>0</v>
      </c>
      <c r="K198" s="69"/>
      <c r="L198" s="319">
        <v>0.95</v>
      </c>
      <c r="M198" s="329"/>
    </row>
    <row r="199" spans="2:13" s="37" customFormat="1" ht="15.75">
      <c r="B199" s="48"/>
      <c r="C199" s="160" t="s">
        <v>307</v>
      </c>
      <c r="D199" s="156">
        <f>(($E$17+$F$17)*(F801ENE!R90+F801ENE!Y90)*$L199)</f>
        <v>0</v>
      </c>
      <c r="E199" s="156">
        <f>(($E$17+$F$17)*(F801ENE!S90+F801ENE!Z90)*$L199)</f>
        <v>0</v>
      </c>
      <c r="F199" s="156">
        <f>(($E$17+$F$17)*(F801ENE!T90+F801ENE!AA90)*$L199)</f>
        <v>0</v>
      </c>
      <c r="G199" s="156">
        <f>(($E$17+$F$17)*(F801ENE!U90+F801ENE!AB90)*$L199)</f>
        <v>0</v>
      </c>
      <c r="H199" s="156">
        <f>(($E$17+$F$17)*(F801ENE!V90+F801ENE!AC90)*$L199)</f>
        <v>0</v>
      </c>
      <c r="I199" s="156">
        <f>(($E$17+$F$17)*(F801ENE!W90+F801ENE!AD90)*$L199)</f>
        <v>0</v>
      </c>
      <c r="J199" s="156">
        <f t="shared" si="48"/>
        <v>0</v>
      </c>
      <c r="K199" s="69"/>
      <c r="L199" s="319">
        <v>0.5</v>
      </c>
      <c r="M199" s="329"/>
    </row>
    <row r="200" spans="2:13" s="37" customFormat="1" ht="15.75">
      <c r="B200" s="48"/>
      <c r="C200" s="160" t="s">
        <v>624</v>
      </c>
      <c r="D200" s="156">
        <f>(($E$17+$F$17)*(F801ENE!R91+F801ENE!Y91)*$L200)</f>
        <v>0</v>
      </c>
      <c r="E200" s="156">
        <f>(($E$17+$F$17)*(F801ENE!S91+F801ENE!Z91)*$L200)</f>
        <v>0</v>
      </c>
      <c r="F200" s="156">
        <f>(($E$17+$F$17)*(F801ENE!T91+F801ENE!AA91)*$L200)</f>
        <v>0</v>
      </c>
      <c r="G200" s="156">
        <f>(($E$17+$F$17)*(F801ENE!U91+F801ENE!AB91)*$L200)</f>
        <v>0</v>
      </c>
      <c r="H200" s="156">
        <f>(($E$17+$F$17)*(F801ENE!V91+F801ENE!AC91)*$L200)</f>
        <v>0</v>
      </c>
      <c r="I200" s="156">
        <f>(($E$17+$F$17)*(F801ENE!W91+F801ENE!AD91)*$L200)</f>
        <v>0</v>
      </c>
      <c r="J200" s="156">
        <f t="shared" si="48"/>
        <v>0</v>
      </c>
      <c r="K200" s="69"/>
      <c r="L200" s="319">
        <v>0</v>
      </c>
      <c r="M200" s="329"/>
    </row>
    <row r="201" spans="2:13" s="37" customFormat="1" ht="15.75">
      <c r="B201" s="48" t="s">
        <v>902</v>
      </c>
      <c r="C201" s="158" t="s">
        <v>899</v>
      </c>
      <c r="D201" s="159">
        <f t="shared" ref="D201:I201" si="49">SUM(D202:D207)</f>
        <v>12206.463226863527</v>
      </c>
      <c r="E201" s="159">
        <f t="shared" si="49"/>
        <v>12211.557507979645</v>
      </c>
      <c r="F201" s="159">
        <f t="shared" si="49"/>
        <v>11980.914094025946</v>
      </c>
      <c r="G201" s="159">
        <f t="shared" si="49"/>
        <v>12169.698042144884</v>
      </c>
      <c r="H201" s="159">
        <f t="shared" si="49"/>
        <v>11642.387822512188</v>
      </c>
      <c r="I201" s="159">
        <f t="shared" si="49"/>
        <v>11696.942538580401</v>
      </c>
      <c r="J201" s="159">
        <f t="shared" si="48"/>
        <v>71907.963232106587</v>
      </c>
      <c r="K201" s="69"/>
      <c r="L201" s="319"/>
      <c r="M201" s="69"/>
    </row>
    <row r="202" spans="2:13" s="37" customFormat="1" ht="15.75">
      <c r="B202" s="48"/>
      <c r="C202" s="160" t="s">
        <v>304</v>
      </c>
      <c r="D202" s="156">
        <f>(($E$17+$F$17)*(F801ENE!R93+F801ENE!Y93)*$L202)</f>
        <v>11087.998865432422</v>
      </c>
      <c r="E202" s="156">
        <f>(($E$17+$F$17)*(F801ENE!S93+F801ENE!Z93)*$L202)</f>
        <v>11092.626363355934</v>
      </c>
      <c r="F202" s="156">
        <f>(($E$17+$F$17)*(F801ENE!T93+F801ENE!AA93)*$L202)</f>
        <v>10883.116543459051</v>
      </c>
      <c r="G202" s="156">
        <f>(($E$17+$F$17)*(F801ENE!U93+F801ENE!AB93)*$L202)</f>
        <v>11054.602432831816</v>
      </c>
      <c r="H202" s="156">
        <f>(($E$17+$F$17)*(F801ENE!V93+F801ENE!AC93)*$L202)</f>
        <v>10575.609049707473</v>
      </c>
      <c r="I202" s="156">
        <f>(($E$17+$F$17)*(F801ENE!W93+F801ENE!AD93)*$L202)</f>
        <v>10625.164979105359</v>
      </c>
      <c r="J202" s="156">
        <f t="shared" si="48"/>
        <v>65319.118233892055</v>
      </c>
      <c r="K202" s="69"/>
      <c r="L202" s="319">
        <v>1</v>
      </c>
      <c r="M202" s="329"/>
    </row>
    <row r="203" spans="2:13" s="37" customFormat="1" ht="15.75">
      <c r="B203" s="48"/>
      <c r="C203" s="162" t="s">
        <v>642</v>
      </c>
      <c r="D203" s="156">
        <f>(($E$17+$F$17)*(F801ENE!R94+F801ENE!Y94)*$L203)</f>
        <v>1014.2308049585384</v>
      </c>
      <c r="E203" s="156">
        <f>(($E$17+$F$17)*(F801ENE!S94+F801ENE!Z94)*$L203)</f>
        <v>1014.6540870133863</v>
      </c>
      <c r="F203" s="156">
        <f>(($E$17+$F$17)*(F801ENE!T94+F801ENE!AA94)*$L203)</f>
        <v>995.4900055718565</v>
      </c>
      <c r="G203" s="156">
        <f>(($E$17+$F$17)*(F801ENE!U94+F801ENE!AB94)*$L203)</f>
        <v>1011.1759984844095</v>
      </c>
      <c r="H203" s="156">
        <f>(($E$17+$F$17)*(F801ENE!V94+F801ENE!AC94)*$L203)</f>
        <v>967.36197483307603</v>
      </c>
      <c r="I203" s="156">
        <f>(($E$17+$F$17)*(F801ENE!W94+F801ENE!AD94)*$L203)</f>
        <v>971.89490731022306</v>
      </c>
      <c r="J203" s="156">
        <f t="shared" si="48"/>
        <v>5974.8077781714892</v>
      </c>
      <c r="K203" s="69"/>
      <c r="L203" s="319">
        <v>0.75</v>
      </c>
      <c r="M203" s="329"/>
    </row>
    <row r="204" spans="2:13" s="37" customFormat="1" ht="15.75">
      <c r="B204" s="48"/>
      <c r="C204" s="162" t="s">
        <v>1177</v>
      </c>
      <c r="D204" s="156">
        <f>(($E$17+$F$17)*(F801ENE!R95+F801ENE!Y95)*$L204)</f>
        <v>104.23355647256477</v>
      </c>
      <c r="E204" s="156">
        <f>(($E$17+$F$17)*(F801ENE!S95+F801ENE!Z95)*$L204)</f>
        <v>104.27705761032561</v>
      </c>
      <c r="F204" s="156">
        <f>(($E$17+$F$17)*(F801ENE!T95+F801ENE!AA95)*$L204)</f>
        <v>102.30754499503666</v>
      </c>
      <c r="G204" s="156">
        <f>(($E$17+$F$17)*(F801ENE!U95+F801ENE!AB95)*$L204)</f>
        <v>103.91961082865693</v>
      </c>
      <c r="H204" s="156">
        <f>(($E$17+$F$17)*(F801ENE!V95+F801ENE!AC95)*$L204)</f>
        <v>99.416797971638417</v>
      </c>
      <c r="I204" s="156">
        <f>(($E$17+$F$17)*(F801ENE!W95+F801ENE!AD95)*$L204)</f>
        <v>99.882652164819163</v>
      </c>
      <c r="J204" s="156">
        <f t="shared" si="48"/>
        <v>614.03722004304154</v>
      </c>
      <c r="K204" s="69"/>
      <c r="L204" s="319">
        <v>1</v>
      </c>
      <c r="M204" s="329"/>
    </row>
    <row r="205" spans="2:13" s="37" customFormat="1" ht="15.75">
      <c r="B205" s="48"/>
      <c r="C205" s="160" t="s">
        <v>305</v>
      </c>
      <c r="D205" s="156">
        <f>(($E$17+$F$17)*(F801ENE!R96+F801ENE!Y96)*$L205)</f>
        <v>0</v>
      </c>
      <c r="E205" s="156">
        <f>(($E$17+$F$17)*(F801ENE!S96+F801ENE!Z96)*$L205)</f>
        <v>0</v>
      </c>
      <c r="F205" s="156">
        <f>(($E$17+$F$17)*(F801ENE!T96+F801ENE!AA96)*$L205)</f>
        <v>0</v>
      </c>
      <c r="G205" s="156">
        <f>(($E$17+$F$17)*(F801ENE!U96+F801ENE!AB96)*$L205)</f>
        <v>0</v>
      </c>
      <c r="H205" s="156">
        <f>(($E$17+$F$17)*(F801ENE!V96+F801ENE!AC96)*$L205)</f>
        <v>0</v>
      </c>
      <c r="I205" s="156">
        <f>(($E$17+$F$17)*(F801ENE!W96+F801ENE!AD96)*$L205)</f>
        <v>0</v>
      </c>
      <c r="J205" s="156">
        <f t="shared" si="48"/>
        <v>0</v>
      </c>
      <c r="K205" s="69"/>
      <c r="L205" s="319">
        <v>0.95</v>
      </c>
      <c r="M205" s="329"/>
    </row>
    <row r="206" spans="2:13" s="37" customFormat="1" ht="15.75">
      <c r="B206" s="48"/>
      <c r="C206" s="160" t="s">
        <v>307</v>
      </c>
      <c r="D206" s="156">
        <f>(($E$17+$F$17)*(F801ENE!R97+F801ENE!Y97)*$L206)</f>
        <v>0</v>
      </c>
      <c r="E206" s="156">
        <f>(($E$17+$F$17)*(F801ENE!S97+F801ENE!Z97)*$L206)</f>
        <v>0</v>
      </c>
      <c r="F206" s="156">
        <f>(($E$17+$F$17)*(F801ENE!T97+F801ENE!AA97)*$L206)</f>
        <v>0</v>
      </c>
      <c r="G206" s="156">
        <f>(($E$17+$F$17)*(F801ENE!U97+F801ENE!AB97)*$L206)</f>
        <v>0</v>
      </c>
      <c r="H206" s="156">
        <f>(($E$17+$F$17)*(F801ENE!V97+F801ENE!AC97)*$L206)</f>
        <v>0</v>
      </c>
      <c r="I206" s="156">
        <f>(($E$17+$F$17)*(F801ENE!W97+F801ENE!AD97)*$L206)</f>
        <v>0</v>
      </c>
      <c r="J206" s="156">
        <f t="shared" si="48"/>
        <v>0</v>
      </c>
      <c r="K206" s="69"/>
      <c r="L206" s="319">
        <v>0.5</v>
      </c>
      <c r="M206" s="329"/>
    </row>
    <row r="207" spans="2:13" s="37" customFormat="1" ht="15.75">
      <c r="B207" s="48"/>
      <c r="C207" s="160" t="s">
        <v>624</v>
      </c>
      <c r="D207" s="156">
        <f>(($E$17+$F$17)*(F801ENE!R98+F801ENE!Y98)*$L207)</f>
        <v>0</v>
      </c>
      <c r="E207" s="156">
        <f>(($E$17+$F$17)*(F801ENE!S98+F801ENE!Z98)*$L207)</f>
        <v>0</v>
      </c>
      <c r="F207" s="156">
        <f>(($E$17+$F$17)*(F801ENE!T98+F801ENE!AA98)*$L207)</f>
        <v>0</v>
      </c>
      <c r="G207" s="156">
        <f>(($E$17+$F$17)*(F801ENE!U98+F801ENE!AB98)*$L207)</f>
        <v>0</v>
      </c>
      <c r="H207" s="156">
        <f>(($E$17+$F$17)*(F801ENE!V98+F801ENE!AC98)*$L207)</f>
        <v>0</v>
      </c>
      <c r="I207" s="156">
        <f>(($E$17+$F$17)*(F801ENE!W98+F801ENE!AD98)*$L207)</f>
        <v>0</v>
      </c>
      <c r="J207" s="156">
        <f t="shared" si="48"/>
        <v>0</v>
      </c>
      <c r="K207" s="69"/>
      <c r="L207" s="319">
        <v>0</v>
      </c>
      <c r="M207" s="329"/>
    </row>
    <row r="208" spans="2:13" s="37" customFormat="1" ht="15.75">
      <c r="B208" s="48" t="s">
        <v>902</v>
      </c>
      <c r="C208" s="158" t="s">
        <v>900</v>
      </c>
      <c r="D208" s="159">
        <f t="shared" ref="D208:I208" si="50">SUM(D209:D214)</f>
        <v>1349.8531693762707</v>
      </c>
      <c r="E208" s="159">
        <f t="shared" si="50"/>
        <v>1350.4165210517306</v>
      </c>
      <c r="F208" s="159">
        <f t="shared" si="50"/>
        <v>1324.9107920346639</v>
      </c>
      <c r="G208" s="159">
        <f t="shared" si="50"/>
        <v>1345.7874871067377</v>
      </c>
      <c r="H208" s="159">
        <f t="shared" si="50"/>
        <v>1287.474824545382</v>
      </c>
      <c r="I208" s="159">
        <f t="shared" si="50"/>
        <v>1293.5077642282733</v>
      </c>
      <c r="J208" s="159">
        <f t="shared" si="48"/>
        <v>7951.9505583430582</v>
      </c>
      <c r="K208" s="69"/>
      <c r="L208" s="319"/>
      <c r="M208" s="69"/>
    </row>
    <row r="209" spans="2:13" s="37" customFormat="1" ht="15.75">
      <c r="B209" s="48"/>
      <c r="C209" s="160" t="s">
        <v>304</v>
      </c>
      <c r="D209" s="156">
        <f>(($E$17+$F$17)*(F801ENE!R100+F801ENE!Y100)*$L209)</f>
        <v>1311.3881394040063</v>
      </c>
      <c r="E209" s="156">
        <f>(($E$17+$F$17)*(F801ENE!S100+F801ENE!Z100)*$L209)</f>
        <v>1311.9354379711924</v>
      </c>
      <c r="F209" s="156">
        <f>(($E$17+$F$17)*(F801ENE!T100+F801ENE!AA100)*$L209)</f>
        <v>1287.1565129157443</v>
      </c>
      <c r="G209" s="156">
        <f>(($E$17+$F$17)*(F801ENE!U100+F801ENE!AB100)*$L209)</f>
        <v>1307.4383116539893</v>
      </c>
      <c r="H209" s="156">
        <f>(($E$17+$F$17)*(F801ENE!V100+F801ENE!AC100)*$L209)</f>
        <v>1250.7873100525599</v>
      </c>
      <c r="I209" s="156">
        <f>(($E$17+$F$17)*(F801ENE!W100+F801ENE!AD100)*$L209)</f>
        <v>1256.648336811151</v>
      </c>
      <c r="J209" s="156">
        <f t="shared" si="48"/>
        <v>7725.3540488086437</v>
      </c>
      <c r="K209" s="69"/>
      <c r="L209" s="319">
        <v>1</v>
      </c>
      <c r="M209" s="329"/>
    </row>
    <row r="210" spans="2:13" s="37" customFormat="1" ht="15.75">
      <c r="B210" s="48"/>
      <c r="C210" s="162" t="s">
        <v>642</v>
      </c>
      <c r="D210" s="156">
        <f>(($E$17+$F$17)*(F801ENE!R101+F801ENE!Y101)*$L210)</f>
        <v>38.465029972264446</v>
      </c>
      <c r="E210" s="156">
        <f>(($E$17+$F$17)*(F801ENE!S101+F801ENE!Z101)*$L210)</f>
        <v>38.481083080538056</v>
      </c>
      <c r="F210" s="156">
        <f>(($E$17+$F$17)*(F801ENE!T101+F801ENE!AA101)*$L210)</f>
        <v>37.754279118919598</v>
      </c>
      <c r="G210" s="156">
        <f>(($E$17+$F$17)*(F801ENE!U101+F801ENE!AB101)*$L210)</f>
        <v>38.349175452748412</v>
      </c>
      <c r="H210" s="156">
        <f>(($E$17+$F$17)*(F801ENE!V101+F801ENE!AC101)*$L210)</f>
        <v>36.687514492822288</v>
      </c>
      <c r="I210" s="156">
        <f>(($E$17+$F$17)*(F801ENE!W101+F801ENE!AD101)*$L210)</f>
        <v>36.859427417122419</v>
      </c>
      <c r="J210" s="156">
        <f t="shared" si="48"/>
        <v>226.59650953441522</v>
      </c>
      <c r="K210" s="69"/>
      <c r="L210" s="319">
        <v>0.75</v>
      </c>
      <c r="M210" s="329"/>
    </row>
    <row r="211" spans="2:13" s="37" customFormat="1" ht="15.75">
      <c r="B211" s="48"/>
      <c r="C211" s="162" t="s">
        <v>1177</v>
      </c>
      <c r="D211" s="156">
        <f>(($E$17+$F$17)*(F801ENE!R102+F801ENE!Y102)*$L211)</f>
        <v>0</v>
      </c>
      <c r="E211" s="156">
        <f>(($E$17+$F$17)*(F801ENE!S102+F801ENE!Z102)*$L211)</f>
        <v>0</v>
      </c>
      <c r="F211" s="156">
        <f>(($E$17+$F$17)*(F801ENE!T102+F801ENE!AA102)*$L211)</f>
        <v>0</v>
      </c>
      <c r="G211" s="156">
        <f>(($E$17+$F$17)*(F801ENE!U102+F801ENE!AB102)*$L211)</f>
        <v>0</v>
      </c>
      <c r="H211" s="156">
        <f>(($E$17+$F$17)*(F801ENE!V102+F801ENE!AC102)*$L211)</f>
        <v>0</v>
      </c>
      <c r="I211" s="156">
        <f>(($E$17+$F$17)*(F801ENE!W102+F801ENE!AD102)*$L211)</f>
        <v>0</v>
      </c>
      <c r="J211" s="156">
        <f t="shared" si="48"/>
        <v>0</v>
      </c>
      <c r="K211" s="69"/>
      <c r="L211" s="319">
        <v>1</v>
      </c>
      <c r="M211" s="329"/>
    </row>
    <row r="212" spans="2:13" s="37" customFormat="1" ht="15.75">
      <c r="B212" s="48"/>
      <c r="C212" s="160" t="s">
        <v>305</v>
      </c>
      <c r="D212" s="156">
        <f>(($E$17+$F$17)*(F801ENE!R103+F801ENE!Y103)*$L212)</f>
        <v>0</v>
      </c>
      <c r="E212" s="156">
        <f>(($E$17+$F$17)*(F801ENE!S103+F801ENE!Z103)*$L212)</f>
        <v>0</v>
      </c>
      <c r="F212" s="156">
        <f>(($E$17+$F$17)*(F801ENE!T103+F801ENE!AA103)*$L212)</f>
        <v>0</v>
      </c>
      <c r="G212" s="156">
        <f>(($E$17+$F$17)*(F801ENE!U103+F801ENE!AB103)*$L212)</f>
        <v>0</v>
      </c>
      <c r="H212" s="156">
        <f>(($E$17+$F$17)*(F801ENE!V103+F801ENE!AC103)*$L212)</f>
        <v>0</v>
      </c>
      <c r="I212" s="156">
        <f>(($E$17+$F$17)*(F801ENE!W103+F801ENE!AD103)*$L212)</f>
        <v>0</v>
      </c>
      <c r="J212" s="156">
        <f t="shared" si="48"/>
        <v>0</v>
      </c>
      <c r="K212" s="69"/>
      <c r="L212" s="319">
        <v>0.95</v>
      </c>
      <c r="M212" s="329"/>
    </row>
    <row r="213" spans="2:13" s="37" customFormat="1" ht="15.75">
      <c r="B213" s="48"/>
      <c r="C213" s="160" t="s">
        <v>307</v>
      </c>
      <c r="D213" s="156">
        <f>(($E$17+$F$17)*(F801ENE!R104+F801ENE!Y104)*$L213)</f>
        <v>0</v>
      </c>
      <c r="E213" s="156">
        <f>(($E$17+$F$17)*(F801ENE!S104+F801ENE!Z104)*$L213)</f>
        <v>0</v>
      </c>
      <c r="F213" s="156">
        <f>(($E$17+$F$17)*(F801ENE!T104+F801ENE!AA104)*$L213)</f>
        <v>0</v>
      </c>
      <c r="G213" s="156">
        <f>(($E$17+$F$17)*(F801ENE!U104+F801ENE!AB104)*$L213)</f>
        <v>0</v>
      </c>
      <c r="H213" s="156">
        <f>(($E$17+$F$17)*(F801ENE!V104+F801ENE!AC104)*$L213)</f>
        <v>0</v>
      </c>
      <c r="I213" s="156">
        <f>(($E$17+$F$17)*(F801ENE!W104+F801ENE!AD104)*$L213)</f>
        <v>0</v>
      </c>
      <c r="J213" s="156">
        <f t="shared" si="48"/>
        <v>0</v>
      </c>
      <c r="K213" s="69"/>
      <c r="L213" s="319">
        <v>0.5</v>
      </c>
      <c r="M213" s="329"/>
    </row>
    <row r="214" spans="2:13" s="37" customFormat="1" ht="15.75">
      <c r="B214" s="48"/>
      <c r="C214" s="160" t="s">
        <v>624</v>
      </c>
      <c r="D214" s="156">
        <f>(($E$17+$F$17)*(F801ENE!R105+F801ENE!Y105)*$L214)</f>
        <v>0</v>
      </c>
      <c r="E214" s="156">
        <f>(($E$17+$F$17)*(F801ENE!S105+F801ENE!Z105)*$L214)</f>
        <v>0</v>
      </c>
      <c r="F214" s="156">
        <f>(($E$17+$F$17)*(F801ENE!T105+F801ENE!AA105)*$L214)</f>
        <v>0</v>
      </c>
      <c r="G214" s="156">
        <f>(($E$17+$F$17)*(F801ENE!U105+F801ENE!AB105)*$L214)</f>
        <v>0</v>
      </c>
      <c r="H214" s="156">
        <f>(($E$17+$F$17)*(F801ENE!V105+F801ENE!AC105)*$L214)</f>
        <v>0</v>
      </c>
      <c r="I214" s="156">
        <f>(($E$17+$F$17)*(F801ENE!W105+F801ENE!AD105)*$L214)</f>
        <v>0</v>
      </c>
      <c r="J214" s="156">
        <f t="shared" si="48"/>
        <v>0</v>
      </c>
      <c r="K214" s="69"/>
      <c r="L214" s="319">
        <v>0</v>
      </c>
      <c r="M214" s="329"/>
    </row>
    <row r="215" spans="2:13" s="37" customFormat="1" ht="15.75">
      <c r="B215" s="48"/>
      <c r="C215" s="157"/>
      <c r="D215" s="156"/>
      <c r="E215" s="156"/>
      <c r="F215" s="156"/>
      <c r="G215" s="156"/>
      <c r="H215" s="156"/>
      <c r="I215" s="156"/>
      <c r="J215" s="156"/>
      <c r="K215" s="69"/>
      <c r="L215" s="319"/>
      <c r="M215" s="69"/>
    </row>
    <row r="216" spans="2:13" s="37" customFormat="1" ht="15.75">
      <c r="B216" s="48"/>
      <c r="C216" s="153" t="s">
        <v>112</v>
      </c>
      <c r="D216" s="154">
        <f t="shared" ref="D216:I216" si="51">D125+D129+D139</f>
        <v>5642191.0407484621</v>
      </c>
      <c r="E216" s="154">
        <f t="shared" si="51"/>
        <v>5644545.7675973848</v>
      </c>
      <c r="F216" s="154">
        <f t="shared" si="51"/>
        <v>5537935.5851232829</v>
      </c>
      <c r="G216" s="154">
        <f t="shared" si="51"/>
        <v>5625197.0889838757</v>
      </c>
      <c r="H216" s="154">
        <f t="shared" si="51"/>
        <v>5381458.7668187972</v>
      </c>
      <c r="I216" s="154">
        <f t="shared" si="51"/>
        <v>5406675.5641907901</v>
      </c>
      <c r="J216" s="154">
        <f>SUM(D216:I216)</f>
        <v>33238003.813462593</v>
      </c>
      <c r="K216" s="69"/>
      <c r="L216" s="319"/>
      <c r="M216" s="69"/>
    </row>
    <row r="217" spans="2:13">
      <c r="C217" s="48"/>
      <c r="D217" s="48"/>
      <c r="E217" s="48"/>
      <c r="F217" s="48"/>
      <c r="G217" s="48"/>
      <c r="H217" s="48"/>
      <c r="I217" s="48"/>
      <c r="J217" s="48"/>
    </row>
    <row r="218" spans="2:13" s="69" customFormat="1" ht="30">
      <c r="B218" s="48"/>
      <c r="C218" s="320" t="s">
        <v>1454</v>
      </c>
      <c r="D218" s="320"/>
      <c r="E218" s="320"/>
      <c r="F218" s="320"/>
      <c r="G218" s="320"/>
      <c r="H218" s="320"/>
      <c r="I218" s="320"/>
      <c r="J218" s="321"/>
      <c r="L218" s="319"/>
    </row>
    <row r="219" spans="2:13" s="37" customFormat="1" ht="15.75">
      <c r="B219" s="48"/>
      <c r="C219" s="150" t="s">
        <v>310</v>
      </c>
      <c r="D219" s="151">
        <f t="shared" ref="D219:I219" si="52">D$29</f>
        <v>46204</v>
      </c>
      <c r="E219" s="151">
        <f t="shared" si="52"/>
        <v>46235</v>
      </c>
      <c r="F219" s="151">
        <f t="shared" si="52"/>
        <v>46266</v>
      </c>
      <c r="G219" s="151">
        <f t="shared" si="52"/>
        <v>46296</v>
      </c>
      <c r="H219" s="151">
        <f t="shared" si="52"/>
        <v>46327</v>
      </c>
      <c r="I219" s="151">
        <f t="shared" si="52"/>
        <v>46357</v>
      </c>
      <c r="J219" s="152" t="s">
        <v>111</v>
      </c>
      <c r="K219" s="69"/>
      <c r="L219" s="319"/>
      <c r="M219" s="69"/>
    </row>
    <row r="220" spans="2:13" s="37" customFormat="1" ht="15.75" hidden="1">
      <c r="B220" s="48"/>
      <c r="C220" s="153" t="s">
        <v>446</v>
      </c>
      <c r="D220" s="154">
        <f t="shared" ref="D220:I220" si="53">SUM(D221:D222)</f>
        <v>0</v>
      </c>
      <c r="E220" s="154">
        <f t="shared" si="53"/>
        <v>0</v>
      </c>
      <c r="F220" s="154">
        <f t="shared" si="53"/>
        <v>0</v>
      </c>
      <c r="G220" s="154">
        <f t="shared" si="53"/>
        <v>0</v>
      </c>
      <c r="H220" s="154">
        <f t="shared" si="53"/>
        <v>0</v>
      </c>
      <c r="I220" s="154">
        <f t="shared" si="53"/>
        <v>0</v>
      </c>
      <c r="J220" s="154">
        <f>SUM(D220:I220)</f>
        <v>0</v>
      </c>
      <c r="K220" s="69"/>
      <c r="L220" s="319"/>
      <c r="M220" s="69"/>
    </row>
    <row r="221" spans="2:13" s="37" customFormat="1" ht="15.75" hidden="1">
      <c r="B221" s="48" t="s">
        <v>279</v>
      </c>
      <c r="C221" s="155" t="s">
        <v>279</v>
      </c>
      <c r="D221" s="156">
        <f>$J$7*F801ENE!D6</f>
        <v>0</v>
      </c>
      <c r="E221" s="156">
        <f>$J$7*F801ENE!E6</f>
        <v>0</v>
      </c>
      <c r="F221" s="156">
        <f>$J$7*F801ENE!F6</f>
        <v>0</v>
      </c>
      <c r="G221" s="156">
        <f>$J$7*F801ENE!G6</f>
        <v>0</v>
      </c>
      <c r="H221" s="156">
        <f>$J$7*F801ENE!H6</f>
        <v>0</v>
      </c>
      <c r="I221" s="156">
        <f>$J$7*F801ENE!I6</f>
        <v>0</v>
      </c>
      <c r="J221" s="156">
        <f>SUM(D221:I221)</f>
        <v>0</v>
      </c>
      <c r="K221" s="69"/>
      <c r="L221" s="319"/>
      <c r="M221" s="69"/>
    </row>
    <row r="222" spans="2:13" s="37" customFormat="1" ht="15.75" hidden="1">
      <c r="B222" s="48" t="s">
        <v>278</v>
      </c>
      <c r="C222" s="155" t="s">
        <v>278</v>
      </c>
      <c r="D222" s="156">
        <f>$J$8*F801ENE!D7</f>
        <v>0</v>
      </c>
      <c r="E222" s="156">
        <f>$J$8*F801ENE!E7</f>
        <v>0</v>
      </c>
      <c r="F222" s="156">
        <f>$J$8*F801ENE!F7</f>
        <v>0</v>
      </c>
      <c r="G222" s="156">
        <f>$J$8*F801ENE!G7</f>
        <v>0</v>
      </c>
      <c r="H222" s="156">
        <f>$J$8*F801ENE!H7</f>
        <v>0</v>
      </c>
      <c r="I222" s="156">
        <f>$J$8*F801ENE!I7</f>
        <v>0</v>
      </c>
      <c r="J222" s="156">
        <f>SUM(D222:I222)</f>
        <v>0</v>
      </c>
      <c r="K222" s="69"/>
      <c r="L222" s="319"/>
    </row>
    <row r="223" spans="2:13" s="37" customFormat="1" ht="15.75" hidden="1">
      <c r="B223" s="48"/>
      <c r="C223" s="157"/>
      <c r="D223" s="156"/>
      <c r="E223" s="156"/>
      <c r="F223" s="156"/>
      <c r="G223" s="156"/>
      <c r="H223" s="156"/>
      <c r="I223" s="156"/>
      <c r="J223" s="156"/>
      <c r="K223" s="69"/>
      <c r="L223" s="319"/>
    </row>
    <row r="224" spans="2:13" s="37" customFormat="1" ht="15.75" hidden="1">
      <c r="B224" s="48"/>
      <c r="C224" s="153" t="s">
        <v>630</v>
      </c>
      <c r="D224" s="154">
        <f>D225+D228</f>
        <v>0</v>
      </c>
      <c r="E224" s="154">
        <f t="shared" ref="E224:I224" si="54">E225+E228</f>
        <v>0</v>
      </c>
      <c r="F224" s="154">
        <f t="shared" si="54"/>
        <v>0</v>
      </c>
      <c r="G224" s="154">
        <f t="shared" si="54"/>
        <v>0</v>
      </c>
      <c r="H224" s="154">
        <f t="shared" si="54"/>
        <v>0</v>
      </c>
      <c r="I224" s="154">
        <f t="shared" si="54"/>
        <v>0</v>
      </c>
      <c r="J224" s="154">
        <f t="shared" ref="J224:J232" si="55">SUM(D224:I224)</f>
        <v>0</v>
      </c>
      <c r="K224" s="69"/>
      <c r="L224" s="319"/>
    </row>
    <row r="225" spans="2:12" s="37" customFormat="1" ht="15.75" hidden="1">
      <c r="B225" s="48" t="s">
        <v>277</v>
      </c>
      <c r="C225" s="155" t="s">
        <v>277</v>
      </c>
      <c r="D225" s="154">
        <f>SUM(D226:D227)</f>
        <v>0</v>
      </c>
      <c r="E225" s="154">
        <f t="shared" ref="E225:I225" si="56">SUM(E226:E227)</f>
        <v>0</v>
      </c>
      <c r="F225" s="154">
        <f t="shared" si="56"/>
        <v>0</v>
      </c>
      <c r="G225" s="154">
        <f t="shared" si="56"/>
        <v>0</v>
      </c>
      <c r="H225" s="154">
        <f t="shared" si="56"/>
        <v>0</v>
      </c>
      <c r="I225" s="154">
        <f t="shared" si="56"/>
        <v>0</v>
      </c>
      <c r="J225" s="154">
        <f t="shared" si="55"/>
        <v>0</v>
      </c>
      <c r="K225" s="69"/>
      <c r="L225" s="319"/>
    </row>
    <row r="226" spans="2:12" s="37" customFormat="1" ht="15.75" hidden="1">
      <c r="B226" s="48"/>
      <c r="C226" s="160" t="s">
        <v>304</v>
      </c>
      <c r="D226" s="156">
        <f>$J$9*F801ENE!D11</f>
        <v>0</v>
      </c>
      <c r="E226" s="156">
        <f>$J$9*F801ENE!E11</f>
        <v>0</v>
      </c>
      <c r="F226" s="156">
        <f>$J$9*F801ENE!F11</f>
        <v>0</v>
      </c>
      <c r="G226" s="156">
        <f>$J$9*F801ENE!G11</f>
        <v>0</v>
      </c>
      <c r="H226" s="156">
        <f>$J$9*F801ENE!H11</f>
        <v>0</v>
      </c>
      <c r="I226" s="156">
        <f>$J$9*F801ENE!I11</f>
        <v>0</v>
      </c>
      <c r="J226" s="156">
        <f t="shared" si="55"/>
        <v>0</v>
      </c>
      <c r="K226" s="69"/>
      <c r="L226" s="319"/>
    </row>
    <row r="227" spans="2:12" s="37" customFormat="1" ht="15.75" hidden="1">
      <c r="B227" s="48"/>
      <c r="C227" s="160" t="s">
        <v>305</v>
      </c>
      <c r="D227" s="156">
        <f>($J$9*F801ENE!D12)*$L227</f>
        <v>0</v>
      </c>
      <c r="E227" s="156">
        <f>($J$9*F801ENE!E12)*$L227</f>
        <v>0</v>
      </c>
      <c r="F227" s="156">
        <f>($J$9*F801ENE!F12)*$L227</f>
        <v>0</v>
      </c>
      <c r="G227" s="156">
        <f>($J$9*F801ENE!G12)*$L227</f>
        <v>0</v>
      </c>
      <c r="H227" s="156">
        <f>($J$9*F801ENE!H12)*$L227</f>
        <v>0</v>
      </c>
      <c r="I227" s="156">
        <f>($J$9*F801ENE!I12)*$L227</f>
        <v>0</v>
      </c>
      <c r="J227" s="156">
        <f t="shared" si="55"/>
        <v>0</v>
      </c>
      <c r="K227" s="69"/>
      <c r="L227" s="319">
        <v>0.95</v>
      </c>
    </row>
    <row r="228" spans="2:12" s="37" customFormat="1" ht="15.75" hidden="1">
      <c r="B228" s="48" t="s">
        <v>276</v>
      </c>
      <c r="C228" s="158" t="s">
        <v>276</v>
      </c>
      <c r="D228" s="159">
        <f t="shared" ref="D228:I228" si="57">SUM(D229:D232)</f>
        <v>0</v>
      </c>
      <c r="E228" s="159">
        <f t="shared" si="57"/>
        <v>0</v>
      </c>
      <c r="F228" s="159">
        <f t="shared" si="57"/>
        <v>0</v>
      </c>
      <c r="G228" s="159">
        <f t="shared" si="57"/>
        <v>0</v>
      </c>
      <c r="H228" s="159">
        <f t="shared" si="57"/>
        <v>0</v>
      </c>
      <c r="I228" s="159">
        <f t="shared" si="57"/>
        <v>0</v>
      </c>
      <c r="J228" s="159">
        <f t="shared" si="55"/>
        <v>0</v>
      </c>
      <c r="K228" s="69"/>
      <c r="L228" s="319"/>
    </row>
    <row r="229" spans="2:12" s="37" customFormat="1" ht="15.75" hidden="1">
      <c r="B229" s="48"/>
      <c r="C229" s="160" t="s">
        <v>304</v>
      </c>
      <c r="D229" s="156">
        <f>$J$10*F801ENE!D15</f>
        <v>0</v>
      </c>
      <c r="E229" s="156">
        <f>$J$10*F801ENE!E15</f>
        <v>0</v>
      </c>
      <c r="F229" s="156">
        <f>$J$10*F801ENE!F15</f>
        <v>0</v>
      </c>
      <c r="G229" s="156">
        <f>$J$10*F801ENE!G15</f>
        <v>0</v>
      </c>
      <c r="H229" s="156">
        <f>$J$10*F801ENE!H15</f>
        <v>0</v>
      </c>
      <c r="I229" s="156">
        <f>$J$10*F801ENE!I15</f>
        <v>0</v>
      </c>
      <c r="J229" s="156">
        <f t="shared" si="55"/>
        <v>0</v>
      </c>
      <c r="K229" s="69"/>
      <c r="L229" s="319">
        <v>1</v>
      </c>
    </row>
    <row r="230" spans="2:12" s="37" customFormat="1" ht="15.75" hidden="1">
      <c r="B230" s="48"/>
      <c r="C230" s="161" t="s">
        <v>306</v>
      </c>
      <c r="D230" s="156">
        <f>$J$10*F801ENE!D16</f>
        <v>0</v>
      </c>
      <c r="E230" s="156">
        <f>$J$10*F801ENE!E16</f>
        <v>0</v>
      </c>
      <c r="F230" s="156">
        <f>$J$10*F801ENE!F16</f>
        <v>0</v>
      </c>
      <c r="G230" s="156">
        <f>$J$10*F801ENE!G16</f>
        <v>0</v>
      </c>
      <c r="H230" s="156">
        <f>$J$10*F801ENE!H16</f>
        <v>0</v>
      </c>
      <c r="I230" s="156">
        <f>$J$10*F801ENE!I16</f>
        <v>0</v>
      </c>
      <c r="J230" s="156">
        <f t="shared" si="55"/>
        <v>0</v>
      </c>
      <c r="K230" s="69"/>
      <c r="L230" s="319">
        <v>1</v>
      </c>
    </row>
    <row r="231" spans="2:12" s="37" customFormat="1" ht="15.75" hidden="1">
      <c r="B231" s="48"/>
      <c r="C231" s="160" t="s">
        <v>305</v>
      </c>
      <c r="D231" s="156">
        <f>$J$10*F801ENE!D17*0.95</f>
        <v>0</v>
      </c>
      <c r="E231" s="156">
        <f>$J$10*F801ENE!E17*0.95</f>
        <v>0</v>
      </c>
      <c r="F231" s="156">
        <f>$J$10*F801ENE!F17*0.95</f>
        <v>0</v>
      </c>
      <c r="G231" s="156">
        <f>$J$10*F801ENE!G17*0.95</f>
        <v>0</v>
      </c>
      <c r="H231" s="156">
        <f>$J$10*F801ENE!H17*0.95</f>
        <v>0</v>
      </c>
      <c r="I231" s="156">
        <f>$J$10*F801ENE!I17*0.95</f>
        <v>0</v>
      </c>
      <c r="J231" s="156">
        <f t="shared" si="55"/>
        <v>0</v>
      </c>
      <c r="K231" s="69"/>
      <c r="L231" s="319">
        <v>0.95</v>
      </c>
    </row>
    <row r="232" spans="2:12" s="37" customFormat="1" ht="15.75" hidden="1">
      <c r="B232" s="48"/>
      <c r="C232" s="160" t="s">
        <v>307</v>
      </c>
      <c r="D232" s="156">
        <f>$J$10*F801ENE!D18*0.5</f>
        <v>0</v>
      </c>
      <c r="E232" s="156">
        <f>$J$10*F801ENE!E18*0.5</f>
        <v>0</v>
      </c>
      <c r="F232" s="156">
        <f>$J$10*F801ENE!F18*0.5</f>
        <v>0</v>
      </c>
      <c r="G232" s="156">
        <f>$J$10*F801ENE!G18*0.5</f>
        <v>0</v>
      </c>
      <c r="H232" s="156">
        <f>$J$10*F801ENE!H18*0.5</f>
        <v>0</v>
      </c>
      <c r="I232" s="156">
        <f>$J$10*F801ENE!I18*0.5</f>
        <v>0</v>
      </c>
      <c r="J232" s="156">
        <f t="shared" si="55"/>
        <v>0</v>
      </c>
      <c r="K232" s="69"/>
      <c r="L232" s="319">
        <v>0.5</v>
      </c>
    </row>
    <row r="233" spans="2:12" s="37" customFormat="1" ht="15.75" hidden="1">
      <c r="B233" s="48"/>
      <c r="C233" s="157"/>
      <c r="D233" s="157"/>
      <c r="E233" s="157"/>
      <c r="F233" s="157"/>
      <c r="G233" s="157"/>
      <c r="H233" s="157"/>
      <c r="I233" s="157"/>
      <c r="J233" s="157"/>
      <c r="K233" s="69"/>
      <c r="L233" s="319"/>
    </row>
    <row r="234" spans="2:12" s="37" customFormat="1" ht="15.75" hidden="1">
      <c r="B234" s="48"/>
      <c r="C234" s="153" t="s">
        <v>443</v>
      </c>
      <c r="D234" s="154">
        <f t="shared" ref="D234:I234" si="58">D235+D239+D246+D251+D256+D269+D275+D282+D290+D296+D303+D262</f>
        <v>0</v>
      </c>
      <c r="E234" s="154">
        <f t="shared" si="58"/>
        <v>0</v>
      </c>
      <c r="F234" s="154">
        <f t="shared" si="58"/>
        <v>0</v>
      </c>
      <c r="G234" s="154">
        <f t="shared" si="58"/>
        <v>0</v>
      </c>
      <c r="H234" s="154">
        <f t="shared" si="58"/>
        <v>0</v>
      </c>
      <c r="I234" s="154">
        <f t="shared" si="58"/>
        <v>0</v>
      </c>
      <c r="J234" s="154">
        <f>SUM(D234:I234)</f>
        <v>0</v>
      </c>
      <c r="K234" s="69"/>
      <c r="L234" s="319"/>
    </row>
    <row r="235" spans="2:12" s="37" customFormat="1" ht="15.75" hidden="1">
      <c r="B235" s="48" t="s">
        <v>275</v>
      </c>
      <c r="C235" s="155" t="s">
        <v>275</v>
      </c>
      <c r="D235" s="156">
        <f>$J$11*F801ENE!D21</f>
        <v>0</v>
      </c>
      <c r="E235" s="156">
        <f>$J$11*F801ENE!E21</f>
        <v>0</v>
      </c>
      <c r="F235" s="156">
        <f>$J$11*F801ENE!F21</f>
        <v>0</v>
      </c>
      <c r="G235" s="156">
        <f>$J$11*F801ENE!G21</f>
        <v>0</v>
      </c>
      <c r="H235" s="156">
        <f>$J$11*F801ENE!H21</f>
        <v>0</v>
      </c>
      <c r="I235" s="156">
        <f>$J$11*F801ENE!I21</f>
        <v>0</v>
      </c>
      <c r="J235" s="156">
        <f>SUM(D235:I235)</f>
        <v>0</v>
      </c>
      <c r="K235" s="69"/>
      <c r="L235" s="319"/>
    </row>
    <row r="236" spans="2:12" s="37" customFormat="1" ht="15.75" hidden="1">
      <c r="B236" s="48"/>
      <c r="C236" s="160" t="s">
        <v>304</v>
      </c>
      <c r="D236" s="156"/>
      <c r="E236" s="156"/>
      <c r="F236" s="156"/>
      <c r="G236" s="156"/>
      <c r="H236" s="156"/>
      <c r="I236" s="156"/>
      <c r="J236" s="156"/>
      <c r="K236" s="69"/>
      <c r="L236" s="319"/>
    </row>
    <row r="237" spans="2:12" s="37" customFormat="1" ht="15.75" hidden="1">
      <c r="B237" s="48"/>
      <c r="C237" s="161" t="s">
        <v>306</v>
      </c>
      <c r="D237" s="156"/>
      <c r="E237" s="156"/>
      <c r="F237" s="156"/>
      <c r="G237" s="156"/>
      <c r="H237" s="156"/>
      <c r="I237" s="156"/>
      <c r="J237" s="156"/>
      <c r="K237" s="69"/>
      <c r="L237" s="319"/>
    </row>
    <row r="238" spans="2:12" s="37" customFormat="1" ht="15.75" hidden="1">
      <c r="B238" s="48"/>
      <c r="C238" s="160" t="s">
        <v>305</v>
      </c>
      <c r="D238" s="156"/>
      <c r="E238" s="156"/>
      <c r="F238" s="156"/>
      <c r="G238" s="156"/>
      <c r="H238" s="156"/>
      <c r="I238" s="156"/>
      <c r="J238" s="156"/>
      <c r="K238" s="69"/>
      <c r="L238" s="319"/>
    </row>
    <row r="239" spans="2:12" s="37" customFormat="1" ht="15.75" hidden="1">
      <c r="B239" s="48" t="s">
        <v>274</v>
      </c>
      <c r="C239" s="158" t="s">
        <v>627</v>
      </c>
      <c r="D239" s="159">
        <f t="shared" ref="D239:I239" si="59">SUM(D240:D245)</f>
        <v>0</v>
      </c>
      <c r="E239" s="159">
        <f t="shared" si="59"/>
        <v>0</v>
      </c>
      <c r="F239" s="159">
        <f t="shared" si="59"/>
        <v>0</v>
      </c>
      <c r="G239" s="159">
        <f t="shared" si="59"/>
        <v>0</v>
      </c>
      <c r="H239" s="159">
        <f t="shared" si="59"/>
        <v>0</v>
      </c>
      <c r="I239" s="159">
        <f t="shared" si="59"/>
        <v>0</v>
      </c>
      <c r="J239" s="159">
        <f t="shared" ref="J239:J260" si="60">SUM(D239:I239)</f>
        <v>0</v>
      </c>
      <c r="K239" s="69"/>
      <c r="L239" s="319"/>
    </row>
    <row r="240" spans="2:12" s="37" customFormat="1" ht="15.75" hidden="1">
      <c r="B240" s="48"/>
      <c r="C240" s="160" t="s">
        <v>304</v>
      </c>
      <c r="D240" s="156">
        <f>$J$12*F801ENE!D28</f>
        <v>0</v>
      </c>
      <c r="E240" s="156">
        <f>$J$12*F801ENE!E28</f>
        <v>0</v>
      </c>
      <c r="F240" s="156">
        <f>$J$12*F801ENE!F28</f>
        <v>0</v>
      </c>
      <c r="G240" s="156">
        <f>$J$12*F801ENE!G28</f>
        <v>0</v>
      </c>
      <c r="H240" s="156">
        <f>$J$12*F801ENE!H28</f>
        <v>0</v>
      </c>
      <c r="I240" s="156">
        <f>$J$12*F801ENE!I28</f>
        <v>0</v>
      </c>
      <c r="J240" s="156">
        <f t="shared" si="60"/>
        <v>0</v>
      </c>
      <c r="K240" s="69"/>
      <c r="L240" s="319">
        <v>1</v>
      </c>
    </row>
    <row r="241" spans="2:12" s="37" customFormat="1" ht="15.75" hidden="1">
      <c r="B241" s="48"/>
      <c r="C241" s="162" t="s">
        <v>628</v>
      </c>
      <c r="D241" s="156">
        <f>$J$12*F801ENE!D29*0.75</f>
        <v>0</v>
      </c>
      <c r="E241" s="156">
        <f>$J$12*F801ENE!E29*0.75</f>
        <v>0</v>
      </c>
      <c r="F241" s="156">
        <f>$J$12*F801ENE!F29*0.75</f>
        <v>0</v>
      </c>
      <c r="G241" s="156">
        <f>$J$12*F801ENE!G29*0.75</f>
        <v>0</v>
      </c>
      <c r="H241" s="156">
        <f>$J$12*F801ENE!H29*0.75</f>
        <v>0</v>
      </c>
      <c r="I241" s="156">
        <f>$J$12*F801ENE!I29*0.75</f>
        <v>0</v>
      </c>
      <c r="J241" s="156">
        <f t="shared" si="60"/>
        <v>0</v>
      </c>
      <c r="K241" s="69"/>
      <c r="L241" s="319">
        <v>0.75</v>
      </c>
    </row>
    <row r="242" spans="2:12" s="37" customFormat="1" ht="15.75" hidden="1">
      <c r="B242" s="48"/>
      <c r="C242" s="161" t="s">
        <v>629</v>
      </c>
      <c r="D242" s="156">
        <f>$J$12*F801ENE!D30</f>
        <v>0</v>
      </c>
      <c r="E242" s="156">
        <f>$J$12*F801ENE!E30</f>
        <v>0</v>
      </c>
      <c r="F242" s="156">
        <f>$J$12*F801ENE!F30</f>
        <v>0</v>
      </c>
      <c r="G242" s="156">
        <f>$J$12*F801ENE!G30</f>
        <v>0</v>
      </c>
      <c r="H242" s="156">
        <f>$J$12*F801ENE!H30</f>
        <v>0</v>
      </c>
      <c r="I242" s="156">
        <f>$J$12*F801ENE!I30</f>
        <v>0</v>
      </c>
      <c r="J242" s="156">
        <f t="shared" si="60"/>
        <v>0</v>
      </c>
      <c r="K242" s="69"/>
      <c r="L242" s="319">
        <v>1</v>
      </c>
    </row>
    <row r="243" spans="2:12" s="37" customFormat="1" ht="15.75" hidden="1">
      <c r="B243" s="48"/>
      <c r="C243" s="160" t="s">
        <v>305</v>
      </c>
      <c r="D243" s="156">
        <f>$J$12*F801ENE!D31*0.95</f>
        <v>0</v>
      </c>
      <c r="E243" s="156">
        <f>$J$12*F801ENE!E31*0.95</f>
        <v>0</v>
      </c>
      <c r="F243" s="156">
        <f>$J$12*F801ENE!F31*0.95</f>
        <v>0</v>
      </c>
      <c r="G243" s="156">
        <f>$J$12*F801ENE!G31*0.95</f>
        <v>0</v>
      </c>
      <c r="H243" s="156">
        <f>$J$12*F801ENE!H31*0.95</f>
        <v>0</v>
      </c>
      <c r="I243" s="156">
        <f>$J$12*F801ENE!I31*0.95</f>
        <v>0</v>
      </c>
      <c r="J243" s="156">
        <f t="shared" si="60"/>
        <v>0</v>
      </c>
      <c r="K243" s="69"/>
      <c r="L243" s="319">
        <v>0.95</v>
      </c>
    </row>
    <row r="244" spans="2:12" s="37" customFormat="1" ht="15.75" hidden="1">
      <c r="B244" s="48"/>
      <c r="C244" s="160" t="s">
        <v>307</v>
      </c>
      <c r="D244" s="156">
        <f>$J$12*F801ENE!D32*0.5</f>
        <v>0</v>
      </c>
      <c r="E244" s="156">
        <f>$J$12*F801ENE!E32*0.5</f>
        <v>0</v>
      </c>
      <c r="F244" s="156">
        <f>$J$12*F801ENE!F32*0.5</f>
        <v>0</v>
      </c>
      <c r="G244" s="156">
        <f>$J$12*F801ENE!G32*0.5</f>
        <v>0</v>
      </c>
      <c r="H244" s="156">
        <f>$J$12*F801ENE!H32*0.5</f>
        <v>0</v>
      </c>
      <c r="I244" s="156">
        <f>$J$12*F801ENE!I32*0.5</f>
        <v>0</v>
      </c>
      <c r="J244" s="156">
        <f t="shared" si="60"/>
        <v>0</v>
      </c>
      <c r="K244" s="69"/>
      <c r="L244" s="319">
        <v>0.5</v>
      </c>
    </row>
    <row r="245" spans="2:12" s="37" customFormat="1" ht="15.75" hidden="1">
      <c r="B245" s="48"/>
      <c r="C245" s="160" t="s">
        <v>624</v>
      </c>
      <c r="D245" s="156">
        <f>$J$12*F801ENE!D33*0</f>
        <v>0</v>
      </c>
      <c r="E245" s="156">
        <f>$J$12*F801ENE!E33*0</f>
        <v>0</v>
      </c>
      <c r="F245" s="156">
        <f>$J$12*F801ENE!F33*0</f>
        <v>0</v>
      </c>
      <c r="G245" s="156">
        <f>$J$12*F801ENE!G33*0</f>
        <v>0</v>
      </c>
      <c r="H245" s="156">
        <f>$J$12*F801ENE!H33*0</f>
        <v>0</v>
      </c>
      <c r="I245" s="156">
        <f>$J$12*F801ENE!I33*0</f>
        <v>0</v>
      </c>
      <c r="J245" s="156">
        <f t="shared" si="60"/>
        <v>0</v>
      </c>
      <c r="K245" s="69"/>
      <c r="L245" s="319">
        <v>0</v>
      </c>
    </row>
    <row r="246" spans="2:12" s="37" customFormat="1" ht="15.75" hidden="1">
      <c r="B246" s="48" t="s">
        <v>274</v>
      </c>
      <c r="C246" s="158" t="s">
        <v>631</v>
      </c>
      <c r="D246" s="159">
        <f t="shared" ref="D246:I246" si="61">SUM(D247:D250)</f>
        <v>0</v>
      </c>
      <c r="E246" s="159">
        <f t="shared" si="61"/>
        <v>0</v>
      </c>
      <c r="F246" s="159">
        <f t="shared" si="61"/>
        <v>0</v>
      </c>
      <c r="G246" s="159">
        <f t="shared" si="61"/>
        <v>0</v>
      </c>
      <c r="H246" s="159">
        <f t="shared" si="61"/>
        <v>0</v>
      </c>
      <c r="I246" s="159">
        <f t="shared" si="61"/>
        <v>0</v>
      </c>
      <c r="J246" s="159">
        <f t="shared" si="60"/>
        <v>0</v>
      </c>
      <c r="K246" s="69"/>
      <c r="L246" s="319"/>
    </row>
    <row r="247" spans="2:12" s="37" customFormat="1" ht="15.75" hidden="1">
      <c r="B247" s="48"/>
      <c r="C247" s="160" t="s">
        <v>304</v>
      </c>
      <c r="D247" s="156">
        <f>$J$12*F801ENE!D35</f>
        <v>0</v>
      </c>
      <c r="E247" s="156">
        <f>$J$12*F801ENE!E35</f>
        <v>0</v>
      </c>
      <c r="F247" s="156">
        <f>$J$12*F801ENE!F35</f>
        <v>0</v>
      </c>
      <c r="G247" s="156">
        <f>$J$12*F801ENE!G35</f>
        <v>0</v>
      </c>
      <c r="H247" s="156">
        <f>$J$12*F801ENE!H35</f>
        <v>0</v>
      </c>
      <c r="I247" s="156">
        <f>$J$12*F801ENE!I35</f>
        <v>0</v>
      </c>
      <c r="J247" s="156">
        <f t="shared" si="60"/>
        <v>0</v>
      </c>
      <c r="K247" s="69"/>
      <c r="L247" s="319">
        <v>1</v>
      </c>
    </row>
    <row r="248" spans="2:12" s="37" customFormat="1" ht="15.75" hidden="1">
      <c r="B248" s="48"/>
      <c r="C248" s="161" t="s">
        <v>306</v>
      </c>
      <c r="D248" s="156">
        <f>$J$12*F801ENE!D36</f>
        <v>0</v>
      </c>
      <c r="E248" s="156">
        <f>$J$12*F801ENE!E36</f>
        <v>0</v>
      </c>
      <c r="F248" s="156">
        <f>$J$12*F801ENE!F36</f>
        <v>0</v>
      </c>
      <c r="G248" s="156">
        <f>$J$12*F801ENE!G36</f>
        <v>0</v>
      </c>
      <c r="H248" s="156">
        <f>$J$12*F801ENE!H36</f>
        <v>0</v>
      </c>
      <c r="I248" s="156">
        <f>$J$12*F801ENE!I36</f>
        <v>0</v>
      </c>
      <c r="J248" s="156">
        <f t="shared" si="60"/>
        <v>0</v>
      </c>
      <c r="K248" s="69"/>
      <c r="L248" s="319">
        <v>1</v>
      </c>
    </row>
    <row r="249" spans="2:12" s="37" customFormat="1" ht="15.75" hidden="1">
      <c r="B249" s="48"/>
      <c r="C249" s="160" t="s">
        <v>305</v>
      </c>
      <c r="D249" s="156">
        <f>$J$12*F801ENE!D37*0.95</f>
        <v>0</v>
      </c>
      <c r="E249" s="156">
        <f>$J$12*F801ENE!E37*0.95</f>
        <v>0</v>
      </c>
      <c r="F249" s="156">
        <f>$J$12*F801ENE!F37*0.95</f>
        <v>0</v>
      </c>
      <c r="G249" s="156">
        <f>$J$12*F801ENE!G37*0.95</f>
        <v>0</v>
      </c>
      <c r="H249" s="156">
        <f>$J$12*F801ENE!H37*0.95</f>
        <v>0</v>
      </c>
      <c r="I249" s="156">
        <f>$J$12*F801ENE!I37*0.95</f>
        <v>0</v>
      </c>
      <c r="J249" s="156">
        <f t="shared" si="60"/>
        <v>0</v>
      </c>
      <c r="K249" s="69"/>
      <c r="L249" s="319">
        <v>0.95</v>
      </c>
    </row>
    <row r="250" spans="2:12" s="37" customFormat="1" ht="15.75" hidden="1">
      <c r="B250" s="48"/>
      <c r="C250" s="160" t="s">
        <v>307</v>
      </c>
      <c r="D250" s="156">
        <f>$J$12*F801ENE!D38*0.5</f>
        <v>0</v>
      </c>
      <c r="E250" s="156">
        <f>$J$12*F801ENE!E38*0.5</f>
        <v>0</v>
      </c>
      <c r="F250" s="156">
        <f>$J$12*F801ENE!F38*0.5</f>
        <v>0</v>
      </c>
      <c r="G250" s="156">
        <f>$J$12*F801ENE!G38*0.5</f>
        <v>0</v>
      </c>
      <c r="H250" s="156">
        <f>$J$12*F801ENE!H38*0.5</f>
        <v>0</v>
      </c>
      <c r="I250" s="156">
        <f>$J$12*F801ENE!I38*0.5</f>
        <v>0</v>
      </c>
      <c r="J250" s="156">
        <f t="shared" si="60"/>
        <v>0</v>
      </c>
      <c r="K250" s="69"/>
      <c r="L250" s="319">
        <v>0.5</v>
      </c>
    </row>
    <row r="251" spans="2:12" s="37" customFormat="1" ht="15.75" hidden="1">
      <c r="B251" s="48" t="s">
        <v>274</v>
      </c>
      <c r="C251" s="158" t="s">
        <v>632</v>
      </c>
      <c r="D251" s="159">
        <f t="shared" ref="D251:I251" si="62">SUM(D252:D255)</f>
        <v>0</v>
      </c>
      <c r="E251" s="159">
        <f t="shared" si="62"/>
        <v>0</v>
      </c>
      <c r="F251" s="159">
        <f t="shared" si="62"/>
        <v>0</v>
      </c>
      <c r="G251" s="159">
        <f t="shared" si="62"/>
        <v>0</v>
      </c>
      <c r="H251" s="159">
        <f t="shared" si="62"/>
        <v>0</v>
      </c>
      <c r="I251" s="159">
        <f t="shared" si="62"/>
        <v>0</v>
      </c>
      <c r="J251" s="159">
        <f t="shared" si="60"/>
        <v>0</v>
      </c>
      <c r="K251" s="69"/>
      <c r="L251" s="319"/>
    </row>
    <row r="252" spans="2:12" s="37" customFormat="1" ht="15.75" hidden="1">
      <c r="B252" s="48"/>
      <c r="C252" s="160" t="s">
        <v>304</v>
      </c>
      <c r="D252" s="156">
        <f>$J$12*F801ENE!D40</f>
        <v>0</v>
      </c>
      <c r="E252" s="156">
        <f>$J$12*F801ENE!E40</f>
        <v>0</v>
      </c>
      <c r="F252" s="156">
        <f>$J$12*F801ENE!F40</f>
        <v>0</v>
      </c>
      <c r="G252" s="156">
        <f>$J$12*F801ENE!G40</f>
        <v>0</v>
      </c>
      <c r="H252" s="156">
        <f>$J$12*F801ENE!H40</f>
        <v>0</v>
      </c>
      <c r="I252" s="156">
        <f>$J$12*F801ENE!I40</f>
        <v>0</v>
      </c>
      <c r="J252" s="156">
        <f t="shared" si="60"/>
        <v>0</v>
      </c>
      <c r="K252" s="69"/>
      <c r="L252" s="319">
        <v>1</v>
      </c>
    </row>
    <row r="253" spans="2:12" s="37" customFormat="1" ht="15.75" hidden="1">
      <c r="B253" s="48"/>
      <c r="C253" s="161" t="s">
        <v>306</v>
      </c>
      <c r="D253" s="156">
        <f>$J$12*F801ENE!D41</f>
        <v>0</v>
      </c>
      <c r="E253" s="156">
        <f>$J$12*F801ENE!E41</f>
        <v>0</v>
      </c>
      <c r="F253" s="156">
        <f>$J$12*F801ENE!F41</f>
        <v>0</v>
      </c>
      <c r="G253" s="156">
        <f>$J$12*F801ENE!G41</f>
        <v>0</v>
      </c>
      <c r="H253" s="156">
        <f>$J$12*F801ENE!H41</f>
        <v>0</v>
      </c>
      <c r="I253" s="156">
        <f>$J$12*F801ENE!I41</f>
        <v>0</v>
      </c>
      <c r="J253" s="156">
        <f t="shared" si="60"/>
        <v>0</v>
      </c>
      <c r="K253" s="69"/>
      <c r="L253" s="319">
        <v>1</v>
      </c>
    </row>
    <row r="254" spans="2:12" s="37" customFormat="1" ht="15.75" hidden="1">
      <c r="B254" s="48"/>
      <c r="C254" s="160" t="s">
        <v>305</v>
      </c>
      <c r="D254" s="156">
        <f>$J$12*F801ENE!D42*0.95</f>
        <v>0</v>
      </c>
      <c r="E254" s="156">
        <f>$J$12*F801ENE!E42*0.95</f>
        <v>0</v>
      </c>
      <c r="F254" s="156">
        <f>$J$12*F801ENE!F42*0.95</f>
        <v>0</v>
      </c>
      <c r="G254" s="156">
        <f>$J$12*F801ENE!G42*0.95</f>
        <v>0</v>
      </c>
      <c r="H254" s="156">
        <f>$J$12*F801ENE!H42*0.95</f>
        <v>0</v>
      </c>
      <c r="I254" s="156">
        <f>$J$12*F801ENE!I42*0.95</f>
        <v>0</v>
      </c>
      <c r="J254" s="156">
        <f t="shared" si="60"/>
        <v>0</v>
      </c>
      <c r="K254" s="69"/>
      <c r="L254" s="319">
        <v>0.95</v>
      </c>
    </row>
    <row r="255" spans="2:12" s="37" customFormat="1" ht="15.75" hidden="1">
      <c r="B255" s="48"/>
      <c r="C255" s="160" t="s">
        <v>307</v>
      </c>
      <c r="D255" s="156">
        <f>$J$12*F801ENE!D43*0.5</f>
        <v>0</v>
      </c>
      <c r="E255" s="156">
        <f>$J$12*F801ENE!E43*0.5</f>
        <v>0</v>
      </c>
      <c r="F255" s="156">
        <f>$J$12*F801ENE!F43*0.5</f>
        <v>0</v>
      </c>
      <c r="G255" s="156">
        <f>$J$12*F801ENE!G43*0.5</f>
        <v>0</v>
      </c>
      <c r="H255" s="156">
        <f>$J$12*F801ENE!H43*0.5</f>
        <v>0</v>
      </c>
      <c r="I255" s="156">
        <f>$J$12*F801ENE!I43*0.5</f>
        <v>0</v>
      </c>
      <c r="J255" s="156">
        <f t="shared" si="60"/>
        <v>0</v>
      </c>
      <c r="K255" s="69"/>
      <c r="L255" s="319">
        <v>0.5</v>
      </c>
    </row>
    <row r="256" spans="2:12" s="37" customFormat="1" ht="15.75" hidden="1">
      <c r="B256" s="48" t="s">
        <v>274</v>
      </c>
      <c r="C256" s="158" t="s">
        <v>633</v>
      </c>
      <c r="D256" s="159">
        <f t="shared" ref="D256:I256" si="63">SUM(D257:D260)</f>
        <v>0</v>
      </c>
      <c r="E256" s="159">
        <f t="shared" si="63"/>
        <v>0</v>
      </c>
      <c r="F256" s="159">
        <f t="shared" si="63"/>
        <v>0</v>
      </c>
      <c r="G256" s="159">
        <f t="shared" si="63"/>
        <v>0</v>
      </c>
      <c r="H256" s="159">
        <f t="shared" si="63"/>
        <v>0</v>
      </c>
      <c r="I256" s="159">
        <f t="shared" si="63"/>
        <v>0</v>
      </c>
      <c r="J256" s="159">
        <f t="shared" si="60"/>
        <v>0</v>
      </c>
      <c r="K256" s="69"/>
      <c r="L256" s="319"/>
    </row>
    <row r="257" spans="2:12" s="37" customFormat="1" ht="15.75" hidden="1">
      <c r="B257" s="48"/>
      <c r="C257" s="160" t="s">
        <v>304</v>
      </c>
      <c r="D257" s="156">
        <f>$J$12*F801ENE!D45</f>
        <v>0</v>
      </c>
      <c r="E257" s="156">
        <f>$J$12*F801ENE!E45</f>
        <v>0</v>
      </c>
      <c r="F257" s="156">
        <f>$J$12*F801ENE!F45</f>
        <v>0</v>
      </c>
      <c r="G257" s="156">
        <f>$J$12*F801ENE!G45</f>
        <v>0</v>
      </c>
      <c r="H257" s="156">
        <f>$J$12*F801ENE!H45</f>
        <v>0</v>
      </c>
      <c r="I257" s="156">
        <f>$J$12*F801ENE!I45</f>
        <v>0</v>
      </c>
      <c r="J257" s="156">
        <f t="shared" si="60"/>
        <v>0</v>
      </c>
      <c r="K257" s="69"/>
      <c r="L257" s="319">
        <v>1</v>
      </c>
    </row>
    <row r="258" spans="2:12" s="37" customFormat="1" ht="15.75" hidden="1">
      <c r="B258" s="48"/>
      <c r="C258" s="161" t="s">
        <v>306</v>
      </c>
      <c r="D258" s="156">
        <f>$J$12*F801ENE!D46</f>
        <v>0</v>
      </c>
      <c r="E258" s="156">
        <f>$J$12*F801ENE!E46</f>
        <v>0</v>
      </c>
      <c r="F258" s="156">
        <f>$J$12*F801ENE!F46</f>
        <v>0</v>
      </c>
      <c r="G258" s="156">
        <f>$J$12*F801ENE!G46</f>
        <v>0</v>
      </c>
      <c r="H258" s="156">
        <f>$J$12*F801ENE!H46</f>
        <v>0</v>
      </c>
      <c r="I258" s="156">
        <f>$J$12*F801ENE!I46</f>
        <v>0</v>
      </c>
      <c r="J258" s="156">
        <f t="shared" si="60"/>
        <v>0</v>
      </c>
      <c r="K258" s="69"/>
      <c r="L258" s="319">
        <v>1</v>
      </c>
    </row>
    <row r="259" spans="2:12" s="37" customFormat="1" ht="15.75" hidden="1">
      <c r="B259" s="48"/>
      <c r="C259" s="160" t="s">
        <v>305</v>
      </c>
      <c r="D259" s="156">
        <f>$J$12*F801ENE!D47*0.95</f>
        <v>0</v>
      </c>
      <c r="E259" s="156">
        <f>$J$12*F801ENE!E47*0.95</f>
        <v>0</v>
      </c>
      <c r="F259" s="156">
        <f>$J$12*F801ENE!F47*0.95</f>
        <v>0</v>
      </c>
      <c r="G259" s="156">
        <f>$J$12*F801ENE!G47*0.95</f>
        <v>0</v>
      </c>
      <c r="H259" s="156">
        <f>$J$12*F801ENE!H47*0.95</f>
        <v>0</v>
      </c>
      <c r="I259" s="156">
        <f>$J$12*F801ENE!I47*0.95</f>
        <v>0</v>
      </c>
      <c r="J259" s="156">
        <f t="shared" si="60"/>
        <v>0</v>
      </c>
      <c r="K259" s="69"/>
      <c r="L259" s="319">
        <v>0.95</v>
      </c>
    </row>
    <row r="260" spans="2:12" s="37" customFormat="1" ht="15.75" hidden="1">
      <c r="B260" s="48"/>
      <c r="C260" s="160" t="s">
        <v>307</v>
      </c>
      <c r="D260" s="156">
        <f>$J$12*F801ENE!D48*0.5</f>
        <v>0</v>
      </c>
      <c r="E260" s="156">
        <f>$J$12*F801ENE!E48*0.5</f>
        <v>0</v>
      </c>
      <c r="F260" s="156">
        <f>$J$12*F801ENE!F48*0.5</f>
        <v>0</v>
      </c>
      <c r="G260" s="156">
        <f>$J$12*F801ENE!G48*0.5</f>
        <v>0</v>
      </c>
      <c r="H260" s="156">
        <f>$J$12*F801ENE!H48*0.5</f>
        <v>0</v>
      </c>
      <c r="I260" s="156">
        <f>$J$12*F801ENE!I48*0.5</f>
        <v>0</v>
      </c>
      <c r="J260" s="156">
        <f t="shared" si="60"/>
        <v>0</v>
      </c>
      <c r="K260" s="69"/>
      <c r="L260" s="319">
        <v>0.5</v>
      </c>
    </row>
    <row r="261" spans="2:12" s="37" customFormat="1" ht="15.75" hidden="1">
      <c r="B261" s="48"/>
      <c r="C261" s="157"/>
      <c r="D261" s="156"/>
      <c r="E261" s="156"/>
      <c r="F261" s="156"/>
      <c r="G261" s="156"/>
      <c r="H261" s="156"/>
      <c r="I261" s="156"/>
      <c r="J261" s="156"/>
      <c r="K261" s="69"/>
      <c r="L261" s="319"/>
    </row>
    <row r="262" spans="2:12" s="37" customFormat="1" ht="15.75" hidden="1">
      <c r="B262" s="48" t="s">
        <v>1176</v>
      </c>
      <c r="C262" s="158" t="str">
        <f>F801ENE!$C$50</f>
        <v>BTSH</v>
      </c>
      <c r="D262" s="159">
        <f t="shared" ref="D262:I262" si="64">SUM(D263:D268)</f>
        <v>0</v>
      </c>
      <c r="E262" s="159">
        <f t="shared" si="64"/>
        <v>0</v>
      </c>
      <c r="F262" s="159">
        <f t="shared" si="64"/>
        <v>0</v>
      </c>
      <c r="G262" s="159">
        <f t="shared" si="64"/>
        <v>0</v>
      </c>
      <c r="H262" s="159">
        <f t="shared" si="64"/>
        <v>0</v>
      </c>
      <c r="I262" s="159">
        <f t="shared" si="64"/>
        <v>0</v>
      </c>
      <c r="J262" s="159">
        <f t="shared" ref="J262:J288" si="65">SUM(D262:I262)</f>
        <v>0</v>
      </c>
      <c r="K262" s="69"/>
      <c r="L262" s="319"/>
    </row>
    <row r="263" spans="2:12" s="37" customFormat="1" ht="15.75" hidden="1">
      <c r="B263" s="48"/>
      <c r="C263" s="160" t="str">
        <f>F801ENE!$C$51</f>
        <v xml:space="preserve">    - Regulares</v>
      </c>
      <c r="D263" s="156">
        <f>$J$16*F801ENE!D51*1</f>
        <v>0</v>
      </c>
      <c r="E263" s="156">
        <f>$J$16*F801ENE!E51*1</f>
        <v>0</v>
      </c>
      <c r="F263" s="156">
        <f>$J$16*F801ENE!F51*1</f>
        <v>0</v>
      </c>
      <c r="G263" s="156">
        <f>$J$16*F801ENE!G51*1</f>
        <v>0</v>
      </c>
      <c r="H263" s="156">
        <f>$J$16*F801ENE!H51*1</f>
        <v>0</v>
      </c>
      <c r="I263" s="156">
        <f>$J$16*F801ENE!I51*1</f>
        <v>0</v>
      </c>
      <c r="J263" s="156">
        <f t="shared" si="65"/>
        <v>0</v>
      </c>
      <c r="K263" s="69"/>
      <c r="L263" s="319">
        <v>1</v>
      </c>
    </row>
    <row r="264" spans="2:12" s="37" customFormat="1" ht="15.75" hidden="1">
      <c r="B264" s="48"/>
      <c r="C264" s="162" t="str">
        <f>F801ENE!$C$52</f>
        <v xml:space="preserve">    - Jubilados (0 a 600 KWh)</v>
      </c>
      <c r="D264" s="156">
        <f>$J$16*F801ENE!D52*0.75</f>
        <v>0</v>
      </c>
      <c r="E264" s="156">
        <f>$J$16*F801ENE!E52*0.75</f>
        <v>0</v>
      </c>
      <c r="F264" s="156">
        <f>$J$16*F801ENE!F52*0.75</f>
        <v>0</v>
      </c>
      <c r="G264" s="156">
        <f>$J$16*F801ENE!G52*0.75</f>
        <v>0</v>
      </c>
      <c r="H264" s="156">
        <f>$J$16*F801ENE!H52*0.75</f>
        <v>0</v>
      </c>
      <c r="I264" s="156">
        <f>$J$16*F801ENE!I52*0.75</f>
        <v>0</v>
      </c>
      <c r="J264" s="156">
        <f t="shared" si="65"/>
        <v>0</v>
      </c>
      <c r="K264" s="69"/>
      <c r="L264" s="319">
        <v>0.75</v>
      </c>
    </row>
    <row r="265" spans="2:12" s="37" customFormat="1" ht="15.75" hidden="1">
      <c r="B265" s="48"/>
      <c r="C265" s="162" t="str">
        <f>F801ENE!$C$53</f>
        <v xml:space="preserve">    - Jubilados (601 y Más KWh)</v>
      </c>
      <c r="D265" s="156">
        <f>$J$16*F801ENE!D53*1</f>
        <v>0</v>
      </c>
      <c r="E265" s="156">
        <f>$J$16*F801ENE!E53*1</f>
        <v>0</v>
      </c>
      <c r="F265" s="156">
        <f>$J$16*F801ENE!F53*1</f>
        <v>0</v>
      </c>
      <c r="G265" s="156">
        <f>$J$16*F801ENE!G53*1</f>
        <v>0</v>
      </c>
      <c r="H265" s="156">
        <f>$J$16*F801ENE!H53*1</f>
        <v>0</v>
      </c>
      <c r="I265" s="156">
        <f>$J$16*F801ENE!I53*1</f>
        <v>0</v>
      </c>
      <c r="J265" s="156">
        <f t="shared" si="65"/>
        <v>0</v>
      </c>
      <c r="K265" s="69"/>
      <c r="L265" s="319">
        <v>1</v>
      </c>
    </row>
    <row r="266" spans="2:12" s="37" customFormat="1" ht="15.75" hidden="1">
      <c r="B266" s="48"/>
      <c r="C266" s="160" t="str">
        <f>F801ENE!$C$54</f>
        <v xml:space="preserve">    - Agropecuarios</v>
      </c>
      <c r="D266" s="156">
        <f>$J$16*F801ENE!D54*0.95</f>
        <v>0</v>
      </c>
      <c r="E266" s="156">
        <f>$J$16*F801ENE!E54*0.95</f>
        <v>0</v>
      </c>
      <c r="F266" s="156">
        <f>$J$16*F801ENE!F54*0.95</f>
        <v>0</v>
      </c>
      <c r="G266" s="156">
        <f>$J$16*F801ENE!G54*0.95</f>
        <v>0</v>
      </c>
      <c r="H266" s="156">
        <f>$J$16*F801ENE!H54*0.95</f>
        <v>0</v>
      </c>
      <c r="I266" s="156">
        <f>$J$16*F801ENE!I54*0.95</f>
        <v>0</v>
      </c>
      <c r="J266" s="156">
        <f t="shared" si="65"/>
        <v>0</v>
      </c>
      <c r="K266" s="69"/>
      <c r="L266" s="319">
        <v>0.95</v>
      </c>
    </row>
    <row r="267" spans="2:12" s="37" customFormat="1" ht="15.75" hidden="1">
      <c r="B267" s="48"/>
      <c r="C267" s="160" t="str">
        <f>F801ENE!$C$55</f>
        <v xml:space="preserve">    - Partidos Políticos</v>
      </c>
      <c r="D267" s="156">
        <f>$J$16*F801ENE!D55*0.5</f>
        <v>0</v>
      </c>
      <c r="E267" s="156">
        <f>$J$16*F801ENE!E55*0.5</f>
        <v>0</v>
      </c>
      <c r="F267" s="156">
        <f>$J$16*F801ENE!F55*0.5</f>
        <v>0</v>
      </c>
      <c r="G267" s="156">
        <f>$J$16*F801ENE!G55*0.5</f>
        <v>0</v>
      </c>
      <c r="H267" s="156">
        <f>$J$16*F801ENE!H55*0.5</f>
        <v>0</v>
      </c>
      <c r="I267" s="156">
        <f>$J$16*F801ENE!I55*0.5</f>
        <v>0</v>
      </c>
      <c r="J267" s="156">
        <f t="shared" si="65"/>
        <v>0</v>
      </c>
      <c r="K267" s="69"/>
      <c r="L267" s="319">
        <v>0.5</v>
      </c>
    </row>
    <row r="268" spans="2:12" s="37" customFormat="1" ht="15.75" hidden="1">
      <c r="B268" s="48"/>
      <c r="C268" s="160" t="str">
        <f>F801ENE!$C$56</f>
        <v xml:space="preserve">    - Cruz Roja</v>
      </c>
      <c r="D268" s="156">
        <f>$J$16*F801ENE!D56*0</f>
        <v>0</v>
      </c>
      <c r="E268" s="156">
        <f>$J$16*F801ENE!E56*0</f>
        <v>0</v>
      </c>
      <c r="F268" s="156">
        <f>$J$16*F801ENE!F56*0</f>
        <v>0</v>
      </c>
      <c r="G268" s="156">
        <f>$J$16*F801ENE!G56*0</f>
        <v>0</v>
      </c>
      <c r="H268" s="156">
        <f>$J$16*F801ENE!H56*0</f>
        <v>0</v>
      </c>
      <c r="I268" s="156">
        <f>$J$16*F801ENE!I56*0</f>
        <v>0</v>
      </c>
      <c r="J268" s="156">
        <f t="shared" si="65"/>
        <v>0</v>
      </c>
      <c r="K268" s="69"/>
      <c r="L268" s="319">
        <v>0</v>
      </c>
    </row>
    <row r="269" spans="2:12" s="37" customFormat="1" ht="15.75" hidden="1">
      <c r="B269" s="48" t="s">
        <v>751</v>
      </c>
      <c r="C269" s="158" t="s">
        <v>634</v>
      </c>
      <c r="D269" s="159">
        <f t="shared" ref="D269:I269" si="66">SUM(D270:D274)</f>
        <v>0</v>
      </c>
      <c r="E269" s="159">
        <f t="shared" si="66"/>
        <v>0</v>
      </c>
      <c r="F269" s="159">
        <f t="shared" si="66"/>
        <v>0</v>
      </c>
      <c r="G269" s="159">
        <f t="shared" si="66"/>
        <v>0</v>
      </c>
      <c r="H269" s="159">
        <f t="shared" si="66"/>
        <v>0</v>
      </c>
      <c r="I269" s="159">
        <f t="shared" si="66"/>
        <v>0</v>
      </c>
      <c r="J269" s="159">
        <f t="shared" si="65"/>
        <v>0</v>
      </c>
      <c r="K269" s="69"/>
      <c r="L269" s="319"/>
    </row>
    <row r="270" spans="2:12" s="37" customFormat="1" ht="15.75" hidden="1">
      <c r="B270" s="48"/>
      <c r="C270" s="160" t="s">
        <v>304</v>
      </c>
      <c r="D270" s="156">
        <f>$J$18*F801ENE!D66*$L270</f>
        <v>0</v>
      </c>
      <c r="E270" s="156">
        <f>$J$18*F801ENE!E66*$L270</f>
        <v>0</v>
      </c>
      <c r="F270" s="156">
        <f>$J$18*F801ENE!F66*$L270</f>
        <v>0</v>
      </c>
      <c r="G270" s="156">
        <f>$J$18*F801ENE!G66*$L270</f>
        <v>0</v>
      </c>
      <c r="H270" s="156">
        <f>$J$18*F801ENE!H66*$L270</f>
        <v>0</v>
      </c>
      <c r="I270" s="156">
        <f>$J$18*F801ENE!I66*$L270</f>
        <v>0</v>
      </c>
      <c r="J270" s="156">
        <f t="shared" si="65"/>
        <v>0</v>
      </c>
      <c r="K270" s="69"/>
      <c r="L270" s="319">
        <v>1</v>
      </c>
    </row>
    <row r="271" spans="2:12" s="37" customFormat="1" ht="15.75" hidden="1">
      <c r="B271" s="48"/>
      <c r="C271" s="162" t="s">
        <v>644</v>
      </c>
      <c r="D271" s="156">
        <f>$J$18*F801ENE!D67*$L271</f>
        <v>0</v>
      </c>
      <c r="E271" s="156">
        <f>$J$18*F801ENE!E67*$L271</f>
        <v>0</v>
      </c>
      <c r="F271" s="156">
        <f>$J$18*F801ENE!F67*$L271</f>
        <v>0</v>
      </c>
      <c r="G271" s="156">
        <f>$J$18*F801ENE!G67*$L271</f>
        <v>0</v>
      </c>
      <c r="H271" s="156">
        <f>$J$18*F801ENE!H67*$L271</f>
        <v>0</v>
      </c>
      <c r="I271" s="156">
        <f>$J$18*F801ENE!I67*$L271</f>
        <v>0</v>
      </c>
      <c r="J271" s="156">
        <f t="shared" si="65"/>
        <v>0</v>
      </c>
      <c r="K271" s="69"/>
      <c r="L271" s="319">
        <v>0.75</v>
      </c>
    </row>
    <row r="272" spans="2:12" s="37" customFormat="1" ht="15.75" hidden="1">
      <c r="B272" s="48"/>
      <c r="C272" s="160" t="s">
        <v>305</v>
      </c>
      <c r="D272" s="156">
        <f>$J$18*F801ENE!D68*$L272</f>
        <v>0</v>
      </c>
      <c r="E272" s="156">
        <f>$J$18*F801ENE!E68*$L272</f>
        <v>0</v>
      </c>
      <c r="F272" s="156">
        <f>$J$18*F801ENE!F68*$L272</f>
        <v>0</v>
      </c>
      <c r="G272" s="156">
        <f>$J$18*F801ENE!G68*$L272</f>
        <v>0</v>
      </c>
      <c r="H272" s="156">
        <f>$J$18*F801ENE!H68*$L272</f>
        <v>0</v>
      </c>
      <c r="I272" s="156">
        <f>$J$18*F801ENE!I68*$L272</f>
        <v>0</v>
      </c>
      <c r="J272" s="156">
        <f t="shared" si="65"/>
        <v>0</v>
      </c>
      <c r="K272" s="69"/>
      <c r="L272" s="319">
        <v>0.95</v>
      </c>
    </row>
    <row r="273" spans="2:12" s="37" customFormat="1" ht="15.75" hidden="1">
      <c r="B273" s="48"/>
      <c r="C273" s="160" t="s">
        <v>307</v>
      </c>
      <c r="D273" s="156">
        <f>$J$18*F801ENE!D69*$L273</f>
        <v>0</v>
      </c>
      <c r="E273" s="156">
        <f>$J$18*F801ENE!E69*$L273</f>
        <v>0</v>
      </c>
      <c r="F273" s="156">
        <f>$J$18*F801ENE!F69*$L273</f>
        <v>0</v>
      </c>
      <c r="G273" s="156">
        <f>$J$18*F801ENE!G69*$L273</f>
        <v>0</v>
      </c>
      <c r="H273" s="156">
        <f>$J$18*F801ENE!H69*$L273</f>
        <v>0</v>
      </c>
      <c r="I273" s="156">
        <f>$J$18*F801ENE!I69*$L273</f>
        <v>0</v>
      </c>
      <c r="J273" s="156">
        <f t="shared" si="65"/>
        <v>0</v>
      </c>
      <c r="K273" s="69"/>
      <c r="L273" s="319">
        <v>0.5</v>
      </c>
    </row>
    <row r="274" spans="2:12" s="37" customFormat="1" ht="15.75" hidden="1">
      <c r="B274" s="48"/>
      <c r="C274" s="160" t="s">
        <v>624</v>
      </c>
      <c r="D274" s="156">
        <f>$J$18*F801ENE!D70*$L274</f>
        <v>0</v>
      </c>
      <c r="E274" s="156">
        <f>$J$18*F801ENE!E70*$L274</f>
        <v>0</v>
      </c>
      <c r="F274" s="156">
        <f>$J$18*F801ENE!F70*$L274</f>
        <v>0</v>
      </c>
      <c r="G274" s="156">
        <f>$J$18*F801ENE!G70*$L274</f>
        <v>0</v>
      </c>
      <c r="H274" s="156">
        <f>$J$18*F801ENE!H70*$L274</f>
        <v>0</v>
      </c>
      <c r="I274" s="156">
        <f>$J$18*F801ENE!I70*$L274</f>
        <v>0</v>
      </c>
      <c r="J274" s="156">
        <f t="shared" si="65"/>
        <v>0</v>
      </c>
      <c r="K274" s="69"/>
      <c r="L274" s="319">
        <v>0</v>
      </c>
    </row>
    <row r="275" spans="2:12" s="37" customFormat="1" ht="15.75" hidden="1">
      <c r="B275" s="48" t="s">
        <v>750</v>
      </c>
      <c r="C275" s="158" t="s">
        <v>635</v>
      </c>
      <c r="D275" s="159">
        <f t="shared" ref="D275:I275" si="67">SUM(D276:D281)</f>
        <v>0</v>
      </c>
      <c r="E275" s="159">
        <f t="shared" si="67"/>
        <v>0</v>
      </c>
      <c r="F275" s="159">
        <f t="shared" si="67"/>
        <v>0</v>
      </c>
      <c r="G275" s="159">
        <f t="shared" si="67"/>
        <v>0</v>
      </c>
      <c r="H275" s="159">
        <f t="shared" si="67"/>
        <v>0</v>
      </c>
      <c r="I275" s="159">
        <f t="shared" si="67"/>
        <v>0</v>
      </c>
      <c r="J275" s="159">
        <f t="shared" si="65"/>
        <v>0</v>
      </c>
      <c r="K275" s="69"/>
      <c r="L275" s="319"/>
    </row>
    <row r="276" spans="2:12" s="37" customFormat="1" ht="15.75" hidden="1">
      <c r="B276" s="48"/>
      <c r="C276" s="160" t="s">
        <v>304</v>
      </c>
      <c r="D276" s="156">
        <f>$J$18*F801ENE!D72*$L276</f>
        <v>0</v>
      </c>
      <c r="E276" s="156">
        <f>$J$18*F801ENE!E72*$L276</f>
        <v>0</v>
      </c>
      <c r="F276" s="156">
        <f>$J$18*F801ENE!F72*$L276</f>
        <v>0</v>
      </c>
      <c r="G276" s="156">
        <f>$J$18*F801ENE!G72*$L276</f>
        <v>0</v>
      </c>
      <c r="H276" s="156">
        <f>$J$18*F801ENE!H72*$L276</f>
        <v>0</v>
      </c>
      <c r="I276" s="156">
        <f>$J$18*F801ENE!I72*$L276</f>
        <v>0</v>
      </c>
      <c r="J276" s="156">
        <f t="shared" si="65"/>
        <v>0</v>
      </c>
      <c r="K276" s="69"/>
      <c r="L276" s="319">
        <v>1</v>
      </c>
    </row>
    <row r="277" spans="2:12" s="37" customFormat="1" ht="15.75" hidden="1">
      <c r="B277" s="48"/>
      <c r="C277" s="162" t="s">
        <v>642</v>
      </c>
      <c r="D277" s="156">
        <f>$J$18*F801ENE!D73*$L277</f>
        <v>0</v>
      </c>
      <c r="E277" s="156">
        <f>$J$18*F801ENE!E73*$L277</f>
        <v>0</v>
      </c>
      <c r="F277" s="156">
        <f>$J$18*F801ENE!F73*$L277</f>
        <v>0</v>
      </c>
      <c r="G277" s="156">
        <f>$J$18*F801ENE!G73*$L277</f>
        <v>0</v>
      </c>
      <c r="H277" s="156">
        <f>$J$18*F801ENE!H73*$L277</f>
        <v>0</v>
      </c>
      <c r="I277" s="156">
        <f>$J$18*F801ENE!I73*$L277</f>
        <v>0</v>
      </c>
      <c r="J277" s="156">
        <f t="shared" si="65"/>
        <v>0</v>
      </c>
      <c r="K277" s="69"/>
      <c r="L277" s="319">
        <v>0.75</v>
      </c>
    </row>
    <row r="278" spans="2:12" s="37" customFormat="1" ht="15.75" hidden="1">
      <c r="B278" s="48"/>
      <c r="C278" s="162" t="s">
        <v>1177</v>
      </c>
      <c r="D278" s="156">
        <f>$J$18*F801ENE!D74*$L278</f>
        <v>0</v>
      </c>
      <c r="E278" s="156">
        <f>$J$18*F801ENE!E74*$L278</f>
        <v>0</v>
      </c>
      <c r="F278" s="156">
        <f>$J$18*F801ENE!F74*$L278</f>
        <v>0</v>
      </c>
      <c r="G278" s="156">
        <f>$J$18*F801ENE!G74*$L278</f>
        <v>0</v>
      </c>
      <c r="H278" s="156">
        <f>$J$18*F801ENE!H74*$L278</f>
        <v>0</v>
      </c>
      <c r="I278" s="156">
        <f>$J$18*F801ENE!I74*$L278</f>
        <v>0</v>
      </c>
      <c r="J278" s="156">
        <f t="shared" si="65"/>
        <v>0</v>
      </c>
      <c r="K278" s="69"/>
      <c r="L278" s="319">
        <v>1</v>
      </c>
    </row>
    <row r="279" spans="2:12" s="37" customFormat="1" ht="15.75" hidden="1">
      <c r="B279" s="48"/>
      <c r="C279" s="160" t="s">
        <v>305</v>
      </c>
      <c r="D279" s="156">
        <f>$J$18*F801ENE!D75*$L279</f>
        <v>0</v>
      </c>
      <c r="E279" s="156">
        <f>$J$18*F801ENE!E75*$L279</f>
        <v>0</v>
      </c>
      <c r="F279" s="156">
        <f>$J$18*F801ENE!F75*$L279</f>
        <v>0</v>
      </c>
      <c r="G279" s="156">
        <f>$J$18*F801ENE!G75*$L279</f>
        <v>0</v>
      </c>
      <c r="H279" s="156">
        <f>$J$18*F801ENE!H75*$L279</f>
        <v>0</v>
      </c>
      <c r="I279" s="156">
        <f>$J$18*F801ENE!I75*$L279</f>
        <v>0</v>
      </c>
      <c r="J279" s="156">
        <f t="shared" si="65"/>
        <v>0</v>
      </c>
      <c r="K279" s="69"/>
      <c r="L279" s="319">
        <v>0.95</v>
      </c>
    </row>
    <row r="280" spans="2:12" s="37" customFormat="1" ht="15.75" hidden="1">
      <c r="B280" s="48"/>
      <c r="C280" s="160" t="s">
        <v>307</v>
      </c>
      <c r="D280" s="156">
        <f>$J$18*F801ENE!D76*$L280</f>
        <v>0</v>
      </c>
      <c r="E280" s="156">
        <f>$J$18*F801ENE!E76*$L280</f>
        <v>0</v>
      </c>
      <c r="F280" s="156">
        <f>$J$18*F801ENE!F76*$L280</f>
        <v>0</v>
      </c>
      <c r="G280" s="156">
        <f>$J$18*F801ENE!G76*$L280</f>
        <v>0</v>
      </c>
      <c r="H280" s="156">
        <f>$J$18*F801ENE!H76*$L280</f>
        <v>0</v>
      </c>
      <c r="I280" s="156">
        <f>$J$18*F801ENE!I76*$L280</f>
        <v>0</v>
      </c>
      <c r="J280" s="156">
        <f t="shared" si="65"/>
        <v>0</v>
      </c>
      <c r="K280" s="69"/>
      <c r="L280" s="319">
        <v>0.5</v>
      </c>
    </row>
    <row r="281" spans="2:12" s="37" customFormat="1" ht="15.75" hidden="1">
      <c r="B281" s="48"/>
      <c r="C281" s="160" t="s">
        <v>624</v>
      </c>
      <c r="D281" s="156">
        <f>$J$18*F801ENE!D77*$L281</f>
        <v>0</v>
      </c>
      <c r="E281" s="156">
        <f>$J$18*F801ENE!E77*$L281</f>
        <v>0</v>
      </c>
      <c r="F281" s="156">
        <f>$J$18*F801ENE!F77*$L281</f>
        <v>0</v>
      </c>
      <c r="G281" s="156">
        <f>$J$18*F801ENE!G77*$L281</f>
        <v>0</v>
      </c>
      <c r="H281" s="156">
        <f>$J$18*F801ENE!H77*$L281</f>
        <v>0</v>
      </c>
      <c r="I281" s="156">
        <f>$J$18*F801ENE!I77*$L281</f>
        <v>0</v>
      </c>
      <c r="J281" s="156">
        <f t="shared" si="65"/>
        <v>0</v>
      </c>
      <c r="K281" s="69"/>
      <c r="L281" s="319">
        <v>0</v>
      </c>
    </row>
    <row r="282" spans="2:12" s="37" customFormat="1" ht="15.75" hidden="1">
      <c r="B282" s="48" t="s">
        <v>749</v>
      </c>
      <c r="C282" s="158" t="s">
        <v>636</v>
      </c>
      <c r="D282" s="159">
        <f t="shared" ref="D282:I282" si="68">SUM(D283:D288)</f>
        <v>0</v>
      </c>
      <c r="E282" s="159">
        <f t="shared" si="68"/>
        <v>0</v>
      </c>
      <c r="F282" s="159">
        <f t="shared" si="68"/>
        <v>0</v>
      </c>
      <c r="G282" s="159">
        <f t="shared" si="68"/>
        <v>0</v>
      </c>
      <c r="H282" s="159">
        <f t="shared" si="68"/>
        <v>0</v>
      </c>
      <c r="I282" s="159">
        <f t="shared" si="68"/>
        <v>0</v>
      </c>
      <c r="J282" s="159">
        <f t="shared" si="65"/>
        <v>0</v>
      </c>
      <c r="K282" s="69"/>
      <c r="L282" s="319"/>
    </row>
    <row r="283" spans="2:12" s="37" customFormat="1" ht="15.75" hidden="1">
      <c r="B283" s="48"/>
      <c r="C283" s="160" t="s">
        <v>304</v>
      </c>
      <c r="D283" s="156">
        <f>$J$18*F801ENE!D79*$L283</f>
        <v>0</v>
      </c>
      <c r="E283" s="156">
        <f>$J$18*F801ENE!E79*$L283</f>
        <v>0</v>
      </c>
      <c r="F283" s="156">
        <f>$J$18*F801ENE!F79*$L283</f>
        <v>0</v>
      </c>
      <c r="G283" s="156">
        <f>$J$18*F801ENE!G79*$L283</f>
        <v>0</v>
      </c>
      <c r="H283" s="156">
        <f>$J$18*F801ENE!H79*$L283</f>
        <v>0</v>
      </c>
      <c r="I283" s="156">
        <f>$J$18*F801ENE!I79*$L283</f>
        <v>0</v>
      </c>
      <c r="J283" s="156">
        <f t="shared" si="65"/>
        <v>0</v>
      </c>
      <c r="K283" s="69"/>
      <c r="L283" s="319">
        <v>1</v>
      </c>
    </row>
    <row r="284" spans="2:12" s="37" customFormat="1" ht="15.75" hidden="1">
      <c r="B284" s="48"/>
      <c r="C284" s="162" t="s">
        <v>642</v>
      </c>
      <c r="D284" s="156">
        <f>$J$18*F801ENE!D80*$L284</f>
        <v>0</v>
      </c>
      <c r="E284" s="156">
        <f>$J$18*F801ENE!E80*$L284</f>
        <v>0</v>
      </c>
      <c r="F284" s="156">
        <f>$J$18*F801ENE!F80*$L284</f>
        <v>0</v>
      </c>
      <c r="G284" s="156">
        <f>$J$18*F801ENE!G80*$L284</f>
        <v>0</v>
      </c>
      <c r="H284" s="156">
        <f>$J$18*F801ENE!H80*$L284</f>
        <v>0</v>
      </c>
      <c r="I284" s="156">
        <f>$J$18*F801ENE!I80*$L284</f>
        <v>0</v>
      </c>
      <c r="J284" s="156">
        <f t="shared" si="65"/>
        <v>0</v>
      </c>
      <c r="K284" s="69"/>
      <c r="L284" s="319">
        <v>0.75</v>
      </c>
    </row>
    <row r="285" spans="2:12" s="37" customFormat="1" ht="15.75" hidden="1">
      <c r="B285" s="48"/>
      <c r="C285" s="162" t="s">
        <v>1177</v>
      </c>
      <c r="D285" s="156">
        <f>$J$18*F801ENE!D81*$L285</f>
        <v>0</v>
      </c>
      <c r="E285" s="156">
        <f>$J$18*F801ENE!E81*$L285</f>
        <v>0</v>
      </c>
      <c r="F285" s="156">
        <f>$J$18*F801ENE!F81*$L285</f>
        <v>0</v>
      </c>
      <c r="G285" s="156">
        <f>$J$18*F801ENE!G81*$L285</f>
        <v>0</v>
      </c>
      <c r="H285" s="156">
        <f>$J$18*F801ENE!H81*$L285</f>
        <v>0</v>
      </c>
      <c r="I285" s="156">
        <f>$J$18*F801ENE!I81*$L285</f>
        <v>0</v>
      </c>
      <c r="J285" s="156">
        <f t="shared" si="65"/>
        <v>0</v>
      </c>
      <c r="K285" s="69"/>
      <c r="L285" s="319">
        <v>1</v>
      </c>
    </row>
    <row r="286" spans="2:12" s="37" customFormat="1" ht="15.75" hidden="1">
      <c r="B286" s="48"/>
      <c r="C286" s="160" t="s">
        <v>305</v>
      </c>
      <c r="D286" s="156">
        <f>$J$18*F801ENE!D82*$L286</f>
        <v>0</v>
      </c>
      <c r="E286" s="156">
        <f>$J$18*F801ENE!E82*$L286</f>
        <v>0</v>
      </c>
      <c r="F286" s="156">
        <f>$J$18*F801ENE!F82*$L286</f>
        <v>0</v>
      </c>
      <c r="G286" s="156">
        <f>$J$18*F801ENE!G82*$L286</f>
        <v>0</v>
      </c>
      <c r="H286" s="156">
        <f>$J$18*F801ENE!H82*$L286</f>
        <v>0</v>
      </c>
      <c r="I286" s="156">
        <f>$J$18*F801ENE!I82*$L286</f>
        <v>0</v>
      </c>
      <c r="J286" s="156">
        <f t="shared" si="65"/>
        <v>0</v>
      </c>
      <c r="K286" s="69"/>
      <c r="L286" s="319">
        <v>0.95</v>
      </c>
    </row>
    <row r="287" spans="2:12" s="37" customFormat="1" ht="15.75" hidden="1">
      <c r="B287" s="48"/>
      <c r="C287" s="160" t="s">
        <v>307</v>
      </c>
      <c r="D287" s="156">
        <f>$J$18*F801ENE!D83*$L287</f>
        <v>0</v>
      </c>
      <c r="E287" s="156">
        <f>$J$18*F801ENE!E83*$L287</f>
        <v>0</v>
      </c>
      <c r="F287" s="156">
        <f>$J$18*F801ENE!F83*$L287</f>
        <v>0</v>
      </c>
      <c r="G287" s="156">
        <f>$J$18*F801ENE!G83*$L287</f>
        <v>0</v>
      </c>
      <c r="H287" s="156">
        <f>$J$18*F801ENE!H83*$L287</f>
        <v>0</v>
      </c>
      <c r="I287" s="156">
        <f>$J$18*F801ENE!I83*$L287</f>
        <v>0</v>
      </c>
      <c r="J287" s="156">
        <f t="shared" si="65"/>
        <v>0</v>
      </c>
      <c r="K287" s="69"/>
      <c r="L287" s="319">
        <v>0.5</v>
      </c>
    </row>
    <row r="288" spans="2:12" s="37" customFormat="1" ht="15.75" hidden="1">
      <c r="B288" s="48"/>
      <c r="C288" s="160" t="s">
        <v>624</v>
      </c>
      <c r="D288" s="156">
        <f>$J$18*F801ENE!D84*$L288</f>
        <v>0</v>
      </c>
      <c r="E288" s="156">
        <f>$J$18*F801ENE!E84*$L288</f>
        <v>0</v>
      </c>
      <c r="F288" s="156">
        <f>$J$18*F801ENE!F84*$L288</f>
        <v>0</v>
      </c>
      <c r="G288" s="156">
        <f>$J$18*F801ENE!G84*$L288</f>
        <v>0</v>
      </c>
      <c r="H288" s="156">
        <f>$J$18*F801ENE!H84*$L288</f>
        <v>0</v>
      </c>
      <c r="I288" s="156">
        <f>$J$18*F801ENE!I84*$L288</f>
        <v>0</v>
      </c>
      <c r="J288" s="156">
        <f t="shared" si="65"/>
        <v>0</v>
      </c>
      <c r="K288" s="69"/>
      <c r="L288" s="319">
        <v>0</v>
      </c>
    </row>
    <row r="289" spans="2:12" s="37" customFormat="1" ht="15.75" hidden="1">
      <c r="B289" s="48"/>
      <c r="C289" s="157"/>
      <c r="D289" s="156"/>
      <c r="E289" s="156"/>
      <c r="F289" s="156"/>
      <c r="G289" s="156"/>
      <c r="H289" s="156"/>
      <c r="I289" s="156"/>
      <c r="J289" s="156"/>
      <c r="K289" s="69"/>
      <c r="L289" s="319"/>
    </row>
    <row r="290" spans="2:12" s="37" customFormat="1" ht="15.75" hidden="1">
      <c r="B290" s="48" t="s">
        <v>902</v>
      </c>
      <c r="C290" s="158" t="s">
        <v>898</v>
      </c>
      <c r="D290" s="159">
        <f t="shared" ref="D290:I290" si="69">SUM(D291:D295)</f>
        <v>0</v>
      </c>
      <c r="E290" s="159">
        <f t="shared" si="69"/>
        <v>0</v>
      </c>
      <c r="F290" s="159">
        <f t="shared" si="69"/>
        <v>0</v>
      </c>
      <c r="G290" s="159">
        <f t="shared" si="69"/>
        <v>0</v>
      </c>
      <c r="H290" s="159">
        <f t="shared" si="69"/>
        <v>0</v>
      </c>
      <c r="I290" s="159">
        <f t="shared" si="69"/>
        <v>0</v>
      </c>
      <c r="J290" s="159">
        <f t="shared" ref="J290:J309" si="70">SUM(D290:I290)</f>
        <v>0</v>
      </c>
      <c r="K290" s="69"/>
      <c r="L290" s="319"/>
    </row>
    <row r="291" spans="2:12" s="37" customFormat="1" ht="15.75" hidden="1">
      <c r="B291" s="48"/>
      <c r="C291" s="160" t="s">
        <v>304</v>
      </c>
      <c r="D291" s="156">
        <f>$J$17*F801ENE!D87*$L291</f>
        <v>0</v>
      </c>
      <c r="E291" s="156">
        <f>$J$17*F801ENE!E87*$L291</f>
        <v>0</v>
      </c>
      <c r="F291" s="156">
        <f>$J$17*F801ENE!F87*$L291</f>
        <v>0</v>
      </c>
      <c r="G291" s="156">
        <f>$J$17*F801ENE!G87*$L291</f>
        <v>0</v>
      </c>
      <c r="H291" s="156">
        <f>$J$17*F801ENE!H87*$L291</f>
        <v>0</v>
      </c>
      <c r="I291" s="156">
        <f>$J$17*F801ENE!I87*$L291</f>
        <v>0</v>
      </c>
      <c r="J291" s="156">
        <f t="shared" si="70"/>
        <v>0</v>
      </c>
      <c r="K291" s="69"/>
      <c r="L291" s="319">
        <v>1</v>
      </c>
    </row>
    <row r="292" spans="2:12" s="37" customFormat="1" ht="15.75" hidden="1">
      <c r="B292" s="48"/>
      <c r="C292" s="162" t="s">
        <v>644</v>
      </c>
      <c r="D292" s="156">
        <f>$J$17*F801ENE!D88*$L292</f>
        <v>0</v>
      </c>
      <c r="E292" s="156">
        <f>$J$17*F801ENE!E88*$L292</f>
        <v>0</v>
      </c>
      <c r="F292" s="156">
        <f>$J$17*F801ENE!F88*$L292</f>
        <v>0</v>
      </c>
      <c r="G292" s="156">
        <f>$J$17*F801ENE!G88*$L292</f>
        <v>0</v>
      </c>
      <c r="H292" s="156">
        <f>$J$17*F801ENE!H88*$L292</f>
        <v>0</v>
      </c>
      <c r="I292" s="156">
        <f>$J$17*F801ENE!I88*$L292</f>
        <v>0</v>
      </c>
      <c r="J292" s="156">
        <f t="shared" si="70"/>
        <v>0</v>
      </c>
      <c r="K292" s="69"/>
      <c r="L292" s="319">
        <v>0.75</v>
      </c>
    </row>
    <row r="293" spans="2:12" s="37" customFormat="1" ht="15.75" hidden="1">
      <c r="B293" s="48"/>
      <c r="C293" s="160" t="s">
        <v>305</v>
      </c>
      <c r="D293" s="156">
        <f>$J$17*F801ENE!D89*$L293</f>
        <v>0</v>
      </c>
      <c r="E293" s="156">
        <f>$J$17*F801ENE!E89*$L293</f>
        <v>0</v>
      </c>
      <c r="F293" s="156">
        <f>$J$17*F801ENE!F89*$L293</f>
        <v>0</v>
      </c>
      <c r="G293" s="156">
        <f>$J$17*F801ENE!G89*$L293</f>
        <v>0</v>
      </c>
      <c r="H293" s="156">
        <f>$J$17*F801ENE!H89*$L293</f>
        <v>0</v>
      </c>
      <c r="I293" s="156">
        <f>$J$17*F801ENE!I89*$L293</f>
        <v>0</v>
      </c>
      <c r="J293" s="156">
        <f t="shared" si="70"/>
        <v>0</v>
      </c>
      <c r="K293" s="69"/>
      <c r="L293" s="319">
        <v>0.95</v>
      </c>
    </row>
    <row r="294" spans="2:12" s="37" customFormat="1" ht="15.75" hidden="1">
      <c r="B294" s="48"/>
      <c r="C294" s="160" t="s">
        <v>307</v>
      </c>
      <c r="D294" s="156">
        <f>$J$17*F801ENE!D90*$L294</f>
        <v>0</v>
      </c>
      <c r="E294" s="156">
        <f>$J$17*F801ENE!E90*$L294</f>
        <v>0</v>
      </c>
      <c r="F294" s="156">
        <f>$J$17*F801ENE!F90*$L294</f>
        <v>0</v>
      </c>
      <c r="G294" s="156">
        <f>$J$17*F801ENE!G90*$L294</f>
        <v>0</v>
      </c>
      <c r="H294" s="156">
        <f>$J$17*F801ENE!H90*$L294</f>
        <v>0</v>
      </c>
      <c r="I294" s="156">
        <f>$J$17*F801ENE!I90*$L294</f>
        <v>0</v>
      </c>
      <c r="J294" s="156">
        <f t="shared" si="70"/>
        <v>0</v>
      </c>
      <c r="K294" s="69"/>
      <c r="L294" s="319">
        <v>0.5</v>
      </c>
    </row>
    <row r="295" spans="2:12" s="37" customFormat="1" ht="15.75" hidden="1">
      <c r="B295" s="48"/>
      <c r="C295" s="160" t="s">
        <v>624</v>
      </c>
      <c r="D295" s="156">
        <f>$J$17*F801ENE!D91*$L295</f>
        <v>0</v>
      </c>
      <c r="E295" s="156">
        <f>$J$17*F801ENE!E91*$L295</f>
        <v>0</v>
      </c>
      <c r="F295" s="156">
        <f>$J$17*F801ENE!F91*$L295</f>
        <v>0</v>
      </c>
      <c r="G295" s="156">
        <f>$J$17*F801ENE!G91*$L295</f>
        <v>0</v>
      </c>
      <c r="H295" s="156">
        <f>$J$17*F801ENE!H91*$L295</f>
        <v>0</v>
      </c>
      <c r="I295" s="156">
        <f>$J$17*F801ENE!I91*$L295</f>
        <v>0</v>
      </c>
      <c r="J295" s="156">
        <f t="shared" si="70"/>
        <v>0</v>
      </c>
      <c r="K295" s="69"/>
      <c r="L295" s="319">
        <v>0</v>
      </c>
    </row>
    <row r="296" spans="2:12" s="37" customFormat="1" ht="15.75" hidden="1">
      <c r="B296" s="48" t="s">
        <v>902</v>
      </c>
      <c r="C296" s="158" t="s">
        <v>899</v>
      </c>
      <c r="D296" s="159">
        <f t="shared" ref="D296:I296" si="71">SUM(D297:D302)</f>
        <v>0</v>
      </c>
      <c r="E296" s="159">
        <f t="shared" si="71"/>
        <v>0</v>
      </c>
      <c r="F296" s="159">
        <f t="shared" si="71"/>
        <v>0</v>
      </c>
      <c r="G296" s="159">
        <f t="shared" si="71"/>
        <v>0</v>
      </c>
      <c r="H296" s="159">
        <f t="shared" si="71"/>
        <v>0</v>
      </c>
      <c r="I296" s="159">
        <f t="shared" si="71"/>
        <v>0</v>
      </c>
      <c r="J296" s="159">
        <f t="shared" si="70"/>
        <v>0</v>
      </c>
      <c r="K296" s="69"/>
      <c r="L296" s="319"/>
    </row>
    <row r="297" spans="2:12" s="37" customFormat="1" ht="15.75" hidden="1">
      <c r="B297" s="48"/>
      <c r="C297" s="160" t="s">
        <v>304</v>
      </c>
      <c r="D297" s="156">
        <f>$J$17*F801ENE!D93*$L297</f>
        <v>0</v>
      </c>
      <c r="E297" s="156">
        <f>$J$17*F801ENE!E93*$L297</f>
        <v>0</v>
      </c>
      <c r="F297" s="156">
        <f>$J$17*F801ENE!F93*$L297</f>
        <v>0</v>
      </c>
      <c r="G297" s="156">
        <f>$J$17*F801ENE!G93*$L297</f>
        <v>0</v>
      </c>
      <c r="H297" s="156">
        <f>$J$17*F801ENE!H93*$L297</f>
        <v>0</v>
      </c>
      <c r="I297" s="156">
        <f>$J$17*F801ENE!I93*$L297</f>
        <v>0</v>
      </c>
      <c r="J297" s="156">
        <f t="shared" si="70"/>
        <v>0</v>
      </c>
      <c r="K297" s="69"/>
      <c r="L297" s="319">
        <v>1</v>
      </c>
    </row>
    <row r="298" spans="2:12" s="37" customFormat="1" ht="15.75" hidden="1">
      <c r="B298" s="48"/>
      <c r="C298" s="162" t="s">
        <v>642</v>
      </c>
      <c r="D298" s="156">
        <f>$J$17*F801ENE!D94*$L298</f>
        <v>0</v>
      </c>
      <c r="E298" s="156">
        <f>$J$17*F801ENE!E94*$L298</f>
        <v>0</v>
      </c>
      <c r="F298" s="156">
        <f>$J$17*F801ENE!F94*$L298</f>
        <v>0</v>
      </c>
      <c r="G298" s="156">
        <f>$J$17*F801ENE!G94*$L298</f>
        <v>0</v>
      </c>
      <c r="H298" s="156">
        <f>$J$17*F801ENE!H94*$L298</f>
        <v>0</v>
      </c>
      <c r="I298" s="156">
        <f>$J$17*F801ENE!I94*$L298</f>
        <v>0</v>
      </c>
      <c r="J298" s="156">
        <f t="shared" si="70"/>
        <v>0</v>
      </c>
      <c r="K298" s="69"/>
      <c r="L298" s="319">
        <v>0.75</v>
      </c>
    </row>
    <row r="299" spans="2:12" s="37" customFormat="1" ht="15.75" hidden="1">
      <c r="B299" s="48"/>
      <c r="C299" s="162" t="s">
        <v>1177</v>
      </c>
      <c r="D299" s="156">
        <f>$J$17*F801ENE!D95*$L299</f>
        <v>0</v>
      </c>
      <c r="E299" s="156">
        <f>$J$17*F801ENE!E95*$L299</f>
        <v>0</v>
      </c>
      <c r="F299" s="156">
        <f>$J$17*F801ENE!F95*$L299</f>
        <v>0</v>
      </c>
      <c r="G299" s="156">
        <f>$J$17*F801ENE!G95*$L299</f>
        <v>0</v>
      </c>
      <c r="H299" s="156">
        <f>$J$17*F801ENE!H95*$L299</f>
        <v>0</v>
      </c>
      <c r="I299" s="156">
        <f>$J$17*F801ENE!I95*$L299</f>
        <v>0</v>
      </c>
      <c r="J299" s="156">
        <f t="shared" si="70"/>
        <v>0</v>
      </c>
      <c r="K299" s="69"/>
      <c r="L299" s="319">
        <v>1</v>
      </c>
    </row>
    <row r="300" spans="2:12" s="37" customFormat="1" ht="15.75" hidden="1">
      <c r="B300" s="48"/>
      <c r="C300" s="160" t="s">
        <v>305</v>
      </c>
      <c r="D300" s="156">
        <f>$J$17*F801ENE!D96*$L300</f>
        <v>0</v>
      </c>
      <c r="E300" s="156">
        <f>$J$17*F801ENE!E96*$L300</f>
        <v>0</v>
      </c>
      <c r="F300" s="156">
        <f>$J$17*F801ENE!F96*$L300</f>
        <v>0</v>
      </c>
      <c r="G300" s="156">
        <f>$J$17*F801ENE!G96*$L300</f>
        <v>0</v>
      </c>
      <c r="H300" s="156">
        <f>$J$17*F801ENE!H96*$L300</f>
        <v>0</v>
      </c>
      <c r="I300" s="156">
        <f>$J$17*F801ENE!I96*$L300</f>
        <v>0</v>
      </c>
      <c r="J300" s="156">
        <f t="shared" si="70"/>
        <v>0</v>
      </c>
      <c r="K300" s="69"/>
      <c r="L300" s="319">
        <v>0.95</v>
      </c>
    </row>
    <row r="301" spans="2:12" s="37" customFormat="1" ht="15.75" hidden="1">
      <c r="B301" s="48"/>
      <c r="C301" s="160" t="s">
        <v>307</v>
      </c>
      <c r="D301" s="156">
        <f>$J$17*F801ENE!D97*$L301</f>
        <v>0</v>
      </c>
      <c r="E301" s="156">
        <f>$J$17*F801ENE!E97*$L301</f>
        <v>0</v>
      </c>
      <c r="F301" s="156">
        <f>$J$17*F801ENE!F97*$L301</f>
        <v>0</v>
      </c>
      <c r="G301" s="156">
        <f>$J$17*F801ENE!G97*$L301</f>
        <v>0</v>
      </c>
      <c r="H301" s="156">
        <f>$J$17*F801ENE!H97*$L301</f>
        <v>0</v>
      </c>
      <c r="I301" s="156">
        <f>$J$17*F801ENE!I97*$L301</f>
        <v>0</v>
      </c>
      <c r="J301" s="156">
        <f t="shared" si="70"/>
        <v>0</v>
      </c>
      <c r="K301" s="69"/>
      <c r="L301" s="319">
        <v>0.5</v>
      </c>
    </row>
    <row r="302" spans="2:12" s="37" customFormat="1" ht="15.75" hidden="1">
      <c r="B302" s="48"/>
      <c r="C302" s="160" t="s">
        <v>624</v>
      </c>
      <c r="D302" s="156">
        <f>$J$17*F801ENE!D98*$L302</f>
        <v>0</v>
      </c>
      <c r="E302" s="156">
        <f>$J$17*F801ENE!E98*$L302</f>
        <v>0</v>
      </c>
      <c r="F302" s="156">
        <f>$J$17*F801ENE!F98*$L302</f>
        <v>0</v>
      </c>
      <c r="G302" s="156">
        <f>$J$17*F801ENE!G98*$L302</f>
        <v>0</v>
      </c>
      <c r="H302" s="156">
        <f>$J$17*F801ENE!H98*$L302</f>
        <v>0</v>
      </c>
      <c r="I302" s="156">
        <f>$J$17*F801ENE!I98*$L302</f>
        <v>0</v>
      </c>
      <c r="J302" s="156">
        <f t="shared" si="70"/>
        <v>0</v>
      </c>
      <c r="K302" s="69"/>
      <c r="L302" s="319">
        <v>0</v>
      </c>
    </row>
    <row r="303" spans="2:12" s="37" customFormat="1" ht="15.75" hidden="1">
      <c r="B303" s="48" t="s">
        <v>902</v>
      </c>
      <c r="C303" s="158" t="s">
        <v>900</v>
      </c>
      <c r="D303" s="159">
        <f t="shared" ref="D303:I303" si="72">SUM(D304:D309)</f>
        <v>0</v>
      </c>
      <c r="E303" s="159">
        <f t="shared" si="72"/>
        <v>0</v>
      </c>
      <c r="F303" s="159">
        <f t="shared" si="72"/>
        <v>0</v>
      </c>
      <c r="G303" s="159">
        <f t="shared" si="72"/>
        <v>0</v>
      </c>
      <c r="H303" s="159">
        <f t="shared" si="72"/>
        <v>0</v>
      </c>
      <c r="I303" s="159">
        <f t="shared" si="72"/>
        <v>0</v>
      </c>
      <c r="J303" s="159">
        <f t="shared" si="70"/>
        <v>0</v>
      </c>
      <c r="K303" s="69"/>
      <c r="L303" s="319"/>
    </row>
    <row r="304" spans="2:12" s="37" customFormat="1" ht="15.75" hidden="1">
      <c r="B304" s="48"/>
      <c r="C304" s="160" t="s">
        <v>304</v>
      </c>
      <c r="D304" s="156">
        <f>$J$17*F801ENE!D100*$L304</f>
        <v>0</v>
      </c>
      <c r="E304" s="156">
        <f>$J$17*F801ENE!E100*$L304</f>
        <v>0</v>
      </c>
      <c r="F304" s="156">
        <f>$J$17*F801ENE!F100*$L304</f>
        <v>0</v>
      </c>
      <c r="G304" s="156">
        <f>$J$17*F801ENE!G100*$L304</f>
        <v>0</v>
      </c>
      <c r="H304" s="156">
        <f>$J$17*F801ENE!H100*$L304</f>
        <v>0</v>
      </c>
      <c r="I304" s="156">
        <f>$J$17*F801ENE!I100*$L304</f>
        <v>0</v>
      </c>
      <c r="J304" s="156">
        <f t="shared" si="70"/>
        <v>0</v>
      </c>
      <c r="K304" s="69"/>
      <c r="L304" s="319">
        <v>1</v>
      </c>
    </row>
    <row r="305" spans="2:12" s="37" customFormat="1" ht="15.75" hidden="1">
      <c r="B305" s="48"/>
      <c r="C305" s="162" t="s">
        <v>642</v>
      </c>
      <c r="D305" s="156">
        <f>$J$17*F801ENE!D101*$L305</f>
        <v>0</v>
      </c>
      <c r="E305" s="156">
        <f>$J$17*F801ENE!E101*$L305</f>
        <v>0</v>
      </c>
      <c r="F305" s="156">
        <f>$J$17*F801ENE!F101*$L305</f>
        <v>0</v>
      </c>
      <c r="G305" s="156">
        <f>$J$17*F801ENE!G101*$L305</f>
        <v>0</v>
      </c>
      <c r="H305" s="156">
        <f>$J$17*F801ENE!H101*$L305</f>
        <v>0</v>
      </c>
      <c r="I305" s="156">
        <f>$J$17*F801ENE!I101*$L305</f>
        <v>0</v>
      </c>
      <c r="J305" s="156">
        <f t="shared" si="70"/>
        <v>0</v>
      </c>
      <c r="K305" s="69"/>
      <c r="L305" s="319">
        <v>0.75</v>
      </c>
    </row>
    <row r="306" spans="2:12" s="37" customFormat="1" ht="15.75" hidden="1">
      <c r="B306" s="48"/>
      <c r="C306" s="162" t="s">
        <v>1177</v>
      </c>
      <c r="D306" s="156">
        <f>$J$17*F801ENE!D102*$L306</f>
        <v>0</v>
      </c>
      <c r="E306" s="156">
        <f>$J$17*F801ENE!E102*$L306</f>
        <v>0</v>
      </c>
      <c r="F306" s="156">
        <f>$J$17*F801ENE!F102*$L306</f>
        <v>0</v>
      </c>
      <c r="G306" s="156">
        <f>$J$17*F801ENE!G102*$L306</f>
        <v>0</v>
      </c>
      <c r="H306" s="156">
        <f>$J$17*F801ENE!H102*$L306</f>
        <v>0</v>
      </c>
      <c r="I306" s="156">
        <f>$J$17*F801ENE!I102*$L306</f>
        <v>0</v>
      </c>
      <c r="J306" s="156">
        <f t="shared" si="70"/>
        <v>0</v>
      </c>
      <c r="K306" s="69"/>
      <c r="L306" s="319">
        <v>1</v>
      </c>
    </row>
    <row r="307" spans="2:12" s="37" customFormat="1" ht="15.75" hidden="1">
      <c r="B307" s="48"/>
      <c r="C307" s="160" t="s">
        <v>305</v>
      </c>
      <c r="D307" s="156">
        <f>$J$17*F801ENE!D103*$L307</f>
        <v>0</v>
      </c>
      <c r="E307" s="156">
        <f>$J$17*F801ENE!E103*$L307</f>
        <v>0</v>
      </c>
      <c r="F307" s="156">
        <f>$J$17*F801ENE!F103*$L307</f>
        <v>0</v>
      </c>
      <c r="G307" s="156">
        <f>$J$17*F801ENE!G103*$L307</f>
        <v>0</v>
      </c>
      <c r="H307" s="156">
        <f>$J$17*F801ENE!H103*$L307</f>
        <v>0</v>
      </c>
      <c r="I307" s="156">
        <f>$J$17*F801ENE!I103*$L307</f>
        <v>0</v>
      </c>
      <c r="J307" s="156">
        <f t="shared" si="70"/>
        <v>0</v>
      </c>
      <c r="K307" s="69"/>
      <c r="L307" s="319">
        <v>0.95</v>
      </c>
    </row>
    <row r="308" spans="2:12" s="37" customFormat="1" ht="15.75" hidden="1">
      <c r="B308" s="48"/>
      <c r="C308" s="160" t="s">
        <v>307</v>
      </c>
      <c r="D308" s="156">
        <f>$J$17*F801ENE!D104*$L308</f>
        <v>0</v>
      </c>
      <c r="E308" s="156">
        <f>$J$17*F801ENE!E104*$L308</f>
        <v>0</v>
      </c>
      <c r="F308" s="156">
        <f>$J$17*F801ENE!F104*$L308</f>
        <v>0</v>
      </c>
      <c r="G308" s="156">
        <f>$J$17*F801ENE!G104*$L308</f>
        <v>0</v>
      </c>
      <c r="H308" s="156">
        <f>$J$17*F801ENE!H104*$L308</f>
        <v>0</v>
      </c>
      <c r="I308" s="156">
        <f>$J$17*F801ENE!I104*$L308</f>
        <v>0</v>
      </c>
      <c r="J308" s="156">
        <f t="shared" si="70"/>
        <v>0</v>
      </c>
      <c r="K308" s="69"/>
      <c r="L308" s="319">
        <v>0.5</v>
      </c>
    </row>
    <row r="309" spans="2:12" s="37" customFormat="1" ht="15.75" hidden="1">
      <c r="B309" s="48"/>
      <c r="C309" s="160" t="s">
        <v>624</v>
      </c>
      <c r="D309" s="156">
        <f>$J$17*F801ENE!D105*$L309</f>
        <v>0</v>
      </c>
      <c r="E309" s="156">
        <f>$J$17*F801ENE!E105*$L309</f>
        <v>0</v>
      </c>
      <c r="F309" s="156">
        <f>$J$17*F801ENE!F105*$L309</f>
        <v>0</v>
      </c>
      <c r="G309" s="156">
        <f>$J$17*F801ENE!G105*$L309</f>
        <v>0</v>
      </c>
      <c r="H309" s="156">
        <f>$J$17*F801ENE!H105*$L309</f>
        <v>0</v>
      </c>
      <c r="I309" s="156">
        <f>$J$17*F801ENE!I105*$L309</f>
        <v>0</v>
      </c>
      <c r="J309" s="156">
        <f t="shared" si="70"/>
        <v>0</v>
      </c>
      <c r="K309" s="69"/>
      <c r="L309" s="319">
        <v>0</v>
      </c>
    </row>
    <row r="310" spans="2:12" s="37" customFormat="1" ht="15.75" hidden="1">
      <c r="B310" s="48"/>
      <c r="C310" s="157"/>
      <c r="D310" s="156"/>
      <c r="E310" s="156"/>
      <c r="F310" s="156"/>
      <c r="G310" s="156"/>
      <c r="H310" s="156"/>
      <c r="I310" s="156"/>
      <c r="J310" s="156"/>
      <c r="K310" s="69"/>
      <c r="L310" s="319"/>
    </row>
    <row r="311" spans="2:12" s="37" customFormat="1" ht="15.75" hidden="1">
      <c r="B311" s="48"/>
      <c r="C311" s="153" t="s">
        <v>112</v>
      </c>
      <c r="D311" s="154">
        <f t="shared" ref="D311:I311" si="73">D234+D224+D220</f>
        <v>0</v>
      </c>
      <c r="E311" s="154">
        <f t="shared" si="73"/>
        <v>0</v>
      </c>
      <c r="F311" s="154">
        <f t="shared" si="73"/>
        <v>0</v>
      </c>
      <c r="G311" s="154">
        <f t="shared" si="73"/>
        <v>0</v>
      </c>
      <c r="H311" s="154">
        <f t="shared" si="73"/>
        <v>0</v>
      </c>
      <c r="I311" s="154">
        <f t="shared" si="73"/>
        <v>0</v>
      </c>
      <c r="J311" s="154">
        <f>SUM(D311:I311)</f>
        <v>0</v>
      </c>
      <c r="K311" s="69"/>
      <c r="L311" s="319"/>
    </row>
    <row r="312" spans="2:12">
      <c r="C312" s="48"/>
      <c r="D312" s="48"/>
      <c r="E312" s="48"/>
      <c r="F312" s="48"/>
      <c r="G312" s="48"/>
      <c r="H312" s="48"/>
      <c r="I312" s="48"/>
      <c r="J312" s="48"/>
    </row>
    <row r="313" spans="2:12" s="69" customFormat="1" ht="53.25">
      <c r="B313" s="48"/>
      <c r="C313" s="320" t="s">
        <v>1459</v>
      </c>
      <c r="D313" s="320"/>
      <c r="E313" s="320"/>
      <c r="F313" s="320"/>
      <c r="G313" s="320"/>
      <c r="H313" s="320"/>
      <c r="I313" s="320"/>
      <c r="J313" s="321"/>
      <c r="L313" s="319"/>
    </row>
    <row r="314" spans="2:12" s="37" customFormat="1" ht="15.75">
      <c r="B314" s="48"/>
      <c r="C314" s="150" t="s">
        <v>310</v>
      </c>
      <c r="D314" s="151">
        <f t="shared" ref="D314:I314" si="74">D$29</f>
        <v>46204</v>
      </c>
      <c r="E314" s="151">
        <f t="shared" si="74"/>
        <v>46235</v>
      </c>
      <c r="F314" s="151">
        <f t="shared" si="74"/>
        <v>46266</v>
      </c>
      <c r="G314" s="151">
        <f t="shared" si="74"/>
        <v>46296</v>
      </c>
      <c r="H314" s="151">
        <f t="shared" si="74"/>
        <v>46327</v>
      </c>
      <c r="I314" s="151">
        <f t="shared" si="74"/>
        <v>46357</v>
      </c>
      <c r="J314" s="152" t="s">
        <v>111</v>
      </c>
      <c r="K314" s="69"/>
      <c r="L314" s="319"/>
    </row>
    <row r="315" spans="2:12" s="37" customFormat="1" ht="15.75">
      <c r="B315" s="48"/>
      <c r="C315" s="334" t="s">
        <v>446</v>
      </c>
      <c r="D315" s="154">
        <f t="shared" ref="D315:I315" si="75">D316+D317+D320</f>
        <v>0</v>
      </c>
      <c r="E315" s="154">
        <f t="shared" si="75"/>
        <v>0</v>
      </c>
      <c r="F315" s="154">
        <f t="shared" si="75"/>
        <v>0</v>
      </c>
      <c r="G315" s="154">
        <f t="shared" si="75"/>
        <v>0</v>
      </c>
      <c r="H315" s="154">
        <f t="shared" si="75"/>
        <v>0</v>
      </c>
      <c r="I315" s="154">
        <f t="shared" si="75"/>
        <v>0</v>
      </c>
      <c r="J315" s="154">
        <f t="shared" ref="J315:J342" si="76">SUM(D315:I315)</f>
        <v>0</v>
      </c>
      <c r="K315" s="69"/>
      <c r="L315" s="319"/>
    </row>
    <row r="316" spans="2:12" s="37" customFormat="1" ht="15.75">
      <c r="B316" s="48" t="s">
        <v>870</v>
      </c>
      <c r="C316" s="157" t="s">
        <v>1029</v>
      </c>
      <c r="D316" s="156">
        <f>$J$7*F801ENE!D116</f>
        <v>0</v>
      </c>
      <c r="E316" s="156">
        <f>$J$7*F801ENE!E116</f>
        <v>0</v>
      </c>
      <c r="F316" s="156">
        <f>$J$7*F801ENE!F116</f>
        <v>0</v>
      </c>
      <c r="G316" s="156">
        <f>$J$7*F801ENE!G116</f>
        <v>0</v>
      </c>
      <c r="H316" s="156">
        <f>$J$7*F801ENE!H116</f>
        <v>0</v>
      </c>
      <c r="I316" s="156">
        <f>$J$7*F801ENE!I116</f>
        <v>0</v>
      </c>
      <c r="J316" s="154">
        <f t="shared" si="76"/>
        <v>0</v>
      </c>
      <c r="K316" s="69"/>
      <c r="L316" s="319"/>
    </row>
    <row r="317" spans="2:12" s="37" customFormat="1" ht="15.75">
      <c r="B317" s="48" t="s">
        <v>871</v>
      </c>
      <c r="C317" s="335" t="s">
        <v>193</v>
      </c>
      <c r="D317" s="154">
        <f t="shared" ref="D317:I317" si="77">SUM(D318:D319)</f>
        <v>0</v>
      </c>
      <c r="E317" s="154">
        <f t="shared" si="77"/>
        <v>0</v>
      </c>
      <c r="F317" s="154">
        <f t="shared" si="77"/>
        <v>0</v>
      </c>
      <c r="G317" s="154">
        <f t="shared" si="77"/>
        <v>0</v>
      </c>
      <c r="H317" s="154">
        <f t="shared" si="77"/>
        <v>0</v>
      </c>
      <c r="I317" s="154">
        <f t="shared" si="77"/>
        <v>0</v>
      </c>
      <c r="J317" s="154">
        <f t="shared" si="76"/>
        <v>0</v>
      </c>
      <c r="K317" s="69"/>
      <c r="L317" s="319"/>
    </row>
    <row r="318" spans="2:12" s="37" customFormat="1" ht="15.75">
      <c r="B318" s="48"/>
      <c r="C318" s="157" t="s">
        <v>1030</v>
      </c>
      <c r="D318" s="156">
        <f>+$J$8*F801ENE!D118</f>
        <v>0</v>
      </c>
      <c r="E318" s="156">
        <f>+$J$8*F801ENE!E118</f>
        <v>0</v>
      </c>
      <c r="F318" s="156">
        <f>+$J$8*F801ENE!F118</f>
        <v>0</v>
      </c>
      <c r="G318" s="156">
        <f>+$J$8*F801ENE!G118</f>
        <v>0</v>
      </c>
      <c r="H318" s="156">
        <f>+$J$8*F801ENE!H118</f>
        <v>0</v>
      </c>
      <c r="I318" s="156">
        <f>+$J$8*F801ENE!I118</f>
        <v>0</v>
      </c>
      <c r="J318" s="154">
        <f t="shared" si="76"/>
        <v>0</v>
      </c>
      <c r="K318" s="69"/>
      <c r="L318" s="319"/>
    </row>
    <row r="319" spans="2:12" s="37" customFormat="1" ht="15.75">
      <c r="B319" s="48"/>
      <c r="C319" s="157" t="s">
        <v>1476</v>
      </c>
      <c r="D319" s="156">
        <f>+$J$8*F801ENE!D119</f>
        <v>0</v>
      </c>
      <c r="E319" s="156">
        <f>+$J$8*F801ENE!E119</f>
        <v>0</v>
      </c>
      <c r="F319" s="156">
        <f>+$J$8*F801ENE!F119</f>
        <v>0</v>
      </c>
      <c r="G319" s="156">
        <f>+$J$8*F801ENE!G119</f>
        <v>0</v>
      </c>
      <c r="H319" s="156">
        <f>+$J$8*F801ENE!H119</f>
        <v>0</v>
      </c>
      <c r="I319" s="156">
        <f>+$J$8*F801ENE!I119</f>
        <v>0</v>
      </c>
      <c r="J319" s="154">
        <f t="shared" si="76"/>
        <v>0</v>
      </c>
      <c r="K319" s="69"/>
      <c r="L319" s="319"/>
    </row>
    <row r="320" spans="2:12" s="37" customFormat="1" ht="15.75">
      <c r="B320" s="48" t="s">
        <v>893</v>
      </c>
      <c r="C320" s="153" t="s">
        <v>942</v>
      </c>
      <c r="D320" s="154">
        <f>+$J$8*F801ENE!D120</f>
        <v>0</v>
      </c>
      <c r="E320" s="154">
        <f>+$J$8*F801ENE!E120</f>
        <v>0</v>
      </c>
      <c r="F320" s="154">
        <f>+$J$8*F801ENE!F120</f>
        <v>0</v>
      </c>
      <c r="G320" s="154">
        <f>+$J$8*F801ENE!G120</f>
        <v>0</v>
      </c>
      <c r="H320" s="154">
        <f>+$J$8*F801ENE!H120</f>
        <v>0</v>
      </c>
      <c r="I320" s="154">
        <f>+$J$8*F801ENE!I120</f>
        <v>0</v>
      </c>
      <c r="J320" s="154">
        <f t="shared" si="76"/>
        <v>0</v>
      </c>
      <c r="K320" s="69"/>
      <c r="L320" s="319"/>
    </row>
    <row r="321" spans="2:12" s="37" customFormat="1" ht="15.75">
      <c r="B321" s="48"/>
      <c r="C321" s="334" t="s">
        <v>630</v>
      </c>
      <c r="D321" s="154">
        <f t="shared" ref="D321:I321" si="78">D322+D327</f>
        <v>0</v>
      </c>
      <c r="E321" s="154">
        <f t="shared" si="78"/>
        <v>0</v>
      </c>
      <c r="F321" s="154">
        <f t="shared" si="78"/>
        <v>0</v>
      </c>
      <c r="G321" s="154">
        <f t="shared" si="78"/>
        <v>0</v>
      </c>
      <c r="H321" s="154">
        <f t="shared" si="78"/>
        <v>0</v>
      </c>
      <c r="I321" s="154">
        <f t="shared" si="78"/>
        <v>0</v>
      </c>
      <c r="J321" s="154">
        <f t="shared" si="76"/>
        <v>0</v>
      </c>
      <c r="K321" s="69"/>
      <c r="L321" s="319"/>
    </row>
    <row r="322" spans="2:12" s="37" customFormat="1" ht="15.75">
      <c r="B322" s="48" t="s">
        <v>872</v>
      </c>
      <c r="C322" s="335" t="s">
        <v>1073</v>
      </c>
      <c r="D322" s="154">
        <f t="shared" ref="D322:I322" si="79">SUM(D323:D326)</f>
        <v>0</v>
      </c>
      <c r="E322" s="154">
        <f t="shared" si="79"/>
        <v>0</v>
      </c>
      <c r="F322" s="154">
        <f t="shared" si="79"/>
        <v>0</v>
      </c>
      <c r="G322" s="154">
        <f t="shared" si="79"/>
        <v>0</v>
      </c>
      <c r="H322" s="154">
        <f t="shared" si="79"/>
        <v>0</v>
      </c>
      <c r="I322" s="154">
        <f t="shared" si="79"/>
        <v>0</v>
      </c>
      <c r="J322" s="154">
        <f t="shared" si="76"/>
        <v>0</v>
      </c>
      <c r="K322" s="69"/>
      <c r="L322" s="319"/>
    </row>
    <row r="323" spans="2:12" s="37" customFormat="1" ht="15.75">
      <c r="B323" s="48"/>
      <c r="C323" s="157" t="s">
        <v>1477</v>
      </c>
      <c r="D323" s="156">
        <f>$J$9*F801ENE!D124</f>
        <v>0</v>
      </c>
      <c r="E323" s="156">
        <f>$J$9*F801ENE!E124</f>
        <v>0</v>
      </c>
      <c r="F323" s="156">
        <f>$J$9*F801ENE!F124</f>
        <v>0</v>
      </c>
      <c r="G323" s="156">
        <f>$J$9*F801ENE!G124</f>
        <v>0</v>
      </c>
      <c r="H323" s="156">
        <f>$J$9*F801ENE!H124</f>
        <v>0</v>
      </c>
      <c r="I323" s="156">
        <f>$J$9*F801ENE!I124</f>
        <v>0</v>
      </c>
      <c r="J323" s="154">
        <f t="shared" si="76"/>
        <v>0</v>
      </c>
      <c r="K323" s="69"/>
    </row>
    <row r="324" spans="2:12" s="37" customFormat="1" ht="15.75">
      <c r="B324" s="48"/>
      <c r="C324" s="157" t="s">
        <v>1477</v>
      </c>
      <c r="D324" s="156">
        <f>$J$9*F801ENE!D125</f>
        <v>0</v>
      </c>
      <c r="E324" s="156">
        <f>$J$9*F801ENE!E125</f>
        <v>0</v>
      </c>
      <c r="F324" s="156">
        <f>$J$9*F801ENE!F125</f>
        <v>0</v>
      </c>
      <c r="G324" s="156">
        <f>$J$9*F801ENE!G125</f>
        <v>0</v>
      </c>
      <c r="H324" s="156">
        <f>$J$9*F801ENE!H125</f>
        <v>0</v>
      </c>
      <c r="I324" s="156">
        <f>$J$9*F801ENE!I125</f>
        <v>0</v>
      </c>
      <c r="J324" s="154">
        <f t="shared" si="76"/>
        <v>0</v>
      </c>
      <c r="K324" s="69"/>
    </row>
    <row r="325" spans="2:12" s="37" customFormat="1" ht="15.75">
      <c r="B325" s="48"/>
      <c r="C325" s="157" t="s">
        <v>1477</v>
      </c>
      <c r="D325" s="156">
        <f>$J$9*F801ENE!D126</f>
        <v>0</v>
      </c>
      <c r="E325" s="156">
        <f>$J$9*F801ENE!E126</f>
        <v>0</v>
      </c>
      <c r="F325" s="156">
        <f>$J$9*F801ENE!F126</f>
        <v>0</v>
      </c>
      <c r="G325" s="156">
        <f>$J$9*F801ENE!G126</f>
        <v>0</v>
      </c>
      <c r="H325" s="156">
        <f>$J$9*F801ENE!H126</f>
        <v>0</v>
      </c>
      <c r="I325" s="156">
        <f>$J$9*F801ENE!I126</f>
        <v>0</v>
      </c>
      <c r="J325" s="154">
        <f>SUM(D325:I325)</f>
        <v>0</v>
      </c>
      <c r="K325" s="69"/>
    </row>
    <row r="326" spans="2:12" s="37" customFormat="1" ht="15.75">
      <c r="B326" s="48"/>
      <c r="C326" s="157" t="s">
        <v>1477</v>
      </c>
      <c r="D326" s="156">
        <f>$J$9*F801ENE!D127</f>
        <v>0</v>
      </c>
      <c r="E326" s="156">
        <f>$J$9*F801ENE!E127</f>
        <v>0</v>
      </c>
      <c r="F326" s="156">
        <f>$J$9*F801ENE!F127</f>
        <v>0</v>
      </c>
      <c r="G326" s="156">
        <f>$J$9*F801ENE!G127</f>
        <v>0</v>
      </c>
      <c r="H326" s="156">
        <f>$J$9*F801ENE!H127</f>
        <v>0</v>
      </c>
      <c r="I326" s="156">
        <f>$J$9*F801ENE!I127</f>
        <v>0</v>
      </c>
      <c r="J326" s="154">
        <f>SUM(D326:I326)</f>
        <v>0</v>
      </c>
      <c r="K326" s="69"/>
    </row>
    <row r="327" spans="2:12" s="37" customFormat="1" ht="15.75">
      <c r="B327" s="48" t="s">
        <v>873</v>
      </c>
      <c r="C327" s="335" t="s">
        <v>193</v>
      </c>
      <c r="D327" s="154">
        <f t="shared" ref="D327:I327" si="80">SUM(D328:D332)</f>
        <v>0</v>
      </c>
      <c r="E327" s="154">
        <f t="shared" si="80"/>
        <v>0</v>
      </c>
      <c r="F327" s="154">
        <f t="shared" si="80"/>
        <v>0</v>
      </c>
      <c r="G327" s="154">
        <f t="shared" si="80"/>
        <v>0</v>
      </c>
      <c r="H327" s="154">
        <f t="shared" si="80"/>
        <v>0</v>
      </c>
      <c r="I327" s="154">
        <f t="shared" si="80"/>
        <v>0</v>
      </c>
      <c r="J327" s="154">
        <f t="shared" si="76"/>
        <v>0</v>
      </c>
      <c r="K327" s="69"/>
    </row>
    <row r="328" spans="2:12" s="37" customFormat="1" ht="15.75">
      <c r="B328" s="48"/>
      <c r="C328" s="157" t="s">
        <v>1031</v>
      </c>
      <c r="D328" s="156">
        <f>$J$10*F801ENE!D129</f>
        <v>0</v>
      </c>
      <c r="E328" s="156">
        <f>$J$10*F801ENE!E129</f>
        <v>0</v>
      </c>
      <c r="F328" s="156">
        <f>$J$10*F801ENE!F129</f>
        <v>0</v>
      </c>
      <c r="G328" s="156">
        <f>$J$10*F801ENE!G129</f>
        <v>0</v>
      </c>
      <c r="H328" s="156">
        <f>$J$10*F801ENE!H129</f>
        <v>0</v>
      </c>
      <c r="I328" s="156">
        <f>$J$10*F801ENE!I129</f>
        <v>0</v>
      </c>
      <c r="J328" s="154">
        <f t="shared" si="76"/>
        <v>0</v>
      </c>
      <c r="K328" s="69"/>
    </row>
    <row r="329" spans="2:12" s="37" customFormat="1" ht="15.75">
      <c r="B329" s="48"/>
      <c r="C329" s="157" t="s">
        <v>1478</v>
      </c>
      <c r="D329" s="156">
        <f>$J$10*F801ENE!D130</f>
        <v>0</v>
      </c>
      <c r="E329" s="156">
        <f>$J$10*F801ENE!E130</f>
        <v>0</v>
      </c>
      <c r="F329" s="156">
        <f>$J$10*F801ENE!F130</f>
        <v>0</v>
      </c>
      <c r="G329" s="156">
        <f>$J$10*F801ENE!G130</f>
        <v>0</v>
      </c>
      <c r="H329" s="156">
        <f>$J$10*F801ENE!H130</f>
        <v>0</v>
      </c>
      <c r="I329" s="156">
        <f>$J$10*F801ENE!I130</f>
        <v>0</v>
      </c>
      <c r="J329" s="154">
        <f t="shared" si="76"/>
        <v>0</v>
      </c>
      <c r="K329" s="69"/>
    </row>
    <row r="330" spans="2:12" s="37" customFormat="1" ht="15.75">
      <c r="B330" s="48"/>
      <c r="C330" s="157" t="s">
        <v>1478</v>
      </c>
      <c r="D330" s="156">
        <f>$J$10*F801ENE!D131</f>
        <v>0</v>
      </c>
      <c r="E330" s="156">
        <f>$J$10*F801ENE!E131</f>
        <v>0</v>
      </c>
      <c r="F330" s="156">
        <f>$J$10*F801ENE!F131</f>
        <v>0</v>
      </c>
      <c r="G330" s="156">
        <f>$J$10*F801ENE!G131</f>
        <v>0</v>
      </c>
      <c r="H330" s="156">
        <f>$J$10*F801ENE!H131</f>
        <v>0</v>
      </c>
      <c r="I330" s="156">
        <f>$J$10*F801ENE!I131</f>
        <v>0</v>
      </c>
      <c r="J330" s="154">
        <f t="shared" si="76"/>
        <v>0</v>
      </c>
      <c r="K330" s="69"/>
    </row>
    <row r="331" spans="2:12" s="37" customFormat="1" ht="15.75">
      <c r="B331" s="48"/>
      <c r="C331" s="157" t="s">
        <v>1478</v>
      </c>
      <c r="D331" s="156">
        <f>$J$10*F801ENE!D132</f>
        <v>0</v>
      </c>
      <c r="E331" s="156">
        <f>$J$10*F801ENE!E132</f>
        <v>0</v>
      </c>
      <c r="F331" s="156">
        <f>$J$10*F801ENE!F132</f>
        <v>0</v>
      </c>
      <c r="G331" s="156">
        <f>$J$10*F801ENE!G132</f>
        <v>0</v>
      </c>
      <c r="H331" s="156">
        <f>$J$10*F801ENE!H132</f>
        <v>0</v>
      </c>
      <c r="I331" s="156">
        <f>$J$10*F801ENE!I132</f>
        <v>0</v>
      </c>
      <c r="J331" s="154">
        <f t="shared" si="76"/>
        <v>0</v>
      </c>
      <c r="K331" s="69"/>
    </row>
    <row r="332" spans="2:12" s="37" customFormat="1" ht="15.75">
      <c r="B332" s="48"/>
      <c r="C332" s="157" t="s">
        <v>1478</v>
      </c>
      <c r="D332" s="156">
        <f>$J$10*F801ENE!D133</f>
        <v>0</v>
      </c>
      <c r="E332" s="156">
        <f>$J$10*F801ENE!E133</f>
        <v>0</v>
      </c>
      <c r="F332" s="156">
        <f>$J$10*F801ENE!F133</f>
        <v>0</v>
      </c>
      <c r="G332" s="156">
        <f>$J$10*F801ENE!G133</f>
        <v>0</v>
      </c>
      <c r="H332" s="156">
        <f>$J$10*F801ENE!H133</f>
        <v>0</v>
      </c>
      <c r="I332" s="156">
        <f>$J$10*F801ENE!I133</f>
        <v>0</v>
      </c>
      <c r="J332" s="154">
        <f t="shared" si="76"/>
        <v>0</v>
      </c>
      <c r="K332" s="69"/>
    </row>
    <row r="333" spans="2:12" s="37" customFormat="1" ht="15.75">
      <c r="B333" s="48"/>
      <c r="C333" s="334" t="s">
        <v>443</v>
      </c>
      <c r="D333" s="154">
        <f t="shared" ref="D333:I333" si="81">D334+D335</f>
        <v>0</v>
      </c>
      <c r="E333" s="154">
        <f t="shared" si="81"/>
        <v>0</v>
      </c>
      <c r="F333" s="154">
        <f t="shared" si="81"/>
        <v>0</v>
      </c>
      <c r="G333" s="154">
        <f t="shared" si="81"/>
        <v>0</v>
      </c>
      <c r="H333" s="154">
        <f t="shared" si="81"/>
        <v>0</v>
      </c>
      <c r="I333" s="154">
        <f t="shared" si="81"/>
        <v>0</v>
      </c>
      <c r="J333" s="154">
        <f t="shared" si="76"/>
        <v>0</v>
      </c>
      <c r="K333" s="69"/>
    </row>
    <row r="334" spans="2:12" s="37" customFormat="1" ht="15.75">
      <c r="B334" s="48" t="s">
        <v>874</v>
      </c>
      <c r="C334" s="157" t="s">
        <v>1479</v>
      </c>
      <c r="D334" s="156">
        <f>$J$11*F801ENE!D137</f>
        <v>0</v>
      </c>
      <c r="E334" s="156">
        <f>$J$11*F801ENE!E137</f>
        <v>0</v>
      </c>
      <c r="F334" s="156">
        <f>$J$11*F801ENE!F137</f>
        <v>0</v>
      </c>
      <c r="G334" s="156">
        <f>$J$11*F801ENE!G137</f>
        <v>0</v>
      </c>
      <c r="H334" s="156">
        <f>$J$11*F801ENE!H137</f>
        <v>0</v>
      </c>
      <c r="I334" s="156">
        <f>$J$11*F801ENE!I137</f>
        <v>0</v>
      </c>
      <c r="J334" s="154">
        <f t="shared" si="76"/>
        <v>0</v>
      </c>
      <c r="K334" s="69"/>
    </row>
    <row r="335" spans="2:12" s="37" customFormat="1" ht="15.75">
      <c r="B335" s="48" t="s">
        <v>875</v>
      </c>
      <c r="C335" s="335" t="s">
        <v>193</v>
      </c>
      <c r="D335" s="154">
        <f t="shared" ref="D335:I335" si="82">SUM(D336:D341)</f>
        <v>0</v>
      </c>
      <c r="E335" s="154">
        <f t="shared" si="82"/>
        <v>0</v>
      </c>
      <c r="F335" s="154">
        <f t="shared" si="82"/>
        <v>0</v>
      </c>
      <c r="G335" s="154">
        <f t="shared" si="82"/>
        <v>0</v>
      </c>
      <c r="H335" s="154">
        <f t="shared" si="82"/>
        <v>0</v>
      </c>
      <c r="I335" s="154">
        <f t="shared" si="82"/>
        <v>0</v>
      </c>
      <c r="J335" s="154">
        <f t="shared" si="76"/>
        <v>0</v>
      </c>
      <c r="K335" s="69"/>
    </row>
    <row r="336" spans="2:12" s="37" customFormat="1" ht="15.75">
      <c r="B336" s="48"/>
      <c r="C336" s="157" t="s">
        <v>1032</v>
      </c>
      <c r="D336" s="156">
        <f>$J$12*(F801ENE!D140)</f>
        <v>0</v>
      </c>
      <c r="E336" s="156">
        <f>$J$12*(F801ENE!E140)</f>
        <v>0</v>
      </c>
      <c r="F336" s="156">
        <f>$J$12*(F801ENE!F140)</f>
        <v>0</v>
      </c>
      <c r="G336" s="156">
        <f>$J$12*(F801ENE!G140)</f>
        <v>0</v>
      </c>
      <c r="H336" s="156">
        <f>$J$12*(F801ENE!H140)</f>
        <v>0</v>
      </c>
      <c r="I336" s="156">
        <f>$J$12*(F801ENE!I140)</f>
        <v>0</v>
      </c>
      <c r="J336" s="154">
        <f t="shared" si="76"/>
        <v>0</v>
      </c>
      <c r="K336" s="69"/>
    </row>
    <row r="337" spans="2:11" s="37" customFormat="1" ht="15.75">
      <c r="B337" s="48"/>
      <c r="C337" s="157" t="s">
        <v>1480</v>
      </c>
      <c r="D337" s="156">
        <f>$J$12*(F801ENE!D141)</f>
        <v>0</v>
      </c>
      <c r="E337" s="156">
        <f>$J$12*(F801ENE!E141)</f>
        <v>0</v>
      </c>
      <c r="F337" s="156">
        <f>$J$12*(F801ENE!F141)</f>
        <v>0</v>
      </c>
      <c r="G337" s="156">
        <f>$J$12*(F801ENE!G141)</f>
        <v>0</v>
      </c>
      <c r="H337" s="156">
        <f>$J$12*(F801ENE!H141)</f>
        <v>0</v>
      </c>
      <c r="I337" s="156">
        <f>$J$12*(F801ENE!I141)</f>
        <v>0</v>
      </c>
      <c r="J337" s="154">
        <f t="shared" si="76"/>
        <v>0</v>
      </c>
      <c r="K337" s="69"/>
    </row>
    <row r="338" spans="2:11" s="37" customFormat="1" ht="15.75">
      <c r="B338" s="48"/>
      <c r="C338" s="157" t="s">
        <v>1480</v>
      </c>
      <c r="D338" s="156">
        <f>$J$12*(F801ENE!D142)</f>
        <v>0</v>
      </c>
      <c r="E338" s="156">
        <f>$J$12*(F801ENE!E142)</f>
        <v>0</v>
      </c>
      <c r="F338" s="156">
        <f>$J$12*(F801ENE!F142)</f>
        <v>0</v>
      </c>
      <c r="G338" s="156">
        <f>$J$12*(F801ENE!G142)</f>
        <v>0</v>
      </c>
      <c r="H338" s="156">
        <f>$J$12*(F801ENE!H142)</f>
        <v>0</v>
      </c>
      <c r="I338" s="156">
        <f>$J$12*(F801ENE!I142)</f>
        <v>0</v>
      </c>
      <c r="J338" s="154">
        <f t="shared" si="76"/>
        <v>0</v>
      </c>
      <c r="K338" s="69"/>
    </row>
    <row r="339" spans="2:11" s="37" customFormat="1" ht="15.75">
      <c r="B339" s="48"/>
      <c r="C339" s="157" t="s">
        <v>1480</v>
      </c>
      <c r="D339" s="156">
        <f>$J$12*(F801ENE!D143)</f>
        <v>0</v>
      </c>
      <c r="E339" s="156">
        <f>$J$12*(F801ENE!E143)</f>
        <v>0</v>
      </c>
      <c r="F339" s="156">
        <f>$J$12*(F801ENE!F143)</f>
        <v>0</v>
      </c>
      <c r="G339" s="156">
        <f>$J$12*(F801ENE!G143)</f>
        <v>0</v>
      </c>
      <c r="H339" s="156">
        <f>$J$12*(F801ENE!H143)</f>
        <v>0</v>
      </c>
      <c r="I339" s="156">
        <f>$J$12*(F801ENE!I143)</f>
        <v>0</v>
      </c>
      <c r="J339" s="154">
        <f t="shared" si="76"/>
        <v>0</v>
      </c>
      <c r="K339" s="69"/>
    </row>
    <row r="340" spans="2:11" s="37" customFormat="1" ht="15.75">
      <c r="B340" s="48"/>
      <c r="C340" s="157" t="s">
        <v>1480</v>
      </c>
      <c r="D340" s="156">
        <f>$J$12*(F801ENE!D144)</f>
        <v>0</v>
      </c>
      <c r="E340" s="156">
        <f>$J$12*(F801ENE!E144)</f>
        <v>0</v>
      </c>
      <c r="F340" s="156">
        <f>$J$12*(F801ENE!F144)</f>
        <v>0</v>
      </c>
      <c r="G340" s="156">
        <f>$J$12*(F801ENE!G144)</f>
        <v>0</v>
      </c>
      <c r="H340" s="156">
        <f>$J$12*(F801ENE!H144)</f>
        <v>0</v>
      </c>
      <c r="I340" s="156">
        <f>$J$12*(F801ENE!I144)</f>
        <v>0</v>
      </c>
      <c r="J340" s="154">
        <f t="shared" si="76"/>
        <v>0</v>
      </c>
      <c r="K340" s="69"/>
    </row>
    <row r="341" spans="2:11" s="37" customFormat="1" ht="15.75">
      <c r="B341" s="48"/>
      <c r="C341" s="157"/>
      <c r="D341" s="156"/>
      <c r="E341" s="156"/>
      <c r="F341" s="156"/>
      <c r="G341" s="156"/>
      <c r="H341" s="156"/>
      <c r="I341" s="156"/>
      <c r="J341" s="156">
        <f t="shared" si="76"/>
        <v>0</v>
      </c>
      <c r="K341" s="69"/>
    </row>
    <row r="342" spans="2:11" s="37" customFormat="1" ht="15.75">
      <c r="B342" s="48"/>
      <c r="C342" s="153" t="s">
        <v>112</v>
      </c>
      <c r="D342" s="154">
        <f t="shared" ref="D342:I342" si="83">D315+D321+D333</f>
        <v>0</v>
      </c>
      <c r="E342" s="154">
        <f t="shared" si="83"/>
        <v>0</v>
      </c>
      <c r="F342" s="154">
        <f t="shared" si="83"/>
        <v>0</v>
      </c>
      <c r="G342" s="154">
        <f t="shared" si="83"/>
        <v>0</v>
      </c>
      <c r="H342" s="154">
        <f t="shared" si="83"/>
        <v>0</v>
      </c>
      <c r="I342" s="154">
        <f t="shared" si="83"/>
        <v>0</v>
      </c>
      <c r="J342" s="154">
        <f t="shared" si="76"/>
        <v>0</v>
      </c>
      <c r="K342" s="69"/>
    </row>
    <row r="343" spans="2:11" s="37" customFormat="1" ht="13.5">
      <c r="B343" s="48"/>
      <c r="C343" s="48"/>
      <c r="D343" s="48"/>
      <c r="E343" s="48"/>
      <c r="F343" s="48"/>
      <c r="G343" s="48"/>
      <c r="H343" s="48"/>
      <c r="I343" s="48"/>
      <c r="J343" s="48"/>
      <c r="K343" s="48"/>
    </row>
    <row r="344" spans="2:11" s="37" customFormat="1" ht="54" customHeight="1">
      <c r="B344" s="48"/>
      <c r="C344" s="320" t="s">
        <v>1460</v>
      </c>
      <c r="D344" s="320"/>
      <c r="E344" s="320"/>
      <c r="F344" s="320"/>
      <c r="G344" s="320"/>
      <c r="H344" s="320"/>
      <c r="I344" s="320"/>
      <c r="J344" s="321"/>
      <c r="K344" s="69"/>
    </row>
    <row r="345" spans="2:11" s="37" customFormat="1" ht="15.75">
      <c r="B345" s="48"/>
      <c r="C345" s="150" t="s">
        <v>310</v>
      </c>
      <c r="D345" s="151">
        <f t="shared" ref="D345:I345" si="84">D$29</f>
        <v>46204</v>
      </c>
      <c r="E345" s="151">
        <f t="shared" si="84"/>
        <v>46235</v>
      </c>
      <c r="F345" s="151">
        <f t="shared" si="84"/>
        <v>46266</v>
      </c>
      <c r="G345" s="151">
        <f t="shared" si="84"/>
        <v>46296</v>
      </c>
      <c r="H345" s="151">
        <f t="shared" si="84"/>
        <v>46327</v>
      </c>
      <c r="I345" s="151">
        <f t="shared" si="84"/>
        <v>46357</v>
      </c>
      <c r="J345" s="152" t="s">
        <v>111</v>
      </c>
      <c r="K345" s="69"/>
    </row>
    <row r="346" spans="2:11">
      <c r="C346" s="153" t="s">
        <v>446</v>
      </c>
      <c r="D346" s="154">
        <f t="shared" ref="D346:I346" si="85">SUM(D347:D348)</f>
        <v>162700.01009047081</v>
      </c>
      <c r="E346" s="154">
        <f t="shared" si="85"/>
        <v>155160.45901050241</v>
      </c>
      <c r="F346" s="154">
        <f t="shared" si="85"/>
        <v>172315.54923287232</v>
      </c>
      <c r="G346" s="154">
        <f t="shared" si="85"/>
        <v>203803.93594035026</v>
      </c>
      <c r="H346" s="154">
        <f t="shared" si="85"/>
        <v>188702.80013335001</v>
      </c>
      <c r="I346" s="154">
        <f t="shared" si="85"/>
        <v>210503.60744111423</v>
      </c>
      <c r="J346" s="154">
        <f t="shared" ref="J346:J373" si="86">SUM(D346:I346)</f>
        <v>1093186.36184866</v>
      </c>
    </row>
    <row r="347" spans="2:11">
      <c r="B347" s="48" t="s">
        <v>870</v>
      </c>
      <c r="C347" s="157" t="s">
        <v>279</v>
      </c>
      <c r="D347" s="156">
        <f>F801D!D116*0*(1+D$25)*(1+D$26)</f>
        <v>0</v>
      </c>
      <c r="E347" s="156">
        <f>F801D!E116*0*(1+E$25)*(1+E$26)</f>
        <v>0</v>
      </c>
      <c r="F347" s="156">
        <f>F801D!F116*0*(1+F$25)*(1+F$26)</f>
        <v>0</v>
      </c>
      <c r="G347" s="156">
        <f>F801D!G116*0*(1+G$25)*(1+G$26)</f>
        <v>0</v>
      </c>
      <c r="H347" s="156">
        <f>F801D!H116*0*(1+H$25)*(1+H$26)</f>
        <v>0</v>
      </c>
      <c r="I347" s="156">
        <f>F801D!I116*0*(1+I$25)*(1+I$26)</f>
        <v>0</v>
      </c>
      <c r="J347" s="154">
        <f t="shared" si="86"/>
        <v>0</v>
      </c>
    </row>
    <row r="348" spans="2:11">
      <c r="B348" s="48" t="s">
        <v>871</v>
      </c>
      <c r="C348" s="335" t="s">
        <v>193</v>
      </c>
      <c r="D348" s="154">
        <f t="shared" ref="D348:I348" si="87">D349+D350</f>
        <v>162700.01009047081</v>
      </c>
      <c r="E348" s="154">
        <f t="shared" si="87"/>
        <v>155160.45901050241</v>
      </c>
      <c r="F348" s="154">
        <f t="shared" si="87"/>
        <v>172315.54923287232</v>
      </c>
      <c r="G348" s="154">
        <f t="shared" si="87"/>
        <v>203803.93594035026</v>
      </c>
      <c r="H348" s="154">
        <f t="shared" si="87"/>
        <v>188702.80013335001</v>
      </c>
      <c r="I348" s="154">
        <f t="shared" si="87"/>
        <v>210503.60744111423</v>
      </c>
      <c r="J348" s="154">
        <f t="shared" si="86"/>
        <v>1093186.36184866</v>
      </c>
    </row>
    <row r="349" spans="2:11">
      <c r="C349" s="157" t="s">
        <v>278</v>
      </c>
      <c r="D349" s="156">
        <f>F801D!D118*0</f>
        <v>0</v>
      </c>
      <c r="E349" s="156">
        <f>F801D!E118*0</f>
        <v>0</v>
      </c>
      <c r="F349" s="156">
        <f>F801D!F118*0</f>
        <v>0</v>
      </c>
      <c r="G349" s="156">
        <f>F801D!G118*0</f>
        <v>0</v>
      </c>
      <c r="H349" s="156">
        <f>F801D!H118*0</f>
        <v>0</v>
      </c>
      <c r="I349" s="156">
        <f>F801D!I118*0</f>
        <v>0</v>
      </c>
      <c r="J349" s="154">
        <f t="shared" si="86"/>
        <v>0</v>
      </c>
    </row>
    <row r="350" spans="2:11">
      <c r="C350" s="157" t="s">
        <v>278</v>
      </c>
      <c r="D350" s="156">
        <f>F801D!D119*$D$21*(1+D$25)*(1+D$26)</f>
        <v>162700.01009047081</v>
      </c>
      <c r="E350" s="156">
        <f>F801D!E119*$D$21*(1+E$25)*(1+E$26)</f>
        <v>155160.45901050241</v>
      </c>
      <c r="F350" s="156">
        <f>F801D!F119*$D$21*(1+F$25)*(1+F$26)</f>
        <v>172315.54923287232</v>
      </c>
      <c r="G350" s="156">
        <f>F801D!G119*$D$21*(1+G$25)*(1+G$26)</f>
        <v>203803.93594035026</v>
      </c>
      <c r="H350" s="156">
        <f>F801D!H119*$D$21*(1+H$25)*(1+H$26)</f>
        <v>188702.80013335001</v>
      </c>
      <c r="I350" s="156">
        <f>F801D!I119*$D$21*(1+I$25)*(1+I$26)</f>
        <v>210503.60744111423</v>
      </c>
      <c r="J350" s="154">
        <f t="shared" si="86"/>
        <v>1093186.36184866</v>
      </c>
    </row>
    <row r="351" spans="2:11">
      <c r="C351" s="153" t="s">
        <v>942</v>
      </c>
      <c r="D351" s="156"/>
      <c r="E351" s="156"/>
      <c r="F351" s="156"/>
      <c r="G351" s="156"/>
      <c r="H351" s="156"/>
      <c r="I351" s="156"/>
      <c r="J351" s="154">
        <f t="shared" si="86"/>
        <v>0</v>
      </c>
    </row>
    <row r="352" spans="2:11">
      <c r="C352" s="153" t="s">
        <v>630</v>
      </c>
      <c r="D352" s="154">
        <f t="shared" ref="D352:I352" si="88">D353+D358</f>
        <v>2249792.6955117602</v>
      </c>
      <c r="E352" s="154">
        <f t="shared" si="88"/>
        <v>2188441.510644495</v>
      </c>
      <c r="F352" s="154">
        <f t="shared" si="88"/>
        <v>2238708.5015218342</v>
      </c>
      <c r="G352" s="154">
        <f t="shared" si="88"/>
        <v>2245665.5675403289</v>
      </c>
      <c r="H352" s="154">
        <f t="shared" si="88"/>
        <v>2238550.7338345461</v>
      </c>
      <c r="I352" s="154">
        <f t="shared" si="88"/>
        <v>2242075.3319606106</v>
      </c>
      <c r="J352" s="154">
        <f t="shared" si="86"/>
        <v>13403234.341013577</v>
      </c>
    </row>
    <row r="353" spans="2:10">
      <c r="B353" s="48" t="s">
        <v>872</v>
      </c>
      <c r="C353" s="335" t="s">
        <v>1073</v>
      </c>
      <c r="D353" s="154">
        <f t="shared" ref="D353:I353" si="89">SUM(D354:D357)</f>
        <v>425700.94401127641</v>
      </c>
      <c r="E353" s="154">
        <f t="shared" si="89"/>
        <v>411651.68828425708</v>
      </c>
      <c r="F353" s="154">
        <f t="shared" si="89"/>
        <v>426240.93347815354</v>
      </c>
      <c r="G353" s="154">
        <f t="shared" si="89"/>
        <v>429815.70796673419</v>
      </c>
      <c r="H353" s="154">
        <f t="shared" si="89"/>
        <v>417151.35277308599</v>
      </c>
      <c r="I353" s="154">
        <f t="shared" si="89"/>
        <v>427052.56333621813</v>
      </c>
      <c r="J353" s="154">
        <f t="shared" si="86"/>
        <v>2537613.1898497255</v>
      </c>
    </row>
    <row r="354" spans="2:10">
      <c r="C354" s="157" t="s">
        <v>277</v>
      </c>
      <c r="D354" s="156">
        <f>F801D!D124*$D21*(1+D$25)*(1+D$26)</f>
        <v>271419.72203744121</v>
      </c>
      <c r="E354" s="156">
        <f>F801D!E124*$D21*(1+E$25)*(1+E$26)</f>
        <v>255707.61285020877</v>
      </c>
      <c r="F354" s="156">
        <f>F801D!F124*$D21*(1+F$25)*(1+F$26)</f>
        <v>257476.39325725759</v>
      </c>
      <c r="G354" s="156">
        <f>F801D!G124*$D21*(1+G$25)*(1+G$26)</f>
        <v>255133.57478534325</v>
      </c>
      <c r="H354" s="156">
        <f>F801D!H124*$D21*(1+H$25)*(1+H$26)</f>
        <v>252255.55412668554</v>
      </c>
      <c r="I354" s="156">
        <f>F801D!I124*$D21*(1+I$25)*(1+I$26)</f>
        <v>247663.09595560533</v>
      </c>
      <c r="J354" s="154">
        <f t="shared" si="86"/>
        <v>1539655.9530125419</v>
      </c>
    </row>
    <row r="355" spans="2:10">
      <c r="C355" s="157" t="s">
        <v>277</v>
      </c>
      <c r="D355" s="156">
        <f>F801D!D125*$D22*(1+D$25)*(1+D$26)</f>
        <v>21508.394105283187</v>
      </c>
      <c r="E355" s="156">
        <f>F801D!E125*$D22*(1+E$25)*(1+E$26)</f>
        <v>22738.764332272942</v>
      </c>
      <c r="F355" s="156">
        <f>F801D!F125*$D22*(1+F$25)*(1+F$26)</f>
        <v>22375.594912282653</v>
      </c>
      <c r="G355" s="156">
        <f>F801D!G125*$D22*(1+G$25)*(1+G$26)</f>
        <v>24496.403782709916</v>
      </c>
      <c r="H355" s="156">
        <f>F801D!H125*$D22*(1+H$25)*(1+H$26)</f>
        <v>23593.22512422836</v>
      </c>
      <c r="I355" s="156">
        <f>F801D!I125*$D22*(1+I$25)*(1+I$26)</f>
        <v>22039.570290308577</v>
      </c>
      <c r="J355" s="154">
        <f t="shared" si="86"/>
        <v>136751.95254708565</v>
      </c>
    </row>
    <row r="356" spans="2:10">
      <c r="C356" s="157" t="s">
        <v>277</v>
      </c>
      <c r="D356" s="156">
        <f>F801D!D126*$D23*(1+D$25)*(1+D$26)</f>
        <v>4416.7389755020267</v>
      </c>
      <c r="E356" s="156">
        <f>F801D!E126*$D23*(1+E$25)*(1+E$26)</f>
        <v>4391.5774922332466</v>
      </c>
      <c r="F356" s="156">
        <f>F801D!F126*$D23*(1+F$25)*(1+F$26)</f>
        <v>4322.4638474079929</v>
      </c>
      <c r="G356" s="156">
        <f>F801D!G126*$D23*(1+G$25)*(1+G$26)</f>
        <v>4365.1064876558767</v>
      </c>
      <c r="H356" s="156">
        <f>F801D!H126*$D23*(1+H$25)*(1+H$26)</f>
        <v>4287.5575163322792</v>
      </c>
      <c r="I356" s="156">
        <f>F801D!I126*$D23*(1+I$25)*(1+I$26)</f>
        <v>4253.3659142731485</v>
      </c>
      <c r="J356" s="154">
        <f>SUM(D356:I356)</f>
        <v>26036.810233404569</v>
      </c>
    </row>
    <row r="357" spans="2:10">
      <c r="C357" s="157" t="s">
        <v>277</v>
      </c>
      <c r="D357" s="156">
        <f>F801D!D127*$D24*(1+D$25)*(1+D$26)</f>
        <v>128356.08889304999</v>
      </c>
      <c r="E357" s="156">
        <f>F801D!E127*$D24*(1+E$25)*(1+E$26)</f>
        <v>128813.73360954216</v>
      </c>
      <c r="F357" s="156">
        <f>F801D!F127*$D24*(1+F$25)*(1+F$26)</f>
        <v>142066.48146120526</v>
      </c>
      <c r="G357" s="156">
        <f>F801D!G127*$D24*(1+G$25)*(1+G$26)</f>
        <v>145820.6229110251</v>
      </c>
      <c r="H357" s="156">
        <f>F801D!H127*$D24*(1+H$25)*(1+H$26)</f>
        <v>137015.01600583986</v>
      </c>
      <c r="I357" s="156">
        <f>F801D!I127*$D24*(1+I$25)*(1+I$26)</f>
        <v>153096.5311760311</v>
      </c>
      <c r="J357" s="154">
        <f>SUM(D357:I357)</f>
        <v>835168.47405669349</v>
      </c>
    </row>
    <row r="358" spans="2:10">
      <c r="B358" s="48" t="s">
        <v>873</v>
      </c>
      <c r="C358" s="335" t="s">
        <v>193</v>
      </c>
      <c r="D358" s="154">
        <f t="shared" ref="D358:I358" si="90">SUM(D359:D363)</f>
        <v>1824091.7515004836</v>
      </c>
      <c r="E358" s="154">
        <f t="shared" si="90"/>
        <v>1776789.8223602381</v>
      </c>
      <c r="F358" s="154">
        <f t="shared" si="90"/>
        <v>1812467.5680436804</v>
      </c>
      <c r="G358" s="154">
        <f t="shared" si="90"/>
        <v>1815849.8595735948</v>
      </c>
      <c r="H358" s="154">
        <f t="shared" si="90"/>
        <v>1821399.3810614599</v>
      </c>
      <c r="I358" s="154">
        <f t="shared" si="90"/>
        <v>1815022.7686243923</v>
      </c>
      <c r="J358" s="154">
        <f t="shared" si="86"/>
        <v>10865621.15116385</v>
      </c>
    </row>
    <row r="359" spans="2:10">
      <c r="C359" s="157" t="s">
        <v>276</v>
      </c>
      <c r="D359" s="156">
        <f>F801D!D129*0</f>
        <v>0</v>
      </c>
      <c r="E359" s="156">
        <f>F801D!E129*0</f>
        <v>0</v>
      </c>
      <c r="F359" s="156">
        <f>F801D!F129*0</f>
        <v>0</v>
      </c>
      <c r="G359" s="156">
        <f>F801D!G129*0</f>
        <v>0</v>
      </c>
      <c r="H359" s="156">
        <f>F801D!H129*0</f>
        <v>0</v>
      </c>
      <c r="I359" s="156">
        <f>F801D!I129*0</f>
        <v>0</v>
      </c>
      <c r="J359" s="154">
        <f t="shared" si="86"/>
        <v>0</v>
      </c>
    </row>
    <row r="360" spans="2:10">
      <c r="C360" s="157" t="s">
        <v>276</v>
      </c>
      <c r="D360" s="156">
        <f>F801D!D130*$D21*(1+D$25)*(1+D$26)</f>
        <v>1224269.7657249444</v>
      </c>
      <c r="E360" s="156">
        <f>F801D!E130*$D21*(1+E$25)*(1+E$26)</f>
        <v>1180326.2479403687</v>
      </c>
      <c r="F360" s="156">
        <f>F801D!F130*$D21*(1+F$25)*(1+F$26)</f>
        <v>1101865.6371766189</v>
      </c>
      <c r="G360" s="156">
        <f>F801D!G130*$D21*(1+G$25)*(1+G$26)</f>
        <v>1121745.1659397008</v>
      </c>
      <c r="H360" s="156">
        <f>F801D!H130*$D21*(1+H$25)*(1+H$26)</f>
        <v>1116539.9896136129</v>
      </c>
      <c r="I360" s="156">
        <f>F801D!I130*$D21*(1+I$25)*(1+I$26)</f>
        <v>1085250.7740490793</v>
      </c>
      <c r="J360" s="154">
        <f t="shared" si="86"/>
        <v>6829997.5804443248</v>
      </c>
    </row>
    <row r="361" spans="2:10">
      <c r="C361" s="157" t="s">
        <v>276</v>
      </c>
      <c r="D361" s="156">
        <f>F801D!D131*$D22*(1+D$25)*(1+D$26)</f>
        <v>95198.485421742997</v>
      </c>
      <c r="E361" s="156">
        <f>F801D!E131*$D22*(1+E$25)*(1+E$26)</f>
        <v>89609.411676789401</v>
      </c>
      <c r="F361" s="156">
        <f>F801D!F131*$D22*(1+F$25)*(1+F$26)</f>
        <v>107791.04427206889</v>
      </c>
      <c r="G361" s="156">
        <f>F801D!G131*$D22*(1+G$25)*(1+G$26)</f>
        <v>90892.576125357678</v>
      </c>
      <c r="H361" s="156">
        <f>F801D!H131*$D22*(1+H$25)*(1+H$26)</f>
        <v>87464.972707480585</v>
      </c>
      <c r="I361" s="156">
        <f>F801D!I131*$D22*(1+I$25)*(1+I$26)</f>
        <v>98993.09668494582</v>
      </c>
      <c r="J361" s="154">
        <f t="shared" si="86"/>
        <v>569949.58688838535</v>
      </c>
    </row>
    <row r="362" spans="2:10">
      <c r="C362" s="157" t="s">
        <v>276</v>
      </c>
      <c r="D362" s="156">
        <f>F801D!D132*$D23*(1+D$25)*(1+D$26)</f>
        <v>67207.820379108205</v>
      </c>
      <c r="E362" s="156">
        <f>F801D!E132*$D23*(1+E$25)*(1+E$26)</f>
        <v>67872.07276543921</v>
      </c>
      <c r="F362" s="156">
        <f>F801D!F132*$D23*(1+F$25)*(1+F$26)</f>
        <v>68290.378887775471</v>
      </c>
      <c r="G362" s="156">
        <f>F801D!G132*$D23*(1+G$25)*(1+G$26)</f>
        <v>66752.899386582139</v>
      </c>
      <c r="H362" s="156">
        <f>F801D!H132*$D23*(1+H$25)*(1+H$26)</f>
        <v>66732.467210547635</v>
      </c>
      <c r="I362" s="156">
        <f>F801D!I132*$D23*(1+I$25)*(1+I$26)</f>
        <v>65789.667292062746</v>
      </c>
      <c r="J362" s="154">
        <f t="shared" si="86"/>
        <v>402645.30592151545</v>
      </c>
    </row>
    <row r="363" spans="2:10">
      <c r="C363" s="157" t="s">
        <v>276</v>
      </c>
      <c r="D363" s="156">
        <f>F801D!D133*$D24*(1+D$25)*(1+D$26)</f>
        <v>437415.67997468804</v>
      </c>
      <c r="E363" s="156">
        <f>F801D!E133*$D24*(1+E$25)*(1+E$26)</f>
        <v>438982.08997764078</v>
      </c>
      <c r="F363" s="156">
        <f>F801D!F133*$D24*(1+F$25)*(1+F$26)</f>
        <v>534520.50770721736</v>
      </c>
      <c r="G363" s="156">
        <f>F801D!G133*$D24*(1+G$25)*(1+G$26)</f>
        <v>536459.21812195412</v>
      </c>
      <c r="H363" s="156">
        <f>F801D!H133*$D24*(1+H$25)*(1+H$26)</f>
        <v>550661.95152981894</v>
      </c>
      <c r="I363" s="156">
        <f>F801D!I133*$D24*(1+I$25)*(1+I$26)</f>
        <v>564989.23059830454</v>
      </c>
      <c r="J363" s="154">
        <f t="shared" si="86"/>
        <v>3063028.6779096238</v>
      </c>
    </row>
    <row r="364" spans="2:10">
      <c r="C364" s="153" t="s">
        <v>443</v>
      </c>
      <c r="D364" s="154">
        <f t="shared" ref="D364:I364" si="91">SUM(D365:D366)</f>
        <v>386970.84784688707</v>
      </c>
      <c r="E364" s="154">
        <f t="shared" si="91"/>
        <v>384821.84383618424</v>
      </c>
      <c r="F364" s="154">
        <f t="shared" si="91"/>
        <v>397037.6526747052</v>
      </c>
      <c r="G364" s="154">
        <f t="shared" si="91"/>
        <v>400857.32737435296</v>
      </c>
      <c r="H364" s="154">
        <f t="shared" si="91"/>
        <v>411133.13434351113</v>
      </c>
      <c r="I364" s="154">
        <f t="shared" si="91"/>
        <v>429509.64330700703</v>
      </c>
      <c r="J364" s="154">
        <f t="shared" si="86"/>
        <v>2410330.4493826479</v>
      </c>
    </row>
    <row r="365" spans="2:10">
      <c r="B365" s="48" t="s">
        <v>874</v>
      </c>
      <c r="C365" s="157" t="s">
        <v>275</v>
      </c>
      <c r="D365" s="156">
        <f>F801D!D137*$D21*(1+D$25)*(1+D$26)</f>
        <v>12122.628236371505</v>
      </c>
      <c r="E365" s="156">
        <f>F801D!E137*$D21*(1+E$25)*(1+E$26)</f>
        <v>11283.222542007075</v>
      </c>
      <c r="F365" s="156">
        <f>F801D!F137*$D21*(1+F$25)*(1+F$26)</f>
        <v>11644.990558570444</v>
      </c>
      <c r="G365" s="156">
        <f>F801D!G137*$D21*(1+G$25)*(1+G$26)</f>
        <v>11670.861879356695</v>
      </c>
      <c r="H365" s="156">
        <f>F801D!H137*$D21*(1+H$25)*(1+H$26)</f>
        <v>12040.727460308279</v>
      </c>
      <c r="I365" s="156">
        <f>F801D!I137*$D21*(1+I$25)*(1+I$26)</f>
        <v>11941.220324517455</v>
      </c>
      <c r="J365" s="154">
        <f t="shared" si="86"/>
        <v>70703.651001131453</v>
      </c>
    </row>
    <row r="366" spans="2:10">
      <c r="B366" s="48" t="s">
        <v>875</v>
      </c>
      <c r="C366" s="335" t="s">
        <v>193</v>
      </c>
      <c r="D366" s="154">
        <f t="shared" ref="D366:I366" si="92">SUM(D367:D372)</f>
        <v>374848.21961051557</v>
      </c>
      <c r="E366" s="154">
        <f t="shared" si="92"/>
        <v>373538.62129417714</v>
      </c>
      <c r="F366" s="154">
        <f t="shared" si="92"/>
        <v>385392.66211613477</v>
      </c>
      <c r="G366" s="154">
        <f t="shared" si="92"/>
        <v>389186.46549499629</v>
      </c>
      <c r="H366" s="154">
        <f t="shared" si="92"/>
        <v>399092.40688320284</v>
      </c>
      <c r="I366" s="154">
        <f t="shared" si="92"/>
        <v>417568.42298248957</v>
      </c>
      <c r="J366" s="154">
        <f t="shared" si="86"/>
        <v>2339626.7983815162</v>
      </c>
    </row>
    <row r="367" spans="2:10">
      <c r="C367" s="157" t="s">
        <v>274</v>
      </c>
      <c r="D367" s="156">
        <f>F801D!D140*0</f>
        <v>0</v>
      </c>
      <c r="E367" s="156">
        <f>F801D!E140*0</f>
        <v>0</v>
      </c>
      <c r="F367" s="156">
        <f>F801D!F140*0</f>
        <v>0</v>
      </c>
      <c r="G367" s="156">
        <f>F801D!G140*0</f>
        <v>0</v>
      </c>
      <c r="H367" s="156">
        <f>F801D!H140*0</f>
        <v>0</v>
      </c>
      <c r="I367" s="156">
        <f>F801D!I140*0</f>
        <v>0</v>
      </c>
      <c r="J367" s="154">
        <f t="shared" si="86"/>
        <v>0</v>
      </c>
    </row>
    <row r="368" spans="2:10">
      <c r="C368" s="157" t="s">
        <v>274</v>
      </c>
      <c r="D368" s="156">
        <f>F801D!D141*$D21*(1+D$25)*(1+D$26)</f>
        <v>249331.83812509567</v>
      </c>
      <c r="E368" s="156">
        <f>F801D!E141*$D21*(1+E$25)*(1+E$26)</f>
        <v>246602.65206074834</v>
      </c>
      <c r="F368" s="156">
        <f>F801D!F141*$D21*(1+F$25)*(1+F$26)</f>
        <v>243911.72811832075</v>
      </c>
      <c r="G368" s="156">
        <f>F801D!G141*$D21*(1+G$25)*(1+G$26)</f>
        <v>242331.55430137092</v>
      </c>
      <c r="H368" s="156">
        <f>F801D!H141*$D21*(1+H$25)*(1+H$26)</f>
        <v>242274.28683889323</v>
      </c>
      <c r="I368" s="156">
        <f>F801D!I141*$D21*(1+I$25)*(1+I$26)</f>
        <v>247668.72424171545</v>
      </c>
      <c r="J368" s="154">
        <f t="shared" si="86"/>
        <v>1472120.7836861443</v>
      </c>
    </row>
    <row r="369" spans="2:10">
      <c r="C369" s="157" t="s">
        <v>274</v>
      </c>
      <c r="D369" s="156">
        <f>F801D!D142*$D22*(1+D$25)*(1+D$26)</f>
        <v>6506.6197323930473</v>
      </c>
      <c r="E369" s="156">
        <f>F801D!E142*$D22*(1+E$25)*(1+E$26)</f>
        <v>6791.7442836456221</v>
      </c>
      <c r="F369" s="156">
        <f>F801D!F142*$D22*(1+F$25)*(1+F$26)</f>
        <v>6346.9290221517513</v>
      </c>
      <c r="G369" s="156">
        <f>F801D!G142*$D22*(1+G$25)*(1+G$26)</f>
        <v>6276.1881351103066</v>
      </c>
      <c r="H369" s="156">
        <f>F801D!H142*$D22*(1+H$25)*(1+H$26)</f>
        <v>6433.6315082749452</v>
      </c>
      <c r="I369" s="156">
        <f>F801D!I142*$D22*(1+I$25)*(1+I$26)</f>
        <v>6037.9244423600521</v>
      </c>
      <c r="J369" s="154">
        <f t="shared" si="86"/>
        <v>38393.037123935726</v>
      </c>
    </row>
    <row r="370" spans="2:10">
      <c r="C370" s="157" t="s">
        <v>274</v>
      </c>
      <c r="D370" s="156">
        <f>F801D!D143*$D23*(1+D$25)*(1+D$26)</f>
        <v>46932.324220208087</v>
      </c>
      <c r="E370" s="156">
        <f>F801D!E143*$D23*(1+E$25)*(1+E$26)</f>
        <v>47335.435683341035</v>
      </c>
      <c r="F370" s="156">
        <f>F801D!F143*$D23*(1+F$25)*(1+F$26)</f>
        <v>45996.646790867067</v>
      </c>
      <c r="G370" s="156">
        <f>F801D!G143*$D23*(1+G$25)*(1+G$26)</f>
        <v>45701.410642483825</v>
      </c>
      <c r="H370" s="156">
        <f>F801D!H143*$D23*(1+H$25)*(1+H$26)</f>
        <v>46337.25542532462</v>
      </c>
      <c r="I370" s="156">
        <f>F801D!I143*$D23*(1+I$25)*(1+I$26)</f>
        <v>44573.493515878108</v>
      </c>
      <c r="J370" s="154">
        <f t="shared" si="86"/>
        <v>276876.56627810275</v>
      </c>
    </row>
    <row r="371" spans="2:10">
      <c r="C371" s="157" t="s">
        <v>274</v>
      </c>
      <c r="D371" s="156">
        <f>F801D!D144*$D24*(1+D$25)*(1+D$26)</f>
        <v>72077.437532818745</v>
      </c>
      <c r="E371" s="156">
        <f>F801D!E144*$D24*(1+E$25)*(1+E$26)</f>
        <v>72808.789266442094</v>
      </c>
      <c r="F371" s="156">
        <f>F801D!F144*$D24*(1+F$25)*(1+F$26)</f>
        <v>89137.358184795201</v>
      </c>
      <c r="G371" s="156">
        <f>F801D!G144*$D24*(1+G$25)*(1+G$26)</f>
        <v>94877.312416031287</v>
      </c>
      <c r="H371" s="156">
        <f>F801D!H144*$D24*(1+H$25)*(1+H$26)</f>
        <v>104047.23311071008</v>
      </c>
      <c r="I371" s="156">
        <f>F801D!I144*$D24*(1+I$25)*(1+I$26)</f>
        <v>119288.28078253596</v>
      </c>
      <c r="J371" s="154">
        <f t="shared" si="86"/>
        <v>552236.4112933334</v>
      </c>
    </row>
    <row r="372" spans="2:10">
      <c r="C372" s="157"/>
      <c r="D372" s="156"/>
      <c r="E372" s="156"/>
      <c r="F372" s="156"/>
      <c r="G372" s="156"/>
      <c r="H372" s="156"/>
      <c r="I372" s="156"/>
      <c r="J372" s="154">
        <f t="shared" si="86"/>
        <v>0</v>
      </c>
    </row>
    <row r="373" spans="2:10">
      <c r="C373" s="153" t="s">
        <v>112</v>
      </c>
      <c r="D373" s="154">
        <f t="shared" ref="D373:I373" si="93">D346+D352+D364</f>
        <v>2799463.553449118</v>
      </c>
      <c r="E373" s="154">
        <f t="shared" si="93"/>
        <v>2728423.8134911815</v>
      </c>
      <c r="F373" s="154">
        <f t="shared" si="93"/>
        <v>2808061.7034294116</v>
      </c>
      <c r="G373" s="154">
        <f t="shared" si="93"/>
        <v>2850326.8308550324</v>
      </c>
      <c r="H373" s="154">
        <f t="shared" si="93"/>
        <v>2838386.6683114069</v>
      </c>
      <c r="I373" s="154">
        <f t="shared" si="93"/>
        <v>2882088.5827087318</v>
      </c>
      <c r="J373" s="154">
        <f t="shared" si="86"/>
        <v>16906751.152244881</v>
      </c>
    </row>
    <row r="374" spans="2:10">
      <c r="C374" s="164"/>
      <c r="D374" s="164"/>
      <c r="E374" s="164"/>
      <c r="F374" s="164"/>
      <c r="G374" s="164"/>
      <c r="H374" s="164"/>
      <c r="I374" s="164"/>
      <c r="J374" s="164"/>
    </row>
    <row r="375" spans="2:10">
      <c r="C375" s="153" t="s">
        <v>111</v>
      </c>
      <c r="D375" s="154">
        <f t="shared" ref="D375:J375" si="94">D121+D216+D311+D342+D373</f>
        <v>12210022.69000298</v>
      </c>
      <c r="E375" s="154">
        <f t="shared" si="94"/>
        <v>12142910.377302408</v>
      </c>
      <c r="F375" s="154">
        <f t="shared" si="94"/>
        <v>12081158.627821898</v>
      </c>
      <c r="G375" s="154">
        <f t="shared" si="94"/>
        <v>12232541.911536276</v>
      </c>
      <c r="H375" s="154">
        <f t="shared" si="94"/>
        <v>11849468.149444111</v>
      </c>
      <c r="I375" s="154">
        <f t="shared" si="94"/>
        <v>11899833.621700695</v>
      </c>
      <c r="J375" s="154">
        <f t="shared" si="94"/>
        <v>72415935.377808362</v>
      </c>
    </row>
    <row r="376" spans="2:10">
      <c r="D376" s="336"/>
      <c r="E376" s="336"/>
      <c r="F376" s="336"/>
      <c r="G376" s="336"/>
      <c r="H376" s="336"/>
      <c r="I376" s="336"/>
    </row>
    <row r="377" spans="2:10">
      <c r="C377" s="52" t="str">
        <f>'PORTADA PORTADA PORTADA'!$B$23</f>
        <v>1 DE JULIO DE 2026</v>
      </c>
    </row>
    <row r="381" spans="2:10">
      <c r="B381" s="48" t="s">
        <v>902</v>
      </c>
      <c r="D381" s="64">
        <f t="shared" ref="D381:J390" si="95">SUMIF($B$29:$B$375,$B381,D$29:D$375)</f>
        <v>218433.30221148598</v>
      </c>
      <c r="E381" s="64">
        <f t="shared" si="95"/>
        <v>218524.46380562725</v>
      </c>
      <c r="F381" s="64">
        <f t="shared" si="95"/>
        <v>214397.12555810253</v>
      </c>
      <c r="G381" s="64">
        <f t="shared" si="95"/>
        <v>217775.39331885648</v>
      </c>
      <c r="H381" s="64">
        <f t="shared" si="95"/>
        <v>208339.23557000543</v>
      </c>
      <c r="I381" s="64">
        <f t="shared" si="95"/>
        <v>209315.48614812247</v>
      </c>
      <c r="J381" s="64">
        <f t="shared" si="95"/>
        <v>1286785.0066121998</v>
      </c>
    </row>
    <row r="382" spans="2:10">
      <c r="B382" s="48" t="s">
        <v>751</v>
      </c>
      <c r="D382" s="64">
        <f t="shared" si="95"/>
        <v>1201805.2900986443</v>
      </c>
      <c r="E382" s="64">
        <f t="shared" si="95"/>
        <v>1202306.861294501</v>
      </c>
      <c r="F382" s="64">
        <f t="shared" si="95"/>
        <v>1179598.2415076729</v>
      </c>
      <c r="G382" s="64">
        <f t="shared" si="95"/>
        <v>1198185.4746144018</v>
      </c>
      <c r="H382" s="64">
        <f t="shared" si="95"/>
        <v>1146267.7238229075</v>
      </c>
      <c r="I382" s="64">
        <f t="shared" si="95"/>
        <v>1151639.0556269889</v>
      </c>
      <c r="J382" s="64">
        <f t="shared" si="95"/>
        <v>7079802.6469651172</v>
      </c>
    </row>
    <row r="383" spans="2:10">
      <c r="B383" s="48" t="s">
        <v>750</v>
      </c>
      <c r="D383" s="64">
        <f t="shared" si="95"/>
        <v>813800.90763773513</v>
      </c>
      <c r="E383" s="64">
        <f t="shared" si="95"/>
        <v>814140.54169217078</v>
      </c>
      <c r="F383" s="64">
        <f t="shared" si="95"/>
        <v>798763.62078332738</v>
      </c>
      <c r="G383" s="64">
        <f t="shared" si="95"/>
        <v>811349.78480735968</v>
      </c>
      <c r="H383" s="64">
        <f t="shared" si="95"/>
        <v>776194.18507562624</v>
      </c>
      <c r="I383" s="64">
        <f t="shared" si="95"/>
        <v>779831.3301378031</v>
      </c>
      <c r="J383" s="64">
        <f t="shared" si="95"/>
        <v>4794080.3701340221</v>
      </c>
    </row>
    <row r="384" spans="2:10">
      <c r="B384" s="48" t="s">
        <v>749</v>
      </c>
      <c r="D384" s="64">
        <f t="shared" si="95"/>
        <v>925817.37260248465</v>
      </c>
      <c r="E384" s="64">
        <f t="shared" si="95"/>
        <v>926203.75593650772</v>
      </c>
      <c r="F384" s="64">
        <f t="shared" si="95"/>
        <v>908710.2628954812</v>
      </c>
      <c r="G384" s="64">
        <f t="shared" si="95"/>
        <v>923028.86244300206</v>
      </c>
      <c r="H384" s="64">
        <f t="shared" si="95"/>
        <v>883034.23394058843</v>
      </c>
      <c r="I384" s="64">
        <f t="shared" si="95"/>
        <v>887172.01758476405</v>
      </c>
      <c r="J384" s="64">
        <f t="shared" si="95"/>
        <v>5453966.5054028276</v>
      </c>
    </row>
    <row r="385" spans="2:10">
      <c r="B385" s="48" t="s">
        <v>1176</v>
      </c>
      <c r="D385" s="64">
        <f t="shared" si="95"/>
        <v>20.25</v>
      </c>
      <c r="E385" s="64">
        <f t="shared" si="95"/>
        <v>20.25</v>
      </c>
      <c r="F385" s="64">
        <f t="shared" si="95"/>
        <v>20.25</v>
      </c>
      <c r="G385" s="64">
        <f t="shared" si="95"/>
        <v>20.25</v>
      </c>
      <c r="H385" s="64">
        <f t="shared" si="95"/>
        <v>20.25</v>
      </c>
      <c r="I385" s="64">
        <f t="shared" si="95"/>
        <v>20.25</v>
      </c>
      <c r="J385" s="64">
        <f t="shared" si="95"/>
        <v>121.5</v>
      </c>
    </row>
    <row r="386" spans="2:10">
      <c r="B386" s="48" t="s">
        <v>274</v>
      </c>
      <c r="D386" s="64">
        <f t="shared" si="95"/>
        <v>4439904.6062403098</v>
      </c>
      <c r="E386" s="64">
        <f t="shared" si="95"/>
        <v>4441757.5690332633</v>
      </c>
      <c r="F386" s="64">
        <f t="shared" si="95"/>
        <v>4379265.4208277836</v>
      </c>
      <c r="G386" s="64">
        <f t="shared" si="95"/>
        <v>4426531.8618222252</v>
      </c>
      <c r="H386" s="64">
        <f t="shared" si="95"/>
        <v>4255527.2499964638</v>
      </c>
      <c r="I386" s="64">
        <f t="shared" si="95"/>
        <v>4254574.6536702337</v>
      </c>
      <c r="J386" s="64">
        <f t="shared" si="95"/>
        <v>26197561.361590277</v>
      </c>
    </row>
    <row r="387" spans="2:10">
      <c r="B387" s="48" t="s">
        <v>275</v>
      </c>
      <c r="D387" s="64">
        <f t="shared" si="95"/>
        <v>100809.97021216749</v>
      </c>
      <c r="E387" s="64">
        <f t="shared" si="95"/>
        <v>100852.04254041065</v>
      </c>
      <c r="F387" s="64">
        <f t="shared" si="95"/>
        <v>99879.827846116241</v>
      </c>
      <c r="G387" s="64">
        <f t="shared" si="95"/>
        <v>100506.33621864719</v>
      </c>
      <c r="H387" s="64">
        <f t="shared" si="95"/>
        <v>97057.677094109677</v>
      </c>
      <c r="I387" s="64">
        <f t="shared" si="95"/>
        <v>96601.972821468487</v>
      </c>
      <c r="J387" s="64">
        <f t="shared" si="95"/>
        <v>595707.82673291978</v>
      </c>
    </row>
    <row r="388" spans="2:10">
      <c r="B388" s="48" t="s">
        <v>276</v>
      </c>
      <c r="D388" s="64">
        <f t="shared" si="95"/>
        <v>1025149.3734275526</v>
      </c>
      <c r="E388" s="64">
        <f t="shared" si="95"/>
        <v>1025577.2122697462</v>
      </c>
      <c r="F388" s="64">
        <f t="shared" si="95"/>
        <v>1011746.7532652793</v>
      </c>
      <c r="G388" s="64">
        <f t="shared" si="95"/>
        <v>1022061.6808357036</v>
      </c>
      <c r="H388" s="64">
        <f t="shared" si="95"/>
        <v>983159.38059812807</v>
      </c>
      <c r="I388" s="64">
        <f t="shared" si="95"/>
        <v>982357.71423570055</v>
      </c>
      <c r="J388" s="64">
        <f t="shared" si="95"/>
        <v>6050052.1146321101</v>
      </c>
    </row>
    <row r="389" spans="2:10">
      <c r="B389" s="48" t="s">
        <v>277</v>
      </c>
      <c r="D389" s="64">
        <f t="shared" si="95"/>
        <v>199372.56834854925</v>
      </c>
      <c r="E389" s="64">
        <f t="shared" si="95"/>
        <v>199455.77508019083</v>
      </c>
      <c r="F389" s="64">
        <f t="shared" si="95"/>
        <v>196585.77852037078</v>
      </c>
      <c r="G389" s="64">
        <f t="shared" si="95"/>
        <v>198772.06932053977</v>
      </c>
      <c r="H389" s="64">
        <f t="shared" si="95"/>
        <v>191031.15638445926</v>
      </c>
      <c r="I389" s="64">
        <f t="shared" si="95"/>
        <v>191050.38309621799</v>
      </c>
      <c r="J389" s="64">
        <f t="shared" si="95"/>
        <v>1176267.7307503279</v>
      </c>
    </row>
    <row r="390" spans="2:10">
      <c r="B390" s="48" t="s">
        <v>278</v>
      </c>
      <c r="D390" s="64">
        <f t="shared" si="95"/>
        <v>14.754999999999999</v>
      </c>
      <c r="E390" s="64">
        <f t="shared" si="95"/>
        <v>14.754999999999999</v>
      </c>
      <c r="F390" s="64">
        <f t="shared" si="95"/>
        <v>14.754999999999999</v>
      </c>
      <c r="G390" s="64">
        <f t="shared" si="95"/>
        <v>14.754999999999999</v>
      </c>
      <c r="H390" s="64">
        <f t="shared" si="95"/>
        <v>14.754999999999999</v>
      </c>
      <c r="I390" s="64">
        <f t="shared" si="95"/>
        <v>14.754999999999999</v>
      </c>
      <c r="J390" s="64">
        <f t="shared" si="95"/>
        <v>88.53</v>
      </c>
    </row>
    <row r="391" spans="2:10">
      <c r="B391" s="48" t="s">
        <v>279</v>
      </c>
      <c r="D391" s="64">
        <f t="shared" ref="D391:J398" si="96">SUMIF($B$29:$B$375,$B391,D$29:D$375)</f>
        <v>485430.74077493139</v>
      </c>
      <c r="E391" s="64">
        <f t="shared" si="96"/>
        <v>485633.33715880924</v>
      </c>
      <c r="F391" s="64">
        <f t="shared" si="96"/>
        <v>484114.88818835129</v>
      </c>
      <c r="G391" s="64">
        <f t="shared" si="96"/>
        <v>483968.61230050831</v>
      </c>
      <c r="H391" s="64">
        <f t="shared" si="96"/>
        <v>470435.63365041878</v>
      </c>
      <c r="I391" s="64">
        <f t="shared" si="96"/>
        <v>465167.42067066394</v>
      </c>
      <c r="J391" s="64">
        <f t="shared" si="96"/>
        <v>2874750.6327436827</v>
      </c>
    </row>
    <row r="392" spans="2:10">
      <c r="B392" s="48" t="s">
        <v>875</v>
      </c>
      <c r="D392" s="64">
        <f t="shared" si="96"/>
        <v>374848.21961051557</v>
      </c>
      <c r="E392" s="64">
        <f t="shared" si="96"/>
        <v>373538.62129417714</v>
      </c>
      <c r="F392" s="64">
        <f t="shared" si="96"/>
        <v>385392.66211613477</v>
      </c>
      <c r="G392" s="64">
        <f t="shared" si="96"/>
        <v>389186.46549499629</v>
      </c>
      <c r="H392" s="64">
        <f t="shared" si="96"/>
        <v>399092.40688320284</v>
      </c>
      <c r="I392" s="64">
        <f t="shared" si="96"/>
        <v>417568.42298248957</v>
      </c>
      <c r="J392" s="64">
        <f t="shared" si="96"/>
        <v>2339626.7983815162</v>
      </c>
    </row>
    <row r="393" spans="2:10">
      <c r="B393" s="48" t="s">
        <v>874</v>
      </c>
      <c r="D393" s="64">
        <f t="shared" si="96"/>
        <v>12122.628236371505</v>
      </c>
      <c r="E393" s="64">
        <f t="shared" si="96"/>
        <v>11283.222542007075</v>
      </c>
      <c r="F393" s="64">
        <f t="shared" si="96"/>
        <v>11644.990558570444</v>
      </c>
      <c r="G393" s="64">
        <f t="shared" si="96"/>
        <v>11670.861879356695</v>
      </c>
      <c r="H393" s="64">
        <f t="shared" si="96"/>
        <v>12040.727460308279</v>
      </c>
      <c r="I393" s="64">
        <f t="shared" si="96"/>
        <v>11941.220324517455</v>
      </c>
      <c r="J393" s="64">
        <f t="shared" si="96"/>
        <v>70703.651001131453</v>
      </c>
    </row>
    <row r="394" spans="2:10">
      <c r="B394" s="48" t="s">
        <v>873</v>
      </c>
      <c r="D394" s="64">
        <f t="shared" si="96"/>
        <v>1824091.7515004836</v>
      </c>
      <c r="E394" s="64">
        <f t="shared" si="96"/>
        <v>1776789.8223602381</v>
      </c>
      <c r="F394" s="64">
        <f t="shared" si="96"/>
        <v>1812467.5680436804</v>
      </c>
      <c r="G394" s="64">
        <f t="shared" si="96"/>
        <v>1815849.8595735948</v>
      </c>
      <c r="H394" s="64">
        <f t="shared" si="96"/>
        <v>1821399.3810614599</v>
      </c>
      <c r="I394" s="64">
        <f t="shared" si="96"/>
        <v>1815022.7686243923</v>
      </c>
      <c r="J394" s="64">
        <f t="shared" si="96"/>
        <v>10865621.15116385</v>
      </c>
    </row>
    <row r="395" spans="2:10">
      <c r="B395" s="48" t="s">
        <v>872</v>
      </c>
      <c r="D395" s="64">
        <f t="shared" si="96"/>
        <v>425700.94401127641</v>
      </c>
      <c r="E395" s="64">
        <f t="shared" si="96"/>
        <v>411651.68828425708</v>
      </c>
      <c r="F395" s="64">
        <f t="shared" si="96"/>
        <v>426240.93347815354</v>
      </c>
      <c r="G395" s="64">
        <f t="shared" si="96"/>
        <v>429815.70796673419</v>
      </c>
      <c r="H395" s="64">
        <f t="shared" si="96"/>
        <v>417151.35277308599</v>
      </c>
      <c r="I395" s="64">
        <f t="shared" si="96"/>
        <v>427052.56333621813</v>
      </c>
      <c r="J395" s="64">
        <f t="shared" si="96"/>
        <v>2537613.1898497255</v>
      </c>
    </row>
    <row r="396" spans="2:10">
      <c r="B396" s="48" t="s">
        <v>871</v>
      </c>
      <c r="D396" s="64">
        <f t="shared" si="96"/>
        <v>162700.01009047081</v>
      </c>
      <c r="E396" s="64">
        <f t="shared" si="96"/>
        <v>155160.45901050241</v>
      </c>
      <c r="F396" s="64">
        <f t="shared" si="96"/>
        <v>172315.54923287232</v>
      </c>
      <c r="G396" s="64">
        <f t="shared" si="96"/>
        <v>203803.93594035026</v>
      </c>
      <c r="H396" s="64">
        <f t="shared" si="96"/>
        <v>188702.80013335001</v>
      </c>
      <c r="I396" s="64">
        <f t="shared" si="96"/>
        <v>210503.60744111423</v>
      </c>
      <c r="J396" s="64">
        <f t="shared" si="96"/>
        <v>1093186.36184866</v>
      </c>
    </row>
    <row r="397" spans="2:10">
      <c r="B397" s="48" t="s">
        <v>870</v>
      </c>
      <c r="D397" s="64">
        <f t="shared" si="96"/>
        <v>0</v>
      </c>
      <c r="E397" s="64">
        <f t="shared" si="96"/>
        <v>0</v>
      </c>
      <c r="F397" s="64">
        <f t="shared" si="96"/>
        <v>0</v>
      </c>
      <c r="G397" s="64">
        <f t="shared" si="96"/>
        <v>0</v>
      </c>
      <c r="H397" s="64">
        <f t="shared" si="96"/>
        <v>0</v>
      </c>
      <c r="I397" s="64">
        <f t="shared" si="96"/>
        <v>0</v>
      </c>
      <c r="J397" s="64">
        <f t="shared" si="96"/>
        <v>0</v>
      </c>
    </row>
    <row r="398" spans="2:10">
      <c r="B398" s="48" t="s">
        <v>890</v>
      </c>
      <c r="D398" s="64">
        <f t="shared" si="96"/>
        <v>0</v>
      </c>
      <c r="E398" s="64">
        <f t="shared" si="96"/>
        <v>0</v>
      </c>
      <c r="F398" s="64">
        <f t="shared" si="96"/>
        <v>0</v>
      </c>
      <c r="G398" s="64">
        <f t="shared" si="96"/>
        <v>0</v>
      </c>
      <c r="H398" s="64">
        <f t="shared" si="96"/>
        <v>0</v>
      </c>
      <c r="I398" s="64">
        <f t="shared" si="96"/>
        <v>0</v>
      </c>
      <c r="J398" s="64">
        <f t="shared" si="96"/>
        <v>0</v>
      </c>
    </row>
    <row r="399" spans="2:10">
      <c r="B399" s="48" t="s">
        <v>111</v>
      </c>
      <c r="D399" s="65">
        <f t="shared" ref="D399:J399" si="97">SUM(D381:D398)</f>
        <v>12210022.69000298</v>
      </c>
      <c r="E399" s="65">
        <f t="shared" si="97"/>
        <v>12142910.377302406</v>
      </c>
      <c r="F399" s="65">
        <f t="shared" si="97"/>
        <v>12081158.627821896</v>
      </c>
      <c r="G399" s="65">
        <f t="shared" si="97"/>
        <v>12232541.911536274</v>
      </c>
      <c r="H399" s="65">
        <f t="shared" si="97"/>
        <v>11849468.149444113</v>
      </c>
      <c r="I399" s="65">
        <f t="shared" si="97"/>
        <v>11899833.621700697</v>
      </c>
      <c r="J399" s="65">
        <f t="shared" si="97"/>
        <v>72415935.377808362</v>
      </c>
    </row>
    <row r="400" spans="2:10" ht="17.25" customHeight="1">
      <c r="D400" s="66">
        <f t="shared" ref="D400:J400" si="98">D399-D375</f>
        <v>0</v>
      </c>
      <c r="E400" s="66">
        <f t="shared" si="98"/>
        <v>0</v>
      </c>
      <c r="F400" s="66">
        <f t="shared" si="98"/>
        <v>0</v>
      </c>
      <c r="G400" s="66">
        <f t="shared" si="98"/>
        <v>0</v>
      </c>
      <c r="H400" s="66">
        <f t="shared" si="98"/>
        <v>0</v>
      </c>
      <c r="I400" s="66">
        <f t="shared" si="98"/>
        <v>0</v>
      </c>
      <c r="J400" s="66">
        <f t="shared" si="98"/>
        <v>0</v>
      </c>
    </row>
    <row r="402" spans="2:10">
      <c r="B402" s="48" t="s">
        <v>902</v>
      </c>
      <c r="D402" s="64">
        <f t="shared" ref="D402:J417" si="99">D381-D422</f>
        <v>218433.30221148598</v>
      </c>
      <c r="E402" s="64">
        <f t="shared" si="99"/>
        <v>218524.46380562725</v>
      </c>
      <c r="F402" s="64">
        <f t="shared" si="99"/>
        <v>214397.12555810253</v>
      </c>
      <c r="G402" s="64">
        <f t="shared" si="99"/>
        <v>217775.39331885648</v>
      </c>
      <c r="H402" s="64">
        <f t="shared" si="99"/>
        <v>208339.23557000543</v>
      </c>
      <c r="I402" s="64">
        <f t="shared" si="99"/>
        <v>209315.48614812247</v>
      </c>
      <c r="J402" s="64">
        <f t="shared" si="99"/>
        <v>1286785.0066121998</v>
      </c>
    </row>
    <row r="403" spans="2:10">
      <c r="B403" s="48" t="s">
        <v>751</v>
      </c>
      <c r="D403" s="64">
        <f t="shared" si="99"/>
        <v>1201805.2900986443</v>
      </c>
      <c r="E403" s="64">
        <f t="shared" si="99"/>
        <v>1202306.861294501</v>
      </c>
      <c r="F403" s="64">
        <f t="shared" si="99"/>
        <v>1179598.2415076729</v>
      </c>
      <c r="G403" s="64">
        <f t="shared" si="99"/>
        <v>1198185.4746144018</v>
      </c>
      <c r="H403" s="64">
        <f t="shared" si="99"/>
        <v>1146267.7238229075</v>
      </c>
      <c r="I403" s="64">
        <f t="shared" si="99"/>
        <v>1151639.0556269889</v>
      </c>
      <c r="J403" s="64">
        <f t="shared" si="99"/>
        <v>7079802.6469651172</v>
      </c>
    </row>
    <row r="404" spans="2:10">
      <c r="B404" s="48" t="s">
        <v>750</v>
      </c>
      <c r="D404" s="64">
        <f t="shared" si="99"/>
        <v>813800.90763773513</v>
      </c>
      <c r="E404" s="64">
        <f t="shared" si="99"/>
        <v>814140.54169217078</v>
      </c>
      <c r="F404" s="64">
        <f t="shared" si="99"/>
        <v>798763.62078332738</v>
      </c>
      <c r="G404" s="64">
        <f t="shared" si="99"/>
        <v>811349.78480735968</v>
      </c>
      <c r="H404" s="64">
        <f t="shared" si="99"/>
        <v>776194.18507562624</v>
      </c>
      <c r="I404" s="64">
        <f t="shared" si="99"/>
        <v>779831.3301378031</v>
      </c>
      <c r="J404" s="64">
        <f t="shared" si="99"/>
        <v>4794080.3701340221</v>
      </c>
    </row>
    <row r="405" spans="2:10">
      <c r="B405" s="48" t="s">
        <v>749</v>
      </c>
      <c r="D405" s="64">
        <f t="shared" si="99"/>
        <v>925817.37260248465</v>
      </c>
      <c r="E405" s="64">
        <f t="shared" si="99"/>
        <v>926203.75593650772</v>
      </c>
      <c r="F405" s="64">
        <f t="shared" si="99"/>
        <v>908710.2628954812</v>
      </c>
      <c r="G405" s="64">
        <f t="shared" si="99"/>
        <v>923028.86244300206</v>
      </c>
      <c r="H405" s="64">
        <f t="shared" si="99"/>
        <v>883034.23394058843</v>
      </c>
      <c r="I405" s="64">
        <f t="shared" si="99"/>
        <v>887172.01758476405</v>
      </c>
      <c r="J405" s="64">
        <f t="shared" si="99"/>
        <v>5453966.5054028276</v>
      </c>
    </row>
    <row r="406" spans="2:10">
      <c r="B406" s="48" t="s">
        <v>1176</v>
      </c>
      <c r="D406" s="64">
        <f t="shared" si="99"/>
        <v>20.25</v>
      </c>
      <c r="E406" s="64">
        <f t="shared" si="99"/>
        <v>20.25</v>
      </c>
      <c r="F406" s="64">
        <f t="shared" si="99"/>
        <v>20.25</v>
      </c>
      <c r="G406" s="64">
        <f t="shared" si="99"/>
        <v>20.25</v>
      </c>
      <c r="H406" s="64">
        <f t="shared" si="99"/>
        <v>20.25</v>
      </c>
      <c r="I406" s="64">
        <f t="shared" si="99"/>
        <v>20.25</v>
      </c>
      <c r="J406" s="64">
        <f t="shared" si="99"/>
        <v>121.5</v>
      </c>
    </row>
    <row r="407" spans="2:10">
      <c r="B407" s="48" t="s">
        <v>274</v>
      </c>
      <c r="D407" s="64">
        <f t="shared" si="99"/>
        <v>4439904.6062403098</v>
      </c>
      <c r="E407" s="64">
        <f t="shared" si="99"/>
        <v>4441757.5690332633</v>
      </c>
      <c r="F407" s="64">
        <f t="shared" si="99"/>
        <v>4379265.4208277836</v>
      </c>
      <c r="G407" s="64">
        <f t="shared" si="99"/>
        <v>4426531.8618222252</v>
      </c>
      <c r="H407" s="64">
        <f t="shared" si="99"/>
        <v>4255527.2499964638</v>
      </c>
      <c r="I407" s="64">
        <f t="shared" si="99"/>
        <v>4254574.6536702337</v>
      </c>
      <c r="J407" s="64">
        <f t="shared" si="99"/>
        <v>26197561.361590277</v>
      </c>
    </row>
    <row r="408" spans="2:10">
      <c r="B408" s="48" t="s">
        <v>275</v>
      </c>
      <c r="D408" s="64">
        <f t="shared" si="99"/>
        <v>100809.97021216749</v>
      </c>
      <c r="E408" s="64">
        <f t="shared" si="99"/>
        <v>100852.04254041065</v>
      </c>
      <c r="F408" s="64">
        <f t="shared" si="99"/>
        <v>99879.827846116241</v>
      </c>
      <c r="G408" s="64">
        <f t="shared" si="99"/>
        <v>100506.33621864719</v>
      </c>
      <c r="H408" s="64">
        <f t="shared" si="99"/>
        <v>97057.677094109677</v>
      </c>
      <c r="I408" s="64">
        <f t="shared" si="99"/>
        <v>96601.972821468487</v>
      </c>
      <c r="J408" s="64">
        <f t="shared" si="99"/>
        <v>595707.82673291978</v>
      </c>
    </row>
    <row r="409" spans="2:10">
      <c r="B409" s="48" t="s">
        <v>276</v>
      </c>
      <c r="D409" s="64">
        <f t="shared" si="99"/>
        <v>1025149.3734275526</v>
      </c>
      <c r="E409" s="64">
        <f t="shared" si="99"/>
        <v>1025577.2122697462</v>
      </c>
      <c r="F409" s="64">
        <f t="shared" si="99"/>
        <v>1011746.7532652793</v>
      </c>
      <c r="G409" s="64">
        <f t="shared" si="99"/>
        <v>1022061.6808357036</v>
      </c>
      <c r="H409" s="64">
        <f t="shared" si="99"/>
        <v>983159.38059812807</v>
      </c>
      <c r="I409" s="64">
        <f t="shared" si="99"/>
        <v>982357.71423570055</v>
      </c>
      <c r="J409" s="64">
        <f t="shared" si="99"/>
        <v>6050052.1146321101</v>
      </c>
    </row>
    <row r="410" spans="2:10">
      <c r="B410" s="48" t="s">
        <v>277</v>
      </c>
      <c r="D410" s="64">
        <f t="shared" si="99"/>
        <v>199372.56834854925</v>
      </c>
      <c r="E410" s="64">
        <f t="shared" si="99"/>
        <v>199455.77508019083</v>
      </c>
      <c r="F410" s="64">
        <f t="shared" si="99"/>
        <v>196585.77852037078</v>
      </c>
      <c r="G410" s="64">
        <f t="shared" si="99"/>
        <v>198772.06932053977</v>
      </c>
      <c r="H410" s="64">
        <f t="shared" si="99"/>
        <v>191031.15638445926</v>
      </c>
      <c r="I410" s="64">
        <f t="shared" si="99"/>
        <v>191050.38309621799</v>
      </c>
      <c r="J410" s="64">
        <f t="shared" si="99"/>
        <v>1176267.7307503279</v>
      </c>
    </row>
    <row r="411" spans="2:10">
      <c r="B411" s="48" t="s">
        <v>278</v>
      </c>
      <c r="D411" s="64">
        <f t="shared" si="99"/>
        <v>14.754999999999999</v>
      </c>
      <c r="E411" s="64">
        <f t="shared" si="99"/>
        <v>14.754999999999999</v>
      </c>
      <c r="F411" s="64">
        <f t="shared" si="99"/>
        <v>14.754999999999999</v>
      </c>
      <c r="G411" s="64">
        <f t="shared" si="99"/>
        <v>14.754999999999999</v>
      </c>
      <c r="H411" s="64">
        <f t="shared" si="99"/>
        <v>14.754999999999999</v>
      </c>
      <c r="I411" s="64">
        <f t="shared" si="99"/>
        <v>14.754999999999999</v>
      </c>
      <c r="J411" s="64">
        <f t="shared" si="99"/>
        <v>88.53</v>
      </c>
    </row>
    <row r="412" spans="2:10">
      <c r="B412" s="48" t="s">
        <v>279</v>
      </c>
      <c r="D412" s="64">
        <f t="shared" si="99"/>
        <v>485430.74077493139</v>
      </c>
      <c r="E412" s="64">
        <f t="shared" si="99"/>
        <v>485633.33715880924</v>
      </c>
      <c r="F412" s="64">
        <f t="shared" si="99"/>
        <v>484114.88818835129</v>
      </c>
      <c r="G412" s="64">
        <f t="shared" si="99"/>
        <v>483968.61230050831</v>
      </c>
      <c r="H412" s="64">
        <f t="shared" si="99"/>
        <v>470435.63365041878</v>
      </c>
      <c r="I412" s="64">
        <f t="shared" si="99"/>
        <v>465167.42067066394</v>
      </c>
      <c r="J412" s="64">
        <f t="shared" si="99"/>
        <v>2874750.6327436827</v>
      </c>
    </row>
    <row r="413" spans="2:10">
      <c r="B413" s="48" t="s">
        <v>875</v>
      </c>
      <c r="D413" s="64">
        <f t="shared" si="99"/>
        <v>374848.21961051557</v>
      </c>
      <c r="E413" s="64">
        <f t="shared" si="99"/>
        <v>373538.62129417714</v>
      </c>
      <c r="F413" s="64">
        <f t="shared" si="99"/>
        <v>385392.66211613477</v>
      </c>
      <c r="G413" s="64">
        <f t="shared" si="99"/>
        <v>389186.46549499629</v>
      </c>
      <c r="H413" s="64">
        <f t="shared" si="99"/>
        <v>399092.40688320284</v>
      </c>
      <c r="I413" s="64">
        <f t="shared" si="99"/>
        <v>417568.42298248957</v>
      </c>
      <c r="J413" s="64">
        <f t="shared" si="99"/>
        <v>2339626.7983815162</v>
      </c>
    </row>
    <row r="414" spans="2:10">
      <c r="B414" s="48" t="s">
        <v>874</v>
      </c>
      <c r="D414" s="64">
        <f t="shared" si="99"/>
        <v>12122.628236371505</v>
      </c>
      <c r="E414" s="64">
        <f t="shared" si="99"/>
        <v>11283.222542007075</v>
      </c>
      <c r="F414" s="64">
        <f t="shared" si="99"/>
        <v>11644.990558570444</v>
      </c>
      <c r="G414" s="64">
        <f t="shared" si="99"/>
        <v>11670.861879356695</v>
      </c>
      <c r="H414" s="64">
        <f t="shared" si="99"/>
        <v>12040.727460308279</v>
      </c>
      <c r="I414" s="64">
        <f t="shared" si="99"/>
        <v>11941.220324517455</v>
      </c>
      <c r="J414" s="64">
        <f t="shared" si="99"/>
        <v>70703.651001131453</v>
      </c>
    </row>
    <row r="415" spans="2:10">
      <c r="B415" s="48" t="s">
        <v>873</v>
      </c>
      <c r="D415" s="64">
        <f t="shared" si="99"/>
        <v>1824091.7515004836</v>
      </c>
      <c r="E415" s="64">
        <f t="shared" si="99"/>
        <v>1776789.8223602381</v>
      </c>
      <c r="F415" s="64">
        <f t="shared" si="99"/>
        <v>1812467.5680436804</v>
      </c>
      <c r="G415" s="64">
        <f t="shared" si="99"/>
        <v>1815849.8595735948</v>
      </c>
      <c r="H415" s="64">
        <f t="shared" si="99"/>
        <v>1821399.3810614599</v>
      </c>
      <c r="I415" s="64">
        <f t="shared" si="99"/>
        <v>1815022.7686243923</v>
      </c>
      <c r="J415" s="64">
        <f t="shared" si="99"/>
        <v>10865621.15116385</v>
      </c>
    </row>
    <row r="416" spans="2:10">
      <c r="B416" s="48" t="s">
        <v>872</v>
      </c>
      <c r="D416" s="64">
        <f t="shared" si="99"/>
        <v>425700.94401127641</v>
      </c>
      <c r="E416" s="64">
        <f t="shared" si="99"/>
        <v>411651.68828425708</v>
      </c>
      <c r="F416" s="64">
        <f t="shared" si="99"/>
        <v>426240.93347815354</v>
      </c>
      <c r="G416" s="64">
        <f t="shared" si="99"/>
        <v>429815.70796673419</v>
      </c>
      <c r="H416" s="64">
        <f t="shared" si="99"/>
        <v>417151.35277308599</v>
      </c>
      <c r="I416" s="64">
        <f t="shared" si="99"/>
        <v>427052.56333621813</v>
      </c>
      <c r="J416" s="64">
        <f t="shared" si="99"/>
        <v>2537613.1898497255</v>
      </c>
    </row>
    <row r="417" spans="2:10">
      <c r="B417" s="48" t="s">
        <v>871</v>
      </c>
      <c r="D417" s="64">
        <f t="shared" si="99"/>
        <v>162700.01009047081</v>
      </c>
      <c r="E417" s="64">
        <f t="shared" si="99"/>
        <v>155160.45901050241</v>
      </c>
      <c r="F417" s="64">
        <f t="shared" si="99"/>
        <v>172315.54923287232</v>
      </c>
      <c r="G417" s="64">
        <f t="shared" si="99"/>
        <v>203803.93594035026</v>
      </c>
      <c r="H417" s="64">
        <f t="shared" si="99"/>
        <v>188702.80013335001</v>
      </c>
      <c r="I417" s="64">
        <f t="shared" si="99"/>
        <v>210503.60744111423</v>
      </c>
      <c r="J417" s="64">
        <f t="shared" si="99"/>
        <v>1093186.36184866</v>
      </c>
    </row>
    <row r="418" spans="2:10">
      <c r="B418" s="48" t="s">
        <v>870</v>
      </c>
      <c r="D418" s="64">
        <f t="shared" ref="D418:J418" si="100">D397-D438</f>
        <v>0</v>
      </c>
      <c r="E418" s="64">
        <f t="shared" si="100"/>
        <v>0</v>
      </c>
      <c r="F418" s="64">
        <f t="shared" si="100"/>
        <v>0</v>
      </c>
      <c r="G418" s="64">
        <f t="shared" si="100"/>
        <v>0</v>
      </c>
      <c r="H418" s="64">
        <f t="shared" si="100"/>
        <v>0</v>
      </c>
      <c r="I418" s="64">
        <f t="shared" si="100"/>
        <v>0</v>
      </c>
      <c r="J418" s="64">
        <f t="shared" si="100"/>
        <v>0</v>
      </c>
    </row>
    <row r="419" spans="2:10">
      <c r="B419" s="48" t="s">
        <v>893</v>
      </c>
      <c r="D419" s="64">
        <f>D398-D439</f>
        <v>0</v>
      </c>
      <c r="E419" s="64"/>
      <c r="F419" s="64"/>
      <c r="G419" s="64"/>
      <c r="H419" s="64"/>
      <c r="I419" s="64"/>
      <c r="J419" s="64"/>
    </row>
    <row r="420" spans="2:10">
      <c r="B420" s="48" t="s">
        <v>111</v>
      </c>
      <c r="C420" s="48" t="s">
        <v>889</v>
      </c>
      <c r="D420" s="65">
        <f>SUM(D402:D419)</f>
        <v>12210022.69000298</v>
      </c>
      <c r="E420" s="65">
        <f t="shared" ref="E420:J420" si="101">SUM(E402:E419)</f>
        <v>12142910.377302406</v>
      </c>
      <c r="F420" s="65">
        <f t="shared" si="101"/>
        <v>12081158.627821896</v>
      </c>
      <c r="G420" s="65">
        <f t="shared" si="101"/>
        <v>12232541.911536274</v>
      </c>
      <c r="H420" s="65">
        <f t="shared" si="101"/>
        <v>11849468.149444113</v>
      </c>
      <c r="I420" s="65">
        <f t="shared" si="101"/>
        <v>11899833.621700697</v>
      </c>
      <c r="J420" s="65">
        <f t="shared" si="101"/>
        <v>72415935.377808362</v>
      </c>
    </row>
    <row r="422" spans="2:10">
      <c r="B422" s="48" t="s">
        <v>902</v>
      </c>
      <c r="D422" s="64">
        <f t="shared" ref="D422:J431" si="102">SUMIF($B$219:$B$342,$B422,D$219:D$342)</f>
        <v>0</v>
      </c>
      <c r="E422" s="64">
        <f t="shared" si="102"/>
        <v>0</v>
      </c>
      <c r="F422" s="64">
        <f t="shared" si="102"/>
        <v>0</v>
      </c>
      <c r="G422" s="64">
        <f t="shared" si="102"/>
        <v>0</v>
      </c>
      <c r="H422" s="64">
        <f t="shared" si="102"/>
        <v>0</v>
      </c>
      <c r="I422" s="64">
        <f t="shared" si="102"/>
        <v>0</v>
      </c>
      <c r="J422" s="64">
        <f t="shared" si="102"/>
        <v>0</v>
      </c>
    </row>
    <row r="423" spans="2:10">
      <c r="B423" s="48" t="s">
        <v>751</v>
      </c>
      <c r="D423" s="64">
        <f t="shared" si="102"/>
        <v>0</v>
      </c>
      <c r="E423" s="64">
        <f t="shared" si="102"/>
        <v>0</v>
      </c>
      <c r="F423" s="64">
        <f t="shared" si="102"/>
        <v>0</v>
      </c>
      <c r="G423" s="64">
        <f t="shared" si="102"/>
        <v>0</v>
      </c>
      <c r="H423" s="64">
        <f t="shared" si="102"/>
        <v>0</v>
      </c>
      <c r="I423" s="64">
        <f t="shared" si="102"/>
        <v>0</v>
      </c>
      <c r="J423" s="64">
        <f t="shared" si="102"/>
        <v>0</v>
      </c>
    </row>
    <row r="424" spans="2:10">
      <c r="B424" s="48" t="s">
        <v>750</v>
      </c>
      <c r="D424" s="64">
        <f t="shared" si="102"/>
        <v>0</v>
      </c>
      <c r="E424" s="64">
        <f t="shared" si="102"/>
        <v>0</v>
      </c>
      <c r="F424" s="64">
        <f t="shared" si="102"/>
        <v>0</v>
      </c>
      <c r="G424" s="64">
        <f t="shared" si="102"/>
        <v>0</v>
      </c>
      <c r="H424" s="64">
        <f t="shared" si="102"/>
        <v>0</v>
      </c>
      <c r="I424" s="64">
        <f t="shared" si="102"/>
        <v>0</v>
      </c>
      <c r="J424" s="64">
        <f t="shared" si="102"/>
        <v>0</v>
      </c>
    </row>
    <row r="425" spans="2:10">
      <c r="B425" s="48" t="s">
        <v>749</v>
      </c>
      <c r="D425" s="64">
        <f t="shared" si="102"/>
        <v>0</v>
      </c>
      <c r="E425" s="64">
        <f t="shared" si="102"/>
        <v>0</v>
      </c>
      <c r="F425" s="64">
        <f t="shared" si="102"/>
        <v>0</v>
      </c>
      <c r="G425" s="64">
        <f t="shared" si="102"/>
        <v>0</v>
      </c>
      <c r="H425" s="64">
        <f t="shared" si="102"/>
        <v>0</v>
      </c>
      <c r="I425" s="64">
        <f t="shared" si="102"/>
        <v>0</v>
      </c>
      <c r="J425" s="64">
        <f t="shared" si="102"/>
        <v>0</v>
      </c>
    </row>
    <row r="426" spans="2:10">
      <c r="B426" s="48" t="s">
        <v>1176</v>
      </c>
      <c r="D426" s="64">
        <f t="shared" si="102"/>
        <v>0</v>
      </c>
      <c r="E426" s="64">
        <f t="shared" si="102"/>
        <v>0</v>
      </c>
      <c r="F426" s="64">
        <f t="shared" si="102"/>
        <v>0</v>
      </c>
      <c r="G426" s="64">
        <f t="shared" si="102"/>
        <v>0</v>
      </c>
      <c r="H426" s="64">
        <f t="shared" si="102"/>
        <v>0</v>
      </c>
      <c r="I426" s="64">
        <f t="shared" si="102"/>
        <v>0</v>
      </c>
      <c r="J426" s="64">
        <f t="shared" si="102"/>
        <v>0</v>
      </c>
    </row>
    <row r="427" spans="2:10">
      <c r="B427" s="48" t="s">
        <v>274</v>
      </c>
      <c r="D427" s="64">
        <f t="shared" si="102"/>
        <v>0</v>
      </c>
      <c r="E427" s="64">
        <f t="shared" si="102"/>
        <v>0</v>
      </c>
      <c r="F427" s="64">
        <f t="shared" si="102"/>
        <v>0</v>
      </c>
      <c r="G427" s="64">
        <f t="shared" si="102"/>
        <v>0</v>
      </c>
      <c r="H427" s="64">
        <f t="shared" si="102"/>
        <v>0</v>
      </c>
      <c r="I427" s="64">
        <f t="shared" si="102"/>
        <v>0</v>
      </c>
      <c r="J427" s="64">
        <f t="shared" si="102"/>
        <v>0</v>
      </c>
    </row>
    <row r="428" spans="2:10">
      <c r="B428" s="48" t="s">
        <v>275</v>
      </c>
      <c r="D428" s="64">
        <f t="shared" si="102"/>
        <v>0</v>
      </c>
      <c r="E428" s="64">
        <f t="shared" si="102"/>
        <v>0</v>
      </c>
      <c r="F428" s="64">
        <f t="shared" si="102"/>
        <v>0</v>
      </c>
      <c r="G428" s="64">
        <f t="shared" si="102"/>
        <v>0</v>
      </c>
      <c r="H428" s="64">
        <f t="shared" si="102"/>
        <v>0</v>
      </c>
      <c r="I428" s="64">
        <f t="shared" si="102"/>
        <v>0</v>
      </c>
      <c r="J428" s="64">
        <f t="shared" si="102"/>
        <v>0</v>
      </c>
    </row>
    <row r="429" spans="2:10">
      <c r="B429" s="48" t="s">
        <v>276</v>
      </c>
      <c r="D429" s="64">
        <f t="shared" si="102"/>
        <v>0</v>
      </c>
      <c r="E429" s="64">
        <f t="shared" si="102"/>
        <v>0</v>
      </c>
      <c r="F429" s="64">
        <f t="shared" si="102"/>
        <v>0</v>
      </c>
      <c r="G429" s="64">
        <f t="shared" si="102"/>
        <v>0</v>
      </c>
      <c r="H429" s="64">
        <f t="shared" si="102"/>
        <v>0</v>
      </c>
      <c r="I429" s="64">
        <f t="shared" si="102"/>
        <v>0</v>
      </c>
      <c r="J429" s="64">
        <f t="shared" si="102"/>
        <v>0</v>
      </c>
    </row>
    <row r="430" spans="2:10">
      <c r="B430" s="48" t="s">
        <v>277</v>
      </c>
      <c r="D430" s="64">
        <f t="shared" si="102"/>
        <v>0</v>
      </c>
      <c r="E430" s="64">
        <f t="shared" si="102"/>
        <v>0</v>
      </c>
      <c r="F430" s="64">
        <f t="shared" si="102"/>
        <v>0</v>
      </c>
      <c r="G430" s="64">
        <f t="shared" si="102"/>
        <v>0</v>
      </c>
      <c r="H430" s="64">
        <f t="shared" si="102"/>
        <v>0</v>
      </c>
      <c r="I430" s="64">
        <f t="shared" si="102"/>
        <v>0</v>
      </c>
      <c r="J430" s="64">
        <f t="shared" si="102"/>
        <v>0</v>
      </c>
    </row>
    <row r="431" spans="2:10">
      <c r="B431" s="48" t="s">
        <v>278</v>
      </c>
      <c r="D431" s="64">
        <f t="shared" si="102"/>
        <v>0</v>
      </c>
      <c r="E431" s="64">
        <f t="shared" si="102"/>
        <v>0</v>
      </c>
      <c r="F431" s="64">
        <f t="shared" si="102"/>
        <v>0</v>
      </c>
      <c r="G431" s="64">
        <f t="shared" si="102"/>
        <v>0</v>
      </c>
      <c r="H431" s="64">
        <f t="shared" si="102"/>
        <v>0</v>
      </c>
      <c r="I431" s="64">
        <f t="shared" si="102"/>
        <v>0</v>
      </c>
      <c r="J431" s="64">
        <f t="shared" si="102"/>
        <v>0</v>
      </c>
    </row>
    <row r="432" spans="2:10">
      <c r="B432" s="48" t="s">
        <v>279</v>
      </c>
      <c r="D432" s="64">
        <f t="shared" ref="D432:J439" si="103">SUMIF($B$219:$B$342,$B432,D$219:D$342)</f>
        <v>0</v>
      </c>
      <c r="E432" s="64">
        <f t="shared" si="103"/>
        <v>0</v>
      </c>
      <c r="F432" s="64">
        <f t="shared" si="103"/>
        <v>0</v>
      </c>
      <c r="G432" s="64">
        <f t="shared" si="103"/>
        <v>0</v>
      </c>
      <c r="H432" s="64">
        <f t="shared" si="103"/>
        <v>0</v>
      </c>
      <c r="I432" s="64">
        <f t="shared" si="103"/>
        <v>0</v>
      </c>
      <c r="J432" s="64">
        <f t="shared" si="103"/>
        <v>0</v>
      </c>
    </row>
    <row r="433" spans="2:10">
      <c r="B433" s="48" t="s">
        <v>875</v>
      </c>
      <c r="D433" s="64">
        <f t="shared" si="103"/>
        <v>0</v>
      </c>
      <c r="E433" s="64">
        <f t="shared" si="103"/>
        <v>0</v>
      </c>
      <c r="F433" s="64">
        <f t="shared" si="103"/>
        <v>0</v>
      </c>
      <c r="G433" s="64">
        <f t="shared" si="103"/>
        <v>0</v>
      </c>
      <c r="H433" s="64">
        <f t="shared" si="103"/>
        <v>0</v>
      </c>
      <c r="I433" s="64">
        <f t="shared" si="103"/>
        <v>0</v>
      </c>
      <c r="J433" s="64">
        <f t="shared" si="103"/>
        <v>0</v>
      </c>
    </row>
    <row r="434" spans="2:10">
      <c r="B434" s="48" t="s">
        <v>874</v>
      </c>
      <c r="D434" s="64">
        <f t="shared" si="103"/>
        <v>0</v>
      </c>
      <c r="E434" s="64">
        <f t="shared" si="103"/>
        <v>0</v>
      </c>
      <c r="F434" s="64">
        <f t="shared" si="103"/>
        <v>0</v>
      </c>
      <c r="G434" s="64">
        <f t="shared" si="103"/>
        <v>0</v>
      </c>
      <c r="H434" s="64">
        <f t="shared" si="103"/>
        <v>0</v>
      </c>
      <c r="I434" s="64">
        <f t="shared" si="103"/>
        <v>0</v>
      </c>
      <c r="J434" s="64">
        <f t="shared" si="103"/>
        <v>0</v>
      </c>
    </row>
    <row r="435" spans="2:10">
      <c r="B435" s="48" t="s">
        <v>873</v>
      </c>
      <c r="D435" s="64">
        <f t="shared" si="103"/>
        <v>0</v>
      </c>
      <c r="E435" s="64">
        <f t="shared" si="103"/>
        <v>0</v>
      </c>
      <c r="F435" s="64">
        <f t="shared" si="103"/>
        <v>0</v>
      </c>
      <c r="G435" s="64">
        <f t="shared" si="103"/>
        <v>0</v>
      </c>
      <c r="H435" s="64">
        <f t="shared" si="103"/>
        <v>0</v>
      </c>
      <c r="I435" s="64">
        <f t="shared" si="103"/>
        <v>0</v>
      </c>
      <c r="J435" s="64">
        <f t="shared" si="103"/>
        <v>0</v>
      </c>
    </row>
    <row r="436" spans="2:10">
      <c r="B436" s="48" t="s">
        <v>872</v>
      </c>
      <c r="D436" s="64">
        <f t="shared" si="103"/>
        <v>0</v>
      </c>
      <c r="E436" s="64">
        <f t="shared" si="103"/>
        <v>0</v>
      </c>
      <c r="F436" s="64">
        <f t="shared" si="103"/>
        <v>0</v>
      </c>
      <c r="G436" s="64">
        <f t="shared" si="103"/>
        <v>0</v>
      </c>
      <c r="H436" s="64">
        <f t="shared" si="103"/>
        <v>0</v>
      </c>
      <c r="I436" s="64">
        <f t="shared" si="103"/>
        <v>0</v>
      </c>
      <c r="J436" s="64">
        <f t="shared" si="103"/>
        <v>0</v>
      </c>
    </row>
    <row r="437" spans="2:10">
      <c r="B437" s="48" t="s">
        <v>871</v>
      </c>
      <c r="D437" s="64">
        <f t="shared" si="103"/>
        <v>0</v>
      </c>
      <c r="E437" s="64">
        <f t="shared" si="103"/>
        <v>0</v>
      </c>
      <c r="F437" s="64">
        <f t="shared" si="103"/>
        <v>0</v>
      </c>
      <c r="G437" s="64">
        <f t="shared" si="103"/>
        <v>0</v>
      </c>
      <c r="H437" s="64">
        <f t="shared" si="103"/>
        <v>0</v>
      </c>
      <c r="I437" s="64">
        <f t="shared" si="103"/>
        <v>0</v>
      </c>
      <c r="J437" s="64">
        <f t="shared" si="103"/>
        <v>0</v>
      </c>
    </row>
    <row r="438" spans="2:10">
      <c r="B438" s="48" t="s">
        <v>870</v>
      </c>
      <c r="D438" s="64">
        <f t="shared" si="103"/>
        <v>0</v>
      </c>
      <c r="E438" s="64">
        <f t="shared" si="103"/>
        <v>0</v>
      </c>
      <c r="F438" s="64">
        <f t="shared" si="103"/>
        <v>0</v>
      </c>
      <c r="G438" s="64">
        <f t="shared" si="103"/>
        <v>0</v>
      </c>
      <c r="H438" s="64">
        <f t="shared" si="103"/>
        <v>0</v>
      </c>
      <c r="I438" s="64">
        <f t="shared" si="103"/>
        <v>0</v>
      </c>
      <c r="J438" s="64">
        <f t="shared" si="103"/>
        <v>0</v>
      </c>
    </row>
    <row r="439" spans="2:10">
      <c r="B439" s="48" t="s">
        <v>893</v>
      </c>
      <c r="D439" s="64">
        <f t="shared" si="103"/>
        <v>0</v>
      </c>
      <c r="E439" s="64">
        <f t="shared" si="103"/>
        <v>0</v>
      </c>
      <c r="F439" s="64">
        <f t="shared" si="103"/>
        <v>0</v>
      </c>
      <c r="G439" s="64">
        <f t="shared" si="103"/>
        <v>0</v>
      </c>
      <c r="H439" s="64">
        <f t="shared" si="103"/>
        <v>0</v>
      </c>
      <c r="I439" s="64">
        <f t="shared" si="103"/>
        <v>0</v>
      </c>
      <c r="J439" s="64">
        <f t="shared" si="103"/>
        <v>0</v>
      </c>
    </row>
    <row r="440" spans="2:10">
      <c r="B440" s="48" t="s">
        <v>888</v>
      </c>
      <c r="D440" s="65">
        <f t="shared" ref="D440:J440" si="104">SUM(D422:D439)</f>
        <v>0</v>
      </c>
      <c r="E440" s="65">
        <f t="shared" si="104"/>
        <v>0</v>
      </c>
      <c r="F440" s="65">
        <f t="shared" si="104"/>
        <v>0</v>
      </c>
      <c r="G440" s="65">
        <f t="shared" si="104"/>
        <v>0</v>
      </c>
      <c r="H440" s="65">
        <f t="shared" si="104"/>
        <v>0</v>
      </c>
      <c r="I440" s="65">
        <f t="shared" si="104"/>
        <v>0</v>
      </c>
      <c r="J440" s="65">
        <f t="shared" si="104"/>
        <v>0</v>
      </c>
    </row>
    <row r="441" spans="2:10">
      <c r="D441" s="66">
        <f t="shared" ref="D441:J441" si="105">D311+D342-D440</f>
        <v>0</v>
      </c>
      <c r="E441" s="66">
        <f t="shared" si="105"/>
        <v>0</v>
      </c>
      <c r="F441" s="66">
        <f t="shared" si="105"/>
        <v>0</v>
      </c>
      <c r="G441" s="66">
        <f t="shared" si="105"/>
        <v>0</v>
      </c>
      <c r="H441" s="66">
        <f t="shared" si="105"/>
        <v>0</v>
      </c>
      <c r="I441" s="66">
        <f t="shared" si="105"/>
        <v>0</v>
      </c>
      <c r="J441" s="66">
        <f t="shared" si="105"/>
        <v>0</v>
      </c>
    </row>
  </sheetData>
  <printOptions horizontalCentered="1" verticalCentered="1"/>
  <pageMargins left="0.39370078740157483" right="0.39370078740157483" top="0.39370078740157483" bottom="0.39370078740157483" header="0.31496062992125984" footer="0.23622047244094491"/>
  <pageSetup scale="53" fitToHeight="0" orientation="portrait" horizontalDpi="300" r:id="rId1"/>
  <headerFooter alignWithMargins="0">
    <oddHeader>&amp;L
NOMBRE DE LA DISTRIBUIDORA: &amp;UENSA.&amp;R&amp;9&amp;A</oddHeader>
  </headerFooter>
  <rowBreaks count="1" manualBreakCount="1">
    <brk id="122" max="10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2">
    <tabColor theme="5" tint="0.59999389629810485"/>
  </sheetPr>
  <dimension ref="B1:M441"/>
  <sheetViews>
    <sheetView view="pageBreakPreview" topLeftCell="A3" zoomScale="70" zoomScaleNormal="85" zoomScaleSheetLayoutView="70" workbookViewId="0">
      <selection activeCell="E21" sqref="E21"/>
    </sheetView>
  </sheetViews>
  <sheetFormatPr baseColWidth="10" defaultColWidth="8" defaultRowHeight="15"/>
  <cols>
    <col min="1" max="1" width="2.25" style="63" customWidth="1"/>
    <col min="2" max="2" width="7" style="48" customWidth="1"/>
    <col min="3" max="3" width="30.25" style="63" customWidth="1"/>
    <col min="4" max="4" width="11.75" style="63" customWidth="1"/>
    <col min="5" max="5" width="12.625" style="63" customWidth="1"/>
    <col min="6" max="6" width="12.75" style="63" customWidth="1"/>
    <col min="7" max="7" width="13.25" style="63" customWidth="1"/>
    <col min="8" max="8" width="13.875" style="63" customWidth="1"/>
    <col min="9" max="9" width="11.5" style="63" customWidth="1"/>
    <col min="10" max="10" width="13.125" style="63" customWidth="1"/>
    <col min="11" max="11" width="2.25" style="63" customWidth="1"/>
    <col min="12" max="12" width="4.25" style="319" bestFit="1" customWidth="1"/>
    <col min="13" max="16384" width="8" style="63"/>
  </cols>
  <sheetData>
    <row r="1" spans="2:10" s="69" customFormat="1" ht="15.75">
      <c r="B1" s="48"/>
      <c r="C1" s="136" t="s">
        <v>151</v>
      </c>
      <c r="E1" s="63"/>
    </row>
    <row r="2" spans="2:10" s="69" customFormat="1" ht="15.75">
      <c r="B2" s="48"/>
      <c r="C2" s="136"/>
      <c r="E2" s="137" t="s">
        <v>138</v>
      </c>
    </row>
    <row r="3" spans="2:10" s="69" customFormat="1" ht="15.75">
      <c r="B3" s="48"/>
      <c r="C3" s="70" t="s">
        <v>864</v>
      </c>
      <c r="D3" s="137"/>
    </row>
    <row r="4" spans="2:10" s="69" customFormat="1" ht="15.75">
      <c r="B4" s="48"/>
      <c r="C4" s="219" t="s">
        <v>1530</v>
      </c>
      <c r="D4" s="338"/>
      <c r="E4" s="338"/>
      <c r="F4" s="338"/>
      <c r="G4" s="338"/>
      <c r="H4" s="338"/>
      <c r="I4" s="338"/>
      <c r="J4" s="339"/>
    </row>
    <row r="5" spans="2:10" s="74" customFormat="1" ht="18.75" customHeight="1">
      <c r="B5" s="48"/>
      <c r="C5" s="322"/>
      <c r="D5" s="322"/>
      <c r="E5" s="323"/>
      <c r="F5" s="322"/>
      <c r="G5" s="322"/>
      <c r="H5" s="322"/>
      <c r="I5" s="322"/>
    </row>
    <row r="6" spans="2:10" s="58" customFormat="1" ht="22.5">
      <c r="B6" s="48"/>
      <c r="C6" s="324" t="s">
        <v>665</v>
      </c>
      <c r="D6" s="325" t="s">
        <v>1449</v>
      </c>
      <c r="E6" s="325" t="s">
        <v>1450</v>
      </c>
      <c r="F6" s="325" t="s">
        <v>1451</v>
      </c>
      <c r="G6" s="325" t="s">
        <v>1234</v>
      </c>
      <c r="H6" s="325" t="s">
        <v>1233</v>
      </c>
      <c r="I6" s="325" t="s">
        <v>1232</v>
      </c>
      <c r="J6" s="325" t="s">
        <v>291</v>
      </c>
    </row>
    <row r="7" spans="2:10" s="143" customFormat="1" ht="13.5">
      <c r="B7" s="48"/>
      <c r="C7" s="144" t="s">
        <v>266</v>
      </c>
      <c r="D7" s="178">
        <f>RAT1000PT!$H$89</f>
        <v>7.01</v>
      </c>
      <c r="E7" s="144"/>
      <c r="F7" s="144"/>
      <c r="G7" s="146">
        <f>+RAT1000PT!$H$101</f>
        <v>1.158E-2</v>
      </c>
      <c r="H7" s="146">
        <f>+RAT1000PT!$H$101</f>
        <v>1.158E-2</v>
      </c>
      <c r="I7" s="146">
        <f>+RAT1000PT!$H$101</f>
        <v>1.158E-2</v>
      </c>
      <c r="J7" s="146"/>
    </row>
    <row r="8" spans="2:10" s="143" customFormat="1" ht="13.5">
      <c r="B8" s="48"/>
      <c r="C8" s="326" t="s">
        <v>265</v>
      </c>
      <c r="D8" s="327">
        <f>RAT1000PT!$H$88</f>
        <v>6.89</v>
      </c>
      <c r="E8" s="328"/>
      <c r="F8" s="328">
        <f>+RAT1000PT!$H$100</f>
        <v>1.142E-2</v>
      </c>
      <c r="G8" s="328"/>
      <c r="H8" s="328"/>
      <c r="I8" s="328"/>
      <c r="J8" s="328"/>
    </row>
    <row r="9" spans="2:10" s="143" customFormat="1" ht="13.5">
      <c r="B9" s="48"/>
      <c r="C9" s="144" t="s">
        <v>264</v>
      </c>
      <c r="D9" s="178">
        <f>RAT1000PT!$H$87</f>
        <v>2</v>
      </c>
      <c r="E9" s="146"/>
      <c r="F9" s="146"/>
      <c r="G9" s="146">
        <f>+RAT1000PT!$H$99</f>
        <v>2.5860000000000001E-2</v>
      </c>
      <c r="H9" s="146">
        <f>+RAT1000PT!$H$99</f>
        <v>2.5860000000000001E-2</v>
      </c>
      <c r="I9" s="146">
        <f>+RAT1000PT!$H$99</f>
        <v>2.5860000000000001E-2</v>
      </c>
      <c r="J9" s="146"/>
    </row>
    <row r="10" spans="2:10" s="143" customFormat="1" ht="13.5">
      <c r="B10" s="48"/>
      <c r="C10" s="326" t="s">
        <v>262</v>
      </c>
      <c r="D10" s="327">
        <f>RAT1000PT!$H$86</f>
        <v>1.91</v>
      </c>
      <c r="E10" s="328"/>
      <c r="F10" s="328">
        <f>+RAT1000PT!$H$98</f>
        <v>3.2649999999999998E-2</v>
      </c>
      <c r="G10" s="328"/>
      <c r="H10" s="328"/>
      <c r="I10" s="328"/>
      <c r="J10" s="328"/>
    </row>
    <row r="11" spans="2:10" s="143" customFormat="1" ht="13.5">
      <c r="B11" s="48"/>
      <c r="C11" s="144" t="s">
        <v>263</v>
      </c>
      <c r="D11" s="178">
        <f>RAT1000PT!$H$85</f>
        <v>2.2799999999999998</v>
      </c>
      <c r="E11" s="146"/>
      <c r="F11" s="146"/>
      <c r="G11" s="146">
        <f>+RAT1000PT!$H$97</f>
        <v>3.5490000000000001E-2</v>
      </c>
      <c r="H11" s="146">
        <f>+RAT1000PT!$H$97</f>
        <v>3.5490000000000001E-2</v>
      </c>
      <c r="I11" s="146">
        <f>+RAT1000PT!$H$97</f>
        <v>3.5490000000000001E-2</v>
      </c>
      <c r="J11" s="146"/>
    </row>
    <row r="12" spans="2:10" s="143" customFormat="1" ht="13.5">
      <c r="B12" s="48"/>
      <c r="C12" s="326" t="s">
        <v>648</v>
      </c>
      <c r="D12" s="327">
        <f>RAT1000PT!$H$84</f>
        <v>1.7</v>
      </c>
      <c r="E12" s="328"/>
      <c r="F12" s="328">
        <f>+RAT1000PT!$H$96</f>
        <v>4.3970000000000002E-2</v>
      </c>
      <c r="G12" s="328"/>
      <c r="H12" s="328"/>
      <c r="I12" s="328"/>
      <c r="J12" s="328"/>
    </row>
    <row r="13" spans="2:10" s="143" customFormat="1" ht="13.5">
      <c r="B13" s="48"/>
      <c r="C13" s="326" t="s">
        <v>649</v>
      </c>
      <c r="D13" s="327">
        <f>RAT1000PT!$H$84</f>
        <v>1.7</v>
      </c>
      <c r="E13" s="328"/>
      <c r="F13" s="328">
        <f>+RAT1000PT!$H$96</f>
        <v>4.3970000000000002E-2</v>
      </c>
      <c r="G13" s="328"/>
      <c r="H13" s="328"/>
      <c r="I13" s="328"/>
      <c r="J13" s="328"/>
    </row>
    <row r="14" spans="2:10" s="143" customFormat="1" ht="13.5">
      <c r="B14" s="48"/>
      <c r="C14" s="326" t="s">
        <v>650</v>
      </c>
      <c r="D14" s="327">
        <f>RAT1000PT!$H$84</f>
        <v>1.7</v>
      </c>
      <c r="E14" s="328"/>
      <c r="F14" s="328">
        <f>+RAT1000PT!$H$96</f>
        <v>4.3970000000000002E-2</v>
      </c>
      <c r="G14" s="328"/>
      <c r="H14" s="328"/>
      <c r="I14" s="328"/>
      <c r="J14" s="328"/>
    </row>
    <row r="15" spans="2:10" s="143" customFormat="1" ht="13.5">
      <c r="B15" s="48"/>
      <c r="C15" s="326" t="s">
        <v>651</v>
      </c>
      <c r="D15" s="327">
        <f>RAT1000PT!$H$84</f>
        <v>1.7</v>
      </c>
      <c r="E15" s="328"/>
      <c r="F15" s="328">
        <f>+RAT1000PT!$H$96</f>
        <v>4.3970000000000002E-2</v>
      </c>
      <c r="G15" s="328"/>
      <c r="H15" s="328"/>
      <c r="I15" s="328"/>
      <c r="J15" s="328"/>
    </row>
    <row r="16" spans="2:10" s="143" customFormat="1" ht="13.5">
      <c r="B16" s="48"/>
      <c r="C16" s="144" t="s">
        <v>1178</v>
      </c>
      <c r="D16" s="178"/>
      <c r="E16" s="146">
        <f>RAT1000PT!$H$95</f>
        <v>3.4099999999999998E-2</v>
      </c>
      <c r="F16" s="146"/>
      <c r="G16" s="146">
        <f>+RAT1000PT!$H$95</f>
        <v>3.4099999999999998E-2</v>
      </c>
      <c r="H16" s="146">
        <f>+RAT1000PT!$H$95</f>
        <v>3.4099999999999998E-2</v>
      </c>
      <c r="I16" s="146">
        <f>+RAT1000PT!$H$95</f>
        <v>3.4099999999999998E-2</v>
      </c>
      <c r="J16" s="146"/>
    </row>
    <row r="17" spans="2:13" s="143" customFormat="1" ht="13.5">
      <c r="B17" s="48"/>
      <c r="C17" s="144" t="s">
        <v>1768</v>
      </c>
      <c r="D17" s="178"/>
      <c r="E17" s="146">
        <f>RAT1000PT!$H$91</f>
        <v>3.4099999999999998E-2</v>
      </c>
      <c r="F17" s="146"/>
      <c r="G17" s="146"/>
      <c r="H17" s="146"/>
      <c r="I17" s="146"/>
      <c r="J17" s="146"/>
    </row>
    <row r="18" spans="2:13" s="143" customFormat="1" ht="13.5">
      <c r="B18" s="48"/>
      <c r="C18" s="326" t="s">
        <v>645</v>
      </c>
      <c r="D18" s="327"/>
      <c r="E18" s="328">
        <f>RAT1000PT!$H$92</f>
        <v>3.4099999999999998E-2</v>
      </c>
      <c r="F18" s="328"/>
      <c r="G18" s="328"/>
      <c r="H18" s="328"/>
      <c r="I18" s="328"/>
      <c r="J18" s="328"/>
      <c r="L18" s="319"/>
    </row>
    <row r="19" spans="2:13" s="143" customFormat="1" ht="13.5">
      <c r="B19" s="48"/>
      <c r="C19" s="326" t="s">
        <v>646</v>
      </c>
      <c r="D19" s="327"/>
      <c r="E19" s="328">
        <f>RAT1000PT!$H$93</f>
        <v>3.4099999999999998E-2</v>
      </c>
      <c r="F19" s="328"/>
      <c r="G19" s="328"/>
      <c r="H19" s="328"/>
      <c r="I19" s="328"/>
      <c r="J19" s="328"/>
      <c r="L19" s="319"/>
    </row>
    <row r="20" spans="2:13" s="143" customFormat="1" ht="13.5">
      <c r="B20" s="48"/>
      <c r="C20" s="326" t="s">
        <v>647</v>
      </c>
      <c r="D20" s="328"/>
      <c r="E20" s="328">
        <f>RAT1000PT!$H$94</f>
        <v>3.4099999999999998E-2</v>
      </c>
      <c r="F20" s="328"/>
      <c r="G20" s="328"/>
      <c r="H20" s="328"/>
      <c r="I20" s="328"/>
      <c r="J20" s="328"/>
      <c r="L20" s="319"/>
    </row>
    <row r="21" spans="2:13" s="143" customFormat="1" ht="13.5">
      <c r="B21" s="48"/>
      <c r="C21" s="144" t="s">
        <v>1164</v>
      </c>
      <c r="D21" s="178">
        <f>RAT1000PT!$H$78</f>
        <v>8.9600000000000009</v>
      </c>
      <c r="E21" s="146"/>
      <c r="F21" s="146"/>
      <c r="G21" s="146"/>
      <c r="H21" s="146"/>
      <c r="I21" s="146"/>
      <c r="J21" s="146"/>
      <c r="L21" s="319"/>
    </row>
    <row r="22" spans="2:13" s="143" customFormat="1" ht="13.5">
      <c r="B22" s="48"/>
      <c r="C22" s="144" t="s">
        <v>1167</v>
      </c>
      <c r="D22" s="178">
        <f>RAT1000PT!$H$79</f>
        <v>11.25</v>
      </c>
      <c r="E22" s="146"/>
      <c r="F22" s="146"/>
      <c r="G22" s="146"/>
      <c r="H22" s="146"/>
      <c r="I22" s="146"/>
      <c r="J22" s="146"/>
      <c r="L22" s="319"/>
    </row>
    <row r="23" spans="2:13" s="143" customFormat="1" ht="13.5">
      <c r="B23" s="48"/>
      <c r="C23" s="144" t="s">
        <v>1166</v>
      </c>
      <c r="D23" s="178">
        <f>RAT1000PT!$H$80</f>
        <v>12.5</v>
      </c>
      <c r="E23" s="146"/>
      <c r="F23" s="146"/>
      <c r="G23" s="146"/>
      <c r="H23" s="146"/>
      <c r="I23" s="146"/>
      <c r="J23" s="146"/>
      <c r="L23" s="319"/>
    </row>
    <row r="24" spans="2:13" s="143" customFormat="1" ht="13.5">
      <c r="B24" s="48"/>
      <c r="C24" s="144" t="s">
        <v>1165</v>
      </c>
      <c r="D24" s="178">
        <f>RAT1000PT!$H$81</f>
        <v>13.93</v>
      </c>
      <c r="E24" s="146"/>
      <c r="F24" s="146"/>
      <c r="G24" s="146"/>
      <c r="H24" s="146"/>
      <c r="I24" s="146"/>
      <c r="J24" s="146"/>
      <c r="L24" s="319"/>
    </row>
    <row r="25" spans="2:13" s="143" customFormat="1" ht="13.5">
      <c r="B25" s="52"/>
      <c r="C25" s="143" t="s">
        <v>933</v>
      </c>
      <c r="D25" s="957">
        <f>'Inf Ind Dem'!$C$3</f>
        <v>7.3800000000000004E-2</v>
      </c>
      <c r="E25" s="957">
        <f>'Inf Ind Dem'!$C$3</f>
        <v>7.3800000000000004E-2</v>
      </c>
      <c r="F25" s="957">
        <f>'Inf Ind Dem'!$C$3</f>
        <v>7.3800000000000004E-2</v>
      </c>
      <c r="G25" s="957">
        <f>'Inf Ind Dem'!$C$3</f>
        <v>7.3800000000000004E-2</v>
      </c>
      <c r="H25" s="957">
        <f>'Inf Ind Dem'!$C$3</f>
        <v>7.3800000000000004E-2</v>
      </c>
      <c r="I25" s="957">
        <f>'Inf Ind Dem'!$C$3</f>
        <v>7.3800000000000004E-2</v>
      </c>
      <c r="L25" s="958"/>
    </row>
    <row r="26" spans="2:13" s="143" customFormat="1" ht="13.5">
      <c r="B26" s="52"/>
      <c r="C26" s="957" t="str">
        <f>'Inf Ind Dem'!B$5</f>
        <v>Pérd. Trans. 2026</v>
      </c>
      <c r="D26" s="957">
        <f>'Inf Ind Dem'!C$5</f>
        <v>6.7900000000000002E-2</v>
      </c>
      <c r="E26" s="957">
        <f>'Inf Ind Dem'!D$5</f>
        <v>6.7900000000000002E-2</v>
      </c>
      <c r="F26" s="957">
        <f>'Inf Ind Dem'!E$5</f>
        <v>6.7900000000000002E-2</v>
      </c>
      <c r="G26" s="957">
        <f>'Inf Ind Dem'!F$5</f>
        <v>7.1199999999999999E-2</v>
      </c>
      <c r="H26" s="957">
        <f>'Inf Ind Dem'!G$5</f>
        <v>7.1199999999999999E-2</v>
      </c>
      <c r="I26" s="957">
        <f>'Inf Ind Dem'!H$5</f>
        <v>7.1199999999999999E-2</v>
      </c>
      <c r="L26" s="958"/>
    </row>
    <row r="27" spans="2:13" s="143" customFormat="1" ht="13.5">
      <c r="B27" s="48"/>
      <c r="C27" s="147"/>
      <c r="J27" s="148"/>
      <c r="L27" s="319"/>
    </row>
    <row r="28" spans="2:13" s="69" customFormat="1" ht="33" customHeight="1">
      <c r="B28" s="48"/>
      <c r="C28" s="320" t="s">
        <v>1461</v>
      </c>
      <c r="D28" s="320"/>
      <c r="E28" s="320"/>
      <c r="F28" s="320"/>
      <c r="G28" s="320"/>
      <c r="H28" s="320"/>
      <c r="I28" s="320"/>
      <c r="J28" s="321"/>
      <c r="L28" s="319" t="s">
        <v>678</v>
      </c>
    </row>
    <row r="29" spans="2:13" s="37" customFormat="1" ht="15.75">
      <c r="B29" s="48"/>
      <c r="C29" s="150" t="s">
        <v>310</v>
      </c>
      <c r="D29" s="151">
        <f>F801EVE!D4</f>
        <v>46204</v>
      </c>
      <c r="E29" s="151">
        <f>F801EVE!E4</f>
        <v>46235</v>
      </c>
      <c r="F29" s="151">
        <f>F801EVE!F4</f>
        <v>46266</v>
      </c>
      <c r="G29" s="151">
        <f>F801EVE!G4</f>
        <v>46296</v>
      </c>
      <c r="H29" s="151">
        <f>F801EVE!H4</f>
        <v>46327</v>
      </c>
      <c r="I29" s="151">
        <f>F801EVE!I4</f>
        <v>46357</v>
      </c>
      <c r="J29" s="152" t="s">
        <v>111</v>
      </c>
      <c r="K29" s="69"/>
      <c r="L29" s="319" t="s">
        <v>678</v>
      </c>
      <c r="M29" s="319"/>
    </row>
    <row r="30" spans="2:13" s="37" customFormat="1" ht="15.75" customHeight="1">
      <c r="B30" s="48"/>
      <c r="C30" s="153" t="s">
        <v>446</v>
      </c>
      <c r="D30" s="154">
        <f t="shared" ref="D30:I30" si="0">SUM(D31:D32)</f>
        <v>250709.39723264397</v>
      </c>
      <c r="E30" s="154">
        <f t="shared" si="0"/>
        <v>250814.02833073225</v>
      </c>
      <c r="F30" s="154">
        <f t="shared" si="0"/>
        <v>252588.41352880813</v>
      </c>
      <c r="G30" s="154">
        <f t="shared" si="0"/>
        <v>249954.27957014274</v>
      </c>
      <c r="H30" s="154">
        <f t="shared" si="0"/>
        <v>245451.45325375861</v>
      </c>
      <c r="I30" s="154">
        <f t="shared" si="0"/>
        <v>240244.38599778255</v>
      </c>
      <c r="J30" s="154">
        <f>SUM(D30:I30)</f>
        <v>1489761.9579138681</v>
      </c>
      <c r="K30" s="69"/>
      <c r="L30" s="319"/>
      <c r="M30" s="69"/>
    </row>
    <row r="31" spans="2:13" s="37" customFormat="1" ht="15.75" customHeight="1">
      <c r="B31" s="48" t="s">
        <v>279</v>
      </c>
      <c r="C31" s="155" t="s">
        <v>279</v>
      </c>
      <c r="D31" s="156">
        <f>$D$7*F801D!K6+$G$7*F801EVE!K6</f>
        <v>250701.17482311669</v>
      </c>
      <c r="E31" s="156">
        <f>$D$7*F801D!L6+$G$7*F801EVE!L6</f>
        <v>250805.80592120497</v>
      </c>
      <c r="F31" s="156">
        <f>$D$7*F801D!M6+$G$7*F801EVE!M6</f>
        <v>252580.19111928085</v>
      </c>
      <c r="G31" s="156">
        <f>$D$7*F801D!N6+$G$7*F801EVE!N6</f>
        <v>249946.05716061546</v>
      </c>
      <c r="H31" s="156">
        <f>$D$7*F801D!O6+$G$7*F801EVE!O6</f>
        <v>245443.23084423132</v>
      </c>
      <c r="I31" s="156">
        <f>$D$7*F801D!P6+$G$7*F801EVE!P6</f>
        <v>240236.16358825527</v>
      </c>
      <c r="J31" s="156">
        <f>SUM(D31:I31)</f>
        <v>1489712.6234567044</v>
      </c>
      <c r="K31" s="69"/>
      <c r="L31" s="319"/>
      <c r="M31" s="69"/>
    </row>
    <row r="32" spans="2:13" s="37" customFormat="1" ht="15.75" customHeight="1">
      <c r="B32" s="48" t="s">
        <v>278</v>
      </c>
      <c r="C32" s="155" t="s">
        <v>278</v>
      </c>
      <c r="D32" s="156">
        <f>$D$8*F801D!K7+$F$8*F801EVE!K7</f>
        <v>8.2224095272756976</v>
      </c>
      <c r="E32" s="156">
        <f>$D$8*F801D!L7+$F$8*F801EVE!L7</f>
        <v>8.2224095272756976</v>
      </c>
      <c r="F32" s="156">
        <f>$D$8*F801D!M7+$F$8*F801EVE!M7</f>
        <v>8.2224095272756976</v>
      </c>
      <c r="G32" s="156">
        <f>$D$8*F801D!N7+$F$8*F801EVE!N7</f>
        <v>8.2224095272756976</v>
      </c>
      <c r="H32" s="156">
        <f>$D$8*F801D!O7+$F$8*F801EVE!O7</f>
        <v>8.2224095272756976</v>
      </c>
      <c r="I32" s="156">
        <f>$D$8*F801D!P7+$F$8*F801EVE!P7</f>
        <v>8.2224095272756976</v>
      </c>
      <c r="J32" s="156">
        <f>SUM(D32:I32)</f>
        <v>49.334457163654193</v>
      </c>
      <c r="K32" s="69"/>
      <c r="L32" s="319"/>
      <c r="M32" s="69"/>
    </row>
    <row r="33" spans="2:13" s="37" customFormat="1" ht="15.75" customHeight="1">
      <c r="B33" s="48"/>
      <c r="C33" s="157"/>
      <c r="D33" s="156"/>
      <c r="E33" s="156"/>
      <c r="F33" s="156"/>
      <c r="G33" s="156"/>
      <c r="H33" s="156"/>
      <c r="I33" s="156"/>
      <c r="J33" s="156"/>
      <c r="K33" s="69"/>
      <c r="L33" s="319"/>
      <c r="M33" s="69"/>
    </row>
    <row r="34" spans="2:13" s="37" customFormat="1" ht="15.75" customHeight="1">
      <c r="B34" s="48"/>
      <c r="C34" s="153" t="s">
        <v>630</v>
      </c>
      <c r="D34" s="154">
        <f>D35+D38</f>
        <v>484271.42680274043</v>
      </c>
      <c r="E34" s="154">
        <f t="shared" ref="E34:I34" si="1">E35+E38</f>
        <v>484473.53405844484</v>
      </c>
      <c r="F34" s="154">
        <f t="shared" si="1"/>
        <v>481244.87377832091</v>
      </c>
      <c r="G34" s="154">
        <f t="shared" si="1"/>
        <v>482812.82834309968</v>
      </c>
      <c r="H34" s="154">
        <f t="shared" si="1"/>
        <v>467647.07718895073</v>
      </c>
      <c r="I34" s="154">
        <f t="shared" si="1"/>
        <v>464057.02840457432</v>
      </c>
      <c r="J34" s="154">
        <f t="shared" ref="J34:J42" si="2">SUM(D34:I34)</f>
        <v>2864506.7685761307</v>
      </c>
      <c r="K34" s="69"/>
      <c r="L34" s="319"/>
      <c r="M34" s="69"/>
    </row>
    <row r="35" spans="2:13" s="37" customFormat="1" ht="15.75" customHeight="1">
      <c r="B35" s="48" t="s">
        <v>277</v>
      </c>
      <c r="C35" s="155" t="s">
        <v>277</v>
      </c>
      <c r="D35" s="154">
        <f>SUM(D36:D37)</f>
        <v>60925.420100000716</v>
      </c>
      <c r="E35" s="154">
        <f t="shared" ref="E35:I35" si="3">SUM(E36:E37)</f>
        <v>60950.846893277252</v>
      </c>
      <c r="F35" s="154">
        <f t="shared" si="3"/>
        <v>60634.240847364359</v>
      </c>
      <c r="G35" s="154">
        <f t="shared" si="3"/>
        <v>60741.916141285794</v>
      </c>
      <c r="H35" s="154">
        <f t="shared" si="3"/>
        <v>58920.992315655029</v>
      </c>
      <c r="I35" s="154">
        <f t="shared" si="3"/>
        <v>58382.278699715898</v>
      </c>
      <c r="J35" s="154">
        <f t="shared" si="2"/>
        <v>360555.69499729906</v>
      </c>
      <c r="K35" s="69"/>
      <c r="L35" s="319"/>
      <c r="M35" s="69"/>
    </row>
    <row r="36" spans="2:13" s="37" customFormat="1" ht="15.75" customHeight="1">
      <c r="B36" s="48"/>
      <c r="C36" s="160" t="s">
        <v>304</v>
      </c>
      <c r="D36" s="156">
        <f>$D$9*F801D!K11+$G$9*F801EVE!K11</f>
        <v>53870.536055138946</v>
      </c>
      <c r="E36" s="156">
        <f>$D$9*F801D!L11+$G$9*F801EVE!L11</f>
        <v>53893.018542444275</v>
      </c>
      <c r="F36" s="156">
        <f>$D$9*F801D!M11+$G$9*F801EVE!M11</f>
        <v>53627.356979041622</v>
      </c>
      <c r="G36" s="156">
        <f>$D$9*F801D!N11+$G$9*F801EVE!N11</f>
        <v>53708.281012695457</v>
      </c>
      <c r="H36" s="156">
        <f>$D$9*F801D!O11+$G$9*F801EVE!O11</f>
        <v>52112.091193244472</v>
      </c>
      <c r="I36" s="156">
        <f>$D$9*F801D!P11+$G$9*F801EVE!P11</f>
        <v>51621.87875786479</v>
      </c>
      <c r="J36" s="156">
        <f t="shared" si="2"/>
        <v>318833.16254042962</v>
      </c>
      <c r="K36" s="69"/>
      <c r="L36" s="319"/>
      <c r="M36" s="69"/>
    </row>
    <row r="37" spans="2:13" s="37" customFormat="1" ht="15.75" customHeight="1">
      <c r="B37" s="48"/>
      <c r="C37" s="160" t="s">
        <v>305</v>
      </c>
      <c r="D37" s="156">
        <f>($D$9*F801D!K12+$G$9*F801EVE!K12)*$L37</f>
        <v>7054.8840448617721</v>
      </c>
      <c r="E37" s="156">
        <f>($D$9*F801D!L12+$G$9*F801EVE!L12)*$L37</f>
        <v>7057.8283508329787</v>
      </c>
      <c r="F37" s="156">
        <f>($D$9*F801D!M12+$G$9*F801EVE!M12)*$L37</f>
        <v>7006.8838683227377</v>
      </c>
      <c r="G37" s="156">
        <f>($D$9*F801D!N12+$G$9*F801EVE!N12)*$L37</f>
        <v>7033.6351285903384</v>
      </c>
      <c r="H37" s="156">
        <f>($D$9*F801D!O12+$G$9*F801EVE!O12)*$L37</f>
        <v>6808.9011224105579</v>
      </c>
      <c r="I37" s="156">
        <f>($D$9*F801D!P12+$G$9*F801EVE!P12)*$L37</f>
        <v>6760.3999418511057</v>
      </c>
      <c r="J37" s="156">
        <f t="shared" si="2"/>
        <v>41722.532456869492</v>
      </c>
      <c r="K37" s="69"/>
      <c r="L37" s="319">
        <v>0.95</v>
      </c>
      <c r="M37" s="69"/>
    </row>
    <row r="38" spans="2:13" s="37" customFormat="1" ht="15.75" customHeight="1">
      <c r="B38" s="48" t="s">
        <v>276</v>
      </c>
      <c r="C38" s="158" t="s">
        <v>276</v>
      </c>
      <c r="D38" s="159">
        <f t="shared" ref="D38:I38" si="4">SUM(D39:D42)</f>
        <v>423346.00670273969</v>
      </c>
      <c r="E38" s="159">
        <f t="shared" si="4"/>
        <v>423522.68716516759</v>
      </c>
      <c r="F38" s="159">
        <f t="shared" si="4"/>
        <v>420610.63293095655</v>
      </c>
      <c r="G38" s="159">
        <f t="shared" si="4"/>
        <v>422070.91220181389</v>
      </c>
      <c r="H38" s="159">
        <f t="shared" si="4"/>
        <v>408726.08487329568</v>
      </c>
      <c r="I38" s="159">
        <f t="shared" si="4"/>
        <v>405674.7497048584</v>
      </c>
      <c r="J38" s="159">
        <f t="shared" si="2"/>
        <v>2503951.0735788317</v>
      </c>
      <c r="K38" s="69"/>
      <c r="L38" s="319"/>
    </row>
    <row r="39" spans="2:13" s="37" customFormat="1" ht="15.75" customHeight="1">
      <c r="B39" s="48"/>
      <c r="C39" s="160" t="s">
        <v>304</v>
      </c>
      <c r="D39" s="156">
        <f>($D$10*F801D!K15+$F$10*F801EVE!K15)*$L39</f>
        <v>421303.57177458866</v>
      </c>
      <c r="E39" s="156">
        <f>($D$10*F801D!L15+$F$10*F801EVE!L15)*$L39</f>
        <v>421479.39984124131</v>
      </c>
      <c r="F39" s="156">
        <f>($D$10*F801D!M15+$F$10*F801EVE!M15)*$L39</f>
        <v>418573.27921619924</v>
      </c>
      <c r="G39" s="156">
        <f>($D$10*F801D!N15+$F$10*F801EVE!N15)*$L39</f>
        <v>420034.62897346437</v>
      </c>
      <c r="H39" s="156">
        <f>($D$10*F801D!O15+$F$10*F801EVE!O15)*$L39</f>
        <v>406746.29753046948</v>
      </c>
      <c r="I39" s="156">
        <f>($D$10*F801D!P15+$F$10*F801EVE!P15)*$L39</f>
        <v>403717.56984453695</v>
      </c>
      <c r="J39" s="156">
        <f t="shared" si="2"/>
        <v>2491854.7471805001</v>
      </c>
      <c r="K39" s="69"/>
      <c r="L39" s="319">
        <v>1</v>
      </c>
    </row>
    <row r="40" spans="2:13" s="37" customFormat="1" ht="15.75" customHeight="1">
      <c r="B40" s="48"/>
      <c r="C40" s="161" t="s">
        <v>306</v>
      </c>
      <c r="D40" s="156">
        <f>($D$10*F801D!K16+$F$10*F801EVE!K16)*$L40</f>
        <v>0</v>
      </c>
      <c r="E40" s="156">
        <f>($D$10*F801D!L16+$F$10*F801EVE!L16)*$L40</f>
        <v>0</v>
      </c>
      <c r="F40" s="156">
        <f>($D$10*F801D!M16+$F$10*F801EVE!M16)*$L40</f>
        <v>0</v>
      </c>
      <c r="G40" s="156">
        <f>($D$10*F801D!N16+$F$10*F801EVE!N16)*$L40</f>
        <v>0</v>
      </c>
      <c r="H40" s="156">
        <f>($D$10*F801D!O16+$F$10*F801EVE!O16)*$L40</f>
        <v>0</v>
      </c>
      <c r="I40" s="156">
        <f>($D$10*F801D!P16+$F$10*F801EVE!P16)*$L40</f>
        <v>0</v>
      </c>
      <c r="J40" s="156">
        <f t="shared" si="2"/>
        <v>0</v>
      </c>
      <c r="K40" s="69"/>
      <c r="L40" s="319">
        <v>1</v>
      </c>
    </row>
    <row r="41" spans="2:13" s="37" customFormat="1" ht="15.75" customHeight="1">
      <c r="B41" s="48"/>
      <c r="C41" s="160" t="s">
        <v>305</v>
      </c>
      <c r="D41" s="156">
        <f>($D$10*F801D!K17+$F$10*F801EVE!K17)*$L41</f>
        <v>2042.4349281510083</v>
      </c>
      <c r="E41" s="156">
        <f>($D$10*F801D!L17+$F$10*F801EVE!L17)*$L41</f>
        <v>2043.287323926264</v>
      </c>
      <c r="F41" s="156">
        <f>($D$10*F801D!M17+$F$10*F801EVE!M17)*$L41</f>
        <v>2037.3537147573211</v>
      </c>
      <c r="G41" s="156">
        <f>($D$10*F801D!N17+$F$10*F801EVE!N17)*$L41</f>
        <v>2036.2832283495441</v>
      </c>
      <c r="H41" s="156">
        <f>($D$10*F801D!O17+$F$10*F801EVE!O17)*$L41</f>
        <v>1979.787342826201</v>
      </c>
      <c r="I41" s="156">
        <f>($D$10*F801D!P17+$F$10*F801EVE!P17)*$L41</f>
        <v>1957.179860321472</v>
      </c>
      <c r="J41" s="156">
        <f t="shared" si="2"/>
        <v>12096.32639833181</v>
      </c>
      <c r="K41" s="69"/>
      <c r="L41" s="319">
        <v>0.95</v>
      </c>
    </row>
    <row r="42" spans="2:13" s="37" customFormat="1" ht="15.75" customHeight="1">
      <c r="B42" s="48"/>
      <c r="C42" s="160" t="s">
        <v>307</v>
      </c>
      <c r="D42" s="156">
        <f>($D$10*F801D!K18+$F$10*F801EVE!K18)*$L42</f>
        <v>0</v>
      </c>
      <c r="E42" s="156">
        <f>($D$10*F801D!L18+$F$10*F801EVE!L18)*$L42</f>
        <v>0</v>
      </c>
      <c r="F42" s="156">
        <f>($D$10*F801D!M18+$F$10*F801EVE!M18)*$L42</f>
        <v>0</v>
      </c>
      <c r="G42" s="156">
        <f>($D$10*F801D!N18+$F$10*F801EVE!N18)*$L42</f>
        <v>0</v>
      </c>
      <c r="H42" s="156">
        <f>($D$10*F801D!O18+$F$10*F801EVE!O18)*$L42</f>
        <v>0</v>
      </c>
      <c r="I42" s="156">
        <f>($D$10*F801D!P18+$F$10*F801EVE!P18)*$L42</f>
        <v>0</v>
      </c>
      <c r="J42" s="156">
        <f t="shared" si="2"/>
        <v>0</v>
      </c>
      <c r="K42" s="69"/>
      <c r="L42" s="319">
        <v>0.5</v>
      </c>
    </row>
    <row r="43" spans="2:13" s="37" customFormat="1" ht="15.75" customHeight="1">
      <c r="B43" s="48"/>
      <c r="C43" s="157"/>
      <c r="D43" s="157"/>
      <c r="E43" s="157"/>
      <c r="F43" s="157"/>
      <c r="G43" s="157"/>
      <c r="H43" s="157"/>
      <c r="I43" s="157"/>
      <c r="J43" s="157"/>
      <c r="K43" s="69"/>
      <c r="L43" s="319"/>
    </row>
    <row r="44" spans="2:13" s="37" customFormat="1" ht="15.75" customHeight="1">
      <c r="B44" s="48"/>
      <c r="C44" s="153" t="s">
        <v>443</v>
      </c>
      <c r="D44" s="154">
        <f t="shared" ref="D44:I44" si="5">D45+D49+D56+D61+D66+D79+D85+D92+D100+D106+D113+D72</f>
        <v>2744047.1155207427</v>
      </c>
      <c r="E44" s="154">
        <f t="shared" si="5"/>
        <v>2745192.3241813146</v>
      </c>
      <c r="F44" s="154">
        <f t="shared" si="5"/>
        <v>2706728.1839974634</v>
      </c>
      <c r="G44" s="154">
        <f t="shared" si="5"/>
        <v>2735782.1990413526</v>
      </c>
      <c r="H44" s="154">
        <f t="shared" si="5"/>
        <v>2630248.3267062106</v>
      </c>
      <c r="I44" s="154">
        <f t="shared" si="5"/>
        <v>2629505.4379687677</v>
      </c>
      <c r="J44" s="154">
        <f t="shared" ref="J44:J70" si="6">SUM(D44:I44)</f>
        <v>16191503.587415852</v>
      </c>
      <c r="K44" s="69"/>
      <c r="L44" s="319"/>
    </row>
    <row r="45" spans="2:13" s="37" customFormat="1" ht="15.75" customHeight="1">
      <c r="B45" s="48" t="s">
        <v>275</v>
      </c>
      <c r="C45" s="155" t="s">
        <v>275</v>
      </c>
      <c r="D45" s="154">
        <f>SUM(D46:D48)</f>
        <v>63291.613789024494</v>
      </c>
      <c r="E45" s="154">
        <f t="shared" ref="E45:I45" si="7">SUM(E46:E48)</f>
        <v>63318.02809650587</v>
      </c>
      <c r="F45" s="154">
        <f t="shared" si="7"/>
        <v>62830.903721588016</v>
      </c>
      <c r="G45" s="154">
        <f t="shared" si="7"/>
        <v>63100.982987223229</v>
      </c>
      <c r="H45" s="154">
        <f t="shared" si="7"/>
        <v>61055.587463931603</v>
      </c>
      <c r="I45" s="154">
        <f t="shared" si="7"/>
        <v>60649.703022492016</v>
      </c>
      <c r="J45" s="154">
        <f t="shared" si="6"/>
        <v>374246.81908076518</v>
      </c>
      <c r="K45" s="69"/>
      <c r="L45" s="319"/>
    </row>
    <row r="46" spans="2:13" s="37" customFormat="1" ht="15.75" customHeight="1">
      <c r="B46" s="48"/>
      <c r="C46" s="160" t="s">
        <v>304</v>
      </c>
      <c r="D46" s="156">
        <f>$D$11*F801D!K22+$G$11*F801EVE!K22</f>
        <v>62189.657751643623</v>
      </c>
      <c r="E46" s="156">
        <f>$D$11*F801D!L22+$G$11*F801EVE!L22</f>
        <v>62215.6121655647</v>
      </c>
      <c r="F46" s="156">
        <f>$D$11*F801D!M22+$G$11*F801EVE!M22</f>
        <v>61724.6829852546</v>
      </c>
      <c r="G46" s="156">
        <f>$D$11*F801D!N22+$G$11*F801EVE!N22</f>
        <v>62002.345979811413</v>
      </c>
      <c r="H46" s="156">
        <f>$D$11*F801D!O22+$G$11*F801EVE!O22</f>
        <v>59980.623506371761</v>
      </c>
      <c r="I46" s="156">
        <f>$D$11*F801D!P22+$G$11*F801EVE!P22</f>
        <v>59593.744698632974</v>
      </c>
      <c r="J46" s="156">
        <f t="shared" si="6"/>
        <v>367706.66708727909</v>
      </c>
      <c r="K46" s="69"/>
      <c r="L46" s="319"/>
    </row>
    <row r="47" spans="2:13" s="37" customFormat="1" ht="15.75" customHeight="1">
      <c r="B47" s="48"/>
      <c r="C47" s="161" t="s">
        <v>306</v>
      </c>
      <c r="D47" s="156">
        <f>($D$11*F801D!K23+$G$11*F801EVE!K23)*$L47</f>
        <v>819.21229968774014</v>
      </c>
      <c r="E47" s="156">
        <f>($D$11*F801D!L23+$G$11*F801EVE!L23)*$L47</f>
        <v>819.55419214838423</v>
      </c>
      <c r="F47" s="156">
        <f>($D$11*F801D!M23+$G$11*F801EVE!M23)*$L47</f>
        <v>823.66529425448039</v>
      </c>
      <c r="G47" s="156">
        <f>($D$11*F801D!N23+$G$11*F801EVE!N23)*$L47</f>
        <v>816.74487804708667</v>
      </c>
      <c r="H47" s="156">
        <f>($D$11*F801D!O23+$G$11*F801EVE!O23)*$L47</f>
        <v>800.39225024039411</v>
      </c>
      <c r="I47" s="156">
        <f>($D$11*F801D!P23+$G$11*F801EVE!P23)*$L47</f>
        <v>785.01684052572114</v>
      </c>
      <c r="J47" s="156">
        <f t="shared" si="6"/>
        <v>4864.5857549038064</v>
      </c>
      <c r="K47" s="69"/>
      <c r="L47" s="319">
        <v>1</v>
      </c>
    </row>
    <row r="48" spans="2:13" s="37" customFormat="1" ht="15.75" customHeight="1">
      <c r="B48" s="48"/>
      <c r="C48" s="160" t="s">
        <v>305</v>
      </c>
      <c r="D48" s="156">
        <f>($D$11*F801D!K24+$G$11*F801EVE!K24)*$L48</f>
        <v>282.74373769313308</v>
      </c>
      <c r="E48" s="156">
        <f>($D$11*F801D!L24+$G$11*F801EVE!L24)*$L48</f>
        <v>282.8617387927851</v>
      </c>
      <c r="F48" s="156">
        <f>($D$11*F801D!M24+$G$11*F801EVE!M24)*$L48</f>
        <v>282.55544207893143</v>
      </c>
      <c r="G48" s="156">
        <f>($D$11*F801D!N24+$G$11*F801EVE!N24)*$L48</f>
        <v>281.8921293647312</v>
      </c>
      <c r="H48" s="156">
        <f>($D$11*F801D!O24+$G$11*F801EVE!O24)*$L48</f>
        <v>274.5717073194445</v>
      </c>
      <c r="I48" s="156">
        <f>($D$11*F801D!P24+$G$11*F801EVE!P24)*$L48</f>
        <v>270.94148333331992</v>
      </c>
      <c r="J48" s="156">
        <f t="shared" si="6"/>
        <v>1675.5662385823452</v>
      </c>
      <c r="K48" s="69"/>
      <c r="L48" s="319">
        <v>0.95</v>
      </c>
    </row>
    <row r="49" spans="2:12" s="37" customFormat="1" ht="15.75" customHeight="1">
      <c r="B49" s="48" t="s">
        <v>274</v>
      </c>
      <c r="C49" s="158" t="s">
        <v>627</v>
      </c>
      <c r="D49" s="159">
        <f t="shared" ref="D49:I49" si="8">SUM(D50:D55)</f>
        <v>784827.14638125408</v>
      </c>
      <c r="E49" s="159">
        <f t="shared" si="8"/>
        <v>785154.68844130193</v>
      </c>
      <c r="F49" s="159">
        <f t="shared" si="8"/>
        <v>775653.82906501787</v>
      </c>
      <c r="G49" s="159">
        <f t="shared" si="8"/>
        <v>782463.29089972412</v>
      </c>
      <c r="H49" s="159">
        <f t="shared" si="8"/>
        <v>753737.37121563917</v>
      </c>
      <c r="I49" s="159">
        <f t="shared" si="8"/>
        <v>752066.98806386301</v>
      </c>
      <c r="J49" s="159">
        <f t="shared" si="6"/>
        <v>4633903.3140668003</v>
      </c>
      <c r="K49" s="69"/>
      <c r="L49" s="319"/>
    </row>
    <row r="50" spans="2:12" s="37" customFormat="1" ht="15.75" customHeight="1">
      <c r="B50" s="48"/>
      <c r="C50" s="160" t="s">
        <v>304</v>
      </c>
      <c r="D50" s="156">
        <f>($D$12*F801D!K28+$F$12*F801EVE!K28)*$L50</f>
        <v>783373.40624658891</v>
      </c>
      <c r="E50" s="156">
        <f>($D$12*F801D!L28+$F$12*F801EVE!L28)*$L50</f>
        <v>783700.34159847116</v>
      </c>
      <c r="F50" s="156">
        <f>($D$12*F801D!M28+$F$12*F801EVE!M28)*$L50</f>
        <v>774215.99789201957</v>
      </c>
      <c r="G50" s="156">
        <f>($D$12*F801D!N28+$F$12*F801EVE!N28)*$L50</f>
        <v>781013.92934905924</v>
      </c>
      <c r="H50" s="156">
        <f>($D$12*F801D!O28+$F$12*F801EVE!O28)*$L50</f>
        <v>752340.16662774456</v>
      </c>
      <c r="I50" s="156">
        <f>($D$12*F801D!P28+$F$12*F801EVE!P28)*$L50</f>
        <v>750673.92977128713</v>
      </c>
      <c r="J50" s="156">
        <f t="shared" si="6"/>
        <v>4625317.7714851703</v>
      </c>
      <c r="K50" s="69"/>
      <c r="L50" s="319">
        <v>1</v>
      </c>
    </row>
    <row r="51" spans="2:12" s="37" customFormat="1" ht="15.75" customHeight="1">
      <c r="B51" s="48"/>
      <c r="C51" s="162" t="s">
        <v>628</v>
      </c>
      <c r="D51" s="156">
        <f>($D$12*F801D!K29+$F$12*F801EVE!K29)*$L51</f>
        <v>53.721870150727554</v>
      </c>
      <c r="E51" s="156">
        <f>($D$12*F801D!L29+$F$12*F801EVE!L29)*$L51</f>
        <v>53.744290593368902</v>
      </c>
      <c r="F51" s="156">
        <f>($D$12*F801D!M29+$F$12*F801EVE!M29)*$L51</f>
        <v>52.729205772708283</v>
      </c>
      <c r="G51" s="156">
        <f>($D$12*F801D!N29+$F$12*F801EVE!N29)*$L51</f>
        <v>53.560062881675563</v>
      </c>
      <c r="H51" s="156">
        <f>($D$12*F801D!O29+$F$12*F801EVE!O29)*$L51</f>
        <v>51.239317664837003</v>
      </c>
      <c r="I51" s="156">
        <f>($D$12*F801D!P29+$F$12*F801EVE!P29)*$L51</f>
        <v>51.479418447369696</v>
      </c>
      <c r="J51" s="156">
        <f t="shared" si="6"/>
        <v>316.47416551068704</v>
      </c>
      <c r="K51" s="69"/>
      <c r="L51" s="319">
        <v>0.75</v>
      </c>
    </row>
    <row r="52" spans="2:12" s="37" customFormat="1" ht="15.75" customHeight="1">
      <c r="B52" s="48"/>
      <c r="C52" s="161" t="s">
        <v>629</v>
      </c>
      <c r="D52" s="156">
        <f>($D$12*F801D!K30+$F$12*F801EVE!K30)*$L52</f>
        <v>470.39567007552625</v>
      </c>
      <c r="E52" s="156">
        <f>($D$12*F801D!L30+$F$12*F801EVE!L30)*$L52</f>
        <v>470.59198638227565</v>
      </c>
      <c r="F52" s="156">
        <f>($D$12*F801D!M30+$F$12*F801EVE!M30)*$L52</f>
        <v>467.75587075942735</v>
      </c>
      <c r="G52" s="156">
        <f>($D$12*F801D!N30+$F$12*F801EVE!N30)*$L52</f>
        <v>468.97886461928908</v>
      </c>
      <c r="H52" s="156">
        <f>($D$12*F801D!O30+$F$12*F801EVE!O30)*$L52</f>
        <v>454.53921219196332</v>
      </c>
      <c r="I52" s="156">
        <f>($D$12*F801D!P30+$F$12*F801EVE!P30)*$L52</f>
        <v>450.76047180983915</v>
      </c>
      <c r="J52" s="156">
        <f t="shared" si="6"/>
        <v>2783.0220758383211</v>
      </c>
      <c r="K52" s="69"/>
      <c r="L52" s="319">
        <v>1</v>
      </c>
    </row>
    <row r="53" spans="2:12" s="37" customFormat="1" ht="15.75" customHeight="1">
      <c r="B53" s="48"/>
      <c r="C53" s="160" t="s">
        <v>305</v>
      </c>
      <c r="D53" s="156">
        <f>($D$12*F801D!K31+$F$12*F801EVE!K31)*$L53</f>
        <v>864.36047070014718</v>
      </c>
      <c r="E53" s="156">
        <f>($D$12*F801D!L31+$F$12*F801EVE!L31)*$L53</f>
        <v>864.72120543072162</v>
      </c>
      <c r="F53" s="156">
        <f>($D$12*F801D!M31+$F$12*F801EVE!M31)*$L53</f>
        <v>853.28987612009655</v>
      </c>
      <c r="G53" s="156">
        <f>($D$12*F801D!N31+$F$12*F801EVE!N31)*$L53</f>
        <v>861.75706529285048</v>
      </c>
      <c r="H53" s="156">
        <f>($D$12*F801D!O31+$F$12*F801EVE!O31)*$L53</f>
        <v>829.17977583756385</v>
      </c>
      <c r="I53" s="156">
        <f>($D$12*F801D!P31+$F$12*F801EVE!P31)*$L53</f>
        <v>828.28044213080454</v>
      </c>
      <c r="J53" s="156">
        <f t="shared" si="6"/>
        <v>5101.5888355121851</v>
      </c>
      <c r="K53" s="69"/>
      <c r="L53" s="319">
        <v>0.95</v>
      </c>
    </row>
    <row r="54" spans="2:12" s="37" customFormat="1" ht="15.75" customHeight="1">
      <c r="B54" s="48"/>
      <c r="C54" s="160" t="s">
        <v>307</v>
      </c>
      <c r="D54" s="156">
        <f>($D$12*F801D!K32+$F$12*F801EVE!K32)*$L54</f>
        <v>65.262123738661629</v>
      </c>
      <c r="E54" s="156">
        <f>($D$12*F801D!L32+$F$12*F801EVE!L32)*$L54</f>
        <v>65.289360424537037</v>
      </c>
      <c r="F54" s="156">
        <f>($D$12*F801D!M32+$F$12*F801EVE!M32)*$L54</f>
        <v>64.05622034610488</v>
      </c>
      <c r="G54" s="156">
        <f>($D$12*F801D!N32+$F$12*F801EVE!N32)*$L54</f>
        <v>65.065557871072528</v>
      </c>
      <c r="H54" s="156">
        <f>($D$12*F801D!O32+$F$12*F801EVE!O32)*$L54</f>
        <v>62.246282200246434</v>
      </c>
      <c r="I54" s="156">
        <f>($D$12*F801D!P32+$F$12*F801EVE!P32)*$L54</f>
        <v>62.537960187915765</v>
      </c>
      <c r="J54" s="156">
        <f t="shared" si="6"/>
        <v>384.45750476853823</v>
      </c>
      <c r="K54" s="69"/>
      <c r="L54" s="319">
        <v>0.5</v>
      </c>
    </row>
    <row r="55" spans="2:12" s="37" customFormat="1" ht="15.75" customHeight="1">
      <c r="B55" s="48"/>
      <c r="C55" s="160" t="s">
        <v>624</v>
      </c>
      <c r="D55" s="156">
        <f>($D$12*F801D!K33+$F$12*F801EVE!K33)*$L55</f>
        <v>0</v>
      </c>
      <c r="E55" s="156">
        <f>($D$12*F801D!L33+$F$12*F801EVE!L33)*$L55</f>
        <v>0</v>
      </c>
      <c r="F55" s="156">
        <f>($D$12*F801D!M33+$F$12*F801EVE!M33)*$L55</f>
        <v>0</v>
      </c>
      <c r="G55" s="156">
        <f>($D$12*F801D!N33+$F$12*F801EVE!N33)*$L55</f>
        <v>0</v>
      </c>
      <c r="H55" s="156">
        <f>($D$12*F801D!O33+$F$12*F801EVE!O33)*$L55</f>
        <v>0</v>
      </c>
      <c r="I55" s="156">
        <f>($D$12*F801D!P33+$F$12*F801EVE!P33)*$L55</f>
        <v>0</v>
      </c>
      <c r="J55" s="156">
        <f t="shared" si="6"/>
        <v>0</v>
      </c>
      <c r="K55" s="69"/>
      <c r="L55" s="319">
        <v>0</v>
      </c>
    </row>
    <row r="56" spans="2:12" s="37" customFormat="1" ht="15.75" customHeight="1">
      <c r="B56" s="48" t="s">
        <v>274</v>
      </c>
      <c r="C56" s="158" t="s">
        <v>631</v>
      </c>
      <c r="D56" s="159">
        <f t="shared" ref="D56:I56" si="9">SUM(D57:D60)</f>
        <v>412024.78229020798</v>
      </c>
      <c r="E56" s="159">
        <f t="shared" si="9"/>
        <v>412196.73791967938</v>
      </c>
      <c r="F56" s="159">
        <f t="shared" si="9"/>
        <v>408602.75682071294</v>
      </c>
      <c r="G56" s="159">
        <f t="shared" si="9"/>
        <v>410783.78668418992</v>
      </c>
      <c r="H56" s="159">
        <f t="shared" si="9"/>
        <v>397057.49685880984</v>
      </c>
      <c r="I56" s="159">
        <f t="shared" si="9"/>
        <v>394826.09445078589</v>
      </c>
      <c r="J56" s="159">
        <f t="shared" si="6"/>
        <v>2435491.655024386</v>
      </c>
      <c r="K56" s="69"/>
      <c r="L56" s="319"/>
    </row>
    <row r="57" spans="2:12" s="37" customFormat="1" ht="15.75" customHeight="1">
      <c r="B57" s="48"/>
      <c r="C57" s="160" t="s">
        <v>304</v>
      </c>
      <c r="D57" s="156">
        <f>($D$13*F801D!K35+$F$13*F801EVE!K35)*$L57</f>
        <v>411628.27120561257</v>
      </c>
      <c r="E57" s="156">
        <f>($D$13*F801D!L35+$F$13*F801EVE!L35)*$L57</f>
        <v>411800.06135398656</v>
      </c>
      <c r="F57" s="156">
        <f>($D$13*F801D!M35+$F$13*F801EVE!M35)*$L57</f>
        <v>408207.13020236383</v>
      </c>
      <c r="G57" s="156">
        <f>($D$13*F801D!N35+$F$13*F801EVE!N35)*$L57</f>
        <v>410388.4698688105</v>
      </c>
      <c r="H57" s="156">
        <f>($D$13*F801D!O35+$F$13*F801EVE!O35)*$L57</f>
        <v>396673.04885362578</v>
      </c>
      <c r="I57" s="156">
        <f>($D$13*F801D!P35+$F$13*F801EVE!P35)*$L57</f>
        <v>394446.1344831668</v>
      </c>
      <c r="J57" s="156">
        <f t="shared" si="6"/>
        <v>2433143.1159675657</v>
      </c>
      <c r="K57" s="69"/>
      <c r="L57" s="319">
        <v>1</v>
      </c>
    </row>
    <row r="58" spans="2:12" s="37" customFormat="1" ht="15.75" customHeight="1">
      <c r="B58" s="48"/>
      <c r="C58" s="161" t="s">
        <v>306</v>
      </c>
      <c r="D58" s="156">
        <f>($D$13*F801D!K36+$F$13*F801EVE!K36)*$L58</f>
        <v>0</v>
      </c>
      <c r="E58" s="156">
        <f>($D$13*F801D!L36+$F$13*F801EVE!L36)*$L58</f>
        <v>0</v>
      </c>
      <c r="F58" s="156">
        <f>($D$13*F801D!M36+$F$13*F801EVE!M36)*$L58</f>
        <v>0</v>
      </c>
      <c r="G58" s="156">
        <f>($D$13*F801D!N36+$F$13*F801EVE!N36)*$L58</f>
        <v>0</v>
      </c>
      <c r="H58" s="156">
        <f>($D$13*F801D!O36+$F$13*F801EVE!O36)*$L58</f>
        <v>0</v>
      </c>
      <c r="I58" s="156">
        <f>($D$13*F801D!P36+$F$13*F801EVE!P36)*$L58</f>
        <v>0</v>
      </c>
      <c r="J58" s="156">
        <f t="shared" si="6"/>
        <v>0</v>
      </c>
      <c r="K58" s="69"/>
      <c r="L58" s="319">
        <v>1</v>
      </c>
    </row>
    <row r="59" spans="2:12" s="37" customFormat="1" ht="15.75" customHeight="1">
      <c r="B59" s="48"/>
      <c r="C59" s="160" t="s">
        <v>305</v>
      </c>
      <c r="D59" s="156">
        <f>($D$13*F801D!K37+$F$13*F801EVE!K37)*$L59</f>
        <v>396.51108459540876</v>
      </c>
      <c r="E59" s="156">
        <f>($D$13*F801D!L37+$F$13*F801EVE!L37)*$L59</f>
        <v>396.67656569284429</v>
      </c>
      <c r="F59" s="156">
        <f>($D$13*F801D!M37+$F$13*F801EVE!M37)*$L59</f>
        <v>395.62661834913666</v>
      </c>
      <c r="G59" s="156">
        <f>($D$13*F801D!N37+$F$13*F801EVE!N37)*$L59</f>
        <v>395.31681537940381</v>
      </c>
      <c r="H59" s="156">
        <f>($D$13*F801D!O37+$F$13*F801EVE!O37)*$L59</f>
        <v>384.44800518404338</v>
      </c>
      <c r="I59" s="156">
        <f>($D$13*F801D!P37+$F$13*F801EVE!P37)*$L59</f>
        <v>379.95996761909089</v>
      </c>
      <c r="J59" s="156">
        <f t="shared" si="6"/>
        <v>2348.5390568199277</v>
      </c>
      <c r="K59" s="69"/>
      <c r="L59" s="319">
        <v>0.95</v>
      </c>
    </row>
    <row r="60" spans="2:12" s="37" customFormat="1" ht="15.75" customHeight="1">
      <c r="B60" s="48"/>
      <c r="C60" s="160" t="s">
        <v>307</v>
      </c>
      <c r="D60" s="156">
        <f>($D$13*F801D!K38+$F$13*F801EVE!K38)*$L60</f>
        <v>0</v>
      </c>
      <c r="E60" s="156">
        <f>($D$13*F801D!L38+$F$13*F801EVE!L38)*$L60</f>
        <v>0</v>
      </c>
      <c r="F60" s="156">
        <f>($D$13*F801D!M38+$F$13*F801EVE!M38)*$L60</f>
        <v>0</v>
      </c>
      <c r="G60" s="156">
        <f>($D$13*F801D!N38+$F$13*F801EVE!N38)*$L60</f>
        <v>0</v>
      </c>
      <c r="H60" s="156">
        <f>($D$13*F801D!O38+$F$13*F801EVE!O38)*$L60</f>
        <v>0</v>
      </c>
      <c r="I60" s="156">
        <f>($D$13*F801D!P38+$F$13*F801EVE!P38)*$L60</f>
        <v>0</v>
      </c>
      <c r="J60" s="156">
        <f t="shared" si="6"/>
        <v>0</v>
      </c>
      <c r="K60" s="69"/>
      <c r="L60" s="319">
        <v>0.5</v>
      </c>
    </row>
    <row r="61" spans="2:12" s="37" customFormat="1" ht="15.75" customHeight="1">
      <c r="B61" s="48" t="s">
        <v>274</v>
      </c>
      <c r="C61" s="158" t="s">
        <v>632</v>
      </c>
      <c r="D61" s="159">
        <f t="shared" ref="D61:I61" si="10">SUM(D62:D65)</f>
        <v>126486.07273789399</v>
      </c>
      <c r="E61" s="159">
        <f t="shared" si="10"/>
        <v>126538.86080597114</v>
      </c>
      <c r="F61" s="159">
        <f t="shared" si="10"/>
        <v>125673.79288134458</v>
      </c>
      <c r="G61" s="159">
        <f t="shared" si="10"/>
        <v>126105.10375923762</v>
      </c>
      <c r="H61" s="159">
        <f t="shared" si="10"/>
        <v>122122.82171193045</v>
      </c>
      <c r="I61" s="159">
        <f t="shared" si="10"/>
        <v>121206.30663022996</v>
      </c>
      <c r="J61" s="159">
        <f t="shared" si="6"/>
        <v>748132.95852660772</v>
      </c>
      <c r="K61" s="69"/>
      <c r="L61" s="319"/>
    </row>
    <row r="62" spans="2:12" s="37" customFormat="1" ht="15.75" customHeight="1">
      <c r="B62" s="48"/>
      <c r="C62" s="160" t="s">
        <v>304</v>
      </c>
      <c r="D62" s="156">
        <f>($D$14*F801D!K40+$F$14*F801EVE!K40)*$L62</f>
        <v>126486.07273789399</v>
      </c>
      <c r="E62" s="156">
        <f>($D$14*F801D!L40+$F$14*F801EVE!L40)*$L62</f>
        <v>126538.86080597114</v>
      </c>
      <c r="F62" s="156">
        <f>($D$14*F801D!M40+$F$14*F801EVE!M40)*$L62</f>
        <v>125673.79288134458</v>
      </c>
      <c r="G62" s="156">
        <f>($D$14*F801D!N40+$F$14*F801EVE!N40)*$L62</f>
        <v>126105.10375923762</v>
      </c>
      <c r="H62" s="156">
        <f>($D$14*F801D!O40+$F$14*F801EVE!O40)*$L62</f>
        <v>122122.82171193045</v>
      </c>
      <c r="I62" s="156">
        <f>($D$14*F801D!P40+$F$14*F801EVE!P40)*$L62</f>
        <v>121206.30663022996</v>
      </c>
      <c r="J62" s="156">
        <f t="shared" si="6"/>
        <v>748132.95852660772</v>
      </c>
      <c r="K62" s="69"/>
      <c r="L62" s="319">
        <v>1</v>
      </c>
    </row>
    <row r="63" spans="2:12" s="37" customFormat="1" ht="15.75" customHeight="1">
      <c r="B63" s="48"/>
      <c r="C63" s="161" t="s">
        <v>306</v>
      </c>
      <c r="D63" s="156">
        <f>($D$14*F801D!K41+$F$14*F801EVE!K41)*$L63</f>
        <v>0</v>
      </c>
      <c r="E63" s="156">
        <f>($D$14*F801D!L41+$F$14*F801EVE!L41)*$L63</f>
        <v>0</v>
      </c>
      <c r="F63" s="156">
        <f>($D$14*F801D!M41+$F$14*F801EVE!M41)*$L63</f>
        <v>0</v>
      </c>
      <c r="G63" s="156">
        <f>($D$14*F801D!N41+$F$14*F801EVE!N41)*$L63</f>
        <v>0</v>
      </c>
      <c r="H63" s="156">
        <f>($D$14*F801D!O41+$F$14*F801EVE!O41)*$L63</f>
        <v>0</v>
      </c>
      <c r="I63" s="156">
        <f>($D$14*F801D!P41+$F$14*F801EVE!P41)*$L63</f>
        <v>0</v>
      </c>
      <c r="J63" s="156">
        <f t="shared" si="6"/>
        <v>0</v>
      </c>
      <c r="K63" s="69"/>
      <c r="L63" s="319">
        <v>1</v>
      </c>
    </row>
    <row r="64" spans="2:12" s="37" customFormat="1" ht="15.75" customHeight="1">
      <c r="B64" s="48"/>
      <c r="C64" s="160" t="s">
        <v>305</v>
      </c>
      <c r="D64" s="156">
        <f>($D$14*F801D!K42+$F$14*F801EVE!K42)*$L64</f>
        <v>0</v>
      </c>
      <c r="E64" s="156">
        <f>($D$14*F801D!L42+$F$14*F801EVE!L42)*$L64</f>
        <v>0</v>
      </c>
      <c r="F64" s="156">
        <f>($D$14*F801D!M42+$F$14*F801EVE!M42)*$L64</f>
        <v>0</v>
      </c>
      <c r="G64" s="156">
        <f>($D$14*F801D!N42+$F$14*F801EVE!N42)*$L64</f>
        <v>0</v>
      </c>
      <c r="H64" s="156">
        <f>($D$14*F801D!O42+$F$14*F801EVE!O42)*$L64</f>
        <v>0</v>
      </c>
      <c r="I64" s="156">
        <f>($D$14*F801D!P42+$F$14*F801EVE!P42)*$L64</f>
        <v>0</v>
      </c>
      <c r="J64" s="156">
        <f t="shared" si="6"/>
        <v>0</v>
      </c>
      <c r="K64" s="69"/>
      <c r="L64" s="319">
        <v>0.95</v>
      </c>
    </row>
    <row r="65" spans="2:13" s="37" customFormat="1" ht="15.75" customHeight="1">
      <c r="B65" s="48"/>
      <c r="C65" s="160" t="s">
        <v>307</v>
      </c>
      <c r="D65" s="156">
        <f>($D$14*F801D!K43+$F$14*F801EVE!K43)*$L65</f>
        <v>0</v>
      </c>
      <c r="E65" s="156">
        <f>($D$14*F801D!L43+$F$14*F801EVE!L43)*$L65</f>
        <v>0</v>
      </c>
      <c r="F65" s="156">
        <f>($D$14*F801D!M43+$F$14*F801EVE!M43)*$L65</f>
        <v>0</v>
      </c>
      <c r="G65" s="156">
        <f>($D$14*F801D!N43+$F$14*F801EVE!N43)*$L65</f>
        <v>0</v>
      </c>
      <c r="H65" s="156">
        <f>($D$14*F801D!O43+$F$14*F801EVE!O43)*$L65</f>
        <v>0</v>
      </c>
      <c r="I65" s="156">
        <f>($D$14*F801D!P43+$F$14*F801EVE!P43)*$L65</f>
        <v>0</v>
      </c>
      <c r="J65" s="156">
        <f t="shared" si="6"/>
        <v>0</v>
      </c>
      <c r="K65" s="69"/>
      <c r="L65" s="319">
        <v>0.5</v>
      </c>
    </row>
    <row r="66" spans="2:13" s="37" customFormat="1" ht="15.75" customHeight="1">
      <c r="B66" s="48" t="s">
        <v>274</v>
      </c>
      <c r="C66" s="158" t="s">
        <v>633</v>
      </c>
      <c r="D66" s="159">
        <f t="shared" ref="D66:I66" si="11">SUM(D67:D70)</f>
        <v>130600.6571232787</v>
      </c>
      <c r="E66" s="159">
        <f t="shared" si="11"/>
        <v>130655.16238405496</v>
      </c>
      <c r="F66" s="159">
        <f t="shared" si="11"/>
        <v>129818.98951372878</v>
      </c>
      <c r="G66" s="159">
        <f t="shared" si="11"/>
        <v>130207.29524651929</v>
      </c>
      <c r="H66" s="159">
        <f t="shared" si="11"/>
        <v>126150.89389540869</v>
      </c>
      <c r="I66" s="159">
        <f t="shared" si="11"/>
        <v>125149.14053973346</v>
      </c>
      <c r="J66" s="159">
        <f t="shared" si="6"/>
        <v>772582.1387027239</v>
      </c>
      <c r="K66" s="69"/>
      <c r="L66" s="319"/>
    </row>
    <row r="67" spans="2:13" s="37" customFormat="1" ht="15.75" customHeight="1">
      <c r="B67" s="48"/>
      <c r="C67" s="160" t="s">
        <v>304</v>
      </c>
      <c r="D67" s="156">
        <f>($D$15*F801D!K45+$F$15*F801EVE!K45)*$L67</f>
        <v>130600.6571232787</v>
      </c>
      <c r="E67" s="156">
        <f>($D$15*F801D!L45+$F$15*F801EVE!L45)*$L67</f>
        <v>130655.16238405496</v>
      </c>
      <c r="F67" s="156">
        <f>($D$15*F801D!M45+$F$15*F801EVE!M45)*$L67</f>
        <v>129818.98951372878</v>
      </c>
      <c r="G67" s="156">
        <f>($D$15*F801D!N45+$F$15*F801EVE!N45)*$L67</f>
        <v>130207.29524651929</v>
      </c>
      <c r="H67" s="156">
        <f>($D$15*F801D!O45+$F$15*F801EVE!O45)*$L67</f>
        <v>126150.89389540869</v>
      </c>
      <c r="I67" s="156">
        <f>($D$15*F801D!P45+$F$15*F801EVE!P45)*$L67</f>
        <v>125149.14053973346</v>
      </c>
      <c r="J67" s="156">
        <f t="shared" si="6"/>
        <v>772582.1387027239</v>
      </c>
      <c r="K67" s="69"/>
      <c r="L67" s="319">
        <v>1</v>
      </c>
    </row>
    <row r="68" spans="2:13" s="37" customFormat="1" ht="15.75" customHeight="1">
      <c r="B68" s="48"/>
      <c r="C68" s="161" t="s">
        <v>306</v>
      </c>
      <c r="D68" s="156">
        <f>($D$15*F801D!K46+$F$15*F801EVE!K46)*$L68</f>
        <v>0</v>
      </c>
      <c r="E68" s="156">
        <f>($D$15*F801D!L46+$F$15*F801EVE!L46)*$L68</f>
        <v>0</v>
      </c>
      <c r="F68" s="156">
        <f>($D$15*F801D!M46+$F$15*F801EVE!M46)*$L68</f>
        <v>0</v>
      </c>
      <c r="G68" s="156">
        <f>($D$15*F801D!N46+$F$15*F801EVE!N46)*$L68</f>
        <v>0</v>
      </c>
      <c r="H68" s="156">
        <f>($D$15*F801D!O46+$F$15*F801EVE!O46)*$L68</f>
        <v>0</v>
      </c>
      <c r="I68" s="156">
        <f>($D$15*F801D!P46+$F$15*F801EVE!P46)*$L68</f>
        <v>0</v>
      </c>
      <c r="J68" s="156">
        <f t="shared" si="6"/>
        <v>0</v>
      </c>
      <c r="K68" s="69"/>
      <c r="L68" s="319">
        <v>1</v>
      </c>
    </row>
    <row r="69" spans="2:13" s="37" customFormat="1" ht="15.75" customHeight="1">
      <c r="B69" s="48"/>
      <c r="C69" s="160" t="s">
        <v>305</v>
      </c>
      <c r="D69" s="156">
        <f>($D$15*F801D!K47+$F$15*F801EVE!K47)*$L69</f>
        <v>0</v>
      </c>
      <c r="E69" s="156">
        <f>($D$15*F801D!L47+$F$15*F801EVE!L47)*$L69</f>
        <v>0</v>
      </c>
      <c r="F69" s="156">
        <f>($D$15*F801D!M47+$F$15*F801EVE!M47)*$L69</f>
        <v>0</v>
      </c>
      <c r="G69" s="156">
        <f>($D$15*F801D!N47+$F$15*F801EVE!N47)*$L69</f>
        <v>0</v>
      </c>
      <c r="H69" s="156">
        <f>($D$15*F801D!O47+$F$15*F801EVE!O47)*$L69</f>
        <v>0</v>
      </c>
      <c r="I69" s="156">
        <f>($D$15*F801D!P47+$F$15*F801EVE!P47)*$L69</f>
        <v>0</v>
      </c>
      <c r="J69" s="156">
        <f t="shared" si="6"/>
        <v>0</v>
      </c>
      <c r="K69" s="69"/>
      <c r="L69" s="319">
        <v>0.95</v>
      </c>
    </row>
    <row r="70" spans="2:13" s="37" customFormat="1" ht="15.75" customHeight="1">
      <c r="B70" s="48"/>
      <c r="C70" s="160" t="s">
        <v>307</v>
      </c>
      <c r="D70" s="156">
        <f>($D$15*F801D!K48+$F$15*F801EVE!K48)*$L70</f>
        <v>0</v>
      </c>
      <c r="E70" s="156">
        <f>($D$15*F801D!L48+$F$15*F801EVE!L48)*$L70</f>
        <v>0</v>
      </c>
      <c r="F70" s="156">
        <f>($D$15*F801D!M48+$F$15*F801EVE!M48)*$L70</f>
        <v>0</v>
      </c>
      <c r="G70" s="156">
        <f>($D$15*F801D!N48+$F$15*F801EVE!N48)*$L70</f>
        <v>0</v>
      </c>
      <c r="H70" s="156">
        <f>($D$15*F801D!O48+$F$15*F801EVE!O48)*$L70</f>
        <v>0</v>
      </c>
      <c r="I70" s="156">
        <f>($D$15*F801D!P48+$F$15*F801EVE!P48)*$L70</f>
        <v>0</v>
      </c>
      <c r="J70" s="156">
        <f t="shared" si="6"/>
        <v>0</v>
      </c>
      <c r="K70" s="69"/>
      <c r="L70" s="319">
        <v>0.5</v>
      </c>
    </row>
    <row r="71" spans="2:13" s="37" customFormat="1" ht="15.75">
      <c r="B71" s="48"/>
      <c r="C71" s="157"/>
      <c r="D71" s="156"/>
      <c r="E71" s="156"/>
      <c r="F71" s="156"/>
      <c r="G71" s="156"/>
      <c r="H71" s="156"/>
      <c r="I71" s="156"/>
      <c r="J71" s="156"/>
      <c r="K71" s="69"/>
      <c r="L71" s="319"/>
    </row>
    <row r="72" spans="2:13" s="37" customFormat="1" ht="15.75">
      <c r="B72" s="48" t="s">
        <v>1176</v>
      </c>
      <c r="C72" s="158" t="str">
        <f>F801EVE!$C$50</f>
        <v>BTSH</v>
      </c>
      <c r="D72" s="159">
        <f>SUM(D73:D78)</f>
        <v>7.9080440532541072</v>
      </c>
      <c r="E72" s="159">
        <f t="shared" ref="E72:J72" si="12">SUM(E73:E78)</f>
        <v>7.9080440532541072</v>
      </c>
      <c r="F72" s="159">
        <f t="shared" si="12"/>
        <v>7.9080440532541072</v>
      </c>
      <c r="G72" s="159">
        <f t="shared" si="12"/>
        <v>7.9080440532541072</v>
      </c>
      <c r="H72" s="159">
        <f t="shared" si="12"/>
        <v>7.9080440532541072</v>
      </c>
      <c r="I72" s="159">
        <f t="shared" si="12"/>
        <v>7.9080440532541072</v>
      </c>
      <c r="J72" s="159">
        <f t="shared" si="12"/>
        <v>47.448264319524647</v>
      </c>
      <c r="K72" s="69"/>
      <c r="L72" s="319"/>
    </row>
    <row r="73" spans="2:13" s="37" customFormat="1" ht="15.75">
      <c r="B73" s="48"/>
      <c r="C73" s="160" t="str">
        <f>F801EVE!$C$51</f>
        <v xml:space="preserve">    - Regulares</v>
      </c>
      <c r="D73" s="156">
        <f>($G$16*F801EVE!K51)*$L73</f>
        <v>7.9080440532541072</v>
      </c>
      <c r="E73" s="156">
        <f>($G$16*F801EVE!L51)*$L73</f>
        <v>7.9080440532541072</v>
      </c>
      <c r="F73" s="156">
        <f>($G$16*F801EVE!M51)*$L73</f>
        <v>7.9080440532541072</v>
      </c>
      <c r="G73" s="156">
        <f>($G$16*F801EVE!N51)*$L73</f>
        <v>7.9080440532541072</v>
      </c>
      <c r="H73" s="156">
        <f>($G$16*F801EVE!O51)*$L73</f>
        <v>7.9080440532541072</v>
      </c>
      <c r="I73" s="156">
        <f>($G$16*F801EVE!P51)*$L73</f>
        <v>7.9080440532541072</v>
      </c>
      <c r="J73" s="156">
        <f t="shared" ref="J73:J90" si="13">SUM(D73:I73)</f>
        <v>47.448264319524647</v>
      </c>
      <c r="K73" s="69"/>
      <c r="L73" s="319">
        <v>1</v>
      </c>
      <c r="M73" s="69"/>
    </row>
    <row r="74" spans="2:13" s="37" customFormat="1" ht="15.75">
      <c r="B74" s="48"/>
      <c r="C74" s="162" t="str">
        <f>F801EVE!$C$52</f>
        <v xml:space="preserve">    - Jubilados (0 a 600 KWh)</v>
      </c>
      <c r="D74" s="156">
        <f>($G$16*F801EVE!K52)*$L74</f>
        <v>0</v>
      </c>
      <c r="E74" s="156">
        <f>($G$16*F801EVE!L52)*$L74</f>
        <v>0</v>
      </c>
      <c r="F74" s="156">
        <f>($G$16*F801EVE!M52)*$L74</f>
        <v>0</v>
      </c>
      <c r="G74" s="156">
        <f>($G$16*F801EVE!N52)*$L74</f>
        <v>0</v>
      </c>
      <c r="H74" s="156">
        <f>($G$16*F801EVE!O52)*$L74</f>
        <v>0</v>
      </c>
      <c r="I74" s="156">
        <f>($G$16*F801EVE!P52)*$L74</f>
        <v>0</v>
      </c>
      <c r="J74" s="156">
        <f t="shared" si="13"/>
        <v>0</v>
      </c>
      <c r="K74" s="69"/>
      <c r="L74" s="319">
        <v>0.75</v>
      </c>
      <c r="M74" s="69"/>
    </row>
    <row r="75" spans="2:13" s="37" customFormat="1" ht="15.75">
      <c r="B75" s="48"/>
      <c r="C75" s="162" t="str">
        <f>F801EVE!$C$53</f>
        <v xml:space="preserve">    - Jubilados (601 y Más KWh)</v>
      </c>
      <c r="D75" s="156">
        <f>($G$16*F801EVE!K53)*$L75</f>
        <v>0</v>
      </c>
      <c r="E75" s="156">
        <f>($G$16*F801EVE!L53)*$L75</f>
        <v>0</v>
      </c>
      <c r="F75" s="156">
        <f>($G$16*F801EVE!M53)*$L75</f>
        <v>0</v>
      </c>
      <c r="G75" s="156">
        <f>($G$16*F801EVE!N53)*$L75</f>
        <v>0</v>
      </c>
      <c r="H75" s="156">
        <f>($G$16*F801EVE!O53)*$L75</f>
        <v>0</v>
      </c>
      <c r="I75" s="156">
        <f>($G$16*F801EVE!P53)*$L75</f>
        <v>0</v>
      </c>
      <c r="J75" s="156">
        <f t="shared" si="13"/>
        <v>0</v>
      </c>
      <c r="K75" s="69"/>
      <c r="L75" s="319">
        <v>1</v>
      </c>
      <c r="M75" s="69"/>
    </row>
    <row r="76" spans="2:13" s="37" customFormat="1" ht="15.75">
      <c r="B76" s="48"/>
      <c r="C76" s="160" t="str">
        <f>F801EVE!$C$54</f>
        <v xml:space="preserve">    - Agropecuarios</v>
      </c>
      <c r="D76" s="156">
        <f>($G$16*F801EVE!K54)*$L76</f>
        <v>0</v>
      </c>
      <c r="E76" s="156">
        <f>($G$16*F801EVE!L54)*$L76</f>
        <v>0</v>
      </c>
      <c r="F76" s="156">
        <f>($G$16*F801EVE!M54)*$L76</f>
        <v>0</v>
      </c>
      <c r="G76" s="156">
        <f>($G$16*F801EVE!N54)*$L76</f>
        <v>0</v>
      </c>
      <c r="H76" s="156">
        <f>($G$16*F801EVE!O54)*$L76</f>
        <v>0</v>
      </c>
      <c r="I76" s="156">
        <f>($G$16*F801EVE!P54)*$L76</f>
        <v>0</v>
      </c>
      <c r="J76" s="156">
        <f t="shared" si="13"/>
        <v>0</v>
      </c>
      <c r="K76" s="69"/>
      <c r="L76" s="319">
        <v>0.95</v>
      </c>
      <c r="M76" s="69"/>
    </row>
    <row r="77" spans="2:13" s="37" customFormat="1" ht="15.75">
      <c r="B77" s="48"/>
      <c r="C77" s="160" t="str">
        <f>F801EVE!$C$55</f>
        <v xml:space="preserve">    - Partidos Políticos</v>
      </c>
      <c r="D77" s="156">
        <f>($G$16*F801EVE!K55)*$L77</f>
        <v>0</v>
      </c>
      <c r="E77" s="156">
        <f>($G$16*F801EVE!L55)*$L77</f>
        <v>0</v>
      </c>
      <c r="F77" s="156">
        <f>($G$16*F801EVE!M55)*$L77</f>
        <v>0</v>
      </c>
      <c r="G77" s="156">
        <f>($G$16*F801EVE!N55)*$L77</f>
        <v>0</v>
      </c>
      <c r="H77" s="156">
        <f>($G$16*F801EVE!O55)*$L77</f>
        <v>0</v>
      </c>
      <c r="I77" s="156">
        <f>($G$16*F801EVE!P55)*$L77</f>
        <v>0</v>
      </c>
      <c r="J77" s="156">
        <f t="shared" si="13"/>
        <v>0</v>
      </c>
      <c r="K77" s="69"/>
      <c r="L77" s="319">
        <v>0.5</v>
      </c>
      <c r="M77" s="69"/>
    </row>
    <row r="78" spans="2:13" s="37" customFormat="1" ht="15.75">
      <c r="B78" s="48"/>
      <c r="C78" s="160" t="str">
        <f>F801EVE!$C$56</f>
        <v xml:space="preserve">    - Cruz Roja</v>
      </c>
      <c r="D78" s="156">
        <f>($G$16*F801EVE!K56)*$L78</f>
        <v>0</v>
      </c>
      <c r="E78" s="156">
        <f>($G$16*F801EVE!L56)*$L78</f>
        <v>0</v>
      </c>
      <c r="F78" s="156">
        <f>($G$16*F801EVE!M56)*$L78</f>
        <v>0</v>
      </c>
      <c r="G78" s="156">
        <f>($G$16*F801EVE!N56)*$L78</f>
        <v>0</v>
      </c>
      <c r="H78" s="156">
        <f>($G$16*F801EVE!O56)*$L78</f>
        <v>0</v>
      </c>
      <c r="I78" s="156">
        <f>($G$16*F801EVE!P56)*$L78</f>
        <v>0</v>
      </c>
      <c r="J78" s="156">
        <f t="shared" si="13"/>
        <v>0</v>
      </c>
      <c r="K78" s="69"/>
      <c r="L78" s="319">
        <v>0</v>
      </c>
      <c r="M78" s="69"/>
    </row>
    <row r="79" spans="2:13" s="37" customFormat="1" ht="15.75">
      <c r="B79" s="48" t="s">
        <v>751</v>
      </c>
      <c r="C79" s="158" t="s">
        <v>634</v>
      </c>
      <c r="D79" s="159">
        <f t="shared" ref="D79" si="14">SUM(D80:D84)</f>
        <v>325301.80704756372</v>
      </c>
      <c r="E79" s="159">
        <f t="shared" ref="E79:I79" si="15">SUM(E80:E84)</f>
        <v>325437.57275689999</v>
      </c>
      <c r="F79" s="159">
        <f t="shared" si="15"/>
        <v>319290.78462617326</v>
      </c>
      <c r="G79" s="159">
        <f t="shared" si="15"/>
        <v>324321.99237530131</v>
      </c>
      <c r="H79" s="159">
        <f t="shared" si="15"/>
        <v>310268.85231945832</v>
      </c>
      <c r="I79" s="159">
        <f t="shared" si="15"/>
        <v>311722.7688890014</v>
      </c>
      <c r="J79" s="159">
        <f t="shared" si="13"/>
        <v>1916343.7780143977</v>
      </c>
      <c r="K79" s="69"/>
      <c r="L79" s="319"/>
      <c r="M79" s="69"/>
    </row>
    <row r="80" spans="2:13" s="37" customFormat="1" ht="15.75">
      <c r="B80" s="48"/>
      <c r="C80" s="160" t="s">
        <v>304</v>
      </c>
      <c r="D80" s="156">
        <f>(($E$18+$F$18)*F801EVE!K66)*$L80</f>
        <v>235717.8348524062</v>
      </c>
      <c r="E80" s="156">
        <f>(($E$18+$F$18)*F801EVE!L66)*$L80</f>
        <v>235816.21332439291</v>
      </c>
      <c r="F80" s="156">
        <f>(($E$18+$F$18)*F801EVE!M66)*$L80</f>
        <v>231362.13116415183</v>
      </c>
      <c r="G80" s="156">
        <f>(($E$18+$F$18)*F801EVE!N66)*$L80</f>
        <v>235007.84209533507</v>
      </c>
      <c r="H80" s="156">
        <f>(($E$18+$F$18)*F801EVE!O66)*$L80</f>
        <v>224824.66364719495</v>
      </c>
      <c r="I80" s="156">
        <f>(($E$18+$F$18)*F801EVE!P66)*$L80</f>
        <v>225878.19985458572</v>
      </c>
      <c r="J80" s="156">
        <f t="shared" si="13"/>
        <v>1388606.8849380666</v>
      </c>
      <c r="K80" s="69"/>
      <c r="L80" s="319">
        <v>1</v>
      </c>
      <c r="M80" s="329"/>
    </row>
    <row r="81" spans="2:13" s="37" customFormat="1" ht="15.75">
      <c r="B81" s="48"/>
      <c r="C81" s="162" t="s">
        <v>644</v>
      </c>
      <c r="D81" s="156">
        <f>(($E$18+$F$18)*F801EVE!K67)*$L81</f>
        <v>89575.196988459196</v>
      </c>
      <c r="E81" s="156">
        <f>(($E$18+$F$18)*F801EVE!L67)*$L81</f>
        <v>89612.580563538242</v>
      </c>
      <c r="F81" s="156">
        <f>(($E$18+$F$18)*F801EVE!M67)*$L81</f>
        <v>87920.040402230414</v>
      </c>
      <c r="G81" s="156">
        <f>(($E$18+$F$18)*F801EVE!N67)*$L81</f>
        <v>89305.401503699773</v>
      </c>
      <c r="H81" s="156">
        <f>(($E$18+$F$18)*F801EVE!O67)*$L81</f>
        <v>85435.818978462194</v>
      </c>
      <c r="I81" s="156">
        <f>(($E$18+$F$18)*F801EVE!P67)*$L81</f>
        <v>85836.160121317153</v>
      </c>
      <c r="J81" s="156">
        <f t="shared" si="13"/>
        <v>527685.19855770702</v>
      </c>
      <c r="K81" s="69"/>
      <c r="L81" s="319">
        <v>0.75</v>
      </c>
      <c r="M81" s="329"/>
    </row>
    <row r="82" spans="2:13" s="37" customFormat="1" ht="15.75">
      <c r="B82" s="48"/>
      <c r="C82" s="160" t="s">
        <v>305</v>
      </c>
      <c r="D82" s="156">
        <f>(($E$18+$F$18)*F801EVE!K68)*$L82</f>
        <v>8.5885822249255757</v>
      </c>
      <c r="E82" s="156">
        <f>(($E$18+$F$18)*F801EVE!L68)*$L82</f>
        <v>8.5921666089874869</v>
      </c>
      <c r="F82" s="156">
        <f>(($E$18+$F$18)*F801EVE!M68)*$L82</f>
        <v>8.4298837356798924</v>
      </c>
      <c r="G82" s="156">
        <f>(($E$18+$F$18)*F801EVE!N68)*$L82</f>
        <v>8.5627138954920543</v>
      </c>
      <c r="H82" s="156">
        <f>(($E$18+$F$18)*F801EVE!O68)*$L82</f>
        <v>8.1916934700675927</v>
      </c>
      <c r="I82" s="156">
        <f>(($E$18+$F$18)*F801EVE!P68)*$L82</f>
        <v>8.2300786809186892</v>
      </c>
      <c r="J82" s="156">
        <f t="shared" si="13"/>
        <v>50.595118616071289</v>
      </c>
      <c r="K82" s="69"/>
      <c r="L82" s="319">
        <v>0.95</v>
      </c>
      <c r="M82" s="329"/>
    </row>
    <row r="83" spans="2:13" s="37" customFormat="1" ht="15.75">
      <c r="B83" s="48"/>
      <c r="C83" s="160" t="s">
        <v>307</v>
      </c>
      <c r="D83" s="156">
        <f>(($E$18+$F$18)*F801EVE!K69)*$L83</f>
        <v>0.18662447344004224</v>
      </c>
      <c r="E83" s="156">
        <f>(($E$18+$F$18)*F801EVE!L69)*$L83</f>
        <v>0.18670235984441524</v>
      </c>
      <c r="F83" s="156">
        <f>(($E$18+$F$18)*F801EVE!M69)*$L83</f>
        <v>0.18317605538738019</v>
      </c>
      <c r="G83" s="156">
        <f>(($E$18+$F$18)*F801EVE!N69)*$L83</f>
        <v>0.18606237096109135</v>
      </c>
      <c r="H83" s="156">
        <f>(($E$18+$F$18)*F801EVE!O69)*$L83</f>
        <v>0.17800033118351438</v>
      </c>
      <c r="I83" s="156">
        <f>(($E$18+$F$18)*F801EVE!P69)*$L83</f>
        <v>0.17883441759910237</v>
      </c>
      <c r="J83" s="156">
        <f t="shared" si="13"/>
        <v>1.0994000084155457</v>
      </c>
      <c r="K83" s="69"/>
      <c r="L83" s="319">
        <v>0.5</v>
      </c>
      <c r="M83" s="329"/>
    </row>
    <row r="84" spans="2:13" s="37" customFormat="1" ht="15.75">
      <c r="B84" s="48"/>
      <c r="C84" s="160" t="s">
        <v>624</v>
      </c>
      <c r="D84" s="156">
        <f>(($E$18+$F$18)*F801EVE!K70)*$L84</f>
        <v>0</v>
      </c>
      <c r="E84" s="156">
        <f>(($E$18+$F$18)*F801EVE!L70)*$L84</f>
        <v>0</v>
      </c>
      <c r="F84" s="156">
        <f>(($E$18+$F$18)*F801EVE!M70)*$L84</f>
        <v>0</v>
      </c>
      <c r="G84" s="156">
        <f>(($E$18+$F$18)*F801EVE!N70)*$L84</f>
        <v>0</v>
      </c>
      <c r="H84" s="156">
        <f>(($E$18+$F$18)*F801EVE!O70)*$L84</f>
        <v>0</v>
      </c>
      <c r="I84" s="156">
        <f>(($E$18+$F$18)*F801EVE!P70)*$L84</f>
        <v>0</v>
      </c>
      <c r="J84" s="156">
        <f t="shared" si="13"/>
        <v>0</v>
      </c>
      <c r="K84" s="69"/>
      <c r="L84" s="319">
        <v>0</v>
      </c>
      <c r="M84" s="329"/>
    </row>
    <row r="85" spans="2:13" s="37" customFormat="1" ht="15.75">
      <c r="B85" s="48" t="s">
        <v>750</v>
      </c>
      <c r="C85" s="158" t="s">
        <v>635</v>
      </c>
      <c r="D85" s="159">
        <f t="shared" ref="D85" si="16">SUM(D86:D91)</f>
        <v>356426.62256000395</v>
      </c>
      <c r="E85" s="159">
        <f t="shared" ref="E85:I85" si="17">SUM(E86:E91)</f>
        <v>356575.37469064532</v>
      </c>
      <c r="F85" s="159">
        <f t="shared" si="17"/>
        <v>349840.6267523311</v>
      </c>
      <c r="G85" s="159">
        <f t="shared" si="17"/>
        <v>355353.08550233918</v>
      </c>
      <c r="H85" s="159">
        <f t="shared" si="17"/>
        <v>339955.71796581743</v>
      </c>
      <c r="I85" s="159">
        <f t="shared" si="17"/>
        <v>341548.70627303811</v>
      </c>
      <c r="J85" s="159">
        <f t="shared" si="13"/>
        <v>2099700.1337441751</v>
      </c>
      <c r="K85" s="69"/>
      <c r="L85" s="319"/>
      <c r="M85" s="69"/>
    </row>
    <row r="86" spans="2:13" s="37" customFormat="1" ht="15.75">
      <c r="B86" s="48"/>
      <c r="C86" s="160" t="s">
        <v>304</v>
      </c>
      <c r="D86" s="156">
        <f>(($E$19+$F$19)*F801EVE!K72)*$L86</f>
        <v>229857.7543404118</v>
      </c>
      <c r="E86" s="156">
        <f>(($E$19+$F$19)*F801EVE!L72)*$L86</f>
        <v>229953.68384886711</v>
      </c>
      <c r="F86" s="156">
        <f>(($E$19+$F$19)*F801EVE!M72)*$L86</f>
        <v>225610.47843387595</v>
      </c>
      <c r="G86" s="156">
        <f>(($E$19+$F$19)*F801EVE!N72)*$L86</f>
        <v>229165.43563676471</v>
      </c>
      <c r="H86" s="156">
        <f>(($E$19+$F$19)*F801EVE!O72)*$L86</f>
        <v>219235.74997165136</v>
      </c>
      <c r="I86" s="156">
        <f>(($E$19+$F$19)*F801EVE!P72)*$L86</f>
        <v>220263.06019993441</v>
      </c>
      <c r="J86" s="330">
        <f t="shared" si="13"/>
        <v>1354086.1624315055</v>
      </c>
      <c r="K86" s="69"/>
      <c r="L86" s="319">
        <v>1</v>
      </c>
      <c r="M86" s="329"/>
    </row>
    <row r="87" spans="2:13" s="37" customFormat="1" ht="15.75">
      <c r="B87" s="48"/>
      <c r="C87" s="162" t="s">
        <v>642</v>
      </c>
      <c r="D87" s="156">
        <f>(($E$19+$F$19)*F801EVE!K73)*$L87</f>
        <v>122979.05192116412</v>
      </c>
      <c r="E87" s="156">
        <f>(($E$19+$F$19)*F801EVE!L73)*$L87</f>
        <v>123030.3763589015</v>
      </c>
      <c r="F87" s="156">
        <f>(($E$19+$F$19)*F801EVE!M73)*$L87</f>
        <v>120706.6640883837</v>
      </c>
      <c r="G87" s="156">
        <f>(($E$19+$F$19)*F801EVE!N73)*$L87</f>
        <v>122608.64589311376</v>
      </c>
      <c r="H87" s="156">
        <f>(($E$19+$F$19)*F801EVE!O73)*$L87</f>
        <v>117296.04144139557</v>
      </c>
      <c r="I87" s="156">
        <f>(($E$19+$F$19)*F801EVE!P73)*$L87</f>
        <v>117845.67544554611</v>
      </c>
      <c r="J87" s="330">
        <f t="shared" si="13"/>
        <v>724466.45514850481</v>
      </c>
      <c r="K87" s="69"/>
      <c r="L87" s="319">
        <v>0.75</v>
      </c>
      <c r="M87" s="329"/>
    </row>
    <row r="88" spans="2:13" s="37" customFormat="1" ht="15.75">
      <c r="B88" s="48"/>
      <c r="C88" s="162" t="s">
        <v>1177</v>
      </c>
      <c r="D88" s="156">
        <f>(($E$19+$F$19)*F801EVE!K74)*$L88</f>
        <v>3574.2677251857513</v>
      </c>
      <c r="E88" s="156">
        <f>(($E$19+$F$19)*F801EVE!L74)*$L88</f>
        <v>3575.7594205472965</v>
      </c>
      <c r="F88" s="156">
        <f>(($E$19+$F$19)*F801EVE!M74)*$L88</f>
        <v>3508.222960952095</v>
      </c>
      <c r="G88" s="156">
        <f>(($E$19+$F$19)*F801EVE!N74)*$L88</f>
        <v>3563.5022306515821</v>
      </c>
      <c r="H88" s="156">
        <f>(($E$19+$F$19)*F801EVE!O74)*$L88</f>
        <v>3409.0964978717652</v>
      </c>
      <c r="I88" s="156">
        <f>(($E$19+$F$19)*F801EVE!P74)*$L88</f>
        <v>3425.0710809492084</v>
      </c>
      <c r="J88" s="330">
        <f t="shared" si="13"/>
        <v>21055.919916157698</v>
      </c>
      <c r="K88" s="69"/>
      <c r="L88" s="319">
        <v>1</v>
      </c>
      <c r="M88" s="329"/>
    </row>
    <row r="89" spans="2:13" s="37" customFormat="1" ht="15.75">
      <c r="B89" s="48"/>
      <c r="C89" s="160" t="s">
        <v>305</v>
      </c>
      <c r="D89" s="156">
        <f>(($E$19+$F$19)*F801EVE!K75)*$L89</f>
        <v>15.056187638972972</v>
      </c>
      <c r="E89" s="156">
        <f>(($E$19+$F$19)*F801EVE!L75)*$L89</f>
        <v>15.062471232422157</v>
      </c>
      <c r="F89" s="156">
        <f>(($E$19+$F$19)*F801EVE!M75)*$L89</f>
        <v>14.777981740778264</v>
      </c>
      <c r="G89" s="156">
        <f>(($E$19+$F$19)*F801EVE!N75)*$L89</f>
        <v>15.010839243666528</v>
      </c>
      <c r="H89" s="156">
        <f>(($E$19+$F$19)*F801EVE!O75)*$L89</f>
        <v>14.360423028651402</v>
      </c>
      <c r="I89" s="156">
        <f>(($E$19+$F$19)*F801EVE!P75)*$L89</f>
        <v>14.427714104407581</v>
      </c>
      <c r="J89" s="156">
        <f t="shared" si="13"/>
        <v>88.695616988898905</v>
      </c>
      <c r="K89" s="69"/>
      <c r="L89" s="319">
        <v>0.95</v>
      </c>
      <c r="M89" s="329"/>
    </row>
    <row r="90" spans="2:13" s="37" customFormat="1" ht="15.75">
      <c r="B90" s="48"/>
      <c r="C90" s="160" t="s">
        <v>307</v>
      </c>
      <c r="D90" s="156">
        <f>(($E$19+$F$19)*F801EVE!K76)*$L90</f>
        <v>0.492385603356569</v>
      </c>
      <c r="E90" s="156">
        <f>(($E$19+$F$19)*F801EVE!L76)*$L90</f>
        <v>0.49259109700648301</v>
      </c>
      <c r="F90" s="156">
        <f>(($E$19+$F$19)*F801EVE!M76)*$L90</f>
        <v>0.48328737860508053</v>
      </c>
      <c r="G90" s="156">
        <f>(($E$19+$F$19)*F801EVE!N76)*$L90</f>
        <v>0.49090256545084981</v>
      </c>
      <c r="H90" s="156">
        <f>(($E$19+$F$19)*F801EVE!O76)*$L90</f>
        <v>0.46963187009672613</v>
      </c>
      <c r="I90" s="156">
        <f>(($E$19+$F$19)*F801EVE!P76)*$L90</f>
        <v>0.47183250399763171</v>
      </c>
      <c r="J90" s="156">
        <f t="shared" si="13"/>
        <v>2.9006310185133404</v>
      </c>
      <c r="K90" s="69"/>
      <c r="L90" s="319">
        <v>0.5</v>
      </c>
      <c r="M90" s="329"/>
    </row>
    <row r="91" spans="2:13" s="37" customFormat="1" ht="15.75">
      <c r="B91" s="48"/>
      <c r="C91" s="160" t="s">
        <v>624</v>
      </c>
      <c r="D91" s="156">
        <f>(($E$19+$F$19)*F801EVE!K77)*$L91</f>
        <v>0</v>
      </c>
      <c r="E91" s="156">
        <f>(($E$19+$F$19)*F801EVE!L77)*$L91</f>
        <v>0</v>
      </c>
      <c r="F91" s="156">
        <f>(($E$19+$F$19)*F801EVE!M77)*$L91</f>
        <v>0</v>
      </c>
      <c r="G91" s="156">
        <f>(($E$19+$F$19)*F801EVE!N77)*$L91</f>
        <v>0</v>
      </c>
      <c r="H91" s="156">
        <f>(($E$19+$F$19)*F801EVE!O77)*$L91</f>
        <v>0</v>
      </c>
      <c r="I91" s="156">
        <f>(($E$19+$F$19)*F801EVE!P77)*$L91</f>
        <v>0</v>
      </c>
      <c r="J91" s="156"/>
      <c r="K91" s="69"/>
      <c r="L91" s="319">
        <v>0</v>
      </c>
      <c r="M91" s="329"/>
    </row>
    <row r="92" spans="2:13" s="37" customFormat="1" ht="15.75">
      <c r="B92" s="48" t="s">
        <v>749</v>
      </c>
      <c r="C92" s="158" t="s">
        <v>636</v>
      </c>
      <c r="D92" s="159">
        <f t="shared" ref="D92" si="18">SUM(D93:D98)</f>
        <v>426766.79482238146</v>
      </c>
      <c r="E92" s="159">
        <f t="shared" ref="E92:I92" si="19">SUM(E93:E98)</f>
        <v>426944.90292654274</v>
      </c>
      <c r="F92" s="159">
        <f t="shared" si="19"/>
        <v>418881.0642297375</v>
      </c>
      <c r="G92" s="159">
        <f t="shared" si="19"/>
        <v>425481.39709891169</v>
      </c>
      <c r="H92" s="159">
        <f t="shared" si="19"/>
        <v>407045.38593603246</v>
      </c>
      <c r="I92" s="159">
        <f t="shared" si="19"/>
        <v>408952.74770710123</v>
      </c>
      <c r="J92" s="159">
        <f t="shared" ref="J92:J97" si="20">SUM(D92:I92)</f>
        <v>2514072.2927207067</v>
      </c>
      <c r="K92" s="69"/>
      <c r="L92" s="319"/>
      <c r="M92" s="69"/>
    </row>
    <row r="93" spans="2:13" s="37" customFormat="1" ht="15.75">
      <c r="B93" s="48"/>
      <c r="C93" s="160" t="s">
        <v>304</v>
      </c>
      <c r="D93" s="156">
        <f>(($E$20+$F$20)*F801EVE!K79)*$L93</f>
        <v>368936.7329316595</v>
      </c>
      <c r="E93" s="156">
        <f>(($E$20+$F$20)*F801EVE!L79)*$L93</f>
        <v>369090.70606840571</v>
      </c>
      <c r="F93" s="156">
        <f>(($E$20+$F$20)*F801EVE!M79)*$L93</f>
        <v>362119.57724633923</v>
      </c>
      <c r="G93" s="156">
        <f>(($E$20+$F$20)*F801EVE!N79)*$L93</f>
        <v>367825.5161210543</v>
      </c>
      <c r="H93" s="156">
        <f>(($E$20+$F$20)*F801EVE!O79)*$L93</f>
        <v>351887.72103192343</v>
      </c>
      <c r="I93" s="156">
        <f>(($E$20+$F$20)*F801EVE!P79)*$L93</f>
        <v>353536.62115459982</v>
      </c>
      <c r="J93" s="330">
        <f t="shared" si="20"/>
        <v>2173396.8745539822</v>
      </c>
      <c r="K93" s="69"/>
      <c r="L93" s="319">
        <v>1</v>
      </c>
      <c r="M93" s="329"/>
    </row>
    <row r="94" spans="2:13" s="37" customFormat="1" ht="15.75">
      <c r="B94" s="48"/>
      <c r="C94" s="162" t="s">
        <v>642</v>
      </c>
      <c r="D94" s="156">
        <f>(($E$20+$F$20)*F801EVE!K80)*$L94</f>
        <v>27374.783631658742</v>
      </c>
      <c r="E94" s="156">
        <f>(($E$20+$F$20)*F801EVE!L80)*$L94</f>
        <v>27386.208304040971</v>
      </c>
      <c r="F94" s="156">
        <f>(($E$20+$F$20)*F801EVE!M80)*$L94</f>
        <v>26868.956628784661</v>
      </c>
      <c r="G94" s="156">
        <f>(($E$20+$F$20)*F801EVE!N80)*$L94</f>
        <v>27292.33231401287</v>
      </c>
      <c r="H94" s="156">
        <f>(($E$20+$F$20)*F801EVE!O80)*$L94</f>
        <v>26109.761826482994</v>
      </c>
      <c r="I94" s="156">
        <f>(($E$20+$F$20)*F801EVE!P80)*$L94</f>
        <v>26232.10877667633</v>
      </c>
      <c r="J94" s="330">
        <f t="shared" si="20"/>
        <v>161264.15148165656</v>
      </c>
      <c r="K94" s="69"/>
      <c r="L94" s="319">
        <v>0.75</v>
      </c>
      <c r="M94" s="329"/>
    </row>
    <row r="95" spans="2:13" s="37" customFormat="1" ht="15.75">
      <c r="B95" s="48"/>
      <c r="C95" s="162" t="s">
        <v>1177</v>
      </c>
      <c r="D95" s="156">
        <f>(($E$20+$F$20)*F801EVE!K81)*$L95</f>
        <v>30250.912615845875</v>
      </c>
      <c r="E95" s="156">
        <f>(($E$20+$F$20)*F801EVE!L81)*$L95</f>
        <v>30263.537620322615</v>
      </c>
      <c r="F95" s="156">
        <f>(($E$20+$F$20)*F801EVE!M81)*$L95</f>
        <v>29691.940948030293</v>
      </c>
      <c r="G95" s="156">
        <f>(($E$20+$F$20)*F801EVE!N81)*$L95</f>
        <v>30159.798558517497</v>
      </c>
      <c r="H95" s="156">
        <f>(($E$20+$F$20)*F801EVE!O81)*$L95</f>
        <v>28852.981417542102</v>
      </c>
      <c r="I95" s="156">
        <f>(($E$20+$F$20)*F801EVE!P81)*$L95</f>
        <v>28988.182738177697</v>
      </c>
      <c r="J95" s="330">
        <f t="shared" si="20"/>
        <v>178207.35389843606</v>
      </c>
      <c r="K95" s="69"/>
      <c r="L95" s="319">
        <v>1</v>
      </c>
      <c r="M95" s="329"/>
    </row>
    <row r="96" spans="2:13" s="37" customFormat="1" ht="15.75">
      <c r="B96" s="48"/>
      <c r="C96" s="160" t="s">
        <v>305</v>
      </c>
      <c r="D96" s="156">
        <f>(($E$20+$F$20)*F801EVE!K82)*$L96</f>
        <v>201.19578177366787</v>
      </c>
      <c r="E96" s="156">
        <f>(($E$20+$F$20)*F801EVE!L82)*$L96</f>
        <v>201.27974941054055</v>
      </c>
      <c r="F96" s="156">
        <f>(($E$20+$F$20)*F801EVE!M82)*$L96</f>
        <v>197.47811734735311</v>
      </c>
      <c r="G96" s="156">
        <f>(($E$20+$F$20)*F801EVE!N82)*$L96</f>
        <v>200.58979132876638</v>
      </c>
      <c r="H96" s="156">
        <f>(($E$20+$F$20)*F801EVE!O82)*$L96</f>
        <v>191.89828176498384</v>
      </c>
      <c r="I96" s="156">
        <f>(($E$20+$F$20)*F801EVE!P82)*$L96</f>
        <v>192.79749217055232</v>
      </c>
      <c r="J96" s="156">
        <f t="shared" si="20"/>
        <v>1185.2392137958641</v>
      </c>
      <c r="K96" s="69"/>
      <c r="L96" s="319">
        <v>0.95</v>
      </c>
      <c r="M96" s="329"/>
    </row>
    <row r="97" spans="2:13" s="37" customFormat="1" ht="15.75">
      <c r="B97" s="48"/>
      <c r="C97" s="160" t="s">
        <v>307</v>
      </c>
      <c r="D97" s="156">
        <f>(($E$20+$F$20)*F801EVE!K83)*$L97</f>
        <v>3.1698614437066954</v>
      </c>
      <c r="E97" s="156">
        <f>(($E$20+$F$20)*F801EVE!L83)*$L97</f>
        <v>3.1711843629662115</v>
      </c>
      <c r="F97" s="156">
        <f>(($E$20+$F$20)*F801EVE!M83)*$L97</f>
        <v>3.1112892359708897</v>
      </c>
      <c r="G97" s="156">
        <f>(($E$20+$F$20)*F801EVE!N83)*$L97</f>
        <v>3.1603139982800865</v>
      </c>
      <c r="H97" s="156">
        <f>(($E$20+$F$20)*F801EVE!O83)*$L97</f>
        <v>3.0233783189583638</v>
      </c>
      <c r="I97" s="156">
        <f>(($E$20+$F$20)*F801EVE!P83)*$L97</f>
        <v>3.0375454767847532</v>
      </c>
      <c r="J97" s="156">
        <f t="shared" si="20"/>
        <v>18.673572836667002</v>
      </c>
      <c r="K97" s="69"/>
      <c r="L97" s="319">
        <v>0.5</v>
      </c>
      <c r="M97" s="329"/>
    </row>
    <row r="98" spans="2:13" s="37" customFormat="1" ht="15.75">
      <c r="B98" s="48"/>
      <c r="C98" s="160" t="s">
        <v>624</v>
      </c>
      <c r="D98" s="156">
        <f>(($E$20+$F$20)*F801EVE!K84)*$L98</f>
        <v>0</v>
      </c>
      <c r="E98" s="156">
        <f>(($E$20+$F$20)*F801EVE!L84)*$L98</f>
        <v>0</v>
      </c>
      <c r="F98" s="156">
        <f>(($E$20+$F$20)*F801EVE!M84)*$L98</f>
        <v>0</v>
      </c>
      <c r="G98" s="156">
        <f>(($E$20+$F$20)*F801EVE!N84)*$L98</f>
        <v>0</v>
      </c>
      <c r="H98" s="156">
        <f>(($E$20+$F$20)*F801EVE!O84)*$L98</f>
        <v>0</v>
      </c>
      <c r="I98" s="156">
        <f>(($E$20+$F$20)*F801EVE!P84)*$L98</f>
        <v>0</v>
      </c>
      <c r="J98" s="156"/>
      <c r="K98" s="69"/>
      <c r="L98" s="319">
        <v>0</v>
      </c>
      <c r="M98" s="329"/>
    </row>
    <row r="99" spans="2:13" s="37" customFormat="1" ht="15.75">
      <c r="B99" s="48"/>
      <c r="C99" s="157"/>
      <c r="D99" s="156"/>
      <c r="E99" s="156"/>
      <c r="F99" s="156"/>
      <c r="G99" s="156"/>
      <c r="H99" s="156"/>
      <c r="I99" s="156"/>
      <c r="J99" s="156"/>
      <c r="K99" s="69"/>
      <c r="L99" s="319"/>
      <c r="M99" s="69"/>
    </row>
    <row r="100" spans="2:13" s="37" customFormat="1" ht="15.75">
      <c r="B100" s="48" t="s">
        <v>902</v>
      </c>
      <c r="C100" s="158" t="s">
        <v>898</v>
      </c>
      <c r="D100" s="159">
        <f t="shared" ref="D100" si="21">SUM(D101:D105)</f>
        <v>108754.00842605226</v>
      </c>
      <c r="E100" s="159">
        <f t="shared" ref="E100:I100" si="22">SUM(E101:E105)</f>
        <v>108799.39614247187</v>
      </c>
      <c r="F100" s="159">
        <f t="shared" si="22"/>
        <v>106744.46873898519</v>
      </c>
      <c r="G100" s="159">
        <f t="shared" si="22"/>
        <v>108426.4474336202</v>
      </c>
      <c r="H100" s="159">
        <f t="shared" si="22"/>
        <v>103728.35438215628</v>
      </c>
      <c r="I100" s="159">
        <f t="shared" si="22"/>
        <v>104214.41196826409</v>
      </c>
      <c r="J100" s="159">
        <f t="shared" ref="J100:J119" si="23">SUM(D100:I100)</f>
        <v>640667.08709155</v>
      </c>
      <c r="K100" s="69"/>
      <c r="L100" s="319"/>
      <c r="M100" s="69"/>
    </row>
    <row r="101" spans="2:13" s="37" customFormat="1" ht="15.75">
      <c r="B101" s="48"/>
      <c r="C101" s="160" t="s">
        <v>304</v>
      </c>
      <c r="D101" s="156">
        <f>(($E$17+$F$17)*F801EVE!K87)*$L101</f>
        <v>104600.89218556053</v>
      </c>
      <c r="E101" s="156">
        <f>(($E$17+$F$17)*F801EVE!L87)*$L101</f>
        <v>104644.54662828376</v>
      </c>
      <c r="F101" s="156">
        <f>(($E$17+$F$17)*F801EVE!M87)*$L101</f>
        <v>102668.09313574496</v>
      </c>
      <c r="G101" s="156">
        <f>(($E$17+$F$17)*F801EVE!N87)*$L101</f>
        <v>104285.8401470246</v>
      </c>
      <c r="H101" s="156">
        <f>(($E$17+$F$17)*F801EVE!O87)*$L101</f>
        <v>99767.158657798806</v>
      </c>
      <c r="I101" s="156">
        <f>(($E$17+$F$17)*F801EVE!P87)*$L101</f>
        <v>100234.65459561527</v>
      </c>
      <c r="J101" s="156">
        <f t="shared" si="23"/>
        <v>616201.18535002787</v>
      </c>
      <c r="K101" s="69"/>
      <c r="L101" s="319">
        <v>1</v>
      </c>
      <c r="M101" s="329"/>
    </row>
    <row r="102" spans="2:13" s="37" customFormat="1" ht="15.75">
      <c r="B102" s="48"/>
      <c r="C102" s="162" t="s">
        <v>644</v>
      </c>
      <c r="D102" s="156">
        <f>(($E$17+$F$17)*F801EVE!K88)*$L102</f>
        <v>4153.1162404917332</v>
      </c>
      <c r="E102" s="156">
        <f>(($E$17+$F$17)*F801EVE!L88)*$L102</f>
        <v>4154.8495141881176</v>
      </c>
      <c r="F102" s="156">
        <f>(($E$17+$F$17)*F801EVE!M88)*$L102</f>
        <v>4076.375603240228</v>
      </c>
      <c r="G102" s="156">
        <f>(($E$17+$F$17)*F801EVE!N88)*$L102</f>
        <v>4140.6072865956012</v>
      </c>
      <c r="H102" s="156">
        <f>(($E$17+$F$17)*F801EVE!O88)*$L102</f>
        <v>3961.1957243574761</v>
      </c>
      <c r="I102" s="156">
        <f>(($E$17+$F$17)*F801EVE!P88)*$L102</f>
        <v>3979.7573726488245</v>
      </c>
      <c r="J102" s="156">
        <f t="shared" si="23"/>
        <v>24465.901741521979</v>
      </c>
      <c r="K102" s="69"/>
      <c r="L102" s="319">
        <v>0.75</v>
      </c>
      <c r="M102" s="329"/>
    </row>
    <row r="103" spans="2:13" s="37" customFormat="1" ht="15.75">
      <c r="B103" s="48"/>
      <c r="C103" s="160" t="s">
        <v>305</v>
      </c>
      <c r="D103" s="156">
        <f>(($E$17+$F$17)*F801EVE!K89)*$L103</f>
        <v>0</v>
      </c>
      <c r="E103" s="156">
        <f>(($E$17+$F$17)*F801EVE!L89)*$L103</f>
        <v>0</v>
      </c>
      <c r="F103" s="156">
        <f>(($E$17+$F$17)*F801EVE!M89)*$L103</f>
        <v>0</v>
      </c>
      <c r="G103" s="156">
        <f>(($E$17+$F$17)*F801EVE!N89)*$L103</f>
        <v>0</v>
      </c>
      <c r="H103" s="156">
        <f>(($E$17+$F$17)*F801EVE!O89)*$L103</f>
        <v>0</v>
      </c>
      <c r="I103" s="156">
        <f>(($E$17+$F$17)*F801EVE!P89)*$L103</f>
        <v>0</v>
      </c>
      <c r="J103" s="156">
        <f t="shared" si="23"/>
        <v>0</v>
      </c>
      <c r="K103" s="69"/>
      <c r="L103" s="319">
        <v>0.95</v>
      </c>
      <c r="M103" s="329"/>
    </row>
    <row r="104" spans="2:13" s="37" customFormat="1" ht="15.75">
      <c r="B104" s="48"/>
      <c r="C104" s="160" t="s">
        <v>307</v>
      </c>
      <c r="D104" s="156">
        <f>(($E$17+$F$17)*F801EVE!K90)*$L104</f>
        <v>0</v>
      </c>
      <c r="E104" s="156">
        <f>(($E$17+$F$17)*F801EVE!L90)*$L104</f>
        <v>0</v>
      </c>
      <c r="F104" s="156">
        <f>(($E$17+$F$17)*F801EVE!M90)*$L104</f>
        <v>0</v>
      </c>
      <c r="G104" s="156">
        <f>(($E$17+$F$17)*F801EVE!N90)*$L104</f>
        <v>0</v>
      </c>
      <c r="H104" s="156">
        <f>(($E$17+$F$17)*F801EVE!O90)*$L104</f>
        <v>0</v>
      </c>
      <c r="I104" s="156">
        <f>(($E$17+$F$17)*F801EVE!P90)*$L104</f>
        <v>0</v>
      </c>
      <c r="J104" s="156">
        <f t="shared" si="23"/>
        <v>0</v>
      </c>
      <c r="K104" s="69"/>
      <c r="L104" s="319">
        <v>0.5</v>
      </c>
      <c r="M104" s="329"/>
    </row>
    <row r="105" spans="2:13" s="37" customFormat="1" ht="15.75">
      <c r="B105" s="48"/>
      <c r="C105" s="160" t="s">
        <v>624</v>
      </c>
      <c r="D105" s="156">
        <f>(($E$17+$F$17)*F801EVE!K91)*$L105</f>
        <v>0</v>
      </c>
      <c r="E105" s="156">
        <f>(($E$17+$F$17)*F801EVE!L91)*$L105</f>
        <v>0</v>
      </c>
      <c r="F105" s="156">
        <f>(($E$17+$F$17)*F801EVE!M91)*$L105</f>
        <v>0</v>
      </c>
      <c r="G105" s="156">
        <f>(($E$17+$F$17)*F801EVE!N91)*$L105</f>
        <v>0</v>
      </c>
      <c r="H105" s="156">
        <f>(($E$17+$F$17)*F801EVE!O91)*$L105</f>
        <v>0</v>
      </c>
      <c r="I105" s="156">
        <f>(($E$17+$F$17)*F801EVE!P91)*$L105</f>
        <v>0</v>
      </c>
      <c r="J105" s="156">
        <f t="shared" si="23"/>
        <v>0</v>
      </c>
      <c r="K105" s="69"/>
      <c r="L105" s="319">
        <v>0</v>
      </c>
      <c r="M105" s="329"/>
    </row>
    <row r="106" spans="2:13" s="37" customFormat="1" ht="15.75">
      <c r="B106" s="48" t="s">
        <v>902</v>
      </c>
      <c r="C106" s="158" t="s">
        <v>899</v>
      </c>
      <c r="D106" s="159">
        <f t="shared" ref="D106:I106" si="24">SUM(D107:D112)</f>
        <v>8607.8069559690757</v>
      </c>
      <c r="E106" s="159">
        <f t="shared" si="24"/>
        <v>8611.3993633365535</v>
      </c>
      <c r="F106" s="159">
        <f t="shared" si="24"/>
        <v>8448.7532351272057</v>
      </c>
      <c r="G106" s="159">
        <f t="shared" si="24"/>
        <v>8581.8807227205998</v>
      </c>
      <c r="H106" s="159">
        <f t="shared" si="24"/>
        <v>8210.0298030767608</v>
      </c>
      <c r="I106" s="159">
        <f t="shared" si="24"/>
        <v>8248.5009356009978</v>
      </c>
      <c r="J106" s="159">
        <f t="shared" si="23"/>
        <v>50708.371015831195</v>
      </c>
      <c r="K106" s="69"/>
      <c r="L106" s="319"/>
      <c r="M106" s="69"/>
    </row>
    <row r="107" spans="2:13" s="37" customFormat="1" ht="15.75">
      <c r="B107" s="48"/>
      <c r="C107" s="160" t="s">
        <v>304</v>
      </c>
      <c r="D107" s="156">
        <f>(($E$17+$F$17)*F801EVE!K93)*$L107</f>
        <v>7819.0833813023155</v>
      </c>
      <c r="E107" s="156">
        <f>(($E$17+$F$17)*F801EVE!L93)*$L107</f>
        <v>7822.3466204629503</v>
      </c>
      <c r="F107" s="156">
        <f>(($E$17+$F$17)*F801EVE!M93)*$L107</f>
        <v>7674.6035722486804</v>
      </c>
      <c r="G107" s="156">
        <f>(($E$17+$F$17)*F801EVE!N93)*$L107</f>
        <v>7795.5327393594971</v>
      </c>
      <c r="H107" s="156">
        <f>(($E$17+$F$17)*F801EVE!O93)*$L107</f>
        <v>7457.7540971360104</v>
      </c>
      <c r="I107" s="156">
        <f>(($E$17+$F$17)*F801EVE!P93)*$L107</f>
        <v>7492.700163482391</v>
      </c>
      <c r="J107" s="156">
        <f t="shared" si="23"/>
        <v>46062.020573991838</v>
      </c>
      <c r="K107" s="69"/>
      <c r="L107" s="319">
        <v>1</v>
      </c>
      <c r="M107" s="329"/>
    </row>
    <row r="108" spans="2:13" s="37" customFormat="1" ht="15.75">
      <c r="B108" s="48"/>
      <c r="C108" s="162" t="s">
        <v>642</v>
      </c>
      <c r="D108" s="156">
        <f>(($E$17+$F$17)*F801EVE!K94)*$L108</f>
        <v>715.21970087673731</v>
      </c>
      <c r="E108" s="156">
        <f>(($E$17+$F$17)*F801EVE!L94)*$L108</f>
        <v>715.51819276159688</v>
      </c>
      <c r="F108" s="156">
        <f>(($E$17+$F$17)*F801EVE!M94)*$L108</f>
        <v>702.0039822592363</v>
      </c>
      <c r="G108" s="156">
        <f>(($E$17+$F$17)*F801EVE!N94)*$L108</f>
        <v>713.06549912898799</v>
      </c>
      <c r="H108" s="156">
        <f>(($E$17+$F$17)*F801EVE!O94)*$L108</f>
        <v>682.16853491047959</v>
      </c>
      <c r="I108" s="156">
        <f>(($E$17+$F$17)*F801EVE!P94)*$L108</f>
        <v>685.36508799735998</v>
      </c>
      <c r="J108" s="156">
        <f t="shared" si="23"/>
        <v>4213.3409979343978</v>
      </c>
      <c r="K108" s="69"/>
      <c r="L108" s="319">
        <v>0.75</v>
      </c>
      <c r="M108" s="329"/>
    </row>
    <row r="109" spans="2:13" s="37" customFormat="1" ht="15.75">
      <c r="B109" s="48"/>
      <c r="C109" s="162" t="s">
        <v>1177</v>
      </c>
      <c r="D109" s="156">
        <f>(($E$17+$F$17)*F801EVE!K95)*$L109</f>
        <v>73.50387379002342</v>
      </c>
      <c r="E109" s="156">
        <f>(($E$17+$F$17)*F801EVE!L95)*$L109</f>
        <v>73.534550112005562</v>
      </c>
      <c r="F109" s="156">
        <f>(($E$17+$F$17)*F801EVE!M95)*$L109</f>
        <v>72.145680619289337</v>
      </c>
      <c r="G109" s="156">
        <f>(($E$17+$F$17)*F801EVE!N95)*$L109</f>
        <v>73.282484232114555</v>
      </c>
      <c r="H109" s="156">
        <f>(($E$17+$F$17)*F801EVE!O95)*$L109</f>
        <v>70.107171030271559</v>
      </c>
      <c r="I109" s="156">
        <f>(($E$17+$F$17)*F801EVE!P95)*$L109</f>
        <v>70.435684121246467</v>
      </c>
      <c r="J109" s="156">
        <f t="shared" si="23"/>
        <v>433.0094439049509</v>
      </c>
      <c r="K109" s="69"/>
      <c r="L109" s="319">
        <v>1</v>
      </c>
      <c r="M109" s="329"/>
    </row>
    <row r="110" spans="2:13" s="37" customFormat="1" ht="15.75">
      <c r="B110" s="48"/>
      <c r="C110" s="160" t="s">
        <v>305</v>
      </c>
      <c r="D110" s="156">
        <f>(($E$17+$F$17)*F801EVE!K96)*$L110</f>
        <v>0</v>
      </c>
      <c r="E110" s="156">
        <f>(($E$17+$F$17)*F801EVE!L96)*$L110</f>
        <v>0</v>
      </c>
      <c r="F110" s="156">
        <f>(($E$17+$F$17)*F801EVE!M96)*$L110</f>
        <v>0</v>
      </c>
      <c r="G110" s="156">
        <f>(($E$17+$F$17)*F801EVE!N96)*$L110</f>
        <v>0</v>
      </c>
      <c r="H110" s="156">
        <f>(($E$17+$F$17)*F801EVE!O96)*$L110</f>
        <v>0</v>
      </c>
      <c r="I110" s="156">
        <f>(($E$17+$F$17)*F801EVE!P96)*$L110</f>
        <v>0</v>
      </c>
      <c r="J110" s="156">
        <f t="shared" si="23"/>
        <v>0</v>
      </c>
      <c r="K110" s="69"/>
      <c r="L110" s="319">
        <v>0.95</v>
      </c>
      <c r="M110" s="329"/>
    </row>
    <row r="111" spans="2:13" s="37" customFormat="1" ht="15.75">
      <c r="B111" s="48"/>
      <c r="C111" s="160" t="s">
        <v>307</v>
      </c>
      <c r="D111" s="156">
        <f>(($E$17+$F$17)*F801EVE!K97)*$L111</f>
        <v>0</v>
      </c>
      <c r="E111" s="156">
        <f>(($E$17+$F$17)*F801EVE!L97)*$L111</f>
        <v>0</v>
      </c>
      <c r="F111" s="156">
        <f>(($E$17+$F$17)*F801EVE!M97)*$L111</f>
        <v>0</v>
      </c>
      <c r="G111" s="156">
        <f>(($E$17+$F$17)*F801EVE!N97)*$L111</f>
        <v>0</v>
      </c>
      <c r="H111" s="156">
        <f>(($E$17+$F$17)*F801EVE!O97)*$L111</f>
        <v>0</v>
      </c>
      <c r="I111" s="156">
        <f>(($E$17+$F$17)*F801EVE!P97)*$L111</f>
        <v>0</v>
      </c>
      <c r="J111" s="156">
        <f t="shared" si="23"/>
        <v>0</v>
      </c>
      <c r="K111" s="69"/>
      <c r="L111" s="319">
        <v>0.5</v>
      </c>
      <c r="M111" s="329"/>
    </row>
    <row r="112" spans="2:13" s="37" customFormat="1" ht="15.75">
      <c r="B112" s="48"/>
      <c r="C112" s="160" t="s">
        <v>624</v>
      </c>
      <c r="D112" s="156">
        <f>(($E$17+$F$17)*F801EVE!K98)*$L112</f>
        <v>0</v>
      </c>
      <c r="E112" s="156">
        <f>($E$17*F801EVE!L98+$F$17*F801EVE!L98)*$L112</f>
        <v>0</v>
      </c>
      <c r="F112" s="156">
        <f>($E$17*F801EVE!M98+$F$17*F801EVE!M98)*$L112</f>
        <v>0</v>
      </c>
      <c r="G112" s="156">
        <f>($E$17*F801EVE!N98+$F$17*F801EVE!N98)*$L112</f>
        <v>0</v>
      </c>
      <c r="H112" s="156">
        <f>($E$17*F801EVE!O98+$F$17*F801EVE!O98)*$L112</f>
        <v>0</v>
      </c>
      <c r="I112" s="156">
        <f>($E$17*F801EVE!P98+$F$17*F801EVE!P98)*$L112</f>
        <v>0</v>
      </c>
      <c r="J112" s="156">
        <f t="shared" si="23"/>
        <v>0</v>
      </c>
      <c r="K112" s="69"/>
      <c r="L112" s="319">
        <v>0</v>
      </c>
      <c r="M112" s="329"/>
    </row>
    <row r="113" spans="2:13" s="37" customFormat="1" ht="15.75">
      <c r="B113" s="48" t="s">
        <v>902</v>
      </c>
      <c r="C113" s="158" t="s">
        <v>900</v>
      </c>
      <c r="D113" s="159">
        <f t="shared" ref="D113:I113" si="25">SUM(D114:D119)</f>
        <v>951.89534306077314</v>
      </c>
      <c r="E113" s="159">
        <f t="shared" si="25"/>
        <v>952.29260985137046</v>
      </c>
      <c r="F113" s="159">
        <f t="shared" si="25"/>
        <v>934.30636866342388</v>
      </c>
      <c r="G113" s="159">
        <f t="shared" si="25"/>
        <v>949.02828751241202</v>
      </c>
      <c r="H113" s="159">
        <f t="shared" si="25"/>
        <v>907.90710989627382</v>
      </c>
      <c r="I113" s="159">
        <f t="shared" si="25"/>
        <v>912.16144460422151</v>
      </c>
      <c r="J113" s="159">
        <f t="shared" si="23"/>
        <v>5607.591163588475</v>
      </c>
      <c r="K113" s="69"/>
      <c r="L113" s="319"/>
      <c r="M113" s="69"/>
    </row>
    <row r="114" spans="2:13" s="37" customFormat="1" ht="15.75">
      <c r="B114" s="48"/>
      <c r="C114" s="160" t="s">
        <v>304</v>
      </c>
      <c r="D114" s="156">
        <f>(($E$17+$F$17)*F801EVE!K100)*$L114</f>
        <v>924.77040552537426</v>
      </c>
      <c r="E114" s="156">
        <f>(($E$17+$F$17)*F801EVE!L100)*$L114</f>
        <v>925.15635191509091</v>
      </c>
      <c r="F114" s="156">
        <f>(($E$17+$F$17)*F801EVE!M100)*$L114</f>
        <v>907.68264151351309</v>
      </c>
      <c r="G114" s="156">
        <f>(($E$17+$F$17)*F801EVE!N100)*$L114</f>
        <v>921.98504877218716</v>
      </c>
      <c r="H114" s="156">
        <f>(($E$17+$F$17)*F801EVE!O100)*$L114</f>
        <v>882.03564847626694</v>
      </c>
      <c r="I114" s="156">
        <f>(($E$17+$F$17)*F801EVE!P100)*$L114</f>
        <v>886.168752878752</v>
      </c>
      <c r="J114" s="156">
        <f t="shared" si="23"/>
        <v>5447.798849081184</v>
      </c>
      <c r="K114" s="69"/>
      <c r="L114" s="319">
        <v>1</v>
      </c>
      <c r="M114" s="329"/>
    </row>
    <row r="115" spans="2:13" s="37" customFormat="1" ht="15.75">
      <c r="B115" s="48"/>
      <c r="C115" s="162" t="s">
        <v>642</v>
      </c>
      <c r="D115" s="156">
        <f>(($E$17+$F$17)*F801EVE!K101)*$L115</f>
        <v>27.124937535398907</v>
      </c>
      <c r="E115" s="156">
        <f>(($E$17+$F$17)*F801EVE!L101)*$L115</f>
        <v>27.13625793627952</v>
      </c>
      <c r="F115" s="156">
        <f>(($E$17+$F$17)*F801EVE!M101)*$L115</f>
        <v>26.623727149910788</v>
      </c>
      <c r="G115" s="156">
        <f>(($E$17+$F$17)*F801EVE!N101)*$L115</f>
        <v>27.043238740224893</v>
      </c>
      <c r="H115" s="156">
        <f>(($E$17+$F$17)*F801EVE!O101)*$L115</f>
        <v>25.871461420006849</v>
      </c>
      <c r="I115" s="156">
        <f>(($E$17+$F$17)*F801EVE!P101)*$L115</f>
        <v>25.992691725469534</v>
      </c>
      <c r="J115" s="156">
        <f t="shared" si="23"/>
        <v>159.79231450729048</v>
      </c>
      <c r="K115" s="69"/>
      <c r="L115" s="319">
        <v>0.75</v>
      </c>
      <c r="M115" s="329"/>
    </row>
    <row r="116" spans="2:13" s="37" customFormat="1" ht="15.75">
      <c r="B116" s="48"/>
      <c r="C116" s="162" t="s">
        <v>1177</v>
      </c>
      <c r="D116" s="156">
        <f>(($E$17+$F$17)*F801EVE!K102)*$L116</f>
        <v>0</v>
      </c>
      <c r="E116" s="156">
        <f>(($E$17+$F$17)*F801EVE!L102)*$L116</f>
        <v>0</v>
      </c>
      <c r="F116" s="156">
        <f>(($E$17+$F$17)*F801EVE!M102)*$L116</f>
        <v>0</v>
      </c>
      <c r="G116" s="156">
        <f>(($E$17+$F$17)*F801EVE!N102)*$L116</f>
        <v>0</v>
      </c>
      <c r="H116" s="156">
        <f>(($E$17+$F$17)*F801EVE!O102)*$L116</f>
        <v>0</v>
      </c>
      <c r="I116" s="156">
        <f>(($E$17+$F$17)*F801EVE!P102)*$L116</f>
        <v>0</v>
      </c>
      <c r="J116" s="156">
        <f t="shared" si="23"/>
        <v>0</v>
      </c>
      <c r="K116" s="69"/>
      <c r="L116" s="319">
        <v>1</v>
      </c>
      <c r="M116" s="329"/>
    </row>
    <row r="117" spans="2:13" s="37" customFormat="1" ht="15.75">
      <c r="B117" s="48"/>
      <c r="C117" s="160" t="s">
        <v>305</v>
      </c>
      <c r="D117" s="156">
        <f>(($E$17+$F$17)*F801EVE!K103)*$L117</f>
        <v>0</v>
      </c>
      <c r="E117" s="156">
        <f>(($E$17+$F$17)*F801EVE!L103)*$L117</f>
        <v>0</v>
      </c>
      <c r="F117" s="156">
        <f>(($E$17+$F$17)*F801EVE!M103)*$L117</f>
        <v>0</v>
      </c>
      <c r="G117" s="156">
        <f>(($E$17+$F$17)*F801EVE!N103)*$L117</f>
        <v>0</v>
      </c>
      <c r="H117" s="156">
        <f>(($E$17+$F$17)*F801EVE!O103)*$L117</f>
        <v>0</v>
      </c>
      <c r="I117" s="156">
        <f>(($E$17+$F$17)*F801EVE!P103)*$L117</f>
        <v>0</v>
      </c>
      <c r="J117" s="156">
        <f t="shared" si="23"/>
        <v>0</v>
      </c>
      <c r="K117" s="69"/>
      <c r="L117" s="319">
        <v>0.95</v>
      </c>
      <c r="M117" s="329"/>
    </row>
    <row r="118" spans="2:13" s="37" customFormat="1" ht="15.75">
      <c r="B118" s="48"/>
      <c r="C118" s="160" t="s">
        <v>307</v>
      </c>
      <c r="D118" s="156">
        <f>(($E$17+$F$17)*F801EVE!K104)*$L118</f>
        <v>0</v>
      </c>
      <c r="E118" s="156">
        <f>(($E$17+$F$17)*F801EVE!L104)*$L118</f>
        <v>0</v>
      </c>
      <c r="F118" s="156">
        <f>(($E$17+$F$17)*F801EVE!M104)*$L118</f>
        <v>0</v>
      </c>
      <c r="G118" s="156">
        <f>(($E$17+$F$17)*F801EVE!N104)*$L118</f>
        <v>0</v>
      </c>
      <c r="H118" s="156">
        <f>(($E$17+$F$17)*F801EVE!O104)*$L118</f>
        <v>0</v>
      </c>
      <c r="I118" s="156">
        <f>(($E$17+$F$17)*F801EVE!P104)*$L118</f>
        <v>0</v>
      </c>
      <c r="J118" s="156">
        <f t="shared" si="23"/>
        <v>0</v>
      </c>
      <c r="K118" s="69"/>
      <c r="L118" s="319">
        <v>0.5</v>
      </c>
      <c r="M118" s="329"/>
    </row>
    <row r="119" spans="2:13" s="37" customFormat="1" ht="15.75">
      <c r="B119" s="48"/>
      <c r="C119" s="160" t="s">
        <v>624</v>
      </c>
      <c r="D119" s="156">
        <f>(($E$17+$F$17)*F801EVE!K105)*$L119</f>
        <v>0</v>
      </c>
      <c r="E119" s="156">
        <f>(($E$17+$F$17)*F801EVE!L105)*$L119</f>
        <v>0</v>
      </c>
      <c r="F119" s="156">
        <f>(($E$17+$F$17)*F801EVE!M105)*$L119</f>
        <v>0</v>
      </c>
      <c r="G119" s="156">
        <f>(($E$17+$F$17)*F801EVE!N105)*$L119</f>
        <v>0</v>
      </c>
      <c r="H119" s="156">
        <f>(($E$17+$F$17)*F801EVE!O105)*$L119</f>
        <v>0</v>
      </c>
      <c r="I119" s="156">
        <f>(($E$17+$F$17)*F801EVE!P105)*$L119</f>
        <v>0</v>
      </c>
      <c r="J119" s="156">
        <f t="shared" si="23"/>
        <v>0</v>
      </c>
      <c r="K119" s="69"/>
      <c r="L119" s="319">
        <v>0</v>
      </c>
      <c r="M119" s="329"/>
    </row>
    <row r="120" spans="2:13" s="37" customFormat="1" ht="15.75">
      <c r="B120" s="48"/>
      <c r="C120" s="157"/>
      <c r="D120" s="156"/>
      <c r="E120" s="156"/>
      <c r="F120" s="156"/>
      <c r="G120" s="156"/>
      <c r="H120" s="156"/>
      <c r="I120" s="156"/>
      <c r="J120" s="156"/>
      <c r="K120" s="69"/>
      <c r="L120" s="319"/>
      <c r="M120" s="69"/>
    </row>
    <row r="121" spans="2:13" s="37" customFormat="1" ht="15.75">
      <c r="B121" s="48"/>
      <c r="C121" s="153" t="s">
        <v>112</v>
      </c>
      <c r="D121" s="154">
        <f t="shared" ref="D121:I121" si="26">D44+D34+D30</f>
        <v>3479027.9395561269</v>
      </c>
      <c r="E121" s="154">
        <f t="shared" si="26"/>
        <v>3480479.8865704914</v>
      </c>
      <c r="F121" s="154">
        <f t="shared" si="26"/>
        <v>3440561.4713045922</v>
      </c>
      <c r="G121" s="154">
        <f t="shared" si="26"/>
        <v>3468549.3069545953</v>
      </c>
      <c r="H121" s="154">
        <f t="shared" si="26"/>
        <v>3343346.8571489197</v>
      </c>
      <c r="I121" s="154">
        <f t="shared" si="26"/>
        <v>3333806.8523711246</v>
      </c>
      <c r="J121" s="154">
        <f>SUM(D121:I121)</f>
        <v>20545772.31390585</v>
      </c>
      <c r="K121" s="69"/>
      <c r="L121" s="319"/>
    </row>
    <row r="122" spans="2:13">
      <c r="C122" s="48"/>
      <c r="D122" s="48"/>
      <c r="E122" s="48"/>
      <c r="F122" s="48"/>
      <c r="G122" s="48"/>
      <c r="H122" s="48"/>
      <c r="I122" s="48"/>
      <c r="J122" s="48"/>
    </row>
    <row r="123" spans="2:13" s="69" customFormat="1" ht="31.5" customHeight="1">
      <c r="B123" s="48"/>
      <c r="C123" s="320" t="s">
        <v>1462</v>
      </c>
      <c r="D123" s="320"/>
      <c r="E123" s="320"/>
      <c r="F123" s="320"/>
      <c r="G123" s="320"/>
      <c r="H123" s="320"/>
      <c r="I123" s="320"/>
      <c r="J123" s="321"/>
      <c r="L123" s="319"/>
    </row>
    <row r="124" spans="2:13" s="37" customFormat="1" ht="15.75">
      <c r="B124" s="48"/>
      <c r="C124" s="150" t="s">
        <v>310</v>
      </c>
      <c r="D124" s="151">
        <f t="shared" ref="D124:I124" si="27">D$29</f>
        <v>46204</v>
      </c>
      <c r="E124" s="151">
        <f t="shared" si="27"/>
        <v>46235</v>
      </c>
      <c r="F124" s="151">
        <f t="shared" si="27"/>
        <v>46266</v>
      </c>
      <c r="G124" s="151">
        <f t="shared" si="27"/>
        <v>46296</v>
      </c>
      <c r="H124" s="151">
        <f t="shared" si="27"/>
        <v>46327</v>
      </c>
      <c r="I124" s="151">
        <f t="shared" si="27"/>
        <v>46357</v>
      </c>
      <c r="J124" s="152" t="s">
        <v>111</v>
      </c>
      <c r="K124" s="69"/>
      <c r="L124" s="319"/>
    </row>
    <row r="125" spans="2:13" s="37" customFormat="1" ht="15.75" customHeight="1">
      <c r="B125" s="48"/>
      <c r="C125" s="153" t="s">
        <v>446</v>
      </c>
      <c r="D125" s="154">
        <f t="shared" ref="D125:I125" si="28">SUM(D126:D127)</f>
        <v>169787.2241332597</v>
      </c>
      <c r="E125" s="154">
        <f t="shared" si="28"/>
        <v>169858.08365628691</v>
      </c>
      <c r="F125" s="154">
        <f t="shared" si="28"/>
        <v>166649.92102654843</v>
      </c>
      <c r="G125" s="154">
        <f t="shared" si="28"/>
        <v>169275.83432304184</v>
      </c>
      <c r="H125" s="154">
        <f t="shared" si="28"/>
        <v>161941.14866301956</v>
      </c>
      <c r="I125" s="154">
        <f t="shared" si="28"/>
        <v>162699.98412407096</v>
      </c>
      <c r="J125" s="154">
        <f>SUM(D125:I125)</f>
        <v>1000212.1959262274</v>
      </c>
      <c r="K125" s="69"/>
      <c r="L125" s="319"/>
    </row>
    <row r="126" spans="2:13" s="37" customFormat="1" ht="15.75" customHeight="1">
      <c r="B126" s="48" t="s">
        <v>279</v>
      </c>
      <c r="C126" s="155" t="s">
        <v>279</v>
      </c>
      <c r="D126" s="156">
        <f>$H$7*F801EVE!R6+$I$7*F801EVE!Y6</f>
        <v>169782.84654278698</v>
      </c>
      <c r="E126" s="156">
        <f>$H$7*F801EVE!S6+$I$7*F801EVE!Z6</f>
        <v>169853.70606581419</v>
      </c>
      <c r="F126" s="156">
        <f>$H$7*F801EVE!T6+$I$7*F801EVE!AA6</f>
        <v>166645.54343607571</v>
      </c>
      <c r="G126" s="156">
        <f>$H$7*F801EVE!U6+$I$7*F801EVE!AB6</f>
        <v>169271.45673256912</v>
      </c>
      <c r="H126" s="156">
        <f>$H$7*F801EVE!V6+$I$7*F801EVE!AC6</f>
        <v>161936.77107254684</v>
      </c>
      <c r="I126" s="156">
        <f>$H$7*F801EVE!W6+$I$7*F801EVE!AD6</f>
        <v>162695.60653359824</v>
      </c>
      <c r="J126" s="156">
        <f>SUM(D126:I126)</f>
        <v>1000185.9303833911</v>
      </c>
      <c r="K126" s="69"/>
      <c r="L126" s="319"/>
    </row>
    <row r="127" spans="2:13" s="37" customFormat="1" ht="15.75" customHeight="1">
      <c r="B127" s="48" t="s">
        <v>278</v>
      </c>
      <c r="C127" s="155" t="s">
        <v>278</v>
      </c>
      <c r="D127" s="156">
        <f>$F$8*F801EVE!R7</f>
        <v>4.3775904727243011</v>
      </c>
      <c r="E127" s="156">
        <f>$F$8*F801EVE!S7</f>
        <v>4.3775904727243011</v>
      </c>
      <c r="F127" s="156">
        <f>$F$8*F801EVE!T7</f>
        <v>4.3775904727243011</v>
      </c>
      <c r="G127" s="156">
        <f>$F$8*F801EVE!U7</f>
        <v>4.3775904727243011</v>
      </c>
      <c r="H127" s="156">
        <f>$F$8*F801EVE!V7</f>
        <v>4.3775904727243011</v>
      </c>
      <c r="I127" s="156">
        <f>$F$8*F801EVE!W7</f>
        <v>4.3775904727243011</v>
      </c>
      <c r="J127" s="156">
        <f>SUM(D127:I127)</f>
        <v>26.265542836345805</v>
      </c>
      <c r="K127" s="69"/>
      <c r="L127" s="319"/>
    </row>
    <row r="128" spans="2:13" s="37" customFormat="1" ht="15.75" customHeight="1">
      <c r="B128" s="48"/>
      <c r="C128" s="157"/>
      <c r="D128" s="156"/>
      <c r="E128" s="156"/>
      <c r="F128" s="156"/>
      <c r="G128" s="156"/>
      <c r="H128" s="156"/>
      <c r="I128" s="156"/>
      <c r="J128" s="156"/>
      <c r="K128" s="69"/>
      <c r="L128" s="319"/>
    </row>
    <row r="129" spans="2:12" s="37" customFormat="1" ht="15.75" customHeight="1">
      <c r="B129" s="48"/>
      <c r="C129" s="153" t="s">
        <v>630</v>
      </c>
      <c r="D129" s="154">
        <f>D130+D133</f>
        <v>666596.1163671941</v>
      </c>
      <c r="E129" s="154">
        <f t="shared" ref="E129:I129" si="29">E130+E133</f>
        <v>666874.31554287486</v>
      </c>
      <c r="F129" s="154">
        <f t="shared" si="29"/>
        <v>654278.85679698281</v>
      </c>
      <c r="G129" s="154">
        <f t="shared" si="29"/>
        <v>664588.3661372147</v>
      </c>
      <c r="H129" s="154">
        <f t="shared" si="29"/>
        <v>635791.90495144622</v>
      </c>
      <c r="I129" s="154">
        <f t="shared" si="29"/>
        <v>638771.14317833516</v>
      </c>
      <c r="J129" s="154">
        <f t="shared" ref="J129:J137" si="30">SUM(D129:I129)</f>
        <v>3926900.7029740475</v>
      </c>
      <c r="K129" s="69"/>
      <c r="L129" s="319"/>
    </row>
    <row r="130" spans="2:12" s="37" customFormat="1" ht="15.75" customHeight="1">
      <c r="B130" s="48" t="s">
        <v>277</v>
      </c>
      <c r="C130" s="155" t="s">
        <v>277</v>
      </c>
      <c r="D130" s="154">
        <f>SUM(D131:D132)</f>
        <v>77844.868564171833</v>
      </c>
      <c r="E130" s="154">
        <f t="shared" ref="E130:I130" si="31">SUM(E131:E132)</f>
        <v>77877.356569627882</v>
      </c>
      <c r="F130" s="154">
        <f t="shared" si="31"/>
        <v>76406.463165803565</v>
      </c>
      <c r="G130" s="154">
        <f t="shared" si="31"/>
        <v>77610.404172728624</v>
      </c>
      <c r="H130" s="154">
        <f t="shared" si="31"/>
        <v>74247.563194392351</v>
      </c>
      <c r="I130" s="154">
        <f t="shared" si="31"/>
        <v>74595.477624883526</v>
      </c>
      <c r="J130" s="154">
        <f t="shared" si="30"/>
        <v>458582.13329160784</v>
      </c>
      <c r="K130" s="69"/>
      <c r="L130" s="319"/>
    </row>
    <row r="131" spans="2:12" s="37" customFormat="1" ht="15.75" customHeight="1">
      <c r="B131" s="48"/>
      <c r="C131" s="160" t="s">
        <v>304</v>
      </c>
      <c r="D131" s="156">
        <f>$H$9*F801EVE!R11+$I$9*F801EVE!Y11</f>
        <v>67871.244367636085</v>
      </c>
      <c r="E131" s="156">
        <f>$H$9*F801EVE!S11+$I$9*F801EVE!Z11</f>
        <v>67899.569951556972</v>
      </c>
      <c r="F131" s="156">
        <f>$H$9*F801EVE!T11+$I$9*F801EVE!AA11</f>
        <v>66617.130049080835</v>
      </c>
      <c r="G131" s="156">
        <f>$H$9*F801EVE!U11+$I$9*F801EVE!AB11</f>
        <v>67666.819974600687</v>
      </c>
      <c r="H131" s="156">
        <f>$H$9*F801EVE!V11+$I$9*F801EVE!AC11</f>
        <v>64734.832214585265</v>
      </c>
      <c r="I131" s="156">
        <f>$H$9*F801EVE!W11+$I$9*F801EVE!AD11</f>
        <v>65038.171224162084</v>
      </c>
      <c r="J131" s="156">
        <f t="shared" si="30"/>
        <v>399827.76778162195</v>
      </c>
      <c r="K131" s="69"/>
      <c r="L131" s="319"/>
    </row>
    <row r="132" spans="2:12" s="37" customFormat="1" ht="15.75" customHeight="1">
      <c r="B132" s="48"/>
      <c r="C132" s="160" t="s">
        <v>305</v>
      </c>
      <c r="D132" s="156">
        <f>($H$9*F801EVE!R12+$I$9*F801EVE!Y12)*$L132</f>
        <v>9973.6241965357458</v>
      </c>
      <c r="E132" s="156">
        <f>($H$9*F801EVE!S12+$I$9*F801EVE!Z12)*$L132</f>
        <v>9977.7866180709116</v>
      </c>
      <c r="F132" s="156">
        <f>($H$9*F801EVE!T12+$I$9*F801EVE!AA12)*$L132</f>
        <v>9789.3331167227316</v>
      </c>
      <c r="G132" s="156">
        <f>($H$9*F801EVE!U12+$I$9*F801EVE!AB12)*$L132</f>
        <v>9943.5841981279355</v>
      </c>
      <c r="H132" s="156">
        <f>($H$9*F801EVE!V12+$I$9*F801EVE!AC12)*$L132</f>
        <v>9512.7309798070874</v>
      </c>
      <c r="I132" s="156">
        <f>($H$9*F801EVE!W12+$I$9*F801EVE!AD12)*$L132</f>
        <v>9557.3064007214471</v>
      </c>
      <c r="J132" s="156">
        <f t="shared" si="30"/>
        <v>58754.365509985859</v>
      </c>
      <c r="K132" s="69"/>
      <c r="L132" s="319">
        <v>0.95</v>
      </c>
    </row>
    <row r="133" spans="2:12" s="37" customFormat="1" ht="15.75" customHeight="1">
      <c r="B133" s="48" t="s">
        <v>276</v>
      </c>
      <c r="C133" s="158" t="s">
        <v>276</v>
      </c>
      <c r="D133" s="159">
        <f t="shared" ref="D133:I133" si="32">SUM(D134:D137)</f>
        <v>588751.24780302227</v>
      </c>
      <c r="E133" s="159">
        <f t="shared" si="32"/>
        <v>588996.95897324698</v>
      </c>
      <c r="F133" s="159">
        <f t="shared" si="32"/>
        <v>577872.39363117923</v>
      </c>
      <c r="G133" s="159">
        <f t="shared" si="32"/>
        <v>586977.96196448605</v>
      </c>
      <c r="H133" s="159">
        <f t="shared" si="32"/>
        <v>561544.34175705386</v>
      </c>
      <c r="I133" s="159">
        <f t="shared" si="32"/>
        <v>564175.66555345163</v>
      </c>
      <c r="J133" s="159">
        <f t="shared" si="30"/>
        <v>3468318.5696824403</v>
      </c>
      <c r="K133" s="69"/>
      <c r="L133" s="319"/>
    </row>
    <row r="134" spans="2:12" s="37" customFormat="1" ht="15.75" customHeight="1">
      <c r="B134" s="48"/>
      <c r="C134" s="160" t="s">
        <v>304</v>
      </c>
      <c r="D134" s="156">
        <f>$F$10*(F801EVE!R15+F801EVE!Y15)*$L134</f>
        <v>586456.03071531479</v>
      </c>
      <c r="E134" s="156">
        <f>$F$10*(F801EVE!S15+F801EVE!Z15)*$L134</f>
        <v>586700.78399291739</v>
      </c>
      <c r="F134" s="156">
        <f>$F$10*(F801EVE!T15+F801EVE!AA15)*$L134</f>
        <v>575619.58720855834</v>
      </c>
      <c r="G134" s="156">
        <f>$F$10*(F801EVE!U15+F801EVE!AB15)*$L134</f>
        <v>584689.65794231044</v>
      </c>
      <c r="H134" s="156">
        <f>$F$10*(F801EVE!V15+F801EVE!AC15)*$L134</f>
        <v>559355.18942231871</v>
      </c>
      <c r="I134" s="156">
        <f>$F$10*(F801EVE!W15+F801EVE!AD15)*$L134</f>
        <v>561976.25513542013</v>
      </c>
      <c r="J134" s="156">
        <f t="shared" si="30"/>
        <v>3454797.5044168397</v>
      </c>
      <c r="K134" s="69"/>
      <c r="L134" s="319">
        <v>1</v>
      </c>
    </row>
    <row r="135" spans="2:12" s="37" customFormat="1" ht="15.75" customHeight="1">
      <c r="B135" s="48"/>
      <c r="C135" s="161" t="s">
        <v>306</v>
      </c>
      <c r="D135" s="156">
        <f>$F$10*(F801EVE!R16+F801EVE!Y16)*$L135</f>
        <v>0</v>
      </c>
      <c r="E135" s="156">
        <f>$F$10*(F801EVE!S16+F801EVE!Z16)*$L135</f>
        <v>0</v>
      </c>
      <c r="F135" s="156">
        <f>$F$10*(F801EVE!T16+F801EVE!AA16)*$L135</f>
        <v>0</v>
      </c>
      <c r="G135" s="156">
        <f>$F$10*(F801EVE!U16+F801EVE!AB16)*$L135</f>
        <v>0</v>
      </c>
      <c r="H135" s="156">
        <f>$F$10*(F801EVE!V16+F801EVE!AC16)*$L135</f>
        <v>0</v>
      </c>
      <c r="I135" s="156">
        <f>$F$10*(F801EVE!W16+F801EVE!AD16)*$L135</f>
        <v>0</v>
      </c>
      <c r="J135" s="156">
        <f t="shared" si="30"/>
        <v>0</v>
      </c>
      <c r="K135" s="69"/>
      <c r="L135" s="319">
        <v>1</v>
      </c>
    </row>
    <row r="136" spans="2:12" s="37" customFormat="1" ht="15.75" customHeight="1">
      <c r="B136" s="48"/>
      <c r="C136" s="160" t="s">
        <v>305</v>
      </c>
      <c r="D136" s="156">
        <f>$F$10*(F801EVE!R17+F801EVE!Y17)*$L136</f>
        <v>2295.2170877074645</v>
      </c>
      <c r="E136" s="156">
        <f>$F$10*(F801EVE!S17+F801EVE!Z17)*$L136</f>
        <v>2296.1749803295943</v>
      </c>
      <c r="F136" s="156">
        <f>$F$10*(F801EVE!T17+F801EVE!AA17)*$L136</f>
        <v>2252.8064226208639</v>
      </c>
      <c r="G136" s="156">
        <f>$F$10*(F801EVE!U17+F801EVE!AB17)*$L136</f>
        <v>2288.3040221756537</v>
      </c>
      <c r="H136" s="156">
        <f>$F$10*(F801EVE!V17+F801EVE!AC17)*$L136</f>
        <v>2189.152334735169</v>
      </c>
      <c r="I136" s="156">
        <f>$F$10*(F801EVE!W17+F801EVE!AD17)*$L136</f>
        <v>2199.4104180315026</v>
      </c>
      <c r="J136" s="156">
        <f t="shared" si="30"/>
        <v>13521.065265600248</v>
      </c>
      <c r="K136" s="69"/>
      <c r="L136" s="319">
        <v>0.95</v>
      </c>
    </row>
    <row r="137" spans="2:12" s="37" customFormat="1" ht="15.75" customHeight="1">
      <c r="B137" s="48"/>
      <c r="C137" s="160" t="s">
        <v>307</v>
      </c>
      <c r="D137" s="156">
        <f>$F$10*(F801EVE!R18+F801EVE!Y18)*$L137</f>
        <v>0</v>
      </c>
      <c r="E137" s="156">
        <f>$F$10*(F801EVE!S18+F801EVE!Z18)*$L137</f>
        <v>0</v>
      </c>
      <c r="F137" s="156">
        <f>$F$10*(F801EVE!T18+F801EVE!AA18)*$L137</f>
        <v>0</v>
      </c>
      <c r="G137" s="156">
        <f>$F$10*(F801EVE!U18+F801EVE!AB18)*$L137</f>
        <v>0</v>
      </c>
      <c r="H137" s="156">
        <f>$F$10*(F801EVE!V18+F801EVE!AC18)*$L137</f>
        <v>0</v>
      </c>
      <c r="I137" s="156">
        <f>$F$10*(F801EVE!W18+F801EVE!AD18)*$L137</f>
        <v>0</v>
      </c>
      <c r="J137" s="156">
        <f t="shared" si="30"/>
        <v>0</v>
      </c>
      <c r="K137" s="69"/>
      <c r="L137" s="319">
        <v>0.5</v>
      </c>
    </row>
    <row r="138" spans="2:12" s="37" customFormat="1" ht="15.75" customHeight="1">
      <c r="B138" s="48"/>
      <c r="C138" s="157"/>
      <c r="D138" s="157"/>
      <c r="E138" s="157"/>
      <c r="F138" s="157"/>
      <c r="G138" s="157"/>
      <c r="H138" s="157"/>
      <c r="I138" s="157"/>
      <c r="J138" s="157"/>
      <c r="K138" s="69"/>
      <c r="L138" s="319"/>
    </row>
    <row r="139" spans="2:12" s="37" customFormat="1" ht="15.75" customHeight="1">
      <c r="B139" s="48"/>
      <c r="C139" s="153" t="s">
        <v>443</v>
      </c>
      <c r="D139" s="154">
        <f t="shared" ref="D139:I139" si="33">D140+D144+D151+D156+D161+D174+D180+D187+D195+D201+D208+D167</f>
        <v>5727320.3182120714</v>
      </c>
      <c r="E139" s="154">
        <f t="shared" si="33"/>
        <v>5729710.5748491324</v>
      </c>
      <c r="F139" s="154">
        <f t="shared" si="33"/>
        <v>5621491.7823579786</v>
      </c>
      <c r="G139" s="154">
        <f t="shared" si="33"/>
        <v>5710069.9496549862</v>
      </c>
      <c r="H139" s="154">
        <f t="shared" si="33"/>
        <v>5462653.9308808735</v>
      </c>
      <c r="I139" s="154">
        <f t="shared" si="33"/>
        <v>5488251.2171696741</v>
      </c>
      <c r="J139" s="154">
        <f t="shared" ref="J139:J165" si="34">SUM(D139:I139)</f>
        <v>33739497.773124717</v>
      </c>
      <c r="K139" s="69"/>
      <c r="L139" s="319"/>
    </row>
    <row r="140" spans="2:12" s="37" customFormat="1" ht="15.75" customHeight="1">
      <c r="B140" s="48" t="s">
        <v>275</v>
      </c>
      <c r="C140" s="155" t="s">
        <v>275</v>
      </c>
      <c r="D140" s="154">
        <f>SUM(D141:D143)</f>
        <v>62431.55012916855</v>
      </c>
      <c r="E140" s="154">
        <f t="shared" ref="E140:I140" si="35">SUM(E141:E143)</f>
        <v>62457.60549516297</v>
      </c>
      <c r="F140" s="154">
        <f t="shared" si="35"/>
        <v>61277.94963641074</v>
      </c>
      <c r="G140" s="154">
        <f t="shared" si="35"/>
        <v>62243.509791020588</v>
      </c>
      <c r="H140" s="154">
        <f t="shared" si="35"/>
        <v>59546.512815011134</v>
      </c>
      <c r="I140" s="154">
        <f t="shared" si="35"/>
        <v>59825.540034255093</v>
      </c>
      <c r="J140" s="154">
        <f t="shared" si="34"/>
        <v>367782.66790102905</v>
      </c>
      <c r="K140" s="69"/>
      <c r="L140" s="319"/>
    </row>
    <row r="141" spans="2:12" s="37" customFormat="1" ht="15.75" customHeight="1">
      <c r="B141" s="48"/>
      <c r="C141" s="160" t="s">
        <v>304</v>
      </c>
      <c r="D141" s="156">
        <f>$H$11*F801EVE!R22+$I$11*F801EVE!Y22</f>
        <v>61989.822138334624</v>
      </c>
      <c r="E141" s="156">
        <f>$H$11*F801EVE!S22+$I$11*F801EVE!Z22</f>
        <v>62015.693152275519</v>
      </c>
      <c r="F141" s="156">
        <f>$H$11*F801EVE!T22+$I$11*F801EVE!AA22</f>
        <v>60844.383826827099</v>
      </c>
      <c r="G141" s="156">
        <f>$H$11*F801EVE!U22+$I$11*F801EVE!AB22</f>
        <v>61803.112260195965</v>
      </c>
      <c r="H141" s="156">
        <f>$H$11*F801EVE!V22+$I$11*F801EVE!AC22</f>
        <v>59125.19760799608</v>
      </c>
      <c r="I141" s="156">
        <f>$H$11*F801EVE!W22+$I$11*F801EVE!AD22</f>
        <v>59402.25059894217</v>
      </c>
      <c r="J141" s="156">
        <f t="shared" si="34"/>
        <v>365180.45958457142</v>
      </c>
      <c r="K141" s="69"/>
      <c r="L141" s="319"/>
    </row>
    <row r="142" spans="2:12" s="37" customFormat="1" ht="15.75" customHeight="1">
      <c r="B142" s="48"/>
      <c r="C142" s="161" t="s">
        <v>306</v>
      </c>
      <c r="D142" s="156">
        <f>($H$11*F801EVE!R23+$I$11*F801EVE!Y23)*$L142</f>
        <v>248.28328691216649</v>
      </c>
      <c r="E142" s="156">
        <f>($H$11*F801EVE!S23+$I$11*F801EVE!Z23)*$L142</f>
        <v>248.38690618635411</v>
      </c>
      <c r="F142" s="156">
        <f>($H$11*F801EVE!T23+$I$11*F801EVE!AA23)*$L142</f>
        <v>243.69554687475249</v>
      </c>
      <c r="G142" s="156">
        <f>($H$11*F801EVE!U23+$I$11*F801EVE!AB23)*$L142</f>
        <v>247.53547153467133</v>
      </c>
      <c r="H142" s="156">
        <f>($H$11*F801EVE!V23+$I$11*F801EVE!AC23)*$L142</f>
        <v>236.80981643544061</v>
      </c>
      <c r="I142" s="156">
        <f>($H$11*F801EVE!W23+$I$11*F801EVE!AD23)*$L142</f>
        <v>237.91947645491013</v>
      </c>
      <c r="J142" s="156">
        <f t="shared" si="34"/>
        <v>1462.6305043982952</v>
      </c>
      <c r="K142" s="69"/>
      <c r="L142" s="319">
        <v>0.75</v>
      </c>
    </row>
    <row r="143" spans="2:12" s="37" customFormat="1" ht="15.75" customHeight="1">
      <c r="B143" s="48"/>
      <c r="C143" s="160" t="s">
        <v>305</v>
      </c>
      <c r="D143" s="156">
        <f>($H$11*F801EVE!R24+$I$11*F801EVE!Y24)*$L143</f>
        <v>193.44470392176297</v>
      </c>
      <c r="E143" s="156">
        <f>($H$11*F801EVE!S24+$I$11*F801EVE!Z24)*$L143</f>
        <v>193.52543670110185</v>
      </c>
      <c r="F143" s="156">
        <f>($H$11*F801EVE!T24+$I$11*F801EVE!AA24)*$L143</f>
        <v>189.87026270888532</v>
      </c>
      <c r="G143" s="156">
        <f>($H$11*F801EVE!U24+$I$11*F801EVE!AB24)*$L143</f>
        <v>192.86205928995224</v>
      </c>
      <c r="H143" s="156">
        <f>($H$11*F801EVE!V24+$I$11*F801EVE!AC24)*$L143</f>
        <v>184.50539057961879</v>
      </c>
      <c r="I143" s="156">
        <f>($H$11*F801EVE!W24+$I$11*F801EVE!AD24)*$L143</f>
        <v>185.36995885801463</v>
      </c>
      <c r="J143" s="156">
        <f t="shared" si="34"/>
        <v>1139.5778120593357</v>
      </c>
      <c r="K143" s="69"/>
      <c r="L143" s="319">
        <v>0.95</v>
      </c>
    </row>
    <row r="144" spans="2:12" s="37" customFormat="1" ht="15.75" customHeight="1">
      <c r="B144" s="48" t="s">
        <v>274</v>
      </c>
      <c r="C144" s="158" t="s">
        <v>627</v>
      </c>
      <c r="D144" s="159">
        <f t="shared" ref="D144:I144" si="36">SUM(D145:D150)</f>
        <v>934023.74599356658</v>
      </c>
      <c r="E144" s="159">
        <f t="shared" si="36"/>
        <v>934413.55419949745</v>
      </c>
      <c r="F144" s="159">
        <f t="shared" si="36"/>
        <v>916765.00019282324</v>
      </c>
      <c r="G144" s="159">
        <f t="shared" si="36"/>
        <v>931210.51869628695</v>
      </c>
      <c r="H144" s="159">
        <f t="shared" si="36"/>
        <v>890861.38090852066</v>
      </c>
      <c r="I144" s="159">
        <f t="shared" si="36"/>
        <v>895035.84154602175</v>
      </c>
      <c r="J144" s="159">
        <f t="shared" si="34"/>
        <v>5502310.0415367167</v>
      </c>
      <c r="K144" s="69"/>
      <c r="L144" s="319"/>
    </row>
    <row r="145" spans="2:12" s="37" customFormat="1" ht="15.75" customHeight="1">
      <c r="B145" s="48"/>
      <c r="C145" s="160" t="s">
        <v>304</v>
      </c>
      <c r="D145" s="156">
        <f>$F$12*(F801EVE!R28+F801EVE!Y28)*$L145</f>
        <v>932343.35045553732</v>
      </c>
      <c r="E145" s="156">
        <f>$F$12*(F801EVE!S28+F801EVE!Z28)*$L145</f>
        <v>932732.45736027241</v>
      </c>
      <c r="F145" s="156">
        <f>$F$12*(F801EVE!T28+F801EVE!AA28)*$L145</f>
        <v>915115.65474271728</v>
      </c>
      <c r="G145" s="156">
        <f>$F$12*(F801EVE!U28+F801EVE!AB28)*$L145</f>
        <v>929535.1844156594</v>
      </c>
      <c r="H145" s="156">
        <f>$F$12*(F801EVE!V28+F801EVE!AC28)*$L145</f>
        <v>889258.63847728947</v>
      </c>
      <c r="I145" s="156">
        <f>$F$12*(F801EVE!W28+F801EVE!AD28)*$L145</f>
        <v>893425.58887208113</v>
      </c>
      <c r="J145" s="156">
        <f t="shared" si="34"/>
        <v>5492410.8743235562</v>
      </c>
      <c r="K145" s="69"/>
      <c r="L145" s="319">
        <v>1</v>
      </c>
    </row>
    <row r="146" spans="2:12" s="37" customFormat="1" ht="15.75" customHeight="1">
      <c r="B146" s="48"/>
      <c r="C146" s="162" t="s">
        <v>628</v>
      </c>
      <c r="D146" s="156">
        <f>$F$12*(F801EVE!R29+F801EVE!Y29)*$L146</f>
        <v>80.676439518030691</v>
      </c>
      <c r="E146" s="156">
        <f>$F$12*(F801EVE!S29+F801EVE!Z29)*$L146</f>
        <v>80.710109259602362</v>
      </c>
      <c r="F146" s="156">
        <f>$F$12*(F801EVE!T29+F801EVE!AA29)*$L146</f>
        <v>79.185712791089088</v>
      </c>
      <c r="G146" s="156">
        <f>$F$12*(F801EVE!U29+F801EVE!AB29)*$L146</f>
        <v>80.433446593200898</v>
      </c>
      <c r="H146" s="156">
        <f>$F$12*(F801EVE!V29+F801EVE!AC29)*$L146</f>
        <v>76.948283835506032</v>
      </c>
      <c r="I146" s="156">
        <f>$F$12*(F801EVE!W29+F801EVE!AD29)*$L146</f>
        <v>77.308853491884008</v>
      </c>
      <c r="J146" s="156">
        <f t="shared" si="34"/>
        <v>475.26284548931307</v>
      </c>
      <c r="K146" s="69"/>
      <c r="L146" s="319">
        <v>0.75</v>
      </c>
    </row>
    <row r="147" spans="2:12" s="37" customFormat="1" ht="15.75" customHeight="1">
      <c r="B147" s="48"/>
      <c r="C147" s="161" t="s">
        <v>629</v>
      </c>
      <c r="D147" s="156">
        <f>$F$12*(F801EVE!R30+F801EVE!Y30)*$L147</f>
        <v>428.61944277271692</v>
      </c>
      <c r="E147" s="156">
        <f>$F$12*(F801EVE!S30+F801EVE!Z30)*$L147</f>
        <v>428.79832406640026</v>
      </c>
      <c r="F147" s="156">
        <f>$F$12*(F801EVE!T30+F801EVE!AA30)*$L147</f>
        <v>420.69947923881176</v>
      </c>
      <c r="G147" s="156">
        <f>$F$12*(F801EVE!U30+F801EVE!AB30)*$L147</f>
        <v>427.3284649772109</v>
      </c>
      <c r="H147" s="156">
        <f>$F$12*(F801EVE!V30+F801EVE!AC30)*$L147</f>
        <v>408.81242078761159</v>
      </c>
      <c r="I147" s="156">
        <f>$F$12*(F801EVE!W30+F801EVE!AD30)*$L147</f>
        <v>410.72806265431717</v>
      </c>
      <c r="J147" s="156">
        <f t="shared" si="34"/>
        <v>2524.9861944970685</v>
      </c>
      <c r="K147" s="69"/>
      <c r="L147" s="319">
        <v>1</v>
      </c>
    </row>
    <row r="148" spans="2:12" s="37" customFormat="1" ht="15.75" customHeight="1">
      <c r="B148" s="48"/>
      <c r="C148" s="160" t="s">
        <v>305</v>
      </c>
      <c r="D148" s="156">
        <f>$F$12*(F801EVE!R31+F801EVE!Y31)*$L148</f>
        <v>1073.0927218055306</v>
      </c>
      <c r="E148" s="156">
        <f>$F$12*(F801EVE!S31+F801EVE!Z31)*$L148</f>
        <v>1073.5405694651631</v>
      </c>
      <c r="F148" s="156">
        <f>$F$12*(F801EVE!T31+F801EVE!AA31)*$L148</f>
        <v>1053.2642810558057</v>
      </c>
      <c r="G148" s="156">
        <f>$F$12*(F801EVE!U31+F801EVE!AB31)*$L148</f>
        <v>1069.8606265291048</v>
      </c>
      <c r="H148" s="156">
        <f>$F$12*(F801EVE!V31+F801EVE!AC31)*$L148</f>
        <v>1023.5038114300173</v>
      </c>
      <c r="I148" s="156">
        <f>$F$12*(F801EVE!W31+F801EVE!AD31)*$L148</f>
        <v>1028.2998172561875</v>
      </c>
      <c r="J148" s="156">
        <f t="shared" si="34"/>
        <v>6321.5618275418092</v>
      </c>
      <c r="K148" s="69"/>
      <c r="L148" s="319">
        <v>0.95</v>
      </c>
    </row>
    <row r="149" spans="2:12" s="37" customFormat="1" ht="15.75" customHeight="1">
      <c r="B149" s="48"/>
      <c r="C149" s="160" t="s">
        <v>307</v>
      </c>
      <c r="D149" s="156">
        <f>$F$12*(F801EVE!R32+F801EVE!Y32)*$L149</f>
        <v>98.006933933015048</v>
      </c>
      <c r="E149" s="156">
        <f>$F$12*(F801EVE!S32+F801EVE!Z32)*$L149</f>
        <v>98.047836433887312</v>
      </c>
      <c r="F149" s="156">
        <f>$F$12*(F801EVE!T32+F801EVE!AA32)*$L149</f>
        <v>96.19597702028598</v>
      </c>
      <c r="G149" s="156">
        <f>$F$12*(F801EVE!U32+F801EVE!AB32)*$L149</f>
        <v>97.711742528036638</v>
      </c>
      <c r="H149" s="156">
        <f>$F$12*(F801EVE!V32+F801EVE!AC32)*$L149</f>
        <v>93.477915177948091</v>
      </c>
      <c r="I149" s="156">
        <f>$F$12*(F801EVE!W32+F801EVE!AD32)*$L149</f>
        <v>93.915940538288709</v>
      </c>
      <c r="J149" s="156">
        <f t="shared" si="34"/>
        <v>577.35634563146175</v>
      </c>
      <c r="K149" s="69"/>
      <c r="L149" s="319">
        <v>0.5</v>
      </c>
    </row>
    <row r="150" spans="2:12" s="37" customFormat="1" ht="15.75" customHeight="1">
      <c r="B150" s="48"/>
      <c r="C150" s="160" t="s">
        <v>624</v>
      </c>
      <c r="D150" s="156">
        <f>$F$12*(F801EVE!R33+F801EVE!Y33)*$L150</f>
        <v>0</v>
      </c>
      <c r="E150" s="156">
        <f>$F$12*(F801EVE!S33+F801EVE!Z33)*$L150</f>
        <v>0</v>
      </c>
      <c r="F150" s="156">
        <f>$F$12*(F801EVE!T33+F801EVE!AA33)*$L150</f>
        <v>0</v>
      </c>
      <c r="G150" s="156">
        <f>$F$12*(F801EVE!U33+F801EVE!AB33)*$L150</f>
        <v>0</v>
      </c>
      <c r="H150" s="156">
        <f>$F$12*(F801EVE!V33+F801EVE!AC33)*$L150</f>
        <v>0</v>
      </c>
      <c r="I150" s="156">
        <f>$F$12*(F801EVE!W33+F801EVE!AD33)*$L150</f>
        <v>0</v>
      </c>
      <c r="J150" s="156">
        <f t="shared" si="34"/>
        <v>0</v>
      </c>
      <c r="K150" s="69"/>
      <c r="L150" s="319">
        <v>0</v>
      </c>
    </row>
    <row r="151" spans="2:12" s="37" customFormat="1" ht="15.75" customHeight="1">
      <c r="B151" s="48" t="s">
        <v>274</v>
      </c>
      <c r="C151" s="158" t="s">
        <v>631</v>
      </c>
      <c r="D151" s="159">
        <f t="shared" ref="D151:I151" si="37">SUM(D152:D155)</f>
        <v>426372.63381230249</v>
      </c>
      <c r="E151" s="159">
        <f t="shared" si="37"/>
        <v>426550.57741615339</v>
      </c>
      <c r="F151" s="159">
        <f t="shared" si="37"/>
        <v>418494.18646562169</v>
      </c>
      <c r="G151" s="159">
        <f t="shared" si="37"/>
        <v>425088.42327975563</v>
      </c>
      <c r="H151" s="159">
        <f t="shared" si="37"/>
        <v>406669.43958215712</v>
      </c>
      <c r="I151" s="159">
        <f t="shared" si="37"/>
        <v>408575.03971747681</v>
      </c>
      <c r="J151" s="159">
        <f t="shared" si="34"/>
        <v>2511750.3002734669</v>
      </c>
      <c r="K151" s="69"/>
      <c r="L151" s="319"/>
    </row>
    <row r="152" spans="2:12" s="37" customFormat="1" ht="15.75" customHeight="1">
      <c r="B152" s="48"/>
      <c r="C152" s="160" t="s">
        <v>304</v>
      </c>
      <c r="D152" s="156">
        <f>$F$13*(F801EVE!R35+F801EVE!Y35)*$L152</f>
        <v>426072.87601924886</v>
      </c>
      <c r="E152" s="156">
        <f>$F$13*(F801EVE!S35+F801EVE!Z35)*$L152</f>
        <v>426250.69452130439</v>
      </c>
      <c r="F152" s="156">
        <f>$F$13*(F801EVE!T35+F801EVE!AA35)*$L152</f>
        <v>418199.96755054011</v>
      </c>
      <c r="G152" s="156">
        <f>$F$13*(F801EVE!U35+F801EVE!AB35)*$L152</f>
        <v>424789.5683404138</v>
      </c>
      <c r="H152" s="156">
        <f>$F$13*(F801EVE!V35+F801EVE!AC35)*$L152</f>
        <v>406383.53395866166</v>
      </c>
      <c r="I152" s="156">
        <f>$F$13*(F801EVE!W35+F801EVE!AD35)*$L152</f>
        <v>408287.7943773914</v>
      </c>
      <c r="J152" s="156">
        <f t="shared" si="34"/>
        <v>2509984.4347675601</v>
      </c>
      <c r="K152" s="69"/>
      <c r="L152" s="319">
        <v>1</v>
      </c>
    </row>
    <row r="153" spans="2:12" s="37" customFormat="1" ht="15.75" customHeight="1">
      <c r="B153" s="48"/>
      <c r="C153" s="161" t="s">
        <v>306</v>
      </c>
      <c r="D153" s="156">
        <f>$F$13*(F801EVE!R36+F801EVE!Y36)*$L153</f>
        <v>0</v>
      </c>
      <c r="E153" s="156">
        <f>$F$13*(F801EVE!S36+F801EVE!Z36)*$L153</f>
        <v>0</v>
      </c>
      <c r="F153" s="156">
        <f>$F$13*(F801EVE!T36+F801EVE!AA36)*$L153</f>
        <v>0</v>
      </c>
      <c r="G153" s="156">
        <f>$F$13*(F801EVE!U36+F801EVE!AB36)*$L153</f>
        <v>0</v>
      </c>
      <c r="H153" s="156">
        <f>$F$13*(F801EVE!V36+F801EVE!AC36)*$L153</f>
        <v>0</v>
      </c>
      <c r="I153" s="156">
        <f>$F$13*(F801EVE!W36+F801EVE!AD36)*$L153</f>
        <v>0</v>
      </c>
      <c r="J153" s="156">
        <f t="shared" si="34"/>
        <v>0</v>
      </c>
      <c r="K153" s="69"/>
      <c r="L153" s="319">
        <v>1</v>
      </c>
    </row>
    <row r="154" spans="2:12" s="37" customFormat="1" ht="15.75" customHeight="1">
      <c r="B154" s="48"/>
      <c r="C154" s="160" t="s">
        <v>305</v>
      </c>
      <c r="D154" s="156">
        <f>$F$13*(F801EVE!R37+F801EVE!Y37)*$L154</f>
        <v>299.75779305366075</v>
      </c>
      <c r="E154" s="156">
        <f>$F$13*(F801EVE!S37+F801EVE!Z37)*$L154</f>
        <v>299.88289484901145</v>
      </c>
      <c r="F154" s="156">
        <f>$F$13*(F801EVE!T37+F801EVE!AA37)*$L154</f>
        <v>294.21891508155767</v>
      </c>
      <c r="G154" s="156">
        <f>$F$13*(F801EVE!U37+F801EVE!AB37)*$L154</f>
        <v>298.85493934184865</v>
      </c>
      <c r="H154" s="156">
        <f>$F$13*(F801EVE!V37+F801EVE!AC37)*$L154</f>
        <v>285.90562349548026</v>
      </c>
      <c r="I154" s="156">
        <f>$F$13*(F801EVE!W37+F801EVE!AD37)*$L154</f>
        <v>287.24534008540019</v>
      </c>
      <c r="J154" s="156">
        <f t="shared" si="34"/>
        <v>1765.865505906959</v>
      </c>
      <c r="K154" s="69"/>
      <c r="L154" s="319">
        <v>0.95</v>
      </c>
    </row>
    <row r="155" spans="2:12" s="37" customFormat="1" ht="15.75" customHeight="1">
      <c r="B155" s="48"/>
      <c r="C155" s="160" t="s">
        <v>307</v>
      </c>
      <c r="D155" s="156">
        <f>$F$13*(F801EVE!R38+F801EVE!Y38)*$L155</f>
        <v>0</v>
      </c>
      <c r="E155" s="156">
        <f>$F$13*(F801EVE!S38+F801EVE!Z38)*$L155</f>
        <v>0</v>
      </c>
      <c r="F155" s="156">
        <f>$F$13*(F801EVE!T38+F801EVE!AA38)*$L155</f>
        <v>0</v>
      </c>
      <c r="G155" s="156">
        <f>$F$13*(F801EVE!U38+F801EVE!AB38)*$L155</f>
        <v>0</v>
      </c>
      <c r="H155" s="156">
        <f>$F$13*(F801EVE!V38+F801EVE!AC38)*$L155</f>
        <v>0</v>
      </c>
      <c r="I155" s="156">
        <f>$F$13*(F801EVE!W38+F801EVE!AD38)*$L155</f>
        <v>0</v>
      </c>
      <c r="J155" s="156">
        <f t="shared" si="34"/>
        <v>0</v>
      </c>
      <c r="K155" s="69"/>
      <c r="L155" s="319">
        <v>0.5</v>
      </c>
    </row>
    <row r="156" spans="2:12" s="37" customFormat="1" ht="15.75" customHeight="1">
      <c r="B156" s="48" t="s">
        <v>274</v>
      </c>
      <c r="C156" s="158" t="s">
        <v>632</v>
      </c>
      <c r="D156" s="159">
        <f t="shared" ref="D156:I156" si="38">SUM(D157:D160)</f>
        <v>119955.53622088445</v>
      </c>
      <c r="E156" s="159">
        <f t="shared" si="38"/>
        <v>120005.59881572353</v>
      </c>
      <c r="F156" s="159">
        <f t="shared" si="38"/>
        <v>117739.01644190833</v>
      </c>
      <c r="G156" s="159">
        <f t="shared" si="38"/>
        <v>119594.23685306437</v>
      </c>
      <c r="H156" s="159">
        <f t="shared" si="38"/>
        <v>114412.24605235597</v>
      </c>
      <c r="I156" s="159">
        <f t="shared" si="38"/>
        <v>114948.36696614683</v>
      </c>
      <c r="J156" s="159">
        <f t="shared" si="34"/>
        <v>706655.0013500835</v>
      </c>
      <c r="K156" s="69"/>
      <c r="L156" s="319"/>
    </row>
    <row r="157" spans="2:12" s="37" customFormat="1" ht="15.75" customHeight="1">
      <c r="B157" s="48"/>
      <c r="C157" s="160" t="s">
        <v>304</v>
      </c>
      <c r="D157" s="156">
        <f>$F$14*(F801EVE!R40+F801EVE!Y40)*$L157</f>
        <v>119955.53622088445</v>
      </c>
      <c r="E157" s="156">
        <f>$F$14*(F801EVE!S40+F801EVE!Z40)*$L157</f>
        <v>120005.59881572353</v>
      </c>
      <c r="F157" s="156">
        <f>$F$14*(F801EVE!T40+F801EVE!AA40)*$L157</f>
        <v>117739.01644190833</v>
      </c>
      <c r="G157" s="156">
        <f>$F$14*(F801EVE!U40+F801EVE!AB40)*$L157</f>
        <v>119594.23685306437</v>
      </c>
      <c r="H157" s="156">
        <f>$F$14*(F801EVE!V40+F801EVE!AC40)*$L157</f>
        <v>114412.24605235597</v>
      </c>
      <c r="I157" s="156">
        <f>$F$14*(F801EVE!W40+F801EVE!AD40)*$L157</f>
        <v>114948.36696614683</v>
      </c>
      <c r="J157" s="156">
        <f t="shared" si="34"/>
        <v>706655.0013500835</v>
      </c>
      <c r="K157" s="69"/>
      <c r="L157" s="319">
        <v>1</v>
      </c>
    </row>
    <row r="158" spans="2:12" s="37" customFormat="1" ht="15.75" customHeight="1">
      <c r="B158" s="48"/>
      <c r="C158" s="161" t="s">
        <v>306</v>
      </c>
      <c r="D158" s="156">
        <f>$F$14*(F801EVE!R41+F801EVE!Y41)*$L158</f>
        <v>0</v>
      </c>
      <c r="E158" s="156">
        <f>$F$14*(F801EVE!S41+F801EVE!Z41)*$L158</f>
        <v>0</v>
      </c>
      <c r="F158" s="156">
        <f>$F$14*(F801EVE!T41+F801EVE!AA41)*$L158</f>
        <v>0</v>
      </c>
      <c r="G158" s="156">
        <f>$F$14*(F801EVE!U41+F801EVE!AB41)*$L158</f>
        <v>0</v>
      </c>
      <c r="H158" s="156">
        <f>$F$14*(F801EVE!V41+F801EVE!AC41)*$L158</f>
        <v>0</v>
      </c>
      <c r="I158" s="156">
        <f>$F$14*(F801EVE!W41+F801EVE!AD41)*$L158</f>
        <v>0</v>
      </c>
      <c r="J158" s="156">
        <f t="shared" si="34"/>
        <v>0</v>
      </c>
      <c r="K158" s="69"/>
      <c r="L158" s="319">
        <v>1</v>
      </c>
    </row>
    <row r="159" spans="2:12" s="37" customFormat="1" ht="15.75" customHeight="1">
      <c r="B159" s="48"/>
      <c r="C159" s="160" t="s">
        <v>305</v>
      </c>
      <c r="D159" s="156">
        <f>$F$14*(F801EVE!R42+F801EVE!Y42)*$L159</f>
        <v>0</v>
      </c>
      <c r="E159" s="156">
        <f>$F$14*(F801EVE!S42+F801EVE!Z42)*$L159</f>
        <v>0</v>
      </c>
      <c r="F159" s="156">
        <f>$F$14*(F801EVE!T42+F801EVE!AA42)*$L159</f>
        <v>0</v>
      </c>
      <c r="G159" s="156">
        <f>$F$14*(F801EVE!U42+F801EVE!AB42)*$L159</f>
        <v>0</v>
      </c>
      <c r="H159" s="156">
        <f>$F$14*(F801EVE!V42+F801EVE!AC42)*$L159</f>
        <v>0</v>
      </c>
      <c r="I159" s="156">
        <f>$F$14*(F801EVE!W42+F801EVE!AD42)*$L159</f>
        <v>0</v>
      </c>
      <c r="J159" s="156">
        <f t="shared" si="34"/>
        <v>0</v>
      </c>
      <c r="K159" s="69"/>
      <c r="L159" s="319">
        <v>0.95</v>
      </c>
    </row>
    <row r="160" spans="2:12" s="37" customFormat="1" ht="15.75" customHeight="1">
      <c r="B160" s="48"/>
      <c r="C160" s="160" t="s">
        <v>307</v>
      </c>
      <c r="D160" s="156">
        <f>$F$14*(F801EVE!R43+F801EVE!Y43)*$L160</f>
        <v>0</v>
      </c>
      <c r="E160" s="156">
        <f>$F$14*(F801EVE!S43+F801EVE!Z43)*$L160</f>
        <v>0</v>
      </c>
      <c r="F160" s="156">
        <f>$F$14*(F801EVE!T43+F801EVE!AA43)*$L160</f>
        <v>0</v>
      </c>
      <c r="G160" s="156">
        <f>$F$14*(F801EVE!U43+F801EVE!AB43)*$L160</f>
        <v>0</v>
      </c>
      <c r="H160" s="156">
        <f>$F$14*(F801EVE!V43+F801EVE!AC43)*$L160</f>
        <v>0</v>
      </c>
      <c r="I160" s="156">
        <f>$F$14*(F801EVE!W43+F801EVE!AD43)*$L160</f>
        <v>0</v>
      </c>
      <c r="J160" s="156">
        <f t="shared" si="34"/>
        <v>0</v>
      </c>
      <c r="K160" s="69"/>
      <c r="L160" s="319">
        <v>0.5</v>
      </c>
    </row>
    <row r="161" spans="2:13" s="37" customFormat="1" ht="15.75" customHeight="1">
      <c r="B161" s="48" t="s">
        <v>274</v>
      </c>
      <c r="C161" s="158" t="s">
        <v>633</v>
      </c>
      <c r="D161" s="159">
        <f t="shared" ref="D161:I161" si="39">SUM(D162:D165)</f>
        <v>121239.72126008666</v>
      </c>
      <c r="E161" s="159">
        <f t="shared" si="39"/>
        <v>121290.31980047138</v>
      </c>
      <c r="F161" s="159">
        <f t="shared" si="39"/>
        <v>118999.47250928542</v>
      </c>
      <c r="G161" s="159">
        <f t="shared" si="39"/>
        <v>120874.55399873335</v>
      </c>
      <c r="H161" s="159">
        <f t="shared" si="39"/>
        <v>115637.08735031335</v>
      </c>
      <c r="I161" s="159">
        <f t="shared" si="39"/>
        <v>116178.94771122253</v>
      </c>
      <c r="J161" s="159">
        <f t="shared" si="34"/>
        <v>714220.10263011279</v>
      </c>
      <c r="K161" s="69"/>
      <c r="L161" s="319"/>
    </row>
    <row r="162" spans="2:13" s="37" customFormat="1" ht="15.75" customHeight="1">
      <c r="B162" s="48"/>
      <c r="C162" s="160" t="s">
        <v>304</v>
      </c>
      <c r="D162" s="156">
        <f>$F$15*(F801EVE!R45+F801EVE!Y45)*$L162</f>
        <v>121239.72126008666</v>
      </c>
      <c r="E162" s="156">
        <f>$F$15*(F801EVE!S45+F801EVE!Z45)*$L162</f>
        <v>121290.31980047138</v>
      </c>
      <c r="F162" s="156">
        <f>$F$15*(F801EVE!T45+F801EVE!AA45)*$L162</f>
        <v>118999.47250928542</v>
      </c>
      <c r="G162" s="156">
        <f>$F$15*(F801EVE!U45+F801EVE!AB45)*$L162</f>
        <v>120874.55399873335</v>
      </c>
      <c r="H162" s="156">
        <f>$F$15*(F801EVE!V45+F801EVE!AC45)*$L162</f>
        <v>115637.08735031335</v>
      </c>
      <c r="I162" s="156">
        <f>$F$15*(F801EVE!W45+F801EVE!AD45)*$L162</f>
        <v>116178.94771122253</v>
      </c>
      <c r="J162" s="156">
        <f t="shared" si="34"/>
        <v>714220.10263011279</v>
      </c>
      <c r="K162" s="69"/>
      <c r="L162" s="319">
        <v>1</v>
      </c>
    </row>
    <row r="163" spans="2:13" s="37" customFormat="1" ht="15.75" customHeight="1">
      <c r="B163" s="48"/>
      <c r="C163" s="161" t="s">
        <v>306</v>
      </c>
      <c r="D163" s="156">
        <f>$F$15*(F801EVE!R46+F801EVE!Y46)*$L163</f>
        <v>0</v>
      </c>
      <c r="E163" s="156">
        <f>$F$15*(F801EVE!S46+F801EVE!Z46)*$L163</f>
        <v>0</v>
      </c>
      <c r="F163" s="156">
        <f>$F$15*(F801EVE!T46+F801EVE!AA46)*$L163</f>
        <v>0</v>
      </c>
      <c r="G163" s="156">
        <f>$F$15*(F801EVE!U46+F801EVE!AB46)*$L163</f>
        <v>0</v>
      </c>
      <c r="H163" s="156">
        <f>$F$15*(F801EVE!V46+F801EVE!AC46)*$L163</f>
        <v>0</v>
      </c>
      <c r="I163" s="156">
        <f>$F$15*(F801EVE!W46+F801EVE!AD46)*$L163</f>
        <v>0</v>
      </c>
      <c r="J163" s="156">
        <f t="shared" si="34"/>
        <v>0</v>
      </c>
      <c r="K163" s="69"/>
      <c r="L163" s="319">
        <v>1</v>
      </c>
    </row>
    <row r="164" spans="2:13" s="37" customFormat="1" ht="15.75" customHeight="1">
      <c r="B164" s="48"/>
      <c r="C164" s="160" t="s">
        <v>305</v>
      </c>
      <c r="D164" s="156">
        <f>$F$15*(F801EVE!R47+F801EVE!Y47)*$L164</f>
        <v>0</v>
      </c>
      <c r="E164" s="156">
        <f>$F$15*(F801EVE!S47+F801EVE!Z47)*$L164</f>
        <v>0</v>
      </c>
      <c r="F164" s="156">
        <f>$F$15*(F801EVE!T47+F801EVE!AA47)*$L164</f>
        <v>0</v>
      </c>
      <c r="G164" s="156">
        <f>$F$15*(F801EVE!U47+F801EVE!AB47)*$L164</f>
        <v>0</v>
      </c>
      <c r="H164" s="156">
        <f>$F$15*(F801EVE!V47+F801EVE!AC47)*$L164</f>
        <v>0</v>
      </c>
      <c r="I164" s="156">
        <f>$F$15*(F801EVE!W47+F801EVE!AD47)*$L164</f>
        <v>0</v>
      </c>
      <c r="J164" s="156">
        <f t="shared" si="34"/>
        <v>0</v>
      </c>
      <c r="K164" s="69"/>
      <c r="L164" s="319">
        <v>0.95</v>
      </c>
    </row>
    <row r="165" spans="2:13" s="37" customFormat="1" ht="15.75" customHeight="1">
      <c r="B165" s="48"/>
      <c r="C165" s="160" t="s">
        <v>307</v>
      </c>
      <c r="D165" s="156">
        <f>$F$15*(F801EVE!R48+F801EVE!Y48)*$L165</f>
        <v>0</v>
      </c>
      <c r="E165" s="156">
        <f>$F$15*(F801EVE!S48+F801EVE!Z48)*$L165</f>
        <v>0</v>
      </c>
      <c r="F165" s="156">
        <f>$F$15*(F801EVE!T48+F801EVE!AA48)*$L165</f>
        <v>0</v>
      </c>
      <c r="G165" s="156">
        <f>$F$15*(F801EVE!U48+F801EVE!AB48)*$L165</f>
        <v>0</v>
      </c>
      <c r="H165" s="156">
        <f>$F$15*(F801EVE!V48+F801EVE!AC48)*$L165</f>
        <v>0</v>
      </c>
      <c r="I165" s="156">
        <f>$F$15*(F801EVE!W48+F801EVE!AD48)*$L165</f>
        <v>0</v>
      </c>
      <c r="J165" s="156">
        <f t="shared" si="34"/>
        <v>0</v>
      </c>
      <c r="K165" s="69"/>
      <c r="L165" s="319">
        <v>0.5</v>
      </c>
    </row>
    <row r="166" spans="2:13" s="37" customFormat="1" ht="15.75">
      <c r="B166" s="48"/>
      <c r="C166" s="157"/>
      <c r="D166" s="156"/>
      <c r="E166" s="156"/>
      <c r="F166" s="156"/>
      <c r="G166" s="156"/>
      <c r="H166" s="156"/>
      <c r="I166" s="156"/>
      <c r="J166" s="156"/>
      <c r="K166" s="69"/>
      <c r="L166" s="319"/>
    </row>
    <row r="167" spans="2:13" s="37" customFormat="1" ht="15.75">
      <c r="B167" s="48" t="s">
        <v>1176</v>
      </c>
      <c r="C167" s="158" t="str">
        <f>F801EVE!$C$50</f>
        <v>BTSH</v>
      </c>
      <c r="D167" s="159">
        <f>SUM(D168:D173)</f>
        <v>26.191955946745892</v>
      </c>
      <c r="E167" s="159">
        <f t="shared" ref="E167:J167" si="40">SUM(E168:E173)</f>
        <v>26.191955946745892</v>
      </c>
      <c r="F167" s="159">
        <f t="shared" si="40"/>
        <v>26.191955946745892</v>
      </c>
      <c r="G167" s="159">
        <f t="shared" si="40"/>
        <v>26.191955946745892</v>
      </c>
      <c r="H167" s="159">
        <f t="shared" si="40"/>
        <v>26.191955946745892</v>
      </c>
      <c r="I167" s="159">
        <f t="shared" si="40"/>
        <v>26.191955946745892</v>
      </c>
      <c r="J167" s="159">
        <f t="shared" si="40"/>
        <v>157.15173568047538</v>
      </c>
      <c r="K167" s="69"/>
      <c r="L167" s="319"/>
    </row>
    <row r="168" spans="2:13" s="37" customFormat="1" ht="15.75">
      <c r="B168" s="48"/>
      <c r="C168" s="160" t="str">
        <f>F801EVE!$C$51</f>
        <v xml:space="preserve">    - Regulares</v>
      </c>
      <c r="D168" s="156">
        <f>($H$16*F801EVE!R51+$I$16*F801EVE!Y51)*$L168</f>
        <v>26.191955946745892</v>
      </c>
      <c r="E168" s="156">
        <f>($H$16*F801EVE!S51+$I$16*F801EVE!Z51)*$L168</f>
        <v>26.191955946745892</v>
      </c>
      <c r="F168" s="156">
        <f>($H$16*F801EVE!T51+$I$16*F801EVE!AA51)*$L168</f>
        <v>26.191955946745892</v>
      </c>
      <c r="G168" s="156">
        <f>($H$16*F801EVE!U51+$I$16*F801EVE!AB51)*$L168</f>
        <v>26.191955946745892</v>
      </c>
      <c r="H168" s="156">
        <f>($H$16*F801EVE!V51+$I$16*F801EVE!AC51)*$L168</f>
        <v>26.191955946745892</v>
      </c>
      <c r="I168" s="156">
        <f>($H$16*F801EVE!W51+$I$16*F801EVE!AD51)*$L168</f>
        <v>26.191955946745892</v>
      </c>
      <c r="J168" s="156">
        <f t="shared" ref="J168:J185" si="41">SUM(D168:I168)</f>
        <v>157.15173568047538</v>
      </c>
      <c r="K168" s="69"/>
      <c r="L168" s="319">
        <v>1</v>
      </c>
    </row>
    <row r="169" spans="2:13" s="37" customFormat="1" ht="15.75">
      <c r="B169" s="48"/>
      <c r="C169" s="162" t="str">
        <f>F801EVE!$C$52</f>
        <v xml:space="preserve">    - Jubilados (0 a 600 KWh)</v>
      </c>
      <c r="D169" s="156">
        <f>($H$16*F801EVE!R52+$I$16*F801EVE!Y52)*$L169</f>
        <v>0</v>
      </c>
      <c r="E169" s="156">
        <f>($H$16*F801EVE!S52+$I$16*F801EVE!Z52)*$L169</f>
        <v>0</v>
      </c>
      <c r="F169" s="156">
        <f>($H$16*F801EVE!T52+$I$16*F801EVE!AA52)*$L169</f>
        <v>0</v>
      </c>
      <c r="G169" s="156">
        <f>($H$16*F801EVE!U52+$I$16*F801EVE!AB52)*$L169</f>
        <v>0</v>
      </c>
      <c r="H169" s="156">
        <f>($H$16*F801EVE!V52+$I$16*F801EVE!AC52)*$L169</f>
        <v>0</v>
      </c>
      <c r="I169" s="156">
        <f>($H$16*F801EVE!W52+$I$16*F801EVE!AD52)*$L169</f>
        <v>0</v>
      </c>
      <c r="J169" s="156">
        <f t="shared" si="41"/>
        <v>0</v>
      </c>
      <c r="K169" s="69"/>
      <c r="L169" s="319">
        <v>0.75</v>
      </c>
    </row>
    <row r="170" spans="2:13" s="37" customFormat="1" ht="15.75">
      <c r="B170" s="48"/>
      <c r="C170" s="162" t="str">
        <f>F801EVE!$C$53</f>
        <v xml:space="preserve">    - Jubilados (601 y Más KWh)</v>
      </c>
      <c r="D170" s="156">
        <f>($H$16*F801EVE!R53+$I$16*F801EVE!Y53)*$L170</f>
        <v>0</v>
      </c>
      <c r="E170" s="156">
        <f>($H$16*F801EVE!S53+$I$16*F801EVE!Z53)*$L170</f>
        <v>0</v>
      </c>
      <c r="F170" s="156">
        <f>($H$16*F801EVE!T53+$I$16*F801EVE!AA53)*$L170</f>
        <v>0</v>
      </c>
      <c r="G170" s="156">
        <f>($H$16*F801EVE!U53+$I$16*F801EVE!AB53)*$L170</f>
        <v>0</v>
      </c>
      <c r="H170" s="156">
        <f>($H$16*F801EVE!V53+$I$16*F801EVE!AC53)*$L170</f>
        <v>0</v>
      </c>
      <c r="I170" s="156">
        <f>($H$16*F801EVE!W53+$I$16*F801EVE!AD53)*$L170</f>
        <v>0</v>
      </c>
      <c r="J170" s="156">
        <f t="shared" si="41"/>
        <v>0</v>
      </c>
      <c r="K170" s="69"/>
      <c r="L170" s="319">
        <v>1</v>
      </c>
    </row>
    <row r="171" spans="2:13" s="37" customFormat="1" ht="15.75">
      <c r="B171" s="48"/>
      <c r="C171" s="160" t="str">
        <f>F801EVE!$C$54</f>
        <v xml:space="preserve">    - Agropecuarios</v>
      </c>
      <c r="D171" s="156">
        <f>($H$16*F801EVE!R54+$I$16*F801EVE!Y54)*$L171</f>
        <v>0</v>
      </c>
      <c r="E171" s="156">
        <f>($H$16*F801EVE!S54+$I$16*F801EVE!Z54)*$L171</f>
        <v>0</v>
      </c>
      <c r="F171" s="156">
        <f>($H$16*F801EVE!T54+$I$16*F801EVE!AA54)*$L171</f>
        <v>0</v>
      </c>
      <c r="G171" s="156">
        <f>($H$16*F801EVE!U54+$I$16*F801EVE!AB54)*$L171</f>
        <v>0</v>
      </c>
      <c r="H171" s="156">
        <f>($H$16*F801EVE!V54+$I$16*F801EVE!AC54)*$L171</f>
        <v>0</v>
      </c>
      <c r="I171" s="156">
        <f>($H$16*F801EVE!W54+$I$16*F801EVE!AD54)*$L171</f>
        <v>0</v>
      </c>
      <c r="J171" s="156">
        <f t="shared" si="41"/>
        <v>0</v>
      </c>
      <c r="K171" s="69"/>
      <c r="L171" s="319">
        <v>0.95</v>
      </c>
    </row>
    <row r="172" spans="2:13" s="37" customFormat="1" ht="15.75">
      <c r="B172" s="48"/>
      <c r="C172" s="160" t="str">
        <f>F801EVE!$C$55</f>
        <v xml:space="preserve">    - Partidos Políticos</v>
      </c>
      <c r="D172" s="156">
        <f>($H$16*F801EVE!R55+$I$16*F801EVE!Y55)*$L172</f>
        <v>0</v>
      </c>
      <c r="E172" s="156">
        <f>($H$16*F801EVE!S55+$I$16*F801EVE!Z55)*$L172</f>
        <v>0</v>
      </c>
      <c r="F172" s="156">
        <f>($H$16*F801EVE!T55+$I$16*F801EVE!AA55)*$L172</f>
        <v>0</v>
      </c>
      <c r="G172" s="156">
        <f>($H$16*F801EVE!U55+$I$16*F801EVE!AB55)*$L172</f>
        <v>0</v>
      </c>
      <c r="H172" s="156">
        <f>($H$16*F801EVE!V55+$I$16*F801EVE!AC55)*$L172</f>
        <v>0</v>
      </c>
      <c r="I172" s="156">
        <f>($H$16*F801EVE!W55+$I$16*F801EVE!AD55)*$L172</f>
        <v>0</v>
      </c>
      <c r="J172" s="156">
        <f t="shared" si="41"/>
        <v>0</v>
      </c>
      <c r="K172" s="69"/>
      <c r="L172" s="319">
        <v>0.5</v>
      </c>
    </row>
    <row r="173" spans="2:13" s="37" customFormat="1" ht="15.75">
      <c r="B173" s="48"/>
      <c r="C173" s="160" t="str">
        <f>F801EVE!$C$56</f>
        <v xml:space="preserve">    - Cruz Roja</v>
      </c>
      <c r="D173" s="156">
        <f>($H$16*F801EVE!R56+$I$16*F801EVE!Y56)*$L173</f>
        <v>0</v>
      </c>
      <c r="E173" s="156">
        <f>($H$16*F801EVE!S56+$I$16*F801EVE!Z56)*$L173</f>
        <v>0</v>
      </c>
      <c r="F173" s="156">
        <f>($H$16*F801EVE!T56+$I$16*F801EVE!AA56)*$L173</f>
        <v>0</v>
      </c>
      <c r="G173" s="156">
        <f>($H$16*F801EVE!U56+$I$16*F801EVE!AB56)*$L173</f>
        <v>0</v>
      </c>
      <c r="H173" s="156">
        <f>($H$16*F801EVE!V56+$I$16*F801EVE!AC56)*$L173</f>
        <v>0</v>
      </c>
      <c r="I173" s="156">
        <f>($H$16*F801EVE!W56+$I$16*F801EVE!AD56)*$L173</f>
        <v>0</v>
      </c>
      <c r="J173" s="156">
        <f t="shared" si="41"/>
        <v>0</v>
      </c>
      <c r="K173" s="69"/>
      <c r="L173" s="319">
        <v>0</v>
      </c>
    </row>
    <row r="174" spans="2:13" s="37" customFormat="1" ht="15.75">
      <c r="B174" s="48" t="s">
        <v>751</v>
      </c>
      <c r="C174" s="158" t="s">
        <v>634</v>
      </c>
      <c r="D174" s="159">
        <f t="shared" ref="D174:I174" si="42">SUM(D175:D179)</f>
        <v>1077420.7303613313</v>
      </c>
      <c r="E174" s="159">
        <f t="shared" si="42"/>
        <v>1077870.3952157586</v>
      </c>
      <c r="F174" s="159">
        <f t="shared" si="42"/>
        <v>1057511.8333704027</v>
      </c>
      <c r="G174" s="159">
        <f t="shared" si="42"/>
        <v>1074175.5204764276</v>
      </c>
      <c r="H174" s="159">
        <f t="shared" si="42"/>
        <v>1027630.6071227109</v>
      </c>
      <c r="I174" s="159">
        <f t="shared" si="42"/>
        <v>1032446.0733092005</v>
      </c>
      <c r="J174" s="159">
        <f t="shared" si="41"/>
        <v>6347055.1598558323</v>
      </c>
      <c r="K174" s="69"/>
      <c r="L174" s="319"/>
      <c r="M174" s="69"/>
    </row>
    <row r="175" spans="2:13" s="37" customFormat="1" ht="15.75">
      <c r="B175" s="48"/>
      <c r="C175" s="160" t="s">
        <v>304</v>
      </c>
      <c r="D175" s="156">
        <f>(($E$18+$F$18)*(F801EVE!R66+F801EVE!Y66)*$L175)</f>
        <v>780712.79127182194</v>
      </c>
      <c r="E175" s="156">
        <f>(($E$18+$F$18)*(F801EVE!S66+F801EVE!Z66)*$L175)</f>
        <v>781038.62716588529</v>
      </c>
      <c r="F175" s="156">
        <f>(($E$18+$F$18)*(F801EVE!T66+F801EVE!AA66)*$L175)</f>
        <v>766286.41752484057</v>
      </c>
      <c r="G175" s="156">
        <f>(($E$18+$F$18)*(F801EVE!U66+F801EVE!AB66)*$L175)</f>
        <v>778361.24910912209</v>
      </c>
      <c r="H175" s="156">
        <f>(($E$18+$F$18)*(F801EVE!V66+F801EVE!AC66)*$L175)</f>
        <v>744633.90015716641</v>
      </c>
      <c r="I175" s="156">
        <f>(($E$18+$F$18)*(F801EVE!W66+F801EVE!AD66)*$L175)</f>
        <v>748123.28055849671</v>
      </c>
      <c r="J175" s="156">
        <f t="shared" si="41"/>
        <v>4599156.2657873333</v>
      </c>
      <c r="K175" s="69"/>
      <c r="L175" s="319">
        <v>1</v>
      </c>
      <c r="M175" s="329"/>
    </row>
    <row r="176" spans="2:13" s="37" customFormat="1" ht="15.75">
      <c r="B176" s="48"/>
      <c r="C176" s="162" t="s">
        <v>644</v>
      </c>
      <c r="D176" s="156">
        <f>(($E$18+$F$18)*(F801EVE!R67+F801EVE!Y67)*$L176)</f>
        <v>296678.87503451417</v>
      </c>
      <c r="E176" s="156">
        <f>(($E$18+$F$18)*(F801EVE!S67+F801EVE!Z67)*$L176)</f>
        <v>296802.69186520058</v>
      </c>
      <c r="F176" s="156">
        <f>(($E$18+$F$18)*(F801EVE!T67+F801EVE!AA67)*$L176)</f>
        <v>291196.88883166399</v>
      </c>
      <c r="G176" s="156">
        <f>(($E$18+$F$18)*(F801EVE!U67+F801EVE!AB67)*$L176)</f>
        <v>295785.29485161905</v>
      </c>
      <c r="H176" s="156">
        <f>(($E$18+$F$18)*(F801EVE!V67+F801EVE!AC67)*$L176)</f>
        <v>282968.98599562392</v>
      </c>
      <c r="I176" s="156">
        <f>(($E$18+$F$18)*(F801EVE!W67+F801EVE!AD67)*$L176)</f>
        <v>284294.94188392127</v>
      </c>
      <c r="J176" s="156">
        <f t="shared" si="41"/>
        <v>1747727.6784625431</v>
      </c>
      <c r="K176" s="69"/>
      <c r="L176" s="319">
        <v>0.75</v>
      </c>
      <c r="M176" s="329"/>
    </row>
    <row r="177" spans="2:13" s="37" customFormat="1" ht="15.75">
      <c r="B177" s="48"/>
      <c r="C177" s="160" t="s">
        <v>305</v>
      </c>
      <c r="D177" s="156">
        <f>(($E$18+$F$18)*(F801EVE!R68+F801EVE!Y68)*$L177)</f>
        <v>28.445942607981461</v>
      </c>
      <c r="E177" s="156">
        <f>(($E$18+$F$18)*(F801EVE!S68+F801EVE!Z68)*$L177)</f>
        <v>28.457814320988327</v>
      </c>
      <c r="F177" s="156">
        <f>(($E$18+$F$18)*(F801EVE!T68+F801EVE!AA68)*$L177)</f>
        <v>27.920322895806542</v>
      </c>
      <c r="G177" s="156">
        <f>(($E$18+$F$18)*(F801EVE!U68+F801EVE!AB68)*$L177)</f>
        <v>28.360265019392429</v>
      </c>
      <c r="H177" s="156">
        <f>(($E$18+$F$18)*(F801EVE!V68+F801EVE!AC68)*$L177)</f>
        <v>27.131421253143859</v>
      </c>
      <c r="I177" s="156">
        <f>(($E$18+$F$18)*(F801EVE!W68+F801EVE!AD68)*$L177)</f>
        <v>27.258555566616067</v>
      </c>
      <c r="J177" s="156">
        <f t="shared" si="41"/>
        <v>167.57432166392869</v>
      </c>
      <c r="K177" s="69"/>
      <c r="L177" s="319">
        <v>0.95</v>
      </c>
      <c r="M177" s="329"/>
    </row>
    <row r="178" spans="2:13" s="37" customFormat="1" ht="15.75">
      <c r="B178" s="48"/>
      <c r="C178" s="160" t="s">
        <v>307</v>
      </c>
      <c r="D178" s="156">
        <f>(($E$18+$F$18)*(F801EVE!R69+F801EVE!Y69)*$L178)</f>
        <v>0.61811238708449423</v>
      </c>
      <c r="E178" s="156">
        <f>(($E$18+$F$18)*(F801EVE!S69+F801EVE!Z69)*$L178)</f>
        <v>0.61837035191858591</v>
      </c>
      <c r="F178" s="156">
        <f>(($E$18+$F$18)*(F801EVE!T69+F801EVE!AA69)*$L178)</f>
        <v>0.60669100233839857</v>
      </c>
      <c r="G178" s="156">
        <f>(($E$18+$F$18)*(F801EVE!U69+F801EVE!AB69)*$L178)</f>
        <v>0.61625066713616128</v>
      </c>
      <c r="H178" s="156">
        <f>(($E$18+$F$18)*(F801EVE!V69+F801EVE!AC69)*$L178)</f>
        <v>0.58954866734035605</v>
      </c>
      <c r="I178" s="156">
        <f>(($E$18+$F$18)*(F801EVE!W69+F801EVE!AD69)*$L178)</f>
        <v>0.59231121576645784</v>
      </c>
      <c r="J178" s="156">
        <f t="shared" si="41"/>
        <v>3.6412842915844541</v>
      </c>
      <c r="K178" s="69"/>
      <c r="L178" s="319">
        <v>0.5</v>
      </c>
      <c r="M178" s="329"/>
    </row>
    <row r="179" spans="2:13" s="37" customFormat="1" ht="15.75">
      <c r="B179" s="48"/>
      <c r="C179" s="160" t="s">
        <v>624</v>
      </c>
      <c r="D179" s="156">
        <f>(($E$18+$F$18)*(F801EVE!R70+F801EVE!Y70)*$L179)</f>
        <v>0</v>
      </c>
      <c r="E179" s="156">
        <f>(($E$18+$F$18)*(F801EVE!S70+F801EVE!Z70)*$L179)</f>
        <v>0</v>
      </c>
      <c r="F179" s="156">
        <f>(($E$18+$F$18)*(F801EVE!T70+F801EVE!AA70)*$L179)</f>
        <v>0</v>
      </c>
      <c r="G179" s="156">
        <f>(($E$18+$F$18)*(F801EVE!U70+F801EVE!AB70)*$L179)</f>
        <v>0</v>
      </c>
      <c r="H179" s="156">
        <f>(($E$18+$F$18)*(F801EVE!V70+F801EVE!AC70)*$L179)</f>
        <v>0</v>
      </c>
      <c r="I179" s="156">
        <f>(($E$18+$F$18)*(F801EVE!W70+F801EVE!AD70)*$L179)</f>
        <v>0</v>
      </c>
      <c r="J179" s="156">
        <f t="shared" si="41"/>
        <v>0</v>
      </c>
      <c r="K179" s="69"/>
      <c r="L179" s="319">
        <v>0</v>
      </c>
      <c r="M179" s="329"/>
    </row>
    <row r="180" spans="2:13" s="37" customFormat="1" ht="15.75">
      <c r="B180" s="48" t="s">
        <v>750</v>
      </c>
      <c r="C180" s="158" t="s">
        <v>635</v>
      </c>
      <c r="D180" s="159">
        <f t="shared" ref="D180:I180" si="43">SUM(D181:D186)</f>
        <v>1180508.1425283095</v>
      </c>
      <c r="E180" s="159">
        <f t="shared" si="43"/>
        <v>1181000.8192542491</v>
      </c>
      <c r="F180" s="159">
        <f t="shared" si="43"/>
        <v>1158694.8963073252</v>
      </c>
      <c r="G180" s="159">
        <f t="shared" si="43"/>
        <v>1176952.5180107669</v>
      </c>
      <c r="H180" s="159">
        <f t="shared" si="43"/>
        <v>1125955.43586294</v>
      </c>
      <c r="I180" s="159">
        <f t="shared" si="43"/>
        <v>1131231.5166846241</v>
      </c>
      <c r="J180" s="159">
        <f t="shared" si="41"/>
        <v>6954343.3286482152</v>
      </c>
      <c r="K180" s="69"/>
      <c r="L180" s="319"/>
      <c r="M180" s="69"/>
    </row>
    <row r="181" spans="2:13" s="37" customFormat="1" ht="15.75">
      <c r="B181" s="48"/>
      <c r="C181" s="160" t="s">
        <v>304</v>
      </c>
      <c r="D181" s="156">
        <f>(($E$19+$F$19)*(F801EVE!R72+F801EVE!Y72)*$L181)</f>
        <v>761303.82369640947</v>
      </c>
      <c r="E181" s="156">
        <f>(($E$19+$F$19)*(F801EVE!S72+F801EVE!Z72)*$L181)</f>
        <v>761621.54846406821</v>
      </c>
      <c r="F181" s="156">
        <f>(($E$19+$F$19)*(F801EVE!T72+F801EVE!AA72)*$L181)</f>
        <v>747236.5698105531</v>
      </c>
      <c r="G181" s="156">
        <f>(($E$19+$F$19)*(F801EVE!U72+F801EVE!AB72)*$L181)</f>
        <v>759010.81914750708</v>
      </c>
      <c r="H181" s="156">
        <f>(($E$19+$F$19)*(F801EVE!V72+F801EVE!AC72)*$L181)</f>
        <v>726123.05477059225</v>
      </c>
      <c r="I181" s="156">
        <f>(($E$19+$F$19)*(F801EVE!W72+F801EVE!AD72)*$L181)</f>
        <v>729525.57302436442</v>
      </c>
      <c r="J181" s="330">
        <f t="shared" si="41"/>
        <v>4484821.3889134945</v>
      </c>
      <c r="K181" s="69"/>
      <c r="L181" s="319">
        <v>1</v>
      </c>
      <c r="M181" s="329"/>
    </row>
    <row r="182" spans="2:13" s="37" customFormat="1" ht="15.75">
      <c r="B182" s="48"/>
      <c r="C182" s="162" t="s">
        <v>642</v>
      </c>
      <c r="D182" s="156">
        <f>(($E$19+$F$19)*(F801EVE!R73+F801EVE!Y73)*$L182)</f>
        <v>407314.61390459264</v>
      </c>
      <c r="E182" s="156">
        <f>(($E$19+$F$19)*(F801EVE!S73+F801EVE!Z73)*$L182)</f>
        <v>407484.60377859377</v>
      </c>
      <c r="F182" s="156">
        <f>(($E$19+$F$19)*(F801EVE!T73+F801EVE!AA73)*$L182)</f>
        <v>399788.31769160996</v>
      </c>
      <c r="G182" s="156">
        <f>(($E$19+$F$19)*(F801EVE!U73+F801EVE!AB73)*$L182)</f>
        <v>406087.80506238446</v>
      </c>
      <c r="H182" s="156">
        <f>(($E$19+$F$19)*(F801EVE!V73+F801EVE!AC73)*$L182)</f>
        <v>388492.11378590111</v>
      </c>
      <c r="I182" s="156">
        <f>(($E$19+$F$19)*(F801EVE!W73+F801EVE!AD73)*$L182)</f>
        <v>390312.53733521356</v>
      </c>
      <c r="J182" s="330">
        <f t="shared" si="41"/>
        <v>2399479.9915582957</v>
      </c>
      <c r="K182" s="69"/>
      <c r="L182" s="319">
        <v>0.75</v>
      </c>
      <c r="M182" s="329"/>
    </row>
    <row r="183" spans="2:13" s="37" customFormat="1" ht="15.75">
      <c r="B183" s="48"/>
      <c r="C183" s="162" t="s">
        <v>1177</v>
      </c>
      <c r="D183" s="156">
        <f>(($E$19+$F$19)*(F801EVE!R74+F801EVE!Y74)*$L183)</f>
        <v>11838.207042033113</v>
      </c>
      <c r="E183" s="156">
        <f>(($E$19+$F$19)*(F801EVE!S74+F801EVE!Z74)*$L183)</f>
        <v>11843.147634034427</v>
      </c>
      <c r="F183" s="156">
        <f>(($E$19+$F$19)*(F801EVE!T74+F801EVE!AA74)*$L183)</f>
        <v>11619.462489818672</v>
      </c>
      <c r="G183" s="156">
        <f>(($E$19+$F$19)*(F801EVE!U74+F801EVE!AB74)*$L183)</f>
        <v>11802.551024352246</v>
      </c>
      <c r="H183" s="156">
        <f>(($E$19+$F$19)*(F801EVE!V74+F801EVE!AC74)*$L183)</f>
        <v>11291.14920063203</v>
      </c>
      <c r="I183" s="156">
        <f>(($E$19+$F$19)*(F801EVE!W74+F801EVE!AD74)*$L183)</f>
        <v>11344.05805817182</v>
      </c>
      <c r="J183" s="330">
        <f t="shared" si="41"/>
        <v>69738.575449042313</v>
      </c>
      <c r="K183" s="69"/>
      <c r="L183" s="319">
        <v>1</v>
      </c>
      <c r="M183" s="329"/>
    </row>
    <row r="184" spans="2:13" s="37" customFormat="1" ht="15.75">
      <c r="B184" s="48"/>
      <c r="C184" s="160" t="s">
        <v>305</v>
      </c>
      <c r="D184" s="156">
        <f>(($E$19+$F$19)*(F801EVE!R75+F801EVE!Y75)*$L184)</f>
        <v>49.867072149610408</v>
      </c>
      <c r="E184" s="156">
        <f>(($E$19+$F$19)*(F801EVE!S75+F801EVE!Z75)*$L184)</f>
        <v>49.887883819563172</v>
      </c>
      <c r="F184" s="156">
        <f>(($E$19+$F$19)*(F801EVE!T75+F801EVE!AA75)*$L184)</f>
        <v>48.945636130719969</v>
      </c>
      <c r="G184" s="156">
        <f>(($E$19+$F$19)*(F801EVE!U75+F801EVE!AB75)*$L184)</f>
        <v>49.716875316597928</v>
      </c>
      <c r="H184" s="156">
        <f>(($E$19+$F$19)*(F801EVE!V75+F801EVE!AC75)*$L184)</f>
        <v>47.562654533809621</v>
      </c>
      <c r="I184" s="156">
        <f>(($E$19+$F$19)*(F801EVE!W75+F801EVE!AD75)*$L184)</f>
        <v>47.785526950799991</v>
      </c>
      <c r="J184" s="156">
        <f t="shared" si="41"/>
        <v>293.76564890110109</v>
      </c>
      <c r="K184" s="69"/>
      <c r="L184" s="319">
        <v>0.95</v>
      </c>
      <c r="M184" s="329"/>
    </row>
    <row r="185" spans="2:13" s="37" customFormat="1" ht="15.75">
      <c r="B185" s="48"/>
      <c r="C185" s="160" t="s">
        <v>307</v>
      </c>
      <c r="D185" s="156">
        <f>(($E$19+$F$19)*(F801EVE!R76+F801EVE!Y76)*$L185)</f>
        <v>1.6308131245956212</v>
      </c>
      <c r="E185" s="156">
        <f>(($E$19+$F$19)*(F801EVE!S76+F801EVE!Z76)*$L185)</f>
        <v>1.6314937329217305</v>
      </c>
      <c r="F185" s="156">
        <f>(($E$19+$F$19)*(F801EVE!T76+F801EVE!AA76)*$L185)</f>
        <v>1.6006792128116423</v>
      </c>
      <c r="G185" s="156">
        <f>(($E$19+$F$19)*(F801EVE!U76+F801EVE!AB76)*$L185)</f>
        <v>1.6259012066507574</v>
      </c>
      <c r="H185" s="156">
        <f>(($E$19+$F$19)*(F801EVE!V76+F801EVE!AC76)*$L185)</f>
        <v>1.5554512809902383</v>
      </c>
      <c r="I185" s="156">
        <f>(($E$19+$F$19)*(F801EVE!W76+F801EVE!AD76)*$L185)</f>
        <v>1.562739923516669</v>
      </c>
      <c r="J185" s="156">
        <f t="shared" si="41"/>
        <v>9.6070784814866599</v>
      </c>
      <c r="K185" s="69"/>
      <c r="L185" s="319">
        <v>0.5</v>
      </c>
      <c r="M185" s="329"/>
    </row>
    <row r="186" spans="2:13" s="37" customFormat="1" ht="15.75">
      <c r="B186" s="48"/>
      <c r="C186" s="160" t="s">
        <v>624</v>
      </c>
      <c r="D186" s="156">
        <f>(($E$19+$F$19)*(F801EVE!R77+F801EVE!Y77)*$L186)</f>
        <v>0</v>
      </c>
      <c r="E186" s="156">
        <f>(($E$19+$F$19)*(F801EVE!S77+F801EVE!Z77)*$L186)</f>
        <v>0</v>
      </c>
      <c r="F186" s="156">
        <f>(($E$19+$F$19)*(F801EVE!T77+F801EVE!AA77)*$L186)</f>
        <v>0</v>
      </c>
      <c r="G186" s="156">
        <f>(($E$19+$F$19)*(F801EVE!U77+F801EVE!AB77)*$L186)</f>
        <v>0</v>
      </c>
      <c r="H186" s="156">
        <f>(($E$19+$F$19)*(F801EVE!V77+F801EVE!AC77)*$L186)</f>
        <v>0</v>
      </c>
      <c r="I186" s="156">
        <f>(($E$19+$F$19)*(F801EVE!W77+F801EVE!AD77)*$L186)</f>
        <v>0</v>
      </c>
      <c r="J186" s="156"/>
      <c r="K186" s="69"/>
      <c r="L186" s="319">
        <v>0</v>
      </c>
      <c r="M186" s="329"/>
    </row>
    <row r="187" spans="2:13" s="37" customFormat="1" ht="15.75">
      <c r="B187" s="48" t="s">
        <v>749</v>
      </c>
      <c r="C187" s="158" t="s">
        <v>636</v>
      </c>
      <c r="D187" s="159">
        <f t="shared" ref="D187:I187" si="44">SUM(D188:D193)</f>
        <v>1413479.3653459914</v>
      </c>
      <c r="E187" s="159">
        <f t="shared" si="44"/>
        <v>1414069.2709644402</v>
      </c>
      <c r="F187" s="159">
        <f t="shared" si="44"/>
        <v>1387361.3130312162</v>
      </c>
      <c r="G187" s="159">
        <f t="shared" si="44"/>
        <v>1409222.0445318373</v>
      </c>
      <c r="H187" s="159">
        <f t="shared" si="44"/>
        <v>1348160.7771741836</v>
      </c>
      <c r="I187" s="159">
        <f t="shared" si="44"/>
        <v>1354478.0833431832</v>
      </c>
      <c r="J187" s="159">
        <f t="shared" ref="J187:J193" si="45">SUM(D187:I187)</f>
        <v>8326770.8543908522</v>
      </c>
      <c r="K187" s="69"/>
      <c r="L187" s="319"/>
      <c r="M187" s="69"/>
    </row>
    <row r="188" spans="2:13" s="37" customFormat="1" ht="15.75">
      <c r="B188" s="48"/>
      <c r="C188" s="160" t="s">
        <v>304</v>
      </c>
      <c r="D188" s="156">
        <f>(($E$20+$F$20)*(F801EVE!R79+F801EVE!Y79)*$L188)</f>
        <v>1221942.4412672622</v>
      </c>
      <c r="E188" s="156">
        <f>(($E$20+$F$20)*(F801EVE!S79+F801EVE!Z79)*$L188)</f>
        <v>1222452.4103047994</v>
      </c>
      <c r="F188" s="156">
        <f>(($E$20+$F$20)*(F801EVE!T79+F801EVE!AA79)*$L188)</f>
        <v>1199363.5785055475</v>
      </c>
      <c r="G188" s="156">
        <f>(($E$20+$F$20)*(F801EVE!U79+F801EVE!AB79)*$L188)</f>
        <v>1218262.0189587045</v>
      </c>
      <c r="H188" s="156">
        <f>(($E$20+$F$20)*(F801EVE!V79+F801EVE!AC79)*$L188)</f>
        <v>1165475.005627512</v>
      </c>
      <c r="I188" s="156">
        <f>(($E$20+$F$20)*(F801EVE!W79+F801EVE!AD79)*$L188)</f>
        <v>1170936.2700163915</v>
      </c>
      <c r="J188" s="330">
        <f t="shared" si="45"/>
        <v>7198431.7246802179</v>
      </c>
      <c r="K188" s="69"/>
      <c r="L188" s="319">
        <v>1</v>
      </c>
      <c r="M188" s="329"/>
    </row>
    <row r="189" spans="2:13" s="37" customFormat="1" ht="15.75">
      <c r="B189" s="48"/>
      <c r="C189" s="162" t="s">
        <v>642</v>
      </c>
      <c r="D189" s="156">
        <f>(($E$20+$F$20)*(F801EVE!R80+F801EVE!Y80)*$L189)</f>
        <v>90667.062816508464</v>
      </c>
      <c r="E189" s="156">
        <f>(($E$20+$F$20)*(F801EVE!S80+F801EVE!Z80)*$L189)</f>
        <v>90704.902074070298</v>
      </c>
      <c r="F189" s="156">
        <f>(($E$20+$F$20)*(F801EVE!T80+F801EVE!AA80)*$L189)</f>
        <v>88991.730902986717</v>
      </c>
      <c r="G189" s="156">
        <f>(($E$20+$F$20)*(F801EVE!U80+F801EVE!AB80)*$L189)</f>
        <v>90393.978692926292</v>
      </c>
      <c r="H189" s="156">
        <f>(($E$20+$F$20)*(F801EVE!V80+F801EVE!AC80)*$L189)</f>
        <v>86477.228368228913</v>
      </c>
      <c r="I189" s="156">
        <f>(($E$20+$F$20)*(F801EVE!W80+F801EVE!AD80)*$L189)</f>
        <v>86882.449420122779</v>
      </c>
      <c r="J189" s="330">
        <f t="shared" si="45"/>
        <v>534117.35227484349</v>
      </c>
      <c r="K189" s="69"/>
      <c r="L189" s="319">
        <v>0.75</v>
      </c>
      <c r="M189" s="329"/>
    </row>
    <row r="190" spans="2:13" s="37" customFormat="1" ht="15.75">
      <c r="B190" s="48"/>
      <c r="C190" s="162" t="s">
        <v>1177</v>
      </c>
      <c r="D190" s="156">
        <f>(($E$20+$F$20)*(F801EVE!R81+F801EVE!Y81)*$L190)</f>
        <v>100192.98896761404</v>
      </c>
      <c r="E190" s="156">
        <f>(($E$20+$F$20)*(F801EVE!S81+F801EVE!Z81)*$L190)</f>
        <v>100234.80380309744</v>
      </c>
      <c r="F190" s="156">
        <f>(($E$20+$F$20)*(F801EVE!T81+F801EVE!AA81)*$L190)</f>
        <v>98341.63846927174</v>
      </c>
      <c r="G190" s="156">
        <f>(($E$20+$F$20)*(F801EVE!U81+F801EVE!AB81)*$L190)</f>
        <v>99891.213287104008</v>
      </c>
      <c r="H190" s="156">
        <f>(($E$20+$F$20)*(F801EVE!V81+F801EVE!AC81)*$L190)</f>
        <v>95562.949969856141</v>
      </c>
      <c r="I190" s="156">
        <f>(($E$20+$F$20)*(F801EVE!W81+F801EVE!AD81)*$L190)</f>
        <v>96010.745532220535</v>
      </c>
      <c r="J190" s="330">
        <f t="shared" si="45"/>
        <v>590234.34002916387</v>
      </c>
      <c r="K190" s="69"/>
      <c r="L190" s="319">
        <v>1</v>
      </c>
      <c r="M190" s="329"/>
    </row>
    <row r="191" spans="2:13" s="37" customFormat="1" ht="15.75">
      <c r="B191" s="48"/>
      <c r="C191" s="160" t="s">
        <v>305</v>
      </c>
      <c r="D191" s="156">
        <f>(($E$20+$F$20)*(F801EVE!R82+F801EVE!Y82)*$L191)</f>
        <v>666.37350745644335</v>
      </c>
      <c r="E191" s="156">
        <f>(($E$20+$F$20)*(F801EVE!S82+F801EVE!Z82)*$L191)</f>
        <v>666.65161372786929</v>
      </c>
      <c r="F191" s="156">
        <f>(($E$20+$F$20)*(F801EVE!T82+F801EVE!AA82)*$L191)</f>
        <v>654.06036121913166</v>
      </c>
      <c r="G191" s="156">
        <f>(($E$20+$F$20)*(F801EVE!U82+F801EVE!AB82)*$L191)</f>
        <v>664.36642771205595</v>
      </c>
      <c r="H191" s="156">
        <f>(($E$20+$F$20)*(F801EVE!V82+F801EVE!AC82)*$L191)</f>
        <v>635.57958306724936</v>
      </c>
      <c r="I191" s="156">
        <f>(($E$20+$F$20)*(F801EVE!W82+F801EVE!AD82)*$L191)</f>
        <v>638.55782638138646</v>
      </c>
      <c r="J191" s="156">
        <f t="shared" si="45"/>
        <v>3925.5893195641361</v>
      </c>
      <c r="K191" s="69"/>
      <c r="L191" s="319">
        <v>0.95</v>
      </c>
      <c r="M191" s="329"/>
    </row>
    <row r="192" spans="2:13" s="37" customFormat="1" ht="15.75">
      <c r="B192" s="48"/>
      <c r="C192" s="160" t="s">
        <v>307</v>
      </c>
      <c r="D192" s="156">
        <f>(($E$20+$F$20)*(F801EVE!R83+F801EVE!Y83)*$L192)</f>
        <v>10.498787150368733</v>
      </c>
      <c r="E192" s="156">
        <f>(($E$20+$F$20)*(F801EVE!S83+F801EVE!Z83)*$L192)</f>
        <v>10.503168744949265</v>
      </c>
      <c r="F192" s="156">
        <f>(($E$20+$F$20)*(F801EVE!T83+F801EVE!AA83)*$L192)</f>
        <v>10.304792191009774</v>
      </c>
      <c r="G192" s="156">
        <f>(($E$20+$F$20)*(F801EVE!U83+F801EVE!AB83)*$L192)</f>
        <v>10.467165390508303</v>
      </c>
      <c r="H192" s="156">
        <f>(($E$20+$F$20)*(F801EVE!V83+F801EVE!AC83)*$L192)</f>
        <v>10.013625519437856</v>
      </c>
      <c r="I192" s="156">
        <f>(($E$20+$F$20)*(F801EVE!W83+F801EVE!AD83)*$L192)</f>
        <v>10.060548067059059</v>
      </c>
      <c r="J192" s="156">
        <f t="shared" si="45"/>
        <v>61.848087063332983</v>
      </c>
      <c r="K192" s="69"/>
      <c r="L192" s="319">
        <v>0.5</v>
      </c>
      <c r="M192" s="329"/>
    </row>
    <row r="193" spans="2:13" s="37" customFormat="1" ht="15.75">
      <c r="B193" s="48"/>
      <c r="C193" s="160" t="s">
        <v>624</v>
      </c>
      <c r="D193" s="156">
        <f>(($E$20+$F$20)*(F801EVE!R84+F801EVE!Y84)*$L193)</f>
        <v>0</v>
      </c>
      <c r="E193" s="156">
        <f>(($E$20+$F$20)*(F801EVE!S84+F801EVE!Z84)*$L193)</f>
        <v>0</v>
      </c>
      <c r="F193" s="156">
        <f>(($E$20+$F$20)*(F801EVE!T84+F801EVE!AA84)*$L193)</f>
        <v>0</v>
      </c>
      <c r="G193" s="156">
        <f>(($E$20+$F$20)*(F801EVE!U84+F801EVE!AB84)*$L193)</f>
        <v>0</v>
      </c>
      <c r="H193" s="156">
        <f>(($E$20+$F$20)*(F801EVE!V84+F801EVE!AC84)*$L193)</f>
        <v>0</v>
      </c>
      <c r="I193" s="156">
        <f>(($E$20+$F$20)*(F801EVE!W84+F801EVE!AD84)*$L193)</f>
        <v>0</v>
      </c>
      <c r="J193" s="156">
        <f t="shared" si="45"/>
        <v>0</v>
      </c>
      <c r="K193" s="69"/>
      <c r="L193" s="319">
        <v>0</v>
      </c>
      <c r="M193" s="329"/>
    </row>
    <row r="194" spans="2:13" s="37" customFormat="1" ht="15.75">
      <c r="B194" s="48"/>
      <c r="C194" s="157"/>
      <c r="D194" s="156"/>
      <c r="E194" s="156"/>
      <c r="F194" s="156"/>
      <c r="G194" s="156"/>
      <c r="H194" s="156"/>
      <c r="I194" s="156"/>
      <c r="J194" s="156"/>
      <c r="K194" s="69"/>
      <c r="L194" s="319"/>
      <c r="M194" s="69"/>
    </row>
    <row r="195" spans="2:13" s="37" customFormat="1" ht="15.75">
      <c r="B195" s="48" t="s">
        <v>902</v>
      </c>
      <c r="C195" s="158" t="s">
        <v>898</v>
      </c>
      <c r="D195" s="159">
        <f t="shared" ref="D195:H195" si="46">SUM(D196:D200)</f>
        <v>360200.34518586955</v>
      </c>
      <c r="E195" s="159">
        <f t="shared" si="46"/>
        <v>360350.67225296475</v>
      </c>
      <c r="F195" s="159">
        <f t="shared" si="46"/>
        <v>353544.61911726731</v>
      </c>
      <c r="G195" s="159">
        <f t="shared" si="46"/>
        <v>359115.44188666216</v>
      </c>
      <c r="H195" s="159">
        <f t="shared" si="46"/>
        <v>343555.05231257767</v>
      </c>
      <c r="I195" s="159">
        <f t="shared" ref="I195" si="47">SUM(I196:I200)</f>
        <v>345164.90663270873</v>
      </c>
      <c r="J195" s="159">
        <f t="shared" ref="J195:J214" si="48">SUM(D195:I195)</f>
        <v>2121931.03738805</v>
      </c>
      <c r="K195" s="69"/>
      <c r="L195" s="319"/>
      <c r="M195" s="69"/>
    </row>
    <row r="196" spans="2:13" s="37" customFormat="1" ht="15.75">
      <c r="B196" s="48"/>
      <c r="C196" s="160" t="s">
        <v>304</v>
      </c>
      <c r="D196" s="156">
        <f>(($E$17+$F$17)*(F801EVE!R87+F801EVE!Y87)*$L196)</f>
        <v>346444.95423456182</v>
      </c>
      <c r="E196" s="156">
        <f>(($E$17+$F$17)*(F801EVE!S87+F801EVE!Z87)*$L196)</f>
        <v>346589.54058650753</v>
      </c>
      <c r="F196" s="156">
        <f>(($E$17+$F$17)*(F801EVE!T87+F801EVE!AA87)*$L196)</f>
        <v>340043.39814486727</v>
      </c>
      <c r="G196" s="156">
        <f>(($E$17+$F$17)*(F801EVE!U87+F801EVE!AB87)*$L196)</f>
        <v>345401.48140377126</v>
      </c>
      <c r="H196" s="156">
        <f>(($E$17+$F$17)*(F801EVE!V87+F801EVE!AC87)*$L196)</f>
        <v>330435.3145860135</v>
      </c>
      <c r="I196" s="156">
        <f>(($E$17+$F$17)*(F801EVE!W87+F801EVE!AD87)*$L196)</f>
        <v>331983.69152045069</v>
      </c>
      <c r="J196" s="156">
        <f t="shared" si="48"/>
        <v>2040898.3804761721</v>
      </c>
      <c r="K196" s="69"/>
      <c r="L196" s="319">
        <v>1</v>
      </c>
      <c r="M196" s="329"/>
    </row>
    <row r="197" spans="2:13" s="37" customFormat="1" ht="15.75">
      <c r="B197" s="48"/>
      <c r="C197" s="162" t="s">
        <v>644</v>
      </c>
      <c r="D197" s="156">
        <f>(($E$17+$F$17)*(F801EVE!R88+F801EVE!Y88)*$L197)</f>
        <v>13755.390951307723</v>
      </c>
      <c r="E197" s="156">
        <f>(($E$17+$F$17)*(F801EVE!S88+F801EVE!Z88)*$L197)</f>
        <v>13761.131666457211</v>
      </c>
      <c r="F197" s="156">
        <f>(($E$17+$F$17)*(F801EVE!T88+F801EVE!AA88)*$L197)</f>
        <v>13501.220972400035</v>
      </c>
      <c r="G197" s="156">
        <f>(($E$17+$F$17)*(F801EVE!U88+F801EVE!AB88)*$L197)</f>
        <v>13713.960482890876</v>
      </c>
      <c r="H197" s="156">
        <f>(($E$17+$F$17)*(F801EVE!V88+F801EVE!AC88)*$L197)</f>
        <v>13119.73772656415</v>
      </c>
      <c r="I197" s="156">
        <f>(($E$17+$F$17)*(F801EVE!W88+F801EVE!AD88)*$L197)</f>
        <v>13181.215112258014</v>
      </c>
      <c r="J197" s="156">
        <f t="shared" si="48"/>
        <v>81032.656911878017</v>
      </c>
      <c r="K197" s="69"/>
      <c r="L197" s="319">
        <v>0.75</v>
      </c>
      <c r="M197" s="329"/>
    </row>
    <row r="198" spans="2:13" s="37" customFormat="1" ht="15.75">
      <c r="B198" s="48"/>
      <c r="C198" s="160" t="s">
        <v>305</v>
      </c>
      <c r="D198" s="156">
        <f>(($E$17+$F$17)*(F801EVE!R89+F801EVE!Y89)*$L198)</f>
        <v>0</v>
      </c>
      <c r="E198" s="156">
        <f>(($E$17+$F$17)*(F801EVE!S89+F801EVE!Z89)*$L198)</f>
        <v>0</v>
      </c>
      <c r="F198" s="156">
        <f>(($E$17+$F$17)*(F801EVE!T89+F801EVE!AA89)*$L198)</f>
        <v>0</v>
      </c>
      <c r="G198" s="156">
        <f>(($E$17+$F$17)*(F801EVE!U89+F801EVE!AB89)*$L198)</f>
        <v>0</v>
      </c>
      <c r="H198" s="156">
        <f>(($E$17+$F$17)*(F801EVE!V89+F801EVE!AC89)*$L198)</f>
        <v>0</v>
      </c>
      <c r="I198" s="156">
        <f>(($E$17+$F$17)*(F801EVE!W89+F801EVE!AD89)*$L198)</f>
        <v>0</v>
      </c>
      <c r="J198" s="156">
        <f t="shared" si="48"/>
        <v>0</v>
      </c>
      <c r="K198" s="69"/>
      <c r="L198" s="319">
        <v>0.95</v>
      </c>
      <c r="M198" s="329"/>
    </row>
    <row r="199" spans="2:13" s="37" customFormat="1" ht="15.75">
      <c r="B199" s="48"/>
      <c r="C199" s="160" t="s">
        <v>307</v>
      </c>
      <c r="D199" s="156">
        <f>(($E$17+$F$17)*(F801EVE!R90+F801EVE!Y90)*$L199)</f>
        <v>0</v>
      </c>
      <c r="E199" s="156">
        <f>(($E$17+$F$17)*(F801EVE!S90+F801EVE!Z90)*$L199)</f>
        <v>0</v>
      </c>
      <c r="F199" s="156">
        <f>(($E$17+$F$17)*(F801EVE!T90+F801EVE!AA90)*$L199)</f>
        <v>0</v>
      </c>
      <c r="G199" s="156">
        <f>(($E$17+$F$17)*(F801EVE!U90+F801EVE!AB90)*$L199)</f>
        <v>0</v>
      </c>
      <c r="H199" s="156">
        <f>(($E$17+$F$17)*(F801EVE!V90+F801EVE!AC90)*$L199)</f>
        <v>0</v>
      </c>
      <c r="I199" s="156">
        <f>(($E$17+$F$17)*(F801EVE!W90+F801EVE!AD90)*$L199)</f>
        <v>0</v>
      </c>
      <c r="J199" s="156">
        <f t="shared" si="48"/>
        <v>0</v>
      </c>
      <c r="K199" s="69"/>
      <c r="L199" s="319">
        <v>0.5</v>
      </c>
      <c r="M199" s="329"/>
    </row>
    <row r="200" spans="2:13" s="37" customFormat="1" ht="15.75">
      <c r="B200" s="48"/>
      <c r="C200" s="160" t="s">
        <v>624</v>
      </c>
      <c r="D200" s="156">
        <f>(($E$17+$F$17)*(F801EVE!R91+F801EVE!Y91)*$L200)</f>
        <v>0</v>
      </c>
      <c r="E200" s="156">
        <f>(($E$17+$F$17)*(F801EVE!S91+F801EVE!Z91)*$L200)</f>
        <v>0</v>
      </c>
      <c r="F200" s="156">
        <f>(($E$17+$F$17)*(F801EVE!T91+F801EVE!AA91)*$L200)</f>
        <v>0</v>
      </c>
      <c r="G200" s="156">
        <f>(($E$17+$F$17)*(F801EVE!U91+F801EVE!AB91)*$L200)</f>
        <v>0</v>
      </c>
      <c r="H200" s="156">
        <f>(($E$17+$F$17)*(F801EVE!V91+F801EVE!AC91)*$L200)</f>
        <v>0</v>
      </c>
      <c r="I200" s="156">
        <f>(($E$17+$F$17)*(F801EVE!W91+F801EVE!AD91)*$L200)</f>
        <v>0</v>
      </c>
      <c r="J200" s="156">
        <f t="shared" si="48"/>
        <v>0</v>
      </c>
      <c r="K200" s="69"/>
      <c r="L200" s="319">
        <v>0</v>
      </c>
      <c r="M200" s="329"/>
    </row>
    <row r="201" spans="2:13" s="37" customFormat="1" ht="15.75">
      <c r="B201" s="48" t="s">
        <v>902</v>
      </c>
      <c r="C201" s="158" t="s">
        <v>899</v>
      </c>
      <c r="D201" s="159">
        <f t="shared" ref="D201:I201" si="49">SUM(D202:D207)</f>
        <v>28509.616166852484</v>
      </c>
      <c r="E201" s="159">
        <f t="shared" si="49"/>
        <v>28521.5144535689</v>
      </c>
      <c r="F201" s="159">
        <f t="shared" si="49"/>
        <v>27982.819904540043</v>
      </c>
      <c r="G201" s="159">
        <f t="shared" si="49"/>
        <v>28423.746797064417</v>
      </c>
      <c r="H201" s="159">
        <f t="shared" si="49"/>
        <v>27192.152379977091</v>
      </c>
      <c r="I201" s="159">
        <f t="shared" si="49"/>
        <v>27319.571271615867</v>
      </c>
      <c r="J201" s="159">
        <f t="shared" si="48"/>
        <v>167949.42097361881</v>
      </c>
      <c r="K201" s="69"/>
      <c r="L201" s="319"/>
      <c r="M201" s="69"/>
    </row>
    <row r="202" spans="2:13" s="37" customFormat="1" ht="15.75">
      <c r="B202" s="48"/>
      <c r="C202" s="160" t="s">
        <v>304</v>
      </c>
      <c r="D202" s="156">
        <f>(($E$17+$F$17)*(F801EVE!R93+F801EVE!Y93)*$L202)</f>
        <v>25897.312418578465</v>
      </c>
      <c r="E202" s="156">
        <f>(($E$17+$F$17)*(F801EVE!S93+F801EVE!Z93)*$L202)</f>
        <v>25908.120478797078</v>
      </c>
      <c r="F202" s="156">
        <f>(($E$17+$F$17)*(F801EVE!T93+F801EVE!AA93)*$L202)</f>
        <v>25418.785899448878</v>
      </c>
      <c r="G202" s="156">
        <f>(($E$17+$F$17)*(F801EVE!U93+F801EVE!AB93)*$L202)</f>
        <v>25819.311161614034</v>
      </c>
      <c r="H202" s="156">
        <f>(($E$17+$F$17)*(F801EVE!V93+F801EVE!AC93)*$L202)</f>
        <v>24700.566342124985</v>
      </c>
      <c r="I202" s="156">
        <f>(($E$17+$F$17)*(F801EVE!W93+F801EVE!AD93)*$L202)</f>
        <v>24816.309985444706</v>
      </c>
      <c r="J202" s="156">
        <f t="shared" si="48"/>
        <v>152560.40628600816</v>
      </c>
      <c r="K202" s="69"/>
      <c r="L202" s="319">
        <v>1</v>
      </c>
      <c r="M202" s="329"/>
    </row>
    <row r="203" spans="2:13" s="37" customFormat="1" ht="15.75">
      <c r="B203" s="48"/>
      <c r="C203" s="162" t="s">
        <v>642</v>
      </c>
      <c r="D203" s="156">
        <f>(($E$17+$F$17)*(F801EVE!R94+F801EVE!Y94)*$L203)</f>
        <v>2368.8541403483673</v>
      </c>
      <c r="E203" s="156">
        <f>(($E$17+$F$17)*(F801EVE!S94+F801EVE!Z94)*$L203)</f>
        <v>2369.8427648737306</v>
      </c>
      <c r="F203" s="156">
        <f>(($E$17+$F$17)*(F801EVE!T94+F801EVE!AA94)*$L203)</f>
        <v>2325.0828212328975</v>
      </c>
      <c r="G203" s="156">
        <f>(($E$17+$F$17)*(F801EVE!U94+F801EVE!AB94)*$L203)</f>
        <v>2361.7192841313945</v>
      </c>
      <c r="H203" s="156">
        <f>(($E$17+$F$17)*(F801EVE!V94+F801EVE!AC94)*$L203)</f>
        <v>2259.3865302608147</v>
      </c>
      <c r="I203" s="156">
        <f>(($E$17+$F$17)*(F801EVE!W94+F801EVE!AD94)*$L203)</f>
        <v>2269.9737218683977</v>
      </c>
      <c r="J203" s="156">
        <f t="shared" si="48"/>
        <v>13954.859262715603</v>
      </c>
      <c r="K203" s="69"/>
      <c r="L203" s="319">
        <v>0.75</v>
      </c>
      <c r="M203" s="329"/>
    </row>
    <row r="204" spans="2:13" s="37" customFormat="1" ht="15.75">
      <c r="B204" s="48"/>
      <c r="C204" s="162" t="s">
        <v>1177</v>
      </c>
      <c r="D204" s="156">
        <f>(($E$17+$F$17)*(F801EVE!R95+F801EVE!Y95)*$L204)</f>
        <v>243.44960792564785</v>
      </c>
      <c r="E204" s="156">
        <f>(($E$17+$F$17)*(F801EVE!S95+F801EVE!Z95)*$L204)</f>
        <v>243.55120989808924</v>
      </c>
      <c r="F204" s="156">
        <f>(($E$17+$F$17)*(F801EVE!T95+F801EVE!AA95)*$L204)</f>
        <v>238.95118385827055</v>
      </c>
      <c r="G204" s="156">
        <f>(($E$17+$F$17)*(F801EVE!U95+F801EVE!AB95)*$L204)</f>
        <v>242.71635131898637</v>
      </c>
      <c r="H204" s="156">
        <f>(($E$17+$F$17)*(F801EVE!V95+F801EVE!AC95)*$L204)</f>
        <v>232.19950759129247</v>
      </c>
      <c r="I204" s="156">
        <f>(($E$17+$F$17)*(F801EVE!W95+F801EVE!AD95)*$L204)</f>
        <v>233.28756430276255</v>
      </c>
      <c r="J204" s="156">
        <f t="shared" si="48"/>
        <v>1434.1554248950492</v>
      </c>
      <c r="K204" s="69"/>
      <c r="L204" s="319">
        <v>1</v>
      </c>
      <c r="M204" s="329"/>
    </row>
    <row r="205" spans="2:13" s="37" customFormat="1" ht="15.75">
      <c r="B205" s="48"/>
      <c r="C205" s="160" t="s">
        <v>305</v>
      </c>
      <c r="D205" s="156">
        <f>(($E$17+$F$17)*(F801EVE!R96+F801EVE!Y96)*$L205)</f>
        <v>0</v>
      </c>
      <c r="E205" s="156">
        <f>(($E$17+$F$17)*(F801EVE!S96+F801EVE!Z96)*$L205)</f>
        <v>0</v>
      </c>
      <c r="F205" s="156">
        <f>(($E$17+$F$17)*(F801EVE!T96+F801EVE!AA96)*$L205)</f>
        <v>0</v>
      </c>
      <c r="G205" s="156">
        <f>(($E$17+$F$17)*(F801EVE!U96+F801EVE!AB96)*$L205)</f>
        <v>0</v>
      </c>
      <c r="H205" s="156">
        <f>(($E$17+$F$17)*(F801EVE!V96+F801EVE!AC96)*$L205)</f>
        <v>0</v>
      </c>
      <c r="I205" s="156">
        <f>(($E$17+$F$17)*(F801EVE!W96+F801EVE!AD96)*$L205)</f>
        <v>0</v>
      </c>
      <c r="J205" s="156">
        <f t="shared" si="48"/>
        <v>0</v>
      </c>
      <c r="K205" s="69"/>
      <c r="L205" s="319">
        <v>0.95</v>
      </c>
      <c r="M205" s="329"/>
    </row>
    <row r="206" spans="2:13" s="37" customFormat="1" ht="15.75">
      <c r="B206" s="48"/>
      <c r="C206" s="160" t="s">
        <v>307</v>
      </c>
      <c r="D206" s="156">
        <f>(($E$17+$F$17)*(F801EVE!R97+F801EVE!Y97)*$L206)</f>
        <v>0</v>
      </c>
      <c r="E206" s="156">
        <f>(($E$17+$F$17)*(F801EVE!S97+F801EVE!Z97)*$L206)</f>
        <v>0</v>
      </c>
      <c r="F206" s="156">
        <f>(($E$17+$F$17)*(F801EVE!T97+F801EVE!AA97)*$L206)</f>
        <v>0</v>
      </c>
      <c r="G206" s="156">
        <f>(($E$17+$F$17)*(F801EVE!U97+F801EVE!AB97)*$L206)</f>
        <v>0</v>
      </c>
      <c r="H206" s="156">
        <f>(($E$17+$F$17)*(F801EVE!V97+F801EVE!AC97)*$L206)</f>
        <v>0</v>
      </c>
      <c r="I206" s="156">
        <f>(($E$17+$F$17)*(F801EVE!W97+F801EVE!AD97)*$L206)</f>
        <v>0</v>
      </c>
      <c r="J206" s="156">
        <f t="shared" si="48"/>
        <v>0</v>
      </c>
      <c r="K206" s="69"/>
      <c r="L206" s="319">
        <v>0.5</v>
      </c>
      <c r="M206" s="329"/>
    </row>
    <row r="207" spans="2:13" s="37" customFormat="1" ht="15.75">
      <c r="B207" s="48"/>
      <c r="C207" s="160" t="s">
        <v>624</v>
      </c>
      <c r="D207" s="156">
        <f>(($E$17+$F$17)*(F801EVE!R98+F801EVE!Y98)*$L207)</f>
        <v>0</v>
      </c>
      <c r="E207" s="156">
        <f>(($E$17+$F$17)*(F801EVE!S98+F801EVE!Z98)*$L207)</f>
        <v>0</v>
      </c>
      <c r="F207" s="156">
        <f>(($E$17+$F$17)*(F801EVE!T98+F801EVE!AA98)*$L207)</f>
        <v>0</v>
      </c>
      <c r="G207" s="156">
        <f>(($E$17+$F$17)*(F801EVE!U98+F801EVE!AB98)*$L207)</f>
        <v>0</v>
      </c>
      <c r="H207" s="156">
        <f>(($E$17+$F$17)*(F801EVE!V98+F801EVE!AC98)*$L207)</f>
        <v>0</v>
      </c>
      <c r="I207" s="156">
        <f>(($E$17+$F$17)*(F801EVE!W98+F801EVE!AD98)*$L207)</f>
        <v>0</v>
      </c>
      <c r="J207" s="156">
        <f t="shared" si="48"/>
        <v>0</v>
      </c>
      <c r="K207" s="69"/>
      <c r="L207" s="319">
        <v>0</v>
      </c>
      <c r="M207" s="329"/>
    </row>
    <row r="208" spans="2:13" s="37" customFormat="1" ht="15.75">
      <c r="B208" s="48" t="s">
        <v>902</v>
      </c>
      <c r="C208" s="158" t="s">
        <v>900</v>
      </c>
      <c r="D208" s="159">
        <f t="shared" ref="D208:I208" si="50">SUM(D209:D214)</f>
        <v>3152.7392517623862</v>
      </c>
      <c r="E208" s="159">
        <f t="shared" si="50"/>
        <v>3154.0550251961649</v>
      </c>
      <c r="F208" s="159">
        <f t="shared" si="50"/>
        <v>3094.4834252316459</v>
      </c>
      <c r="G208" s="159">
        <f t="shared" si="50"/>
        <v>3143.243377420531</v>
      </c>
      <c r="H208" s="159">
        <f t="shared" si="50"/>
        <v>3007.0473641779126</v>
      </c>
      <c r="I208" s="159">
        <f t="shared" si="50"/>
        <v>3021.1379972728851</v>
      </c>
      <c r="J208" s="159">
        <f t="shared" si="48"/>
        <v>18572.706441061528</v>
      </c>
      <c r="K208" s="69"/>
      <c r="L208" s="319"/>
      <c r="M208" s="69"/>
    </row>
    <row r="209" spans="2:13" s="37" customFormat="1" ht="15.75">
      <c r="B209" s="48"/>
      <c r="C209" s="160" t="s">
        <v>304</v>
      </c>
      <c r="D209" s="156">
        <f>(($E$17+$F$17)*(F801EVE!R100+F801EVE!Y100)*$L209)</f>
        <v>3062.8996954573026</v>
      </c>
      <c r="E209" s="156">
        <f>(($E$17+$F$17)*(F801EVE!S100+F801EVE!Z100)*$L209)</f>
        <v>3064.1779749875109</v>
      </c>
      <c r="F209" s="156">
        <f>(($E$17+$F$17)*(F801EVE!T100+F801EVE!AA100)*$L209)</f>
        <v>3006.3039103032106</v>
      </c>
      <c r="G209" s="156">
        <f>(($E$17+$F$17)*(F801EVE!U100+F801EVE!AB100)*$L209)</f>
        <v>3053.6744128356872</v>
      </c>
      <c r="H209" s="156">
        <f>(($E$17+$F$17)*(F801EVE!V100+F801EVE!AC100)*$L209)</f>
        <v>2921.359402246047</v>
      </c>
      <c r="I209" s="156">
        <f>(($E$17+$F$17)*(F801EVE!W100+F801EVE!AD100)*$L209)</f>
        <v>2935.048512689058</v>
      </c>
      <c r="J209" s="156">
        <f t="shared" si="48"/>
        <v>18043.463908518817</v>
      </c>
      <c r="K209" s="69"/>
      <c r="L209" s="319">
        <v>1</v>
      </c>
      <c r="M209" s="329"/>
    </row>
    <row r="210" spans="2:13" s="37" customFormat="1" ht="15.75">
      <c r="B210" s="48"/>
      <c r="C210" s="162" t="s">
        <v>642</v>
      </c>
      <c r="D210" s="156">
        <f>(($E$17+$F$17)*(F801EVE!R101+F801EVE!Y101)*$L210)</f>
        <v>89.839556305083377</v>
      </c>
      <c r="E210" s="156">
        <f>(($E$17+$F$17)*(F801EVE!S101+F801EVE!Z101)*$L210)</f>
        <v>89.877050208653955</v>
      </c>
      <c r="F210" s="156">
        <f>(($E$17+$F$17)*(F801EVE!T101+F801EVE!AA101)*$L210)</f>
        <v>88.179514928435481</v>
      </c>
      <c r="G210" s="156">
        <f>(($E$17+$F$17)*(F801EVE!U101+F801EVE!AB101)*$L210)</f>
        <v>89.568964584843883</v>
      </c>
      <c r="H210" s="156">
        <f>(($E$17+$F$17)*(F801EVE!V101+F801EVE!AC101)*$L210)</f>
        <v>85.687961931865743</v>
      </c>
      <c r="I210" s="156">
        <f>(($E$17+$F$17)*(F801EVE!W101+F801EVE!AD101)*$L210)</f>
        <v>86.089484583827016</v>
      </c>
      <c r="J210" s="156">
        <f t="shared" si="48"/>
        <v>529.24253254270945</v>
      </c>
      <c r="K210" s="69"/>
      <c r="L210" s="319">
        <v>0.75</v>
      </c>
      <c r="M210" s="329"/>
    </row>
    <row r="211" spans="2:13" s="37" customFormat="1" ht="15.75">
      <c r="B211" s="48"/>
      <c r="C211" s="162" t="s">
        <v>1177</v>
      </c>
      <c r="D211" s="156">
        <f>(($E$17+$F$17)*(F801EVE!R102+F801EVE!Y102)*$L211)</f>
        <v>0</v>
      </c>
      <c r="E211" s="156">
        <f>(($E$17+$F$17)*(F801EVE!S102+F801EVE!Z102)*$L211)</f>
        <v>0</v>
      </c>
      <c r="F211" s="156">
        <f>(($E$17+$F$17)*(F801EVE!T102+F801EVE!AA102)*$L211)</f>
        <v>0</v>
      </c>
      <c r="G211" s="156">
        <f>(($E$17+$F$17)*(F801EVE!U102+F801EVE!AB102)*$L211)</f>
        <v>0</v>
      </c>
      <c r="H211" s="156">
        <f>(($E$17+$F$17)*(F801EVE!V102+F801EVE!AC102)*$L211)</f>
        <v>0</v>
      </c>
      <c r="I211" s="156">
        <f>(($E$17+$F$17)*(F801EVE!W102+F801EVE!AD102)*$L211)</f>
        <v>0</v>
      </c>
      <c r="J211" s="156">
        <f t="shared" si="48"/>
        <v>0</v>
      </c>
      <c r="K211" s="69"/>
      <c r="L211" s="319">
        <v>1</v>
      </c>
      <c r="M211" s="329"/>
    </row>
    <row r="212" spans="2:13" s="37" customFormat="1" ht="15.75">
      <c r="B212" s="48"/>
      <c r="C212" s="160" t="s">
        <v>305</v>
      </c>
      <c r="D212" s="156">
        <f>(($E$17+$F$17)*(F801EVE!R103+F801EVE!Y103)*$L212)</f>
        <v>0</v>
      </c>
      <c r="E212" s="156">
        <f>(($E$17+$F$17)*(F801EVE!S103+F801EVE!Z103)*$L212)</f>
        <v>0</v>
      </c>
      <c r="F212" s="156">
        <f>(($E$17+$F$17)*(F801EVE!T103+F801EVE!AA103)*$L212)</f>
        <v>0</v>
      </c>
      <c r="G212" s="156">
        <f>(($E$17+$F$17)*(F801EVE!U103+F801EVE!AB103)*$L212)</f>
        <v>0</v>
      </c>
      <c r="H212" s="156">
        <f>(($E$17+$F$17)*(F801EVE!V103+F801EVE!AC103)*$L212)</f>
        <v>0</v>
      </c>
      <c r="I212" s="156">
        <f>(($E$17+$F$17)*(F801EVE!W103+F801EVE!AD103)*$L212)</f>
        <v>0</v>
      </c>
      <c r="J212" s="156">
        <f t="shared" si="48"/>
        <v>0</v>
      </c>
      <c r="K212" s="69"/>
      <c r="L212" s="319">
        <v>0.95</v>
      </c>
      <c r="M212" s="329"/>
    </row>
    <row r="213" spans="2:13" s="37" customFormat="1" ht="15.75">
      <c r="B213" s="48"/>
      <c r="C213" s="160" t="s">
        <v>307</v>
      </c>
      <c r="D213" s="156">
        <f>(($E$17+$F$17)*(F801EVE!R104+F801EVE!Y104)*$L213)</f>
        <v>0</v>
      </c>
      <c r="E213" s="156">
        <f>(($E$17+$F$17)*(F801EVE!S104+F801EVE!Z104)*$L213)</f>
        <v>0</v>
      </c>
      <c r="F213" s="156">
        <f>(($E$17+$F$17)*(F801EVE!T104+F801EVE!AA104)*$L213)</f>
        <v>0</v>
      </c>
      <c r="G213" s="156">
        <f>(($E$17+$F$17)*(F801EVE!U104+F801EVE!AB104)*$L213)</f>
        <v>0</v>
      </c>
      <c r="H213" s="156">
        <f>(($E$17+$F$17)*(F801EVE!V104+F801EVE!AC104)*$L213)</f>
        <v>0</v>
      </c>
      <c r="I213" s="156">
        <f>(($E$17+$F$17)*(F801EVE!W104+F801EVE!AD104)*$L213)</f>
        <v>0</v>
      </c>
      <c r="J213" s="156">
        <f t="shared" si="48"/>
        <v>0</v>
      </c>
      <c r="K213" s="69"/>
      <c r="L213" s="319">
        <v>0.5</v>
      </c>
      <c r="M213" s="329"/>
    </row>
    <row r="214" spans="2:13" s="37" customFormat="1" ht="15.75">
      <c r="B214" s="48"/>
      <c r="C214" s="160" t="s">
        <v>624</v>
      </c>
      <c r="D214" s="156">
        <f>(($E$17+$F$17)*(F801EVE!R105+F801EVE!Y105)*$L214)</f>
        <v>0</v>
      </c>
      <c r="E214" s="156">
        <f>(($E$17+$F$17)*(F801EVE!S105+F801EVE!Z105)*$L214)</f>
        <v>0</v>
      </c>
      <c r="F214" s="156">
        <f>(($E$17+$F$17)*(F801EVE!T105+F801EVE!AA105)*$L214)</f>
        <v>0</v>
      </c>
      <c r="G214" s="156">
        <f>(($E$17+$F$17)*(F801EVE!U105+F801EVE!AB105)*$L214)</f>
        <v>0</v>
      </c>
      <c r="H214" s="156">
        <f>(($E$17+$F$17)*(F801EVE!V105+F801EVE!AC105)*$L214)</f>
        <v>0</v>
      </c>
      <c r="I214" s="156">
        <f>(($E$17+$F$17)*(F801EVE!W105+F801EVE!AD105)*$L214)</f>
        <v>0</v>
      </c>
      <c r="J214" s="156">
        <f t="shared" si="48"/>
        <v>0</v>
      </c>
      <c r="K214" s="69"/>
      <c r="L214" s="319">
        <v>0</v>
      </c>
      <c r="M214" s="329"/>
    </row>
    <row r="215" spans="2:13" s="37" customFormat="1" ht="15.75">
      <c r="B215" s="48"/>
      <c r="C215" s="157"/>
      <c r="D215" s="156"/>
      <c r="E215" s="156"/>
      <c r="F215" s="156"/>
      <c r="G215" s="156"/>
      <c r="H215" s="156"/>
      <c r="I215" s="156"/>
      <c r="J215" s="156"/>
      <c r="K215" s="69"/>
      <c r="L215" s="319"/>
      <c r="M215" s="69"/>
    </row>
    <row r="216" spans="2:13" s="37" customFormat="1" ht="15.75">
      <c r="B216" s="48"/>
      <c r="C216" s="153" t="s">
        <v>112</v>
      </c>
      <c r="D216" s="154">
        <f t="shared" ref="D216:I216" si="51">D125+D129+D139</f>
        <v>6563703.6587125249</v>
      </c>
      <c r="E216" s="154">
        <f t="shared" si="51"/>
        <v>6566442.9740482941</v>
      </c>
      <c r="F216" s="154">
        <f t="shared" si="51"/>
        <v>6442420.5601815097</v>
      </c>
      <c r="G216" s="154">
        <f t="shared" si="51"/>
        <v>6543934.1501152422</v>
      </c>
      <c r="H216" s="154">
        <f t="shared" si="51"/>
        <v>6260386.984495339</v>
      </c>
      <c r="I216" s="154">
        <f t="shared" si="51"/>
        <v>6289722.3444720805</v>
      </c>
      <c r="J216" s="154">
        <f>SUM(D216:I216)</f>
        <v>38666610.672024995</v>
      </c>
      <c r="K216" s="69"/>
      <c r="L216" s="319"/>
      <c r="M216" s="69"/>
    </row>
    <row r="217" spans="2:13">
      <c r="C217" s="48"/>
      <c r="D217" s="48"/>
      <c r="E217" s="48"/>
      <c r="F217" s="48"/>
      <c r="G217" s="48"/>
      <c r="H217" s="48"/>
      <c r="I217" s="48"/>
      <c r="J217" s="48"/>
    </row>
    <row r="218" spans="2:13" s="69" customFormat="1" ht="30" hidden="1">
      <c r="B218" s="48"/>
      <c r="C218" s="320" t="s">
        <v>1463</v>
      </c>
      <c r="D218" s="320"/>
      <c r="E218" s="320"/>
      <c r="F218" s="320"/>
      <c r="G218" s="320"/>
      <c r="H218" s="320"/>
      <c r="I218" s="320"/>
      <c r="J218" s="321"/>
      <c r="L218" s="319"/>
    </row>
    <row r="219" spans="2:13" s="37" customFormat="1" ht="15.75" hidden="1">
      <c r="B219" s="48"/>
      <c r="C219" s="150" t="s">
        <v>310</v>
      </c>
      <c r="D219" s="151">
        <f t="shared" ref="D219:I219" si="52">D$29</f>
        <v>46204</v>
      </c>
      <c r="E219" s="151">
        <f t="shared" si="52"/>
        <v>46235</v>
      </c>
      <c r="F219" s="151">
        <f t="shared" si="52"/>
        <v>46266</v>
      </c>
      <c r="G219" s="151">
        <f t="shared" si="52"/>
        <v>46296</v>
      </c>
      <c r="H219" s="151">
        <f t="shared" si="52"/>
        <v>46327</v>
      </c>
      <c r="I219" s="151">
        <f t="shared" si="52"/>
        <v>46357</v>
      </c>
      <c r="J219" s="152" t="s">
        <v>111</v>
      </c>
      <c r="K219" s="69"/>
      <c r="L219" s="319"/>
      <c r="M219" s="69"/>
    </row>
    <row r="220" spans="2:13" s="37" customFormat="1" ht="15.75" hidden="1">
      <c r="B220" s="48"/>
      <c r="C220" s="153" t="s">
        <v>446</v>
      </c>
      <c r="D220" s="154">
        <f t="shared" ref="D220:I220" si="53">SUM(D221:D222)</f>
        <v>0</v>
      </c>
      <c r="E220" s="154">
        <f t="shared" si="53"/>
        <v>0</v>
      </c>
      <c r="F220" s="154">
        <f t="shared" si="53"/>
        <v>0</v>
      </c>
      <c r="G220" s="154">
        <f t="shared" si="53"/>
        <v>0</v>
      </c>
      <c r="H220" s="154">
        <f t="shared" si="53"/>
        <v>0</v>
      </c>
      <c r="I220" s="154">
        <f t="shared" si="53"/>
        <v>0</v>
      </c>
      <c r="J220" s="154">
        <f>SUM(D220:I220)</f>
        <v>0</v>
      </c>
      <c r="K220" s="69"/>
      <c r="L220" s="319"/>
      <c r="M220" s="69"/>
    </row>
    <row r="221" spans="2:13" s="37" customFormat="1" ht="15.75" hidden="1">
      <c r="B221" s="48" t="s">
        <v>279</v>
      </c>
      <c r="C221" s="155" t="s">
        <v>279</v>
      </c>
      <c r="D221" s="156">
        <f>$J$7*F801EVE!D6</f>
        <v>0</v>
      </c>
      <c r="E221" s="156">
        <f>$J$7*F801EVE!E6</f>
        <v>0</v>
      </c>
      <c r="F221" s="156">
        <f>$J$7*F801EVE!F6</f>
        <v>0</v>
      </c>
      <c r="G221" s="156">
        <f>$J$7*F801EVE!G6</f>
        <v>0</v>
      </c>
      <c r="H221" s="156">
        <f>$J$7*F801EVE!H6</f>
        <v>0</v>
      </c>
      <c r="I221" s="156">
        <f>$J$7*F801EVE!I6</f>
        <v>0</v>
      </c>
      <c r="J221" s="156">
        <f>SUM(D221:I221)</f>
        <v>0</v>
      </c>
      <c r="K221" s="69"/>
      <c r="L221" s="319"/>
      <c r="M221" s="69"/>
    </row>
    <row r="222" spans="2:13" s="37" customFormat="1" ht="15.75" hidden="1">
      <c r="B222" s="48" t="s">
        <v>278</v>
      </c>
      <c r="C222" s="155" t="s">
        <v>278</v>
      </c>
      <c r="D222" s="156">
        <f>$J$8*F801EVE!D7</f>
        <v>0</v>
      </c>
      <c r="E222" s="156">
        <f>$J$8*F801EVE!E7</f>
        <v>0</v>
      </c>
      <c r="F222" s="156">
        <f>$J$8*F801EVE!F7</f>
        <v>0</v>
      </c>
      <c r="G222" s="156">
        <f>$J$8*F801EVE!G7</f>
        <v>0</v>
      </c>
      <c r="H222" s="156">
        <f>$J$8*F801EVE!H7</f>
        <v>0</v>
      </c>
      <c r="I222" s="156">
        <f>$J$8*F801EVE!I7</f>
        <v>0</v>
      </c>
      <c r="J222" s="156">
        <f>SUM(D222:I222)</f>
        <v>0</v>
      </c>
      <c r="K222" s="69"/>
      <c r="L222" s="319"/>
    </row>
    <row r="223" spans="2:13" s="37" customFormat="1" ht="15.75" hidden="1">
      <c r="B223" s="48"/>
      <c r="C223" s="157"/>
      <c r="D223" s="156"/>
      <c r="E223" s="156"/>
      <c r="F223" s="156"/>
      <c r="G223" s="156"/>
      <c r="H223" s="156"/>
      <c r="I223" s="156"/>
      <c r="J223" s="156"/>
      <c r="K223" s="69"/>
      <c r="L223" s="319"/>
    </row>
    <row r="224" spans="2:13" s="37" customFormat="1" ht="15.75" hidden="1">
      <c r="B224" s="48"/>
      <c r="C224" s="153" t="s">
        <v>630</v>
      </c>
      <c r="D224" s="154">
        <f>D225+D228</f>
        <v>0</v>
      </c>
      <c r="E224" s="154">
        <f t="shared" ref="E224:I224" si="54">E225+E228</f>
        <v>0</v>
      </c>
      <c r="F224" s="154">
        <f t="shared" si="54"/>
        <v>0</v>
      </c>
      <c r="G224" s="154">
        <f t="shared" si="54"/>
        <v>0</v>
      </c>
      <c r="H224" s="154">
        <f t="shared" si="54"/>
        <v>0</v>
      </c>
      <c r="I224" s="154">
        <f t="shared" si="54"/>
        <v>0</v>
      </c>
      <c r="J224" s="154">
        <f t="shared" ref="J224:J232" si="55">SUM(D224:I224)</f>
        <v>0</v>
      </c>
      <c r="K224" s="69"/>
      <c r="L224" s="319"/>
    </row>
    <row r="225" spans="2:12" s="37" customFormat="1" ht="15.75" hidden="1">
      <c r="B225" s="48" t="s">
        <v>277</v>
      </c>
      <c r="C225" s="155" t="s">
        <v>277</v>
      </c>
      <c r="D225" s="154">
        <f>SUM(D226:D227)</f>
        <v>0</v>
      </c>
      <c r="E225" s="154">
        <f t="shared" ref="E225:I225" si="56">SUM(E226:E227)</f>
        <v>0</v>
      </c>
      <c r="F225" s="154">
        <f t="shared" si="56"/>
        <v>0</v>
      </c>
      <c r="G225" s="154">
        <f t="shared" si="56"/>
        <v>0</v>
      </c>
      <c r="H225" s="154">
        <f t="shared" si="56"/>
        <v>0</v>
      </c>
      <c r="I225" s="154">
        <f t="shared" si="56"/>
        <v>0</v>
      </c>
      <c r="J225" s="154">
        <f t="shared" si="55"/>
        <v>0</v>
      </c>
      <c r="K225" s="69"/>
      <c r="L225" s="319"/>
    </row>
    <row r="226" spans="2:12" s="37" customFormat="1" ht="15.75">
      <c r="B226" s="48"/>
      <c r="C226" s="160" t="s">
        <v>304</v>
      </c>
      <c r="D226" s="156">
        <f>$J$9*F801EVE!D11</f>
        <v>0</v>
      </c>
      <c r="E226" s="156">
        <f>$J$9*F801EVE!E11</f>
        <v>0</v>
      </c>
      <c r="F226" s="156">
        <f>$J$9*F801EVE!F11</f>
        <v>0</v>
      </c>
      <c r="G226" s="156">
        <f>$J$9*F801EVE!G11</f>
        <v>0</v>
      </c>
      <c r="H226" s="156">
        <f>$J$9*F801EVE!H11</f>
        <v>0</v>
      </c>
      <c r="I226" s="156">
        <f>$J$9*F801EVE!I11</f>
        <v>0</v>
      </c>
      <c r="J226" s="156">
        <f t="shared" si="55"/>
        <v>0</v>
      </c>
      <c r="K226" s="69"/>
      <c r="L226" s="319"/>
    </row>
    <row r="227" spans="2:12" s="37" customFormat="1" ht="15.75">
      <c r="B227" s="48"/>
      <c r="C227" s="160" t="s">
        <v>305</v>
      </c>
      <c r="D227" s="156">
        <f>($J$9*F801EVE!D12)*$L227</f>
        <v>0</v>
      </c>
      <c r="E227" s="156">
        <f>($J$9*F801EVE!E12)*$L227</f>
        <v>0</v>
      </c>
      <c r="F227" s="156">
        <f>($J$9*F801EVE!F12)*$L227</f>
        <v>0</v>
      </c>
      <c r="G227" s="156">
        <f>($J$9*F801EVE!G12)*$L227</f>
        <v>0</v>
      </c>
      <c r="H227" s="156">
        <f>($J$9*F801EVE!H12)*$L227</f>
        <v>0</v>
      </c>
      <c r="I227" s="156">
        <f>($J$9*F801EVE!I12)*$L227</f>
        <v>0</v>
      </c>
      <c r="J227" s="156">
        <f t="shared" si="55"/>
        <v>0</v>
      </c>
      <c r="K227" s="69"/>
      <c r="L227" s="319">
        <v>0.95</v>
      </c>
    </row>
    <row r="228" spans="2:12" s="37" customFormat="1" ht="15.75" hidden="1">
      <c r="B228" s="48" t="s">
        <v>276</v>
      </c>
      <c r="C228" s="158" t="s">
        <v>276</v>
      </c>
      <c r="D228" s="159">
        <f t="shared" ref="D228:I228" si="57">SUM(D229:D232)</f>
        <v>0</v>
      </c>
      <c r="E228" s="159">
        <f t="shared" si="57"/>
        <v>0</v>
      </c>
      <c r="F228" s="159">
        <f t="shared" si="57"/>
        <v>0</v>
      </c>
      <c r="G228" s="159">
        <f t="shared" si="57"/>
        <v>0</v>
      </c>
      <c r="H228" s="159">
        <f t="shared" si="57"/>
        <v>0</v>
      </c>
      <c r="I228" s="159">
        <f t="shared" si="57"/>
        <v>0</v>
      </c>
      <c r="J228" s="159">
        <f t="shared" si="55"/>
        <v>0</v>
      </c>
      <c r="K228" s="69"/>
      <c r="L228" s="319"/>
    </row>
    <row r="229" spans="2:12" s="37" customFormat="1" ht="15.75" hidden="1">
      <c r="B229" s="48"/>
      <c r="C229" s="160" t="s">
        <v>304</v>
      </c>
      <c r="D229" s="156">
        <f>$J$10*F801EVE!D15</f>
        <v>0</v>
      </c>
      <c r="E229" s="156">
        <f>$J$10*F801EVE!E15</f>
        <v>0</v>
      </c>
      <c r="F229" s="156">
        <f>$J$10*F801EVE!F15</f>
        <v>0</v>
      </c>
      <c r="G229" s="156">
        <f>$J$10*F801EVE!G15</f>
        <v>0</v>
      </c>
      <c r="H229" s="156">
        <f>$J$10*F801EVE!H15</f>
        <v>0</v>
      </c>
      <c r="I229" s="156">
        <f>$J$10*F801EVE!I15</f>
        <v>0</v>
      </c>
      <c r="J229" s="156">
        <f t="shared" si="55"/>
        <v>0</v>
      </c>
      <c r="K229" s="69"/>
      <c r="L229" s="319">
        <v>1</v>
      </c>
    </row>
    <row r="230" spans="2:12" s="37" customFormat="1" ht="15.75" hidden="1">
      <c r="B230" s="48"/>
      <c r="C230" s="161" t="s">
        <v>306</v>
      </c>
      <c r="D230" s="156">
        <f>$J$10*F801EVE!D16</f>
        <v>0</v>
      </c>
      <c r="E230" s="156">
        <f>$J$10*F801EVE!E16</f>
        <v>0</v>
      </c>
      <c r="F230" s="156">
        <f>$J$10*F801EVE!F16</f>
        <v>0</v>
      </c>
      <c r="G230" s="156">
        <f>$J$10*F801EVE!G16</f>
        <v>0</v>
      </c>
      <c r="H230" s="156">
        <f>$J$10*F801EVE!H16</f>
        <v>0</v>
      </c>
      <c r="I230" s="156">
        <f>$J$10*F801EVE!I16</f>
        <v>0</v>
      </c>
      <c r="J230" s="156">
        <f t="shared" si="55"/>
        <v>0</v>
      </c>
      <c r="K230" s="69"/>
      <c r="L230" s="319">
        <v>1</v>
      </c>
    </row>
    <row r="231" spans="2:12" s="37" customFormat="1" ht="15.75" hidden="1">
      <c r="B231" s="48"/>
      <c r="C231" s="160" t="s">
        <v>305</v>
      </c>
      <c r="D231" s="156">
        <f>$J$10*F801EVE!D17*0.95</f>
        <v>0</v>
      </c>
      <c r="E231" s="156">
        <f>$J$10*F801EVE!E17*0.95</f>
        <v>0</v>
      </c>
      <c r="F231" s="156">
        <f>$J$10*F801EVE!F17*0.95</f>
        <v>0</v>
      </c>
      <c r="G231" s="156">
        <f>$J$10*F801EVE!G17*0.95</f>
        <v>0</v>
      </c>
      <c r="H231" s="156">
        <f>$J$10*F801EVE!H17*0.95</f>
        <v>0</v>
      </c>
      <c r="I231" s="156">
        <f>$J$10*F801EVE!I17*0.95</f>
        <v>0</v>
      </c>
      <c r="J231" s="156">
        <f t="shared" si="55"/>
        <v>0</v>
      </c>
      <c r="K231" s="69"/>
      <c r="L231" s="319">
        <v>0.95</v>
      </c>
    </row>
    <row r="232" spans="2:12" s="37" customFormat="1" ht="15.75" hidden="1">
      <c r="B232" s="48"/>
      <c r="C232" s="160" t="s">
        <v>307</v>
      </c>
      <c r="D232" s="156">
        <f>$J$10*F801EVE!D18*0.5</f>
        <v>0</v>
      </c>
      <c r="E232" s="156">
        <f>$J$10*F801EVE!E18*0.5</f>
        <v>0</v>
      </c>
      <c r="F232" s="156">
        <f>$J$10*F801EVE!F18*0.5</f>
        <v>0</v>
      </c>
      <c r="G232" s="156">
        <f>$J$10*F801EVE!G18*0.5</f>
        <v>0</v>
      </c>
      <c r="H232" s="156">
        <f>$J$10*F801EVE!H18*0.5</f>
        <v>0</v>
      </c>
      <c r="I232" s="156">
        <f>$J$10*F801EVE!I18*0.5</f>
        <v>0</v>
      </c>
      <c r="J232" s="156">
        <f t="shared" si="55"/>
        <v>0</v>
      </c>
      <c r="K232" s="69"/>
      <c r="L232" s="319">
        <v>0.5</v>
      </c>
    </row>
    <row r="233" spans="2:12" s="37" customFormat="1" ht="15.75" hidden="1">
      <c r="B233" s="48"/>
      <c r="C233" s="157"/>
      <c r="D233" s="157"/>
      <c r="E233" s="157"/>
      <c r="F233" s="157"/>
      <c r="G233" s="157"/>
      <c r="H233" s="157"/>
      <c r="I233" s="157"/>
      <c r="J233" s="157"/>
      <c r="K233" s="69"/>
      <c r="L233" s="319"/>
    </row>
    <row r="234" spans="2:12" s="37" customFormat="1" ht="15.75" hidden="1">
      <c r="B234" s="48"/>
      <c r="C234" s="153" t="s">
        <v>443</v>
      </c>
      <c r="D234" s="154">
        <f t="shared" ref="D234:I234" si="58">D235+D239+D246+D251+D256+D269+D275+D282+D290+D296+D303+D262</f>
        <v>0</v>
      </c>
      <c r="E234" s="154">
        <f t="shared" si="58"/>
        <v>0</v>
      </c>
      <c r="F234" s="154">
        <f t="shared" si="58"/>
        <v>0</v>
      </c>
      <c r="G234" s="154">
        <f t="shared" si="58"/>
        <v>0</v>
      </c>
      <c r="H234" s="154">
        <f t="shared" si="58"/>
        <v>0</v>
      </c>
      <c r="I234" s="154">
        <f t="shared" si="58"/>
        <v>0</v>
      </c>
      <c r="J234" s="154">
        <f>SUM(D234:I234)</f>
        <v>0</v>
      </c>
      <c r="K234" s="69"/>
      <c r="L234" s="319"/>
    </row>
    <row r="235" spans="2:12" s="37" customFormat="1" ht="15.75" hidden="1">
      <c r="B235" s="48" t="s">
        <v>275</v>
      </c>
      <c r="C235" s="155" t="s">
        <v>275</v>
      </c>
      <c r="D235" s="156">
        <f>$J$11*F801EVE!D21</f>
        <v>0</v>
      </c>
      <c r="E235" s="156">
        <f>$J$11*F801EVE!E21</f>
        <v>0</v>
      </c>
      <c r="F235" s="156">
        <f>$J$11*F801EVE!F21</f>
        <v>0</v>
      </c>
      <c r="G235" s="156">
        <f>$J$11*F801EVE!G21</f>
        <v>0</v>
      </c>
      <c r="H235" s="156">
        <f>$J$11*F801EVE!H21</f>
        <v>0</v>
      </c>
      <c r="I235" s="156">
        <f>$J$11*F801EVE!I21</f>
        <v>0</v>
      </c>
      <c r="J235" s="156">
        <f>SUM(D235:I235)</f>
        <v>0</v>
      </c>
      <c r="K235" s="69"/>
      <c r="L235" s="319"/>
    </row>
    <row r="236" spans="2:12" s="37" customFormat="1" ht="15.75">
      <c r="B236" s="48"/>
      <c r="C236" s="160" t="s">
        <v>304</v>
      </c>
      <c r="D236" s="156"/>
      <c r="E236" s="156"/>
      <c r="F236" s="156"/>
      <c r="G236" s="156"/>
      <c r="H236" s="156"/>
      <c r="I236" s="156"/>
      <c r="J236" s="156"/>
      <c r="K236" s="69"/>
      <c r="L236" s="319"/>
    </row>
    <row r="237" spans="2:12" s="37" customFormat="1" ht="15.75">
      <c r="B237" s="48"/>
      <c r="C237" s="161" t="s">
        <v>306</v>
      </c>
      <c r="D237" s="156"/>
      <c r="E237" s="156"/>
      <c r="F237" s="156"/>
      <c r="G237" s="156"/>
      <c r="H237" s="156"/>
      <c r="I237" s="156"/>
      <c r="J237" s="156"/>
      <c r="K237" s="69"/>
      <c r="L237" s="319"/>
    </row>
    <row r="238" spans="2:12" s="37" customFormat="1" ht="15.75">
      <c r="B238" s="48"/>
      <c r="C238" s="160" t="s">
        <v>305</v>
      </c>
      <c r="D238" s="156"/>
      <c r="E238" s="156"/>
      <c r="F238" s="156"/>
      <c r="G238" s="156"/>
      <c r="H238" s="156"/>
      <c r="I238" s="156"/>
      <c r="J238" s="156"/>
      <c r="K238" s="69"/>
      <c r="L238" s="319"/>
    </row>
    <row r="239" spans="2:12" s="37" customFormat="1" ht="15.75">
      <c r="B239" s="48" t="s">
        <v>274</v>
      </c>
      <c r="C239" s="158" t="s">
        <v>627</v>
      </c>
      <c r="D239" s="159">
        <f t="shared" ref="D239:I239" si="59">SUM(D240:D245)</f>
        <v>0</v>
      </c>
      <c r="E239" s="159">
        <f t="shared" si="59"/>
        <v>0</v>
      </c>
      <c r="F239" s="159">
        <f t="shared" si="59"/>
        <v>0</v>
      </c>
      <c r="G239" s="159">
        <f t="shared" si="59"/>
        <v>0</v>
      </c>
      <c r="H239" s="159">
        <f t="shared" si="59"/>
        <v>0</v>
      </c>
      <c r="I239" s="159">
        <f t="shared" si="59"/>
        <v>0</v>
      </c>
      <c r="J239" s="159">
        <f t="shared" ref="J239:J260" si="60">SUM(D239:I239)</f>
        <v>0</v>
      </c>
      <c r="K239" s="69"/>
      <c r="L239" s="319"/>
    </row>
    <row r="240" spans="2:12" s="37" customFormat="1" ht="15.75">
      <c r="B240" s="48"/>
      <c r="C240" s="160" t="s">
        <v>304</v>
      </c>
      <c r="D240" s="156">
        <f>$J$12*F801EVE!D28</f>
        <v>0</v>
      </c>
      <c r="E240" s="156">
        <f>$J$12*F801EVE!E28</f>
        <v>0</v>
      </c>
      <c r="F240" s="156">
        <f>$J$12*F801EVE!F28</f>
        <v>0</v>
      </c>
      <c r="G240" s="156">
        <f>$J$12*F801EVE!G28</f>
        <v>0</v>
      </c>
      <c r="H240" s="156">
        <f>$J$12*F801EVE!H28</f>
        <v>0</v>
      </c>
      <c r="I240" s="156">
        <f>$J$12*F801EVE!I28</f>
        <v>0</v>
      </c>
      <c r="J240" s="156">
        <f t="shared" si="60"/>
        <v>0</v>
      </c>
      <c r="K240" s="69"/>
      <c r="L240" s="319">
        <v>1</v>
      </c>
    </row>
    <row r="241" spans="2:12" s="37" customFormat="1" ht="15.75">
      <c r="B241" s="48"/>
      <c r="C241" s="162" t="s">
        <v>628</v>
      </c>
      <c r="D241" s="156">
        <f>$J$12*F801EVE!D29*0.75</f>
        <v>0</v>
      </c>
      <c r="E241" s="156">
        <f>$J$12*F801EVE!E29*0.75</f>
        <v>0</v>
      </c>
      <c r="F241" s="156">
        <f>$J$12*F801EVE!F29*0.75</f>
        <v>0</v>
      </c>
      <c r="G241" s="156">
        <f>$J$12*F801EVE!G29*0.75</f>
        <v>0</v>
      </c>
      <c r="H241" s="156">
        <f>$J$12*F801EVE!H29*0.75</f>
        <v>0</v>
      </c>
      <c r="I241" s="156">
        <f>$J$12*F801EVE!I29*0.75</f>
        <v>0</v>
      </c>
      <c r="J241" s="156">
        <f t="shared" si="60"/>
        <v>0</v>
      </c>
      <c r="K241" s="69"/>
      <c r="L241" s="319">
        <v>0.75</v>
      </c>
    </row>
    <row r="242" spans="2:12" s="37" customFormat="1" ht="15.75">
      <c r="B242" s="48"/>
      <c r="C242" s="161" t="s">
        <v>629</v>
      </c>
      <c r="D242" s="156">
        <f>$J$12*F801EVE!D30</f>
        <v>0</v>
      </c>
      <c r="E242" s="156">
        <f>$J$12*F801EVE!E30</f>
        <v>0</v>
      </c>
      <c r="F242" s="156">
        <f>$J$12*F801EVE!F30</f>
        <v>0</v>
      </c>
      <c r="G242" s="156">
        <f>$J$12*F801EVE!G30</f>
        <v>0</v>
      </c>
      <c r="H242" s="156">
        <f>$J$12*F801EVE!H30</f>
        <v>0</v>
      </c>
      <c r="I242" s="156">
        <f>$J$12*F801EVE!I30</f>
        <v>0</v>
      </c>
      <c r="J242" s="156">
        <f t="shared" si="60"/>
        <v>0</v>
      </c>
      <c r="K242" s="69"/>
      <c r="L242" s="319">
        <v>1</v>
      </c>
    </row>
    <row r="243" spans="2:12" s="37" customFormat="1" ht="15.75">
      <c r="B243" s="48"/>
      <c r="C243" s="160" t="s">
        <v>305</v>
      </c>
      <c r="D243" s="156">
        <f>$J$12*F801EVE!D31*0.95</f>
        <v>0</v>
      </c>
      <c r="E243" s="156">
        <f>$J$12*F801EVE!E31*0.95</f>
        <v>0</v>
      </c>
      <c r="F243" s="156">
        <f>$J$12*F801EVE!F31*0.95</f>
        <v>0</v>
      </c>
      <c r="G243" s="156">
        <f>$J$12*F801EVE!G31*0.95</f>
        <v>0</v>
      </c>
      <c r="H243" s="156">
        <f>$J$12*F801EVE!H31*0.95</f>
        <v>0</v>
      </c>
      <c r="I243" s="156">
        <f>$J$12*F801EVE!I31*0.95</f>
        <v>0</v>
      </c>
      <c r="J243" s="156">
        <f t="shared" si="60"/>
        <v>0</v>
      </c>
      <c r="K243" s="69"/>
      <c r="L243" s="319">
        <v>0.95</v>
      </c>
    </row>
    <row r="244" spans="2:12" s="37" customFormat="1" ht="15.75">
      <c r="B244" s="48"/>
      <c r="C244" s="160" t="s">
        <v>307</v>
      </c>
      <c r="D244" s="156">
        <f>$J$12*F801EVE!D32*0.5</f>
        <v>0</v>
      </c>
      <c r="E244" s="156">
        <f>$J$12*F801EVE!E32*0.5</f>
        <v>0</v>
      </c>
      <c r="F244" s="156">
        <f>$J$12*F801EVE!F32*0.5</f>
        <v>0</v>
      </c>
      <c r="G244" s="156">
        <f>$J$12*F801EVE!G32*0.5</f>
        <v>0</v>
      </c>
      <c r="H244" s="156">
        <f>$J$12*F801EVE!H32*0.5</f>
        <v>0</v>
      </c>
      <c r="I244" s="156">
        <f>$J$12*F801EVE!I32*0.5</f>
        <v>0</v>
      </c>
      <c r="J244" s="156">
        <f t="shared" si="60"/>
        <v>0</v>
      </c>
      <c r="K244" s="69"/>
      <c r="L244" s="319">
        <v>0.5</v>
      </c>
    </row>
    <row r="245" spans="2:12" s="37" customFormat="1" ht="15.75">
      <c r="B245" s="48"/>
      <c r="C245" s="160" t="s">
        <v>624</v>
      </c>
      <c r="D245" s="156">
        <f>$J$12*F801EVE!D33*0</f>
        <v>0</v>
      </c>
      <c r="E245" s="156">
        <f>$J$12*F801EVE!E33*0</f>
        <v>0</v>
      </c>
      <c r="F245" s="156">
        <f>$J$12*F801EVE!F33*0</f>
        <v>0</v>
      </c>
      <c r="G245" s="156">
        <f>$J$12*F801EVE!G33*0</f>
        <v>0</v>
      </c>
      <c r="H245" s="156">
        <f>$J$12*F801EVE!H33*0</f>
        <v>0</v>
      </c>
      <c r="I245" s="156">
        <f>$J$12*F801EVE!I33*0</f>
        <v>0</v>
      </c>
      <c r="J245" s="156">
        <f t="shared" si="60"/>
        <v>0</v>
      </c>
      <c r="K245" s="69"/>
      <c r="L245" s="319">
        <v>0</v>
      </c>
    </row>
    <row r="246" spans="2:12" s="37" customFormat="1" ht="15.75">
      <c r="B246" s="48" t="s">
        <v>274</v>
      </c>
      <c r="C246" s="158" t="s">
        <v>631</v>
      </c>
      <c r="D246" s="159">
        <f t="shared" ref="D246:I246" si="61">SUM(D247:D250)</f>
        <v>0</v>
      </c>
      <c r="E246" s="159">
        <f t="shared" si="61"/>
        <v>0</v>
      </c>
      <c r="F246" s="159">
        <f t="shared" si="61"/>
        <v>0</v>
      </c>
      <c r="G246" s="159">
        <f t="shared" si="61"/>
        <v>0</v>
      </c>
      <c r="H246" s="159">
        <f t="shared" si="61"/>
        <v>0</v>
      </c>
      <c r="I246" s="159">
        <f t="shared" si="61"/>
        <v>0</v>
      </c>
      <c r="J246" s="159">
        <f t="shared" si="60"/>
        <v>0</v>
      </c>
      <c r="K246" s="69"/>
      <c r="L246" s="319"/>
    </row>
    <row r="247" spans="2:12" s="37" customFormat="1" ht="15.75">
      <c r="B247" s="48"/>
      <c r="C247" s="160" t="s">
        <v>304</v>
      </c>
      <c r="D247" s="156">
        <f>$J$12*F801EVE!D35</f>
        <v>0</v>
      </c>
      <c r="E247" s="156">
        <f>$J$12*F801EVE!E35</f>
        <v>0</v>
      </c>
      <c r="F247" s="156">
        <f>$J$12*F801EVE!F35</f>
        <v>0</v>
      </c>
      <c r="G247" s="156">
        <f>$J$12*F801EVE!G35</f>
        <v>0</v>
      </c>
      <c r="H247" s="156">
        <f>$J$12*F801EVE!H35</f>
        <v>0</v>
      </c>
      <c r="I247" s="156">
        <f>$J$12*F801EVE!I35</f>
        <v>0</v>
      </c>
      <c r="J247" s="156">
        <f t="shared" si="60"/>
        <v>0</v>
      </c>
      <c r="K247" s="69"/>
      <c r="L247" s="319">
        <v>1</v>
      </c>
    </row>
    <row r="248" spans="2:12" s="37" customFormat="1" ht="15.75">
      <c r="B248" s="48"/>
      <c r="C248" s="161" t="s">
        <v>306</v>
      </c>
      <c r="D248" s="156">
        <f>$J$12*F801EVE!D36</f>
        <v>0</v>
      </c>
      <c r="E248" s="156">
        <f>$J$12*F801EVE!E36</f>
        <v>0</v>
      </c>
      <c r="F248" s="156">
        <f>$J$12*F801EVE!F36</f>
        <v>0</v>
      </c>
      <c r="G248" s="156">
        <f>$J$12*F801EVE!G36</f>
        <v>0</v>
      </c>
      <c r="H248" s="156">
        <f>$J$12*F801EVE!H36</f>
        <v>0</v>
      </c>
      <c r="I248" s="156">
        <f>$J$12*F801EVE!I36</f>
        <v>0</v>
      </c>
      <c r="J248" s="156">
        <f t="shared" si="60"/>
        <v>0</v>
      </c>
      <c r="K248" s="69"/>
      <c r="L248" s="319">
        <v>1</v>
      </c>
    </row>
    <row r="249" spans="2:12" s="37" customFormat="1" ht="15.75">
      <c r="B249" s="48"/>
      <c r="C249" s="160" t="s">
        <v>305</v>
      </c>
      <c r="D249" s="156">
        <f>$J$12*F801EVE!D37*0.95</f>
        <v>0</v>
      </c>
      <c r="E249" s="156">
        <f>$J$12*F801EVE!E37*0.95</f>
        <v>0</v>
      </c>
      <c r="F249" s="156">
        <f>$J$12*F801EVE!F37*0.95</f>
        <v>0</v>
      </c>
      <c r="G249" s="156">
        <f>$J$12*F801EVE!G37*0.95</f>
        <v>0</v>
      </c>
      <c r="H249" s="156">
        <f>$J$12*F801EVE!H37*0.95</f>
        <v>0</v>
      </c>
      <c r="I249" s="156">
        <f>$J$12*F801EVE!I37*0.95</f>
        <v>0</v>
      </c>
      <c r="J249" s="156">
        <f t="shared" si="60"/>
        <v>0</v>
      </c>
      <c r="K249" s="69"/>
      <c r="L249" s="319">
        <v>0.95</v>
      </c>
    </row>
    <row r="250" spans="2:12" s="37" customFormat="1" ht="15.75">
      <c r="B250" s="48"/>
      <c r="C250" s="160" t="s">
        <v>307</v>
      </c>
      <c r="D250" s="156">
        <f>$J$12*F801EVE!D38*0.5</f>
        <v>0</v>
      </c>
      <c r="E250" s="156">
        <f>$J$12*F801EVE!E38*0.5</f>
        <v>0</v>
      </c>
      <c r="F250" s="156">
        <f>$J$12*F801EVE!F38*0.5</f>
        <v>0</v>
      </c>
      <c r="G250" s="156">
        <f>$J$12*F801EVE!G38*0.5</f>
        <v>0</v>
      </c>
      <c r="H250" s="156">
        <f>$J$12*F801EVE!H38*0.5</f>
        <v>0</v>
      </c>
      <c r="I250" s="156">
        <f>$J$12*F801EVE!I38*0.5</f>
        <v>0</v>
      </c>
      <c r="J250" s="156">
        <f t="shared" si="60"/>
        <v>0</v>
      </c>
      <c r="K250" s="69"/>
      <c r="L250" s="319">
        <v>0.5</v>
      </c>
    </row>
    <row r="251" spans="2:12" s="37" customFormat="1" ht="15.75">
      <c r="B251" s="48" t="s">
        <v>274</v>
      </c>
      <c r="C251" s="158" t="s">
        <v>632</v>
      </c>
      <c r="D251" s="159">
        <f t="shared" ref="D251:I251" si="62">SUM(D252:D255)</f>
        <v>0</v>
      </c>
      <c r="E251" s="159">
        <f t="shared" si="62"/>
        <v>0</v>
      </c>
      <c r="F251" s="159">
        <f t="shared" si="62"/>
        <v>0</v>
      </c>
      <c r="G251" s="159">
        <f t="shared" si="62"/>
        <v>0</v>
      </c>
      <c r="H251" s="159">
        <f t="shared" si="62"/>
        <v>0</v>
      </c>
      <c r="I251" s="159">
        <f t="shared" si="62"/>
        <v>0</v>
      </c>
      <c r="J251" s="159">
        <f t="shared" si="60"/>
        <v>0</v>
      </c>
      <c r="K251" s="69"/>
      <c r="L251" s="319"/>
    </row>
    <row r="252" spans="2:12" s="37" customFormat="1" ht="15.75">
      <c r="B252" s="48"/>
      <c r="C252" s="160" t="s">
        <v>304</v>
      </c>
      <c r="D252" s="156">
        <f>$J$12*F801EVE!D40</f>
        <v>0</v>
      </c>
      <c r="E252" s="156">
        <f>$J$12*F801EVE!E40</f>
        <v>0</v>
      </c>
      <c r="F252" s="156">
        <f>$J$12*F801EVE!F40</f>
        <v>0</v>
      </c>
      <c r="G252" s="156">
        <f>$J$12*F801EVE!G40</f>
        <v>0</v>
      </c>
      <c r="H252" s="156">
        <f>$J$12*F801EVE!H40</f>
        <v>0</v>
      </c>
      <c r="I252" s="156">
        <f>$J$12*F801EVE!I40</f>
        <v>0</v>
      </c>
      <c r="J252" s="156">
        <f t="shared" si="60"/>
        <v>0</v>
      </c>
      <c r="K252" s="69"/>
      <c r="L252" s="319">
        <v>1</v>
      </c>
    </row>
    <row r="253" spans="2:12" s="37" customFormat="1" ht="15.75">
      <c r="B253" s="48"/>
      <c r="C253" s="161" t="s">
        <v>306</v>
      </c>
      <c r="D253" s="156">
        <f>$J$12*F801EVE!D41</f>
        <v>0</v>
      </c>
      <c r="E253" s="156">
        <f>$J$12*F801EVE!E41</f>
        <v>0</v>
      </c>
      <c r="F253" s="156">
        <f>$J$12*F801EVE!F41</f>
        <v>0</v>
      </c>
      <c r="G253" s="156">
        <f>$J$12*F801EVE!G41</f>
        <v>0</v>
      </c>
      <c r="H253" s="156">
        <f>$J$12*F801EVE!H41</f>
        <v>0</v>
      </c>
      <c r="I253" s="156">
        <f>$J$12*F801EVE!I41</f>
        <v>0</v>
      </c>
      <c r="J253" s="156">
        <f t="shared" si="60"/>
        <v>0</v>
      </c>
      <c r="K253" s="69"/>
      <c r="L253" s="319">
        <v>1</v>
      </c>
    </row>
    <row r="254" spans="2:12" s="37" customFormat="1" ht="15.75">
      <c r="B254" s="48"/>
      <c r="C254" s="160" t="s">
        <v>305</v>
      </c>
      <c r="D254" s="156">
        <f>$J$12*F801EVE!D42*0.95</f>
        <v>0</v>
      </c>
      <c r="E254" s="156">
        <f>$J$12*F801EVE!E42*0.95</f>
        <v>0</v>
      </c>
      <c r="F254" s="156">
        <f>$J$12*F801EVE!F42*0.95</f>
        <v>0</v>
      </c>
      <c r="G254" s="156">
        <f>$J$12*F801EVE!G42*0.95</f>
        <v>0</v>
      </c>
      <c r="H254" s="156">
        <f>$J$12*F801EVE!H42*0.95</f>
        <v>0</v>
      </c>
      <c r="I254" s="156">
        <f>$J$12*F801EVE!I42*0.95</f>
        <v>0</v>
      </c>
      <c r="J254" s="156">
        <f t="shared" si="60"/>
        <v>0</v>
      </c>
      <c r="K254" s="69"/>
      <c r="L254" s="319">
        <v>0.95</v>
      </c>
    </row>
    <row r="255" spans="2:12" s="37" customFormat="1" ht="15.75">
      <c r="B255" s="48"/>
      <c r="C255" s="160" t="s">
        <v>307</v>
      </c>
      <c r="D255" s="156">
        <f>$J$12*F801EVE!D43*0.5</f>
        <v>0</v>
      </c>
      <c r="E255" s="156">
        <f>$J$12*F801EVE!E43*0.5</f>
        <v>0</v>
      </c>
      <c r="F255" s="156">
        <f>$J$12*F801EVE!F43*0.5</f>
        <v>0</v>
      </c>
      <c r="G255" s="156">
        <f>$J$12*F801EVE!G43*0.5</f>
        <v>0</v>
      </c>
      <c r="H255" s="156">
        <f>$J$12*F801EVE!H43*0.5</f>
        <v>0</v>
      </c>
      <c r="I255" s="156">
        <f>$J$12*F801EVE!I43*0.5</f>
        <v>0</v>
      </c>
      <c r="J255" s="156">
        <f t="shared" si="60"/>
        <v>0</v>
      </c>
      <c r="K255" s="69"/>
      <c r="L255" s="319">
        <v>0.5</v>
      </c>
    </row>
    <row r="256" spans="2:12" s="37" customFormat="1" ht="15.75">
      <c r="B256" s="48" t="s">
        <v>274</v>
      </c>
      <c r="C256" s="158" t="s">
        <v>633</v>
      </c>
      <c r="D256" s="159">
        <f t="shared" ref="D256:I256" si="63">SUM(D257:D260)</f>
        <v>0</v>
      </c>
      <c r="E256" s="159">
        <f t="shared" si="63"/>
        <v>0</v>
      </c>
      <c r="F256" s="159">
        <f t="shared" si="63"/>
        <v>0</v>
      </c>
      <c r="G256" s="159">
        <f t="shared" si="63"/>
        <v>0</v>
      </c>
      <c r="H256" s="159">
        <f t="shared" si="63"/>
        <v>0</v>
      </c>
      <c r="I256" s="159">
        <f t="shared" si="63"/>
        <v>0</v>
      </c>
      <c r="J256" s="159">
        <f t="shared" si="60"/>
        <v>0</v>
      </c>
      <c r="K256" s="69"/>
      <c r="L256" s="319"/>
    </row>
    <row r="257" spans="2:12" s="37" customFormat="1" ht="15.75">
      <c r="B257" s="48"/>
      <c r="C257" s="160" t="s">
        <v>304</v>
      </c>
      <c r="D257" s="156">
        <f>$J$12*F801EVE!D45</f>
        <v>0</v>
      </c>
      <c r="E257" s="156">
        <f>$J$12*F801EVE!E45</f>
        <v>0</v>
      </c>
      <c r="F257" s="156">
        <f>$J$12*F801EVE!F45</f>
        <v>0</v>
      </c>
      <c r="G257" s="156">
        <f>$J$12*F801EVE!G45</f>
        <v>0</v>
      </c>
      <c r="H257" s="156">
        <f>$J$12*F801EVE!H45</f>
        <v>0</v>
      </c>
      <c r="I257" s="156">
        <f>$J$12*F801EVE!I45</f>
        <v>0</v>
      </c>
      <c r="J257" s="156">
        <f t="shared" si="60"/>
        <v>0</v>
      </c>
      <c r="K257" s="69"/>
      <c r="L257" s="319">
        <v>1</v>
      </c>
    </row>
    <row r="258" spans="2:12" s="37" customFormat="1" ht="15.75">
      <c r="B258" s="48"/>
      <c r="C258" s="161" t="s">
        <v>306</v>
      </c>
      <c r="D258" s="156">
        <f>$J$12*F801EVE!D46</f>
        <v>0</v>
      </c>
      <c r="E258" s="156">
        <f>$J$12*F801EVE!E46</f>
        <v>0</v>
      </c>
      <c r="F258" s="156">
        <f>$J$12*F801EVE!F46</f>
        <v>0</v>
      </c>
      <c r="G258" s="156">
        <f>$J$12*F801EVE!G46</f>
        <v>0</v>
      </c>
      <c r="H258" s="156">
        <f>$J$12*F801EVE!H46</f>
        <v>0</v>
      </c>
      <c r="I258" s="156">
        <f>$J$12*F801EVE!I46</f>
        <v>0</v>
      </c>
      <c r="J258" s="156">
        <f t="shared" si="60"/>
        <v>0</v>
      </c>
      <c r="K258" s="69"/>
      <c r="L258" s="319">
        <v>1</v>
      </c>
    </row>
    <row r="259" spans="2:12" s="37" customFormat="1" ht="15.75">
      <c r="B259" s="48"/>
      <c r="C259" s="160" t="s">
        <v>305</v>
      </c>
      <c r="D259" s="156">
        <f>$J$12*F801EVE!D47*0.95</f>
        <v>0</v>
      </c>
      <c r="E259" s="156">
        <f>$J$12*F801EVE!E47*0.95</f>
        <v>0</v>
      </c>
      <c r="F259" s="156">
        <f>$J$12*F801EVE!F47*0.95</f>
        <v>0</v>
      </c>
      <c r="G259" s="156">
        <f>$J$12*F801EVE!G47*0.95</f>
        <v>0</v>
      </c>
      <c r="H259" s="156">
        <f>$J$12*F801EVE!H47*0.95</f>
        <v>0</v>
      </c>
      <c r="I259" s="156">
        <f>$J$12*F801EVE!I47*0.95</f>
        <v>0</v>
      </c>
      <c r="J259" s="156">
        <f t="shared" si="60"/>
        <v>0</v>
      </c>
      <c r="K259" s="69"/>
      <c r="L259" s="319">
        <v>0.95</v>
      </c>
    </row>
    <row r="260" spans="2:12" s="37" customFormat="1" ht="15.75">
      <c r="B260" s="48"/>
      <c r="C260" s="160" t="s">
        <v>307</v>
      </c>
      <c r="D260" s="156">
        <f>$J$12*F801EVE!D48*0.5</f>
        <v>0</v>
      </c>
      <c r="E260" s="156">
        <f>$J$12*F801EVE!E48*0.5</f>
        <v>0</v>
      </c>
      <c r="F260" s="156">
        <f>$J$12*F801EVE!F48*0.5</f>
        <v>0</v>
      </c>
      <c r="G260" s="156">
        <f>$J$12*F801EVE!G48*0.5</f>
        <v>0</v>
      </c>
      <c r="H260" s="156">
        <f>$J$12*F801EVE!H48*0.5</f>
        <v>0</v>
      </c>
      <c r="I260" s="156">
        <f>$J$12*F801EVE!I48*0.5</f>
        <v>0</v>
      </c>
      <c r="J260" s="156">
        <f t="shared" si="60"/>
        <v>0</v>
      </c>
      <c r="K260" s="69"/>
      <c r="L260" s="319">
        <v>0.5</v>
      </c>
    </row>
    <row r="261" spans="2:12" s="37" customFormat="1" ht="15.75">
      <c r="B261" s="48"/>
      <c r="C261" s="157"/>
      <c r="D261" s="156"/>
      <c r="E261" s="156"/>
      <c r="F261" s="156"/>
      <c r="G261" s="156"/>
      <c r="H261" s="156"/>
      <c r="I261" s="156"/>
      <c r="J261" s="156"/>
      <c r="K261" s="69"/>
      <c r="L261" s="319"/>
    </row>
    <row r="262" spans="2:12" s="37" customFormat="1" ht="15.75">
      <c r="B262" s="48" t="s">
        <v>1176</v>
      </c>
      <c r="C262" s="158" t="str">
        <f>F801EVE!$C$50</f>
        <v>BTSH</v>
      </c>
      <c r="D262" s="159">
        <f t="shared" ref="D262:I262" si="64">SUM(D263:D268)</f>
        <v>0</v>
      </c>
      <c r="E262" s="159">
        <f t="shared" si="64"/>
        <v>0</v>
      </c>
      <c r="F262" s="159">
        <f t="shared" si="64"/>
        <v>0</v>
      </c>
      <c r="G262" s="159">
        <f t="shared" si="64"/>
        <v>0</v>
      </c>
      <c r="H262" s="159">
        <f t="shared" si="64"/>
        <v>0</v>
      </c>
      <c r="I262" s="159">
        <f t="shared" si="64"/>
        <v>0</v>
      </c>
      <c r="J262" s="159">
        <f t="shared" ref="J262:J288" si="65">SUM(D262:I262)</f>
        <v>0</v>
      </c>
      <c r="K262" s="69"/>
      <c r="L262" s="319"/>
    </row>
    <row r="263" spans="2:12" s="37" customFormat="1" ht="15.75">
      <c r="B263" s="48"/>
      <c r="C263" s="160" t="str">
        <f>F801EVE!$C$51</f>
        <v xml:space="preserve">    - Regulares</v>
      </c>
      <c r="D263" s="156">
        <f>$J$16*F801EVE!D51*1</f>
        <v>0</v>
      </c>
      <c r="E263" s="156">
        <f>$J$16*F801EVE!E51*1</f>
        <v>0</v>
      </c>
      <c r="F263" s="156">
        <f>$J$16*F801EVE!F51*1</f>
        <v>0</v>
      </c>
      <c r="G263" s="156">
        <f>$J$16*F801EVE!G51*1</f>
        <v>0</v>
      </c>
      <c r="H263" s="156">
        <f>$J$16*F801EVE!H51*1</f>
        <v>0</v>
      </c>
      <c r="I263" s="156">
        <f>$J$16*F801EVE!I51*1</f>
        <v>0</v>
      </c>
      <c r="J263" s="156">
        <f t="shared" si="65"/>
        <v>0</v>
      </c>
      <c r="K263" s="69"/>
      <c r="L263" s="319">
        <v>1</v>
      </c>
    </row>
    <row r="264" spans="2:12" s="37" customFormat="1" ht="15.75">
      <c r="B264" s="48"/>
      <c r="C264" s="162" t="str">
        <f>F801EVE!$C$52</f>
        <v xml:space="preserve">    - Jubilados (0 a 600 KWh)</v>
      </c>
      <c r="D264" s="156">
        <f>$J$16*F801EVE!D52*0.75</f>
        <v>0</v>
      </c>
      <c r="E264" s="156">
        <f>$J$16*F801EVE!E52*0.75</f>
        <v>0</v>
      </c>
      <c r="F264" s="156">
        <f>$J$16*F801EVE!F52*0.75</f>
        <v>0</v>
      </c>
      <c r="G264" s="156">
        <f>$J$16*F801EVE!G52*0.75</f>
        <v>0</v>
      </c>
      <c r="H264" s="156">
        <f>$J$16*F801EVE!H52*0.75</f>
        <v>0</v>
      </c>
      <c r="I264" s="156">
        <f>$J$16*F801EVE!I52*0.75</f>
        <v>0</v>
      </c>
      <c r="J264" s="156">
        <f t="shared" si="65"/>
        <v>0</v>
      </c>
      <c r="K264" s="69"/>
      <c r="L264" s="319">
        <v>0.75</v>
      </c>
    </row>
    <row r="265" spans="2:12" s="37" customFormat="1" ht="15.75">
      <c r="B265" s="48"/>
      <c r="C265" s="162" t="str">
        <f>F801EVE!$C$53</f>
        <v xml:space="preserve">    - Jubilados (601 y Más KWh)</v>
      </c>
      <c r="D265" s="156">
        <f>$J$16*F801EVE!D53*1</f>
        <v>0</v>
      </c>
      <c r="E265" s="156">
        <f>$J$16*F801EVE!E53*1</f>
        <v>0</v>
      </c>
      <c r="F265" s="156">
        <f>$J$16*F801EVE!F53*1</f>
        <v>0</v>
      </c>
      <c r="G265" s="156">
        <f>$J$16*F801EVE!G53*1</f>
        <v>0</v>
      </c>
      <c r="H265" s="156">
        <f>$J$16*F801EVE!H53*1</f>
        <v>0</v>
      </c>
      <c r="I265" s="156">
        <f>$J$16*F801EVE!I53*1</f>
        <v>0</v>
      </c>
      <c r="J265" s="156">
        <f t="shared" si="65"/>
        <v>0</v>
      </c>
      <c r="K265" s="69"/>
      <c r="L265" s="319">
        <v>1</v>
      </c>
    </row>
    <row r="266" spans="2:12" s="37" customFormat="1" ht="15.75">
      <c r="B266" s="48"/>
      <c r="C266" s="160" t="str">
        <f>F801EVE!$C$54</f>
        <v xml:space="preserve">    - Agropecuarios</v>
      </c>
      <c r="D266" s="156">
        <f>$J$16*F801EVE!D54*0.95</f>
        <v>0</v>
      </c>
      <c r="E266" s="156">
        <f>$J$16*F801EVE!E54*0.95</f>
        <v>0</v>
      </c>
      <c r="F266" s="156">
        <f>$J$16*F801EVE!F54*0.95</f>
        <v>0</v>
      </c>
      <c r="G266" s="156">
        <f>$J$16*F801EVE!G54*0.95</f>
        <v>0</v>
      </c>
      <c r="H266" s="156">
        <f>$J$16*F801EVE!H54*0.95</f>
        <v>0</v>
      </c>
      <c r="I266" s="156">
        <f>$J$16*F801EVE!I54*0.95</f>
        <v>0</v>
      </c>
      <c r="J266" s="156">
        <f t="shared" si="65"/>
        <v>0</v>
      </c>
      <c r="K266" s="69"/>
      <c r="L266" s="319">
        <v>0.95</v>
      </c>
    </row>
    <row r="267" spans="2:12" s="37" customFormat="1" ht="15.75">
      <c r="B267" s="48"/>
      <c r="C267" s="160" t="str">
        <f>F801EVE!$C$55</f>
        <v xml:space="preserve">    - Partidos Políticos</v>
      </c>
      <c r="D267" s="156">
        <f>$J$16*F801EVE!D55*0.5</f>
        <v>0</v>
      </c>
      <c r="E267" s="156">
        <f>$J$16*F801EVE!E55*0.5</f>
        <v>0</v>
      </c>
      <c r="F267" s="156">
        <f>$J$16*F801EVE!F55*0.5</f>
        <v>0</v>
      </c>
      <c r="G267" s="156">
        <f>$J$16*F801EVE!G55*0.5</f>
        <v>0</v>
      </c>
      <c r="H267" s="156">
        <f>$J$16*F801EVE!H55*0.5</f>
        <v>0</v>
      </c>
      <c r="I267" s="156">
        <f>$J$16*F801EVE!I55*0.5</f>
        <v>0</v>
      </c>
      <c r="J267" s="156">
        <f t="shared" si="65"/>
        <v>0</v>
      </c>
      <c r="K267" s="69"/>
      <c r="L267" s="319">
        <v>0.5</v>
      </c>
    </row>
    <row r="268" spans="2:12" s="37" customFormat="1" ht="15.75">
      <c r="B268" s="48"/>
      <c r="C268" s="160" t="str">
        <f>F801EVE!$C$56</f>
        <v xml:space="preserve">    - Cruz Roja</v>
      </c>
      <c r="D268" s="156">
        <f>$J$16*F801EVE!D56*0</f>
        <v>0</v>
      </c>
      <c r="E268" s="156">
        <f>$J$16*F801EVE!E56*0</f>
        <v>0</v>
      </c>
      <c r="F268" s="156">
        <f>$J$16*F801EVE!F56*0</f>
        <v>0</v>
      </c>
      <c r="G268" s="156">
        <f>$J$16*F801EVE!G56*0</f>
        <v>0</v>
      </c>
      <c r="H268" s="156">
        <f>$J$16*F801EVE!H56*0</f>
        <v>0</v>
      </c>
      <c r="I268" s="156">
        <f>$J$16*F801EVE!I56*0</f>
        <v>0</v>
      </c>
      <c r="J268" s="156">
        <f t="shared" si="65"/>
        <v>0</v>
      </c>
      <c r="K268" s="69"/>
      <c r="L268" s="319">
        <v>0</v>
      </c>
    </row>
    <row r="269" spans="2:12" s="37" customFormat="1" ht="15.75">
      <c r="B269" s="48" t="s">
        <v>751</v>
      </c>
      <c r="C269" s="158" t="s">
        <v>634</v>
      </c>
      <c r="D269" s="159">
        <f t="shared" ref="D269:I269" si="66">SUM(D270:D274)</f>
        <v>0</v>
      </c>
      <c r="E269" s="159">
        <f t="shared" si="66"/>
        <v>0</v>
      </c>
      <c r="F269" s="159">
        <f t="shared" si="66"/>
        <v>0</v>
      </c>
      <c r="G269" s="159">
        <f t="shared" si="66"/>
        <v>0</v>
      </c>
      <c r="H269" s="159">
        <f t="shared" si="66"/>
        <v>0</v>
      </c>
      <c r="I269" s="159">
        <f t="shared" si="66"/>
        <v>0</v>
      </c>
      <c r="J269" s="159">
        <f t="shared" si="65"/>
        <v>0</v>
      </c>
      <c r="K269" s="69"/>
      <c r="L269" s="319"/>
    </row>
    <row r="270" spans="2:12" s="37" customFormat="1" ht="15.75">
      <c r="B270" s="48"/>
      <c r="C270" s="160" t="s">
        <v>304</v>
      </c>
      <c r="D270" s="156">
        <f>$J$18*F801EVE!D66*$L270</f>
        <v>0</v>
      </c>
      <c r="E270" s="156">
        <f>$J$18*F801EVE!E66*$L270</f>
        <v>0</v>
      </c>
      <c r="F270" s="156">
        <f>$J$18*F801EVE!F66*$L270</f>
        <v>0</v>
      </c>
      <c r="G270" s="156">
        <f>$J$18*F801EVE!G66*$L270</f>
        <v>0</v>
      </c>
      <c r="H270" s="156">
        <f>$J$18*F801EVE!H66*$L270</f>
        <v>0</v>
      </c>
      <c r="I270" s="156">
        <f>$J$18*F801EVE!I66*$L270</f>
        <v>0</v>
      </c>
      <c r="J270" s="156">
        <f t="shared" si="65"/>
        <v>0</v>
      </c>
      <c r="K270" s="69"/>
      <c r="L270" s="319">
        <v>1</v>
      </c>
    </row>
    <row r="271" spans="2:12" s="37" customFormat="1" ht="15.75">
      <c r="B271" s="48"/>
      <c r="C271" s="162" t="s">
        <v>644</v>
      </c>
      <c r="D271" s="156">
        <f>$J$18*F801EVE!D67*$L271</f>
        <v>0</v>
      </c>
      <c r="E271" s="156">
        <f>$J$18*F801EVE!E67*$L271</f>
        <v>0</v>
      </c>
      <c r="F271" s="156">
        <f>$J$18*F801EVE!F67*$L271</f>
        <v>0</v>
      </c>
      <c r="G271" s="156">
        <f>$J$18*F801EVE!G67*$L271</f>
        <v>0</v>
      </c>
      <c r="H271" s="156">
        <f>$J$18*F801EVE!H67*$L271</f>
        <v>0</v>
      </c>
      <c r="I271" s="156">
        <f>$J$18*F801EVE!I67*$L271</f>
        <v>0</v>
      </c>
      <c r="J271" s="156">
        <f t="shared" si="65"/>
        <v>0</v>
      </c>
      <c r="K271" s="69"/>
      <c r="L271" s="319">
        <v>0.75</v>
      </c>
    </row>
    <row r="272" spans="2:12" s="37" customFormat="1" ht="15.75">
      <c r="B272" s="48"/>
      <c r="C272" s="160" t="s">
        <v>305</v>
      </c>
      <c r="D272" s="156">
        <f>$J$18*F801EVE!D68*$L272</f>
        <v>0</v>
      </c>
      <c r="E272" s="156">
        <f>$J$18*F801EVE!E68*$L272</f>
        <v>0</v>
      </c>
      <c r="F272" s="156">
        <f>$J$18*F801EVE!F68*$L272</f>
        <v>0</v>
      </c>
      <c r="G272" s="156">
        <f>$J$18*F801EVE!G68*$L272</f>
        <v>0</v>
      </c>
      <c r="H272" s="156">
        <f>$J$18*F801EVE!H68*$L272</f>
        <v>0</v>
      </c>
      <c r="I272" s="156">
        <f>$J$18*F801EVE!I68*$L272</f>
        <v>0</v>
      </c>
      <c r="J272" s="156">
        <f t="shared" si="65"/>
        <v>0</v>
      </c>
      <c r="K272" s="69"/>
      <c r="L272" s="319">
        <v>0.95</v>
      </c>
    </row>
    <row r="273" spans="2:12" s="37" customFormat="1" ht="15.75">
      <c r="B273" s="48"/>
      <c r="C273" s="160" t="s">
        <v>307</v>
      </c>
      <c r="D273" s="156">
        <f>$J$18*F801EVE!D69*$L273</f>
        <v>0</v>
      </c>
      <c r="E273" s="156">
        <f>$J$18*F801EVE!E69*$L273</f>
        <v>0</v>
      </c>
      <c r="F273" s="156">
        <f>$J$18*F801EVE!F69*$L273</f>
        <v>0</v>
      </c>
      <c r="G273" s="156">
        <f>$J$18*F801EVE!G69*$L273</f>
        <v>0</v>
      </c>
      <c r="H273" s="156">
        <f>$J$18*F801EVE!H69*$L273</f>
        <v>0</v>
      </c>
      <c r="I273" s="156">
        <f>$J$18*F801EVE!I69*$L273</f>
        <v>0</v>
      </c>
      <c r="J273" s="156">
        <f t="shared" si="65"/>
        <v>0</v>
      </c>
      <c r="K273" s="69"/>
      <c r="L273" s="319">
        <v>0.5</v>
      </c>
    </row>
    <row r="274" spans="2:12" s="37" customFormat="1" ht="15.75">
      <c r="B274" s="48"/>
      <c r="C274" s="160" t="s">
        <v>624</v>
      </c>
      <c r="D274" s="156">
        <f>$J$18*F801EVE!D70*$L274</f>
        <v>0</v>
      </c>
      <c r="E274" s="156">
        <f>$J$18*F801EVE!E70*$L274</f>
        <v>0</v>
      </c>
      <c r="F274" s="156">
        <f>$J$18*F801EVE!F70*$L274</f>
        <v>0</v>
      </c>
      <c r="G274" s="156">
        <f>$J$18*F801EVE!G70*$L274</f>
        <v>0</v>
      </c>
      <c r="H274" s="156">
        <f>$J$18*F801EVE!H70*$L274</f>
        <v>0</v>
      </c>
      <c r="I274" s="156">
        <f>$J$18*F801EVE!I70*$L274</f>
        <v>0</v>
      </c>
      <c r="J274" s="156">
        <f t="shared" si="65"/>
        <v>0</v>
      </c>
      <c r="K274" s="69"/>
      <c r="L274" s="319">
        <v>0</v>
      </c>
    </row>
    <row r="275" spans="2:12" s="37" customFormat="1" ht="15.75">
      <c r="B275" s="48" t="s">
        <v>750</v>
      </c>
      <c r="C275" s="158" t="s">
        <v>635</v>
      </c>
      <c r="D275" s="159">
        <f t="shared" ref="D275:I275" si="67">SUM(D276:D281)</f>
        <v>0</v>
      </c>
      <c r="E275" s="159">
        <f t="shared" si="67"/>
        <v>0</v>
      </c>
      <c r="F275" s="159">
        <f t="shared" si="67"/>
        <v>0</v>
      </c>
      <c r="G275" s="159">
        <f t="shared" si="67"/>
        <v>0</v>
      </c>
      <c r="H275" s="159">
        <f t="shared" si="67"/>
        <v>0</v>
      </c>
      <c r="I275" s="159">
        <f t="shared" si="67"/>
        <v>0</v>
      </c>
      <c r="J275" s="159">
        <f t="shared" si="65"/>
        <v>0</v>
      </c>
      <c r="K275" s="69"/>
      <c r="L275" s="319"/>
    </row>
    <row r="276" spans="2:12" s="37" customFormat="1" ht="15.75">
      <c r="B276" s="48"/>
      <c r="C276" s="160" t="s">
        <v>304</v>
      </c>
      <c r="D276" s="156">
        <f>$J$18*F801EVE!D72*$L276</f>
        <v>0</v>
      </c>
      <c r="E276" s="156">
        <f>$J$18*F801EVE!E72*$L276</f>
        <v>0</v>
      </c>
      <c r="F276" s="156">
        <f>$J$18*F801EVE!F72*$L276</f>
        <v>0</v>
      </c>
      <c r="G276" s="156">
        <f>$J$18*F801EVE!G72*$L276</f>
        <v>0</v>
      </c>
      <c r="H276" s="156">
        <f>$J$18*F801EVE!H72*$L276</f>
        <v>0</v>
      </c>
      <c r="I276" s="156">
        <f>$J$18*F801EVE!I72*$L276</f>
        <v>0</v>
      </c>
      <c r="J276" s="156">
        <f t="shared" si="65"/>
        <v>0</v>
      </c>
      <c r="K276" s="69"/>
      <c r="L276" s="319">
        <v>1</v>
      </c>
    </row>
    <row r="277" spans="2:12" s="37" customFormat="1" ht="15.75">
      <c r="B277" s="48"/>
      <c r="C277" s="162" t="s">
        <v>642</v>
      </c>
      <c r="D277" s="156">
        <f>$J$18*F801EVE!D73*$L277</f>
        <v>0</v>
      </c>
      <c r="E277" s="156">
        <f>$J$18*F801EVE!E73*$L277</f>
        <v>0</v>
      </c>
      <c r="F277" s="156">
        <f>$J$18*F801EVE!F73*$L277</f>
        <v>0</v>
      </c>
      <c r="G277" s="156">
        <f>$J$18*F801EVE!G73*$L277</f>
        <v>0</v>
      </c>
      <c r="H277" s="156">
        <f>$J$18*F801EVE!H73*$L277</f>
        <v>0</v>
      </c>
      <c r="I277" s="156">
        <f>$J$18*F801EVE!I73*$L277</f>
        <v>0</v>
      </c>
      <c r="J277" s="156">
        <f t="shared" si="65"/>
        <v>0</v>
      </c>
      <c r="K277" s="69"/>
      <c r="L277" s="319">
        <v>0.75</v>
      </c>
    </row>
    <row r="278" spans="2:12" s="37" customFormat="1" ht="15.75">
      <c r="B278" s="48"/>
      <c r="C278" s="162" t="s">
        <v>1177</v>
      </c>
      <c r="D278" s="156">
        <f>$J$18*F801EVE!D74*$L278</f>
        <v>0</v>
      </c>
      <c r="E278" s="156">
        <f>$J$18*F801EVE!E74*$L278</f>
        <v>0</v>
      </c>
      <c r="F278" s="156">
        <f>$J$18*F801EVE!F74*$L278</f>
        <v>0</v>
      </c>
      <c r="G278" s="156">
        <f>$J$18*F801EVE!G74*$L278</f>
        <v>0</v>
      </c>
      <c r="H278" s="156">
        <f>$J$18*F801EVE!H74*$L278</f>
        <v>0</v>
      </c>
      <c r="I278" s="156">
        <f>$J$18*F801EVE!I74*$L278</f>
        <v>0</v>
      </c>
      <c r="J278" s="156">
        <f t="shared" si="65"/>
        <v>0</v>
      </c>
      <c r="K278" s="69"/>
      <c r="L278" s="319">
        <v>1</v>
      </c>
    </row>
    <row r="279" spans="2:12" s="37" customFormat="1" ht="15.75">
      <c r="B279" s="48"/>
      <c r="C279" s="160" t="s">
        <v>305</v>
      </c>
      <c r="D279" s="156">
        <f>$J$18*F801EVE!D75*$L279</f>
        <v>0</v>
      </c>
      <c r="E279" s="156">
        <f>$J$18*F801EVE!E75*$L279</f>
        <v>0</v>
      </c>
      <c r="F279" s="156">
        <f>$J$18*F801EVE!F75*$L279</f>
        <v>0</v>
      </c>
      <c r="G279" s="156">
        <f>$J$18*F801EVE!G75*$L279</f>
        <v>0</v>
      </c>
      <c r="H279" s="156">
        <f>$J$18*F801EVE!H75*$L279</f>
        <v>0</v>
      </c>
      <c r="I279" s="156">
        <f>$J$18*F801EVE!I75*$L279</f>
        <v>0</v>
      </c>
      <c r="J279" s="156">
        <f t="shared" si="65"/>
        <v>0</v>
      </c>
      <c r="K279" s="69"/>
      <c r="L279" s="319">
        <v>0.95</v>
      </c>
    </row>
    <row r="280" spans="2:12" s="37" customFormat="1" ht="15.75">
      <c r="B280" s="48"/>
      <c r="C280" s="160" t="s">
        <v>307</v>
      </c>
      <c r="D280" s="156">
        <f>$J$18*F801EVE!D76*$L280</f>
        <v>0</v>
      </c>
      <c r="E280" s="156">
        <f>$J$18*F801EVE!E76*$L280</f>
        <v>0</v>
      </c>
      <c r="F280" s="156">
        <f>$J$18*F801EVE!F76*$L280</f>
        <v>0</v>
      </c>
      <c r="G280" s="156">
        <f>$J$18*F801EVE!G76*$L280</f>
        <v>0</v>
      </c>
      <c r="H280" s="156">
        <f>$J$18*F801EVE!H76*$L280</f>
        <v>0</v>
      </c>
      <c r="I280" s="156">
        <f>$J$18*F801EVE!I76*$L280</f>
        <v>0</v>
      </c>
      <c r="J280" s="156">
        <f t="shared" si="65"/>
        <v>0</v>
      </c>
      <c r="K280" s="69"/>
      <c r="L280" s="319">
        <v>0.5</v>
      </c>
    </row>
    <row r="281" spans="2:12" s="37" customFormat="1" ht="15.75">
      <c r="B281" s="48"/>
      <c r="C281" s="160" t="s">
        <v>624</v>
      </c>
      <c r="D281" s="156">
        <f>$J$18*F801EVE!D77*$L281</f>
        <v>0</v>
      </c>
      <c r="E281" s="156">
        <f>$J$18*F801EVE!E77*$L281</f>
        <v>0</v>
      </c>
      <c r="F281" s="156">
        <f>$J$18*F801EVE!F77*$L281</f>
        <v>0</v>
      </c>
      <c r="G281" s="156">
        <f>$J$18*F801EVE!G77*$L281</f>
        <v>0</v>
      </c>
      <c r="H281" s="156">
        <f>$J$18*F801EVE!H77*$L281</f>
        <v>0</v>
      </c>
      <c r="I281" s="156">
        <f>$J$18*F801EVE!I77*$L281</f>
        <v>0</v>
      </c>
      <c r="J281" s="156">
        <f t="shared" si="65"/>
        <v>0</v>
      </c>
      <c r="K281" s="69"/>
      <c r="L281" s="319">
        <v>0</v>
      </c>
    </row>
    <row r="282" spans="2:12" s="37" customFormat="1" ht="15.75">
      <c r="B282" s="48" t="s">
        <v>749</v>
      </c>
      <c r="C282" s="158" t="s">
        <v>636</v>
      </c>
      <c r="D282" s="159">
        <f t="shared" ref="D282:I282" si="68">SUM(D283:D288)</f>
        <v>0</v>
      </c>
      <c r="E282" s="159">
        <f t="shared" si="68"/>
        <v>0</v>
      </c>
      <c r="F282" s="159">
        <f t="shared" si="68"/>
        <v>0</v>
      </c>
      <c r="G282" s="159">
        <f t="shared" si="68"/>
        <v>0</v>
      </c>
      <c r="H282" s="159">
        <f t="shared" si="68"/>
        <v>0</v>
      </c>
      <c r="I282" s="159">
        <f t="shared" si="68"/>
        <v>0</v>
      </c>
      <c r="J282" s="159">
        <f t="shared" si="65"/>
        <v>0</v>
      </c>
      <c r="K282" s="69"/>
      <c r="L282" s="319"/>
    </row>
    <row r="283" spans="2:12" s="37" customFormat="1" ht="15.75">
      <c r="B283" s="48"/>
      <c r="C283" s="160" t="s">
        <v>304</v>
      </c>
      <c r="D283" s="156">
        <f>$J$18*F801EVE!D79*$L283</f>
        <v>0</v>
      </c>
      <c r="E283" s="156">
        <f>$J$18*F801EVE!E79*$L283</f>
        <v>0</v>
      </c>
      <c r="F283" s="156">
        <f>$J$18*F801EVE!F79*$L283</f>
        <v>0</v>
      </c>
      <c r="G283" s="156">
        <f>$J$18*F801EVE!G79*$L283</f>
        <v>0</v>
      </c>
      <c r="H283" s="156">
        <f>$J$18*F801EVE!H79*$L283</f>
        <v>0</v>
      </c>
      <c r="I283" s="156">
        <f>$J$18*F801EVE!I79*$L283</f>
        <v>0</v>
      </c>
      <c r="J283" s="156">
        <f t="shared" si="65"/>
        <v>0</v>
      </c>
      <c r="K283" s="69"/>
      <c r="L283" s="319">
        <v>1</v>
      </c>
    </row>
    <row r="284" spans="2:12" s="37" customFormat="1" ht="15.75">
      <c r="B284" s="48"/>
      <c r="C284" s="162" t="s">
        <v>642</v>
      </c>
      <c r="D284" s="156">
        <f>$J$18*F801EVE!D80*$L284</f>
        <v>0</v>
      </c>
      <c r="E284" s="156">
        <f>$J$18*F801EVE!E80*$L284</f>
        <v>0</v>
      </c>
      <c r="F284" s="156">
        <f>$J$18*F801EVE!F80*$L284</f>
        <v>0</v>
      </c>
      <c r="G284" s="156">
        <f>$J$18*F801EVE!G80*$L284</f>
        <v>0</v>
      </c>
      <c r="H284" s="156">
        <f>$J$18*F801EVE!H80*$L284</f>
        <v>0</v>
      </c>
      <c r="I284" s="156">
        <f>$J$18*F801EVE!I80*$L284</f>
        <v>0</v>
      </c>
      <c r="J284" s="156">
        <f t="shared" si="65"/>
        <v>0</v>
      </c>
      <c r="K284" s="69"/>
      <c r="L284" s="319">
        <v>0.75</v>
      </c>
    </row>
    <row r="285" spans="2:12" s="37" customFormat="1" ht="15.75">
      <c r="B285" s="48"/>
      <c r="C285" s="162" t="s">
        <v>1177</v>
      </c>
      <c r="D285" s="156">
        <f>$J$18*F801EVE!D81*$L285</f>
        <v>0</v>
      </c>
      <c r="E285" s="156">
        <f>$J$18*F801EVE!E81*$L285</f>
        <v>0</v>
      </c>
      <c r="F285" s="156">
        <f>$J$18*F801EVE!F81*$L285</f>
        <v>0</v>
      </c>
      <c r="G285" s="156">
        <f>$J$18*F801EVE!G81*$L285</f>
        <v>0</v>
      </c>
      <c r="H285" s="156">
        <f>$J$18*F801EVE!H81*$L285</f>
        <v>0</v>
      </c>
      <c r="I285" s="156">
        <f>$J$18*F801EVE!I81*$L285</f>
        <v>0</v>
      </c>
      <c r="J285" s="156">
        <f t="shared" si="65"/>
        <v>0</v>
      </c>
      <c r="K285" s="69"/>
      <c r="L285" s="319">
        <v>1</v>
      </c>
    </row>
    <row r="286" spans="2:12" s="37" customFormat="1" ht="15.75">
      <c r="B286" s="48"/>
      <c r="C286" s="160" t="s">
        <v>305</v>
      </c>
      <c r="D286" s="156">
        <f>$J$18*F801EVE!D82*$L286</f>
        <v>0</v>
      </c>
      <c r="E286" s="156">
        <f>$J$18*F801EVE!E82*$L286</f>
        <v>0</v>
      </c>
      <c r="F286" s="156">
        <f>$J$18*F801EVE!F82*$L286</f>
        <v>0</v>
      </c>
      <c r="G286" s="156">
        <f>$J$18*F801EVE!G82*$L286</f>
        <v>0</v>
      </c>
      <c r="H286" s="156">
        <f>$J$18*F801EVE!H82*$L286</f>
        <v>0</v>
      </c>
      <c r="I286" s="156">
        <f>$J$18*F801EVE!I82*$L286</f>
        <v>0</v>
      </c>
      <c r="J286" s="156">
        <f t="shared" si="65"/>
        <v>0</v>
      </c>
      <c r="K286" s="69"/>
      <c r="L286" s="319">
        <v>0.95</v>
      </c>
    </row>
    <row r="287" spans="2:12" s="37" customFormat="1" ht="15.75">
      <c r="B287" s="48"/>
      <c r="C287" s="160" t="s">
        <v>307</v>
      </c>
      <c r="D287" s="156">
        <f>$J$18*F801EVE!D83*$L287</f>
        <v>0</v>
      </c>
      <c r="E287" s="156">
        <f>$J$18*F801EVE!E83*$L287</f>
        <v>0</v>
      </c>
      <c r="F287" s="156">
        <f>$J$18*F801EVE!F83*$L287</f>
        <v>0</v>
      </c>
      <c r="G287" s="156">
        <f>$J$18*F801EVE!G83*$L287</f>
        <v>0</v>
      </c>
      <c r="H287" s="156">
        <f>$J$18*F801EVE!H83*$L287</f>
        <v>0</v>
      </c>
      <c r="I287" s="156">
        <f>$J$18*F801EVE!I83*$L287</f>
        <v>0</v>
      </c>
      <c r="J287" s="156">
        <f t="shared" si="65"/>
        <v>0</v>
      </c>
      <c r="K287" s="69"/>
      <c r="L287" s="319">
        <v>0.5</v>
      </c>
    </row>
    <row r="288" spans="2:12" s="37" customFormat="1" ht="15.75">
      <c r="B288" s="48"/>
      <c r="C288" s="160" t="s">
        <v>624</v>
      </c>
      <c r="D288" s="156">
        <f>$J$18*F801EVE!D84*$L288</f>
        <v>0</v>
      </c>
      <c r="E288" s="156">
        <f>$J$18*F801EVE!E84*$L288</f>
        <v>0</v>
      </c>
      <c r="F288" s="156">
        <f>$J$18*F801EVE!F84*$L288</f>
        <v>0</v>
      </c>
      <c r="G288" s="156">
        <f>$J$18*F801EVE!G84*$L288</f>
        <v>0</v>
      </c>
      <c r="H288" s="156">
        <f>$J$18*F801EVE!H84*$L288</f>
        <v>0</v>
      </c>
      <c r="I288" s="156">
        <f>$J$18*F801EVE!I84*$L288</f>
        <v>0</v>
      </c>
      <c r="J288" s="156">
        <f t="shared" si="65"/>
        <v>0</v>
      </c>
      <c r="K288" s="69"/>
      <c r="L288" s="319">
        <v>0</v>
      </c>
    </row>
    <row r="289" spans="2:12" s="37" customFormat="1" ht="15.75">
      <c r="B289" s="48"/>
      <c r="C289" s="157"/>
      <c r="D289" s="156"/>
      <c r="E289" s="156"/>
      <c r="F289" s="156"/>
      <c r="G289" s="156"/>
      <c r="H289" s="156"/>
      <c r="I289" s="156"/>
      <c r="J289" s="156"/>
      <c r="K289" s="69"/>
      <c r="L289" s="319"/>
    </row>
    <row r="290" spans="2:12" s="37" customFormat="1" ht="15.75">
      <c r="B290" s="48" t="s">
        <v>902</v>
      </c>
      <c r="C290" s="158" t="s">
        <v>898</v>
      </c>
      <c r="D290" s="159">
        <f t="shared" ref="D290:I290" si="69">SUM(D291:D295)</f>
        <v>0</v>
      </c>
      <c r="E290" s="159">
        <f t="shared" si="69"/>
        <v>0</v>
      </c>
      <c r="F290" s="159">
        <f t="shared" si="69"/>
        <v>0</v>
      </c>
      <c r="G290" s="159">
        <f t="shared" si="69"/>
        <v>0</v>
      </c>
      <c r="H290" s="159">
        <f t="shared" si="69"/>
        <v>0</v>
      </c>
      <c r="I290" s="159">
        <f t="shared" si="69"/>
        <v>0</v>
      </c>
      <c r="J290" s="159">
        <f t="shared" ref="J290:J309" si="70">SUM(D290:I290)</f>
        <v>0</v>
      </c>
      <c r="K290" s="69"/>
      <c r="L290" s="319"/>
    </row>
    <row r="291" spans="2:12" s="37" customFormat="1" ht="15.75">
      <c r="B291" s="48"/>
      <c r="C291" s="160" t="s">
        <v>304</v>
      </c>
      <c r="D291" s="156">
        <f>$J$17*F801EVE!D87*$L291</f>
        <v>0</v>
      </c>
      <c r="E291" s="156">
        <f>$J$17*F801EVE!E87*$L291</f>
        <v>0</v>
      </c>
      <c r="F291" s="156">
        <f>$J$17*F801EVE!F87*$L291</f>
        <v>0</v>
      </c>
      <c r="G291" s="156">
        <f>$J$17*F801EVE!G87*$L291</f>
        <v>0</v>
      </c>
      <c r="H291" s="156">
        <f>$J$17*F801EVE!H87*$L291</f>
        <v>0</v>
      </c>
      <c r="I291" s="156">
        <f>$J$17*F801EVE!I87*$L291</f>
        <v>0</v>
      </c>
      <c r="J291" s="156">
        <f t="shared" si="70"/>
        <v>0</v>
      </c>
      <c r="K291" s="69"/>
      <c r="L291" s="319">
        <v>1</v>
      </c>
    </row>
    <row r="292" spans="2:12" s="37" customFormat="1" ht="15.75">
      <c r="B292" s="48"/>
      <c r="C292" s="162" t="s">
        <v>644</v>
      </c>
      <c r="D292" s="156">
        <f>$J$17*F801EVE!D88*$L292</f>
        <v>0</v>
      </c>
      <c r="E292" s="156">
        <f>$J$17*F801EVE!E88*$L292</f>
        <v>0</v>
      </c>
      <c r="F292" s="156">
        <f>$J$17*F801EVE!F88*$L292</f>
        <v>0</v>
      </c>
      <c r="G292" s="156">
        <f>$J$17*F801EVE!G88*$L292</f>
        <v>0</v>
      </c>
      <c r="H292" s="156">
        <f>$J$17*F801EVE!H88*$L292</f>
        <v>0</v>
      </c>
      <c r="I292" s="156">
        <f>$J$17*F801EVE!I88*$L292</f>
        <v>0</v>
      </c>
      <c r="J292" s="156">
        <f t="shared" si="70"/>
        <v>0</v>
      </c>
      <c r="K292" s="69"/>
      <c r="L292" s="319">
        <v>0.75</v>
      </c>
    </row>
    <row r="293" spans="2:12" s="37" customFormat="1" ht="15.75">
      <c r="B293" s="48"/>
      <c r="C293" s="160" t="s">
        <v>305</v>
      </c>
      <c r="D293" s="156">
        <f>$J$17*F801EVE!D89*$L293</f>
        <v>0</v>
      </c>
      <c r="E293" s="156">
        <f>$J$17*F801EVE!E89*$L293</f>
        <v>0</v>
      </c>
      <c r="F293" s="156">
        <f>$J$17*F801EVE!F89*$L293</f>
        <v>0</v>
      </c>
      <c r="G293" s="156">
        <f>$J$17*F801EVE!G89*$L293</f>
        <v>0</v>
      </c>
      <c r="H293" s="156">
        <f>$J$17*F801EVE!H89*$L293</f>
        <v>0</v>
      </c>
      <c r="I293" s="156">
        <f>$J$17*F801EVE!I89*$L293</f>
        <v>0</v>
      </c>
      <c r="J293" s="156">
        <f t="shared" si="70"/>
        <v>0</v>
      </c>
      <c r="K293" s="69"/>
      <c r="L293" s="319">
        <v>0.95</v>
      </c>
    </row>
    <row r="294" spans="2:12" s="37" customFormat="1" ht="15.75">
      <c r="B294" s="48"/>
      <c r="C294" s="160" t="s">
        <v>307</v>
      </c>
      <c r="D294" s="156">
        <f>$J$17*F801EVE!D90*$L294</f>
        <v>0</v>
      </c>
      <c r="E294" s="156">
        <f>$J$17*F801EVE!E90*$L294</f>
        <v>0</v>
      </c>
      <c r="F294" s="156">
        <f>$J$17*F801EVE!F90*$L294</f>
        <v>0</v>
      </c>
      <c r="G294" s="156">
        <f>$J$17*F801EVE!G90*$L294</f>
        <v>0</v>
      </c>
      <c r="H294" s="156">
        <f>$J$17*F801EVE!H90*$L294</f>
        <v>0</v>
      </c>
      <c r="I294" s="156">
        <f>$J$17*F801EVE!I90*$L294</f>
        <v>0</v>
      </c>
      <c r="J294" s="156">
        <f t="shared" si="70"/>
        <v>0</v>
      </c>
      <c r="K294" s="69"/>
      <c r="L294" s="319">
        <v>0.5</v>
      </c>
    </row>
    <row r="295" spans="2:12" s="37" customFormat="1" ht="15.75">
      <c r="B295" s="48"/>
      <c r="C295" s="160" t="s">
        <v>624</v>
      </c>
      <c r="D295" s="156">
        <f>$J$17*F801EVE!D91*$L295</f>
        <v>0</v>
      </c>
      <c r="E295" s="156">
        <f>$J$17*F801EVE!E91*$L295</f>
        <v>0</v>
      </c>
      <c r="F295" s="156">
        <f>$J$17*F801EVE!F91*$L295</f>
        <v>0</v>
      </c>
      <c r="G295" s="156">
        <f>$J$17*F801EVE!G91*$L295</f>
        <v>0</v>
      </c>
      <c r="H295" s="156">
        <f>$J$17*F801EVE!H91*$L295</f>
        <v>0</v>
      </c>
      <c r="I295" s="156">
        <f>$J$17*F801EVE!I91*$L295</f>
        <v>0</v>
      </c>
      <c r="J295" s="156">
        <f t="shared" si="70"/>
        <v>0</v>
      </c>
      <c r="K295" s="69"/>
      <c r="L295" s="319">
        <v>0</v>
      </c>
    </row>
    <row r="296" spans="2:12" s="37" customFormat="1" ht="15.75">
      <c r="B296" s="48" t="s">
        <v>902</v>
      </c>
      <c r="C296" s="158" t="s">
        <v>899</v>
      </c>
      <c r="D296" s="159">
        <f t="shared" ref="D296:I296" si="71">SUM(D297:D302)</f>
        <v>0</v>
      </c>
      <c r="E296" s="159">
        <f t="shared" si="71"/>
        <v>0</v>
      </c>
      <c r="F296" s="159">
        <f t="shared" si="71"/>
        <v>0</v>
      </c>
      <c r="G296" s="159">
        <f t="shared" si="71"/>
        <v>0</v>
      </c>
      <c r="H296" s="159">
        <f t="shared" si="71"/>
        <v>0</v>
      </c>
      <c r="I296" s="159">
        <f t="shared" si="71"/>
        <v>0</v>
      </c>
      <c r="J296" s="159">
        <f t="shared" si="70"/>
        <v>0</v>
      </c>
      <c r="K296" s="69"/>
      <c r="L296" s="319"/>
    </row>
    <row r="297" spans="2:12" s="37" customFormat="1" ht="15.75">
      <c r="B297" s="48"/>
      <c r="C297" s="160" t="s">
        <v>304</v>
      </c>
      <c r="D297" s="156">
        <f>$J$17*F801EVE!D93*$L297</f>
        <v>0</v>
      </c>
      <c r="E297" s="156">
        <f>$J$17*F801EVE!E93*$L297</f>
        <v>0</v>
      </c>
      <c r="F297" s="156">
        <f>$J$17*F801EVE!F93*$L297</f>
        <v>0</v>
      </c>
      <c r="G297" s="156">
        <f>$J$17*F801EVE!G93*$L297</f>
        <v>0</v>
      </c>
      <c r="H297" s="156">
        <f>$J$17*F801EVE!H93*$L297</f>
        <v>0</v>
      </c>
      <c r="I297" s="156">
        <f>$J$17*F801EVE!I93*$L297</f>
        <v>0</v>
      </c>
      <c r="J297" s="156">
        <f t="shared" si="70"/>
        <v>0</v>
      </c>
      <c r="K297" s="69"/>
      <c r="L297" s="319">
        <v>1</v>
      </c>
    </row>
    <row r="298" spans="2:12" s="37" customFormat="1" ht="15.75">
      <c r="B298" s="48"/>
      <c r="C298" s="162" t="s">
        <v>642</v>
      </c>
      <c r="D298" s="156">
        <f>$J$17*F801EVE!D94*$L298</f>
        <v>0</v>
      </c>
      <c r="E298" s="156">
        <f>$J$17*F801EVE!E94*$L298</f>
        <v>0</v>
      </c>
      <c r="F298" s="156">
        <f>$J$17*F801EVE!F94*$L298</f>
        <v>0</v>
      </c>
      <c r="G298" s="156">
        <f>$J$17*F801EVE!G94*$L298</f>
        <v>0</v>
      </c>
      <c r="H298" s="156">
        <f>$J$17*F801EVE!H94*$L298</f>
        <v>0</v>
      </c>
      <c r="I298" s="156">
        <f>$J$17*F801EVE!I94*$L298</f>
        <v>0</v>
      </c>
      <c r="J298" s="156">
        <f t="shared" si="70"/>
        <v>0</v>
      </c>
      <c r="K298" s="69"/>
      <c r="L298" s="319">
        <v>0.75</v>
      </c>
    </row>
    <row r="299" spans="2:12" s="37" customFormat="1" ht="15.75">
      <c r="B299" s="48"/>
      <c r="C299" s="162" t="s">
        <v>1177</v>
      </c>
      <c r="D299" s="156">
        <f>$J$17*F801EVE!D95*$L299</f>
        <v>0</v>
      </c>
      <c r="E299" s="156">
        <f>$J$17*F801EVE!E95*$L299</f>
        <v>0</v>
      </c>
      <c r="F299" s="156">
        <f>$J$17*F801EVE!F95*$L299</f>
        <v>0</v>
      </c>
      <c r="G299" s="156">
        <f>$J$17*F801EVE!G95*$L299</f>
        <v>0</v>
      </c>
      <c r="H299" s="156">
        <f>$J$17*F801EVE!H95*$L299</f>
        <v>0</v>
      </c>
      <c r="I299" s="156">
        <f>$J$17*F801EVE!I95*$L299</f>
        <v>0</v>
      </c>
      <c r="J299" s="156">
        <f t="shared" si="70"/>
        <v>0</v>
      </c>
      <c r="K299" s="69"/>
      <c r="L299" s="319">
        <v>1</v>
      </c>
    </row>
    <row r="300" spans="2:12" s="37" customFormat="1" ht="15.75">
      <c r="B300" s="48"/>
      <c r="C300" s="160" t="s">
        <v>305</v>
      </c>
      <c r="D300" s="156">
        <f>$J$17*F801EVE!D96*$L300</f>
        <v>0</v>
      </c>
      <c r="E300" s="156">
        <f>$J$17*F801EVE!E96*$L300</f>
        <v>0</v>
      </c>
      <c r="F300" s="156">
        <f>$J$17*F801EVE!F96*$L300</f>
        <v>0</v>
      </c>
      <c r="G300" s="156">
        <f>$J$17*F801EVE!G96*$L300</f>
        <v>0</v>
      </c>
      <c r="H300" s="156">
        <f>$J$17*F801EVE!H96*$L300</f>
        <v>0</v>
      </c>
      <c r="I300" s="156">
        <f>$J$17*F801EVE!I96*$L300</f>
        <v>0</v>
      </c>
      <c r="J300" s="156">
        <f t="shared" si="70"/>
        <v>0</v>
      </c>
      <c r="K300" s="69"/>
      <c r="L300" s="319">
        <v>0.95</v>
      </c>
    </row>
    <row r="301" spans="2:12" s="37" customFormat="1" ht="15.75">
      <c r="B301" s="48"/>
      <c r="C301" s="160" t="s">
        <v>307</v>
      </c>
      <c r="D301" s="156">
        <f>$J$17*F801EVE!D97*$L301</f>
        <v>0</v>
      </c>
      <c r="E301" s="156">
        <f>$J$17*F801EVE!E97*$L301</f>
        <v>0</v>
      </c>
      <c r="F301" s="156">
        <f>$J$17*F801EVE!F97*$L301</f>
        <v>0</v>
      </c>
      <c r="G301" s="156">
        <f>$J$17*F801EVE!G97*$L301</f>
        <v>0</v>
      </c>
      <c r="H301" s="156">
        <f>$J$17*F801EVE!H97*$L301</f>
        <v>0</v>
      </c>
      <c r="I301" s="156">
        <f>$J$17*F801EVE!I97*$L301</f>
        <v>0</v>
      </c>
      <c r="J301" s="156">
        <f t="shared" si="70"/>
        <v>0</v>
      </c>
      <c r="K301" s="69"/>
      <c r="L301" s="319">
        <v>0.5</v>
      </c>
    </row>
    <row r="302" spans="2:12" s="37" customFormat="1" ht="15.75">
      <c r="B302" s="48"/>
      <c r="C302" s="160" t="s">
        <v>624</v>
      </c>
      <c r="D302" s="156">
        <f>$J$17*F801EVE!D98*$L302</f>
        <v>0</v>
      </c>
      <c r="E302" s="156">
        <f>$J$17*F801EVE!E98*$L302</f>
        <v>0</v>
      </c>
      <c r="F302" s="156">
        <f>$J$17*F801EVE!F98*$L302</f>
        <v>0</v>
      </c>
      <c r="G302" s="156">
        <f>$J$17*F801EVE!G98*$L302</f>
        <v>0</v>
      </c>
      <c r="H302" s="156">
        <f>$J$17*F801EVE!H98*$L302</f>
        <v>0</v>
      </c>
      <c r="I302" s="156">
        <f>$J$17*F801EVE!I98*$L302</f>
        <v>0</v>
      </c>
      <c r="J302" s="156">
        <f t="shared" si="70"/>
        <v>0</v>
      </c>
      <c r="K302" s="69"/>
      <c r="L302" s="319">
        <v>0</v>
      </c>
    </row>
    <row r="303" spans="2:12" s="37" customFormat="1" ht="15.75">
      <c r="B303" s="48" t="s">
        <v>902</v>
      </c>
      <c r="C303" s="158" t="s">
        <v>900</v>
      </c>
      <c r="D303" s="159">
        <f t="shared" ref="D303:I303" si="72">SUM(D304:D309)</f>
        <v>0</v>
      </c>
      <c r="E303" s="159">
        <f t="shared" si="72"/>
        <v>0</v>
      </c>
      <c r="F303" s="159">
        <f t="shared" si="72"/>
        <v>0</v>
      </c>
      <c r="G303" s="159">
        <f t="shared" si="72"/>
        <v>0</v>
      </c>
      <c r="H303" s="159">
        <f t="shared" si="72"/>
        <v>0</v>
      </c>
      <c r="I303" s="159">
        <f t="shared" si="72"/>
        <v>0</v>
      </c>
      <c r="J303" s="159">
        <f t="shared" si="70"/>
        <v>0</v>
      </c>
      <c r="K303" s="69"/>
      <c r="L303" s="319"/>
    </row>
    <row r="304" spans="2:12" s="37" customFormat="1" ht="15.75">
      <c r="B304" s="48"/>
      <c r="C304" s="160" t="s">
        <v>304</v>
      </c>
      <c r="D304" s="156">
        <f>$J$17*F801EVE!D100*$L304</f>
        <v>0</v>
      </c>
      <c r="E304" s="156">
        <f>$J$17*F801EVE!E100*$L304</f>
        <v>0</v>
      </c>
      <c r="F304" s="156">
        <f>$J$17*F801EVE!F100*$L304</f>
        <v>0</v>
      </c>
      <c r="G304" s="156">
        <f>$J$17*F801EVE!G100*$L304</f>
        <v>0</v>
      </c>
      <c r="H304" s="156">
        <f>$J$17*F801EVE!H100*$L304</f>
        <v>0</v>
      </c>
      <c r="I304" s="156">
        <f>$J$17*F801EVE!I100*$L304</f>
        <v>0</v>
      </c>
      <c r="J304" s="156">
        <f t="shared" si="70"/>
        <v>0</v>
      </c>
      <c r="K304" s="69"/>
      <c r="L304" s="319">
        <v>1</v>
      </c>
    </row>
    <row r="305" spans="2:12" s="37" customFormat="1" ht="15.75">
      <c r="B305" s="48"/>
      <c r="C305" s="162" t="s">
        <v>642</v>
      </c>
      <c r="D305" s="156">
        <f>$J$17*F801EVE!D101*$L305</f>
        <v>0</v>
      </c>
      <c r="E305" s="156">
        <f>$J$17*F801EVE!E101*$L305</f>
        <v>0</v>
      </c>
      <c r="F305" s="156">
        <f>$J$17*F801EVE!F101*$L305</f>
        <v>0</v>
      </c>
      <c r="G305" s="156">
        <f>$J$17*F801EVE!G101*$L305</f>
        <v>0</v>
      </c>
      <c r="H305" s="156">
        <f>$J$17*F801EVE!H101*$L305</f>
        <v>0</v>
      </c>
      <c r="I305" s="156">
        <f>$J$17*F801EVE!I101*$L305</f>
        <v>0</v>
      </c>
      <c r="J305" s="156">
        <f t="shared" si="70"/>
        <v>0</v>
      </c>
      <c r="K305" s="69"/>
      <c r="L305" s="319">
        <v>0.75</v>
      </c>
    </row>
    <row r="306" spans="2:12" s="37" customFormat="1" ht="15.75">
      <c r="B306" s="48"/>
      <c r="C306" s="162" t="s">
        <v>1177</v>
      </c>
      <c r="D306" s="156">
        <f>$J$17*F801EVE!D102*$L306</f>
        <v>0</v>
      </c>
      <c r="E306" s="156">
        <f>$J$17*F801EVE!E102*$L306</f>
        <v>0</v>
      </c>
      <c r="F306" s="156">
        <f>$J$17*F801EVE!F102*$L306</f>
        <v>0</v>
      </c>
      <c r="G306" s="156">
        <f>$J$17*F801EVE!G102*$L306</f>
        <v>0</v>
      </c>
      <c r="H306" s="156">
        <f>$J$17*F801EVE!H102*$L306</f>
        <v>0</v>
      </c>
      <c r="I306" s="156">
        <f>$J$17*F801EVE!I102*$L306</f>
        <v>0</v>
      </c>
      <c r="J306" s="156">
        <f t="shared" si="70"/>
        <v>0</v>
      </c>
      <c r="K306" s="69"/>
      <c r="L306" s="319">
        <v>1</v>
      </c>
    </row>
    <row r="307" spans="2:12" s="37" customFormat="1" ht="15.75">
      <c r="B307" s="48"/>
      <c r="C307" s="160" t="s">
        <v>305</v>
      </c>
      <c r="D307" s="156">
        <f>$J$17*F801EVE!D103*$L307</f>
        <v>0</v>
      </c>
      <c r="E307" s="156">
        <f>$J$17*F801EVE!E103*$L307</f>
        <v>0</v>
      </c>
      <c r="F307" s="156">
        <f>$J$17*F801EVE!F103*$L307</f>
        <v>0</v>
      </c>
      <c r="G307" s="156">
        <f>$J$17*F801EVE!G103*$L307</f>
        <v>0</v>
      </c>
      <c r="H307" s="156">
        <f>$J$17*F801EVE!H103*$L307</f>
        <v>0</v>
      </c>
      <c r="I307" s="156">
        <f>$J$17*F801EVE!I103*$L307</f>
        <v>0</v>
      </c>
      <c r="J307" s="156">
        <f t="shared" si="70"/>
        <v>0</v>
      </c>
      <c r="K307" s="69"/>
      <c r="L307" s="319">
        <v>0.95</v>
      </c>
    </row>
    <row r="308" spans="2:12" s="37" customFormat="1" ht="15.75">
      <c r="B308" s="48"/>
      <c r="C308" s="160" t="s">
        <v>307</v>
      </c>
      <c r="D308" s="156">
        <f>$J$17*F801EVE!D104*$L308</f>
        <v>0</v>
      </c>
      <c r="E308" s="156">
        <f>$J$17*F801EVE!E104*$L308</f>
        <v>0</v>
      </c>
      <c r="F308" s="156">
        <f>$J$17*F801EVE!F104*$L308</f>
        <v>0</v>
      </c>
      <c r="G308" s="156">
        <f>$J$17*F801EVE!G104*$L308</f>
        <v>0</v>
      </c>
      <c r="H308" s="156">
        <f>$J$17*F801EVE!H104*$L308</f>
        <v>0</v>
      </c>
      <c r="I308" s="156">
        <f>$J$17*F801EVE!I104*$L308</f>
        <v>0</v>
      </c>
      <c r="J308" s="156">
        <f t="shared" si="70"/>
        <v>0</v>
      </c>
      <c r="K308" s="69"/>
      <c r="L308" s="319">
        <v>0.5</v>
      </c>
    </row>
    <row r="309" spans="2:12" s="37" customFormat="1" ht="15.75">
      <c r="B309" s="48"/>
      <c r="C309" s="160" t="s">
        <v>624</v>
      </c>
      <c r="D309" s="156">
        <f>$J$17*F801EVE!D105*$L309</f>
        <v>0</v>
      </c>
      <c r="E309" s="156">
        <f>$J$17*F801EVE!E105*$L309</f>
        <v>0</v>
      </c>
      <c r="F309" s="156">
        <f>$J$17*F801EVE!F105*$L309</f>
        <v>0</v>
      </c>
      <c r="G309" s="156">
        <f>$J$17*F801EVE!G105*$L309</f>
        <v>0</v>
      </c>
      <c r="H309" s="156">
        <f>$J$17*F801EVE!H105*$L309</f>
        <v>0</v>
      </c>
      <c r="I309" s="156">
        <f>$J$17*F801EVE!I105*$L309</f>
        <v>0</v>
      </c>
      <c r="J309" s="156">
        <f t="shared" si="70"/>
        <v>0</v>
      </c>
      <c r="K309" s="69"/>
      <c r="L309" s="319">
        <v>0</v>
      </c>
    </row>
    <row r="310" spans="2:12" s="37" customFormat="1" ht="15.75">
      <c r="B310" s="48"/>
      <c r="C310" s="157"/>
      <c r="D310" s="156"/>
      <c r="E310" s="156"/>
      <c r="F310" s="156"/>
      <c r="G310" s="156"/>
      <c r="H310" s="156"/>
      <c r="I310" s="156"/>
      <c r="J310" s="156"/>
      <c r="K310" s="69"/>
      <c r="L310" s="319"/>
    </row>
    <row r="311" spans="2:12" s="37" customFormat="1" ht="15.75">
      <c r="B311" s="48"/>
      <c r="C311" s="153" t="s">
        <v>112</v>
      </c>
      <c r="D311" s="154">
        <f t="shared" ref="D311:I311" si="73">D234+D224+D220</f>
        <v>0</v>
      </c>
      <c r="E311" s="154">
        <f t="shared" si="73"/>
        <v>0</v>
      </c>
      <c r="F311" s="154">
        <f t="shared" si="73"/>
        <v>0</v>
      </c>
      <c r="G311" s="154">
        <f t="shared" si="73"/>
        <v>0</v>
      </c>
      <c r="H311" s="154">
        <f t="shared" si="73"/>
        <v>0</v>
      </c>
      <c r="I311" s="154">
        <f t="shared" si="73"/>
        <v>0</v>
      </c>
      <c r="J311" s="154">
        <f>SUM(D311:I311)</f>
        <v>0</v>
      </c>
      <c r="K311" s="69"/>
      <c r="L311" s="319"/>
    </row>
    <row r="312" spans="2:12">
      <c r="C312" s="48"/>
      <c r="D312" s="48"/>
      <c r="E312" s="48"/>
      <c r="F312" s="48"/>
      <c r="G312" s="48"/>
      <c r="H312" s="48"/>
      <c r="I312" s="48"/>
      <c r="J312" s="48"/>
    </row>
    <row r="313" spans="2:12" s="69" customFormat="1" ht="53.25">
      <c r="B313" s="48"/>
      <c r="C313" s="320" t="s">
        <v>1464</v>
      </c>
      <c r="D313" s="320"/>
      <c r="E313" s="320"/>
      <c r="F313" s="320"/>
      <c r="G313" s="320"/>
      <c r="H313" s="320"/>
      <c r="I313" s="320"/>
      <c r="J313" s="321"/>
      <c r="L313" s="319"/>
    </row>
    <row r="314" spans="2:12" s="37" customFormat="1" ht="15.75">
      <c r="B314" s="48"/>
      <c r="C314" s="150" t="s">
        <v>310</v>
      </c>
      <c r="D314" s="151">
        <f t="shared" ref="D314:I314" si="74">D$29</f>
        <v>46204</v>
      </c>
      <c r="E314" s="151">
        <f t="shared" si="74"/>
        <v>46235</v>
      </c>
      <c r="F314" s="151">
        <f t="shared" si="74"/>
        <v>46266</v>
      </c>
      <c r="G314" s="151">
        <f t="shared" si="74"/>
        <v>46296</v>
      </c>
      <c r="H314" s="151">
        <f t="shared" si="74"/>
        <v>46327</v>
      </c>
      <c r="I314" s="151">
        <f t="shared" si="74"/>
        <v>46357</v>
      </c>
      <c r="J314" s="152" t="s">
        <v>111</v>
      </c>
      <c r="K314" s="69"/>
      <c r="L314" s="319"/>
    </row>
    <row r="315" spans="2:12" s="37" customFormat="1" ht="15.75">
      <c r="B315" s="48"/>
      <c r="C315" s="334" t="s">
        <v>446</v>
      </c>
      <c r="D315" s="154">
        <f t="shared" ref="D315:I315" si="75">D316+D317+D320</f>
        <v>0</v>
      </c>
      <c r="E315" s="154">
        <f t="shared" si="75"/>
        <v>0</v>
      </c>
      <c r="F315" s="154">
        <f t="shared" si="75"/>
        <v>0</v>
      </c>
      <c r="G315" s="154">
        <f t="shared" si="75"/>
        <v>0</v>
      </c>
      <c r="H315" s="154">
        <f t="shared" si="75"/>
        <v>0</v>
      </c>
      <c r="I315" s="154">
        <f t="shared" si="75"/>
        <v>0</v>
      </c>
      <c r="J315" s="154">
        <f t="shared" ref="J315:J342" si="76">SUM(D315:I315)</f>
        <v>0</v>
      </c>
      <c r="K315" s="69"/>
      <c r="L315" s="319"/>
    </row>
    <row r="316" spans="2:12" s="37" customFormat="1" ht="15.75">
      <c r="B316" s="48" t="s">
        <v>870</v>
      </c>
      <c r="C316" s="157" t="s">
        <v>1029</v>
      </c>
      <c r="D316" s="156">
        <f>$J$7*F801EVE!D116</f>
        <v>0</v>
      </c>
      <c r="E316" s="156">
        <f>$J$7*F801EVE!E116</f>
        <v>0</v>
      </c>
      <c r="F316" s="156">
        <f>$J$7*F801EVE!F116</f>
        <v>0</v>
      </c>
      <c r="G316" s="156">
        <f>$J$7*F801EVE!G116</f>
        <v>0</v>
      </c>
      <c r="H316" s="156">
        <f>$J$7*F801EVE!H116</f>
        <v>0</v>
      </c>
      <c r="I316" s="156">
        <f>$J$7*F801EVE!I116</f>
        <v>0</v>
      </c>
      <c r="J316" s="154">
        <f t="shared" si="76"/>
        <v>0</v>
      </c>
      <c r="K316" s="69"/>
      <c r="L316" s="319"/>
    </row>
    <row r="317" spans="2:12" s="37" customFormat="1" ht="15.75">
      <c r="B317" s="48" t="s">
        <v>871</v>
      </c>
      <c r="C317" s="335" t="s">
        <v>193</v>
      </c>
      <c r="D317" s="154">
        <f t="shared" ref="D317:I317" si="77">SUM(D318:D319)</f>
        <v>0</v>
      </c>
      <c r="E317" s="154">
        <f t="shared" si="77"/>
        <v>0</v>
      </c>
      <c r="F317" s="154">
        <f t="shared" si="77"/>
        <v>0</v>
      </c>
      <c r="G317" s="154">
        <f t="shared" si="77"/>
        <v>0</v>
      </c>
      <c r="H317" s="154">
        <f t="shared" si="77"/>
        <v>0</v>
      </c>
      <c r="I317" s="154">
        <f t="shared" si="77"/>
        <v>0</v>
      </c>
      <c r="J317" s="154">
        <f t="shared" si="76"/>
        <v>0</v>
      </c>
      <c r="K317" s="69"/>
      <c r="L317" s="319"/>
    </row>
    <row r="318" spans="2:12" s="37" customFormat="1" ht="15.75">
      <c r="B318" s="48"/>
      <c r="C318" s="157" t="s">
        <v>1030</v>
      </c>
      <c r="D318" s="156">
        <f>+$J$8*F801EVE!D118</f>
        <v>0</v>
      </c>
      <c r="E318" s="156">
        <f>+$J$8*F801EVE!E118</f>
        <v>0</v>
      </c>
      <c r="F318" s="156">
        <f>+$J$8*F801EVE!F118</f>
        <v>0</v>
      </c>
      <c r="G318" s="156">
        <f>+$J$8*F801EVE!G118</f>
        <v>0</v>
      </c>
      <c r="H318" s="156">
        <f>+$J$8*F801EVE!H118</f>
        <v>0</v>
      </c>
      <c r="I318" s="156">
        <f>+$J$8*F801EVE!I118</f>
        <v>0</v>
      </c>
      <c r="J318" s="154">
        <f t="shared" si="76"/>
        <v>0</v>
      </c>
      <c r="K318" s="69"/>
      <c r="L318" s="319"/>
    </row>
    <row r="319" spans="2:12" s="37" customFormat="1" ht="15.75">
      <c r="B319" s="48"/>
      <c r="C319" s="157" t="s">
        <v>1476</v>
      </c>
      <c r="D319" s="156">
        <f>+$J$8*F801EVE!D119</f>
        <v>0</v>
      </c>
      <c r="E319" s="156">
        <f>+$J$8*F801EVE!E119</f>
        <v>0</v>
      </c>
      <c r="F319" s="156">
        <f>+$J$8*F801EVE!F119</f>
        <v>0</v>
      </c>
      <c r="G319" s="156">
        <f>+$J$8*F801EVE!G119</f>
        <v>0</v>
      </c>
      <c r="H319" s="156">
        <f>+$J$8*F801EVE!H119</f>
        <v>0</v>
      </c>
      <c r="I319" s="156">
        <f>+$J$8*F801EVE!I119</f>
        <v>0</v>
      </c>
      <c r="J319" s="154">
        <f t="shared" si="76"/>
        <v>0</v>
      </c>
      <c r="K319" s="69"/>
      <c r="L319" s="319"/>
    </row>
    <row r="320" spans="2:12" s="37" customFormat="1" ht="15.75">
      <c r="B320" s="48" t="s">
        <v>893</v>
      </c>
      <c r="C320" s="153" t="s">
        <v>942</v>
      </c>
      <c r="D320" s="154">
        <f>+$J$8*F801EVE!D120</f>
        <v>0</v>
      </c>
      <c r="E320" s="154">
        <f>+$J$8*F801EVE!E120</f>
        <v>0</v>
      </c>
      <c r="F320" s="154">
        <f>+$J$8*F801EVE!F120</f>
        <v>0</v>
      </c>
      <c r="G320" s="154">
        <f>+$J$8*F801EVE!G120</f>
        <v>0</v>
      </c>
      <c r="H320" s="154">
        <f>+$J$8*F801EVE!H120</f>
        <v>0</v>
      </c>
      <c r="I320" s="154">
        <f>+$J$8*F801EVE!I120</f>
        <v>0</v>
      </c>
      <c r="J320" s="154">
        <f t="shared" si="76"/>
        <v>0</v>
      </c>
      <c r="K320" s="69"/>
      <c r="L320" s="319"/>
    </row>
    <row r="321" spans="2:12" s="37" customFormat="1" ht="15.75">
      <c r="B321" s="48"/>
      <c r="C321" s="334" t="s">
        <v>630</v>
      </c>
      <c r="D321" s="154">
        <f t="shared" ref="D321:I321" si="78">D322+D327</f>
        <v>0</v>
      </c>
      <c r="E321" s="154">
        <f t="shared" si="78"/>
        <v>0</v>
      </c>
      <c r="F321" s="154">
        <f t="shared" si="78"/>
        <v>0</v>
      </c>
      <c r="G321" s="154">
        <f t="shared" si="78"/>
        <v>0</v>
      </c>
      <c r="H321" s="154">
        <f t="shared" si="78"/>
        <v>0</v>
      </c>
      <c r="I321" s="154">
        <f t="shared" si="78"/>
        <v>0</v>
      </c>
      <c r="J321" s="154">
        <f t="shared" si="76"/>
        <v>0</v>
      </c>
      <c r="K321" s="69"/>
      <c r="L321" s="319"/>
    </row>
    <row r="322" spans="2:12" s="37" customFormat="1" ht="15.75">
      <c r="B322" s="48" t="s">
        <v>872</v>
      </c>
      <c r="C322" s="335" t="s">
        <v>1073</v>
      </c>
      <c r="D322" s="154">
        <f t="shared" ref="D322:I322" si="79">SUM(D323:D326)</f>
        <v>0</v>
      </c>
      <c r="E322" s="154">
        <f t="shared" si="79"/>
        <v>0</v>
      </c>
      <c r="F322" s="154">
        <f t="shared" si="79"/>
        <v>0</v>
      </c>
      <c r="G322" s="154">
        <f t="shared" si="79"/>
        <v>0</v>
      </c>
      <c r="H322" s="154">
        <f t="shared" si="79"/>
        <v>0</v>
      </c>
      <c r="I322" s="154">
        <f t="shared" si="79"/>
        <v>0</v>
      </c>
      <c r="J322" s="154">
        <f t="shared" si="76"/>
        <v>0</v>
      </c>
      <c r="K322" s="69"/>
      <c r="L322" s="319"/>
    </row>
    <row r="323" spans="2:12" s="37" customFormat="1" ht="15.75">
      <c r="B323" s="48"/>
      <c r="C323" s="157" t="s">
        <v>1477</v>
      </c>
      <c r="D323" s="156">
        <f>$J$9*F801EVE!D124</f>
        <v>0</v>
      </c>
      <c r="E323" s="156">
        <f>$J$9*F801EVE!E124</f>
        <v>0</v>
      </c>
      <c r="F323" s="156">
        <f>$J$9*F801EVE!F124</f>
        <v>0</v>
      </c>
      <c r="G323" s="156">
        <f>$J$9*F801EVE!G124</f>
        <v>0</v>
      </c>
      <c r="H323" s="156">
        <f>$J$9*F801EVE!H124</f>
        <v>0</v>
      </c>
      <c r="I323" s="156">
        <f>$J$9*F801EVE!I124</f>
        <v>0</v>
      </c>
      <c r="J323" s="154">
        <f t="shared" si="76"/>
        <v>0</v>
      </c>
      <c r="K323" s="69"/>
    </row>
    <row r="324" spans="2:12" s="37" customFormat="1" ht="15.75">
      <c r="B324" s="48"/>
      <c r="C324" s="157" t="s">
        <v>1477</v>
      </c>
      <c r="D324" s="156">
        <f>$J$9*F801EVE!D125</f>
        <v>0</v>
      </c>
      <c r="E324" s="156">
        <f>$J$9*F801EVE!E125</f>
        <v>0</v>
      </c>
      <c r="F324" s="156">
        <f>$J$9*F801EVE!F125</f>
        <v>0</v>
      </c>
      <c r="G324" s="156">
        <f>$J$9*F801EVE!G125</f>
        <v>0</v>
      </c>
      <c r="H324" s="156">
        <f>$J$9*F801EVE!H125</f>
        <v>0</v>
      </c>
      <c r="I324" s="156">
        <f>$J$9*F801EVE!I125</f>
        <v>0</v>
      </c>
      <c r="J324" s="154">
        <f t="shared" si="76"/>
        <v>0</v>
      </c>
      <c r="K324" s="69"/>
    </row>
    <row r="325" spans="2:12" s="37" customFormat="1" ht="15.75">
      <c r="B325" s="48"/>
      <c r="C325" s="157" t="s">
        <v>1477</v>
      </c>
      <c r="D325" s="156">
        <f>$J$9*F801EVE!D126</f>
        <v>0</v>
      </c>
      <c r="E325" s="156">
        <f>$J$9*F801EVE!E126</f>
        <v>0</v>
      </c>
      <c r="F325" s="156">
        <f>$J$9*F801EVE!F126</f>
        <v>0</v>
      </c>
      <c r="G325" s="156">
        <f>$J$9*F801EVE!G126</f>
        <v>0</v>
      </c>
      <c r="H325" s="156">
        <f>$J$9*F801EVE!H126</f>
        <v>0</v>
      </c>
      <c r="I325" s="156">
        <f>$J$9*F801EVE!I126</f>
        <v>0</v>
      </c>
      <c r="J325" s="154">
        <f>SUM(D325:I325)</f>
        <v>0</v>
      </c>
      <c r="K325" s="69"/>
    </row>
    <row r="326" spans="2:12" s="37" customFormat="1" ht="15.75">
      <c r="B326" s="48"/>
      <c r="C326" s="157" t="s">
        <v>1477</v>
      </c>
      <c r="D326" s="156">
        <f>$J$9*F801EVE!D127</f>
        <v>0</v>
      </c>
      <c r="E326" s="156">
        <f>$J$9*F801EVE!E127</f>
        <v>0</v>
      </c>
      <c r="F326" s="156">
        <f>$J$9*F801EVE!F127</f>
        <v>0</v>
      </c>
      <c r="G326" s="156">
        <f>$J$9*F801EVE!G127</f>
        <v>0</v>
      </c>
      <c r="H326" s="156">
        <f>$J$9*F801EVE!H127</f>
        <v>0</v>
      </c>
      <c r="I326" s="156">
        <f>$J$9*F801EVE!I127</f>
        <v>0</v>
      </c>
      <c r="J326" s="154">
        <f>SUM(D326:I326)</f>
        <v>0</v>
      </c>
      <c r="K326" s="69"/>
    </row>
    <row r="327" spans="2:12" s="37" customFormat="1" ht="15.75">
      <c r="B327" s="48" t="s">
        <v>873</v>
      </c>
      <c r="C327" s="335" t="s">
        <v>193</v>
      </c>
      <c r="D327" s="154">
        <f t="shared" ref="D327:I327" si="80">SUM(D328:D332)</f>
        <v>0</v>
      </c>
      <c r="E327" s="154">
        <f t="shared" si="80"/>
        <v>0</v>
      </c>
      <c r="F327" s="154">
        <f t="shared" si="80"/>
        <v>0</v>
      </c>
      <c r="G327" s="154">
        <f t="shared" si="80"/>
        <v>0</v>
      </c>
      <c r="H327" s="154">
        <f t="shared" si="80"/>
        <v>0</v>
      </c>
      <c r="I327" s="154">
        <f t="shared" si="80"/>
        <v>0</v>
      </c>
      <c r="J327" s="154">
        <f t="shared" si="76"/>
        <v>0</v>
      </c>
      <c r="K327" s="69"/>
    </row>
    <row r="328" spans="2:12" s="37" customFormat="1" ht="15.75">
      <c r="B328" s="48"/>
      <c r="C328" s="157" t="s">
        <v>1031</v>
      </c>
      <c r="D328" s="156">
        <f>$J$10*F801EVE!D129</f>
        <v>0</v>
      </c>
      <c r="E328" s="156">
        <f>$J$10*F801EVE!E129</f>
        <v>0</v>
      </c>
      <c r="F328" s="156">
        <f>$J$10*F801EVE!F129</f>
        <v>0</v>
      </c>
      <c r="G328" s="156">
        <f>$J$10*F801EVE!G129</f>
        <v>0</v>
      </c>
      <c r="H328" s="156">
        <f>$J$10*F801EVE!H129</f>
        <v>0</v>
      </c>
      <c r="I328" s="156">
        <f>$J$10*F801EVE!I129</f>
        <v>0</v>
      </c>
      <c r="J328" s="154">
        <f t="shared" si="76"/>
        <v>0</v>
      </c>
      <c r="K328" s="69"/>
    </row>
    <row r="329" spans="2:12" s="37" customFormat="1" ht="15.75">
      <c r="B329" s="48"/>
      <c r="C329" s="157" t="s">
        <v>1478</v>
      </c>
      <c r="D329" s="156">
        <f>$J$10*F801EVE!D130</f>
        <v>0</v>
      </c>
      <c r="E329" s="156">
        <f>$J$10*F801EVE!E130</f>
        <v>0</v>
      </c>
      <c r="F329" s="156">
        <f>$J$10*F801EVE!F130</f>
        <v>0</v>
      </c>
      <c r="G329" s="156">
        <f>$J$10*F801EVE!G130</f>
        <v>0</v>
      </c>
      <c r="H329" s="156">
        <f>$J$10*F801EVE!H130</f>
        <v>0</v>
      </c>
      <c r="I329" s="156">
        <f>$J$10*F801EVE!I130</f>
        <v>0</v>
      </c>
      <c r="J329" s="154">
        <f t="shared" si="76"/>
        <v>0</v>
      </c>
      <c r="K329" s="69"/>
    </row>
    <row r="330" spans="2:12" s="37" customFormat="1" ht="15.75">
      <c r="B330" s="48"/>
      <c r="C330" s="157" t="s">
        <v>1478</v>
      </c>
      <c r="D330" s="156">
        <f>$J$10*F801EVE!D131</f>
        <v>0</v>
      </c>
      <c r="E330" s="156">
        <f>$J$10*F801EVE!E131</f>
        <v>0</v>
      </c>
      <c r="F330" s="156">
        <f>$J$10*F801EVE!F131</f>
        <v>0</v>
      </c>
      <c r="G330" s="156">
        <f>$J$10*F801EVE!G131</f>
        <v>0</v>
      </c>
      <c r="H330" s="156">
        <f>$J$10*F801EVE!H131</f>
        <v>0</v>
      </c>
      <c r="I330" s="156">
        <f>$J$10*F801EVE!I131</f>
        <v>0</v>
      </c>
      <c r="J330" s="154">
        <f t="shared" si="76"/>
        <v>0</v>
      </c>
      <c r="K330" s="69"/>
    </row>
    <row r="331" spans="2:12" s="37" customFormat="1" ht="15.75">
      <c r="B331" s="48"/>
      <c r="C331" s="157" t="s">
        <v>1478</v>
      </c>
      <c r="D331" s="156">
        <f>$J$10*F801EVE!D132</f>
        <v>0</v>
      </c>
      <c r="E331" s="156">
        <f>$J$10*F801EVE!E132</f>
        <v>0</v>
      </c>
      <c r="F331" s="156">
        <f>$J$10*F801EVE!F132</f>
        <v>0</v>
      </c>
      <c r="G331" s="156">
        <f>$J$10*F801EVE!G132</f>
        <v>0</v>
      </c>
      <c r="H331" s="156">
        <f>$J$10*F801EVE!H132</f>
        <v>0</v>
      </c>
      <c r="I331" s="156">
        <f>$J$10*F801EVE!I132</f>
        <v>0</v>
      </c>
      <c r="J331" s="154">
        <f t="shared" si="76"/>
        <v>0</v>
      </c>
      <c r="K331" s="69"/>
    </row>
    <row r="332" spans="2:12" s="37" customFormat="1" ht="15.75">
      <c r="B332" s="48"/>
      <c r="C332" s="157" t="s">
        <v>1478</v>
      </c>
      <c r="D332" s="156">
        <f>$J$10*F801EVE!D133</f>
        <v>0</v>
      </c>
      <c r="E332" s="156">
        <f>$J$10*F801EVE!E133</f>
        <v>0</v>
      </c>
      <c r="F332" s="156">
        <f>$J$10*F801EVE!F133</f>
        <v>0</v>
      </c>
      <c r="G332" s="156">
        <f>$J$10*F801EVE!G133</f>
        <v>0</v>
      </c>
      <c r="H332" s="156">
        <f>$J$10*F801EVE!H133</f>
        <v>0</v>
      </c>
      <c r="I332" s="156">
        <f>$J$10*F801EVE!I133</f>
        <v>0</v>
      </c>
      <c r="J332" s="154">
        <f t="shared" si="76"/>
        <v>0</v>
      </c>
      <c r="K332" s="69"/>
    </row>
    <row r="333" spans="2:12" s="37" customFormat="1" ht="15.75">
      <c r="B333" s="48"/>
      <c r="C333" s="334" t="s">
        <v>443</v>
      </c>
      <c r="D333" s="154">
        <f t="shared" ref="D333:I333" si="81">D334+D335</f>
        <v>0</v>
      </c>
      <c r="E333" s="154">
        <f t="shared" si="81"/>
        <v>0</v>
      </c>
      <c r="F333" s="154">
        <f t="shared" si="81"/>
        <v>0</v>
      </c>
      <c r="G333" s="154">
        <f t="shared" si="81"/>
        <v>0</v>
      </c>
      <c r="H333" s="154">
        <f t="shared" si="81"/>
        <v>0</v>
      </c>
      <c r="I333" s="154">
        <f t="shared" si="81"/>
        <v>0</v>
      </c>
      <c r="J333" s="154">
        <f t="shared" si="76"/>
        <v>0</v>
      </c>
      <c r="K333" s="69"/>
    </row>
    <row r="334" spans="2:12" s="37" customFormat="1" ht="15.75">
      <c r="B334" s="48" t="s">
        <v>874</v>
      </c>
      <c r="C334" s="157" t="s">
        <v>1479</v>
      </c>
      <c r="D334" s="156">
        <f>$J$11*F801EVE!D137</f>
        <v>0</v>
      </c>
      <c r="E334" s="156">
        <f>$J$11*F801EVE!E137</f>
        <v>0</v>
      </c>
      <c r="F334" s="156">
        <f>$J$11*F801EVE!F137</f>
        <v>0</v>
      </c>
      <c r="G334" s="156">
        <f>$J$11*F801EVE!G137</f>
        <v>0</v>
      </c>
      <c r="H334" s="156">
        <f>$J$11*F801EVE!H137</f>
        <v>0</v>
      </c>
      <c r="I334" s="156">
        <f>$J$11*F801EVE!I137</f>
        <v>0</v>
      </c>
      <c r="J334" s="154">
        <f t="shared" si="76"/>
        <v>0</v>
      </c>
      <c r="K334" s="69"/>
    </row>
    <row r="335" spans="2:12" s="37" customFormat="1" ht="15.75">
      <c r="B335" s="48" t="s">
        <v>875</v>
      </c>
      <c r="C335" s="335" t="s">
        <v>193</v>
      </c>
      <c r="D335" s="154">
        <f t="shared" ref="D335:I335" si="82">SUM(D336:D341)</f>
        <v>0</v>
      </c>
      <c r="E335" s="154">
        <f t="shared" si="82"/>
        <v>0</v>
      </c>
      <c r="F335" s="154">
        <f t="shared" si="82"/>
        <v>0</v>
      </c>
      <c r="G335" s="154">
        <f t="shared" si="82"/>
        <v>0</v>
      </c>
      <c r="H335" s="154">
        <f t="shared" si="82"/>
        <v>0</v>
      </c>
      <c r="I335" s="154">
        <f t="shared" si="82"/>
        <v>0</v>
      </c>
      <c r="J335" s="154">
        <f t="shared" si="76"/>
        <v>0</v>
      </c>
      <c r="K335" s="69"/>
    </row>
    <row r="336" spans="2:12" s="37" customFormat="1" ht="15.75">
      <c r="B336" s="48"/>
      <c r="C336" s="157" t="s">
        <v>1032</v>
      </c>
      <c r="D336" s="156">
        <f>$J$12*(F801EVE!D140)</f>
        <v>0</v>
      </c>
      <c r="E336" s="156">
        <f>$J$12*(F801EVE!E140)</f>
        <v>0</v>
      </c>
      <c r="F336" s="156">
        <f>$J$12*(F801EVE!F140)</f>
        <v>0</v>
      </c>
      <c r="G336" s="156">
        <f>$J$12*(F801EVE!G140)</f>
        <v>0</v>
      </c>
      <c r="H336" s="156">
        <f>$J$12*(F801EVE!H140)</f>
        <v>0</v>
      </c>
      <c r="I336" s="156">
        <f>$J$12*(F801EVE!I140)</f>
        <v>0</v>
      </c>
      <c r="J336" s="154">
        <f t="shared" si="76"/>
        <v>0</v>
      </c>
      <c r="K336" s="69"/>
    </row>
    <row r="337" spans="2:11" s="37" customFormat="1" ht="15.75">
      <c r="B337" s="48"/>
      <c r="C337" s="157" t="s">
        <v>1480</v>
      </c>
      <c r="D337" s="156">
        <f>$J$12*(F801EVE!D141)</f>
        <v>0</v>
      </c>
      <c r="E337" s="156">
        <f>$J$12*(F801EVE!E141)</f>
        <v>0</v>
      </c>
      <c r="F337" s="156">
        <f>$J$12*(F801EVE!F141)</f>
        <v>0</v>
      </c>
      <c r="G337" s="156">
        <f>$J$12*(F801EVE!G141)</f>
        <v>0</v>
      </c>
      <c r="H337" s="156">
        <f>$J$12*(F801EVE!H141)</f>
        <v>0</v>
      </c>
      <c r="I337" s="156">
        <f>$J$12*(F801EVE!I141)</f>
        <v>0</v>
      </c>
      <c r="J337" s="154">
        <f t="shared" si="76"/>
        <v>0</v>
      </c>
      <c r="K337" s="69"/>
    </row>
    <row r="338" spans="2:11" s="37" customFormat="1" ht="15.75">
      <c r="B338" s="48"/>
      <c r="C338" s="157" t="s">
        <v>1480</v>
      </c>
      <c r="D338" s="156">
        <f>$J$12*(F801EVE!D142)</f>
        <v>0</v>
      </c>
      <c r="E338" s="156">
        <f>$J$12*(F801EVE!E142)</f>
        <v>0</v>
      </c>
      <c r="F338" s="156">
        <f>$J$12*(F801EVE!F142)</f>
        <v>0</v>
      </c>
      <c r="G338" s="156">
        <f>$J$12*(F801EVE!G142)</f>
        <v>0</v>
      </c>
      <c r="H338" s="156">
        <f>$J$12*(F801EVE!H142)</f>
        <v>0</v>
      </c>
      <c r="I338" s="156">
        <f>$J$12*(F801EVE!I142)</f>
        <v>0</v>
      </c>
      <c r="J338" s="154">
        <f t="shared" si="76"/>
        <v>0</v>
      </c>
      <c r="K338" s="69"/>
    </row>
    <row r="339" spans="2:11" s="37" customFormat="1" ht="15.75">
      <c r="B339" s="48"/>
      <c r="C339" s="157" t="s">
        <v>1480</v>
      </c>
      <c r="D339" s="156">
        <f>$J$12*(F801EVE!D143)</f>
        <v>0</v>
      </c>
      <c r="E339" s="156">
        <f>$J$12*(F801EVE!E143)</f>
        <v>0</v>
      </c>
      <c r="F339" s="156">
        <f>$J$12*(F801EVE!F143)</f>
        <v>0</v>
      </c>
      <c r="G339" s="156">
        <f>$J$12*(F801EVE!G143)</f>
        <v>0</v>
      </c>
      <c r="H339" s="156">
        <f>$J$12*(F801EVE!H143)</f>
        <v>0</v>
      </c>
      <c r="I339" s="156">
        <f>$J$12*(F801EVE!I143)</f>
        <v>0</v>
      </c>
      <c r="J339" s="154">
        <f t="shared" si="76"/>
        <v>0</v>
      </c>
      <c r="K339" s="69"/>
    </row>
    <row r="340" spans="2:11" s="37" customFormat="1" ht="15.75">
      <c r="B340" s="48"/>
      <c r="C340" s="157" t="s">
        <v>1480</v>
      </c>
      <c r="D340" s="156">
        <f>$J$12*(F801EVE!D144)</f>
        <v>0</v>
      </c>
      <c r="E340" s="156">
        <f>$J$12*(F801EVE!E144)</f>
        <v>0</v>
      </c>
      <c r="F340" s="156">
        <f>$J$12*(F801EVE!F144)</f>
        <v>0</v>
      </c>
      <c r="G340" s="156">
        <f>$J$12*(F801EVE!G144)</f>
        <v>0</v>
      </c>
      <c r="H340" s="156">
        <f>$J$12*(F801EVE!H144)</f>
        <v>0</v>
      </c>
      <c r="I340" s="156">
        <f>$J$12*(F801EVE!I144)</f>
        <v>0</v>
      </c>
      <c r="J340" s="154">
        <f t="shared" si="76"/>
        <v>0</v>
      </c>
      <c r="K340" s="69"/>
    </row>
    <row r="341" spans="2:11" s="37" customFormat="1" ht="15.75">
      <c r="B341" s="48"/>
      <c r="C341" s="157"/>
      <c r="D341" s="156"/>
      <c r="E341" s="156"/>
      <c r="F341" s="156"/>
      <c r="G341" s="156"/>
      <c r="H341" s="156"/>
      <c r="I341" s="156"/>
      <c r="J341" s="156">
        <f t="shared" si="76"/>
        <v>0</v>
      </c>
      <c r="K341" s="69"/>
    </row>
    <row r="342" spans="2:11" s="37" customFormat="1" ht="15.75">
      <c r="B342" s="48"/>
      <c r="C342" s="153" t="s">
        <v>112</v>
      </c>
      <c r="D342" s="154">
        <f t="shared" ref="D342:I342" si="83">D315+D321+D333</f>
        <v>0</v>
      </c>
      <c r="E342" s="154">
        <f t="shared" si="83"/>
        <v>0</v>
      </c>
      <c r="F342" s="154">
        <f t="shared" si="83"/>
        <v>0</v>
      </c>
      <c r="G342" s="154">
        <f t="shared" si="83"/>
        <v>0</v>
      </c>
      <c r="H342" s="154">
        <f t="shared" si="83"/>
        <v>0</v>
      </c>
      <c r="I342" s="154">
        <f t="shared" si="83"/>
        <v>0</v>
      </c>
      <c r="J342" s="154">
        <f t="shared" si="76"/>
        <v>0</v>
      </c>
      <c r="K342" s="69"/>
    </row>
    <row r="343" spans="2:11" s="37" customFormat="1" ht="13.5">
      <c r="B343" s="48"/>
      <c r="C343" s="48"/>
      <c r="D343" s="48"/>
      <c r="E343" s="48"/>
      <c r="F343" s="48"/>
      <c r="G343" s="48"/>
      <c r="H343" s="48"/>
      <c r="I343" s="48"/>
      <c r="J343" s="48"/>
      <c r="K343" s="48"/>
    </row>
    <row r="344" spans="2:11" s="37" customFormat="1" ht="54" customHeight="1">
      <c r="B344" s="48"/>
      <c r="C344" s="320" t="s">
        <v>1464</v>
      </c>
      <c r="D344" s="320"/>
      <c r="E344" s="320"/>
      <c r="F344" s="320"/>
      <c r="G344" s="320"/>
      <c r="H344" s="320"/>
      <c r="I344" s="320"/>
      <c r="J344" s="321"/>
      <c r="K344" s="69"/>
    </row>
    <row r="345" spans="2:11" s="37" customFormat="1" ht="15.75">
      <c r="B345" s="48"/>
      <c r="C345" s="150" t="s">
        <v>310</v>
      </c>
      <c r="D345" s="151">
        <f t="shared" ref="D345:I345" si="84">D$29</f>
        <v>46204</v>
      </c>
      <c r="E345" s="151">
        <f t="shared" si="84"/>
        <v>46235</v>
      </c>
      <c r="F345" s="151">
        <f t="shared" si="84"/>
        <v>46266</v>
      </c>
      <c r="G345" s="151">
        <f t="shared" si="84"/>
        <v>46296</v>
      </c>
      <c r="H345" s="151">
        <f t="shared" si="84"/>
        <v>46327</v>
      </c>
      <c r="I345" s="151">
        <f t="shared" si="84"/>
        <v>46357</v>
      </c>
      <c r="J345" s="152" t="s">
        <v>111</v>
      </c>
      <c r="K345" s="69"/>
    </row>
    <row r="346" spans="2:11">
      <c r="C346" s="153" t="s">
        <v>446</v>
      </c>
      <c r="D346" s="154">
        <f t="shared" ref="D346:I346" si="85">SUM(D347:D348)</f>
        <v>91112.005650663661</v>
      </c>
      <c r="E346" s="154">
        <f t="shared" si="85"/>
        <v>86889.857045881348</v>
      </c>
      <c r="F346" s="154">
        <f t="shared" si="85"/>
        <v>96496.7075704085</v>
      </c>
      <c r="G346" s="154">
        <f t="shared" si="85"/>
        <v>114130.20412659615</v>
      </c>
      <c r="H346" s="154">
        <f t="shared" si="85"/>
        <v>105673.56807467602</v>
      </c>
      <c r="I346" s="154">
        <f t="shared" si="85"/>
        <v>117882.02016702399</v>
      </c>
      <c r="J346" s="154">
        <f t="shared" ref="J346:J373" si="86">SUM(D346:I346)</f>
        <v>612184.36263524974</v>
      </c>
    </row>
    <row r="347" spans="2:11">
      <c r="B347" s="48" t="s">
        <v>870</v>
      </c>
      <c r="C347" s="157" t="s">
        <v>1029</v>
      </c>
      <c r="D347" s="156">
        <f>F801D!D116*0*(1+D$25)*(1+D$26)</f>
        <v>0</v>
      </c>
      <c r="E347" s="156">
        <f>F801D!E116*0*(1+E$25)*(1+E$26)</f>
        <v>0</v>
      </c>
      <c r="F347" s="156">
        <f>F801D!F116*0*(1+F$25)*(1+F$26)</f>
        <v>0</v>
      </c>
      <c r="G347" s="156">
        <f>F801D!G116*0*(1+G$25)*(1+G$26)</f>
        <v>0</v>
      </c>
      <c r="H347" s="156">
        <f>F801D!H116*0*(1+H$25)*(1+H$26)</f>
        <v>0</v>
      </c>
      <c r="I347" s="156">
        <f>F801D!I116*0*(1+I$25)*(1+I$26)</f>
        <v>0</v>
      </c>
      <c r="J347" s="154">
        <f t="shared" si="86"/>
        <v>0</v>
      </c>
    </row>
    <row r="348" spans="2:11">
      <c r="B348" s="48" t="s">
        <v>871</v>
      </c>
      <c r="C348" s="335" t="s">
        <v>193</v>
      </c>
      <c r="D348" s="154">
        <f t="shared" ref="D348:I348" si="87">D349+D350</f>
        <v>91112.005650663661</v>
      </c>
      <c r="E348" s="154">
        <f t="shared" si="87"/>
        <v>86889.857045881348</v>
      </c>
      <c r="F348" s="154">
        <f t="shared" si="87"/>
        <v>96496.7075704085</v>
      </c>
      <c r="G348" s="154">
        <f t="shared" si="87"/>
        <v>114130.20412659615</v>
      </c>
      <c r="H348" s="154">
        <f t="shared" si="87"/>
        <v>105673.56807467602</v>
      </c>
      <c r="I348" s="154">
        <f t="shared" si="87"/>
        <v>117882.02016702399</v>
      </c>
      <c r="J348" s="154">
        <f t="shared" si="86"/>
        <v>612184.36263524974</v>
      </c>
    </row>
    <row r="349" spans="2:11">
      <c r="C349" s="157" t="s">
        <v>1030</v>
      </c>
      <c r="D349" s="156">
        <f>F801D!D118*0</f>
        <v>0</v>
      </c>
      <c r="E349" s="156">
        <f>F801D!E118*0</f>
        <v>0</v>
      </c>
      <c r="F349" s="156">
        <f>F801D!F118*0</f>
        <v>0</v>
      </c>
      <c r="G349" s="156">
        <f>F801D!G118*0</f>
        <v>0</v>
      </c>
      <c r="H349" s="156">
        <f>F801D!H118*0</f>
        <v>0</v>
      </c>
      <c r="I349" s="156">
        <f>F801D!I118*0</f>
        <v>0</v>
      </c>
      <c r="J349" s="154">
        <f t="shared" si="86"/>
        <v>0</v>
      </c>
    </row>
    <row r="350" spans="2:11">
      <c r="C350" s="157" t="s">
        <v>1476</v>
      </c>
      <c r="D350" s="156">
        <f>F801D!D119*$D$21*(1+D$25)*(1+D$26)</f>
        <v>91112.005650663661</v>
      </c>
      <c r="E350" s="156">
        <f>F801D!E119*$D$21*(1+E$25)*(1+E$26)</f>
        <v>86889.857045881348</v>
      </c>
      <c r="F350" s="156">
        <f>F801D!F119*$D$21*(1+F$25)*(1+F$26)</f>
        <v>96496.7075704085</v>
      </c>
      <c r="G350" s="156">
        <f>F801D!G119*$D$21*(1+G$25)*(1+G$26)</f>
        <v>114130.20412659615</v>
      </c>
      <c r="H350" s="156">
        <f>F801D!H119*$D$21*(1+H$25)*(1+H$26)</f>
        <v>105673.56807467602</v>
      </c>
      <c r="I350" s="156">
        <f>F801D!I119*$D$21*(1+I$25)*(1+I$26)</f>
        <v>117882.02016702399</v>
      </c>
      <c r="J350" s="154">
        <f t="shared" si="86"/>
        <v>612184.36263524974</v>
      </c>
    </row>
    <row r="351" spans="2:11">
      <c r="C351" s="153" t="s">
        <v>942</v>
      </c>
      <c r="D351" s="156"/>
      <c r="E351" s="156"/>
      <c r="F351" s="156"/>
      <c r="G351" s="156"/>
      <c r="H351" s="156"/>
      <c r="I351" s="156"/>
      <c r="J351" s="154">
        <f t="shared" si="86"/>
        <v>0</v>
      </c>
    </row>
    <row r="352" spans="2:11">
      <c r="C352" s="153" t="s">
        <v>630</v>
      </c>
      <c r="D352" s="154">
        <f t="shared" ref="D352:I352" si="88">D353+D358</f>
        <v>1468177.37108064</v>
      </c>
      <c r="E352" s="154">
        <f t="shared" si="88"/>
        <v>1433966.9889734928</v>
      </c>
      <c r="F352" s="154">
        <f t="shared" si="88"/>
        <v>1498537.286051088</v>
      </c>
      <c r="G352" s="154">
        <f t="shared" si="88"/>
        <v>1501755.799992471</v>
      </c>
      <c r="H352" s="154">
        <f t="shared" si="88"/>
        <v>1498806.4540235954</v>
      </c>
      <c r="I352" s="154">
        <f t="shared" si="88"/>
        <v>1511437.3972068301</v>
      </c>
      <c r="J352" s="154">
        <f t="shared" si="86"/>
        <v>8912681.2973281164</v>
      </c>
    </row>
    <row r="353" spans="2:10">
      <c r="B353" s="48" t="s">
        <v>872</v>
      </c>
      <c r="C353" s="335" t="s">
        <v>1073</v>
      </c>
      <c r="D353" s="154">
        <f t="shared" ref="D353:I353" si="89">SUM(D354:D357)</f>
        <v>282318.73116336693</v>
      </c>
      <c r="E353" s="154">
        <f t="shared" si="89"/>
        <v>274763.83360686118</v>
      </c>
      <c r="F353" s="154">
        <f t="shared" si="89"/>
        <v>286983.17569971236</v>
      </c>
      <c r="G353" s="154">
        <f t="shared" si="89"/>
        <v>290464.15505490254</v>
      </c>
      <c r="H353" s="154">
        <f t="shared" si="89"/>
        <v>280490.44934613584</v>
      </c>
      <c r="I353" s="154">
        <f t="shared" si="89"/>
        <v>290800.51617117017</v>
      </c>
      <c r="J353" s="154">
        <f t="shared" si="86"/>
        <v>1705820.8610421491</v>
      </c>
    </row>
    <row r="354" spans="2:10">
      <c r="C354" s="157" t="s">
        <v>1477</v>
      </c>
      <c r="D354" s="156">
        <f>F801D!D124*$D21*(1+D$25)*(1+D$26)</f>
        <v>151995.04434096711</v>
      </c>
      <c r="E354" s="156">
        <f>F801D!E124*$D21*(1+E$25)*(1+E$26)</f>
        <v>143196.26319611692</v>
      </c>
      <c r="F354" s="156">
        <f>F801D!F124*$D21*(1+F$25)*(1+F$26)</f>
        <v>144186.78022406428</v>
      </c>
      <c r="G354" s="156">
        <f>F801D!G124*$D21*(1+G$25)*(1+G$26)</f>
        <v>142874.80187979224</v>
      </c>
      <c r="H354" s="156">
        <f>F801D!H124*$D21*(1+H$25)*(1+H$26)</f>
        <v>141263.11031094388</v>
      </c>
      <c r="I354" s="156">
        <f>F801D!I124*$D21*(1+I$25)*(1+I$26)</f>
        <v>138691.33373513899</v>
      </c>
      <c r="J354" s="154">
        <f t="shared" si="86"/>
        <v>862207.33368702349</v>
      </c>
    </row>
    <row r="355" spans="2:10">
      <c r="C355" s="157" t="s">
        <v>1477</v>
      </c>
      <c r="D355" s="156">
        <f>F801D!D125*$D22*(1+D$25)*(1+D$26)</f>
        <v>15123.089605277242</v>
      </c>
      <c r="E355" s="156">
        <f>F801D!E125*$D22*(1+E$25)*(1+E$26)</f>
        <v>15988.193671129413</v>
      </c>
      <c r="F355" s="156">
        <f>F801D!F125*$D22*(1+F$25)*(1+F$26)</f>
        <v>15732.840172698741</v>
      </c>
      <c r="G355" s="156">
        <f>F801D!G125*$D22*(1+G$25)*(1+G$26)</f>
        <v>17224.033909717909</v>
      </c>
      <c r="H355" s="156">
        <f>F801D!H125*$D22*(1+H$25)*(1+H$26)</f>
        <v>16588.986415473064</v>
      </c>
      <c r="I355" s="156">
        <f>F801D!I125*$D22*(1+I$25)*(1+I$26)</f>
        <v>15496.572860373217</v>
      </c>
      <c r="J355" s="154">
        <f t="shared" si="86"/>
        <v>96153.716634669589</v>
      </c>
    </row>
    <row r="356" spans="2:10">
      <c r="C356" s="157" t="s">
        <v>1477</v>
      </c>
      <c r="D356" s="156">
        <f>F801D!D126*$D23*(1+D$25)*(1+D$26)</f>
        <v>3450.5773246109588</v>
      </c>
      <c r="E356" s="156">
        <f>F801D!E126*$D23*(1+E$25)*(1+E$26)</f>
        <v>3430.9199158072238</v>
      </c>
      <c r="F356" s="156">
        <f>F801D!F126*$D23*(1+F$25)*(1+F$26)</f>
        <v>3376.9248807874947</v>
      </c>
      <c r="G356" s="156">
        <f>F801D!G126*$D23*(1+G$25)*(1+G$26)</f>
        <v>3410.239443481154</v>
      </c>
      <c r="H356" s="156">
        <f>F801D!H126*$D23*(1+H$25)*(1+H$26)</f>
        <v>3349.6543096345936</v>
      </c>
      <c r="I356" s="156">
        <f>F801D!I126*$D23*(1+I$25)*(1+I$26)</f>
        <v>3322.9421205258973</v>
      </c>
      <c r="J356" s="154">
        <f>SUM(D356:I356)</f>
        <v>20341.257994847321</v>
      </c>
    </row>
    <row r="357" spans="2:10">
      <c r="C357" s="157" t="s">
        <v>1477</v>
      </c>
      <c r="D357" s="156">
        <f>F801D!D127*$D24*(1+D$25)*(1+D$26)</f>
        <v>111750.01989251166</v>
      </c>
      <c r="E357" s="156">
        <f>F801D!E127*$D24*(1+E$25)*(1+E$26)</f>
        <v>112148.45682380765</v>
      </c>
      <c r="F357" s="156">
        <f>F801D!F127*$D24*(1+F$25)*(1+F$26)</f>
        <v>123686.6304221618</v>
      </c>
      <c r="G357" s="156">
        <f>F801D!G127*$D24*(1+G$25)*(1+G$26)</f>
        <v>126955.0798219112</v>
      </c>
      <c r="H357" s="156">
        <f>F801D!H127*$D24*(1+H$25)*(1+H$26)</f>
        <v>119288.69831008432</v>
      </c>
      <c r="I357" s="156">
        <f>F801D!I127*$D24*(1+I$25)*(1+I$26)</f>
        <v>133289.66745513209</v>
      </c>
      <c r="J357" s="154">
        <f>SUM(D357:I357)</f>
        <v>727118.55272560869</v>
      </c>
    </row>
    <row r="358" spans="2:10">
      <c r="B358" s="48" t="s">
        <v>873</v>
      </c>
      <c r="C358" s="335" t="s">
        <v>193</v>
      </c>
      <c r="D358" s="154">
        <f t="shared" ref="D358:I358" si="90">SUM(D359:D363)</f>
        <v>1185858.6399172731</v>
      </c>
      <c r="E358" s="154">
        <f t="shared" si="90"/>
        <v>1159203.1553666317</v>
      </c>
      <c r="F358" s="154">
        <f t="shared" si="90"/>
        <v>1211554.1103513758</v>
      </c>
      <c r="G358" s="154">
        <f t="shared" si="90"/>
        <v>1211291.6449375683</v>
      </c>
      <c r="H358" s="154">
        <f t="shared" si="90"/>
        <v>1218316.0046774596</v>
      </c>
      <c r="I358" s="154">
        <f t="shared" si="90"/>
        <v>1220636.8810356599</v>
      </c>
      <c r="J358" s="154">
        <f t="shared" si="86"/>
        <v>7206860.4362859689</v>
      </c>
    </row>
    <row r="359" spans="2:10">
      <c r="C359" s="157" t="s">
        <v>1031</v>
      </c>
      <c r="D359" s="156">
        <f>F801D!D129*0</f>
        <v>0</v>
      </c>
      <c r="E359" s="156">
        <f>F801D!E129*0</f>
        <v>0</v>
      </c>
      <c r="F359" s="156">
        <f>F801D!F129*0</f>
        <v>0</v>
      </c>
      <c r="G359" s="156">
        <f>F801D!G129*0</f>
        <v>0</v>
      </c>
      <c r="H359" s="156">
        <f>F801D!H129*0</f>
        <v>0</v>
      </c>
      <c r="I359" s="156">
        <f>F801D!I129*0</f>
        <v>0</v>
      </c>
      <c r="J359" s="154">
        <f t="shared" si="86"/>
        <v>0</v>
      </c>
    </row>
    <row r="360" spans="2:10">
      <c r="C360" s="157" t="s">
        <v>1478</v>
      </c>
      <c r="D360" s="156">
        <f>F801D!D130*$D21*(1+D$25)*(1+D$26)</f>
        <v>685591.06880596897</v>
      </c>
      <c r="E360" s="156">
        <f>F801D!E130*$D21*(1+E$25)*(1+E$26)</f>
        <v>660982.69884660654</v>
      </c>
      <c r="F360" s="156">
        <f>F801D!F130*$D21*(1+F$25)*(1+F$26)</f>
        <v>617044.75681890652</v>
      </c>
      <c r="G360" s="156">
        <f>F801D!G130*$D21*(1+G$25)*(1+G$26)</f>
        <v>628177.29292623256</v>
      </c>
      <c r="H360" s="156">
        <f>F801D!H130*$D21*(1+H$25)*(1+H$26)</f>
        <v>625262.39418362337</v>
      </c>
      <c r="I360" s="156">
        <f>F801D!I130*$D21*(1+I$25)*(1+I$26)</f>
        <v>607740.43346748443</v>
      </c>
      <c r="J360" s="154">
        <f t="shared" si="86"/>
        <v>3824798.6450488227</v>
      </c>
    </row>
    <row r="361" spans="2:10">
      <c r="C361" s="157" t="s">
        <v>1478</v>
      </c>
      <c r="D361" s="156">
        <f>F801D!D131*$D22*(1+D$25)*(1+D$26)</f>
        <v>66936.435062163044</v>
      </c>
      <c r="E361" s="156">
        <f>F801D!E131*$D22*(1+E$25)*(1+E$26)</f>
        <v>63006.617585242551</v>
      </c>
      <c r="F361" s="156">
        <f>F801D!F131*$D22*(1+F$25)*(1+F$26)</f>
        <v>75790.578003798437</v>
      </c>
      <c r="G361" s="156">
        <f>F801D!G131*$D22*(1+G$25)*(1+G$26)</f>
        <v>63908.842588142121</v>
      </c>
      <c r="H361" s="156">
        <f>F801D!H131*$D22*(1+H$25)*(1+H$26)</f>
        <v>61498.808934947279</v>
      </c>
      <c r="I361" s="156">
        <f>F801D!I131*$D22*(1+I$25)*(1+I$26)</f>
        <v>69604.521106602537</v>
      </c>
      <c r="J361" s="154">
        <f t="shared" si="86"/>
        <v>400745.80328089604</v>
      </c>
    </row>
    <row r="362" spans="2:10">
      <c r="C362" s="157" t="s">
        <v>1478</v>
      </c>
      <c r="D362" s="156">
        <f>F801D!D132*$D23*(1+D$25)*(1+D$26)</f>
        <v>52506.109671178296</v>
      </c>
      <c r="E362" s="156">
        <f>F801D!E132*$D23*(1+E$25)*(1+E$26)</f>
        <v>53025.056847999374</v>
      </c>
      <c r="F362" s="156">
        <f>F801D!F132*$D23*(1+F$25)*(1+F$26)</f>
        <v>53351.85850607459</v>
      </c>
      <c r="G362" s="156">
        <f>F801D!G132*$D23*(1+G$25)*(1+G$26)</f>
        <v>52150.702645767298</v>
      </c>
      <c r="H362" s="156">
        <f>F801D!H132*$D23*(1+H$25)*(1+H$26)</f>
        <v>52134.74000824034</v>
      </c>
      <c r="I362" s="156">
        <f>F801D!I132*$D23*(1+I$25)*(1+I$26)</f>
        <v>51398.177571924018</v>
      </c>
      <c r="J362" s="154">
        <f t="shared" si="86"/>
        <v>314566.64525118389</v>
      </c>
    </row>
    <row r="363" spans="2:10">
      <c r="C363" s="157" t="s">
        <v>1478</v>
      </c>
      <c r="D363" s="156">
        <f>F801D!D133*$D24*(1+D$25)*(1+D$26)</f>
        <v>380825.02637796279</v>
      </c>
      <c r="E363" s="156">
        <f>F801D!E133*$D24*(1+E$25)*(1+E$26)</f>
        <v>382188.78208678344</v>
      </c>
      <c r="F363" s="156">
        <f>F801D!F133*$D24*(1+F$25)*(1+F$26)</f>
        <v>465366.91702259617</v>
      </c>
      <c r="G363" s="156">
        <f>F801D!G133*$D24*(1+G$25)*(1+G$26)</f>
        <v>467054.80677742627</v>
      </c>
      <c r="H363" s="156">
        <f>F801D!H133*$D24*(1+H$25)*(1+H$26)</f>
        <v>479420.06155064859</v>
      </c>
      <c r="I363" s="156">
        <f>F801D!I133*$D24*(1+I$25)*(1+I$26)</f>
        <v>491893.74888964882</v>
      </c>
      <c r="J363" s="154">
        <f t="shared" si="86"/>
        <v>2666749.3427050659</v>
      </c>
    </row>
    <row r="364" spans="2:10">
      <c r="C364" s="153" t="s">
        <v>443</v>
      </c>
      <c r="D364" s="154">
        <f t="shared" ref="D364:I364" si="91">SUM(D365:D366)</f>
        <v>250407.76551080836</v>
      </c>
      <c r="E364" s="154">
        <f t="shared" si="91"/>
        <v>249561.4962596877</v>
      </c>
      <c r="F364" s="154">
        <f t="shared" si="91"/>
        <v>261114.53970276174</v>
      </c>
      <c r="G364" s="154">
        <f t="shared" si="91"/>
        <v>264961.08503035462</v>
      </c>
      <c r="H364" s="154">
        <f t="shared" si="91"/>
        <v>273727.15828985546</v>
      </c>
      <c r="I364" s="154">
        <f t="shared" si="91"/>
        <v>288305.38584619999</v>
      </c>
      <c r="J364" s="154">
        <f t="shared" si="86"/>
        <v>1588077.4306396679</v>
      </c>
    </row>
    <row r="365" spans="2:10">
      <c r="B365" s="48" t="s">
        <v>874</v>
      </c>
      <c r="C365" s="157" t="s">
        <v>1479</v>
      </c>
      <c r="D365" s="156">
        <f>F801D!D137*$D21*(1+D$25)*(1+D$26)</f>
        <v>6788.6718123680448</v>
      </c>
      <c r="E365" s="156">
        <f>F801D!E137*$D21*(1+E$25)*(1+E$26)</f>
        <v>6318.6046235239628</v>
      </c>
      <c r="F365" s="156">
        <f>F801D!F137*$D21*(1+F$25)*(1+F$26)</f>
        <v>6521.194712799449</v>
      </c>
      <c r="G365" s="156">
        <f>F801D!G137*$D21*(1+G$25)*(1+G$26)</f>
        <v>6535.6826524397502</v>
      </c>
      <c r="H365" s="156">
        <f>F801D!H137*$D21*(1+H$25)*(1+H$26)</f>
        <v>6742.8073777726368</v>
      </c>
      <c r="I365" s="156">
        <f>F801D!I137*$D21*(1+I$25)*(1+I$26)</f>
        <v>6687.0833817297753</v>
      </c>
      <c r="J365" s="154">
        <f t="shared" si="86"/>
        <v>39594.044560633622</v>
      </c>
    </row>
    <row r="366" spans="2:10">
      <c r="B366" s="48" t="s">
        <v>875</v>
      </c>
      <c r="C366" s="335" t="s">
        <v>193</v>
      </c>
      <c r="D366" s="154">
        <f t="shared" ref="D366:I366" si="92">SUM(D367:D372)</f>
        <v>243619.09369844032</v>
      </c>
      <c r="E366" s="154">
        <f t="shared" si="92"/>
        <v>243242.89163616375</v>
      </c>
      <c r="F366" s="154">
        <f t="shared" si="92"/>
        <v>254593.34498996229</v>
      </c>
      <c r="G366" s="154">
        <f t="shared" si="92"/>
        <v>258425.40237791487</v>
      </c>
      <c r="H366" s="154">
        <f t="shared" si="92"/>
        <v>266984.35091208282</v>
      </c>
      <c r="I366" s="154">
        <f t="shared" si="92"/>
        <v>281618.30246447021</v>
      </c>
      <c r="J366" s="154">
        <f t="shared" si="86"/>
        <v>1548483.3860790343</v>
      </c>
    </row>
    <row r="367" spans="2:10">
      <c r="C367" s="157" t="s">
        <v>1032</v>
      </c>
      <c r="D367" s="156">
        <f>F801D!D140*0</f>
        <v>0</v>
      </c>
      <c r="E367" s="156">
        <f>F801D!E140*0</f>
        <v>0</v>
      </c>
      <c r="F367" s="156">
        <f>F801D!F140*0</f>
        <v>0</v>
      </c>
      <c r="G367" s="156">
        <f>F801D!G140*0</f>
        <v>0</v>
      </c>
      <c r="H367" s="156">
        <f>F801D!H140*0</f>
        <v>0</v>
      </c>
      <c r="I367" s="156">
        <f>F801D!I140*0</f>
        <v>0</v>
      </c>
      <c r="J367" s="154">
        <f t="shared" si="86"/>
        <v>0</v>
      </c>
    </row>
    <row r="368" spans="2:10">
      <c r="C368" s="157" t="s">
        <v>1480</v>
      </c>
      <c r="D368" s="156">
        <f>F801D!D141*$D21*(1+D$25)*(1+D$26)</f>
        <v>139625.82935005359</v>
      </c>
      <c r="E368" s="156">
        <f>F801D!E141*$D21*(1+E$25)*(1+E$26)</f>
        <v>138097.48515401909</v>
      </c>
      <c r="F368" s="156">
        <f>F801D!F141*$D21*(1+F$25)*(1+F$26)</f>
        <v>136590.56774625962</v>
      </c>
      <c r="G368" s="156">
        <f>F801D!G141*$D21*(1+G$25)*(1+G$26)</f>
        <v>135705.67040876774</v>
      </c>
      <c r="H368" s="156">
        <f>F801D!H141*$D21*(1+H$25)*(1+H$26)</f>
        <v>135673.60062978021</v>
      </c>
      <c r="I368" s="156">
        <f>F801D!I141*$D21*(1+I$25)*(1+I$26)</f>
        <v>138694.48557536065</v>
      </c>
      <c r="J368" s="154">
        <f t="shared" si="86"/>
        <v>824387.63886424084</v>
      </c>
    </row>
    <row r="369" spans="2:10">
      <c r="C369" s="157" t="s">
        <v>1480</v>
      </c>
      <c r="D369" s="156">
        <f>F801D!D142*$D22*(1+D$25)*(1+D$26)</f>
        <v>4574.9669993388616</v>
      </c>
      <c r="E369" s="156">
        <f>F801D!E142*$D22*(1+E$25)*(1+E$26)</f>
        <v>4775.4451994383271</v>
      </c>
      <c r="F369" s="156">
        <f>F801D!F142*$D22*(1+F$25)*(1+F$26)</f>
        <v>4462.6844687004514</v>
      </c>
      <c r="G369" s="156">
        <f>F801D!G142*$D22*(1+G$25)*(1+G$26)</f>
        <v>4412.944782499435</v>
      </c>
      <c r="H369" s="156">
        <f>F801D!H142*$D22*(1+H$25)*(1+H$26)</f>
        <v>4523.6471542558211</v>
      </c>
      <c r="I369" s="156">
        <f>F801D!I142*$D22*(1+I$25)*(1+I$26)</f>
        <v>4245.4156235344117</v>
      </c>
      <c r="J369" s="154">
        <f t="shared" si="86"/>
        <v>26995.104227767308</v>
      </c>
    </row>
    <row r="370" spans="2:10">
      <c r="C370" s="157" t="s">
        <v>1480</v>
      </c>
      <c r="D370" s="156">
        <f>F801D!D143*$D23*(1+D$25)*(1+D$26)</f>
        <v>36665.878297037569</v>
      </c>
      <c r="E370" s="156">
        <f>F801D!E143*$D23*(1+E$25)*(1+E$26)</f>
        <v>36980.809127610177</v>
      </c>
      <c r="F370" s="156">
        <f>F801D!F143*$D23*(1+F$25)*(1+F$26)</f>
        <v>35934.880305364903</v>
      </c>
      <c r="G370" s="156">
        <f>F801D!G143*$D23*(1+G$25)*(1+G$26)</f>
        <v>35704.227064440493</v>
      </c>
      <c r="H370" s="156">
        <f>F801D!H143*$D23*(1+H$25)*(1+H$26)</f>
        <v>36200.980801034857</v>
      </c>
      <c r="I370" s="156">
        <f>F801D!I143*$D23*(1+I$25)*(1+I$26)</f>
        <v>34823.04180927977</v>
      </c>
      <c r="J370" s="154">
        <f t="shared" si="86"/>
        <v>216309.81740476776</v>
      </c>
    </row>
    <row r="371" spans="2:10">
      <c r="C371" s="157" t="s">
        <v>1480</v>
      </c>
      <c r="D371" s="156">
        <f>F801D!D144*$D24*(1+D$25)*(1+D$26)</f>
        <v>62752.419052010315</v>
      </c>
      <c r="E371" s="156">
        <f>F801D!E144*$D24*(1+E$25)*(1+E$26)</f>
        <v>63389.152155096162</v>
      </c>
      <c r="F371" s="156">
        <f>F801D!F144*$D24*(1+F$25)*(1+F$26)</f>
        <v>77605.212469637307</v>
      </c>
      <c r="G371" s="156">
        <f>F801D!G144*$D24*(1+G$25)*(1+G$26)</f>
        <v>82602.560122207229</v>
      </c>
      <c r="H371" s="156">
        <f>F801D!H144*$D24*(1+H$25)*(1+H$26)</f>
        <v>90586.122327011952</v>
      </c>
      <c r="I371" s="156">
        <f>F801D!I144*$D24*(1+I$25)*(1+I$26)</f>
        <v>103855.35945629537</v>
      </c>
      <c r="J371" s="154">
        <f t="shared" si="86"/>
        <v>480790.82558225835</v>
      </c>
    </row>
    <row r="372" spans="2:10">
      <c r="C372" s="157"/>
      <c r="D372" s="156"/>
      <c r="E372" s="156"/>
      <c r="F372" s="156"/>
      <c r="G372" s="156"/>
      <c r="H372" s="156"/>
      <c r="I372" s="156"/>
      <c r="J372" s="154">
        <f t="shared" si="86"/>
        <v>0</v>
      </c>
    </row>
    <row r="373" spans="2:10">
      <c r="C373" s="153" t="s">
        <v>112</v>
      </c>
      <c r="D373" s="154">
        <f t="shared" ref="D373:I373" si="93">D346+D352+D364</f>
        <v>1809697.1422421122</v>
      </c>
      <c r="E373" s="154">
        <f t="shared" si="93"/>
        <v>1770418.3422790619</v>
      </c>
      <c r="F373" s="154">
        <f t="shared" si="93"/>
        <v>1856148.5333242582</v>
      </c>
      <c r="G373" s="154">
        <f t="shared" si="93"/>
        <v>1880847.0891494218</v>
      </c>
      <c r="H373" s="154">
        <f t="shared" si="93"/>
        <v>1878207.180388127</v>
      </c>
      <c r="I373" s="154">
        <f t="shared" si="93"/>
        <v>1917624.8032200541</v>
      </c>
      <c r="J373" s="154">
        <f t="shared" si="86"/>
        <v>11112943.090603035</v>
      </c>
    </row>
    <row r="374" spans="2:10">
      <c r="C374" s="164"/>
      <c r="D374" s="164"/>
      <c r="E374" s="164"/>
      <c r="F374" s="164"/>
      <c r="G374" s="164"/>
      <c r="H374" s="164"/>
      <c r="I374" s="164"/>
      <c r="J374" s="164"/>
    </row>
    <row r="375" spans="2:10">
      <c r="C375" s="153" t="s">
        <v>111</v>
      </c>
      <c r="D375" s="154">
        <f t="shared" ref="D375:J375" si="94">D121+D216+D311+D342+D373</f>
        <v>11852428.740510765</v>
      </c>
      <c r="E375" s="154">
        <f t="shared" si="94"/>
        <v>11817341.202897847</v>
      </c>
      <c r="F375" s="154">
        <f t="shared" si="94"/>
        <v>11739130.56481036</v>
      </c>
      <c r="G375" s="154">
        <f t="shared" si="94"/>
        <v>11893330.546219258</v>
      </c>
      <c r="H375" s="154">
        <f t="shared" si="94"/>
        <v>11481941.022032386</v>
      </c>
      <c r="I375" s="154">
        <f t="shared" si="94"/>
        <v>11541154.000063259</v>
      </c>
      <c r="J375" s="154">
        <f t="shared" si="94"/>
        <v>70325326.076533884</v>
      </c>
    </row>
    <row r="376" spans="2:10">
      <c r="D376" s="336"/>
      <c r="E376" s="336"/>
      <c r="F376" s="336"/>
      <c r="G376" s="336"/>
      <c r="H376" s="336"/>
      <c r="I376" s="336"/>
    </row>
    <row r="377" spans="2:10">
      <c r="C377" s="52" t="str">
        <f>'PORTADA PORTADA PORTADA'!$B$23</f>
        <v>1 DE JULIO DE 2026</v>
      </c>
    </row>
    <row r="381" spans="2:10">
      <c r="B381" s="48" t="s">
        <v>902</v>
      </c>
      <c r="D381" s="64">
        <f t="shared" ref="D381:J390" si="95">SUMIF($B$29:$B$375,$B381,D$29:D$375)</f>
        <v>510176.41132956656</v>
      </c>
      <c r="E381" s="64">
        <f t="shared" si="95"/>
        <v>510389.32984738966</v>
      </c>
      <c r="F381" s="64">
        <f t="shared" si="95"/>
        <v>500749.45078981481</v>
      </c>
      <c r="G381" s="64">
        <f t="shared" si="95"/>
        <v>508639.78850500035</v>
      </c>
      <c r="H381" s="64">
        <f t="shared" si="95"/>
        <v>486600.543351862</v>
      </c>
      <c r="I381" s="64">
        <f t="shared" si="95"/>
        <v>488880.69025006681</v>
      </c>
      <c r="J381" s="64">
        <f t="shared" si="95"/>
        <v>3005436.2140737004</v>
      </c>
    </row>
    <row r="382" spans="2:10">
      <c r="B382" s="48" t="s">
        <v>751</v>
      </c>
      <c r="D382" s="64">
        <f t="shared" si="95"/>
        <v>1402722.5374088949</v>
      </c>
      <c r="E382" s="64">
        <f t="shared" si="95"/>
        <v>1403307.9679726586</v>
      </c>
      <c r="F382" s="64">
        <f t="shared" si="95"/>
        <v>1376802.617996576</v>
      </c>
      <c r="G382" s="64">
        <f t="shared" si="95"/>
        <v>1398497.5128517291</v>
      </c>
      <c r="H382" s="64">
        <f t="shared" si="95"/>
        <v>1337899.4594421692</v>
      </c>
      <c r="I382" s="64">
        <f t="shared" si="95"/>
        <v>1344168.8421982019</v>
      </c>
      <c r="J382" s="64">
        <f t="shared" si="95"/>
        <v>8263398.9378702305</v>
      </c>
    </row>
    <row r="383" spans="2:10">
      <c r="B383" s="48" t="s">
        <v>750</v>
      </c>
      <c r="D383" s="64">
        <f t="shared" si="95"/>
        <v>1536934.7650883135</v>
      </c>
      <c r="E383" s="64">
        <f t="shared" si="95"/>
        <v>1537576.1939448945</v>
      </c>
      <c r="F383" s="64">
        <f t="shared" si="95"/>
        <v>1508535.5230596564</v>
      </c>
      <c r="G383" s="64">
        <f t="shared" si="95"/>
        <v>1532305.6035131062</v>
      </c>
      <c r="H383" s="64">
        <f t="shared" si="95"/>
        <v>1465911.1538287573</v>
      </c>
      <c r="I383" s="64">
        <f t="shared" si="95"/>
        <v>1472780.2229576623</v>
      </c>
      <c r="J383" s="64">
        <f t="shared" si="95"/>
        <v>9054043.4623923898</v>
      </c>
    </row>
    <row r="384" spans="2:10">
      <c r="B384" s="48" t="s">
        <v>749</v>
      </c>
      <c r="D384" s="64">
        <f t="shared" si="95"/>
        <v>1840246.160168373</v>
      </c>
      <c r="E384" s="64">
        <f t="shared" si="95"/>
        <v>1841014.173890983</v>
      </c>
      <c r="F384" s="64">
        <f t="shared" si="95"/>
        <v>1806242.3772609537</v>
      </c>
      <c r="G384" s="64">
        <f t="shared" si="95"/>
        <v>1834703.441630749</v>
      </c>
      <c r="H384" s="64">
        <f t="shared" si="95"/>
        <v>1755206.1631102161</v>
      </c>
      <c r="I384" s="64">
        <f t="shared" si="95"/>
        <v>1763430.8310502844</v>
      </c>
      <c r="J384" s="64">
        <f t="shared" si="95"/>
        <v>10840843.147111559</v>
      </c>
    </row>
    <row r="385" spans="2:10">
      <c r="B385" s="48" t="s">
        <v>1176</v>
      </c>
      <c r="D385" s="64">
        <f t="shared" si="95"/>
        <v>34.1</v>
      </c>
      <c r="E385" s="64">
        <f t="shared" si="95"/>
        <v>34.1</v>
      </c>
      <c r="F385" s="64">
        <f t="shared" si="95"/>
        <v>34.1</v>
      </c>
      <c r="G385" s="64">
        <f t="shared" si="95"/>
        <v>34.1</v>
      </c>
      <c r="H385" s="64">
        <f t="shared" si="95"/>
        <v>34.1</v>
      </c>
      <c r="I385" s="64">
        <f t="shared" si="95"/>
        <v>34.1</v>
      </c>
      <c r="J385" s="64">
        <f t="shared" si="95"/>
        <v>204.60000000000002</v>
      </c>
    </row>
    <row r="386" spans="2:10">
      <c r="B386" s="48" t="s">
        <v>274</v>
      </c>
      <c r="D386" s="64">
        <f t="shared" si="95"/>
        <v>3055530.2958194748</v>
      </c>
      <c r="E386" s="64">
        <f t="shared" si="95"/>
        <v>3056805.4997828533</v>
      </c>
      <c r="F386" s="64">
        <f t="shared" si="95"/>
        <v>3011747.0438904432</v>
      </c>
      <c r="G386" s="64">
        <f t="shared" si="95"/>
        <v>3046327.2094175117</v>
      </c>
      <c r="H386" s="64">
        <f t="shared" si="95"/>
        <v>2926648.7375751352</v>
      </c>
      <c r="I386" s="64">
        <f t="shared" si="95"/>
        <v>2927986.7256254801</v>
      </c>
      <c r="J386" s="64">
        <f t="shared" si="95"/>
        <v>18025045.512110896</v>
      </c>
    </row>
    <row r="387" spans="2:10">
      <c r="B387" s="48" t="s">
        <v>275</v>
      </c>
      <c r="D387" s="64">
        <f t="shared" si="95"/>
        <v>125723.16391819305</v>
      </c>
      <c r="E387" s="64">
        <f t="shared" si="95"/>
        <v>125775.63359166884</v>
      </c>
      <c r="F387" s="64">
        <f t="shared" si="95"/>
        <v>124108.85335799876</v>
      </c>
      <c r="G387" s="64">
        <f t="shared" si="95"/>
        <v>125344.49277824382</v>
      </c>
      <c r="H387" s="64">
        <f t="shared" si="95"/>
        <v>120602.10027894273</v>
      </c>
      <c r="I387" s="64">
        <f t="shared" si="95"/>
        <v>120475.2430567471</v>
      </c>
      <c r="J387" s="64">
        <f t="shared" si="95"/>
        <v>742029.48698179424</v>
      </c>
    </row>
    <row r="388" spans="2:10">
      <c r="B388" s="48" t="s">
        <v>276</v>
      </c>
      <c r="D388" s="64">
        <f t="shared" si="95"/>
        <v>1012097.2545057619</v>
      </c>
      <c r="E388" s="64">
        <f t="shared" si="95"/>
        <v>1012519.6461384145</v>
      </c>
      <c r="F388" s="64">
        <f t="shared" si="95"/>
        <v>998483.02656213578</v>
      </c>
      <c r="G388" s="64">
        <f t="shared" si="95"/>
        <v>1009048.8741662999</v>
      </c>
      <c r="H388" s="64">
        <f t="shared" si="95"/>
        <v>970270.4266303496</v>
      </c>
      <c r="I388" s="64">
        <f t="shared" si="95"/>
        <v>969850.41525831004</v>
      </c>
      <c r="J388" s="64">
        <f t="shared" si="95"/>
        <v>5972269.6432612725</v>
      </c>
    </row>
    <row r="389" spans="2:10">
      <c r="B389" s="48" t="s">
        <v>277</v>
      </c>
      <c r="D389" s="64">
        <f t="shared" si="95"/>
        <v>138770.28866417255</v>
      </c>
      <c r="E389" s="64">
        <f t="shared" si="95"/>
        <v>138828.20346290513</v>
      </c>
      <c r="F389" s="64">
        <f t="shared" si="95"/>
        <v>137040.70401316794</v>
      </c>
      <c r="G389" s="64">
        <f t="shared" si="95"/>
        <v>138352.32031401442</v>
      </c>
      <c r="H389" s="64">
        <f t="shared" si="95"/>
        <v>133168.55551004739</v>
      </c>
      <c r="I389" s="64">
        <f t="shared" si="95"/>
        <v>132977.75632459944</v>
      </c>
      <c r="J389" s="64">
        <f t="shared" si="95"/>
        <v>819137.82828890695</v>
      </c>
    </row>
    <row r="390" spans="2:10">
      <c r="B390" s="48" t="s">
        <v>278</v>
      </c>
      <c r="D390" s="64">
        <f t="shared" si="95"/>
        <v>12.599999999999998</v>
      </c>
      <c r="E390" s="64">
        <f t="shared" si="95"/>
        <v>12.599999999999998</v>
      </c>
      <c r="F390" s="64">
        <f t="shared" si="95"/>
        <v>12.599999999999998</v>
      </c>
      <c r="G390" s="64">
        <f t="shared" si="95"/>
        <v>12.599999999999998</v>
      </c>
      <c r="H390" s="64">
        <f t="shared" si="95"/>
        <v>12.599999999999998</v>
      </c>
      <c r="I390" s="64">
        <f t="shared" si="95"/>
        <v>12.599999999999998</v>
      </c>
      <c r="J390" s="64">
        <f t="shared" si="95"/>
        <v>75.599999999999994</v>
      </c>
    </row>
    <row r="391" spans="2:10">
      <c r="B391" s="48" t="s">
        <v>279</v>
      </c>
      <c r="D391" s="64">
        <f t="shared" ref="D391:J398" si="96">SUMIF($B$29:$B$375,$B391,D$29:D$375)</f>
        <v>420484.02136590367</v>
      </c>
      <c r="E391" s="64">
        <f t="shared" si="96"/>
        <v>420659.51198701916</v>
      </c>
      <c r="F391" s="64">
        <f t="shared" si="96"/>
        <v>419225.73455535655</v>
      </c>
      <c r="G391" s="64">
        <f t="shared" si="96"/>
        <v>419217.5138931846</v>
      </c>
      <c r="H391" s="64">
        <f t="shared" si="96"/>
        <v>407380.00191677816</v>
      </c>
      <c r="I391" s="64">
        <f t="shared" si="96"/>
        <v>402931.77012185351</v>
      </c>
      <c r="J391" s="64">
        <f t="shared" si="96"/>
        <v>2489898.5538400956</v>
      </c>
    </row>
    <row r="392" spans="2:10">
      <c r="B392" s="48" t="s">
        <v>875</v>
      </c>
      <c r="D392" s="64">
        <f t="shared" si="96"/>
        <v>243619.09369844032</v>
      </c>
      <c r="E392" s="64">
        <f t="shared" si="96"/>
        <v>243242.89163616375</v>
      </c>
      <c r="F392" s="64">
        <f t="shared" si="96"/>
        <v>254593.34498996229</v>
      </c>
      <c r="G392" s="64">
        <f t="shared" si="96"/>
        <v>258425.40237791487</v>
      </c>
      <c r="H392" s="64">
        <f t="shared" si="96"/>
        <v>266984.35091208282</v>
      </c>
      <c r="I392" s="64">
        <f t="shared" si="96"/>
        <v>281618.30246447021</v>
      </c>
      <c r="J392" s="64">
        <f t="shared" si="96"/>
        <v>1548483.3860790343</v>
      </c>
    </row>
    <row r="393" spans="2:10">
      <c r="B393" s="48" t="s">
        <v>874</v>
      </c>
      <c r="D393" s="64">
        <f t="shared" si="96"/>
        <v>6788.6718123680448</v>
      </c>
      <c r="E393" s="64">
        <f t="shared" si="96"/>
        <v>6318.6046235239628</v>
      </c>
      <c r="F393" s="64">
        <f t="shared" si="96"/>
        <v>6521.194712799449</v>
      </c>
      <c r="G393" s="64">
        <f t="shared" si="96"/>
        <v>6535.6826524397502</v>
      </c>
      <c r="H393" s="64">
        <f t="shared" si="96"/>
        <v>6742.8073777726368</v>
      </c>
      <c r="I393" s="64">
        <f t="shared" si="96"/>
        <v>6687.0833817297753</v>
      </c>
      <c r="J393" s="64">
        <f t="shared" si="96"/>
        <v>39594.044560633622</v>
      </c>
    </row>
    <row r="394" spans="2:10">
      <c r="B394" s="48" t="s">
        <v>873</v>
      </c>
      <c r="D394" s="64">
        <f t="shared" si="96"/>
        <v>1185858.6399172731</v>
      </c>
      <c r="E394" s="64">
        <f t="shared" si="96"/>
        <v>1159203.1553666317</v>
      </c>
      <c r="F394" s="64">
        <f t="shared" si="96"/>
        <v>1211554.1103513758</v>
      </c>
      <c r="G394" s="64">
        <f t="shared" si="96"/>
        <v>1211291.6449375683</v>
      </c>
      <c r="H394" s="64">
        <f t="shared" si="96"/>
        <v>1218316.0046774596</v>
      </c>
      <c r="I394" s="64">
        <f t="shared" si="96"/>
        <v>1220636.8810356599</v>
      </c>
      <c r="J394" s="64">
        <f t="shared" si="96"/>
        <v>7206860.4362859689</v>
      </c>
    </row>
    <row r="395" spans="2:10">
      <c r="B395" s="48" t="s">
        <v>872</v>
      </c>
      <c r="D395" s="64">
        <f t="shared" si="96"/>
        <v>282318.73116336693</v>
      </c>
      <c r="E395" s="64">
        <f t="shared" si="96"/>
        <v>274763.83360686118</v>
      </c>
      <c r="F395" s="64">
        <f t="shared" si="96"/>
        <v>286983.17569971236</v>
      </c>
      <c r="G395" s="64">
        <f t="shared" si="96"/>
        <v>290464.15505490254</v>
      </c>
      <c r="H395" s="64">
        <f t="shared" si="96"/>
        <v>280490.44934613584</v>
      </c>
      <c r="I395" s="64">
        <f t="shared" si="96"/>
        <v>290800.51617117017</v>
      </c>
      <c r="J395" s="64">
        <f t="shared" si="96"/>
        <v>1705820.8610421491</v>
      </c>
    </row>
    <row r="396" spans="2:10">
      <c r="B396" s="48" t="s">
        <v>871</v>
      </c>
      <c r="D396" s="64">
        <f t="shared" si="96"/>
        <v>91112.005650663661</v>
      </c>
      <c r="E396" s="64">
        <f t="shared" si="96"/>
        <v>86889.857045881348</v>
      </c>
      <c r="F396" s="64">
        <f t="shared" si="96"/>
        <v>96496.7075704085</v>
      </c>
      <c r="G396" s="64">
        <f t="shared" si="96"/>
        <v>114130.20412659615</v>
      </c>
      <c r="H396" s="64">
        <f t="shared" si="96"/>
        <v>105673.56807467602</v>
      </c>
      <c r="I396" s="64">
        <f t="shared" si="96"/>
        <v>117882.02016702399</v>
      </c>
      <c r="J396" s="64">
        <f t="shared" si="96"/>
        <v>612184.36263524974</v>
      </c>
    </row>
    <row r="397" spans="2:10">
      <c r="B397" s="48" t="s">
        <v>870</v>
      </c>
      <c r="D397" s="64">
        <f t="shared" si="96"/>
        <v>0</v>
      </c>
      <c r="E397" s="64">
        <f t="shared" si="96"/>
        <v>0</v>
      </c>
      <c r="F397" s="64">
        <f t="shared" si="96"/>
        <v>0</v>
      </c>
      <c r="G397" s="64">
        <f t="shared" si="96"/>
        <v>0</v>
      </c>
      <c r="H397" s="64">
        <f t="shared" si="96"/>
        <v>0</v>
      </c>
      <c r="I397" s="64">
        <f t="shared" si="96"/>
        <v>0</v>
      </c>
      <c r="J397" s="64">
        <f t="shared" si="96"/>
        <v>0</v>
      </c>
    </row>
    <row r="398" spans="2:10">
      <c r="B398" s="48" t="s">
        <v>890</v>
      </c>
      <c r="D398" s="64">
        <f t="shared" si="96"/>
        <v>0</v>
      </c>
      <c r="E398" s="64">
        <f t="shared" si="96"/>
        <v>0</v>
      </c>
      <c r="F398" s="64">
        <f t="shared" si="96"/>
        <v>0</v>
      </c>
      <c r="G398" s="64">
        <f t="shared" si="96"/>
        <v>0</v>
      </c>
      <c r="H398" s="64">
        <f t="shared" si="96"/>
        <v>0</v>
      </c>
      <c r="I398" s="64">
        <f t="shared" si="96"/>
        <v>0</v>
      </c>
      <c r="J398" s="64">
        <f t="shared" si="96"/>
        <v>0</v>
      </c>
    </row>
    <row r="399" spans="2:10">
      <c r="B399" s="48" t="s">
        <v>111</v>
      </c>
      <c r="D399" s="65">
        <f t="shared" ref="D399:J399" si="97">SUM(D381:D398)</f>
        <v>11852428.740510765</v>
      </c>
      <c r="E399" s="65">
        <f t="shared" si="97"/>
        <v>11817341.202897847</v>
      </c>
      <c r="F399" s="65">
        <f t="shared" si="97"/>
        <v>11739130.564810362</v>
      </c>
      <c r="G399" s="65">
        <f t="shared" si="97"/>
        <v>11893330.546219261</v>
      </c>
      <c r="H399" s="65">
        <f t="shared" si="97"/>
        <v>11481941.022032384</v>
      </c>
      <c r="I399" s="65">
        <f t="shared" si="97"/>
        <v>11541154.000063257</v>
      </c>
      <c r="J399" s="65">
        <f t="shared" si="97"/>
        <v>70325326.076533869</v>
      </c>
    </row>
    <row r="400" spans="2:10" ht="17.25" customHeight="1">
      <c r="D400" s="66">
        <f t="shared" ref="D400:J400" si="98">D399-D375</f>
        <v>0</v>
      </c>
      <c r="E400" s="66">
        <f t="shared" si="98"/>
        <v>0</v>
      </c>
      <c r="F400" s="66">
        <f t="shared" si="98"/>
        <v>0</v>
      </c>
      <c r="G400" s="66">
        <f t="shared" si="98"/>
        <v>0</v>
      </c>
      <c r="H400" s="66">
        <f t="shared" si="98"/>
        <v>0</v>
      </c>
      <c r="I400" s="66">
        <f t="shared" si="98"/>
        <v>0</v>
      </c>
      <c r="J400" s="66">
        <f t="shared" si="98"/>
        <v>0</v>
      </c>
    </row>
    <row r="402" spans="2:10">
      <c r="B402" s="48" t="s">
        <v>902</v>
      </c>
      <c r="D402" s="64">
        <f t="shared" ref="D402:J417" si="99">D381-D422</f>
        <v>510176.41132956656</v>
      </c>
      <c r="E402" s="64">
        <f t="shared" si="99"/>
        <v>510389.32984738966</v>
      </c>
      <c r="F402" s="64">
        <f t="shared" si="99"/>
        <v>500749.45078981481</v>
      </c>
      <c r="G402" s="64">
        <f t="shared" si="99"/>
        <v>508639.78850500035</v>
      </c>
      <c r="H402" s="64">
        <f t="shared" si="99"/>
        <v>486600.543351862</v>
      </c>
      <c r="I402" s="64">
        <f t="shared" si="99"/>
        <v>488880.69025006681</v>
      </c>
      <c r="J402" s="64">
        <f t="shared" si="99"/>
        <v>3005436.2140737004</v>
      </c>
    </row>
    <row r="403" spans="2:10">
      <c r="B403" s="48" t="s">
        <v>751</v>
      </c>
      <c r="D403" s="64">
        <f t="shared" si="99"/>
        <v>1402722.5374088949</v>
      </c>
      <c r="E403" s="64">
        <f t="shared" si="99"/>
        <v>1403307.9679726586</v>
      </c>
      <c r="F403" s="64">
        <f t="shared" si="99"/>
        <v>1376802.617996576</v>
      </c>
      <c r="G403" s="64">
        <f t="shared" si="99"/>
        <v>1398497.5128517291</v>
      </c>
      <c r="H403" s="64">
        <f t="shared" si="99"/>
        <v>1337899.4594421692</v>
      </c>
      <c r="I403" s="64">
        <f t="shared" si="99"/>
        <v>1344168.8421982019</v>
      </c>
      <c r="J403" s="64">
        <f t="shared" si="99"/>
        <v>8263398.9378702305</v>
      </c>
    </row>
    <row r="404" spans="2:10">
      <c r="B404" s="48" t="s">
        <v>750</v>
      </c>
      <c r="D404" s="64">
        <f t="shared" si="99"/>
        <v>1536934.7650883135</v>
      </c>
      <c r="E404" s="64">
        <f t="shared" si="99"/>
        <v>1537576.1939448945</v>
      </c>
      <c r="F404" s="64">
        <f t="shared" si="99"/>
        <v>1508535.5230596564</v>
      </c>
      <c r="G404" s="64">
        <f t="shared" si="99"/>
        <v>1532305.6035131062</v>
      </c>
      <c r="H404" s="64">
        <f t="shared" si="99"/>
        <v>1465911.1538287573</v>
      </c>
      <c r="I404" s="64">
        <f t="shared" si="99"/>
        <v>1472780.2229576623</v>
      </c>
      <c r="J404" s="64">
        <f t="shared" si="99"/>
        <v>9054043.4623923898</v>
      </c>
    </row>
    <row r="405" spans="2:10">
      <c r="B405" s="48" t="s">
        <v>749</v>
      </c>
      <c r="D405" s="64">
        <f t="shared" si="99"/>
        <v>1840246.160168373</v>
      </c>
      <c r="E405" s="64">
        <f t="shared" si="99"/>
        <v>1841014.173890983</v>
      </c>
      <c r="F405" s="64">
        <f t="shared" si="99"/>
        <v>1806242.3772609537</v>
      </c>
      <c r="G405" s="64">
        <f t="shared" si="99"/>
        <v>1834703.441630749</v>
      </c>
      <c r="H405" s="64">
        <f t="shared" si="99"/>
        <v>1755206.1631102161</v>
      </c>
      <c r="I405" s="64">
        <f t="shared" si="99"/>
        <v>1763430.8310502844</v>
      </c>
      <c r="J405" s="64">
        <f t="shared" si="99"/>
        <v>10840843.147111559</v>
      </c>
    </row>
    <row r="406" spans="2:10">
      <c r="B406" s="48" t="s">
        <v>1176</v>
      </c>
      <c r="D406" s="64">
        <f t="shared" si="99"/>
        <v>34.1</v>
      </c>
      <c r="E406" s="64">
        <f t="shared" si="99"/>
        <v>34.1</v>
      </c>
      <c r="F406" s="64">
        <f t="shared" si="99"/>
        <v>34.1</v>
      </c>
      <c r="G406" s="64">
        <f t="shared" si="99"/>
        <v>34.1</v>
      </c>
      <c r="H406" s="64">
        <f t="shared" si="99"/>
        <v>34.1</v>
      </c>
      <c r="I406" s="64">
        <f t="shared" si="99"/>
        <v>34.1</v>
      </c>
      <c r="J406" s="64">
        <f t="shared" si="99"/>
        <v>204.60000000000002</v>
      </c>
    </row>
    <row r="407" spans="2:10">
      <c r="B407" s="48" t="s">
        <v>274</v>
      </c>
      <c r="D407" s="64">
        <f t="shared" si="99"/>
        <v>3055530.2958194748</v>
      </c>
      <c r="E407" s="64">
        <f t="shared" si="99"/>
        <v>3056805.4997828533</v>
      </c>
      <c r="F407" s="64">
        <f t="shared" si="99"/>
        <v>3011747.0438904432</v>
      </c>
      <c r="G407" s="64">
        <f t="shared" si="99"/>
        <v>3046327.2094175117</v>
      </c>
      <c r="H407" s="64">
        <f t="shared" si="99"/>
        <v>2926648.7375751352</v>
      </c>
      <c r="I407" s="64">
        <f t="shared" si="99"/>
        <v>2927986.7256254801</v>
      </c>
      <c r="J407" s="64">
        <f t="shared" si="99"/>
        <v>18025045.512110896</v>
      </c>
    </row>
    <row r="408" spans="2:10">
      <c r="B408" s="48" t="s">
        <v>275</v>
      </c>
      <c r="D408" s="64">
        <f t="shared" si="99"/>
        <v>125723.16391819305</v>
      </c>
      <c r="E408" s="64">
        <f t="shared" si="99"/>
        <v>125775.63359166884</v>
      </c>
      <c r="F408" s="64">
        <f t="shared" si="99"/>
        <v>124108.85335799876</v>
      </c>
      <c r="G408" s="64">
        <f t="shared" si="99"/>
        <v>125344.49277824382</v>
      </c>
      <c r="H408" s="64">
        <f t="shared" si="99"/>
        <v>120602.10027894273</v>
      </c>
      <c r="I408" s="64">
        <f t="shared" si="99"/>
        <v>120475.2430567471</v>
      </c>
      <c r="J408" s="64">
        <f t="shared" si="99"/>
        <v>742029.48698179424</v>
      </c>
    </row>
    <row r="409" spans="2:10">
      <c r="B409" s="48" t="s">
        <v>276</v>
      </c>
      <c r="D409" s="64">
        <f t="shared" si="99"/>
        <v>1012097.2545057619</v>
      </c>
      <c r="E409" s="64">
        <f t="shared" si="99"/>
        <v>1012519.6461384145</v>
      </c>
      <c r="F409" s="64">
        <f t="shared" si="99"/>
        <v>998483.02656213578</v>
      </c>
      <c r="G409" s="64">
        <f t="shared" si="99"/>
        <v>1009048.8741662999</v>
      </c>
      <c r="H409" s="64">
        <f t="shared" si="99"/>
        <v>970270.4266303496</v>
      </c>
      <c r="I409" s="64">
        <f t="shared" si="99"/>
        <v>969850.41525831004</v>
      </c>
      <c r="J409" s="64">
        <f t="shared" si="99"/>
        <v>5972269.6432612725</v>
      </c>
    </row>
    <row r="410" spans="2:10">
      <c r="B410" s="48" t="s">
        <v>277</v>
      </c>
      <c r="D410" s="64">
        <f t="shared" si="99"/>
        <v>138770.28866417255</v>
      </c>
      <c r="E410" s="64">
        <f t="shared" si="99"/>
        <v>138828.20346290513</v>
      </c>
      <c r="F410" s="64">
        <f t="shared" si="99"/>
        <v>137040.70401316794</v>
      </c>
      <c r="G410" s="64">
        <f t="shared" si="99"/>
        <v>138352.32031401442</v>
      </c>
      <c r="H410" s="64">
        <f t="shared" si="99"/>
        <v>133168.55551004739</v>
      </c>
      <c r="I410" s="64">
        <f t="shared" si="99"/>
        <v>132977.75632459944</v>
      </c>
      <c r="J410" s="64">
        <f t="shared" si="99"/>
        <v>819137.82828890695</v>
      </c>
    </row>
    <row r="411" spans="2:10">
      <c r="B411" s="48" t="s">
        <v>278</v>
      </c>
      <c r="D411" s="64">
        <f t="shared" si="99"/>
        <v>12.599999999999998</v>
      </c>
      <c r="E411" s="64">
        <f t="shared" si="99"/>
        <v>12.599999999999998</v>
      </c>
      <c r="F411" s="64">
        <f t="shared" si="99"/>
        <v>12.599999999999998</v>
      </c>
      <c r="G411" s="64">
        <f t="shared" si="99"/>
        <v>12.599999999999998</v>
      </c>
      <c r="H411" s="64">
        <f t="shared" si="99"/>
        <v>12.599999999999998</v>
      </c>
      <c r="I411" s="64">
        <f t="shared" si="99"/>
        <v>12.599999999999998</v>
      </c>
      <c r="J411" s="64">
        <f t="shared" si="99"/>
        <v>75.599999999999994</v>
      </c>
    </row>
    <row r="412" spans="2:10">
      <c r="B412" s="48" t="s">
        <v>279</v>
      </c>
      <c r="D412" s="64">
        <f t="shared" si="99"/>
        <v>420484.02136590367</v>
      </c>
      <c r="E412" s="64">
        <f t="shared" si="99"/>
        <v>420659.51198701916</v>
      </c>
      <c r="F412" s="64">
        <f t="shared" si="99"/>
        <v>419225.73455535655</v>
      </c>
      <c r="G412" s="64">
        <f t="shared" si="99"/>
        <v>419217.5138931846</v>
      </c>
      <c r="H412" s="64">
        <f t="shared" si="99"/>
        <v>407380.00191677816</v>
      </c>
      <c r="I412" s="64">
        <f t="shared" si="99"/>
        <v>402931.77012185351</v>
      </c>
      <c r="J412" s="64">
        <f t="shared" si="99"/>
        <v>2489898.5538400956</v>
      </c>
    </row>
    <row r="413" spans="2:10">
      <c r="B413" s="48" t="s">
        <v>875</v>
      </c>
      <c r="D413" s="64">
        <f t="shared" si="99"/>
        <v>243619.09369844032</v>
      </c>
      <c r="E413" s="64">
        <f t="shared" si="99"/>
        <v>243242.89163616375</v>
      </c>
      <c r="F413" s="64">
        <f t="shared" si="99"/>
        <v>254593.34498996229</v>
      </c>
      <c r="G413" s="64">
        <f t="shared" si="99"/>
        <v>258425.40237791487</v>
      </c>
      <c r="H413" s="64">
        <f t="shared" si="99"/>
        <v>266984.35091208282</v>
      </c>
      <c r="I413" s="64">
        <f t="shared" si="99"/>
        <v>281618.30246447021</v>
      </c>
      <c r="J413" s="64">
        <f t="shared" si="99"/>
        <v>1548483.3860790343</v>
      </c>
    </row>
    <row r="414" spans="2:10">
      <c r="B414" s="48" t="s">
        <v>874</v>
      </c>
      <c r="D414" s="64">
        <f t="shared" si="99"/>
        <v>6788.6718123680448</v>
      </c>
      <c r="E414" s="64">
        <f t="shared" si="99"/>
        <v>6318.6046235239628</v>
      </c>
      <c r="F414" s="64">
        <f t="shared" si="99"/>
        <v>6521.194712799449</v>
      </c>
      <c r="G414" s="64">
        <f t="shared" si="99"/>
        <v>6535.6826524397502</v>
      </c>
      <c r="H414" s="64">
        <f t="shared" si="99"/>
        <v>6742.8073777726368</v>
      </c>
      <c r="I414" s="64">
        <f t="shared" si="99"/>
        <v>6687.0833817297753</v>
      </c>
      <c r="J414" s="64">
        <f t="shared" si="99"/>
        <v>39594.044560633622</v>
      </c>
    </row>
    <row r="415" spans="2:10">
      <c r="B415" s="48" t="s">
        <v>873</v>
      </c>
      <c r="D415" s="64">
        <f t="shared" si="99"/>
        <v>1185858.6399172731</v>
      </c>
      <c r="E415" s="64">
        <f t="shared" si="99"/>
        <v>1159203.1553666317</v>
      </c>
      <c r="F415" s="64">
        <f t="shared" si="99"/>
        <v>1211554.1103513758</v>
      </c>
      <c r="G415" s="64">
        <f t="shared" si="99"/>
        <v>1211291.6449375683</v>
      </c>
      <c r="H415" s="64">
        <f t="shared" si="99"/>
        <v>1218316.0046774596</v>
      </c>
      <c r="I415" s="64">
        <f t="shared" si="99"/>
        <v>1220636.8810356599</v>
      </c>
      <c r="J415" s="64">
        <f t="shared" si="99"/>
        <v>7206860.4362859689</v>
      </c>
    </row>
    <row r="416" spans="2:10">
      <c r="B416" s="48" t="s">
        <v>872</v>
      </c>
      <c r="D416" s="64">
        <f t="shared" si="99"/>
        <v>282318.73116336693</v>
      </c>
      <c r="E416" s="64">
        <f t="shared" si="99"/>
        <v>274763.83360686118</v>
      </c>
      <c r="F416" s="64">
        <f t="shared" si="99"/>
        <v>286983.17569971236</v>
      </c>
      <c r="G416" s="64">
        <f t="shared" si="99"/>
        <v>290464.15505490254</v>
      </c>
      <c r="H416" s="64">
        <f t="shared" si="99"/>
        <v>280490.44934613584</v>
      </c>
      <c r="I416" s="64">
        <f t="shared" si="99"/>
        <v>290800.51617117017</v>
      </c>
      <c r="J416" s="64">
        <f t="shared" si="99"/>
        <v>1705820.8610421491</v>
      </c>
    </row>
    <row r="417" spans="2:10">
      <c r="B417" s="48" t="s">
        <v>871</v>
      </c>
      <c r="D417" s="64">
        <f t="shared" si="99"/>
        <v>91112.005650663661</v>
      </c>
      <c r="E417" s="64">
        <f t="shared" si="99"/>
        <v>86889.857045881348</v>
      </c>
      <c r="F417" s="64">
        <f t="shared" si="99"/>
        <v>96496.7075704085</v>
      </c>
      <c r="G417" s="64">
        <f t="shared" si="99"/>
        <v>114130.20412659615</v>
      </c>
      <c r="H417" s="64">
        <f t="shared" si="99"/>
        <v>105673.56807467602</v>
      </c>
      <c r="I417" s="64">
        <f t="shared" si="99"/>
        <v>117882.02016702399</v>
      </c>
      <c r="J417" s="64">
        <f t="shared" si="99"/>
        <v>612184.36263524974</v>
      </c>
    </row>
    <row r="418" spans="2:10">
      <c r="B418" s="48" t="s">
        <v>870</v>
      </c>
      <c r="D418" s="64">
        <f t="shared" ref="D418:J418" si="100">D397-D438</f>
        <v>0</v>
      </c>
      <c r="E418" s="64">
        <f t="shared" si="100"/>
        <v>0</v>
      </c>
      <c r="F418" s="64">
        <f t="shared" si="100"/>
        <v>0</v>
      </c>
      <c r="G418" s="64">
        <f t="shared" si="100"/>
        <v>0</v>
      </c>
      <c r="H418" s="64">
        <f t="shared" si="100"/>
        <v>0</v>
      </c>
      <c r="I418" s="64">
        <f t="shared" si="100"/>
        <v>0</v>
      </c>
      <c r="J418" s="64">
        <f t="shared" si="100"/>
        <v>0</v>
      </c>
    </row>
    <row r="419" spans="2:10">
      <c r="B419" s="48" t="s">
        <v>893</v>
      </c>
      <c r="D419" s="64">
        <f>D398-D439</f>
        <v>0</v>
      </c>
      <c r="E419" s="64"/>
      <c r="F419" s="64"/>
      <c r="G419" s="64"/>
      <c r="H419" s="64"/>
      <c r="I419" s="64"/>
      <c r="J419" s="64"/>
    </row>
    <row r="420" spans="2:10">
      <c r="B420" s="48" t="s">
        <v>111</v>
      </c>
      <c r="C420" s="48" t="s">
        <v>889</v>
      </c>
      <c r="D420" s="65">
        <f>SUM(D402:D419)</f>
        <v>11852428.740510765</v>
      </c>
      <c r="E420" s="65">
        <f t="shared" ref="E420:J420" si="101">SUM(E402:E419)</f>
        <v>11817341.202897847</v>
      </c>
      <c r="F420" s="65">
        <f t="shared" si="101"/>
        <v>11739130.564810362</v>
      </c>
      <c r="G420" s="65">
        <f t="shared" si="101"/>
        <v>11893330.546219261</v>
      </c>
      <c r="H420" s="65">
        <f t="shared" si="101"/>
        <v>11481941.022032384</v>
      </c>
      <c r="I420" s="65">
        <f t="shared" si="101"/>
        <v>11541154.000063257</v>
      </c>
      <c r="J420" s="65">
        <f t="shared" si="101"/>
        <v>70325326.076533869</v>
      </c>
    </row>
    <row r="422" spans="2:10">
      <c r="B422" s="48" t="s">
        <v>902</v>
      </c>
      <c r="D422" s="64">
        <f t="shared" ref="D422:J431" si="102">SUMIF($B$219:$B$342,$B422,D$219:D$342)</f>
        <v>0</v>
      </c>
      <c r="E422" s="64">
        <f t="shared" si="102"/>
        <v>0</v>
      </c>
      <c r="F422" s="64">
        <f t="shared" si="102"/>
        <v>0</v>
      </c>
      <c r="G422" s="64">
        <f t="shared" si="102"/>
        <v>0</v>
      </c>
      <c r="H422" s="64">
        <f t="shared" si="102"/>
        <v>0</v>
      </c>
      <c r="I422" s="64">
        <f t="shared" si="102"/>
        <v>0</v>
      </c>
      <c r="J422" s="64">
        <f t="shared" si="102"/>
        <v>0</v>
      </c>
    </row>
    <row r="423" spans="2:10">
      <c r="B423" s="48" t="s">
        <v>751</v>
      </c>
      <c r="D423" s="64">
        <f t="shared" si="102"/>
        <v>0</v>
      </c>
      <c r="E423" s="64">
        <f t="shared" si="102"/>
        <v>0</v>
      </c>
      <c r="F423" s="64">
        <f t="shared" si="102"/>
        <v>0</v>
      </c>
      <c r="G423" s="64">
        <f t="shared" si="102"/>
        <v>0</v>
      </c>
      <c r="H423" s="64">
        <f t="shared" si="102"/>
        <v>0</v>
      </c>
      <c r="I423" s="64">
        <f t="shared" si="102"/>
        <v>0</v>
      </c>
      <c r="J423" s="64">
        <f t="shared" si="102"/>
        <v>0</v>
      </c>
    </row>
    <row r="424" spans="2:10">
      <c r="B424" s="48" t="s">
        <v>750</v>
      </c>
      <c r="D424" s="64">
        <f t="shared" si="102"/>
        <v>0</v>
      </c>
      <c r="E424" s="64">
        <f t="shared" si="102"/>
        <v>0</v>
      </c>
      <c r="F424" s="64">
        <f t="shared" si="102"/>
        <v>0</v>
      </c>
      <c r="G424" s="64">
        <f t="shared" si="102"/>
        <v>0</v>
      </c>
      <c r="H424" s="64">
        <f t="shared" si="102"/>
        <v>0</v>
      </c>
      <c r="I424" s="64">
        <f t="shared" si="102"/>
        <v>0</v>
      </c>
      <c r="J424" s="64">
        <f t="shared" si="102"/>
        <v>0</v>
      </c>
    </row>
    <row r="425" spans="2:10">
      <c r="B425" s="48" t="s">
        <v>749</v>
      </c>
      <c r="D425" s="64">
        <f t="shared" si="102"/>
        <v>0</v>
      </c>
      <c r="E425" s="64">
        <f t="shared" si="102"/>
        <v>0</v>
      </c>
      <c r="F425" s="64">
        <f t="shared" si="102"/>
        <v>0</v>
      </c>
      <c r="G425" s="64">
        <f t="shared" si="102"/>
        <v>0</v>
      </c>
      <c r="H425" s="64">
        <f t="shared" si="102"/>
        <v>0</v>
      </c>
      <c r="I425" s="64">
        <f t="shared" si="102"/>
        <v>0</v>
      </c>
      <c r="J425" s="64">
        <f t="shared" si="102"/>
        <v>0</v>
      </c>
    </row>
    <row r="426" spans="2:10">
      <c r="B426" s="48" t="s">
        <v>1176</v>
      </c>
      <c r="D426" s="64">
        <f t="shared" si="102"/>
        <v>0</v>
      </c>
      <c r="E426" s="64">
        <f t="shared" si="102"/>
        <v>0</v>
      </c>
      <c r="F426" s="64">
        <f t="shared" si="102"/>
        <v>0</v>
      </c>
      <c r="G426" s="64">
        <f t="shared" si="102"/>
        <v>0</v>
      </c>
      <c r="H426" s="64">
        <f t="shared" si="102"/>
        <v>0</v>
      </c>
      <c r="I426" s="64">
        <f t="shared" si="102"/>
        <v>0</v>
      </c>
      <c r="J426" s="64">
        <f t="shared" si="102"/>
        <v>0</v>
      </c>
    </row>
    <row r="427" spans="2:10">
      <c r="B427" s="48" t="s">
        <v>274</v>
      </c>
      <c r="D427" s="64">
        <f t="shared" si="102"/>
        <v>0</v>
      </c>
      <c r="E427" s="64">
        <f t="shared" si="102"/>
        <v>0</v>
      </c>
      <c r="F427" s="64">
        <f t="shared" si="102"/>
        <v>0</v>
      </c>
      <c r="G427" s="64">
        <f t="shared" si="102"/>
        <v>0</v>
      </c>
      <c r="H427" s="64">
        <f t="shared" si="102"/>
        <v>0</v>
      </c>
      <c r="I427" s="64">
        <f t="shared" si="102"/>
        <v>0</v>
      </c>
      <c r="J427" s="64">
        <f t="shared" si="102"/>
        <v>0</v>
      </c>
    </row>
    <row r="428" spans="2:10">
      <c r="B428" s="48" t="s">
        <v>275</v>
      </c>
      <c r="D428" s="64">
        <f t="shared" si="102"/>
        <v>0</v>
      </c>
      <c r="E428" s="64">
        <f t="shared" si="102"/>
        <v>0</v>
      </c>
      <c r="F428" s="64">
        <f t="shared" si="102"/>
        <v>0</v>
      </c>
      <c r="G428" s="64">
        <f t="shared" si="102"/>
        <v>0</v>
      </c>
      <c r="H428" s="64">
        <f t="shared" si="102"/>
        <v>0</v>
      </c>
      <c r="I428" s="64">
        <f t="shared" si="102"/>
        <v>0</v>
      </c>
      <c r="J428" s="64">
        <f t="shared" si="102"/>
        <v>0</v>
      </c>
    </row>
    <row r="429" spans="2:10">
      <c r="B429" s="48" t="s">
        <v>276</v>
      </c>
      <c r="D429" s="64">
        <f t="shared" si="102"/>
        <v>0</v>
      </c>
      <c r="E429" s="64">
        <f t="shared" si="102"/>
        <v>0</v>
      </c>
      <c r="F429" s="64">
        <f t="shared" si="102"/>
        <v>0</v>
      </c>
      <c r="G429" s="64">
        <f t="shared" si="102"/>
        <v>0</v>
      </c>
      <c r="H429" s="64">
        <f t="shared" si="102"/>
        <v>0</v>
      </c>
      <c r="I429" s="64">
        <f t="shared" si="102"/>
        <v>0</v>
      </c>
      <c r="J429" s="64">
        <f t="shared" si="102"/>
        <v>0</v>
      </c>
    </row>
    <row r="430" spans="2:10">
      <c r="B430" s="48" t="s">
        <v>277</v>
      </c>
      <c r="D430" s="64">
        <f t="shared" si="102"/>
        <v>0</v>
      </c>
      <c r="E430" s="64">
        <f t="shared" si="102"/>
        <v>0</v>
      </c>
      <c r="F430" s="64">
        <f t="shared" si="102"/>
        <v>0</v>
      </c>
      <c r="G430" s="64">
        <f t="shared" si="102"/>
        <v>0</v>
      </c>
      <c r="H430" s="64">
        <f t="shared" si="102"/>
        <v>0</v>
      </c>
      <c r="I430" s="64">
        <f t="shared" si="102"/>
        <v>0</v>
      </c>
      <c r="J430" s="64">
        <f t="shared" si="102"/>
        <v>0</v>
      </c>
    </row>
    <row r="431" spans="2:10">
      <c r="B431" s="48" t="s">
        <v>278</v>
      </c>
      <c r="D431" s="64">
        <f t="shared" si="102"/>
        <v>0</v>
      </c>
      <c r="E431" s="64">
        <f t="shared" si="102"/>
        <v>0</v>
      </c>
      <c r="F431" s="64">
        <f t="shared" si="102"/>
        <v>0</v>
      </c>
      <c r="G431" s="64">
        <f t="shared" si="102"/>
        <v>0</v>
      </c>
      <c r="H431" s="64">
        <f t="shared" si="102"/>
        <v>0</v>
      </c>
      <c r="I431" s="64">
        <f t="shared" si="102"/>
        <v>0</v>
      </c>
      <c r="J431" s="64">
        <f t="shared" si="102"/>
        <v>0</v>
      </c>
    </row>
    <row r="432" spans="2:10">
      <c r="B432" s="48" t="s">
        <v>279</v>
      </c>
      <c r="D432" s="64">
        <f t="shared" ref="D432:J439" si="103">SUMIF($B$219:$B$342,$B432,D$219:D$342)</f>
        <v>0</v>
      </c>
      <c r="E432" s="64">
        <f t="shared" si="103"/>
        <v>0</v>
      </c>
      <c r="F432" s="64">
        <f t="shared" si="103"/>
        <v>0</v>
      </c>
      <c r="G432" s="64">
        <f t="shared" si="103"/>
        <v>0</v>
      </c>
      <c r="H432" s="64">
        <f t="shared" si="103"/>
        <v>0</v>
      </c>
      <c r="I432" s="64">
        <f t="shared" si="103"/>
        <v>0</v>
      </c>
      <c r="J432" s="64">
        <f t="shared" si="103"/>
        <v>0</v>
      </c>
    </row>
    <row r="433" spans="2:10">
      <c r="B433" s="48" t="s">
        <v>875</v>
      </c>
      <c r="D433" s="64">
        <f t="shared" si="103"/>
        <v>0</v>
      </c>
      <c r="E433" s="64">
        <f t="shared" si="103"/>
        <v>0</v>
      </c>
      <c r="F433" s="64">
        <f t="shared" si="103"/>
        <v>0</v>
      </c>
      <c r="G433" s="64">
        <f t="shared" si="103"/>
        <v>0</v>
      </c>
      <c r="H433" s="64">
        <f t="shared" si="103"/>
        <v>0</v>
      </c>
      <c r="I433" s="64">
        <f t="shared" si="103"/>
        <v>0</v>
      </c>
      <c r="J433" s="64">
        <f t="shared" si="103"/>
        <v>0</v>
      </c>
    </row>
    <row r="434" spans="2:10">
      <c r="B434" s="48" t="s">
        <v>874</v>
      </c>
      <c r="D434" s="64">
        <f t="shared" si="103"/>
        <v>0</v>
      </c>
      <c r="E434" s="64">
        <f t="shared" si="103"/>
        <v>0</v>
      </c>
      <c r="F434" s="64">
        <f t="shared" si="103"/>
        <v>0</v>
      </c>
      <c r="G434" s="64">
        <f t="shared" si="103"/>
        <v>0</v>
      </c>
      <c r="H434" s="64">
        <f t="shared" si="103"/>
        <v>0</v>
      </c>
      <c r="I434" s="64">
        <f t="shared" si="103"/>
        <v>0</v>
      </c>
      <c r="J434" s="64">
        <f t="shared" si="103"/>
        <v>0</v>
      </c>
    </row>
    <row r="435" spans="2:10">
      <c r="B435" s="48" t="s">
        <v>873</v>
      </c>
      <c r="D435" s="64">
        <f t="shared" si="103"/>
        <v>0</v>
      </c>
      <c r="E435" s="64">
        <f t="shared" si="103"/>
        <v>0</v>
      </c>
      <c r="F435" s="64">
        <f t="shared" si="103"/>
        <v>0</v>
      </c>
      <c r="G435" s="64">
        <f t="shared" si="103"/>
        <v>0</v>
      </c>
      <c r="H435" s="64">
        <f t="shared" si="103"/>
        <v>0</v>
      </c>
      <c r="I435" s="64">
        <f t="shared" si="103"/>
        <v>0</v>
      </c>
      <c r="J435" s="64">
        <f t="shared" si="103"/>
        <v>0</v>
      </c>
    </row>
    <row r="436" spans="2:10">
      <c r="B436" s="48" t="s">
        <v>872</v>
      </c>
      <c r="D436" s="64">
        <f t="shared" si="103"/>
        <v>0</v>
      </c>
      <c r="E436" s="64">
        <f t="shared" si="103"/>
        <v>0</v>
      </c>
      <c r="F436" s="64">
        <f t="shared" si="103"/>
        <v>0</v>
      </c>
      <c r="G436" s="64">
        <f t="shared" si="103"/>
        <v>0</v>
      </c>
      <c r="H436" s="64">
        <f t="shared" si="103"/>
        <v>0</v>
      </c>
      <c r="I436" s="64">
        <f t="shared" si="103"/>
        <v>0</v>
      </c>
      <c r="J436" s="64">
        <f t="shared" si="103"/>
        <v>0</v>
      </c>
    </row>
    <row r="437" spans="2:10">
      <c r="B437" s="48" t="s">
        <v>871</v>
      </c>
      <c r="D437" s="64">
        <f t="shared" si="103"/>
        <v>0</v>
      </c>
      <c r="E437" s="64">
        <f t="shared" si="103"/>
        <v>0</v>
      </c>
      <c r="F437" s="64">
        <f t="shared" si="103"/>
        <v>0</v>
      </c>
      <c r="G437" s="64">
        <f t="shared" si="103"/>
        <v>0</v>
      </c>
      <c r="H437" s="64">
        <f t="shared" si="103"/>
        <v>0</v>
      </c>
      <c r="I437" s="64">
        <f t="shared" si="103"/>
        <v>0</v>
      </c>
      <c r="J437" s="64">
        <f t="shared" si="103"/>
        <v>0</v>
      </c>
    </row>
    <row r="438" spans="2:10">
      <c r="B438" s="48" t="s">
        <v>870</v>
      </c>
      <c r="D438" s="64">
        <f t="shared" si="103"/>
        <v>0</v>
      </c>
      <c r="E438" s="64">
        <f t="shared" si="103"/>
        <v>0</v>
      </c>
      <c r="F438" s="64">
        <f t="shared" si="103"/>
        <v>0</v>
      </c>
      <c r="G438" s="64">
        <f t="shared" si="103"/>
        <v>0</v>
      </c>
      <c r="H438" s="64">
        <f t="shared" si="103"/>
        <v>0</v>
      </c>
      <c r="I438" s="64">
        <f t="shared" si="103"/>
        <v>0</v>
      </c>
      <c r="J438" s="64">
        <f t="shared" si="103"/>
        <v>0</v>
      </c>
    </row>
    <row r="439" spans="2:10">
      <c r="B439" s="48" t="s">
        <v>893</v>
      </c>
      <c r="D439" s="64">
        <f t="shared" si="103"/>
        <v>0</v>
      </c>
      <c r="E439" s="64">
        <f t="shared" si="103"/>
        <v>0</v>
      </c>
      <c r="F439" s="64">
        <f t="shared" si="103"/>
        <v>0</v>
      </c>
      <c r="G439" s="64">
        <f t="shared" si="103"/>
        <v>0</v>
      </c>
      <c r="H439" s="64">
        <f t="shared" si="103"/>
        <v>0</v>
      </c>
      <c r="I439" s="64">
        <f t="shared" si="103"/>
        <v>0</v>
      </c>
      <c r="J439" s="64">
        <f t="shared" si="103"/>
        <v>0</v>
      </c>
    </row>
    <row r="440" spans="2:10">
      <c r="B440" s="48" t="s">
        <v>888</v>
      </c>
      <c r="D440" s="65">
        <f t="shared" ref="D440:J440" si="104">SUM(D422:D439)</f>
        <v>0</v>
      </c>
      <c r="E440" s="65">
        <f t="shared" si="104"/>
        <v>0</v>
      </c>
      <c r="F440" s="65">
        <f t="shared" si="104"/>
        <v>0</v>
      </c>
      <c r="G440" s="65">
        <f t="shared" si="104"/>
        <v>0</v>
      </c>
      <c r="H440" s="65">
        <f t="shared" si="104"/>
        <v>0</v>
      </c>
      <c r="I440" s="65">
        <f t="shared" si="104"/>
        <v>0</v>
      </c>
      <c r="J440" s="65">
        <f t="shared" si="104"/>
        <v>0</v>
      </c>
    </row>
    <row r="441" spans="2:10">
      <c r="D441" s="66">
        <f t="shared" ref="D441:J441" si="105">D311+D342-D440</f>
        <v>0</v>
      </c>
      <c r="E441" s="66">
        <f t="shared" si="105"/>
        <v>0</v>
      </c>
      <c r="F441" s="66">
        <f t="shared" si="105"/>
        <v>0</v>
      </c>
      <c r="G441" s="66">
        <f t="shared" si="105"/>
        <v>0</v>
      </c>
      <c r="H441" s="66">
        <f t="shared" si="105"/>
        <v>0</v>
      </c>
      <c r="I441" s="66">
        <f t="shared" si="105"/>
        <v>0</v>
      </c>
      <c r="J441" s="66">
        <f t="shared" si="105"/>
        <v>0</v>
      </c>
    </row>
  </sheetData>
  <printOptions horizontalCentered="1" verticalCentered="1"/>
  <pageMargins left="0.39370078740157483" right="0.39370078740157483" top="0.39370078740157483" bottom="0.39370078740157483" header="0.31496062992125984" footer="0.23622047244094491"/>
  <pageSetup scale="42" orientation="portrait" horizontalDpi="300" r:id="rId1"/>
  <headerFooter alignWithMargins="0">
    <oddHeader>&amp;L
NOMBRE DE LA DISTRIBUIDORA: &amp;UENSA.&amp;R&amp;9&amp;A</oddHeader>
  </headerFooter>
  <rowBreaks count="4" manualBreakCount="4">
    <brk id="122" max="10" man="1"/>
    <brk id="248" max="10" man="1"/>
    <brk id="408" max="16383" man="1"/>
    <brk id="495" max="9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91960-5F4F-4BA7-BEC2-E864DF8DCA15}">
  <sheetPr codeName="Hoja63">
    <tabColor theme="5" tint="0.59999389629810485"/>
  </sheetPr>
  <dimension ref="B1:M463"/>
  <sheetViews>
    <sheetView zoomScale="70" zoomScaleNormal="70" zoomScaleSheetLayoutView="85" workbookViewId="0">
      <selection activeCell="E19" sqref="E19"/>
    </sheetView>
  </sheetViews>
  <sheetFormatPr baseColWidth="10" defaultColWidth="8" defaultRowHeight="15"/>
  <cols>
    <col min="1" max="1" width="2.25" style="63" customWidth="1"/>
    <col min="2" max="2" width="7" style="48" customWidth="1"/>
    <col min="3" max="3" width="30.25" style="63" customWidth="1"/>
    <col min="4" max="4" width="11.75" style="63" customWidth="1"/>
    <col min="5" max="5" width="12.625" style="63" customWidth="1"/>
    <col min="6" max="6" width="12.75" style="63" customWidth="1"/>
    <col min="7" max="7" width="13.25" style="63" customWidth="1"/>
    <col min="8" max="8" width="13.875" style="63" customWidth="1"/>
    <col min="9" max="9" width="11.5" style="63" customWidth="1"/>
    <col min="10" max="10" width="13.125" style="63" customWidth="1"/>
    <col min="11" max="11" width="2.25" style="63" customWidth="1"/>
    <col min="12" max="12" width="4.25" style="319" bestFit="1" customWidth="1"/>
    <col min="13" max="13" width="9.125" style="63" bestFit="1" customWidth="1"/>
    <col min="14" max="14" width="9.625" style="63" bestFit="1" customWidth="1"/>
    <col min="15" max="15" width="8" style="63"/>
    <col min="16" max="16" width="9.125" style="63" bestFit="1" customWidth="1"/>
    <col min="17" max="16384" width="8" style="63"/>
  </cols>
  <sheetData>
    <row r="1" spans="2:10" s="69" customFormat="1" ht="15.75">
      <c r="B1" s="48"/>
      <c r="C1" s="136" t="s">
        <v>151</v>
      </c>
      <c r="E1" s="63"/>
    </row>
    <row r="2" spans="2:10" s="69" customFormat="1" ht="15.75">
      <c r="B2" s="48"/>
      <c r="C2" s="136"/>
      <c r="E2" s="137" t="s">
        <v>138</v>
      </c>
    </row>
    <row r="3" spans="2:10" s="69" customFormat="1" ht="15.75">
      <c r="B3" s="48"/>
      <c r="C3" s="70" t="s">
        <v>864</v>
      </c>
      <c r="D3" s="137"/>
    </row>
    <row r="4" spans="2:10" s="69" customFormat="1" ht="15.75">
      <c r="B4" s="48"/>
      <c r="C4" s="219" t="s">
        <v>1531</v>
      </c>
      <c r="D4" s="338"/>
      <c r="E4" s="338"/>
      <c r="F4" s="338"/>
      <c r="G4" s="338"/>
      <c r="H4" s="338"/>
      <c r="I4" s="338"/>
      <c r="J4" s="339"/>
    </row>
    <row r="5" spans="2:10" s="74" customFormat="1" ht="18.75" customHeight="1">
      <c r="B5" s="48"/>
      <c r="C5" s="322"/>
      <c r="D5" s="322"/>
      <c r="E5" s="323"/>
      <c r="F5" s="322"/>
      <c r="G5" s="322"/>
      <c r="H5" s="322"/>
      <c r="I5" s="322"/>
    </row>
    <row r="6" spans="2:10" s="58" customFormat="1" ht="22.5">
      <c r="B6" s="48"/>
      <c r="C6" s="324" t="s">
        <v>3</v>
      </c>
      <c r="D6" s="325" t="s">
        <v>652</v>
      </c>
      <c r="E6" s="325" t="s">
        <v>653</v>
      </c>
      <c r="F6" s="325" t="s">
        <v>654</v>
      </c>
      <c r="G6" s="325" t="s">
        <v>655</v>
      </c>
      <c r="H6" s="325" t="s">
        <v>656</v>
      </c>
      <c r="I6" s="325" t="s">
        <v>657</v>
      </c>
      <c r="J6" s="325" t="s">
        <v>658</v>
      </c>
    </row>
    <row r="7" spans="2:10" s="143" customFormat="1" ht="13.5">
      <c r="B7" s="48"/>
      <c r="C7" s="144" t="s">
        <v>266</v>
      </c>
      <c r="D7" s="178">
        <f>RAT1000PT!$E$89</f>
        <v>7.01</v>
      </c>
      <c r="E7" s="144"/>
      <c r="F7" s="144"/>
      <c r="G7" s="146">
        <f>+RAT1000PT!$E$101</f>
        <v>1.158E-2</v>
      </c>
      <c r="H7" s="146">
        <f>+RAT1000PT!$E$101</f>
        <v>1.158E-2</v>
      </c>
      <c r="I7" s="146">
        <f>+RAT1000PT!$E$101</f>
        <v>1.158E-2</v>
      </c>
      <c r="J7" s="146"/>
    </row>
    <row r="8" spans="2:10" s="143" customFormat="1" ht="13.5">
      <c r="B8" s="48"/>
      <c r="C8" s="326" t="s">
        <v>265</v>
      </c>
      <c r="D8" s="327">
        <f>RAT1000PT!$E$88</f>
        <v>6.89</v>
      </c>
      <c r="E8" s="328"/>
      <c r="F8" s="328">
        <f>+RAT1000PT!$E$100</f>
        <v>1.142E-2</v>
      </c>
      <c r="G8" s="328"/>
      <c r="H8" s="328"/>
      <c r="I8" s="328"/>
      <c r="J8" s="328"/>
    </row>
    <row r="9" spans="2:10" s="143" customFormat="1" ht="13.5">
      <c r="B9" s="48"/>
      <c r="C9" s="144" t="s">
        <v>264</v>
      </c>
      <c r="D9" s="178">
        <f>RAT1000PT!$E$87</f>
        <v>2</v>
      </c>
      <c r="E9" s="146"/>
      <c r="F9" s="146"/>
      <c r="G9" s="146">
        <f>+RAT1000PT!$E$99</f>
        <v>2.5860000000000001E-2</v>
      </c>
      <c r="H9" s="146">
        <f>+RAT1000PT!$E$99</f>
        <v>2.5860000000000001E-2</v>
      </c>
      <c r="I9" s="146">
        <f>+RAT1000PT!$E$99</f>
        <v>2.5860000000000001E-2</v>
      </c>
      <c r="J9" s="146"/>
    </row>
    <row r="10" spans="2:10" s="143" customFormat="1" ht="13.5">
      <c r="B10" s="48"/>
      <c r="C10" s="326" t="s">
        <v>262</v>
      </c>
      <c r="D10" s="327">
        <f>RAT1000PT!$E$86</f>
        <v>1.91</v>
      </c>
      <c r="E10" s="328"/>
      <c r="F10" s="328">
        <f>+RAT1000PT!$E$98</f>
        <v>3.2649999999999998E-2</v>
      </c>
      <c r="G10" s="328"/>
      <c r="H10" s="328"/>
      <c r="I10" s="328"/>
      <c r="J10" s="328"/>
    </row>
    <row r="11" spans="2:10" s="143" customFormat="1" ht="13.5">
      <c r="B11" s="48"/>
      <c r="C11" s="144" t="s">
        <v>263</v>
      </c>
      <c r="D11" s="178">
        <f>RAT1000PT!$E$85</f>
        <v>2.2799999999999998</v>
      </c>
      <c r="E11" s="146"/>
      <c r="F11" s="146"/>
      <c r="G11" s="146">
        <f>+RAT1000PT!$E$97</f>
        <v>3.5490000000000001E-2</v>
      </c>
      <c r="H11" s="146">
        <f>+RAT1000PT!$E$97</f>
        <v>3.5490000000000001E-2</v>
      </c>
      <c r="I11" s="146">
        <f>+RAT1000PT!$E$97</f>
        <v>3.5490000000000001E-2</v>
      </c>
      <c r="J11" s="146"/>
    </row>
    <row r="12" spans="2:10" s="143" customFormat="1" ht="13.5">
      <c r="B12" s="48"/>
      <c r="C12" s="326" t="s">
        <v>648</v>
      </c>
      <c r="D12" s="327">
        <f>RAT1000PT!$E$84</f>
        <v>1.7</v>
      </c>
      <c r="E12" s="328"/>
      <c r="F12" s="328">
        <f>+RAT1000PT!$E$96</f>
        <v>4.3970000000000002E-2</v>
      </c>
      <c r="G12" s="328"/>
      <c r="H12" s="328"/>
      <c r="I12" s="328"/>
      <c r="J12" s="328"/>
    </row>
    <row r="13" spans="2:10" s="143" customFormat="1" ht="13.5">
      <c r="B13" s="48"/>
      <c r="C13" s="326" t="s">
        <v>649</v>
      </c>
      <c r="D13" s="327">
        <f>RAT1000PT!$E$84</f>
        <v>1.7</v>
      </c>
      <c r="E13" s="328"/>
      <c r="F13" s="328">
        <f>+RAT1000PT!$E$96</f>
        <v>4.3970000000000002E-2</v>
      </c>
      <c r="G13" s="328"/>
      <c r="H13" s="328"/>
      <c r="I13" s="328"/>
      <c r="J13" s="328"/>
    </row>
    <row r="14" spans="2:10" s="143" customFormat="1" ht="13.5">
      <c r="B14" s="48"/>
      <c r="C14" s="326" t="s">
        <v>650</v>
      </c>
      <c r="D14" s="327">
        <f>RAT1000PT!$E$84</f>
        <v>1.7</v>
      </c>
      <c r="E14" s="328"/>
      <c r="F14" s="328">
        <f>+RAT1000PT!$E$96</f>
        <v>4.3970000000000002E-2</v>
      </c>
      <c r="G14" s="328"/>
      <c r="H14" s="328"/>
      <c r="I14" s="328"/>
      <c r="J14" s="328"/>
    </row>
    <row r="15" spans="2:10" s="143" customFormat="1" ht="13.5">
      <c r="B15" s="48"/>
      <c r="C15" s="326" t="s">
        <v>651</v>
      </c>
      <c r="D15" s="327">
        <f>RAT1000PT!$E$84</f>
        <v>1.7</v>
      </c>
      <c r="E15" s="328"/>
      <c r="F15" s="328">
        <f>+RAT1000PT!$E$96</f>
        <v>4.3970000000000002E-2</v>
      </c>
      <c r="G15" s="328"/>
      <c r="H15" s="328"/>
      <c r="I15" s="328"/>
      <c r="J15" s="328"/>
    </row>
    <row r="16" spans="2:10" s="143" customFormat="1" ht="13.5">
      <c r="B16" s="48"/>
      <c r="C16" s="144" t="s">
        <v>1178</v>
      </c>
      <c r="D16" s="178"/>
      <c r="E16" s="146">
        <f>RAT1000PT!$E$95</f>
        <v>3.4099999999999998E-2</v>
      </c>
      <c r="F16" s="146"/>
      <c r="G16" s="146">
        <f>+RAT1000PT!$E$95</f>
        <v>3.4099999999999998E-2</v>
      </c>
      <c r="H16" s="146">
        <f>+RAT1000PT!$E$95</f>
        <v>3.4099999999999998E-2</v>
      </c>
      <c r="I16" s="146">
        <f>+RAT1000PT!$E$95</f>
        <v>3.4099999999999998E-2</v>
      </c>
      <c r="J16" s="146"/>
    </row>
    <row r="17" spans="2:13" s="143" customFormat="1" ht="13.5">
      <c r="B17" s="48"/>
      <c r="C17" s="2062" t="s">
        <v>1768</v>
      </c>
      <c r="D17" s="178"/>
      <c r="E17" s="146">
        <f>RAT1000PT!$E$91</f>
        <v>3.4099999999999998E-2</v>
      </c>
      <c r="F17" s="146"/>
      <c r="G17" s="146"/>
      <c r="H17" s="146"/>
      <c r="I17" s="146"/>
      <c r="J17" s="146"/>
    </row>
    <row r="18" spans="2:13" s="143" customFormat="1" ht="13.5">
      <c r="B18" s="48"/>
      <c r="C18" s="326" t="s">
        <v>645</v>
      </c>
      <c r="D18" s="327"/>
      <c r="E18" s="328">
        <f>RAT1000PT!$E$92</f>
        <v>3.4099999999999998E-2</v>
      </c>
      <c r="F18" s="328"/>
      <c r="G18" s="328"/>
      <c r="H18" s="328"/>
      <c r="I18" s="328"/>
      <c r="J18" s="328"/>
      <c r="L18" s="319"/>
    </row>
    <row r="19" spans="2:13" s="143" customFormat="1" ht="13.5">
      <c r="B19" s="48"/>
      <c r="C19" s="326" t="s">
        <v>646</v>
      </c>
      <c r="D19" s="327"/>
      <c r="E19" s="328">
        <f>RAT1000PT!$E$93</f>
        <v>3.4099999999999998E-2</v>
      </c>
      <c r="F19" s="328"/>
      <c r="G19" s="328"/>
      <c r="H19" s="328"/>
      <c r="I19" s="328"/>
      <c r="J19" s="328"/>
      <c r="L19" s="319"/>
    </row>
    <row r="20" spans="2:13" s="143" customFormat="1" ht="13.5">
      <c r="B20" s="48"/>
      <c r="C20" s="326" t="s">
        <v>647</v>
      </c>
      <c r="D20" s="328"/>
      <c r="E20" s="328">
        <f>RAT1000PT!$E$94</f>
        <v>3.4099999999999998E-2</v>
      </c>
      <c r="F20" s="328"/>
      <c r="G20" s="328"/>
      <c r="H20" s="328"/>
      <c r="I20" s="328"/>
      <c r="J20" s="328"/>
      <c r="L20" s="319"/>
    </row>
    <row r="21" spans="2:13" s="143" customFormat="1" ht="13.5">
      <c r="B21" s="48"/>
      <c r="C21" s="144" t="s">
        <v>1164</v>
      </c>
      <c r="D21" s="178">
        <f>RAT1000PT!$E78</f>
        <v>8.9600000000000009</v>
      </c>
      <c r="E21" s="146"/>
      <c r="F21" s="146"/>
      <c r="G21" s="146"/>
      <c r="H21" s="146"/>
      <c r="I21" s="146"/>
      <c r="J21" s="146"/>
      <c r="L21" s="319"/>
    </row>
    <row r="22" spans="2:13" s="143" customFormat="1" ht="13.5">
      <c r="B22" s="48"/>
      <c r="C22" s="144" t="s">
        <v>1167</v>
      </c>
      <c r="D22" s="178">
        <f>RAT1000PT!$E79</f>
        <v>11.25</v>
      </c>
      <c r="E22" s="146"/>
      <c r="F22" s="146"/>
      <c r="G22" s="146"/>
      <c r="H22" s="146"/>
      <c r="I22" s="146"/>
      <c r="J22" s="146"/>
      <c r="L22" s="319"/>
    </row>
    <row r="23" spans="2:13" s="143" customFormat="1" ht="13.5">
      <c r="B23" s="48"/>
      <c r="C23" s="144" t="s">
        <v>1166</v>
      </c>
      <c r="D23" s="178">
        <f>RAT1000PT!$E80</f>
        <v>12.5</v>
      </c>
      <c r="E23" s="146"/>
      <c r="F23" s="146"/>
      <c r="G23" s="146"/>
      <c r="H23" s="146"/>
      <c r="I23" s="146"/>
      <c r="J23" s="146"/>
      <c r="L23" s="319"/>
    </row>
    <row r="24" spans="2:13" s="143" customFormat="1" ht="13.5">
      <c r="B24" s="48"/>
      <c r="C24" s="144" t="s">
        <v>1165</v>
      </c>
      <c r="D24" s="178">
        <f>RAT1000PT!$E81</f>
        <v>13.93</v>
      </c>
      <c r="E24" s="146"/>
      <c r="F24" s="146"/>
      <c r="G24" s="146"/>
      <c r="H24" s="146"/>
      <c r="I24" s="146"/>
      <c r="J24" s="146"/>
      <c r="L24" s="319"/>
    </row>
    <row r="25" spans="2:13" s="143" customFormat="1" ht="13.5">
      <c r="B25" s="52"/>
      <c r="C25" s="143" t="s">
        <v>933</v>
      </c>
      <c r="D25" s="957">
        <f>'Inf Ind Dem'!$C$3</f>
        <v>7.3800000000000004E-2</v>
      </c>
      <c r="E25" s="957">
        <f>'Inf Ind Dem'!$C$3</f>
        <v>7.3800000000000004E-2</v>
      </c>
      <c r="F25" s="957">
        <f>'Inf Ind Dem'!$C$3</f>
        <v>7.3800000000000004E-2</v>
      </c>
      <c r="G25" s="957">
        <f>'Inf Ind Dem'!$C$3</f>
        <v>7.3800000000000004E-2</v>
      </c>
      <c r="H25" s="957">
        <f>'Inf Ind Dem'!$C$3</f>
        <v>7.3800000000000004E-2</v>
      </c>
      <c r="I25" s="957">
        <f>'Inf Ind Dem'!$C$3</f>
        <v>7.3800000000000004E-2</v>
      </c>
      <c r="L25" s="958"/>
    </row>
    <row r="26" spans="2:13" s="143" customFormat="1" ht="13.5">
      <c r="B26" s="52"/>
      <c r="C26" s="957" t="str">
        <f>'Inf Ind Dem'!B$4</f>
        <v>Pérd. Trans. 2025</v>
      </c>
      <c r="D26" s="957">
        <f>'Inf Ind Dem'!C$4</f>
        <v>5.7599999999999998E-2</v>
      </c>
      <c r="E26" s="957">
        <f>'Inf Ind Dem'!D$4</f>
        <v>5.7599999999999998E-2</v>
      </c>
      <c r="F26" s="957">
        <f>'Inf Ind Dem'!E$4</f>
        <v>5.7599999999999998E-2</v>
      </c>
      <c r="G26" s="957">
        <f>'Inf Ind Dem'!F$4</f>
        <v>5.7599999999999998E-2</v>
      </c>
      <c r="H26" s="957">
        <f>'Inf Ind Dem'!G$4</f>
        <v>5.7599999999999998E-2</v>
      </c>
      <c r="I26" s="957">
        <f>'Inf Ind Dem'!H$4</f>
        <v>5.7599999999999998E-2</v>
      </c>
      <c r="L26" s="958"/>
    </row>
    <row r="27" spans="2:13" s="143" customFormat="1" ht="13.5">
      <c r="B27" s="48"/>
      <c r="C27" s="147"/>
      <c r="J27" s="148"/>
      <c r="L27" s="319"/>
    </row>
    <row r="28" spans="2:13" s="69" customFormat="1" ht="33" customHeight="1">
      <c r="B28" s="48"/>
      <c r="C28" s="320" t="s">
        <v>659</v>
      </c>
      <c r="D28" s="320"/>
      <c r="E28" s="320"/>
      <c r="F28" s="320"/>
      <c r="G28" s="320"/>
      <c r="H28" s="320"/>
      <c r="I28" s="320"/>
      <c r="J28" s="321"/>
      <c r="L28" s="319"/>
    </row>
    <row r="29" spans="2:13" s="37" customFormat="1" ht="15.75">
      <c r="B29" s="48"/>
      <c r="C29" s="150" t="s">
        <v>310</v>
      </c>
      <c r="D29" s="151">
        <f>F821EA!D4</f>
        <v>45839</v>
      </c>
      <c r="E29" s="151">
        <f>F821EA!E4</f>
        <v>45870</v>
      </c>
      <c r="F29" s="151">
        <f>F821EA!F4</f>
        <v>45901</v>
      </c>
      <c r="G29" s="151">
        <f>F821EA!G4</f>
        <v>45931</v>
      </c>
      <c r="H29" s="151">
        <f>F821EA!H4</f>
        <v>45962</v>
      </c>
      <c r="I29" s="151">
        <f>F821EA!I4</f>
        <v>45992</v>
      </c>
      <c r="J29" s="152" t="s">
        <v>111</v>
      </c>
      <c r="K29" s="69"/>
      <c r="L29" s="319" t="s">
        <v>678</v>
      </c>
      <c r="M29" s="319"/>
    </row>
    <row r="30" spans="2:13" s="37" customFormat="1" ht="15.75" customHeight="1">
      <c r="B30" s="48"/>
      <c r="C30" s="153" t="s">
        <v>446</v>
      </c>
      <c r="D30" s="154">
        <f t="shared" ref="D30:I30" si="0">SUM(D31:D32)</f>
        <v>255175.80072</v>
      </c>
      <c r="E30" s="154">
        <f t="shared" si="0"/>
        <v>248011.94353999998</v>
      </c>
      <c r="F30" s="154">
        <f t="shared" si="0"/>
        <v>241762.0998</v>
      </c>
      <c r="G30" s="154">
        <f t="shared" si="0"/>
        <v>243675.82980000001</v>
      </c>
      <c r="H30" s="154">
        <f t="shared" si="0"/>
        <v>230894.58479999998</v>
      </c>
      <c r="I30" s="154">
        <f t="shared" si="0"/>
        <v>238696.08924</v>
      </c>
      <c r="J30" s="154">
        <f>SUM(D30:I30)</f>
        <v>1458216.3478999999</v>
      </c>
      <c r="K30" s="69"/>
      <c r="L30" s="319"/>
      <c r="M30" s="69"/>
    </row>
    <row r="31" spans="2:13" s="37" customFormat="1" ht="15.75" customHeight="1">
      <c r="B31" s="48" t="s">
        <v>279</v>
      </c>
      <c r="C31" s="155" t="s">
        <v>279</v>
      </c>
      <c r="D31" s="156">
        <f>$D$7*F821D!K6+$G$7*F821EA!K6</f>
        <v>255175.80072</v>
      </c>
      <c r="E31" s="156">
        <f>$D$7*F821D!L6+$G$7*F821EA!L6</f>
        <v>248011.94353999998</v>
      </c>
      <c r="F31" s="156">
        <f>$D$7*F821D!M6+$G$7*F821EA!M6</f>
        <v>241762.0998</v>
      </c>
      <c r="G31" s="156">
        <f>$D$7*F821D!N6+$G$7*F821EA!N6</f>
        <v>243675.82980000001</v>
      </c>
      <c r="H31" s="156">
        <f>$D$7*F821D!O6+$G$7*F821EA!O6</f>
        <v>230894.58479999998</v>
      </c>
      <c r="I31" s="156">
        <f>$D$7*F821D!P6+$G$7*F821EA!P6</f>
        <v>238696.08924</v>
      </c>
      <c r="J31" s="156">
        <f>SUM(D31:I31)</f>
        <v>1458216.3478999999</v>
      </c>
      <c r="K31" s="69"/>
      <c r="L31" s="319"/>
      <c r="M31" s="69"/>
    </row>
    <row r="32" spans="2:13" s="37" customFormat="1" ht="15.75" customHeight="1">
      <c r="B32" s="48" t="s">
        <v>278</v>
      </c>
      <c r="C32" s="155" t="s">
        <v>278</v>
      </c>
      <c r="D32" s="156">
        <f>$D$8*F821D!K7+$F$8*F821EA!K7</f>
        <v>0</v>
      </c>
      <c r="E32" s="156">
        <f>$D$8*F821D!L7+$F$8*F821EA!L7</f>
        <v>0</v>
      </c>
      <c r="F32" s="156">
        <f>$D$8*F821D!M7+$F$8*F821EA!M7</f>
        <v>0</v>
      </c>
      <c r="G32" s="156">
        <f>$D$8*F821D!N7+$F$8*F821EA!N7</f>
        <v>0</v>
      </c>
      <c r="H32" s="156">
        <f>$D$8*F821D!O7+$F$8*F821EA!O7</f>
        <v>0</v>
      </c>
      <c r="I32" s="156">
        <f>$D$8*F821D!P7+$F$8*F821EA!P7</f>
        <v>0</v>
      </c>
      <c r="J32" s="156">
        <f>SUM(D32:I32)</f>
        <v>0</v>
      </c>
      <c r="K32" s="69"/>
      <c r="L32" s="319"/>
      <c r="M32" s="69"/>
    </row>
    <row r="33" spans="2:13" s="37" customFormat="1" ht="15.75" customHeight="1">
      <c r="B33" s="48"/>
      <c r="C33" s="157"/>
      <c r="D33" s="156"/>
      <c r="E33" s="156"/>
      <c r="F33" s="156"/>
      <c r="G33" s="156"/>
      <c r="H33" s="156"/>
      <c r="I33" s="156"/>
      <c r="J33" s="156"/>
      <c r="K33" s="69"/>
      <c r="L33" s="319"/>
      <c r="M33" s="69"/>
    </row>
    <row r="34" spans="2:13" s="37" customFormat="1" ht="15.75" customHeight="1">
      <c r="B34" s="48"/>
      <c r="C34" s="153" t="s">
        <v>630</v>
      </c>
      <c r="D34" s="154">
        <f>D35+D38</f>
        <v>471920.467321884</v>
      </c>
      <c r="E34" s="154">
        <f t="shared" ref="E34:I34" si="1">E35+E38</f>
        <v>479680.04045448068</v>
      </c>
      <c r="F34" s="154">
        <f t="shared" si="1"/>
        <v>468000.19764316193</v>
      </c>
      <c r="G34" s="154">
        <f t="shared" si="1"/>
        <v>468279.26262639469</v>
      </c>
      <c r="H34" s="154">
        <f t="shared" si="1"/>
        <v>439942.60408897302</v>
      </c>
      <c r="I34" s="154">
        <f t="shared" si="1"/>
        <v>442285.04424926755</v>
      </c>
      <c r="J34" s="154">
        <f t="shared" ref="J34:J42" si="2">SUM(D34:I34)</f>
        <v>2770107.6163841616</v>
      </c>
      <c r="K34" s="69"/>
      <c r="L34" s="319"/>
      <c r="M34" s="69"/>
    </row>
    <row r="35" spans="2:13" s="37" customFormat="1" ht="15.75" customHeight="1">
      <c r="B35" s="48" t="s">
        <v>277</v>
      </c>
      <c r="C35" s="155" t="s">
        <v>277</v>
      </c>
      <c r="D35" s="154">
        <f>SUM(D36:D37)</f>
        <v>56052.850480000001</v>
      </c>
      <c r="E35" s="154">
        <f t="shared" ref="E35:I35" si="3">SUM(E36:E37)</f>
        <v>55471.593039999992</v>
      </c>
      <c r="F35" s="154">
        <f t="shared" si="3"/>
        <v>55857.123089999994</v>
      </c>
      <c r="G35" s="154">
        <f t="shared" si="3"/>
        <v>36569.22309</v>
      </c>
      <c r="H35" s="154">
        <f t="shared" si="3"/>
        <v>43489.502999999997</v>
      </c>
      <c r="I35" s="154">
        <f t="shared" si="3"/>
        <v>35883.415939999999</v>
      </c>
      <c r="J35" s="154">
        <f t="shared" si="2"/>
        <v>283323.70863999997</v>
      </c>
      <c r="K35" s="69"/>
      <c r="L35" s="319"/>
      <c r="M35" s="69"/>
    </row>
    <row r="36" spans="2:13" s="37" customFormat="1" ht="15.75" customHeight="1">
      <c r="B36" s="48"/>
      <c r="C36" s="160" t="s">
        <v>304</v>
      </c>
      <c r="D36" s="156">
        <f>$D$9*F821D!K11+$G$9*F821EA!K11</f>
        <v>49405.03168</v>
      </c>
      <c r="E36" s="156">
        <f>$D$9*F821D!L11+$G$9*F821EA!L11</f>
        <v>48814.564939999997</v>
      </c>
      <c r="F36" s="156">
        <f>$D$9*F821D!M11+$G$9*F821EA!M11</f>
        <v>49155.299639999997</v>
      </c>
      <c r="G36" s="156">
        <f>$D$9*F821D!N11+$G$9*F821EA!N11</f>
        <v>29907.299640000001</v>
      </c>
      <c r="H36" s="156">
        <f>$D$9*F821D!O11+$G$9*F821EA!O11</f>
        <v>37686.135399999999</v>
      </c>
      <c r="I36" s="156">
        <f>$D$9*F821D!P11+$G$9*F821EA!P11</f>
        <v>35883.415939999999</v>
      </c>
      <c r="J36" s="156">
        <f t="shared" si="2"/>
        <v>250851.74724000003</v>
      </c>
      <c r="K36" s="69"/>
      <c r="L36" s="319"/>
      <c r="M36" s="69"/>
    </row>
    <row r="37" spans="2:13" s="37" customFormat="1" ht="15.75" customHeight="1">
      <c r="B37" s="48"/>
      <c r="C37" s="160" t="s">
        <v>305</v>
      </c>
      <c r="D37" s="156">
        <f>($D$9*F821D!K12+$G$9*F821EA!K12)*$L37</f>
        <v>6647.8188</v>
      </c>
      <c r="E37" s="156">
        <f>($D$9*F821D!L12+$G$9*F821EA!L12)*$L37</f>
        <v>6657.0280999999995</v>
      </c>
      <c r="F37" s="156">
        <f>($D$9*F821D!M12+$G$9*F821EA!M12)*$L37</f>
        <v>6701.8234499999999</v>
      </c>
      <c r="G37" s="156">
        <f>($D$9*F821D!N12+$G$9*F821EA!N12)*$L37</f>
        <v>6661.9234500000002</v>
      </c>
      <c r="H37" s="156">
        <f>($D$9*F821D!O12+$G$9*F821EA!O12)*$L37</f>
        <v>5803.3675999999996</v>
      </c>
      <c r="I37" s="156">
        <f>($D$9*F821D!P12+$G$9*F821EA!P12)*$L37</f>
        <v>0</v>
      </c>
      <c r="J37" s="156">
        <f t="shared" si="2"/>
        <v>32471.9614</v>
      </c>
      <c r="K37" s="69"/>
      <c r="L37" s="319">
        <v>0.95</v>
      </c>
      <c r="M37" s="69"/>
    </row>
    <row r="38" spans="2:13" s="37" customFormat="1" ht="15.75" customHeight="1">
      <c r="B38" s="48" t="s">
        <v>276</v>
      </c>
      <c r="C38" s="158" t="s">
        <v>276</v>
      </c>
      <c r="D38" s="159">
        <f t="shared" ref="D38:I38" si="4">SUM(D39:D42)</f>
        <v>415867.61684188398</v>
      </c>
      <c r="E38" s="159">
        <f t="shared" si="4"/>
        <v>424208.44741448067</v>
      </c>
      <c r="F38" s="159">
        <f t="shared" si="4"/>
        <v>412143.07455316192</v>
      </c>
      <c r="G38" s="159">
        <f t="shared" si="4"/>
        <v>431710.0395363947</v>
      </c>
      <c r="H38" s="159">
        <f t="shared" si="4"/>
        <v>396453.101088973</v>
      </c>
      <c r="I38" s="159">
        <f t="shared" si="4"/>
        <v>406401.62830926757</v>
      </c>
      <c r="J38" s="159">
        <f t="shared" si="2"/>
        <v>2486783.9077441618</v>
      </c>
      <c r="K38" s="69"/>
      <c r="L38" s="319"/>
    </row>
    <row r="39" spans="2:13" s="37" customFormat="1" ht="15.75" customHeight="1">
      <c r="B39" s="48"/>
      <c r="C39" s="160" t="s">
        <v>304</v>
      </c>
      <c r="D39" s="156">
        <f>($D$10*F821D!K15+$F$10*F821EA!K15)*$L39</f>
        <v>414812.74552257243</v>
      </c>
      <c r="E39" s="156">
        <f>($D$10*F821D!L15+$F$10*F821EA!L15)*$L39</f>
        <v>422181.58793551335</v>
      </c>
      <c r="F39" s="156">
        <f>($D$10*F821D!M15+$F$10*F821EA!M15)*$L39</f>
        <v>410968.77682194638</v>
      </c>
      <c r="G39" s="156">
        <f>($D$10*F821D!N15+$F$10*F821EA!N15)*$L39</f>
        <v>430570.42699251173</v>
      </c>
      <c r="H39" s="156">
        <f>($D$10*F821D!O15+$F$10*F821EA!O15)*$L39</f>
        <v>393000.96476380655</v>
      </c>
      <c r="I39" s="156">
        <f>($D$10*F821D!P15+$F$10*F821EA!P15)*$L39</f>
        <v>403162.46741760697</v>
      </c>
      <c r="J39" s="156">
        <f t="shared" si="2"/>
        <v>2474696.9694539579</v>
      </c>
      <c r="K39" s="69"/>
      <c r="L39" s="319">
        <v>1</v>
      </c>
    </row>
    <row r="40" spans="2:13" s="37" customFormat="1" ht="15.75" customHeight="1">
      <c r="B40" s="48"/>
      <c r="C40" s="161" t="s">
        <v>306</v>
      </c>
      <c r="D40" s="156">
        <f>($D$10*F821D!K16+$F$10*F821EA!K16)*$L40</f>
        <v>0</v>
      </c>
      <c r="E40" s="156">
        <f>($D$10*F821D!L16+$F$10*F821EA!L16)*$L40</f>
        <v>0</v>
      </c>
      <c r="F40" s="156">
        <f>($D$10*F821D!M16+$F$10*F821EA!M16)*$L40</f>
        <v>0</v>
      </c>
      <c r="G40" s="156">
        <f>($D$10*F821D!N16+$F$10*F821EA!N16)*$L40</f>
        <v>0</v>
      </c>
      <c r="H40" s="156">
        <f>($D$10*F821D!O16+$F$10*F821EA!O16)*$L40</f>
        <v>0</v>
      </c>
      <c r="I40" s="156">
        <f>($D$10*F821D!P16+$F$10*F821EA!P16)*$L40</f>
        <v>0</v>
      </c>
      <c r="J40" s="156">
        <f t="shared" si="2"/>
        <v>0</v>
      </c>
      <c r="K40" s="69"/>
      <c r="L40" s="319">
        <v>1</v>
      </c>
    </row>
    <row r="41" spans="2:13" s="37" customFormat="1" ht="15.75" customHeight="1">
      <c r="B41" s="48"/>
      <c r="C41" s="160" t="s">
        <v>305</v>
      </c>
      <c r="D41" s="156">
        <f>($D$10*F821D!K17+$F$10*F821EA!K17)*$L41</f>
        <v>1054.8713193115593</v>
      </c>
      <c r="E41" s="156">
        <f>($D$10*F821D!L17+$F$10*F821EA!L17)*$L41</f>
        <v>2026.8594789673389</v>
      </c>
      <c r="F41" s="156">
        <f>($D$10*F821D!M17+$F$10*F821EA!M17)*$L41</f>
        <v>1174.2977312155458</v>
      </c>
      <c r="G41" s="156">
        <f>($D$10*F821D!N17+$F$10*F821EA!N17)*$L41</f>
        <v>1139.6125438829688</v>
      </c>
      <c r="H41" s="156">
        <f>($D$10*F821D!O17+$F$10*F821EA!O17)*$L41</f>
        <v>3452.1363251664379</v>
      </c>
      <c r="I41" s="156">
        <f>($D$10*F821D!P17+$F$10*F821EA!P17)*$L41</f>
        <v>3239.1608916605833</v>
      </c>
      <c r="J41" s="156">
        <f t="shared" si="2"/>
        <v>12086.938290204434</v>
      </c>
      <c r="K41" s="69"/>
      <c r="L41" s="319">
        <v>0.95</v>
      </c>
    </row>
    <row r="42" spans="2:13" s="37" customFormat="1" ht="15.75" customHeight="1">
      <c r="B42" s="48"/>
      <c r="C42" s="160" t="s">
        <v>307</v>
      </c>
      <c r="D42" s="156">
        <f>($D$10*F821D!K18+$F$10*F821EA!K18)*$L42</f>
        <v>0</v>
      </c>
      <c r="E42" s="156">
        <f>($D$10*F821D!L18+$F$10*F821EA!L18)*$L42</f>
        <v>0</v>
      </c>
      <c r="F42" s="156">
        <f>($D$10*F821D!M18+$F$10*F821EA!M18)*$L42</f>
        <v>0</v>
      </c>
      <c r="G42" s="156">
        <f>($D$10*F821D!N18+$F$10*F821EA!N18)*$L42</f>
        <v>0</v>
      </c>
      <c r="H42" s="156">
        <f>($D$10*F821D!O18+$F$10*F821EA!O18)*$L42</f>
        <v>0</v>
      </c>
      <c r="I42" s="156">
        <f>($D$10*F821D!P18+$F$10*F821EA!P18)*$L42</f>
        <v>0</v>
      </c>
      <c r="J42" s="156">
        <f t="shared" si="2"/>
        <v>0</v>
      </c>
      <c r="K42" s="69"/>
      <c r="L42" s="319">
        <v>0.5</v>
      </c>
    </row>
    <row r="43" spans="2:13" s="37" customFormat="1" ht="15.75" customHeight="1">
      <c r="B43" s="48"/>
      <c r="C43" s="157"/>
      <c r="D43" s="157"/>
      <c r="E43" s="157"/>
      <c r="F43" s="157"/>
      <c r="G43" s="157"/>
      <c r="H43" s="157"/>
      <c r="I43" s="157"/>
      <c r="J43" s="157"/>
      <c r="K43" s="69"/>
      <c r="L43" s="319"/>
    </row>
    <row r="44" spans="2:13" s="37" customFormat="1" ht="15.75" customHeight="1">
      <c r="B44" s="48"/>
      <c r="C44" s="153" t="s">
        <v>443</v>
      </c>
      <c r="D44" s="154">
        <f t="shared" ref="D44:I44" si="5">D45+D49+D56+D61+D66+D79+D85+D92+D100+D106+D113+D72</f>
        <v>2673555.7942829197</v>
      </c>
      <c r="E44" s="154">
        <f t="shared" si="5"/>
        <v>2674880.6683008815</v>
      </c>
      <c r="F44" s="154">
        <f t="shared" si="5"/>
        <v>2620690.6042249845</v>
      </c>
      <c r="G44" s="154">
        <f t="shared" si="5"/>
        <v>2661177.9333470082</v>
      </c>
      <c r="H44" s="154">
        <f t="shared" si="5"/>
        <v>2552494.1356777032</v>
      </c>
      <c r="I44" s="154">
        <f t="shared" si="5"/>
        <v>2559564.8287163954</v>
      </c>
      <c r="J44" s="154">
        <f t="shared" ref="J44:J70" si="6">SUM(D44:I44)</f>
        <v>15742363.964549892</v>
      </c>
      <c r="K44" s="69"/>
      <c r="L44" s="319"/>
    </row>
    <row r="45" spans="2:13" s="37" customFormat="1" ht="15.75" customHeight="1">
      <c r="B45" s="48" t="s">
        <v>275</v>
      </c>
      <c r="C45" s="155" t="s">
        <v>275</v>
      </c>
      <c r="D45" s="154">
        <f>SUM(D46:D48)</f>
        <v>37566.24699</v>
      </c>
      <c r="E45" s="154">
        <f t="shared" ref="E45:I45" si="7">SUM(E46:E48)</f>
        <v>35781.973440000002</v>
      </c>
      <c r="F45" s="154">
        <f t="shared" si="7"/>
        <v>35208.350310000002</v>
      </c>
      <c r="G45" s="154">
        <f t="shared" si="7"/>
        <v>35060.492310000001</v>
      </c>
      <c r="H45" s="154">
        <f t="shared" si="7"/>
        <v>31521.804840000001</v>
      </c>
      <c r="I45" s="154">
        <f t="shared" si="7"/>
        <v>35268.293250000002</v>
      </c>
      <c r="J45" s="154">
        <f t="shared" si="6"/>
        <v>210407.16113999998</v>
      </c>
      <c r="K45" s="69"/>
      <c r="L45" s="319"/>
    </row>
    <row r="46" spans="2:13" s="37" customFormat="1" ht="15.75" customHeight="1">
      <c r="B46" s="48"/>
      <c r="C46" s="160" t="s">
        <v>304</v>
      </c>
      <c r="D46" s="156">
        <f>$D$11*F821D!K22+$G$11*F821EA!K22</f>
        <v>37070.707889999998</v>
      </c>
      <c r="E46" s="156">
        <f>$D$11*F821D!L22+$G$11*F821EA!L22</f>
        <v>35423.885759999997</v>
      </c>
      <c r="F46" s="156">
        <f>$D$11*F821D!M22+$G$11*F821EA!M22</f>
        <v>34743.832889999998</v>
      </c>
      <c r="G46" s="156">
        <f>$D$11*F821D!N22+$G$11*F821EA!N22</f>
        <v>34668.59289</v>
      </c>
      <c r="H46" s="156">
        <f>$D$11*F821D!O22+$G$11*F821EA!O22</f>
        <v>31140.1302</v>
      </c>
      <c r="I46" s="156">
        <f>$D$11*F821D!P22+$G$11*F821EA!P22</f>
        <v>34856.766900000002</v>
      </c>
      <c r="J46" s="156">
        <f t="shared" si="6"/>
        <v>207903.91652999999</v>
      </c>
      <c r="K46" s="69"/>
      <c r="L46" s="319"/>
    </row>
    <row r="47" spans="2:13" s="37" customFormat="1" ht="15.75" customHeight="1">
      <c r="B47" s="48"/>
      <c r="C47" s="161" t="s">
        <v>306</v>
      </c>
      <c r="D47" s="156">
        <f>($D$11*F821D!K23+$G$11*F821EA!K23)*$L47</f>
        <v>334.56197999999995</v>
      </c>
      <c r="E47" s="156">
        <f>($D$11*F821D!L23+$G$11*F821EA!L23)*$L47</f>
        <v>150.47999999999999</v>
      </c>
      <c r="F47" s="156">
        <f>($D$11*F821D!M23+$G$11*F821EA!M23)*$L47</f>
        <v>254.70269999999999</v>
      </c>
      <c r="G47" s="156">
        <f>($D$11*F821D!N23+$G$11*F821EA!N23)*$L47</f>
        <v>275.22269999999997</v>
      </c>
      <c r="H47" s="156">
        <f>($D$11*F821D!O23+$G$11*F821EA!O23)*$L47</f>
        <v>228.09383999999997</v>
      </c>
      <c r="I47" s="156">
        <f>($D$11*F821D!P23+$G$11*F821EA!P23)*$L47</f>
        <v>230.93210999999997</v>
      </c>
      <c r="J47" s="156">
        <f t="shared" si="6"/>
        <v>1473.99333</v>
      </c>
      <c r="K47" s="69"/>
      <c r="L47" s="319">
        <v>1</v>
      </c>
    </row>
    <row r="48" spans="2:13" s="37" customFormat="1" ht="15.75" customHeight="1">
      <c r="B48" s="48"/>
      <c r="C48" s="160" t="s">
        <v>305</v>
      </c>
      <c r="D48" s="156">
        <f>($D$11*F821D!K24+$G$11*F821EA!K24)*$L48</f>
        <v>160.97711999999999</v>
      </c>
      <c r="E48" s="156">
        <f>($D$11*F821D!L24+$G$11*F821EA!L24)*$L48</f>
        <v>207.60767999999999</v>
      </c>
      <c r="F48" s="156">
        <f>($D$11*F821D!M24+$G$11*F821EA!M24)*$L48</f>
        <v>209.81471999999999</v>
      </c>
      <c r="G48" s="156">
        <f>($D$11*F821D!N24+$G$11*F821EA!N24)*$L48</f>
        <v>116.67671999999999</v>
      </c>
      <c r="H48" s="156">
        <f>($D$11*F821D!O24+$G$11*F821EA!O24)*$L48</f>
        <v>153.58079999999998</v>
      </c>
      <c r="I48" s="156">
        <f>($D$11*F821D!P24+$G$11*F821EA!P24)*$L48</f>
        <v>180.59423999999999</v>
      </c>
      <c r="J48" s="156">
        <f t="shared" si="6"/>
        <v>1029.2512799999997</v>
      </c>
      <c r="K48" s="69"/>
      <c r="L48" s="319">
        <v>0.95</v>
      </c>
    </row>
    <row r="49" spans="2:12" s="37" customFormat="1" ht="15.75" customHeight="1">
      <c r="B49" s="48" t="s">
        <v>274</v>
      </c>
      <c r="C49" s="158" t="s">
        <v>627</v>
      </c>
      <c r="D49" s="159">
        <f t="shared" ref="D49:I49" si="8">SUM(D50:D55)</f>
        <v>764440.10372182331</v>
      </c>
      <c r="E49" s="159">
        <f t="shared" si="8"/>
        <v>764117.82799848937</v>
      </c>
      <c r="F49" s="159">
        <f t="shared" si="8"/>
        <v>758898.47958755249</v>
      </c>
      <c r="G49" s="159">
        <f t="shared" si="8"/>
        <v>767464.7319520578</v>
      </c>
      <c r="H49" s="159">
        <f t="shared" si="8"/>
        <v>754882.17879235058</v>
      </c>
      <c r="I49" s="159">
        <f t="shared" si="8"/>
        <v>755344.66811188078</v>
      </c>
      <c r="J49" s="159">
        <f t="shared" si="6"/>
        <v>4565147.9901641542</v>
      </c>
      <c r="K49" s="69"/>
      <c r="L49" s="319"/>
    </row>
    <row r="50" spans="2:12" s="37" customFormat="1" ht="15.75" customHeight="1">
      <c r="B50" s="48"/>
      <c r="C50" s="160" t="s">
        <v>304</v>
      </c>
      <c r="D50" s="156">
        <f>($D$12*F821D!K28+$F$12*F821EA!K28)*$L50</f>
        <v>763072.34420430858</v>
      </c>
      <c r="E50" s="156">
        <f>($D$12*F821D!L28+$F$12*F821EA!L28)*$L50</f>
        <v>762719.45517681062</v>
      </c>
      <c r="F50" s="156">
        <f>($D$12*F821D!M28+$F$12*F821EA!M28)*$L50</f>
        <v>757322.88746116974</v>
      </c>
      <c r="G50" s="156">
        <f>($D$12*F821D!N28+$F$12*F821EA!N28)*$L50</f>
        <v>766091.11637409101</v>
      </c>
      <c r="H50" s="156">
        <f>($D$12*F821D!O28+$F$12*F821EA!O28)*$L50</f>
        <v>753488.25774828508</v>
      </c>
      <c r="I50" s="156">
        <f>($D$12*F821D!P28+$F$12*F821EA!P28)*$L50</f>
        <v>753795.89710042672</v>
      </c>
      <c r="J50" s="156">
        <f t="shared" si="6"/>
        <v>4556489.9580650926</v>
      </c>
      <c r="K50" s="69"/>
      <c r="L50" s="319">
        <v>1</v>
      </c>
    </row>
    <row r="51" spans="2:12" s="37" customFormat="1" ht="15.75" customHeight="1">
      <c r="B51" s="48"/>
      <c r="C51" s="162" t="s">
        <v>628</v>
      </c>
      <c r="D51" s="156">
        <f>($D$12*F821D!K29+$F$12*F821EA!K29)*$L51</f>
        <v>47.454515746091914</v>
      </c>
      <c r="E51" s="156">
        <f>($D$12*F821D!L29+$F$12*F821EA!L29)*$L51</f>
        <v>47.454515746091914</v>
      </c>
      <c r="F51" s="156">
        <f>($D$12*F821D!M29+$F$12*F821EA!M29)*$L51</f>
        <v>55.363601703773902</v>
      </c>
      <c r="G51" s="156">
        <f>($D$12*F821D!N29+$F$12*F821EA!N29)*$L51</f>
        <v>55.363601703773902</v>
      </c>
      <c r="H51" s="156">
        <f>($D$12*F821D!O29+$F$12*F821EA!O29)*$L51</f>
        <v>55.363601703773902</v>
      </c>
      <c r="I51" s="156">
        <f>($D$12*F821D!P29+$F$12*F821EA!P29)*$L51</f>
        <v>47.454515746091914</v>
      </c>
      <c r="J51" s="156">
        <f t="shared" si="6"/>
        <v>308.45435234959746</v>
      </c>
      <c r="K51" s="69"/>
      <c r="L51" s="319">
        <v>0.75</v>
      </c>
    </row>
    <row r="52" spans="2:12" s="37" customFormat="1" ht="15.75" customHeight="1">
      <c r="B52" s="48"/>
      <c r="C52" s="161" t="s">
        <v>629</v>
      </c>
      <c r="D52" s="156">
        <f>($D$12*F821D!K30+$F$12*F821EA!K30)*$L52</f>
        <v>420.52831949343306</v>
      </c>
      <c r="E52" s="156">
        <f>($D$12*F821D!L30+$F$12*F821EA!L30)*$L52</f>
        <v>479.12951727756558</v>
      </c>
      <c r="F52" s="156">
        <f>($D$12*F821D!M30+$F$12*F821EA!M30)*$L52</f>
        <v>492.21497320941467</v>
      </c>
      <c r="G52" s="156">
        <f>($D$12*F821D!N30+$F$12*F821EA!N30)*$L52</f>
        <v>470.20225758900301</v>
      </c>
      <c r="H52" s="156">
        <f>($D$12*F821D!O30+$F$12*F821EA!O30)*$L52</f>
        <v>451.56286574020396</v>
      </c>
      <c r="I52" s="156">
        <f>($D$12*F821D!P30+$F$12*F821EA!P30)*$L52</f>
        <v>453.92467712208725</v>
      </c>
      <c r="J52" s="156">
        <f t="shared" si="6"/>
        <v>2767.5626104317075</v>
      </c>
      <c r="K52" s="69"/>
      <c r="L52" s="319">
        <v>1</v>
      </c>
    </row>
    <row r="53" spans="2:12" s="37" customFormat="1" ht="15.75" customHeight="1">
      <c r="B53" s="48"/>
      <c r="C53" s="160" t="s">
        <v>305</v>
      </c>
      <c r="D53" s="156">
        <f>($D$12*F821D!K31+$F$12*F821EA!K31)*$L53</f>
        <v>803.5009647508607</v>
      </c>
      <c r="E53" s="156">
        <f>($D$12*F821D!L31+$F$12*F821EA!L31)*$L53</f>
        <v>782.54336975981221</v>
      </c>
      <c r="F53" s="156">
        <f>($D$12*F821D!M31+$F$12*F821EA!M31)*$L53</f>
        <v>926.81662490489703</v>
      </c>
      <c r="G53" s="156">
        <f>($D$12*F821D!N31+$F$12*F821EA!N31)*$L53</f>
        <v>746.14976224638497</v>
      </c>
      <c r="H53" s="156">
        <f>($D$12*F821D!O31+$F$12*F821EA!O31)*$L53</f>
        <v>794.38097854878697</v>
      </c>
      <c r="I53" s="156">
        <f>($D$12*F821D!P31+$F$12*F821EA!P31)*$L53</f>
        <v>963.50851914227178</v>
      </c>
      <c r="J53" s="156">
        <f t="shared" si="6"/>
        <v>5016.9002193530132</v>
      </c>
      <c r="K53" s="69"/>
      <c r="L53" s="319">
        <v>0.95</v>
      </c>
    </row>
    <row r="54" spans="2:12" s="37" customFormat="1" ht="15.75" customHeight="1">
      <c r="B54" s="48"/>
      <c r="C54" s="160" t="s">
        <v>307</v>
      </c>
      <c r="D54" s="156">
        <f>($D$12*F821D!K32+$F$12*F821EA!K32)*$L54</f>
        <v>96.275717524360957</v>
      </c>
      <c r="E54" s="156">
        <f>($D$12*F821D!L32+$F$12*F821EA!L32)*$L54</f>
        <v>89.245418895310294</v>
      </c>
      <c r="F54" s="156">
        <f>($D$12*F821D!M32+$F$12*F821EA!M32)*$L54</f>
        <v>101.1969265646964</v>
      </c>
      <c r="G54" s="156">
        <f>($D$12*F821D!N32+$F$12*F821EA!N32)*$L54</f>
        <v>101.89995642760147</v>
      </c>
      <c r="H54" s="156">
        <f>($D$12*F821D!O32+$F$12*F821EA!O32)*$L54</f>
        <v>92.613598072740686</v>
      </c>
      <c r="I54" s="156">
        <f>($D$12*F821D!P32+$F$12*F821EA!P32)*$L54</f>
        <v>83.883299443690035</v>
      </c>
      <c r="J54" s="156">
        <f t="shared" si="6"/>
        <v>565.11491692839979</v>
      </c>
      <c r="K54" s="69"/>
      <c r="L54" s="319">
        <v>0.5</v>
      </c>
    </row>
    <row r="55" spans="2:12" s="37" customFormat="1" ht="15.75" customHeight="1">
      <c r="B55" s="48"/>
      <c r="C55" s="160" t="s">
        <v>624</v>
      </c>
      <c r="D55" s="156">
        <f>($D$12*F821D!K33+$F$12*F821EA!K33)*$L55</f>
        <v>0</v>
      </c>
      <c r="E55" s="156">
        <f>($D$12*F821D!L33+$F$12*F821EA!L33)*$L55</f>
        <v>0</v>
      </c>
      <c r="F55" s="156">
        <f>($D$12*F821D!M33+$F$12*F821EA!M33)*$L55</f>
        <v>0</v>
      </c>
      <c r="G55" s="156">
        <f>($D$12*F821D!N33+$F$12*F821EA!N33)*$L55</f>
        <v>0</v>
      </c>
      <c r="H55" s="156">
        <f>($D$12*F821D!O33+$F$12*F821EA!O33)*$L55</f>
        <v>0</v>
      </c>
      <c r="I55" s="156">
        <f>($D$12*F821D!P33+$F$12*F821EA!P33)*$L55</f>
        <v>0</v>
      </c>
      <c r="J55" s="156">
        <f t="shared" si="6"/>
        <v>0</v>
      </c>
      <c r="K55" s="69"/>
      <c r="L55" s="319">
        <v>0</v>
      </c>
    </row>
    <row r="56" spans="2:12" s="37" customFormat="1" ht="15.75" customHeight="1">
      <c r="B56" s="48" t="s">
        <v>274</v>
      </c>
      <c r="C56" s="158" t="s">
        <v>631</v>
      </c>
      <c r="D56" s="159">
        <f t="shared" ref="D56:I56" si="9">SUM(D57:D60)</f>
        <v>398389.90724480437</v>
      </c>
      <c r="E56" s="159">
        <f t="shared" si="9"/>
        <v>418824.74304647493</v>
      </c>
      <c r="F56" s="159">
        <f t="shared" si="9"/>
        <v>407257.19642241643</v>
      </c>
      <c r="G56" s="159">
        <f t="shared" si="9"/>
        <v>414314.30734978808</v>
      </c>
      <c r="H56" s="159">
        <f t="shared" si="9"/>
        <v>392007.15246922296</v>
      </c>
      <c r="I56" s="159">
        <f t="shared" si="9"/>
        <v>381115.12442841718</v>
      </c>
      <c r="J56" s="159">
        <f t="shared" si="6"/>
        <v>2411908.4309611237</v>
      </c>
      <c r="K56" s="69"/>
      <c r="L56" s="319"/>
    </row>
    <row r="57" spans="2:12" s="37" customFormat="1" ht="15.75" customHeight="1">
      <c r="B57" s="48"/>
      <c r="C57" s="160" t="s">
        <v>304</v>
      </c>
      <c r="D57" s="156">
        <f>($D$13*F821D!K35+$F$13*F821EA!K35)*$L57</f>
        <v>398028.36038214585</v>
      </c>
      <c r="E57" s="156">
        <f>($D$13*F821D!L35+$F$13*F821EA!L35)*$L57</f>
        <v>418467.20345403499</v>
      </c>
      <c r="F57" s="156">
        <f>($D$13*F821D!M35+$F$13*F821EA!M35)*$L57</f>
        <v>406851.76531649742</v>
      </c>
      <c r="G57" s="156">
        <f>($D$13*F821D!N35+$F$13*F821EA!N35)*$L57</f>
        <v>413847.65021754877</v>
      </c>
      <c r="H57" s="156">
        <f>($D$13*F821D!O35+$F$13*F821EA!O35)*$L57</f>
        <v>391726.55133570812</v>
      </c>
      <c r="I57" s="156">
        <f>($D$13*F821D!P35+$F$13*F821EA!P35)*$L57</f>
        <v>380639.26097268093</v>
      </c>
      <c r="J57" s="156">
        <f t="shared" si="6"/>
        <v>2409560.7916786158</v>
      </c>
      <c r="K57" s="69"/>
      <c r="L57" s="319">
        <v>1</v>
      </c>
    </row>
    <row r="58" spans="2:12" s="37" customFormat="1" ht="15.75" customHeight="1">
      <c r="B58" s="48"/>
      <c r="C58" s="161" t="s">
        <v>306</v>
      </c>
      <c r="D58" s="156">
        <f>($D$13*F821D!K36+$F$13*F821EA!K36)*$L58</f>
        <v>0</v>
      </c>
      <c r="E58" s="156">
        <f>($D$13*F821D!L36+$F$13*F821EA!L36)*$L58</f>
        <v>0</v>
      </c>
      <c r="F58" s="156">
        <f>($D$13*F821D!M36+$F$13*F821EA!M36)*$L58</f>
        <v>0</v>
      </c>
      <c r="G58" s="156">
        <f>($D$13*F821D!N36+$F$13*F821EA!N36)*$L58</f>
        <v>0</v>
      </c>
      <c r="H58" s="156">
        <f>($D$13*F821D!O36+$F$13*F821EA!O36)*$L58</f>
        <v>0</v>
      </c>
      <c r="I58" s="156">
        <f>($D$13*F821D!P36+$F$13*F821EA!P36)*$L58</f>
        <v>0</v>
      </c>
      <c r="J58" s="156">
        <f t="shared" si="6"/>
        <v>0</v>
      </c>
      <c r="K58" s="69"/>
      <c r="L58" s="319">
        <v>1</v>
      </c>
    </row>
    <row r="59" spans="2:12" s="37" customFormat="1" ht="15.75" customHeight="1">
      <c r="B59" s="48"/>
      <c r="C59" s="160" t="s">
        <v>305</v>
      </c>
      <c r="D59" s="156">
        <f>($D$13*F821D!K37+$F$13*F821EA!K37)*$L59</f>
        <v>361.54686265851188</v>
      </c>
      <c r="E59" s="156">
        <f>($D$13*F821D!L37+$F$13*F821EA!L37)*$L59</f>
        <v>357.53959243995303</v>
      </c>
      <c r="F59" s="156">
        <f>($D$13*F821D!M37+$F$13*F821EA!M37)*$L59</f>
        <v>405.43110591899227</v>
      </c>
      <c r="G59" s="156">
        <f>($D$13*F821D!N37+$F$13*F821EA!N37)*$L59</f>
        <v>466.65713223929686</v>
      </c>
      <c r="H59" s="156">
        <f>($D$13*F821D!O37+$F$13*F821EA!O37)*$L59</f>
        <v>280.60113351484466</v>
      </c>
      <c r="I59" s="156">
        <f>($D$13*F821D!P37+$F$13*F821EA!P37)*$L59</f>
        <v>475.86345573623879</v>
      </c>
      <c r="J59" s="156">
        <f t="shared" si="6"/>
        <v>2347.6392825078374</v>
      </c>
      <c r="K59" s="69"/>
      <c r="L59" s="319">
        <v>0.95</v>
      </c>
    </row>
    <row r="60" spans="2:12" s="37" customFormat="1" ht="15.75" customHeight="1">
      <c r="B60" s="48"/>
      <c r="C60" s="160" t="s">
        <v>307</v>
      </c>
      <c r="D60" s="156">
        <f>($D$13*F821D!K38+$F$13*F821EA!K38)*$L60</f>
        <v>0</v>
      </c>
      <c r="E60" s="156">
        <f>($D$13*F821D!L38+$F$13*F821EA!L38)*$L60</f>
        <v>0</v>
      </c>
      <c r="F60" s="156">
        <f>($D$13*F821D!M38+$F$13*F821EA!M38)*$L60</f>
        <v>0</v>
      </c>
      <c r="G60" s="156">
        <f>($D$13*F821D!N38+$F$13*F821EA!N38)*$L60</f>
        <v>0</v>
      </c>
      <c r="H60" s="156">
        <f>($D$13*F821D!O38+$F$13*F821EA!O38)*$L60</f>
        <v>0</v>
      </c>
      <c r="I60" s="156">
        <f>($D$13*F821D!P38+$F$13*F821EA!P38)*$L60</f>
        <v>0</v>
      </c>
      <c r="J60" s="156">
        <f t="shared" si="6"/>
        <v>0</v>
      </c>
      <c r="K60" s="69"/>
      <c r="L60" s="319">
        <v>0.5</v>
      </c>
    </row>
    <row r="61" spans="2:12" s="37" customFormat="1" ht="15.75" customHeight="1">
      <c r="B61" s="48" t="s">
        <v>274</v>
      </c>
      <c r="C61" s="158" t="s">
        <v>632</v>
      </c>
      <c r="D61" s="159">
        <f t="shared" ref="D61:I61" si="10">SUM(D62:D65)</f>
        <v>135517.5370692283</v>
      </c>
      <c r="E61" s="159">
        <f t="shared" si="10"/>
        <v>130502.77713145956</v>
      </c>
      <c r="F61" s="159">
        <f t="shared" si="10"/>
        <v>118342.62065905519</v>
      </c>
      <c r="G61" s="159">
        <f t="shared" si="10"/>
        <v>129525.32604566938</v>
      </c>
      <c r="H61" s="159">
        <f t="shared" si="10"/>
        <v>113648.28511382926</v>
      </c>
      <c r="I61" s="159">
        <f t="shared" si="10"/>
        <v>115512.38322206095</v>
      </c>
      <c r="J61" s="159">
        <f t="shared" si="6"/>
        <v>743048.92924130266</v>
      </c>
      <c r="K61" s="69"/>
      <c r="L61" s="319"/>
    </row>
    <row r="62" spans="2:12" s="37" customFormat="1" ht="15.75" customHeight="1">
      <c r="B62" s="48"/>
      <c r="C62" s="160" t="s">
        <v>304</v>
      </c>
      <c r="D62" s="156">
        <f>($D$14*F821D!K40+$F$14*F821EA!K40)*$L62</f>
        <v>135517.5370692283</v>
      </c>
      <c r="E62" s="156">
        <f>($D$14*F821D!L40+$F$14*F821EA!L40)*$L62</f>
        <v>130502.77713145956</v>
      </c>
      <c r="F62" s="156">
        <f>($D$14*F821D!M40+$F$14*F821EA!M40)*$L62</f>
        <v>118342.62065905519</v>
      </c>
      <c r="G62" s="156">
        <f>($D$14*F821D!N40+$F$14*F821EA!N40)*$L62</f>
        <v>129525.32604566938</v>
      </c>
      <c r="H62" s="156">
        <f>($D$14*F821D!O40+$F$14*F821EA!O40)*$L62</f>
        <v>113648.28511382926</v>
      </c>
      <c r="I62" s="156">
        <f>($D$14*F821D!P40+$F$14*F821EA!P40)*$L62</f>
        <v>115512.38322206095</v>
      </c>
      <c r="J62" s="156">
        <f t="shared" si="6"/>
        <v>743048.92924130266</v>
      </c>
      <c r="K62" s="69"/>
      <c r="L62" s="319">
        <v>1</v>
      </c>
    </row>
    <row r="63" spans="2:12" s="37" customFormat="1" ht="15.75" customHeight="1">
      <c r="B63" s="48"/>
      <c r="C63" s="161" t="s">
        <v>306</v>
      </c>
      <c r="D63" s="156">
        <f>($D$14*F821D!K41+$F$14*F821EA!K41)*$L63</f>
        <v>0</v>
      </c>
      <c r="E63" s="156">
        <f>($D$14*F821D!L41+$F$14*F821EA!L41)*$L63</f>
        <v>0</v>
      </c>
      <c r="F63" s="156">
        <f>($D$14*F821D!M41+$F$14*F821EA!M41)*$L63</f>
        <v>0</v>
      </c>
      <c r="G63" s="156">
        <f>($D$14*F821D!N41+$F$14*F821EA!N41)*$L63</f>
        <v>0</v>
      </c>
      <c r="H63" s="156">
        <f>($D$14*F821D!O41+$F$14*F821EA!O41)*$L63</f>
        <v>0</v>
      </c>
      <c r="I63" s="156">
        <f>($D$14*F821D!P41+$F$14*F821EA!P41)*$L63</f>
        <v>0</v>
      </c>
      <c r="J63" s="156">
        <f t="shared" si="6"/>
        <v>0</v>
      </c>
      <c r="K63" s="69"/>
      <c r="L63" s="319">
        <v>1</v>
      </c>
    </row>
    <row r="64" spans="2:12" s="37" customFormat="1" ht="15.75" customHeight="1">
      <c r="B64" s="48"/>
      <c r="C64" s="160" t="s">
        <v>305</v>
      </c>
      <c r="D64" s="156">
        <f>($D$14*F821D!K42+$F$14*F821EA!K42)*$L64</f>
        <v>0</v>
      </c>
      <c r="E64" s="156">
        <f>($D$14*F821D!L42+$F$14*F821EA!L42)*$L64</f>
        <v>0</v>
      </c>
      <c r="F64" s="156">
        <f>($D$14*F821D!M42+$F$14*F821EA!M42)*$L64</f>
        <v>0</v>
      </c>
      <c r="G64" s="156">
        <f>($D$14*F821D!N42+$F$14*F821EA!N42)*$L64</f>
        <v>0</v>
      </c>
      <c r="H64" s="156">
        <f>($D$14*F821D!O42+$F$14*F821EA!O42)*$L64</f>
        <v>0</v>
      </c>
      <c r="I64" s="156">
        <f>($D$14*F821D!P42+$F$14*F821EA!P42)*$L64</f>
        <v>0</v>
      </c>
      <c r="J64" s="156">
        <f t="shared" si="6"/>
        <v>0</v>
      </c>
      <c r="K64" s="69"/>
      <c r="L64" s="319">
        <v>0.95</v>
      </c>
    </row>
    <row r="65" spans="2:13" s="37" customFormat="1" ht="15.75" customHeight="1">
      <c r="B65" s="48"/>
      <c r="C65" s="160" t="s">
        <v>307</v>
      </c>
      <c r="D65" s="156">
        <f>($D$14*F821D!K43+$F$14*F821EA!K43)*$L65</f>
        <v>0</v>
      </c>
      <c r="E65" s="156">
        <f>($D$14*F821D!L43+$F$14*F821EA!L43)*$L65</f>
        <v>0</v>
      </c>
      <c r="F65" s="156">
        <f>($D$14*F821D!M43+$F$14*F821EA!M43)*$L65</f>
        <v>0</v>
      </c>
      <c r="G65" s="156">
        <f>($D$14*F821D!N43+$F$14*F821EA!N43)*$L65</f>
        <v>0</v>
      </c>
      <c r="H65" s="156">
        <f>($D$14*F821D!O43+$F$14*F821EA!O43)*$L65</f>
        <v>0</v>
      </c>
      <c r="I65" s="156">
        <f>($D$14*F821D!P43+$F$14*F821EA!P43)*$L65</f>
        <v>0</v>
      </c>
      <c r="J65" s="156">
        <f t="shared" si="6"/>
        <v>0</v>
      </c>
      <c r="K65" s="69"/>
      <c r="L65" s="319">
        <v>0.5</v>
      </c>
    </row>
    <row r="66" spans="2:13" s="37" customFormat="1" ht="15.75" customHeight="1">
      <c r="B66" s="48" t="s">
        <v>274</v>
      </c>
      <c r="C66" s="158" t="s">
        <v>633</v>
      </c>
      <c r="D66" s="159">
        <f t="shared" ref="D66:I66" si="11">SUM(D67:D70)</f>
        <v>142297.08766209986</v>
      </c>
      <c r="E66" s="159">
        <f t="shared" si="11"/>
        <v>132194.50834102114</v>
      </c>
      <c r="F66" s="159">
        <f t="shared" si="11"/>
        <v>119007.30627021962</v>
      </c>
      <c r="G66" s="159">
        <f t="shared" si="11"/>
        <v>131409.16115291079</v>
      </c>
      <c r="H66" s="159">
        <f t="shared" si="11"/>
        <v>121202.77424684979</v>
      </c>
      <c r="I66" s="159">
        <f t="shared" si="11"/>
        <v>121737.9818277442</v>
      </c>
      <c r="J66" s="159">
        <f t="shared" si="6"/>
        <v>767848.81950084539</v>
      </c>
      <c r="K66" s="69"/>
      <c r="L66" s="319"/>
    </row>
    <row r="67" spans="2:13" s="37" customFormat="1" ht="15.75" customHeight="1">
      <c r="B67" s="48"/>
      <c r="C67" s="160" t="s">
        <v>304</v>
      </c>
      <c r="D67" s="156">
        <f>($D$15*F821D!K45+$F$15*F821EA!K45)*$L67</f>
        <v>142297.08766209986</v>
      </c>
      <c r="E67" s="156">
        <f>($D$15*F821D!L45+$F$15*F821EA!L45)*$L67</f>
        <v>132194.50834102114</v>
      </c>
      <c r="F67" s="156">
        <f>($D$15*F821D!M45+$F$15*F821EA!M45)*$L67</f>
        <v>119007.30627021962</v>
      </c>
      <c r="G67" s="156">
        <f>($D$15*F821D!N45+$F$15*F821EA!N45)*$L67</f>
        <v>131409.16115291079</v>
      </c>
      <c r="H67" s="156">
        <f>($D$15*F821D!O45+$F$15*F821EA!O45)*$L67</f>
        <v>121202.77424684979</v>
      </c>
      <c r="I67" s="156">
        <f>($D$15*F821D!P45+$F$15*F821EA!P45)*$L67</f>
        <v>121737.9818277442</v>
      </c>
      <c r="J67" s="156">
        <f t="shared" si="6"/>
        <v>767848.81950084539</v>
      </c>
      <c r="K67" s="69"/>
      <c r="L67" s="319">
        <v>1</v>
      </c>
    </row>
    <row r="68" spans="2:13" s="37" customFormat="1" ht="15.75" customHeight="1">
      <c r="B68" s="48"/>
      <c r="C68" s="161" t="s">
        <v>306</v>
      </c>
      <c r="D68" s="156">
        <f>($D$15*F821D!K46+$F$15*F821EA!K46)*$L68</f>
        <v>0</v>
      </c>
      <c r="E68" s="156">
        <f>($D$15*F821D!L46+$F$15*F821EA!L46)*$L68</f>
        <v>0</v>
      </c>
      <c r="F68" s="156">
        <f>($D$15*F821D!M46+$F$15*F821EA!M46)*$L68</f>
        <v>0</v>
      </c>
      <c r="G68" s="156">
        <f>($D$15*F821D!N46+$F$15*F821EA!N46)*$L68</f>
        <v>0</v>
      </c>
      <c r="H68" s="156">
        <f>($D$15*F821D!O46+$F$15*F821EA!O46)*$L68</f>
        <v>0</v>
      </c>
      <c r="I68" s="156">
        <f>($D$15*F821D!P46+$F$15*F821EA!P46)*$L68</f>
        <v>0</v>
      </c>
      <c r="J68" s="156">
        <f t="shared" si="6"/>
        <v>0</v>
      </c>
      <c r="K68" s="69"/>
      <c r="L68" s="319">
        <v>1</v>
      </c>
    </row>
    <row r="69" spans="2:13" s="37" customFormat="1" ht="15.75" customHeight="1">
      <c r="B69" s="48"/>
      <c r="C69" s="160" t="s">
        <v>305</v>
      </c>
      <c r="D69" s="156">
        <f>($D$15*F821D!K47+$F$15*F821EA!K47)*$L69</f>
        <v>0</v>
      </c>
      <c r="E69" s="156">
        <f>($D$15*F821D!L47+$F$15*F821EA!L47)*$L69</f>
        <v>0</v>
      </c>
      <c r="F69" s="156">
        <f>($D$15*F821D!M47+$F$15*F821EA!M47)*$L69</f>
        <v>0</v>
      </c>
      <c r="G69" s="156">
        <f>($D$15*F821D!N47+$F$15*F821EA!N47)*$L69</f>
        <v>0</v>
      </c>
      <c r="H69" s="156">
        <f>($D$15*F821D!O47+$F$15*F821EA!O47)*$L69</f>
        <v>0</v>
      </c>
      <c r="I69" s="156">
        <f>($D$15*F821D!P47+$F$15*F821EA!P47)*$L69</f>
        <v>0</v>
      </c>
      <c r="J69" s="156">
        <f t="shared" si="6"/>
        <v>0</v>
      </c>
      <c r="K69" s="69"/>
      <c r="L69" s="319">
        <v>0.95</v>
      </c>
    </row>
    <row r="70" spans="2:13" s="37" customFormat="1" ht="15.75" customHeight="1">
      <c r="B70" s="48"/>
      <c r="C70" s="160" t="s">
        <v>307</v>
      </c>
      <c r="D70" s="156">
        <f>($D$15*F821D!K48+$F$15*F821EA!K48)*$L70</f>
        <v>0</v>
      </c>
      <c r="E70" s="156">
        <f>($D$15*F821D!L48+$F$15*F821EA!L48)*$L70</f>
        <v>0</v>
      </c>
      <c r="F70" s="156">
        <f>($D$15*F821D!M48+$F$15*F821EA!M48)*$L70</f>
        <v>0</v>
      </c>
      <c r="G70" s="156">
        <f>($D$15*F821D!N48+$F$15*F821EA!N48)*$L70</f>
        <v>0</v>
      </c>
      <c r="H70" s="156">
        <f>($D$15*F821D!O48+$F$15*F821EA!O48)*$L70</f>
        <v>0</v>
      </c>
      <c r="I70" s="156">
        <f>($D$15*F821D!P48+$F$15*F821EA!P48)*$L70</f>
        <v>0</v>
      </c>
      <c r="J70" s="156">
        <f t="shared" si="6"/>
        <v>0</v>
      </c>
      <c r="K70" s="69"/>
      <c r="L70" s="319">
        <v>0.5</v>
      </c>
    </row>
    <row r="71" spans="2:13" s="37" customFormat="1" ht="15.75">
      <c r="B71" s="48"/>
      <c r="C71" s="157"/>
      <c r="D71" s="156"/>
      <c r="E71" s="156"/>
      <c r="F71" s="156"/>
      <c r="G71" s="156"/>
      <c r="H71" s="156"/>
      <c r="I71" s="156"/>
      <c r="J71" s="156"/>
      <c r="K71" s="69"/>
      <c r="L71" s="319"/>
    </row>
    <row r="72" spans="2:13" s="37" customFormat="1" ht="15.75">
      <c r="B72" s="48" t="s">
        <v>1176</v>
      </c>
      <c r="C72" s="158" t="str">
        <f>F821EA!$C$50</f>
        <v>BTSH</v>
      </c>
      <c r="D72" s="159">
        <f>SUM(D73:D78)</f>
        <v>0</v>
      </c>
      <c r="E72" s="159">
        <f t="shared" ref="E72:J72" si="12">SUM(E73:E78)</f>
        <v>0</v>
      </c>
      <c r="F72" s="159">
        <f t="shared" si="12"/>
        <v>0</v>
      </c>
      <c r="G72" s="159">
        <f t="shared" si="12"/>
        <v>0</v>
      </c>
      <c r="H72" s="159">
        <f t="shared" si="12"/>
        <v>0</v>
      </c>
      <c r="I72" s="159">
        <f t="shared" si="12"/>
        <v>0</v>
      </c>
      <c r="J72" s="159">
        <f t="shared" si="12"/>
        <v>0</v>
      </c>
      <c r="K72" s="69"/>
      <c r="L72" s="319"/>
    </row>
    <row r="73" spans="2:13" s="37" customFormat="1" ht="15.75">
      <c r="B73" s="48"/>
      <c r="C73" s="160" t="str">
        <f>F821EA!$C$51</f>
        <v xml:space="preserve">    - Regulares</v>
      </c>
      <c r="D73" s="156">
        <f>($G$16*F821EA!K51)*$L73</f>
        <v>0</v>
      </c>
      <c r="E73" s="156">
        <f>($G$16*F821EA!L51)*$L73</f>
        <v>0</v>
      </c>
      <c r="F73" s="156">
        <f>($G$16*F821EA!M51)*$L73</f>
        <v>0</v>
      </c>
      <c r="G73" s="156">
        <f>($G$16*F821EA!N51)*$L73</f>
        <v>0</v>
      </c>
      <c r="H73" s="156">
        <f>($G$16*F821EA!O51)*$L73</f>
        <v>0</v>
      </c>
      <c r="I73" s="156">
        <f>($G$16*F821EA!P51)*$L73</f>
        <v>0</v>
      </c>
      <c r="J73" s="156">
        <f t="shared" ref="J73:J90" si="13">SUM(D73:I73)</f>
        <v>0</v>
      </c>
      <c r="K73" s="69"/>
      <c r="L73" s="319">
        <v>1</v>
      </c>
      <c r="M73" s="69"/>
    </row>
    <row r="74" spans="2:13" s="37" customFormat="1" ht="15.75">
      <c r="B74" s="48"/>
      <c r="C74" s="162" t="str">
        <f>F821EA!$C$52</f>
        <v xml:space="preserve">    - Jubilados (0 a 600 KWh)</v>
      </c>
      <c r="D74" s="156">
        <f>($G$16*F821EA!K52)*$L74</f>
        <v>0</v>
      </c>
      <c r="E74" s="156">
        <f>($G$16*F821EA!L52)*$L74</f>
        <v>0</v>
      </c>
      <c r="F74" s="156">
        <f>($G$16*F821EA!M52)*$L74</f>
        <v>0</v>
      </c>
      <c r="G74" s="156">
        <f>($G$16*F821EA!N52)*$L74</f>
        <v>0</v>
      </c>
      <c r="H74" s="156">
        <f>($G$16*F821EA!O52)*$L74</f>
        <v>0</v>
      </c>
      <c r="I74" s="156">
        <f>($G$16*F821EA!P52)*$L74</f>
        <v>0</v>
      </c>
      <c r="J74" s="156">
        <f t="shared" si="13"/>
        <v>0</v>
      </c>
      <c r="K74" s="69"/>
      <c r="L74" s="319">
        <v>0.75</v>
      </c>
      <c r="M74" s="69"/>
    </row>
    <row r="75" spans="2:13" s="37" customFormat="1" ht="15.75">
      <c r="B75" s="48"/>
      <c r="C75" s="162" t="str">
        <f>F821EA!$C$53</f>
        <v xml:space="preserve">    - Jubilados (601 y Más KWh)</v>
      </c>
      <c r="D75" s="156">
        <f>($G$16*F821EA!K53)*$L75</f>
        <v>0</v>
      </c>
      <c r="E75" s="156">
        <f>($G$16*F821EA!L53)*$L75</f>
        <v>0</v>
      </c>
      <c r="F75" s="156">
        <f>($G$16*F821EA!M53)*$L75</f>
        <v>0</v>
      </c>
      <c r="G75" s="156">
        <f>($G$16*F821EA!N53)*$L75</f>
        <v>0</v>
      </c>
      <c r="H75" s="156">
        <f>($G$16*F821EA!O53)*$L75</f>
        <v>0</v>
      </c>
      <c r="I75" s="156">
        <f>($G$16*F821EA!P53)*$L75</f>
        <v>0</v>
      </c>
      <c r="J75" s="156">
        <f t="shared" si="13"/>
        <v>0</v>
      </c>
      <c r="K75" s="69"/>
      <c r="L75" s="319">
        <v>1</v>
      </c>
      <c r="M75" s="69"/>
    </row>
    <row r="76" spans="2:13" s="37" customFormat="1" ht="15.75">
      <c r="B76" s="48"/>
      <c r="C76" s="160" t="str">
        <f>F821EA!$C$54</f>
        <v xml:space="preserve">    - Agropecuarios</v>
      </c>
      <c r="D76" s="156">
        <f>($G$16*F821EA!K54)*$L76</f>
        <v>0</v>
      </c>
      <c r="E76" s="156">
        <f>($G$16*F821EA!L54)*$L76</f>
        <v>0</v>
      </c>
      <c r="F76" s="156">
        <f>($G$16*F821EA!M54)*$L76</f>
        <v>0</v>
      </c>
      <c r="G76" s="156">
        <f>($G$16*F821EA!N54)*$L76</f>
        <v>0</v>
      </c>
      <c r="H76" s="156">
        <f>($G$16*F821EA!O54)*$L76</f>
        <v>0</v>
      </c>
      <c r="I76" s="156">
        <f>($G$16*F821EA!P54)*$L76</f>
        <v>0</v>
      </c>
      <c r="J76" s="156">
        <f t="shared" si="13"/>
        <v>0</v>
      </c>
      <c r="K76" s="69"/>
      <c r="L76" s="319">
        <v>0.95</v>
      </c>
      <c r="M76" s="69"/>
    </row>
    <row r="77" spans="2:13" s="37" customFormat="1" ht="15.75">
      <c r="B77" s="48"/>
      <c r="C77" s="160" t="str">
        <f>F821EA!$C$55</f>
        <v xml:space="preserve">    - Partidos Políticos</v>
      </c>
      <c r="D77" s="156">
        <f>($G$16*F821EA!K55)*$L77</f>
        <v>0</v>
      </c>
      <c r="E77" s="156">
        <f>($G$16*F821EA!L55)*$L77</f>
        <v>0</v>
      </c>
      <c r="F77" s="156">
        <f>($G$16*F821EA!M55)*$L77</f>
        <v>0</v>
      </c>
      <c r="G77" s="156">
        <f>($G$16*F821EA!N55)*$L77</f>
        <v>0</v>
      </c>
      <c r="H77" s="156">
        <f>($G$16*F821EA!O55)*$L77</f>
        <v>0</v>
      </c>
      <c r="I77" s="156">
        <f>($G$16*F821EA!P55)*$L77</f>
        <v>0</v>
      </c>
      <c r="J77" s="156">
        <f t="shared" si="13"/>
        <v>0</v>
      </c>
      <c r="K77" s="69"/>
      <c r="L77" s="319">
        <v>0.5</v>
      </c>
      <c r="M77" s="69"/>
    </row>
    <row r="78" spans="2:13" s="37" customFormat="1" ht="15.75">
      <c r="B78" s="48"/>
      <c r="C78" s="160" t="str">
        <f>F821EA!$C$56</f>
        <v xml:space="preserve">    - Cruz Roja</v>
      </c>
      <c r="D78" s="156">
        <f>($G$16*F821EA!K56)*$L78</f>
        <v>0</v>
      </c>
      <c r="E78" s="156">
        <f>($G$16*F821EA!L56)*$L78</f>
        <v>0</v>
      </c>
      <c r="F78" s="156">
        <f>($G$16*F821EA!M56)*$L78</f>
        <v>0</v>
      </c>
      <c r="G78" s="156">
        <f>($G$16*F821EA!N56)*$L78</f>
        <v>0</v>
      </c>
      <c r="H78" s="156">
        <f>($G$16*F821EA!O56)*$L78</f>
        <v>0</v>
      </c>
      <c r="I78" s="156">
        <f>($G$16*F821EA!P56)*$L78</f>
        <v>0</v>
      </c>
      <c r="J78" s="156">
        <f t="shared" si="13"/>
        <v>0</v>
      </c>
      <c r="K78" s="69"/>
      <c r="L78" s="319">
        <v>0</v>
      </c>
      <c r="M78" s="69"/>
    </row>
    <row r="79" spans="2:13" s="37" customFormat="1" ht="15.75">
      <c r="B79" s="48" t="s">
        <v>751</v>
      </c>
      <c r="C79" s="158" t="s">
        <v>634</v>
      </c>
      <c r="D79" s="159">
        <f t="shared" ref="D79" si="14">SUM(D80:D84)</f>
        <v>308669.46224458143</v>
      </c>
      <c r="E79" s="159">
        <f t="shared" ref="E79:I79" si="15">SUM(E80:E84)</f>
        <v>306854.70412972831</v>
      </c>
      <c r="F79" s="159">
        <f t="shared" si="15"/>
        <v>311497.16172221582</v>
      </c>
      <c r="G79" s="159">
        <f t="shared" si="15"/>
        <v>309636.77696099092</v>
      </c>
      <c r="H79" s="159">
        <f t="shared" si="15"/>
        <v>317795.81165663584</v>
      </c>
      <c r="I79" s="159">
        <f t="shared" si="15"/>
        <v>313373.78921052394</v>
      </c>
      <c r="J79" s="159">
        <f t="shared" si="13"/>
        <v>1867827.7059246763</v>
      </c>
      <c r="K79" s="69"/>
      <c r="L79" s="319"/>
      <c r="M79" s="69"/>
    </row>
    <row r="80" spans="2:13" s="37" customFormat="1" ht="15.75">
      <c r="B80" s="48"/>
      <c r="C80" s="160" t="s">
        <v>304</v>
      </c>
      <c r="D80" s="156">
        <f>(($E$18+$F$18)*F821EA!K66)*$L80</f>
        <v>224440.14365424193</v>
      </c>
      <c r="E80" s="156">
        <f>(($E$18+$F$18)*F821EA!L66)*$L80</f>
        <v>222479.93723454155</v>
      </c>
      <c r="F80" s="156">
        <f>(($E$18+$F$18)*F821EA!M66)*$L80</f>
        <v>225972.33509760394</v>
      </c>
      <c r="G80" s="156">
        <f>(($E$18+$F$18)*F821EA!N66)*$L80</f>
        <v>224234.35262384408</v>
      </c>
      <c r="H80" s="156">
        <f>(($E$18+$F$18)*F821EA!O66)*$L80</f>
        <v>230464.25437268932</v>
      </c>
      <c r="I80" s="156">
        <f>(($E$18+$F$18)*F821EA!P66)*$L80</f>
        <v>225873.23939757264</v>
      </c>
      <c r="J80" s="156">
        <f t="shared" si="13"/>
        <v>1353464.2623804933</v>
      </c>
      <c r="K80" s="69"/>
      <c r="L80" s="319">
        <v>1</v>
      </c>
      <c r="M80" s="329"/>
    </row>
    <row r="81" spans="2:13" s="37" customFormat="1" ht="15.75">
      <c r="B81" s="48"/>
      <c r="C81" s="162" t="s">
        <v>644</v>
      </c>
      <c r="D81" s="156">
        <f>(($E$18+$F$18)*F821EA!K67)*$L81</f>
        <v>84221.956201325913</v>
      </c>
      <c r="E81" s="156">
        <f>(($E$18+$F$18)*F821EA!L67)*$L81</f>
        <v>84368.185820925646</v>
      </c>
      <c r="F81" s="156">
        <f>(($E$18+$F$18)*F821EA!M67)*$L81</f>
        <v>85517.809817123416</v>
      </c>
      <c r="G81" s="156">
        <f>(($E$18+$F$18)*F821EA!N67)*$L81</f>
        <v>85393.94612311729</v>
      </c>
      <c r="H81" s="156">
        <f>(($E$18+$F$18)*F821EA!O67)*$L81</f>
        <v>87322.57572291301</v>
      </c>
      <c r="I81" s="156">
        <f>(($E$18+$F$18)*F821EA!P67)*$L81</f>
        <v>87488.585337700948</v>
      </c>
      <c r="J81" s="156">
        <f t="shared" si="13"/>
        <v>514313.05902310624</v>
      </c>
      <c r="K81" s="69"/>
      <c r="L81" s="319">
        <v>0.75</v>
      </c>
      <c r="M81" s="329"/>
    </row>
    <row r="82" spans="2:13" s="37" customFormat="1" ht="15.75">
      <c r="B82" s="48"/>
      <c r="C82" s="160" t="s">
        <v>305</v>
      </c>
      <c r="D82" s="156">
        <f>(($E$18+$F$18)*F821EA!K68)*$L82</f>
        <v>7.3623890135795733</v>
      </c>
      <c r="E82" s="156">
        <f>(($E$18+$F$18)*F821EA!L68)*$L82</f>
        <v>6.5810742611180677</v>
      </c>
      <c r="F82" s="156">
        <f>(($E$18+$F$18)*F821EA!M68)*$L82</f>
        <v>7.0168074884523692</v>
      </c>
      <c r="G82" s="156">
        <f>(($E$18+$F$18)*F821EA!N68)*$L82</f>
        <v>7.9483750779257027</v>
      </c>
      <c r="H82" s="156">
        <f>(($E$18+$F$18)*F821EA!O68)*$L82</f>
        <v>8.7522277559389838</v>
      </c>
      <c r="I82" s="156">
        <f>(($E$18+$F$18)*F821EA!P68)*$L82</f>
        <v>11.652107510267264</v>
      </c>
      <c r="J82" s="156">
        <f t="shared" si="13"/>
        <v>49.312981107281963</v>
      </c>
      <c r="K82" s="69"/>
      <c r="L82" s="319">
        <v>0.95</v>
      </c>
      <c r="M82" s="329"/>
    </row>
    <row r="83" spans="2:13" s="37" customFormat="1" ht="15.75">
      <c r="B83" s="48"/>
      <c r="C83" s="160" t="s">
        <v>307</v>
      </c>
      <c r="D83" s="156">
        <f>(($E$18+$F$18)*F821EA!K69)*$L83</f>
        <v>0</v>
      </c>
      <c r="E83" s="156">
        <f>(($E$18+$F$18)*F821EA!L69)*$L83</f>
        <v>0</v>
      </c>
      <c r="F83" s="156">
        <f>(($E$18+$F$18)*F821EA!M69)*$L83</f>
        <v>0</v>
      </c>
      <c r="G83" s="156">
        <f>(($E$18+$F$18)*F821EA!N69)*$L83</f>
        <v>0.52983895156802518</v>
      </c>
      <c r="H83" s="156">
        <f>(($E$18+$F$18)*F821EA!O69)*$L83</f>
        <v>0.22933327754436911</v>
      </c>
      <c r="I83" s="156">
        <f>(($E$18+$F$18)*F821EA!P69)*$L83</f>
        <v>0.31236774010353724</v>
      </c>
      <c r="J83" s="156">
        <f t="shared" si="13"/>
        <v>1.0715399692159315</v>
      </c>
      <c r="K83" s="69"/>
      <c r="L83" s="319">
        <v>0.5</v>
      </c>
      <c r="M83" s="329"/>
    </row>
    <row r="84" spans="2:13" s="37" customFormat="1" ht="15.75">
      <c r="B84" s="48"/>
      <c r="C84" s="160" t="s">
        <v>624</v>
      </c>
      <c r="D84" s="156">
        <f>(($E$18+$F$18)*F821EA!K70)*$L84</f>
        <v>0</v>
      </c>
      <c r="E84" s="156">
        <f>(($E$18+$F$18)*F821EA!L70)*$L84</f>
        <v>0</v>
      </c>
      <c r="F84" s="156">
        <f>(($E$18+$F$18)*F821EA!M70)*$L84</f>
        <v>0</v>
      </c>
      <c r="G84" s="156">
        <f>(($E$18+$F$18)*F821EA!N70)*$L84</f>
        <v>0</v>
      </c>
      <c r="H84" s="156">
        <f>(($E$18+$F$18)*F821EA!O70)*$L84</f>
        <v>0</v>
      </c>
      <c r="I84" s="156">
        <f>(($E$18+$F$18)*F821EA!P70)*$L84</f>
        <v>0</v>
      </c>
      <c r="J84" s="156">
        <f t="shared" si="13"/>
        <v>0</v>
      </c>
      <c r="K84" s="69"/>
      <c r="L84" s="319">
        <v>0</v>
      </c>
      <c r="M84" s="329"/>
    </row>
    <row r="85" spans="2:13" s="37" customFormat="1" ht="15.75">
      <c r="B85" s="48" t="s">
        <v>750</v>
      </c>
      <c r="C85" s="158" t="s">
        <v>635</v>
      </c>
      <c r="D85" s="159">
        <f t="shared" ref="D85" si="16">SUM(D86:D91)</f>
        <v>349583.96138573217</v>
      </c>
      <c r="E85" s="159">
        <f t="shared" ref="E85:I85" si="17">SUM(E86:E91)</f>
        <v>353550.47416794137</v>
      </c>
      <c r="F85" s="159">
        <f t="shared" si="17"/>
        <v>344086.70710003813</v>
      </c>
      <c r="G85" s="159">
        <f t="shared" si="17"/>
        <v>343717.76402657101</v>
      </c>
      <c r="H85" s="159">
        <f t="shared" si="17"/>
        <v>331674.76031714259</v>
      </c>
      <c r="I85" s="159">
        <f t="shared" si="17"/>
        <v>323877.69142769661</v>
      </c>
      <c r="J85" s="159">
        <f t="shared" si="13"/>
        <v>2046491.3584251218</v>
      </c>
      <c r="K85" s="69"/>
      <c r="L85" s="319"/>
      <c r="M85" s="69"/>
    </row>
    <row r="86" spans="2:13" s="37" customFormat="1" ht="15.75">
      <c r="B86" s="48"/>
      <c r="C86" s="160" t="s">
        <v>304</v>
      </c>
      <c r="D86" s="156">
        <f>(($E$19+$F$19)*F821EA!K72)*$L86</f>
        <v>226321.65712756835</v>
      </c>
      <c r="E86" s="156">
        <f>(($E$19+$F$19)*F821EA!L72)*$L86</f>
        <v>229270.63001937923</v>
      </c>
      <c r="F86" s="156">
        <f>(($E$19+$F$19)*F821EA!M72)*$L86</f>
        <v>222162.92747257874</v>
      </c>
      <c r="G86" s="156">
        <f>(($E$19+$F$19)*F821EA!N72)*$L86</f>
        <v>221520.73893914616</v>
      </c>
      <c r="H86" s="156">
        <f>(($E$19+$F$19)*F821EA!O72)*$L86</f>
        <v>213075.9917520858</v>
      </c>
      <c r="I86" s="156">
        <f>(($E$19+$F$19)*F821EA!P72)*$L86</f>
        <v>207420.14282911035</v>
      </c>
      <c r="J86" s="330">
        <f t="shared" si="13"/>
        <v>1319772.0881398686</v>
      </c>
      <c r="K86" s="69"/>
      <c r="L86" s="319">
        <v>1</v>
      </c>
      <c r="M86" s="329"/>
    </row>
    <row r="87" spans="2:13" s="37" customFormat="1" ht="15.75">
      <c r="B87" s="48"/>
      <c r="C87" s="162" t="s">
        <v>642</v>
      </c>
      <c r="D87" s="156">
        <f>(($E$19+$F$19)*F821EA!K73)*$L87</f>
        <v>119667.48813036113</v>
      </c>
      <c r="E87" s="156">
        <f>(($E$19+$F$19)*F821EA!L73)*$L87</f>
        <v>120598.16804188947</v>
      </c>
      <c r="F87" s="156">
        <f>(($E$19+$F$19)*F821EA!M73)*$L87</f>
        <v>118504.56675808782</v>
      </c>
      <c r="G87" s="156">
        <f>(($E$19+$F$19)*F821EA!N73)*$L87</f>
        <v>118802.39951322146</v>
      </c>
      <c r="H87" s="156">
        <f>(($E$19+$F$19)*F821EA!O73)*$L87</f>
        <v>115376.67041555003</v>
      </c>
      <c r="I87" s="156">
        <f>(($E$19+$F$19)*F821EA!P73)*$L87</f>
        <v>113158.36323105058</v>
      </c>
      <c r="J87" s="330">
        <f t="shared" si="13"/>
        <v>706107.65609016048</v>
      </c>
      <c r="K87" s="69"/>
      <c r="L87" s="319">
        <v>0.75</v>
      </c>
      <c r="M87" s="329"/>
    </row>
    <row r="88" spans="2:13" s="37" customFormat="1" ht="15.75">
      <c r="B88" s="48"/>
      <c r="C88" s="162" t="s">
        <v>1177</v>
      </c>
      <c r="D88" s="156">
        <f>(($E$19+$F$19)*F821EA!K74)*$L88</f>
        <v>3584.6214728114478</v>
      </c>
      <c r="E88" s="156">
        <f>(($E$19+$F$19)*F821EA!L74)*$L88</f>
        <v>3671.1433827981014</v>
      </c>
      <c r="F88" s="156">
        <f>(($E$19+$F$19)*F821EA!M74)*$L88</f>
        <v>3403.3611950668101</v>
      </c>
      <c r="G88" s="156">
        <f>(($E$19+$F$19)*F821EA!N74)*$L88</f>
        <v>3384.6112226165446</v>
      </c>
      <c r="H88" s="156">
        <f>(($E$19+$F$19)*F821EA!O74)*$L88</f>
        <v>3199.309934360695</v>
      </c>
      <c r="I88" s="156">
        <f>(($E$19+$F$19)*F821EA!P74)*$L88</f>
        <v>3279.2918919153067</v>
      </c>
      <c r="J88" s="330">
        <f t="shared" si="13"/>
        <v>20522.339099568904</v>
      </c>
      <c r="K88" s="69"/>
      <c r="L88" s="319">
        <v>1</v>
      </c>
      <c r="M88" s="329"/>
    </row>
    <row r="89" spans="2:13" s="37" customFormat="1" ht="15.75">
      <c r="B89" s="48"/>
      <c r="C89" s="160" t="s">
        <v>305</v>
      </c>
      <c r="D89" s="156">
        <f>(($E$19+$F$19)*F821EA!K75)*$L89</f>
        <v>10.194654991252531</v>
      </c>
      <c r="E89" s="156">
        <f>(($E$19+$F$19)*F821EA!L75)*$L89</f>
        <v>10.532723874529145</v>
      </c>
      <c r="F89" s="156">
        <f>(($E$19+$F$19)*F821EA!M75)*$L89</f>
        <v>15.851674304747855</v>
      </c>
      <c r="G89" s="156">
        <f>(($E$19+$F$19)*F821EA!N75)*$L89</f>
        <v>10.014351586838339</v>
      </c>
      <c r="H89" s="156">
        <f>(($E$19+$F$19)*F821EA!O75)*$L89</f>
        <v>19.961089397021354</v>
      </c>
      <c r="I89" s="156">
        <f>(($E$19+$F$19)*F821EA!P75)*$L89</f>
        <v>19.893475620366033</v>
      </c>
      <c r="J89" s="156">
        <f t="shared" si="13"/>
        <v>86.447969774755251</v>
      </c>
      <c r="K89" s="69"/>
      <c r="L89" s="319">
        <v>0.95</v>
      </c>
      <c r="M89" s="329"/>
    </row>
    <row r="90" spans="2:13" s="37" customFormat="1" ht="15.75">
      <c r="B90" s="48"/>
      <c r="C90" s="160" t="s">
        <v>307</v>
      </c>
      <c r="D90" s="156">
        <f>(($E$19+$F$19)*F821EA!K76)*$L90</f>
        <v>0</v>
      </c>
      <c r="E90" s="156">
        <f>(($E$19+$F$19)*F821EA!L76)*$L90</f>
        <v>0</v>
      </c>
      <c r="F90" s="156">
        <f>(($E$19+$F$19)*F821EA!M76)*$L90</f>
        <v>0</v>
      </c>
      <c r="G90" s="156">
        <f>(($E$19+$F$19)*F821EA!N76)*$L90</f>
        <v>0</v>
      </c>
      <c r="H90" s="156">
        <f>(($E$19+$F$19)*F821EA!O76)*$L90</f>
        <v>2.8271257490383435</v>
      </c>
      <c r="I90" s="156">
        <f>(($E$19+$F$19)*F821EA!P76)*$L90</f>
        <v>0</v>
      </c>
      <c r="J90" s="156">
        <f t="shared" si="13"/>
        <v>2.8271257490383435</v>
      </c>
      <c r="K90" s="69"/>
      <c r="L90" s="319">
        <v>0.5</v>
      </c>
      <c r="M90" s="329"/>
    </row>
    <row r="91" spans="2:13" s="37" customFormat="1" ht="15.75">
      <c r="B91" s="48"/>
      <c r="C91" s="160" t="s">
        <v>624</v>
      </c>
      <c r="D91" s="156">
        <f>(($E$19+$F$19)*F821EA!K77)*$L91</f>
        <v>0</v>
      </c>
      <c r="E91" s="156">
        <f>(($E$19+$F$19)*F821EA!L77)*$L91</f>
        <v>0</v>
      </c>
      <c r="F91" s="156">
        <f>(($E$19+$F$19)*F821EA!M77)*$L91</f>
        <v>0</v>
      </c>
      <c r="G91" s="156">
        <f>(($E$19+$F$19)*F821EA!N77)*$L91</f>
        <v>0</v>
      </c>
      <c r="H91" s="156">
        <f>(($E$19+$F$19)*F821EA!O77)*$L91</f>
        <v>0</v>
      </c>
      <c r="I91" s="156">
        <f>(($E$19+$F$19)*F821EA!P77)*$L91</f>
        <v>0</v>
      </c>
      <c r="J91" s="156"/>
      <c r="K91" s="69"/>
      <c r="L91" s="319">
        <v>0</v>
      </c>
      <c r="M91" s="329"/>
    </row>
    <row r="92" spans="2:13" s="37" customFormat="1" ht="15.75">
      <c r="B92" s="48" t="s">
        <v>749</v>
      </c>
      <c r="C92" s="158" t="s">
        <v>636</v>
      </c>
      <c r="D92" s="159">
        <f t="shared" ref="D92" si="18">SUM(D93:D98)</f>
        <v>422418.86280311708</v>
      </c>
      <c r="E92" s="159">
        <f t="shared" ref="E92:I92" si="19">SUM(E93:E98)</f>
        <v>420336.39564994024</v>
      </c>
      <c r="F92" s="159">
        <f t="shared" si="19"/>
        <v>410274.24033220223</v>
      </c>
      <c r="G92" s="159">
        <f t="shared" si="19"/>
        <v>416006.61223426339</v>
      </c>
      <c r="H92" s="159">
        <f t="shared" si="19"/>
        <v>383374.46147829969</v>
      </c>
      <c r="I92" s="159">
        <f t="shared" si="19"/>
        <v>397952.28590442601</v>
      </c>
      <c r="J92" s="159">
        <f t="shared" ref="J92:J97" si="20">SUM(D92:I92)</f>
        <v>2450362.8584022489</v>
      </c>
      <c r="K92" s="69"/>
      <c r="L92" s="319"/>
      <c r="M92" s="69"/>
    </row>
    <row r="93" spans="2:13" s="37" customFormat="1" ht="15.75">
      <c r="B93" s="48"/>
      <c r="C93" s="160" t="s">
        <v>304</v>
      </c>
      <c r="D93" s="156">
        <f>(($E$20+$F$20)*F821EA!K79)*$L93</f>
        <v>362841.39274455933</v>
      </c>
      <c r="E93" s="156">
        <f>(($E$20+$F$20)*F821EA!L79)*$L93</f>
        <v>362204.05184213142</v>
      </c>
      <c r="F93" s="156">
        <f>(($E$20+$F$20)*F821EA!M79)*$L93</f>
        <v>354994.67557293823</v>
      </c>
      <c r="G93" s="156">
        <f>(($E$20+$F$20)*F821EA!N79)*$L93</f>
        <v>359805.05969009217</v>
      </c>
      <c r="H93" s="156">
        <f>(($E$20+$F$20)*F821EA!O79)*$L93</f>
        <v>333686.97280235257</v>
      </c>
      <c r="I93" s="156">
        <f>(($E$20+$F$20)*F821EA!P79)*$L93</f>
        <v>344788.38784888334</v>
      </c>
      <c r="J93" s="330">
        <f t="shared" si="20"/>
        <v>2118320.5405009571</v>
      </c>
      <c r="K93" s="69"/>
      <c r="L93" s="319">
        <v>1</v>
      </c>
      <c r="M93" s="329"/>
    </row>
    <row r="94" spans="2:13" s="37" customFormat="1" ht="15.75">
      <c r="B94" s="48"/>
      <c r="C94" s="162" t="s">
        <v>642</v>
      </c>
      <c r="D94" s="156">
        <f>(($E$20+$F$20)*F821EA!K80)*$L94</f>
        <v>28237.826234148302</v>
      </c>
      <c r="E94" s="156">
        <f>(($E$20+$F$20)*F821EA!L80)*$L94</f>
        <v>27675.564301961938</v>
      </c>
      <c r="F94" s="156">
        <f>(($E$20+$F$20)*F821EA!M80)*$L94</f>
        <v>26334.557731631372</v>
      </c>
      <c r="G94" s="156">
        <f>(($E$20+$F$20)*F821EA!N80)*$L94</f>
        <v>26662.840410392077</v>
      </c>
      <c r="H94" s="156">
        <f>(($E$20+$F$20)*F821EA!O80)*$L94</f>
        <v>23646.732178591097</v>
      </c>
      <c r="I94" s="156">
        <f>(($E$20+$F$20)*F821EA!P80)*$L94</f>
        <v>24620.014700445347</v>
      </c>
      <c r="J94" s="330">
        <f t="shared" si="20"/>
        <v>157177.53555717014</v>
      </c>
      <c r="K94" s="69"/>
      <c r="L94" s="319">
        <v>0.75</v>
      </c>
      <c r="M94" s="329"/>
    </row>
    <row r="95" spans="2:13" s="37" customFormat="1" ht="15.75">
      <c r="B95" s="48"/>
      <c r="C95" s="162" t="s">
        <v>1177</v>
      </c>
      <c r="D95" s="156">
        <f>(($E$20+$F$20)*F821EA!K81)*$L95</f>
        <v>31100.961261783137</v>
      </c>
      <c r="E95" s="156">
        <f>(($E$20+$F$20)*F821EA!L81)*$L95</f>
        <v>30200.432745218826</v>
      </c>
      <c r="F95" s="156">
        <f>(($E$20+$F$20)*F821EA!M81)*$L95</f>
        <v>28727.923310326696</v>
      </c>
      <c r="G95" s="156">
        <f>(($E$20+$F$20)*F821EA!N81)*$L95</f>
        <v>29336.115162374368</v>
      </c>
      <c r="H95" s="156">
        <f>(($E$20+$F$20)*F821EA!O81)*$L95</f>
        <v>25863.653478370223</v>
      </c>
      <c r="I95" s="156">
        <f>(($E$20+$F$20)*F821EA!P81)*$L95</f>
        <v>28462.292110577891</v>
      </c>
      <c r="J95" s="330">
        <f t="shared" si="20"/>
        <v>173691.37806865113</v>
      </c>
      <c r="K95" s="69"/>
      <c r="L95" s="319">
        <v>1</v>
      </c>
      <c r="M95" s="329"/>
    </row>
    <row r="96" spans="2:13" s="37" customFormat="1" ht="15.75">
      <c r="B96" s="48"/>
      <c r="C96" s="160" t="s">
        <v>305</v>
      </c>
      <c r="D96" s="156">
        <f>(($E$20+$F$20)*F821EA!K82)*$L96</f>
        <v>234.80762104023427</v>
      </c>
      <c r="E96" s="156">
        <f>(($E$20+$F$20)*F821EA!L82)*$L96</f>
        <v>253.10841658827491</v>
      </c>
      <c r="F96" s="156">
        <f>(($E$20+$F$20)*F821EA!M82)*$L96</f>
        <v>213.2839021382899</v>
      </c>
      <c r="G96" s="156">
        <f>(($E$20+$F$20)*F821EA!N82)*$L96</f>
        <v>198.99485733846504</v>
      </c>
      <c r="H96" s="156">
        <f>(($E$20+$F$20)*F821EA!O82)*$L96</f>
        <v>177.10301898584169</v>
      </c>
      <c r="I96" s="156">
        <f>(($E$20+$F$20)*F821EA!P82)*$L96</f>
        <v>77.906095990632835</v>
      </c>
      <c r="J96" s="156">
        <f t="shared" si="20"/>
        <v>1155.2039120817385</v>
      </c>
      <c r="K96" s="69"/>
      <c r="L96" s="319">
        <v>0.95</v>
      </c>
      <c r="M96" s="329"/>
    </row>
    <row r="97" spans="2:13" s="37" customFormat="1" ht="15.75">
      <c r="B97" s="48"/>
      <c r="C97" s="160" t="s">
        <v>307</v>
      </c>
      <c r="D97" s="156">
        <f>(($E$20+$F$20)*F821EA!K83)*$L97</f>
        <v>3.8749415860945127</v>
      </c>
      <c r="E97" s="156">
        <f>(($E$20+$F$20)*F821EA!L83)*$L97</f>
        <v>3.2383440398075569</v>
      </c>
      <c r="F97" s="156">
        <f>(($E$20+$F$20)*F821EA!M83)*$L97</f>
        <v>3.7998151675885983</v>
      </c>
      <c r="G97" s="156">
        <f>(($E$20+$F$20)*F821EA!N83)*$L97</f>
        <v>3.6021140662572462</v>
      </c>
      <c r="H97" s="156">
        <f>(($E$20+$F$20)*F821EA!O83)*$L97</f>
        <v>0</v>
      </c>
      <c r="I97" s="156">
        <f>(($E$20+$F$20)*F821EA!P83)*$L97</f>
        <v>3.6851485288164136</v>
      </c>
      <c r="J97" s="156">
        <f t="shared" si="20"/>
        <v>18.200363388564327</v>
      </c>
      <c r="K97" s="69"/>
      <c r="L97" s="319">
        <v>0.5</v>
      </c>
      <c r="M97" s="329"/>
    </row>
    <row r="98" spans="2:13" s="37" customFormat="1" ht="15.75">
      <c r="B98" s="48"/>
      <c r="C98" s="160" t="s">
        <v>624</v>
      </c>
      <c r="D98" s="156">
        <f>(($E$20+$F$20)*F821EA!K84)*$L98</f>
        <v>0</v>
      </c>
      <c r="E98" s="156">
        <f>(($E$20+$F$20)*F821EA!L84)*$L98</f>
        <v>0</v>
      </c>
      <c r="F98" s="156">
        <f>(($E$20+$F$20)*F821EA!M84)*$L98</f>
        <v>0</v>
      </c>
      <c r="G98" s="156">
        <f>(($E$20+$F$20)*F821EA!N84)*$L98</f>
        <v>0</v>
      </c>
      <c r="H98" s="156">
        <f>(($E$20+$F$20)*F821EA!O84)*$L98</f>
        <v>0</v>
      </c>
      <c r="I98" s="156">
        <f>(($E$20+$F$20)*F821EA!P84)*$L98</f>
        <v>0</v>
      </c>
      <c r="J98" s="156"/>
      <c r="K98" s="69"/>
      <c r="L98" s="319">
        <v>0</v>
      </c>
      <c r="M98" s="329"/>
    </row>
    <row r="99" spans="2:13" s="37" customFormat="1" ht="15.75">
      <c r="B99" s="48"/>
      <c r="C99" s="157"/>
      <c r="D99" s="156"/>
      <c r="E99" s="156"/>
      <c r="F99" s="156"/>
      <c r="G99" s="156"/>
      <c r="H99" s="156"/>
      <c r="I99" s="156"/>
      <c r="J99" s="156"/>
      <c r="K99" s="69"/>
      <c r="L99" s="319"/>
      <c r="M99" s="69"/>
    </row>
    <row r="100" spans="2:13" s="37" customFormat="1" ht="15.75">
      <c r="B100" s="48" t="s">
        <v>902</v>
      </c>
      <c r="C100" s="158" t="s">
        <v>898</v>
      </c>
      <c r="D100" s="159">
        <f t="shared" ref="D100" si="21">SUM(D101:D105)</f>
        <v>104505.24699123102</v>
      </c>
      <c r="E100" s="159">
        <f t="shared" ref="E100:I100" si="22">SUM(E101:E105)</f>
        <v>103202.02703239792</v>
      </c>
      <c r="F100" s="159">
        <f t="shared" si="22"/>
        <v>107046.23400527946</v>
      </c>
      <c r="G100" s="159">
        <f t="shared" si="22"/>
        <v>104606.48577120079</v>
      </c>
      <c r="H100" s="159">
        <f t="shared" si="22"/>
        <v>99135.653446895274</v>
      </c>
      <c r="I100" s="159">
        <f t="shared" si="22"/>
        <v>105936.21151668938</v>
      </c>
      <c r="J100" s="159">
        <f t="shared" ref="J100:J119" si="23">SUM(D100:I100)</f>
        <v>624431.85876369383</v>
      </c>
      <c r="K100" s="69"/>
      <c r="L100" s="319"/>
      <c r="M100" s="69"/>
    </row>
    <row r="101" spans="2:13" s="37" customFormat="1" ht="15.75">
      <c r="B101" s="48"/>
      <c r="C101" s="160" t="s">
        <v>304</v>
      </c>
      <c r="D101" s="156">
        <f>(($E$17+$F$17)*F821EA!K87)*$L101</f>
        <v>100527.00064865783</v>
      </c>
      <c r="E101" s="156">
        <f>(($E$17+$F$17)*F821EA!L87)*$L101</f>
        <v>99374.695825526025</v>
      </c>
      <c r="F101" s="156">
        <f>(($E$17+$F$17)*F821EA!M87)*$L101</f>
        <v>103018.58808851661</v>
      </c>
      <c r="G101" s="156">
        <f>(($E$17+$F$17)*F821EA!N87)*$L101</f>
        <v>100543.44938028861</v>
      </c>
      <c r="H101" s="156">
        <f>(($E$17+$F$17)*F821EA!O87)*$L101</f>
        <v>95374.459189451751</v>
      </c>
      <c r="I101" s="156">
        <f>(($E$17+$F$17)*F821EA!P87)*$L101</f>
        <v>101747.75750111463</v>
      </c>
      <c r="J101" s="156">
        <f t="shared" si="23"/>
        <v>600585.95063355542</v>
      </c>
      <c r="K101" s="69"/>
      <c r="L101" s="319">
        <v>1</v>
      </c>
      <c r="M101" s="329"/>
    </row>
    <row r="102" spans="2:13" s="37" customFormat="1" ht="15.75">
      <c r="B102" s="48"/>
      <c r="C102" s="162" t="s">
        <v>644</v>
      </c>
      <c r="D102" s="156">
        <f>(($E$17+$F$17)*F821EA!K88)*$L102</f>
        <v>3978.2463425731844</v>
      </c>
      <c r="E102" s="156">
        <f>(($E$17+$F$17)*F821EA!L88)*$L102</f>
        <v>3827.331206871896</v>
      </c>
      <c r="F102" s="156">
        <f>(($E$17+$F$17)*F821EA!M88)*$L102</f>
        <v>4027.64591676285</v>
      </c>
      <c r="G102" s="156">
        <f>(($E$17+$F$17)*F821EA!N88)*$L102</f>
        <v>4063.0363909121752</v>
      </c>
      <c r="H102" s="156">
        <f>(($E$17+$F$17)*F821EA!O88)*$L102</f>
        <v>3761.1942574435188</v>
      </c>
      <c r="I102" s="156">
        <f>(($E$17+$F$17)*F821EA!P88)*$L102</f>
        <v>4188.4540155747582</v>
      </c>
      <c r="J102" s="156">
        <f t="shared" si="23"/>
        <v>23845.908130138385</v>
      </c>
      <c r="K102" s="69"/>
      <c r="L102" s="319">
        <v>0.75</v>
      </c>
      <c r="M102" s="329"/>
    </row>
    <row r="103" spans="2:13" s="37" customFormat="1" ht="15.75">
      <c r="B103" s="48"/>
      <c r="C103" s="160" t="s">
        <v>305</v>
      </c>
      <c r="D103" s="156">
        <f>(($E$17+$F$17)*F821EA!K89)*$L103</f>
        <v>0</v>
      </c>
      <c r="E103" s="156">
        <f>(($E$17+$F$17)*F821EA!L89)*$L103</f>
        <v>0</v>
      </c>
      <c r="F103" s="156">
        <f>(($E$17+$F$17)*F821EA!M89)*$L103</f>
        <v>0</v>
      </c>
      <c r="G103" s="156">
        <f>(($E$17+$F$17)*F821EA!N89)*$L103</f>
        <v>0</v>
      </c>
      <c r="H103" s="156">
        <f>(($E$17+$F$17)*F821EA!O89)*$L103</f>
        <v>0</v>
      </c>
      <c r="I103" s="156">
        <f>(($E$17+$F$17)*F821EA!P89)*$L103</f>
        <v>0</v>
      </c>
      <c r="J103" s="156">
        <f t="shared" si="23"/>
        <v>0</v>
      </c>
      <c r="K103" s="69"/>
      <c r="L103" s="319">
        <v>0.95</v>
      </c>
      <c r="M103" s="329"/>
    </row>
    <row r="104" spans="2:13" s="37" customFormat="1" ht="15.75">
      <c r="B104" s="48"/>
      <c r="C104" s="160" t="s">
        <v>307</v>
      </c>
      <c r="D104" s="156">
        <f>(($E$17+$F$17)*F821EA!K90)*$L104</f>
        <v>0</v>
      </c>
      <c r="E104" s="156">
        <f>(($E$17+$F$17)*F821EA!L90)*$L104</f>
        <v>0</v>
      </c>
      <c r="F104" s="156">
        <f>(($E$17+$F$17)*F821EA!M90)*$L104</f>
        <v>0</v>
      </c>
      <c r="G104" s="156">
        <f>(($E$17+$F$17)*F821EA!N90)*$L104</f>
        <v>0</v>
      </c>
      <c r="H104" s="156">
        <f>(($E$17+$F$17)*F821EA!O90)*$L104</f>
        <v>0</v>
      </c>
      <c r="I104" s="156">
        <f>(($E$17+$F$17)*F821EA!P90)*$L104</f>
        <v>0</v>
      </c>
      <c r="J104" s="156">
        <f t="shared" si="23"/>
        <v>0</v>
      </c>
      <c r="K104" s="69"/>
      <c r="L104" s="319">
        <v>0.5</v>
      </c>
      <c r="M104" s="329"/>
    </row>
    <row r="105" spans="2:13" s="37" customFormat="1" ht="15.75">
      <c r="B105" s="48"/>
      <c r="C105" s="160" t="s">
        <v>624</v>
      </c>
      <c r="D105" s="156">
        <f>(($E$17+$F$17)*F821EA!K91)*$L105</f>
        <v>0</v>
      </c>
      <c r="E105" s="156">
        <f>(($E$17+$F$17)*F821EA!L91)*$L105</f>
        <v>0</v>
      </c>
      <c r="F105" s="156">
        <f>(($E$17+$F$17)*F821EA!M91)*$L105</f>
        <v>0</v>
      </c>
      <c r="G105" s="156">
        <f>(($E$17+$F$17)*F821EA!N91)*$L105</f>
        <v>0</v>
      </c>
      <c r="H105" s="156">
        <f>(($E$17+$F$17)*F821EA!O91)*$L105</f>
        <v>0</v>
      </c>
      <c r="I105" s="156">
        <f>(($E$17+$F$17)*F821EA!P91)*$L105</f>
        <v>0</v>
      </c>
      <c r="J105" s="156">
        <f t="shared" si="23"/>
        <v>0</v>
      </c>
      <c r="K105" s="69"/>
      <c r="L105" s="319">
        <v>0</v>
      </c>
      <c r="M105" s="329"/>
    </row>
    <row r="106" spans="2:13" s="37" customFormat="1" ht="15.75">
      <c r="B106" s="48" t="s">
        <v>902</v>
      </c>
      <c r="C106" s="158" t="s">
        <v>899</v>
      </c>
      <c r="D106" s="159">
        <f t="shared" ref="D106:I106" si="24">SUM(D107:D112)</f>
        <v>9187.6901327644591</v>
      </c>
      <c r="E106" s="159">
        <f t="shared" si="24"/>
        <v>8542.9453240916391</v>
      </c>
      <c r="F106" s="159">
        <f t="shared" si="24"/>
        <v>7973.9773705481139</v>
      </c>
      <c r="G106" s="159">
        <f t="shared" si="24"/>
        <v>8603.568389803886</v>
      </c>
      <c r="H106" s="159">
        <f t="shared" si="24"/>
        <v>6593.505706369785</v>
      </c>
      <c r="I106" s="159">
        <f t="shared" si="24"/>
        <v>8521.676639610414</v>
      </c>
      <c r="J106" s="159">
        <f t="shared" si="23"/>
        <v>49423.363563188293</v>
      </c>
      <c r="K106" s="69"/>
      <c r="L106" s="319"/>
      <c r="M106" s="69"/>
    </row>
    <row r="107" spans="2:13" s="37" customFormat="1" ht="15.75">
      <c r="B107" s="48"/>
      <c r="C107" s="160" t="s">
        <v>304</v>
      </c>
      <c r="D107" s="156">
        <f>(($E$17+$F$17)*F821EA!K93)*$L107</f>
        <v>8371.8033887131405</v>
      </c>
      <c r="E107" s="156">
        <f>(($E$17+$F$17)*F821EA!L93)*$L107</f>
        <v>7806.8843537248813</v>
      </c>
      <c r="F107" s="156">
        <f>(($E$17+$F$17)*F821EA!M93)*$L107</f>
        <v>7195.4502036153799</v>
      </c>
      <c r="G107" s="156">
        <f>(($E$17+$F$17)*F821EA!N93)*$L107</f>
        <v>7833.8903241667431</v>
      </c>
      <c r="H107" s="156">
        <f>(($E$17+$F$17)*F821EA!O93)*$L107</f>
        <v>5970.1462258279762</v>
      </c>
      <c r="I107" s="156">
        <f>(($E$17+$F$17)*F821EA!P93)*$L107</f>
        <v>7716.5823986807727</v>
      </c>
      <c r="J107" s="156">
        <f t="shared" si="23"/>
        <v>44894.756894728896</v>
      </c>
      <c r="K107" s="69"/>
      <c r="L107" s="319">
        <v>1</v>
      </c>
      <c r="M107" s="329"/>
    </row>
    <row r="108" spans="2:13" s="37" customFormat="1" ht="15.75">
      <c r="B108" s="48"/>
      <c r="C108" s="162" t="s">
        <v>642</v>
      </c>
      <c r="D108" s="156">
        <f>(($E$17+$F$17)*F821EA!K94)*$L108</f>
        <v>725.63223727153024</v>
      </c>
      <c r="E108" s="156">
        <f>(($E$17+$F$17)*F821EA!L94)*$L108</f>
        <v>670.90659541199852</v>
      </c>
      <c r="F108" s="156">
        <f>(($E$17+$F$17)*F821EA!M94)*$L108</f>
        <v>713.65748156389031</v>
      </c>
      <c r="G108" s="156">
        <f>(($E$17+$F$17)*F821EA!N94)*$L108</f>
        <v>697.26410624149457</v>
      </c>
      <c r="H108" s="156">
        <f>(($E$17+$F$17)*F821EA!O94)*$L108</f>
        <v>566.76951729672192</v>
      </c>
      <c r="I108" s="156">
        <f>(($E$17+$F$17)*F821EA!P94)*$L108</f>
        <v>732.34023563970311</v>
      </c>
      <c r="J108" s="156">
        <f t="shared" si="23"/>
        <v>4106.570173425338</v>
      </c>
      <c r="K108" s="69"/>
      <c r="L108" s="319">
        <v>0.75</v>
      </c>
      <c r="M108" s="329"/>
    </row>
    <row r="109" spans="2:13" s="37" customFormat="1" ht="15.75">
      <c r="B109" s="48"/>
      <c r="C109" s="162" t="s">
        <v>1177</v>
      </c>
      <c r="D109" s="156">
        <f>(($E$17+$F$17)*F821EA!K95)*$L109</f>
        <v>90.254506779789125</v>
      </c>
      <c r="E109" s="156">
        <f>(($E$17+$F$17)*F821EA!L95)*$L109</f>
        <v>65.154374954760598</v>
      </c>
      <c r="F109" s="156">
        <f>(($E$17+$F$17)*F821EA!M95)*$L109</f>
        <v>64.869685368843449</v>
      </c>
      <c r="G109" s="156">
        <f>(($E$17+$F$17)*F821EA!N95)*$L109</f>
        <v>72.413959395647865</v>
      </c>
      <c r="H109" s="156">
        <f>(($E$17+$F$17)*F821EA!O95)*$L109</f>
        <v>56.589963245086395</v>
      </c>
      <c r="I109" s="156">
        <f>(($E$17+$F$17)*F821EA!P95)*$L109</f>
        <v>72.754005289937794</v>
      </c>
      <c r="J109" s="156">
        <f t="shared" si="23"/>
        <v>422.03649503406518</v>
      </c>
      <c r="K109" s="69"/>
      <c r="L109" s="319">
        <v>1</v>
      </c>
      <c r="M109" s="329"/>
    </row>
    <row r="110" spans="2:13" s="37" customFormat="1" ht="15.75">
      <c r="B110" s="48"/>
      <c r="C110" s="160" t="s">
        <v>305</v>
      </c>
      <c r="D110" s="156">
        <f>(($E$17+$F$17)*F821EA!K96)*$L110</f>
        <v>0</v>
      </c>
      <c r="E110" s="156">
        <f>(($E$17+$F$17)*F821EA!L96)*$L110</f>
        <v>0</v>
      </c>
      <c r="F110" s="156">
        <f>(($E$17+$F$17)*F821EA!M96)*$L110</f>
        <v>0</v>
      </c>
      <c r="G110" s="156">
        <f>(($E$17+$F$17)*F821EA!N96)*$L110</f>
        <v>0</v>
      </c>
      <c r="H110" s="156">
        <f>(($E$17+$F$17)*F821EA!O96)*$L110</f>
        <v>0</v>
      </c>
      <c r="I110" s="156">
        <f>(($E$17+$F$17)*F821EA!P96)*$L110</f>
        <v>0</v>
      </c>
      <c r="J110" s="156">
        <f t="shared" si="23"/>
        <v>0</v>
      </c>
      <c r="K110" s="69"/>
      <c r="L110" s="319">
        <v>0.95</v>
      </c>
      <c r="M110" s="329"/>
    </row>
    <row r="111" spans="2:13" s="37" customFormat="1" ht="15.75">
      <c r="B111" s="48"/>
      <c r="C111" s="160" t="s">
        <v>307</v>
      </c>
      <c r="D111" s="156">
        <f>(($E$17+$F$17)*F821EA!K97)*$L111</f>
        <v>0</v>
      </c>
      <c r="E111" s="156">
        <f>(($E$17+$F$17)*F821EA!L97)*$L111</f>
        <v>0</v>
      </c>
      <c r="F111" s="156">
        <f>(($E$17+$F$17)*F821EA!M97)*$L111</f>
        <v>0</v>
      </c>
      <c r="G111" s="156">
        <f>(($E$17+$F$17)*F821EA!N97)*$L111</f>
        <v>0</v>
      </c>
      <c r="H111" s="156">
        <f>(($E$17+$F$17)*F821EA!O97)*$L111</f>
        <v>0</v>
      </c>
      <c r="I111" s="156">
        <f>(($E$17+$F$17)*F821EA!P97)*$L111</f>
        <v>0</v>
      </c>
      <c r="J111" s="156">
        <f t="shared" si="23"/>
        <v>0</v>
      </c>
      <c r="K111" s="69"/>
      <c r="L111" s="319">
        <v>0.5</v>
      </c>
      <c r="M111" s="329"/>
    </row>
    <row r="112" spans="2:13" s="37" customFormat="1" ht="15.75">
      <c r="B112" s="48"/>
      <c r="C112" s="160" t="s">
        <v>624</v>
      </c>
      <c r="D112" s="156">
        <f>(($E$17+$F$17)*F821EA!K98)*$L112</f>
        <v>0</v>
      </c>
      <c r="E112" s="156">
        <f>($E$17*F821EA!L98+$F$17*F821EA!L98)*$L112</f>
        <v>0</v>
      </c>
      <c r="F112" s="156">
        <f>($E$17*F821EA!M98+$F$17*F821EA!M98)*$L112</f>
        <v>0</v>
      </c>
      <c r="G112" s="156">
        <f>($E$17*F821EA!N98+$F$17*F821EA!N98)*$L112</f>
        <v>0</v>
      </c>
      <c r="H112" s="156">
        <f>($E$17*F821EA!O98+$F$17*F821EA!O98)*$L112</f>
        <v>0</v>
      </c>
      <c r="I112" s="156">
        <f>($E$17*F821EA!P98+$F$17*F821EA!P98)*$L112</f>
        <v>0</v>
      </c>
      <c r="J112" s="156">
        <f t="shared" si="23"/>
        <v>0</v>
      </c>
      <c r="K112" s="69"/>
      <c r="L112" s="319">
        <v>0</v>
      </c>
      <c r="M112" s="329"/>
    </row>
    <row r="113" spans="2:13" s="37" customFormat="1" ht="15.75">
      <c r="B113" s="48" t="s">
        <v>902</v>
      </c>
      <c r="C113" s="158" t="s">
        <v>900</v>
      </c>
      <c r="D113" s="159">
        <f t="shared" ref="D113:I113" si="25">SUM(D114:D119)</f>
        <v>979.68803753738518</v>
      </c>
      <c r="E113" s="159">
        <f t="shared" si="25"/>
        <v>972.29203933657925</v>
      </c>
      <c r="F113" s="159">
        <f t="shared" si="25"/>
        <v>1098.3304454573431</v>
      </c>
      <c r="G113" s="159">
        <f t="shared" si="25"/>
        <v>832.70715375259101</v>
      </c>
      <c r="H113" s="159">
        <f t="shared" si="25"/>
        <v>657.74761010738382</v>
      </c>
      <c r="I113" s="159">
        <f t="shared" si="25"/>
        <v>924.72317734524245</v>
      </c>
      <c r="J113" s="159">
        <f t="shared" si="23"/>
        <v>5465.4884635365243</v>
      </c>
      <c r="K113" s="69"/>
      <c r="L113" s="319"/>
      <c r="M113" s="69"/>
    </row>
    <row r="114" spans="2:13" s="37" customFormat="1" ht="15.75">
      <c r="B114" s="48"/>
      <c r="C114" s="160" t="s">
        <v>304</v>
      </c>
      <c r="D114" s="156">
        <f>(($E$17+$F$17)*F821EA!K100)*$L114</f>
        <v>943.43756359726831</v>
      </c>
      <c r="E114" s="156">
        <f>(($E$17+$F$17)*F821EA!L100)*$L114</f>
        <v>953.14073365061108</v>
      </c>
      <c r="F114" s="156">
        <f>(($E$17+$F$17)*F821EA!M100)*$L114</f>
        <v>1071.8721070661682</v>
      </c>
      <c r="G114" s="156">
        <f>(($E$17+$F$17)*F821EA!N100)*$L114</f>
        <v>799.29764463860568</v>
      </c>
      <c r="H114" s="156">
        <f>(($E$17+$F$17)*F821EA!O100)*$L114</f>
        <v>643.16913089520983</v>
      </c>
      <c r="I114" s="156">
        <f>(($E$17+$F$17)*F821EA!P100)*$L114</f>
        <v>898.82828709286184</v>
      </c>
      <c r="J114" s="156">
        <f t="shared" si="23"/>
        <v>5309.7454669407243</v>
      </c>
      <c r="K114" s="69"/>
      <c r="L114" s="319">
        <v>1</v>
      </c>
      <c r="M114" s="329"/>
    </row>
    <row r="115" spans="2:13" s="37" customFormat="1" ht="15.75">
      <c r="B115" s="48"/>
      <c r="C115" s="162" t="s">
        <v>642</v>
      </c>
      <c r="D115" s="156">
        <f>(($E$17+$F$17)*F821EA!K101)*$L115</f>
        <v>36.250473940116827</v>
      </c>
      <c r="E115" s="156">
        <f>(($E$17+$F$17)*F821EA!L101)*$L115</f>
        <v>19.151305685968136</v>
      </c>
      <c r="F115" s="156">
        <f>(($E$17+$F$17)*F821EA!M101)*$L115</f>
        <v>26.45833839117493</v>
      </c>
      <c r="G115" s="156">
        <f>(($E$17+$F$17)*F821EA!N101)*$L115</f>
        <v>33.409509113985294</v>
      </c>
      <c r="H115" s="156">
        <f>(($E$17+$F$17)*F821EA!O101)*$L115</f>
        <v>14.578479212173946</v>
      </c>
      <c r="I115" s="156">
        <f>(($E$17+$F$17)*F821EA!P101)*$L115</f>
        <v>25.894890252380574</v>
      </c>
      <c r="J115" s="156">
        <f t="shared" si="23"/>
        <v>155.74299659579972</v>
      </c>
      <c r="K115" s="69"/>
      <c r="L115" s="319">
        <v>0.75</v>
      </c>
      <c r="M115" s="329"/>
    </row>
    <row r="116" spans="2:13" s="37" customFormat="1" ht="15.75">
      <c r="B116" s="48"/>
      <c r="C116" s="162" t="s">
        <v>1177</v>
      </c>
      <c r="D116" s="156">
        <f>(($E$17+$F$17)*F821EA!K102)*$L116</f>
        <v>0</v>
      </c>
      <c r="E116" s="156">
        <f>(($E$17+$F$17)*F821EA!L102)*$L116</f>
        <v>0</v>
      </c>
      <c r="F116" s="156">
        <f>(($E$17+$F$17)*F821EA!M102)*$L116</f>
        <v>0</v>
      </c>
      <c r="G116" s="156">
        <f>(($E$17+$F$17)*F821EA!N102)*$L116</f>
        <v>0</v>
      </c>
      <c r="H116" s="156">
        <f>(($E$17+$F$17)*F821EA!O102)*$L116</f>
        <v>0</v>
      </c>
      <c r="I116" s="156">
        <f>(($E$17+$F$17)*F821EA!P102)*$L116</f>
        <v>0</v>
      </c>
      <c r="J116" s="156">
        <f t="shared" si="23"/>
        <v>0</v>
      </c>
      <c r="K116" s="69"/>
      <c r="L116" s="319">
        <v>1</v>
      </c>
      <c r="M116" s="329"/>
    </row>
    <row r="117" spans="2:13" s="37" customFormat="1" ht="15.75">
      <c r="B117" s="48"/>
      <c r="C117" s="160" t="s">
        <v>305</v>
      </c>
      <c r="D117" s="156">
        <f>(($E$17+$F$17)*F821EA!K103)*$L117</f>
        <v>0</v>
      </c>
      <c r="E117" s="156">
        <f>(($E$17+$F$17)*F821EA!L103)*$L117</f>
        <v>0</v>
      </c>
      <c r="F117" s="156">
        <f>(($E$17+$F$17)*F821EA!M103)*$L117</f>
        <v>0</v>
      </c>
      <c r="G117" s="156">
        <f>(($E$17+$F$17)*F821EA!N103)*$L117</f>
        <v>0</v>
      </c>
      <c r="H117" s="156">
        <f>(($E$17+$F$17)*F821EA!O103)*$L117</f>
        <v>0</v>
      </c>
      <c r="I117" s="156">
        <f>(($E$17+$F$17)*F821EA!P103)*$L117</f>
        <v>0</v>
      </c>
      <c r="J117" s="156">
        <f t="shared" si="23"/>
        <v>0</v>
      </c>
      <c r="K117" s="69"/>
      <c r="L117" s="319">
        <v>0.95</v>
      </c>
      <c r="M117" s="329"/>
    </row>
    <row r="118" spans="2:13" s="37" customFormat="1" ht="15.75">
      <c r="B118" s="48"/>
      <c r="C118" s="160" t="s">
        <v>307</v>
      </c>
      <c r="D118" s="156">
        <f>(($E$17+$F$17)*F821EA!K104)*$L118</f>
        <v>0</v>
      </c>
      <c r="E118" s="156">
        <f>(($E$17+$F$17)*F821EA!L104)*$L118</f>
        <v>0</v>
      </c>
      <c r="F118" s="156">
        <f>(($E$17+$F$17)*F821EA!M104)*$L118</f>
        <v>0</v>
      </c>
      <c r="G118" s="156">
        <f>(($E$17+$F$17)*F821EA!N104)*$L118</f>
        <v>0</v>
      </c>
      <c r="H118" s="156">
        <f>(($E$17+$F$17)*F821EA!O104)*$L118</f>
        <v>0</v>
      </c>
      <c r="I118" s="156">
        <f>(($E$17+$F$17)*F821EA!P104)*$L118</f>
        <v>0</v>
      </c>
      <c r="J118" s="156">
        <f t="shared" si="23"/>
        <v>0</v>
      </c>
      <c r="K118" s="69"/>
      <c r="L118" s="319">
        <v>0.5</v>
      </c>
      <c r="M118" s="329"/>
    </row>
    <row r="119" spans="2:13" s="37" customFormat="1" ht="15.75">
      <c r="B119" s="48"/>
      <c r="C119" s="160" t="s">
        <v>624</v>
      </c>
      <c r="D119" s="156">
        <f>(($E$17+$F$17)*F821EA!K105)*$L119</f>
        <v>0</v>
      </c>
      <c r="E119" s="156">
        <f>(($E$17+$F$17)*F821EA!L105)*$L119</f>
        <v>0</v>
      </c>
      <c r="F119" s="156">
        <f>(($E$17+$F$17)*F821EA!M105)*$L119</f>
        <v>0</v>
      </c>
      <c r="G119" s="156">
        <f>(($E$17+$F$17)*F821EA!N105)*$L119</f>
        <v>0</v>
      </c>
      <c r="H119" s="156">
        <f>(($E$17+$F$17)*F821EA!O105)*$L119</f>
        <v>0</v>
      </c>
      <c r="I119" s="156">
        <f>(($E$17+$F$17)*F821EA!P105)*$L119</f>
        <v>0</v>
      </c>
      <c r="J119" s="156">
        <f t="shared" si="23"/>
        <v>0</v>
      </c>
      <c r="K119" s="69"/>
      <c r="L119" s="319">
        <v>0</v>
      </c>
      <c r="M119" s="329"/>
    </row>
    <row r="120" spans="2:13" s="37" customFormat="1" ht="15.75">
      <c r="B120" s="48"/>
      <c r="C120" s="157"/>
      <c r="D120" s="156"/>
      <c r="E120" s="156"/>
      <c r="F120" s="156"/>
      <c r="G120" s="156"/>
      <c r="H120" s="156"/>
      <c r="I120" s="156"/>
      <c r="J120" s="156"/>
      <c r="K120" s="69"/>
      <c r="L120" s="319"/>
      <c r="M120" s="69"/>
    </row>
    <row r="121" spans="2:13" s="37" customFormat="1" ht="15.75">
      <c r="B121" s="48"/>
      <c r="C121" s="153" t="s">
        <v>112</v>
      </c>
      <c r="D121" s="154">
        <f t="shared" ref="D121:I121" si="26">D44+D34+D30</f>
        <v>3400652.0623248038</v>
      </c>
      <c r="E121" s="154">
        <f t="shared" si="26"/>
        <v>3402572.6522953622</v>
      </c>
      <c r="F121" s="154">
        <f t="shared" si="26"/>
        <v>3330452.9016681463</v>
      </c>
      <c r="G121" s="154">
        <f t="shared" si="26"/>
        <v>3373133.0257734028</v>
      </c>
      <c r="H121" s="154">
        <f t="shared" si="26"/>
        <v>3223331.3245666758</v>
      </c>
      <c r="I121" s="154">
        <f t="shared" si="26"/>
        <v>3240545.9622056629</v>
      </c>
      <c r="J121" s="154">
        <f>SUM(D121:I121)</f>
        <v>19970687.928834051</v>
      </c>
      <c r="K121" s="69"/>
      <c r="L121" s="319"/>
    </row>
    <row r="122" spans="2:13">
      <c r="C122" s="48"/>
      <c r="D122" s="48"/>
      <c r="E122" s="48"/>
      <c r="F122" s="48"/>
      <c r="G122" s="48"/>
      <c r="H122" s="48"/>
      <c r="I122" s="48"/>
      <c r="J122" s="48"/>
    </row>
    <row r="123" spans="2:13" s="69" customFormat="1" ht="31.5" customHeight="1">
      <c r="B123" s="48"/>
      <c r="C123" s="320" t="s">
        <v>660</v>
      </c>
      <c r="D123" s="320"/>
      <c r="E123" s="320"/>
      <c r="F123" s="320"/>
      <c r="G123" s="320"/>
      <c r="H123" s="320"/>
      <c r="I123" s="320"/>
      <c r="J123" s="321"/>
      <c r="L123" s="319"/>
    </row>
    <row r="124" spans="2:13" s="37" customFormat="1" ht="15.75">
      <c r="B124" s="48"/>
      <c r="C124" s="150" t="s">
        <v>310</v>
      </c>
      <c r="D124" s="151">
        <f t="shared" ref="D124:I124" si="27">D$29</f>
        <v>45839</v>
      </c>
      <c r="E124" s="151">
        <f t="shared" si="27"/>
        <v>45870</v>
      </c>
      <c r="F124" s="151">
        <f t="shared" si="27"/>
        <v>45901</v>
      </c>
      <c r="G124" s="151">
        <f t="shared" si="27"/>
        <v>45931</v>
      </c>
      <c r="H124" s="151">
        <f t="shared" si="27"/>
        <v>45962</v>
      </c>
      <c r="I124" s="151">
        <f t="shared" si="27"/>
        <v>45992</v>
      </c>
      <c r="J124" s="152" t="s">
        <v>111</v>
      </c>
      <c r="K124" s="69"/>
      <c r="L124" s="319"/>
    </row>
    <row r="125" spans="2:13" s="37" customFormat="1" ht="15.75" customHeight="1">
      <c r="B125" s="48"/>
      <c r="C125" s="153" t="s">
        <v>446</v>
      </c>
      <c r="D125" s="154">
        <f t="shared" ref="D125:I125" si="28">SUM(D126:D127)</f>
        <v>157392.05970000001</v>
      </c>
      <c r="E125" s="154">
        <f t="shared" si="28"/>
        <v>160801.45488</v>
      </c>
      <c r="F125" s="154">
        <f t="shared" si="28"/>
        <v>158198.66459999999</v>
      </c>
      <c r="G125" s="154">
        <f t="shared" si="28"/>
        <v>166145.69435999999</v>
      </c>
      <c r="H125" s="154">
        <f t="shared" si="28"/>
        <v>166029.22271999999</v>
      </c>
      <c r="I125" s="154">
        <f t="shared" si="28"/>
        <v>167075.11674</v>
      </c>
      <c r="J125" s="154">
        <f>SUM(D125:I125)</f>
        <v>975642.21299999987</v>
      </c>
      <c r="K125" s="69"/>
      <c r="L125" s="319"/>
    </row>
    <row r="126" spans="2:13" s="37" customFormat="1" ht="15.75" customHeight="1">
      <c r="B126" s="48" t="s">
        <v>279</v>
      </c>
      <c r="C126" s="155" t="s">
        <v>279</v>
      </c>
      <c r="D126" s="156">
        <f>$H$7*F821EA!R6+$I$7*F821EA!Y6</f>
        <v>157392.05970000001</v>
      </c>
      <c r="E126" s="156">
        <f>$H$7*F821EA!S6+$I$7*F821EA!Z6</f>
        <v>160801.45488</v>
      </c>
      <c r="F126" s="156">
        <f>$H$7*F821EA!T6+$I$7*F821EA!AA6</f>
        <v>158198.66459999999</v>
      </c>
      <c r="G126" s="156">
        <f>$H$7*F821EA!U6+$I$7*F821EA!AB6</f>
        <v>166145.69435999999</v>
      </c>
      <c r="H126" s="156">
        <f>$H$7*F821EA!V6+$I$7*F821EA!AC6</f>
        <v>166029.22271999999</v>
      </c>
      <c r="I126" s="156">
        <f>$H$7*F821EA!W6+$I$7*F821EA!AD6</f>
        <v>167075.11674</v>
      </c>
      <c r="J126" s="156">
        <f>SUM(D126:I126)</f>
        <v>975642.21299999987</v>
      </c>
      <c r="K126" s="69"/>
      <c r="L126" s="319"/>
    </row>
    <row r="127" spans="2:13" s="37" customFormat="1" ht="15.75" customHeight="1">
      <c r="B127" s="48" t="s">
        <v>278</v>
      </c>
      <c r="C127" s="155" t="s">
        <v>278</v>
      </c>
      <c r="D127" s="156">
        <f>$F$8*F821EA!R7</f>
        <v>0</v>
      </c>
      <c r="E127" s="156">
        <f>$F$8*F821EA!S7</f>
        <v>0</v>
      </c>
      <c r="F127" s="156">
        <f>$F$8*F821EA!T7</f>
        <v>0</v>
      </c>
      <c r="G127" s="156">
        <f>$F$8*F821EA!U7</f>
        <v>0</v>
      </c>
      <c r="H127" s="156">
        <f>$F$8*F821EA!V7</f>
        <v>0</v>
      </c>
      <c r="I127" s="156">
        <f>$F$8*F821EA!W7</f>
        <v>0</v>
      </c>
      <c r="J127" s="156">
        <f>SUM(D127:I127)</f>
        <v>0</v>
      </c>
      <c r="K127" s="69"/>
      <c r="L127" s="319"/>
    </row>
    <row r="128" spans="2:13" s="37" customFormat="1" ht="15.75" customHeight="1">
      <c r="B128" s="48"/>
      <c r="C128" s="157"/>
      <c r="D128" s="156"/>
      <c r="E128" s="156"/>
      <c r="F128" s="156"/>
      <c r="G128" s="156"/>
      <c r="H128" s="156"/>
      <c r="I128" s="156"/>
      <c r="J128" s="156"/>
      <c r="K128" s="69"/>
      <c r="L128" s="319"/>
    </row>
    <row r="129" spans="2:12" s="37" customFormat="1" ht="15.75" customHeight="1">
      <c r="B129" s="48"/>
      <c r="C129" s="153" t="s">
        <v>630</v>
      </c>
      <c r="D129" s="154">
        <f>D130+D133</f>
        <v>644968.40030811587</v>
      </c>
      <c r="E129" s="154">
        <f t="shared" ref="E129:I129" si="29">E130+E133</f>
        <v>663585.77572051925</v>
      </c>
      <c r="F129" s="154">
        <f t="shared" si="29"/>
        <v>641643.76609183801</v>
      </c>
      <c r="G129" s="154">
        <f t="shared" si="29"/>
        <v>665940.81047360529</v>
      </c>
      <c r="H129" s="154">
        <f t="shared" si="29"/>
        <v>634192.445801027</v>
      </c>
      <c r="I129" s="154">
        <f t="shared" si="29"/>
        <v>617079.80425573234</v>
      </c>
      <c r="J129" s="154">
        <f t="shared" ref="J129:J137" si="30">SUM(D129:I129)</f>
        <v>3867411.0026508379</v>
      </c>
      <c r="K129" s="69"/>
      <c r="L129" s="319"/>
    </row>
    <row r="130" spans="2:12" s="37" customFormat="1" ht="15.75" customHeight="1">
      <c r="B130" s="48" t="s">
        <v>277</v>
      </c>
      <c r="C130" s="155" t="s">
        <v>277</v>
      </c>
      <c r="D130" s="154">
        <f>SUM(D131:D132)</f>
        <v>78574.123050000009</v>
      </c>
      <c r="E130" s="154">
        <f t="shared" ref="E130:I130" si="31">SUM(E131:E132)</f>
        <v>81941.120909999998</v>
      </c>
      <c r="F130" s="154">
        <f t="shared" si="31"/>
        <v>81865.89417</v>
      </c>
      <c r="G130" s="154">
        <f t="shared" si="31"/>
        <v>75497.907959999997</v>
      </c>
      <c r="H130" s="154">
        <f t="shared" si="31"/>
        <v>104008.70019</v>
      </c>
      <c r="I130" s="154">
        <f t="shared" si="31"/>
        <v>65095.800540000004</v>
      </c>
      <c r="J130" s="154">
        <f t="shared" si="30"/>
        <v>486983.54681999999</v>
      </c>
      <c r="K130" s="69"/>
      <c r="L130" s="319"/>
    </row>
    <row r="131" spans="2:12" s="37" customFormat="1" ht="15.75" customHeight="1">
      <c r="B131" s="48"/>
      <c r="C131" s="160" t="s">
        <v>304</v>
      </c>
      <c r="D131" s="156">
        <f>$H$9*F821EA!R11+$I$9*F821EA!Y11</f>
        <v>66785.648100000006</v>
      </c>
      <c r="E131" s="156">
        <f>$H$9*F821EA!S11+$I$9*F821EA!Z11</f>
        <v>69636.738960000002</v>
      </c>
      <c r="F131" s="156">
        <f>$H$9*F821EA!T11+$I$9*F821EA!AA11</f>
        <v>69613.102920000005</v>
      </c>
      <c r="G131" s="156">
        <f>$H$9*F821EA!U11+$I$9*F821EA!AB11</f>
        <v>62651.823660000002</v>
      </c>
      <c r="H131" s="156">
        <f>$H$9*F821EA!V11+$I$9*F821EA!AC11</f>
        <v>90620.913540000009</v>
      </c>
      <c r="I131" s="156">
        <f>$H$9*F821EA!W11+$I$9*F821EA!AD11</f>
        <v>65095.800540000004</v>
      </c>
      <c r="J131" s="156">
        <f t="shared" si="30"/>
        <v>424404.02772000007</v>
      </c>
      <c r="K131" s="69"/>
      <c r="L131" s="319"/>
    </row>
    <row r="132" spans="2:12" s="37" customFormat="1" ht="15.75" customHeight="1">
      <c r="B132" s="48"/>
      <c r="C132" s="160" t="s">
        <v>305</v>
      </c>
      <c r="D132" s="156">
        <f>($H$9*F821EA!R12+$I$9*F821EA!Y12)*$L132</f>
        <v>11788.47495</v>
      </c>
      <c r="E132" s="156">
        <f>($H$9*F821EA!S12+$I$9*F821EA!Z12)*$L132</f>
        <v>12304.381949999999</v>
      </c>
      <c r="F132" s="156">
        <f>($H$9*F821EA!T12+$I$9*F821EA!AA12)*$L132</f>
        <v>12252.79125</v>
      </c>
      <c r="G132" s="156">
        <f>($H$9*F821EA!U12+$I$9*F821EA!AB12)*$L132</f>
        <v>12846.0843</v>
      </c>
      <c r="H132" s="156">
        <f>($H$9*F821EA!V12+$I$9*F821EA!AC12)*$L132</f>
        <v>13387.78665</v>
      </c>
      <c r="I132" s="156">
        <f>($H$9*F821EA!W12+$I$9*F821EA!AD12)*$L132</f>
        <v>0</v>
      </c>
      <c r="J132" s="156">
        <f t="shared" si="30"/>
        <v>62579.519100000005</v>
      </c>
      <c r="K132" s="69"/>
      <c r="L132" s="319">
        <v>0.95</v>
      </c>
    </row>
    <row r="133" spans="2:12" s="37" customFormat="1" ht="15.75" customHeight="1">
      <c r="B133" s="48" t="s">
        <v>276</v>
      </c>
      <c r="C133" s="158" t="s">
        <v>276</v>
      </c>
      <c r="D133" s="159">
        <f t="shared" ref="D133:I133" si="32">SUM(D134:D137)</f>
        <v>566394.27725811582</v>
      </c>
      <c r="E133" s="159">
        <f t="shared" si="32"/>
        <v>581644.65481051931</v>
      </c>
      <c r="F133" s="159">
        <f t="shared" si="32"/>
        <v>559777.87192183803</v>
      </c>
      <c r="G133" s="159">
        <f t="shared" si="32"/>
        <v>590442.90251360531</v>
      </c>
      <c r="H133" s="159">
        <f t="shared" si="32"/>
        <v>530183.745611027</v>
      </c>
      <c r="I133" s="159">
        <f t="shared" si="32"/>
        <v>551984.00371573237</v>
      </c>
      <c r="J133" s="159">
        <f t="shared" si="30"/>
        <v>3380427.4558308376</v>
      </c>
      <c r="K133" s="69"/>
      <c r="L133" s="319"/>
    </row>
    <row r="134" spans="2:12" s="37" customFormat="1" ht="15.75" customHeight="1">
      <c r="B134" s="48"/>
      <c r="C134" s="160" t="s">
        <v>304</v>
      </c>
      <c r="D134" s="156">
        <f>$F$10*(F821EA!R15+F821EA!Y15)*$L134</f>
        <v>564785.58702742739</v>
      </c>
      <c r="E134" s="156">
        <f>$F$10*(F821EA!S15+F821EA!Z15)*$L134</f>
        <v>579231.6194644866</v>
      </c>
      <c r="F134" s="156">
        <f>$F$10*(F821EA!T15+F821EA!AA15)*$L134</f>
        <v>558066.21357805352</v>
      </c>
      <c r="G134" s="156">
        <f>$F$10*(F821EA!U15+F821EA!AB15)*$L134</f>
        <v>589198.33140748832</v>
      </c>
      <c r="H134" s="156">
        <f>$F$10*(F821EA!V15+F821EA!AC15)*$L134</f>
        <v>527082.7638861934</v>
      </c>
      <c r="I134" s="156">
        <f>$F$10*(F821EA!W15+F821EA!AD15)*$L134</f>
        <v>548884.51428239292</v>
      </c>
      <c r="J134" s="156">
        <f t="shared" si="30"/>
        <v>3367249.0296460418</v>
      </c>
      <c r="K134" s="69"/>
      <c r="L134" s="319">
        <v>1</v>
      </c>
    </row>
    <row r="135" spans="2:12" s="37" customFormat="1" ht="15.75" customHeight="1">
      <c r="B135" s="48"/>
      <c r="C135" s="161" t="s">
        <v>306</v>
      </c>
      <c r="D135" s="156">
        <f>$F$10*(F821EA!R16+F821EA!Y16)*$L135</f>
        <v>0</v>
      </c>
      <c r="E135" s="156">
        <f>$F$10*(F821EA!S16+F821EA!Z16)*$L135</f>
        <v>0</v>
      </c>
      <c r="F135" s="156">
        <f>$F$10*(F821EA!T16+F821EA!AA16)*$L135</f>
        <v>0</v>
      </c>
      <c r="G135" s="156">
        <f>$F$10*(F821EA!U16+F821EA!AB16)*$L135</f>
        <v>0</v>
      </c>
      <c r="H135" s="156">
        <f>$F$10*(F821EA!V16+F821EA!AC16)*$L135</f>
        <v>0</v>
      </c>
      <c r="I135" s="156">
        <f>$F$10*(F821EA!W16+F821EA!AD16)*$L135</f>
        <v>0</v>
      </c>
      <c r="J135" s="156">
        <f t="shared" si="30"/>
        <v>0</v>
      </c>
      <c r="K135" s="69"/>
      <c r="L135" s="319">
        <v>1</v>
      </c>
    </row>
    <row r="136" spans="2:12" s="37" customFormat="1" ht="15.75" customHeight="1">
      <c r="B136" s="48"/>
      <c r="C136" s="160" t="s">
        <v>305</v>
      </c>
      <c r="D136" s="156">
        <f>$F$10*(F821EA!R17+F821EA!Y17)*$L136</f>
        <v>1608.6902306884404</v>
      </c>
      <c r="E136" s="156">
        <f>$F$10*(F821EA!S17+F821EA!Z17)*$L136</f>
        <v>2413.0353460326605</v>
      </c>
      <c r="F136" s="156">
        <f>$F$10*(F821EA!T17+F821EA!AA17)*$L136</f>
        <v>1711.6583437844538</v>
      </c>
      <c r="G136" s="156">
        <f>$F$10*(F821EA!U17+F821EA!AB17)*$L136</f>
        <v>1244.5711061170309</v>
      </c>
      <c r="H136" s="156">
        <f>$F$10*(F821EA!V17+F821EA!AC17)*$L136</f>
        <v>3100.9817248335617</v>
      </c>
      <c r="I136" s="156">
        <f>$F$10*(F821EA!W17+F821EA!AD17)*$L136</f>
        <v>3099.4894333394159</v>
      </c>
      <c r="J136" s="156">
        <f t="shared" si="30"/>
        <v>13178.426184795564</v>
      </c>
      <c r="K136" s="69"/>
      <c r="L136" s="319">
        <v>0.95</v>
      </c>
    </row>
    <row r="137" spans="2:12" s="37" customFormat="1" ht="15.75" customHeight="1">
      <c r="B137" s="48"/>
      <c r="C137" s="160" t="s">
        <v>307</v>
      </c>
      <c r="D137" s="156">
        <f>$F$10*(F821EA!R18+F821EA!Y18)*$L137</f>
        <v>0</v>
      </c>
      <c r="E137" s="156">
        <f>$F$10*(F821EA!S18+F821EA!Z18)*$L137</f>
        <v>0</v>
      </c>
      <c r="F137" s="156">
        <f>$F$10*(F821EA!T18+F821EA!AA18)*$L137</f>
        <v>0</v>
      </c>
      <c r="G137" s="156">
        <f>$F$10*(F821EA!U18+F821EA!AB18)*$L137</f>
        <v>0</v>
      </c>
      <c r="H137" s="156">
        <f>$F$10*(F821EA!V18+F821EA!AC18)*$L137</f>
        <v>0</v>
      </c>
      <c r="I137" s="156">
        <f>$F$10*(F821EA!W18+F821EA!AD18)*$L137</f>
        <v>0</v>
      </c>
      <c r="J137" s="156">
        <f t="shared" si="30"/>
        <v>0</v>
      </c>
      <c r="K137" s="69"/>
      <c r="L137" s="319">
        <v>0.5</v>
      </c>
    </row>
    <row r="138" spans="2:12" s="37" customFormat="1" ht="15.75" customHeight="1">
      <c r="B138" s="48"/>
      <c r="C138" s="157"/>
      <c r="D138" s="157"/>
      <c r="E138" s="157"/>
      <c r="F138" s="157"/>
      <c r="G138" s="157"/>
      <c r="H138" s="157"/>
      <c r="I138" s="157"/>
      <c r="J138" s="157"/>
      <c r="K138" s="69"/>
      <c r="L138" s="319"/>
    </row>
    <row r="139" spans="2:12" s="37" customFormat="1" ht="15.75" customHeight="1">
      <c r="B139" s="48"/>
      <c r="C139" s="153" t="s">
        <v>443</v>
      </c>
      <c r="D139" s="154">
        <f t="shared" ref="D139:I139" si="33">D140+D144+D151+D156+D161+D174+D180+D187+D195+D201+D208+D167</f>
        <v>5616817.4043945791</v>
      </c>
      <c r="E139" s="154">
        <f t="shared" si="33"/>
        <v>5599642.7165441178</v>
      </c>
      <c r="F139" s="154">
        <f t="shared" si="33"/>
        <v>5502025.0499150157</v>
      </c>
      <c r="G139" s="154">
        <f t="shared" si="33"/>
        <v>5567263.4365479918</v>
      </c>
      <c r="H139" s="154">
        <f t="shared" si="33"/>
        <v>5333266.6755047962</v>
      </c>
      <c r="I139" s="154">
        <f t="shared" si="33"/>
        <v>5366338.9185766056</v>
      </c>
      <c r="J139" s="154">
        <f t="shared" ref="J139:J165" si="34">SUM(D139:I139)</f>
        <v>32985354.201483104</v>
      </c>
      <c r="K139" s="69"/>
      <c r="L139" s="319"/>
    </row>
    <row r="140" spans="2:12" s="37" customFormat="1" ht="15.75" customHeight="1">
      <c r="B140" s="48" t="s">
        <v>275</v>
      </c>
      <c r="C140" s="155" t="s">
        <v>275</v>
      </c>
      <c r="D140" s="154">
        <f>SUM(D141:D143)</f>
        <v>73319.403202499991</v>
      </c>
      <c r="E140" s="154">
        <f t="shared" ref="E140:I140" si="35">SUM(E141:E143)</f>
        <v>74534.004090000002</v>
      </c>
      <c r="F140" s="154">
        <f t="shared" si="35"/>
        <v>73965.117134999993</v>
      </c>
      <c r="G140" s="154">
        <f t="shared" si="35"/>
        <v>76870.275299999994</v>
      </c>
      <c r="H140" s="154">
        <f t="shared" si="35"/>
        <v>79748.115037500014</v>
      </c>
      <c r="I140" s="154">
        <f t="shared" si="35"/>
        <v>80879.172464999996</v>
      </c>
      <c r="J140" s="154">
        <f t="shared" si="34"/>
        <v>459316.08723</v>
      </c>
      <c r="K140" s="69"/>
      <c r="L140" s="319"/>
    </row>
    <row r="141" spans="2:12" s="37" customFormat="1" ht="15.75" customHeight="1">
      <c r="B141" s="48"/>
      <c r="C141" s="160" t="s">
        <v>304</v>
      </c>
      <c r="D141" s="156">
        <f>$H$11*F821EA!R22+$I$11*F821EA!Y22</f>
        <v>72631.278720000002</v>
      </c>
      <c r="E141" s="156">
        <f>$H$11*F821EA!S22+$I$11*F821EA!Z22</f>
        <v>74040.622109999997</v>
      </c>
      <c r="F141" s="156">
        <f>$H$11*F821EA!T22+$I$11*F821EA!AA22</f>
        <v>73381.075949999999</v>
      </c>
      <c r="G141" s="156">
        <f>$H$11*F821EA!U22+$I$11*F821EA!AB22</f>
        <v>76256.866139999998</v>
      </c>
      <c r="H141" s="156">
        <f>$H$11*F821EA!V22+$I$11*F821EA!AC22</f>
        <v>79261.697970000008</v>
      </c>
      <c r="I141" s="156">
        <f>$H$11*F821EA!W22+$I$11*F821EA!AD22</f>
        <v>80276.570009999996</v>
      </c>
      <c r="J141" s="156">
        <f t="shared" si="34"/>
        <v>455848.11089999997</v>
      </c>
      <c r="K141" s="69"/>
      <c r="L141" s="319"/>
    </row>
    <row r="142" spans="2:12" s="37" customFormat="1" ht="15.75" customHeight="1">
      <c r="B142" s="48"/>
      <c r="C142" s="161" t="s">
        <v>306</v>
      </c>
      <c r="D142" s="156">
        <f>($H$11*F821EA!R23+$I$11*F821EA!Y23)*$L142</f>
        <v>434.58392250000003</v>
      </c>
      <c r="E142" s="156">
        <f>($H$11*F821EA!S23+$I$11*F821EA!Z23)*$L142</f>
        <v>282.99725999999998</v>
      </c>
      <c r="F142" s="156">
        <f>($H$11*F821EA!T23+$I$11*F821EA!AA23)*$L142</f>
        <v>357.47302500000001</v>
      </c>
      <c r="G142" s="156">
        <f>($H$11*F821EA!U23+$I$11*F821EA!AB23)*$L142</f>
        <v>376.05203999999998</v>
      </c>
      <c r="H142" s="156">
        <f>($H$11*F821EA!V23+$I$11*F821EA!AC23)*$L142</f>
        <v>265.24338749999998</v>
      </c>
      <c r="I142" s="156">
        <f>($H$11*F821EA!W23+$I$11*F821EA!AD23)*$L142</f>
        <v>365.24533500000001</v>
      </c>
      <c r="J142" s="156">
        <f t="shared" si="34"/>
        <v>2081.5949700000001</v>
      </c>
      <c r="K142" s="69"/>
      <c r="L142" s="319">
        <v>0.75</v>
      </c>
    </row>
    <row r="143" spans="2:12" s="37" customFormat="1" ht="15.75" customHeight="1">
      <c r="B143" s="48"/>
      <c r="C143" s="160" t="s">
        <v>305</v>
      </c>
      <c r="D143" s="156">
        <f>($H$11*F821EA!R24+$I$11*F821EA!Y24)*$L143</f>
        <v>253.54055999999997</v>
      </c>
      <c r="E143" s="156">
        <f>($H$11*F821EA!S24+$I$11*F821EA!Z24)*$L143</f>
        <v>210.38472000000002</v>
      </c>
      <c r="F143" s="156">
        <f>($H$11*F821EA!T24+$I$11*F821EA!AA24)*$L143</f>
        <v>226.56816000000001</v>
      </c>
      <c r="G143" s="156">
        <f>($H$11*F821EA!U24+$I$11*F821EA!AB24)*$L143</f>
        <v>237.35712000000001</v>
      </c>
      <c r="H143" s="156">
        <f>($H$11*F821EA!V24+$I$11*F821EA!AC24)*$L143</f>
        <v>221.17367999999999</v>
      </c>
      <c r="I143" s="156">
        <f>($H$11*F821EA!W24+$I$11*F821EA!AD24)*$L143</f>
        <v>237.35712000000001</v>
      </c>
      <c r="J143" s="156">
        <f t="shared" si="34"/>
        <v>1386.3813599999999</v>
      </c>
      <c r="K143" s="69"/>
      <c r="L143" s="319">
        <v>0.95</v>
      </c>
    </row>
    <row r="144" spans="2:12" s="37" customFormat="1" ht="15.75" customHeight="1">
      <c r="B144" s="48" t="s">
        <v>274</v>
      </c>
      <c r="C144" s="158" t="s">
        <v>627</v>
      </c>
      <c r="D144" s="159">
        <f t="shared" ref="D144:I144" si="36">SUM(D145:D150)</f>
        <v>905885.22212817671</v>
      </c>
      <c r="E144" s="159">
        <f t="shared" si="36"/>
        <v>905803.08321151079</v>
      </c>
      <c r="F144" s="159">
        <f t="shared" si="36"/>
        <v>892541.44894244755</v>
      </c>
      <c r="G144" s="159">
        <f t="shared" si="36"/>
        <v>910130.5266379423</v>
      </c>
      <c r="H144" s="159">
        <f t="shared" si="36"/>
        <v>877730.10247764934</v>
      </c>
      <c r="I144" s="159">
        <f t="shared" si="36"/>
        <v>870784.90075111913</v>
      </c>
      <c r="J144" s="159">
        <f t="shared" si="34"/>
        <v>5362875.2841488458</v>
      </c>
      <c r="K144" s="69"/>
      <c r="L144" s="319"/>
    </row>
    <row r="145" spans="2:12" s="37" customFormat="1" ht="15.75" customHeight="1">
      <c r="B145" s="48"/>
      <c r="C145" s="160" t="s">
        <v>304</v>
      </c>
      <c r="D145" s="156">
        <f>$F$12*(F821EA!R28+F821EA!Y28)*$L145</f>
        <v>904364.3852456914</v>
      </c>
      <c r="E145" s="156">
        <f>$F$12*(F821EA!S28+F821EA!Z28)*$L145</f>
        <v>904212.27516318951</v>
      </c>
      <c r="F145" s="156">
        <f>$F$12*(F821EA!T28+F821EA!AA28)*$L145</f>
        <v>890736.58349883032</v>
      </c>
      <c r="G145" s="156">
        <f>$F$12*(F821EA!U28+F821EA!AB28)*$L145</f>
        <v>908609.32023590908</v>
      </c>
      <c r="H145" s="156">
        <f>$F$12*(F821EA!V28+F821EA!AC28)*$L145</f>
        <v>876236.61004171497</v>
      </c>
      <c r="I145" s="156">
        <f>$F$12*(F821EA!W28+F821EA!AD28)*$L145</f>
        <v>869067.79883957328</v>
      </c>
      <c r="J145" s="156">
        <f t="shared" si="34"/>
        <v>5353226.9730249085</v>
      </c>
      <c r="K145" s="69"/>
      <c r="L145" s="319">
        <v>1</v>
      </c>
    </row>
    <row r="146" spans="2:12" s="37" customFormat="1" ht="15.75" customHeight="1">
      <c r="B146" s="48"/>
      <c r="C146" s="162" t="s">
        <v>628</v>
      </c>
      <c r="D146" s="156">
        <f>$F$12*(F821EA!R29+F821EA!Y29)*$L146</f>
        <v>71.264484253908094</v>
      </c>
      <c r="E146" s="156">
        <f>$F$12*(F821EA!S29+F821EA!Z29)*$L146</f>
        <v>71.264484253908094</v>
      </c>
      <c r="F146" s="156">
        <f>$F$12*(F821EA!T29+F821EA!AA29)*$L146</f>
        <v>83.141898296226103</v>
      </c>
      <c r="G146" s="156">
        <f>$F$12*(F821EA!U29+F821EA!AB29)*$L146</f>
        <v>83.141898296226103</v>
      </c>
      <c r="H146" s="156">
        <f>$F$12*(F821EA!V29+F821EA!AC29)*$L146</f>
        <v>83.141898296226103</v>
      </c>
      <c r="I146" s="156">
        <f>$F$12*(F821EA!W29+F821EA!AD29)*$L146</f>
        <v>71.264484253908094</v>
      </c>
      <c r="J146" s="156">
        <f t="shared" si="34"/>
        <v>463.21914765040259</v>
      </c>
      <c r="K146" s="69"/>
      <c r="L146" s="319">
        <v>0.75</v>
      </c>
    </row>
    <row r="147" spans="2:12" s="37" customFormat="1" ht="15.75" customHeight="1">
      <c r="B147" s="48"/>
      <c r="C147" s="161" t="s">
        <v>629</v>
      </c>
      <c r="D147" s="156">
        <f>$F$12*(F821EA!R30+F821EA!Y30)*$L147</f>
        <v>396.65284050656697</v>
      </c>
      <c r="E147" s="156">
        <f>$F$12*(F821EA!S30+F821EA!Z30)*$L147</f>
        <v>431.0445527224345</v>
      </c>
      <c r="F147" s="156">
        <f>$F$12*(F821EA!T30+F821EA!AA30)*$L147</f>
        <v>427.7188767905854</v>
      </c>
      <c r="G147" s="156">
        <f>$F$12*(F821EA!U30+F821EA!AB30)*$L147</f>
        <v>399.76736241099701</v>
      </c>
      <c r="H147" s="156">
        <f>$F$12*(F821EA!V30+F821EA!AC30)*$L147</f>
        <v>394.75245425979608</v>
      </c>
      <c r="I147" s="156">
        <f>$F$12*(F821EA!W30+F821EA!AD30)*$L147</f>
        <v>411.06410287791277</v>
      </c>
      <c r="J147" s="156">
        <f t="shared" si="34"/>
        <v>2461.0001895682926</v>
      </c>
      <c r="K147" s="69"/>
      <c r="L147" s="319">
        <v>1</v>
      </c>
    </row>
    <row r="148" spans="2:12" s="37" customFormat="1" ht="15.75" customHeight="1">
      <c r="B148" s="48"/>
      <c r="C148" s="160" t="s">
        <v>305</v>
      </c>
      <c r="D148" s="156">
        <f>$F$12*(F821EA!R31+F821EA!Y31)*$L148</f>
        <v>956.84447524913924</v>
      </c>
      <c r="E148" s="156">
        <f>$F$12*(F821EA!S31+F821EA!Z31)*$L148</f>
        <v>1002.9816302401879</v>
      </c>
      <c r="F148" s="156">
        <f>$F$12*(F821EA!T31+F821EA!AA31)*$L148</f>
        <v>1190.539195095103</v>
      </c>
      <c r="G148" s="156">
        <f>$F$12*(F821EA!U31+F821EA!AB31)*$L148</f>
        <v>933.7758977536148</v>
      </c>
      <c r="H148" s="156">
        <f>$F$12*(F821EA!V31+F821EA!AC31)*$L148</f>
        <v>923.74608145121306</v>
      </c>
      <c r="I148" s="156">
        <f>$F$12*(F821EA!W31+F821EA!AD31)*$L148</f>
        <v>1153.4790238577282</v>
      </c>
      <c r="J148" s="156">
        <f t="shared" si="34"/>
        <v>6161.3663036469861</v>
      </c>
      <c r="K148" s="69"/>
      <c r="L148" s="319">
        <v>0.95</v>
      </c>
    </row>
    <row r="149" spans="2:12" s="37" customFormat="1" ht="15.75" customHeight="1">
      <c r="B149" s="48"/>
      <c r="C149" s="160" t="s">
        <v>307</v>
      </c>
      <c r="D149" s="156">
        <f>$F$12*(F821EA!R32+F821EA!Y32)*$L149</f>
        <v>96.07508247563905</v>
      </c>
      <c r="E149" s="156">
        <f>$F$12*(F821EA!S32+F821EA!Z32)*$L149</f>
        <v>85.517381104689704</v>
      </c>
      <c r="F149" s="156">
        <f>$F$12*(F821EA!T32+F821EA!AA32)*$L149</f>
        <v>103.46547343530361</v>
      </c>
      <c r="G149" s="156">
        <f>$F$12*(F821EA!U32+F821EA!AB32)*$L149</f>
        <v>104.52124357239853</v>
      </c>
      <c r="H149" s="156">
        <f>$F$12*(F821EA!V32+F821EA!AC32)*$L149</f>
        <v>91.852001927259323</v>
      </c>
      <c r="I149" s="156">
        <f>$F$12*(F821EA!W32+F821EA!AD32)*$L149</f>
        <v>81.294300556309963</v>
      </c>
      <c r="J149" s="156">
        <f t="shared" si="34"/>
        <v>562.72548307160014</v>
      </c>
      <c r="K149" s="69"/>
      <c r="L149" s="319">
        <v>0.5</v>
      </c>
    </row>
    <row r="150" spans="2:12" s="37" customFormat="1" ht="15.75" customHeight="1">
      <c r="B150" s="48"/>
      <c r="C150" s="160" t="s">
        <v>624</v>
      </c>
      <c r="D150" s="156">
        <f>$F$12*(F821EA!R33+F821EA!Y33)*$L150</f>
        <v>0</v>
      </c>
      <c r="E150" s="156">
        <f>$F$12*(F821EA!S33+F821EA!Z33)*$L150</f>
        <v>0</v>
      </c>
      <c r="F150" s="156">
        <f>$F$12*(F821EA!T33+F821EA!AA33)*$L150</f>
        <v>0</v>
      </c>
      <c r="G150" s="156">
        <f>$F$12*(F821EA!U33+F821EA!AB33)*$L150</f>
        <v>0</v>
      </c>
      <c r="H150" s="156">
        <f>$F$12*(F821EA!V33+F821EA!AC33)*$L150</f>
        <v>0</v>
      </c>
      <c r="I150" s="156">
        <f>$F$12*(F821EA!W33+F821EA!AD33)*$L150</f>
        <v>0</v>
      </c>
      <c r="J150" s="156">
        <f t="shared" si="34"/>
        <v>0</v>
      </c>
      <c r="K150" s="69"/>
      <c r="L150" s="319">
        <v>0</v>
      </c>
    </row>
    <row r="151" spans="2:12" s="37" customFormat="1" ht="15.75" customHeight="1">
      <c r="B151" s="48" t="s">
        <v>274</v>
      </c>
      <c r="C151" s="158" t="s">
        <v>631</v>
      </c>
      <c r="D151" s="159">
        <f t="shared" ref="D151:I151" si="37">SUM(D152:D155)</f>
        <v>422400.2499651956</v>
      </c>
      <c r="E151" s="159">
        <f t="shared" si="37"/>
        <v>425202.10554352502</v>
      </c>
      <c r="F151" s="159">
        <f t="shared" si="37"/>
        <v>406200.30182758358</v>
      </c>
      <c r="G151" s="159">
        <f t="shared" si="37"/>
        <v>420694.60052021197</v>
      </c>
      <c r="H151" s="159">
        <f t="shared" si="37"/>
        <v>390241.43880077719</v>
      </c>
      <c r="I151" s="159">
        <f t="shared" si="37"/>
        <v>383361.01121158281</v>
      </c>
      <c r="J151" s="159">
        <f t="shared" si="34"/>
        <v>2448099.7078688764</v>
      </c>
      <c r="K151" s="69"/>
      <c r="L151" s="319"/>
    </row>
    <row r="152" spans="2:12" s="37" customFormat="1" ht="15.75" customHeight="1">
      <c r="B152" s="48"/>
      <c r="C152" s="160" t="s">
        <v>304</v>
      </c>
      <c r="D152" s="156">
        <f>$F$13*(F821EA!R35+F821EA!Y35)*$L152</f>
        <v>422143.48666785413</v>
      </c>
      <c r="E152" s="156">
        <f>$F$13*(F821EA!S35+F821EA!Z35)*$L152</f>
        <v>424951.36013596499</v>
      </c>
      <c r="F152" s="156">
        <f>$F$13*(F821EA!T35+F821EA!AA35)*$L152</f>
        <v>405945.54449350259</v>
      </c>
      <c r="G152" s="156">
        <f>$F$13*(F821EA!U35+F821EA!AB35)*$L152</f>
        <v>420357.59869245125</v>
      </c>
      <c r="H152" s="156">
        <f>$F$13*(F821EA!V35+F821EA!AC35)*$L152</f>
        <v>390052.87825429201</v>
      </c>
      <c r="I152" s="156">
        <f>$F$13*(F821EA!W35+F821EA!AD35)*$L152</f>
        <v>382927.72314731905</v>
      </c>
      <c r="J152" s="156">
        <f t="shared" si="34"/>
        <v>2446378.5913913841</v>
      </c>
      <c r="K152" s="69"/>
      <c r="L152" s="319">
        <v>1</v>
      </c>
    </row>
    <row r="153" spans="2:12" s="37" customFormat="1" ht="15.75" customHeight="1">
      <c r="B153" s="48"/>
      <c r="C153" s="161" t="s">
        <v>306</v>
      </c>
      <c r="D153" s="156">
        <f>$F$13*(F821EA!R36+F821EA!Y36)*$L153</f>
        <v>0</v>
      </c>
      <c r="E153" s="156">
        <f>$F$13*(F821EA!S36+F821EA!Z36)*$L153</f>
        <v>0</v>
      </c>
      <c r="F153" s="156">
        <f>$F$13*(F821EA!T36+F821EA!AA36)*$L153</f>
        <v>0</v>
      </c>
      <c r="G153" s="156">
        <f>$F$13*(F821EA!U36+F821EA!AB36)*$L153</f>
        <v>0</v>
      </c>
      <c r="H153" s="156">
        <f>$F$13*(F821EA!V36+F821EA!AC36)*$L153</f>
        <v>0</v>
      </c>
      <c r="I153" s="156">
        <f>$F$13*(F821EA!W36+F821EA!AD36)*$L153</f>
        <v>0</v>
      </c>
      <c r="J153" s="156">
        <f t="shared" si="34"/>
        <v>0</v>
      </c>
      <c r="K153" s="69"/>
      <c r="L153" s="319">
        <v>1</v>
      </c>
    </row>
    <row r="154" spans="2:12" s="37" customFormat="1" ht="15.75" customHeight="1">
      <c r="B154" s="48"/>
      <c r="C154" s="160" t="s">
        <v>305</v>
      </c>
      <c r="D154" s="156">
        <f>$F$13*(F821EA!R37+F821EA!Y37)*$L154</f>
        <v>256.76329734148811</v>
      </c>
      <c r="E154" s="156">
        <f>$F$13*(F821EA!S37+F821EA!Z37)*$L154</f>
        <v>250.74540756004697</v>
      </c>
      <c r="F154" s="156">
        <f>$F$13*(F821EA!T37+F821EA!AA37)*$L154</f>
        <v>254.75733408100774</v>
      </c>
      <c r="G154" s="156">
        <f>$F$13*(F821EA!U37+F821EA!AB37)*$L154</f>
        <v>337.00182776070312</v>
      </c>
      <c r="H154" s="156">
        <f>$F$13*(F821EA!V37+F821EA!AC37)*$L154</f>
        <v>188.56054648515533</v>
      </c>
      <c r="I154" s="156">
        <f>$F$13*(F821EA!W37+F821EA!AD37)*$L154</f>
        <v>433.28806426376116</v>
      </c>
      <c r="J154" s="156">
        <f t="shared" si="34"/>
        <v>1721.1164774921626</v>
      </c>
      <c r="K154" s="69"/>
      <c r="L154" s="319">
        <v>0.95</v>
      </c>
    </row>
    <row r="155" spans="2:12" s="37" customFormat="1" ht="15.75" customHeight="1">
      <c r="B155" s="48"/>
      <c r="C155" s="160" t="s">
        <v>307</v>
      </c>
      <c r="D155" s="156">
        <f>$F$13*(F821EA!R38+F821EA!Y38)*$L155</f>
        <v>0</v>
      </c>
      <c r="E155" s="156">
        <f>$F$13*(F821EA!S38+F821EA!Z38)*$L155</f>
        <v>0</v>
      </c>
      <c r="F155" s="156">
        <f>$F$13*(F821EA!T38+F821EA!AA38)*$L155</f>
        <v>0</v>
      </c>
      <c r="G155" s="156">
        <f>$F$13*(F821EA!U38+F821EA!AB38)*$L155</f>
        <v>0</v>
      </c>
      <c r="H155" s="156">
        <f>$F$13*(F821EA!V38+F821EA!AC38)*$L155</f>
        <v>0</v>
      </c>
      <c r="I155" s="156">
        <f>$F$13*(F821EA!W38+F821EA!AD38)*$L155</f>
        <v>0</v>
      </c>
      <c r="J155" s="156">
        <f t="shared" si="34"/>
        <v>0</v>
      </c>
      <c r="K155" s="69"/>
      <c r="L155" s="319">
        <v>0.5</v>
      </c>
    </row>
    <row r="156" spans="2:12" s="37" customFormat="1" ht="15.75" customHeight="1">
      <c r="B156" s="48" t="s">
        <v>274</v>
      </c>
      <c r="C156" s="158" t="s">
        <v>632</v>
      </c>
      <c r="D156" s="159">
        <f t="shared" ref="D156:I156" si="38">SUM(D157:D160)</f>
        <v>124789.33799077167</v>
      </c>
      <c r="E156" s="159">
        <f t="shared" si="38"/>
        <v>120278.61286854044</v>
      </c>
      <c r="F156" s="159">
        <f t="shared" si="38"/>
        <v>110362.81974094482</v>
      </c>
      <c r="G156" s="159">
        <f t="shared" si="38"/>
        <v>120702.47818433063</v>
      </c>
      <c r="H156" s="159">
        <f t="shared" si="38"/>
        <v>104038.17594617076</v>
      </c>
      <c r="I156" s="159">
        <f t="shared" si="38"/>
        <v>108576.13993793905</v>
      </c>
      <c r="J156" s="159">
        <f t="shared" si="34"/>
        <v>688747.56466869731</v>
      </c>
      <c r="K156" s="69"/>
      <c r="L156" s="319"/>
    </row>
    <row r="157" spans="2:12" s="37" customFormat="1" ht="15.75" customHeight="1">
      <c r="B157" s="48"/>
      <c r="C157" s="160" t="s">
        <v>304</v>
      </c>
      <c r="D157" s="156">
        <f>$F$14*(F821EA!R40+F821EA!Y40)*$L157</f>
        <v>124789.33799077167</v>
      </c>
      <c r="E157" s="156">
        <f>$F$14*(F821EA!S40+F821EA!Z40)*$L157</f>
        <v>120278.61286854044</v>
      </c>
      <c r="F157" s="156">
        <f>$F$14*(F821EA!T40+F821EA!AA40)*$L157</f>
        <v>110362.81974094482</v>
      </c>
      <c r="G157" s="156">
        <f>$F$14*(F821EA!U40+F821EA!AB40)*$L157</f>
        <v>120702.47818433063</v>
      </c>
      <c r="H157" s="156">
        <f>$F$14*(F821EA!V40+F821EA!AC40)*$L157</f>
        <v>104038.17594617076</v>
      </c>
      <c r="I157" s="156">
        <f>$F$14*(F821EA!W40+F821EA!AD40)*$L157</f>
        <v>108576.13993793905</v>
      </c>
      <c r="J157" s="156">
        <f t="shared" si="34"/>
        <v>688747.56466869731</v>
      </c>
      <c r="K157" s="69"/>
      <c r="L157" s="319">
        <v>1</v>
      </c>
    </row>
    <row r="158" spans="2:12" s="37" customFormat="1" ht="15.75" customHeight="1">
      <c r="B158" s="48"/>
      <c r="C158" s="161" t="s">
        <v>306</v>
      </c>
      <c r="D158" s="156">
        <f>$F$14*(F821EA!R41+F821EA!Y41)*$L158</f>
        <v>0</v>
      </c>
      <c r="E158" s="156">
        <f>$F$14*(F821EA!S41+F821EA!Z41)*$L158</f>
        <v>0</v>
      </c>
      <c r="F158" s="156">
        <f>$F$14*(F821EA!T41+F821EA!AA41)*$L158</f>
        <v>0</v>
      </c>
      <c r="G158" s="156">
        <f>$F$14*(F821EA!U41+F821EA!AB41)*$L158</f>
        <v>0</v>
      </c>
      <c r="H158" s="156">
        <f>$F$14*(F821EA!V41+F821EA!AC41)*$L158</f>
        <v>0</v>
      </c>
      <c r="I158" s="156">
        <f>$F$14*(F821EA!W41+F821EA!AD41)*$L158</f>
        <v>0</v>
      </c>
      <c r="J158" s="156">
        <f t="shared" si="34"/>
        <v>0</v>
      </c>
      <c r="K158" s="69"/>
      <c r="L158" s="319">
        <v>1</v>
      </c>
    </row>
    <row r="159" spans="2:12" s="37" customFormat="1" ht="15.75" customHeight="1">
      <c r="B159" s="48"/>
      <c r="C159" s="160" t="s">
        <v>305</v>
      </c>
      <c r="D159" s="156">
        <f>$F$14*(F821EA!R42+F821EA!Y42)*$L159</f>
        <v>0</v>
      </c>
      <c r="E159" s="156">
        <f>$F$14*(F821EA!S42+F821EA!Z42)*$L159</f>
        <v>0</v>
      </c>
      <c r="F159" s="156">
        <f>$F$14*(F821EA!T42+F821EA!AA42)*$L159</f>
        <v>0</v>
      </c>
      <c r="G159" s="156">
        <f>$F$14*(F821EA!U42+F821EA!AB42)*$L159</f>
        <v>0</v>
      </c>
      <c r="H159" s="156">
        <f>$F$14*(F821EA!V42+F821EA!AC42)*$L159</f>
        <v>0</v>
      </c>
      <c r="I159" s="156">
        <f>$F$14*(F821EA!W42+F821EA!AD42)*$L159</f>
        <v>0</v>
      </c>
      <c r="J159" s="156">
        <f t="shared" si="34"/>
        <v>0</v>
      </c>
      <c r="K159" s="69"/>
      <c r="L159" s="319">
        <v>0.95</v>
      </c>
    </row>
    <row r="160" spans="2:12" s="37" customFormat="1" ht="15.75" customHeight="1">
      <c r="B160" s="48"/>
      <c r="C160" s="160" t="s">
        <v>307</v>
      </c>
      <c r="D160" s="156">
        <f>$F$14*(F821EA!R43+F821EA!Y43)*$L160</f>
        <v>0</v>
      </c>
      <c r="E160" s="156">
        <f>$F$14*(F821EA!S43+F821EA!Z43)*$L160</f>
        <v>0</v>
      </c>
      <c r="F160" s="156">
        <f>$F$14*(F821EA!T43+F821EA!AA43)*$L160</f>
        <v>0</v>
      </c>
      <c r="G160" s="156">
        <f>$F$14*(F821EA!U43+F821EA!AB43)*$L160</f>
        <v>0</v>
      </c>
      <c r="H160" s="156">
        <f>$F$14*(F821EA!V43+F821EA!AC43)*$L160</f>
        <v>0</v>
      </c>
      <c r="I160" s="156">
        <f>$F$14*(F821EA!W43+F821EA!AD43)*$L160</f>
        <v>0</v>
      </c>
      <c r="J160" s="156">
        <f t="shared" si="34"/>
        <v>0</v>
      </c>
      <c r="K160" s="69"/>
      <c r="L160" s="319">
        <v>0.5</v>
      </c>
    </row>
    <row r="161" spans="2:13" s="37" customFormat="1" ht="15.75" customHeight="1">
      <c r="B161" s="48" t="s">
        <v>274</v>
      </c>
      <c r="C161" s="158" t="s">
        <v>633</v>
      </c>
      <c r="D161" s="159">
        <f t="shared" ref="D161:I161" si="39">SUM(D162:D165)</f>
        <v>131363.14353790015</v>
      </c>
      <c r="E161" s="159">
        <f t="shared" si="39"/>
        <v>121011.66046897887</v>
      </c>
      <c r="F161" s="159">
        <f t="shared" si="39"/>
        <v>104171.8628397804</v>
      </c>
      <c r="G161" s="159">
        <f t="shared" si="39"/>
        <v>119354.86678708921</v>
      </c>
      <c r="H161" s="159">
        <f t="shared" si="39"/>
        <v>108298.60436315021</v>
      </c>
      <c r="I161" s="159">
        <f t="shared" si="39"/>
        <v>111920.81973225581</v>
      </c>
      <c r="J161" s="159">
        <f t="shared" si="34"/>
        <v>696120.95772915462</v>
      </c>
      <c r="K161" s="69"/>
      <c r="L161" s="319"/>
    </row>
    <row r="162" spans="2:13" s="37" customFormat="1" ht="15.75" customHeight="1">
      <c r="B162" s="48"/>
      <c r="C162" s="160" t="s">
        <v>304</v>
      </c>
      <c r="D162" s="156">
        <f>$F$15*(F821EA!R45+F821EA!Y45)*$L162</f>
        <v>131363.14353790015</v>
      </c>
      <c r="E162" s="156">
        <f>$F$15*(F821EA!S45+F821EA!Z45)*$L162</f>
        <v>121011.66046897887</v>
      </c>
      <c r="F162" s="156">
        <f>$F$15*(F821EA!T45+F821EA!AA45)*$L162</f>
        <v>104171.8628397804</v>
      </c>
      <c r="G162" s="156">
        <f>$F$15*(F821EA!U45+F821EA!AB45)*$L162</f>
        <v>119354.86678708921</v>
      </c>
      <c r="H162" s="156">
        <f>$F$15*(F821EA!V45+F821EA!AC45)*$L162</f>
        <v>108298.60436315021</v>
      </c>
      <c r="I162" s="156">
        <f>$F$15*(F821EA!W45+F821EA!AD45)*$L162</f>
        <v>111920.81973225581</v>
      </c>
      <c r="J162" s="156">
        <f t="shared" si="34"/>
        <v>696120.95772915462</v>
      </c>
      <c r="K162" s="69"/>
      <c r="L162" s="319">
        <v>1</v>
      </c>
    </row>
    <row r="163" spans="2:13" s="37" customFormat="1" ht="15.75" customHeight="1">
      <c r="B163" s="48"/>
      <c r="C163" s="161" t="s">
        <v>306</v>
      </c>
      <c r="D163" s="156">
        <f>$F$15*(F821EA!R46+F821EA!Y46)*$L163</f>
        <v>0</v>
      </c>
      <c r="E163" s="156">
        <f>$F$15*(F821EA!S46+F821EA!Z46)*$L163</f>
        <v>0</v>
      </c>
      <c r="F163" s="156">
        <f>$F$15*(F821EA!T46+F821EA!AA46)*$L163</f>
        <v>0</v>
      </c>
      <c r="G163" s="156">
        <f>$F$15*(F821EA!U46+F821EA!AB46)*$L163</f>
        <v>0</v>
      </c>
      <c r="H163" s="156">
        <f>$F$15*(F821EA!V46+F821EA!AC46)*$L163</f>
        <v>0</v>
      </c>
      <c r="I163" s="156">
        <f>$F$15*(F821EA!W46+F821EA!AD46)*$L163</f>
        <v>0</v>
      </c>
      <c r="J163" s="156">
        <f t="shared" si="34"/>
        <v>0</v>
      </c>
      <c r="K163" s="69"/>
      <c r="L163" s="319">
        <v>1</v>
      </c>
    </row>
    <row r="164" spans="2:13" s="37" customFormat="1" ht="15.75" customHeight="1">
      <c r="B164" s="48"/>
      <c r="C164" s="160" t="s">
        <v>305</v>
      </c>
      <c r="D164" s="156">
        <f>$F$15*(F821EA!R47+F821EA!Y47)*$L164</f>
        <v>0</v>
      </c>
      <c r="E164" s="156">
        <f>$F$15*(F821EA!S47+F821EA!Z47)*$L164</f>
        <v>0</v>
      </c>
      <c r="F164" s="156">
        <f>$F$15*(F821EA!T47+F821EA!AA47)*$L164</f>
        <v>0</v>
      </c>
      <c r="G164" s="156">
        <f>$F$15*(F821EA!U47+F821EA!AB47)*$L164</f>
        <v>0</v>
      </c>
      <c r="H164" s="156">
        <f>$F$15*(F821EA!V47+F821EA!AC47)*$L164</f>
        <v>0</v>
      </c>
      <c r="I164" s="156">
        <f>$F$15*(F821EA!W47+F821EA!AD47)*$L164</f>
        <v>0</v>
      </c>
      <c r="J164" s="156">
        <f t="shared" si="34"/>
        <v>0</v>
      </c>
      <c r="K164" s="69"/>
      <c r="L164" s="319">
        <v>0.95</v>
      </c>
    </row>
    <row r="165" spans="2:13" s="37" customFormat="1" ht="15.75" customHeight="1">
      <c r="B165" s="48"/>
      <c r="C165" s="160" t="s">
        <v>307</v>
      </c>
      <c r="D165" s="156">
        <f>$F$15*(F821EA!R48+F821EA!Y48)*$L165</f>
        <v>0</v>
      </c>
      <c r="E165" s="156">
        <f>$F$15*(F821EA!S48+F821EA!Z48)*$L165</f>
        <v>0</v>
      </c>
      <c r="F165" s="156">
        <f>$F$15*(F821EA!T48+F821EA!AA48)*$L165</f>
        <v>0</v>
      </c>
      <c r="G165" s="156">
        <f>$F$15*(F821EA!U48+F821EA!AB48)*$L165</f>
        <v>0</v>
      </c>
      <c r="H165" s="156">
        <f>$F$15*(F821EA!V48+F821EA!AC48)*$L165</f>
        <v>0</v>
      </c>
      <c r="I165" s="156">
        <f>$F$15*(F821EA!W48+F821EA!AD48)*$L165</f>
        <v>0</v>
      </c>
      <c r="J165" s="156">
        <f t="shared" si="34"/>
        <v>0</v>
      </c>
      <c r="K165" s="69"/>
      <c r="L165" s="319">
        <v>0.5</v>
      </c>
    </row>
    <row r="166" spans="2:13" s="37" customFormat="1" ht="15.75">
      <c r="B166" s="48"/>
      <c r="C166" s="157"/>
      <c r="D166" s="156"/>
      <c r="E166" s="156"/>
      <c r="F166" s="156"/>
      <c r="G166" s="156"/>
      <c r="H166" s="156"/>
      <c r="I166" s="156"/>
      <c r="J166" s="156"/>
      <c r="K166" s="69"/>
      <c r="L166" s="319"/>
    </row>
    <row r="167" spans="2:13" s="37" customFormat="1" ht="15.75">
      <c r="B167" s="48" t="s">
        <v>1176</v>
      </c>
      <c r="C167" s="158" t="str">
        <f>F821EA!$C$50</f>
        <v>BTSH</v>
      </c>
      <c r="D167" s="159">
        <f>SUM(D168:D173)</f>
        <v>0</v>
      </c>
      <c r="E167" s="159">
        <f t="shared" ref="E167:J167" si="40">SUM(E168:E173)</f>
        <v>0</v>
      </c>
      <c r="F167" s="159">
        <f t="shared" si="40"/>
        <v>0</v>
      </c>
      <c r="G167" s="159">
        <f t="shared" si="40"/>
        <v>0</v>
      </c>
      <c r="H167" s="159">
        <f t="shared" si="40"/>
        <v>0</v>
      </c>
      <c r="I167" s="159">
        <f t="shared" si="40"/>
        <v>0</v>
      </c>
      <c r="J167" s="159">
        <f t="shared" si="40"/>
        <v>0</v>
      </c>
      <c r="K167" s="69"/>
      <c r="L167" s="319"/>
    </row>
    <row r="168" spans="2:13" s="37" customFormat="1" ht="15.75">
      <c r="B168" s="48"/>
      <c r="C168" s="160" t="str">
        <f>F821EA!$C$51</f>
        <v xml:space="preserve">    - Regulares</v>
      </c>
      <c r="D168" s="156">
        <f>($H$16*F821EA!R51+$I$16*F821EA!Y51)*$L168</f>
        <v>0</v>
      </c>
      <c r="E168" s="156">
        <f>($H$16*F821EA!S51+$I$16*F821EA!Z51)*$L168</f>
        <v>0</v>
      </c>
      <c r="F168" s="156">
        <f>($H$16*F821EA!T51+$I$16*F821EA!AA51)*$L168</f>
        <v>0</v>
      </c>
      <c r="G168" s="156">
        <f>($H$16*F821EA!U51+$I$16*F821EA!AB51)*$L168</f>
        <v>0</v>
      </c>
      <c r="H168" s="156">
        <f>($H$16*F821EA!V51+$I$16*F821EA!AC51)*$L168</f>
        <v>0</v>
      </c>
      <c r="I168" s="156">
        <f>($H$16*F821EA!W51+$I$16*F821EA!AD51)*$L168</f>
        <v>0</v>
      </c>
      <c r="J168" s="156">
        <f t="shared" ref="J168:J185" si="41">SUM(D168:I168)</f>
        <v>0</v>
      </c>
      <c r="K168" s="69"/>
      <c r="L168" s="319">
        <v>1</v>
      </c>
    </row>
    <row r="169" spans="2:13" s="37" customFormat="1" ht="15.75">
      <c r="B169" s="48"/>
      <c r="C169" s="162" t="str">
        <f>F821EA!$C$52</f>
        <v xml:space="preserve">    - Jubilados (0 a 600 KWh)</v>
      </c>
      <c r="D169" s="156">
        <f>($H$16*F821EA!R52+$I$16*F821EA!Y52)*$L169</f>
        <v>0</v>
      </c>
      <c r="E169" s="156">
        <f>($H$16*F821EA!S52+$I$16*F821EA!Z52)*$L169</f>
        <v>0</v>
      </c>
      <c r="F169" s="156">
        <f>($H$16*F821EA!T52+$I$16*F821EA!AA52)*$L169</f>
        <v>0</v>
      </c>
      <c r="G169" s="156">
        <f>($H$16*F821EA!U52+$I$16*F821EA!AB52)*$L169</f>
        <v>0</v>
      </c>
      <c r="H169" s="156">
        <f>($H$16*F821EA!V52+$I$16*F821EA!AC52)*$L169</f>
        <v>0</v>
      </c>
      <c r="I169" s="156">
        <f>($H$16*F821EA!W52+$I$16*F821EA!AD52)*$L169</f>
        <v>0</v>
      </c>
      <c r="J169" s="156">
        <f t="shared" si="41"/>
        <v>0</v>
      </c>
      <c r="K169" s="69"/>
      <c r="L169" s="319">
        <v>0.75</v>
      </c>
    </row>
    <row r="170" spans="2:13" s="37" customFormat="1" ht="15.75">
      <c r="B170" s="48"/>
      <c r="C170" s="162" t="str">
        <f>F821EA!$C$53</f>
        <v xml:space="preserve">    - Jubilados (601 y Más KWh)</v>
      </c>
      <c r="D170" s="156">
        <f>($H$16*F821EA!R53+$I$16*F821EA!Y53)*$L170</f>
        <v>0</v>
      </c>
      <c r="E170" s="156">
        <f>($H$16*F821EA!S53+$I$16*F821EA!Z53)*$L170</f>
        <v>0</v>
      </c>
      <c r="F170" s="156">
        <f>($H$16*F821EA!T53+$I$16*F821EA!AA53)*$L170</f>
        <v>0</v>
      </c>
      <c r="G170" s="156">
        <f>($H$16*F821EA!U53+$I$16*F821EA!AB53)*$L170</f>
        <v>0</v>
      </c>
      <c r="H170" s="156">
        <f>($H$16*F821EA!V53+$I$16*F821EA!AC53)*$L170</f>
        <v>0</v>
      </c>
      <c r="I170" s="156">
        <f>($H$16*F821EA!W53+$I$16*F821EA!AD53)*$L170</f>
        <v>0</v>
      </c>
      <c r="J170" s="156">
        <f t="shared" si="41"/>
        <v>0</v>
      </c>
      <c r="K170" s="69"/>
      <c r="L170" s="319">
        <v>1</v>
      </c>
    </row>
    <row r="171" spans="2:13" s="37" customFormat="1" ht="15.75">
      <c r="B171" s="48"/>
      <c r="C171" s="160" t="str">
        <f>F821EA!$C$54</f>
        <v xml:space="preserve">    - Agropecuarios</v>
      </c>
      <c r="D171" s="156">
        <f>($H$16*F821EA!R54+$I$16*F821EA!Y54)*$L171</f>
        <v>0</v>
      </c>
      <c r="E171" s="156">
        <f>($H$16*F821EA!S54+$I$16*F821EA!Z54)*$L171</f>
        <v>0</v>
      </c>
      <c r="F171" s="156">
        <f>($H$16*F821EA!T54+$I$16*F821EA!AA54)*$L171</f>
        <v>0</v>
      </c>
      <c r="G171" s="156">
        <f>($H$16*F821EA!U54+$I$16*F821EA!AB54)*$L171</f>
        <v>0</v>
      </c>
      <c r="H171" s="156">
        <f>($H$16*F821EA!V54+$I$16*F821EA!AC54)*$L171</f>
        <v>0</v>
      </c>
      <c r="I171" s="156">
        <f>($H$16*F821EA!W54+$I$16*F821EA!AD54)*$L171</f>
        <v>0</v>
      </c>
      <c r="J171" s="156">
        <f t="shared" si="41"/>
        <v>0</v>
      </c>
      <c r="K171" s="69"/>
      <c r="L171" s="319">
        <v>0.95</v>
      </c>
    </row>
    <row r="172" spans="2:13" s="37" customFormat="1" ht="15.75">
      <c r="B172" s="48"/>
      <c r="C172" s="160" t="str">
        <f>F821EA!$C$55</f>
        <v xml:space="preserve">    - Partidos Políticos</v>
      </c>
      <c r="D172" s="156">
        <f>($H$16*F821EA!R55+$I$16*F821EA!Y55)*$L172</f>
        <v>0</v>
      </c>
      <c r="E172" s="156">
        <f>($H$16*F821EA!S55+$I$16*F821EA!Z55)*$L172</f>
        <v>0</v>
      </c>
      <c r="F172" s="156">
        <f>($H$16*F821EA!T55+$I$16*F821EA!AA55)*$L172</f>
        <v>0</v>
      </c>
      <c r="G172" s="156">
        <f>($H$16*F821EA!U55+$I$16*F821EA!AB55)*$L172</f>
        <v>0</v>
      </c>
      <c r="H172" s="156">
        <f>($H$16*F821EA!V55+$I$16*F821EA!AC55)*$L172</f>
        <v>0</v>
      </c>
      <c r="I172" s="156">
        <f>($H$16*F821EA!W55+$I$16*F821EA!AD55)*$L172</f>
        <v>0</v>
      </c>
      <c r="J172" s="156">
        <f t="shared" si="41"/>
        <v>0</v>
      </c>
      <c r="K172" s="69"/>
      <c r="L172" s="319">
        <v>0.5</v>
      </c>
    </row>
    <row r="173" spans="2:13" s="37" customFormat="1" ht="15.75">
      <c r="B173" s="48"/>
      <c r="C173" s="160" t="str">
        <f>F821EA!$C$56</f>
        <v xml:space="preserve">    - Cruz Roja</v>
      </c>
      <c r="D173" s="156">
        <f>($H$16*F821EA!R56+$I$16*F821EA!Y56)*$L173</f>
        <v>0</v>
      </c>
      <c r="E173" s="156">
        <f>($H$16*F821EA!S56+$I$16*F821EA!Z56)*$L173</f>
        <v>0</v>
      </c>
      <c r="F173" s="156">
        <f>($H$16*F821EA!T56+$I$16*F821EA!AA56)*$L173</f>
        <v>0</v>
      </c>
      <c r="G173" s="156">
        <f>($H$16*F821EA!U56+$I$16*F821EA!AB56)*$L173</f>
        <v>0</v>
      </c>
      <c r="H173" s="156">
        <f>($H$16*F821EA!V56+$I$16*F821EA!AC56)*$L173</f>
        <v>0</v>
      </c>
      <c r="I173" s="156">
        <f>($H$16*F821EA!W56+$I$16*F821EA!AD56)*$L173</f>
        <v>0</v>
      </c>
      <c r="J173" s="156">
        <f t="shared" si="41"/>
        <v>0</v>
      </c>
      <c r="K173" s="69"/>
      <c r="L173" s="319">
        <v>0</v>
      </c>
    </row>
    <row r="174" spans="2:13" s="37" customFormat="1" ht="15.75">
      <c r="B174" s="48" t="s">
        <v>751</v>
      </c>
      <c r="C174" s="158" t="s">
        <v>634</v>
      </c>
      <c r="D174" s="159">
        <f t="shared" ref="D174:I174" si="42">SUM(D175:D179)</f>
        <v>1022333.3232304184</v>
      </c>
      <c r="E174" s="159">
        <f t="shared" si="42"/>
        <v>1016322.7263902717</v>
      </c>
      <c r="F174" s="159">
        <f t="shared" si="42"/>
        <v>1031698.847707784</v>
      </c>
      <c r="G174" s="159">
        <f t="shared" si="42"/>
        <v>1025537.1324490091</v>
      </c>
      <c r="H174" s="159">
        <f t="shared" si="42"/>
        <v>1052560.385718364</v>
      </c>
      <c r="I174" s="159">
        <f t="shared" si="42"/>
        <v>1037914.359934476</v>
      </c>
      <c r="J174" s="159">
        <f t="shared" si="41"/>
        <v>6186366.7754303236</v>
      </c>
      <c r="K174" s="69"/>
      <c r="L174" s="319"/>
      <c r="M174" s="69"/>
    </row>
    <row r="175" spans="2:13" s="37" customFormat="1" ht="15.75">
      <c r="B175" s="48"/>
      <c r="C175" s="160" t="s">
        <v>304</v>
      </c>
      <c r="D175" s="156">
        <f>(($E$18+$F$18)*(F821EA!R66+F821EA!Y66)*$L175)</f>
        <v>743360.344945758</v>
      </c>
      <c r="E175" s="156">
        <f>(($E$18+$F$18)*(F821EA!S66+F821EA!Z66)*$L175)</f>
        <v>736868.01386545843</v>
      </c>
      <c r="F175" s="156">
        <f>(($E$18+$F$18)*(F821EA!T66+F821EA!AA66)*$L175)</f>
        <v>748435.06260239601</v>
      </c>
      <c r="G175" s="156">
        <f>(($E$18+$F$18)*(F821EA!U66+F821EA!AB66)*$L175)</f>
        <v>742678.75167615595</v>
      </c>
      <c r="H175" s="156">
        <f>(($E$18+$F$18)*(F821EA!V66+F821EA!AC66)*$L175)</f>
        <v>763312.59122731059</v>
      </c>
      <c r="I175" s="156">
        <f>(($E$18+$F$18)*(F821EA!W66+F821EA!AD66)*$L175)</f>
        <v>748106.85120242729</v>
      </c>
      <c r="J175" s="156">
        <f t="shared" si="41"/>
        <v>4482761.6155195069</v>
      </c>
      <c r="K175" s="69"/>
      <c r="L175" s="319">
        <v>1</v>
      </c>
      <c r="M175" s="329"/>
    </row>
    <row r="176" spans="2:13" s="37" customFormat="1" ht="15.75">
      <c r="B176" s="48"/>
      <c r="C176" s="162" t="s">
        <v>644</v>
      </c>
      <c r="D176" s="156">
        <f>(($E$18+$F$18)*(F821EA!R67+F821EA!Y67)*$L176)</f>
        <v>278948.59357367404</v>
      </c>
      <c r="E176" s="156">
        <f>(($E$18+$F$18)*(F821EA!S67+F821EA!Z67)*$L176)</f>
        <v>279432.91557907435</v>
      </c>
      <c r="F176" s="156">
        <f>(($E$18+$F$18)*(F821EA!T67+F821EA!AA67)*$L176)</f>
        <v>283240.54498287657</v>
      </c>
      <c r="G176" s="156">
        <f>(($E$18+$F$18)*(F821EA!U67+F821EA!AB67)*$L176)</f>
        <v>282830.30037688266</v>
      </c>
      <c r="H176" s="156">
        <f>(($E$18+$F$18)*(F821EA!V67+F821EA!AC67)*$L176)</f>
        <v>289218.04697708692</v>
      </c>
      <c r="I176" s="156">
        <f>(($E$18+$F$18)*(F821EA!W67+F821EA!AD67)*$L176)</f>
        <v>289767.88161229901</v>
      </c>
      <c r="J176" s="156">
        <f t="shared" si="41"/>
        <v>1703438.2831018935</v>
      </c>
      <c r="K176" s="69"/>
      <c r="L176" s="319">
        <v>0.75</v>
      </c>
      <c r="M176" s="329"/>
    </row>
    <row r="177" spans="2:13" s="37" customFormat="1" ht="15.75">
      <c r="B177" s="48"/>
      <c r="C177" s="160" t="s">
        <v>305</v>
      </c>
      <c r="D177" s="156">
        <f>(($E$18+$F$18)*(F821EA!R68+F821EA!Y68)*$L177)</f>
        <v>24.384710986420423</v>
      </c>
      <c r="E177" s="156">
        <f>(($E$18+$F$18)*(F821EA!S68+F821EA!Z68)*$L177)</f>
        <v>21.796945738881931</v>
      </c>
      <c r="F177" s="156">
        <f>(($E$18+$F$18)*(F821EA!T68+F821EA!AA68)*$L177)</f>
        <v>23.240122511547629</v>
      </c>
      <c r="G177" s="156">
        <f>(($E$18+$F$18)*(F821EA!U68+F821EA!AB68)*$L177)</f>
        <v>26.325534922074294</v>
      </c>
      <c r="H177" s="156">
        <f>(($E$18+$F$18)*(F821EA!V68+F821EA!AC68)*$L177)</f>
        <v>28.987947244061012</v>
      </c>
      <c r="I177" s="156">
        <f>(($E$18+$F$18)*(F821EA!W68+F821EA!AD68)*$L177)</f>
        <v>38.592537489732734</v>
      </c>
      <c r="J177" s="156">
        <f t="shared" si="41"/>
        <v>163.32779889271802</v>
      </c>
      <c r="K177" s="69"/>
      <c r="L177" s="319">
        <v>0.95</v>
      </c>
      <c r="M177" s="329"/>
    </row>
    <row r="178" spans="2:13" s="37" customFormat="1" ht="15.75">
      <c r="B178" s="48"/>
      <c r="C178" s="160" t="s">
        <v>307</v>
      </c>
      <c r="D178" s="156">
        <f>(($E$18+$F$18)*(F821EA!R69+F821EA!Y69)*$L178)</f>
        <v>0</v>
      </c>
      <c r="E178" s="156">
        <f>(($E$18+$F$18)*(F821EA!S69+F821EA!Z69)*$L178)</f>
        <v>0</v>
      </c>
      <c r="F178" s="156">
        <f>(($E$18+$F$18)*(F821EA!T69+F821EA!AA69)*$L178)</f>
        <v>0</v>
      </c>
      <c r="G178" s="156">
        <f>(($E$18+$F$18)*(F821EA!U69+F821EA!AB69)*$L178)</f>
        <v>1.7548610484319747</v>
      </c>
      <c r="H178" s="156">
        <f>(($E$18+$F$18)*(F821EA!V69+F821EA!AC69)*$L178)</f>
        <v>0.75956672245563084</v>
      </c>
      <c r="I178" s="156">
        <f>(($E$18+$F$18)*(F821EA!W69+F821EA!AD69)*$L178)</f>
        <v>1.0345822598964627</v>
      </c>
      <c r="J178" s="156">
        <f t="shared" si="41"/>
        <v>3.5490100307840686</v>
      </c>
      <c r="K178" s="69"/>
      <c r="L178" s="319">
        <v>0.5</v>
      </c>
      <c r="M178" s="329"/>
    </row>
    <row r="179" spans="2:13" s="37" customFormat="1" ht="15.75">
      <c r="B179" s="48"/>
      <c r="C179" s="160" t="s">
        <v>624</v>
      </c>
      <c r="D179" s="156">
        <f>(($E$18+$F$18)*(F821EA!R70+F821EA!Y70)*$L179)</f>
        <v>0</v>
      </c>
      <c r="E179" s="156">
        <f>(($E$18+$F$18)*(F821EA!S70+F821EA!Z70)*$L179)</f>
        <v>0</v>
      </c>
      <c r="F179" s="156">
        <f>(($E$18+$F$18)*(F821EA!T70+F821EA!AA70)*$L179)</f>
        <v>0</v>
      </c>
      <c r="G179" s="156">
        <f>(($E$18+$F$18)*(F821EA!U70+F821EA!AB70)*$L179)</f>
        <v>0</v>
      </c>
      <c r="H179" s="156">
        <f>(($E$18+$F$18)*(F821EA!V70+F821EA!AC70)*$L179)</f>
        <v>0</v>
      </c>
      <c r="I179" s="156">
        <f>(($E$18+$F$18)*(F821EA!W70+F821EA!AD70)*$L179)</f>
        <v>0</v>
      </c>
      <c r="J179" s="156">
        <f t="shared" si="41"/>
        <v>0</v>
      </c>
      <c r="K179" s="69"/>
      <c r="L179" s="319">
        <v>0</v>
      </c>
      <c r="M179" s="329"/>
    </row>
    <row r="180" spans="2:13" s="37" customFormat="1" ht="15.75">
      <c r="B180" s="48" t="s">
        <v>750</v>
      </c>
      <c r="C180" s="158" t="s">
        <v>635</v>
      </c>
      <c r="D180" s="159">
        <f t="shared" ref="D180:I180" si="43">SUM(D181:D186)</f>
        <v>1157844.8039292677</v>
      </c>
      <c r="E180" s="159">
        <f t="shared" si="43"/>
        <v>1170982.1520970587</v>
      </c>
      <c r="F180" s="159">
        <f t="shared" si="43"/>
        <v>1139637.5403999619</v>
      </c>
      <c r="G180" s="159">
        <f t="shared" si="43"/>
        <v>1138415.5769584288</v>
      </c>
      <c r="H180" s="159">
        <f t="shared" si="43"/>
        <v>1098528.3658478574</v>
      </c>
      <c r="I180" s="159">
        <f t="shared" si="43"/>
        <v>1072703.9668573034</v>
      </c>
      <c r="J180" s="159">
        <f t="shared" si="41"/>
        <v>6778112.4060898777</v>
      </c>
      <c r="K180" s="69"/>
      <c r="L180" s="319"/>
      <c r="M180" s="69"/>
    </row>
    <row r="181" spans="2:13" s="37" customFormat="1" ht="15.75">
      <c r="B181" s="48"/>
      <c r="C181" s="160" t="s">
        <v>304</v>
      </c>
      <c r="D181" s="156">
        <f>(($E$19+$F$19)*(F821EA!R72+F821EA!Y72)*$L181)</f>
        <v>749592.03987243166</v>
      </c>
      <c r="E181" s="156">
        <f>(($E$19+$F$19)*(F821EA!S72+F821EA!Z72)*$L181)</f>
        <v>759359.22978062078</v>
      </c>
      <c r="F181" s="156">
        <f>(($E$19+$F$19)*(F821EA!T72+F821EA!AA72)*$L181)</f>
        <v>735818.05692742125</v>
      </c>
      <c r="G181" s="156">
        <f>(($E$19+$F$19)*(F821EA!U72+F821EA!AB72)*$L181)</f>
        <v>733691.08676085377</v>
      </c>
      <c r="H181" s="156">
        <f>(($E$19+$F$19)*(F821EA!V72+F821EA!AC72)*$L181)</f>
        <v>705721.5351479142</v>
      </c>
      <c r="I181" s="156">
        <f>(($E$19+$F$19)*(F821EA!W72+F821EA!AD72)*$L181)</f>
        <v>686988.99587088951</v>
      </c>
      <c r="J181" s="330">
        <f t="shared" si="41"/>
        <v>4371170.9443601314</v>
      </c>
      <c r="K181" s="69"/>
      <c r="L181" s="319">
        <v>1</v>
      </c>
      <c r="M181" s="329"/>
    </row>
    <row r="182" spans="2:13" s="37" customFormat="1" ht="15.75">
      <c r="B182" s="48"/>
      <c r="C182" s="162" t="s">
        <v>642</v>
      </c>
      <c r="D182" s="156">
        <f>(($E$19+$F$19)*(F821EA!R73+F821EA!Y73)*$L182)</f>
        <v>396346.4993696388</v>
      </c>
      <c r="E182" s="156">
        <f>(($E$19+$F$19)*(F821EA!S73+F821EA!Z73)*$L182)</f>
        <v>399428.97173311055</v>
      </c>
      <c r="F182" s="156">
        <f>(($E$19+$F$19)*(F821EA!T73+F821EA!AA73)*$L182)</f>
        <v>392494.82819191215</v>
      </c>
      <c r="G182" s="156">
        <f>(($E$19+$F$19)*(F821EA!U73+F821EA!AB73)*$L182)</f>
        <v>393481.26963677851</v>
      </c>
      <c r="H182" s="156">
        <f>(($E$19+$F$19)*(F821EA!V73+F821EA!AC73)*$L182)</f>
        <v>382135.03218444996</v>
      </c>
      <c r="I182" s="156">
        <f>(($E$19+$F$19)*(F821EA!W73+F821EA!AD73)*$L182)</f>
        <v>374787.85459394939</v>
      </c>
      <c r="J182" s="330">
        <f t="shared" si="41"/>
        <v>2338674.4557098392</v>
      </c>
      <c r="K182" s="69"/>
      <c r="L182" s="319">
        <v>0.75</v>
      </c>
      <c r="M182" s="329"/>
    </row>
    <row r="183" spans="2:13" s="37" customFormat="1" ht="15.75">
      <c r="B183" s="48"/>
      <c r="C183" s="162" t="s">
        <v>1177</v>
      </c>
      <c r="D183" s="156">
        <f>(($E$19+$F$19)*(F821EA!R74+F821EA!Y74)*$L183)</f>
        <v>11872.499327188551</v>
      </c>
      <c r="E183" s="156">
        <f>(($E$19+$F$19)*(F821EA!S74+F821EA!Z74)*$L183)</f>
        <v>12159.065517201898</v>
      </c>
      <c r="F183" s="156">
        <f>(($E$19+$F$19)*(F821EA!T74+F821EA!AA74)*$L183)</f>
        <v>11272.153504933189</v>
      </c>
      <c r="G183" s="156">
        <f>(($E$19+$F$19)*(F821EA!U74+F821EA!AB74)*$L183)</f>
        <v>11210.052377383456</v>
      </c>
      <c r="H183" s="156">
        <f>(($E$19+$F$19)*(F821EA!V74+F821EA!AC74)*$L183)</f>
        <v>10596.322465639305</v>
      </c>
      <c r="I183" s="156">
        <f>(($E$19+$F$19)*(F821EA!W74+F821EA!AD74)*$L183)</f>
        <v>10861.227908084693</v>
      </c>
      <c r="J183" s="330">
        <f t="shared" si="41"/>
        <v>67971.321100431087</v>
      </c>
      <c r="K183" s="69"/>
      <c r="L183" s="319">
        <v>1</v>
      </c>
      <c r="M183" s="329"/>
    </row>
    <row r="184" spans="2:13" s="37" customFormat="1" ht="15.75">
      <c r="B184" s="48"/>
      <c r="C184" s="160" t="s">
        <v>305</v>
      </c>
      <c r="D184" s="156">
        <f>(($E$19+$F$19)*(F821EA!R75+F821EA!Y75)*$L184)</f>
        <v>33.765360008747457</v>
      </c>
      <c r="E184" s="156">
        <f>(($E$19+$F$19)*(F821EA!S75+F821EA!Z75)*$L184)</f>
        <v>34.88506612547085</v>
      </c>
      <c r="F184" s="156">
        <f>(($E$19+$F$19)*(F821EA!T75+F821EA!AA75)*$L184)</f>
        <v>52.501775695252135</v>
      </c>
      <c r="G184" s="156">
        <f>(($E$19+$F$19)*(F821EA!U75+F821EA!AB75)*$L184)</f>
        <v>33.168183413161657</v>
      </c>
      <c r="H184" s="156">
        <f>(($E$19+$F$19)*(F821EA!V75+F821EA!AC75)*$L184)</f>
        <v>66.112425602978647</v>
      </c>
      <c r="I184" s="156">
        <f>(($E$19+$F$19)*(F821EA!W75+F821EA!AD75)*$L184)</f>
        <v>65.888484379633965</v>
      </c>
      <c r="J184" s="156">
        <f t="shared" si="41"/>
        <v>286.32129522524468</v>
      </c>
      <c r="K184" s="69"/>
      <c r="L184" s="319">
        <v>0.95</v>
      </c>
      <c r="M184" s="329"/>
    </row>
    <row r="185" spans="2:13" s="37" customFormat="1" ht="15.75">
      <c r="B185" s="48"/>
      <c r="C185" s="160" t="s">
        <v>307</v>
      </c>
      <c r="D185" s="156">
        <f>(($E$19+$F$19)*(F821EA!R76+F821EA!Y76)*$L185)</f>
        <v>0</v>
      </c>
      <c r="E185" s="156">
        <f>(($E$19+$F$19)*(F821EA!S76+F821EA!Z76)*$L185)</f>
        <v>0</v>
      </c>
      <c r="F185" s="156">
        <f>(($E$19+$F$19)*(F821EA!T76+F821EA!AA76)*$L185)</f>
        <v>0</v>
      </c>
      <c r="G185" s="156">
        <f>(($E$19+$F$19)*(F821EA!U76+F821EA!AB76)*$L185)</f>
        <v>0</v>
      </c>
      <c r="H185" s="156">
        <f>(($E$19+$F$19)*(F821EA!V76+F821EA!AC76)*$L185)</f>
        <v>9.3636242509616565</v>
      </c>
      <c r="I185" s="156">
        <f>(($E$19+$F$19)*(F821EA!W76+F821EA!AD76)*$L185)</f>
        <v>0</v>
      </c>
      <c r="J185" s="156">
        <f t="shared" si="41"/>
        <v>9.3636242509616565</v>
      </c>
      <c r="K185" s="69"/>
      <c r="L185" s="319">
        <v>0.5</v>
      </c>
      <c r="M185" s="329"/>
    </row>
    <row r="186" spans="2:13" s="37" customFormat="1" ht="15.75">
      <c r="B186" s="48"/>
      <c r="C186" s="160" t="s">
        <v>624</v>
      </c>
      <c r="D186" s="156">
        <f>(($E$19+$F$19)*(F821EA!R77+F821EA!Y77)*$L186)</f>
        <v>0</v>
      </c>
      <c r="E186" s="156">
        <f>(($E$19+$F$19)*(F821EA!S77+F821EA!Z77)*$L186)</f>
        <v>0</v>
      </c>
      <c r="F186" s="156">
        <f>(($E$19+$F$19)*(F821EA!T77+F821EA!AA77)*$L186)</f>
        <v>0</v>
      </c>
      <c r="G186" s="156">
        <f>(($E$19+$F$19)*(F821EA!U77+F821EA!AB77)*$L186)</f>
        <v>0</v>
      </c>
      <c r="H186" s="156">
        <f>(($E$19+$F$19)*(F821EA!V77+F821EA!AC77)*$L186)</f>
        <v>0</v>
      </c>
      <c r="I186" s="156">
        <f>(($E$19+$F$19)*(F821EA!W77+F821EA!AD77)*$L186)</f>
        <v>0</v>
      </c>
      <c r="J186" s="156"/>
      <c r="K186" s="69"/>
      <c r="L186" s="319">
        <v>0</v>
      </c>
      <c r="M186" s="329"/>
    </row>
    <row r="187" spans="2:13" s="37" customFormat="1" ht="15.75">
      <c r="B187" s="48" t="s">
        <v>749</v>
      </c>
      <c r="C187" s="158" t="s">
        <v>636</v>
      </c>
      <c r="D187" s="159">
        <f t="shared" ref="D187:I187" si="44">SUM(D188:D193)</f>
        <v>1399078.7318718827</v>
      </c>
      <c r="E187" s="159">
        <f t="shared" si="44"/>
        <v>1392181.4652950596</v>
      </c>
      <c r="F187" s="159">
        <f t="shared" si="44"/>
        <v>1358854.9528177981</v>
      </c>
      <c r="G187" s="159">
        <f t="shared" si="44"/>
        <v>1377840.9411757365</v>
      </c>
      <c r="H187" s="159">
        <f t="shared" si="44"/>
        <v>1269761.1367017003</v>
      </c>
      <c r="I187" s="159">
        <f t="shared" si="44"/>
        <v>1318043.8387955739</v>
      </c>
      <c r="J187" s="159">
        <f t="shared" ref="J187:J193" si="45">SUM(D187:I187)</f>
        <v>8115761.0666577499</v>
      </c>
      <c r="K187" s="69"/>
      <c r="L187" s="319"/>
      <c r="M187" s="69"/>
    </row>
    <row r="188" spans="2:13" s="37" customFormat="1" ht="15.75">
      <c r="B188" s="48"/>
      <c r="C188" s="160" t="s">
        <v>304</v>
      </c>
      <c r="D188" s="156">
        <f>(($E$20+$F$20)*(F821EA!R79+F821EA!Y79)*$L188)</f>
        <v>1201754.2783554406</v>
      </c>
      <c r="E188" s="156">
        <f>(($E$20+$F$20)*(F821EA!S79+F821EA!Z79)*$L188)</f>
        <v>1199643.3638578686</v>
      </c>
      <c r="F188" s="156">
        <f>(($E$20+$F$20)*(F821EA!T79+F821EA!AA79)*$L188)</f>
        <v>1175765.4410270618</v>
      </c>
      <c r="G188" s="156">
        <f>(($E$20+$F$20)*(F821EA!U79+F821EA!AB79)*$L188)</f>
        <v>1191697.7459099079</v>
      </c>
      <c r="H188" s="156">
        <f>(($E$20+$F$20)*(F821EA!V79+F821EA!AC79)*$L188)</f>
        <v>1105192.9443976474</v>
      </c>
      <c r="I188" s="156">
        <f>(($E$20+$F$20)*(F821EA!W79+F821EA!AD79)*$L188)</f>
        <v>1141961.5526511166</v>
      </c>
      <c r="J188" s="330">
        <f t="shared" si="45"/>
        <v>7016015.3261990435</v>
      </c>
      <c r="K188" s="69"/>
      <c r="L188" s="319">
        <v>1</v>
      </c>
      <c r="M188" s="329"/>
    </row>
    <row r="189" spans="2:13" s="37" customFormat="1" ht="15.75">
      <c r="B189" s="48"/>
      <c r="C189" s="162" t="s">
        <v>642</v>
      </c>
      <c r="D189" s="156">
        <f>(($E$20+$F$20)*(F821EA!R80+F821EA!Y80)*$L189)</f>
        <v>93525.516015851696</v>
      </c>
      <c r="E189" s="156">
        <f>(($E$20+$F$20)*(F821EA!S80+F821EA!Z80)*$L189)</f>
        <v>91663.267948038061</v>
      </c>
      <c r="F189" s="156">
        <f>(($E$20+$F$20)*(F821EA!T80+F821EA!AA80)*$L189)</f>
        <v>87221.767018368613</v>
      </c>
      <c r="G189" s="156">
        <f>(($E$20+$F$20)*(F821EA!U80+F821EA!AB80)*$L189)</f>
        <v>88309.060589607907</v>
      </c>
      <c r="H189" s="156">
        <f>(($E$20+$F$20)*(F821EA!V80+F821EA!AC80)*$L189)</f>
        <v>78319.514071408907</v>
      </c>
      <c r="I189" s="156">
        <f>(($E$20+$F$20)*(F821EA!W80+F821EA!AD80)*$L189)</f>
        <v>81543.089049554648</v>
      </c>
      <c r="J189" s="330">
        <f t="shared" si="45"/>
        <v>520582.21469282988</v>
      </c>
      <c r="K189" s="69"/>
      <c r="L189" s="319">
        <v>0.75</v>
      </c>
      <c r="M189" s="329"/>
    </row>
    <row r="190" spans="2:13" s="37" customFormat="1" ht="15.75">
      <c r="B190" s="48"/>
      <c r="C190" s="162" t="s">
        <v>1177</v>
      </c>
      <c r="D190" s="156">
        <f>(($E$20+$F$20)*(F821EA!R81+F821EA!Y81)*$L190)</f>
        <v>103008.40533821685</v>
      </c>
      <c r="E190" s="156">
        <f>(($E$20+$F$20)*(F821EA!S81+F821EA!Z81)*$L190)</f>
        <v>100025.79635478117</v>
      </c>
      <c r="F190" s="156">
        <f>(($E$20+$F$20)*(F821EA!T81+F821EA!AA81)*$L190)</f>
        <v>95148.749389673292</v>
      </c>
      <c r="G190" s="156">
        <f>(($E$20+$F$20)*(F821EA!U81+F821EA!AB81)*$L190)</f>
        <v>97163.120337625631</v>
      </c>
      <c r="H190" s="156">
        <f>(($E$20+$F$20)*(F821EA!V81+F821EA!AC81)*$L190)</f>
        <v>85662.101521629767</v>
      </c>
      <c r="I190" s="156">
        <f>(($E$20+$F$20)*(F821EA!W81+F821EA!AD81)*$L190)</f>
        <v>94268.961589422091</v>
      </c>
      <c r="J190" s="330">
        <f t="shared" si="45"/>
        <v>575277.13453134883</v>
      </c>
      <c r="K190" s="69"/>
      <c r="L190" s="319">
        <v>1</v>
      </c>
      <c r="M190" s="329"/>
    </row>
    <row r="191" spans="2:13" s="37" customFormat="1" ht="15.75">
      <c r="B191" s="48"/>
      <c r="C191" s="160" t="s">
        <v>305</v>
      </c>
      <c r="D191" s="156">
        <f>(($E$20+$F$20)*(F821EA!R82+F821EA!Y82)*$L191)</f>
        <v>777.6981039597656</v>
      </c>
      <c r="E191" s="156">
        <f>(($E$20+$F$20)*(F821EA!S82+F821EA!Z82)*$L191)</f>
        <v>838.31152841172491</v>
      </c>
      <c r="F191" s="156">
        <f>(($E$20+$F$20)*(F821EA!T82+F821EA!AA82)*$L191)</f>
        <v>706.41014786171013</v>
      </c>
      <c r="G191" s="156">
        <f>(($E$20+$F$20)*(F821EA!U82+F821EA!AB82)*$L191)</f>
        <v>659.08390266153492</v>
      </c>
      <c r="H191" s="156">
        <f>(($E$20+$F$20)*(F821EA!V82+F821EA!AC82)*$L191)</f>
        <v>586.57671101415815</v>
      </c>
      <c r="I191" s="156">
        <f>(($E$20+$F$20)*(F821EA!W82+F821EA!AD82)*$L191)</f>
        <v>258.03005400936712</v>
      </c>
      <c r="J191" s="156">
        <f t="shared" si="45"/>
        <v>3826.1104479182613</v>
      </c>
      <c r="K191" s="69"/>
      <c r="L191" s="319">
        <v>0.95</v>
      </c>
      <c r="M191" s="329"/>
    </row>
    <row r="192" spans="2:13" s="37" customFormat="1" ht="15.75">
      <c r="B192" s="48"/>
      <c r="C192" s="160" t="s">
        <v>307</v>
      </c>
      <c r="D192" s="156">
        <f>(($E$20+$F$20)*(F821EA!R83+F821EA!Y83)*$L192)</f>
        <v>12.834058413905487</v>
      </c>
      <c r="E192" s="156">
        <f>(($E$20+$F$20)*(F821EA!S83+F821EA!Z83)*$L192)</f>
        <v>10.725605960192441</v>
      </c>
      <c r="F192" s="156">
        <f>(($E$20+$F$20)*(F821EA!T83+F821EA!AA83)*$L192)</f>
        <v>12.5852348324114</v>
      </c>
      <c r="G192" s="156">
        <f>(($E$20+$F$20)*(F821EA!U83+F821EA!AB83)*$L192)</f>
        <v>11.930435933742753</v>
      </c>
      <c r="H192" s="156">
        <f>(($E$20+$F$20)*(F821EA!V83+F821EA!AC83)*$L192)</f>
        <v>0</v>
      </c>
      <c r="I192" s="156">
        <f>(($E$20+$F$20)*(F821EA!W83+F821EA!AD83)*$L192)</f>
        <v>12.205451471183585</v>
      </c>
      <c r="J192" s="156">
        <f t="shared" si="45"/>
        <v>60.280786611435666</v>
      </c>
      <c r="K192" s="69"/>
      <c r="L192" s="319">
        <v>0.5</v>
      </c>
      <c r="M192" s="329"/>
    </row>
    <row r="193" spans="2:13" s="37" customFormat="1" ht="15.75">
      <c r="B193" s="48"/>
      <c r="C193" s="160" t="s">
        <v>624</v>
      </c>
      <c r="D193" s="156">
        <f>(($E$20+$F$20)*(F821EA!R84+F821EA!Y84)*$L193)</f>
        <v>0</v>
      </c>
      <c r="E193" s="156">
        <f>(($E$20+$F$20)*(F821EA!S84+F821EA!Z84)*$L193)</f>
        <v>0</v>
      </c>
      <c r="F193" s="156">
        <f>(($E$20+$F$20)*(F821EA!T84+F821EA!AA84)*$L193)</f>
        <v>0</v>
      </c>
      <c r="G193" s="156">
        <f>(($E$20+$F$20)*(F821EA!U84+F821EA!AB84)*$L193)</f>
        <v>0</v>
      </c>
      <c r="H193" s="156">
        <f>(($E$20+$F$20)*(F821EA!V84+F821EA!AC84)*$L193)</f>
        <v>0</v>
      </c>
      <c r="I193" s="156">
        <f>(($E$20+$F$20)*(F821EA!W84+F821EA!AD84)*$L193)</f>
        <v>0</v>
      </c>
      <c r="J193" s="156">
        <f t="shared" si="45"/>
        <v>0</v>
      </c>
      <c r="K193" s="69"/>
      <c r="L193" s="319">
        <v>0</v>
      </c>
      <c r="M193" s="329"/>
    </row>
    <row r="194" spans="2:13" s="37" customFormat="1" ht="15.75">
      <c r="B194" s="48"/>
      <c r="C194" s="157"/>
      <c r="D194" s="156"/>
      <c r="E194" s="156"/>
      <c r="F194" s="156"/>
      <c r="G194" s="156"/>
      <c r="H194" s="156"/>
      <c r="I194" s="156"/>
      <c r="J194" s="156"/>
      <c r="K194" s="69"/>
      <c r="L194" s="319"/>
      <c r="M194" s="69"/>
    </row>
    <row r="195" spans="2:13" s="37" customFormat="1" ht="15.75">
      <c r="B195" s="48" t="s">
        <v>902</v>
      </c>
      <c r="C195" s="158" t="s">
        <v>898</v>
      </c>
      <c r="D195" s="159">
        <f t="shared" ref="D195:H195" si="46">SUM(D196:D200)</f>
        <v>346128.17113376892</v>
      </c>
      <c r="E195" s="159">
        <f t="shared" si="46"/>
        <v>341811.82191760209</v>
      </c>
      <c r="F195" s="159">
        <f t="shared" si="46"/>
        <v>354544.08529472048</v>
      </c>
      <c r="G195" s="159">
        <f t="shared" si="46"/>
        <v>346463.48055379919</v>
      </c>
      <c r="H195" s="159">
        <f t="shared" si="46"/>
        <v>328343.72827810474</v>
      </c>
      <c r="I195" s="159">
        <f t="shared" ref="I195" si="47">SUM(I196:I200)</f>
        <v>350867.61865831056</v>
      </c>
      <c r="J195" s="159">
        <f t="shared" ref="J195:J214" si="48">SUM(D195:I195)</f>
        <v>2068158.9058363058</v>
      </c>
      <c r="K195" s="69"/>
      <c r="L195" s="319"/>
      <c r="M195" s="69"/>
    </row>
    <row r="196" spans="2:13" s="37" customFormat="1" ht="15.75">
      <c r="B196" s="48"/>
      <c r="C196" s="160" t="s">
        <v>304</v>
      </c>
      <c r="D196" s="156">
        <f>(($E$17+$F$17)*(F821EA!R87+F821EA!Y87)*$L196)</f>
        <v>332951.96065134212</v>
      </c>
      <c r="E196" s="156">
        <f>(($E$17+$F$17)*(F821EA!S87+F821EA!Z87)*$L196)</f>
        <v>329135.45217447396</v>
      </c>
      <c r="F196" s="156">
        <f>(($E$17+$F$17)*(F821EA!T87+F821EA!AA87)*$L196)</f>
        <v>341204.26021148334</v>
      </c>
      <c r="G196" s="156">
        <f>(($E$17+$F$17)*(F821EA!U87+F821EA!AB87)*$L196)</f>
        <v>333006.43991971138</v>
      </c>
      <c r="H196" s="156">
        <f>(($E$17+$F$17)*(F821EA!V87+F821EA!AC87)*$L196)</f>
        <v>315886.40841054823</v>
      </c>
      <c r="I196" s="156">
        <f>(($E$17+$F$17)*(F821EA!W87+F821EA!AD87)*$L196)</f>
        <v>336995.18669888534</v>
      </c>
      <c r="J196" s="156">
        <f t="shared" si="48"/>
        <v>1989179.7080664444</v>
      </c>
      <c r="K196" s="69"/>
      <c r="L196" s="319">
        <v>1</v>
      </c>
      <c r="M196" s="329"/>
    </row>
    <row r="197" spans="2:13" s="37" customFormat="1" ht="15.75">
      <c r="B197" s="48"/>
      <c r="C197" s="162" t="s">
        <v>644</v>
      </c>
      <c r="D197" s="156">
        <f>(($E$17+$F$17)*(F821EA!R88+F821EA!Y88)*$L197)</f>
        <v>13176.210482426815</v>
      </c>
      <c r="E197" s="156">
        <f>(($E$17+$F$17)*(F821EA!S88+F821EA!Z88)*$L197)</f>
        <v>12676.369743128103</v>
      </c>
      <c r="F197" s="156">
        <f>(($E$17+$F$17)*(F821EA!T88+F821EA!AA88)*$L197)</f>
        <v>13339.82508323715</v>
      </c>
      <c r="G197" s="156">
        <f>(($E$17+$F$17)*(F821EA!U88+F821EA!AB88)*$L197)</f>
        <v>13457.040634087825</v>
      </c>
      <c r="H197" s="156">
        <f>(($E$17+$F$17)*(F821EA!V88+F821EA!AC88)*$L197)</f>
        <v>12457.31986755648</v>
      </c>
      <c r="I197" s="156">
        <f>(($E$17+$F$17)*(F821EA!W88+F821EA!AD88)*$L197)</f>
        <v>13872.431959425241</v>
      </c>
      <c r="J197" s="156">
        <f t="shared" si="48"/>
        <v>78979.19776986161</v>
      </c>
      <c r="K197" s="69"/>
      <c r="L197" s="319">
        <v>0.75</v>
      </c>
      <c r="M197" s="329"/>
    </row>
    <row r="198" spans="2:13" s="37" customFormat="1" ht="15.75">
      <c r="B198" s="48"/>
      <c r="C198" s="160" t="s">
        <v>305</v>
      </c>
      <c r="D198" s="156">
        <f>(($E$17+$F$17)*(F821EA!R89+F821EA!Y89)*$L198)</f>
        <v>0</v>
      </c>
      <c r="E198" s="156">
        <f>(($E$17+$F$17)*(F821EA!S89+F821EA!Z89)*$L198)</f>
        <v>0</v>
      </c>
      <c r="F198" s="156">
        <f>(($E$17+$F$17)*(F821EA!T89+F821EA!AA89)*$L198)</f>
        <v>0</v>
      </c>
      <c r="G198" s="156">
        <f>(($E$17+$F$17)*(F821EA!U89+F821EA!AB89)*$L198)</f>
        <v>0</v>
      </c>
      <c r="H198" s="156">
        <f>(($E$17+$F$17)*(F821EA!V89+F821EA!AC89)*$L198)</f>
        <v>0</v>
      </c>
      <c r="I198" s="156">
        <f>(($E$17+$F$17)*(F821EA!W89+F821EA!AD89)*$L198)</f>
        <v>0</v>
      </c>
      <c r="J198" s="156">
        <f t="shared" si="48"/>
        <v>0</v>
      </c>
      <c r="K198" s="69"/>
      <c r="L198" s="319">
        <v>0.95</v>
      </c>
      <c r="M198" s="329"/>
    </row>
    <row r="199" spans="2:13" s="37" customFormat="1" ht="15.75">
      <c r="B199" s="48"/>
      <c r="C199" s="160" t="s">
        <v>307</v>
      </c>
      <c r="D199" s="156">
        <f>(($E$17+$F$17)*(F821EA!R90+F821EA!Y90)*$L199)</f>
        <v>0</v>
      </c>
      <c r="E199" s="156">
        <f>(($E$17+$F$17)*(F821EA!S90+F821EA!Z90)*$L199)</f>
        <v>0</v>
      </c>
      <c r="F199" s="156">
        <f>(($E$17+$F$17)*(F821EA!T90+F821EA!AA90)*$L199)</f>
        <v>0</v>
      </c>
      <c r="G199" s="156">
        <f>(($E$17+$F$17)*(F821EA!U90+F821EA!AB90)*$L199)</f>
        <v>0</v>
      </c>
      <c r="H199" s="156">
        <f>(($E$17+$F$17)*(F821EA!V90+F821EA!AC90)*$L199)</f>
        <v>0</v>
      </c>
      <c r="I199" s="156">
        <f>(($E$17+$F$17)*(F821EA!W90+F821EA!AD90)*$L199)</f>
        <v>0</v>
      </c>
      <c r="J199" s="156">
        <f t="shared" si="48"/>
        <v>0</v>
      </c>
      <c r="K199" s="69"/>
      <c r="L199" s="319">
        <v>0.5</v>
      </c>
      <c r="M199" s="329"/>
    </row>
    <row r="200" spans="2:13" s="37" customFormat="1" ht="15.75">
      <c r="B200" s="48"/>
      <c r="C200" s="160" t="s">
        <v>624</v>
      </c>
      <c r="D200" s="156">
        <f>(($E$17+$F$17)*(F821EA!R91+F821EA!Y91)*$L200)</f>
        <v>0</v>
      </c>
      <c r="E200" s="156">
        <f>(($E$17+$F$17)*(F821EA!S91+F821EA!Z91)*$L200)</f>
        <v>0</v>
      </c>
      <c r="F200" s="156">
        <f>(($E$17+$F$17)*(F821EA!T91+F821EA!AA91)*$L200)</f>
        <v>0</v>
      </c>
      <c r="G200" s="156">
        <f>(($E$17+$F$17)*(F821EA!U91+F821EA!AB91)*$L200)</f>
        <v>0</v>
      </c>
      <c r="H200" s="156">
        <f>(($E$17+$F$17)*(F821EA!V91+F821EA!AC91)*$L200)</f>
        <v>0</v>
      </c>
      <c r="I200" s="156">
        <f>(($E$17+$F$17)*(F821EA!W91+F821EA!AD91)*$L200)</f>
        <v>0</v>
      </c>
      <c r="J200" s="156">
        <f t="shared" si="48"/>
        <v>0</v>
      </c>
      <c r="K200" s="69"/>
      <c r="L200" s="319">
        <v>0</v>
      </c>
      <c r="M200" s="329"/>
    </row>
    <row r="201" spans="2:13" s="37" customFormat="1" ht="15.75">
      <c r="B201" s="48" t="s">
        <v>902</v>
      </c>
      <c r="C201" s="158" t="s">
        <v>899</v>
      </c>
      <c r="D201" s="159">
        <f t="shared" ref="D201:I201" si="49">SUM(D202:D207)</f>
        <v>30430.226942235535</v>
      </c>
      <c r="E201" s="159">
        <f t="shared" si="49"/>
        <v>28294.79022590836</v>
      </c>
      <c r="F201" s="159">
        <f t="shared" si="49"/>
        <v>26410.331379451884</v>
      </c>
      <c r="G201" s="159">
        <f t="shared" si="49"/>
        <v>28495.577760196113</v>
      </c>
      <c r="H201" s="159">
        <f t="shared" si="49"/>
        <v>21838.119493630213</v>
      </c>
      <c r="I201" s="159">
        <f t="shared" si="49"/>
        <v>28224.346960389586</v>
      </c>
      <c r="J201" s="159">
        <f t="shared" si="48"/>
        <v>163693.3927618117</v>
      </c>
      <c r="K201" s="69"/>
      <c r="L201" s="319"/>
      <c r="M201" s="69"/>
    </row>
    <row r="202" spans="2:13" s="37" customFormat="1" ht="15.75">
      <c r="B202" s="48"/>
      <c r="C202" s="160" t="s">
        <v>304</v>
      </c>
      <c r="D202" s="156">
        <f>(($E$17+$F$17)*(F821EA!R93+F821EA!Y93)*$L202)</f>
        <v>27727.957011286857</v>
      </c>
      <c r="E202" s="156">
        <f>(($E$17+$F$17)*(F821EA!S93+F821EA!Z93)*$L202)</f>
        <v>25856.90844627512</v>
      </c>
      <c r="F202" s="156">
        <f>(($E$17+$F$17)*(F821EA!T93+F821EA!AA93)*$L202)</f>
        <v>23831.798796384617</v>
      </c>
      <c r="G202" s="156">
        <f>(($E$17+$F$17)*(F821EA!U93+F821EA!AB93)*$L202)</f>
        <v>25946.353975833255</v>
      </c>
      <c r="H202" s="156">
        <f>(($E$17+$F$17)*(F821EA!V93+F821EA!AC93)*$L202)</f>
        <v>19773.51237417202</v>
      </c>
      <c r="I202" s="156">
        <f>(($E$17+$F$17)*(F821EA!W93+F821EA!AD93)*$L202)</f>
        <v>25557.822501319228</v>
      </c>
      <c r="J202" s="156">
        <f t="shared" si="48"/>
        <v>148694.35310527109</v>
      </c>
      <c r="K202" s="69"/>
      <c r="L202" s="319">
        <v>1</v>
      </c>
      <c r="M202" s="329"/>
    </row>
    <row r="203" spans="2:13" s="37" customFormat="1" ht="15.75">
      <c r="B203" s="48"/>
      <c r="C203" s="162" t="s">
        <v>642</v>
      </c>
      <c r="D203" s="156">
        <f>(($E$17+$F$17)*(F821EA!R94+F821EA!Y94)*$L203)</f>
        <v>2403.3411377284692</v>
      </c>
      <c r="E203" s="156">
        <f>(($E$17+$F$17)*(F821EA!S94+F821EA!Z94)*$L203)</f>
        <v>2222.0862545880009</v>
      </c>
      <c r="F203" s="156">
        <f>(($E$17+$F$17)*(F821EA!T94+F821EA!AA94)*$L203)</f>
        <v>2363.6799684361094</v>
      </c>
      <c r="G203" s="156">
        <f>(($E$17+$F$17)*(F821EA!U94+F821EA!AB94)*$L203)</f>
        <v>2309.3840437585054</v>
      </c>
      <c r="H203" s="156">
        <f>(($E$17+$F$17)*(F821EA!V94+F821EA!AC94)*$L203)</f>
        <v>1877.177482703278</v>
      </c>
      <c r="I203" s="156">
        <f>(($E$17+$F$17)*(F821EA!W94+F821EA!AD94)*$L203)</f>
        <v>2425.558464360297</v>
      </c>
      <c r="J203" s="156">
        <f t="shared" si="48"/>
        <v>13601.22735157466</v>
      </c>
      <c r="K203" s="69"/>
      <c r="L203" s="319">
        <v>0.75</v>
      </c>
      <c r="M203" s="329"/>
    </row>
    <row r="204" spans="2:13" s="37" customFormat="1" ht="15.75">
      <c r="B204" s="48"/>
      <c r="C204" s="162" t="s">
        <v>1177</v>
      </c>
      <c r="D204" s="156">
        <f>(($E$17+$F$17)*(F821EA!R95+F821EA!Y95)*$L204)</f>
        <v>298.92879322021088</v>
      </c>
      <c r="E204" s="156">
        <f>(($E$17+$F$17)*(F821EA!S95+F821EA!Z95)*$L204)</f>
        <v>215.7955250452394</v>
      </c>
      <c r="F204" s="156">
        <f>(($E$17+$F$17)*(F821EA!T95+F821EA!AA95)*$L204)</f>
        <v>214.85261463115654</v>
      </c>
      <c r="G204" s="156">
        <f>(($E$17+$F$17)*(F821EA!U95+F821EA!AB95)*$L204)</f>
        <v>239.83974060435213</v>
      </c>
      <c r="H204" s="156">
        <f>(($E$17+$F$17)*(F821EA!V95+F821EA!AC95)*$L204)</f>
        <v>187.42963675491362</v>
      </c>
      <c r="I204" s="156">
        <f>(($E$17+$F$17)*(F821EA!W95+F821EA!AD95)*$L204)</f>
        <v>240.9659947100622</v>
      </c>
      <c r="J204" s="156">
        <f t="shared" si="48"/>
        <v>1397.8123049659348</v>
      </c>
      <c r="K204" s="69"/>
      <c r="L204" s="319">
        <v>1</v>
      </c>
      <c r="M204" s="329"/>
    </row>
    <row r="205" spans="2:13" s="37" customFormat="1" ht="15.75">
      <c r="B205" s="48"/>
      <c r="C205" s="160" t="s">
        <v>305</v>
      </c>
      <c r="D205" s="156">
        <f>(($E$17+$F$17)*(F821EA!R96+F821EA!Y96)*$L205)</f>
        <v>0</v>
      </c>
      <c r="E205" s="156">
        <f>(($E$17+$F$17)*(F821EA!S96+F821EA!Z96)*$L205)</f>
        <v>0</v>
      </c>
      <c r="F205" s="156">
        <f>(($E$17+$F$17)*(F821EA!T96+F821EA!AA96)*$L205)</f>
        <v>0</v>
      </c>
      <c r="G205" s="156">
        <f>(($E$17+$F$17)*(F821EA!U96+F821EA!AB96)*$L205)</f>
        <v>0</v>
      </c>
      <c r="H205" s="156">
        <f>(($E$17+$F$17)*(F821EA!V96+F821EA!AC96)*$L205)</f>
        <v>0</v>
      </c>
      <c r="I205" s="156">
        <f>(($E$17+$F$17)*(F821EA!W96+F821EA!AD96)*$L205)</f>
        <v>0</v>
      </c>
      <c r="J205" s="156">
        <f t="shared" si="48"/>
        <v>0</v>
      </c>
      <c r="K205" s="69"/>
      <c r="L205" s="319">
        <v>0.95</v>
      </c>
      <c r="M205" s="329"/>
    </row>
    <row r="206" spans="2:13" s="37" customFormat="1" ht="15.75">
      <c r="B206" s="48"/>
      <c r="C206" s="160" t="s">
        <v>307</v>
      </c>
      <c r="D206" s="156">
        <f>(($E$17+$F$17)*(F821EA!R97+F821EA!Y97)*$L206)</f>
        <v>0</v>
      </c>
      <c r="E206" s="156">
        <f>(($E$17+$F$17)*(F821EA!S97+F821EA!Z97)*$L206)</f>
        <v>0</v>
      </c>
      <c r="F206" s="156">
        <f>(($E$17+$F$17)*(F821EA!T97+F821EA!AA97)*$L206)</f>
        <v>0</v>
      </c>
      <c r="G206" s="156">
        <f>(($E$17+$F$17)*(F821EA!U97+F821EA!AB97)*$L206)</f>
        <v>0</v>
      </c>
      <c r="H206" s="156">
        <f>(($E$17+$F$17)*(F821EA!V97+F821EA!AC97)*$L206)</f>
        <v>0</v>
      </c>
      <c r="I206" s="156">
        <f>(($E$17+$F$17)*(F821EA!W97+F821EA!AD97)*$L206)</f>
        <v>0</v>
      </c>
      <c r="J206" s="156">
        <f t="shared" si="48"/>
        <v>0</v>
      </c>
      <c r="K206" s="69"/>
      <c r="L206" s="319">
        <v>0.5</v>
      </c>
      <c r="M206" s="329"/>
    </row>
    <row r="207" spans="2:13" s="37" customFormat="1" ht="15.75">
      <c r="B207" s="48"/>
      <c r="C207" s="160" t="s">
        <v>624</v>
      </c>
      <c r="D207" s="156">
        <f>(($E$17+$F$17)*(F821EA!R98+F821EA!Y98)*$L207)</f>
        <v>0</v>
      </c>
      <c r="E207" s="156">
        <f>(($E$17+$F$17)*(F821EA!S98+F821EA!Z98)*$L207)</f>
        <v>0</v>
      </c>
      <c r="F207" s="156">
        <f>(($E$17+$F$17)*(F821EA!T98+F821EA!AA98)*$L207)</f>
        <v>0</v>
      </c>
      <c r="G207" s="156">
        <f>(($E$17+$F$17)*(F821EA!U98+F821EA!AB98)*$L207)</f>
        <v>0</v>
      </c>
      <c r="H207" s="156">
        <f>(($E$17+$F$17)*(F821EA!V98+F821EA!AC98)*$L207)</f>
        <v>0</v>
      </c>
      <c r="I207" s="156">
        <f>(($E$17+$F$17)*(F821EA!W98+F821EA!AD98)*$L207)</f>
        <v>0</v>
      </c>
      <c r="J207" s="156">
        <f t="shared" si="48"/>
        <v>0</v>
      </c>
      <c r="K207" s="69"/>
      <c r="L207" s="319">
        <v>0</v>
      </c>
      <c r="M207" s="329"/>
    </row>
    <row r="208" spans="2:13" s="37" customFormat="1" ht="15.75">
      <c r="B208" s="48" t="s">
        <v>902</v>
      </c>
      <c r="C208" s="158" t="s">
        <v>900</v>
      </c>
      <c r="D208" s="159">
        <f t="shared" ref="D208:I208" si="50">SUM(D209:D214)</f>
        <v>3244.7904624626149</v>
      </c>
      <c r="E208" s="159">
        <f t="shared" si="50"/>
        <v>3220.2944356634207</v>
      </c>
      <c r="F208" s="159">
        <f t="shared" si="50"/>
        <v>3637.7418295426564</v>
      </c>
      <c r="G208" s="159">
        <f t="shared" si="50"/>
        <v>2757.9802212474092</v>
      </c>
      <c r="H208" s="159">
        <f t="shared" si="50"/>
        <v>2178.5028398926161</v>
      </c>
      <c r="I208" s="159">
        <f t="shared" si="50"/>
        <v>3062.7432726547577</v>
      </c>
      <c r="J208" s="159">
        <f t="shared" si="48"/>
        <v>18102.053061463477</v>
      </c>
      <c r="K208" s="69"/>
      <c r="L208" s="319"/>
      <c r="M208" s="69"/>
    </row>
    <row r="209" spans="2:13" s="37" customFormat="1" ht="15.75">
      <c r="B209" s="48"/>
      <c r="C209" s="160" t="s">
        <v>304</v>
      </c>
      <c r="D209" s="156">
        <f>(($E$17+$F$17)*(F821EA!R100+F821EA!Y100)*$L209)</f>
        <v>3124.7265364027317</v>
      </c>
      <c r="E209" s="156">
        <f>(($E$17+$F$17)*(F821EA!S100+F821EA!Z100)*$L209)</f>
        <v>3156.8640663493888</v>
      </c>
      <c r="F209" s="156">
        <f>(($E$17+$F$17)*(F821EA!T100+F821EA!AA100)*$L209)</f>
        <v>3550.1100929338313</v>
      </c>
      <c r="G209" s="156">
        <f>(($E$17+$F$17)*(F821EA!U100+F821EA!AB100)*$L209)</f>
        <v>2647.3257553613944</v>
      </c>
      <c r="H209" s="156">
        <f>(($E$17+$F$17)*(F821EA!V100+F821EA!AC100)*$L209)</f>
        <v>2130.21796910479</v>
      </c>
      <c r="I209" s="156">
        <f>(($E$17+$F$17)*(F821EA!W100+F821EA!AD100)*$L209)</f>
        <v>2976.9777129071381</v>
      </c>
      <c r="J209" s="156">
        <f t="shared" si="48"/>
        <v>17586.222133059273</v>
      </c>
      <c r="K209" s="69"/>
      <c r="L209" s="319">
        <v>1</v>
      </c>
      <c r="M209" s="329"/>
    </row>
    <row r="210" spans="2:13" s="37" customFormat="1" ht="15.75">
      <c r="B210" s="48"/>
      <c r="C210" s="162" t="s">
        <v>642</v>
      </c>
      <c r="D210" s="156">
        <f>(($E$17+$F$17)*(F821EA!R101+F821EA!Y101)*$L210)</f>
        <v>120.06392605988316</v>
      </c>
      <c r="E210" s="156">
        <f>(($E$17+$F$17)*(F821EA!S101+F821EA!Z101)*$L210)</f>
        <v>63.430369314031864</v>
      </c>
      <c r="F210" s="156">
        <f>(($E$17+$F$17)*(F821EA!T101+F821EA!AA101)*$L210)</f>
        <v>87.631736608825065</v>
      </c>
      <c r="G210" s="156">
        <f>(($E$17+$F$17)*(F821EA!U101+F821EA!AB101)*$L210)</f>
        <v>110.65446588601469</v>
      </c>
      <c r="H210" s="156">
        <f>(($E$17+$F$17)*(F821EA!V101+F821EA!AC101)*$L210)</f>
        <v>48.284870787826051</v>
      </c>
      <c r="I210" s="156">
        <f>(($E$17+$F$17)*(F821EA!W101+F821EA!AD101)*$L210)</f>
        <v>85.76555974761942</v>
      </c>
      <c r="J210" s="156">
        <f t="shared" si="48"/>
        <v>515.83092840420022</v>
      </c>
      <c r="K210" s="69"/>
      <c r="L210" s="319">
        <v>0.75</v>
      </c>
      <c r="M210" s="329"/>
    </row>
    <row r="211" spans="2:13" s="37" customFormat="1" ht="15.75">
      <c r="B211" s="48"/>
      <c r="C211" s="162" t="s">
        <v>1177</v>
      </c>
      <c r="D211" s="156">
        <f>(($E$17+$F$17)*(F821EA!R102+F821EA!Y102)*$L211)</f>
        <v>0</v>
      </c>
      <c r="E211" s="156">
        <f>(($E$17+$F$17)*(F821EA!S102+F821EA!Z102)*$L211)</f>
        <v>0</v>
      </c>
      <c r="F211" s="156">
        <f>(($E$17+$F$17)*(F821EA!T102+F821EA!AA102)*$L211)</f>
        <v>0</v>
      </c>
      <c r="G211" s="156">
        <f>(($E$17+$F$17)*(F821EA!U102+F821EA!AB102)*$L211)</f>
        <v>0</v>
      </c>
      <c r="H211" s="156">
        <f>(($E$17+$F$17)*(F821EA!V102+F821EA!AC102)*$L211)</f>
        <v>0</v>
      </c>
      <c r="I211" s="156">
        <f>(($E$17+$F$17)*(F821EA!W102+F821EA!AD102)*$L211)</f>
        <v>0</v>
      </c>
      <c r="J211" s="156">
        <f t="shared" si="48"/>
        <v>0</v>
      </c>
      <c r="K211" s="69"/>
      <c r="L211" s="319">
        <v>1</v>
      </c>
      <c r="M211" s="329"/>
    </row>
    <row r="212" spans="2:13" s="37" customFormat="1" ht="15.75">
      <c r="B212" s="48"/>
      <c r="C212" s="160" t="s">
        <v>305</v>
      </c>
      <c r="D212" s="156">
        <f>(($E$17+$F$17)*(F821EA!R103+F821EA!Y103)*$L212)</f>
        <v>0</v>
      </c>
      <c r="E212" s="156">
        <f>(($E$17+$F$17)*(F821EA!S103+F821EA!Z103)*$L212)</f>
        <v>0</v>
      </c>
      <c r="F212" s="156">
        <f>(($E$17+$F$17)*(F821EA!T103+F821EA!AA103)*$L212)</f>
        <v>0</v>
      </c>
      <c r="G212" s="156">
        <f>(($E$17+$F$17)*(F821EA!U103+F821EA!AB103)*$L212)</f>
        <v>0</v>
      </c>
      <c r="H212" s="156">
        <f>(($E$17+$F$17)*(F821EA!V103+F821EA!AC103)*$L212)</f>
        <v>0</v>
      </c>
      <c r="I212" s="156">
        <f>(($E$17+$F$17)*(F821EA!W103+F821EA!AD103)*$L212)</f>
        <v>0</v>
      </c>
      <c r="J212" s="156">
        <f t="shared" si="48"/>
        <v>0</v>
      </c>
      <c r="K212" s="69"/>
      <c r="L212" s="319">
        <v>0.95</v>
      </c>
      <c r="M212" s="329"/>
    </row>
    <row r="213" spans="2:13" s="37" customFormat="1" ht="15.75">
      <c r="B213" s="48"/>
      <c r="C213" s="160" t="s">
        <v>307</v>
      </c>
      <c r="D213" s="156">
        <f>(($E$17+$F$17)*(F821EA!R104+F821EA!Y104)*$L213)</f>
        <v>0</v>
      </c>
      <c r="E213" s="156">
        <f>(($E$17+$F$17)*(F821EA!S104+F821EA!Z104)*$L213)</f>
        <v>0</v>
      </c>
      <c r="F213" s="156">
        <f>(($E$17+$F$17)*(F821EA!T104+F821EA!AA104)*$L213)</f>
        <v>0</v>
      </c>
      <c r="G213" s="156">
        <f>(($E$17+$F$17)*(F821EA!U104+F821EA!AB104)*$L213)</f>
        <v>0</v>
      </c>
      <c r="H213" s="156">
        <f>(($E$17+$F$17)*(F821EA!V104+F821EA!AC104)*$L213)</f>
        <v>0</v>
      </c>
      <c r="I213" s="156">
        <f>(($E$17+$F$17)*(F821EA!W104+F821EA!AD104)*$L213)</f>
        <v>0</v>
      </c>
      <c r="J213" s="156">
        <f t="shared" si="48"/>
        <v>0</v>
      </c>
      <c r="K213" s="69"/>
      <c r="L213" s="319">
        <v>0.5</v>
      </c>
      <c r="M213" s="329"/>
    </row>
    <row r="214" spans="2:13" s="37" customFormat="1" ht="15.75">
      <c r="B214" s="48"/>
      <c r="C214" s="160" t="s">
        <v>624</v>
      </c>
      <c r="D214" s="156">
        <f>(($E$17+$F$17)*(F821EA!R105+F821EA!Y105)*$L214)</f>
        <v>0</v>
      </c>
      <c r="E214" s="156">
        <f>(($E$17+$F$17)*(F821EA!S105+F821EA!Z105)*$L214)</f>
        <v>0</v>
      </c>
      <c r="F214" s="156">
        <f>(($E$17+$F$17)*(F821EA!T105+F821EA!AA105)*$L214)</f>
        <v>0</v>
      </c>
      <c r="G214" s="156">
        <f>(($E$17+$F$17)*(F821EA!U105+F821EA!AB105)*$L214)</f>
        <v>0</v>
      </c>
      <c r="H214" s="156">
        <f>(($E$17+$F$17)*(F821EA!V105+F821EA!AC105)*$L214)</f>
        <v>0</v>
      </c>
      <c r="I214" s="156">
        <f>(($E$17+$F$17)*(F821EA!W105+F821EA!AD105)*$L214)</f>
        <v>0</v>
      </c>
      <c r="J214" s="156">
        <f t="shared" si="48"/>
        <v>0</v>
      </c>
      <c r="K214" s="69"/>
      <c r="L214" s="319">
        <v>0</v>
      </c>
      <c r="M214" s="329"/>
    </row>
    <row r="215" spans="2:13" s="37" customFormat="1" ht="15.75">
      <c r="B215" s="48"/>
      <c r="C215" s="157"/>
      <c r="D215" s="156"/>
      <c r="E215" s="156"/>
      <c r="F215" s="156"/>
      <c r="G215" s="156"/>
      <c r="H215" s="156"/>
      <c r="I215" s="156"/>
      <c r="J215" s="156"/>
      <c r="K215" s="69"/>
      <c r="L215" s="319"/>
      <c r="M215" s="69"/>
    </row>
    <row r="216" spans="2:13" s="37" customFormat="1" ht="15.75">
      <c r="B216" s="48"/>
      <c r="C216" s="153" t="s">
        <v>112</v>
      </c>
      <c r="D216" s="154">
        <f t="shared" ref="D216:I216" si="51">D125+D129+D139</f>
        <v>6419177.8644026946</v>
      </c>
      <c r="E216" s="154">
        <f t="shared" si="51"/>
        <v>6424029.9471446369</v>
      </c>
      <c r="F216" s="154">
        <f t="shared" si="51"/>
        <v>6301867.480606854</v>
      </c>
      <c r="G216" s="154">
        <f t="shared" si="51"/>
        <v>6399349.941381597</v>
      </c>
      <c r="H216" s="154">
        <f t="shared" si="51"/>
        <v>6133488.3440258233</v>
      </c>
      <c r="I216" s="154">
        <f t="shared" si="51"/>
        <v>6150493.8395723384</v>
      </c>
      <c r="J216" s="154">
        <f>SUM(D216:I216)</f>
        <v>37828407.417133942</v>
      </c>
      <c r="K216" s="69"/>
      <c r="L216" s="319"/>
      <c r="M216" s="69"/>
    </row>
    <row r="217" spans="2:13">
      <c r="C217" s="48"/>
      <c r="D217" s="48"/>
      <c r="E217" s="48"/>
      <c r="F217" s="48"/>
      <c r="G217" s="48"/>
      <c r="H217" s="48"/>
      <c r="I217" s="48"/>
      <c r="J217" s="48"/>
    </row>
    <row r="218" spans="2:13" s="69" customFormat="1" ht="30">
      <c r="B218" s="48"/>
      <c r="C218" s="320" t="s">
        <v>661</v>
      </c>
      <c r="D218" s="320"/>
      <c r="E218" s="320"/>
      <c r="F218" s="320"/>
      <c r="G218" s="320"/>
      <c r="H218" s="320"/>
      <c r="I218" s="320"/>
      <c r="J218" s="321"/>
      <c r="L218" s="319"/>
    </row>
    <row r="219" spans="2:13" s="37" customFormat="1" ht="15.75">
      <c r="B219" s="48"/>
      <c r="C219" s="150" t="s">
        <v>310</v>
      </c>
      <c r="D219" s="151">
        <f t="shared" ref="D219:I219" si="52">D$29</f>
        <v>45839</v>
      </c>
      <c r="E219" s="151">
        <f t="shared" si="52"/>
        <v>45870</v>
      </c>
      <c r="F219" s="151">
        <f t="shared" si="52"/>
        <v>45901</v>
      </c>
      <c r="G219" s="151">
        <f t="shared" si="52"/>
        <v>45931</v>
      </c>
      <c r="H219" s="151">
        <f t="shared" si="52"/>
        <v>45962</v>
      </c>
      <c r="I219" s="151">
        <f t="shared" si="52"/>
        <v>45992</v>
      </c>
      <c r="J219" s="152" t="s">
        <v>111</v>
      </c>
      <c r="K219" s="69"/>
      <c r="L219" s="319"/>
      <c r="M219" s="69"/>
    </row>
    <row r="220" spans="2:13" s="37" customFormat="1" ht="15.75">
      <c r="B220" s="48"/>
      <c r="C220" s="153" t="s">
        <v>446</v>
      </c>
      <c r="D220" s="154">
        <f t="shared" ref="D220:I220" si="53">SUM(D221:D222)</f>
        <v>0</v>
      </c>
      <c r="E220" s="154">
        <f t="shared" si="53"/>
        <v>0</v>
      </c>
      <c r="F220" s="154">
        <f t="shared" si="53"/>
        <v>0</v>
      </c>
      <c r="G220" s="154">
        <f t="shared" si="53"/>
        <v>0</v>
      </c>
      <c r="H220" s="154">
        <f t="shared" si="53"/>
        <v>0</v>
      </c>
      <c r="I220" s="154">
        <f t="shared" si="53"/>
        <v>0</v>
      </c>
      <c r="J220" s="154">
        <f>SUM(D220:I220)</f>
        <v>0</v>
      </c>
      <c r="K220" s="69"/>
      <c r="L220" s="319"/>
      <c r="M220" s="69"/>
    </row>
    <row r="221" spans="2:13" s="37" customFormat="1" ht="15.75">
      <c r="B221" s="48" t="s">
        <v>279</v>
      </c>
      <c r="C221" s="155" t="s">
        <v>279</v>
      </c>
      <c r="D221" s="156">
        <f>$J$7*F821EA!D6</f>
        <v>0</v>
      </c>
      <c r="E221" s="156">
        <f>$J$7*F821EA!E6</f>
        <v>0</v>
      </c>
      <c r="F221" s="156">
        <f>$J$7*F821EA!F6</f>
        <v>0</v>
      </c>
      <c r="G221" s="156">
        <f>$J$7*F821EA!G6</f>
        <v>0</v>
      </c>
      <c r="H221" s="156">
        <f>$J$7*F821EA!H6</f>
        <v>0</v>
      </c>
      <c r="I221" s="156">
        <f>$J$7*F821EA!I6</f>
        <v>0</v>
      </c>
      <c r="J221" s="156">
        <f>SUM(D221:I221)</f>
        <v>0</v>
      </c>
      <c r="K221" s="69"/>
      <c r="L221" s="319"/>
      <c r="M221" s="69"/>
    </row>
    <row r="222" spans="2:13" s="37" customFormat="1" ht="15.75">
      <c r="B222" s="48" t="s">
        <v>278</v>
      </c>
      <c r="C222" s="155" t="s">
        <v>278</v>
      </c>
      <c r="D222" s="156">
        <f>$J$8*F821EA!D7</f>
        <v>0</v>
      </c>
      <c r="E222" s="156">
        <f>$J$8*F821EA!E7</f>
        <v>0</v>
      </c>
      <c r="F222" s="156">
        <f>$J$8*F821EA!F7</f>
        <v>0</v>
      </c>
      <c r="G222" s="156">
        <f>$J$8*F821EA!G7</f>
        <v>0</v>
      </c>
      <c r="H222" s="156">
        <f>$J$8*F821EA!H7</f>
        <v>0</v>
      </c>
      <c r="I222" s="156">
        <f>$J$8*F821EA!I7</f>
        <v>0</v>
      </c>
      <c r="J222" s="156">
        <f>SUM(D222:I222)</f>
        <v>0</v>
      </c>
      <c r="K222" s="69"/>
      <c r="L222" s="319"/>
    </row>
    <row r="223" spans="2:13" s="37" customFormat="1" ht="15.75">
      <c r="B223" s="48"/>
      <c r="C223" s="157"/>
      <c r="D223" s="156"/>
      <c r="E223" s="156"/>
      <c r="F223" s="156"/>
      <c r="G223" s="156"/>
      <c r="H223" s="156"/>
      <c r="I223" s="156"/>
      <c r="J223" s="156"/>
      <c r="K223" s="69"/>
      <c r="L223" s="319"/>
    </row>
    <row r="224" spans="2:13" s="37" customFormat="1" ht="15.75">
      <c r="B224" s="48"/>
      <c r="C224" s="153" t="s">
        <v>630</v>
      </c>
      <c r="D224" s="154">
        <f>D225+D228</f>
        <v>0</v>
      </c>
      <c r="E224" s="154">
        <f t="shared" ref="E224:I224" si="54">E225+E228</f>
        <v>0</v>
      </c>
      <c r="F224" s="154">
        <f t="shared" si="54"/>
        <v>0</v>
      </c>
      <c r="G224" s="154">
        <f t="shared" si="54"/>
        <v>0</v>
      </c>
      <c r="H224" s="154">
        <f t="shared" si="54"/>
        <v>0</v>
      </c>
      <c r="I224" s="154">
        <f t="shared" si="54"/>
        <v>0</v>
      </c>
      <c r="J224" s="154">
        <f t="shared" ref="J224:J232" si="55">SUM(D224:I224)</f>
        <v>0</v>
      </c>
      <c r="K224" s="69"/>
      <c r="L224" s="319"/>
    </row>
    <row r="225" spans="2:12" s="37" customFormat="1" ht="15.75">
      <c r="B225" s="48" t="s">
        <v>277</v>
      </c>
      <c r="C225" s="155" t="s">
        <v>277</v>
      </c>
      <c r="D225" s="154">
        <f>SUM(D226:D227)</f>
        <v>0</v>
      </c>
      <c r="E225" s="154">
        <f t="shared" ref="E225:I225" si="56">SUM(E226:E227)</f>
        <v>0</v>
      </c>
      <c r="F225" s="154">
        <f t="shared" si="56"/>
        <v>0</v>
      </c>
      <c r="G225" s="154">
        <f t="shared" si="56"/>
        <v>0</v>
      </c>
      <c r="H225" s="154">
        <f t="shared" si="56"/>
        <v>0</v>
      </c>
      <c r="I225" s="154">
        <f t="shared" si="56"/>
        <v>0</v>
      </c>
      <c r="J225" s="154">
        <f t="shared" si="55"/>
        <v>0</v>
      </c>
      <c r="K225" s="69"/>
      <c r="L225" s="319"/>
    </row>
    <row r="226" spans="2:12" s="37" customFormat="1" ht="15.75">
      <c r="B226" s="48"/>
      <c r="C226" s="160" t="s">
        <v>304</v>
      </c>
      <c r="D226" s="156">
        <f>$J$9*F821EA!D11</f>
        <v>0</v>
      </c>
      <c r="E226" s="156">
        <f>$J$9*F821EA!E11</f>
        <v>0</v>
      </c>
      <c r="F226" s="156">
        <f>$J$9*F821EA!F11</f>
        <v>0</v>
      </c>
      <c r="G226" s="156">
        <f>$J$9*F821EA!G11</f>
        <v>0</v>
      </c>
      <c r="H226" s="156">
        <f>$J$9*F821EA!H11</f>
        <v>0</v>
      </c>
      <c r="I226" s="156">
        <f>$J$9*F821EA!I11</f>
        <v>0</v>
      </c>
      <c r="J226" s="156">
        <f t="shared" si="55"/>
        <v>0</v>
      </c>
      <c r="K226" s="69"/>
      <c r="L226" s="319"/>
    </row>
    <row r="227" spans="2:12" s="37" customFormat="1" ht="15.75">
      <c r="B227" s="48"/>
      <c r="C227" s="160" t="s">
        <v>305</v>
      </c>
      <c r="D227" s="156">
        <f>($J$9*F821EA!D12)*$L227</f>
        <v>0</v>
      </c>
      <c r="E227" s="156">
        <f>($J$9*F821EA!E12)*$L227</f>
        <v>0</v>
      </c>
      <c r="F227" s="156">
        <f>($J$9*F821EA!F12)*$L227</f>
        <v>0</v>
      </c>
      <c r="G227" s="156">
        <f>($J$9*F821EA!G12)*$L227</f>
        <v>0</v>
      </c>
      <c r="H227" s="156">
        <f>($J$9*F821EA!H12)*$L227</f>
        <v>0</v>
      </c>
      <c r="I227" s="156">
        <f>($J$9*F821EA!I12)*$L227</f>
        <v>0</v>
      </c>
      <c r="J227" s="156">
        <f t="shared" si="55"/>
        <v>0</v>
      </c>
      <c r="K227" s="69"/>
      <c r="L227" s="319">
        <v>0.95</v>
      </c>
    </row>
    <row r="228" spans="2:12" s="37" customFormat="1" ht="15.75">
      <c r="B228" s="48" t="s">
        <v>276</v>
      </c>
      <c r="C228" s="158" t="s">
        <v>276</v>
      </c>
      <c r="D228" s="159">
        <f t="shared" ref="D228:I228" si="57">SUM(D229:D232)</f>
        <v>0</v>
      </c>
      <c r="E228" s="159">
        <f t="shared" si="57"/>
        <v>0</v>
      </c>
      <c r="F228" s="159">
        <f t="shared" si="57"/>
        <v>0</v>
      </c>
      <c r="G228" s="159">
        <f t="shared" si="57"/>
        <v>0</v>
      </c>
      <c r="H228" s="159">
        <f t="shared" si="57"/>
        <v>0</v>
      </c>
      <c r="I228" s="159">
        <f t="shared" si="57"/>
        <v>0</v>
      </c>
      <c r="J228" s="159">
        <f t="shared" si="55"/>
        <v>0</v>
      </c>
      <c r="K228" s="69"/>
      <c r="L228" s="319"/>
    </row>
    <row r="229" spans="2:12" s="37" customFormat="1" ht="15.75">
      <c r="B229" s="48"/>
      <c r="C229" s="160" t="s">
        <v>304</v>
      </c>
      <c r="D229" s="156">
        <f>$J$10*F821EA!D15</f>
        <v>0</v>
      </c>
      <c r="E229" s="156">
        <f>$J$10*F821EA!E15</f>
        <v>0</v>
      </c>
      <c r="F229" s="156">
        <f>$J$10*F821EA!F15</f>
        <v>0</v>
      </c>
      <c r="G229" s="156">
        <f>$J$10*F821EA!G15</f>
        <v>0</v>
      </c>
      <c r="H229" s="156">
        <f>$J$10*F821EA!H15</f>
        <v>0</v>
      </c>
      <c r="I229" s="156">
        <f>$J$10*F821EA!I15</f>
        <v>0</v>
      </c>
      <c r="J229" s="156">
        <f t="shared" si="55"/>
        <v>0</v>
      </c>
      <c r="K229" s="69"/>
      <c r="L229" s="319">
        <v>1</v>
      </c>
    </row>
    <row r="230" spans="2:12" s="37" customFormat="1" ht="15.75">
      <c r="B230" s="48"/>
      <c r="C230" s="161" t="s">
        <v>306</v>
      </c>
      <c r="D230" s="156">
        <f>$J$10*F821EA!D16</f>
        <v>0</v>
      </c>
      <c r="E230" s="156">
        <f>$J$10*F821EA!E16</f>
        <v>0</v>
      </c>
      <c r="F230" s="156">
        <f>$J$10*F821EA!F16</f>
        <v>0</v>
      </c>
      <c r="G230" s="156">
        <f>$J$10*F821EA!G16</f>
        <v>0</v>
      </c>
      <c r="H230" s="156">
        <f>$J$10*F821EA!H16</f>
        <v>0</v>
      </c>
      <c r="I230" s="156">
        <f>$J$10*F821EA!I16</f>
        <v>0</v>
      </c>
      <c r="J230" s="156">
        <f t="shared" si="55"/>
        <v>0</v>
      </c>
      <c r="K230" s="69"/>
      <c r="L230" s="319">
        <v>1</v>
      </c>
    </row>
    <row r="231" spans="2:12" s="37" customFormat="1" ht="15.75">
      <c r="B231" s="48"/>
      <c r="C231" s="160" t="s">
        <v>305</v>
      </c>
      <c r="D231" s="156">
        <f>$J$10*F821EA!D17*0.95</f>
        <v>0</v>
      </c>
      <c r="E231" s="156">
        <f>$J$10*F821EA!E17*0.95</f>
        <v>0</v>
      </c>
      <c r="F231" s="156">
        <f>$J$10*F821EA!F17*0.95</f>
        <v>0</v>
      </c>
      <c r="G231" s="156">
        <f>$J$10*F821EA!G17*0.95</f>
        <v>0</v>
      </c>
      <c r="H231" s="156">
        <f>$J$10*F821EA!H17*0.95</f>
        <v>0</v>
      </c>
      <c r="I231" s="156">
        <f>$J$10*F821EA!I17*0.95</f>
        <v>0</v>
      </c>
      <c r="J231" s="156">
        <f t="shared" si="55"/>
        <v>0</v>
      </c>
      <c r="K231" s="69"/>
      <c r="L231" s="319">
        <v>0.95</v>
      </c>
    </row>
    <row r="232" spans="2:12" s="37" customFormat="1" ht="15.75">
      <c r="B232" s="48"/>
      <c r="C232" s="160" t="s">
        <v>307</v>
      </c>
      <c r="D232" s="156">
        <f>$J$10*F821EA!D18*0.5</f>
        <v>0</v>
      </c>
      <c r="E232" s="156">
        <f>$J$10*F821EA!E18*0.5</f>
        <v>0</v>
      </c>
      <c r="F232" s="156">
        <f>$J$10*F821EA!F18*0.5</f>
        <v>0</v>
      </c>
      <c r="G232" s="156">
        <f>$J$10*F821EA!G18*0.5</f>
        <v>0</v>
      </c>
      <c r="H232" s="156">
        <f>$J$10*F821EA!H18*0.5</f>
        <v>0</v>
      </c>
      <c r="I232" s="156">
        <f>$J$10*F821EA!I18*0.5</f>
        <v>0</v>
      </c>
      <c r="J232" s="156">
        <f t="shared" si="55"/>
        <v>0</v>
      </c>
      <c r="K232" s="69"/>
      <c r="L232" s="319">
        <v>0.5</v>
      </c>
    </row>
    <row r="233" spans="2:12" s="37" customFormat="1" ht="15.75">
      <c r="B233" s="48"/>
      <c r="C233" s="157"/>
      <c r="D233" s="157"/>
      <c r="E233" s="157"/>
      <c r="F233" s="157"/>
      <c r="G233" s="157"/>
      <c r="H233" s="157"/>
      <c r="I233" s="157"/>
      <c r="J233" s="157"/>
      <c r="K233" s="69"/>
      <c r="L233" s="319"/>
    </row>
    <row r="234" spans="2:12" s="37" customFormat="1" ht="15.75">
      <c r="B234" s="48"/>
      <c r="C234" s="153" t="s">
        <v>443</v>
      </c>
      <c r="D234" s="154">
        <f t="shared" ref="D234:I234" si="58">D235+D239+D246+D251+D256+D269+D275+D282+D290+D296+D303+D262</f>
        <v>0</v>
      </c>
      <c r="E234" s="154">
        <f t="shared" si="58"/>
        <v>0</v>
      </c>
      <c r="F234" s="154">
        <f t="shared" si="58"/>
        <v>0</v>
      </c>
      <c r="G234" s="154">
        <f t="shared" si="58"/>
        <v>0</v>
      </c>
      <c r="H234" s="154">
        <f t="shared" si="58"/>
        <v>0</v>
      </c>
      <c r="I234" s="154">
        <f t="shared" si="58"/>
        <v>0</v>
      </c>
      <c r="J234" s="154">
        <f>SUM(D234:I234)</f>
        <v>0</v>
      </c>
      <c r="K234" s="69"/>
      <c r="L234" s="319"/>
    </row>
    <row r="235" spans="2:12" s="37" customFormat="1" ht="15.75">
      <c r="B235" s="48" t="s">
        <v>275</v>
      </c>
      <c r="C235" s="155" t="s">
        <v>275</v>
      </c>
      <c r="D235" s="156">
        <f>$J$11*F821EA!D21</f>
        <v>0</v>
      </c>
      <c r="E235" s="156">
        <f>$J$11*F821EA!E21</f>
        <v>0</v>
      </c>
      <c r="F235" s="156">
        <f>$J$11*F821EA!F21</f>
        <v>0</v>
      </c>
      <c r="G235" s="156">
        <f>$J$11*F821EA!G21</f>
        <v>0</v>
      </c>
      <c r="H235" s="156">
        <f>$J$11*F821EA!H21</f>
        <v>0</v>
      </c>
      <c r="I235" s="156">
        <f>$J$11*F821EA!I21</f>
        <v>0</v>
      </c>
      <c r="J235" s="156">
        <f>SUM(D235:I235)</f>
        <v>0</v>
      </c>
      <c r="K235" s="69"/>
      <c r="L235" s="319"/>
    </row>
    <row r="236" spans="2:12" s="37" customFormat="1" ht="15.75">
      <c r="B236" s="48"/>
      <c r="C236" s="160" t="s">
        <v>304</v>
      </c>
      <c r="D236" s="156"/>
      <c r="E236" s="156"/>
      <c r="F236" s="156"/>
      <c r="G236" s="156"/>
      <c r="H236" s="156"/>
      <c r="I236" s="156"/>
      <c r="J236" s="156"/>
      <c r="K236" s="69"/>
      <c r="L236" s="319"/>
    </row>
    <row r="237" spans="2:12" s="37" customFormat="1" ht="15.75">
      <c r="B237" s="48"/>
      <c r="C237" s="161" t="s">
        <v>306</v>
      </c>
      <c r="D237" s="156"/>
      <c r="E237" s="156"/>
      <c r="F237" s="156"/>
      <c r="G237" s="156"/>
      <c r="H237" s="156"/>
      <c r="I237" s="156"/>
      <c r="J237" s="156"/>
      <c r="K237" s="69"/>
      <c r="L237" s="319"/>
    </row>
    <row r="238" spans="2:12" s="37" customFormat="1" ht="15.75">
      <c r="B238" s="48"/>
      <c r="C238" s="160" t="s">
        <v>305</v>
      </c>
      <c r="D238" s="156"/>
      <c r="E238" s="156"/>
      <c r="F238" s="156"/>
      <c r="G238" s="156"/>
      <c r="H238" s="156"/>
      <c r="I238" s="156"/>
      <c r="J238" s="156"/>
      <c r="K238" s="69"/>
      <c r="L238" s="319"/>
    </row>
    <row r="239" spans="2:12" s="37" customFormat="1" ht="15.75">
      <c r="B239" s="48" t="s">
        <v>274</v>
      </c>
      <c r="C239" s="158" t="s">
        <v>627</v>
      </c>
      <c r="D239" s="159">
        <f t="shared" ref="D239:I239" si="59">SUM(D240:D245)</f>
        <v>0</v>
      </c>
      <c r="E239" s="159">
        <f t="shared" si="59"/>
        <v>0</v>
      </c>
      <c r="F239" s="159">
        <f t="shared" si="59"/>
        <v>0</v>
      </c>
      <c r="G239" s="159">
        <f t="shared" si="59"/>
        <v>0</v>
      </c>
      <c r="H239" s="159">
        <f t="shared" si="59"/>
        <v>0</v>
      </c>
      <c r="I239" s="159">
        <f t="shared" si="59"/>
        <v>0</v>
      </c>
      <c r="J239" s="159">
        <f t="shared" ref="J239:J260" si="60">SUM(D239:I239)</f>
        <v>0</v>
      </c>
      <c r="K239" s="69"/>
      <c r="L239" s="319"/>
    </row>
    <row r="240" spans="2:12" s="37" customFormat="1" ht="15.75">
      <c r="B240" s="48"/>
      <c r="C240" s="160" t="s">
        <v>304</v>
      </c>
      <c r="D240" s="156">
        <f>$J$12*F821EA!D28</f>
        <v>0</v>
      </c>
      <c r="E240" s="156">
        <f>$J$12*F821EA!E28</f>
        <v>0</v>
      </c>
      <c r="F240" s="156">
        <f>$J$12*F821EA!F28</f>
        <v>0</v>
      </c>
      <c r="G240" s="156">
        <f>$J$12*F821EA!G28</f>
        <v>0</v>
      </c>
      <c r="H240" s="156">
        <f>$J$12*F821EA!H28</f>
        <v>0</v>
      </c>
      <c r="I240" s="156">
        <f>$J$12*F821EA!I28</f>
        <v>0</v>
      </c>
      <c r="J240" s="156">
        <f t="shared" si="60"/>
        <v>0</v>
      </c>
      <c r="K240" s="69"/>
      <c r="L240" s="319">
        <v>1</v>
      </c>
    </row>
    <row r="241" spans="2:12" s="37" customFormat="1" ht="28.15" customHeight="1">
      <c r="B241" s="48"/>
      <c r="C241" s="162" t="s">
        <v>628</v>
      </c>
      <c r="D241" s="156">
        <f>$J$12*F821EA!D29*0.75</f>
        <v>0</v>
      </c>
      <c r="E241" s="156">
        <f>$J$12*F821EA!E29*0.75</f>
        <v>0</v>
      </c>
      <c r="F241" s="156">
        <f>$J$12*F821EA!F29*0.75</f>
        <v>0</v>
      </c>
      <c r="G241" s="156">
        <f>$J$12*F821EA!G29*0.75</f>
        <v>0</v>
      </c>
      <c r="H241" s="156">
        <f>$J$12*F821EA!H29*0.75</f>
        <v>0</v>
      </c>
      <c r="I241" s="156">
        <f>$J$12*F821EA!I29*0.75</f>
        <v>0</v>
      </c>
      <c r="J241" s="156">
        <f t="shared" si="60"/>
        <v>0</v>
      </c>
      <c r="K241" s="69"/>
      <c r="L241" s="319">
        <v>0.75</v>
      </c>
    </row>
    <row r="242" spans="2:12" s="37" customFormat="1" ht="15.75">
      <c r="B242" s="48"/>
      <c r="C242" s="161" t="s">
        <v>629</v>
      </c>
      <c r="D242" s="156">
        <f>$J$12*F821EA!D30</f>
        <v>0</v>
      </c>
      <c r="E242" s="156">
        <f>$J$12*F821EA!E30</f>
        <v>0</v>
      </c>
      <c r="F242" s="156">
        <f>$J$12*F821EA!F30</f>
        <v>0</v>
      </c>
      <c r="G242" s="156">
        <f>$J$12*F821EA!G30</f>
        <v>0</v>
      </c>
      <c r="H242" s="156">
        <f>$J$12*F821EA!H30</f>
        <v>0</v>
      </c>
      <c r="I242" s="156">
        <f>$J$12*F821EA!I30</f>
        <v>0</v>
      </c>
      <c r="J242" s="156">
        <f t="shared" si="60"/>
        <v>0</v>
      </c>
      <c r="K242" s="69"/>
      <c r="L242" s="319">
        <v>1</v>
      </c>
    </row>
    <row r="243" spans="2:12" s="37" customFormat="1" ht="15.75">
      <c r="B243" s="48"/>
      <c r="C243" s="160" t="s">
        <v>305</v>
      </c>
      <c r="D243" s="156">
        <f>$J$12*F821EA!D31*0.95</f>
        <v>0</v>
      </c>
      <c r="E243" s="156">
        <f>$J$12*F821EA!E31*0.95</f>
        <v>0</v>
      </c>
      <c r="F243" s="156">
        <f>$J$12*F821EA!F31*0.95</f>
        <v>0</v>
      </c>
      <c r="G243" s="156">
        <f>$J$12*F821EA!G31*0.95</f>
        <v>0</v>
      </c>
      <c r="H243" s="156">
        <f>$J$12*F821EA!H31*0.95</f>
        <v>0</v>
      </c>
      <c r="I243" s="156">
        <f>$J$12*F821EA!I31*0.95</f>
        <v>0</v>
      </c>
      <c r="J243" s="156">
        <f t="shared" si="60"/>
        <v>0</v>
      </c>
      <c r="K243" s="69"/>
      <c r="L243" s="319">
        <v>0.95</v>
      </c>
    </row>
    <row r="244" spans="2:12" s="37" customFormat="1" ht="15.75">
      <c r="B244" s="48"/>
      <c r="C244" s="160" t="s">
        <v>307</v>
      </c>
      <c r="D244" s="156">
        <f>$J$12*F821EA!D32*0.5</f>
        <v>0</v>
      </c>
      <c r="E244" s="156">
        <f>$J$12*F821EA!E32*0.5</f>
        <v>0</v>
      </c>
      <c r="F244" s="156">
        <f>$J$12*F821EA!F32*0.5</f>
        <v>0</v>
      </c>
      <c r="G244" s="156">
        <f>$J$12*F821EA!G32*0.5</f>
        <v>0</v>
      </c>
      <c r="H244" s="156">
        <f>$J$12*F821EA!H32*0.5</f>
        <v>0</v>
      </c>
      <c r="I244" s="156">
        <f>$J$12*F821EA!I32*0.5</f>
        <v>0</v>
      </c>
      <c r="J244" s="156">
        <f t="shared" si="60"/>
        <v>0</v>
      </c>
      <c r="K244" s="69"/>
      <c r="L244" s="319">
        <v>0.5</v>
      </c>
    </row>
    <row r="245" spans="2:12" s="37" customFormat="1" ht="15.75">
      <c r="B245" s="48"/>
      <c r="C245" s="160" t="s">
        <v>624</v>
      </c>
      <c r="D245" s="156">
        <f>$J$12*F821EA!D33*0</f>
        <v>0</v>
      </c>
      <c r="E245" s="156">
        <f>$J$12*F821EA!E33*0</f>
        <v>0</v>
      </c>
      <c r="F245" s="156">
        <f>$J$12*F821EA!F33*0</f>
        <v>0</v>
      </c>
      <c r="G245" s="156">
        <f>$J$12*F821EA!G33*0</f>
        <v>0</v>
      </c>
      <c r="H245" s="156">
        <f>$J$12*F821EA!H33*0</f>
        <v>0</v>
      </c>
      <c r="I245" s="156">
        <f>$J$12*F821EA!I33*0</f>
        <v>0</v>
      </c>
      <c r="J245" s="156">
        <f t="shared" si="60"/>
        <v>0</v>
      </c>
      <c r="K245" s="69"/>
      <c r="L245" s="319">
        <v>0</v>
      </c>
    </row>
    <row r="246" spans="2:12" s="37" customFormat="1" ht="15.75">
      <c r="B246" s="48" t="s">
        <v>274</v>
      </c>
      <c r="C246" s="158" t="s">
        <v>631</v>
      </c>
      <c r="D246" s="159">
        <f t="shared" ref="D246:I246" si="61">SUM(D247:D250)</f>
        <v>0</v>
      </c>
      <c r="E246" s="159">
        <f t="shared" si="61"/>
        <v>0</v>
      </c>
      <c r="F246" s="159">
        <f t="shared" si="61"/>
        <v>0</v>
      </c>
      <c r="G246" s="159">
        <f t="shared" si="61"/>
        <v>0</v>
      </c>
      <c r="H246" s="159">
        <f t="shared" si="61"/>
        <v>0</v>
      </c>
      <c r="I246" s="159">
        <f t="shared" si="61"/>
        <v>0</v>
      </c>
      <c r="J246" s="159">
        <f t="shared" si="60"/>
        <v>0</v>
      </c>
      <c r="K246" s="69"/>
      <c r="L246" s="319"/>
    </row>
    <row r="247" spans="2:12" s="37" customFormat="1" ht="15.75">
      <c r="B247" s="48"/>
      <c r="C247" s="160" t="s">
        <v>304</v>
      </c>
      <c r="D247" s="156">
        <f>$J$12*F821EA!D35</f>
        <v>0</v>
      </c>
      <c r="E247" s="156">
        <f>$J$12*F821EA!E35</f>
        <v>0</v>
      </c>
      <c r="F247" s="156">
        <f>$J$12*F821EA!F35</f>
        <v>0</v>
      </c>
      <c r="G247" s="156">
        <f>$J$12*F821EA!G35</f>
        <v>0</v>
      </c>
      <c r="H247" s="156">
        <f>$J$12*F821EA!H35</f>
        <v>0</v>
      </c>
      <c r="I247" s="156">
        <f>$J$12*F821EA!I35</f>
        <v>0</v>
      </c>
      <c r="J247" s="156">
        <f t="shared" si="60"/>
        <v>0</v>
      </c>
      <c r="K247" s="69"/>
      <c r="L247" s="319">
        <v>1</v>
      </c>
    </row>
    <row r="248" spans="2:12" s="37" customFormat="1" ht="15.75">
      <c r="B248" s="48"/>
      <c r="C248" s="161" t="s">
        <v>306</v>
      </c>
      <c r="D248" s="156">
        <f>$J$12*F821EA!D36</f>
        <v>0</v>
      </c>
      <c r="E248" s="156">
        <f>$J$12*F821EA!E36</f>
        <v>0</v>
      </c>
      <c r="F248" s="156">
        <f>$J$12*F821EA!F36</f>
        <v>0</v>
      </c>
      <c r="G248" s="156">
        <f>$J$12*F821EA!G36</f>
        <v>0</v>
      </c>
      <c r="H248" s="156">
        <f>$J$12*F821EA!H36</f>
        <v>0</v>
      </c>
      <c r="I248" s="156">
        <f>$J$12*F821EA!I36</f>
        <v>0</v>
      </c>
      <c r="J248" s="156">
        <f t="shared" si="60"/>
        <v>0</v>
      </c>
      <c r="K248" s="69"/>
      <c r="L248" s="319">
        <v>1</v>
      </c>
    </row>
    <row r="249" spans="2:12" s="37" customFormat="1" ht="15.75">
      <c r="B249" s="48"/>
      <c r="C249" s="160" t="s">
        <v>305</v>
      </c>
      <c r="D249" s="156">
        <f>$J$12*F821EA!D37*0.95</f>
        <v>0</v>
      </c>
      <c r="E249" s="156">
        <f>$J$12*F821EA!E37*0.95</f>
        <v>0</v>
      </c>
      <c r="F249" s="156">
        <f>$J$12*F821EA!F37*0.95</f>
        <v>0</v>
      </c>
      <c r="G249" s="156">
        <f>$J$12*F821EA!G37*0.95</f>
        <v>0</v>
      </c>
      <c r="H249" s="156">
        <f>$J$12*F821EA!H37*0.95</f>
        <v>0</v>
      </c>
      <c r="I249" s="156">
        <f>$J$12*F821EA!I37*0.95</f>
        <v>0</v>
      </c>
      <c r="J249" s="156">
        <f t="shared" si="60"/>
        <v>0</v>
      </c>
      <c r="K249" s="69"/>
      <c r="L249" s="319">
        <v>0.95</v>
      </c>
    </row>
    <row r="250" spans="2:12" s="37" customFormat="1" ht="15.75">
      <c r="B250" s="48"/>
      <c r="C250" s="160" t="s">
        <v>307</v>
      </c>
      <c r="D250" s="156">
        <f>$J$12*F821EA!D38*0.5</f>
        <v>0</v>
      </c>
      <c r="E250" s="156">
        <f>$J$12*F821EA!E38*0.5</f>
        <v>0</v>
      </c>
      <c r="F250" s="156">
        <f>$J$12*F821EA!F38*0.5</f>
        <v>0</v>
      </c>
      <c r="G250" s="156">
        <f>$J$12*F821EA!G38*0.5</f>
        <v>0</v>
      </c>
      <c r="H250" s="156">
        <f>$J$12*F821EA!H38*0.5</f>
        <v>0</v>
      </c>
      <c r="I250" s="156">
        <f>$J$12*F821EA!I38*0.5</f>
        <v>0</v>
      </c>
      <c r="J250" s="156">
        <f t="shared" si="60"/>
        <v>0</v>
      </c>
      <c r="K250" s="69"/>
      <c r="L250" s="319">
        <v>0.5</v>
      </c>
    </row>
    <row r="251" spans="2:12" s="37" customFormat="1" ht="15.75">
      <c r="B251" s="48" t="s">
        <v>274</v>
      </c>
      <c r="C251" s="158" t="s">
        <v>632</v>
      </c>
      <c r="D251" s="159">
        <f t="shared" ref="D251:I251" si="62">SUM(D252:D255)</f>
        <v>0</v>
      </c>
      <c r="E251" s="159">
        <f t="shared" si="62"/>
        <v>0</v>
      </c>
      <c r="F251" s="159">
        <f t="shared" si="62"/>
        <v>0</v>
      </c>
      <c r="G251" s="159">
        <f t="shared" si="62"/>
        <v>0</v>
      </c>
      <c r="H251" s="159">
        <f t="shared" si="62"/>
        <v>0</v>
      </c>
      <c r="I251" s="159">
        <f t="shared" si="62"/>
        <v>0</v>
      </c>
      <c r="J251" s="159">
        <f t="shared" si="60"/>
        <v>0</v>
      </c>
      <c r="K251" s="69"/>
      <c r="L251" s="319"/>
    </row>
    <row r="252" spans="2:12" s="37" customFormat="1" ht="15.75">
      <c r="B252" s="48"/>
      <c r="C252" s="160" t="s">
        <v>304</v>
      </c>
      <c r="D252" s="156">
        <f>$J$12*F821EA!D40</f>
        <v>0</v>
      </c>
      <c r="E252" s="156">
        <f>$J$12*F821EA!E40</f>
        <v>0</v>
      </c>
      <c r="F252" s="156">
        <f>$J$12*F821EA!F40</f>
        <v>0</v>
      </c>
      <c r="G252" s="156">
        <f>$J$12*F821EA!G40</f>
        <v>0</v>
      </c>
      <c r="H252" s="156">
        <f>$J$12*F821EA!H40</f>
        <v>0</v>
      </c>
      <c r="I252" s="156">
        <f>$J$12*F821EA!I40</f>
        <v>0</v>
      </c>
      <c r="J252" s="156">
        <f t="shared" si="60"/>
        <v>0</v>
      </c>
      <c r="K252" s="69"/>
      <c r="L252" s="319">
        <v>1</v>
      </c>
    </row>
    <row r="253" spans="2:12" s="37" customFormat="1" ht="15.75">
      <c r="B253" s="48"/>
      <c r="C253" s="161" t="s">
        <v>306</v>
      </c>
      <c r="D253" s="156">
        <f>$J$12*F821EA!D41</f>
        <v>0</v>
      </c>
      <c r="E253" s="156">
        <f>$J$12*F821EA!E41</f>
        <v>0</v>
      </c>
      <c r="F253" s="156">
        <f>$J$12*F821EA!F41</f>
        <v>0</v>
      </c>
      <c r="G253" s="156">
        <f>$J$12*F821EA!G41</f>
        <v>0</v>
      </c>
      <c r="H253" s="156">
        <f>$J$12*F821EA!H41</f>
        <v>0</v>
      </c>
      <c r="I253" s="156">
        <f>$J$12*F821EA!I41</f>
        <v>0</v>
      </c>
      <c r="J253" s="156">
        <f t="shared" si="60"/>
        <v>0</v>
      </c>
      <c r="K253" s="69"/>
      <c r="L253" s="319">
        <v>1</v>
      </c>
    </row>
    <row r="254" spans="2:12" s="37" customFormat="1" ht="15.75">
      <c r="B254" s="48"/>
      <c r="C254" s="160" t="s">
        <v>305</v>
      </c>
      <c r="D254" s="156">
        <f>$J$12*F821EA!D42*0.95</f>
        <v>0</v>
      </c>
      <c r="E254" s="156">
        <f>$J$12*F821EA!E42*0.95</f>
        <v>0</v>
      </c>
      <c r="F254" s="156">
        <f>$J$12*F821EA!F42*0.95</f>
        <v>0</v>
      </c>
      <c r="G254" s="156">
        <f>$J$12*F821EA!G42*0.95</f>
        <v>0</v>
      </c>
      <c r="H254" s="156">
        <f>$J$12*F821EA!H42*0.95</f>
        <v>0</v>
      </c>
      <c r="I254" s="156">
        <f>$J$12*F821EA!I42*0.95</f>
        <v>0</v>
      </c>
      <c r="J254" s="156">
        <f t="shared" si="60"/>
        <v>0</v>
      </c>
      <c r="K254" s="69"/>
      <c r="L254" s="319">
        <v>0.95</v>
      </c>
    </row>
    <row r="255" spans="2:12" s="37" customFormat="1" ht="15.75">
      <c r="B255" s="48"/>
      <c r="C255" s="160" t="s">
        <v>307</v>
      </c>
      <c r="D255" s="156">
        <f>$J$12*F821EA!D43*0.5</f>
        <v>0</v>
      </c>
      <c r="E255" s="156">
        <f>$J$12*F821EA!E43*0.5</f>
        <v>0</v>
      </c>
      <c r="F255" s="156">
        <f>$J$12*F821EA!F43*0.5</f>
        <v>0</v>
      </c>
      <c r="G255" s="156">
        <f>$J$12*F821EA!G43*0.5</f>
        <v>0</v>
      </c>
      <c r="H255" s="156">
        <f>$J$12*F821EA!H43*0.5</f>
        <v>0</v>
      </c>
      <c r="I255" s="156">
        <f>$J$12*F821EA!I43*0.5</f>
        <v>0</v>
      </c>
      <c r="J255" s="156">
        <f t="shared" si="60"/>
        <v>0</v>
      </c>
      <c r="K255" s="69"/>
      <c r="L255" s="319">
        <v>0.5</v>
      </c>
    </row>
    <row r="256" spans="2:12" s="37" customFormat="1" ht="15.75">
      <c r="B256" s="48" t="s">
        <v>274</v>
      </c>
      <c r="C256" s="158" t="s">
        <v>633</v>
      </c>
      <c r="D256" s="159">
        <f t="shared" ref="D256:I256" si="63">SUM(D257:D260)</f>
        <v>0</v>
      </c>
      <c r="E256" s="159">
        <f t="shared" si="63"/>
        <v>0</v>
      </c>
      <c r="F256" s="159">
        <f t="shared" si="63"/>
        <v>0</v>
      </c>
      <c r="G256" s="159">
        <f t="shared" si="63"/>
        <v>0</v>
      </c>
      <c r="H256" s="159">
        <f t="shared" si="63"/>
        <v>0</v>
      </c>
      <c r="I256" s="159">
        <f t="shared" si="63"/>
        <v>0</v>
      </c>
      <c r="J256" s="159">
        <f t="shared" si="60"/>
        <v>0</v>
      </c>
      <c r="K256" s="69"/>
      <c r="L256" s="319"/>
    </row>
    <row r="257" spans="2:12" s="37" customFormat="1" ht="15.75">
      <c r="B257" s="48"/>
      <c r="C257" s="160" t="s">
        <v>304</v>
      </c>
      <c r="D257" s="156">
        <f>$J$12*F821EA!D45</f>
        <v>0</v>
      </c>
      <c r="E257" s="156">
        <f>$J$12*F821EA!E45</f>
        <v>0</v>
      </c>
      <c r="F257" s="156">
        <f>$J$12*F821EA!F45</f>
        <v>0</v>
      </c>
      <c r="G257" s="156">
        <f>$J$12*F821EA!G45</f>
        <v>0</v>
      </c>
      <c r="H257" s="156">
        <f>$J$12*F821EA!H45</f>
        <v>0</v>
      </c>
      <c r="I257" s="156">
        <f>$J$12*F821EA!I45</f>
        <v>0</v>
      </c>
      <c r="J257" s="156">
        <f t="shared" si="60"/>
        <v>0</v>
      </c>
      <c r="K257" s="69"/>
      <c r="L257" s="319">
        <v>1</v>
      </c>
    </row>
    <row r="258" spans="2:12" s="37" customFormat="1" ht="15.75">
      <c r="B258" s="48"/>
      <c r="C258" s="161" t="s">
        <v>306</v>
      </c>
      <c r="D258" s="156">
        <f>$J$12*F821EA!D46</f>
        <v>0</v>
      </c>
      <c r="E258" s="156">
        <f>$J$12*F821EA!E46</f>
        <v>0</v>
      </c>
      <c r="F258" s="156">
        <f>$J$12*F821EA!F46</f>
        <v>0</v>
      </c>
      <c r="G258" s="156">
        <f>$J$12*F821EA!G46</f>
        <v>0</v>
      </c>
      <c r="H258" s="156">
        <f>$J$12*F821EA!H46</f>
        <v>0</v>
      </c>
      <c r="I258" s="156">
        <f>$J$12*F821EA!I46</f>
        <v>0</v>
      </c>
      <c r="J258" s="156">
        <f t="shared" si="60"/>
        <v>0</v>
      </c>
      <c r="K258" s="69"/>
      <c r="L258" s="319">
        <v>1</v>
      </c>
    </row>
    <row r="259" spans="2:12" s="37" customFormat="1" ht="15.75">
      <c r="B259" s="48"/>
      <c r="C259" s="160" t="s">
        <v>305</v>
      </c>
      <c r="D259" s="156">
        <f>$J$12*F821EA!D47*0.95</f>
        <v>0</v>
      </c>
      <c r="E259" s="156">
        <f>$J$12*F821EA!E47*0.95</f>
        <v>0</v>
      </c>
      <c r="F259" s="156">
        <f>$J$12*F821EA!F47*0.95</f>
        <v>0</v>
      </c>
      <c r="G259" s="156">
        <f>$J$12*F821EA!G47*0.95</f>
        <v>0</v>
      </c>
      <c r="H259" s="156">
        <f>$J$12*F821EA!H47*0.95</f>
        <v>0</v>
      </c>
      <c r="I259" s="156">
        <f>$J$12*F821EA!I47*0.95</f>
        <v>0</v>
      </c>
      <c r="J259" s="156">
        <f t="shared" si="60"/>
        <v>0</v>
      </c>
      <c r="K259" s="69"/>
      <c r="L259" s="319">
        <v>0.95</v>
      </c>
    </row>
    <row r="260" spans="2:12" s="37" customFormat="1" ht="15.75">
      <c r="B260" s="48"/>
      <c r="C260" s="160" t="s">
        <v>307</v>
      </c>
      <c r="D260" s="156">
        <f>$J$12*F821EA!D48*0.5</f>
        <v>0</v>
      </c>
      <c r="E260" s="156">
        <f>$J$12*F821EA!E48*0.5</f>
        <v>0</v>
      </c>
      <c r="F260" s="156">
        <f>$J$12*F821EA!F48*0.5</f>
        <v>0</v>
      </c>
      <c r="G260" s="156">
        <f>$J$12*F821EA!G48*0.5</f>
        <v>0</v>
      </c>
      <c r="H260" s="156">
        <f>$J$12*F821EA!H48*0.5</f>
        <v>0</v>
      </c>
      <c r="I260" s="156">
        <f>$J$12*F821EA!I48*0.5</f>
        <v>0</v>
      </c>
      <c r="J260" s="156">
        <f t="shared" si="60"/>
        <v>0</v>
      </c>
      <c r="K260" s="69"/>
      <c r="L260" s="319">
        <v>0.5</v>
      </c>
    </row>
    <row r="261" spans="2:12" s="37" customFormat="1" ht="15.75">
      <c r="B261" s="48"/>
      <c r="C261" s="157"/>
      <c r="D261" s="156"/>
      <c r="E261" s="156"/>
      <c r="F261" s="156"/>
      <c r="G261" s="156"/>
      <c r="H261" s="156"/>
      <c r="I261" s="156"/>
      <c r="J261" s="156"/>
      <c r="K261" s="69"/>
      <c r="L261" s="319"/>
    </row>
    <row r="262" spans="2:12" s="37" customFormat="1" ht="15.75">
      <c r="B262" s="48" t="s">
        <v>1176</v>
      </c>
      <c r="C262" s="158" t="str">
        <f>F821EA!$C$50</f>
        <v>BTSH</v>
      </c>
      <c r="D262" s="159">
        <f t="shared" ref="D262:I262" si="64">SUM(D263:D268)</f>
        <v>0</v>
      </c>
      <c r="E262" s="159">
        <f t="shared" si="64"/>
        <v>0</v>
      </c>
      <c r="F262" s="159">
        <f t="shared" si="64"/>
        <v>0</v>
      </c>
      <c r="G262" s="159">
        <f t="shared" si="64"/>
        <v>0</v>
      </c>
      <c r="H262" s="159">
        <f t="shared" si="64"/>
        <v>0</v>
      </c>
      <c r="I262" s="159">
        <f t="shared" si="64"/>
        <v>0</v>
      </c>
      <c r="J262" s="159">
        <f t="shared" ref="J262:J288" si="65">SUM(D262:I262)</f>
        <v>0</v>
      </c>
      <c r="K262" s="69"/>
      <c r="L262" s="319"/>
    </row>
    <row r="263" spans="2:12" s="37" customFormat="1" ht="15.75">
      <c r="B263" s="48"/>
      <c r="C263" s="160" t="str">
        <f>F821EA!$C$51</f>
        <v xml:space="preserve">    - Regulares</v>
      </c>
      <c r="D263" s="156">
        <f>$J$16*F821EA!D51*1</f>
        <v>0</v>
      </c>
      <c r="E263" s="156">
        <f>$J$16*F821EA!E51*1</f>
        <v>0</v>
      </c>
      <c r="F263" s="156">
        <f>$J$16*F821EA!F51*1</f>
        <v>0</v>
      </c>
      <c r="G263" s="156">
        <f>$J$16*F821EA!G51*1</f>
        <v>0</v>
      </c>
      <c r="H263" s="156">
        <f>$J$16*F821EA!H51*1</f>
        <v>0</v>
      </c>
      <c r="I263" s="156">
        <f>$J$16*F821EA!I51*1</f>
        <v>0</v>
      </c>
      <c r="J263" s="156">
        <f t="shared" si="65"/>
        <v>0</v>
      </c>
      <c r="K263" s="69"/>
      <c r="L263" s="319">
        <v>1</v>
      </c>
    </row>
    <row r="264" spans="2:12" s="37" customFormat="1" ht="15.75">
      <c r="B264" s="48"/>
      <c r="C264" s="162" t="str">
        <f>F821EA!$C$52</f>
        <v xml:space="preserve">    - Jubilados (0 a 600 KWh)</v>
      </c>
      <c r="D264" s="156">
        <f>$J$16*F821EA!D52*0.75</f>
        <v>0</v>
      </c>
      <c r="E264" s="156">
        <f>$J$16*F821EA!E52*0.75</f>
        <v>0</v>
      </c>
      <c r="F264" s="156">
        <f>$J$16*F821EA!F52*0.75</f>
        <v>0</v>
      </c>
      <c r="G264" s="156">
        <f>$J$16*F821EA!G52*0.75</f>
        <v>0</v>
      </c>
      <c r="H264" s="156">
        <f>$J$16*F821EA!H52*0.75</f>
        <v>0</v>
      </c>
      <c r="I264" s="156">
        <f>$J$16*F821EA!I52*0.75</f>
        <v>0</v>
      </c>
      <c r="J264" s="156">
        <f t="shared" si="65"/>
        <v>0</v>
      </c>
      <c r="K264" s="69"/>
      <c r="L264" s="319">
        <v>0.75</v>
      </c>
    </row>
    <row r="265" spans="2:12" s="37" customFormat="1" ht="15.75">
      <c r="B265" s="48"/>
      <c r="C265" s="162" t="str">
        <f>F821EA!$C$53</f>
        <v xml:space="preserve">    - Jubilados (601 y Más KWh)</v>
      </c>
      <c r="D265" s="156">
        <f>$J$16*F821EA!D53*1</f>
        <v>0</v>
      </c>
      <c r="E265" s="156">
        <f>$J$16*F821EA!E53*1</f>
        <v>0</v>
      </c>
      <c r="F265" s="156">
        <f>$J$16*F821EA!F53*1</f>
        <v>0</v>
      </c>
      <c r="G265" s="156">
        <f>$J$16*F821EA!G53*1</f>
        <v>0</v>
      </c>
      <c r="H265" s="156">
        <f>$J$16*F821EA!H53*1</f>
        <v>0</v>
      </c>
      <c r="I265" s="156">
        <f>$J$16*F821EA!I53*1</f>
        <v>0</v>
      </c>
      <c r="J265" s="156">
        <f t="shared" si="65"/>
        <v>0</v>
      </c>
      <c r="K265" s="69"/>
      <c r="L265" s="319">
        <v>1</v>
      </c>
    </row>
    <row r="266" spans="2:12" s="37" customFormat="1" ht="15.75">
      <c r="B266" s="48"/>
      <c r="C266" s="160" t="str">
        <f>F821EA!$C$54</f>
        <v xml:space="preserve">    - Agropecuarios</v>
      </c>
      <c r="D266" s="156">
        <f>$J$16*F821EA!D54*0.95</f>
        <v>0</v>
      </c>
      <c r="E266" s="156">
        <f>$J$16*F821EA!E54*0.95</f>
        <v>0</v>
      </c>
      <c r="F266" s="156">
        <f>$J$16*F821EA!F54*0.95</f>
        <v>0</v>
      </c>
      <c r="G266" s="156">
        <f>$J$16*F821EA!G54*0.95</f>
        <v>0</v>
      </c>
      <c r="H266" s="156">
        <f>$J$16*F821EA!H54*0.95</f>
        <v>0</v>
      </c>
      <c r="I266" s="156">
        <f>$J$16*F821EA!I54*0.95</f>
        <v>0</v>
      </c>
      <c r="J266" s="156">
        <f t="shared" si="65"/>
        <v>0</v>
      </c>
      <c r="K266" s="69"/>
      <c r="L266" s="319">
        <v>0.95</v>
      </c>
    </row>
    <row r="267" spans="2:12" s="37" customFormat="1" ht="15.75">
      <c r="B267" s="48"/>
      <c r="C267" s="160" t="str">
        <f>F821EA!$C$55</f>
        <v xml:space="preserve">    - Partidos Políticos</v>
      </c>
      <c r="D267" s="156">
        <f>$J$16*F821EA!D55*0.5</f>
        <v>0</v>
      </c>
      <c r="E267" s="156">
        <f>$J$16*F821EA!E55*0.5</f>
        <v>0</v>
      </c>
      <c r="F267" s="156">
        <f>$J$16*F821EA!F55*0.5</f>
        <v>0</v>
      </c>
      <c r="G267" s="156">
        <f>$J$16*F821EA!G55*0.5</f>
        <v>0</v>
      </c>
      <c r="H267" s="156">
        <f>$J$16*F821EA!H55*0.5</f>
        <v>0</v>
      </c>
      <c r="I267" s="156">
        <f>$J$16*F821EA!I55*0.5</f>
        <v>0</v>
      </c>
      <c r="J267" s="156">
        <f t="shared" si="65"/>
        <v>0</v>
      </c>
      <c r="K267" s="69"/>
      <c r="L267" s="319">
        <v>0.5</v>
      </c>
    </row>
    <row r="268" spans="2:12" s="37" customFormat="1" ht="15.75">
      <c r="B268" s="48"/>
      <c r="C268" s="160" t="str">
        <f>F821EA!$C$56</f>
        <v xml:space="preserve">    - Cruz Roja</v>
      </c>
      <c r="D268" s="156">
        <f>$J$16*F821EA!D56*0</f>
        <v>0</v>
      </c>
      <c r="E268" s="156">
        <f>$J$16*F821EA!E56*0</f>
        <v>0</v>
      </c>
      <c r="F268" s="156">
        <f>$J$16*F821EA!F56*0</f>
        <v>0</v>
      </c>
      <c r="G268" s="156">
        <f>$J$16*F821EA!G56*0</f>
        <v>0</v>
      </c>
      <c r="H268" s="156">
        <f>$J$16*F821EA!H56*0</f>
        <v>0</v>
      </c>
      <c r="I268" s="156">
        <f>$J$16*F821EA!I56*0</f>
        <v>0</v>
      </c>
      <c r="J268" s="156">
        <f t="shared" si="65"/>
        <v>0</v>
      </c>
      <c r="K268" s="69"/>
      <c r="L268" s="319">
        <v>0</v>
      </c>
    </row>
    <row r="269" spans="2:12" s="37" customFormat="1" ht="15.75">
      <c r="B269" s="48" t="s">
        <v>751</v>
      </c>
      <c r="C269" s="158" t="s">
        <v>634</v>
      </c>
      <c r="D269" s="159">
        <f t="shared" ref="D269:I269" si="66">SUM(D270:D274)</f>
        <v>0</v>
      </c>
      <c r="E269" s="159">
        <f t="shared" si="66"/>
        <v>0</v>
      </c>
      <c r="F269" s="159">
        <f t="shared" si="66"/>
        <v>0</v>
      </c>
      <c r="G269" s="159">
        <f t="shared" si="66"/>
        <v>0</v>
      </c>
      <c r="H269" s="159">
        <f t="shared" si="66"/>
        <v>0</v>
      </c>
      <c r="I269" s="159">
        <f t="shared" si="66"/>
        <v>0</v>
      </c>
      <c r="J269" s="159">
        <f t="shared" si="65"/>
        <v>0</v>
      </c>
      <c r="K269" s="69"/>
      <c r="L269" s="319"/>
    </row>
    <row r="270" spans="2:12" s="37" customFormat="1" ht="15.75">
      <c r="B270" s="48"/>
      <c r="C270" s="160" t="s">
        <v>304</v>
      </c>
      <c r="D270" s="156">
        <f>$J$18*F821EA!D66*$L270</f>
        <v>0</v>
      </c>
      <c r="E270" s="156">
        <f>$J$18*F821EA!E66*$L270</f>
        <v>0</v>
      </c>
      <c r="F270" s="156">
        <f>$J$18*F821EA!F66*$L270</f>
        <v>0</v>
      </c>
      <c r="G270" s="156">
        <f>$J$18*F821EA!G66*$L270</f>
        <v>0</v>
      </c>
      <c r="H270" s="156">
        <f>$J$18*F821EA!H66*$L270</f>
        <v>0</v>
      </c>
      <c r="I270" s="156">
        <f>$J$18*F821EA!I66*$L270</f>
        <v>0</v>
      </c>
      <c r="J270" s="156">
        <f t="shared" si="65"/>
        <v>0</v>
      </c>
      <c r="K270" s="69"/>
      <c r="L270" s="319">
        <v>1</v>
      </c>
    </row>
    <row r="271" spans="2:12" s="37" customFormat="1" ht="15.75">
      <c r="B271" s="48"/>
      <c r="C271" s="162" t="s">
        <v>644</v>
      </c>
      <c r="D271" s="156">
        <f>$J$18*F821EA!D67*$L271</f>
        <v>0</v>
      </c>
      <c r="E271" s="156">
        <f>$J$18*F821EA!E67*$L271</f>
        <v>0</v>
      </c>
      <c r="F271" s="156">
        <f>$J$18*F821EA!F67*$L271</f>
        <v>0</v>
      </c>
      <c r="G271" s="156">
        <f>$J$18*F821EA!G67*$L271</f>
        <v>0</v>
      </c>
      <c r="H271" s="156">
        <f>$J$18*F821EA!H67*$L271</f>
        <v>0</v>
      </c>
      <c r="I271" s="156">
        <f>$J$18*F821EA!I67*$L271</f>
        <v>0</v>
      </c>
      <c r="J271" s="156">
        <f t="shared" si="65"/>
        <v>0</v>
      </c>
      <c r="K271" s="69"/>
      <c r="L271" s="319">
        <v>0.75</v>
      </c>
    </row>
    <row r="272" spans="2:12" s="37" customFormat="1" ht="15.75">
      <c r="B272" s="48"/>
      <c r="C272" s="160" t="s">
        <v>305</v>
      </c>
      <c r="D272" s="156">
        <f>$J$18*F821EA!D68*$L272</f>
        <v>0</v>
      </c>
      <c r="E272" s="156">
        <f>$J$18*F821EA!E68*$L272</f>
        <v>0</v>
      </c>
      <c r="F272" s="156">
        <f>$J$18*F821EA!F68*$L272</f>
        <v>0</v>
      </c>
      <c r="G272" s="156">
        <f>$J$18*F821EA!G68*$L272</f>
        <v>0</v>
      </c>
      <c r="H272" s="156">
        <f>$J$18*F821EA!H68*$L272</f>
        <v>0</v>
      </c>
      <c r="I272" s="156">
        <f>$J$18*F821EA!I68*$L272</f>
        <v>0</v>
      </c>
      <c r="J272" s="156">
        <f t="shared" si="65"/>
        <v>0</v>
      </c>
      <c r="K272" s="69"/>
      <c r="L272" s="319">
        <v>0.95</v>
      </c>
    </row>
    <row r="273" spans="2:12" s="37" customFormat="1" ht="15.75">
      <c r="B273" s="48"/>
      <c r="C273" s="160" t="s">
        <v>307</v>
      </c>
      <c r="D273" s="156">
        <f>$J$18*F821EA!D69*$L273</f>
        <v>0</v>
      </c>
      <c r="E273" s="156">
        <f>$J$18*F821EA!E69*$L273</f>
        <v>0</v>
      </c>
      <c r="F273" s="156">
        <f>$J$18*F821EA!F69*$L273</f>
        <v>0</v>
      </c>
      <c r="G273" s="156">
        <f>$J$18*F821EA!G69*$L273</f>
        <v>0</v>
      </c>
      <c r="H273" s="156">
        <f>$J$18*F821EA!H69*$L273</f>
        <v>0</v>
      </c>
      <c r="I273" s="156">
        <f>$J$18*F821EA!I69*$L273</f>
        <v>0</v>
      </c>
      <c r="J273" s="156">
        <f t="shared" si="65"/>
        <v>0</v>
      </c>
      <c r="K273" s="69"/>
      <c r="L273" s="319">
        <v>0.5</v>
      </c>
    </row>
    <row r="274" spans="2:12" s="37" customFormat="1" ht="15.75">
      <c r="B274" s="48"/>
      <c r="C274" s="160" t="s">
        <v>624</v>
      </c>
      <c r="D274" s="156">
        <f>$J$18*F821EA!D70*$L274</f>
        <v>0</v>
      </c>
      <c r="E274" s="156">
        <f>$J$18*F821EA!E70*$L274</f>
        <v>0</v>
      </c>
      <c r="F274" s="156">
        <f>$J$18*F821EA!F70*$L274</f>
        <v>0</v>
      </c>
      <c r="G274" s="156">
        <f>$J$18*F821EA!G70*$L274</f>
        <v>0</v>
      </c>
      <c r="H274" s="156">
        <f>$J$18*F821EA!H70*$L274</f>
        <v>0</v>
      </c>
      <c r="I274" s="156">
        <f>$J$18*F821EA!I70*$L274</f>
        <v>0</v>
      </c>
      <c r="J274" s="156">
        <f t="shared" si="65"/>
        <v>0</v>
      </c>
      <c r="K274" s="69"/>
      <c r="L274" s="319">
        <v>0</v>
      </c>
    </row>
    <row r="275" spans="2:12" s="37" customFormat="1" ht="15.75">
      <c r="B275" s="48" t="s">
        <v>750</v>
      </c>
      <c r="C275" s="158" t="s">
        <v>635</v>
      </c>
      <c r="D275" s="159">
        <f t="shared" ref="D275:I275" si="67">SUM(D276:D281)</f>
        <v>0</v>
      </c>
      <c r="E275" s="159">
        <f t="shared" si="67"/>
        <v>0</v>
      </c>
      <c r="F275" s="159">
        <f t="shared" si="67"/>
        <v>0</v>
      </c>
      <c r="G275" s="159">
        <f t="shared" si="67"/>
        <v>0</v>
      </c>
      <c r="H275" s="159">
        <f t="shared" si="67"/>
        <v>0</v>
      </c>
      <c r="I275" s="159">
        <f t="shared" si="67"/>
        <v>0</v>
      </c>
      <c r="J275" s="159">
        <f t="shared" si="65"/>
        <v>0</v>
      </c>
      <c r="K275" s="69"/>
      <c r="L275" s="319"/>
    </row>
    <row r="276" spans="2:12" s="37" customFormat="1" ht="15.75">
      <c r="B276" s="48"/>
      <c r="C276" s="160" t="s">
        <v>304</v>
      </c>
      <c r="D276" s="156">
        <f>$J$18*F821EA!D72*$L276</f>
        <v>0</v>
      </c>
      <c r="E276" s="156">
        <f>$J$18*F821EA!E72*$L276</f>
        <v>0</v>
      </c>
      <c r="F276" s="156">
        <f>$J$18*F821EA!F72*$L276</f>
        <v>0</v>
      </c>
      <c r="G276" s="156">
        <f>$J$18*F821EA!G72*$L276</f>
        <v>0</v>
      </c>
      <c r="H276" s="156">
        <f>$J$18*F821EA!H72*$L276</f>
        <v>0</v>
      </c>
      <c r="I276" s="156">
        <f>$J$18*F821EA!I72*$L276</f>
        <v>0</v>
      </c>
      <c r="J276" s="156">
        <f t="shared" si="65"/>
        <v>0</v>
      </c>
      <c r="K276" s="69"/>
      <c r="L276" s="319">
        <v>1</v>
      </c>
    </row>
    <row r="277" spans="2:12" s="37" customFormat="1" ht="15.75">
      <c r="B277" s="48"/>
      <c r="C277" s="162" t="s">
        <v>642</v>
      </c>
      <c r="D277" s="156">
        <f>$J$18*F821EA!D73*$L277</f>
        <v>0</v>
      </c>
      <c r="E277" s="156">
        <f>$J$18*F821EA!E73*$L277</f>
        <v>0</v>
      </c>
      <c r="F277" s="156">
        <f>$J$18*F821EA!F73*$L277</f>
        <v>0</v>
      </c>
      <c r="G277" s="156">
        <f>$J$18*F821EA!G73*$L277</f>
        <v>0</v>
      </c>
      <c r="H277" s="156">
        <f>$J$18*F821EA!H73*$L277</f>
        <v>0</v>
      </c>
      <c r="I277" s="156">
        <f>$J$18*F821EA!I73*$L277</f>
        <v>0</v>
      </c>
      <c r="J277" s="156">
        <f t="shared" si="65"/>
        <v>0</v>
      </c>
      <c r="K277" s="69"/>
      <c r="L277" s="319">
        <v>0.75</v>
      </c>
    </row>
    <row r="278" spans="2:12" s="37" customFormat="1" ht="15.75">
      <c r="B278" s="48"/>
      <c r="C278" s="162" t="s">
        <v>1177</v>
      </c>
      <c r="D278" s="156">
        <f>$J$18*F821EA!D74*$L278</f>
        <v>0</v>
      </c>
      <c r="E278" s="156">
        <f>$J$18*F821EA!E74*$L278</f>
        <v>0</v>
      </c>
      <c r="F278" s="156">
        <f>$J$18*F821EA!F74*$L278</f>
        <v>0</v>
      </c>
      <c r="G278" s="156">
        <f>$J$18*F821EA!G74*$L278</f>
        <v>0</v>
      </c>
      <c r="H278" s="156">
        <f>$J$18*F821EA!H74*$L278</f>
        <v>0</v>
      </c>
      <c r="I278" s="156">
        <f>$J$18*F821EA!I74*$L278</f>
        <v>0</v>
      </c>
      <c r="J278" s="156">
        <f t="shared" si="65"/>
        <v>0</v>
      </c>
      <c r="K278" s="69"/>
      <c r="L278" s="319">
        <v>1</v>
      </c>
    </row>
    <row r="279" spans="2:12" s="37" customFormat="1" ht="15.75">
      <c r="B279" s="48"/>
      <c r="C279" s="160" t="s">
        <v>305</v>
      </c>
      <c r="D279" s="156">
        <f>$J$18*F821EA!D75*$L279</f>
        <v>0</v>
      </c>
      <c r="E279" s="156">
        <f>$J$18*F821EA!E75*$L279</f>
        <v>0</v>
      </c>
      <c r="F279" s="156">
        <f>$J$18*F821EA!F75*$L279</f>
        <v>0</v>
      </c>
      <c r="G279" s="156">
        <f>$J$18*F821EA!G75*$L279</f>
        <v>0</v>
      </c>
      <c r="H279" s="156">
        <f>$J$18*F821EA!H75*$L279</f>
        <v>0</v>
      </c>
      <c r="I279" s="156">
        <f>$J$18*F821EA!I75*$L279</f>
        <v>0</v>
      </c>
      <c r="J279" s="156">
        <f t="shared" si="65"/>
        <v>0</v>
      </c>
      <c r="K279" s="69"/>
      <c r="L279" s="319">
        <v>0.95</v>
      </c>
    </row>
    <row r="280" spans="2:12" s="37" customFormat="1" ht="15.75">
      <c r="B280" s="48"/>
      <c r="C280" s="160" t="s">
        <v>307</v>
      </c>
      <c r="D280" s="156">
        <f>$J$18*F821EA!D76*$L280</f>
        <v>0</v>
      </c>
      <c r="E280" s="156">
        <f>$J$18*F821EA!E76*$L280</f>
        <v>0</v>
      </c>
      <c r="F280" s="156">
        <f>$J$18*F821EA!F76*$L280</f>
        <v>0</v>
      </c>
      <c r="G280" s="156">
        <f>$J$18*F821EA!G76*$L280</f>
        <v>0</v>
      </c>
      <c r="H280" s="156">
        <f>$J$18*F821EA!H76*$L280</f>
        <v>0</v>
      </c>
      <c r="I280" s="156">
        <f>$J$18*F821EA!I76*$L280</f>
        <v>0</v>
      </c>
      <c r="J280" s="156">
        <f t="shared" si="65"/>
        <v>0</v>
      </c>
      <c r="K280" s="69"/>
      <c r="L280" s="319">
        <v>0.5</v>
      </c>
    </row>
    <row r="281" spans="2:12" s="37" customFormat="1" ht="15.75">
      <c r="B281" s="48"/>
      <c r="C281" s="160" t="s">
        <v>624</v>
      </c>
      <c r="D281" s="156">
        <f>$J$18*F821EA!D77*$L281</f>
        <v>0</v>
      </c>
      <c r="E281" s="156">
        <f>$J$18*F821EA!E77*$L281</f>
        <v>0</v>
      </c>
      <c r="F281" s="156">
        <f>$J$18*F821EA!F77*$L281</f>
        <v>0</v>
      </c>
      <c r="G281" s="156">
        <f>$J$18*F821EA!G77*$L281</f>
        <v>0</v>
      </c>
      <c r="H281" s="156">
        <f>$J$18*F821EA!H77*$L281</f>
        <v>0</v>
      </c>
      <c r="I281" s="156">
        <f>$J$18*F821EA!I77*$L281</f>
        <v>0</v>
      </c>
      <c r="J281" s="156">
        <f t="shared" si="65"/>
        <v>0</v>
      </c>
      <c r="K281" s="69"/>
      <c r="L281" s="319">
        <v>0</v>
      </c>
    </row>
    <row r="282" spans="2:12" s="37" customFormat="1" ht="15.75">
      <c r="B282" s="48" t="s">
        <v>749</v>
      </c>
      <c r="C282" s="158" t="s">
        <v>636</v>
      </c>
      <c r="D282" s="159">
        <f t="shared" ref="D282:I282" si="68">SUM(D283:D288)</f>
        <v>0</v>
      </c>
      <c r="E282" s="159">
        <f t="shared" si="68"/>
        <v>0</v>
      </c>
      <c r="F282" s="159">
        <f t="shared" si="68"/>
        <v>0</v>
      </c>
      <c r="G282" s="159">
        <f t="shared" si="68"/>
        <v>0</v>
      </c>
      <c r="H282" s="159">
        <f t="shared" si="68"/>
        <v>0</v>
      </c>
      <c r="I282" s="159">
        <f t="shared" si="68"/>
        <v>0</v>
      </c>
      <c r="J282" s="159">
        <f t="shared" si="65"/>
        <v>0</v>
      </c>
      <c r="K282" s="69"/>
      <c r="L282" s="319"/>
    </row>
    <row r="283" spans="2:12" s="37" customFormat="1" ht="15.75">
      <c r="B283" s="48"/>
      <c r="C283" s="160" t="s">
        <v>304</v>
      </c>
      <c r="D283" s="156">
        <f>$J$18*F821EA!D79*$L283</f>
        <v>0</v>
      </c>
      <c r="E283" s="156">
        <f>$J$18*F821EA!E79*$L283</f>
        <v>0</v>
      </c>
      <c r="F283" s="156">
        <f>$J$18*F821EA!F79*$L283</f>
        <v>0</v>
      </c>
      <c r="G283" s="156">
        <f>$J$18*F821EA!G79*$L283</f>
        <v>0</v>
      </c>
      <c r="H283" s="156">
        <f>$J$18*F821EA!H79*$L283</f>
        <v>0</v>
      </c>
      <c r="I283" s="156">
        <f>$J$18*F821EA!I79*$L283</f>
        <v>0</v>
      </c>
      <c r="J283" s="156">
        <f t="shared" si="65"/>
        <v>0</v>
      </c>
      <c r="K283" s="69"/>
      <c r="L283" s="319">
        <v>1</v>
      </c>
    </row>
    <row r="284" spans="2:12" s="37" customFormat="1" ht="15.75">
      <c r="B284" s="48"/>
      <c r="C284" s="162" t="s">
        <v>642</v>
      </c>
      <c r="D284" s="156">
        <f>$J$18*F821EA!D80*$L284</f>
        <v>0</v>
      </c>
      <c r="E284" s="156">
        <f>$J$18*F821EA!E80*$L284</f>
        <v>0</v>
      </c>
      <c r="F284" s="156">
        <f>$J$18*F821EA!F80*$L284</f>
        <v>0</v>
      </c>
      <c r="G284" s="156">
        <f>$J$18*F821EA!G80*$L284</f>
        <v>0</v>
      </c>
      <c r="H284" s="156">
        <f>$J$18*F821EA!H80*$L284</f>
        <v>0</v>
      </c>
      <c r="I284" s="156">
        <f>$J$18*F821EA!I80*$L284</f>
        <v>0</v>
      </c>
      <c r="J284" s="156">
        <f t="shared" si="65"/>
        <v>0</v>
      </c>
      <c r="K284" s="69"/>
      <c r="L284" s="319">
        <v>0.75</v>
      </c>
    </row>
    <row r="285" spans="2:12" s="37" customFormat="1" ht="15.75">
      <c r="B285" s="48"/>
      <c r="C285" s="162" t="s">
        <v>1177</v>
      </c>
      <c r="D285" s="156">
        <f>$J$18*F821EA!D81*$L285</f>
        <v>0</v>
      </c>
      <c r="E285" s="156">
        <f>$J$18*F821EA!E81*$L285</f>
        <v>0</v>
      </c>
      <c r="F285" s="156">
        <f>$J$18*F821EA!F81*$L285</f>
        <v>0</v>
      </c>
      <c r="G285" s="156">
        <f>$J$18*F821EA!G81*$L285</f>
        <v>0</v>
      </c>
      <c r="H285" s="156">
        <f>$J$18*F821EA!H81*$L285</f>
        <v>0</v>
      </c>
      <c r="I285" s="156">
        <f>$J$18*F821EA!I81*$L285</f>
        <v>0</v>
      </c>
      <c r="J285" s="156">
        <f t="shared" si="65"/>
        <v>0</v>
      </c>
      <c r="K285" s="69"/>
      <c r="L285" s="319">
        <v>1</v>
      </c>
    </row>
    <row r="286" spans="2:12" s="37" customFormat="1" ht="15.75">
      <c r="B286" s="48"/>
      <c r="C286" s="160" t="s">
        <v>305</v>
      </c>
      <c r="D286" s="156">
        <f>$J$18*F821EA!D82*$L286</f>
        <v>0</v>
      </c>
      <c r="E286" s="156">
        <f>$J$18*F821EA!E82*$L286</f>
        <v>0</v>
      </c>
      <c r="F286" s="156">
        <f>$J$18*F821EA!F82*$L286</f>
        <v>0</v>
      </c>
      <c r="G286" s="156">
        <f>$J$18*F821EA!G82*$L286</f>
        <v>0</v>
      </c>
      <c r="H286" s="156">
        <f>$J$18*F821EA!H82*$L286</f>
        <v>0</v>
      </c>
      <c r="I286" s="156">
        <f>$J$18*F821EA!I82*$L286</f>
        <v>0</v>
      </c>
      <c r="J286" s="156">
        <f t="shared" si="65"/>
        <v>0</v>
      </c>
      <c r="K286" s="69"/>
      <c r="L286" s="319">
        <v>0.95</v>
      </c>
    </row>
    <row r="287" spans="2:12" s="37" customFormat="1" ht="15.75">
      <c r="B287" s="48"/>
      <c r="C287" s="160" t="s">
        <v>307</v>
      </c>
      <c r="D287" s="156">
        <f>$J$18*F821EA!D83*$L287</f>
        <v>0</v>
      </c>
      <c r="E287" s="156">
        <f>$J$18*F821EA!E83*$L287</f>
        <v>0</v>
      </c>
      <c r="F287" s="156">
        <f>$J$18*F821EA!F83*$L287</f>
        <v>0</v>
      </c>
      <c r="G287" s="156">
        <f>$J$18*F821EA!G83*$L287</f>
        <v>0</v>
      </c>
      <c r="H287" s="156">
        <f>$J$18*F821EA!H83*$L287</f>
        <v>0</v>
      </c>
      <c r="I287" s="156">
        <f>$J$18*F821EA!I83*$L287</f>
        <v>0</v>
      </c>
      <c r="J287" s="156">
        <f t="shared" si="65"/>
        <v>0</v>
      </c>
      <c r="K287" s="69"/>
      <c r="L287" s="319">
        <v>0.5</v>
      </c>
    </row>
    <row r="288" spans="2:12" s="37" customFormat="1" ht="15.75">
      <c r="B288" s="48"/>
      <c r="C288" s="160" t="s">
        <v>624</v>
      </c>
      <c r="D288" s="156">
        <f>$J$18*F821EA!D84*$L288</f>
        <v>0</v>
      </c>
      <c r="E288" s="156">
        <f>$J$18*F821EA!E84*$L288</f>
        <v>0</v>
      </c>
      <c r="F288" s="156">
        <f>$J$18*F821EA!F84*$L288</f>
        <v>0</v>
      </c>
      <c r="G288" s="156">
        <f>$J$18*F821EA!G84*$L288</f>
        <v>0</v>
      </c>
      <c r="H288" s="156">
        <f>$J$18*F821EA!H84*$L288</f>
        <v>0</v>
      </c>
      <c r="I288" s="156">
        <f>$J$18*F821EA!I84*$L288</f>
        <v>0</v>
      </c>
      <c r="J288" s="156">
        <f t="shared" si="65"/>
        <v>0</v>
      </c>
      <c r="K288" s="69"/>
      <c r="L288" s="319">
        <v>0</v>
      </c>
    </row>
    <row r="289" spans="2:12" s="37" customFormat="1" ht="15.75">
      <c r="B289" s="48"/>
      <c r="C289" s="157"/>
      <c r="D289" s="156"/>
      <c r="E289" s="156"/>
      <c r="F289" s="156"/>
      <c r="G289" s="156"/>
      <c r="H289" s="156"/>
      <c r="I289" s="156"/>
      <c r="J289" s="156"/>
      <c r="K289" s="69"/>
      <c r="L289" s="319"/>
    </row>
    <row r="290" spans="2:12" s="37" customFormat="1" ht="15.75">
      <c r="B290" s="48" t="s">
        <v>902</v>
      </c>
      <c r="C290" s="158" t="s">
        <v>898</v>
      </c>
      <c r="D290" s="159">
        <f t="shared" ref="D290:I290" si="69">SUM(D291:D295)</f>
        <v>0</v>
      </c>
      <c r="E290" s="159">
        <f t="shared" si="69"/>
        <v>0</v>
      </c>
      <c r="F290" s="159">
        <f t="shared" si="69"/>
        <v>0</v>
      </c>
      <c r="G290" s="159">
        <f t="shared" si="69"/>
        <v>0</v>
      </c>
      <c r="H290" s="159">
        <f t="shared" si="69"/>
        <v>0</v>
      </c>
      <c r="I290" s="159">
        <f t="shared" si="69"/>
        <v>0</v>
      </c>
      <c r="J290" s="159">
        <f t="shared" ref="J290:J309" si="70">SUM(D290:I290)</f>
        <v>0</v>
      </c>
      <c r="K290" s="69"/>
      <c r="L290" s="319"/>
    </row>
    <row r="291" spans="2:12" s="37" customFormat="1" ht="15.75">
      <c r="B291" s="48"/>
      <c r="C291" s="160" t="s">
        <v>304</v>
      </c>
      <c r="D291" s="156">
        <f>$J$17*F821EA!D87*$L291</f>
        <v>0</v>
      </c>
      <c r="E291" s="156">
        <f>$J$17*F821EA!E87*$L291</f>
        <v>0</v>
      </c>
      <c r="F291" s="156">
        <f>$J$17*F821EA!F87*$L291</f>
        <v>0</v>
      </c>
      <c r="G291" s="156">
        <f>$J$17*F821EA!G87*$L291</f>
        <v>0</v>
      </c>
      <c r="H291" s="156">
        <f>$J$17*F821EA!H87*$L291</f>
        <v>0</v>
      </c>
      <c r="I291" s="156">
        <f>$J$17*F821EA!I87*$L291</f>
        <v>0</v>
      </c>
      <c r="J291" s="156">
        <f t="shared" si="70"/>
        <v>0</v>
      </c>
      <c r="K291" s="69"/>
      <c r="L291" s="319">
        <v>1</v>
      </c>
    </row>
    <row r="292" spans="2:12" s="37" customFormat="1" ht="15.75">
      <c r="B292" s="48"/>
      <c r="C292" s="162" t="s">
        <v>644</v>
      </c>
      <c r="D292" s="156">
        <f>$J$17*F821EA!D88*$L292</f>
        <v>0</v>
      </c>
      <c r="E292" s="156">
        <f>$J$17*F821EA!E88*$L292</f>
        <v>0</v>
      </c>
      <c r="F292" s="156">
        <f>$J$17*F821EA!F88*$L292</f>
        <v>0</v>
      </c>
      <c r="G292" s="156">
        <f>$J$17*F821EA!G88*$L292</f>
        <v>0</v>
      </c>
      <c r="H292" s="156">
        <f>$J$17*F821EA!H88*$L292</f>
        <v>0</v>
      </c>
      <c r="I292" s="156">
        <f>$J$17*F821EA!I88*$L292</f>
        <v>0</v>
      </c>
      <c r="J292" s="156">
        <f t="shared" si="70"/>
        <v>0</v>
      </c>
      <c r="K292" s="69"/>
      <c r="L292" s="319">
        <v>0.75</v>
      </c>
    </row>
    <row r="293" spans="2:12" s="37" customFormat="1" ht="15.75">
      <c r="B293" s="48"/>
      <c r="C293" s="160" t="s">
        <v>305</v>
      </c>
      <c r="D293" s="156">
        <f>$J$17*F821EA!D89*$L293</f>
        <v>0</v>
      </c>
      <c r="E293" s="156">
        <f>$J$17*F821EA!E89*$L293</f>
        <v>0</v>
      </c>
      <c r="F293" s="156">
        <f>$J$17*F821EA!F89*$L293</f>
        <v>0</v>
      </c>
      <c r="G293" s="156">
        <f>$J$17*F821EA!G89*$L293</f>
        <v>0</v>
      </c>
      <c r="H293" s="156">
        <f>$J$17*F821EA!H89*$L293</f>
        <v>0</v>
      </c>
      <c r="I293" s="156">
        <f>$J$17*F821EA!I89*$L293</f>
        <v>0</v>
      </c>
      <c r="J293" s="156">
        <f t="shared" si="70"/>
        <v>0</v>
      </c>
      <c r="K293" s="69"/>
      <c r="L293" s="319">
        <v>0.95</v>
      </c>
    </row>
    <row r="294" spans="2:12" s="37" customFormat="1" ht="15.75">
      <c r="B294" s="48"/>
      <c r="C294" s="160" t="s">
        <v>307</v>
      </c>
      <c r="D294" s="156">
        <f>$J$17*F821EA!D90*$L294</f>
        <v>0</v>
      </c>
      <c r="E294" s="156">
        <f>$J$17*F821EA!E90*$L294</f>
        <v>0</v>
      </c>
      <c r="F294" s="156">
        <f>$J$17*F821EA!F90*$L294</f>
        <v>0</v>
      </c>
      <c r="G294" s="156">
        <f>$J$17*F821EA!G90*$L294</f>
        <v>0</v>
      </c>
      <c r="H294" s="156">
        <f>$J$17*F821EA!H90*$L294</f>
        <v>0</v>
      </c>
      <c r="I294" s="156">
        <f>$J$17*F821EA!I90*$L294</f>
        <v>0</v>
      </c>
      <c r="J294" s="156">
        <f t="shared" si="70"/>
        <v>0</v>
      </c>
      <c r="K294" s="69"/>
      <c r="L294" s="319">
        <v>0.5</v>
      </c>
    </row>
    <row r="295" spans="2:12" s="37" customFormat="1" ht="15.75">
      <c r="B295" s="48"/>
      <c r="C295" s="160" t="s">
        <v>624</v>
      </c>
      <c r="D295" s="156">
        <f>$J$17*F821EA!D91*$L295</f>
        <v>0</v>
      </c>
      <c r="E295" s="156">
        <f>$J$17*F821EA!E91*$L295</f>
        <v>0</v>
      </c>
      <c r="F295" s="156">
        <f>$J$17*F821EA!F91*$L295</f>
        <v>0</v>
      </c>
      <c r="G295" s="156">
        <f>$J$17*F821EA!G91*$L295</f>
        <v>0</v>
      </c>
      <c r="H295" s="156">
        <f>$J$17*F821EA!H91*$L295</f>
        <v>0</v>
      </c>
      <c r="I295" s="156">
        <f>$J$17*F821EA!I91*$L295</f>
        <v>0</v>
      </c>
      <c r="J295" s="156">
        <f t="shared" si="70"/>
        <v>0</v>
      </c>
      <c r="K295" s="69"/>
      <c r="L295" s="319">
        <v>0</v>
      </c>
    </row>
    <row r="296" spans="2:12" s="37" customFormat="1" ht="15.75">
      <c r="B296" s="48" t="s">
        <v>902</v>
      </c>
      <c r="C296" s="158" t="s">
        <v>899</v>
      </c>
      <c r="D296" s="159">
        <f t="shared" ref="D296:I296" si="71">SUM(D297:D302)</f>
        <v>0</v>
      </c>
      <c r="E296" s="159">
        <f t="shared" si="71"/>
        <v>0</v>
      </c>
      <c r="F296" s="159">
        <f t="shared" si="71"/>
        <v>0</v>
      </c>
      <c r="G296" s="159">
        <f t="shared" si="71"/>
        <v>0</v>
      </c>
      <c r="H296" s="159">
        <f t="shared" si="71"/>
        <v>0</v>
      </c>
      <c r="I296" s="159">
        <f t="shared" si="71"/>
        <v>0</v>
      </c>
      <c r="J296" s="159">
        <f t="shared" si="70"/>
        <v>0</v>
      </c>
      <c r="K296" s="69"/>
      <c r="L296" s="319"/>
    </row>
    <row r="297" spans="2:12" s="37" customFormat="1" ht="15.75">
      <c r="B297" s="48"/>
      <c r="C297" s="160" t="s">
        <v>304</v>
      </c>
      <c r="D297" s="156">
        <f>$J$17*F821EA!D93*$L297</f>
        <v>0</v>
      </c>
      <c r="E297" s="156">
        <f>$J$17*F821EA!E93*$L297</f>
        <v>0</v>
      </c>
      <c r="F297" s="156">
        <f>$J$17*F821EA!F93*$L297</f>
        <v>0</v>
      </c>
      <c r="G297" s="156">
        <f>$J$17*F821EA!G93*$L297</f>
        <v>0</v>
      </c>
      <c r="H297" s="156">
        <f>$J$17*F821EA!H93*$L297</f>
        <v>0</v>
      </c>
      <c r="I297" s="156">
        <f>$J$17*F821EA!I93*$L297</f>
        <v>0</v>
      </c>
      <c r="J297" s="156">
        <f t="shared" si="70"/>
        <v>0</v>
      </c>
      <c r="K297" s="69"/>
      <c r="L297" s="319">
        <v>1</v>
      </c>
    </row>
    <row r="298" spans="2:12" s="37" customFormat="1" ht="15.75">
      <c r="B298" s="48"/>
      <c r="C298" s="162" t="s">
        <v>642</v>
      </c>
      <c r="D298" s="156">
        <f>$J$17*F821EA!D94*$L298</f>
        <v>0</v>
      </c>
      <c r="E298" s="156">
        <f>$J$17*F821EA!E94*$L298</f>
        <v>0</v>
      </c>
      <c r="F298" s="156">
        <f>$J$17*F821EA!F94*$L298</f>
        <v>0</v>
      </c>
      <c r="G298" s="156">
        <f>$J$17*F821EA!G94*$L298</f>
        <v>0</v>
      </c>
      <c r="H298" s="156">
        <f>$J$17*F821EA!H94*$L298</f>
        <v>0</v>
      </c>
      <c r="I298" s="156">
        <f>$J$17*F821EA!I94*$L298</f>
        <v>0</v>
      </c>
      <c r="J298" s="156">
        <f t="shared" si="70"/>
        <v>0</v>
      </c>
      <c r="K298" s="69"/>
      <c r="L298" s="319">
        <v>0.75</v>
      </c>
    </row>
    <row r="299" spans="2:12" s="37" customFormat="1" ht="15.75">
      <c r="B299" s="48"/>
      <c r="C299" s="162" t="s">
        <v>1177</v>
      </c>
      <c r="D299" s="156">
        <f>$J$17*F821EA!D95*$L299</f>
        <v>0</v>
      </c>
      <c r="E299" s="156">
        <f>$J$17*F821EA!E95*$L299</f>
        <v>0</v>
      </c>
      <c r="F299" s="156">
        <f>$J$17*F821EA!F95*$L299</f>
        <v>0</v>
      </c>
      <c r="G299" s="156">
        <f>$J$17*F821EA!G95*$L299</f>
        <v>0</v>
      </c>
      <c r="H299" s="156">
        <f>$J$17*F821EA!H95*$L299</f>
        <v>0</v>
      </c>
      <c r="I299" s="156">
        <f>$J$17*F821EA!I95*$L299</f>
        <v>0</v>
      </c>
      <c r="J299" s="156">
        <f t="shared" si="70"/>
        <v>0</v>
      </c>
      <c r="K299" s="69"/>
      <c r="L299" s="319">
        <v>1</v>
      </c>
    </row>
    <row r="300" spans="2:12" s="37" customFormat="1" ht="15.75">
      <c r="B300" s="48"/>
      <c r="C300" s="160" t="s">
        <v>305</v>
      </c>
      <c r="D300" s="156">
        <f>$J$17*F821EA!D96*$L300</f>
        <v>0</v>
      </c>
      <c r="E300" s="156">
        <f>$J$17*F821EA!E96*$L300</f>
        <v>0</v>
      </c>
      <c r="F300" s="156">
        <f>$J$17*F821EA!F96*$L300</f>
        <v>0</v>
      </c>
      <c r="G300" s="156">
        <f>$J$17*F821EA!G96*$L300</f>
        <v>0</v>
      </c>
      <c r="H300" s="156">
        <f>$J$17*F821EA!H96*$L300</f>
        <v>0</v>
      </c>
      <c r="I300" s="156">
        <f>$J$17*F821EA!I96*$L300</f>
        <v>0</v>
      </c>
      <c r="J300" s="156">
        <f t="shared" si="70"/>
        <v>0</v>
      </c>
      <c r="K300" s="69"/>
      <c r="L300" s="319">
        <v>0.95</v>
      </c>
    </row>
    <row r="301" spans="2:12" s="37" customFormat="1" ht="15.75">
      <c r="B301" s="48"/>
      <c r="C301" s="160" t="s">
        <v>307</v>
      </c>
      <c r="D301" s="156">
        <f>$J$17*F821EA!D97*$L301</f>
        <v>0</v>
      </c>
      <c r="E301" s="156">
        <f>$J$17*F821EA!E97*$L301</f>
        <v>0</v>
      </c>
      <c r="F301" s="156">
        <f>$J$17*F821EA!F97*$L301</f>
        <v>0</v>
      </c>
      <c r="G301" s="156">
        <f>$J$17*F821EA!G97*$L301</f>
        <v>0</v>
      </c>
      <c r="H301" s="156">
        <f>$J$17*F821EA!H97*$L301</f>
        <v>0</v>
      </c>
      <c r="I301" s="156">
        <f>$J$17*F821EA!I97*$L301</f>
        <v>0</v>
      </c>
      <c r="J301" s="156">
        <f t="shared" si="70"/>
        <v>0</v>
      </c>
      <c r="K301" s="69"/>
      <c r="L301" s="319">
        <v>0.5</v>
      </c>
    </row>
    <row r="302" spans="2:12" s="37" customFormat="1" ht="15.75">
      <c r="B302" s="48"/>
      <c r="C302" s="160" t="s">
        <v>624</v>
      </c>
      <c r="D302" s="156">
        <f>$J$17*F821EA!D98*$L302</f>
        <v>0</v>
      </c>
      <c r="E302" s="156">
        <f>$J$17*F821EA!E98*$L302</f>
        <v>0</v>
      </c>
      <c r="F302" s="156">
        <f>$J$17*F821EA!F98*$L302</f>
        <v>0</v>
      </c>
      <c r="G302" s="156">
        <f>$J$17*F821EA!G98*$L302</f>
        <v>0</v>
      </c>
      <c r="H302" s="156">
        <f>$J$17*F821EA!H98*$L302</f>
        <v>0</v>
      </c>
      <c r="I302" s="156">
        <f>$J$17*F821EA!I98*$L302</f>
        <v>0</v>
      </c>
      <c r="J302" s="156">
        <f t="shared" si="70"/>
        <v>0</v>
      </c>
      <c r="K302" s="69"/>
      <c r="L302" s="319">
        <v>0</v>
      </c>
    </row>
    <row r="303" spans="2:12" s="37" customFormat="1" ht="15.75">
      <c r="B303" s="48" t="s">
        <v>902</v>
      </c>
      <c r="C303" s="158" t="s">
        <v>900</v>
      </c>
      <c r="D303" s="159">
        <f t="shared" ref="D303:I303" si="72">SUM(D304:D309)</f>
        <v>0</v>
      </c>
      <c r="E303" s="159">
        <f t="shared" si="72"/>
        <v>0</v>
      </c>
      <c r="F303" s="159">
        <f t="shared" si="72"/>
        <v>0</v>
      </c>
      <c r="G303" s="159">
        <f t="shared" si="72"/>
        <v>0</v>
      </c>
      <c r="H303" s="159">
        <f t="shared" si="72"/>
        <v>0</v>
      </c>
      <c r="I303" s="159">
        <f t="shared" si="72"/>
        <v>0</v>
      </c>
      <c r="J303" s="159">
        <f t="shared" si="70"/>
        <v>0</v>
      </c>
      <c r="K303" s="69"/>
      <c r="L303" s="319"/>
    </row>
    <row r="304" spans="2:12" s="37" customFormat="1" ht="15.75">
      <c r="B304" s="48"/>
      <c r="C304" s="160" t="s">
        <v>304</v>
      </c>
      <c r="D304" s="156">
        <f>$J$17*F821EA!D100*$L304</f>
        <v>0</v>
      </c>
      <c r="E304" s="156">
        <f>$J$17*F821EA!E100*$L304</f>
        <v>0</v>
      </c>
      <c r="F304" s="156">
        <f>$J$17*F821EA!F100*$L304</f>
        <v>0</v>
      </c>
      <c r="G304" s="156">
        <f>$J$17*F821EA!G100*$L304</f>
        <v>0</v>
      </c>
      <c r="H304" s="156">
        <f>$J$17*F821EA!H100*$L304</f>
        <v>0</v>
      </c>
      <c r="I304" s="156">
        <f>$J$17*F821EA!I100*$L304</f>
        <v>0</v>
      </c>
      <c r="J304" s="156">
        <f t="shared" si="70"/>
        <v>0</v>
      </c>
      <c r="K304" s="69"/>
      <c r="L304" s="319">
        <v>1</v>
      </c>
    </row>
    <row r="305" spans="2:12" s="37" customFormat="1" ht="15.75">
      <c r="B305" s="48"/>
      <c r="C305" s="162" t="s">
        <v>642</v>
      </c>
      <c r="D305" s="156">
        <f>$J$17*F821EA!D101*$L305</f>
        <v>0</v>
      </c>
      <c r="E305" s="156">
        <f>$J$17*F821EA!E101*$L305</f>
        <v>0</v>
      </c>
      <c r="F305" s="156">
        <f>$J$17*F821EA!F101*$L305</f>
        <v>0</v>
      </c>
      <c r="G305" s="156">
        <f>$J$17*F821EA!G101*$L305</f>
        <v>0</v>
      </c>
      <c r="H305" s="156">
        <f>$J$17*F821EA!H101*$L305</f>
        <v>0</v>
      </c>
      <c r="I305" s="156">
        <f>$J$17*F821EA!I101*$L305</f>
        <v>0</v>
      </c>
      <c r="J305" s="156">
        <f t="shared" si="70"/>
        <v>0</v>
      </c>
      <c r="K305" s="69"/>
      <c r="L305" s="319">
        <v>0.75</v>
      </c>
    </row>
    <row r="306" spans="2:12" s="37" customFormat="1" ht="15.75">
      <c r="B306" s="48"/>
      <c r="C306" s="162" t="s">
        <v>1177</v>
      </c>
      <c r="D306" s="156">
        <f>$J$17*F821EA!D102*$L306</f>
        <v>0</v>
      </c>
      <c r="E306" s="156">
        <f>$J$17*F821EA!E102*$L306</f>
        <v>0</v>
      </c>
      <c r="F306" s="156">
        <f>$J$17*F821EA!F102*$L306</f>
        <v>0</v>
      </c>
      <c r="G306" s="156">
        <f>$J$17*F821EA!G102*$L306</f>
        <v>0</v>
      </c>
      <c r="H306" s="156">
        <f>$J$17*F821EA!H102*$L306</f>
        <v>0</v>
      </c>
      <c r="I306" s="156">
        <f>$J$17*F821EA!I102*$L306</f>
        <v>0</v>
      </c>
      <c r="J306" s="156">
        <f t="shared" si="70"/>
        <v>0</v>
      </c>
      <c r="K306" s="69"/>
      <c r="L306" s="319">
        <v>1</v>
      </c>
    </row>
    <row r="307" spans="2:12" s="37" customFormat="1" ht="15.75">
      <c r="B307" s="48"/>
      <c r="C307" s="160" t="s">
        <v>305</v>
      </c>
      <c r="D307" s="156">
        <f>$J$17*F821EA!D103*$L307</f>
        <v>0</v>
      </c>
      <c r="E307" s="156">
        <f>$J$17*F821EA!E103*$L307</f>
        <v>0</v>
      </c>
      <c r="F307" s="156">
        <f>$J$17*F821EA!F103*$L307</f>
        <v>0</v>
      </c>
      <c r="G307" s="156">
        <f>$J$17*F821EA!G103*$L307</f>
        <v>0</v>
      </c>
      <c r="H307" s="156">
        <f>$J$17*F821EA!H103*$L307</f>
        <v>0</v>
      </c>
      <c r="I307" s="156">
        <f>$J$17*F821EA!I103*$L307</f>
        <v>0</v>
      </c>
      <c r="J307" s="156">
        <f t="shared" si="70"/>
        <v>0</v>
      </c>
      <c r="K307" s="69"/>
      <c r="L307" s="319">
        <v>0.95</v>
      </c>
    </row>
    <row r="308" spans="2:12" s="37" customFormat="1" ht="15.75">
      <c r="B308" s="48"/>
      <c r="C308" s="160" t="s">
        <v>307</v>
      </c>
      <c r="D308" s="156">
        <f>$J$17*F821EA!D104*$L308</f>
        <v>0</v>
      </c>
      <c r="E308" s="156">
        <f>$J$17*F821EA!E104*$L308</f>
        <v>0</v>
      </c>
      <c r="F308" s="156">
        <f>$J$17*F821EA!F104*$L308</f>
        <v>0</v>
      </c>
      <c r="G308" s="156">
        <f>$J$17*F821EA!G104*$L308</f>
        <v>0</v>
      </c>
      <c r="H308" s="156">
        <f>$J$17*F821EA!H104*$L308</f>
        <v>0</v>
      </c>
      <c r="I308" s="156">
        <f>$J$17*F821EA!I104*$L308</f>
        <v>0</v>
      </c>
      <c r="J308" s="156">
        <f t="shared" si="70"/>
        <v>0</v>
      </c>
      <c r="K308" s="69"/>
      <c r="L308" s="319">
        <v>0.5</v>
      </c>
    </row>
    <row r="309" spans="2:12" s="37" customFormat="1" ht="15.75">
      <c r="B309" s="48"/>
      <c r="C309" s="160" t="s">
        <v>624</v>
      </c>
      <c r="D309" s="156">
        <f>$J$17*F821EA!D105*$L309</f>
        <v>0</v>
      </c>
      <c r="E309" s="156">
        <f>$J$17*F821EA!E105*$L309</f>
        <v>0</v>
      </c>
      <c r="F309" s="156">
        <f>$J$17*F821EA!F105*$L309</f>
        <v>0</v>
      </c>
      <c r="G309" s="156">
        <f>$J$17*F821EA!G105*$L309</f>
        <v>0</v>
      </c>
      <c r="H309" s="156">
        <f>$J$17*F821EA!H105*$L309</f>
        <v>0</v>
      </c>
      <c r="I309" s="156">
        <f>$J$17*F821EA!I105*$L309</f>
        <v>0</v>
      </c>
      <c r="J309" s="156">
        <f t="shared" si="70"/>
        <v>0</v>
      </c>
      <c r="K309" s="69"/>
      <c r="L309" s="319">
        <v>0</v>
      </c>
    </row>
    <row r="310" spans="2:12" s="37" customFormat="1" ht="15.75">
      <c r="B310" s="48"/>
      <c r="C310" s="157"/>
      <c r="D310" s="156"/>
      <c r="E310" s="156"/>
      <c r="F310" s="156"/>
      <c r="G310" s="156"/>
      <c r="H310" s="156"/>
      <c r="I310" s="156"/>
      <c r="J310" s="156"/>
      <c r="K310" s="69"/>
      <c r="L310" s="319"/>
    </row>
    <row r="311" spans="2:12" s="37" customFormat="1" ht="15.75">
      <c r="B311" s="48"/>
      <c r="C311" s="153" t="s">
        <v>112</v>
      </c>
      <c r="D311" s="154">
        <f t="shared" ref="D311:I311" si="73">D234+D224+D220</f>
        <v>0</v>
      </c>
      <c r="E311" s="154">
        <f t="shared" si="73"/>
        <v>0</v>
      </c>
      <c r="F311" s="154">
        <f t="shared" si="73"/>
        <v>0</v>
      </c>
      <c r="G311" s="154">
        <f t="shared" si="73"/>
        <v>0</v>
      </c>
      <c r="H311" s="154">
        <f t="shared" si="73"/>
        <v>0</v>
      </c>
      <c r="I311" s="154">
        <f t="shared" si="73"/>
        <v>0</v>
      </c>
      <c r="J311" s="154">
        <f>SUM(D311:I311)</f>
        <v>0</v>
      </c>
      <c r="K311" s="69"/>
      <c r="L311" s="319"/>
    </row>
    <row r="312" spans="2:12">
      <c r="C312" s="48"/>
      <c r="D312" s="48"/>
      <c r="E312" s="48"/>
      <c r="F312" s="48"/>
      <c r="G312" s="48"/>
      <c r="H312" s="48"/>
      <c r="I312" s="48"/>
      <c r="J312" s="48"/>
    </row>
    <row r="313" spans="2:12" s="69" customFormat="1" ht="30">
      <c r="B313" s="48"/>
      <c r="C313" s="320" t="s">
        <v>662</v>
      </c>
      <c r="D313" s="320"/>
      <c r="E313" s="320"/>
      <c r="F313" s="320"/>
      <c r="G313" s="320"/>
      <c r="H313" s="320"/>
      <c r="I313" s="320"/>
      <c r="J313" s="321"/>
      <c r="L313" s="319"/>
    </row>
    <row r="314" spans="2:12" s="37" customFormat="1" ht="15.75">
      <c r="B314" s="48"/>
      <c r="C314" s="150" t="s">
        <v>310</v>
      </c>
      <c r="D314" s="151">
        <f t="shared" ref="D314:I314" si="74">D$29</f>
        <v>45839</v>
      </c>
      <c r="E314" s="151">
        <f t="shared" si="74"/>
        <v>45870</v>
      </c>
      <c r="F314" s="151">
        <f t="shared" si="74"/>
        <v>45901</v>
      </c>
      <c r="G314" s="151">
        <f t="shared" si="74"/>
        <v>45931</v>
      </c>
      <c r="H314" s="151">
        <f t="shared" si="74"/>
        <v>45962</v>
      </c>
      <c r="I314" s="151">
        <f t="shared" si="74"/>
        <v>45992</v>
      </c>
      <c r="J314" s="152" t="s">
        <v>111</v>
      </c>
      <c r="K314" s="69"/>
      <c r="L314" s="319"/>
    </row>
    <row r="315" spans="2:12" s="37" customFormat="1" ht="15.75">
      <c r="B315" s="48"/>
      <c r="C315" s="153" t="s">
        <v>446</v>
      </c>
      <c r="D315" s="154">
        <f t="shared" ref="D315:I315" si="75">D316+D317+D320</f>
        <v>0</v>
      </c>
      <c r="E315" s="154">
        <f t="shared" si="75"/>
        <v>0</v>
      </c>
      <c r="F315" s="154">
        <f t="shared" si="75"/>
        <v>0</v>
      </c>
      <c r="G315" s="154">
        <f t="shared" si="75"/>
        <v>0</v>
      </c>
      <c r="H315" s="154">
        <f t="shared" si="75"/>
        <v>0</v>
      </c>
      <c r="I315" s="154">
        <f t="shared" si="75"/>
        <v>0</v>
      </c>
      <c r="J315" s="154">
        <f t="shared" ref="J315:J342" si="76">SUM(D315:I315)</f>
        <v>0</v>
      </c>
      <c r="K315" s="69"/>
      <c r="L315" s="319"/>
    </row>
    <row r="316" spans="2:12" s="37" customFormat="1" ht="15.75">
      <c r="B316" s="48" t="s">
        <v>870</v>
      </c>
      <c r="C316" s="157" t="s">
        <v>1865</v>
      </c>
      <c r="D316" s="156">
        <f>$J$7*F821EA!D116</f>
        <v>0</v>
      </c>
      <c r="E316" s="156">
        <f>$J$7*F821EA!E116</f>
        <v>0</v>
      </c>
      <c r="F316" s="156">
        <f>$J$7*F821EA!F116</f>
        <v>0</v>
      </c>
      <c r="G316" s="156">
        <f>$J$7*F821EA!G116</f>
        <v>0</v>
      </c>
      <c r="H316" s="156">
        <f>$J$7*F821EA!H116</f>
        <v>0</v>
      </c>
      <c r="I316" s="156">
        <f>$J$7*F821EA!I116</f>
        <v>0</v>
      </c>
      <c r="J316" s="154">
        <f t="shared" si="76"/>
        <v>0</v>
      </c>
      <c r="K316" s="69"/>
      <c r="L316" s="319"/>
    </row>
    <row r="317" spans="2:12" s="37" customFormat="1" ht="15.75">
      <c r="B317" s="48" t="s">
        <v>871</v>
      </c>
      <c r="C317" s="335" t="s">
        <v>193</v>
      </c>
      <c r="D317" s="154">
        <f t="shared" ref="D317:I317" si="77">SUM(D318:D319)</f>
        <v>0</v>
      </c>
      <c r="E317" s="154">
        <f t="shared" si="77"/>
        <v>0</v>
      </c>
      <c r="F317" s="154">
        <f t="shared" si="77"/>
        <v>0</v>
      </c>
      <c r="G317" s="154">
        <f t="shared" si="77"/>
        <v>0</v>
      </c>
      <c r="H317" s="154">
        <f t="shared" si="77"/>
        <v>0</v>
      </c>
      <c r="I317" s="154">
        <f t="shared" si="77"/>
        <v>0</v>
      </c>
      <c r="J317" s="154">
        <f t="shared" si="76"/>
        <v>0</v>
      </c>
      <c r="K317" s="69"/>
      <c r="L317" s="319"/>
    </row>
    <row r="318" spans="2:12" s="37" customFormat="1" ht="15.75">
      <c r="B318" s="48"/>
      <c r="C318" s="157" t="s">
        <v>1864</v>
      </c>
      <c r="D318" s="156">
        <f>+$J$8*F821EA!D118</f>
        <v>0</v>
      </c>
      <c r="E318" s="156">
        <f>+$J$8*F821EA!E118</f>
        <v>0</v>
      </c>
      <c r="F318" s="156">
        <f>+$J$8*F821EA!F118</f>
        <v>0</v>
      </c>
      <c r="G318" s="156">
        <f>+$J$8*F821EA!G118</f>
        <v>0</v>
      </c>
      <c r="H318" s="156">
        <f>+$J$8*F821EA!H118</f>
        <v>0</v>
      </c>
      <c r="I318" s="156">
        <f>+$J$8*F821EA!I118</f>
        <v>0</v>
      </c>
      <c r="J318" s="154">
        <f t="shared" si="76"/>
        <v>0</v>
      </c>
      <c r="K318" s="69"/>
      <c r="L318" s="319"/>
    </row>
    <row r="319" spans="2:12" s="37" customFormat="1" ht="15.75">
      <c r="B319" s="48"/>
      <c r="C319" s="157" t="s">
        <v>1864</v>
      </c>
      <c r="D319" s="156">
        <f>+$J$8*F821EA!D119</f>
        <v>0</v>
      </c>
      <c r="E319" s="156">
        <f>+$J$8*F821EA!E119</f>
        <v>0</v>
      </c>
      <c r="F319" s="156">
        <f>+$J$8*F821EA!F119</f>
        <v>0</v>
      </c>
      <c r="G319" s="156">
        <f>+$J$8*F821EA!G119</f>
        <v>0</v>
      </c>
      <c r="H319" s="156">
        <f>+$J$8*F821EA!H119</f>
        <v>0</v>
      </c>
      <c r="I319" s="156">
        <f>+$J$8*F821EA!I119</f>
        <v>0</v>
      </c>
      <c r="J319" s="154">
        <f t="shared" si="76"/>
        <v>0</v>
      </c>
      <c r="K319" s="69"/>
      <c r="L319" s="319"/>
    </row>
    <row r="320" spans="2:12" s="37" customFormat="1" ht="15.75">
      <c r="B320" s="48" t="s">
        <v>893</v>
      </c>
      <c r="C320" s="153" t="s">
        <v>942</v>
      </c>
      <c r="D320" s="154">
        <f>+$J$8*F821EA!D120</f>
        <v>0</v>
      </c>
      <c r="E320" s="154">
        <f>+$J$8*F821EA!E120</f>
        <v>0</v>
      </c>
      <c r="F320" s="154">
        <f>+$J$8*F821EA!F120</f>
        <v>0</v>
      </c>
      <c r="G320" s="154">
        <f>+$J$8*F821EA!G120</f>
        <v>0</v>
      </c>
      <c r="H320" s="154">
        <f>+$J$8*F821EA!H120</f>
        <v>0</v>
      </c>
      <c r="I320" s="154">
        <f>+$J$8*F821EA!I120</f>
        <v>0</v>
      </c>
      <c r="J320" s="154">
        <f t="shared" si="76"/>
        <v>0</v>
      </c>
      <c r="K320" s="69"/>
      <c r="L320" s="319"/>
    </row>
    <row r="321" spans="2:12" s="37" customFormat="1" ht="15.75">
      <c r="B321" s="48"/>
      <c r="C321" s="153" t="s">
        <v>630</v>
      </c>
      <c r="D321" s="154">
        <f t="shared" ref="D321:I321" si="78">D322+D327</f>
        <v>0</v>
      </c>
      <c r="E321" s="154">
        <f t="shared" si="78"/>
        <v>0</v>
      </c>
      <c r="F321" s="154">
        <f t="shared" si="78"/>
        <v>0</v>
      </c>
      <c r="G321" s="154">
        <f t="shared" si="78"/>
        <v>0</v>
      </c>
      <c r="H321" s="154">
        <f t="shared" si="78"/>
        <v>0</v>
      </c>
      <c r="I321" s="154">
        <f t="shared" si="78"/>
        <v>0</v>
      </c>
      <c r="J321" s="154">
        <f t="shared" si="76"/>
        <v>0</v>
      </c>
      <c r="K321" s="69"/>
      <c r="L321" s="319"/>
    </row>
    <row r="322" spans="2:12" s="37" customFormat="1" ht="15.75">
      <c r="B322" s="48" t="s">
        <v>872</v>
      </c>
      <c r="C322" s="335" t="s">
        <v>1073</v>
      </c>
      <c r="D322" s="154">
        <f t="shared" ref="D322:I322" si="79">SUM(D323:D326)</f>
        <v>0</v>
      </c>
      <c r="E322" s="154">
        <f t="shared" si="79"/>
        <v>0</v>
      </c>
      <c r="F322" s="154">
        <f t="shared" si="79"/>
        <v>0</v>
      </c>
      <c r="G322" s="154">
        <f t="shared" si="79"/>
        <v>0</v>
      </c>
      <c r="H322" s="154">
        <f t="shared" si="79"/>
        <v>0</v>
      </c>
      <c r="I322" s="154">
        <f t="shared" si="79"/>
        <v>0</v>
      </c>
      <c r="J322" s="154">
        <f t="shared" si="76"/>
        <v>0</v>
      </c>
      <c r="K322" s="69"/>
      <c r="L322" s="319"/>
    </row>
    <row r="323" spans="2:12" s="37" customFormat="1" ht="15.75">
      <c r="B323" s="48"/>
      <c r="C323" s="157" t="s">
        <v>1862</v>
      </c>
      <c r="D323" s="156">
        <f>$J$9*F821EA!D124</f>
        <v>0</v>
      </c>
      <c r="E323" s="156">
        <f>$J$9*F821EA!E124</f>
        <v>0</v>
      </c>
      <c r="F323" s="156">
        <f>$J$9*F821EA!F124</f>
        <v>0</v>
      </c>
      <c r="G323" s="156">
        <f>$J$9*F821EA!G124</f>
        <v>0</v>
      </c>
      <c r="H323" s="156">
        <f>$J$9*F821EA!H124</f>
        <v>0</v>
      </c>
      <c r="I323" s="156">
        <f>$J$9*F821EA!I124</f>
        <v>0</v>
      </c>
      <c r="J323" s="154">
        <f t="shared" si="76"/>
        <v>0</v>
      </c>
      <c r="K323" s="69"/>
    </row>
    <row r="324" spans="2:12" s="37" customFormat="1" ht="15.75">
      <c r="B324" s="48"/>
      <c r="C324" s="157" t="s">
        <v>1862</v>
      </c>
      <c r="D324" s="156">
        <f>$J$9*F821EA!D125</f>
        <v>0</v>
      </c>
      <c r="E324" s="156">
        <f>$J$9*F821EA!E125</f>
        <v>0</v>
      </c>
      <c r="F324" s="156">
        <f>$J$9*F821EA!F125</f>
        <v>0</v>
      </c>
      <c r="G324" s="156">
        <f>$J$9*F821EA!G125</f>
        <v>0</v>
      </c>
      <c r="H324" s="156">
        <f>$J$9*F821EA!H125</f>
        <v>0</v>
      </c>
      <c r="I324" s="156">
        <f>$J$9*F821EA!I125</f>
        <v>0</v>
      </c>
      <c r="J324" s="154">
        <f t="shared" si="76"/>
        <v>0</v>
      </c>
      <c r="K324" s="69"/>
    </row>
    <row r="325" spans="2:12" s="37" customFormat="1" ht="15.75">
      <c r="B325" s="48"/>
      <c r="C325" s="157" t="s">
        <v>1862</v>
      </c>
      <c r="D325" s="156">
        <f>$J$9*F821EA!D126</f>
        <v>0</v>
      </c>
      <c r="E325" s="156">
        <f>$J$9*F821EA!E126</f>
        <v>0</v>
      </c>
      <c r="F325" s="156">
        <f>$J$9*F821EA!F126</f>
        <v>0</v>
      </c>
      <c r="G325" s="156">
        <f>$J$9*F821EA!G126</f>
        <v>0</v>
      </c>
      <c r="H325" s="156">
        <f>$J$9*F821EA!H126</f>
        <v>0</v>
      </c>
      <c r="I325" s="156">
        <f>$J$9*F821EA!I126</f>
        <v>0</v>
      </c>
      <c r="J325" s="154">
        <f>SUM(D325:I325)</f>
        <v>0</v>
      </c>
      <c r="K325" s="69"/>
    </row>
    <row r="326" spans="2:12" s="37" customFormat="1" ht="15.75">
      <c r="B326" s="48"/>
      <c r="C326" s="157" t="s">
        <v>1862</v>
      </c>
      <c r="D326" s="156">
        <f>$J$9*F821EA!D127</f>
        <v>0</v>
      </c>
      <c r="E326" s="156">
        <f>$J$9*F821EA!E127</f>
        <v>0</v>
      </c>
      <c r="F326" s="156">
        <f>$J$9*F821EA!F127</f>
        <v>0</v>
      </c>
      <c r="G326" s="156">
        <f>$J$9*F821EA!G127</f>
        <v>0</v>
      </c>
      <c r="H326" s="156">
        <f>$J$9*F821EA!H127</f>
        <v>0</v>
      </c>
      <c r="I326" s="156">
        <f>$J$9*F821EA!I127</f>
        <v>0</v>
      </c>
      <c r="J326" s="154">
        <f>SUM(D326:I326)</f>
        <v>0</v>
      </c>
      <c r="K326" s="69"/>
    </row>
    <row r="327" spans="2:12" s="37" customFormat="1" ht="15.75">
      <c r="B327" s="48" t="s">
        <v>873</v>
      </c>
      <c r="C327" s="335" t="s">
        <v>193</v>
      </c>
      <c r="D327" s="154">
        <f t="shared" ref="D327:I327" si="80">SUM(D328:D332)</f>
        <v>0</v>
      </c>
      <c r="E327" s="154">
        <f t="shared" si="80"/>
        <v>0</v>
      </c>
      <c r="F327" s="154">
        <f t="shared" si="80"/>
        <v>0</v>
      </c>
      <c r="G327" s="154">
        <f t="shared" si="80"/>
        <v>0</v>
      </c>
      <c r="H327" s="154">
        <f t="shared" si="80"/>
        <v>0</v>
      </c>
      <c r="I327" s="154">
        <f t="shared" si="80"/>
        <v>0</v>
      </c>
      <c r="J327" s="154">
        <f t="shared" si="76"/>
        <v>0</v>
      </c>
      <c r="K327" s="69"/>
    </row>
    <row r="328" spans="2:12" s="37" customFormat="1" ht="15.75">
      <c r="B328" s="48"/>
      <c r="C328" s="157" t="s">
        <v>1863</v>
      </c>
      <c r="D328" s="156">
        <f>$J$10*F821EA!D129</f>
        <v>0</v>
      </c>
      <c r="E328" s="156">
        <f>$J$10*F821EA!E129</f>
        <v>0</v>
      </c>
      <c r="F328" s="156">
        <f>$J$10*F821EA!F129</f>
        <v>0</v>
      </c>
      <c r="G328" s="156">
        <f>$J$10*F821EA!G129</f>
        <v>0</v>
      </c>
      <c r="H328" s="156">
        <f>$J$10*F821EA!H129</f>
        <v>0</v>
      </c>
      <c r="I328" s="156">
        <f>$J$10*F821EA!I129</f>
        <v>0</v>
      </c>
      <c r="J328" s="154">
        <f t="shared" si="76"/>
        <v>0</v>
      </c>
      <c r="K328" s="69"/>
    </row>
    <row r="329" spans="2:12" s="37" customFormat="1" ht="15.75">
      <c r="B329" s="48"/>
      <c r="C329" s="157" t="s">
        <v>1863</v>
      </c>
      <c r="D329" s="156">
        <f>$J$10*F821EA!D130</f>
        <v>0</v>
      </c>
      <c r="E329" s="156">
        <f>$J$10*F821EA!E130</f>
        <v>0</v>
      </c>
      <c r="F329" s="156">
        <f>$J$10*F821EA!F130</f>
        <v>0</v>
      </c>
      <c r="G329" s="156">
        <f>$J$10*F821EA!G130</f>
        <v>0</v>
      </c>
      <c r="H329" s="156">
        <f>$J$10*F821EA!H130</f>
        <v>0</v>
      </c>
      <c r="I329" s="156">
        <f>$J$10*F821EA!I130</f>
        <v>0</v>
      </c>
      <c r="J329" s="154">
        <f t="shared" si="76"/>
        <v>0</v>
      </c>
      <c r="K329" s="69"/>
    </row>
    <row r="330" spans="2:12" s="37" customFormat="1" ht="15.75">
      <c r="B330" s="48"/>
      <c r="C330" s="157" t="s">
        <v>1863</v>
      </c>
      <c r="D330" s="156">
        <f>$J$10*F821EA!D131</f>
        <v>0</v>
      </c>
      <c r="E330" s="156">
        <f>$J$10*F821EA!E131</f>
        <v>0</v>
      </c>
      <c r="F330" s="156">
        <f>$J$10*F821EA!F131</f>
        <v>0</v>
      </c>
      <c r="G330" s="156">
        <f>$J$10*F821EA!G131</f>
        <v>0</v>
      </c>
      <c r="H330" s="156">
        <f>$J$10*F821EA!H131</f>
        <v>0</v>
      </c>
      <c r="I330" s="156">
        <f>$J$10*F821EA!I131</f>
        <v>0</v>
      </c>
      <c r="J330" s="154">
        <f t="shared" si="76"/>
        <v>0</v>
      </c>
      <c r="K330" s="69"/>
    </row>
    <row r="331" spans="2:12" s="37" customFormat="1" ht="15.75">
      <c r="B331" s="48"/>
      <c r="C331" s="157" t="s">
        <v>1863</v>
      </c>
      <c r="D331" s="156">
        <f>$J$10*F821EA!D132</f>
        <v>0</v>
      </c>
      <c r="E331" s="156">
        <f>$J$10*F821EA!E132</f>
        <v>0</v>
      </c>
      <c r="F331" s="156">
        <f>$J$10*F821EA!F132</f>
        <v>0</v>
      </c>
      <c r="G331" s="156">
        <f>$J$10*F821EA!G132</f>
        <v>0</v>
      </c>
      <c r="H331" s="156">
        <f>$J$10*F821EA!H132</f>
        <v>0</v>
      </c>
      <c r="I331" s="156">
        <f>$J$10*F821EA!I132</f>
        <v>0</v>
      </c>
      <c r="J331" s="154">
        <f t="shared" si="76"/>
        <v>0</v>
      </c>
      <c r="K331" s="69"/>
    </row>
    <row r="332" spans="2:12" s="37" customFormat="1" ht="15.75">
      <c r="B332" s="48"/>
      <c r="C332" s="157" t="s">
        <v>1863</v>
      </c>
      <c r="D332" s="156">
        <f>$J$10*F821EA!D133</f>
        <v>0</v>
      </c>
      <c r="E332" s="156">
        <f>$J$10*F821EA!E133</f>
        <v>0</v>
      </c>
      <c r="F332" s="156">
        <f>$J$10*F821EA!F133</f>
        <v>0</v>
      </c>
      <c r="G332" s="156">
        <f>$J$10*F821EA!G133</f>
        <v>0</v>
      </c>
      <c r="H332" s="156">
        <f>$J$10*F821EA!H133</f>
        <v>0</v>
      </c>
      <c r="I332" s="156">
        <f>$J$10*F821EA!I133</f>
        <v>0</v>
      </c>
      <c r="J332" s="154">
        <f t="shared" si="76"/>
        <v>0</v>
      </c>
      <c r="K332" s="69"/>
    </row>
    <row r="333" spans="2:12" s="37" customFormat="1" ht="15.75">
      <c r="B333" s="48"/>
      <c r="C333" s="153" t="s">
        <v>443</v>
      </c>
      <c r="D333" s="154">
        <f t="shared" ref="D333:I333" si="81">D334+D335</f>
        <v>0</v>
      </c>
      <c r="E333" s="154">
        <f t="shared" si="81"/>
        <v>0</v>
      </c>
      <c r="F333" s="154">
        <f t="shared" si="81"/>
        <v>0</v>
      </c>
      <c r="G333" s="154">
        <f t="shared" si="81"/>
        <v>0</v>
      </c>
      <c r="H333" s="154">
        <f t="shared" si="81"/>
        <v>0</v>
      </c>
      <c r="I333" s="154">
        <f t="shared" si="81"/>
        <v>0</v>
      </c>
      <c r="J333" s="154">
        <f t="shared" si="76"/>
        <v>0</v>
      </c>
      <c r="K333" s="69"/>
    </row>
    <row r="334" spans="2:12" s="37" customFormat="1" ht="15.75">
      <c r="B334" s="48" t="s">
        <v>874</v>
      </c>
      <c r="C334" s="157" t="s">
        <v>1742</v>
      </c>
      <c r="D334" s="156">
        <f>$J$11*F821EA!D137</f>
        <v>0</v>
      </c>
      <c r="E334" s="156">
        <f>$J$11*F821EA!E137</f>
        <v>0</v>
      </c>
      <c r="F334" s="156">
        <f>$J$11*F821EA!F137</f>
        <v>0</v>
      </c>
      <c r="G334" s="156">
        <f>$J$11*F821EA!G137</f>
        <v>0</v>
      </c>
      <c r="H334" s="156">
        <f>$J$11*F821EA!H137</f>
        <v>0</v>
      </c>
      <c r="I334" s="156">
        <f>$J$11*F821EA!I137</f>
        <v>0</v>
      </c>
      <c r="J334" s="154">
        <f t="shared" si="76"/>
        <v>0</v>
      </c>
      <c r="K334" s="69"/>
    </row>
    <row r="335" spans="2:12" s="37" customFormat="1" ht="15.75">
      <c r="B335" s="48" t="s">
        <v>875</v>
      </c>
      <c r="C335" s="335" t="s">
        <v>193</v>
      </c>
      <c r="D335" s="154">
        <f t="shared" ref="D335:I335" si="82">SUM(D336:D341)</f>
        <v>0</v>
      </c>
      <c r="E335" s="154">
        <f t="shared" si="82"/>
        <v>0</v>
      </c>
      <c r="F335" s="154">
        <f t="shared" si="82"/>
        <v>0</v>
      </c>
      <c r="G335" s="154">
        <f t="shared" si="82"/>
        <v>0</v>
      </c>
      <c r="H335" s="154">
        <f t="shared" si="82"/>
        <v>0</v>
      </c>
      <c r="I335" s="154">
        <f t="shared" si="82"/>
        <v>0</v>
      </c>
      <c r="J335" s="154">
        <f t="shared" si="76"/>
        <v>0</v>
      </c>
      <c r="K335" s="69"/>
    </row>
    <row r="336" spans="2:12" s="37" customFormat="1" ht="15.75">
      <c r="B336" s="48"/>
      <c r="C336" s="157" t="s">
        <v>1032</v>
      </c>
      <c r="D336" s="156">
        <f>$J$12*(F821EA!D140)</f>
        <v>0</v>
      </c>
      <c r="E336" s="156">
        <f>$J$12*(F821EA!E140)</f>
        <v>0</v>
      </c>
      <c r="F336" s="156">
        <f>$J$12*(F821EA!F140)</f>
        <v>0</v>
      </c>
      <c r="G336" s="156">
        <f>$J$12*(F821EA!G140)</f>
        <v>0</v>
      </c>
      <c r="H336" s="156">
        <f>$J$12*(F821EA!H140)</f>
        <v>0</v>
      </c>
      <c r="I336" s="156">
        <f>$J$12*(F821EA!I140)</f>
        <v>0</v>
      </c>
      <c r="J336" s="154">
        <f t="shared" si="76"/>
        <v>0</v>
      </c>
      <c r="K336" s="69"/>
    </row>
    <row r="337" spans="2:11" s="37" customFormat="1" ht="15.75">
      <c r="B337" s="48"/>
      <c r="C337" s="157" t="s">
        <v>1741</v>
      </c>
      <c r="D337" s="156">
        <f>$J$12*(F821EA!D141)</f>
        <v>0</v>
      </c>
      <c r="E337" s="156">
        <f>$J$12*(F821EA!E141)</f>
        <v>0</v>
      </c>
      <c r="F337" s="156">
        <f>$J$12*(F821EA!F141)</f>
        <v>0</v>
      </c>
      <c r="G337" s="156">
        <f>$J$12*(F821EA!G141)</f>
        <v>0</v>
      </c>
      <c r="H337" s="156">
        <f>$J$12*(F821EA!H141)</f>
        <v>0</v>
      </c>
      <c r="I337" s="156">
        <f>$J$12*(F821EA!I141)</f>
        <v>0</v>
      </c>
      <c r="J337" s="154">
        <f t="shared" si="76"/>
        <v>0</v>
      </c>
      <c r="K337" s="69"/>
    </row>
    <row r="338" spans="2:11" s="37" customFormat="1" ht="15.75">
      <c r="B338" s="48"/>
      <c r="C338" s="157" t="s">
        <v>1741</v>
      </c>
      <c r="D338" s="156">
        <f>$J$12*(F821EA!D142)</f>
        <v>0</v>
      </c>
      <c r="E338" s="156">
        <f>$J$12*(F821EA!E142)</f>
        <v>0</v>
      </c>
      <c r="F338" s="156">
        <f>$J$12*(F821EA!F142)</f>
        <v>0</v>
      </c>
      <c r="G338" s="156">
        <f>$J$12*(F821EA!G142)</f>
        <v>0</v>
      </c>
      <c r="H338" s="156">
        <f>$J$12*(F821EA!H142)</f>
        <v>0</v>
      </c>
      <c r="I338" s="156">
        <f>$J$12*(F821EA!I142)</f>
        <v>0</v>
      </c>
      <c r="J338" s="154">
        <f t="shared" si="76"/>
        <v>0</v>
      </c>
      <c r="K338" s="69"/>
    </row>
    <row r="339" spans="2:11" s="37" customFormat="1" ht="15.75">
      <c r="B339" s="48"/>
      <c r="C339" s="157" t="s">
        <v>1741</v>
      </c>
      <c r="D339" s="156">
        <f>$J$12*(F821EA!D143)</f>
        <v>0</v>
      </c>
      <c r="E339" s="156">
        <f>$J$12*(F821EA!E143)</f>
        <v>0</v>
      </c>
      <c r="F339" s="156">
        <f>$J$12*(F821EA!F143)</f>
        <v>0</v>
      </c>
      <c r="G339" s="156">
        <f>$J$12*(F821EA!G143)</f>
        <v>0</v>
      </c>
      <c r="H339" s="156">
        <f>$J$12*(F821EA!H143)</f>
        <v>0</v>
      </c>
      <c r="I339" s="156">
        <f>$J$12*(F821EA!I143)</f>
        <v>0</v>
      </c>
      <c r="J339" s="154">
        <f t="shared" si="76"/>
        <v>0</v>
      </c>
      <c r="K339" s="69"/>
    </row>
    <row r="340" spans="2:11" s="37" customFormat="1" ht="15.75">
      <c r="B340" s="48"/>
      <c r="C340" s="157" t="s">
        <v>1741</v>
      </c>
      <c r="D340" s="156">
        <f>$J$12*(F821EA!D144)</f>
        <v>0</v>
      </c>
      <c r="E340" s="156">
        <f>$J$12*(F821EA!E144)</f>
        <v>0</v>
      </c>
      <c r="F340" s="156">
        <f>$J$12*(F821EA!F144)</f>
        <v>0</v>
      </c>
      <c r="G340" s="156">
        <f>$J$12*(F821EA!G144)</f>
        <v>0</v>
      </c>
      <c r="H340" s="156">
        <f>$J$12*(F821EA!H144)</f>
        <v>0</v>
      </c>
      <c r="I340" s="156">
        <f>$J$12*(F821EA!I144)</f>
        <v>0</v>
      </c>
      <c r="J340" s="154">
        <f t="shared" si="76"/>
        <v>0</v>
      </c>
      <c r="K340" s="69"/>
    </row>
    <row r="341" spans="2:11" s="37" customFormat="1" ht="15.75">
      <c r="B341" s="48"/>
      <c r="C341" s="157"/>
      <c r="D341" s="156"/>
      <c r="E341" s="156"/>
      <c r="F341" s="156"/>
      <c r="G341" s="156"/>
      <c r="H341" s="156"/>
      <c r="I341" s="156"/>
      <c r="J341" s="156">
        <f t="shared" si="76"/>
        <v>0</v>
      </c>
      <c r="K341" s="69"/>
    </row>
    <row r="342" spans="2:11" s="37" customFormat="1" ht="15.75">
      <c r="B342" s="48"/>
      <c r="C342" s="153" t="s">
        <v>112</v>
      </c>
      <c r="D342" s="154">
        <f t="shared" ref="D342:I342" si="83">D315+D321+D333</f>
        <v>0</v>
      </c>
      <c r="E342" s="154">
        <f t="shared" si="83"/>
        <v>0</v>
      </c>
      <c r="F342" s="154">
        <f t="shared" si="83"/>
        <v>0</v>
      </c>
      <c r="G342" s="154">
        <f t="shared" si="83"/>
        <v>0</v>
      </c>
      <c r="H342" s="154">
        <f t="shared" si="83"/>
        <v>0</v>
      </c>
      <c r="I342" s="154">
        <f t="shared" si="83"/>
        <v>0</v>
      </c>
      <c r="J342" s="154">
        <f t="shared" si="76"/>
        <v>0</v>
      </c>
      <c r="K342" s="69"/>
    </row>
    <row r="343" spans="2:11" s="37" customFormat="1" ht="13.5">
      <c r="B343" s="48"/>
      <c r="C343" s="48"/>
      <c r="D343" s="48"/>
      <c r="E343" s="48"/>
      <c r="F343" s="48"/>
      <c r="G343" s="48"/>
      <c r="H343" s="48"/>
      <c r="I343" s="48"/>
      <c r="J343" s="48"/>
      <c r="K343" s="48"/>
    </row>
    <row r="344" spans="2:11" s="37" customFormat="1" ht="54" customHeight="1">
      <c r="B344" s="48"/>
      <c r="C344" s="320" t="s">
        <v>663</v>
      </c>
      <c r="D344" s="320"/>
      <c r="E344" s="320"/>
      <c r="F344" s="320"/>
      <c r="G344" s="320"/>
      <c r="H344" s="320"/>
      <c r="I344" s="320"/>
      <c r="J344" s="321"/>
      <c r="K344" s="69"/>
    </row>
    <row r="345" spans="2:11" s="37" customFormat="1" ht="15.75">
      <c r="B345" s="48"/>
      <c r="C345" s="150" t="s">
        <v>310</v>
      </c>
      <c r="D345" s="151">
        <f t="shared" ref="D345:I345" si="84">D$29</f>
        <v>45839</v>
      </c>
      <c r="E345" s="151">
        <f t="shared" si="84"/>
        <v>45870</v>
      </c>
      <c r="F345" s="151">
        <f t="shared" si="84"/>
        <v>45901</v>
      </c>
      <c r="G345" s="151">
        <f t="shared" si="84"/>
        <v>45931</v>
      </c>
      <c r="H345" s="151">
        <f t="shared" si="84"/>
        <v>45962</v>
      </c>
      <c r="I345" s="151">
        <f t="shared" si="84"/>
        <v>45992</v>
      </c>
      <c r="J345" s="152" t="s">
        <v>111</v>
      </c>
      <c r="K345" s="69"/>
    </row>
    <row r="346" spans="2:11">
      <c r="C346" s="153" t="s">
        <v>446</v>
      </c>
      <c r="D346" s="154">
        <f t="shared" ref="D346:I346" si="85">SUM(D347:D348)</f>
        <v>88463.942588571197</v>
      </c>
      <c r="E346" s="154">
        <f t="shared" si="85"/>
        <v>84364.50575687681</v>
      </c>
      <c r="F346" s="154">
        <f t="shared" si="85"/>
        <v>93692.144493282627</v>
      </c>
      <c r="G346" s="154">
        <f t="shared" si="85"/>
        <v>110471.76694296309</v>
      </c>
      <c r="H346" s="154">
        <f t="shared" si="85"/>
        <v>102286.20787734607</v>
      </c>
      <c r="I346" s="154">
        <f t="shared" si="85"/>
        <v>114103.31873420737</v>
      </c>
      <c r="J346" s="154">
        <f t="shared" ref="J346:J373" si="86">SUM(D346:I346)</f>
        <v>593381.88639324717</v>
      </c>
    </row>
    <row r="347" spans="2:11">
      <c r="B347" s="48" t="s">
        <v>870</v>
      </c>
      <c r="C347" s="157" t="s">
        <v>1865</v>
      </c>
      <c r="D347" s="156">
        <f>F821D!D116*0*(1+D$25)*(1+D$26)</f>
        <v>0</v>
      </c>
      <c r="E347" s="156">
        <f>F821D!E116*0*(1+E$25)*(1+E$26)</f>
        <v>0</v>
      </c>
      <c r="F347" s="156">
        <f>F821D!F116*0*(1+F$25)*(1+F$26)</f>
        <v>0</v>
      </c>
      <c r="G347" s="156">
        <f>F821D!G116*0*(1+G$25)*(1+G$26)</f>
        <v>0</v>
      </c>
      <c r="H347" s="156">
        <f>F821D!H116*0*(1+H$25)*(1+H$26)</f>
        <v>0</v>
      </c>
      <c r="I347" s="156">
        <f>F821D!I116*0*(1+I$25)*(1+I$26)</f>
        <v>0</v>
      </c>
      <c r="J347" s="154">
        <f t="shared" si="86"/>
        <v>0</v>
      </c>
    </row>
    <row r="348" spans="2:11">
      <c r="B348" s="48" t="s">
        <v>871</v>
      </c>
      <c r="C348" s="335" t="s">
        <v>193</v>
      </c>
      <c r="D348" s="154">
        <f t="shared" ref="D348:I348" si="87">D349+D350</f>
        <v>88463.942588571197</v>
      </c>
      <c r="E348" s="154">
        <f t="shared" si="87"/>
        <v>84364.50575687681</v>
      </c>
      <c r="F348" s="154">
        <f t="shared" si="87"/>
        <v>93692.144493282627</v>
      </c>
      <c r="G348" s="154">
        <f t="shared" si="87"/>
        <v>110471.76694296309</v>
      </c>
      <c r="H348" s="154">
        <f t="shared" si="87"/>
        <v>102286.20787734607</v>
      </c>
      <c r="I348" s="154">
        <f t="shared" si="87"/>
        <v>114103.31873420737</v>
      </c>
      <c r="J348" s="154">
        <f t="shared" si="86"/>
        <v>593381.88639324717</v>
      </c>
    </row>
    <row r="349" spans="2:11">
      <c r="C349" s="157" t="s">
        <v>1864</v>
      </c>
      <c r="D349" s="156">
        <f>F821D!D118*0</f>
        <v>0</v>
      </c>
      <c r="E349" s="156">
        <f>F821D!E118*0</f>
        <v>0</v>
      </c>
      <c r="F349" s="156">
        <f>F821D!F118*0</f>
        <v>0</v>
      </c>
      <c r="G349" s="156">
        <f>F821D!G118*0</f>
        <v>0</v>
      </c>
      <c r="H349" s="156">
        <f>F821D!H118*0</f>
        <v>0</v>
      </c>
      <c r="I349" s="156">
        <f>F821D!I118*0</f>
        <v>0</v>
      </c>
      <c r="J349" s="154">
        <f t="shared" si="86"/>
        <v>0</v>
      </c>
    </row>
    <row r="350" spans="2:11">
      <c r="C350" s="157" t="s">
        <v>1864</v>
      </c>
      <c r="D350" s="156">
        <f>F821D!D119*$D$21*(1+D$25)*(1+D$26)</f>
        <v>88463.942588571197</v>
      </c>
      <c r="E350" s="156">
        <f>F821D!E119*$D$21*(1+E$25)*(1+E$26)</f>
        <v>84364.50575687681</v>
      </c>
      <c r="F350" s="156">
        <f>F821D!F119*$D$21*(1+F$25)*(1+F$26)</f>
        <v>93692.144493282627</v>
      </c>
      <c r="G350" s="156">
        <f>F821D!G119*$D$21*(1+G$25)*(1+G$26)</f>
        <v>110471.76694296309</v>
      </c>
      <c r="H350" s="156">
        <f>F821D!H119*$D$21*(1+H$25)*(1+H$26)</f>
        <v>102286.20787734607</v>
      </c>
      <c r="I350" s="156">
        <f>F821D!I119*$D$21*(1+I$25)*(1+I$26)</f>
        <v>114103.31873420737</v>
      </c>
      <c r="J350" s="154">
        <f t="shared" si="86"/>
        <v>593381.88639324717</v>
      </c>
    </row>
    <row r="351" spans="2:11">
      <c r="C351" s="153" t="s">
        <v>942</v>
      </c>
      <c r="D351" s="156"/>
      <c r="E351" s="156"/>
      <c r="F351" s="156"/>
      <c r="G351" s="156"/>
      <c r="H351" s="156"/>
      <c r="I351" s="156"/>
      <c r="J351" s="154">
        <f t="shared" si="86"/>
        <v>0</v>
      </c>
    </row>
    <row r="352" spans="2:11">
      <c r="C352" s="153" t="s">
        <v>630</v>
      </c>
      <c r="D352" s="154">
        <f t="shared" ref="D352:I352" si="88">D353+D358</f>
        <v>1425506.5261442969</v>
      </c>
      <c r="E352" s="154">
        <f t="shared" si="88"/>
        <v>1392290.4284736642</v>
      </c>
      <c r="F352" s="154">
        <f t="shared" si="88"/>
        <v>1454984.065967503</v>
      </c>
      <c r="G352" s="154">
        <f t="shared" si="88"/>
        <v>1453617.1034793647</v>
      </c>
      <c r="H352" s="154">
        <f t="shared" si="88"/>
        <v>1450762.2986272995</v>
      </c>
      <c r="I352" s="154">
        <f t="shared" si="88"/>
        <v>1462988.3576472267</v>
      </c>
      <c r="J352" s="154">
        <f t="shared" si="86"/>
        <v>8640148.7803393546</v>
      </c>
    </row>
    <row r="353" spans="2:10">
      <c r="B353" s="48" t="s">
        <v>872</v>
      </c>
      <c r="C353" s="335" t="s">
        <v>1073</v>
      </c>
      <c r="D353" s="154">
        <f t="shared" ref="D353:I353" si="89">SUM(D354:D357)</f>
        <v>274113.46997531981</v>
      </c>
      <c r="E353" s="154">
        <f t="shared" si="89"/>
        <v>266778.14661229611</v>
      </c>
      <c r="F353" s="154">
        <f t="shared" si="89"/>
        <v>278642.34792860434</v>
      </c>
      <c r="G353" s="154">
        <f t="shared" si="89"/>
        <v>281153.343131823</v>
      </c>
      <c r="H353" s="154">
        <f t="shared" si="89"/>
        <v>271499.34399068053</v>
      </c>
      <c r="I353" s="154">
        <f t="shared" si="89"/>
        <v>281478.92221169372</v>
      </c>
      <c r="J353" s="154">
        <f t="shared" si="86"/>
        <v>1653665.5738504175</v>
      </c>
    </row>
    <row r="354" spans="2:10">
      <c r="C354" s="157" t="s">
        <v>1862</v>
      </c>
      <c r="D354" s="156">
        <f>F821D!D124*$D21*(1+D$25)*(1+D$26)</f>
        <v>147577.48751444268</v>
      </c>
      <c r="E354" s="156">
        <f>F821D!E124*$D21*(1+E$25)*(1+E$26)</f>
        <v>139034.43257356223</v>
      </c>
      <c r="F354" s="156">
        <f>F821D!F124*$D21*(1+F$25)*(1+F$26)</f>
        <v>139996.16139148886</v>
      </c>
      <c r="G354" s="156">
        <f>F821D!G124*$D21*(1+G$25)*(1+G$26)</f>
        <v>138294.95825468624</v>
      </c>
      <c r="H354" s="156">
        <f>F821D!H124*$D21*(1+H$25)*(1+H$26)</f>
        <v>136734.92936715129</v>
      </c>
      <c r="I354" s="156">
        <f>F821D!I124*$D21*(1+I$25)*(1+I$26)</f>
        <v>134245.59094279734</v>
      </c>
      <c r="J354" s="154">
        <f t="shared" si="86"/>
        <v>835883.56004412856</v>
      </c>
    </row>
    <row r="355" spans="2:10">
      <c r="C355" s="157" t="s">
        <v>1862</v>
      </c>
      <c r="D355" s="156">
        <f>F821D!D125*$D22*(1+D$25)*(1+D$26)</f>
        <v>14683.554829563986</v>
      </c>
      <c r="E355" s="156">
        <f>F821D!E125*$D22*(1+E$25)*(1+E$26)</f>
        <v>15523.515665330402</v>
      </c>
      <c r="F355" s="156">
        <f>F821D!F125*$D22*(1+F$25)*(1+F$26)</f>
        <v>15275.5837153789</v>
      </c>
      <c r="G355" s="156">
        <f>F821D!G125*$D22*(1+G$25)*(1+G$26)</f>
        <v>16671.918485149203</v>
      </c>
      <c r="H355" s="156">
        <f>F821D!H125*$D22*(1+H$25)*(1+H$26)</f>
        <v>16057.22740211117</v>
      </c>
      <c r="I355" s="156">
        <f>F821D!I125*$D22*(1+I$25)*(1+I$26)</f>
        <v>14999.83110121205</v>
      </c>
      <c r="J355" s="154">
        <f t="shared" si="86"/>
        <v>93211.631198745716</v>
      </c>
    </row>
    <row r="356" spans="2:10">
      <c r="C356" s="157" t="s">
        <v>1862</v>
      </c>
      <c r="D356" s="156">
        <f>F821D!D126*$D23*(1+D$25)*(1+D$26)</f>
        <v>3350.2903614281918</v>
      </c>
      <c r="E356" s="156">
        <f>F821D!E126*$D23*(1+E$25)*(1+E$26)</f>
        <v>3331.2042720436484</v>
      </c>
      <c r="F356" s="156">
        <f>F821D!F126*$D23*(1+F$25)*(1+F$26)</f>
        <v>3278.7785390796803</v>
      </c>
      <c r="G356" s="156">
        <f>F821D!G126*$D23*(1+G$25)*(1+G$26)</f>
        <v>3300.9244126302083</v>
      </c>
      <c r="H356" s="156">
        <f>F821D!H126*$D23*(1+H$25)*(1+H$26)</f>
        <v>3242.2813317935047</v>
      </c>
      <c r="I356" s="156">
        <f>F821D!I126*$D23*(1+I$25)*(1+I$26)</f>
        <v>3216.4254003831043</v>
      </c>
      <c r="J356" s="154">
        <f>SUM(D356:I356)</f>
        <v>19719.904317358338</v>
      </c>
    </row>
    <row r="357" spans="2:10">
      <c r="C357" s="157" t="s">
        <v>1862</v>
      </c>
      <c r="D357" s="156">
        <f>F821D!D127*$D24*(1+D$25)*(1+D$26)</f>
        <v>108502.13726988493</v>
      </c>
      <c r="E357" s="156">
        <f>F821D!E127*$D24*(1+E$25)*(1+E$26)</f>
        <v>108888.9941013598</v>
      </c>
      <c r="F357" s="156">
        <f>F821D!F127*$D24*(1+F$25)*(1+F$26)</f>
        <v>120091.82428265693</v>
      </c>
      <c r="G357" s="156">
        <f>F821D!G127*$D24*(1+G$25)*(1+G$26)</f>
        <v>122885.54197935734</v>
      </c>
      <c r="H357" s="156">
        <f>F821D!H127*$D24*(1+H$25)*(1+H$26)</f>
        <v>115464.90588962461</v>
      </c>
      <c r="I357" s="156">
        <f>F821D!I127*$D24*(1+I$25)*(1+I$26)</f>
        <v>129017.07476730121</v>
      </c>
      <c r="J357" s="154">
        <f>SUM(D357:I357)</f>
        <v>704850.47829018487</v>
      </c>
    </row>
    <row r="358" spans="2:10">
      <c r="B358" s="48" t="s">
        <v>873</v>
      </c>
      <c r="C358" s="335" t="s">
        <v>193</v>
      </c>
      <c r="D358" s="154">
        <f t="shared" ref="D358:I358" si="90">SUM(D359:D363)</f>
        <v>1151393.0561689772</v>
      </c>
      <c r="E358" s="154">
        <f t="shared" si="90"/>
        <v>1125512.2818613681</v>
      </c>
      <c r="F358" s="154">
        <f t="shared" si="90"/>
        <v>1176341.7180388987</v>
      </c>
      <c r="G358" s="154">
        <f t="shared" si="90"/>
        <v>1172463.7603475417</v>
      </c>
      <c r="H358" s="154">
        <f t="shared" si="90"/>
        <v>1179262.954636619</v>
      </c>
      <c r="I358" s="154">
        <f t="shared" si="90"/>
        <v>1181509.4354355331</v>
      </c>
      <c r="J358" s="154">
        <f t="shared" si="86"/>
        <v>6986483.2064889371</v>
      </c>
    </row>
    <row r="359" spans="2:10">
      <c r="C359" s="157" t="s">
        <v>1863</v>
      </c>
      <c r="D359" s="156">
        <f>F821D!D129*0</f>
        <v>0</v>
      </c>
      <c r="E359" s="156">
        <f>F821D!E129*0</f>
        <v>0</v>
      </c>
      <c r="F359" s="156">
        <f>F821D!F129*0</f>
        <v>0</v>
      </c>
      <c r="G359" s="156">
        <f>F821D!G129*0</f>
        <v>0</v>
      </c>
      <c r="H359" s="156">
        <f>F821D!H129*0</f>
        <v>0</v>
      </c>
      <c r="I359" s="156">
        <f>F821D!I129*0</f>
        <v>0</v>
      </c>
      <c r="J359" s="154">
        <f t="shared" si="86"/>
        <v>0</v>
      </c>
    </row>
    <row r="360" spans="2:10">
      <c r="C360" s="157" t="s">
        <v>1863</v>
      </c>
      <c r="D360" s="156">
        <f>F821D!D130*$D21*(1+D$25)*(1+D$26)</f>
        <v>665665.17241020279</v>
      </c>
      <c r="E360" s="156">
        <f>F821D!E130*$D21*(1+E$25)*(1+E$26)</f>
        <v>641772.01572095056</v>
      </c>
      <c r="F360" s="156">
        <f>F821D!F130*$D21*(1+F$25)*(1+F$26)</f>
        <v>599111.07819421613</v>
      </c>
      <c r="G360" s="156">
        <f>F821D!G130*$D21*(1+G$25)*(1+G$26)</f>
        <v>608041.10563083331</v>
      </c>
      <c r="H360" s="156">
        <f>F821D!H130*$D21*(1+H$25)*(1+H$26)</f>
        <v>605219.64380116132</v>
      </c>
      <c r="I360" s="156">
        <f>F821D!I130*$D21*(1+I$25)*(1+I$26)</f>
        <v>588259.34853637801</v>
      </c>
      <c r="J360" s="154">
        <f t="shared" si="86"/>
        <v>3708068.364293742</v>
      </c>
    </row>
    <row r="361" spans="2:10">
      <c r="C361" s="157" t="s">
        <v>1863</v>
      </c>
      <c r="D361" s="156">
        <f>F821D!D131*$D22*(1+D$25)*(1+D$26)</f>
        <v>64991.006466552135</v>
      </c>
      <c r="E361" s="156">
        <f>F821D!E131*$D22*(1+E$25)*(1+E$26)</f>
        <v>61175.404503021797</v>
      </c>
      <c r="F361" s="156">
        <f>F821D!F131*$D22*(1+F$25)*(1+F$26)</f>
        <v>73587.814178842149</v>
      </c>
      <c r="G361" s="156">
        <f>F821D!G131*$D22*(1+G$25)*(1+G$26)</f>
        <v>61860.248284148183</v>
      </c>
      <c r="H361" s="156">
        <f>F821D!H131*$D22*(1+H$25)*(1+H$26)</f>
        <v>59527.468122245402</v>
      </c>
      <c r="I361" s="156">
        <f>F821D!I131*$D22*(1+I$25)*(1+I$26)</f>
        <v>67373.352152563777</v>
      </c>
      <c r="J361" s="154">
        <f t="shared" si="86"/>
        <v>388515.29370737344</v>
      </c>
    </row>
    <row r="362" spans="2:10">
      <c r="C362" s="157" t="s">
        <v>1863</v>
      </c>
      <c r="D362" s="156">
        <f>F821D!D132*$D23*(1+D$25)*(1+D$26)</f>
        <v>50980.081475865372</v>
      </c>
      <c r="E362" s="156">
        <f>F821D!E132*$D23*(1+E$25)*(1+E$26)</f>
        <v>51483.946064609256</v>
      </c>
      <c r="F362" s="156">
        <f>F821D!F132*$D23*(1+F$25)*(1+F$26)</f>
        <v>51801.249617652087</v>
      </c>
      <c r="G362" s="156">
        <f>F821D!G132*$D23*(1+G$25)*(1+G$26)</f>
        <v>50479.014846977094</v>
      </c>
      <c r="H362" s="156">
        <f>F821D!H132*$D23*(1+H$25)*(1+H$26)</f>
        <v>50463.563890885598</v>
      </c>
      <c r="I362" s="156">
        <f>F821D!I132*$D23*(1+I$25)*(1+I$26)</f>
        <v>49750.611921454081</v>
      </c>
      <c r="J362" s="154">
        <f t="shared" si="86"/>
        <v>304958.46781744354</v>
      </c>
    </row>
    <row r="363" spans="2:10">
      <c r="C363" s="157" t="s">
        <v>1863</v>
      </c>
      <c r="D363" s="156">
        <f>F821D!D133*$D24*(1+D$25)*(1+D$26)</f>
        <v>369756.79581635701</v>
      </c>
      <c r="E363" s="156">
        <f>F821D!E133*$D24*(1+E$25)*(1+E$26)</f>
        <v>371080.91557278647</v>
      </c>
      <c r="F363" s="156">
        <f>F821D!F133*$D24*(1+F$25)*(1+F$26)</f>
        <v>451841.57604818838</v>
      </c>
      <c r="G363" s="156">
        <f>F821D!G133*$D24*(1+G$25)*(1+G$26)</f>
        <v>452083.3915855831</v>
      </c>
      <c r="H363" s="156">
        <f>F821D!H133*$D24*(1+H$25)*(1+H$26)</f>
        <v>464052.2788223268</v>
      </c>
      <c r="I363" s="156">
        <f>F821D!I133*$D24*(1+I$25)*(1+I$26)</f>
        <v>476126.12282513722</v>
      </c>
      <c r="J363" s="154">
        <f t="shared" si="86"/>
        <v>2584941.0806703791</v>
      </c>
    </row>
    <row r="364" spans="2:10">
      <c r="C364" s="153" t="s">
        <v>443</v>
      </c>
      <c r="D364" s="154">
        <f t="shared" ref="D364:I364" si="91">SUM(D365:D366)</f>
        <v>243129.95893005232</v>
      </c>
      <c r="E364" s="154">
        <f t="shared" si="91"/>
        <v>242308.28549732544</v>
      </c>
      <c r="F364" s="154">
        <f t="shared" si="91"/>
        <v>253525.55334883087</v>
      </c>
      <c r="G364" s="154">
        <f t="shared" si="91"/>
        <v>256467.77256229325</v>
      </c>
      <c r="H364" s="154">
        <f t="shared" si="91"/>
        <v>264952.84984345135</v>
      </c>
      <c r="I364" s="154">
        <f t="shared" si="91"/>
        <v>279063.77314697567</v>
      </c>
      <c r="J364" s="154">
        <f t="shared" si="86"/>
        <v>1539448.1933289287</v>
      </c>
    </row>
    <row r="365" spans="2:10">
      <c r="B365" s="48" t="s">
        <v>874</v>
      </c>
      <c r="C365" s="157" t="s">
        <v>1742</v>
      </c>
      <c r="D365" s="156">
        <f>F821D!D137*$D21*(1+D$25)*(1+D$26)</f>
        <v>6591.3670670864412</v>
      </c>
      <c r="E365" s="156">
        <f>F821D!E137*$D21*(1+E$25)*(1+E$26)</f>
        <v>6134.9618270776464</v>
      </c>
      <c r="F365" s="156">
        <f>F821D!F137*$D21*(1+F$25)*(1+F$26)</f>
        <v>6331.6638741755369</v>
      </c>
      <c r="G365" s="156">
        <f>F821D!G137*$D21*(1+G$25)*(1+G$26)</f>
        <v>6326.1817177915555</v>
      </c>
      <c r="H365" s="156">
        <f>F821D!H137*$D21*(1+H$25)*(1+H$26)</f>
        <v>6526.6670718676705</v>
      </c>
      <c r="I365" s="156">
        <f>F821D!I137*$D21*(1+I$25)*(1+I$26)</f>
        <v>6472.7293053396334</v>
      </c>
      <c r="J365" s="154">
        <f t="shared" si="86"/>
        <v>38383.570863338486</v>
      </c>
    </row>
    <row r="366" spans="2:10">
      <c r="B366" s="48" t="s">
        <v>875</v>
      </c>
      <c r="C366" s="335" t="s">
        <v>193</v>
      </c>
      <c r="D366" s="154">
        <f t="shared" ref="D366:I366" si="92">SUM(D367:D372)</f>
        <v>236538.59186296587</v>
      </c>
      <c r="E366" s="154">
        <f t="shared" si="92"/>
        <v>236173.3236702478</v>
      </c>
      <c r="F366" s="154">
        <f t="shared" si="92"/>
        <v>247193.88947465533</v>
      </c>
      <c r="G366" s="154">
        <f t="shared" si="92"/>
        <v>250141.59084450168</v>
      </c>
      <c r="H366" s="154">
        <f t="shared" si="92"/>
        <v>258426.18277158367</v>
      </c>
      <c r="I366" s="154">
        <f t="shared" si="92"/>
        <v>272591.04384163604</v>
      </c>
      <c r="J366" s="154">
        <f t="shared" si="86"/>
        <v>1501064.6224655902</v>
      </c>
    </row>
    <row r="367" spans="2:10">
      <c r="C367" s="157" t="s">
        <v>1032</v>
      </c>
      <c r="D367" s="156">
        <f>F821D!D140*0</f>
        <v>0</v>
      </c>
      <c r="E367" s="156">
        <f>F821D!E140*0</f>
        <v>0</v>
      </c>
      <c r="F367" s="156">
        <f>F821D!F140*0</f>
        <v>0</v>
      </c>
      <c r="G367" s="156">
        <f>F821D!G140*0</f>
        <v>0</v>
      </c>
      <c r="H367" s="156">
        <f>F821D!H140*0</f>
        <v>0</v>
      </c>
      <c r="I367" s="156">
        <f>F821D!I140*0</f>
        <v>0</v>
      </c>
      <c r="J367" s="154">
        <f t="shared" si="86"/>
        <v>0</v>
      </c>
    </row>
    <row r="368" spans="2:10">
      <c r="C368" s="157" t="s">
        <v>1741</v>
      </c>
      <c r="D368" s="156">
        <f>F821D!D141*$D21*(1+D$25)*(1+D$26)</f>
        <v>135567.76917921801</v>
      </c>
      <c r="E368" s="156">
        <f>F821D!E141*$D21*(1+E$25)*(1+E$26)</f>
        <v>134083.84450597616</v>
      </c>
      <c r="F368" s="156">
        <f>F821D!F141*$D21*(1+F$25)*(1+F$26)</f>
        <v>132620.72387666116</v>
      </c>
      <c r="G368" s="156">
        <f>F821D!G141*$D21*(1+G$25)*(1+G$26)</f>
        <v>131355.63288405963</v>
      </c>
      <c r="H368" s="156">
        <f>F821D!H141*$D21*(1+H$25)*(1+H$26)</f>
        <v>131324.5911000084</v>
      </c>
      <c r="I368" s="156">
        <f>F821D!I141*$D21*(1+I$25)*(1+I$26)</f>
        <v>134248.64175096049</v>
      </c>
      <c r="J368" s="154">
        <f t="shared" si="86"/>
        <v>799201.20329688385</v>
      </c>
    </row>
    <row r="369" spans="2:10">
      <c r="C369" s="157" t="s">
        <v>1741</v>
      </c>
      <c r="D369" s="156">
        <f>F821D!D142*$D22*(1+D$25)*(1+D$26)</f>
        <v>4442.0009754353705</v>
      </c>
      <c r="E369" s="156">
        <f>F821D!E142*$D22*(1+E$25)*(1+E$26)</f>
        <v>4636.6525129271258</v>
      </c>
      <c r="F369" s="156">
        <f>F821D!F142*$D22*(1+F$25)*(1+F$26)</f>
        <v>4332.9818042168117</v>
      </c>
      <c r="G369" s="156">
        <f>F821D!G142*$D22*(1+G$25)*(1+G$26)</f>
        <v>4271.4880891975663</v>
      </c>
      <c r="H369" s="156">
        <f>F821D!H142*$D22*(1+H$25)*(1+H$26)</f>
        <v>4378.6419027414349</v>
      </c>
      <c r="I369" s="156">
        <f>F821D!I142*$D22*(1+I$25)*(1+I$26)</f>
        <v>4109.3290678678068</v>
      </c>
      <c r="J369" s="154">
        <f t="shared" si="86"/>
        <v>26171.094352386113</v>
      </c>
    </row>
    <row r="370" spans="2:10">
      <c r="C370" s="157" t="s">
        <v>1741</v>
      </c>
      <c r="D370" s="156">
        <f>F821D!D143*$D23*(1+D$25)*(1+D$26)</f>
        <v>35600.227757746041</v>
      </c>
      <c r="E370" s="156">
        <f>F821D!E143*$D23*(1+E$25)*(1+E$26)</f>
        <v>35906.005494897014</v>
      </c>
      <c r="F370" s="156">
        <f>F821D!F143*$D23*(1+F$25)*(1+F$26)</f>
        <v>34890.475361166886</v>
      </c>
      <c r="G370" s="156">
        <f>F821D!G143*$D23*(1+G$25)*(1+G$26)</f>
        <v>34559.730102352005</v>
      </c>
      <c r="H370" s="156">
        <f>F821D!H143*$D23*(1+H$25)*(1+H$26)</f>
        <v>35040.5604262532</v>
      </c>
      <c r="I370" s="156">
        <f>F821D!I143*$D23*(1+I$25)*(1+I$26)</f>
        <v>33706.791190285301</v>
      </c>
      <c r="J370" s="154">
        <f t="shared" si="86"/>
        <v>209703.79033270042</v>
      </c>
    </row>
    <row r="371" spans="2:10" ht="15.6" customHeight="1">
      <c r="C371" s="157" t="s">
        <v>1741</v>
      </c>
      <c r="D371" s="156">
        <f>F821D!D144*$D24*(1+D$25)*(1+D$26)</f>
        <v>60928.593950566457</v>
      </c>
      <c r="E371" s="156">
        <f>F821D!E144*$D24*(1+E$25)*(1+E$26)</f>
        <v>61546.821156447506</v>
      </c>
      <c r="F371" s="156">
        <f>F821D!F144*$D24*(1+F$25)*(1+F$26)</f>
        <v>75349.708432610481</v>
      </c>
      <c r="G371" s="156">
        <f>F821D!G144*$D24*(1+G$25)*(1+G$26)</f>
        <v>79954.739768892483</v>
      </c>
      <c r="H371" s="156">
        <f>F821D!H144*$D24*(1+H$25)*(1+H$26)</f>
        <v>87682.389342580645</v>
      </c>
      <c r="I371" s="156">
        <f>F821D!I144*$D24*(1+I$25)*(1+I$26)</f>
        <v>100526.28183252244</v>
      </c>
      <c r="J371" s="154">
        <f t="shared" si="86"/>
        <v>465988.53448361997</v>
      </c>
    </row>
    <row r="372" spans="2:10">
      <c r="C372" s="157"/>
      <c r="D372" s="156"/>
      <c r="E372" s="156"/>
      <c r="F372" s="156"/>
      <c r="G372" s="156"/>
      <c r="H372" s="156"/>
      <c r="I372" s="156"/>
      <c r="J372" s="154">
        <f t="shared" si="86"/>
        <v>0</v>
      </c>
    </row>
    <row r="373" spans="2:10">
      <c r="C373" s="153" t="s">
        <v>112</v>
      </c>
      <c r="D373" s="154">
        <f t="shared" ref="D373:I373" si="93">D346+D352+D364</f>
        <v>1757100.4276629204</v>
      </c>
      <c r="E373" s="154">
        <f t="shared" si="93"/>
        <v>1718963.2197278666</v>
      </c>
      <c r="F373" s="154">
        <f t="shared" si="93"/>
        <v>1802201.7638096164</v>
      </c>
      <c r="G373" s="154">
        <f t="shared" si="93"/>
        <v>1820556.642984621</v>
      </c>
      <c r="H373" s="154">
        <f t="shared" si="93"/>
        <v>1818001.3563480969</v>
      </c>
      <c r="I373" s="154">
        <f t="shared" si="93"/>
        <v>1856155.4495284096</v>
      </c>
      <c r="J373" s="154">
        <f t="shared" si="86"/>
        <v>10772978.86006153</v>
      </c>
    </row>
    <row r="374" spans="2:10">
      <c r="C374" s="164"/>
      <c r="D374" s="164"/>
      <c r="E374" s="164"/>
      <c r="F374" s="164"/>
      <c r="G374" s="164"/>
      <c r="H374" s="164"/>
      <c r="I374" s="164"/>
      <c r="J374" s="164"/>
    </row>
    <row r="375" spans="2:10">
      <c r="C375" s="153" t="s">
        <v>111</v>
      </c>
      <c r="D375" s="154">
        <f t="shared" ref="D375:J375" si="94">D121+D216+D311+D342+D373</f>
        <v>11576930.354390418</v>
      </c>
      <c r="E375" s="154">
        <f t="shared" si="94"/>
        <v>11545565.819167865</v>
      </c>
      <c r="F375" s="154">
        <f t="shared" si="94"/>
        <v>11434522.146084616</v>
      </c>
      <c r="G375" s="154">
        <f t="shared" si="94"/>
        <v>11593039.610139621</v>
      </c>
      <c r="H375" s="154">
        <f t="shared" si="94"/>
        <v>11174821.024940597</v>
      </c>
      <c r="I375" s="154">
        <f t="shared" si="94"/>
        <v>11247195.251306411</v>
      </c>
      <c r="J375" s="154">
        <f t="shared" si="94"/>
        <v>68572074.206029519</v>
      </c>
    </row>
    <row r="376" spans="2:10">
      <c r="D376" s="336"/>
      <c r="E376" s="336"/>
      <c r="F376" s="336"/>
      <c r="G376" s="336"/>
      <c r="H376" s="336"/>
      <c r="I376" s="336"/>
    </row>
    <row r="377" spans="2:10">
      <c r="C377" s="52" t="str">
        <f>'PORTADA PORTADA PORTADA'!B23</f>
        <v>1 DE JULIO DE 2026</v>
      </c>
    </row>
    <row r="381" spans="2:10">
      <c r="B381" s="48" t="s">
        <v>902</v>
      </c>
      <c r="D381" s="64">
        <f t="shared" ref="D381:J390" si="95">SUMIF($B$29:$B$375,$B381,D$29:D$375)</f>
        <v>494475.81369999994</v>
      </c>
      <c r="E381" s="64">
        <f t="shared" si="95"/>
        <v>486044.17097500002</v>
      </c>
      <c r="F381" s="64">
        <f t="shared" si="95"/>
        <v>500710.70032499998</v>
      </c>
      <c r="G381" s="64">
        <f t="shared" si="95"/>
        <v>491759.79985000001</v>
      </c>
      <c r="H381" s="64">
        <f t="shared" si="95"/>
        <v>458747.25737499999</v>
      </c>
      <c r="I381" s="64">
        <f t="shared" si="95"/>
        <v>497537.32022499992</v>
      </c>
      <c r="J381" s="64">
        <f t="shared" si="95"/>
        <v>2929275.0624499996</v>
      </c>
    </row>
    <row r="382" spans="2:10">
      <c r="B382" s="48" t="s">
        <v>751</v>
      </c>
      <c r="D382" s="64">
        <f t="shared" si="95"/>
        <v>1331002.7854749998</v>
      </c>
      <c r="E382" s="64">
        <f t="shared" si="95"/>
        <v>1323177.4305199999</v>
      </c>
      <c r="F382" s="64">
        <f t="shared" si="95"/>
        <v>1343196.0094299999</v>
      </c>
      <c r="G382" s="64">
        <f t="shared" si="95"/>
        <v>1335173.9094100001</v>
      </c>
      <c r="H382" s="64">
        <f t="shared" si="95"/>
        <v>1370356.197375</v>
      </c>
      <c r="I382" s="64">
        <f t="shared" si="95"/>
        <v>1351288.1491449999</v>
      </c>
      <c r="J382" s="64">
        <f t="shared" si="95"/>
        <v>8054194.4813550003</v>
      </c>
    </row>
    <row r="383" spans="2:10">
      <c r="B383" s="48" t="s">
        <v>750</v>
      </c>
      <c r="D383" s="64">
        <f t="shared" si="95"/>
        <v>1507428.765315</v>
      </c>
      <c r="E383" s="64">
        <f t="shared" si="95"/>
        <v>1524532.6262650001</v>
      </c>
      <c r="F383" s="64">
        <f t="shared" si="95"/>
        <v>1483724.2475000001</v>
      </c>
      <c r="G383" s="64">
        <f t="shared" si="95"/>
        <v>1482133.3409849999</v>
      </c>
      <c r="H383" s="64">
        <f t="shared" si="95"/>
        <v>1430203.126165</v>
      </c>
      <c r="I383" s="64">
        <f t="shared" si="95"/>
        <v>1396581.6582849999</v>
      </c>
      <c r="J383" s="64">
        <f t="shared" si="95"/>
        <v>8824603.7645149995</v>
      </c>
    </row>
    <row r="384" spans="2:10">
      <c r="B384" s="48" t="s">
        <v>749</v>
      </c>
      <c r="D384" s="64">
        <f t="shared" si="95"/>
        <v>1821497.5946749998</v>
      </c>
      <c r="E384" s="64">
        <f t="shared" si="95"/>
        <v>1812517.8609449998</v>
      </c>
      <c r="F384" s="64">
        <f t="shared" si="95"/>
        <v>1769129.1931500004</v>
      </c>
      <c r="G384" s="64">
        <f t="shared" si="95"/>
        <v>1793847.5534099999</v>
      </c>
      <c r="H384" s="64">
        <f t="shared" si="95"/>
        <v>1653135.59818</v>
      </c>
      <c r="I384" s="64">
        <f t="shared" si="95"/>
        <v>1715996.1247</v>
      </c>
      <c r="J384" s="64">
        <f t="shared" si="95"/>
        <v>10566123.925059998</v>
      </c>
    </row>
    <row r="385" spans="2:10">
      <c r="B385" s="48" t="s">
        <v>1176</v>
      </c>
      <c r="D385" s="64">
        <f t="shared" si="95"/>
        <v>0</v>
      </c>
      <c r="E385" s="64">
        <f t="shared" si="95"/>
        <v>0</v>
      </c>
      <c r="F385" s="64">
        <f t="shared" si="95"/>
        <v>0</v>
      </c>
      <c r="G385" s="64">
        <f t="shared" si="95"/>
        <v>0</v>
      </c>
      <c r="H385" s="64">
        <f t="shared" si="95"/>
        <v>0</v>
      </c>
      <c r="I385" s="64">
        <f t="shared" si="95"/>
        <v>0</v>
      </c>
      <c r="J385" s="64">
        <f t="shared" si="95"/>
        <v>0</v>
      </c>
    </row>
    <row r="386" spans="2:10">
      <c r="B386" s="48" t="s">
        <v>274</v>
      </c>
      <c r="D386" s="64">
        <f t="shared" si="95"/>
        <v>3025082.5893199993</v>
      </c>
      <c r="E386" s="64">
        <f t="shared" si="95"/>
        <v>3017935.31861</v>
      </c>
      <c r="F386" s="64">
        <f t="shared" si="95"/>
        <v>2916782.0362900002</v>
      </c>
      <c r="G386" s="64">
        <f t="shared" si="95"/>
        <v>3013595.9986300007</v>
      </c>
      <c r="H386" s="64">
        <f t="shared" si="95"/>
        <v>2862048.7122100005</v>
      </c>
      <c r="I386" s="64">
        <f t="shared" si="95"/>
        <v>2848353.0292230002</v>
      </c>
      <c r="J386" s="64">
        <f t="shared" si="95"/>
        <v>17683797.684282999</v>
      </c>
    </row>
    <row r="387" spans="2:10">
      <c r="B387" s="48" t="s">
        <v>275</v>
      </c>
      <c r="D387" s="64">
        <f t="shared" si="95"/>
        <v>110885.65019249999</v>
      </c>
      <c r="E387" s="64">
        <f t="shared" si="95"/>
        <v>110315.97753</v>
      </c>
      <c r="F387" s="64">
        <f t="shared" si="95"/>
        <v>109173.46744499999</v>
      </c>
      <c r="G387" s="64">
        <f t="shared" si="95"/>
        <v>111930.76761</v>
      </c>
      <c r="H387" s="64">
        <f t="shared" si="95"/>
        <v>111269.91987750001</v>
      </c>
      <c r="I387" s="64">
        <f t="shared" si="95"/>
        <v>116147.465715</v>
      </c>
      <c r="J387" s="64">
        <f t="shared" si="95"/>
        <v>669723.24836999993</v>
      </c>
    </row>
    <row r="388" spans="2:10">
      <c r="B388" s="48" t="s">
        <v>276</v>
      </c>
      <c r="D388" s="64">
        <f t="shared" si="95"/>
        <v>982261.8940999998</v>
      </c>
      <c r="E388" s="64">
        <f t="shared" si="95"/>
        <v>1005853.102225</v>
      </c>
      <c r="F388" s="64">
        <f t="shared" si="95"/>
        <v>971920.94647499989</v>
      </c>
      <c r="G388" s="64">
        <f t="shared" si="95"/>
        <v>1022152.94205</v>
      </c>
      <c r="H388" s="64">
        <f t="shared" si="95"/>
        <v>926636.84669999999</v>
      </c>
      <c r="I388" s="64">
        <f t="shared" si="95"/>
        <v>958385.63202499994</v>
      </c>
      <c r="J388" s="64">
        <f t="shared" si="95"/>
        <v>5867211.3635749994</v>
      </c>
    </row>
    <row r="389" spans="2:10">
      <c r="B389" s="48" t="s">
        <v>277</v>
      </c>
      <c r="D389" s="64">
        <f t="shared" si="95"/>
        <v>134626.97353000002</v>
      </c>
      <c r="E389" s="64">
        <f t="shared" si="95"/>
        <v>137412.71395</v>
      </c>
      <c r="F389" s="64">
        <f t="shared" si="95"/>
        <v>137723.01725999999</v>
      </c>
      <c r="G389" s="64">
        <f t="shared" si="95"/>
        <v>112067.13105</v>
      </c>
      <c r="H389" s="64">
        <f t="shared" si="95"/>
        <v>147498.20319</v>
      </c>
      <c r="I389" s="64">
        <f t="shared" si="95"/>
        <v>100979.21648</v>
      </c>
      <c r="J389" s="64">
        <f t="shared" si="95"/>
        <v>770307.2554599999</v>
      </c>
    </row>
    <row r="390" spans="2:10">
      <c r="B390" s="48" t="s">
        <v>278</v>
      </c>
      <c r="D390" s="64">
        <f t="shared" si="95"/>
        <v>0</v>
      </c>
      <c r="E390" s="64">
        <f t="shared" si="95"/>
        <v>0</v>
      </c>
      <c r="F390" s="64">
        <f t="shared" si="95"/>
        <v>0</v>
      </c>
      <c r="G390" s="64">
        <f t="shared" si="95"/>
        <v>0</v>
      </c>
      <c r="H390" s="64">
        <f t="shared" si="95"/>
        <v>0</v>
      </c>
      <c r="I390" s="64">
        <f t="shared" si="95"/>
        <v>0</v>
      </c>
      <c r="J390" s="64">
        <f t="shared" si="95"/>
        <v>0</v>
      </c>
    </row>
    <row r="391" spans="2:10">
      <c r="B391" s="48" t="s">
        <v>279</v>
      </c>
      <c r="D391" s="64">
        <f t="shared" ref="D391:J398" si="96">SUMIF($B$29:$B$375,$B391,D$29:D$375)</f>
        <v>412567.86042000004</v>
      </c>
      <c r="E391" s="64">
        <f t="shared" si="96"/>
        <v>408813.39841999998</v>
      </c>
      <c r="F391" s="64">
        <f t="shared" si="96"/>
        <v>399960.76439999999</v>
      </c>
      <c r="G391" s="64">
        <f t="shared" si="96"/>
        <v>409821.52416000003</v>
      </c>
      <c r="H391" s="64">
        <f t="shared" si="96"/>
        <v>396923.80751999997</v>
      </c>
      <c r="I391" s="64">
        <f t="shared" si="96"/>
        <v>405771.20597999997</v>
      </c>
      <c r="J391" s="64">
        <f t="shared" si="96"/>
        <v>2433858.5608999999</v>
      </c>
    </row>
    <row r="392" spans="2:10">
      <c r="B392" s="48" t="s">
        <v>875</v>
      </c>
      <c r="D392" s="64">
        <f t="shared" si="96"/>
        <v>236538.59186296587</v>
      </c>
      <c r="E392" s="64">
        <f t="shared" si="96"/>
        <v>236173.3236702478</v>
      </c>
      <c r="F392" s="64">
        <f t="shared" si="96"/>
        <v>247193.88947465533</v>
      </c>
      <c r="G392" s="64">
        <f t="shared" si="96"/>
        <v>250141.59084450168</v>
      </c>
      <c r="H392" s="64">
        <f t="shared" si="96"/>
        <v>258426.18277158367</v>
      </c>
      <c r="I392" s="64">
        <f t="shared" si="96"/>
        <v>272591.04384163604</v>
      </c>
      <c r="J392" s="64">
        <f t="shared" si="96"/>
        <v>1501064.6224655902</v>
      </c>
    </row>
    <row r="393" spans="2:10">
      <c r="B393" s="48" t="s">
        <v>874</v>
      </c>
      <c r="D393" s="64">
        <f t="shared" si="96"/>
        <v>6591.3670670864412</v>
      </c>
      <c r="E393" s="64">
        <f t="shared" si="96"/>
        <v>6134.9618270776464</v>
      </c>
      <c r="F393" s="64">
        <f t="shared" si="96"/>
        <v>6331.6638741755369</v>
      </c>
      <c r="G393" s="64">
        <f t="shared" si="96"/>
        <v>6326.1817177915555</v>
      </c>
      <c r="H393" s="64">
        <f t="shared" si="96"/>
        <v>6526.6670718676705</v>
      </c>
      <c r="I393" s="64">
        <f t="shared" si="96"/>
        <v>6472.7293053396334</v>
      </c>
      <c r="J393" s="64">
        <f t="shared" si="96"/>
        <v>38383.570863338486</v>
      </c>
    </row>
    <row r="394" spans="2:10">
      <c r="B394" s="48" t="s">
        <v>873</v>
      </c>
      <c r="D394" s="64">
        <f t="shared" si="96"/>
        <v>1151393.0561689772</v>
      </c>
      <c r="E394" s="64">
        <f t="shared" si="96"/>
        <v>1125512.2818613681</v>
      </c>
      <c r="F394" s="64">
        <f t="shared" si="96"/>
        <v>1176341.7180388987</v>
      </c>
      <c r="G394" s="64">
        <f t="shared" si="96"/>
        <v>1172463.7603475417</v>
      </c>
      <c r="H394" s="64">
        <f t="shared" si="96"/>
        <v>1179262.954636619</v>
      </c>
      <c r="I394" s="64">
        <f t="shared" si="96"/>
        <v>1181509.4354355331</v>
      </c>
      <c r="J394" s="64">
        <f t="shared" si="96"/>
        <v>6986483.2064889371</v>
      </c>
    </row>
    <row r="395" spans="2:10">
      <c r="B395" s="48" t="s">
        <v>872</v>
      </c>
      <c r="D395" s="64">
        <f t="shared" si="96"/>
        <v>274113.46997531981</v>
      </c>
      <c r="E395" s="64">
        <f t="shared" si="96"/>
        <v>266778.14661229611</v>
      </c>
      <c r="F395" s="64">
        <f t="shared" si="96"/>
        <v>278642.34792860434</v>
      </c>
      <c r="G395" s="64">
        <f t="shared" si="96"/>
        <v>281153.343131823</v>
      </c>
      <c r="H395" s="64">
        <f t="shared" si="96"/>
        <v>271499.34399068053</v>
      </c>
      <c r="I395" s="64">
        <f t="shared" si="96"/>
        <v>281478.92221169372</v>
      </c>
      <c r="J395" s="64">
        <f t="shared" si="96"/>
        <v>1653665.5738504175</v>
      </c>
    </row>
    <row r="396" spans="2:10">
      <c r="B396" s="48" t="s">
        <v>871</v>
      </c>
      <c r="D396" s="64">
        <f t="shared" si="96"/>
        <v>88463.942588571197</v>
      </c>
      <c r="E396" s="64">
        <f t="shared" si="96"/>
        <v>84364.50575687681</v>
      </c>
      <c r="F396" s="64">
        <f t="shared" si="96"/>
        <v>93692.144493282627</v>
      </c>
      <c r="G396" s="64">
        <f t="shared" si="96"/>
        <v>110471.76694296309</v>
      </c>
      <c r="H396" s="64">
        <f t="shared" si="96"/>
        <v>102286.20787734607</v>
      </c>
      <c r="I396" s="64">
        <f t="shared" si="96"/>
        <v>114103.31873420737</v>
      </c>
      <c r="J396" s="64">
        <f t="shared" si="96"/>
        <v>593381.88639324717</v>
      </c>
    </row>
    <row r="397" spans="2:10">
      <c r="B397" s="48" t="s">
        <v>870</v>
      </c>
      <c r="D397" s="64">
        <f t="shared" si="96"/>
        <v>0</v>
      </c>
      <c r="E397" s="64">
        <f t="shared" si="96"/>
        <v>0</v>
      </c>
      <c r="F397" s="64">
        <f t="shared" si="96"/>
        <v>0</v>
      </c>
      <c r="G397" s="64">
        <f t="shared" si="96"/>
        <v>0</v>
      </c>
      <c r="H397" s="64">
        <f t="shared" si="96"/>
        <v>0</v>
      </c>
      <c r="I397" s="64">
        <f t="shared" si="96"/>
        <v>0</v>
      </c>
      <c r="J397" s="64">
        <f t="shared" si="96"/>
        <v>0</v>
      </c>
    </row>
    <row r="398" spans="2:10">
      <c r="B398" s="48" t="s">
        <v>890</v>
      </c>
      <c r="D398" s="64">
        <f t="shared" si="96"/>
        <v>0</v>
      </c>
      <c r="E398" s="64">
        <f t="shared" si="96"/>
        <v>0</v>
      </c>
      <c r="F398" s="64">
        <f t="shared" si="96"/>
        <v>0</v>
      </c>
      <c r="G398" s="64">
        <f t="shared" si="96"/>
        <v>0</v>
      </c>
      <c r="H398" s="64">
        <f t="shared" si="96"/>
        <v>0</v>
      </c>
      <c r="I398" s="64">
        <f t="shared" si="96"/>
        <v>0</v>
      </c>
      <c r="J398" s="64">
        <f t="shared" si="96"/>
        <v>0</v>
      </c>
    </row>
    <row r="399" spans="2:10">
      <c r="B399" s="48" t="s">
        <v>111</v>
      </c>
      <c r="D399" s="65">
        <f t="shared" ref="D399:J399" si="97">SUM(D381:D398)</f>
        <v>11576930.354390418</v>
      </c>
      <c r="E399" s="65">
        <f t="shared" si="97"/>
        <v>11545565.819167865</v>
      </c>
      <c r="F399" s="65">
        <f t="shared" si="97"/>
        <v>11434522.146084614</v>
      </c>
      <c r="G399" s="65">
        <f t="shared" si="97"/>
        <v>11593039.610139621</v>
      </c>
      <c r="H399" s="65">
        <f t="shared" si="97"/>
        <v>11174821.024940597</v>
      </c>
      <c r="I399" s="65">
        <f t="shared" si="97"/>
        <v>11247195.251306411</v>
      </c>
      <c r="J399" s="65">
        <f t="shared" si="97"/>
        <v>68572074.206029519</v>
      </c>
    </row>
    <row r="400" spans="2:10" ht="17.25" customHeight="1">
      <c r="D400" s="66">
        <f t="shared" ref="D400:J400" si="98">D399-D375</f>
        <v>0</v>
      </c>
      <c r="E400" s="66">
        <f t="shared" si="98"/>
        <v>0</v>
      </c>
      <c r="F400" s="66">
        <f t="shared" si="98"/>
        <v>0</v>
      </c>
      <c r="G400" s="66">
        <f t="shared" si="98"/>
        <v>0</v>
      </c>
      <c r="H400" s="66">
        <f t="shared" si="98"/>
        <v>0</v>
      </c>
      <c r="I400" s="66">
        <f t="shared" si="98"/>
        <v>0</v>
      </c>
      <c r="J400" s="66">
        <f t="shared" si="98"/>
        <v>0</v>
      </c>
    </row>
    <row r="402" spans="2:10">
      <c r="B402" s="48" t="s">
        <v>902</v>
      </c>
      <c r="D402" s="64">
        <f t="shared" ref="D402:J417" si="99">D381-D422</f>
        <v>494475.81369999994</v>
      </c>
      <c r="E402" s="64">
        <f t="shared" si="99"/>
        <v>486044.17097500002</v>
      </c>
      <c r="F402" s="64">
        <f t="shared" si="99"/>
        <v>500710.70032499998</v>
      </c>
      <c r="G402" s="64">
        <f t="shared" si="99"/>
        <v>491759.79985000001</v>
      </c>
      <c r="H402" s="64">
        <f t="shared" si="99"/>
        <v>458747.25737499999</v>
      </c>
      <c r="I402" s="64">
        <f t="shared" si="99"/>
        <v>497537.32022499992</v>
      </c>
      <c r="J402" s="64">
        <f t="shared" si="99"/>
        <v>2929275.0624499996</v>
      </c>
    </row>
    <row r="403" spans="2:10">
      <c r="B403" s="48" t="s">
        <v>751</v>
      </c>
      <c r="D403" s="64">
        <f t="shared" si="99"/>
        <v>1331002.7854749998</v>
      </c>
      <c r="E403" s="64">
        <f t="shared" si="99"/>
        <v>1323177.4305199999</v>
      </c>
      <c r="F403" s="64">
        <f t="shared" si="99"/>
        <v>1343196.0094299999</v>
      </c>
      <c r="G403" s="64">
        <f t="shared" si="99"/>
        <v>1335173.9094100001</v>
      </c>
      <c r="H403" s="64">
        <f t="shared" si="99"/>
        <v>1370356.197375</v>
      </c>
      <c r="I403" s="64">
        <f t="shared" si="99"/>
        <v>1351288.1491449999</v>
      </c>
      <c r="J403" s="64">
        <f t="shared" si="99"/>
        <v>8054194.4813550003</v>
      </c>
    </row>
    <row r="404" spans="2:10">
      <c r="B404" s="48" t="s">
        <v>750</v>
      </c>
      <c r="D404" s="64">
        <f t="shared" si="99"/>
        <v>1507428.765315</v>
      </c>
      <c r="E404" s="64">
        <f t="shared" si="99"/>
        <v>1524532.6262650001</v>
      </c>
      <c r="F404" s="64">
        <f t="shared" si="99"/>
        <v>1483724.2475000001</v>
      </c>
      <c r="G404" s="64">
        <f t="shared" si="99"/>
        <v>1482133.3409849999</v>
      </c>
      <c r="H404" s="64">
        <f t="shared" si="99"/>
        <v>1430203.126165</v>
      </c>
      <c r="I404" s="64">
        <f t="shared" si="99"/>
        <v>1396581.6582849999</v>
      </c>
      <c r="J404" s="64">
        <f t="shared" si="99"/>
        <v>8824603.7645149995</v>
      </c>
    </row>
    <row r="405" spans="2:10">
      <c r="B405" s="48" t="s">
        <v>749</v>
      </c>
      <c r="D405" s="64">
        <f t="shared" si="99"/>
        <v>1821497.5946749998</v>
      </c>
      <c r="E405" s="64">
        <f t="shared" si="99"/>
        <v>1812517.8609449998</v>
      </c>
      <c r="F405" s="64">
        <f t="shared" si="99"/>
        <v>1769129.1931500004</v>
      </c>
      <c r="G405" s="64">
        <f t="shared" si="99"/>
        <v>1793847.5534099999</v>
      </c>
      <c r="H405" s="64">
        <f t="shared" si="99"/>
        <v>1653135.59818</v>
      </c>
      <c r="I405" s="64">
        <f t="shared" si="99"/>
        <v>1715996.1247</v>
      </c>
      <c r="J405" s="64">
        <f t="shared" si="99"/>
        <v>10566123.925059998</v>
      </c>
    </row>
    <row r="406" spans="2:10">
      <c r="B406" s="48" t="s">
        <v>1176</v>
      </c>
      <c r="D406" s="64">
        <f t="shared" si="99"/>
        <v>0</v>
      </c>
      <c r="E406" s="64">
        <f t="shared" si="99"/>
        <v>0</v>
      </c>
      <c r="F406" s="64">
        <f t="shared" si="99"/>
        <v>0</v>
      </c>
      <c r="G406" s="64">
        <f t="shared" si="99"/>
        <v>0</v>
      </c>
      <c r="H406" s="64">
        <f t="shared" si="99"/>
        <v>0</v>
      </c>
      <c r="I406" s="64">
        <f t="shared" si="99"/>
        <v>0</v>
      </c>
      <c r="J406" s="64">
        <f t="shared" si="99"/>
        <v>0</v>
      </c>
    </row>
    <row r="407" spans="2:10">
      <c r="B407" s="48" t="s">
        <v>274</v>
      </c>
      <c r="D407" s="64">
        <f t="shared" si="99"/>
        <v>3025082.5893199993</v>
      </c>
      <c r="E407" s="64">
        <f t="shared" si="99"/>
        <v>3017935.31861</v>
      </c>
      <c r="F407" s="64">
        <f t="shared" si="99"/>
        <v>2916782.0362900002</v>
      </c>
      <c r="G407" s="64">
        <f t="shared" si="99"/>
        <v>3013595.9986300007</v>
      </c>
      <c r="H407" s="64">
        <f t="shared" si="99"/>
        <v>2862048.7122100005</v>
      </c>
      <c r="I407" s="64">
        <f t="shared" si="99"/>
        <v>2848353.0292230002</v>
      </c>
      <c r="J407" s="64">
        <f t="shared" si="99"/>
        <v>17683797.684282999</v>
      </c>
    </row>
    <row r="408" spans="2:10">
      <c r="B408" s="48" t="s">
        <v>275</v>
      </c>
      <c r="D408" s="64">
        <f t="shared" si="99"/>
        <v>110885.65019249999</v>
      </c>
      <c r="E408" s="64">
        <f t="shared" si="99"/>
        <v>110315.97753</v>
      </c>
      <c r="F408" s="64">
        <f t="shared" si="99"/>
        <v>109173.46744499999</v>
      </c>
      <c r="G408" s="64">
        <f t="shared" si="99"/>
        <v>111930.76761</v>
      </c>
      <c r="H408" s="64">
        <f t="shared" si="99"/>
        <v>111269.91987750001</v>
      </c>
      <c r="I408" s="64">
        <f t="shared" si="99"/>
        <v>116147.465715</v>
      </c>
      <c r="J408" s="64">
        <f t="shared" si="99"/>
        <v>669723.24836999993</v>
      </c>
    </row>
    <row r="409" spans="2:10">
      <c r="B409" s="48" t="s">
        <v>276</v>
      </c>
      <c r="D409" s="64">
        <f t="shared" si="99"/>
        <v>982261.8940999998</v>
      </c>
      <c r="E409" s="64">
        <f t="shared" si="99"/>
        <v>1005853.102225</v>
      </c>
      <c r="F409" s="64">
        <f t="shared" si="99"/>
        <v>971920.94647499989</v>
      </c>
      <c r="G409" s="64">
        <f t="shared" si="99"/>
        <v>1022152.94205</v>
      </c>
      <c r="H409" s="64">
        <f t="shared" si="99"/>
        <v>926636.84669999999</v>
      </c>
      <c r="I409" s="64">
        <f t="shared" si="99"/>
        <v>958385.63202499994</v>
      </c>
      <c r="J409" s="64">
        <f t="shared" si="99"/>
        <v>5867211.3635749994</v>
      </c>
    </row>
    <row r="410" spans="2:10">
      <c r="B410" s="48" t="s">
        <v>277</v>
      </c>
      <c r="D410" s="64">
        <f t="shared" si="99"/>
        <v>134626.97353000002</v>
      </c>
      <c r="E410" s="64">
        <f t="shared" si="99"/>
        <v>137412.71395</v>
      </c>
      <c r="F410" s="64">
        <f t="shared" si="99"/>
        <v>137723.01725999999</v>
      </c>
      <c r="G410" s="64">
        <f t="shared" si="99"/>
        <v>112067.13105</v>
      </c>
      <c r="H410" s="64">
        <f t="shared" si="99"/>
        <v>147498.20319</v>
      </c>
      <c r="I410" s="64">
        <f t="shared" si="99"/>
        <v>100979.21648</v>
      </c>
      <c r="J410" s="64">
        <f t="shared" si="99"/>
        <v>770307.2554599999</v>
      </c>
    </row>
    <row r="411" spans="2:10">
      <c r="B411" s="48" t="s">
        <v>278</v>
      </c>
      <c r="D411" s="64">
        <f t="shared" si="99"/>
        <v>0</v>
      </c>
      <c r="E411" s="64">
        <f t="shared" si="99"/>
        <v>0</v>
      </c>
      <c r="F411" s="64">
        <f t="shared" si="99"/>
        <v>0</v>
      </c>
      <c r="G411" s="64">
        <f t="shared" si="99"/>
        <v>0</v>
      </c>
      <c r="H411" s="64">
        <f t="shared" si="99"/>
        <v>0</v>
      </c>
      <c r="I411" s="64">
        <f t="shared" si="99"/>
        <v>0</v>
      </c>
      <c r="J411" s="64">
        <f t="shared" si="99"/>
        <v>0</v>
      </c>
    </row>
    <row r="412" spans="2:10">
      <c r="B412" s="48" t="s">
        <v>279</v>
      </c>
      <c r="D412" s="64">
        <f t="shared" si="99"/>
        <v>412567.86042000004</v>
      </c>
      <c r="E412" s="64">
        <f t="shared" si="99"/>
        <v>408813.39841999998</v>
      </c>
      <c r="F412" s="64">
        <f t="shared" si="99"/>
        <v>399960.76439999999</v>
      </c>
      <c r="G412" s="64">
        <f t="shared" si="99"/>
        <v>409821.52416000003</v>
      </c>
      <c r="H412" s="64">
        <f t="shared" si="99"/>
        <v>396923.80751999997</v>
      </c>
      <c r="I412" s="64">
        <f t="shared" si="99"/>
        <v>405771.20597999997</v>
      </c>
      <c r="J412" s="64">
        <f t="shared" si="99"/>
        <v>2433858.5608999999</v>
      </c>
    </row>
    <row r="413" spans="2:10">
      <c r="B413" s="48" t="s">
        <v>875</v>
      </c>
      <c r="D413" s="64">
        <f t="shared" si="99"/>
        <v>236538.59186296587</v>
      </c>
      <c r="E413" s="64">
        <f t="shared" si="99"/>
        <v>236173.3236702478</v>
      </c>
      <c r="F413" s="64">
        <f t="shared" si="99"/>
        <v>247193.88947465533</v>
      </c>
      <c r="G413" s="64">
        <f t="shared" si="99"/>
        <v>250141.59084450168</v>
      </c>
      <c r="H413" s="64">
        <f t="shared" si="99"/>
        <v>258426.18277158367</v>
      </c>
      <c r="I413" s="64">
        <f t="shared" si="99"/>
        <v>272591.04384163604</v>
      </c>
      <c r="J413" s="64">
        <f t="shared" si="99"/>
        <v>1501064.6224655902</v>
      </c>
    </row>
    <row r="414" spans="2:10">
      <c r="B414" s="48" t="s">
        <v>874</v>
      </c>
      <c r="D414" s="64">
        <f t="shared" si="99"/>
        <v>6591.3670670864412</v>
      </c>
      <c r="E414" s="64">
        <f t="shared" si="99"/>
        <v>6134.9618270776464</v>
      </c>
      <c r="F414" s="64">
        <f t="shared" si="99"/>
        <v>6331.6638741755369</v>
      </c>
      <c r="G414" s="64">
        <f t="shared" si="99"/>
        <v>6326.1817177915555</v>
      </c>
      <c r="H414" s="64">
        <f t="shared" si="99"/>
        <v>6526.6670718676705</v>
      </c>
      <c r="I414" s="64">
        <f t="shared" si="99"/>
        <v>6472.7293053396334</v>
      </c>
      <c r="J414" s="64">
        <f t="shared" si="99"/>
        <v>38383.570863338486</v>
      </c>
    </row>
    <row r="415" spans="2:10">
      <c r="B415" s="48" t="s">
        <v>873</v>
      </c>
      <c r="D415" s="64">
        <f t="shared" si="99"/>
        <v>1151393.0561689772</v>
      </c>
      <c r="E415" s="64">
        <f t="shared" si="99"/>
        <v>1125512.2818613681</v>
      </c>
      <c r="F415" s="64">
        <f t="shared" si="99"/>
        <v>1176341.7180388987</v>
      </c>
      <c r="G415" s="64">
        <f t="shared" si="99"/>
        <v>1172463.7603475417</v>
      </c>
      <c r="H415" s="64">
        <f t="shared" si="99"/>
        <v>1179262.954636619</v>
      </c>
      <c r="I415" s="64">
        <f t="shared" si="99"/>
        <v>1181509.4354355331</v>
      </c>
      <c r="J415" s="64">
        <f t="shared" si="99"/>
        <v>6986483.2064889371</v>
      </c>
    </row>
    <row r="416" spans="2:10">
      <c r="B416" s="48" t="s">
        <v>872</v>
      </c>
      <c r="D416" s="64">
        <f t="shared" si="99"/>
        <v>274113.46997531981</v>
      </c>
      <c r="E416" s="64">
        <f t="shared" si="99"/>
        <v>266778.14661229611</v>
      </c>
      <c r="F416" s="64">
        <f t="shared" si="99"/>
        <v>278642.34792860434</v>
      </c>
      <c r="G416" s="64">
        <f t="shared" si="99"/>
        <v>281153.343131823</v>
      </c>
      <c r="H416" s="64">
        <f t="shared" si="99"/>
        <v>271499.34399068053</v>
      </c>
      <c r="I416" s="64">
        <f t="shared" si="99"/>
        <v>281478.92221169372</v>
      </c>
      <c r="J416" s="64">
        <f t="shared" si="99"/>
        <v>1653665.5738504175</v>
      </c>
    </row>
    <row r="417" spans="2:10">
      <c r="B417" s="48" t="s">
        <v>871</v>
      </c>
      <c r="D417" s="64">
        <f t="shared" si="99"/>
        <v>88463.942588571197</v>
      </c>
      <c r="E417" s="64">
        <f t="shared" si="99"/>
        <v>84364.50575687681</v>
      </c>
      <c r="F417" s="64">
        <f t="shared" si="99"/>
        <v>93692.144493282627</v>
      </c>
      <c r="G417" s="64">
        <f t="shared" si="99"/>
        <v>110471.76694296309</v>
      </c>
      <c r="H417" s="64">
        <f t="shared" si="99"/>
        <v>102286.20787734607</v>
      </c>
      <c r="I417" s="64">
        <f t="shared" si="99"/>
        <v>114103.31873420737</v>
      </c>
      <c r="J417" s="64">
        <f t="shared" si="99"/>
        <v>593381.88639324717</v>
      </c>
    </row>
    <row r="418" spans="2:10">
      <c r="B418" s="48" t="s">
        <v>870</v>
      </c>
      <c r="D418" s="64">
        <f t="shared" ref="D418:F418" si="100">D397-D438</f>
        <v>0</v>
      </c>
      <c r="E418" s="64">
        <f t="shared" si="100"/>
        <v>0</v>
      </c>
      <c r="F418" s="64">
        <f t="shared" si="100"/>
        <v>0</v>
      </c>
      <c r="G418" s="64">
        <f>G397-G438</f>
        <v>0</v>
      </c>
      <c r="H418" s="64">
        <f t="shared" ref="H418:I418" si="101">H397-H438</f>
        <v>0</v>
      </c>
      <c r="I418" s="64">
        <f t="shared" si="101"/>
        <v>0</v>
      </c>
      <c r="J418" s="64">
        <f>J397-J438</f>
        <v>0</v>
      </c>
    </row>
    <row r="419" spans="2:10">
      <c r="B419" s="48" t="s">
        <v>893</v>
      </c>
      <c r="D419" s="64"/>
      <c r="E419" s="64"/>
      <c r="F419" s="64"/>
      <c r="G419" s="64"/>
      <c r="H419" s="64"/>
      <c r="I419" s="64"/>
      <c r="J419" s="64"/>
    </row>
    <row r="420" spans="2:10">
      <c r="B420" s="48" t="s">
        <v>111</v>
      </c>
      <c r="C420" s="48" t="s">
        <v>889</v>
      </c>
      <c r="D420" s="65">
        <f t="shared" ref="D420:J420" si="102">SUM(D402:D419)</f>
        <v>11576930.354390418</v>
      </c>
      <c r="E420" s="65">
        <f t="shared" si="102"/>
        <v>11545565.819167865</v>
      </c>
      <c r="F420" s="65">
        <f t="shared" si="102"/>
        <v>11434522.146084614</v>
      </c>
      <c r="G420" s="65">
        <f t="shared" si="102"/>
        <v>11593039.610139621</v>
      </c>
      <c r="H420" s="65">
        <f t="shared" si="102"/>
        <v>11174821.024940597</v>
      </c>
      <c r="I420" s="65">
        <f t="shared" si="102"/>
        <v>11247195.251306411</v>
      </c>
      <c r="J420" s="65">
        <f t="shared" si="102"/>
        <v>68572074.206029519</v>
      </c>
    </row>
    <row r="422" spans="2:10">
      <c r="B422" s="48" t="s">
        <v>902</v>
      </c>
      <c r="D422" s="64">
        <f t="shared" ref="D422:J431" si="103">SUMIF($B$219:$B$342,$B422,D$219:D$342)</f>
        <v>0</v>
      </c>
      <c r="E422" s="64">
        <f t="shared" si="103"/>
        <v>0</v>
      </c>
      <c r="F422" s="64">
        <f t="shared" si="103"/>
        <v>0</v>
      </c>
      <c r="G422" s="64">
        <f t="shared" si="103"/>
        <v>0</v>
      </c>
      <c r="H422" s="64">
        <f t="shared" si="103"/>
        <v>0</v>
      </c>
      <c r="I422" s="64">
        <f t="shared" si="103"/>
        <v>0</v>
      </c>
      <c r="J422" s="64">
        <f t="shared" si="103"/>
        <v>0</v>
      </c>
    </row>
    <row r="423" spans="2:10">
      <c r="B423" s="48" t="s">
        <v>751</v>
      </c>
      <c r="D423" s="64">
        <f t="shared" si="103"/>
        <v>0</v>
      </c>
      <c r="E423" s="64">
        <f t="shared" si="103"/>
        <v>0</v>
      </c>
      <c r="F423" s="64">
        <f t="shared" si="103"/>
        <v>0</v>
      </c>
      <c r="G423" s="64">
        <f t="shared" si="103"/>
        <v>0</v>
      </c>
      <c r="H423" s="64">
        <f t="shared" si="103"/>
        <v>0</v>
      </c>
      <c r="I423" s="64">
        <f t="shared" si="103"/>
        <v>0</v>
      </c>
      <c r="J423" s="64">
        <f t="shared" si="103"/>
        <v>0</v>
      </c>
    </row>
    <row r="424" spans="2:10">
      <c r="B424" s="48" t="s">
        <v>750</v>
      </c>
      <c r="D424" s="64">
        <f t="shared" si="103"/>
        <v>0</v>
      </c>
      <c r="E424" s="64">
        <f t="shared" si="103"/>
        <v>0</v>
      </c>
      <c r="F424" s="64">
        <f t="shared" si="103"/>
        <v>0</v>
      </c>
      <c r="G424" s="64">
        <f t="shared" si="103"/>
        <v>0</v>
      </c>
      <c r="H424" s="64">
        <f t="shared" si="103"/>
        <v>0</v>
      </c>
      <c r="I424" s="64">
        <f t="shared" si="103"/>
        <v>0</v>
      </c>
      <c r="J424" s="64">
        <f t="shared" si="103"/>
        <v>0</v>
      </c>
    </row>
    <row r="425" spans="2:10">
      <c r="B425" s="48" t="s">
        <v>749</v>
      </c>
      <c r="D425" s="64">
        <f t="shared" si="103"/>
        <v>0</v>
      </c>
      <c r="E425" s="64">
        <f t="shared" si="103"/>
        <v>0</v>
      </c>
      <c r="F425" s="64">
        <f t="shared" si="103"/>
        <v>0</v>
      </c>
      <c r="G425" s="64">
        <f t="shared" si="103"/>
        <v>0</v>
      </c>
      <c r="H425" s="64">
        <f t="shared" si="103"/>
        <v>0</v>
      </c>
      <c r="I425" s="64">
        <f t="shared" si="103"/>
        <v>0</v>
      </c>
      <c r="J425" s="64">
        <f t="shared" si="103"/>
        <v>0</v>
      </c>
    </row>
    <row r="426" spans="2:10">
      <c r="B426" s="48" t="s">
        <v>1176</v>
      </c>
      <c r="D426" s="64">
        <f t="shared" si="103"/>
        <v>0</v>
      </c>
      <c r="E426" s="64">
        <f t="shared" si="103"/>
        <v>0</v>
      </c>
      <c r="F426" s="64">
        <f t="shared" si="103"/>
        <v>0</v>
      </c>
      <c r="G426" s="64">
        <f t="shared" si="103"/>
        <v>0</v>
      </c>
      <c r="H426" s="64">
        <f t="shared" si="103"/>
        <v>0</v>
      </c>
      <c r="I426" s="64">
        <f t="shared" si="103"/>
        <v>0</v>
      </c>
      <c r="J426" s="64">
        <f t="shared" si="103"/>
        <v>0</v>
      </c>
    </row>
    <row r="427" spans="2:10">
      <c r="B427" s="48" t="s">
        <v>274</v>
      </c>
      <c r="D427" s="64">
        <f t="shared" si="103"/>
        <v>0</v>
      </c>
      <c r="E427" s="64">
        <f t="shared" si="103"/>
        <v>0</v>
      </c>
      <c r="F427" s="64">
        <f t="shared" si="103"/>
        <v>0</v>
      </c>
      <c r="G427" s="64">
        <f t="shared" si="103"/>
        <v>0</v>
      </c>
      <c r="H427" s="64">
        <f t="shared" si="103"/>
        <v>0</v>
      </c>
      <c r="I427" s="64">
        <f t="shared" si="103"/>
        <v>0</v>
      </c>
      <c r="J427" s="64">
        <f t="shared" si="103"/>
        <v>0</v>
      </c>
    </row>
    <row r="428" spans="2:10">
      <c r="B428" s="48" t="s">
        <v>275</v>
      </c>
      <c r="D428" s="64">
        <f t="shared" si="103"/>
        <v>0</v>
      </c>
      <c r="E428" s="64">
        <f t="shared" si="103"/>
        <v>0</v>
      </c>
      <c r="F428" s="64">
        <f t="shared" si="103"/>
        <v>0</v>
      </c>
      <c r="G428" s="64">
        <f t="shared" si="103"/>
        <v>0</v>
      </c>
      <c r="H428" s="64">
        <f t="shared" si="103"/>
        <v>0</v>
      </c>
      <c r="I428" s="64">
        <f t="shared" si="103"/>
        <v>0</v>
      </c>
      <c r="J428" s="64">
        <f t="shared" si="103"/>
        <v>0</v>
      </c>
    </row>
    <row r="429" spans="2:10">
      <c r="B429" s="48" t="s">
        <v>276</v>
      </c>
      <c r="D429" s="64">
        <f t="shared" si="103"/>
        <v>0</v>
      </c>
      <c r="E429" s="64">
        <f t="shared" si="103"/>
        <v>0</v>
      </c>
      <c r="F429" s="64">
        <f t="shared" si="103"/>
        <v>0</v>
      </c>
      <c r="G429" s="64">
        <f t="shared" si="103"/>
        <v>0</v>
      </c>
      <c r="H429" s="64">
        <f t="shared" si="103"/>
        <v>0</v>
      </c>
      <c r="I429" s="64">
        <f t="shared" si="103"/>
        <v>0</v>
      </c>
      <c r="J429" s="64">
        <f t="shared" si="103"/>
        <v>0</v>
      </c>
    </row>
    <row r="430" spans="2:10">
      <c r="B430" s="48" t="s">
        <v>277</v>
      </c>
      <c r="D430" s="64">
        <f t="shared" si="103"/>
        <v>0</v>
      </c>
      <c r="E430" s="64">
        <f t="shared" si="103"/>
        <v>0</v>
      </c>
      <c r="F430" s="64">
        <f t="shared" si="103"/>
        <v>0</v>
      </c>
      <c r="G430" s="64">
        <f t="shared" si="103"/>
        <v>0</v>
      </c>
      <c r="H430" s="64">
        <f t="shared" si="103"/>
        <v>0</v>
      </c>
      <c r="I430" s="64">
        <f t="shared" si="103"/>
        <v>0</v>
      </c>
      <c r="J430" s="64">
        <f t="shared" si="103"/>
        <v>0</v>
      </c>
    </row>
    <row r="431" spans="2:10">
      <c r="B431" s="48" t="s">
        <v>278</v>
      </c>
      <c r="D431" s="64">
        <f t="shared" si="103"/>
        <v>0</v>
      </c>
      <c r="E431" s="64">
        <f t="shared" si="103"/>
        <v>0</v>
      </c>
      <c r="F431" s="64">
        <f t="shared" si="103"/>
        <v>0</v>
      </c>
      <c r="G431" s="64">
        <f t="shared" si="103"/>
        <v>0</v>
      </c>
      <c r="H431" s="64">
        <f t="shared" si="103"/>
        <v>0</v>
      </c>
      <c r="I431" s="64">
        <f t="shared" si="103"/>
        <v>0</v>
      </c>
      <c r="J431" s="64">
        <f t="shared" si="103"/>
        <v>0</v>
      </c>
    </row>
    <row r="432" spans="2:10">
      <c r="B432" s="48" t="s">
        <v>279</v>
      </c>
      <c r="D432" s="64">
        <f t="shared" ref="D432:J439" si="104">SUMIF($B$219:$B$342,$B432,D$219:D$342)</f>
        <v>0</v>
      </c>
      <c r="E432" s="64">
        <f t="shared" si="104"/>
        <v>0</v>
      </c>
      <c r="F432" s="64">
        <f t="shared" si="104"/>
        <v>0</v>
      </c>
      <c r="G432" s="64">
        <f t="shared" si="104"/>
        <v>0</v>
      </c>
      <c r="H432" s="64">
        <f t="shared" si="104"/>
        <v>0</v>
      </c>
      <c r="I432" s="64">
        <f t="shared" si="104"/>
        <v>0</v>
      </c>
      <c r="J432" s="64">
        <f t="shared" si="104"/>
        <v>0</v>
      </c>
    </row>
    <row r="433" spans="2:10">
      <c r="B433" s="48" t="s">
        <v>875</v>
      </c>
      <c r="D433" s="64">
        <f t="shared" si="104"/>
        <v>0</v>
      </c>
      <c r="E433" s="64">
        <f t="shared" si="104"/>
        <v>0</v>
      </c>
      <c r="F433" s="64">
        <f t="shared" si="104"/>
        <v>0</v>
      </c>
      <c r="G433" s="64">
        <f t="shared" si="104"/>
        <v>0</v>
      </c>
      <c r="H433" s="64">
        <f t="shared" si="104"/>
        <v>0</v>
      </c>
      <c r="I433" s="64">
        <f t="shared" si="104"/>
        <v>0</v>
      </c>
      <c r="J433" s="64">
        <f t="shared" si="104"/>
        <v>0</v>
      </c>
    </row>
    <row r="434" spans="2:10">
      <c r="B434" s="48" t="s">
        <v>874</v>
      </c>
      <c r="D434" s="64">
        <f t="shared" si="104"/>
        <v>0</v>
      </c>
      <c r="E434" s="64">
        <f t="shared" si="104"/>
        <v>0</v>
      </c>
      <c r="F434" s="64">
        <f t="shared" si="104"/>
        <v>0</v>
      </c>
      <c r="G434" s="64">
        <f t="shared" si="104"/>
        <v>0</v>
      </c>
      <c r="H434" s="64">
        <f t="shared" si="104"/>
        <v>0</v>
      </c>
      <c r="I434" s="64">
        <f t="shared" si="104"/>
        <v>0</v>
      </c>
      <c r="J434" s="64">
        <f t="shared" si="104"/>
        <v>0</v>
      </c>
    </row>
    <row r="435" spans="2:10">
      <c r="B435" s="48" t="s">
        <v>873</v>
      </c>
      <c r="D435" s="64">
        <f t="shared" si="104"/>
        <v>0</v>
      </c>
      <c r="E435" s="64">
        <f t="shared" si="104"/>
        <v>0</v>
      </c>
      <c r="F435" s="64">
        <f t="shared" si="104"/>
        <v>0</v>
      </c>
      <c r="G435" s="64">
        <f t="shared" si="104"/>
        <v>0</v>
      </c>
      <c r="H435" s="64">
        <f t="shared" si="104"/>
        <v>0</v>
      </c>
      <c r="I435" s="64">
        <f t="shared" si="104"/>
        <v>0</v>
      </c>
      <c r="J435" s="64">
        <f t="shared" si="104"/>
        <v>0</v>
      </c>
    </row>
    <row r="436" spans="2:10">
      <c r="B436" s="48" t="s">
        <v>872</v>
      </c>
      <c r="D436" s="64">
        <f t="shared" si="104"/>
        <v>0</v>
      </c>
      <c r="E436" s="64">
        <f t="shared" si="104"/>
        <v>0</v>
      </c>
      <c r="F436" s="64">
        <f t="shared" si="104"/>
        <v>0</v>
      </c>
      <c r="G436" s="64">
        <f t="shared" si="104"/>
        <v>0</v>
      </c>
      <c r="H436" s="64">
        <f t="shared" si="104"/>
        <v>0</v>
      </c>
      <c r="I436" s="64">
        <f t="shared" si="104"/>
        <v>0</v>
      </c>
      <c r="J436" s="64">
        <f t="shared" si="104"/>
        <v>0</v>
      </c>
    </row>
    <row r="437" spans="2:10">
      <c r="B437" s="48" t="s">
        <v>871</v>
      </c>
      <c r="D437" s="64">
        <f t="shared" si="104"/>
        <v>0</v>
      </c>
      <c r="E437" s="64">
        <f t="shared" si="104"/>
        <v>0</v>
      </c>
      <c r="F437" s="64">
        <f t="shared" si="104"/>
        <v>0</v>
      </c>
      <c r="G437" s="64">
        <f t="shared" si="104"/>
        <v>0</v>
      </c>
      <c r="H437" s="64">
        <f t="shared" si="104"/>
        <v>0</v>
      </c>
      <c r="I437" s="64">
        <f t="shared" si="104"/>
        <v>0</v>
      </c>
      <c r="J437" s="64">
        <f t="shared" si="104"/>
        <v>0</v>
      </c>
    </row>
    <row r="438" spans="2:10">
      <c r="B438" s="48" t="s">
        <v>870</v>
      </c>
      <c r="D438" s="64">
        <f t="shared" si="104"/>
        <v>0</v>
      </c>
      <c r="E438" s="64">
        <f t="shared" si="104"/>
        <v>0</v>
      </c>
      <c r="F438" s="64">
        <f t="shared" si="104"/>
        <v>0</v>
      </c>
      <c r="G438" s="64">
        <f t="shared" si="104"/>
        <v>0</v>
      </c>
      <c r="H438" s="64">
        <f t="shared" si="104"/>
        <v>0</v>
      </c>
      <c r="I438" s="64">
        <f t="shared" si="104"/>
        <v>0</v>
      </c>
      <c r="J438" s="64">
        <f t="shared" si="104"/>
        <v>0</v>
      </c>
    </row>
    <row r="439" spans="2:10">
      <c r="B439" s="48" t="s">
        <v>893</v>
      </c>
      <c r="D439" s="64">
        <f t="shared" si="104"/>
        <v>0</v>
      </c>
      <c r="E439" s="64">
        <f t="shared" si="104"/>
        <v>0</v>
      </c>
      <c r="F439" s="64">
        <f t="shared" si="104"/>
        <v>0</v>
      </c>
      <c r="G439" s="64">
        <f t="shared" si="104"/>
        <v>0</v>
      </c>
      <c r="H439" s="64">
        <f t="shared" si="104"/>
        <v>0</v>
      </c>
      <c r="I439" s="64">
        <f t="shared" si="104"/>
        <v>0</v>
      </c>
      <c r="J439" s="64">
        <f t="shared" si="104"/>
        <v>0</v>
      </c>
    </row>
    <row r="440" spans="2:10">
      <c r="B440" s="48" t="s">
        <v>888</v>
      </c>
      <c r="D440" s="65">
        <f t="shared" ref="D440:J440" si="105">SUM(D422:D439)</f>
        <v>0</v>
      </c>
      <c r="E440" s="65">
        <f t="shared" si="105"/>
        <v>0</v>
      </c>
      <c r="F440" s="65">
        <f t="shared" si="105"/>
        <v>0</v>
      </c>
      <c r="G440" s="65">
        <f t="shared" si="105"/>
        <v>0</v>
      </c>
      <c r="H440" s="65">
        <f t="shared" si="105"/>
        <v>0</v>
      </c>
      <c r="I440" s="65">
        <f t="shared" si="105"/>
        <v>0</v>
      </c>
      <c r="J440" s="65">
        <f t="shared" si="105"/>
        <v>0</v>
      </c>
    </row>
    <row r="441" spans="2:10">
      <c r="D441" s="66">
        <f t="shared" ref="D441:J441" si="106">D311+D342-D440</f>
        <v>0</v>
      </c>
      <c r="E441" s="66">
        <f t="shared" si="106"/>
        <v>0</v>
      </c>
      <c r="F441" s="66">
        <f t="shared" si="106"/>
        <v>0</v>
      </c>
      <c r="G441" s="66">
        <f t="shared" si="106"/>
        <v>0</v>
      </c>
      <c r="H441" s="66">
        <f t="shared" si="106"/>
        <v>0</v>
      </c>
      <c r="I441" s="66">
        <f t="shared" si="106"/>
        <v>0</v>
      </c>
      <c r="J441" s="66">
        <f t="shared" si="106"/>
        <v>0</v>
      </c>
    </row>
    <row r="444" spans="2:10">
      <c r="C444" s="1525"/>
      <c r="D444" s="1525">
        <v>2025.01</v>
      </c>
      <c r="E444" s="1525">
        <v>2025.02</v>
      </c>
      <c r="F444" s="1525">
        <v>2025.03</v>
      </c>
      <c r="G444" s="1525">
        <v>2025.04</v>
      </c>
      <c r="H444" s="1525">
        <v>2025.05</v>
      </c>
      <c r="I444" s="1525">
        <v>2025.06</v>
      </c>
      <c r="J444" s="1525" t="s">
        <v>112</v>
      </c>
    </row>
    <row r="445" spans="2:10">
      <c r="C445" s="1525"/>
      <c r="D445" s="1525"/>
      <c r="E445" s="1525"/>
      <c r="F445" s="1525"/>
      <c r="G445" s="1525"/>
      <c r="H445" s="1525"/>
      <c r="I445" s="1525"/>
      <c r="J445" s="1525"/>
    </row>
    <row r="446" spans="2:10">
      <c r="C446" s="1526" t="s">
        <v>276</v>
      </c>
      <c r="D446" s="1527">
        <f t="shared" ref="D446:I446" si="107">(D394+D388)/1000</f>
        <v>2133.6549502689768</v>
      </c>
      <c r="E446" s="1527">
        <f t="shared" si="107"/>
        <v>2131.3653840863681</v>
      </c>
      <c r="F446" s="1527">
        <f t="shared" si="107"/>
        <v>2148.2626645138985</v>
      </c>
      <c r="G446" s="1527">
        <f t="shared" si="107"/>
        <v>2194.6167023975418</v>
      </c>
      <c r="H446" s="1527">
        <f t="shared" si="107"/>
        <v>2105.899801336619</v>
      </c>
      <c r="I446" s="1527">
        <f t="shared" si="107"/>
        <v>2139.895067460533</v>
      </c>
      <c r="J446" s="1527">
        <f>SUM(D446:I446)</f>
        <v>12853.694570063937</v>
      </c>
    </row>
    <row r="447" spans="2:10">
      <c r="C447" s="1526" t="s">
        <v>274</v>
      </c>
      <c r="D447" s="1527">
        <f t="shared" ref="D447:I447" si="108">(D392+D386)/1000</f>
        <v>3261.6211811829653</v>
      </c>
      <c r="E447" s="1527">
        <f t="shared" si="108"/>
        <v>3254.1086422802482</v>
      </c>
      <c r="F447" s="1527">
        <f t="shared" si="108"/>
        <v>3163.9759257646556</v>
      </c>
      <c r="G447" s="1527">
        <f t="shared" si="108"/>
        <v>3263.7375894745023</v>
      </c>
      <c r="H447" s="1527">
        <f t="shared" si="108"/>
        <v>3120.4748949815839</v>
      </c>
      <c r="I447" s="1527">
        <f t="shared" si="108"/>
        <v>3120.9440730646365</v>
      </c>
      <c r="J447" s="1527">
        <f t="shared" ref="J447:J454" si="109">SUM(D447:I447)</f>
        <v>19184.86230674859</v>
      </c>
    </row>
    <row r="448" spans="2:10">
      <c r="C448" s="1526" t="s">
        <v>273</v>
      </c>
      <c r="D448" s="1527">
        <f t="shared" ref="D448:I448" si="110">SUM(D382:D384)/1000</f>
        <v>4659.9291454649992</v>
      </c>
      <c r="E448" s="1527">
        <f t="shared" si="110"/>
        <v>4660.2279177299997</v>
      </c>
      <c r="F448" s="1527">
        <f t="shared" si="110"/>
        <v>4596.0494500800005</v>
      </c>
      <c r="G448" s="1527">
        <f t="shared" si="110"/>
        <v>4611.1548038050005</v>
      </c>
      <c r="H448" s="1527">
        <f t="shared" si="110"/>
        <v>4453.6949217199999</v>
      </c>
      <c r="I448" s="1527">
        <f t="shared" si="110"/>
        <v>4463.8659321299992</v>
      </c>
      <c r="J448" s="1527">
        <f t="shared" si="109"/>
        <v>27444.922170930004</v>
      </c>
    </row>
    <row r="449" spans="3:10">
      <c r="C449" s="1526" t="s">
        <v>892</v>
      </c>
      <c r="D449" s="1527">
        <f t="shared" ref="D449:I449" si="111">SUM(D381)/1000</f>
        <v>494.47581369999995</v>
      </c>
      <c r="E449" s="1527">
        <f t="shared" si="111"/>
        <v>486.04417097500004</v>
      </c>
      <c r="F449" s="1527">
        <f t="shared" si="111"/>
        <v>500.710700325</v>
      </c>
      <c r="G449" s="1527">
        <f t="shared" si="111"/>
        <v>491.75979985000004</v>
      </c>
      <c r="H449" s="1527">
        <f t="shared" si="111"/>
        <v>458.747257375</v>
      </c>
      <c r="I449" s="1527">
        <f t="shared" si="111"/>
        <v>497.53732022499992</v>
      </c>
      <c r="J449" s="1527">
        <f t="shared" si="109"/>
        <v>2929.27506245</v>
      </c>
    </row>
    <row r="450" spans="3:10">
      <c r="C450" s="1526" t="s">
        <v>1753</v>
      </c>
      <c r="D450" s="1528"/>
      <c r="E450" s="1528"/>
      <c r="F450" s="1528"/>
      <c r="G450" s="1528"/>
      <c r="H450" s="1528"/>
      <c r="I450" s="1528"/>
      <c r="J450" s="1527">
        <f t="shared" si="109"/>
        <v>0</v>
      </c>
    </row>
    <row r="451" spans="3:10">
      <c r="C451" s="1526" t="s">
        <v>279</v>
      </c>
      <c r="D451" s="1527">
        <f t="shared" ref="D451:I451" si="112">(D397+D391)/1000</f>
        <v>412.56786042000004</v>
      </c>
      <c r="E451" s="1527">
        <f t="shared" si="112"/>
        <v>408.81339842</v>
      </c>
      <c r="F451" s="1527">
        <f t="shared" si="112"/>
        <v>399.96076439999996</v>
      </c>
      <c r="G451" s="1527">
        <f t="shared" si="112"/>
        <v>409.82152416000002</v>
      </c>
      <c r="H451" s="1527">
        <f t="shared" si="112"/>
        <v>396.92380751999997</v>
      </c>
      <c r="I451" s="1527">
        <f t="shared" si="112"/>
        <v>405.77120597999999</v>
      </c>
      <c r="J451" s="1527">
        <f t="shared" si="109"/>
        <v>2433.8585609000002</v>
      </c>
    </row>
    <row r="452" spans="3:10">
      <c r="C452" s="1526" t="s">
        <v>277</v>
      </c>
      <c r="D452" s="1527">
        <f t="shared" ref="D452:I452" si="113">(D395+D389)/1000</f>
        <v>408.74044350531983</v>
      </c>
      <c r="E452" s="1527">
        <f t="shared" si="113"/>
        <v>404.19086056229611</v>
      </c>
      <c r="F452" s="1527">
        <f t="shared" si="113"/>
        <v>416.36536518860436</v>
      </c>
      <c r="G452" s="1527">
        <f t="shared" si="113"/>
        <v>393.22047418182296</v>
      </c>
      <c r="H452" s="1527">
        <f t="shared" si="113"/>
        <v>418.99754718068056</v>
      </c>
      <c r="I452" s="1527">
        <f t="shared" si="113"/>
        <v>382.4581386916937</v>
      </c>
      <c r="J452" s="1527">
        <f t="shared" si="109"/>
        <v>2423.9728293104176</v>
      </c>
    </row>
    <row r="453" spans="3:10">
      <c r="C453" s="1526" t="s">
        <v>275</v>
      </c>
      <c r="D453" s="1527">
        <f t="shared" ref="D453:I453" si="114">(D393+D387)/1000</f>
        <v>117.47701725958643</v>
      </c>
      <c r="E453" s="1527">
        <f t="shared" si="114"/>
        <v>116.45093935707764</v>
      </c>
      <c r="F453" s="1527">
        <f t="shared" si="114"/>
        <v>115.50513131917552</v>
      </c>
      <c r="G453" s="1527">
        <f t="shared" si="114"/>
        <v>118.25694932779155</v>
      </c>
      <c r="H453" s="1527">
        <f t="shared" si="114"/>
        <v>117.79658694936769</v>
      </c>
      <c r="I453" s="1527">
        <f t="shared" si="114"/>
        <v>122.62019502033962</v>
      </c>
      <c r="J453" s="1527">
        <f t="shared" si="109"/>
        <v>708.10681923333846</v>
      </c>
    </row>
    <row r="454" spans="3:10">
      <c r="C454" s="1526" t="s">
        <v>278</v>
      </c>
      <c r="D454" s="1527">
        <f>(D396+D390+D398)/1000</f>
        <v>88.4639425885712</v>
      </c>
      <c r="E454" s="1527">
        <f t="shared" ref="E454:I454" si="115">(E396+E390+E398)/1000</f>
        <v>84.36450575687681</v>
      </c>
      <c r="F454" s="1527">
        <f t="shared" si="115"/>
        <v>93.692144493282626</v>
      </c>
      <c r="G454" s="1527">
        <f t="shared" si="115"/>
        <v>110.47176694296309</v>
      </c>
      <c r="H454" s="1527">
        <f t="shared" si="115"/>
        <v>102.28620787734607</v>
      </c>
      <c r="I454" s="1527">
        <f t="shared" si="115"/>
        <v>114.10331873420736</v>
      </c>
      <c r="J454" s="1527">
        <f t="shared" si="109"/>
        <v>593.38188639324721</v>
      </c>
    </row>
    <row r="455" spans="3:10">
      <c r="C455" s="1529" t="s">
        <v>112</v>
      </c>
      <c r="D455" s="1527">
        <f>SUM(D446:D454)</f>
        <v>11576.930354390421</v>
      </c>
      <c r="E455" s="1527">
        <f t="shared" ref="E455:J455" si="116">SUM(E446:E454)</f>
        <v>11545.565819167865</v>
      </c>
      <c r="F455" s="1527">
        <f t="shared" si="116"/>
        <v>11434.522146084621</v>
      </c>
      <c r="G455" s="1527">
        <f t="shared" si="116"/>
        <v>11593.03961013962</v>
      </c>
      <c r="H455" s="1527">
        <f t="shared" si="116"/>
        <v>11174.821024940598</v>
      </c>
      <c r="I455" s="1527">
        <f t="shared" si="116"/>
        <v>11247.195251306408</v>
      </c>
      <c r="J455" s="1527">
        <f t="shared" si="116"/>
        <v>68572.074206029531</v>
      </c>
    </row>
    <row r="456" spans="3:10">
      <c r="D456" s="1530">
        <f>D455-(D399/1000)</f>
        <v>0</v>
      </c>
      <c r="E456" s="1530">
        <f t="shared" ref="E456:J456" si="117">E455-(E399/1000)</f>
        <v>0</v>
      </c>
      <c r="F456" s="1530">
        <f t="shared" si="117"/>
        <v>0</v>
      </c>
      <c r="G456" s="1530">
        <f t="shared" si="117"/>
        <v>0</v>
      </c>
      <c r="H456" s="1530">
        <f t="shared" si="117"/>
        <v>0</v>
      </c>
      <c r="I456" s="1530">
        <f t="shared" si="117"/>
        <v>0</v>
      </c>
      <c r="J456" s="1530">
        <f t="shared" si="117"/>
        <v>0</v>
      </c>
    </row>
    <row r="458" spans="3:10">
      <c r="D458" s="1970" t="s">
        <v>278</v>
      </c>
      <c r="E458" s="1167">
        <f t="shared" ref="E458:J458" si="118">D348</f>
        <v>88463.942588571197</v>
      </c>
      <c r="F458" s="1167">
        <f t="shared" si="118"/>
        <v>84364.50575687681</v>
      </c>
      <c r="G458" s="1167">
        <f t="shared" si="118"/>
        <v>93692.144493282627</v>
      </c>
      <c r="H458" s="1167">
        <f t="shared" si="118"/>
        <v>110471.76694296309</v>
      </c>
      <c r="I458" s="1167">
        <f t="shared" si="118"/>
        <v>102286.20787734607</v>
      </c>
      <c r="J458" s="1167">
        <f t="shared" si="118"/>
        <v>114103.31873420737</v>
      </c>
    </row>
    <row r="459" spans="3:10">
      <c r="D459" s="1970" t="s">
        <v>276</v>
      </c>
      <c r="E459" s="1167">
        <f t="shared" ref="E459:J459" si="119">D358</f>
        <v>1151393.0561689772</v>
      </c>
      <c r="F459" s="1167">
        <f t="shared" si="119"/>
        <v>1125512.2818613681</v>
      </c>
      <c r="G459" s="1167">
        <f t="shared" si="119"/>
        <v>1176341.7180388987</v>
      </c>
      <c r="H459" s="1167">
        <f t="shared" si="119"/>
        <v>1172463.7603475417</v>
      </c>
      <c r="I459" s="1167">
        <f t="shared" si="119"/>
        <v>1179262.954636619</v>
      </c>
      <c r="J459" s="1167">
        <f t="shared" si="119"/>
        <v>1181509.4354355331</v>
      </c>
    </row>
    <row r="460" spans="3:10">
      <c r="D460" s="1970" t="s">
        <v>274</v>
      </c>
      <c r="E460" s="1167">
        <f t="shared" ref="E460:J460" si="120">D366</f>
        <v>236538.59186296587</v>
      </c>
      <c r="F460" s="1167">
        <f t="shared" si="120"/>
        <v>236173.3236702478</v>
      </c>
      <c r="G460" s="1167">
        <f t="shared" si="120"/>
        <v>247193.88947465533</v>
      </c>
      <c r="H460" s="1167">
        <f t="shared" si="120"/>
        <v>250141.59084450168</v>
      </c>
      <c r="I460" s="1167">
        <f t="shared" si="120"/>
        <v>258426.18277158367</v>
      </c>
      <c r="J460" s="1167">
        <f t="shared" si="120"/>
        <v>272591.04384163604</v>
      </c>
    </row>
    <row r="461" spans="3:10">
      <c r="D461" s="1970" t="s">
        <v>277</v>
      </c>
      <c r="E461" s="1167">
        <f t="shared" ref="E461:J461" si="121">D353</f>
        <v>274113.46997531981</v>
      </c>
      <c r="F461" s="1167">
        <f t="shared" si="121"/>
        <v>266778.14661229611</v>
      </c>
      <c r="G461" s="1167">
        <f t="shared" si="121"/>
        <v>278642.34792860434</v>
      </c>
      <c r="H461" s="1167">
        <f t="shared" si="121"/>
        <v>281153.343131823</v>
      </c>
      <c r="I461" s="1167">
        <f t="shared" si="121"/>
        <v>271499.34399068053</v>
      </c>
      <c r="J461" s="1167">
        <f t="shared" si="121"/>
        <v>281478.92221169372</v>
      </c>
    </row>
    <row r="462" spans="3:10">
      <c r="D462" s="1970" t="s">
        <v>275</v>
      </c>
      <c r="E462" s="1167">
        <f t="shared" ref="E462:J462" si="122">D365</f>
        <v>6591.3670670864412</v>
      </c>
      <c r="F462" s="1167">
        <f t="shared" si="122"/>
        <v>6134.9618270776464</v>
      </c>
      <c r="G462" s="1167">
        <f t="shared" si="122"/>
        <v>6331.6638741755369</v>
      </c>
      <c r="H462" s="1167">
        <f t="shared" si="122"/>
        <v>6326.1817177915555</v>
      </c>
      <c r="I462" s="1167">
        <f t="shared" si="122"/>
        <v>6526.6670718676705</v>
      </c>
      <c r="J462" s="1167">
        <f t="shared" si="122"/>
        <v>6472.7293053396334</v>
      </c>
    </row>
    <row r="463" spans="3:10">
      <c r="D463" s="58"/>
      <c r="E463" s="1167">
        <f>SUM(E458:E462)</f>
        <v>1757100.4276629207</v>
      </c>
      <c r="F463" s="1167">
        <f t="shared" ref="F463:I463" si="123">SUM(F458:F462)</f>
        <v>1718963.2197278666</v>
      </c>
      <c r="G463" s="1167">
        <f t="shared" si="123"/>
        <v>1802201.7638096164</v>
      </c>
      <c r="H463" s="1167">
        <f t="shared" si="123"/>
        <v>1820556.642984621</v>
      </c>
      <c r="I463" s="1167">
        <f t="shared" si="123"/>
        <v>1818001.3563480971</v>
      </c>
      <c r="J463" s="1167">
        <f>SUM(J458:J462)</f>
        <v>1856155.4495284099</v>
      </c>
    </row>
  </sheetData>
  <printOptions horizontalCentered="1" verticalCentered="1"/>
  <pageMargins left="0.511811023622047" right="0.31496062992126" top="0.78740157480314998" bottom="0.82677165354330695" header="0.31496062992126" footer="0.23622047244094499"/>
  <pageSetup scale="34" fitToHeight="4" orientation="portrait" horizontalDpi="300" r:id="rId1"/>
  <headerFooter alignWithMargins="0">
    <oddHeader>&amp;L
NOMBRE DE LA DISTRIBUIDORA: &amp;UENSA.&amp;R&amp;9&amp;A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FC68C-3FD1-427E-8FA0-F325922CCB1E}">
  <sheetPr codeName="Hoja64">
    <tabColor theme="5" tint="0.59999389629810485"/>
  </sheetPr>
  <dimension ref="B1:O441"/>
  <sheetViews>
    <sheetView view="pageBreakPreview" zoomScale="70" zoomScaleNormal="85" zoomScaleSheetLayoutView="70" workbookViewId="0">
      <selection activeCell="E21" sqref="E21"/>
    </sheetView>
  </sheetViews>
  <sheetFormatPr baseColWidth="10" defaultColWidth="8" defaultRowHeight="15"/>
  <cols>
    <col min="1" max="1" width="2.25" style="63" customWidth="1"/>
    <col min="2" max="2" width="7" style="48" customWidth="1"/>
    <col min="3" max="3" width="30.25" style="63" customWidth="1"/>
    <col min="4" max="4" width="11.75" style="63" customWidth="1"/>
    <col min="5" max="5" width="12.625" style="63" customWidth="1"/>
    <col min="6" max="6" width="12.75" style="63" customWidth="1"/>
    <col min="7" max="7" width="13.25" style="63" customWidth="1"/>
    <col min="8" max="8" width="13.875" style="63" customWidth="1"/>
    <col min="9" max="9" width="11.5" style="63" customWidth="1"/>
    <col min="10" max="10" width="13.125" style="63" customWidth="1"/>
    <col min="11" max="11" width="2.25" style="63" customWidth="1"/>
    <col min="12" max="12" width="4.25" style="319" bestFit="1" customWidth="1"/>
    <col min="13" max="13" width="8" style="63"/>
    <col min="14" max="14" width="15.75" style="63" customWidth="1"/>
    <col min="15" max="15" width="8.75" style="63" bestFit="1" customWidth="1"/>
    <col min="16" max="16384" width="8" style="63"/>
  </cols>
  <sheetData>
    <row r="1" spans="2:10" s="69" customFormat="1" ht="15.75">
      <c r="B1" s="48"/>
      <c r="C1" s="136" t="s">
        <v>151</v>
      </c>
      <c r="E1" s="63"/>
    </row>
    <row r="2" spans="2:10" s="69" customFormat="1" ht="15.75">
      <c r="B2" s="48"/>
      <c r="C2" s="136"/>
      <c r="E2" s="137" t="s">
        <v>138</v>
      </c>
    </row>
    <row r="3" spans="2:10" s="69" customFormat="1" ht="15.75">
      <c r="B3" s="48"/>
      <c r="C3" s="241"/>
      <c r="D3" s="137"/>
    </row>
    <row r="4" spans="2:10" s="69" customFormat="1" ht="15.75">
      <c r="B4" s="48"/>
      <c r="C4" s="219" t="s">
        <v>1533</v>
      </c>
      <c r="D4" s="338"/>
      <c r="E4" s="338"/>
      <c r="F4" s="338"/>
      <c r="G4" s="338"/>
      <c r="H4" s="338"/>
      <c r="I4" s="338"/>
      <c r="J4" s="339"/>
    </row>
    <row r="5" spans="2:10" s="74" customFormat="1" ht="18.75" customHeight="1">
      <c r="B5" s="48"/>
      <c r="C5" s="322"/>
      <c r="D5" s="322"/>
      <c r="E5" s="323"/>
      <c r="F5" s="322"/>
      <c r="G5" s="322"/>
      <c r="H5" s="322"/>
      <c r="I5" s="322"/>
    </row>
    <row r="6" spans="2:10" s="58" customFormat="1" ht="22.5">
      <c r="B6" s="48"/>
      <c r="C6" s="324" t="s">
        <v>665</v>
      </c>
      <c r="D6" s="325" t="s">
        <v>1449</v>
      </c>
      <c r="E6" s="325" t="s">
        <v>1450</v>
      </c>
      <c r="F6" s="325" t="s">
        <v>1451</v>
      </c>
      <c r="G6" s="325" t="s">
        <v>1234</v>
      </c>
      <c r="H6" s="325" t="s">
        <v>1233</v>
      </c>
      <c r="I6" s="325" t="s">
        <v>1232</v>
      </c>
      <c r="J6" s="325" t="s">
        <v>291</v>
      </c>
    </row>
    <row r="7" spans="2:10" s="143" customFormat="1" ht="13.5">
      <c r="B7" s="48"/>
      <c r="C7" s="144" t="s">
        <v>266</v>
      </c>
      <c r="D7" s="178">
        <f>RAT1000PT!$F$89</f>
        <v>0</v>
      </c>
      <c r="E7" s="144"/>
      <c r="F7" s="144"/>
      <c r="G7" s="146">
        <f>RAT1000PT!$F$106+RAT1000PT!$F$101</f>
        <v>3.143E-2</v>
      </c>
      <c r="H7" s="146">
        <f>RAT1000PT!$F$111+RAT1000PT!$F$101</f>
        <v>3.143E-2</v>
      </c>
      <c r="I7" s="146">
        <f>RAT1000PT!$F$116+RAT1000PT!$F$101</f>
        <v>3.143E-2</v>
      </c>
      <c r="J7" s="146">
        <f>RAT1000PT!$F$45</f>
        <v>6.3000000000000003E-4</v>
      </c>
    </row>
    <row r="8" spans="2:10" s="143" customFormat="1" ht="13.5">
      <c r="B8" s="48"/>
      <c r="C8" s="326" t="s">
        <v>265</v>
      </c>
      <c r="D8" s="327">
        <f>RAT1000PT!$F$88</f>
        <v>0</v>
      </c>
      <c r="E8" s="328"/>
      <c r="F8" s="328">
        <f>RAT1000PT!$F$127+RAT1000PT!$F$100</f>
        <v>3.143E-2</v>
      </c>
      <c r="G8" s="328"/>
      <c r="H8" s="328"/>
      <c r="I8" s="328"/>
      <c r="J8" s="328">
        <f>RAT1000PT!$F$44</f>
        <v>6.3000000000000003E-4</v>
      </c>
    </row>
    <row r="9" spans="2:10" s="143" customFormat="1" ht="13.5">
      <c r="B9" s="48"/>
      <c r="C9" s="144" t="s">
        <v>264</v>
      </c>
      <c r="D9" s="178">
        <f>RAT1000PT!$F$87</f>
        <v>0</v>
      </c>
      <c r="E9" s="146"/>
      <c r="F9" s="146"/>
      <c r="G9" s="146">
        <f>RAT1000PT!$F$105+RAT1000PT!$F$99</f>
        <v>3.143E-2</v>
      </c>
      <c r="H9" s="146">
        <f>RAT1000PT!$F$110+RAT1000PT!$F$99</f>
        <v>3.143E-2</v>
      </c>
      <c r="I9" s="146">
        <f>RAT1000PT!$F$115+RAT1000PT!$F$99</f>
        <v>3.143E-2</v>
      </c>
      <c r="J9" s="146">
        <f>RAT1000PT!$F$43</f>
        <v>6.3000000000000003E-4</v>
      </c>
    </row>
    <row r="10" spans="2:10" s="143" customFormat="1" ht="13.5">
      <c r="B10" s="48"/>
      <c r="C10" s="326" t="s">
        <v>262</v>
      </c>
      <c r="D10" s="327">
        <f>RAT1000PT!$F$86</f>
        <v>0</v>
      </c>
      <c r="E10" s="328"/>
      <c r="F10" s="328">
        <f>RAT1000PT!$F126+RAT1000PT!$F$98</f>
        <v>3.143E-2</v>
      </c>
      <c r="G10" s="328"/>
      <c r="H10" s="328"/>
      <c r="I10" s="328"/>
      <c r="J10" s="328">
        <f>RAT1000PT!$F$42</f>
        <v>6.3000000000000003E-4</v>
      </c>
    </row>
    <row r="11" spans="2:10" s="143" customFormat="1" ht="13.5">
      <c r="B11" s="48"/>
      <c r="C11" s="144" t="s">
        <v>263</v>
      </c>
      <c r="D11" s="178">
        <f>RAT1000PT!$F$85</f>
        <v>0</v>
      </c>
      <c r="E11" s="146"/>
      <c r="F11" s="146"/>
      <c r="G11" s="146">
        <f>RAT1000PT!$F$104+RAT1000PT!$F$97</f>
        <v>3.143E-2</v>
      </c>
      <c r="H11" s="146">
        <f>RAT1000PT!$F$109+RAT1000PT!$F$97</f>
        <v>3.143E-2</v>
      </c>
      <c r="I11" s="146">
        <f>RAT1000PT!$F$114+RAT1000PT!$F$97</f>
        <v>3.143E-2</v>
      </c>
      <c r="J11" s="146">
        <f>RAT1000PT!$F$41</f>
        <v>6.3000000000000003E-4</v>
      </c>
    </row>
    <row r="12" spans="2:10" s="143" customFormat="1" ht="13.5">
      <c r="B12" s="48"/>
      <c r="C12" s="326" t="s">
        <v>648</v>
      </c>
      <c r="D12" s="327">
        <f>RAT1000PT!$F$84</f>
        <v>0</v>
      </c>
      <c r="E12" s="328"/>
      <c r="F12" s="328">
        <f>RAT1000PT!$F122+RAT1000PT!$F$96</f>
        <v>3.0169999999999999E-2</v>
      </c>
      <c r="G12" s="328"/>
      <c r="H12" s="328"/>
      <c r="I12" s="328"/>
      <c r="J12" s="328">
        <f>RAT1000PT!$F$40</f>
        <v>6.3000000000000003E-4</v>
      </c>
    </row>
    <row r="13" spans="2:10" s="143" customFormat="1" ht="13.5">
      <c r="B13" s="48"/>
      <c r="C13" s="326" t="s">
        <v>649</v>
      </c>
      <c r="D13" s="327">
        <f>D12</f>
        <v>0</v>
      </c>
      <c r="E13" s="328"/>
      <c r="F13" s="328">
        <f>RAT1000PT!$F123+RAT1000PT!$F$96</f>
        <v>3.1669999999999997E-2</v>
      </c>
      <c r="G13" s="328"/>
      <c r="H13" s="328"/>
      <c r="I13" s="328"/>
      <c r="J13" s="328"/>
    </row>
    <row r="14" spans="2:10" s="143" customFormat="1" ht="13.5">
      <c r="B14" s="48"/>
      <c r="C14" s="326" t="s">
        <v>650</v>
      </c>
      <c r="D14" s="327">
        <f>D13</f>
        <v>0</v>
      </c>
      <c r="E14" s="328"/>
      <c r="F14" s="328">
        <f>RAT1000PT!$F124+RAT1000PT!$F$96</f>
        <v>3.3259999999999998E-2</v>
      </c>
      <c r="G14" s="328"/>
      <c r="H14" s="328"/>
      <c r="I14" s="328"/>
      <c r="J14" s="328"/>
    </row>
    <row r="15" spans="2:10" s="143" customFormat="1" ht="13.5">
      <c r="B15" s="48"/>
      <c r="C15" s="326" t="s">
        <v>651</v>
      </c>
      <c r="D15" s="327">
        <f>D14</f>
        <v>0</v>
      </c>
      <c r="E15" s="328"/>
      <c r="F15" s="328">
        <f>RAT1000PT!$F125+RAT1000PT!$F$96</f>
        <v>3.492E-2</v>
      </c>
      <c r="G15" s="328"/>
      <c r="H15" s="328"/>
      <c r="I15" s="328"/>
      <c r="J15" s="328"/>
    </row>
    <row r="16" spans="2:10" s="143" customFormat="1" ht="13.5">
      <c r="B16" s="48"/>
      <c r="C16" s="144" t="s">
        <v>1178</v>
      </c>
      <c r="D16" s="178"/>
      <c r="E16" s="146">
        <f>RAT1000PT!$F$95</f>
        <v>0</v>
      </c>
      <c r="F16" s="146"/>
      <c r="G16" s="146">
        <f>RAT1000PT!$F$103+RAT1000PT!$F$95</f>
        <v>2.3519999999999999E-2</v>
      </c>
      <c r="H16" s="146">
        <f>RAT1000PT!$F$108+RAT1000PT!$F$95</f>
        <v>2.3519999999999999E-2</v>
      </c>
      <c r="I16" s="146">
        <f>RAT1000PT!$F$113+RAT1000PT!$F$95</f>
        <v>2.3519999999999999E-2</v>
      </c>
      <c r="J16" s="146">
        <f>RAT1000PT!$F$39</f>
        <v>6.4999999999999997E-4</v>
      </c>
    </row>
    <row r="17" spans="2:15" s="143" customFormat="1" ht="13.5">
      <c r="B17" s="48"/>
      <c r="C17" s="2062" t="s">
        <v>1768</v>
      </c>
      <c r="D17" s="178"/>
      <c r="E17" s="146">
        <f>RAT1000PT!$F$91</f>
        <v>0</v>
      </c>
      <c r="F17" s="146">
        <f>RAT1000PT!$F118</f>
        <v>2.3519999999999999E-2</v>
      </c>
      <c r="G17" s="146"/>
      <c r="H17" s="146"/>
      <c r="I17" s="146"/>
      <c r="J17" s="146">
        <f>RAT1000PT!$F$37</f>
        <v>6.4999999999999997E-4</v>
      </c>
    </row>
    <row r="18" spans="2:15" s="143" customFormat="1" ht="13.5">
      <c r="B18" s="48"/>
      <c r="C18" s="326" t="s">
        <v>645</v>
      </c>
      <c r="D18" s="327"/>
      <c r="E18" s="328">
        <f>RAT1000PT!$F$92</f>
        <v>0</v>
      </c>
      <c r="F18" s="328">
        <f>RAT1000PT!$F119</f>
        <v>2.3519999999999999E-2</v>
      </c>
      <c r="G18" s="328"/>
      <c r="H18" s="328"/>
      <c r="I18" s="328"/>
      <c r="J18" s="328">
        <f>RAT1000PT!$F$38</f>
        <v>6.4999999999999997E-4</v>
      </c>
      <c r="L18" s="319"/>
    </row>
    <row r="19" spans="2:15" s="143" customFormat="1" ht="13.5">
      <c r="B19" s="48"/>
      <c r="C19" s="326" t="s">
        <v>646</v>
      </c>
      <c r="D19" s="327"/>
      <c r="E19" s="328">
        <f>RAT1000PT!$F$93</f>
        <v>0</v>
      </c>
      <c r="F19" s="328">
        <f>RAT1000PT!$F120</f>
        <v>3.245E-2</v>
      </c>
      <c r="G19" s="328"/>
      <c r="H19" s="328"/>
      <c r="I19" s="328"/>
      <c r="J19" s="328"/>
      <c r="L19" s="319"/>
    </row>
    <row r="20" spans="2:15" s="143" customFormat="1" ht="13.5">
      <c r="B20" s="48"/>
      <c r="C20" s="326" t="s">
        <v>647</v>
      </c>
      <c r="D20" s="328"/>
      <c r="E20" s="328">
        <f>RAT1000PT!$F$94</f>
        <v>0</v>
      </c>
      <c r="F20" s="328">
        <f>RAT1000PT!$F121</f>
        <v>4.122E-2</v>
      </c>
      <c r="G20" s="328"/>
      <c r="H20" s="328"/>
      <c r="I20" s="328"/>
      <c r="J20" s="328"/>
      <c r="L20" s="319"/>
    </row>
    <row r="21" spans="2:15" s="143" customFormat="1" ht="13.5">
      <c r="B21" s="48"/>
      <c r="C21" s="144" t="s">
        <v>1164</v>
      </c>
      <c r="D21" s="178">
        <f>RAT1000PT!$F78</f>
        <v>0</v>
      </c>
      <c r="E21" s="146"/>
      <c r="F21" s="146"/>
      <c r="G21" s="146"/>
      <c r="H21" s="146"/>
      <c r="I21" s="146"/>
      <c r="J21" s="146"/>
      <c r="L21" s="319"/>
    </row>
    <row r="22" spans="2:15" s="143" customFormat="1" ht="13.5">
      <c r="B22" s="48"/>
      <c r="C22" s="144" t="s">
        <v>1167</v>
      </c>
      <c r="D22" s="178">
        <f>RAT1000PT!$F79</f>
        <v>0</v>
      </c>
      <c r="E22" s="146"/>
      <c r="F22" s="146"/>
      <c r="G22" s="146"/>
      <c r="H22" s="146"/>
      <c r="I22" s="146"/>
      <c r="J22" s="146"/>
      <c r="L22" s="319"/>
    </row>
    <row r="23" spans="2:15" s="143" customFormat="1" ht="13.5">
      <c r="B23" s="48"/>
      <c r="C23" s="144" t="s">
        <v>1166</v>
      </c>
      <c r="D23" s="178">
        <f>RAT1000PT!$F80</f>
        <v>0</v>
      </c>
      <c r="E23" s="146"/>
      <c r="F23" s="146"/>
      <c r="G23" s="146"/>
      <c r="H23" s="146"/>
      <c r="I23" s="146"/>
      <c r="J23" s="146"/>
      <c r="L23" s="319"/>
    </row>
    <row r="24" spans="2:15" s="143" customFormat="1" ht="13.5">
      <c r="B24" s="48"/>
      <c r="C24" s="144" t="s">
        <v>1165</v>
      </c>
      <c r="D24" s="178">
        <f>RAT1000PT!$F81</f>
        <v>0</v>
      </c>
      <c r="E24" s="146"/>
      <c r="F24" s="146"/>
      <c r="G24" s="146"/>
      <c r="H24" s="146"/>
      <c r="I24" s="146"/>
      <c r="J24" s="146"/>
      <c r="L24" s="319"/>
    </row>
    <row r="25" spans="2:15" s="143" customFormat="1" ht="13.5">
      <c r="B25" s="52"/>
      <c r="C25" s="143" t="s">
        <v>933</v>
      </c>
      <c r="D25" s="957">
        <f>'Inf Ind Dem'!$C$3</f>
        <v>7.3800000000000004E-2</v>
      </c>
      <c r="E25" s="957">
        <f>'Inf Ind Dem'!$C$3</f>
        <v>7.3800000000000004E-2</v>
      </c>
      <c r="F25" s="957">
        <f>'Inf Ind Dem'!$C$3</f>
        <v>7.3800000000000004E-2</v>
      </c>
      <c r="G25" s="957">
        <f>'Inf Ind Dem'!$C$3</f>
        <v>7.3800000000000004E-2</v>
      </c>
      <c r="H25" s="957">
        <f>'Inf Ind Dem'!$C$3</f>
        <v>7.3800000000000004E-2</v>
      </c>
      <c r="I25" s="957">
        <f>'Inf Ind Dem'!$C$3</f>
        <v>7.3800000000000004E-2</v>
      </c>
      <c r="L25" s="958"/>
    </row>
    <row r="26" spans="2:15" s="143" customFormat="1" ht="13.5">
      <c r="B26" s="52"/>
      <c r="C26" s="957" t="str">
        <f>'Inf Ind Dem'!B$4</f>
        <v>Pérd. Trans. 2025</v>
      </c>
      <c r="D26" s="957">
        <f>'Inf Ind Dem'!C$4</f>
        <v>5.7599999999999998E-2</v>
      </c>
      <c r="E26" s="957">
        <f>'Inf Ind Dem'!D$4</f>
        <v>5.7599999999999998E-2</v>
      </c>
      <c r="F26" s="957">
        <f>'Inf Ind Dem'!E$4</f>
        <v>5.7599999999999998E-2</v>
      </c>
      <c r="G26" s="957">
        <f>'Inf Ind Dem'!F$4</f>
        <v>5.7599999999999998E-2</v>
      </c>
      <c r="H26" s="957">
        <f>'Inf Ind Dem'!G$4</f>
        <v>5.7599999999999998E-2</v>
      </c>
      <c r="I26" s="957">
        <f>'Inf Ind Dem'!H$4</f>
        <v>5.7599999999999998E-2</v>
      </c>
      <c r="L26" s="958"/>
    </row>
    <row r="27" spans="2:15" s="143" customFormat="1" ht="13.5">
      <c r="B27" s="48"/>
      <c r="C27" s="147"/>
      <c r="J27" s="148"/>
      <c r="L27" s="319"/>
    </row>
    <row r="28" spans="2:15" s="69" customFormat="1" ht="60">
      <c r="B28" s="48"/>
      <c r="C28" s="320" t="s">
        <v>667</v>
      </c>
      <c r="D28" s="320"/>
      <c r="E28" s="320"/>
      <c r="F28" s="320"/>
      <c r="G28" s="320"/>
      <c r="H28" s="320"/>
      <c r="I28" s="320"/>
      <c r="J28" s="321"/>
      <c r="L28" s="319"/>
    </row>
    <row r="29" spans="2:15" s="37" customFormat="1" ht="15.75">
      <c r="B29" s="48"/>
      <c r="C29" s="150" t="s">
        <v>310</v>
      </c>
      <c r="D29" s="151">
        <f>F821EO!D4</f>
        <v>45839</v>
      </c>
      <c r="E29" s="151">
        <f>F821EO!E4</f>
        <v>45870</v>
      </c>
      <c r="F29" s="151">
        <f>F821EO!F4</f>
        <v>45901</v>
      </c>
      <c r="G29" s="151">
        <f>F821EO!G4</f>
        <v>45931</v>
      </c>
      <c r="H29" s="151">
        <f>F821EO!H4</f>
        <v>45962</v>
      </c>
      <c r="I29" s="151">
        <f>F821EO!I4</f>
        <v>45992</v>
      </c>
      <c r="J29" s="152" t="s">
        <v>111</v>
      </c>
      <c r="K29" s="69"/>
      <c r="L29" s="319" t="s">
        <v>678</v>
      </c>
      <c r="M29" s="319"/>
    </row>
    <row r="30" spans="2:15" s="37" customFormat="1" ht="15.75" customHeight="1">
      <c r="B30" s="48"/>
      <c r="C30" s="153" t="s">
        <v>446</v>
      </c>
      <c r="D30" s="154">
        <f t="shared" ref="D30:I30" si="0">SUM(D31:D32)</f>
        <v>146123.54640052328</v>
      </c>
      <c r="E30" s="154">
        <f t="shared" si="0"/>
        <v>146719.70362119988</v>
      </c>
      <c r="F30" s="154">
        <f t="shared" si="0"/>
        <v>145047.0888292295</v>
      </c>
      <c r="G30" s="154">
        <f t="shared" si="0"/>
        <v>144038.10361283013</v>
      </c>
      <c r="H30" s="154">
        <f t="shared" si="0"/>
        <v>134422.4934412154</v>
      </c>
      <c r="I30" s="154">
        <f t="shared" si="0"/>
        <v>143421.71733050901</v>
      </c>
      <c r="J30" s="154">
        <f>SUM(D30:I30)</f>
        <v>859772.6532355072</v>
      </c>
      <c r="K30" s="69"/>
      <c r="L30" s="319"/>
      <c r="M30" s="69"/>
      <c r="N30" s="60"/>
      <c r="O30" s="60"/>
    </row>
    <row r="31" spans="2:15" s="37" customFormat="1" ht="15.75" customHeight="1">
      <c r="B31" s="48" t="s">
        <v>279</v>
      </c>
      <c r="C31" s="155" t="s">
        <v>279</v>
      </c>
      <c r="D31" s="156">
        <f>$D$7*F821DO!K6+$G$7*F821EO!K6</f>
        <v>146119.82975397707</v>
      </c>
      <c r="E31" s="156">
        <f>$D$7*F821DO!L6+$G$7*F821EO!L6</f>
        <v>146715.98697465367</v>
      </c>
      <c r="F31" s="156">
        <f>$D$7*F821DO!M6+$G$7*F821EO!M6</f>
        <v>145043.37218268329</v>
      </c>
      <c r="G31" s="156">
        <f>$D$7*F821DO!N6+$G$7*F821EO!N6</f>
        <v>144034.38696628393</v>
      </c>
      <c r="H31" s="156">
        <f>$D$7*F821DO!O6+$G$7*F821EO!O6</f>
        <v>134418.77679466919</v>
      </c>
      <c r="I31" s="156">
        <f>$D$7*F821DO!P6+$G$7*F821EO!P6</f>
        <v>143418.0006839628</v>
      </c>
      <c r="J31" s="156">
        <f>SUM(D31:I31)</f>
        <v>859750.35335622996</v>
      </c>
      <c r="K31" s="69"/>
      <c r="L31" s="319"/>
      <c r="M31" s="69"/>
      <c r="N31" s="60"/>
      <c r="O31" s="60"/>
    </row>
    <row r="32" spans="2:15" s="37" customFormat="1" ht="15.75" customHeight="1">
      <c r="B32" s="48" t="s">
        <v>278</v>
      </c>
      <c r="C32" s="155" t="s">
        <v>278</v>
      </c>
      <c r="D32" s="156">
        <f>$D$8*F821DO!K7+$F$8*F821EO!K7</f>
        <v>3.7166465462061984</v>
      </c>
      <c r="E32" s="156">
        <f>$D$8*F821DO!L7+$F$8*F821EO!L7</f>
        <v>3.7166465462061984</v>
      </c>
      <c r="F32" s="156">
        <f>$D$8*F821DO!M7+$F$8*F821EO!M7</f>
        <v>3.7166465462061984</v>
      </c>
      <c r="G32" s="156">
        <f>$D$8*F821DO!N7+$F$8*F821EO!N7</f>
        <v>3.7166465462061984</v>
      </c>
      <c r="H32" s="156">
        <f>$D$8*F821DO!O7+$F$8*F821EO!O7</f>
        <v>3.7166465462061984</v>
      </c>
      <c r="I32" s="156">
        <f>$D$8*F821DO!P7+$F$8*F821EO!P7</f>
        <v>3.7166465462061984</v>
      </c>
      <c r="J32" s="156">
        <f>SUM(D32:I32)</f>
        <v>22.299879277237192</v>
      </c>
      <c r="K32" s="69"/>
      <c r="L32" s="319"/>
      <c r="M32" s="69"/>
      <c r="N32" s="60"/>
      <c r="O32" s="60"/>
    </row>
    <row r="33" spans="2:15" s="37" customFormat="1" ht="15.75" customHeight="1">
      <c r="B33" s="48"/>
      <c r="C33" s="157"/>
      <c r="D33" s="156"/>
      <c r="E33" s="156"/>
      <c r="F33" s="156"/>
      <c r="G33" s="156"/>
      <c r="H33" s="156"/>
      <c r="I33" s="156"/>
      <c r="J33" s="156"/>
      <c r="K33" s="69"/>
      <c r="L33" s="319"/>
      <c r="M33" s="69"/>
      <c r="N33" s="60"/>
      <c r="O33" s="60"/>
    </row>
    <row r="34" spans="2:15" s="37" customFormat="1" ht="15.75" customHeight="1">
      <c r="B34" s="48"/>
      <c r="C34" s="153" t="s">
        <v>630</v>
      </c>
      <c r="D34" s="154">
        <f>D35+D38</f>
        <v>314120.58666718449</v>
      </c>
      <c r="E34" s="154">
        <f t="shared" ref="E34:I34" si="1">E35+E38</f>
        <v>315402.14094449114</v>
      </c>
      <c r="F34" s="154">
        <f t="shared" si="1"/>
        <v>311806.53467387805</v>
      </c>
      <c r="G34" s="154">
        <f t="shared" si="1"/>
        <v>309637.52744731418</v>
      </c>
      <c r="H34" s="154">
        <f t="shared" si="1"/>
        <v>288966.92929476517</v>
      </c>
      <c r="I34" s="154">
        <f t="shared" si="1"/>
        <v>308312.48692245857</v>
      </c>
      <c r="J34" s="154">
        <f t="shared" ref="J34:J42" si="2">SUM(D34:I34)</f>
        <v>1848246.2059500916</v>
      </c>
      <c r="K34" s="69"/>
      <c r="L34" s="319"/>
      <c r="M34" s="69"/>
      <c r="N34" s="60"/>
      <c r="O34" s="60"/>
    </row>
    <row r="35" spans="2:15" s="37" customFormat="1" ht="15.75" customHeight="1">
      <c r="B35" s="48" t="s">
        <v>277</v>
      </c>
      <c r="C35" s="155" t="s">
        <v>277</v>
      </c>
      <c r="D35" s="154">
        <f>SUM(D36:D37)</f>
        <v>43828.845773761321</v>
      </c>
      <c r="E35" s="154">
        <f t="shared" ref="E35:I35" si="3">SUM(E36:E37)</f>
        <v>44007.659411437009</v>
      </c>
      <c r="F35" s="154">
        <f t="shared" si="3"/>
        <v>43505.969043512028</v>
      </c>
      <c r="G35" s="154">
        <f t="shared" si="3"/>
        <v>43203.330225012796</v>
      </c>
      <c r="H35" s="154">
        <f t="shared" si="3"/>
        <v>40319.187965851168</v>
      </c>
      <c r="I35" s="154">
        <f t="shared" si="3"/>
        <v>43018.449006548071</v>
      </c>
      <c r="J35" s="154">
        <f t="shared" si="2"/>
        <v>257883.44142612236</v>
      </c>
      <c r="K35" s="69"/>
      <c r="L35" s="319"/>
      <c r="M35" s="69"/>
      <c r="N35" s="60"/>
      <c r="O35" s="60"/>
    </row>
    <row r="36" spans="2:15" s="37" customFormat="1" ht="15.75" customHeight="1">
      <c r="B36" s="48"/>
      <c r="C36" s="160" t="s">
        <v>304</v>
      </c>
      <c r="D36" s="156">
        <f>$D$9*F821DO!K11+$G$9*F821EO!K11</f>
        <v>37217.549461178001</v>
      </c>
      <c r="E36" s="156">
        <f>$D$9*F821DO!L11+$G$9*F821EO!L11</f>
        <v>37369.390224653274</v>
      </c>
      <c r="F36" s="156">
        <f>$D$9*F821DO!M11+$G$9*F821EO!M11</f>
        <v>36943.376585626014</v>
      </c>
      <c r="G36" s="156">
        <f>$D$9*F821DO!N11+$G$9*F821EO!N11</f>
        <v>36686.388864468398</v>
      </c>
      <c r="H36" s="156">
        <f>$D$9*F821DO!O11+$G$9*F821EO!O11</f>
        <v>34237.300706009926</v>
      </c>
      <c r="I36" s="156">
        <f>$D$9*F821DO!P11+$G$9*F821EO!P11</f>
        <v>36529.395775301236</v>
      </c>
      <c r="J36" s="156">
        <f t="shared" si="2"/>
        <v>218983.40161723687</v>
      </c>
      <c r="K36" s="69"/>
      <c r="L36" s="319"/>
      <c r="M36" s="69"/>
      <c r="N36" s="60"/>
      <c r="O36" s="60"/>
    </row>
    <row r="37" spans="2:15" s="37" customFormat="1" ht="15.75" customHeight="1">
      <c r="B37" s="48"/>
      <c r="C37" s="160" t="s">
        <v>305</v>
      </c>
      <c r="D37" s="156">
        <f>($D$9*F821DO!K12+$G$9*F821EO!K12)*$L37</f>
        <v>6611.296312583323</v>
      </c>
      <c r="E37" s="156">
        <f>($D$9*F821DO!L12+$G$9*F821EO!L12)*$L37</f>
        <v>6638.2691867837329</v>
      </c>
      <c r="F37" s="156">
        <f>($D$9*F821DO!M12+$G$9*F821EO!M12)*$L37</f>
        <v>6562.5924578860104</v>
      </c>
      <c r="G37" s="156">
        <f>($D$9*F821DO!N12+$G$9*F821EO!N12)*$L37</f>
        <v>6516.941360544397</v>
      </c>
      <c r="H37" s="156">
        <f>($D$9*F821DO!O12+$G$9*F821EO!O12)*$L37</f>
        <v>6081.8872598412445</v>
      </c>
      <c r="I37" s="156">
        <f>($D$9*F821DO!P12+$G$9*F821EO!P12)*$L37</f>
        <v>6489.0532312468322</v>
      </c>
      <c r="J37" s="156">
        <f t="shared" si="2"/>
        <v>38900.039808885544</v>
      </c>
      <c r="K37" s="69"/>
      <c r="L37" s="319">
        <v>0.95</v>
      </c>
      <c r="M37" s="69"/>
      <c r="N37" s="60"/>
      <c r="O37" s="60"/>
    </row>
    <row r="38" spans="2:15" s="37" customFormat="1" ht="15.75" customHeight="1">
      <c r="B38" s="48" t="s">
        <v>276</v>
      </c>
      <c r="C38" s="158" t="s">
        <v>276</v>
      </c>
      <c r="D38" s="159">
        <f t="shared" ref="D38:I38" si="4">SUM(D39:D42)</f>
        <v>270291.74089342315</v>
      </c>
      <c r="E38" s="159">
        <f t="shared" si="4"/>
        <v>271394.48153305415</v>
      </c>
      <c r="F38" s="159">
        <f t="shared" si="4"/>
        <v>268300.56563036604</v>
      </c>
      <c r="G38" s="159">
        <f t="shared" si="4"/>
        <v>266434.19722230139</v>
      </c>
      <c r="H38" s="159">
        <f t="shared" si="4"/>
        <v>248647.74132891401</v>
      </c>
      <c r="I38" s="159">
        <f t="shared" si="4"/>
        <v>265294.03791591048</v>
      </c>
      <c r="J38" s="159">
        <f t="shared" si="2"/>
        <v>1590362.764523969</v>
      </c>
      <c r="K38" s="69"/>
      <c r="L38" s="319"/>
      <c r="N38" s="60"/>
      <c r="O38" s="60"/>
    </row>
    <row r="39" spans="2:15" s="37" customFormat="1" ht="15.75" customHeight="1">
      <c r="B39" s="48"/>
      <c r="C39" s="160" t="s">
        <v>304</v>
      </c>
      <c r="D39" s="156">
        <f>($D$10*F821DO!K15+$F$10*F821EO!K15)*$L39</f>
        <v>269435.86124625703</v>
      </c>
      <c r="E39" s="156">
        <f>($D$10*F821DO!L15+$F$10*F821EO!L15)*$L39</f>
        <v>270535.11005418631</v>
      </c>
      <c r="F39" s="156">
        <f>($D$10*F821DO!M15+$F$10*F821EO!M15)*$L39</f>
        <v>267450.99104592938</v>
      </c>
      <c r="G39" s="156">
        <f>($D$10*F821DO!N15+$F$10*F821EO!N15)*$L39</f>
        <v>265590.53249929554</v>
      </c>
      <c r="H39" s="156">
        <f>($D$10*F821DO!O15+$F$10*F821EO!O15)*$L39</f>
        <v>247860.39747440399</v>
      </c>
      <c r="I39" s="156">
        <f>($D$10*F821DO!P15+$F$10*F821EO!P15)*$L39</f>
        <v>264453.98351093224</v>
      </c>
      <c r="J39" s="156">
        <f t="shared" si="2"/>
        <v>1585326.8758310045</v>
      </c>
      <c r="K39" s="69"/>
      <c r="L39" s="319">
        <v>1</v>
      </c>
      <c r="N39" s="60"/>
      <c r="O39" s="60"/>
    </row>
    <row r="40" spans="2:15" s="37" customFormat="1" ht="15.75" customHeight="1">
      <c r="B40" s="48"/>
      <c r="C40" s="161" t="s">
        <v>306</v>
      </c>
      <c r="D40" s="156">
        <f>($D$10*F821DO!K16+$F$10*F821EO!K16)*$L40</f>
        <v>0</v>
      </c>
      <c r="E40" s="156">
        <f>($D$10*F821DO!L16+$F$10*F821EO!L16)*$L40</f>
        <v>0</v>
      </c>
      <c r="F40" s="156">
        <f>($D$10*F821DO!M16+$F$10*F821EO!M16)*$L40</f>
        <v>0</v>
      </c>
      <c r="G40" s="156">
        <f>($D$10*F821DO!N16+$F$10*F821EO!N16)*$L40</f>
        <v>0</v>
      </c>
      <c r="H40" s="156">
        <f>($D$10*F821DO!O16+$F$10*F821EO!O16)*$L40</f>
        <v>0</v>
      </c>
      <c r="I40" s="156">
        <f>($D$10*F821DO!P16+$F$10*F821EO!P16)*$L40</f>
        <v>0</v>
      </c>
      <c r="J40" s="156">
        <f t="shared" si="2"/>
        <v>0</v>
      </c>
      <c r="K40" s="69"/>
      <c r="L40" s="319">
        <v>1</v>
      </c>
      <c r="N40" s="60"/>
      <c r="O40" s="60"/>
    </row>
    <row r="41" spans="2:15" s="37" customFormat="1" ht="15.75" customHeight="1">
      <c r="B41" s="48"/>
      <c r="C41" s="160" t="s">
        <v>305</v>
      </c>
      <c r="D41" s="156">
        <f>($D$10*F821DO!K17+$F$10*F821EO!K17)*$L41</f>
        <v>855.87964716614044</v>
      </c>
      <c r="E41" s="156">
        <f>($D$10*F821DO!L17+$F$10*F821EO!L17)*$L41</f>
        <v>859.37147886785453</v>
      </c>
      <c r="F41" s="156">
        <f>($D$10*F821DO!M17+$F$10*F821EO!M17)*$L41</f>
        <v>849.57458443666826</v>
      </c>
      <c r="G41" s="156">
        <f>($D$10*F821DO!N17+$F$10*F821EO!N17)*$L41</f>
        <v>843.66472300584394</v>
      </c>
      <c r="H41" s="156">
        <f>($D$10*F821DO!O17+$F$10*F821EO!O17)*$L41</f>
        <v>787.34385451001003</v>
      </c>
      <c r="I41" s="156">
        <f>($D$10*F821DO!P17+$F$10*F821EO!P17)*$L41</f>
        <v>840.05440497821394</v>
      </c>
      <c r="J41" s="156">
        <f t="shared" si="2"/>
        <v>5035.8886929647306</v>
      </c>
      <c r="K41" s="69"/>
      <c r="L41" s="319">
        <v>0.95</v>
      </c>
      <c r="N41" s="60"/>
      <c r="O41" s="60"/>
    </row>
    <row r="42" spans="2:15" s="37" customFormat="1" ht="15.75" customHeight="1">
      <c r="B42" s="48"/>
      <c r="C42" s="160" t="s">
        <v>307</v>
      </c>
      <c r="D42" s="156">
        <f>($D$10*F821DO!K18+$F$10*F821EO!K18)*$L42</f>
        <v>0</v>
      </c>
      <c r="E42" s="156">
        <f>($D$10*F821DO!L18+$F$10*F821EO!L18)*$L42</f>
        <v>0</v>
      </c>
      <c r="F42" s="156">
        <f>($D$10*F821DO!M18+$F$10*F821EO!M18)*$L42</f>
        <v>0</v>
      </c>
      <c r="G42" s="156">
        <f>($D$10*F821DO!N18+$F$10*F821EO!N18)*$L42</f>
        <v>0</v>
      </c>
      <c r="H42" s="156">
        <f>($D$10*F821DO!O18+$F$10*F821EO!O18)*$L42</f>
        <v>0</v>
      </c>
      <c r="I42" s="156">
        <f>($D$10*F821DO!P18+$F$10*F821EO!P18)*$L42</f>
        <v>0</v>
      </c>
      <c r="J42" s="156">
        <f t="shared" si="2"/>
        <v>0</v>
      </c>
      <c r="K42" s="69"/>
      <c r="L42" s="319">
        <v>0.5</v>
      </c>
      <c r="N42" s="60"/>
      <c r="O42" s="60"/>
    </row>
    <row r="43" spans="2:15" s="37" customFormat="1" ht="15.75" customHeight="1">
      <c r="B43" s="48"/>
      <c r="C43" s="157"/>
      <c r="D43" s="157"/>
      <c r="E43" s="157"/>
      <c r="F43" s="157"/>
      <c r="G43" s="157"/>
      <c r="H43" s="157"/>
      <c r="I43" s="157"/>
      <c r="J43" s="157"/>
      <c r="K43" s="69"/>
      <c r="L43" s="319"/>
      <c r="N43" s="60"/>
      <c r="O43" s="60"/>
    </row>
    <row r="44" spans="2:15" s="37" customFormat="1" ht="15.75" customHeight="1">
      <c r="B44" s="48"/>
      <c r="C44" s="153" t="s">
        <v>443</v>
      </c>
      <c r="D44" s="154">
        <f t="shared" ref="D44:I44" si="5">D45+D49+D56+D61+D66+D79+D85+D92+D100+D106+D113+D72</f>
        <v>1982440.58977582</v>
      </c>
      <c r="E44" s="154">
        <f t="shared" si="5"/>
        <v>1990578.0306856527</v>
      </c>
      <c r="F44" s="154">
        <f t="shared" si="5"/>
        <v>1967700.6584856817</v>
      </c>
      <c r="G44" s="154">
        <f t="shared" si="5"/>
        <v>1953887.5263680571</v>
      </c>
      <c r="H44" s="154">
        <f t="shared" si="5"/>
        <v>1822345.3970567191</v>
      </c>
      <c r="I44" s="154">
        <f t="shared" si="5"/>
        <v>1945466.6135539918</v>
      </c>
      <c r="J44" s="154">
        <f t="shared" ref="J44:J70" si="6">SUM(D44:I44)</f>
        <v>11662418.815925922</v>
      </c>
      <c r="K44" s="69"/>
      <c r="L44" s="319"/>
      <c r="N44" s="60"/>
      <c r="O44" s="60"/>
    </row>
    <row r="45" spans="2:15" s="37" customFormat="1" ht="15.75" customHeight="1">
      <c r="B45" s="48" t="s">
        <v>275</v>
      </c>
      <c r="C45" s="155" t="s">
        <v>275</v>
      </c>
      <c r="D45" s="154">
        <f>SUM(D46:D48)</f>
        <v>38761.33242349152</v>
      </c>
      <c r="E45" s="154">
        <f t="shared" ref="E45:I45" si="7">SUM(E46:E48)</f>
        <v>38919.471537799436</v>
      </c>
      <c r="F45" s="154">
        <f t="shared" si="7"/>
        <v>38475.786864349851</v>
      </c>
      <c r="G45" s="154">
        <f t="shared" si="7"/>
        <v>38208.139299349983</v>
      </c>
      <c r="H45" s="154">
        <f t="shared" si="7"/>
        <v>35657.463029181599</v>
      </c>
      <c r="I45" s="154">
        <f t="shared" si="7"/>
        <v>38044.634141017457</v>
      </c>
      <c r="J45" s="154">
        <f t="shared" si="6"/>
        <v>228066.82729518984</v>
      </c>
      <c r="K45" s="69"/>
      <c r="L45" s="319"/>
      <c r="N45" s="60"/>
      <c r="O45" s="60"/>
    </row>
    <row r="46" spans="2:15" s="37" customFormat="1" ht="15.75" customHeight="1">
      <c r="B46" s="48"/>
      <c r="C46" s="160" t="s">
        <v>304</v>
      </c>
      <c r="D46" s="156">
        <f>$D$11*F821DO!K22+$G$11*F821EO!K22</f>
        <v>38182.362134293006</v>
      </c>
      <c r="E46" s="156">
        <f>$D$11*F821DO!L22+$G$11*F821EO!L22</f>
        <v>38338.139156200588</v>
      </c>
      <c r="F46" s="156">
        <f>$D$11*F821DO!M22+$G$11*F821EO!M22</f>
        <v>37901.081712199499</v>
      </c>
      <c r="G46" s="156">
        <f>$D$11*F821DO!N22+$G$11*F821EO!N22</f>
        <v>37637.431945480101</v>
      </c>
      <c r="H46" s="156">
        <f>$D$11*F821DO!O22+$G$11*F821EO!O22</f>
        <v>35124.854617877892</v>
      </c>
      <c r="I46" s="156">
        <f>$D$11*F821DO!P22+$G$11*F821EO!P22</f>
        <v>37476.369031076938</v>
      </c>
      <c r="J46" s="156">
        <f t="shared" si="6"/>
        <v>224660.23859712802</v>
      </c>
      <c r="K46" s="69"/>
      <c r="L46" s="319"/>
      <c r="N46" s="60"/>
      <c r="O46" s="60"/>
    </row>
    <row r="47" spans="2:15" s="37" customFormat="1" ht="15.75" customHeight="1">
      <c r="B47" s="48"/>
      <c r="C47" s="161" t="s">
        <v>306</v>
      </c>
      <c r="D47" s="156">
        <f>($D$11*F821DO!K23+$G$11*F821EO!K23)*$L47</f>
        <v>164.60745163211402</v>
      </c>
      <c r="E47" s="156">
        <f>($D$11*F821DO!L23+$G$11*F821EO!L23)*$L47</f>
        <v>165.27901978991576</v>
      </c>
      <c r="F47" s="156">
        <f>($D$11*F821DO!M23+$G$11*F821EO!M23)*$L47</f>
        <v>163.39482750708027</v>
      </c>
      <c r="G47" s="156">
        <f>($D$11*F821DO!N23+$G$11*F821EO!N23)*$L47</f>
        <v>162.25821065581158</v>
      </c>
      <c r="H47" s="156">
        <f>($D$11*F821DO!O23+$G$11*F821EO!O23)*$L47</f>
        <v>151.42627339979336</v>
      </c>
      <c r="I47" s="156">
        <f>($D$11*F821DO!P23+$G$11*F821EO!P23)*$L47</f>
        <v>161.56385456021172</v>
      </c>
      <c r="J47" s="156">
        <f t="shared" si="6"/>
        <v>968.5296375449268</v>
      </c>
      <c r="K47" s="69"/>
      <c r="L47" s="319">
        <v>1</v>
      </c>
      <c r="N47" s="60"/>
      <c r="O47" s="60"/>
    </row>
    <row r="48" spans="2:15" s="37" customFormat="1" ht="15.75" customHeight="1">
      <c r="B48" s="48"/>
      <c r="C48" s="160" t="s">
        <v>305</v>
      </c>
      <c r="D48" s="156">
        <f>($D$11*F821DO!K24+$G$11*F821EO!K24)*$L48</f>
        <v>414.36283756639943</v>
      </c>
      <c r="E48" s="156">
        <f>($D$11*F821DO!L24+$G$11*F821EO!L24)*$L48</f>
        <v>416.05336180893431</v>
      </c>
      <c r="F48" s="156">
        <f>($D$11*F821DO!M24+$G$11*F821EO!M24)*$L48</f>
        <v>411.31032464326984</v>
      </c>
      <c r="G48" s="156">
        <f>($D$11*F821DO!N24+$G$11*F821EO!N24)*$L48</f>
        <v>408.44914321407146</v>
      </c>
      <c r="H48" s="156">
        <f>($D$11*F821DO!O24+$G$11*F821EO!O24)*$L48</f>
        <v>381.18213790391059</v>
      </c>
      <c r="I48" s="156">
        <f>($D$11*F821DO!P24+$G$11*F821EO!P24)*$L48</f>
        <v>406.70125538030976</v>
      </c>
      <c r="J48" s="156">
        <f t="shared" si="6"/>
        <v>2438.0590605168954</v>
      </c>
      <c r="K48" s="69"/>
      <c r="L48" s="319">
        <v>0.95</v>
      </c>
      <c r="N48" s="60"/>
      <c r="O48" s="60"/>
    </row>
    <row r="49" spans="2:15" s="37" customFormat="1" ht="15.75" customHeight="1">
      <c r="B49" s="48" t="s">
        <v>274</v>
      </c>
      <c r="C49" s="158" t="s">
        <v>627</v>
      </c>
      <c r="D49" s="159">
        <f t="shared" ref="D49:I49" si="8">SUM(D50:D55)</f>
        <v>432972.88209466054</v>
      </c>
      <c r="E49" s="159">
        <f t="shared" si="8"/>
        <v>434739.33189947414</v>
      </c>
      <c r="F49" s="159">
        <f t="shared" si="8"/>
        <v>429783.27337945602</v>
      </c>
      <c r="G49" s="159">
        <f t="shared" si="8"/>
        <v>426793.58932170749</v>
      </c>
      <c r="H49" s="159">
        <f t="shared" si="8"/>
        <v>398301.95637371432</v>
      </c>
      <c r="I49" s="159">
        <f t="shared" si="8"/>
        <v>424967.19958703261</v>
      </c>
      <c r="J49" s="159">
        <f t="shared" si="6"/>
        <v>2547558.2326560454</v>
      </c>
      <c r="K49" s="69"/>
      <c r="L49" s="319"/>
      <c r="N49" s="60"/>
      <c r="O49" s="60"/>
    </row>
    <row r="50" spans="2:15" s="37" customFormat="1" ht="15.75" customHeight="1">
      <c r="B50" s="48"/>
      <c r="C50" s="160" t="s">
        <v>304</v>
      </c>
      <c r="D50" s="156">
        <f>($D$12*F821DO!K28+$F$12*F821EO!K28)*$L50</f>
        <v>432258.96564304881</v>
      </c>
      <c r="E50" s="156">
        <f>($D$12*F821DO!L28+$F$12*F821EO!L28)*$L50</f>
        <v>434022.50279991439</v>
      </c>
      <c r="F50" s="156">
        <f>($D$12*F821DO!M28+$F$12*F821EO!M28)*$L50</f>
        <v>429074.6161813222</v>
      </c>
      <c r="G50" s="156">
        <f>($D$12*F821DO!N28+$F$12*F821EO!N28)*$L50</f>
        <v>426089.86172707129</v>
      </c>
      <c r="H50" s="156">
        <f>($D$12*F821DO!O28+$F$12*F821EO!O28)*$L50</f>
        <v>397645.20780787186</v>
      </c>
      <c r="I50" s="156">
        <f>($D$12*F821DO!P28+$F$12*F821EO!P28)*$L50</f>
        <v>424266.48347355973</v>
      </c>
      <c r="J50" s="156">
        <f t="shared" si="6"/>
        <v>2543357.6376327882</v>
      </c>
      <c r="K50" s="69"/>
      <c r="L50" s="319">
        <v>1</v>
      </c>
      <c r="N50" s="60"/>
      <c r="O50" s="60"/>
    </row>
    <row r="51" spans="2:15" s="37" customFormat="1" ht="15.75" customHeight="1">
      <c r="B51" s="48"/>
      <c r="C51" s="162" t="s">
        <v>628</v>
      </c>
      <c r="D51" s="156">
        <f>($D$12*F821DO!K29+$F$12*F821EO!K29)*$L51</f>
        <v>0</v>
      </c>
      <c r="E51" s="156">
        <f>($D$12*F821DO!L29+$F$12*F821EO!L29)*$L51</f>
        <v>0</v>
      </c>
      <c r="F51" s="156">
        <f>($D$12*F821DO!M29+$F$12*F821EO!M29)*$L51</f>
        <v>0</v>
      </c>
      <c r="G51" s="156">
        <f>($D$12*F821DO!N29+$F$12*F821EO!N29)*$L51</f>
        <v>0</v>
      </c>
      <c r="H51" s="156">
        <f>($D$12*F821DO!O29+$F$12*F821EO!O29)*$L51</f>
        <v>0</v>
      </c>
      <c r="I51" s="156">
        <f>($D$12*F821DO!P29+$F$12*F821EO!P29)*$L51</f>
        <v>0</v>
      </c>
      <c r="J51" s="156">
        <f t="shared" si="6"/>
        <v>0</v>
      </c>
      <c r="K51" s="69"/>
      <c r="L51" s="319">
        <v>0.75</v>
      </c>
      <c r="N51" s="60"/>
      <c r="O51" s="60"/>
    </row>
    <row r="52" spans="2:15" s="37" customFormat="1" ht="15.75" customHeight="1">
      <c r="B52" s="48"/>
      <c r="C52" s="161" t="s">
        <v>629</v>
      </c>
      <c r="D52" s="156">
        <f>($D$12*F821DO!K30+$F$12*F821EO!K30)*$L52</f>
        <v>341.41884147985354</v>
      </c>
      <c r="E52" s="156">
        <f>($D$12*F821DO!L30+$F$12*F821EO!L30)*$L52</f>
        <v>342.81176762103377</v>
      </c>
      <c r="F52" s="156">
        <f>($D$12*F821DO!M30+$F$12*F821EO!M30)*$L52</f>
        <v>338.90368970625798</v>
      </c>
      <c r="G52" s="156">
        <f>($D$12*F821DO!N30+$F$12*F821EO!N30)*$L52</f>
        <v>336.54618763257355</v>
      </c>
      <c r="H52" s="156">
        <f>($D$12*F821DO!O30+$F$12*F821EO!O30)*$L52</f>
        <v>314.0792371253907</v>
      </c>
      <c r="I52" s="156">
        <f>($D$12*F821DO!P30+$F$12*F821EO!P30)*$L52</f>
        <v>335.10599612615249</v>
      </c>
      <c r="J52" s="156">
        <f t="shared" si="6"/>
        <v>2008.8657196912623</v>
      </c>
      <c r="K52" s="69"/>
      <c r="L52" s="319">
        <v>1</v>
      </c>
      <c r="N52" s="60"/>
      <c r="O52" s="60"/>
    </row>
    <row r="53" spans="2:15" s="37" customFormat="1" ht="15.75" customHeight="1">
      <c r="B53" s="48"/>
      <c r="C53" s="160" t="s">
        <v>305</v>
      </c>
      <c r="D53" s="156">
        <f>($D$12*F821DO!K31+$F$12*F821EO!K31)*$L53</f>
        <v>372.49761013185878</v>
      </c>
      <c r="E53" s="156">
        <f>($D$12*F821DO!L31+$F$12*F821EO!L31)*$L53</f>
        <v>374.0173319387481</v>
      </c>
      <c r="F53" s="156">
        <f>($D$12*F821DO!M31+$F$12*F821EO!M31)*$L53</f>
        <v>369.75350842756387</v>
      </c>
      <c r="G53" s="156">
        <f>($D$12*F821DO!N31+$F$12*F821EO!N31)*$L53</f>
        <v>367.18140700362943</v>
      </c>
      <c r="H53" s="156">
        <f>($D$12*F821DO!O31+$F$12*F821EO!O31)*$L53</f>
        <v>342.66932871702386</v>
      </c>
      <c r="I53" s="156">
        <f>($D$12*F821DO!P31+$F$12*F821EO!P31)*$L53</f>
        <v>365.61011734677061</v>
      </c>
      <c r="J53" s="156">
        <f t="shared" si="6"/>
        <v>2191.7293035655944</v>
      </c>
      <c r="K53" s="69"/>
      <c r="L53" s="319">
        <v>0.95</v>
      </c>
      <c r="N53" s="60"/>
      <c r="O53" s="60"/>
    </row>
    <row r="54" spans="2:15" s="37" customFormat="1" ht="15.75" customHeight="1">
      <c r="B54" s="48"/>
      <c r="C54" s="160" t="s">
        <v>307</v>
      </c>
      <c r="D54" s="156">
        <f>($D$12*F821DO!K32+$F$12*F821EO!K32)*$L54</f>
        <v>0</v>
      </c>
      <c r="E54" s="156">
        <f>($D$12*F821DO!L32+$F$12*F821EO!L32)*$L54</f>
        <v>0</v>
      </c>
      <c r="F54" s="156">
        <f>($D$12*F821DO!M32+$F$12*F821EO!M32)*$L54</f>
        <v>0</v>
      </c>
      <c r="G54" s="156">
        <f>($D$12*F821DO!N32+$F$12*F821EO!N32)*$L54</f>
        <v>0</v>
      </c>
      <c r="H54" s="156">
        <f>($D$12*F821DO!O32+$F$12*F821EO!O32)*$L54</f>
        <v>0</v>
      </c>
      <c r="I54" s="156">
        <f>($D$12*F821DO!P32+$F$12*F821EO!P32)*$L54</f>
        <v>0</v>
      </c>
      <c r="J54" s="156">
        <f t="shared" si="6"/>
        <v>0</v>
      </c>
      <c r="K54" s="69"/>
      <c r="L54" s="319">
        <v>0.5</v>
      </c>
      <c r="N54" s="60"/>
      <c r="O54" s="60"/>
    </row>
    <row r="55" spans="2:15" s="37" customFormat="1" ht="15.75" customHeight="1">
      <c r="B55" s="48"/>
      <c r="C55" s="160" t="s">
        <v>624</v>
      </c>
      <c r="D55" s="156">
        <f>($D$12*F821DO!K33+$F$12*F821EO!K33)*$L55</f>
        <v>0</v>
      </c>
      <c r="E55" s="156">
        <f>($D$12*F821DO!L33+$F$12*F821EO!L33)*$L55</f>
        <v>0</v>
      </c>
      <c r="F55" s="156">
        <f>($D$12*F821DO!M33+$F$12*F821EO!M33)*$L55</f>
        <v>0</v>
      </c>
      <c r="G55" s="156">
        <f>($D$12*F821DO!N33+$F$12*F821EO!N33)*$L55</f>
        <v>0</v>
      </c>
      <c r="H55" s="156">
        <f>($D$12*F821DO!O33+$F$12*F821EO!O33)*$L55</f>
        <v>0</v>
      </c>
      <c r="I55" s="156">
        <f>($D$12*F821DO!P33+$F$12*F821EO!P33)*$L55</f>
        <v>0</v>
      </c>
      <c r="J55" s="156">
        <f t="shared" si="6"/>
        <v>0</v>
      </c>
      <c r="K55" s="69"/>
      <c r="L55" s="319">
        <v>0</v>
      </c>
      <c r="N55" s="60"/>
      <c r="O55" s="60"/>
    </row>
    <row r="56" spans="2:15" s="37" customFormat="1" ht="15.75" customHeight="1">
      <c r="B56" s="48" t="s">
        <v>274</v>
      </c>
      <c r="C56" s="158" t="s">
        <v>631</v>
      </c>
      <c r="D56" s="159">
        <f t="shared" ref="D56:I56" si="9">SUM(D57:D60)</f>
        <v>204630.56450109513</v>
      </c>
      <c r="E56" s="159">
        <f t="shared" si="9"/>
        <v>205465.41960558371</v>
      </c>
      <c r="F56" s="159">
        <f t="shared" si="9"/>
        <v>203123.09957910675</v>
      </c>
      <c r="G56" s="159">
        <f t="shared" si="9"/>
        <v>201710.12255048243</v>
      </c>
      <c r="H56" s="159">
        <f t="shared" si="9"/>
        <v>188244.47799209834</v>
      </c>
      <c r="I56" s="159">
        <f t="shared" si="9"/>
        <v>200846.93878572236</v>
      </c>
      <c r="J56" s="159">
        <f t="shared" si="6"/>
        <v>1204020.6230140887</v>
      </c>
      <c r="K56" s="69"/>
      <c r="L56" s="319"/>
      <c r="N56" s="60"/>
      <c r="O56" s="60"/>
    </row>
    <row r="57" spans="2:15" s="37" customFormat="1" ht="15.75" customHeight="1">
      <c r="B57" s="48"/>
      <c r="C57" s="160" t="s">
        <v>304</v>
      </c>
      <c r="D57" s="156">
        <f>($D$13*F821DO!K35+$F$13*F821EO!K35)*$L57</f>
        <v>204074.44373750372</v>
      </c>
      <c r="E57" s="156">
        <f>($D$13*F821DO!L35+$F$13*F821EO!L35)*$L57</f>
        <v>204907.02997145811</v>
      </c>
      <c r="F57" s="156">
        <f>($D$13*F821DO!M35+$F$13*F821EO!M35)*$L57</f>
        <v>202571.07562551805</v>
      </c>
      <c r="G57" s="156">
        <f>($D$13*F821DO!N35+$F$13*F821EO!N35)*$L57</f>
        <v>201161.93861886702</v>
      </c>
      <c r="H57" s="156">
        <f>($D$13*F821DO!O35+$F$13*F821EO!O35)*$L57</f>
        <v>187732.88939780372</v>
      </c>
      <c r="I57" s="156">
        <f>($D$13*F821DO!P35+$F$13*F821EO!P35)*$L57</f>
        <v>200301.10071292598</v>
      </c>
      <c r="J57" s="156">
        <f t="shared" si="6"/>
        <v>1200748.4780640765</v>
      </c>
      <c r="K57" s="69"/>
      <c r="L57" s="319">
        <v>1</v>
      </c>
      <c r="N57" s="60"/>
      <c r="O57" s="60"/>
    </row>
    <row r="58" spans="2:15" s="37" customFormat="1" ht="15.75" customHeight="1">
      <c r="B58" s="48"/>
      <c r="C58" s="161" t="s">
        <v>306</v>
      </c>
      <c r="D58" s="156">
        <f>($D$13*F821DO!K36+$F$13*F821EO!K36)*$L58</f>
        <v>0</v>
      </c>
      <c r="E58" s="156">
        <f>($D$13*F821DO!L36+$F$13*F821EO!L36)*$L58</f>
        <v>0</v>
      </c>
      <c r="F58" s="156">
        <f>($D$13*F821DO!M36+$F$13*F821EO!M36)*$L58</f>
        <v>0</v>
      </c>
      <c r="G58" s="156">
        <f>($D$13*F821DO!N36+$F$13*F821EO!N36)*$L58</f>
        <v>0</v>
      </c>
      <c r="H58" s="156">
        <f>($D$13*F821DO!O36+$F$13*F821EO!O36)*$L58</f>
        <v>0</v>
      </c>
      <c r="I58" s="156">
        <f>($D$13*F821DO!P36+$F$13*F821EO!P36)*$L58</f>
        <v>0</v>
      </c>
      <c r="J58" s="156">
        <f t="shared" si="6"/>
        <v>0</v>
      </c>
      <c r="K58" s="69"/>
      <c r="L58" s="319">
        <v>1</v>
      </c>
      <c r="N58" s="60"/>
      <c r="O58" s="60"/>
    </row>
    <row r="59" spans="2:15" s="37" customFormat="1" ht="15.75" customHeight="1">
      <c r="B59" s="48"/>
      <c r="C59" s="160" t="s">
        <v>305</v>
      </c>
      <c r="D59" s="156">
        <f>($D$13*F821DO!K37+$F$13*F821EO!K37)*$L59</f>
        <v>556.12076359139758</v>
      </c>
      <c r="E59" s="156">
        <f>($D$13*F821DO!L37+$F$13*F821EO!L37)*$L59</f>
        <v>558.38963412561293</v>
      </c>
      <c r="F59" s="156">
        <f>($D$13*F821DO!M37+$F$13*F821EO!M37)*$L59</f>
        <v>552.02395358871127</v>
      </c>
      <c r="G59" s="156">
        <f>($D$13*F821DO!N37+$F$13*F821EO!N37)*$L59</f>
        <v>548.18393161539825</v>
      </c>
      <c r="H59" s="156">
        <f>($D$13*F821DO!O37+$F$13*F821EO!O37)*$L59</f>
        <v>511.58859429461972</v>
      </c>
      <c r="I59" s="156">
        <f>($D$13*F821DO!P37+$F$13*F821EO!P37)*$L59</f>
        <v>545.8380727963679</v>
      </c>
      <c r="J59" s="156">
        <f t="shared" si="6"/>
        <v>3272.144950012108</v>
      </c>
      <c r="K59" s="69"/>
      <c r="L59" s="319">
        <v>0.95</v>
      </c>
      <c r="N59" s="60"/>
      <c r="O59" s="60"/>
    </row>
    <row r="60" spans="2:15" s="37" customFormat="1" ht="15.75" customHeight="1">
      <c r="B60" s="48"/>
      <c r="C60" s="160" t="s">
        <v>307</v>
      </c>
      <c r="D60" s="156">
        <f>($D$13*F821DO!K38+$F$13*F821EO!K38)*$L60</f>
        <v>0</v>
      </c>
      <c r="E60" s="156">
        <f>($D$13*F821DO!L38+$F$13*F821EO!L38)*$L60</f>
        <v>0</v>
      </c>
      <c r="F60" s="156">
        <f>($D$13*F821DO!M38+$F$13*F821EO!M38)*$L60</f>
        <v>0</v>
      </c>
      <c r="G60" s="156">
        <f>($D$13*F821DO!N38+$F$13*F821EO!N38)*$L60</f>
        <v>0</v>
      </c>
      <c r="H60" s="156">
        <f>($D$13*F821DO!O38+$F$13*F821EO!O38)*$L60</f>
        <v>0</v>
      </c>
      <c r="I60" s="156">
        <f>($D$13*F821DO!P38+$F$13*F821EO!P38)*$L60</f>
        <v>0</v>
      </c>
      <c r="J60" s="156">
        <f t="shared" si="6"/>
        <v>0</v>
      </c>
      <c r="K60" s="69"/>
      <c r="L60" s="319">
        <v>0.5</v>
      </c>
      <c r="N60" s="60"/>
      <c r="O60" s="60"/>
    </row>
    <row r="61" spans="2:15" s="37" customFormat="1" ht="15.75" customHeight="1">
      <c r="B61" s="48" t="s">
        <v>274</v>
      </c>
      <c r="C61" s="158" t="s">
        <v>632</v>
      </c>
      <c r="D61" s="159">
        <f t="shared" ref="D61:I61" si="10">SUM(D62:D65)</f>
        <v>59249.457189512075</v>
      </c>
      <c r="E61" s="159">
        <f t="shared" si="10"/>
        <v>59491.184088391732</v>
      </c>
      <c r="F61" s="159">
        <f t="shared" si="10"/>
        <v>58812.980465823217</v>
      </c>
      <c r="G61" s="159">
        <f t="shared" si="10"/>
        <v>58403.862100874401</v>
      </c>
      <c r="H61" s="159">
        <f t="shared" si="10"/>
        <v>54504.971762882429</v>
      </c>
      <c r="I61" s="159">
        <f t="shared" si="10"/>
        <v>58153.932821533715</v>
      </c>
      <c r="J61" s="159">
        <f t="shared" si="6"/>
        <v>348616.38842901756</v>
      </c>
      <c r="K61" s="69"/>
      <c r="L61" s="319"/>
      <c r="N61" s="60"/>
      <c r="O61" s="60"/>
    </row>
    <row r="62" spans="2:15" s="37" customFormat="1" ht="15.75" customHeight="1">
      <c r="B62" s="48"/>
      <c r="C62" s="160" t="s">
        <v>304</v>
      </c>
      <c r="D62" s="156">
        <f>($D$14*F821DO!K40+$F$14*F821EO!K40)*$L62</f>
        <v>59249.457189512075</v>
      </c>
      <c r="E62" s="156">
        <f>($D$14*F821DO!L40+$F$14*F821EO!L40)*$L62</f>
        <v>59491.184088391732</v>
      </c>
      <c r="F62" s="156">
        <f>($D$14*F821DO!M40+$F$14*F821EO!M40)*$L62</f>
        <v>58812.980465823217</v>
      </c>
      <c r="G62" s="156">
        <f>($D$14*F821DO!N40+$F$14*F821EO!N40)*$L62</f>
        <v>58403.862100874401</v>
      </c>
      <c r="H62" s="156">
        <f>($D$14*F821DO!O40+$F$14*F821EO!O40)*$L62</f>
        <v>54504.971762882429</v>
      </c>
      <c r="I62" s="156">
        <f>($D$14*F821DO!P40+$F$14*F821EO!P40)*$L62</f>
        <v>58153.932821533715</v>
      </c>
      <c r="J62" s="156">
        <f t="shared" si="6"/>
        <v>348616.38842901756</v>
      </c>
      <c r="K62" s="69"/>
      <c r="L62" s="319">
        <v>1</v>
      </c>
      <c r="N62" s="60"/>
      <c r="O62" s="60"/>
    </row>
    <row r="63" spans="2:15" s="37" customFormat="1" ht="15.75" customHeight="1">
      <c r="B63" s="48"/>
      <c r="C63" s="161" t="s">
        <v>306</v>
      </c>
      <c r="D63" s="156">
        <f>($D$14*F821DO!K41+$F$14*F821EO!K41)*$L63</f>
        <v>0</v>
      </c>
      <c r="E63" s="156">
        <f>($D$14*F821DO!L41+$F$14*F821EO!L41)*$L63</f>
        <v>0</v>
      </c>
      <c r="F63" s="156">
        <f>($D$14*F821DO!M41+$F$14*F821EO!M41)*$L63</f>
        <v>0</v>
      </c>
      <c r="G63" s="156">
        <f>($D$14*F821DO!N41+$F$14*F821EO!N41)*$L63</f>
        <v>0</v>
      </c>
      <c r="H63" s="156">
        <f>($D$14*F821DO!O41+$F$14*F821EO!O41)*$L63</f>
        <v>0</v>
      </c>
      <c r="I63" s="156">
        <f>($D$14*F821DO!P41+$F$14*F821EO!P41)*$L63</f>
        <v>0</v>
      </c>
      <c r="J63" s="156">
        <f t="shared" si="6"/>
        <v>0</v>
      </c>
      <c r="K63" s="69"/>
      <c r="L63" s="319">
        <v>1</v>
      </c>
      <c r="N63" s="60"/>
      <c r="O63" s="60"/>
    </row>
    <row r="64" spans="2:15" s="37" customFormat="1" ht="15.75" customHeight="1">
      <c r="B64" s="48"/>
      <c r="C64" s="160" t="s">
        <v>305</v>
      </c>
      <c r="D64" s="156">
        <f>($D$14*F821DO!K42+$F$14*F821EO!K42)*$L64</f>
        <v>0</v>
      </c>
      <c r="E64" s="156">
        <f>($D$14*F821DO!L42+$F$14*F821EO!L42)*$L64</f>
        <v>0</v>
      </c>
      <c r="F64" s="156">
        <f>($D$14*F821DO!M42+$F$14*F821EO!M42)*$L64</f>
        <v>0</v>
      </c>
      <c r="G64" s="156">
        <f>($D$14*F821DO!N42+$F$14*F821EO!N42)*$L64</f>
        <v>0</v>
      </c>
      <c r="H64" s="156">
        <f>($D$14*F821DO!O42+$F$14*F821EO!O42)*$L64</f>
        <v>0</v>
      </c>
      <c r="I64" s="156">
        <f>($D$14*F821DO!P42+$F$14*F821EO!P42)*$L64</f>
        <v>0</v>
      </c>
      <c r="J64" s="156">
        <f t="shared" si="6"/>
        <v>0</v>
      </c>
      <c r="K64" s="69"/>
      <c r="L64" s="319">
        <v>0.95</v>
      </c>
      <c r="N64" s="60"/>
      <c r="O64" s="60"/>
    </row>
    <row r="65" spans="2:15" s="37" customFormat="1" ht="15.75" customHeight="1">
      <c r="B65" s="48"/>
      <c r="C65" s="160" t="s">
        <v>307</v>
      </c>
      <c r="D65" s="156">
        <f>($D$14*F821DO!K43+$F$14*F821EO!K43)*$L65</f>
        <v>0</v>
      </c>
      <c r="E65" s="156">
        <f>($D$14*F821DO!L43+$F$14*F821EO!L43)*$L65</f>
        <v>0</v>
      </c>
      <c r="F65" s="156">
        <f>($D$14*F821DO!M43+$F$14*F821EO!M43)*$L65</f>
        <v>0</v>
      </c>
      <c r="G65" s="156">
        <f>($D$14*F821DO!N43+$F$14*F821EO!N43)*$L65</f>
        <v>0</v>
      </c>
      <c r="H65" s="156">
        <f>($D$14*F821DO!O43+$F$14*F821EO!O43)*$L65</f>
        <v>0</v>
      </c>
      <c r="I65" s="156">
        <f>($D$14*F821DO!P43+$F$14*F821EO!P43)*$L65</f>
        <v>0</v>
      </c>
      <c r="J65" s="156">
        <f t="shared" si="6"/>
        <v>0</v>
      </c>
      <c r="K65" s="69"/>
      <c r="L65" s="319">
        <v>0.5</v>
      </c>
      <c r="N65" s="60"/>
      <c r="O65" s="60"/>
    </row>
    <row r="66" spans="2:15" s="37" customFormat="1" ht="15.75" customHeight="1">
      <c r="B66" s="48" t="s">
        <v>274</v>
      </c>
      <c r="C66" s="158" t="s">
        <v>633</v>
      </c>
      <c r="D66" s="159">
        <f t="shared" ref="D66:I66" si="11">SUM(D67:D70)</f>
        <v>60501.117845497778</v>
      </c>
      <c r="E66" s="159">
        <f t="shared" si="11"/>
        <v>60747.951289874611</v>
      </c>
      <c r="F66" s="159">
        <f t="shared" si="11"/>
        <v>60055.420434089407</v>
      </c>
      <c r="G66" s="159">
        <f t="shared" si="11"/>
        <v>59637.659334078744</v>
      </c>
      <c r="H66" s="159">
        <f t="shared" si="11"/>
        <v>55656.403893188726</v>
      </c>
      <c r="I66" s="159">
        <f t="shared" si="11"/>
        <v>59382.450231756244</v>
      </c>
      <c r="J66" s="159">
        <f t="shared" si="6"/>
        <v>355981.00302848552</v>
      </c>
      <c r="K66" s="69"/>
      <c r="L66" s="319"/>
      <c r="N66" s="60"/>
      <c r="O66" s="60"/>
    </row>
    <row r="67" spans="2:15" s="37" customFormat="1" ht="15.75" customHeight="1">
      <c r="B67" s="48"/>
      <c r="C67" s="160" t="s">
        <v>304</v>
      </c>
      <c r="D67" s="156">
        <f>($D$15*F821DO!K45+$F$15*F821EO!K45)*$L67</f>
        <v>60501.117845497778</v>
      </c>
      <c r="E67" s="156">
        <f>($D$15*F821DO!L45+$F$15*F821EO!L45)*$L67</f>
        <v>60747.951289874611</v>
      </c>
      <c r="F67" s="156">
        <f>($D$15*F821DO!M45+$F$15*F821EO!M45)*$L67</f>
        <v>60055.420434089407</v>
      </c>
      <c r="G67" s="156">
        <f>($D$15*F821DO!N45+$F$15*F821EO!N45)*$L67</f>
        <v>59637.659334078744</v>
      </c>
      <c r="H67" s="156">
        <f>($D$15*F821DO!O45+$F$15*F821EO!O45)*$L67</f>
        <v>55656.403893188726</v>
      </c>
      <c r="I67" s="156">
        <f>($D$15*F821DO!P45+$F$15*F821EO!P45)*$L67</f>
        <v>59382.450231756244</v>
      </c>
      <c r="J67" s="156">
        <f t="shared" si="6"/>
        <v>355981.00302848552</v>
      </c>
      <c r="K67" s="69"/>
      <c r="L67" s="319">
        <v>1</v>
      </c>
      <c r="N67" s="60"/>
      <c r="O67" s="60"/>
    </row>
    <row r="68" spans="2:15" s="37" customFormat="1" ht="15.75" customHeight="1">
      <c r="B68" s="48"/>
      <c r="C68" s="161" t="s">
        <v>306</v>
      </c>
      <c r="D68" s="156">
        <f>($D$15*F821DO!K46+$F$15*F821EO!K46)*$L68</f>
        <v>0</v>
      </c>
      <c r="E68" s="156">
        <f>($D$15*F821DO!L46+$F$15*F821EO!L46)*$L68</f>
        <v>0</v>
      </c>
      <c r="F68" s="156">
        <f>($D$15*F821DO!M46+$F$15*F821EO!M46)*$L68</f>
        <v>0</v>
      </c>
      <c r="G68" s="156">
        <f>($D$15*F821DO!N46+$F$15*F821EO!N46)*$L68</f>
        <v>0</v>
      </c>
      <c r="H68" s="156">
        <f>($D$15*F821DO!O46+$F$15*F821EO!O46)*$L68</f>
        <v>0</v>
      </c>
      <c r="I68" s="156">
        <f>($D$15*F821DO!P46+$F$15*F821EO!P46)*$L68</f>
        <v>0</v>
      </c>
      <c r="J68" s="156">
        <f t="shared" si="6"/>
        <v>0</v>
      </c>
      <c r="K68" s="69"/>
      <c r="L68" s="319">
        <v>1</v>
      </c>
      <c r="N68" s="60"/>
      <c r="O68" s="60"/>
    </row>
    <row r="69" spans="2:15" s="37" customFormat="1" ht="15.75" customHeight="1">
      <c r="B69" s="48"/>
      <c r="C69" s="160" t="s">
        <v>305</v>
      </c>
      <c r="D69" s="156">
        <f>($D$15*F821DO!K47+$F$15*F821EO!K47)*$L69</f>
        <v>0</v>
      </c>
      <c r="E69" s="156">
        <f>($D$15*F821DO!L47+$F$15*F821EO!L47)*$L69</f>
        <v>0</v>
      </c>
      <c r="F69" s="156">
        <f>($D$15*F821DO!M47+$F$15*F821EO!M47)*$L69</f>
        <v>0</v>
      </c>
      <c r="G69" s="156">
        <f>($D$15*F821DO!N47+$F$15*F821EO!N47)*$L69</f>
        <v>0</v>
      </c>
      <c r="H69" s="156">
        <f>($D$15*F821DO!O47+$F$15*F821EO!O47)*$L69</f>
        <v>0</v>
      </c>
      <c r="I69" s="156">
        <f>($D$15*F821DO!P47+$F$15*F821EO!P47)*$L69</f>
        <v>0</v>
      </c>
      <c r="J69" s="156">
        <f t="shared" si="6"/>
        <v>0</v>
      </c>
      <c r="K69" s="69"/>
      <c r="L69" s="319">
        <v>0.95</v>
      </c>
      <c r="N69" s="60"/>
      <c r="O69" s="60"/>
    </row>
    <row r="70" spans="2:15" s="37" customFormat="1" ht="15.75" customHeight="1">
      <c r="B70" s="48"/>
      <c r="C70" s="160" t="s">
        <v>307</v>
      </c>
      <c r="D70" s="156">
        <f>($D$15*F821DO!K48+$F$15*F821EO!K48)*$L70</f>
        <v>0</v>
      </c>
      <c r="E70" s="156">
        <f>($D$15*F821DO!L48+$F$15*F821EO!L48)*$L70</f>
        <v>0</v>
      </c>
      <c r="F70" s="156">
        <f>($D$15*F821DO!M48+$F$15*F821EO!M48)*$L70</f>
        <v>0</v>
      </c>
      <c r="G70" s="156">
        <f>($D$15*F821DO!N48+$F$15*F821EO!N48)*$L70</f>
        <v>0</v>
      </c>
      <c r="H70" s="156">
        <f>($D$15*F821DO!O48+$F$15*F821EO!O48)*$L70</f>
        <v>0</v>
      </c>
      <c r="I70" s="156">
        <f>($D$15*F821DO!P48+$F$15*F821EO!P48)*$L70</f>
        <v>0</v>
      </c>
      <c r="J70" s="156">
        <f t="shared" si="6"/>
        <v>0</v>
      </c>
      <c r="K70" s="69"/>
      <c r="L70" s="319">
        <v>0.5</v>
      </c>
      <c r="N70" s="60"/>
      <c r="O70" s="60"/>
    </row>
    <row r="71" spans="2:15" s="37" customFormat="1" ht="15.75">
      <c r="B71" s="48"/>
      <c r="C71" s="157"/>
      <c r="D71" s="156"/>
      <c r="E71" s="156"/>
      <c r="F71" s="156"/>
      <c r="G71" s="156"/>
      <c r="H71" s="156"/>
      <c r="I71" s="156"/>
      <c r="J71" s="156"/>
      <c r="K71" s="69"/>
      <c r="L71" s="319"/>
      <c r="N71" s="60"/>
      <c r="O71" s="60"/>
    </row>
    <row r="72" spans="2:15" s="37" customFormat="1" ht="15.75">
      <c r="B72" s="48" t="s">
        <v>1176</v>
      </c>
      <c r="C72" s="158" t="str">
        <f>F801ENE!$C$50</f>
        <v>BTSH</v>
      </c>
      <c r="D72" s="159">
        <f>SUM(D73:D78)</f>
        <v>11.905202787167051</v>
      </c>
      <c r="E72" s="159">
        <f t="shared" ref="E72:J72" si="12">SUM(E73:E78)</f>
        <v>11.953773827085115</v>
      </c>
      <c r="F72" s="159">
        <f t="shared" si="12"/>
        <v>11.817499976814318</v>
      </c>
      <c r="G72" s="159">
        <f t="shared" si="12"/>
        <v>11.735294378152192</v>
      </c>
      <c r="H72" s="159">
        <f t="shared" si="12"/>
        <v>10.951876566065684</v>
      </c>
      <c r="I72" s="159">
        <f t="shared" si="12"/>
        <v>11.685075204945521</v>
      </c>
      <c r="J72" s="159">
        <f t="shared" si="12"/>
        <v>70.048722740229877</v>
      </c>
      <c r="K72" s="69"/>
      <c r="L72" s="319"/>
      <c r="N72" s="60"/>
      <c r="O72" s="60"/>
    </row>
    <row r="73" spans="2:15" s="37" customFormat="1" ht="15.75">
      <c r="B73" s="48"/>
      <c r="C73" s="160" t="str">
        <f>F801ENE!$C$51</f>
        <v xml:space="preserve">    - Regulares</v>
      </c>
      <c r="D73" s="156">
        <f>($G$16*F821EO!K51)*$L73</f>
        <v>4.0190462668756917</v>
      </c>
      <c r="E73" s="156">
        <f>($G$16*F821EO!L51)*$L73</f>
        <v>4.0354432371878133</v>
      </c>
      <c r="F73" s="156">
        <f>($G$16*F821EO!M51)*$L73</f>
        <v>3.989438904544778</v>
      </c>
      <c r="G73" s="156">
        <f>($G$16*F821EO!N51)*$L73</f>
        <v>3.9616873315286987</v>
      </c>
      <c r="H73" s="156">
        <f>($G$16*F821EO!O51)*$L73</f>
        <v>3.6972153616380088</v>
      </c>
      <c r="I73" s="156">
        <f>($G$16*F821EO!P51)*$L73</f>
        <v>3.9447339722109205</v>
      </c>
      <c r="J73" s="156">
        <f t="shared" ref="J73:J90" si="13">SUM(D73:I73)</f>
        <v>23.647565073985909</v>
      </c>
      <c r="K73" s="69"/>
      <c r="L73" s="319">
        <v>1</v>
      </c>
      <c r="M73" s="69"/>
      <c r="N73" s="60"/>
      <c r="O73" s="60"/>
    </row>
    <row r="74" spans="2:15" s="37" customFormat="1" ht="15.75">
      <c r="B74" s="48"/>
      <c r="C74" s="162" t="str">
        <f>F801ENE!$C$52</f>
        <v xml:space="preserve">    - Jubilados (0 a 600 KWh)</v>
      </c>
      <c r="D74" s="156">
        <f>($G$16*F821EO!K52)*$L74</f>
        <v>0</v>
      </c>
      <c r="E74" s="156">
        <f>($G$16*F821EO!L52)*$L74</f>
        <v>0</v>
      </c>
      <c r="F74" s="156">
        <f>($G$16*F821EO!M52)*$L74</f>
        <v>0</v>
      </c>
      <c r="G74" s="156">
        <f>($G$16*F821EO!N52)*$L74</f>
        <v>0</v>
      </c>
      <c r="H74" s="156">
        <f>($G$16*F821EO!O52)*$L74</f>
        <v>0</v>
      </c>
      <c r="I74" s="156">
        <f>($G$16*F821EO!P52)*$L74</f>
        <v>0</v>
      </c>
      <c r="J74" s="156">
        <f t="shared" si="13"/>
        <v>0</v>
      </c>
      <c r="K74" s="69"/>
      <c r="L74" s="319">
        <v>0.75</v>
      </c>
      <c r="M74" s="69"/>
      <c r="N74" s="60"/>
      <c r="O74" s="60"/>
    </row>
    <row r="75" spans="2:15" s="37" customFormat="1" ht="15.75">
      <c r="B75" s="48"/>
      <c r="C75" s="162" t="str">
        <f>F801ENE!$C$53</f>
        <v xml:space="preserve">    - Jubilados (601 y Más KWh)</v>
      </c>
      <c r="D75" s="156">
        <f>($G$16*F821EO!K53)*$L75</f>
        <v>7.8861565202913591</v>
      </c>
      <c r="E75" s="156">
        <f>($G$16*F821EO!L53)*$L75</f>
        <v>7.9183305898973009</v>
      </c>
      <c r="F75" s="156">
        <f>($G$16*F821EO!M53)*$L75</f>
        <v>7.8280610722695396</v>
      </c>
      <c r="G75" s="156">
        <f>($G$16*F821EO!N53)*$L75</f>
        <v>7.7736070466234928</v>
      </c>
      <c r="H75" s="156">
        <f>($G$16*F821EO!O53)*$L75</f>
        <v>7.2546612044276753</v>
      </c>
      <c r="I75" s="156">
        <f>($G$16*F821EO!P53)*$L75</f>
        <v>7.7403412327346013</v>
      </c>
      <c r="J75" s="156">
        <f t="shared" si="13"/>
        <v>46.401157666243968</v>
      </c>
      <c r="K75" s="69"/>
      <c r="L75" s="319">
        <v>1</v>
      </c>
      <c r="M75" s="69"/>
      <c r="N75" s="60"/>
      <c r="O75" s="60"/>
    </row>
    <row r="76" spans="2:15" s="37" customFormat="1" ht="15.75">
      <c r="B76" s="48"/>
      <c r="C76" s="160" t="str">
        <f>F801ENE!$C$54</f>
        <v xml:space="preserve">    - Agropecuarios</v>
      </c>
      <c r="D76" s="156">
        <f>($G$16*F821EO!K54)*$L76</f>
        <v>0</v>
      </c>
      <c r="E76" s="156">
        <f>($G$16*F821EO!L54)*$L76</f>
        <v>0</v>
      </c>
      <c r="F76" s="156">
        <f>($G$16*F821EO!M54)*$L76</f>
        <v>0</v>
      </c>
      <c r="G76" s="156">
        <f>($G$16*F821EO!N54)*$L76</f>
        <v>0</v>
      </c>
      <c r="H76" s="156">
        <f>($G$16*F821EO!O54)*$L76</f>
        <v>0</v>
      </c>
      <c r="I76" s="156">
        <f>($G$16*F821EO!P54)*$L76</f>
        <v>0</v>
      </c>
      <c r="J76" s="156">
        <f t="shared" si="13"/>
        <v>0</v>
      </c>
      <c r="K76" s="69"/>
      <c r="L76" s="319">
        <v>0.95</v>
      </c>
      <c r="M76" s="69"/>
      <c r="N76" s="60"/>
      <c r="O76" s="60"/>
    </row>
    <row r="77" spans="2:15" s="37" customFormat="1" ht="15.75">
      <c r="B77" s="48"/>
      <c r="C77" s="160" t="str">
        <f>F801ENE!$C$55</f>
        <v xml:space="preserve">    - Partidos Políticos</v>
      </c>
      <c r="D77" s="156">
        <f>($G$16*F821EO!K55)*$L77</f>
        <v>0</v>
      </c>
      <c r="E77" s="156">
        <f>($G$16*F821EO!L55)*$L77</f>
        <v>0</v>
      </c>
      <c r="F77" s="156">
        <f>($G$16*F821EO!M55)*$L77</f>
        <v>0</v>
      </c>
      <c r="G77" s="156">
        <f>($G$16*F821EO!N55)*$L77</f>
        <v>0</v>
      </c>
      <c r="H77" s="156">
        <f>($G$16*F821EO!O55)*$L77</f>
        <v>0</v>
      </c>
      <c r="I77" s="156">
        <f>($G$16*F821EO!P55)*$L77</f>
        <v>0</v>
      </c>
      <c r="J77" s="156">
        <f t="shared" si="13"/>
        <v>0</v>
      </c>
      <c r="K77" s="69"/>
      <c r="L77" s="319">
        <v>0.5</v>
      </c>
      <c r="M77" s="69"/>
      <c r="N77" s="60"/>
      <c r="O77" s="60"/>
    </row>
    <row r="78" spans="2:15" s="37" customFormat="1" ht="15.75">
      <c r="B78" s="48"/>
      <c r="C78" s="160" t="str">
        <f>F801ENE!$C$56</f>
        <v xml:space="preserve">    - Cruz Roja</v>
      </c>
      <c r="D78" s="156">
        <f>($G$16*F821EO!K56)*$L78</f>
        <v>0</v>
      </c>
      <c r="E78" s="156">
        <f>($G$16*F821EO!L56)*$L78</f>
        <v>0</v>
      </c>
      <c r="F78" s="156">
        <f>($G$16*F821EO!M56)*$L78</f>
        <v>0</v>
      </c>
      <c r="G78" s="156">
        <f>($G$16*F821EO!N56)*$L78</f>
        <v>0</v>
      </c>
      <c r="H78" s="156">
        <f>($G$16*F821EO!O56)*$L78</f>
        <v>0</v>
      </c>
      <c r="I78" s="156">
        <f>($G$16*F821EO!P56)*$L78</f>
        <v>0</v>
      </c>
      <c r="J78" s="156">
        <f t="shared" si="13"/>
        <v>0</v>
      </c>
      <c r="K78" s="69"/>
      <c r="L78" s="319">
        <v>0</v>
      </c>
      <c r="M78" s="69"/>
      <c r="N78" s="60"/>
      <c r="O78" s="60"/>
    </row>
    <row r="79" spans="2:15" s="37" customFormat="1" ht="15.75">
      <c r="B79" s="48" t="s">
        <v>751</v>
      </c>
      <c r="C79" s="158" t="s">
        <v>634</v>
      </c>
      <c r="D79" s="159">
        <f t="shared" ref="D79" si="14">SUM(D80:D84)</f>
        <v>232814.56416497007</v>
      </c>
      <c r="E79" s="159">
        <f t="shared" ref="E79:I79" si="15">SUM(E80:E84)</f>
        <v>233813.85236536438</v>
      </c>
      <c r="F79" s="159">
        <f t="shared" si="15"/>
        <v>230963.71357808186</v>
      </c>
      <c r="G79" s="159">
        <f t="shared" si="15"/>
        <v>229231.77465316886</v>
      </c>
      <c r="H79" s="159">
        <f t="shared" si="15"/>
        <v>212823.18968020778</v>
      </c>
      <c r="I79" s="159">
        <f t="shared" si="15"/>
        <v>228191.22939754309</v>
      </c>
      <c r="J79" s="159">
        <f t="shared" si="13"/>
        <v>1367838.3238393359</v>
      </c>
      <c r="K79" s="69"/>
      <c r="L79" s="319"/>
      <c r="M79" s="69"/>
      <c r="N79" s="60"/>
      <c r="O79" s="60"/>
    </row>
    <row r="80" spans="2:15" s="37" customFormat="1" ht="15.75">
      <c r="B80" s="48"/>
      <c r="C80" s="160" t="s">
        <v>304</v>
      </c>
      <c r="D80" s="156">
        <f>(($E$18+$F$18)*F821EO!K66)*$L80</f>
        <v>170973.23492703977</v>
      </c>
      <c r="E80" s="156">
        <f>(($E$18+$F$18)*F821EO!L66)*$L80</f>
        <v>171709.80751440633</v>
      </c>
      <c r="F80" s="156">
        <f>(($E$18+$F$18)*F821EO!M66)*$L80</f>
        <v>169606.59943601509</v>
      </c>
      <c r="G80" s="156">
        <f>(($E$18+$F$18)*F821EO!N66)*$L80</f>
        <v>168327.87247538887</v>
      </c>
      <c r="H80" s="156">
        <f>(($E$18+$F$18)*F821EO!O66)*$L80</f>
        <v>156218.2116041845</v>
      </c>
      <c r="I80" s="156">
        <f>(($E$18+$F$18)*F821EO!P66)*$L80</f>
        <v>167560.51485615832</v>
      </c>
      <c r="J80" s="156">
        <f t="shared" si="13"/>
        <v>1004396.2408131929</v>
      </c>
      <c r="K80" s="69"/>
      <c r="L80" s="319">
        <v>1</v>
      </c>
      <c r="M80" s="329"/>
      <c r="N80" s="60"/>
      <c r="O80" s="60"/>
    </row>
    <row r="81" spans="2:15" s="37" customFormat="1" ht="15.75">
      <c r="B81" s="48"/>
      <c r="C81" s="162" t="s">
        <v>644</v>
      </c>
      <c r="D81" s="156">
        <f>(($E$18+$F$18)*F821EO!K67)*$L81</f>
        <v>61837.300573176413</v>
      </c>
      <c r="E81" s="156">
        <f>(($E$18+$F$18)*F821EO!L67)*$L81</f>
        <v>62099.998648330657</v>
      </c>
      <c r="F81" s="156">
        <f>(($E$18+$F$18)*F821EO!M67)*$L81</f>
        <v>61353.117144759075</v>
      </c>
      <c r="G81" s="156">
        <f>(($E$18+$F$18)*F821EO!N67)*$L81</f>
        <v>60899.934863003131</v>
      </c>
      <c r="H81" s="156">
        <f>(($E$18+$F$18)*F821EO!O67)*$L81</f>
        <v>56601.293635208058</v>
      </c>
      <c r="I81" s="156">
        <f>(($E$18+$F$18)*F821EO!P67)*$L81</f>
        <v>60626.765359584046</v>
      </c>
      <c r="J81" s="156">
        <f t="shared" si="13"/>
        <v>363418.4102240614</v>
      </c>
      <c r="K81" s="69"/>
      <c r="L81" s="319">
        <v>0.75</v>
      </c>
      <c r="M81" s="329"/>
      <c r="N81" s="60"/>
      <c r="O81" s="60"/>
    </row>
    <row r="82" spans="2:15" s="37" customFormat="1" ht="15.75">
      <c r="B82" s="48"/>
      <c r="C82" s="160" t="s">
        <v>305</v>
      </c>
      <c r="D82" s="156">
        <f>(($E$18+$F$18)*F821EO!K68)*$L82</f>
        <v>4.0286647538875151</v>
      </c>
      <c r="E82" s="156">
        <f>(($E$18+$F$18)*F821EO!L68)*$L82</f>
        <v>4.046202627383936</v>
      </c>
      <c r="F82" s="156">
        <f>(($E$18+$F$18)*F821EO!M68)*$L82</f>
        <v>3.9969973076923848</v>
      </c>
      <c r="G82" s="156">
        <f>(($E$18+$F$18)*F821EO!N68)*$L82</f>
        <v>3.9673147768578381</v>
      </c>
      <c r="H82" s="156">
        <f>(($E$18+$F$18)*F821EO!O68)*$L82</f>
        <v>3.6844408152051016</v>
      </c>
      <c r="I82" s="156">
        <f>(($E$18+$F$18)*F821EO!P68)*$L82</f>
        <v>3.9491818007412225</v>
      </c>
      <c r="J82" s="156">
        <f t="shared" si="13"/>
        <v>23.672802081767994</v>
      </c>
      <c r="K82" s="69"/>
      <c r="L82" s="319">
        <v>0.95</v>
      </c>
      <c r="M82" s="329"/>
      <c r="N82" s="60"/>
      <c r="O82" s="60"/>
    </row>
    <row r="83" spans="2:15" s="37" customFormat="1" ht="15.75">
      <c r="B83" s="48"/>
      <c r="C83" s="160" t="s">
        <v>307</v>
      </c>
      <c r="D83" s="156">
        <f>(($E$18+$F$18)*F821EO!K69)*$L83</f>
        <v>0</v>
      </c>
      <c r="E83" s="156">
        <f>(($E$18+$F$18)*F821EO!L69)*$L83</f>
        <v>0</v>
      </c>
      <c r="F83" s="156">
        <f>(($E$18+$F$18)*F821EO!M69)*$L83</f>
        <v>0</v>
      </c>
      <c r="G83" s="156">
        <f>(($E$18+$F$18)*F821EO!N69)*$L83</f>
        <v>0</v>
      </c>
      <c r="H83" s="156">
        <f>(($E$18+$F$18)*F821EO!O69)*$L83</f>
        <v>0</v>
      </c>
      <c r="I83" s="156">
        <f>(($E$18+$F$18)*F821EO!P69)*$L83</f>
        <v>0</v>
      </c>
      <c r="J83" s="156">
        <f t="shared" si="13"/>
        <v>0</v>
      </c>
      <c r="K83" s="69"/>
      <c r="L83" s="319">
        <v>0.5</v>
      </c>
      <c r="M83" s="329"/>
      <c r="N83" s="60"/>
      <c r="O83" s="60"/>
    </row>
    <row r="84" spans="2:15" s="37" customFormat="1" ht="15.75">
      <c r="B84" s="48"/>
      <c r="C84" s="160" t="s">
        <v>624</v>
      </c>
      <c r="D84" s="156">
        <f>(($E$18+$F$18)*F821EO!K70)*$L84</f>
        <v>0</v>
      </c>
      <c r="E84" s="156">
        <f>(($E$18+$F$18)*F821EO!L70)*$L84</f>
        <v>0</v>
      </c>
      <c r="F84" s="156">
        <f>(($E$18+$F$18)*F821EO!M70)*$L84</f>
        <v>0</v>
      </c>
      <c r="G84" s="156">
        <f>(($E$18+$F$18)*F821EO!N70)*$L84</f>
        <v>0</v>
      </c>
      <c r="H84" s="156">
        <f>(($E$18+$F$18)*F821EO!O70)*$L84</f>
        <v>0</v>
      </c>
      <c r="I84" s="156">
        <f>(($E$18+$F$18)*F821EO!P70)*$L84</f>
        <v>0</v>
      </c>
      <c r="J84" s="156">
        <f t="shared" si="13"/>
        <v>0</v>
      </c>
      <c r="K84" s="69"/>
      <c r="L84" s="319">
        <v>0</v>
      </c>
      <c r="M84" s="329"/>
      <c r="N84" s="60"/>
      <c r="O84" s="60"/>
    </row>
    <row r="85" spans="2:15" s="37" customFormat="1" ht="15.75">
      <c r="B85" s="48" t="s">
        <v>750</v>
      </c>
      <c r="C85" s="158" t="s">
        <v>635</v>
      </c>
      <c r="D85" s="159">
        <f t="shared" ref="D85" si="16">SUM(D86:D91)</f>
        <v>362743.01238494663</v>
      </c>
      <c r="E85" s="159">
        <f t="shared" ref="E85:I85" si="17">SUM(E86:E91)</f>
        <v>364222.93722533149</v>
      </c>
      <c r="F85" s="159">
        <f t="shared" si="17"/>
        <v>360070.77049283299</v>
      </c>
      <c r="G85" s="159">
        <f t="shared" si="17"/>
        <v>357566.02470843104</v>
      </c>
      <c r="H85" s="159">
        <f t="shared" si="17"/>
        <v>333695.84440216952</v>
      </c>
      <c r="I85" s="159">
        <f t="shared" si="17"/>
        <v>356035.88242575561</v>
      </c>
      <c r="J85" s="159">
        <f t="shared" si="13"/>
        <v>2134334.4716394674</v>
      </c>
      <c r="K85" s="69"/>
      <c r="L85" s="319"/>
      <c r="M85" s="69"/>
      <c r="N85" s="60"/>
      <c r="O85" s="60"/>
    </row>
    <row r="86" spans="2:15" s="37" customFormat="1" ht="15.75">
      <c r="B86" s="48"/>
      <c r="C86" s="160" t="s">
        <v>304</v>
      </c>
      <c r="D86" s="156">
        <f>(($E$19+$F$19)*F821EO!K72)*$L86</f>
        <v>228913.10767909291</v>
      </c>
      <c r="E86" s="156">
        <f>(($E$19+$F$19)*F821EO!L72)*$L86</f>
        <v>229847.03109809032</v>
      </c>
      <c r="F86" s="156">
        <f>(($E$19+$F$19)*F821EO!M72)*$L86</f>
        <v>227226.7590104524</v>
      </c>
      <c r="G86" s="156">
        <f>(($E$19+$F$19)*F821EO!N72)*$L86</f>
        <v>225646.11066747314</v>
      </c>
      <c r="H86" s="156">
        <f>(($E$19+$F$19)*F821EO!O72)*$L86</f>
        <v>210582.56163081262</v>
      </c>
      <c r="I86" s="156">
        <f>(($E$19+$F$19)*F821EO!P72)*$L86</f>
        <v>224680.49695980869</v>
      </c>
      <c r="J86" s="330">
        <f t="shared" si="13"/>
        <v>1346896.0670457303</v>
      </c>
      <c r="K86" s="69"/>
      <c r="L86" s="319">
        <v>1</v>
      </c>
      <c r="M86" s="329"/>
      <c r="N86" s="60"/>
      <c r="O86" s="60"/>
    </row>
    <row r="87" spans="2:15" s="37" customFormat="1" ht="15.75">
      <c r="B87" s="48"/>
      <c r="C87" s="162" t="s">
        <v>642</v>
      </c>
      <c r="D87" s="156">
        <f>(($E$19+$F$19)*F821EO!K73)*$L87</f>
        <v>97196.704315137598</v>
      </c>
      <c r="E87" s="156">
        <f>(($E$19+$F$19)*F821EO!L73)*$L87</f>
        <v>97593.249009889318</v>
      </c>
      <c r="F87" s="156">
        <f>(($E$19+$F$19)*F821EO!M73)*$L87</f>
        <v>96480.679205960114</v>
      </c>
      <c r="G87" s="156">
        <f>(($E$19+$F$19)*F821EO!N73)*$L87</f>
        <v>95809.534546851559</v>
      </c>
      <c r="H87" s="156">
        <f>(($E$19+$F$19)*F821EO!O73)*$L87</f>
        <v>89413.538544274939</v>
      </c>
      <c r="I87" s="156">
        <f>(($E$19+$F$19)*F821EO!P73)*$L87</f>
        <v>95399.534128011073</v>
      </c>
      <c r="J87" s="330">
        <f t="shared" si="13"/>
        <v>571893.23975012451</v>
      </c>
      <c r="K87" s="69"/>
      <c r="L87" s="319">
        <v>0.75</v>
      </c>
      <c r="M87" s="329"/>
      <c r="N87" s="60"/>
      <c r="O87" s="60"/>
    </row>
    <row r="88" spans="2:15" s="37" customFormat="1" ht="15.75">
      <c r="B88" s="48"/>
      <c r="C88" s="162" t="s">
        <v>1177</v>
      </c>
      <c r="D88" s="156">
        <f>(($E$19+$F$19)*F821EO!K74)*$L88</f>
        <v>36613.047113384549</v>
      </c>
      <c r="E88" s="156">
        <f>(($E$19+$F$19)*F821EO!L74)*$L88</f>
        <v>36762.421618351662</v>
      </c>
      <c r="F88" s="156">
        <f>(($E$19+$F$19)*F821EO!M74)*$L88</f>
        <v>36343.327463511632</v>
      </c>
      <c r="G88" s="156">
        <f>(($E$19+$F$19)*F821EO!N74)*$L88</f>
        <v>36090.513839870982</v>
      </c>
      <c r="H88" s="156">
        <f>(($E$19+$F$19)*F821EO!O74)*$L88</f>
        <v>33681.204752393147</v>
      </c>
      <c r="I88" s="156">
        <f>(($E$19+$F$19)*F821EO!P74)*$L88</f>
        <v>35936.070695349918</v>
      </c>
      <c r="J88" s="330">
        <f t="shared" si="13"/>
        <v>215426.5854828619</v>
      </c>
      <c r="K88" s="69"/>
      <c r="L88" s="319">
        <v>1</v>
      </c>
      <c r="M88" s="329"/>
      <c r="N88" s="60"/>
      <c r="O88" s="60"/>
    </row>
    <row r="89" spans="2:15" s="37" customFormat="1" ht="15.75">
      <c r="B89" s="48"/>
      <c r="C89" s="160" t="s">
        <v>305</v>
      </c>
      <c r="D89" s="156">
        <f>(($E$19+$F$19)*F821EO!K75)*$L89</f>
        <v>18.529035947654723</v>
      </c>
      <c r="E89" s="156">
        <f>(($E$19+$F$19)*F821EO!L75)*$L89</f>
        <v>18.604631009809133</v>
      </c>
      <c r="F89" s="156">
        <f>(($E$19+$F$19)*F821EO!M75)*$L89</f>
        <v>18.392536926614287</v>
      </c>
      <c r="G89" s="156">
        <f>(($E$19+$F$19)*F821EO!N75)*$L89</f>
        <v>18.264593663493152</v>
      </c>
      <c r="H89" s="156">
        <f>(($E$19+$F$19)*F821EO!O75)*$L89</f>
        <v>17.045296767699732</v>
      </c>
      <c r="I89" s="156">
        <f>(($E$19+$F$19)*F821EO!P75)*$L89</f>
        <v>18.186433477375957</v>
      </c>
      <c r="J89" s="156">
        <f t="shared" si="13"/>
        <v>109.02252779264698</v>
      </c>
      <c r="K89" s="69"/>
      <c r="L89" s="319">
        <v>0.95</v>
      </c>
      <c r="M89" s="329"/>
      <c r="N89" s="60"/>
      <c r="O89" s="60"/>
    </row>
    <row r="90" spans="2:15" s="37" customFormat="1" ht="15.75">
      <c r="B90" s="48"/>
      <c r="C90" s="160" t="s">
        <v>307</v>
      </c>
      <c r="D90" s="156">
        <f>(($E$19+$F$19)*F821EO!K76)*$L90</f>
        <v>1.6242413839800807</v>
      </c>
      <c r="E90" s="156">
        <f>(($E$19+$F$19)*F821EO!L76)*$L90</f>
        <v>1.6308679903897512</v>
      </c>
      <c r="F90" s="156">
        <f>(($E$19+$F$19)*F821EO!M76)*$L90</f>
        <v>1.6122759822466624</v>
      </c>
      <c r="G90" s="156">
        <f>(($E$19+$F$19)*F821EO!N76)*$L90</f>
        <v>1.6010605718308224</v>
      </c>
      <c r="H90" s="156">
        <f>(($E$19+$F$19)*F821EO!O76)*$L90</f>
        <v>1.4941779211035573</v>
      </c>
      <c r="I90" s="156">
        <f>(($E$19+$F$19)*F821EO!P76)*$L90</f>
        <v>1.5942091085798593</v>
      </c>
      <c r="J90" s="156">
        <f t="shared" si="13"/>
        <v>9.5568329581307339</v>
      </c>
      <c r="K90" s="69"/>
      <c r="L90" s="319">
        <v>0.5</v>
      </c>
      <c r="M90" s="329"/>
      <c r="N90" s="60"/>
      <c r="O90" s="60"/>
    </row>
    <row r="91" spans="2:15" s="37" customFormat="1" ht="15.75">
      <c r="B91" s="48"/>
      <c r="C91" s="160" t="s">
        <v>624</v>
      </c>
      <c r="D91" s="156">
        <f>(($E$19+$F$19)*F821EO!K77)*$L91</f>
        <v>0</v>
      </c>
      <c r="E91" s="156">
        <f>(($E$19+$F$19)*F821EO!L77)*$L91</f>
        <v>0</v>
      </c>
      <c r="F91" s="156">
        <f>(($E$19+$F$19)*F821EO!M77)*$L91</f>
        <v>0</v>
      </c>
      <c r="G91" s="156">
        <f>(($E$19+$F$19)*F821EO!N77)*$L91</f>
        <v>0</v>
      </c>
      <c r="H91" s="156">
        <f>(($E$19+$F$19)*F821EO!O77)*$L91</f>
        <v>0</v>
      </c>
      <c r="I91" s="156">
        <f>(($E$19+$F$19)*F821EO!P77)*$L91</f>
        <v>0</v>
      </c>
      <c r="J91" s="156"/>
      <c r="K91" s="69"/>
      <c r="L91" s="319">
        <v>0</v>
      </c>
      <c r="M91" s="329"/>
      <c r="N91" s="60"/>
      <c r="O91" s="60"/>
    </row>
    <row r="92" spans="2:15" s="37" customFormat="1" ht="15.75">
      <c r="B92" s="48" t="s">
        <v>749</v>
      </c>
      <c r="C92" s="158" t="s">
        <v>636</v>
      </c>
      <c r="D92" s="159">
        <f t="shared" ref="D92" si="18">SUM(D93:D98)</f>
        <v>515281.37621750735</v>
      </c>
      <c r="E92" s="159">
        <f t="shared" ref="E92:I92" si="19">SUM(E93:E98)</f>
        <v>517383.62955503754</v>
      </c>
      <c r="F92" s="159">
        <f t="shared" si="19"/>
        <v>511485.42031279881</v>
      </c>
      <c r="G92" s="159">
        <f t="shared" si="19"/>
        <v>507927.394904188</v>
      </c>
      <c r="H92" s="159">
        <f t="shared" si="19"/>
        <v>474019.47955138254</v>
      </c>
      <c r="I92" s="159">
        <f t="shared" si="19"/>
        <v>505753.80700778257</v>
      </c>
      <c r="J92" s="159">
        <f t="shared" ref="J92:J97" si="20">SUM(D92:I92)</f>
        <v>3031851.1075486965</v>
      </c>
      <c r="K92" s="69"/>
      <c r="L92" s="319"/>
      <c r="M92" s="69"/>
      <c r="N92" s="60"/>
      <c r="O92" s="60"/>
    </row>
    <row r="93" spans="2:15" s="37" customFormat="1" ht="15.75">
      <c r="B93" s="48"/>
      <c r="C93" s="160" t="s">
        <v>304</v>
      </c>
      <c r="D93" s="156">
        <f>(($E$20+$F$20)*F821EO!K79)*$L93</f>
        <v>448593.68808095425</v>
      </c>
      <c r="E93" s="156">
        <f>(($E$20+$F$20)*F821EO!L79)*$L93</f>
        <v>450423.86790403619</v>
      </c>
      <c r="F93" s="156">
        <f>(($E$20+$F$20)*F821EO!M79)*$L93</f>
        <v>445289.00458630553</v>
      </c>
      <c r="G93" s="156">
        <f>(($E$20+$F$20)*F821EO!N79)*$L93</f>
        <v>442191.4586356816</v>
      </c>
      <c r="H93" s="156">
        <f>(($E$20+$F$20)*F821EO!O79)*$L93</f>
        <v>412671.90387337032</v>
      </c>
      <c r="I93" s="156">
        <f>(($E$20+$F$20)*F821EO!P79)*$L93</f>
        <v>440299.17636851687</v>
      </c>
      <c r="J93" s="330">
        <f t="shared" si="20"/>
        <v>2639469.0994488648</v>
      </c>
      <c r="K93" s="69"/>
      <c r="L93" s="319">
        <v>1</v>
      </c>
      <c r="M93" s="329"/>
      <c r="N93" s="60"/>
      <c r="O93" s="60"/>
    </row>
    <row r="94" spans="2:15" s="37" customFormat="1" ht="15.75">
      <c r="B94" s="48"/>
      <c r="C94" s="162" t="s">
        <v>642</v>
      </c>
      <c r="D94" s="156">
        <f>(($E$20+$F$20)*F821EO!K80)*$L94</f>
        <v>66527.346628274769</v>
      </c>
      <c r="E94" s="156">
        <f>(($E$20+$F$20)*F821EO!L80)*$L94</f>
        <v>66798.765978830299</v>
      </c>
      <c r="F94" s="156">
        <f>(($E$20+$F$20)*F821EO!M80)*$L94</f>
        <v>66037.255416145286</v>
      </c>
      <c r="G94" s="156">
        <f>(($E$20+$F$20)*F821EO!N80)*$L94</f>
        <v>65577.883118608661</v>
      </c>
      <c r="H94" s="156">
        <f>(($E$20+$F$20)*F821EO!O80)*$L94</f>
        <v>61200.073746421906</v>
      </c>
      <c r="I94" s="156">
        <f>(($E$20+$F$20)*F821EO!P80)*$L94</f>
        <v>65297.253850629539</v>
      </c>
      <c r="J94" s="330">
        <f t="shared" si="20"/>
        <v>391438.57873891044</v>
      </c>
      <c r="K94" s="69"/>
      <c r="L94" s="319">
        <v>0.75</v>
      </c>
      <c r="M94" s="329"/>
      <c r="N94" s="60"/>
      <c r="O94" s="60"/>
    </row>
    <row r="95" spans="2:15" s="37" customFormat="1" ht="15.75">
      <c r="B95" s="48"/>
      <c r="C95" s="162" t="s">
        <v>1177</v>
      </c>
      <c r="D95" s="156">
        <f>(($E$20+$F$20)*F821EO!K81)*$L95</f>
        <v>0</v>
      </c>
      <c r="E95" s="156">
        <f>(($E$20+$F$20)*F821EO!L81)*$L95</f>
        <v>0</v>
      </c>
      <c r="F95" s="156">
        <f>(($E$20+$F$20)*F821EO!M81)*$L95</f>
        <v>0</v>
      </c>
      <c r="G95" s="156">
        <f>(($E$20+$F$20)*F821EO!N81)*$L95</f>
        <v>0</v>
      </c>
      <c r="H95" s="156">
        <f>(($E$20+$F$20)*F821EO!O81)*$L95</f>
        <v>0</v>
      </c>
      <c r="I95" s="156">
        <f>(($E$20+$F$20)*F821EO!P81)*$L95</f>
        <v>0</v>
      </c>
      <c r="J95" s="330">
        <f t="shared" si="20"/>
        <v>0</v>
      </c>
      <c r="K95" s="69"/>
      <c r="L95" s="319">
        <v>1</v>
      </c>
      <c r="M95" s="329"/>
      <c r="N95" s="60"/>
      <c r="O95" s="60"/>
    </row>
    <row r="96" spans="2:15" s="37" customFormat="1" ht="15.75">
      <c r="B96" s="48"/>
      <c r="C96" s="160" t="s">
        <v>305</v>
      </c>
      <c r="D96" s="156">
        <f>(($E$20+$F$20)*F821EO!K82)*$L96</f>
        <v>151.65787037400375</v>
      </c>
      <c r="E96" s="156">
        <f>(($E$20+$F$20)*F821EO!L82)*$L96</f>
        <v>152.27660661961937</v>
      </c>
      <c r="F96" s="156">
        <f>(($E$20+$F$20)*F821EO!M82)*$L96</f>
        <v>150.54064274825947</v>
      </c>
      <c r="G96" s="156">
        <f>(($E$20+$F$20)*F821EO!N82)*$L96</f>
        <v>149.49344294420774</v>
      </c>
      <c r="H96" s="156">
        <f>(($E$20+$F$20)*F821EO!O82)*$L96</f>
        <v>139.51364846962963</v>
      </c>
      <c r="I96" s="156">
        <f>(($E$20+$F$20)*F821EO!P82)*$L96</f>
        <v>148.85371147582177</v>
      </c>
      <c r="J96" s="156">
        <f t="shared" si="20"/>
        <v>892.33592263154173</v>
      </c>
      <c r="K96" s="69"/>
      <c r="L96" s="319">
        <v>0.95</v>
      </c>
      <c r="M96" s="329"/>
      <c r="N96" s="60"/>
      <c r="O96" s="60"/>
    </row>
    <row r="97" spans="2:15" s="37" customFormat="1" ht="15.75">
      <c r="B97" s="48"/>
      <c r="C97" s="160" t="s">
        <v>307</v>
      </c>
      <c r="D97" s="156">
        <f>(($E$20+$F$20)*F821EO!K83)*$L97</f>
        <v>8.683637904342099</v>
      </c>
      <c r="E97" s="156">
        <f>(($E$20+$F$20)*F821EO!L83)*$L97</f>
        <v>8.7190655514663007</v>
      </c>
      <c r="F97" s="156">
        <f>(($E$20+$F$20)*F821EO!M83)*$L97</f>
        <v>8.619667599769274</v>
      </c>
      <c r="G97" s="156">
        <f>(($E$20+$F$20)*F821EO!N83)*$L97</f>
        <v>8.5597069535498722</v>
      </c>
      <c r="H97" s="156">
        <f>(($E$20+$F$20)*F821EO!O83)*$L97</f>
        <v>7.9882831206602534</v>
      </c>
      <c r="I97" s="156">
        <f>(($E$20+$F$20)*F821EO!P83)*$L97</f>
        <v>8.5230771603596018</v>
      </c>
      <c r="J97" s="156">
        <f t="shared" si="20"/>
        <v>51.093438290147404</v>
      </c>
      <c r="K97" s="69"/>
      <c r="L97" s="319">
        <v>0.5</v>
      </c>
      <c r="M97" s="329"/>
      <c r="N97" s="60"/>
      <c r="O97" s="60"/>
    </row>
    <row r="98" spans="2:15" s="37" customFormat="1" ht="15.75">
      <c r="B98" s="48"/>
      <c r="C98" s="160" t="s">
        <v>624</v>
      </c>
      <c r="D98" s="156">
        <f>(($E$20+$F$20)*F821EO!K84)*$L98</f>
        <v>0</v>
      </c>
      <c r="E98" s="156">
        <f>(($E$20+$F$20)*F821EO!L84)*$L98</f>
        <v>0</v>
      </c>
      <c r="F98" s="156">
        <f>(($E$20+$F$20)*F821EO!M84)*$L98</f>
        <v>0</v>
      </c>
      <c r="G98" s="156">
        <f>(($E$20+$F$20)*F821EO!N84)*$L98</f>
        <v>0</v>
      </c>
      <c r="H98" s="156">
        <f>(($E$20+$F$20)*F821EO!O84)*$L98</f>
        <v>0</v>
      </c>
      <c r="I98" s="156">
        <f>(($E$20+$F$20)*F821EO!P84)*$L98</f>
        <v>0</v>
      </c>
      <c r="J98" s="156"/>
      <c r="K98" s="69"/>
      <c r="L98" s="319">
        <v>0</v>
      </c>
      <c r="M98" s="329"/>
      <c r="N98" s="60"/>
      <c r="O98" s="60"/>
    </row>
    <row r="99" spans="2:15" s="37" customFormat="1" ht="15.75">
      <c r="B99" s="48"/>
      <c r="C99" s="157"/>
      <c r="D99" s="156"/>
      <c r="E99" s="156"/>
      <c r="F99" s="156"/>
      <c r="G99" s="156"/>
      <c r="H99" s="156"/>
      <c r="I99" s="156"/>
      <c r="J99" s="156"/>
      <c r="K99" s="69"/>
      <c r="L99" s="319"/>
      <c r="M99" s="69"/>
      <c r="N99" s="60"/>
      <c r="O99" s="60"/>
    </row>
    <row r="100" spans="2:15" s="37" customFormat="1" ht="15.75">
      <c r="B100" s="48" t="s">
        <v>902</v>
      </c>
      <c r="C100" s="158" t="s">
        <v>898</v>
      </c>
      <c r="D100" s="159">
        <f t="shared" ref="D100" si="21">SUM(D101:D105)</f>
        <v>51413.820176054265</v>
      </c>
      <c r="E100" s="159">
        <f t="shared" ref="E100:I100" si="22">SUM(E101:E105)</f>
        <v>51623.579115633445</v>
      </c>
      <c r="F100" s="159">
        <f t="shared" si="22"/>
        <v>51035.066735140979</v>
      </c>
      <c r="G100" s="159">
        <f t="shared" si="22"/>
        <v>50680.053557907639</v>
      </c>
      <c r="H100" s="159">
        <f t="shared" si="22"/>
        <v>47296.784643181461</v>
      </c>
      <c r="I100" s="159">
        <f t="shared" si="22"/>
        <v>50463.176988327396</v>
      </c>
      <c r="J100" s="159">
        <f t="shared" ref="J100:J119" si="23">SUM(D100:I100)</f>
        <v>302512.48121624516</v>
      </c>
      <c r="K100" s="69"/>
      <c r="L100" s="319"/>
      <c r="M100" s="69"/>
      <c r="N100" s="60"/>
      <c r="O100" s="60"/>
    </row>
    <row r="101" spans="2:15" s="37" customFormat="1" ht="15.75">
      <c r="B101" s="48"/>
      <c r="C101" s="160" t="s">
        <v>304</v>
      </c>
      <c r="D101" s="156">
        <f>(($E$17+$F$17)*F821EO!K87)*$L101</f>
        <v>49992.863287674751</v>
      </c>
      <c r="E101" s="156">
        <f>(($E$17+$F$17)*F821EO!L87)*$L101</f>
        <v>50196.824984234961</v>
      </c>
      <c r="F101" s="156">
        <f>(($E$17+$F$17)*F821EO!M87)*$L101</f>
        <v>49624.577699743801</v>
      </c>
      <c r="G101" s="156">
        <f>(($E$17+$F$17)*F821EO!N87)*$L101</f>
        <v>49279.376250523041</v>
      </c>
      <c r="H101" s="156">
        <f>(($E$17+$F$17)*F821EO!O87)*$L101</f>
        <v>45989.612919571002</v>
      </c>
      <c r="I101" s="156">
        <f>(($E$17+$F$17)*F821EO!P87)*$L101</f>
        <v>49068.49363848997</v>
      </c>
      <c r="J101" s="156">
        <f t="shared" si="23"/>
        <v>294151.74878023751</v>
      </c>
      <c r="K101" s="69"/>
      <c r="L101" s="319">
        <v>1</v>
      </c>
      <c r="M101" s="329"/>
      <c r="N101" s="60"/>
      <c r="O101" s="60"/>
    </row>
    <row r="102" spans="2:15" s="37" customFormat="1" ht="15.75">
      <c r="B102" s="48"/>
      <c r="C102" s="162" t="s">
        <v>644</v>
      </c>
      <c r="D102" s="156">
        <f>(($E$17+$F$17)*F821EO!K88)*$L102</f>
        <v>1420.9568883795127</v>
      </c>
      <c r="E102" s="156">
        <f>(($E$17+$F$17)*F821EO!L88)*$L102</f>
        <v>1426.7541313984825</v>
      </c>
      <c r="F102" s="156">
        <f>(($E$17+$F$17)*F821EO!M88)*$L102</f>
        <v>1410.4890353971764</v>
      </c>
      <c r="G102" s="156">
        <f>(($E$17+$F$17)*F821EO!N88)*$L102</f>
        <v>1400.6773073845955</v>
      </c>
      <c r="H102" s="156">
        <f>(($E$17+$F$17)*F821EO!O88)*$L102</f>
        <v>1307.1717236104589</v>
      </c>
      <c r="I102" s="156">
        <f>(($E$17+$F$17)*F821EO!P88)*$L102</f>
        <v>1394.6833498374242</v>
      </c>
      <c r="J102" s="156">
        <f t="shared" si="23"/>
        <v>8360.7324360076491</v>
      </c>
      <c r="K102" s="69"/>
      <c r="L102" s="319">
        <v>0.75</v>
      </c>
      <c r="M102" s="329"/>
      <c r="N102" s="60"/>
      <c r="O102" s="60"/>
    </row>
    <row r="103" spans="2:15" s="37" customFormat="1" ht="15.75">
      <c r="B103" s="48"/>
      <c r="C103" s="160" t="s">
        <v>305</v>
      </c>
      <c r="D103" s="156">
        <f>(($E$17+$F$17)*F821EO!K89)*$L103</f>
        <v>0</v>
      </c>
      <c r="E103" s="156">
        <f>(($E$17+$F$17)*F821EO!L89)*$L103</f>
        <v>0</v>
      </c>
      <c r="F103" s="156">
        <f>(($E$17+$F$17)*F821EO!M89)*$L103</f>
        <v>0</v>
      </c>
      <c r="G103" s="156">
        <f>(($E$17+$F$17)*F821EO!N89)*$L103</f>
        <v>0</v>
      </c>
      <c r="H103" s="156">
        <f>(($E$17+$F$17)*F821EO!O89)*$L103</f>
        <v>0</v>
      </c>
      <c r="I103" s="156">
        <f>(($E$17+$F$17)*F821EO!P89)*$L103</f>
        <v>0</v>
      </c>
      <c r="J103" s="156">
        <f t="shared" si="23"/>
        <v>0</v>
      </c>
      <c r="K103" s="69"/>
      <c r="L103" s="319">
        <v>0.95</v>
      </c>
      <c r="M103" s="329"/>
      <c r="N103" s="60"/>
      <c r="O103" s="60"/>
    </row>
    <row r="104" spans="2:15" s="37" customFormat="1" ht="15.75">
      <c r="B104" s="48"/>
      <c r="C104" s="160" t="s">
        <v>307</v>
      </c>
      <c r="D104" s="156">
        <f>(($E$17+$F$17)*F821EO!K90)*$L104</f>
        <v>0</v>
      </c>
      <c r="E104" s="156">
        <f>(($E$17+$F$17)*F821EO!L90)*$L104</f>
        <v>0</v>
      </c>
      <c r="F104" s="156">
        <f>(($E$17+$F$17)*F821EO!M90)*$L104</f>
        <v>0</v>
      </c>
      <c r="G104" s="156">
        <f>(($E$17+$F$17)*F821EO!N90)*$L104</f>
        <v>0</v>
      </c>
      <c r="H104" s="156">
        <f>(($E$17+$F$17)*F821EO!O90)*$L104</f>
        <v>0</v>
      </c>
      <c r="I104" s="156">
        <f>(($E$17+$F$17)*F821EO!P90)*$L104</f>
        <v>0</v>
      </c>
      <c r="J104" s="156">
        <f t="shared" si="23"/>
        <v>0</v>
      </c>
      <c r="K104" s="69"/>
      <c r="L104" s="319">
        <v>0.5</v>
      </c>
      <c r="M104" s="329"/>
      <c r="N104" s="60"/>
      <c r="O104" s="60"/>
    </row>
    <row r="105" spans="2:15" s="37" customFormat="1" ht="15.75">
      <c r="B105" s="48"/>
      <c r="C105" s="160" t="s">
        <v>624</v>
      </c>
      <c r="D105" s="156">
        <f>(($E$17+$F$17)*F821EO!K91)*$L105</f>
        <v>0</v>
      </c>
      <c r="E105" s="156">
        <f>(($E$17+$F$17)*F821EO!L91)*$L105</f>
        <v>0</v>
      </c>
      <c r="F105" s="156">
        <f>(($E$17+$F$17)*F821EO!M91)*$L105</f>
        <v>0</v>
      </c>
      <c r="G105" s="156">
        <f>(($E$17+$F$17)*F821EO!N91)*$L105</f>
        <v>0</v>
      </c>
      <c r="H105" s="156">
        <f>(($E$17+$F$17)*F821EO!O91)*$L105</f>
        <v>0</v>
      </c>
      <c r="I105" s="156">
        <f>(($E$17+$F$17)*F821EO!P91)*$L105</f>
        <v>0</v>
      </c>
      <c r="J105" s="156">
        <f t="shared" si="23"/>
        <v>0</v>
      </c>
      <c r="K105" s="69"/>
      <c r="L105" s="319">
        <v>0</v>
      </c>
      <c r="M105" s="329"/>
      <c r="N105" s="60"/>
      <c r="O105" s="60"/>
    </row>
    <row r="106" spans="2:15" s="37" customFormat="1" ht="15.75">
      <c r="B106" s="48" t="s">
        <v>902</v>
      </c>
      <c r="C106" s="158" t="s">
        <v>899</v>
      </c>
      <c r="D106" s="159">
        <f t="shared" ref="D106:I106" si="24">SUM(D107:D112)</f>
        <v>21482.172700967469</v>
      </c>
      <c r="E106" s="159">
        <f t="shared" si="24"/>
        <v>21569.816018468126</v>
      </c>
      <c r="F106" s="159">
        <f t="shared" si="24"/>
        <v>21323.918620626351</v>
      </c>
      <c r="G106" s="159">
        <f t="shared" si="24"/>
        <v>21175.583905206822</v>
      </c>
      <c r="H106" s="159">
        <f t="shared" si="24"/>
        <v>19761.956851798084</v>
      </c>
      <c r="I106" s="159">
        <f t="shared" si="24"/>
        <v>21084.96663719284</v>
      </c>
      <c r="J106" s="159">
        <f t="shared" si="23"/>
        <v>126398.41473425968</v>
      </c>
      <c r="K106" s="69"/>
      <c r="L106" s="319"/>
      <c r="M106" s="69"/>
      <c r="N106" s="60"/>
      <c r="O106" s="60"/>
    </row>
    <row r="107" spans="2:15" s="37" customFormat="1" ht="15.75">
      <c r="B107" s="48"/>
      <c r="C107" s="160" t="s">
        <v>304</v>
      </c>
      <c r="D107" s="156">
        <f>(($E$17+$F$17)*F821EO!K93)*$L107</f>
        <v>19889.510939898897</v>
      </c>
      <c r="E107" s="156">
        <f>(($E$17+$F$17)*F821EO!L93)*$L107</f>
        <v>19970.656490048947</v>
      </c>
      <c r="F107" s="156">
        <f>(($E$17+$F$17)*F821EO!M93)*$L107</f>
        <v>19742.989621685749</v>
      </c>
      <c r="G107" s="156">
        <f>(($E$17+$F$17)*F821EO!N93)*$L107</f>
        <v>19605.652258925853</v>
      </c>
      <c r="H107" s="156">
        <f>(($E$17+$F$17)*F821EO!O93)*$L107</f>
        <v>18296.829769921103</v>
      </c>
      <c r="I107" s="156">
        <f>(($E$17+$F$17)*F821EO!P93)*$L107</f>
        <v>19521.753243281746</v>
      </c>
      <c r="J107" s="156">
        <f t="shared" si="23"/>
        <v>117027.39232376229</v>
      </c>
      <c r="K107" s="69"/>
      <c r="L107" s="319">
        <v>1</v>
      </c>
      <c r="M107" s="329"/>
      <c r="N107" s="60"/>
      <c r="O107" s="60"/>
    </row>
    <row r="108" spans="2:15" s="37" customFormat="1" ht="15.75">
      <c r="B108" s="48"/>
      <c r="C108" s="162" t="s">
        <v>642</v>
      </c>
      <c r="D108" s="156">
        <f>(($E$17+$F$17)*F821EO!K94)*$L108</f>
        <v>1305.8849550260441</v>
      </c>
      <c r="E108" s="156">
        <f>(($E$17+$F$17)*F821EO!L94)*$L108</f>
        <v>1311.2127257001684</v>
      </c>
      <c r="F108" s="156">
        <f>(($E$17+$F$17)*F821EO!M94)*$L108</f>
        <v>1296.2648097332153</v>
      </c>
      <c r="G108" s="156">
        <f>(($E$17+$F$17)*F821EO!N94)*$L108</f>
        <v>1287.2476550966312</v>
      </c>
      <c r="H108" s="156">
        <f>(($E$17+$F$17)*F821EO!O94)*$L108</f>
        <v>1201.3143406800159</v>
      </c>
      <c r="I108" s="156">
        <f>(($E$17+$F$17)*F821EO!P94)*$L108</f>
        <v>1281.7391002305912</v>
      </c>
      <c r="J108" s="156">
        <f t="shared" si="23"/>
        <v>7683.663586466665</v>
      </c>
      <c r="K108" s="69"/>
      <c r="L108" s="319">
        <v>0.75</v>
      </c>
      <c r="M108" s="329"/>
      <c r="N108" s="60"/>
      <c r="O108" s="60"/>
    </row>
    <row r="109" spans="2:15" s="37" customFormat="1" ht="15.75">
      <c r="B109" s="48"/>
      <c r="C109" s="162" t="s">
        <v>1177</v>
      </c>
      <c r="D109" s="156">
        <f>(($E$17+$F$17)*F821EO!K95)*$L109</f>
        <v>286.77680604252544</v>
      </c>
      <c r="E109" s="156">
        <f>(($E$17+$F$17)*F821EO!L95)*$L109</f>
        <v>287.94680271901052</v>
      </c>
      <c r="F109" s="156">
        <f>(($E$17+$F$17)*F821EO!M95)*$L109</f>
        <v>284.66418920738664</v>
      </c>
      <c r="G109" s="156">
        <f>(($E$17+$F$17)*F821EO!N95)*$L109</f>
        <v>282.68399118433831</v>
      </c>
      <c r="H109" s="156">
        <f>(($E$17+$F$17)*F821EO!O95)*$L109</f>
        <v>263.81274119696593</v>
      </c>
      <c r="I109" s="156">
        <f>(($E$17+$F$17)*F821EO!P95)*$L109</f>
        <v>281.47429368050166</v>
      </c>
      <c r="J109" s="156">
        <f t="shared" si="23"/>
        <v>1687.3588240307283</v>
      </c>
      <c r="K109" s="69"/>
      <c r="L109" s="319">
        <v>1</v>
      </c>
      <c r="M109" s="329"/>
      <c r="N109" s="60"/>
      <c r="O109" s="60"/>
    </row>
    <row r="110" spans="2:15" s="37" customFormat="1" ht="15.75">
      <c r="B110" s="48"/>
      <c r="C110" s="160" t="s">
        <v>305</v>
      </c>
      <c r="D110" s="156">
        <f>(($E$17+$F$17)*F821EO!K96)*$L110</f>
        <v>0</v>
      </c>
      <c r="E110" s="156">
        <f>(($E$17+$F$17)*F821EO!L96)*$L110</f>
        <v>0</v>
      </c>
      <c r="F110" s="156">
        <f>(($E$17+$F$17)*F821EO!M96)*$L110</f>
        <v>0</v>
      </c>
      <c r="G110" s="156">
        <f>(($E$17+$F$17)*F821EO!N96)*$L110</f>
        <v>0</v>
      </c>
      <c r="H110" s="156">
        <f>(($E$17+$F$17)*F821EO!O96)*$L110</f>
        <v>0</v>
      </c>
      <c r="I110" s="156">
        <f>(($E$17+$F$17)*F821EO!P96)*$L110</f>
        <v>0</v>
      </c>
      <c r="J110" s="156">
        <f t="shared" si="23"/>
        <v>0</v>
      </c>
      <c r="K110" s="69"/>
      <c r="L110" s="319">
        <v>0.95</v>
      </c>
      <c r="M110" s="329"/>
      <c r="N110" s="60"/>
      <c r="O110" s="60"/>
    </row>
    <row r="111" spans="2:15" s="37" customFormat="1" ht="15.75">
      <c r="B111" s="48"/>
      <c r="C111" s="160" t="s">
        <v>307</v>
      </c>
      <c r="D111" s="156">
        <f>(($E$17+$F$17)*F821EO!K97)*$L111</f>
        <v>0</v>
      </c>
      <c r="E111" s="156">
        <f>(($E$17+$F$17)*F821EO!L97)*$L111</f>
        <v>0</v>
      </c>
      <c r="F111" s="156">
        <f>(($E$17+$F$17)*F821EO!M97)*$L111</f>
        <v>0</v>
      </c>
      <c r="G111" s="156">
        <f>(($E$17+$F$17)*F821EO!N97)*$L111</f>
        <v>0</v>
      </c>
      <c r="H111" s="156">
        <f>(($E$17+$F$17)*F821EO!O97)*$L111</f>
        <v>0</v>
      </c>
      <c r="I111" s="156">
        <f>(($E$17+$F$17)*F821EO!P97)*$L111</f>
        <v>0</v>
      </c>
      <c r="J111" s="156">
        <f t="shared" si="23"/>
        <v>0</v>
      </c>
      <c r="K111" s="69"/>
      <c r="L111" s="319">
        <v>0.5</v>
      </c>
      <c r="M111" s="329"/>
      <c r="N111" s="60"/>
      <c r="O111" s="60"/>
    </row>
    <row r="112" spans="2:15" s="37" customFormat="1" ht="15.75">
      <c r="B112" s="48"/>
      <c r="C112" s="160" t="s">
        <v>624</v>
      </c>
      <c r="D112" s="156">
        <f>(($E$17+$F$17)*F821EO!K98)*$L112</f>
        <v>0</v>
      </c>
      <c r="E112" s="156">
        <f>($E$17*F821EO!L98+$F$17*F821EO!L98)*$L112</f>
        <v>0</v>
      </c>
      <c r="F112" s="156">
        <f>($E$17*F821EO!M98+$F$17*F821EO!M98)*$L112</f>
        <v>0</v>
      </c>
      <c r="G112" s="156">
        <f>($E$17*F821EO!N98+$F$17*F821EO!N98)*$L112</f>
        <v>0</v>
      </c>
      <c r="H112" s="156">
        <f>($E$17*F821EO!O98+$F$17*F821EO!O98)*$L112</f>
        <v>0</v>
      </c>
      <c r="I112" s="156">
        <f>($E$17*F821EO!P98+$F$17*F821EO!P98)*$L112</f>
        <v>0</v>
      </c>
      <c r="J112" s="156">
        <f t="shared" si="23"/>
        <v>0</v>
      </c>
      <c r="K112" s="69"/>
      <c r="L112" s="319">
        <v>0</v>
      </c>
      <c r="M112" s="329"/>
      <c r="N112" s="60"/>
      <c r="O112" s="60"/>
    </row>
    <row r="113" spans="2:15" s="37" customFormat="1" ht="15.75">
      <c r="B113" s="48" t="s">
        <v>902</v>
      </c>
      <c r="C113" s="158" t="s">
        <v>900</v>
      </c>
      <c r="D113" s="159">
        <f t="shared" ref="D113:I113" si="25">SUM(D114:D119)</f>
        <v>2578.3848743301733</v>
      </c>
      <c r="E113" s="159">
        <f t="shared" si="25"/>
        <v>2588.9042108668186</v>
      </c>
      <c r="F113" s="159">
        <f t="shared" si="25"/>
        <v>2559.3905233987061</v>
      </c>
      <c r="G113" s="159">
        <f t="shared" si="25"/>
        <v>2541.5867382834995</v>
      </c>
      <c r="H113" s="159">
        <f t="shared" si="25"/>
        <v>2371.9170003482454</v>
      </c>
      <c r="I113" s="159">
        <f t="shared" si="25"/>
        <v>2530.7104551229118</v>
      </c>
      <c r="J113" s="159">
        <f t="shared" si="23"/>
        <v>15170.893802350354</v>
      </c>
      <c r="K113" s="69"/>
      <c r="L113" s="319"/>
      <c r="M113" s="69"/>
      <c r="N113" s="60"/>
      <c r="O113" s="60"/>
    </row>
    <row r="114" spans="2:15" s="37" customFormat="1" ht="15.75">
      <c r="B114" s="48"/>
      <c r="C114" s="160" t="s">
        <v>304</v>
      </c>
      <c r="D114" s="156">
        <f>(($E$17+$F$17)*F821EO!K100)*$L114</f>
        <v>2423.6765124971571</v>
      </c>
      <c r="E114" s="156">
        <f>(($E$17+$F$17)*F821EO!L100)*$L114</f>
        <v>2433.5646673435294</v>
      </c>
      <c r="F114" s="156">
        <f>(($E$17+$F$17)*F821EO!M100)*$L114</f>
        <v>2405.8218614398029</v>
      </c>
      <c r="G114" s="156">
        <f>(($E$17+$F$17)*F821EO!N100)*$L114</f>
        <v>2389.0863398166075</v>
      </c>
      <c r="H114" s="156">
        <f>(($E$17+$F$17)*F821EO!O100)*$L114</f>
        <v>2229.5971329067766</v>
      </c>
      <c r="I114" s="156">
        <f>(($E$17+$F$17)*F821EO!P100)*$L114</f>
        <v>2378.8626558732112</v>
      </c>
      <c r="J114" s="156">
        <f t="shared" si="23"/>
        <v>14260.609169877083</v>
      </c>
      <c r="K114" s="69"/>
      <c r="L114" s="319">
        <v>1</v>
      </c>
      <c r="M114" s="329"/>
      <c r="N114" s="60"/>
      <c r="O114" s="60"/>
    </row>
    <row r="115" spans="2:15" s="37" customFormat="1" ht="15.75">
      <c r="B115" s="48"/>
      <c r="C115" s="162" t="s">
        <v>642</v>
      </c>
      <c r="D115" s="156">
        <f>(($E$17+$F$17)*F821EO!K101)*$L115</f>
        <v>154.70836183301608</v>
      </c>
      <c r="E115" s="156">
        <f>(($E$17+$F$17)*F821EO!L101)*$L115</f>
        <v>155.33954352328931</v>
      </c>
      <c r="F115" s="156">
        <f>(($E$17+$F$17)*F821EO!M101)*$L115</f>
        <v>153.56866195890316</v>
      </c>
      <c r="G115" s="156">
        <f>(($E$17+$F$17)*F821EO!N101)*$L115</f>
        <v>152.50039846689202</v>
      </c>
      <c r="H115" s="156">
        <f>(($E$17+$F$17)*F821EO!O101)*$L115</f>
        <v>142.31986744146877</v>
      </c>
      <c r="I115" s="156">
        <f>(($E$17+$F$17)*F821EO!P101)*$L115</f>
        <v>151.84779924970044</v>
      </c>
      <c r="J115" s="156">
        <f t="shared" si="23"/>
        <v>910.28463247326977</v>
      </c>
      <c r="K115" s="69"/>
      <c r="L115" s="319">
        <v>0.75</v>
      </c>
      <c r="M115" s="329"/>
      <c r="N115" s="60"/>
      <c r="O115" s="60"/>
    </row>
    <row r="116" spans="2:15" s="37" customFormat="1" ht="15.75">
      <c r="B116" s="48"/>
      <c r="C116" s="162" t="s">
        <v>1177</v>
      </c>
      <c r="D116" s="156">
        <f>(($E$17+$F$17)*F821EO!K102)*$L116</f>
        <v>0</v>
      </c>
      <c r="E116" s="156">
        <f>(($E$17+$F$17)*F821EO!L102)*$L116</f>
        <v>0</v>
      </c>
      <c r="F116" s="156">
        <f>(($E$17+$F$17)*F821EO!M102)*$L116</f>
        <v>0</v>
      </c>
      <c r="G116" s="156">
        <f>(($E$17+$F$17)*F821EO!N102)*$L116</f>
        <v>0</v>
      </c>
      <c r="H116" s="156">
        <f>(($E$17+$F$17)*F821EO!O102)*$L116</f>
        <v>0</v>
      </c>
      <c r="I116" s="156">
        <f>(($E$17+$F$17)*F821EO!P102)*$L116</f>
        <v>0</v>
      </c>
      <c r="J116" s="156">
        <f t="shared" si="23"/>
        <v>0</v>
      </c>
      <c r="K116" s="69"/>
      <c r="L116" s="319">
        <v>1</v>
      </c>
      <c r="M116" s="329"/>
      <c r="N116" s="60"/>
      <c r="O116" s="60"/>
    </row>
    <row r="117" spans="2:15" s="37" customFormat="1" ht="15.75">
      <c r="B117" s="48"/>
      <c r="C117" s="160" t="s">
        <v>305</v>
      </c>
      <c r="D117" s="156">
        <f>(($E$17+$F$17)*F821EO!K103)*$L117</f>
        <v>0</v>
      </c>
      <c r="E117" s="156">
        <f>(($E$17+$F$17)*F821EO!L103)*$L117</f>
        <v>0</v>
      </c>
      <c r="F117" s="156">
        <f>(($E$17+$F$17)*F821EO!M103)*$L117</f>
        <v>0</v>
      </c>
      <c r="G117" s="156">
        <f>(($E$17+$F$17)*F821EO!N103)*$L117</f>
        <v>0</v>
      </c>
      <c r="H117" s="156">
        <f>(($E$17+$F$17)*F821EO!O103)*$L117</f>
        <v>0</v>
      </c>
      <c r="I117" s="156">
        <f>(($E$17+$F$17)*F821EO!P103)*$L117</f>
        <v>0</v>
      </c>
      <c r="J117" s="156">
        <f t="shared" si="23"/>
        <v>0</v>
      </c>
      <c r="K117" s="69"/>
      <c r="L117" s="319">
        <v>0.95</v>
      </c>
      <c r="M117" s="329"/>
      <c r="N117" s="60"/>
      <c r="O117" s="60"/>
    </row>
    <row r="118" spans="2:15" s="37" customFormat="1" ht="15.75">
      <c r="B118" s="48"/>
      <c r="C118" s="160" t="s">
        <v>307</v>
      </c>
      <c r="D118" s="156">
        <f>(($E$17+$F$17)*F821EO!K104)*$L118</f>
        <v>0</v>
      </c>
      <c r="E118" s="156">
        <f>(($E$17+$F$17)*F821EO!L104)*$L118</f>
        <v>0</v>
      </c>
      <c r="F118" s="156">
        <f>(($E$17+$F$17)*F821EO!M104)*$L118</f>
        <v>0</v>
      </c>
      <c r="G118" s="156">
        <f>(($E$17+$F$17)*F821EO!N104)*$L118</f>
        <v>0</v>
      </c>
      <c r="H118" s="156">
        <f>(($E$17+$F$17)*F821EO!O104)*$L118</f>
        <v>0</v>
      </c>
      <c r="I118" s="156">
        <f>(($E$17+$F$17)*F821EO!P104)*$L118</f>
        <v>0</v>
      </c>
      <c r="J118" s="156">
        <f t="shared" si="23"/>
        <v>0</v>
      </c>
      <c r="K118" s="69"/>
      <c r="L118" s="319">
        <v>0.5</v>
      </c>
      <c r="M118" s="329"/>
      <c r="N118" s="60"/>
      <c r="O118" s="60"/>
    </row>
    <row r="119" spans="2:15" s="37" customFormat="1" ht="15.75">
      <c r="B119" s="48"/>
      <c r="C119" s="160" t="s">
        <v>624</v>
      </c>
      <c r="D119" s="156">
        <f>(($E$17+$F$17)*F821EO!K105)*$L119</f>
        <v>0</v>
      </c>
      <c r="E119" s="156">
        <f>(($E$17+$F$17)*F821EO!L105)*$L119</f>
        <v>0</v>
      </c>
      <c r="F119" s="156">
        <f>(($E$17+$F$17)*F821EO!M105)*$L119</f>
        <v>0</v>
      </c>
      <c r="G119" s="156">
        <f>(($E$17+$F$17)*F821EO!N105)*$L119</f>
        <v>0</v>
      </c>
      <c r="H119" s="156">
        <f>(($E$17+$F$17)*F821EO!O105)*$L119</f>
        <v>0</v>
      </c>
      <c r="I119" s="156">
        <f>(($E$17+$F$17)*F821EO!P105)*$L119</f>
        <v>0</v>
      </c>
      <c r="J119" s="156">
        <f t="shared" si="23"/>
        <v>0</v>
      </c>
      <c r="K119" s="69"/>
      <c r="L119" s="319">
        <v>0</v>
      </c>
      <c r="M119" s="329"/>
      <c r="N119" s="60"/>
      <c r="O119" s="60"/>
    </row>
    <row r="120" spans="2:15" s="37" customFormat="1" ht="15.75">
      <c r="B120" s="48"/>
      <c r="C120" s="157"/>
      <c r="D120" s="156"/>
      <c r="E120" s="156"/>
      <c r="F120" s="156"/>
      <c r="G120" s="156"/>
      <c r="H120" s="156"/>
      <c r="I120" s="156"/>
      <c r="J120" s="156"/>
      <c r="K120" s="69"/>
      <c r="L120" s="319"/>
      <c r="M120" s="69"/>
      <c r="N120" s="60"/>
      <c r="O120" s="60"/>
    </row>
    <row r="121" spans="2:15" s="37" customFormat="1" ht="15.75">
      <c r="B121" s="48"/>
      <c r="C121" s="153" t="s">
        <v>112</v>
      </c>
      <c r="D121" s="154">
        <f t="shared" ref="D121:I121" si="26">D44+D34+D30</f>
        <v>2442684.7228435278</v>
      </c>
      <c r="E121" s="154">
        <f t="shared" si="26"/>
        <v>2452699.8752513439</v>
      </c>
      <c r="F121" s="154">
        <f t="shared" si="26"/>
        <v>2424554.2819887893</v>
      </c>
      <c r="G121" s="154">
        <f t="shared" si="26"/>
        <v>2407563.1574282013</v>
      </c>
      <c r="H121" s="154">
        <f t="shared" si="26"/>
        <v>2245734.8197926995</v>
      </c>
      <c r="I121" s="154">
        <f t="shared" si="26"/>
        <v>2397200.8178069592</v>
      </c>
      <c r="J121" s="154">
        <f>SUM(D121:I121)</f>
        <v>14370437.675111521</v>
      </c>
      <c r="K121" s="69"/>
      <c r="L121" s="319"/>
      <c r="N121" s="60"/>
      <c r="O121" s="60"/>
    </row>
    <row r="122" spans="2:15">
      <c r="C122" s="48"/>
      <c r="D122" s="48"/>
      <c r="E122" s="48"/>
      <c r="F122" s="48"/>
      <c r="G122" s="48"/>
      <c r="H122" s="48"/>
      <c r="I122" s="48"/>
      <c r="J122" s="48"/>
    </row>
    <row r="123" spans="2:15" s="69" customFormat="1" ht="31.5" customHeight="1">
      <c r="B123" s="48"/>
      <c r="C123" s="320" t="s">
        <v>660</v>
      </c>
      <c r="D123" s="320"/>
      <c r="E123" s="320"/>
      <c r="F123" s="320"/>
      <c r="G123" s="320"/>
      <c r="H123" s="320"/>
      <c r="I123" s="320"/>
      <c r="J123" s="321"/>
      <c r="L123" s="319"/>
    </row>
    <row r="124" spans="2:15" s="37" customFormat="1" ht="15.75">
      <c r="B124" s="48"/>
      <c r="C124" s="150" t="s">
        <v>310</v>
      </c>
      <c r="D124" s="151">
        <f t="shared" ref="D124:I124" si="27">D$29</f>
        <v>45839</v>
      </c>
      <c r="E124" s="151">
        <f t="shared" si="27"/>
        <v>45870</v>
      </c>
      <c r="F124" s="151">
        <f t="shared" si="27"/>
        <v>45901</v>
      </c>
      <c r="G124" s="151">
        <f t="shared" si="27"/>
        <v>45931</v>
      </c>
      <c r="H124" s="151">
        <f t="shared" si="27"/>
        <v>45962</v>
      </c>
      <c r="I124" s="151">
        <f t="shared" si="27"/>
        <v>45992</v>
      </c>
      <c r="J124" s="152" t="s">
        <v>111</v>
      </c>
      <c r="K124" s="69"/>
      <c r="L124" s="319"/>
    </row>
    <row r="125" spans="2:15" s="37" customFormat="1" ht="15.75" customHeight="1">
      <c r="B125" s="48"/>
      <c r="C125" s="153" t="s">
        <v>446</v>
      </c>
      <c r="D125" s="154">
        <f t="shared" ref="D125:I125" si="28">SUM(D126:D127)</f>
        <v>471726.84726368607</v>
      </c>
      <c r="E125" s="154">
        <f t="shared" si="28"/>
        <v>473651.40612576308</v>
      </c>
      <c r="F125" s="154">
        <f t="shared" si="28"/>
        <v>468251.74726215936</v>
      </c>
      <c r="G125" s="154">
        <f t="shared" si="28"/>
        <v>464994.4665104103</v>
      </c>
      <c r="H125" s="154">
        <f t="shared" si="28"/>
        <v>433952.64209191804</v>
      </c>
      <c r="I125" s="154">
        <f t="shared" si="28"/>
        <v>463004.602694356</v>
      </c>
      <c r="J125" s="154">
        <f>SUM(D125:I125)</f>
        <v>2775581.7119482923</v>
      </c>
      <c r="K125" s="69"/>
      <c r="L125" s="319"/>
      <c r="N125" s="60"/>
      <c r="O125" s="60"/>
    </row>
    <row r="126" spans="2:15" s="37" customFormat="1" ht="15.75" customHeight="1">
      <c r="B126" s="48" t="s">
        <v>279</v>
      </c>
      <c r="C126" s="155" t="s">
        <v>279</v>
      </c>
      <c r="D126" s="156">
        <f>$H$7*F821EO!R6+$I$7*F821EO!Y6</f>
        <v>471714.84891023225</v>
      </c>
      <c r="E126" s="156">
        <f>$H$7*F821EO!S6+$I$7*F821EO!Z6</f>
        <v>473639.40777230926</v>
      </c>
      <c r="F126" s="156">
        <f>$H$7*F821EO!T6+$I$7*F821EO!AA6</f>
        <v>468239.74890870554</v>
      </c>
      <c r="G126" s="156">
        <f>$H$7*F821EO!U6+$I$7*F821EO!AB6</f>
        <v>464982.46815695649</v>
      </c>
      <c r="H126" s="156">
        <f>$H$7*F821EO!V6+$I$7*F821EO!AC6</f>
        <v>433940.64373846422</v>
      </c>
      <c r="I126" s="156">
        <f>$H$7*F821EO!W6+$I$7*F821EO!AD6</f>
        <v>462992.60434090218</v>
      </c>
      <c r="J126" s="156">
        <f>SUM(D126:I126)</f>
        <v>2775509.7218275699</v>
      </c>
      <c r="K126" s="69"/>
      <c r="L126" s="319"/>
      <c r="N126" s="60"/>
      <c r="O126" s="60"/>
    </row>
    <row r="127" spans="2:15" s="37" customFormat="1" ht="15.75" customHeight="1">
      <c r="B127" s="48" t="s">
        <v>278</v>
      </c>
      <c r="C127" s="155" t="s">
        <v>278</v>
      </c>
      <c r="D127" s="156">
        <f>$F$8*F821EO!R7</f>
        <v>11.998353453793802</v>
      </c>
      <c r="E127" s="156">
        <f>$F$8*F821EO!S7</f>
        <v>11.998353453793802</v>
      </c>
      <c r="F127" s="156">
        <f>$F$8*F821EO!T7</f>
        <v>11.998353453793802</v>
      </c>
      <c r="G127" s="156">
        <f>$F$8*F821EO!U7</f>
        <v>11.998353453793802</v>
      </c>
      <c r="H127" s="156">
        <f>$F$8*F821EO!V7</f>
        <v>11.998353453793802</v>
      </c>
      <c r="I127" s="156">
        <f>$F$8*F821EO!W7</f>
        <v>11.998353453793802</v>
      </c>
      <c r="J127" s="156">
        <f>SUM(D127:I127)</f>
        <v>71.990120722762811</v>
      </c>
      <c r="K127" s="69"/>
      <c r="L127" s="319"/>
      <c r="N127" s="60"/>
      <c r="O127" s="60"/>
    </row>
    <row r="128" spans="2:15" s="37" customFormat="1" ht="15.75" customHeight="1">
      <c r="B128" s="48"/>
      <c r="C128" s="157"/>
      <c r="D128" s="156"/>
      <c r="E128" s="156"/>
      <c r="F128" s="156"/>
      <c r="G128" s="156"/>
      <c r="H128" s="156"/>
      <c r="I128" s="156"/>
      <c r="J128" s="156"/>
      <c r="K128" s="69"/>
      <c r="L128" s="319"/>
      <c r="N128" s="60"/>
      <c r="O128" s="60"/>
    </row>
    <row r="129" spans="2:15" s="37" customFormat="1" ht="15.75" customHeight="1">
      <c r="B129" s="48"/>
      <c r="C129" s="153" t="s">
        <v>630</v>
      </c>
      <c r="D129" s="154">
        <f>D130+D133</f>
        <v>677027.92648330925</v>
      </c>
      <c r="E129" s="154">
        <f t="shared" ref="E129:I129" si="29">E130+E133</f>
        <v>679790.07602672663</v>
      </c>
      <c r="F129" s="154">
        <f t="shared" si="29"/>
        <v>672040.42203660833</v>
      </c>
      <c r="G129" s="154">
        <f t="shared" si="29"/>
        <v>667365.5343423367</v>
      </c>
      <c r="H129" s="154">
        <f t="shared" si="29"/>
        <v>622813.94237292069</v>
      </c>
      <c r="I129" s="154">
        <f t="shared" si="29"/>
        <v>664509.65835990757</v>
      </c>
      <c r="J129" s="154">
        <f t="shared" ref="J129:J137" si="30">SUM(D129:I129)</f>
        <v>3983547.5596218091</v>
      </c>
      <c r="K129" s="69"/>
      <c r="L129" s="319"/>
      <c r="N129" s="60"/>
      <c r="O129" s="60"/>
    </row>
    <row r="130" spans="2:15" s="37" customFormat="1" ht="15.75" customHeight="1">
      <c r="B130" s="48" t="s">
        <v>277</v>
      </c>
      <c r="C130" s="155" t="s">
        <v>277</v>
      </c>
      <c r="D130" s="154">
        <f>SUM(D131:D132)</f>
        <v>94464.845138614692</v>
      </c>
      <c r="E130" s="154">
        <f t="shared" ref="E130:I130" si="31">SUM(E131:E132)</f>
        <v>94850.244349876099</v>
      </c>
      <c r="F130" s="154">
        <f t="shared" si="31"/>
        <v>93768.944989217576</v>
      </c>
      <c r="G130" s="154">
        <f t="shared" si="31"/>
        <v>93116.663857516469</v>
      </c>
      <c r="H130" s="154">
        <f t="shared" si="31"/>
        <v>86900.436917026469</v>
      </c>
      <c r="I130" s="154">
        <f t="shared" si="31"/>
        <v>92718.187115476336</v>
      </c>
      <c r="J130" s="154">
        <f t="shared" si="30"/>
        <v>555819.32236772764</v>
      </c>
      <c r="K130" s="69"/>
      <c r="L130" s="319"/>
      <c r="N130" s="60"/>
      <c r="O130" s="60"/>
    </row>
    <row r="131" spans="2:15" s="37" customFormat="1" ht="15.75" customHeight="1">
      <c r="B131" s="48"/>
      <c r="C131" s="160" t="s">
        <v>304</v>
      </c>
      <c r="D131" s="156">
        <f>$H$9*F821EO!R11+$I$9*F821EO!Y11</f>
        <v>80215.437669445979</v>
      </c>
      <c r="E131" s="156">
        <f>$H$9*F821EO!S11+$I$9*F821EO!Z11</f>
        <v>80542.701916409278</v>
      </c>
      <c r="F131" s="156">
        <f>$H$9*F821EO!T11+$I$9*F821EO!AA11</f>
        <v>79624.509531298812</v>
      </c>
      <c r="G131" s="156">
        <f>$H$9*F821EO!U11+$I$9*F821EO!AB11</f>
        <v>79070.620765735832</v>
      </c>
      <c r="H131" s="156">
        <f>$H$9*F821EO!V11+$I$9*F821EO!AC11</f>
        <v>73792.071227520617</v>
      </c>
      <c r="I131" s="156">
        <f>$H$9*F821EO!W11+$I$9*F821EO!AD11</f>
        <v>78732.251648452657</v>
      </c>
      <c r="J131" s="156">
        <f t="shared" si="30"/>
        <v>471977.59275886317</v>
      </c>
      <c r="K131" s="69"/>
      <c r="L131" s="319"/>
      <c r="N131" s="60"/>
      <c r="O131" s="60"/>
    </row>
    <row r="132" spans="2:15" s="37" customFormat="1" ht="15.75" customHeight="1">
      <c r="B132" s="48"/>
      <c r="C132" s="160" t="s">
        <v>305</v>
      </c>
      <c r="D132" s="156">
        <f>($H$9*F821EO!R12+$I$9*F821EO!Y12)*$L132</f>
        <v>14249.407469168707</v>
      </c>
      <c r="E132" s="156">
        <f>($H$9*F821EO!S12+$I$9*F821EO!Z12)*$L132</f>
        <v>14307.542433466819</v>
      </c>
      <c r="F132" s="156">
        <f>($H$9*F821EO!T12+$I$9*F821EO!AA12)*$L132</f>
        <v>14144.435457918767</v>
      </c>
      <c r="G132" s="156">
        <f>($H$9*F821EO!U12+$I$9*F821EO!AB12)*$L132</f>
        <v>14046.043091780642</v>
      </c>
      <c r="H132" s="156">
        <f>($H$9*F821EO!V12+$I$9*F821EO!AC12)*$L132</f>
        <v>13108.365689505858</v>
      </c>
      <c r="I132" s="156">
        <f>($H$9*F821EO!W12+$I$9*F821EO!AD12)*$L132</f>
        <v>13985.935467023675</v>
      </c>
      <c r="J132" s="156">
        <f t="shared" si="30"/>
        <v>83841.72960886448</v>
      </c>
      <c r="K132" s="69"/>
      <c r="L132" s="319">
        <v>0.95</v>
      </c>
      <c r="N132" s="60"/>
      <c r="O132" s="60"/>
    </row>
    <row r="133" spans="2:15" s="37" customFormat="1" ht="15.75" customHeight="1">
      <c r="B133" s="48" t="s">
        <v>276</v>
      </c>
      <c r="C133" s="158" t="s">
        <v>276</v>
      </c>
      <c r="D133" s="159">
        <f t="shared" ref="D133:I133" si="32">SUM(D134:D137)</f>
        <v>582563.0813446946</v>
      </c>
      <c r="E133" s="159">
        <f t="shared" si="32"/>
        <v>584939.83167685056</v>
      </c>
      <c r="F133" s="159">
        <f t="shared" si="32"/>
        <v>578271.47704739077</v>
      </c>
      <c r="G133" s="159">
        <f t="shared" si="32"/>
        <v>574248.87048482022</v>
      </c>
      <c r="H133" s="159">
        <f t="shared" si="32"/>
        <v>535913.50545589416</v>
      </c>
      <c r="I133" s="159">
        <f t="shared" si="32"/>
        <v>571791.47124443122</v>
      </c>
      <c r="J133" s="159">
        <f t="shared" si="30"/>
        <v>3427728.2372540813</v>
      </c>
      <c r="K133" s="69"/>
      <c r="L133" s="319"/>
      <c r="N133" s="60"/>
      <c r="O133" s="60"/>
    </row>
    <row r="134" spans="2:15" s="37" customFormat="1" ht="15.75" customHeight="1">
      <c r="B134" s="48"/>
      <c r="C134" s="160" t="s">
        <v>304</v>
      </c>
      <c r="D134" s="156">
        <f>$F$10*(F821EO!R15+F821EO!Y15)*$L134</f>
        <v>580718.3935164049</v>
      </c>
      <c r="E134" s="156">
        <f>$F$10*(F821EO!S15+F821EO!Z15)*$L134</f>
        <v>583087.6178611631</v>
      </c>
      <c r="F134" s="156">
        <f>$F$10*(F821EO!T15+F821EO!AA15)*$L134</f>
        <v>576440.37859759864</v>
      </c>
      <c r="G134" s="156">
        <f>$F$10*(F821EO!U15+F821EO!AB15)*$L134</f>
        <v>572430.50963135296</v>
      </c>
      <c r="H134" s="156">
        <f>$F$10*(F821EO!V15+F821EO!AC15)*$L134</f>
        <v>534216.53365629329</v>
      </c>
      <c r="I134" s="156">
        <f>$F$10*(F821EO!W15+F821EO!AD15)*$L134</f>
        <v>569980.89175338321</v>
      </c>
      <c r="J134" s="156">
        <f t="shared" si="30"/>
        <v>3416874.3250161959</v>
      </c>
      <c r="K134" s="69"/>
      <c r="L134" s="319">
        <v>1</v>
      </c>
      <c r="N134" s="60"/>
      <c r="O134" s="60"/>
    </row>
    <row r="135" spans="2:15" s="37" customFormat="1" ht="15.75" customHeight="1">
      <c r="B135" s="48"/>
      <c r="C135" s="161" t="s">
        <v>306</v>
      </c>
      <c r="D135" s="156">
        <f>$F$10*(F821EO!R16+F821EO!Y16)*$L135</f>
        <v>0</v>
      </c>
      <c r="E135" s="156">
        <f>$F$10*(F821EO!S16+F821EO!Z16)*$L135</f>
        <v>0</v>
      </c>
      <c r="F135" s="156">
        <f>$F$10*(F821EO!T16+F821EO!AA16)*$L135</f>
        <v>0</v>
      </c>
      <c r="G135" s="156">
        <f>$F$10*(F821EO!U16+F821EO!AB16)*$L135</f>
        <v>0</v>
      </c>
      <c r="H135" s="156">
        <f>$F$10*(F821EO!V16+F821EO!AC16)*$L135</f>
        <v>0</v>
      </c>
      <c r="I135" s="156">
        <f>$F$10*(F821EO!W16+F821EO!AD16)*$L135</f>
        <v>0</v>
      </c>
      <c r="J135" s="156">
        <f t="shared" si="30"/>
        <v>0</v>
      </c>
      <c r="K135" s="69"/>
      <c r="L135" s="319">
        <v>1</v>
      </c>
      <c r="N135" s="60"/>
      <c r="O135" s="60"/>
    </row>
    <row r="136" spans="2:15" s="37" customFormat="1" ht="15.75" customHeight="1">
      <c r="B136" s="48"/>
      <c r="C136" s="160" t="s">
        <v>305</v>
      </c>
      <c r="D136" s="156">
        <f>$F$10*(F821EO!R17+F821EO!Y17)*$L136</f>
        <v>1844.6878282896466</v>
      </c>
      <c r="E136" s="156">
        <f>$F$10*(F821EO!S17+F821EO!Z17)*$L136</f>
        <v>1852.2138156874257</v>
      </c>
      <c r="F136" s="156">
        <f>$F$10*(F821EO!T17+F821EO!AA17)*$L136</f>
        <v>1831.0984497921318</v>
      </c>
      <c r="G136" s="156">
        <f>$F$10*(F821EO!U17+F821EO!AB17)*$L136</f>
        <v>1818.3608534672087</v>
      </c>
      <c r="H136" s="156">
        <f>$F$10*(F821EO!V17+F821EO!AC17)*$L136</f>
        <v>1696.9717996008544</v>
      </c>
      <c r="I136" s="156">
        <f>$F$10*(F821EO!W17+F821EO!AD17)*$L136</f>
        <v>1810.5794910480004</v>
      </c>
      <c r="J136" s="156">
        <f t="shared" si="30"/>
        <v>10853.912237885266</v>
      </c>
      <c r="K136" s="69"/>
      <c r="L136" s="319">
        <v>0.95</v>
      </c>
      <c r="N136" s="60"/>
      <c r="O136" s="60"/>
    </row>
    <row r="137" spans="2:15" s="37" customFormat="1" ht="15.75" customHeight="1">
      <c r="B137" s="48"/>
      <c r="C137" s="160" t="s">
        <v>307</v>
      </c>
      <c r="D137" s="156">
        <f>$F$10*(F821EO!R18+F821EO!Y18)*$L137</f>
        <v>0</v>
      </c>
      <c r="E137" s="156">
        <f>$F$10*(F821EO!S18+F821EO!Z18)*$L137</f>
        <v>0</v>
      </c>
      <c r="F137" s="156">
        <f>$F$10*(F821EO!T18+F821EO!AA18)*$L137</f>
        <v>0</v>
      </c>
      <c r="G137" s="156">
        <f>$F$10*(F821EO!U18+F821EO!AB18)*$L137</f>
        <v>0</v>
      </c>
      <c r="H137" s="156">
        <f>$F$10*(F821EO!V18+F821EO!AC18)*$L137</f>
        <v>0</v>
      </c>
      <c r="I137" s="156">
        <f>$F$10*(F821EO!W18+F821EO!AD18)*$L137</f>
        <v>0</v>
      </c>
      <c r="J137" s="156">
        <f t="shared" si="30"/>
        <v>0</v>
      </c>
      <c r="K137" s="69"/>
      <c r="L137" s="319">
        <v>0.5</v>
      </c>
      <c r="N137" s="60"/>
      <c r="O137" s="60"/>
    </row>
    <row r="138" spans="2:15" s="37" customFormat="1" ht="15.75" customHeight="1">
      <c r="B138" s="48"/>
      <c r="C138" s="157"/>
      <c r="D138" s="157"/>
      <c r="E138" s="157"/>
      <c r="F138" s="157"/>
      <c r="G138" s="157"/>
      <c r="H138" s="157"/>
      <c r="I138" s="157"/>
      <c r="J138" s="157"/>
      <c r="K138" s="69"/>
      <c r="L138" s="319"/>
      <c r="N138" s="60"/>
      <c r="O138" s="60"/>
    </row>
    <row r="139" spans="2:15" s="37" customFormat="1" ht="15.75" customHeight="1">
      <c r="B139" s="48"/>
      <c r="C139" s="153" t="s">
        <v>443</v>
      </c>
      <c r="D139" s="154">
        <f t="shared" ref="D139:I139" si="33">D140+D144+D151+D156+D161+D174+D180+D187+D195+D201+D208+D167</f>
        <v>5002556.4956727745</v>
      </c>
      <c r="E139" s="154">
        <f t="shared" si="33"/>
        <v>5023121.1418105327</v>
      </c>
      <c r="F139" s="154">
        <f t="shared" si="33"/>
        <v>4965277.9157437608</v>
      </c>
      <c r="G139" s="154">
        <f t="shared" si="33"/>
        <v>4930345.0564731136</v>
      </c>
      <c r="H139" s="154">
        <f t="shared" si="33"/>
        <v>4597739.1358453436</v>
      </c>
      <c r="I139" s="154">
        <f t="shared" si="33"/>
        <v>4909059.5461982768</v>
      </c>
      <c r="J139" s="154">
        <f t="shared" ref="J139:J165" si="34">SUM(D139:I139)</f>
        <v>29428099.2917438</v>
      </c>
      <c r="K139" s="69"/>
      <c r="L139" s="319"/>
      <c r="N139" s="60"/>
      <c r="O139" s="60"/>
    </row>
    <row r="140" spans="2:15" s="37" customFormat="1" ht="15.75" customHeight="1">
      <c r="B140" s="48" t="s">
        <v>275</v>
      </c>
      <c r="C140" s="155" t="s">
        <v>275</v>
      </c>
      <c r="D140" s="154">
        <f>SUM(D141:D143)</f>
        <v>56854.928578611973</v>
      </c>
      <c r="E140" s="154">
        <f t="shared" ref="E140:I140" si="35">SUM(E141:E143)</f>
        <v>57086.88624072817</v>
      </c>
      <c r="F140" s="154">
        <f t="shared" si="35"/>
        <v>56436.091780290226</v>
      </c>
      <c r="G140" s="154">
        <f t="shared" si="35"/>
        <v>56043.507670279505</v>
      </c>
      <c r="H140" s="154">
        <f t="shared" si="35"/>
        <v>52302.188471466434</v>
      </c>
      <c r="I140" s="154">
        <f t="shared" si="35"/>
        <v>55803.679121620095</v>
      </c>
      <c r="J140" s="154">
        <f t="shared" si="34"/>
        <v>334527.2818629964</v>
      </c>
      <c r="K140" s="69"/>
      <c r="L140" s="319"/>
      <c r="N140" s="60"/>
      <c r="O140" s="60"/>
    </row>
    <row r="141" spans="2:15" s="37" customFormat="1" ht="15.75" customHeight="1">
      <c r="B141" s="48"/>
      <c r="C141" s="160" t="s">
        <v>304</v>
      </c>
      <c r="D141" s="156">
        <f>$H$11*F821EO!R22+$I$11*F821EO!Y22</f>
        <v>56065.220788712497</v>
      </c>
      <c r="E141" s="156">
        <f>$H$11*F821EO!S22+$I$11*F821EO!Z22</f>
        <v>56293.956588146255</v>
      </c>
      <c r="F141" s="156">
        <f>$H$11*F821EO!T22+$I$11*F821EO!AA22</f>
        <v>55652.201580714056</v>
      </c>
      <c r="G141" s="156">
        <f>$H$11*F821EO!U22+$I$11*F821EO!AB22</f>
        <v>55265.070414495844</v>
      </c>
      <c r="H141" s="156">
        <f>$H$11*F821EO!V22+$I$11*F821EO!AC22</f>
        <v>51575.717667662713</v>
      </c>
      <c r="I141" s="156">
        <f>$H$11*F821EO!W22+$I$11*F821EO!AD22</f>
        <v>55028.573054140623</v>
      </c>
      <c r="J141" s="156">
        <f t="shared" si="34"/>
        <v>329880.74009387195</v>
      </c>
      <c r="K141" s="69"/>
      <c r="L141" s="319"/>
      <c r="N141" s="60"/>
      <c r="O141" s="60"/>
    </row>
    <row r="142" spans="2:15" s="37" customFormat="1" ht="15.75" customHeight="1">
      <c r="B142" s="48"/>
      <c r="C142" s="161" t="s">
        <v>306</v>
      </c>
      <c r="D142" s="156">
        <f>($H$11*F821EO!R23+$I$11*F821EO!Y23)*$L142</f>
        <v>181.27649659474108</v>
      </c>
      <c r="E142" s="156">
        <f>($H$11*F821EO!S23+$I$11*F821EO!Z23)*$L142</f>
        <v>182.01607139323181</v>
      </c>
      <c r="F142" s="156">
        <f>($H$11*F821EO!T23+$I$11*F821EO!AA23)*$L142</f>
        <v>179.94107556189704</v>
      </c>
      <c r="G142" s="156">
        <f>($H$11*F821EO!U23+$I$11*F821EO!AB23)*$L142</f>
        <v>178.68935871235237</v>
      </c>
      <c r="H142" s="156">
        <f>($H$11*F821EO!V23+$I$11*F821EO!AC23)*$L142</f>
        <v>166.7605206334209</v>
      </c>
      <c r="I142" s="156">
        <f>($H$11*F821EO!W23+$I$11*F821EO!AD23)*$L142</f>
        <v>177.92468834566171</v>
      </c>
      <c r="J142" s="156">
        <f t="shared" si="34"/>
        <v>1066.6082112413051</v>
      </c>
      <c r="K142" s="69"/>
      <c r="L142" s="319">
        <v>0.75</v>
      </c>
      <c r="N142" s="60"/>
      <c r="O142" s="60"/>
    </row>
    <row r="143" spans="2:15" s="37" customFormat="1" ht="15.75" customHeight="1">
      <c r="B143" s="48"/>
      <c r="C143" s="160" t="s">
        <v>305</v>
      </c>
      <c r="D143" s="156">
        <f>($H$11*F821EO!R24+$I$11*F821EO!Y24)*$L143</f>
        <v>608.43129330473391</v>
      </c>
      <c r="E143" s="156">
        <f>($H$11*F821EO!S24+$I$11*F821EO!Z24)*$L143</f>
        <v>610.91358118867981</v>
      </c>
      <c r="F143" s="156">
        <f>($H$11*F821EO!T24+$I$11*F821EO!AA24)*$L143</f>
        <v>603.94912401427109</v>
      </c>
      <c r="G143" s="156">
        <f>($H$11*F821EO!U24+$I$11*F821EO!AB24)*$L143</f>
        <v>599.74789707130765</v>
      </c>
      <c r="H143" s="156">
        <f>($H$11*F821EO!V24+$I$11*F821EO!AC24)*$L143</f>
        <v>559.71028317030311</v>
      </c>
      <c r="I143" s="156">
        <f>($H$11*F821EO!W24+$I$11*F821EO!AD24)*$L143</f>
        <v>597.18137913380872</v>
      </c>
      <c r="J143" s="156">
        <f t="shared" si="34"/>
        <v>3579.9335578831042</v>
      </c>
      <c r="K143" s="69"/>
      <c r="L143" s="319">
        <v>0.95</v>
      </c>
      <c r="N143" s="60"/>
      <c r="O143" s="60"/>
    </row>
    <row r="144" spans="2:15" s="37" customFormat="1" ht="15.75" customHeight="1">
      <c r="B144" s="48" t="s">
        <v>274</v>
      </c>
      <c r="C144" s="158" t="s">
        <v>627</v>
      </c>
      <c r="D144" s="159">
        <f t="shared" ref="D144:I144" si="36">SUM(D145:D150)</f>
        <v>635757.42498027091</v>
      </c>
      <c r="E144" s="159">
        <f t="shared" si="36"/>
        <v>638351.19846056867</v>
      </c>
      <c r="F144" s="159">
        <f t="shared" si="36"/>
        <v>631073.95054727013</v>
      </c>
      <c r="G144" s="159">
        <f t="shared" si="36"/>
        <v>626684.03626704216</v>
      </c>
      <c r="H144" s="159">
        <f t="shared" si="36"/>
        <v>584848.23558394308</v>
      </c>
      <c r="I144" s="159">
        <f t="shared" si="36"/>
        <v>624002.2497562801</v>
      </c>
      <c r="J144" s="159">
        <f t="shared" si="34"/>
        <v>3740717.0955953756</v>
      </c>
      <c r="K144" s="69"/>
      <c r="L144" s="319"/>
      <c r="N144" s="60"/>
      <c r="O144" s="60"/>
    </row>
    <row r="145" spans="2:15" s="37" customFormat="1" ht="15.75" customHeight="1">
      <c r="B145" s="48"/>
      <c r="C145" s="160" t="s">
        <v>304</v>
      </c>
      <c r="D145" s="156">
        <f>$F$12*(F821EO!R28+F821EO!Y28)*$L145</f>
        <v>634709.14296609047</v>
      </c>
      <c r="E145" s="156">
        <f>$F$12*(F821EO!S28+F821EO!Z28)*$L145</f>
        <v>637298.63964838092</v>
      </c>
      <c r="F145" s="156">
        <f>$F$12*(F821EO!T28+F821EO!AA28)*$L145</f>
        <v>630033.39097850525</v>
      </c>
      <c r="G145" s="156">
        <f>$F$12*(F821EO!U28+F821EO!AB28)*$L145</f>
        <v>625650.71510085498</v>
      </c>
      <c r="H145" s="156">
        <f>$F$12*(F821EO!V28+F821EO!AC28)*$L145</f>
        <v>583883.89625844185</v>
      </c>
      <c r="I145" s="156">
        <f>$F$12*(F821EO!W28+F821EO!AD28)*$L145</f>
        <v>622973.35051023832</v>
      </c>
      <c r="J145" s="156">
        <f t="shared" si="34"/>
        <v>3734549.1354625118</v>
      </c>
      <c r="K145" s="69"/>
      <c r="L145" s="319">
        <v>1</v>
      </c>
      <c r="N145" s="60"/>
      <c r="O145" s="60"/>
    </row>
    <row r="146" spans="2:15" s="37" customFormat="1" ht="15.75" customHeight="1">
      <c r="B146" s="48"/>
      <c r="C146" s="162" t="s">
        <v>628</v>
      </c>
      <c r="D146" s="156">
        <f>$F$12*(F821EO!R29+F821EO!Y29)*$L146</f>
        <v>0</v>
      </c>
      <c r="E146" s="156">
        <f>$F$12*(F821EO!S29+F821EO!Z29)*$L146</f>
        <v>0</v>
      </c>
      <c r="F146" s="156">
        <f>$F$12*(F821EO!T29+F821EO!AA29)*$L146</f>
        <v>0</v>
      </c>
      <c r="G146" s="156">
        <f>$F$12*(F821EO!U29+F821EO!AB29)*$L146</f>
        <v>0</v>
      </c>
      <c r="H146" s="156">
        <f>$F$12*(F821EO!V29+F821EO!AC29)*$L146</f>
        <v>0</v>
      </c>
      <c r="I146" s="156">
        <f>$F$12*(F821EO!W29+F821EO!AD29)*$L146</f>
        <v>0</v>
      </c>
      <c r="J146" s="156">
        <f t="shared" si="34"/>
        <v>0</v>
      </c>
      <c r="K146" s="69"/>
      <c r="L146" s="319">
        <v>0.75</v>
      </c>
      <c r="N146" s="60"/>
      <c r="O146" s="60"/>
    </row>
    <row r="147" spans="2:15" s="37" customFormat="1" ht="15.75" customHeight="1">
      <c r="B147" s="48"/>
      <c r="C147" s="161" t="s">
        <v>629</v>
      </c>
      <c r="D147" s="156">
        <f>$F$12*(F821EO!R30+F821EO!Y30)*$L147</f>
        <v>501.3236913334527</v>
      </c>
      <c r="E147" s="156">
        <f>$F$12*(F821EO!S30+F821EO!Z30)*$L147</f>
        <v>503.36899988123116</v>
      </c>
      <c r="F147" s="156">
        <f>$F$12*(F821EO!T30+F821EO!AA30)*$L147</f>
        <v>497.6305583887754</v>
      </c>
      <c r="G147" s="156">
        <f>$F$12*(F821EO!U30+F821EO!AB30)*$L147</f>
        <v>494.16891099760323</v>
      </c>
      <c r="H147" s="156">
        <f>$F$12*(F821EO!V30+F821EO!AC30)*$L147</f>
        <v>461.17947634177881</v>
      </c>
      <c r="I147" s="156">
        <f>$F$12*(F821EO!W30+F821EO!AD30)*$L147</f>
        <v>492.05420016589687</v>
      </c>
      <c r="J147" s="156">
        <f t="shared" si="34"/>
        <v>2949.7258371087382</v>
      </c>
      <c r="K147" s="69"/>
      <c r="L147" s="319">
        <v>1</v>
      </c>
      <c r="N147" s="60"/>
      <c r="O147" s="60"/>
    </row>
    <row r="148" spans="2:15" s="37" customFormat="1" ht="15.75" customHeight="1">
      <c r="B148" s="48"/>
      <c r="C148" s="160" t="s">
        <v>305</v>
      </c>
      <c r="D148" s="156">
        <f>$F$12*(F821EO!R31+F821EO!Y31)*$L148</f>
        <v>546.95832284701839</v>
      </c>
      <c r="E148" s="156">
        <f>$F$12*(F821EO!S31+F821EO!Z31)*$L148</f>
        <v>549.18981230649706</v>
      </c>
      <c r="F148" s="156">
        <f>$F$12*(F821EO!T31+F821EO!AA31)*$L148</f>
        <v>542.92901037607021</v>
      </c>
      <c r="G148" s="156">
        <f>$F$12*(F821EO!U31+F821EO!AB31)*$L148</f>
        <v>539.1522551895614</v>
      </c>
      <c r="H148" s="156">
        <f>$F$12*(F821EO!V31+F821EO!AC31)*$L148</f>
        <v>503.15984915938378</v>
      </c>
      <c r="I148" s="156">
        <f>$F$12*(F821EO!W31+F821EO!AD31)*$L148</f>
        <v>536.84504587587446</v>
      </c>
      <c r="J148" s="156">
        <f t="shared" si="34"/>
        <v>3218.2342957544047</v>
      </c>
      <c r="K148" s="69"/>
      <c r="L148" s="319">
        <v>0.95</v>
      </c>
      <c r="N148" s="60"/>
      <c r="O148" s="60"/>
    </row>
    <row r="149" spans="2:15" s="37" customFormat="1" ht="15.75" customHeight="1">
      <c r="B149" s="48"/>
      <c r="C149" s="160" t="s">
        <v>307</v>
      </c>
      <c r="D149" s="156">
        <f>$F$12*(F821EO!R32+F821EO!Y32)*$L149</f>
        <v>0</v>
      </c>
      <c r="E149" s="156">
        <f>$F$12*(F821EO!S32+F821EO!Z32)*$L149</f>
        <v>0</v>
      </c>
      <c r="F149" s="156">
        <f>$F$12*(F821EO!T32+F821EO!AA32)*$L149</f>
        <v>0</v>
      </c>
      <c r="G149" s="156">
        <f>$F$12*(F821EO!U32+F821EO!AB32)*$L149</f>
        <v>0</v>
      </c>
      <c r="H149" s="156">
        <f>$F$12*(F821EO!V32+F821EO!AC32)*$L149</f>
        <v>0</v>
      </c>
      <c r="I149" s="156">
        <f>$F$12*(F821EO!W32+F821EO!AD32)*$L149</f>
        <v>0</v>
      </c>
      <c r="J149" s="156">
        <f t="shared" si="34"/>
        <v>0</v>
      </c>
      <c r="K149" s="69"/>
      <c r="L149" s="319">
        <v>0.5</v>
      </c>
      <c r="N149" s="60"/>
      <c r="O149" s="60"/>
    </row>
    <row r="150" spans="2:15" s="37" customFormat="1" ht="15.75" customHeight="1">
      <c r="B150" s="48"/>
      <c r="C150" s="160" t="s">
        <v>624</v>
      </c>
      <c r="D150" s="156">
        <f>$F$12*(F821EO!R33+F821EO!Y33)*$L150</f>
        <v>0</v>
      </c>
      <c r="E150" s="156">
        <f>$F$12*(F821EO!S33+F821EO!Z33)*$L150</f>
        <v>0</v>
      </c>
      <c r="F150" s="156">
        <f>$F$12*(F821EO!T33+F821EO!AA33)*$L150</f>
        <v>0</v>
      </c>
      <c r="G150" s="156">
        <f>$F$12*(F821EO!U33+F821EO!AB33)*$L150</f>
        <v>0</v>
      </c>
      <c r="H150" s="156">
        <f>$F$12*(F821EO!V33+F821EO!AC33)*$L150</f>
        <v>0</v>
      </c>
      <c r="I150" s="156">
        <f>$F$12*(F821EO!W33+F821EO!AD33)*$L150</f>
        <v>0</v>
      </c>
      <c r="J150" s="156">
        <f t="shared" si="34"/>
        <v>0</v>
      </c>
      <c r="K150" s="69"/>
      <c r="L150" s="319">
        <v>0</v>
      </c>
      <c r="N150" s="60"/>
      <c r="O150" s="60"/>
    </row>
    <row r="151" spans="2:15" s="37" customFormat="1" ht="15.75" customHeight="1">
      <c r="B151" s="48" t="s">
        <v>274</v>
      </c>
      <c r="C151" s="158" t="s">
        <v>631</v>
      </c>
      <c r="D151" s="159">
        <f t="shared" ref="D151:I151" si="37">SUM(D152:D155)</f>
        <v>300470.08978967142</v>
      </c>
      <c r="E151" s="159">
        <f t="shared" si="37"/>
        <v>301695.95254785044</v>
      </c>
      <c r="F151" s="159">
        <f t="shared" si="37"/>
        <v>298256.59777507943</v>
      </c>
      <c r="G151" s="159">
        <f t="shared" si="37"/>
        <v>296181.84742829431</v>
      </c>
      <c r="H151" s="159">
        <f t="shared" si="37"/>
        <v>276409.5155706465</v>
      </c>
      <c r="I151" s="159">
        <f t="shared" si="37"/>
        <v>294914.38817099907</v>
      </c>
      <c r="J151" s="159">
        <f t="shared" si="34"/>
        <v>1767928.3912825412</v>
      </c>
      <c r="K151" s="69"/>
      <c r="L151" s="319"/>
      <c r="N151" s="60"/>
      <c r="O151" s="60"/>
    </row>
    <row r="152" spans="2:15" s="37" customFormat="1" ht="15.75" customHeight="1">
      <c r="B152" s="48"/>
      <c r="C152" s="160" t="s">
        <v>304</v>
      </c>
      <c r="D152" s="156">
        <f>$F$13*(F821EO!R35+F821EO!Y35)*$L152</f>
        <v>299653.50769120728</v>
      </c>
      <c r="E152" s="156">
        <f>$F$13*(F821EO!S35+F821EO!Z35)*$L152</f>
        <v>300876.03894446278</v>
      </c>
      <c r="F152" s="156">
        <f>$F$13*(F821EO!T35+F821EO!AA35)*$L152</f>
        <v>297446.03124360723</v>
      </c>
      <c r="G152" s="156">
        <f>$F$13*(F821EO!U35+F821EO!AB35)*$L152</f>
        <v>295376.91940810671</v>
      </c>
      <c r="H152" s="156">
        <f>$F$13*(F821EO!V35+F821EO!AC35)*$L152</f>
        <v>275658.3224571551</v>
      </c>
      <c r="I152" s="156">
        <f>$F$13*(F821EO!W35+F821EO!AD35)*$L152</f>
        <v>294112.90470178414</v>
      </c>
      <c r="J152" s="156">
        <f t="shared" si="34"/>
        <v>1763123.7244463232</v>
      </c>
      <c r="K152" s="69"/>
      <c r="L152" s="319">
        <v>1</v>
      </c>
      <c r="N152" s="60"/>
      <c r="O152" s="60"/>
    </row>
    <row r="153" spans="2:15" s="37" customFormat="1" ht="15.75" customHeight="1">
      <c r="B153" s="48"/>
      <c r="C153" s="161" t="s">
        <v>306</v>
      </c>
      <c r="D153" s="156">
        <f>$F$13*(F821EO!R36+F821EO!Y36)*$L153</f>
        <v>0</v>
      </c>
      <c r="E153" s="156">
        <f>$F$13*(F821EO!S36+F821EO!Z36)*$L153</f>
        <v>0</v>
      </c>
      <c r="F153" s="156">
        <f>$F$13*(F821EO!T36+F821EO!AA36)*$L153</f>
        <v>0</v>
      </c>
      <c r="G153" s="156">
        <f>$F$13*(F821EO!U36+F821EO!AB36)*$L153</f>
        <v>0</v>
      </c>
      <c r="H153" s="156">
        <f>$F$13*(F821EO!V36+F821EO!AC36)*$L153</f>
        <v>0</v>
      </c>
      <c r="I153" s="156">
        <f>$F$13*(F821EO!W36+F821EO!AD36)*$L153</f>
        <v>0</v>
      </c>
      <c r="J153" s="156">
        <f t="shared" si="34"/>
        <v>0</v>
      </c>
      <c r="K153" s="69"/>
      <c r="L153" s="319">
        <v>1</v>
      </c>
      <c r="N153" s="60"/>
      <c r="O153" s="60"/>
    </row>
    <row r="154" spans="2:15" s="37" customFormat="1" ht="15.75" customHeight="1">
      <c r="B154" s="48"/>
      <c r="C154" s="160" t="s">
        <v>305</v>
      </c>
      <c r="D154" s="156">
        <f>$F$13*(F821EO!R37+F821EO!Y37)*$L154</f>
        <v>816.58209846415002</v>
      </c>
      <c r="E154" s="156">
        <f>$F$13*(F821EO!S37+F821EO!Z37)*$L154</f>
        <v>819.9136033876639</v>
      </c>
      <c r="F154" s="156">
        <f>$F$13*(F821EO!T37+F821EO!AA37)*$L154</f>
        <v>810.56653147219299</v>
      </c>
      <c r="G154" s="156">
        <f>$F$13*(F821EO!U37+F821EO!AB37)*$L154</f>
        <v>804.92802018758221</v>
      </c>
      <c r="H154" s="156">
        <f>$F$13*(F821EO!V37+F821EO!AC37)*$L154</f>
        <v>751.19311349137945</v>
      </c>
      <c r="I154" s="156">
        <f>$F$13*(F821EO!W37+F821EO!AD37)*$L154</f>
        <v>801.48346921492328</v>
      </c>
      <c r="J154" s="156">
        <f t="shared" si="34"/>
        <v>4804.6668362178916</v>
      </c>
      <c r="K154" s="69"/>
      <c r="L154" s="319">
        <v>0.95</v>
      </c>
      <c r="N154" s="60"/>
      <c r="O154" s="60"/>
    </row>
    <row r="155" spans="2:15" s="37" customFormat="1" ht="15.75" customHeight="1">
      <c r="B155" s="48"/>
      <c r="C155" s="160" t="s">
        <v>307</v>
      </c>
      <c r="D155" s="156">
        <f>$F$13*(F821EO!R38+F821EO!Y38)*$L155</f>
        <v>0</v>
      </c>
      <c r="E155" s="156">
        <f>$F$13*(F821EO!S38+F821EO!Z38)*$L155</f>
        <v>0</v>
      </c>
      <c r="F155" s="156">
        <f>$F$13*(F821EO!T38+F821EO!AA38)*$L155</f>
        <v>0</v>
      </c>
      <c r="G155" s="156">
        <f>$F$13*(F821EO!U38+F821EO!AB38)*$L155</f>
        <v>0</v>
      </c>
      <c r="H155" s="156">
        <f>$F$13*(F821EO!V38+F821EO!AC38)*$L155</f>
        <v>0</v>
      </c>
      <c r="I155" s="156">
        <f>$F$13*(F821EO!W38+F821EO!AD38)*$L155</f>
        <v>0</v>
      </c>
      <c r="J155" s="156">
        <f t="shared" si="34"/>
        <v>0</v>
      </c>
      <c r="K155" s="69"/>
      <c r="L155" s="319">
        <v>0.5</v>
      </c>
      <c r="N155" s="60"/>
      <c r="O155" s="60"/>
    </row>
    <row r="156" spans="2:15" s="37" customFormat="1" ht="15.75" customHeight="1">
      <c r="B156" s="48" t="s">
        <v>274</v>
      </c>
      <c r="C156" s="158" t="s">
        <v>632</v>
      </c>
      <c r="D156" s="159">
        <f t="shared" ref="D156:I156" si="38">SUM(D157:D160)</f>
        <v>86999.172216165738</v>
      </c>
      <c r="E156" s="159">
        <f t="shared" si="38"/>
        <v>87354.11285364104</v>
      </c>
      <c r="F156" s="159">
        <f t="shared" si="38"/>
        <v>86358.269911675496</v>
      </c>
      <c r="G156" s="159">
        <f t="shared" si="38"/>
        <v>85757.539360252355</v>
      </c>
      <c r="H156" s="159">
        <f t="shared" si="38"/>
        <v>80032.588482104009</v>
      </c>
      <c r="I156" s="159">
        <f t="shared" si="38"/>
        <v>85390.554725343798</v>
      </c>
      <c r="J156" s="159">
        <f t="shared" si="34"/>
        <v>511892.23754918249</v>
      </c>
      <c r="K156" s="69"/>
      <c r="L156" s="319"/>
      <c r="N156" s="60"/>
      <c r="O156" s="60"/>
    </row>
    <row r="157" spans="2:15" s="37" customFormat="1" ht="15.75" customHeight="1">
      <c r="B157" s="48"/>
      <c r="C157" s="160" t="s">
        <v>304</v>
      </c>
      <c r="D157" s="156">
        <f>$F$14*(F821EO!R40+F821EO!Y40)*$L157</f>
        <v>86999.172216165738</v>
      </c>
      <c r="E157" s="156">
        <f>$F$14*(F821EO!S40+F821EO!Z40)*$L157</f>
        <v>87354.11285364104</v>
      </c>
      <c r="F157" s="156">
        <f>$F$14*(F821EO!T40+F821EO!AA40)*$L157</f>
        <v>86358.269911675496</v>
      </c>
      <c r="G157" s="156">
        <f>$F$14*(F821EO!U40+F821EO!AB40)*$L157</f>
        <v>85757.539360252355</v>
      </c>
      <c r="H157" s="156">
        <f>$F$14*(F821EO!V40+F821EO!AC40)*$L157</f>
        <v>80032.588482104009</v>
      </c>
      <c r="I157" s="156">
        <f>$F$14*(F821EO!W40+F821EO!AD40)*$L157</f>
        <v>85390.554725343798</v>
      </c>
      <c r="J157" s="156">
        <f t="shared" si="34"/>
        <v>511892.23754918249</v>
      </c>
      <c r="K157" s="69"/>
      <c r="L157" s="319">
        <v>1</v>
      </c>
      <c r="N157" s="60"/>
      <c r="O157" s="60"/>
    </row>
    <row r="158" spans="2:15" s="37" customFormat="1" ht="15.75" customHeight="1">
      <c r="B158" s="48"/>
      <c r="C158" s="161" t="s">
        <v>306</v>
      </c>
      <c r="D158" s="156">
        <f>$F$14*(F821EO!R41+F821EO!Y41)*$L158</f>
        <v>0</v>
      </c>
      <c r="E158" s="156">
        <f>$F$14*(F821EO!S41+F821EO!Z41)*$L158</f>
        <v>0</v>
      </c>
      <c r="F158" s="156">
        <f>$F$14*(F821EO!T41+F821EO!AA41)*$L158</f>
        <v>0</v>
      </c>
      <c r="G158" s="156">
        <f>$F$14*(F821EO!U41+F821EO!AB41)*$L158</f>
        <v>0</v>
      </c>
      <c r="H158" s="156">
        <f>$F$14*(F821EO!V41+F821EO!AC41)*$L158</f>
        <v>0</v>
      </c>
      <c r="I158" s="156">
        <f>$F$14*(F821EO!W41+F821EO!AD41)*$L158</f>
        <v>0</v>
      </c>
      <c r="J158" s="156">
        <f t="shared" si="34"/>
        <v>0</v>
      </c>
      <c r="K158" s="69"/>
      <c r="L158" s="319">
        <v>1</v>
      </c>
      <c r="N158" s="60"/>
      <c r="O158" s="60"/>
    </row>
    <row r="159" spans="2:15" s="37" customFormat="1" ht="15.75" customHeight="1">
      <c r="B159" s="48"/>
      <c r="C159" s="160" t="s">
        <v>305</v>
      </c>
      <c r="D159" s="156">
        <f>$F$14*(F821EO!R42+F821EO!Y42)*$L159</f>
        <v>0</v>
      </c>
      <c r="E159" s="156">
        <f>$F$14*(F821EO!S42+F821EO!Z42)*$L159</f>
        <v>0</v>
      </c>
      <c r="F159" s="156">
        <f>$F$14*(F821EO!T42+F821EO!AA42)*$L159</f>
        <v>0</v>
      </c>
      <c r="G159" s="156">
        <f>$F$14*(F821EO!U42+F821EO!AB42)*$L159</f>
        <v>0</v>
      </c>
      <c r="H159" s="156">
        <f>$F$14*(F821EO!V42+F821EO!AC42)*$L159</f>
        <v>0</v>
      </c>
      <c r="I159" s="156">
        <f>$F$14*(F821EO!W42+F821EO!AD42)*$L159</f>
        <v>0</v>
      </c>
      <c r="J159" s="156">
        <f t="shared" si="34"/>
        <v>0</v>
      </c>
      <c r="K159" s="69"/>
      <c r="L159" s="319">
        <v>0.95</v>
      </c>
      <c r="N159" s="60"/>
      <c r="O159" s="60"/>
    </row>
    <row r="160" spans="2:15" s="37" customFormat="1" ht="15.75" customHeight="1">
      <c r="B160" s="48"/>
      <c r="C160" s="160" t="s">
        <v>307</v>
      </c>
      <c r="D160" s="156">
        <f>$F$14*(F821EO!R43+F821EO!Y43)*$L160</f>
        <v>0</v>
      </c>
      <c r="E160" s="156">
        <f>$F$14*(F821EO!S43+F821EO!Z43)*$L160</f>
        <v>0</v>
      </c>
      <c r="F160" s="156">
        <f>$F$14*(F821EO!T43+F821EO!AA43)*$L160</f>
        <v>0</v>
      </c>
      <c r="G160" s="156">
        <f>$F$14*(F821EO!U43+F821EO!AB43)*$L160</f>
        <v>0</v>
      </c>
      <c r="H160" s="156">
        <f>$F$14*(F821EO!V43+F821EO!AC43)*$L160</f>
        <v>0</v>
      </c>
      <c r="I160" s="156">
        <f>$F$14*(F821EO!W43+F821EO!AD43)*$L160</f>
        <v>0</v>
      </c>
      <c r="J160" s="156">
        <f t="shared" si="34"/>
        <v>0</v>
      </c>
      <c r="K160" s="69"/>
      <c r="L160" s="319">
        <v>0.5</v>
      </c>
      <c r="N160" s="60"/>
      <c r="O160" s="60"/>
    </row>
    <row r="161" spans="2:15" s="37" customFormat="1" ht="15.75" customHeight="1">
      <c r="B161" s="48" t="s">
        <v>274</v>
      </c>
      <c r="C161" s="158" t="s">
        <v>633</v>
      </c>
      <c r="D161" s="159">
        <f t="shared" ref="D161:I161" si="39">SUM(D162:D165)</f>
        <v>88837.053036204292</v>
      </c>
      <c r="E161" s="159">
        <f t="shared" si="39"/>
        <v>89199.491889734432</v>
      </c>
      <c r="F161" s="159">
        <f t="shared" si="39"/>
        <v>88182.61149883474</v>
      </c>
      <c r="G161" s="159">
        <f t="shared" si="39"/>
        <v>87569.190353577811</v>
      </c>
      <c r="H161" s="159">
        <f t="shared" si="39"/>
        <v>81723.298354421218</v>
      </c>
      <c r="I161" s="159">
        <f t="shared" si="39"/>
        <v>87194.453069942087</v>
      </c>
      <c r="J161" s="159">
        <f t="shared" si="34"/>
        <v>522706.09820271452</v>
      </c>
      <c r="K161" s="69"/>
      <c r="L161" s="319"/>
      <c r="N161" s="60"/>
      <c r="O161" s="60"/>
    </row>
    <row r="162" spans="2:15" s="37" customFormat="1" ht="15.75" customHeight="1">
      <c r="B162" s="48"/>
      <c r="C162" s="160" t="s">
        <v>304</v>
      </c>
      <c r="D162" s="156">
        <f>$F$15*(F821EO!R45+F821EO!Y45)*$L162</f>
        <v>88837.053036204292</v>
      </c>
      <c r="E162" s="156">
        <f>$F$15*(F821EO!S45+F821EO!Z45)*$L162</f>
        <v>89199.491889734432</v>
      </c>
      <c r="F162" s="156">
        <f>$F$15*(F821EO!T45+F821EO!AA45)*$L162</f>
        <v>88182.61149883474</v>
      </c>
      <c r="G162" s="156">
        <f>$F$15*(F821EO!U45+F821EO!AB45)*$L162</f>
        <v>87569.190353577811</v>
      </c>
      <c r="H162" s="156">
        <f>$F$15*(F821EO!V45+F821EO!AC45)*$L162</f>
        <v>81723.298354421218</v>
      </c>
      <c r="I162" s="156">
        <f>$F$15*(F821EO!W45+F821EO!AD45)*$L162</f>
        <v>87194.453069942087</v>
      </c>
      <c r="J162" s="156">
        <f t="shared" si="34"/>
        <v>522706.09820271452</v>
      </c>
      <c r="K162" s="69"/>
      <c r="L162" s="319">
        <v>1</v>
      </c>
      <c r="N162" s="60"/>
      <c r="O162" s="60"/>
    </row>
    <row r="163" spans="2:15" s="37" customFormat="1" ht="15.75" customHeight="1">
      <c r="B163" s="48"/>
      <c r="C163" s="161" t="s">
        <v>306</v>
      </c>
      <c r="D163" s="156">
        <f>$F$15*(F821EO!R46+F821EO!Y46)*$L163</f>
        <v>0</v>
      </c>
      <c r="E163" s="156">
        <f>$F$15*(F821EO!S46+F821EO!Z46)*$L163</f>
        <v>0</v>
      </c>
      <c r="F163" s="156">
        <f>$F$15*(F821EO!T46+F821EO!AA46)*$L163</f>
        <v>0</v>
      </c>
      <c r="G163" s="156">
        <f>$F$15*(F821EO!U46+F821EO!AB46)*$L163</f>
        <v>0</v>
      </c>
      <c r="H163" s="156">
        <f>$F$15*(F821EO!V46+F821EO!AC46)*$L163</f>
        <v>0</v>
      </c>
      <c r="I163" s="156">
        <f>$F$15*(F821EO!W46+F821EO!AD46)*$L163</f>
        <v>0</v>
      </c>
      <c r="J163" s="156">
        <f t="shared" si="34"/>
        <v>0</v>
      </c>
      <c r="K163" s="69"/>
      <c r="L163" s="319">
        <v>1</v>
      </c>
      <c r="N163" s="60"/>
      <c r="O163" s="60"/>
    </row>
    <row r="164" spans="2:15" s="37" customFormat="1" ht="15.75" customHeight="1">
      <c r="B164" s="48"/>
      <c r="C164" s="160" t="s">
        <v>305</v>
      </c>
      <c r="D164" s="156">
        <f>$F$15*(F821EO!R47+F821EO!Y47)*$L164</f>
        <v>0</v>
      </c>
      <c r="E164" s="156">
        <f>$F$15*(F821EO!S47+F821EO!Z47)*$L164</f>
        <v>0</v>
      </c>
      <c r="F164" s="156">
        <f>$F$15*(F821EO!T47+F821EO!AA47)*$L164</f>
        <v>0</v>
      </c>
      <c r="G164" s="156">
        <f>$F$15*(F821EO!U47+F821EO!AB47)*$L164</f>
        <v>0</v>
      </c>
      <c r="H164" s="156">
        <f>$F$15*(F821EO!V47+F821EO!AC47)*$L164</f>
        <v>0</v>
      </c>
      <c r="I164" s="156">
        <f>$F$15*(F821EO!W47+F821EO!AD47)*$L164</f>
        <v>0</v>
      </c>
      <c r="J164" s="156">
        <f t="shared" si="34"/>
        <v>0</v>
      </c>
      <c r="K164" s="69"/>
      <c r="L164" s="319">
        <v>0.95</v>
      </c>
      <c r="N164" s="60"/>
      <c r="O164" s="60"/>
    </row>
    <row r="165" spans="2:15" s="37" customFormat="1" ht="15.75" customHeight="1">
      <c r="B165" s="48"/>
      <c r="C165" s="160" t="s">
        <v>307</v>
      </c>
      <c r="D165" s="156">
        <f>$F$15*(F821EO!R48+F821EO!Y48)*$L165</f>
        <v>0</v>
      </c>
      <c r="E165" s="156">
        <f>$F$15*(F821EO!S48+F821EO!Z48)*$L165</f>
        <v>0</v>
      </c>
      <c r="F165" s="156">
        <f>$F$15*(F821EO!T48+F821EO!AA48)*$L165</f>
        <v>0</v>
      </c>
      <c r="G165" s="156">
        <f>$F$15*(F821EO!U48+F821EO!AB48)*$L165</f>
        <v>0</v>
      </c>
      <c r="H165" s="156">
        <f>$F$15*(F821EO!V48+F821EO!AC48)*$L165</f>
        <v>0</v>
      </c>
      <c r="I165" s="156">
        <f>$F$15*(F821EO!W48+F821EO!AD48)*$L165</f>
        <v>0</v>
      </c>
      <c r="J165" s="156">
        <f t="shared" si="34"/>
        <v>0</v>
      </c>
      <c r="K165" s="69"/>
      <c r="L165" s="319">
        <v>0.5</v>
      </c>
      <c r="N165" s="60"/>
      <c r="O165" s="60"/>
    </row>
    <row r="166" spans="2:15" s="37" customFormat="1" ht="15.75">
      <c r="B166" s="48"/>
      <c r="C166" s="157"/>
      <c r="D166" s="156"/>
      <c r="E166" s="156"/>
      <c r="F166" s="156"/>
      <c r="G166" s="156"/>
      <c r="H166" s="156"/>
      <c r="I166" s="156"/>
      <c r="J166" s="156"/>
      <c r="K166" s="69"/>
      <c r="L166" s="319"/>
      <c r="N166" s="60"/>
      <c r="O166" s="60"/>
    </row>
    <row r="167" spans="2:15" s="37" customFormat="1" ht="15.75">
      <c r="B167" s="48" t="s">
        <v>1176</v>
      </c>
      <c r="C167" s="158" t="str">
        <f>F801ENE!$C$50</f>
        <v>BTSH</v>
      </c>
      <c r="D167" s="159">
        <f>SUM(D168:D173)</f>
        <v>38.745659276380195</v>
      </c>
      <c r="E167" s="159">
        <f t="shared" ref="E167:J167" si="40">SUM(E168:E173)</f>
        <v>38.903734447127675</v>
      </c>
      <c r="F167" s="159">
        <f t="shared" si="40"/>
        <v>38.460229177602628</v>
      </c>
      <c r="G167" s="159">
        <f t="shared" si="40"/>
        <v>38.192689835911878</v>
      </c>
      <c r="H167" s="159">
        <f t="shared" si="40"/>
        <v>35.643044931847712</v>
      </c>
      <c r="I167" s="159">
        <f t="shared" si="40"/>
        <v>38.029250790900022</v>
      </c>
      <c r="J167" s="159">
        <f t="shared" si="40"/>
        <v>227.97460845977008</v>
      </c>
      <c r="K167" s="69"/>
      <c r="L167" s="319"/>
      <c r="N167" s="60"/>
      <c r="O167" s="60"/>
    </row>
    <row r="168" spans="2:15" s="37" customFormat="1" ht="15.75">
      <c r="B168" s="48"/>
      <c r="C168" s="160" t="str">
        <f>F801ENE!$C$51</f>
        <v xml:space="preserve">    - Regulares</v>
      </c>
      <c r="D168" s="156">
        <f>($H$16*F821EO!R51+$I$16*F821EO!Y51)*$L168</f>
        <v>13.080045762868391</v>
      </c>
      <c r="E168" s="156">
        <f>($H$16*F821EO!S51+$I$16*F821EO!Z51)*$L168</f>
        <v>13.133409946262494</v>
      </c>
      <c r="F168" s="156">
        <f>($H$16*F821EO!T51+$I$16*F821EO!AA51)*$L168</f>
        <v>12.983688162460066</v>
      </c>
      <c r="G168" s="156">
        <f>($H$16*F821EO!U51+$I$16*F821EO!AB51)*$L168</f>
        <v>12.893370255937413</v>
      </c>
      <c r="H168" s="156">
        <f>($H$16*F821EO!V51+$I$16*F821EO!AC51)*$L168</f>
        <v>12.032642302224316</v>
      </c>
      <c r="I168" s="156">
        <f>($H$16*F821EO!W51+$I$16*F821EO!AD51)*$L168</f>
        <v>12.838195296261402</v>
      </c>
      <c r="J168" s="156">
        <f t="shared" ref="J168:J185" si="41">SUM(D168:I168)</f>
        <v>76.961351726014087</v>
      </c>
      <c r="K168" s="69"/>
      <c r="L168" s="319">
        <v>1</v>
      </c>
      <c r="N168" s="60"/>
      <c r="O168" s="60"/>
    </row>
    <row r="169" spans="2:15" s="37" customFormat="1" ht="15.75">
      <c r="B169" s="48"/>
      <c r="C169" s="162" t="str">
        <f>F801ENE!$C$52</f>
        <v xml:space="preserve">    - Jubilados (0 a 600 KWh)</v>
      </c>
      <c r="D169" s="156">
        <f>($H$16*F821EO!R52+$I$16*F821EO!Y52)*$L169</f>
        <v>0</v>
      </c>
      <c r="E169" s="156">
        <f>($H$16*F821EO!S52+$I$16*F821EO!Z52)*$L169</f>
        <v>0</v>
      </c>
      <c r="F169" s="156">
        <f>($H$16*F821EO!T52+$I$16*F821EO!AA52)*$L169</f>
        <v>0</v>
      </c>
      <c r="G169" s="156">
        <f>($H$16*F821EO!U52+$I$16*F821EO!AB52)*$L169</f>
        <v>0</v>
      </c>
      <c r="H169" s="156">
        <f>($H$16*F821EO!V52+$I$16*F821EO!AC52)*$L169</f>
        <v>0</v>
      </c>
      <c r="I169" s="156">
        <f>($H$16*F821EO!W52+$I$16*F821EO!AD52)*$L169</f>
        <v>0</v>
      </c>
      <c r="J169" s="156">
        <f t="shared" si="41"/>
        <v>0</v>
      </c>
      <c r="K169" s="69"/>
      <c r="L169" s="319">
        <v>0.75</v>
      </c>
      <c r="N169" s="60"/>
      <c r="O169" s="60"/>
    </row>
    <row r="170" spans="2:15" s="37" customFormat="1" ht="15.75">
      <c r="B170" s="48"/>
      <c r="C170" s="162" t="str">
        <f>F801ENE!$C$53</f>
        <v xml:space="preserve">    - Jubilados (601 y Más KWh)</v>
      </c>
      <c r="D170" s="156">
        <f>($H$16*F821EO!R53+$I$16*F821EO!Y53)*$L170</f>
        <v>25.665613513511804</v>
      </c>
      <c r="E170" s="156">
        <f>($H$16*F821EO!S53+$I$16*F821EO!Z53)*$L170</f>
        <v>25.770324500865179</v>
      </c>
      <c r="F170" s="156">
        <f>($H$16*F821EO!T53+$I$16*F821EO!AA53)*$L170</f>
        <v>25.476541015142566</v>
      </c>
      <c r="G170" s="156">
        <f>($H$16*F821EO!U53+$I$16*F821EO!AB53)*$L170</f>
        <v>25.299319579974469</v>
      </c>
      <c r="H170" s="156">
        <f>($H$16*F821EO!V53+$I$16*F821EO!AC53)*$L170</f>
        <v>23.610402629623394</v>
      </c>
      <c r="I170" s="156">
        <f>($H$16*F821EO!W53+$I$16*F821EO!AD53)*$L170</f>
        <v>25.191055494638618</v>
      </c>
      <c r="J170" s="156">
        <f t="shared" si="41"/>
        <v>151.01325673375601</v>
      </c>
      <c r="K170" s="69"/>
      <c r="L170" s="319">
        <v>1</v>
      </c>
      <c r="N170" s="60"/>
      <c r="O170" s="60"/>
    </row>
    <row r="171" spans="2:15" s="37" customFormat="1" ht="15.75">
      <c r="B171" s="48"/>
      <c r="C171" s="160" t="str">
        <f>F801ENE!$C$54</f>
        <v xml:space="preserve">    - Agropecuarios</v>
      </c>
      <c r="D171" s="156">
        <f>($H$16*F821EO!R54+$I$16*F821EO!Y54)*$L171</f>
        <v>0</v>
      </c>
      <c r="E171" s="156">
        <f>($H$16*F821EO!S54+$I$16*F821EO!Z54)*$L171</f>
        <v>0</v>
      </c>
      <c r="F171" s="156">
        <f>($H$16*F821EO!T54+$I$16*F821EO!AA54)*$L171</f>
        <v>0</v>
      </c>
      <c r="G171" s="156">
        <f>($H$16*F821EO!U54+$I$16*F821EO!AB54)*$L171</f>
        <v>0</v>
      </c>
      <c r="H171" s="156">
        <f>($H$16*F821EO!V54+$I$16*F821EO!AC54)*$L171</f>
        <v>0</v>
      </c>
      <c r="I171" s="156">
        <f>($H$16*F821EO!W54+$I$16*F821EO!AD54)*$L171</f>
        <v>0</v>
      </c>
      <c r="J171" s="156">
        <f t="shared" si="41"/>
        <v>0</v>
      </c>
      <c r="K171" s="69"/>
      <c r="L171" s="319">
        <v>0.95</v>
      </c>
      <c r="N171" s="60"/>
      <c r="O171" s="60"/>
    </row>
    <row r="172" spans="2:15" s="37" customFormat="1" ht="15.75">
      <c r="B172" s="48"/>
      <c r="C172" s="160" t="str">
        <f>F801ENE!$C$55</f>
        <v xml:space="preserve">    - Partidos Políticos</v>
      </c>
      <c r="D172" s="156">
        <f>($H$16*F821EO!R55+$I$16*F821EO!Y55)*$L172</f>
        <v>0</v>
      </c>
      <c r="E172" s="156">
        <f>($H$16*F821EO!S55+$I$16*F821EO!Z55)*$L172</f>
        <v>0</v>
      </c>
      <c r="F172" s="156">
        <f>($H$16*F821EO!T55+$I$16*F821EO!AA55)*$L172</f>
        <v>0</v>
      </c>
      <c r="G172" s="156">
        <f>($H$16*F821EO!U55+$I$16*F821EO!AB55)*$L172</f>
        <v>0</v>
      </c>
      <c r="H172" s="156">
        <f>($H$16*F821EO!V55+$I$16*F821EO!AC55)*$L172</f>
        <v>0</v>
      </c>
      <c r="I172" s="156">
        <f>($H$16*F821EO!W55+$I$16*F821EO!AD55)*$L172</f>
        <v>0</v>
      </c>
      <c r="J172" s="156">
        <f t="shared" si="41"/>
        <v>0</v>
      </c>
      <c r="K172" s="69"/>
      <c r="L172" s="319">
        <v>0.5</v>
      </c>
      <c r="N172" s="60"/>
      <c r="O172" s="60"/>
    </row>
    <row r="173" spans="2:15" s="37" customFormat="1" ht="15.75">
      <c r="B173" s="48"/>
      <c r="C173" s="160" t="str">
        <f>F801ENE!$C$56</f>
        <v xml:space="preserve">    - Cruz Roja</v>
      </c>
      <c r="D173" s="156">
        <f>($H$16*F821EO!R56+$I$16*F821EO!Y56)*$L173</f>
        <v>0</v>
      </c>
      <c r="E173" s="156">
        <f>($H$16*F821EO!S56+$I$16*F821EO!Z56)*$L173</f>
        <v>0</v>
      </c>
      <c r="F173" s="156">
        <f>($H$16*F821EO!T56+$I$16*F821EO!AA56)*$L173</f>
        <v>0</v>
      </c>
      <c r="G173" s="156">
        <f>($H$16*F821EO!U56+$I$16*F821EO!AB56)*$L173</f>
        <v>0</v>
      </c>
      <c r="H173" s="156">
        <f>($H$16*F821EO!V56+$I$16*F821EO!AC56)*$L173</f>
        <v>0</v>
      </c>
      <c r="I173" s="156">
        <f>($H$16*F821EO!W56+$I$16*F821EO!AD56)*$L173</f>
        <v>0</v>
      </c>
      <c r="J173" s="156">
        <f t="shared" si="41"/>
        <v>0</v>
      </c>
      <c r="K173" s="69"/>
      <c r="L173" s="319">
        <v>0</v>
      </c>
      <c r="N173" s="60"/>
      <c r="O173" s="60"/>
    </row>
    <row r="174" spans="2:15" s="37" customFormat="1" ht="15.75">
      <c r="B174" s="48" t="s">
        <v>751</v>
      </c>
      <c r="C174" s="158" t="s">
        <v>634</v>
      </c>
      <c r="D174" s="159">
        <f t="shared" ref="D174:I174" si="42">SUM(D175:D179)</f>
        <v>730423.18579353252</v>
      </c>
      <c r="E174" s="159">
        <f t="shared" si="42"/>
        <v>733558.31298575003</v>
      </c>
      <c r="F174" s="159">
        <f t="shared" si="42"/>
        <v>724616.40052238083</v>
      </c>
      <c r="G174" s="159">
        <f t="shared" si="42"/>
        <v>719182.6839863382</v>
      </c>
      <c r="H174" s="159">
        <f t="shared" si="42"/>
        <v>667703.0398614048</v>
      </c>
      <c r="I174" s="159">
        <f t="shared" si="42"/>
        <v>715918.11854429846</v>
      </c>
      <c r="J174" s="159">
        <f t="shared" si="41"/>
        <v>4291401.7416937044</v>
      </c>
      <c r="K174" s="69"/>
      <c r="L174" s="319"/>
      <c r="M174" s="69"/>
      <c r="N174" s="60"/>
      <c r="O174" s="60"/>
    </row>
    <row r="175" spans="2:15" s="37" customFormat="1" ht="15.75">
      <c r="B175" s="48"/>
      <c r="C175" s="160" t="s">
        <v>304</v>
      </c>
      <c r="D175" s="156">
        <f>(($E$18+$F$18)*(F821EO!R66+F821EO!Y66)*$L175)</f>
        <v>536404.65057995147</v>
      </c>
      <c r="E175" s="156">
        <f>(($E$18+$F$18)*(F821EO!S66+F821EO!Z66)*$L175)</f>
        <v>538715.54422082868</v>
      </c>
      <c r="F175" s="156">
        <f>(($E$18+$F$18)*(F821EO!T66+F821EO!AA66)*$L175)</f>
        <v>532117.022558255</v>
      </c>
      <c r="G175" s="156">
        <f>(($E$18+$F$18)*(F821EO!U66+F821EO!AB66)*$L175)</f>
        <v>528105.19527549599</v>
      </c>
      <c r="H175" s="156">
        <f>(($E$18+$F$18)*(F821EO!V66+F821EO!AC66)*$L175)</f>
        <v>490112.82523563551</v>
      </c>
      <c r="I175" s="156">
        <f>(($E$18+$F$18)*(F821EO!W66+F821EO!AD66)*$L175)</f>
        <v>525697.71789584134</v>
      </c>
      <c r="J175" s="156">
        <f t="shared" si="41"/>
        <v>3151152.9557660078</v>
      </c>
      <c r="K175" s="69"/>
      <c r="L175" s="319">
        <v>1</v>
      </c>
      <c r="M175" s="329"/>
      <c r="N175" s="60"/>
      <c r="O175" s="60"/>
    </row>
    <row r="176" spans="2:15" s="37" customFormat="1" ht="15.75">
      <c r="B176" s="48"/>
      <c r="C176" s="162" t="s">
        <v>644</v>
      </c>
      <c r="D176" s="156">
        <f>(($E$18+$F$18)*(F821EO!R67+F821EO!Y67)*$L176)</f>
        <v>194005.89584046204</v>
      </c>
      <c r="E176" s="156">
        <f>(($E$18+$F$18)*(F821EO!S67+F821EO!Z67)*$L176)</f>
        <v>194830.07436917312</v>
      </c>
      <c r="F176" s="156">
        <f>(($E$18+$F$18)*(F821EO!T67+F821EO!AA67)*$L176)</f>
        <v>192486.83794319737</v>
      </c>
      <c r="G176" s="156">
        <f>(($E$18+$F$18)*(F821EO!U67+F821EO!AB67)*$L176)</f>
        <v>191065.0418147094</v>
      </c>
      <c r="H176" s="156">
        <f>(($E$18+$F$18)*(F821EO!V67+F821EO!AC67)*$L176)</f>
        <v>177578.65520719183</v>
      </c>
      <c r="I176" s="156">
        <f>(($E$18+$F$18)*(F821EO!W67+F821EO!AD67)*$L176)</f>
        <v>190208.0106420049</v>
      </c>
      <c r="J176" s="156">
        <f t="shared" si="41"/>
        <v>1140174.5158167388</v>
      </c>
      <c r="K176" s="69"/>
      <c r="L176" s="319">
        <v>0.75</v>
      </c>
      <c r="M176" s="329"/>
      <c r="N176" s="60"/>
      <c r="O176" s="60"/>
    </row>
    <row r="177" spans="2:15" s="37" customFormat="1" ht="15.75">
      <c r="B177" s="48"/>
      <c r="C177" s="160" t="s">
        <v>305</v>
      </c>
      <c r="D177" s="156">
        <f>(($E$18+$F$18)*(F821EO!R68+F821EO!Y68)*$L177)</f>
        <v>12.639373119043865</v>
      </c>
      <c r="E177" s="156">
        <f>(($E$18+$F$18)*(F821EO!S68+F821EO!Z68)*$L177)</f>
        <v>12.694395748221922</v>
      </c>
      <c r="F177" s="156">
        <f>(($E$18+$F$18)*(F821EO!T68+F821EO!AA68)*$L177)</f>
        <v>12.540020928519384</v>
      </c>
      <c r="G177" s="156">
        <f>(($E$18+$F$18)*(F821EO!U68+F821EO!AB68)*$L177)</f>
        <v>12.446896132773267</v>
      </c>
      <c r="H177" s="156">
        <f>(($E$18+$F$18)*(F821EO!V68+F821EO!AC68)*$L177)</f>
        <v>11.559418577451503</v>
      </c>
      <c r="I177" s="156">
        <f>(($E$18+$F$18)*(F821EO!W68+F821EO!AD68)*$L177)</f>
        <v>12.390006452222048</v>
      </c>
      <c r="J177" s="156">
        <f t="shared" si="41"/>
        <v>74.270110958231996</v>
      </c>
      <c r="K177" s="69"/>
      <c r="L177" s="319">
        <v>0.95</v>
      </c>
      <c r="M177" s="329"/>
      <c r="N177" s="60"/>
      <c r="O177" s="60"/>
    </row>
    <row r="178" spans="2:15" s="37" customFormat="1" ht="15.75">
      <c r="B178" s="48"/>
      <c r="C178" s="160" t="s">
        <v>307</v>
      </c>
      <c r="D178" s="156">
        <f>(($E$18+$F$18)*(F821EO!R69+F821EO!Y69)*$L178)</f>
        <v>0</v>
      </c>
      <c r="E178" s="156">
        <f>(($E$18+$F$18)*(F821EO!S69+F821EO!Z69)*$L178)</f>
        <v>0</v>
      </c>
      <c r="F178" s="156">
        <f>(($E$18+$F$18)*(F821EO!T69+F821EO!AA69)*$L178)</f>
        <v>0</v>
      </c>
      <c r="G178" s="156">
        <f>(($E$18+$F$18)*(F821EO!U69+F821EO!AB69)*$L178)</f>
        <v>0</v>
      </c>
      <c r="H178" s="156">
        <f>(($E$18+$F$18)*(F821EO!V69+F821EO!AC69)*$L178)</f>
        <v>0</v>
      </c>
      <c r="I178" s="156">
        <f>(($E$18+$F$18)*(F821EO!W69+F821EO!AD69)*$L178)</f>
        <v>0</v>
      </c>
      <c r="J178" s="156">
        <f t="shared" si="41"/>
        <v>0</v>
      </c>
      <c r="K178" s="69"/>
      <c r="L178" s="319">
        <v>0.5</v>
      </c>
      <c r="M178" s="329"/>
      <c r="N178" s="60"/>
      <c r="O178" s="60"/>
    </row>
    <row r="179" spans="2:15" s="37" customFormat="1" ht="15.75">
      <c r="B179" s="48"/>
      <c r="C179" s="160" t="s">
        <v>624</v>
      </c>
      <c r="D179" s="156">
        <f>(($E$18+$F$18)*(F821EO!R70+F821EO!Y70)*$L179)</f>
        <v>0</v>
      </c>
      <c r="E179" s="156">
        <f>(($E$18+$F$18)*(F821EO!S70+F821EO!Z70)*$L179)</f>
        <v>0</v>
      </c>
      <c r="F179" s="156">
        <f>(($E$18+$F$18)*(F821EO!T70+F821EO!AA70)*$L179)</f>
        <v>0</v>
      </c>
      <c r="G179" s="156">
        <f>(($E$18+$F$18)*(F821EO!U70+F821EO!AB70)*$L179)</f>
        <v>0</v>
      </c>
      <c r="H179" s="156">
        <f>(($E$18+$F$18)*(F821EO!V70+F821EO!AC70)*$L179)</f>
        <v>0</v>
      </c>
      <c r="I179" s="156">
        <f>(($E$18+$F$18)*(F821EO!W70+F821EO!AD70)*$L179)</f>
        <v>0</v>
      </c>
      <c r="J179" s="156">
        <f t="shared" si="41"/>
        <v>0</v>
      </c>
      <c r="K179" s="69"/>
      <c r="L179" s="319">
        <v>0</v>
      </c>
      <c r="M179" s="329"/>
      <c r="N179" s="60"/>
      <c r="O179" s="60"/>
    </row>
    <row r="180" spans="2:15" s="37" customFormat="1" ht="15.75">
      <c r="B180" s="48" t="s">
        <v>750</v>
      </c>
      <c r="C180" s="158" t="s">
        <v>635</v>
      </c>
      <c r="D180" s="159">
        <f t="shared" ref="D180:I180" si="43">SUM(D181:D186)</f>
        <v>1180552.5209452859</v>
      </c>
      <c r="E180" s="159">
        <f t="shared" si="43"/>
        <v>1185368.9583168535</v>
      </c>
      <c r="F180" s="159">
        <f t="shared" si="43"/>
        <v>1171855.670021628</v>
      </c>
      <c r="G180" s="159">
        <f t="shared" si="43"/>
        <v>1163703.9376680222</v>
      </c>
      <c r="H180" s="159">
        <f t="shared" si="43"/>
        <v>1086018.0813624829</v>
      </c>
      <c r="I180" s="159">
        <f t="shared" si="43"/>
        <v>1158724.0668847351</v>
      </c>
      <c r="J180" s="159">
        <f t="shared" si="41"/>
        <v>6946223.2351990081</v>
      </c>
      <c r="K180" s="69"/>
      <c r="L180" s="319"/>
      <c r="M180" s="69"/>
      <c r="N180" s="60"/>
      <c r="O180" s="60"/>
    </row>
    <row r="181" spans="2:15" s="37" customFormat="1" ht="15.75">
      <c r="B181" s="48"/>
      <c r="C181" s="160" t="s">
        <v>304</v>
      </c>
      <c r="D181" s="156">
        <f>(($E$19+$F$19)*(F821EO!R72+F821EO!Y72)*$L181)</f>
        <v>745001.10855667456</v>
      </c>
      <c r="E181" s="156">
        <f>(($E$19+$F$19)*(F821EO!S72+F821EO!Z72)*$L181)</f>
        <v>748040.5761936066</v>
      </c>
      <c r="F181" s="156">
        <f>(($E$19+$F$19)*(F821EO!T72+F821EO!AA72)*$L181)</f>
        <v>739512.86177042476</v>
      </c>
      <c r="G181" s="156">
        <f>(($E$19+$F$19)*(F821EO!U72+F821EO!AB72)*$L181)</f>
        <v>734368.61826380715</v>
      </c>
      <c r="H181" s="156">
        <f>(($E$19+$F$19)*(F821EO!V72+F821EO!AC72)*$L181)</f>
        <v>685344.07421348465</v>
      </c>
      <c r="I181" s="156">
        <f>(($E$19+$F$19)*(F821EO!W72+F821EO!AD72)*$L181)</f>
        <v>731226.0141117723</v>
      </c>
      <c r="J181" s="330">
        <f t="shared" si="41"/>
        <v>4383493.2531097708</v>
      </c>
      <c r="K181" s="69"/>
      <c r="L181" s="319">
        <v>1</v>
      </c>
      <c r="M181" s="329"/>
      <c r="N181" s="60"/>
      <c r="O181" s="60"/>
    </row>
    <row r="182" spans="2:15" s="37" customFormat="1" ht="15.75">
      <c r="B182" s="48"/>
      <c r="C182" s="162" t="s">
        <v>642</v>
      </c>
      <c r="D182" s="156">
        <f>(($E$19+$F$19)*(F821EO!R73+F821EO!Y73)*$L182)</f>
        <v>316328.117673125</v>
      </c>
      <c r="E182" s="156">
        <f>(($E$19+$F$19)*(F821EO!S73+F821EO!Z73)*$L182)</f>
        <v>317618.67827132565</v>
      </c>
      <c r="F182" s="156">
        <f>(($E$19+$F$19)*(F821EO!T73+F821EO!AA73)*$L182)</f>
        <v>313997.80332153506</v>
      </c>
      <c r="G182" s="156">
        <f>(($E$19+$F$19)*(F821EO!U73+F821EO!AB73)*$L182)</f>
        <v>311813.55306121917</v>
      </c>
      <c r="H182" s="156">
        <f>(($E$19+$F$19)*(F821EO!V73+F821EO!AC73)*$L182)</f>
        <v>290997.68908315641</v>
      </c>
      <c r="I182" s="156">
        <f>(($E$19+$F$19)*(F821EO!W73+F821EO!AD73)*$L182)</f>
        <v>310479.20060913917</v>
      </c>
      <c r="J182" s="330">
        <f t="shared" si="41"/>
        <v>1861235.0420195004</v>
      </c>
      <c r="K182" s="69"/>
      <c r="L182" s="319">
        <v>0.75</v>
      </c>
      <c r="M182" s="329"/>
      <c r="N182" s="60"/>
      <c r="O182" s="60"/>
    </row>
    <row r="183" spans="2:15" s="37" customFormat="1" ht="15.75">
      <c r="B183" s="48"/>
      <c r="C183" s="162" t="s">
        <v>1177</v>
      </c>
      <c r="D183" s="156">
        <f>(($E$19+$F$19)*(F821EO!R74+F821EO!Y74)*$L183)</f>
        <v>119157.70557511192</v>
      </c>
      <c r="E183" s="156">
        <f>(($E$19+$F$19)*(F821EO!S74+F821EO!Z74)*$L183)</f>
        <v>119643.84711990546</v>
      </c>
      <c r="F183" s="156">
        <f>(($E$19+$F$19)*(F821EO!T74+F821EO!AA74)*$L183)</f>
        <v>118279.89896896275</v>
      </c>
      <c r="G183" s="156">
        <f>(($E$19+$F$19)*(F821EO!U74+F821EO!AB74)*$L183)</f>
        <v>117457.11327625987</v>
      </c>
      <c r="H183" s="156">
        <f>(($E$19+$F$19)*(F821EO!V74+F821EO!AC74)*$L183)</f>
        <v>109615.98107013505</v>
      </c>
      <c r="I183" s="156">
        <f>(($E$19+$F$19)*(F821EO!W74+F821EO!AD74)*$L183)</f>
        <v>116954.47576876305</v>
      </c>
      <c r="J183" s="330">
        <f t="shared" si="41"/>
        <v>701109.02177913813</v>
      </c>
      <c r="K183" s="69"/>
      <c r="L183" s="319">
        <v>1</v>
      </c>
      <c r="M183" s="329"/>
      <c r="N183" s="60"/>
      <c r="O183" s="60"/>
    </row>
    <row r="184" spans="2:15" s="37" customFormat="1" ht="15.75">
      <c r="B184" s="48"/>
      <c r="C184" s="160" t="s">
        <v>305</v>
      </c>
      <c r="D184" s="156">
        <f>(($E$19+$F$19)*(F821EO!R75+F821EO!Y75)*$L184)</f>
        <v>60.303022668500525</v>
      </c>
      <c r="E184" s="156">
        <f>(($E$19+$F$19)*(F821EO!S75+F821EO!Z75)*$L184)</f>
        <v>60.549047920953079</v>
      </c>
      <c r="F184" s="156">
        <f>(($E$19+$F$19)*(F821EO!T75+F821EO!AA75)*$L184)</f>
        <v>59.858784577361668</v>
      </c>
      <c r="G184" s="156">
        <f>(($E$19+$F$19)*(F821EO!U75+F821EO!AB75)*$L184)</f>
        <v>59.442391327433711</v>
      </c>
      <c r="H184" s="156">
        <f>(($E$19+$F$19)*(F821EO!V75+F821EO!AC75)*$L184)</f>
        <v>55.474171472154659</v>
      </c>
      <c r="I184" s="156">
        <f>(($E$19+$F$19)*(F821EO!W75+F821EO!AD75)*$L184)</f>
        <v>59.188017840949335</v>
      </c>
      <c r="J184" s="156">
        <f t="shared" si="41"/>
        <v>354.81543580735297</v>
      </c>
      <c r="K184" s="69"/>
      <c r="L184" s="319">
        <v>0.95</v>
      </c>
      <c r="M184" s="329"/>
      <c r="N184" s="60"/>
      <c r="O184" s="60"/>
    </row>
    <row r="185" spans="2:15" s="37" customFormat="1" ht="15.75">
      <c r="B185" s="48"/>
      <c r="C185" s="160" t="s">
        <v>307</v>
      </c>
      <c r="D185" s="156">
        <f>(($E$19+$F$19)*(F821EO!R76+F821EO!Y76)*$L185)</f>
        <v>5.2861177059600282</v>
      </c>
      <c r="E185" s="156">
        <f>(($E$19+$F$19)*(F821EO!S76+F821EO!Z76)*$L185)</f>
        <v>5.3076840949327995</v>
      </c>
      <c r="F185" s="156">
        <f>(($E$19+$F$19)*(F821EO!T76+F821EO!AA76)*$L185)</f>
        <v>5.247176128319051</v>
      </c>
      <c r="G185" s="156">
        <f>(($E$19+$F$19)*(F821EO!U76+F821EO!AB76)*$L185)</f>
        <v>5.2106754085593421</v>
      </c>
      <c r="H185" s="156">
        <f>(($E$19+$F$19)*(F821EO!V76+F821EO!AC76)*$L185)</f>
        <v>4.8628242344408363</v>
      </c>
      <c r="I185" s="156">
        <f>(($E$19+$F$19)*(F821EO!W76+F821EO!AD76)*$L185)</f>
        <v>5.188377219657208</v>
      </c>
      <c r="J185" s="156">
        <f t="shared" si="41"/>
        <v>31.102854791869266</v>
      </c>
      <c r="K185" s="69"/>
      <c r="L185" s="319">
        <v>0.5</v>
      </c>
      <c r="M185" s="329"/>
      <c r="N185" s="60"/>
      <c r="O185" s="60"/>
    </row>
    <row r="186" spans="2:15" s="37" customFormat="1" ht="15.75">
      <c r="B186" s="48"/>
      <c r="C186" s="160" t="s">
        <v>624</v>
      </c>
      <c r="D186" s="156">
        <f>(($E$19+$F$19)*(F821EO!R77+F821EO!Y77)*$L186)</f>
        <v>0</v>
      </c>
      <c r="E186" s="156">
        <f>(($E$19+$F$19)*(F821EO!S77+F821EO!Z77)*$L186)</f>
        <v>0</v>
      </c>
      <c r="F186" s="156">
        <f>(($E$19+$F$19)*(F821EO!T77+F821EO!AA77)*$L186)</f>
        <v>0</v>
      </c>
      <c r="G186" s="156">
        <f>(($E$19+$F$19)*(F821EO!U77+F821EO!AB77)*$L186)</f>
        <v>0</v>
      </c>
      <c r="H186" s="156">
        <f>(($E$19+$F$19)*(F821EO!V77+F821EO!AC77)*$L186)</f>
        <v>0</v>
      </c>
      <c r="I186" s="156">
        <f>(($E$19+$F$19)*(F821EO!W77+F821EO!AD77)*$L186)</f>
        <v>0</v>
      </c>
      <c r="J186" s="156"/>
      <c r="K186" s="69"/>
      <c r="L186" s="319">
        <v>0</v>
      </c>
      <c r="M186" s="329"/>
      <c r="N186" s="60"/>
      <c r="O186" s="60"/>
    </row>
    <row r="187" spans="2:15" s="37" customFormat="1" ht="15.75">
      <c r="B187" s="48" t="s">
        <v>749</v>
      </c>
      <c r="C187" s="158" t="s">
        <v>636</v>
      </c>
      <c r="D187" s="159">
        <f t="shared" ref="D187:I187" si="44">SUM(D188:D193)</f>
        <v>1676990.8914032576</v>
      </c>
      <c r="E187" s="159">
        <f t="shared" si="44"/>
        <v>1683832.7061110572</v>
      </c>
      <c r="F187" s="159">
        <f t="shared" si="44"/>
        <v>1664636.8965372029</v>
      </c>
      <c r="G187" s="159">
        <f t="shared" si="44"/>
        <v>1653057.2500042319</v>
      </c>
      <c r="H187" s="159">
        <f t="shared" si="44"/>
        <v>1542703.4359181495</v>
      </c>
      <c r="I187" s="159">
        <f t="shared" si="44"/>
        <v>1645983.275915175</v>
      </c>
      <c r="J187" s="159">
        <f t="shared" ref="J187:J193" si="45">SUM(D187:I187)</f>
        <v>9867204.4558890741</v>
      </c>
      <c r="K187" s="69"/>
      <c r="L187" s="319"/>
      <c r="M187" s="69"/>
      <c r="N187" s="60"/>
      <c r="O187" s="60"/>
    </row>
    <row r="188" spans="2:15" s="37" customFormat="1" ht="15.75">
      <c r="B188" s="48"/>
      <c r="C188" s="160" t="s">
        <v>304</v>
      </c>
      <c r="D188" s="156">
        <f>(($E$20+$F$20)*(F821EO!R79+F821EO!Y79)*$L188)</f>
        <v>1459954.8199762674</v>
      </c>
      <c r="E188" s="156">
        <f>(($E$20+$F$20)*(F821EO!S79+F821EO!Z79)*$L188)</f>
        <v>1465911.1673907</v>
      </c>
      <c r="F188" s="156">
        <f>(($E$20+$F$20)*(F821EO!T79+F821EO!AA79)*$L188)</f>
        <v>1449199.678464696</v>
      </c>
      <c r="G188" s="156">
        <f>(($E$20+$F$20)*(F821EO!U79+F821EO!AB79)*$L188)</f>
        <v>1439118.669166377</v>
      </c>
      <c r="H188" s="156">
        <f>(($E$20+$F$20)*(F821EO!V79+F821EO!AC79)*$L188)</f>
        <v>1343046.8397941093</v>
      </c>
      <c r="I188" s="156">
        <f>(($E$20+$F$20)*(F821EO!W79+F821EO!AD79)*$L188)</f>
        <v>1432960.2084253863</v>
      </c>
      <c r="J188" s="330">
        <f t="shared" si="45"/>
        <v>8590191.3832175359</v>
      </c>
      <c r="K188" s="69"/>
      <c r="L188" s="319">
        <v>1</v>
      </c>
      <c r="M188" s="329"/>
      <c r="N188" s="60"/>
      <c r="O188" s="60"/>
    </row>
    <row r="189" spans="2:15" s="37" customFormat="1" ht="15.75">
      <c r="B189" s="48"/>
      <c r="C189" s="162" t="s">
        <v>642</v>
      </c>
      <c r="D189" s="156">
        <f>(($E$20+$F$20)*(F821EO!R80+F821EO!Y80)*$L189)</f>
        <v>216514.23760704778</v>
      </c>
      <c r="E189" s="156">
        <f>(($E$20+$F$20)*(F821EO!S80+F821EO!Z80)*$L189)</f>
        <v>217397.57591431099</v>
      </c>
      <c r="F189" s="156">
        <f>(($E$20+$F$20)*(F821EO!T80+F821EO!AA80)*$L189)</f>
        <v>214919.22847877105</v>
      </c>
      <c r="G189" s="156">
        <f>(($E$20+$F$20)*(F821EO!U80+F821EO!AB80)*$L189)</f>
        <v>213424.19451424701</v>
      </c>
      <c r="H189" s="156">
        <f>(($E$20+$F$20)*(F821EO!V80+F821EO!AC80)*$L189)</f>
        <v>199176.54889711132</v>
      </c>
      <c r="I189" s="156">
        <f>(($E$20+$F$20)*(F821EO!W80+F821EO!AD80)*$L189)</f>
        <v>212510.88239395124</v>
      </c>
      <c r="J189" s="330">
        <f t="shared" si="45"/>
        <v>1273942.6678054396</v>
      </c>
      <c r="K189" s="69"/>
      <c r="L189" s="319">
        <v>0.75</v>
      </c>
      <c r="M189" s="329"/>
      <c r="N189" s="60"/>
      <c r="O189" s="60"/>
    </row>
    <row r="190" spans="2:15" s="37" customFormat="1" ht="15.75">
      <c r="B190" s="48"/>
      <c r="C190" s="162" t="s">
        <v>1177</v>
      </c>
      <c r="D190" s="156">
        <f>(($E$20+$F$20)*(F821EO!R81+F821EO!Y81)*$L190)</f>
        <v>0</v>
      </c>
      <c r="E190" s="156">
        <f>(($E$20+$F$20)*(F821EO!S81+F821EO!Z81)*$L190)</f>
        <v>0</v>
      </c>
      <c r="F190" s="156">
        <f>(($E$20+$F$20)*(F821EO!T81+F821EO!AA81)*$L190)</f>
        <v>0</v>
      </c>
      <c r="G190" s="156">
        <f>(($E$20+$F$20)*(F821EO!U81+F821EO!AB81)*$L190)</f>
        <v>0</v>
      </c>
      <c r="H190" s="156">
        <f>(($E$20+$F$20)*(F821EO!V81+F821EO!AC81)*$L190)</f>
        <v>0</v>
      </c>
      <c r="I190" s="156">
        <f>(($E$20+$F$20)*(F821EO!W81+F821EO!AD81)*$L190)</f>
        <v>0</v>
      </c>
      <c r="J190" s="330">
        <f t="shared" si="45"/>
        <v>0</v>
      </c>
      <c r="K190" s="69"/>
      <c r="L190" s="319">
        <v>1</v>
      </c>
      <c r="M190" s="329"/>
      <c r="N190" s="60"/>
      <c r="O190" s="60"/>
    </row>
    <row r="191" spans="2:15" s="37" customFormat="1" ht="15.75">
      <c r="B191" s="48"/>
      <c r="C191" s="160" t="s">
        <v>305</v>
      </c>
      <c r="D191" s="156">
        <f>(($E$20+$F$20)*(F821EO!R82+F821EO!Y82)*$L191)</f>
        <v>493.57279142078778</v>
      </c>
      <c r="E191" s="156">
        <f>(($E$20+$F$20)*(F821EO!S82+F821EO!Z82)*$L191)</f>
        <v>495.58647772106741</v>
      </c>
      <c r="F191" s="156">
        <f>(($E$20+$F$20)*(F821EO!T82+F821EO!AA82)*$L191)</f>
        <v>489.93675752072625</v>
      </c>
      <c r="G191" s="156">
        <f>(($E$20+$F$20)*(F821EO!U82+F821EO!AB82)*$L191)</f>
        <v>486.52863020635419</v>
      </c>
      <c r="H191" s="156">
        <f>(($E$20+$F$20)*(F821EO!V82+F821EO!AC82)*$L191)</f>
        <v>454.04924087775657</v>
      </c>
      <c r="I191" s="156">
        <f>(($E$20+$F$20)*(F821EO!W82+F821EO!AD82)*$L191)</f>
        <v>484.44661464176596</v>
      </c>
      <c r="J191" s="156">
        <f t="shared" si="45"/>
        <v>2904.1205123884579</v>
      </c>
      <c r="K191" s="69"/>
      <c r="L191" s="319">
        <v>0.95</v>
      </c>
      <c r="M191" s="329"/>
      <c r="N191" s="60"/>
      <c r="O191" s="60"/>
    </row>
    <row r="192" spans="2:15" s="37" customFormat="1" ht="15.75">
      <c r="B192" s="48"/>
      <c r="C192" s="160" t="s">
        <v>307</v>
      </c>
      <c r="D192" s="156">
        <f>(($E$20+$F$20)*(F821EO!R83+F821EO!Y83)*$L192)</f>
        <v>28.26102852139331</v>
      </c>
      <c r="E192" s="156">
        <f>(($E$20+$F$20)*(F821EO!S83+F821EO!Z83)*$L192)</f>
        <v>28.376328325099117</v>
      </c>
      <c r="F192" s="156">
        <f>(($E$20+$F$20)*(F821EO!T83+F821EO!AA83)*$L192)</f>
        <v>28.052836215130654</v>
      </c>
      <c r="G192" s="156">
        <f>(($E$20+$F$20)*(F821EO!U83+F821EO!AB83)*$L192)</f>
        <v>27.857693401527108</v>
      </c>
      <c r="H192" s="156">
        <f>(($E$20+$F$20)*(F821EO!V83+F821EO!AC83)*$L192)</f>
        <v>25.997986051106345</v>
      </c>
      <c r="I192" s="156">
        <f>(($E$20+$F$20)*(F821EO!W83+F821EO!AD83)*$L192)</f>
        <v>27.738481195596069</v>
      </c>
      <c r="J192" s="156">
        <f t="shared" si="45"/>
        <v>166.28435370985261</v>
      </c>
      <c r="K192" s="69"/>
      <c r="L192" s="319">
        <v>0.5</v>
      </c>
      <c r="M192" s="329"/>
      <c r="N192" s="60"/>
      <c r="O192" s="60"/>
    </row>
    <row r="193" spans="2:15" s="37" customFormat="1" ht="15.75">
      <c r="B193" s="48"/>
      <c r="C193" s="160" t="s">
        <v>624</v>
      </c>
      <c r="D193" s="156">
        <f>(($E$20+$F$20)*(F821EO!R84+F821EO!Y84)*$L193)</f>
        <v>0</v>
      </c>
      <c r="E193" s="156">
        <f>(($E$20+$F$20)*(F821EO!S84+F821EO!Z84)*$L193)</f>
        <v>0</v>
      </c>
      <c r="F193" s="156">
        <f>(($E$20+$F$20)*(F821EO!T84+F821EO!AA84)*$L193)</f>
        <v>0</v>
      </c>
      <c r="G193" s="156">
        <f>(($E$20+$F$20)*(F821EO!U84+F821EO!AB84)*$L193)</f>
        <v>0</v>
      </c>
      <c r="H193" s="156">
        <f>(($E$20+$F$20)*(F821EO!V84+F821EO!AC84)*$L193)</f>
        <v>0</v>
      </c>
      <c r="I193" s="156">
        <f>(($E$20+$F$20)*(F821EO!W84+F821EO!AD84)*$L193)</f>
        <v>0</v>
      </c>
      <c r="J193" s="156">
        <f t="shared" si="45"/>
        <v>0</v>
      </c>
      <c r="K193" s="69"/>
      <c r="L193" s="319">
        <v>0</v>
      </c>
      <c r="M193" s="329"/>
      <c r="N193" s="60"/>
      <c r="O193" s="60"/>
    </row>
    <row r="194" spans="2:15" s="37" customFormat="1" ht="15.75">
      <c r="B194" s="48"/>
      <c r="C194" s="157"/>
      <c r="D194" s="156"/>
      <c r="E194" s="156"/>
      <c r="F194" s="156"/>
      <c r="G194" s="156"/>
      <c r="H194" s="156"/>
      <c r="I194" s="156"/>
      <c r="J194" s="156"/>
      <c r="K194" s="69"/>
      <c r="L194" s="319"/>
      <c r="M194" s="69"/>
      <c r="N194" s="60"/>
      <c r="O194" s="60"/>
    </row>
    <row r="195" spans="2:15" s="37" customFormat="1" ht="15.75">
      <c r="B195" s="48" t="s">
        <v>902</v>
      </c>
      <c r="C195" s="158" t="s">
        <v>898</v>
      </c>
      <c r="D195" s="159">
        <f t="shared" ref="D195:H195" si="46">SUM(D196:D200)</f>
        <v>167327.041315565</v>
      </c>
      <c r="E195" s="159">
        <f t="shared" si="46"/>
        <v>168009.70489957969</v>
      </c>
      <c r="F195" s="159">
        <f t="shared" si="46"/>
        <v>166094.38261720145</v>
      </c>
      <c r="G195" s="159">
        <f t="shared" si="46"/>
        <v>164938.98695955376</v>
      </c>
      <c r="H195" s="159">
        <f t="shared" si="46"/>
        <v>153928.08803125907</v>
      </c>
      <c r="I195" s="159">
        <f t="shared" ref="I195" si="47">SUM(I196:I200)</f>
        <v>164233.1589429958</v>
      </c>
      <c r="J195" s="159">
        <f t="shared" ref="J195:J214" si="48">SUM(D195:I195)</f>
        <v>984531.36276615481</v>
      </c>
      <c r="K195" s="69"/>
      <c r="L195" s="319"/>
      <c r="M195" s="69"/>
      <c r="N195" s="60"/>
      <c r="O195" s="60"/>
    </row>
    <row r="196" spans="2:15" s="37" customFormat="1" ht="15.75">
      <c r="B196" s="48"/>
      <c r="C196" s="160" t="s">
        <v>304</v>
      </c>
      <c r="D196" s="156">
        <f>(($E$17+$F$17)*(F821EO!R87+F821EO!Y87)*$L196)</f>
        <v>162702.5160195386</v>
      </c>
      <c r="E196" s="156">
        <f>(($E$17+$F$17)*(F821EO!S87+F821EO!Z87)*$L196)</f>
        <v>163366.31239005254</v>
      </c>
      <c r="F196" s="156">
        <f>(($E$17+$F$17)*(F821EO!T87+F821EO!AA87)*$L196)</f>
        <v>161503.92510416536</v>
      </c>
      <c r="G196" s="156">
        <f>(($E$17+$F$17)*(F821EO!U87+F821EO!AB87)*$L196)</f>
        <v>160380.46186104973</v>
      </c>
      <c r="H196" s="156">
        <f>(($E$17+$F$17)*(F821EO!V87+F821EO!AC87)*$L196)</f>
        <v>149673.87824381021</v>
      </c>
      <c r="I196" s="156">
        <f>(($E$17+$F$17)*(F821EO!W87+F821EO!AD87)*$L196)</f>
        <v>159694.14126834599</v>
      </c>
      <c r="J196" s="156">
        <f t="shared" si="48"/>
        <v>957321.23488696245</v>
      </c>
      <c r="K196" s="69"/>
      <c r="L196" s="319">
        <v>1</v>
      </c>
      <c r="M196" s="329"/>
      <c r="N196" s="60"/>
      <c r="O196" s="60"/>
    </row>
    <row r="197" spans="2:15" s="37" customFormat="1" ht="15.75">
      <c r="B197" s="48"/>
      <c r="C197" s="162" t="s">
        <v>644</v>
      </c>
      <c r="D197" s="156">
        <f>(($E$17+$F$17)*(F821EO!R88+F821EO!Y88)*$L197)</f>
        <v>4624.5252960263979</v>
      </c>
      <c r="E197" s="156">
        <f>(($E$17+$F$17)*(F821EO!S88+F821EO!Z88)*$L197)</f>
        <v>4643.3925095271625</v>
      </c>
      <c r="F197" s="156">
        <f>(($E$17+$F$17)*(F821EO!T88+F821EO!AA88)*$L197)</f>
        <v>4590.457513036089</v>
      </c>
      <c r="G197" s="156">
        <f>(($E$17+$F$17)*(F821EO!U88+F821EO!AB88)*$L197)</f>
        <v>4558.5250985040338</v>
      </c>
      <c r="H197" s="156">
        <f>(($E$17+$F$17)*(F821EO!V88+F821EO!AC88)*$L197)</f>
        <v>4254.2097874488563</v>
      </c>
      <c r="I197" s="156">
        <f>(($E$17+$F$17)*(F821EO!W88+F821EO!AD88)*$L197)</f>
        <v>4539.0176746498091</v>
      </c>
      <c r="J197" s="156">
        <f t="shared" si="48"/>
        <v>27210.127879192347</v>
      </c>
      <c r="K197" s="69"/>
      <c r="L197" s="319">
        <v>0.75</v>
      </c>
      <c r="M197" s="329"/>
      <c r="N197" s="60"/>
      <c r="O197" s="60"/>
    </row>
    <row r="198" spans="2:15" s="37" customFormat="1" ht="15.75">
      <c r="B198" s="48"/>
      <c r="C198" s="160" t="s">
        <v>305</v>
      </c>
      <c r="D198" s="156">
        <f>(($E$17+$F$17)*(F821EO!R89+F821EO!Y89)*$L198)</f>
        <v>0</v>
      </c>
      <c r="E198" s="156">
        <f>(($E$17+$F$17)*(F821EO!S89+F821EO!Z89)*$L198)</f>
        <v>0</v>
      </c>
      <c r="F198" s="156">
        <f>(($E$17+$F$17)*(F821EO!T89+F821EO!AA89)*$L198)</f>
        <v>0</v>
      </c>
      <c r="G198" s="156">
        <f>(($E$17+$F$17)*(F821EO!U89+F821EO!AB89)*$L198)</f>
        <v>0</v>
      </c>
      <c r="H198" s="156">
        <f>(($E$17+$F$17)*(F821EO!V89+F821EO!AC89)*$L198)</f>
        <v>0</v>
      </c>
      <c r="I198" s="156">
        <f>(($E$17+$F$17)*(F821EO!W89+F821EO!AD89)*$L198)</f>
        <v>0</v>
      </c>
      <c r="J198" s="156">
        <f t="shared" si="48"/>
        <v>0</v>
      </c>
      <c r="K198" s="69"/>
      <c r="L198" s="319">
        <v>0.95</v>
      </c>
      <c r="M198" s="329"/>
      <c r="N198" s="60"/>
      <c r="O198" s="60"/>
    </row>
    <row r="199" spans="2:15" s="37" customFormat="1" ht="15.75">
      <c r="B199" s="48"/>
      <c r="C199" s="160" t="s">
        <v>307</v>
      </c>
      <c r="D199" s="156">
        <f>(($E$17+$F$17)*(F821EO!R90+F821EO!Y90)*$L199)</f>
        <v>0</v>
      </c>
      <c r="E199" s="156">
        <f>(($E$17+$F$17)*(F821EO!S90+F821EO!Z90)*$L199)</f>
        <v>0</v>
      </c>
      <c r="F199" s="156">
        <f>(($E$17+$F$17)*(F821EO!T90+F821EO!AA90)*$L199)</f>
        <v>0</v>
      </c>
      <c r="G199" s="156">
        <f>(($E$17+$F$17)*(F821EO!U90+F821EO!AB90)*$L199)</f>
        <v>0</v>
      </c>
      <c r="H199" s="156">
        <f>(($E$17+$F$17)*(F821EO!V90+F821EO!AC90)*$L199)</f>
        <v>0</v>
      </c>
      <c r="I199" s="156">
        <f>(($E$17+$F$17)*(F821EO!W90+F821EO!AD90)*$L199)</f>
        <v>0</v>
      </c>
      <c r="J199" s="156">
        <f t="shared" si="48"/>
        <v>0</v>
      </c>
      <c r="K199" s="69"/>
      <c r="L199" s="319">
        <v>0.5</v>
      </c>
      <c r="M199" s="329"/>
      <c r="N199" s="60"/>
      <c r="O199" s="60"/>
    </row>
    <row r="200" spans="2:15" s="37" customFormat="1" ht="15.75">
      <c r="B200" s="48"/>
      <c r="C200" s="160" t="s">
        <v>624</v>
      </c>
      <c r="D200" s="156">
        <f>(($E$17+$F$17)*(F821EO!R91+F821EO!Y91)*$L200)</f>
        <v>0</v>
      </c>
      <c r="E200" s="156">
        <f>(($E$17+$F$17)*(F821EO!S91+F821EO!Z91)*$L200)</f>
        <v>0</v>
      </c>
      <c r="F200" s="156">
        <f>(($E$17+$F$17)*(F821EO!T91+F821EO!AA91)*$L200)</f>
        <v>0</v>
      </c>
      <c r="G200" s="156">
        <f>(($E$17+$F$17)*(F821EO!U91+F821EO!AB91)*$L200)</f>
        <v>0</v>
      </c>
      <c r="H200" s="156">
        <f>(($E$17+$F$17)*(F821EO!V91+F821EO!AC91)*$L200)</f>
        <v>0</v>
      </c>
      <c r="I200" s="156">
        <f>(($E$17+$F$17)*(F821EO!W91+F821EO!AD91)*$L200)</f>
        <v>0</v>
      </c>
      <c r="J200" s="156">
        <f t="shared" si="48"/>
        <v>0</v>
      </c>
      <c r="K200" s="69"/>
      <c r="L200" s="319">
        <v>0</v>
      </c>
      <c r="M200" s="329"/>
      <c r="N200" s="60"/>
      <c r="O200" s="60"/>
    </row>
    <row r="201" spans="2:15" s="37" customFormat="1" ht="15.75">
      <c r="B201" s="48" t="s">
        <v>902</v>
      </c>
      <c r="C201" s="158" t="s">
        <v>899</v>
      </c>
      <c r="D201" s="159">
        <f t="shared" ref="D201:I201" si="49">SUM(D202:D207)</f>
        <v>69914.050089532713</v>
      </c>
      <c r="E201" s="159">
        <f t="shared" si="49"/>
        <v>70199.286567939649</v>
      </c>
      <c r="F201" s="159">
        <f t="shared" si="49"/>
        <v>69399.009834812881</v>
      </c>
      <c r="G201" s="159">
        <f t="shared" si="49"/>
        <v>68916.252300543987</v>
      </c>
      <c r="H201" s="159">
        <f t="shared" si="49"/>
        <v>64315.582061286208</v>
      </c>
      <c r="I201" s="159">
        <f t="shared" si="49"/>
        <v>68621.337056024946</v>
      </c>
      <c r="J201" s="159">
        <f t="shared" si="48"/>
        <v>411365.51791014039</v>
      </c>
      <c r="K201" s="69"/>
      <c r="L201" s="319"/>
      <c r="M201" s="69"/>
      <c r="N201" s="60"/>
      <c r="O201" s="60"/>
    </row>
    <row r="202" spans="2:15" s="37" customFormat="1" ht="15.75">
      <c r="B202" s="48"/>
      <c r="C202" s="160" t="s">
        <v>304</v>
      </c>
      <c r="D202" s="156">
        <f>(($E$17+$F$17)*(F821EO!R93+F821EO!Y93)*$L202)</f>
        <v>64730.708735330823</v>
      </c>
      <c r="E202" s="156">
        <f>(($E$17+$F$17)*(F821EO!S93+F821EO!Z93)*$L202)</f>
        <v>64994.798133396114</v>
      </c>
      <c r="F202" s="156">
        <f>(($E$17+$F$17)*(F821EO!T93+F821EO!AA93)*$L202)</f>
        <v>64253.852929201079</v>
      </c>
      <c r="G202" s="156">
        <f>(($E$17+$F$17)*(F821EO!U93+F821EO!AB93)*$L202)</f>
        <v>63806.886442485906</v>
      </c>
      <c r="H202" s="156">
        <f>(($E$17+$F$17)*(F821EO!V93+F821EO!AC93)*$L202)</f>
        <v>59547.304214545635</v>
      </c>
      <c r="I202" s="156">
        <f>(($E$17+$F$17)*(F821EO!W93+F821EO!AD93)*$L202)</f>
        <v>63533.835850078183</v>
      </c>
      <c r="J202" s="156">
        <f t="shared" si="48"/>
        <v>380867.38630503777</v>
      </c>
      <c r="K202" s="69"/>
      <c r="L202" s="319">
        <v>1</v>
      </c>
      <c r="M202" s="329"/>
      <c r="N202" s="60"/>
      <c r="O202" s="60"/>
    </row>
    <row r="203" spans="2:15" s="37" customFormat="1" ht="15.75">
      <c r="B203" s="48"/>
      <c r="C203" s="162" t="s">
        <v>642</v>
      </c>
      <c r="D203" s="156">
        <f>(($E$17+$F$17)*(F821EO!R94+F821EO!Y94)*$L203)</f>
        <v>4250.0219799809283</v>
      </c>
      <c r="E203" s="156">
        <f>(($E$17+$F$17)*(F821EO!S94+F821EO!Z94)*$L203)</f>
        <v>4267.3612887632053</v>
      </c>
      <c r="F203" s="156">
        <f>(($E$17+$F$17)*(F821EO!T94+F821EO!AA94)*$L203)</f>
        <v>4218.7130742555255</v>
      </c>
      <c r="G203" s="156">
        <f>(($E$17+$F$17)*(F821EO!U94+F821EO!AB94)*$L203)</f>
        <v>4189.3666105759557</v>
      </c>
      <c r="H203" s="156">
        <f>(($E$17+$F$17)*(F821EO!V94+F821EO!AC94)*$L203)</f>
        <v>3909.6953626014783</v>
      </c>
      <c r="I203" s="156">
        <f>(($E$17+$F$17)*(F821EO!W94+F821EO!AD94)*$L203)</f>
        <v>4171.4389369562432</v>
      </c>
      <c r="J203" s="156">
        <f t="shared" si="48"/>
        <v>25006.597253133332</v>
      </c>
      <c r="K203" s="69"/>
      <c r="L203" s="319">
        <v>0.75</v>
      </c>
      <c r="M203" s="329"/>
      <c r="N203" s="60"/>
      <c r="O203" s="60"/>
    </row>
    <row r="204" spans="2:15" s="37" customFormat="1" ht="15.75">
      <c r="B204" s="48"/>
      <c r="C204" s="162" t="s">
        <v>1177</v>
      </c>
      <c r="D204" s="156">
        <f>(($E$17+$F$17)*(F821EO!R95+F821EO!Y95)*$L204)</f>
        <v>933.31937422095007</v>
      </c>
      <c r="E204" s="156">
        <f>(($E$17+$F$17)*(F821EO!S95+F821EO!Z95)*$L204)</f>
        <v>937.1271457803266</v>
      </c>
      <c r="F204" s="156">
        <f>(($E$17+$F$17)*(F821EO!T95+F821EO!AA95)*$L204)</f>
        <v>926.44383135627356</v>
      </c>
      <c r="G204" s="156">
        <f>(($E$17+$F$17)*(F821EO!U95+F821EO!AB95)*$L204)</f>
        <v>919.99924748211242</v>
      </c>
      <c r="H204" s="156">
        <f>(($E$17+$F$17)*(F821EO!V95+F821EO!AC95)*$L204)</f>
        <v>858.58248413909052</v>
      </c>
      <c r="I204" s="156">
        <f>(($E$17+$F$17)*(F821EO!W95+F821EO!AD95)*$L204)</f>
        <v>916.06226899051853</v>
      </c>
      <c r="J204" s="156">
        <f t="shared" si="48"/>
        <v>5491.5343519692715</v>
      </c>
      <c r="K204" s="69"/>
      <c r="L204" s="319">
        <v>1</v>
      </c>
      <c r="M204" s="329"/>
      <c r="N204" s="60"/>
      <c r="O204" s="60"/>
    </row>
    <row r="205" spans="2:15" s="37" customFormat="1" ht="15.75">
      <c r="B205" s="48"/>
      <c r="C205" s="160" t="s">
        <v>305</v>
      </c>
      <c r="D205" s="156">
        <f>(($E$17+$F$17)*(F821EO!R96+F821EO!Y96)*$L205)</f>
        <v>0</v>
      </c>
      <c r="E205" s="156">
        <f>(($E$17+$F$17)*(F821EO!S96+F821EO!Z96)*$L205)</f>
        <v>0</v>
      </c>
      <c r="F205" s="156">
        <f>(($E$17+$F$17)*(F821EO!T96+F821EO!AA96)*$L205)</f>
        <v>0</v>
      </c>
      <c r="G205" s="156">
        <f>(($E$17+$F$17)*(F821EO!U96+F821EO!AB96)*$L205)</f>
        <v>0</v>
      </c>
      <c r="H205" s="156">
        <f>(($E$17+$F$17)*(F821EO!V96+F821EO!AC96)*$L205)</f>
        <v>0</v>
      </c>
      <c r="I205" s="156">
        <f>(($E$17+$F$17)*(F821EO!W96+F821EO!AD96)*$L205)</f>
        <v>0</v>
      </c>
      <c r="J205" s="156">
        <f t="shared" si="48"/>
        <v>0</v>
      </c>
      <c r="K205" s="69"/>
      <c r="L205" s="319">
        <v>0.95</v>
      </c>
      <c r="M205" s="329"/>
      <c r="N205" s="60"/>
      <c r="O205" s="60"/>
    </row>
    <row r="206" spans="2:15" s="37" customFormat="1" ht="15.75">
      <c r="B206" s="48"/>
      <c r="C206" s="160" t="s">
        <v>307</v>
      </c>
      <c r="D206" s="156">
        <f>(($E$17+$F$17)*(F821EO!R97+F821EO!Y97)*$L206)</f>
        <v>0</v>
      </c>
      <c r="E206" s="156">
        <f>(($E$17+$F$17)*(F821EO!S97+F821EO!Z97)*$L206)</f>
        <v>0</v>
      </c>
      <c r="F206" s="156">
        <f>(($E$17+$F$17)*(F821EO!T97+F821EO!AA97)*$L206)</f>
        <v>0</v>
      </c>
      <c r="G206" s="156">
        <f>(($E$17+$F$17)*(F821EO!U97+F821EO!AB97)*$L206)</f>
        <v>0</v>
      </c>
      <c r="H206" s="156">
        <f>(($E$17+$F$17)*(F821EO!V97+F821EO!AC97)*$L206)</f>
        <v>0</v>
      </c>
      <c r="I206" s="156">
        <f>(($E$17+$F$17)*(F821EO!W97+F821EO!AD97)*$L206)</f>
        <v>0</v>
      </c>
      <c r="J206" s="156">
        <f t="shared" si="48"/>
        <v>0</v>
      </c>
      <c r="K206" s="69"/>
      <c r="L206" s="319">
        <v>0.5</v>
      </c>
      <c r="M206" s="329"/>
      <c r="N206" s="60"/>
      <c r="O206" s="60"/>
    </row>
    <row r="207" spans="2:15" s="37" customFormat="1" ht="15.75">
      <c r="B207" s="48"/>
      <c r="C207" s="160" t="s">
        <v>624</v>
      </c>
      <c r="D207" s="156">
        <f>(($E$17+$F$17)*(F821EO!R98+F821EO!Y98)*$L207)</f>
        <v>0</v>
      </c>
      <c r="E207" s="156">
        <f>(($E$17+$F$17)*(F821EO!S98+F821EO!Z98)*$L207)</f>
        <v>0</v>
      </c>
      <c r="F207" s="156">
        <f>(($E$17+$F$17)*(F821EO!T98+F821EO!AA98)*$L207)</f>
        <v>0</v>
      </c>
      <c r="G207" s="156">
        <f>(($E$17+$F$17)*(F821EO!U98+F821EO!AB98)*$L207)</f>
        <v>0</v>
      </c>
      <c r="H207" s="156">
        <f>(($E$17+$F$17)*(F821EO!V98+F821EO!AC98)*$L207)</f>
        <v>0</v>
      </c>
      <c r="I207" s="156">
        <f>(($E$17+$F$17)*(F821EO!W98+F821EO!AD98)*$L207)</f>
        <v>0</v>
      </c>
      <c r="J207" s="156">
        <f t="shared" si="48"/>
        <v>0</v>
      </c>
      <c r="K207" s="69"/>
      <c r="L207" s="319">
        <v>0</v>
      </c>
      <c r="M207" s="329"/>
      <c r="N207" s="60"/>
      <c r="O207" s="60"/>
    </row>
    <row r="208" spans="2:15" s="37" customFormat="1" ht="15.75">
      <c r="B208" s="48" t="s">
        <v>902</v>
      </c>
      <c r="C208" s="158" t="s">
        <v>900</v>
      </c>
      <c r="D208" s="159">
        <f t="shared" ref="D208:I208" si="50">SUM(D209:D214)</f>
        <v>8391.3918653998553</v>
      </c>
      <c r="E208" s="159">
        <f t="shared" si="50"/>
        <v>8425.627202382253</v>
      </c>
      <c r="F208" s="159">
        <f t="shared" si="50"/>
        <v>8329.5744682060904</v>
      </c>
      <c r="G208" s="159">
        <f t="shared" si="50"/>
        <v>8271.6317851425756</v>
      </c>
      <c r="H208" s="159">
        <f t="shared" si="50"/>
        <v>7719.4391032473686</v>
      </c>
      <c r="I208" s="159">
        <f t="shared" si="50"/>
        <v>8236.234760071502</v>
      </c>
      <c r="J208" s="159">
        <f t="shared" si="48"/>
        <v>49373.899184449649</v>
      </c>
      <c r="K208" s="69"/>
      <c r="L208" s="319"/>
      <c r="M208" s="69"/>
      <c r="N208" s="60"/>
      <c r="O208" s="60"/>
    </row>
    <row r="209" spans="2:15" s="37" customFormat="1" ht="15.75">
      <c r="B209" s="48"/>
      <c r="C209" s="160" t="s">
        <v>304</v>
      </c>
      <c r="D209" s="156">
        <f>(($E$17+$F$17)*(F821EO!R100+F821EO!Y100)*$L209)</f>
        <v>7887.8912042225093</v>
      </c>
      <c r="E209" s="156">
        <f>(($E$17+$F$17)*(F821EO!S100+F821EO!Z100)*$L209)</f>
        <v>7920.0723510201606</v>
      </c>
      <c r="F209" s="156">
        <f>(($E$17+$F$17)*(F821EO!T100+F821EO!AA100)*$L209)</f>
        <v>7829.78297719486</v>
      </c>
      <c r="G209" s="156">
        <f>(($E$17+$F$17)*(F821EO!U100+F821EO!AB100)*$L209)</f>
        <v>7775.3169735310003</v>
      </c>
      <c r="H209" s="156">
        <f>(($E$17+$F$17)*(F821EO!V100+F821EO!AC100)*$L209)</f>
        <v>7256.2569810502782</v>
      </c>
      <c r="I209" s="156">
        <f>(($E$17+$F$17)*(F821EO!W100+F821EO!AD100)*$L209)</f>
        <v>7742.0438423041032</v>
      </c>
      <c r="J209" s="156">
        <f t="shared" si="48"/>
        <v>46411.364329322911</v>
      </c>
      <c r="K209" s="69"/>
      <c r="L209" s="319">
        <v>1</v>
      </c>
      <c r="M209" s="329"/>
      <c r="N209" s="60"/>
      <c r="O209" s="60"/>
    </row>
    <row r="210" spans="2:15" s="37" customFormat="1" ht="15.75">
      <c r="B210" s="48"/>
      <c r="C210" s="162" t="s">
        <v>642</v>
      </c>
      <c r="D210" s="156">
        <f>(($E$17+$F$17)*(F821EO!R101+F821EO!Y101)*$L210)</f>
        <v>503.50066117734525</v>
      </c>
      <c r="E210" s="156">
        <f>(($E$17+$F$17)*(F821EO!S101+F821EO!Z101)*$L210)</f>
        <v>505.55485136209182</v>
      </c>
      <c r="F210" s="156">
        <f>(($E$17+$F$17)*(F821EO!T101+F821EO!AA101)*$L210)</f>
        <v>499.79149101123005</v>
      </c>
      <c r="G210" s="156">
        <f>(($E$17+$F$17)*(F821EO!U101+F821EO!AB101)*$L210)</f>
        <v>496.3148116115749</v>
      </c>
      <c r="H210" s="156">
        <f>(($E$17+$F$17)*(F821EO!V101+F821EO!AC101)*$L210)</f>
        <v>463.18212219708994</v>
      </c>
      <c r="I210" s="156">
        <f>(($E$17+$F$17)*(F821EO!W101+F821EO!AD101)*$L210)</f>
        <v>494.19091776739833</v>
      </c>
      <c r="J210" s="156">
        <f t="shared" si="48"/>
        <v>2962.5348551267302</v>
      </c>
      <c r="K210" s="69"/>
      <c r="L210" s="319">
        <v>0.75</v>
      </c>
      <c r="M210" s="329"/>
      <c r="N210" s="60"/>
      <c r="O210" s="60"/>
    </row>
    <row r="211" spans="2:15" s="37" customFormat="1" ht="15.75">
      <c r="B211" s="48"/>
      <c r="C211" s="162" t="s">
        <v>1177</v>
      </c>
      <c r="D211" s="156">
        <f>(($E$17+$F$17)*(F821EO!R102+F821EO!Y102)*$L211)</f>
        <v>0</v>
      </c>
      <c r="E211" s="156">
        <f>(($E$17+$F$17)*(F821EO!S102+F821EO!Z102)*$L211)</f>
        <v>0</v>
      </c>
      <c r="F211" s="156">
        <f>(($E$17+$F$17)*(F821EO!T102+F821EO!AA102)*$L211)</f>
        <v>0</v>
      </c>
      <c r="G211" s="156">
        <f>(($E$17+$F$17)*(F821EO!U102+F821EO!AB102)*$L211)</f>
        <v>0</v>
      </c>
      <c r="H211" s="156">
        <f>(($E$17+$F$17)*(F821EO!V102+F821EO!AC102)*$L211)</f>
        <v>0</v>
      </c>
      <c r="I211" s="156">
        <f>(($E$17+$F$17)*(F821EO!W102+F821EO!AD102)*$L211)</f>
        <v>0</v>
      </c>
      <c r="J211" s="156">
        <f t="shared" si="48"/>
        <v>0</v>
      </c>
      <c r="K211" s="69"/>
      <c r="L211" s="319">
        <v>1</v>
      </c>
      <c r="M211" s="329"/>
      <c r="N211" s="60"/>
      <c r="O211" s="60"/>
    </row>
    <row r="212" spans="2:15" s="37" customFormat="1" ht="15.75">
      <c r="B212" s="48"/>
      <c r="C212" s="160" t="s">
        <v>305</v>
      </c>
      <c r="D212" s="156">
        <f>(($E$17+$F$17)*(F821EO!R103+F821EO!Y103)*$L212)</f>
        <v>0</v>
      </c>
      <c r="E212" s="156">
        <f>(($E$17+$F$17)*(F821EO!S103+F821EO!Z103)*$L212)</f>
        <v>0</v>
      </c>
      <c r="F212" s="156">
        <f>(($E$17+$F$17)*(F821EO!T103+F821EO!AA103)*$L212)</f>
        <v>0</v>
      </c>
      <c r="G212" s="156">
        <f>(($E$17+$F$17)*(F821EO!U103+F821EO!AB103)*$L212)</f>
        <v>0</v>
      </c>
      <c r="H212" s="156">
        <f>(($E$17+$F$17)*(F821EO!V103+F821EO!AC103)*$L212)</f>
        <v>0</v>
      </c>
      <c r="I212" s="156">
        <f>(($E$17+$F$17)*(F821EO!W103+F821EO!AD103)*$L212)</f>
        <v>0</v>
      </c>
      <c r="J212" s="156">
        <f t="shared" si="48"/>
        <v>0</v>
      </c>
      <c r="K212" s="69"/>
      <c r="L212" s="319">
        <v>0.95</v>
      </c>
      <c r="M212" s="329"/>
      <c r="N212" s="60"/>
      <c r="O212" s="60"/>
    </row>
    <row r="213" spans="2:15" s="37" customFormat="1" ht="15.75">
      <c r="B213" s="48"/>
      <c r="C213" s="160" t="s">
        <v>307</v>
      </c>
      <c r="D213" s="156">
        <f>(($E$17+$F$17)*(F821EO!R104+F821EO!Y104)*$L213)</f>
        <v>0</v>
      </c>
      <c r="E213" s="156">
        <f>(($E$17+$F$17)*(F821EO!S104+F821EO!Z104)*$L213)</f>
        <v>0</v>
      </c>
      <c r="F213" s="156">
        <f>(($E$17+$F$17)*(F821EO!T104+F821EO!AA104)*$L213)</f>
        <v>0</v>
      </c>
      <c r="G213" s="156">
        <f>(($E$17+$F$17)*(F821EO!U104+F821EO!AB104)*$L213)</f>
        <v>0</v>
      </c>
      <c r="H213" s="156">
        <f>(($E$17+$F$17)*(F821EO!V104+F821EO!AC104)*$L213)</f>
        <v>0</v>
      </c>
      <c r="I213" s="156">
        <f>(($E$17+$F$17)*(F821EO!W104+F821EO!AD104)*$L213)</f>
        <v>0</v>
      </c>
      <c r="J213" s="156">
        <f t="shared" si="48"/>
        <v>0</v>
      </c>
      <c r="K213" s="69"/>
      <c r="L213" s="319">
        <v>0.5</v>
      </c>
      <c r="M213" s="329"/>
      <c r="N213" s="60"/>
      <c r="O213" s="60"/>
    </row>
    <row r="214" spans="2:15" s="37" customFormat="1" ht="15.75">
      <c r="B214" s="48"/>
      <c r="C214" s="160" t="s">
        <v>624</v>
      </c>
      <c r="D214" s="156">
        <f>(($E$17+$F$17)*(F821EO!R105+F821EO!Y105)*$L214)</f>
        <v>0</v>
      </c>
      <c r="E214" s="156">
        <f>(($E$17+$F$17)*(F821EO!S105+F821EO!Z105)*$L214)</f>
        <v>0</v>
      </c>
      <c r="F214" s="156">
        <f>(($E$17+$F$17)*(F821EO!T105+F821EO!AA105)*$L214)</f>
        <v>0</v>
      </c>
      <c r="G214" s="156">
        <f>(($E$17+$F$17)*(F821EO!U105+F821EO!AB105)*$L214)</f>
        <v>0</v>
      </c>
      <c r="H214" s="156">
        <f>(($E$17+$F$17)*(F821EO!V105+F821EO!AC105)*$L214)</f>
        <v>0</v>
      </c>
      <c r="I214" s="156">
        <f>(($E$17+$F$17)*(F821EO!W105+F821EO!AD105)*$L214)</f>
        <v>0</v>
      </c>
      <c r="J214" s="156">
        <f t="shared" si="48"/>
        <v>0</v>
      </c>
      <c r="K214" s="69"/>
      <c r="L214" s="319">
        <v>0</v>
      </c>
      <c r="M214" s="329"/>
      <c r="N214" s="60"/>
      <c r="O214" s="60"/>
    </row>
    <row r="215" spans="2:15" s="37" customFormat="1" ht="15.75">
      <c r="B215" s="48"/>
      <c r="C215" s="157"/>
      <c r="D215" s="156"/>
      <c r="E215" s="156"/>
      <c r="F215" s="156"/>
      <c r="G215" s="156"/>
      <c r="H215" s="156"/>
      <c r="I215" s="156"/>
      <c r="J215" s="156"/>
      <c r="K215" s="69"/>
      <c r="L215" s="319"/>
      <c r="M215" s="69"/>
      <c r="N215" s="60"/>
      <c r="O215" s="60"/>
    </row>
    <row r="216" spans="2:15" s="37" customFormat="1" ht="15.75">
      <c r="B216" s="48"/>
      <c r="C216" s="153" t="s">
        <v>112</v>
      </c>
      <c r="D216" s="154">
        <f t="shared" ref="D216:I216" si="51">D125+D129+D139</f>
        <v>6151311.2694197698</v>
      </c>
      <c r="E216" s="154">
        <f t="shared" si="51"/>
        <v>6176562.6239630226</v>
      </c>
      <c r="F216" s="154">
        <f t="shared" si="51"/>
        <v>6105570.0850425288</v>
      </c>
      <c r="G216" s="154">
        <f t="shared" si="51"/>
        <v>6062705.0573258605</v>
      </c>
      <c r="H216" s="154">
        <f t="shared" si="51"/>
        <v>5654505.7203101823</v>
      </c>
      <c r="I216" s="154">
        <f t="shared" si="51"/>
        <v>6036573.8072525403</v>
      </c>
      <c r="J216" s="154">
        <f>SUM(D216:I216)</f>
        <v>36187228.563313901</v>
      </c>
      <c r="K216" s="69"/>
      <c r="L216" s="319"/>
      <c r="M216" s="69"/>
      <c r="N216" s="60"/>
      <c r="O216" s="60"/>
    </row>
    <row r="217" spans="2:15">
      <c r="C217" s="48"/>
      <c r="D217" s="48"/>
      <c r="E217" s="48"/>
      <c r="F217" s="48"/>
      <c r="G217" s="48"/>
      <c r="H217" s="48"/>
      <c r="I217" s="48"/>
      <c r="J217" s="48"/>
    </row>
    <row r="218" spans="2:15" s="69" customFormat="1" ht="30">
      <c r="B218" s="48"/>
      <c r="C218" s="320" t="s">
        <v>661</v>
      </c>
      <c r="D218" s="320"/>
      <c r="E218" s="320"/>
      <c r="F218" s="320"/>
      <c r="G218" s="320"/>
      <c r="H218" s="320"/>
      <c r="I218" s="320"/>
      <c r="J218" s="321"/>
      <c r="L218" s="319"/>
    </row>
    <row r="219" spans="2:15" s="37" customFormat="1" ht="15.75">
      <c r="B219" s="48"/>
      <c r="C219" s="150" t="s">
        <v>310</v>
      </c>
      <c r="D219" s="151">
        <f t="shared" ref="D219:I219" si="52">D$29</f>
        <v>45839</v>
      </c>
      <c r="E219" s="151">
        <f t="shared" si="52"/>
        <v>45870</v>
      </c>
      <c r="F219" s="151">
        <f t="shared" si="52"/>
        <v>45901</v>
      </c>
      <c r="G219" s="151">
        <f t="shared" si="52"/>
        <v>45931</v>
      </c>
      <c r="H219" s="151">
        <f t="shared" si="52"/>
        <v>45962</v>
      </c>
      <c r="I219" s="151">
        <f t="shared" si="52"/>
        <v>45992</v>
      </c>
      <c r="J219" s="152" t="s">
        <v>111</v>
      </c>
      <c r="K219" s="69"/>
      <c r="L219" s="319"/>
      <c r="M219" s="69"/>
    </row>
    <row r="220" spans="2:15" s="37" customFormat="1" ht="15.75">
      <c r="B220" s="48"/>
      <c r="C220" s="153" t="s">
        <v>446</v>
      </c>
      <c r="D220" s="154">
        <f t="shared" ref="D220:I220" si="53">SUM(D221:D222)</f>
        <v>12384.529048948516</v>
      </c>
      <c r="E220" s="154">
        <f t="shared" si="53"/>
        <v>12435.055651943578</v>
      </c>
      <c r="F220" s="154">
        <f t="shared" si="53"/>
        <v>12293.295155506681</v>
      </c>
      <c r="G220" s="154">
        <f t="shared" si="53"/>
        <v>12207.779802024865</v>
      </c>
      <c r="H220" s="154">
        <f t="shared" si="53"/>
        <v>11392.82008863742</v>
      </c>
      <c r="I220" s="154">
        <f t="shared" si="53"/>
        <v>12155.538708738944</v>
      </c>
      <c r="J220" s="154">
        <f>SUM(D220:I220)</f>
        <v>72869.018455800004</v>
      </c>
      <c r="K220" s="69"/>
      <c r="L220" s="319"/>
      <c r="M220" s="69"/>
      <c r="N220" s="60"/>
      <c r="O220" s="60"/>
    </row>
    <row r="221" spans="2:15" s="37" customFormat="1" ht="15.75">
      <c r="B221" s="48" t="s">
        <v>279</v>
      </c>
      <c r="C221" s="155" t="s">
        <v>279</v>
      </c>
      <c r="D221" s="156">
        <f>$J$7*F821EO!D6</f>
        <v>12384.214048948515</v>
      </c>
      <c r="E221" s="156">
        <f>$J$7*F821EO!E6</f>
        <v>12434.740651943577</v>
      </c>
      <c r="F221" s="156">
        <f>$J$7*F821EO!F6</f>
        <v>12292.980155506681</v>
      </c>
      <c r="G221" s="156">
        <f>$J$7*F821EO!G6</f>
        <v>12207.464802024864</v>
      </c>
      <c r="H221" s="156">
        <f>$J$7*F821EO!H6</f>
        <v>11392.505088637419</v>
      </c>
      <c r="I221" s="156">
        <f>$J$7*F821EO!I6</f>
        <v>12155.223708738944</v>
      </c>
      <c r="J221" s="156">
        <f>SUM(D221:I221)</f>
        <v>72867.128455800004</v>
      </c>
      <c r="K221" s="69"/>
      <c r="L221" s="319"/>
      <c r="M221" s="69"/>
      <c r="N221" s="60"/>
      <c r="O221" s="60"/>
    </row>
    <row r="222" spans="2:15" s="37" customFormat="1" ht="15.75">
      <c r="B222" s="48" t="s">
        <v>278</v>
      </c>
      <c r="C222" s="155" t="s">
        <v>278</v>
      </c>
      <c r="D222" s="156">
        <f>$J$8*F821EO!D7</f>
        <v>0.315</v>
      </c>
      <c r="E222" s="156">
        <f>$J$8*F821EO!E7</f>
        <v>0.315</v>
      </c>
      <c r="F222" s="156">
        <f>$J$8*F821EO!F7</f>
        <v>0.315</v>
      </c>
      <c r="G222" s="156">
        <f>$J$8*F821EO!G7</f>
        <v>0.315</v>
      </c>
      <c r="H222" s="156">
        <f>$J$8*F821EO!H7</f>
        <v>0.315</v>
      </c>
      <c r="I222" s="156">
        <f>$J$8*F821EO!I7</f>
        <v>0.315</v>
      </c>
      <c r="J222" s="156">
        <f>SUM(D222:I222)</f>
        <v>1.89</v>
      </c>
      <c r="K222" s="69"/>
      <c r="L222" s="319"/>
      <c r="N222" s="60"/>
      <c r="O222" s="60"/>
    </row>
    <row r="223" spans="2:15" s="37" customFormat="1" ht="15.75">
      <c r="B223" s="48"/>
      <c r="C223" s="157"/>
      <c r="D223" s="156"/>
      <c r="E223" s="156"/>
      <c r="F223" s="156"/>
      <c r="G223" s="156"/>
      <c r="H223" s="156"/>
      <c r="I223" s="156"/>
      <c r="J223" s="156"/>
      <c r="K223" s="69"/>
      <c r="L223" s="319"/>
      <c r="N223" s="60"/>
      <c r="O223" s="60"/>
    </row>
    <row r="224" spans="2:15" s="37" customFormat="1" ht="15.75">
      <c r="B224" s="48"/>
      <c r="C224" s="153" t="s">
        <v>630</v>
      </c>
      <c r="D224" s="154">
        <f>D225+D228</f>
        <v>19867.119417270478</v>
      </c>
      <c r="E224" s="154">
        <f t="shared" ref="E224:I224" si="54">E225+E228</f>
        <v>19948.173614122406</v>
      </c>
      <c r="F224" s="154">
        <f t="shared" si="54"/>
        <v>19720.763052103295</v>
      </c>
      <c r="G224" s="154">
        <f t="shared" si="54"/>
        <v>19583.580303133313</v>
      </c>
      <c r="H224" s="154">
        <f t="shared" si="54"/>
        <v>18276.231280644039</v>
      </c>
      <c r="I224" s="154">
        <f t="shared" si="54"/>
        <v>19499.775740626494</v>
      </c>
      <c r="J224" s="154">
        <f t="shared" ref="J224:J232" si="55">SUM(D224:I224)</f>
        <v>116895.64340790003</v>
      </c>
      <c r="K224" s="69"/>
      <c r="L224" s="319"/>
      <c r="N224" s="60"/>
      <c r="O224" s="60"/>
    </row>
    <row r="225" spans="2:15" s="37" customFormat="1" ht="15.75">
      <c r="B225" s="48" t="s">
        <v>277</v>
      </c>
      <c r="C225" s="155" t="s">
        <v>277</v>
      </c>
      <c r="D225" s="154">
        <f>SUM(D226:D227)</f>
        <v>2772.0338935665573</v>
      </c>
      <c r="E225" s="154">
        <f t="shared" ref="E225:I225" si="56">SUM(E226:E227)</f>
        <v>2783.3432825207528</v>
      </c>
      <c r="F225" s="154">
        <f t="shared" si="56"/>
        <v>2751.6129761571638</v>
      </c>
      <c r="G225" s="154">
        <f t="shared" si="56"/>
        <v>2732.4720417433482</v>
      </c>
      <c r="H225" s="154">
        <f t="shared" si="56"/>
        <v>2550.0592960933163</v>
      </c>
      <c r="I225" s="154">
        <f t="shared" si="56"/>
        <v>2720.7788977688633</v>
      </c>
      <c r="J225" s="154">
        <f t="shared" si="55"/>
        <v>16310.300387850004</v>
      </c>
      <c r="K225" s="69"/>
      <c r="L225" s="319"/>
      <c r="N225" s="60"/>
      <c r="O225" s="60"/>
    </row>
    <row r="226" spans="2:15" s="37" customFormat="1" ht="15.75">
      <c r="B226" s="48"/>
      <c r="C226" s="160" t="s">
        <v>304</v>
      </c>
      <c r="D226" s="156">
        <f>$J$9*F821EO!D11</f>
        <v>2353.8906106361155</v>
      </c>
      <c r="E226" s="156">
        <f>$J$9*F821EO!E11</f>
        <v>2363.4940518253075</v>
      </c>
      <c r="F226" s="156">
        <f>$J$9*F821EO!F11</f>
        <v>2336.5500557958208</v>
      </c>
      <c r="G226" s="156">
        <f>$J$9*F821EO!G11</f>
        <v>2320.2964068415099</v>
      </c>
      <c r="H226" s="156">
        <f>$J$9*F821EO!H11</f>
        <v>2165.3994374204344</v>
      </c>
      <c r="I226" s="156">
        <f>$J$9*F821EO!I11</f>
        <v>2310.3670975808132</v>
      </c>
      <c r="J226" s="156">
        <f t="shared" si="55"/>
        <v>13849.9976601</v>
      </c>
      <c r="K226" s="69"/>
      <c r="L226" s="319"/>
      <c r="N226" s="60"/>
      <c r="O226" s="60"/>
    </row>
    <row r="227" spans="2:15" s="37" customFormat="1" ht="15.75">
      <c r="B227" s="48"/>
      <c r="C227" s="160" t="s">
        <v>305</v>
      </c>
      <c r="D227" s="156">
        <f>($J$9*F821EO!D12)*$L227</f>
        <v>418.14328293044161</v>
      </c>
      <c r="E227" s="156">
        <f>($J$9*F821EO!E12)*$L227</f>
        <v>419.84923069544533</v>
      </c>
      <c r="F227" s="156">
        <f>($J$9*F821EO!F12)*$L227</f>
        <v>415.06292036134295</v>
      </c>
      <c r="G227" s="156">
        <f>($J$9*F821EO!G12)*$L227</f>
        <v>412.17563490183818</v>
      </c>
      <c r="H227" s="156">
        <f>($J$9*F821EO!H12)*$L227</f>
        <v>384.6598586728818</v>
      </c>
      <c r="I227" s="156">
        <f>($J$9*F821EO!I12)*$L227</f>
        <v>410.41180018805028</v>
      </c>
      <c r="J227" s="156">
        <f t="shared" si="55"/>
        <v>2460.30272775</v>
      </c>
      <c r="K227" s="69"/>
      <c r="L227" s="319">
        <v>0.95</v>
      </c>
      <c r="N227" s="60"/>
      <c r="O227" s="60"/>
    </row>
    <row r="228" spans="2:15" s="37" customFormat="1" ht="15.75">
      <c r="B228" s="48" t="s">
        <v>276</v>
      </c>
      <c r="C228" s="158" t="s">
        <v>276</v>
      </c>
      <c r="D228" s="159">
        <f t="shared" ref="D228:I228" si="57">SUM(D229:D232)</f>
        <v>17095.085523703921</v>
      </c>
      <c r="E228" s="159">
        <f t="shared" si="57"/>
        <v>17164.830331601654</v>
      </c>
      <c r="F228" s="159">
        <f t="shared" si="57"/>
        <v>16969.150075946131</v>
      </c>
      <c r="G228" s="159">
        <f t="shared" si="57"/>
        <v>16851.108261389963</v>
      </c>
      <c r="H228" s="159">
        <f t="shared" si="57"/>
        <v>15726.171984550721</v>
      </c>
      <c r="I228" s="159">
        <f t="shared" si="57"/>
        <v>16778.996842857629</v>
      </c>
      <c r="J228" s="159">
        <f t="shared" si="55"/>
        <v>100585.34302005002</v>
      </c>
      <c r="K228" s="69"/>
      <c r="L228" s="319"/>
      <c r="N228" s="60"/>
      <c r="O228" s="60"/>
    </row>
    <row r="229" spans="2:15" s="37" customFormat="1" ht="15.75">
      <c r="B229" s="48"/>
      <c r="C229" s="160" t="s">
        <v>304</v>
      </c>
      <c r="D229" s="156">
        <f>$J$10*F821EO!D15</f>
        <v>17040.953881656922</v>
      </c>
      <c r="E229" s="156">
        <f>$J$10*F821EO!E15</f>
        <v>17110.477842401215</v>
      </c>
      <c r="F229" s="156">
        <f>$J$10*F821EO!F15</f>
        <v>16915.417208890318</v>
      </c>
      <c r="G229" s="156">
        <f>$J$10*F821EO!G15</f>
        <v>16797.749174110995</v>
      </c>
      <c r="H229" s="156">
        <f>$J$10*F821EO!H15</f>
        <v>15676.375011528455</v>
      </c>
      <c r="I229" s="156">
        <f>$J$10*F821EO!I15</f>
        <v>16725.866096612113</v>
      </c>
      <c r="J229" s="156">
        <f t="shared" si="55"/>
        <v>100266.83921520002</v>
      </c>
      <c r="K229" s="69"/>
      <c r="L229" s="319">
        <v>1</v>
      </c>
      <c r="N229" s="60"/>
      <c r="O229" s="60"/>
    </row>
    <row r="230" spans="2:15" s="37" customFormat="1" ht="15.75">
      <c r="B230" s="48"/>
      <c r="C230" s="161" t="s">
        <v>306</v>
      </c>
      <c r="D230" s="156">
        <f>$J$10*F821EO!D16</f>
        <v>0</v>
      </c>
      <c r="E230" s="156">
        <f>$J$10*F821EO!E16</f>
        <v>0</v>
      </c>
      <c r="F230" s="156">
        <f>$J$10*F821EO!F16</f>
        <v>0</v>
      </c>
      <c r="G230" s="156">
        <f>$J$10*F821EO!G16</f>
        <v>0</v>
      </c>
      <c r="H230" s="156">
        <f>$J$10*F821EO!H16</f>
        <v>0</v>
      </c>
      <c r="I230" s="156">
        <f>$J$10*F821EO!I16</f>
        <v>0</v>
      </c>
      <c r="J230" s="156">
        <f t="shared" si="55"/>
        <v>0</v>
      </c>
      <c r="K230" s="69"/>
      <c r="L230" s="319">
        <v>1</v>
      </c>
      <c r="N230" s="60"/>
      <c r="O230" s="60"/>
    </row>
    <row r="231" spans="2:15" s="37" customFormat="1" ht="15.75">
      <c r="B231" s="48"/>
      <c r="C231" s="160" t="s">
        <v>305</v>
      </c>
      <c r="D231" s="156">
        <f>$J$10*F821EO!D17*0.95</f>
        <v>54.131642046997968</v>
      </c>
      <c r="E231" s="156">
        <f>$J$10*F821EO!E17*0.95</f>
        <v>54.352489200439919</v>
      </c>
      <c r="F231" s="156">
        <f>$J$10*F821EO!F17*0.95</f>
        <v>53.732867055811141</v>
      </c>
      <c r="G231" s="156">
        <f>$J$10*F821EO!G17*0.95</f>
        <v>53.359087278969874</v>
      </c>
      <c r="H231" s="156">
        <f>$J$10*F821EO!H17*0.95</f>
        <v>49.796973022266769</v>
      </c>
      <c r="I231" s="156">
        <f>$J$10*F821EO!I17*0.95</f>
        <v>53.130746245514324</v>
      </c>
      <c r="J231" s="156">
        <f t="shared" si="55"/>
        <v>318.50380484999999</v>
      </c>
      <c r="K231" s="69"/>
      <c r="L231" s="319">
        <v>0.95</v>
      </c>
      <c r="N231" s="60"/>
      <c r="O231" s="60"/>
    </row>
    <row r="232" spans="2:15" s="37" customFormat="1" ht="15.75">
      <c r="B232" s="48"/>
      <c r="C232" s="160" t="s">
        <v>307</v>
      </c>
      <c r="D232" s="156">
        <f>$J$10*F821EO!D18*0.5</f>
        <v>0</v>
      </c>
      <c r="E232" s="156">
        <f>$J$10*F821EO!E18*0.5</f>
        <v>0</v>
      </c>
      <c r="F232" s="156">
        <f>$J$10*F821EO!F18*0.5</f>
        <v>0</v>
      </c>
      <c r="G232" s="156">
        <f>$J$10*F821EO!G18*0.5</f>
        <v>0</v>
      </c>
      <c r="H232" s="156">
        <f>$J$10*F821EO!H18*0.5</f>
        <v>0</v>
      </c>
      <c r="I232" s="156">
        <f>$J$10*F821EO!I18*0.5</f>
        <v>0</v>
      </c>
      <c r="J232" s="156">
        <f t="shared" si="55"/>
        <v>0</v>
      </c>
      <c r="K232" s="69"/>
      <c r="L232" s="319">
        <v>0.5</v>
      </c>
      <c r="N232" s="60"/>
      <c r="O232" s="60"/>
    </row>
    <row r="233" spans="2:15" s="37" customFormat="1" ht="15.75">
      <c r="B233" s="48"/>
      <c r="C233" s="157"/>
      <c r="D233" s="157"/>
      <c r="E233" s="157"/>
      <c r="F233" s="157"/>
      <c r="G233" s="157"/>
      <c r="H233" s="157"/>
      <c r="I233" s="157"/>
      <c r="J233" s="157"/>
      <c r="K233" s="69"/>
      <c r="L233" s="319"/>
      <c r="N233" s="60"/>
      <c r="O233" s="60"/>
    </row>
    <row r="234" spans="2:15" s="37" customFormat="1" ht="15.75">
      <c r="B234" s="48"/>
      <c r="C234" s="153" t="s">
        <v>443</v>
      </c>
      <c r="D234" s="154">
        <f t="shared" ref="D234:I234" si="58">D235+D239+D246+D251+D256+D269+D275+D282+D290+D296+D303+D262</f>
        <v>140727.0998798091</v>
      </c>
      <c r="E234" s="154">
        <f t="shared" si="58"/>
        <v>141306.8944393835</v>
      </c>
      <c r="F234" s="154">
        <f t="shared" si="58"/>
        <v>139674.87371824516</v>
      </c>
      <c r="G234" s="154">
        <f t="shared" si="58"/>
        <v>138688.93271467177</v>
      </c>
      <c r="H234" s="154">
        <f t="shared" si="58"/>
        <v>129303.99708137898</v>
      </c>
      <c r="I234" s="154">
        <f t="shared" si="58"/>
        <v>138088.62405633644</v>
      </c>
      <c r="J234" s="154">
        <f>SUM(D234:I234)</f>
        <v>827790.42188982503</v>
      </c>
      <c r="K234" s="69"/>
      <c r="L234" s="319"/>
      <c r="N234" s="60"/>
      <c r="O234" s="60"/>
    </row>
    <row r="235" spans="2:15" s="37" customFormat="1" ht="15.75">
      <c r="B235" s="48" t="s">
        <v>275</v>
      </c>
      <c r="C235" s="155" t="s">
        <v>275</v>
      </c>
      <c r="D235" s="156">
        <f>$J$11*F821EO!D21</f>
        <v>1918.8745210225575</v>
      </c>
      <c r="E235" s="156">
        <f>$J$11*F821EO!E21</f>
        <v>1926.7031764956764</v>
      </c>
      <c r="F235" s="156">
        <f>$J$11*F821EO!F21</f>
        <v>1904.7386267235258</v>
      </c>
      <c r="G235" s="156">
        <f>$J$11*F821EO!G21</f>
        <v>1891.4887702046437</v>
      </c>
      <c r="H235" s="156">
        <f>$J$11*F821EO!H21</f>
        <v>1765.2178863060119</v>
      </c>
      <c r="I235" s="156">
        <f>$J$11*F821EO!I21</f>
        <v>1883.3944694475854</v>
      </c>
      <c r="J235" s="156">
        <f>SUM(D235:I235)</f>
        <v>11290.417450200001</v>
      </c>
      <c r="K235" s="69"/>
      <c r="L235" s="319"/>
      <c r="N235" s="60"/>
      <c r="O235" s="60"/>
    </row>
    <row r="236" spans="2:15" s="37" customFormat="1" ht="15.75">
      <c r="B236" s="48"/>
      <c r="C236" s="160" t="s">
        <v>304</v>
      </c>
      <c r="D236" s="156"/>
      <c r="E236" s="156"/>
      <c r="F236" s="156"/>
      <c r="G236" s="156"/>
      <c r="H236" s="156"/>
      <c r="I236" s="156"/>
      <c r="J236" s="156"/>
      <c r="K236" s="69"/>
      <c r="L236" s="319"/>
      <c r="N236" s="60"/>
      <c r="O236" s="60"/>
    </row>
    <row r="237" spans="2:15" s="37" customFormat="1" ht="15.75">
      <c r="B237" s="48"/>
      <c r="C237" s="161" t="s">
        <v>306</v>
      </c>
      <c r="D237" s="156"/>
      <c r="E237" s="156"/>
      <c r="F237" s="156"/>
      <c r="G237" s="156"/>
      <c r="H237" s="156"/>
      <c r="I237" s="156"/>
      <c r="J237" s="156"/>
      <c r="K237" s="69"/>
      <c r="L237" s="319"/>
      <c r="N237" s="60"/>
      <c r="O237" s="60"/>
    </row>
    <row r="238" spans="2:15" s="37" customFormat="1" ht="15.75">
      <c r="B238" s="48"/>
      <c r="C238" s="160" t="s">
        <v>305</v>
      </c>
      <c r="D238" s="156"/>
      <c r="E238" s="156"/>
      <c r="F238" s="156"/>
      <c r="G238" s="156"/>
      <c r="H238" s="156"/>
      <c r="I238" s="156"/>
      <c r="J238" s="156"/>
      <c r="K238" s="69"/>
      <c r="L238" s="319"/>
      <c r="N238" s="60"/>
      <c r="O238" s="60"/>
    </row>
    <row r="239" spans="2:15" s="37" customFormat="1" ht="15.75">
      <c r="B239" s="48" t="s">
        <v>274</v>
      </c>
      <c r="C239" s="158" t="s">
        <v>627</v>
      </c>
      <c r="D239" s="159">
        <f t="shared" ref="D239:I239" si="59">SUM(D240:D245)</f>
        <v>22316.874161657503</v>
      </c>
      <c r="E239" s="159">
        <f t="shared" si="59"/>
        <v>22407.922907750315</v>
      </c>
      <c r="F239" s="159">
        <f t="shared" si="59"/>
        <v>22152.471033272705</v>
      </c>
      <c r="G239" s="159">
        <f t="shared" si="59"/>
        <v>21998.372692108464</v>
      </c>
      <c r="H239" s="159">
        <f t="shared" si="59"/>
        <v>20529.818393547372</v>
      </c>
      <c r="I239" s="159">
        <f t="shared" si="59"/>
        <v>21904.234441043653</v>
      </c>
      <c r="J239" s="159">
        <f t="shared" ref="J239:J260" si="60">SUM(D239:I239)</f>
        <v>131309.69362938002</v>
      </c>
      <c r="K239" s="69"/>
      <c r="L239" s="319"/>
      <c r="N239" s="60"/>
      <c r="O239" s="60"/>
    </row>
    <row r="240" spans="2:15" s="37" customFormat="1" ht="15.75">
      <c r="B240" s="48"/>
      <c r="C240" s="160" t="s">
        <v>304</v>
      </c>
      <c r="D240" s="156">
        <f>$J$12*F821EO!D28</f>
        <v>22280.07651387994</v>
      </c>
      <c r="E240" s="156">
        <f>$J$12*F821EO!E28</f>
        <v>22370.975132330994</v>
      </c>
      <c r="F240" s="156">
        <f>$J$12*F821EO!F28</f>
        <v>22115.944465054403</v>
      </c>
      <c r="G240" s="156">
        <f>$J$12*F821EO!G28</f>
        <v>21962.100212184076</v>
      </c>
      <c r="H240" s="156">
        <f>$J$12*F821EO!H28</f>
        <v>20495.967370294256</v>
      </c>
      <c r="I240" s="156">
        <f>$J$12*F821EO!I28</f>
        <v>21868.117182956339</v>
      </c>
      <c r="J240" s="156">
        <f t="shared" si="60"/>
        <v>131093.1808767</v>
      </c>
      <c r="K240" s="69"/>
      <c r="L240" s="319">
        <v>1</v>
      </c>
      <c r="N240" s="60"/>
      <c r="O240" s="60"/>
    </row>
    <row r="241" spans="2:15" s="37" customFormat="1" ht="15.75">
      <c r="B241" s="48"/>
      <c r="C241" s="162" t="s">
        <v>628</v>
      </c>
      <c r="D241" s="156">
        <f>$J$12*F821EO!D29*0.75</f>
        <v>0</v>
      </c>
      <c r="E241" s="156">
        <f>$J$12*F821EO!E29*0.75</f>
        <v>0</v>
      </c>
      <c r="F241" s="156">
        <f>$J$12*F821EO!F29*0.75</f>
        <v>0</v>
      </c>
      <c r="G241" s="156">
        <f>$J$12*F821EO!G29*0.75</f>
        <v>0</v>
      </c>
      <c r="H241" s="156">
        <f>$J$12*F821EO!H29*0.75</f>
        <v>0</v>
      </c>
      <c r="I241" s="156">
        <f>$J$12*F821EO!I29*0.75</f>
        <v>0</v>
      </c>
      <c r="J241" s="156">
        <f t="shared" si="60"/>
        <v>0</v>
      </c>
      <c r="K241" s="69"/>
      <c r="L241" s="319">
        <v>0.75</v>
      </c>
      <c r="N241" s="60"/>
      <c r="O241" s="60"/>
    </row>
    <row r="242" spans="2:15" s="37" customFormat="1" ht="15.75">
      <c r="B242" s="48"/>
      <c r="C242" s="161" t="s">
        <v>629</v>
      </c>
      <c r="D242" s="156">
        <f>$J$12*F821EO!D30</f>
        <v>17.597871914895027</v>
      </c>
      <c r="E242" s="156">
        <f>$J$12*F821EO!E30</f>
        <v>17.669667998887203</v>
      </c>
      <c r="F242" s="156">
        <f>$J$12*F821EO!F30</f>
        <v>17.468232558829005</v>
      </c>
      <c r="G242" s="156">
        <f>$J$12*F821EO!G30</f>
        <v>17.346718996917847</v>
      </c>
      <c r="H242" s="156">
        <f>$J$12*F821EO!H30</f>
        <v>16.188697032957137</v>
      </c>
      <c r="I242" s="156">
        <f>$J$12*F821EO!I30</f>
        <v>17.272486697513795</v>
      </c>
      <c r="J242" s="156">
        <f t="shared" si="60"/>
        <v>103.54367520000001</v>
      </c>
      <c r="K242" s="69"/>
      <c r="L242" s="319">
        <v>1</v>
      </c>
      <c r="N242" s="60"/>
      <c r="O242" s="60"/>
    </row>
    <row r="243" spans="2:15" s="37" customFormat="1" ht="15.75">
      <c r="B243" s="48"/>
      <c r="C243" s="160" t="s">
        <v>305</v>
      </c>
      <c r="D243" s="156">
        <f>$J$12*F821EO!D31*0.95</f>
        <v>19.19977586266797</v>
      </c>
      <c r="E243" s="156">
        <f>$J$12*F821EO!E31*0.95</f>
        <v>19.278107420434356</v>
      </c>
      <c r="F243" s="156">
        <f>$J$12*F821EO!F31*0.95</f>
        <v>19.058335659472636</v>
      </c>
      <c r="G243" s="156">
        <f>$J$12*F821EO!G31*0.95</f>
        <v>18.925760927468023</v>
      </c>
      <c r="H243" s="156">
        <f>$J$12*F821EO!H31*0.95</f>
        <v>17.662326220157009</v>
      </c>
      <c r="I243" s="156">
        <f>$J$12*F821EO!I31*0.95</f>
        <v>18.844771389800012</v>
      </c>
      <c r="J243" s="156">
        <f t="shared" si="60"/>
        <v>112.96907748000001</v>
      </c>
      <c r="K243" s="69"/>
      <c r="L243" s="319">
        <v>0.95</v>
      </c>
      <c r="N243" s="60"/>
      <c r="O243" s="60"/>
    </row>
    <row r="244" spans="2:15" s="37" customFormat="1" ht="15.75">
      <c r="B244" s="48"/>
      <c r="C244" s="160" t="s">
        <v>307</v>
      </c>
      <c r="D244" s="156">
        <f>$J$12*F821EO!D32*0.5</f>
        <v>0</v>
      </c>
      <c r="E244" s="156">
        <f>$J$12*F821EO!E32*0.5</f>
        <v>0</v>
      </c>
      <c r="F244" s="156">
        <f>$J$12*F821EO!F32*0.5</f>
        <v>0</v>
      </c>
      <c r="G244" s="156">
        <f>$J$12*F821EO!G32*0.5</f>
        <v>0</v>
      </c>
      <c r="H244" s="156">
        <f>$J$12*F821EO!H32*0.5</f>
        <v>0</v>
      </c>
      <c r="I244" s="156">
        <f>$J$12*F821EO!I32*0.5</f>
        <v>0</v>
      </c>
      <c r="J244" s="156">
        <f t="shared" si="60"/>
        <v>0</v>
      </c>
      <c r="K244" s="69"/>
      <c r="L244" s="319">
        <v>0.5</v>
      </c>
      <c r="N244" s="60"/>
      <c r="O244" s="60"/>
    </row>
    <row r="245" spans="2:15" s="37" customFormat="1" ht="15.75">
      <c r="B245" s="48"/>
      <c r="C245" s="160" t="s">
        <v>624</v>
      </c>
      <c r="D245" s="156">
        <f>$J$12*F821EO!D33*0</f>
        <v>0</v>
      </c>
      <c r="E245" s="156">
        <f>$J$12*F821EO!E33*0</f>
        <v>0</v>
      </c>
      <c r="F245" s="156">
        <f>$J$12*F821EO!F33*0</f>
        <v>0</v>
      </c>
      <c r="G245" s="156">
        <f>$J$12*F821EO!G33*0</f>
        <v>0</v>
      </c>
      <c r="H245" s="156">
        <f>$J$12*F821EO!H33*0</f>
        <v>0</v>
      </c>
      <c r="I245" s="156">
        <f>$J$12*F821EO!I33*0</f>
        <v>0</v>
      </c>
      <c r="J245" s="156">
        <f t="shared" si="60"/>
        <v>0</v>
      </c>
      <c r="K245" s="69"/>
      <c r="L245" s="319">
        <v>0</v>
      </c>
      <c r="N245" s="60"/>
      <c r="O245" s="60"/>
    </row>
    <row r="246" spans="2:15" s="37" customFormat="1" ht="15.75">
      <c r="B246" s="48" t="s">
        <v>274</v>
      </c>
      <c r="C246" s="158" t="s">
        <v>631</v>
      </c>
      <c r="D246" s="159">
        <f t="shared" ref="D246:I246" si="61">SUM(D247:D250)</f>
        <v>10047.786934107451</v>
      </c>
      <c r="E246" s="159">
        <f t="shared" si="61"/>
        <v>10088.780058625311</v>
      </c>
      <c r="F246" s="159">
        <f t="shared" si="61"/>
        <v>9973.7672665973259</v>
      </c>
      <c r="G246" s="159">
        <f t="shared" si="61"/>
        <v>9904.3871514565617</v>
      </c>
      <c r="H246" s="159">
        <f t="shared" si="61"/>
        <v>9243.1959565686539</v>
      </c>
      <c r="I246" s="159">
        <f t="shared" si="61"/>
        <v>9862.003030714699</v>
      </c>
      <c r="J246" s="159">
        <f t="shared" si="60"/>
        <v>59119.920398069997</v>
      </c>
      <c r="K246" s="69"/>
      <c r="L246" s="319"/>
      <c r="N246" s="60"/>
      <c r="O246" s="60"/>
    </row>
    <row r="247" spans="2:15" s="37" customFormat="1" ht="15.75">
      <c r="B247" s="48"/>
      <c r="C247" s="160" t="s">
        <v>304</v>
      </c>
      <c r="D247" s="156">
        <f>$J$12*F821EO!D35</f>
        <v>10020.480246292642</v>
      </c>
      <c r="E247" s="156">
        <f>$J$12*F821EO!E35</f>
        <v>10061.361964541529</v>
      </c>
      <c r="F247" s="156">
        <f>$J$12*F821EO!F35</f>
        <v>9946.6617406867372</v>
      </c>
      <c r="G247" s="156">
        <f>$J$12*F821EO!G35</f>
        <v>9877.4701786230962</v>
      </c>
      <c r="H247" s="156">
        <f>$J$12*F821EO!H35</f>
        <v>9218.0758910206532</v>
      </c>
      <c r="I247" s="156">
        <f>$J$12*F821EO!I35</f>
        <v>9835.2012444353459</v>
      </c>
      <c r="J247" s="156">
        <f t="shared" si="60"/>
        <v>58959.251265600004</v>
      </c>
      <c r="K247" s="69"/>
      <c r="L247" s="319">
        <v>1</v>
      </c>
      <c r="N247" s="60"/>
      <c r="O247" s="60"/>
    </row>
    <row r="248" spans="2:15" s="37" customFormat="1" ht="15.75">
      <c r="B248" s="48"/>
      <c r="C248" s="161" t="s">
        <v>306</v>
      </c>
      <c r="D248" s="156">
        <f>$J$12*F821EO!D36</f>
        <v>0</v>
      </c>
      <c r="E248" s="156">
        <f>$J$12*F821EO!E36</f>
        <v>0</v>
      </c>
      <c r="F248" s="156">
        <f>$J$12*F821EO!F36</f>
        <v>0</v>
      </c>
      <c r="G248" s="156">
        <f>$J$12*F821EO!G36</f>
        <v>0</v>
      </c>
      <c r="H248" s="156">
        <f>$J$12*F821EO!H36</f>
        <v>0</v>
      </c>
      <c r="I248" s="156">
        <f>$J$12*F821EO!I36</f>
        <v>0</v>
      </c>
      <c r="J248" s="156">
        <f t="shared" si="60"/>
        <v>0</v>
      </c>
      <c r="K248" s="69"/>
      <c r="L248" s="319">
        <v>1</v>
      </c>
      <c r="N248" s="60"/>
      <c r="O248" s="60"/>
    </row>
    <row r="249" spans="2:15" s="37" customFormat="1" ht="15.75">
      <c r="B249" s="48"/>
      <c r="C249" s="160" t="s">
        <v>305</v>
      </c>
      <c r="D249" s="156">
        <f>$J$12*F821EO!D37*0.95</f>
        <v>27.306687814808814</v>
      </c>
      <c r="E249" s="156">
        <f>$J$12*F821EO!E37*0.95</f>
        <v>27.418094083781639</v>
      </c>
      <c r="F249" s="156">
        <f>$J$12*F821EO!F37*0.95</f>
        <v>27.10552591058951</v>
      </c>
      <c r="G249" s="156">
        <f>$J$12*F821EO!G37*0.95</f>
        <v>26.916972833466303</v>
      </c>
      <c r="H249" s="156">
        <f>$J$12*F821EO!H37*0.95</f>
        <v>25.120065548000621</v>
      </c>
      <c r="I249" s="156">
        <f>$J$12*F821EO!I37*0.95</f>
        <v>26.801786279353127</v>
      </c>
      <c r="J249" s="156">
        <f t="shared" si="60"/>
        <v>160.66913247000002</v>
      </c>
      <c r="K249" s="69"/>
      <c r="L249" s="319">
        <v>0.95</v>
      </c>
      <c r="N249" s="60"/>
      <c r="O249" s="60"/>
    </row>
    <row r="250" spans="2:15" s="37" customFormat="1" ht="15.75">
      <c r="B250" s="48"/>
      <c r="C250" s="160" t="s">
        <v>307</v>
      </c>
      <c r="D250" s="156">
        <f>$J$12*F821EO!D38*0.5</f>
        <v>0</v>
      </c>
      <c r="E250" s="156">
        <f>$J$12*F821EO!E38*0.5</f>
        <v>0</v>
      </c>
      <c r="F250" s="156">
        <f>$J$12*F821EO!F38*0.5</f>
        <v>0</v>
      </c>
      <c r="G250" s="156">
        <f>$J$12*F821EO!G38*0.5</f>
        <v>0</v>
      </c>
      <c r="H250" s="156">
        <f>$J$12*F821EO!H38*0.5</f>
        <v>0</v>
      </c>
      <c r="I250" s="156">
        <f>$J$12*F821EO!I38*0.5</f>
        <v>0</v>
      </c>
      <c r="J250" s="156">
        <f t="shared" si="60"/>
        <v>0</v>
      </c>
      <c r="K250" s="69"/>
      <c r="L250" s="319">
        <v>0.5</v>
      </c>
      <c r="N250" s="60"/>
      <c r="O250" s="60"/>
    </row>
    <row r="251" spans="2:15" s="37" customFormat="1" ht="15.75">
      <c r="B251" s="48" t="s">
        <v>274</v>
      </c>
      <c r="C251" s="158" t="s">
        <v>632</v>
      </c>
      <c r="D251" s="159">
        <f t="shared" ref="D251:I251" si="62">SUM(D252:D255)</f>
        <v>2770.1935215146432</v>
      </c>
      <c r="E251" s="159">
        <f t="shared" si="62"/>
        <v>2781.4954020890154</v>
      </c>
      <c r="F251" s="159">
        <f t="shared" si="62"/>
        <v>2749.7861616904447</v>
      </c>
      <c r="G251" s="159">
        <f t="shared" si="62"/>
        <v>2730.6579350724551</v>
      </c>
      <c r="H251" s="159">
        <f t="shared" si="62"/>
        <v>2548.3662944780958</v>
      </c>
      <c r="I251" s="159">
        <f t="shared" si="62"/>
        <v>2718.9725542553469</v>
      </c>
      <c r="J251" s="159">
        <f t="shared" si="60"/>
        <v>16299.471869100002</v>
      </c>
      <c r="K251" s="69"/>
      <c r="L251" s="319"/>
      <c r="N251" s="60"/>
      <c r="O251" s="60"/>
    </row>
    <row r="252" spans="2:15" s="37" customFormat="1" ht="15.75">
      <c r="B252" s="48"/>
      <c r="C252" s="160" t="s">
        <v>304</v>
      </c>
      <c r="D252" s="156">
        <f>$J$12*F821EO!D40</f>
        <v>2770.1935215146432</v>
      </c>
      <c r="E252" s="156">
        <f>$J$12*F821EO!E40</f>
        <v>2781.4954020890154</v>
      </c>
      <c r="F252" s="156">
        <f>$J$12*F821EO!F40</f>
        <v>2749.7861616904447</v>
      </c>
      <c r="G252" s="156">
        <f>$J$12*F821EO!G40</f>
        <v>2730.6579350724551</v>
      </c>
      <c r="H252" s="156">
        <f>$J$12*F821EO!H40</f>
        <v>2548.3662944780958</v>
      </c>
      <c r="I252" s="156">
        <f>$J$12*F821EO!I40</f>
        <v>2718.9725542553469</v>
      </c>
      <c r="J252" s="156">
        <f t="shared" si="60"/>
        <v>16299.471869100002</v>
      </c>
      <c r="K252" s="69"/>
      <c r="L252" s="319">
        <v>1</v>
      </c>
      <c r="N252" s="60"/>
      <c r="O252" s="60"/>
    </row>
    <row r="253" spans="2:15" s="37" customFormat="1" ht="15.75">
      <c r="B253" s="48"/>
      <c r="C253" s="161" t="s">
        <v>306</v>
      </c>
      <c r="D253" s="156">
        <f>$J$12*F821EO!D41</f>
        <v>0</v>
      </c>
      <c r="E253" s="156">
        <f>$J$12*F821EO!E41</f>
        <v>0</v>
      </c>
      <c r="F253" s="156">
        <f>$J$12*F821EO!F41</f>
        <v>0</v>
      </c>
      <c r="G253" s="156">
        <f>$J$12*F821EO!G41</f>
        <v>0</v>
      </c>
      <c r="H253" s="156">
        <f>$J$12*F821EO!H41</f>
        <v>0</v>
      </c>
      <c r="I253" s="156">
        <f>$J$12*F821EO!I41</f>
        <v>0</v>
      </c>
      <c r="J253" s="156">
        <f t="shared" si="60"/>
        <v>0</v>
      </c>
      <c r="K253" s="69"/>
      <c r="L253" s="319">
        <v>1</v>
      </c>
      <c r="N253" s="60"/>
      <c r="O253" s="60"/>
    </row>
    <row r="254" spans="2:15" s="37" customFormat="1" ht="15.75">
      <c r="B254" s="48"/>
      <c r="C254" s="160" t="s">
        <v>305</v>
      </c>
      <c r="D254" s="156">
        <f>$J$12*F821EO!D42*0.95</f>
        <v>0</v>
      </c>
      <c r="E254" s="156">
        <f>$J$12*F821EO!E42*0.95</f>
        <v>0</v>
      </c>
      <c r="F254" s="156">
        <f>$J$12*F821EO!F42*0.95</f>
        <v>0</v>
      </c>
      <c r="G254" s="156">
        <f>$J$12*F821EO!G42*0.95</f>
        <v>0</v>
      </c>
      <c r="H254" s="156">
        <f>$J$12*F821EO!H42*0.95</f>
        <v>0</v>
      </c>
      <c r="I254" s="156">
        <f>$J$12*F821EO!I42*0.95</f>
        <v>0</v>
      </c>
      <c r="J254" s="156">
        <f t="shared" si="60"/>
        <v>0</v>
      </c>
      <c r="K254" s="69"/>
      <c r="L254" s="319">
        <v>0.95</v>
      </c>
      <c r="N254" s="60"/>
      <c r="O254" s="60"/>
    </row>
    <row r="255" spans="2:15" s="37" customFormat="1" ht="15.75">
      <c r="B255" s="48"/>
      <c r="C255" s="160" t="s">
        <v>307</v>
      </c>
      <c r="D255" s="156">
        <f>$J$12*F821EO!D43*0.5</f>
        <v>0</v>
      </c>
      <c r="E255" s="156">
        <f>$J$12*F821EO!E43*0.5</f>
        <v>0</v>
      </c>
      <c r="F255" s="156">
        <f>$J$12*F821EO!F43*0.5</f>
        <v>0</v>
      </c>
      <c r="G255" s="156">
        <f>$J$12*F821EO!G43*0.5</f>
        <v>0</v>
      </c>
      <c r="H255" s="156">
        <f>$J$12*F821EO!H43*0.5</f>
        <v>0</v>
      </c>
      <c r="I255" s="156">
        <f>$J$12*F821EO!I43*0.5</f>
        <v>0</v>
      </c>
      <c r="J255" s="156">
        <f t="shared" si="60"/>
        <v>0</v>
      </c>
      <c r="K255" s="69"/>
      <c r="L255" s="319">
        <v>0.5</v>
      </c>
      <c r="N255" s="60"/>
      <c r="O255" s="60"/>
    </row>
    <row r="256" spans="2:15" s="37" customFormat="1" ht="15.75">
      <c r="B256" s="48" t="s">
        <v>274</v>
      </c>
      <c r="C256" s="158" t="s">
        <v>633</v>
      </c>
      <c r="D256" s="159">
        <f t="shared" ref="D256:I256" si="63">SUM(D257:D260)</f>
        <v>2694.2453509585425</v>
      </c>
      <c r="E256" s="159">
        <f t="shared" si="63"/>
        <v>2705.2373769517094</v>
      </c>
      <c r="F256" s="159">
        <f t="shared" si="63"/>
        <v>2674.3974833259513</v>
      </c>
      <c r="G256" s="159">
        <f t="shared" si="63"/>
        <v>2655.7936799319482</v>
      </c>
      <c r="H256" s="159">
        <f t="shared" si="63"/>
        <v>2478.4997828177052</v>
      </c>
      <c r="I256" s="159">
        <f t="shared" si="63"/>
        <v>2644.4286678141448</v>
      </c>
      <c r="J256" s="159">
        <f t="shared" si="60"/>
        <v>15852.602341800002</v>
      </c>
      <c r="K256" s="69"/>
      <c r="L256" s="319"/>
      <c r="N256" s="60"/>
      <c r="O256" s="60"/>
    </row>
    <row r="257" spans="2:15" s="37" customFormat="1" ht="15.75">
      <c r="B257" s="48"/>
      <c r="C257" s="160" t="s">
        <v>304</v>
      </c>
      <c r="D257" s="156">
        <f>$J$12*F821EO!D45</f>
        <v>2694.2453509585425</v>
      </c>
      <c r="E257" s="156">
        <f>$J$12*F821EO!E45</f>
        <v>2705.2373769517094</v>
      </c>
      <c r="F257" s="156">
        <f>$J$12*F821EO!F45</f>
        <v>2674.3974833259513</v>
      </c>
      <c r="G257" s="156">
        <f>$J$12*F821EO!G45</f>
        <v>2655.7936799319482</v>
      </c>
      <c r="H257" s="156">
        <f>$J$12*F821EO!H45</f>
        <v>2478.4997828177052</v>
      </c>
      <c r="I257" s="156">
        <f>$J$12*F821EO!I45</f>
        <v>2644.4286678141448</v>
      </c>
      <c r="J257" s="156">
        <f t="shared" si="60"/>
        <v>15852.602341800002</v>
      </c>
      <c r="K257" s="69"/>
      <c r="L257" s="319">
        <v>1</v>
      </c>
      <c r="N257" s="60"/>
      <c r="O257" s="60"/>
    </row>
    <row r="258" spans="2:15" s="37" customFormat="1" ht="15.75">
      <c r="B258" s="48"/>
      <c r="C258" s="161" t="s">
        <v>306</v>
      </c>
      <c r="D258" s="156">
        <f>$J$12*F821EO!D46</f>
        <v>0</v>
      </c>
      <c r="E258" s="156">
        <f>$J$12*F821EO!E46</f>
        <v>0</v>
      </c>
      <c r="F258" s="156">
        <f>$J$12*F821EO!F46</f>
        <v>0</v>
      </c>
      <c r="G258" s="156">
        <f>$J$12*F821EO!G46</f>
        <v>0</v>
      </c>
      <c r="H258" s="156">
        <f>$J$12*F821EO!H46</f>
        <v>0</v>
      </c>
      <c r="I258" s="156">
        <f>$J$12*F821EO!I46</f>
        <v>0</v>
      </c>
      <c r="J258" s="156">
        <f t="shared" si="60"/>
        <v>0</v>
      </c>
      <c r="K258" s="69"/>
      <c r="L258" s="319">
        <v>1</v>
      </c>
      <c r="N258" s="60"/>
      <c r="O258" s="60"/>
    </row>
    <row r="259" spans="2:15" s="37" customFormat="1" ht="15.75">
      <c r="B259" s="48"/>
      <c r="C259" s="160" t="s">
        <v>305</v>
      </c>
      <c r="D259" s="156">
        <f>$J$12*F821EO!D47*0.95</f>
        <v>0</v>
      </c>
      <c r="E259" s="156">
        <f>$J$12*F821EO!E47*0.95</f>
        <v>0</v>
      </c>
      <c r="F259" s="156">
        <f>$J$12*F821EO!F47*0.95</f>
        <v>0</v>
      </c>
      <c r="G259" s="156">
        <f>$J$12*F821EO!G47*0.95</f>
        <v>0</v>
      </c>
      <c r="H259" s="156">
        <f>$J$12*F821EO!H47*0.95</f>
        <v>0</v>
      </c>
      <c r="I259" s="156">
        <f>$J$12*F821EO!I47*0.95</f>
        <v>0</v>
      </c>
      <c r="J259" s="156">
        <f t="shared" si="60"/>
        <v>0</v>
      </c>
      <c r="K259" s="69"/>
      <c r="L259" s="319">
        <v>0.95</v>
      </c>
      <c r="N259" s="60"/>
      <c r="O259" s="60"/>
    </row>
    <row r="260" spans="2:15" s="37" customFormat="1" ht="15.75">
      <c r="B260" s="48"/>
      <c r="C260" s="160" t="s">
        <v>307</v>
      </c>
      <c r="D260" s="156">
        <f>$J$12*F821EO!D48*0.5</f>
        <v>0</v>
      </c>
      <c r="E260" s="156">
        <f>$J$12*F821EO!E48*0.5</f>
        <v>0</v>
      </c>
      <c r="F260" s="156">
        <f>$J$12*F821EO!F48*0.5</f>
        <v>0</v>
      </c>
      <c r="G260" s="156">
        <f>$J$12*F821EO!G48*0.5</f>
        <v>0</v>
      </c>
      <c r="H260" s="156">
        <f>$J$12*F821EO!H48*0.5</f>
        <v>0</v>
      </c>
      <c r="I260" s="156">
        <f>$J$12*F821EO!I48*0.5</f>
        <v>0</v>
      </c>
      <c r="J260" s="156">
        <f t="shared" si="60"/>
        <v>0</v>
      </c>
      <c r="K260" s="69"/>
      <c r="L260" s="319">
        <v>0.5</v>
      </c>
      <c r="N260" s="60"/>
      <c r="O260" s="60"/>
    </row>
    <row r="261" spans="2:15" s="37" customFormat="1" ht="15.75">
      <c r="B261" s="48"/>
      <c r="C261" s="157"/>
      <c r="D261" s="156"/>
      <c r="E261" s="156"/>
      <c r="F261" s="156"/>
      <c r="G261" s="156"/>
      <c r="H261" s="156"/>
      <c r="I261" s="156"/>
      <c r="J261" s="156"/>
      <c r="K261" s="69"/>
      <c r="L261" s="319"/>
      <c r="N261" s="60"/>
      <c r="O261" s="60"/>
    </row>
    <row r="262" spans="2:15" s="37" customFormat="1" ht="15.75">
      <c r="B262" s="48" t="s">
        <v>1176</v>
      </c>
      <c r="C262" s="158" t="str">
        <f>F801ENE!$C$50</f>
        <v>BTSH</v>
      </c>
      <c r="D262" s="159">
        <f t="shared" ref="D262:I262" si="64">SUM(D263:D268)</f>
        <v>1.3997899804976917</v>
      </c>
      <c r="E262" s="159">
        <f t="shared" si="64"/>
        <v>1.405500866421697</v>
      </c>
      <c r="F262" s="159">
        <f t="shared" si="64"/>
        <v>1.3894780591144142</v>
      </c>
      <c r="G262" s="159">
        <f t="shared" si="64"/>
        <v>1.3798124889090837</v>
      </c>
      <c r="H262" s="159">
        <f t="shared" si="64"/>
        <v>1.2876997862943751</v>
      </c>
      <c r="I262" s="159">
        <f t="shared" si="64"/>
        <v>1.3739078187627383</v>
      </c>
      <c r="J262" s="159">
        <f t="shared" ref="J262:J288" si="65">SUM(D262:I262)</f>
        <v>8.2361889999999995</v>
      </c>
      <c r="K262" s="69"/>
      <c r="L262" s="319"/>
      <c r="N262" s="60"/>
      <c r="O262" s="60"/>
    </row>
    <row r="263" spans="2:15" s="37" customFormat="1" ht="15.75">
      <c r="B263" s="48"/>
      <c r="C263" s="160" t="str">
        <f>F801ENE!$C$51</f>
        <v xml:space="preserve">    - Regulares</v>
      </c>
      <c r="D263" s="156">
        <f>$J$16*F821EO!D51*1</f>
        <v>0.47255143789683907</v>
      </c>
      <c r="E263" s="156">
        <f>$J$16*F821EO!E51*1</f>
        <v>0.47447936093718968</v>
      </c>
      <c r="F263" s="156">
        <f>$J$16*F821EO!F51*1</f>
        <v>0.46907026333134139</v>
      </c>
      <c r="G263" s="156">
        <f>$J$16*F821EO!G51*1</f>
        <v>0.46580728876925903</v>
      </c>
      <c r="H263" s="156">
        <f>$J$16*F821EO!H51*1</f>
        <v>0.43471120244517475</v>
      </c>
      <c r="I263" s="156">
        <f>$J$16*F821EO!I51*1</f>
        <v>0.46381394662019598</v>
      </c>
      <c r="J263" s="156">
        <f t="shared" si="65"/>
        <v>2.7804335</v>
      </c>
      <c r="K263" s="69"/>
      <c r="L263" s="319">
        <v>1</v>
      </c>
      <c r="N263" s="60"/>
      <c r="O263" s="60"/>
    </row>
    <row r="264" spans="2:15" s="37" customFormat="1" ht="15.75">
      <c r="B264" s="48"/>
      <c r="C264" s="162" t="str">
        <f>F801ENE!$C$52</f>
        <v xml:space="preserve">    - Jubilados (0 a 600 KWh)</v>
      </c>
      <c r="D264" s="156">
        <f>$J$16*F821EO!D52*0.75</f>
        <v>0</v>
      </c>
      <c r="E264" s="156">
        <f>$J$16*F821EO!E52*0.75</f>
        <v>0</v>
      </c>
      <c r="F264" s="156">
        <f>$J$16*F821EO!F52*0.75</f>
        <v>0</v>
      </c>
      <c r="G264" s="156">
        <f>$J$16*F821EO!G52*0.75</f>
        <v>0</v>
      </c>
      <c r="H264" s="156">
        <f>$J$16*F821EO!H52*0.75</f>
        <v>0</v>
      </c>
      <c r="I264" s="156">
        <f>$J$16*F821EO!I52*0.75</f>
        <v>0</v>
      </c>
      <c r="J264" s="156">
        <f t="shared" si="65"/>
        <v>0</v>
      </c>
      <c r="K264" s="69"/>
      <c r="L264" s="319">
        <v>0.75</v>
      </c>
      <c r="N264" s="60"/>
      <c r="O264" s="60"/>
    </row>
    <row r="265" spans="2:15" s="37" customFormat="1" ht="15.75">
      <c r="B265" s="48"/>
      <c r="C265" s="162" t="str">
        <f>F801ENE!$C$53</f>
        <v xml:space="preserve">    - Jubilados (601 y Más KWh)</v>
      </c>
      <c r="D265" s="156">
        <f>$J$16*F821EO!D53*1</f>
        <v>0.9272385426008527</v>
      </c>
      <c r="E265" s="156">
        <f>$J$16*F821EO!E53*1</f>
        <v>0.93102150548450724</v>
      </c>
      <c r="F265" s="156">
        <f>$J$16*F821EO!F53*1</f>
        <v>0.92040779578307275</v>
      </c>
      <c r="G265" s="156">
        <f>$J$16*F821EO!G53*1</f>
        <v>0.91400520013982467</v>
      </c>
      <c r="H265" s="156">
        <f>$J$16*F821EO!H53*1</f>
        <v>0.8529885838492004</v>
      </c>
      <c r="I265" s="156">
        <f>$J$16*F821EO!I53*1</f>
        <v>0.91009387214254223</v>
      </c>
      <c r="J265" s="156">
        <f t="shared" si="65"/>
        <v>5.4557554999999995</v>
      </c>
      <c r="K265" s="69"/>
      <c r="L265" s="319">
        <v>1</v>
      </c>
      <c r="N265" s="60"/>
      <c r="O265" s="60"/>
    </row>
    <row r="266" spans="2:15" s="37" customFormat="1" ht="15.75">
      <c r="B266" s="48"/>
      <c r="C266" s="160" t="str">
        <f>F801ENE!$C$54</f>
        <v xml:space="preserve">    - Agropecuarios</v>
      </c>
      <c r="D266" s="156">
        <f>$J$16*F821EO!D54*0.95</f>
        <v>0</v>
      </c>
      <c r="E266" s="156">
        <f>$J$16*F821EO!E54*0.95</f>
        <v>0</v>
      </c>
      <c r="F266" s="156">
        <f>$J$16*F821EO!F54*0.95</f>
        <v>0</v>
      </c>
      <c r="G266" s="156">
        <f>$J$16*F821EO!G54*0.95</f>
        <v>0</v>
      </c>
      <c r="H266" s="156">
        <f>$J$16*F821EO!H54*0.95</f>
        <v>0</v>
      </c>
      <c r="I266" s="156">
        <f>$J$16*F821EO!I54*0.95</f>
        <v>0</v>
      </c>
      <c r="J266" s="156">
        <f t="shared" si="65"/>
        <v>0</v>
      </c>
      <c r="K266" s="69"/>
      <c r="L266" s="319">
        <v>0.95</v>
      </c>
      <c r="N266" s="60"/>
      <c r="O266" s="60"/>
    </row>
    <row r="267" spans="2:15" s="37" customFormat="1" ht="15.75">
      <c r="B267" s="48"/>
      <c r="C267" s="160" t="str">
        <f>F801ENE!$C$55</f>
        <v xml:space="preserve">    - Partidos Políticos</v>
      </c>
      <c r="D267" s="156">
        <f>$J$16*F821EO!D55*0.5</f>
        <v>0</v>
      </c>
      <c r="E267" s="156">
        <f>$J$16*F821EO!E55*0.5</f>
        <v>0</v>
      </c>
      <c r="F267" s="156">
        <f>$J$16*F821EO!F55*0.5</f>
        <v>0</v>
      </c>
      <c r="G267" s="156">
        <f>$J$16*F821EO!G55*0.5</f>
        <v>0</v>
      </c>
      <c r="H267" s="156">
        <f>$J$16*F821EO!H55*0.5</f>
        <v>0</v>
      </c>
      <c r="I267" s="156">
        <f>$J$16*F821EO!I55*0.5</f>
        <v>0</v>
      </c>
      <c r="J267" s="156">
        <f t="shared" si="65"/>
        <v>0</v>
      </c>
      <c r="K267" s="69"/>
      <c r="L267" s="319">
        <v>0.5</v>
      </c>
      <c r="N267" s="60"/>
      <c r="O267" s="60"/>
    </row>
    <row r="268" spans="2:15" s="37" customFormat="1" ht="15.75">
      <c r="B268" s="48"/>
      <c r="C268" s="160" t="str">
        <f>F801ENE!$C$56</f>
        <v xml:space="preserve">    - Cruz Roja</v>
      </c>
      <c r="D268" s="156">
        <f>$J$16*F821EO!D56*0</f>
        <v>0</v>
      </c>
      <c r="E268" s="156">
        <f>$J$16*F821EO!E56*0</f>
        <v>0</v>
      </c>
      <c r="F268" s="156">
        <f>$J$16*F821EO!F56*0</f>
        <v>0</v>
      </c>
      <c r="G268" s="156">
        <f>$J$16*F821EO!G56*0</f>
        <v>0</v>
      </c>
      <c r="H268" s="156">
        <f>$J$16*F821EO!H56*0</f>
        <v>0</v>
      </c>
      <c r="I268" s="156">
        <f>$J$16*F821EO!I56*0</f>
        <v>0</v>
      </c>
      <c r="J268" s="156">
        <f t="shared" si="65"/>
        <v>0</v>
      </c>
      <c r="K268" s="69"/>
      <c r="L268" s="319">
        <v>0</v>
      </c>
      <c r="N268" s="60"/>
      <c r="O268" s="60"/>
    </row>
    <row r="269" spans="2:15" s="37" customFormat="1" ht="15.75">
      <c r="B269" s="48" t="s">
        <v>751</v>
      </c>
      <c r="C269" s="158" t="s">
        <v>634</v>
      </c>
      <c r="D269" s="159">
        <f t="shared" ref="D269:I269" si="66">SUM(D270:D274)</f>
        <v>26620.090878955216</v>
      </c>
      <c r="E269" s="159">
        <f t="shared" si="66"/>
        <v>26734.349807747636</v>
      </c>
      <c r="F269" s="159">
        <f t="shared" si="66"/>
        <v>26408.46403764034</v>
      </c>
      <c r="G269" s="159">
        <f t="shared" si="66"/>
        <v>26210.433593353726</v>
      </c>
      <c r="H269" s="159">
        <f t="shared" si="66"/>
        <v>24334.270799406808</v>
      </c>
      <c r="I269" s="159">
        <f t="shared" si="66"/>
        <v>26091.4573198213</v>
      </c>
      <c r="J269" s="159">
        <f t="shared" si="65"/>
        <v>156399.066436925</v>
      </c>
      <c r="K269" s="69"/>
      <c r="L269" s="319"/>
      <c r="N269" s="60"/>
      <c r="O269" s="60"/>
    </row>
    <row r="270" spans="2:15" s="37" customFormat="1" ht="15.75">
      <c r="B270" s="48"/>
      <c r="C270" s="160" t="s">
        <v>304</v>
      </c>
      <c r="D270" s="156">
        <f>$J$18*F821EO!D66*$L270</f>
        <v>19549.133740626883</v>
      </c>
      <c r="E270" s="156">
        <f>$J$18*F821EO!E66*$L270</f>
        <v>19633.353683159134</v>
      </c>
      <c r="F270" s="156">
        <f>$J$18*F821EO!F66*$L270</f>
        <v>19392.872206474301</v>
      </c>
      <c r="G270" s="156">
        <f>$J$18*F821EO!G66*$L270</f>
        <v>19246.662161482789</v>
      </c>
      <c r="H270" s="156">
        <f>$J$18*F821EO!H66*$L270</f>
        <v>17862.039708583463</v>
      </c>
      <c r="I270" s="156">
        <f>$J$18*F821EO!I66*$L270</f>
        <v>19158.922248673462</v>
      </c>
      <c r="J270" s="156">
        <f t="shared" si="65"/>
        <v>114842.98374900005</v>
      </c>
      <c r="K270" s="69"/>
      <c r="L270" s="319">
        <v>1</v>
      </c>
      <c r="N270" s="60"/>
      <c r="O270" s="60"/>
    </row>
    <row r="271" spans="2:15" s="37" customFormat="1" ht="15.75">
      <c r="B271" s="48"/>
      <c r="C271" s="162" t="s">
        <v>644</v>
      </c>
      <c r="D271" s="156">
        <f>$J$18*F821EO!D67*$L271</f>
        <v>7070.4964995265727</v>
      </c>
      <c r="E271" s="156">
        <f>$J$18*F821EO!E67*$L271</f>
        <v>7100.5334805007415</v>
      </c>
      <c r="F271" s="156">
        <f>$J$18*F821EO!F67*$L271</f>
        <v>7015.1348132300882</v>
      </c>
      <c r="G271" s="156">
        <f>$J$18*F821EO!G67*$L271</f>
        <v>6963.3178078449473</v>
      </c>
      <c r="H271" s="156">
        <f>$J$18*F821EO!H67*$L271</f>
        <v>6471.8098106955749</v>
      </c>
      <c r="I271" s="156">
        <f>$J$18*F821EO!I67*$L271</f>
        <v>6932.0835204520754</v>
      </c>
      <c r="J271" s="156">
        <f t="shared" si="65"/>
        <v>41553.375932249997</v>
      </c>
      <c r="K271" s="69"/>
      <c r="L271" s="319">
        <v>0.75</v>
      </c>
      <c r="N271" s="60"/>
      <c r="O271" s="60"/>
    </row>
    <row r="272" spans="2:15" s="37" customFormat="1" ht="15.75">
      <c r="B272" s="48"/>
      <c r="C272" s="160" t="s">
        <v>305</v>
      </c>
      <c r="D272" s="156">
        <f>$J$18*F821EO!D68*$L272</f>
        <v>0.46063880176043359</v>
      </c>
      <c r="E272" s="156">
        <f>$J$18*F821EO!E68*$L272</f>
        <v>0.46264408776121629</v>
      </c>
      <c r="F272" s="156">
        <f>$J$18*F821EO!F68*$L272</f>
        <v>0.45701793594973</v>
      </c>
      <c r="G272" s="156">
        <f>$J$18*F821EO!G68*$L272</f>
        <v>0.4536240259889549</v>
      </c>
      <c r="H272" s="156">
        <f>$J$18*F821EO!H68*$L272</f>
        <v>0.42128012777324797</v>
      </c>
      <c r="I272" s="156">
        <f>$J$18*F821EO!I68*$L272</f>
        <v>0.45155069576641693</v>
      </c>
      <c r="J272" s="156">
        <f t="shared" si="65"/>
        <v>2.7067556749999997</v>
      </c>
      <c r="K272" s="69"/>
      <c r="L272" s="319">
        <v>0.95</v>
      </c>
      <c r="N272" s="60"/>
      <c r="O272" s="60"/>
    </row>
    <row r="273" spans="2:15" s="37" customFormat="1" ht="15.75">
      <c r="B273" s="48"/>
      <c r="C273" s="160" t="s">
        <v>307</v>
      </c>
      <c r="D273" s="156">
        <f>$J$18*F821EO!D69*$L273</f>
        <v>0</v>
      </c>
      <c r="E273" s="156">
        <f>$J$18*F821EO!E69*$L273</f>
        <v>0</v>
      </c>
      <c r="F273" s="156">
        <f>$J$18*F821EO!F69*$L273</f>
        <v>0</v>
      </c>
      <c r="G273" s="156">
        <f>$J$18*F821EO!G69*$L273</f>
        <v>0</v>
      </c>
      <c r="H273" s="156">
        <f>$J$18*F821EO!H69*$L273</f>
        <v>0</v>
      </c>
      <c r="I273" s="156">
        <f>$J$18*F821EO!I69*$L273</f>
        <v>0</v>
      </c>
      <c r="J273" s="156">
        <f t="shared" si="65"/>
        <v>0</v>
      </c>
      <c r="K273" s="69"/>
      <c r="L273" s="319">
        <v>0.5</v>
      </c>
      <c r="N273" s="60"/>
      <c r="O273" s="60"/>
    </row>
    <row r="274" spans="2:15" s="37" customFormat="1" ht="15.75">
      <c r="B274" s="48"/>
      <c r="C274" s="160" t="s">
        <v>624</v>
      </c>
      <c r="D274" s="156">
        <f>$J$18*F821EO!D70*$L274</f>
        <v>0</v>
      </c>
      <c r="E274" s="156">
        <f>$J$18*F821EO!E70*$L274</f>
        <v>0</v>
      </c>
      <c r="F274" s="156">
        <f>$J$18*F821EO!F70*$L274</f>
        <v>0</v>
      </c>
      <c r="G274" s="156">
        <f>$J$18*F821EO!G70*$L274</f>
        <v>0</v>
      </c>
      <c r="H274" s="156">
        <f>$J$18*F821EO!H70*$L274</f>
        <v>0</v>
      </c>
      <c r="I274" s="156">
        <f>$J$18*F821EO!I70*$L274</f>
        <v>0</v>
      </c>
      <c r="J274" s="156">
        <f t="shared" si="65"/>
        <v>0</v>
      </c>
      <c r="K274" s="69"/>
      <c r="L274" s="319">
        <v>0</v>
      </c>
      <c r="N274" s="60"/>
      <c r="O274" s="60"/>
    </row>
    <row r="275" spans="2:15" s="37" customFormat="1" ht="15.75">
      <c r="B275" s="48" t="s">
        <v>750</v>
      </c>
      <c r="C275" s="158" t="s">
        <v>635</v>
      </c>
      <c r="D275" s="159">
        <f t="shared" ref="D275:I275" si="67">SUM(D276:D281)</f>
        <v>30913.46985099079</v>
      </c>
      <c r="E275" s="159">
        <f t="shared" si="67"/>
        <v>31039.591127963646</v>
      </c>
      <c r="F275" s="159">
        <f t="shared" si="67"/>
        <v>30685.737637423725</v>
      </c>
      <c r="G275" s="159">
        <f t="shared" si="67"/>
        <v>30472.279677802602</v>
      </c>
      <c r="H275" s="159">
        <f t="shared" si="67"/>
        <v>28438.02932964635</v>
      </c>
      <c r="I275" s="159">
        <f t="shared" si="67"/>
        <v>30341.878799747883</v>
      </c>
      <c r="J275" s="159">
        <f t="shared" si="65"/>
        <v>181890.986423575</v>
      </c>
      <c r="K275" s="69"/>
      <c r="L275" s="319"/>
      <c r="N275" s="60"/>
      <c r="O275" s="60"/>
    </row>
    <row r="276" spans="2:15" s="37" customFormat="1" ht="15.75">
      <c r="B276" s="48"/>
      <c r="C276" s="160" t="s">
        <v>304</v>
      </c>
      <c r="D276" s="156">
        <f>$J$18*F821EO!D72*$L276</f>
        <v>19508.297089468379</v>
      </c>
      <c r="E276" s="156">
        <f>$J$18*F821EO!E72*$L276</f>
        <v>19587.887357152635</v>
      </c>
      <c r="F276" s="156">
        <f>$J$18*F821EO!F72*$L276</f>
        <v>19364.584083438218</v>
      </c>
      <c r="G276" s="156">
        <f>$J$18*F821EO!G72*$L276</f>
        <v>19229.87900786848</v>
      </c>
      <c r="H276" s="156">
        <f>$J$18*F821EO!H72*$L276</f>
        <v>17946.142166372672</v>
      </c>
      <c r="I276" s="156">
        <f>$J$18*F821EO!I72*$L276</f>
        <v>19147.588049199618</v>
      </c>
      <c r="J276" s="156">
        <f t="shared" si="65"/>
        <v>114784.3777535</v>
      </c>
      <c r="K276" s="69"/>
      <c r="L276" s="319">
        <v>1</v>
      </c>
      <c r="N276" s="60"/>
      <c r="O276" s="60"/>
    </row>
    <row r="277" spans="2:15" s="37" customFormat="1" ht="15.75">
      <c r="B277" s="48"/>
      <c r="C277" s="162" t="s">
        <v>642</v>
      </c>
      <c r="D277" s="156">
        <f>$J$18*F821EO!D73*$L277</f>
        <v>8283.2398857433182</v>
      </c>
      <c r="E277" s="156">
        <f>$J$18*F821EO!E73*$L277</f>
        <v>8317.0339825204846</v>
      </c>
      <c r="F277" s="156">
        <f>$J$18*F821EO!F73*$L277</f>
        <v>8222.2192185784861</v>
      </c>
      <c r="G277" s="156">
        <f>$J$18*F821EO!G73*$L277</f>
        <v>8165.0233265098923</v>
      </c>
      <c r="H277" s="156">
        <f>$J$18*F821EO!H73*$L277</f>
        <v>7619.9475487775162</v>
      </c>
      <c r="I277" s="156">
        <f>$J$18*F821EO!I73*$L277</f>
        <v>8130.082513995304</v>
      </c>
      <c r="J277" s="156">
        <f t="shared" si="65"/>
        <v>48737.546476124997</v>
      </c>
      <c r="K277" s="69"/>
      <c r="L277" s="319">
        <v>0.75</v>
      </c>
      <c r="N277" s="60"/>
      <c r="O277" s="60"/>
    </row>
    <row r="278" spans="2:15" s="37" customFormat="1" ht="15.75">
      <c r="B278" s="48"/>
      <c r="C278" s="162" t="s">
        <v>1177</v>
      </c>
      <c r="D278" s="156">
        <f>$J$18*F821EO!D74*$L278</f>
        <v>3120.2153851316702</v>
      </c>
      <c r="E278" s="156">
        <f>$J$18*F821EO!E74*$L278</f>
        <v>3132.9452905968301</v>
      </c>
      <c r="F278" s="156">
        <f>$J$18*F821EO!F74*$L278</f>
        <v>3097.2294971065744</v>
      </c>
      <c r="G278" s="156">
        <f>$J$18*F821EO!G74*$L278</f>
        <v>3075.6843644217274</v>
      </c>
      <c r="H278" s="156">
        <f>$J$18*F821EO!H74*$L278</f>
        <v>2870.3596543803801</v>
      </c>
      <c r="I278" s="156">
        <f>$J$18*F821EO!I74*$L278</f>
        <v>3062.5225023628172</v>
      </c>
      <c r="J278" s="156">
        <f t="shared" si="65"/>
        <v>18358.956694</v>
      </c>
      <c r="K278" s="69"/>
      <c r="L278" s="319">
        <v>1</v>
      </c>
      <c r="N278" s="60"/>
      <c r="O278" s="60"/>
    </row>
    <row r="279" spans="2:15" s="37" customFormat="1" ht="15.75">
      <c r="B279" s="48"/>
      <c r="C279" s="160" t="s">
        <v>305</v>
      </c>
      <c r="D279" s="156">
        <f>$J$18*F821EO!D75*$L279</f>
        <v>1.5790705115716765</v>
      </c>
      <c r="E279" s="156">
        <f>$J$18*F821EO!E75*$L279</f>
        <v>1.585512829121585</v>
      </c>
      <c r="F279" s="156">
        <f>$J$18*F821EO!F75*$L279</f>
        <v>1.5674378729609975</v>
      </c>
      <c r="G279" s="156">
        <f>$J$18*F821EO!G75*$L279</f>
        <v>1.5565343680771171</v>
      </c>
      <c r="H279" s="156">
        <f>$J$18*F821EO!H75*$L279</f>
        <v>1.4526241712143406</v>
      </c>
      <c r="I279" s="156">
        <f>$J$18*F821EO!I75*$L279</f>
        <v>1.5498734470542814</v>
      </c>
      <c r="J279" s="156">
        <f t="shared" si="65"/>
        <v>9.2910531999999986</v>
      </c>
      <c r="K279" s="69"/>
      <c r="L279" s="319">
        <v>0.95</v>
      </c>
      <c r="N279" s="60"/>
      <c r="O279" s="60"/>
    </row>
    <row r="280" spans="2:15" s="37" customFormat="1" ht="15.75">
      <c r="B280" s="48"/>
      <c r="C280" s="160" t="s">
        <v>307</v>
      </c>
      <c r="D280" s="156">
        <f>$J$18*F821EO!D76*$L280</f>
        <v>0.13842013585396212</v>
      </c>
      <c r="E280" s="156">
        <f>$J$18*F821EO!E76*$L280</f>
        <v>0.13898486457502798</v>
      </c>
      <c r="F280" s="156">
        <f>$J$18*F821EO!F76*$L280</f>
        <v>0.13740042748436715</v>
      </c>
      <c r="G280" s="156">
        <f>$J$18*F821EO!G76*$L280</f>
        <v>0.13644463443000329</v>
      </c>
      <c r="H280" s="156">
        <f>$J$18*F821EO!H76*$L280</f>
        <v>0.12733594456406336</v>
      </c>
      <c r="I280" s="156">
        <f>$J$18*F821EO!I76*$L280</f>
        <v>0.13586074309257609</v>
      </c>
      <c r="J280" s="156">
        <f t="shared" si="65"/>
        <v>0.81444675</v>
      </c>
      <c r="K280" s="69"/>
      <c r="L280" s="319">
        <v>0.5</v>
      </c>
      <c r="N280" s="60"/>
      <c r="O280" s="60"/>
    </row>
    <row r="281" spans="2:15" s="37" customFormat="1" ht="15.75">
      <c r="B281" s="48"/>
      <c r="C281" s="160" t="s">
        <v>624</v>
      </c>
      <c r="D281" s="156">
        <f>$J$18*F821EO!D77*$L281</f>
        <v>0</v>
      </c>
      <c r="E281" s="156">
        <f>$J$18*F821EO!E77*$L281</f>
        <v>0</v>
      </c>
      <c r="F281" s="156">
        <f>$J$18*F821EO!F77*$L281</f>
        <v>0</v>
      </c>
      <c r="G281" s="156">
        <f>$J$18*F821EO!G77*$L281</f>
        <v>0</v>
      </c>
      <c r="H281" s="156">
        <f>$J$18*F821EO!H77*$L281</f>
        <v>0</v>
      </c>
      <c r="I281" s="156">
        <f>$J$18*F821EO!I77*$L281</f>
        <v>0</v>
      </c>
      <c r="J281" s="156">
        <f t="shared" si="65"/>
        <v>0</v>
      </c>
      <c r="K281" s="69"/>
      <c r="L281" s="319">
        <v>0</v>
      </c>
      <c r="N281" s="60"/>
      <c r="O281" s="60"/>
    </row>
    <row r="282" spans="2:15" s="37" customFormat="1" ht="15.75">
      <c r="B282" s="48" t="s">
        <v>749</v>
      </c>
      <c r="C282" s="158" t="s">
        <v>636</v>
      </c>
      <c r="D282" s="159">
        <f t="shared" ref="D282:I282" si="68">SUM(D283:D288)</f>
        <v>34570.038184218749</v>
      </c>
      <c r="E282" s="159">
        <f t="shared" si="68"/>
        <v>34711.077588135893</v>
      </c>
      <c r="F282" s="159">
        <f t="shared" si="68"/>
        <v>34315.368897440581</v>
      </c>
      <c r="G282" s="159">
        <f t="shared" si="68"/>
        <v>34076.662280215263</v>
      </c>
      <c r="H282" s="159">
        <f t="shared" si="68"/>
        <v>31801.792699058606</v>
      </c>
      <c r="I282" s="159">
        <f t="shared" si="68"/>
        <v>33930.837066955908</v>
      </c>
      <c r="J282" s="159">
        <f t="shared" si="65"/>
        <v>203405.77671602502</v>
      </c>
      <c r="K282" s="69"/>
      <c r="L282" s="319"/>
      <c r="N282" s="60"/>
      <c r="O282" s="60"/>
    </row>
    <row r="283" spans="2:15" s="37" customFormat="1" ht="15.75">
      <c r="B283" s="48"/>
      <c r="C283" s="160" t="s">
        <v>304</v>
      </c>
      <c r="D283" s="156">
        <f>$J$18*F821EO!D79*$L283</f>
        <v>30095.985692314265</v>
      </c>
      <c r="E283" s="156">
        <f>$J$18*F821EO!E79*$L283</f>
        <v>30218.771784123688</v>
      </c>
      <c r="F283" s="156">
        <f>$J$18*F821EO!F79*$L283</f>
        <v>29874.275691003175</v>
      </c>
      <c r="G283" s="156">
        <f>$J$18*F821EO!G79*$L283</f>
        <v>29666.462471405583</v>
      </c>
      <c r="H283" s="156">
        <f>$J$18*F821EO!H79*$L283</f>
        <v>27686.006389710376</v>
      </c>
      <c r="I283" s="156">
        <f>$J$18*F821EO!I79*$L283</f>
        <v>29539.509949442916</v>
      </c>
      <c r="J283" s="156">
        <f t="shared" si="65"/>
        <v>177081.01197799999</v>
      </c>
      <c r="K283" s="69"/>
      <c r="L283" s="319">
        <v>1</v>
      </c>
      <c r="N283" s="60"/>
      <c r="O283" s="60"/>
    </row>
    <row r="284" spans="2:15" s="37" customFormat="1" ht="15.75">
      <c r="B284" s="48"/>
      <c r="C284" s="162" t="s">
        <v>642</v>
      </c>
      <c r="D284" s="156">
        <f>$J$18*F821EO!D80*$L284</f>
        <v>4463.2952390334704</v>
      </c>
      <c r="E284" s="156">
        <f>$J$18*F821EO!E80*$L284</f>
        <v>4481.5046635260023</v>
      </c>
      <c r="F284" s="156">
        <f>$J$18*F821EO!F80*$L284</f>
        <v>4430.4151997014942</v>
      </c>
      <c r="G284" s="156">
        <f>$J$18*F821EO!G80*$L284</f>
        <v>4399.5960810615279</v>
      </c>
      <c r="H284" s="156">
        <f>$J$18*F821EO!H80*$L284</f>
        <v>4105.8904589591602</v>
      </c>
      <c r="I284" s="156">
        <f>$J$18*F821EO!I80*$L284</f>
        <v>4380.7687665933408</v>
      </c>
      <c r="J284" s="156">
        <f t="shared" si="65"/>
        <v>26261.470408874993</v>
      </c>
      <c r="K284" s="69"/>
      <c r="L284" s="319">
        <v>0.75</v>
      </c>
      <c r="N284" s="60"/>
      <c r="O284" s="60"/>
    </row>
    <row r="285" spans="2:15" s="37" customFormat="1" ht="15.75">
      <c r="B285" s="48"/>
      <c r="C285" s="162" t="s">
        <v>1177</v>
      </c>
      <c r="D285" s="156">
        <f>$J$18*F821EO!D81*$L285</f>
        <v>0</v>
      </c>
      <c r="E285" s="156">
        <f>$J$18*F821EO!E81*$L285</f>
        <v>0</v>
      </c>
      <c r="F285" s="156">
        <f>$J$18*F821EO!F81*$L285</f>
        <v>0</v>
      </c>
      <c r="G285" s="156">
        <f>$J$18*F821EO!G81*$L285</f>
        <v>0</v>
      </c>
      <c r="H285" s="156">
        <f>$J$18*F821EO!H81*$L285</f>
        <v>0</v>
      </c>
      <c r="I285" s="156">
        <f>$J$18*F821EO!I81*$L285</f>
        <v>0</v>
      </c>
      <c r="J285" s="156">
        <f t="shared" si="65"/>
        <v>0</v>
      </c>
      <c r="K285" s="69"/>
      <c r="L285" s="319">
        <v>1</v>
      </c>
      <c r="N285" s="60"/>
      <c r="O285" s="60"/>
    </row>
    <row r="286" spans="2:15" s="37" customFormat="1" ht="15.75">
      <c r="B286" s="48"/>
      <c r="C286" s="160" t="s">
        <v>305</v>
      </c>
      <c r="D286" s="156">
        <f>$J$18*F821EO!D82*$L286</f>
        <v>10.174670794920292</v>
      </c>
      <c r="E286" s="156">
        <f>$J$18*F821EO!E82*$L286</f>
        <v>10.21618158227672</v>
      </c>
      <c r="F286" s="156">
        <f>$J$18*F821EO!F82*$L286</f>
        <v>10.099716404047568</v>
      </c>
      <c r="G286" s="156">
        <f>$J$18*F821EO!G82*$L286</f>
        <v>10.029460153999642</v>
      </c>
      <c r="H286" s="156">
        <f>$J$18*F821EO!H82*$L286</f>
        <v>9.3599194098932799</v>
      </c>
      <c r="I286" s="156">
        <f>$J$18*F821EO!I82*$L286</f>
        <v>9.9865408048624946</v>
      </c>
      <c r="J286" s="156">
        <f t="shared" si="65"/>
        <v>59.86648915</v>
      </c>
      <c r="K286" s="69"/>
      <c r="L286" s="319">
        <v>0.95</v>
      </c>
      <c r="N286" s="60"/>
      <c r="O286" s="60"/>
    </row>
    <row r="287" spans="2:15" s="37" customFormat="1" ht="15.75">
      <c r="B287" s="48"/>
      <c r="C287" s="160" t="s">
        <v>307</v>
      </c>
      <c r="D287" s="156">
        <f>$J$18*F821EO!D83*$L287</f>
        <v>0.58258207609723478</v>
      </c>
      <c r="E287" s="156">
        <f>$J$18*F821EO!E83*$L287</f>
        <v>0.58495890392449101</v>
      </c>
      <c r="F287" s="156">
        <f>$J$18*F821EO!F83*$L287</f>
        <v>0.57829033187008616</v>
      </c>
      <c r="G287" s="156">
        <f>$J$18*F821EO!G83*$L287</f>
        <v>0.5742675941484725</v>
      </c>
      <c r="H287" s="156">
        <f>$J$18*F821EO!H83*$L287</f>
        <v>0.53593097917632915</v>
      </c>
      <c r="I287" s="156">
        <f>$J$18*F821EO!I83*$L287</f>
        <v>0.57181011478338639</v>
      </c>
      <c r="J287" s="156">
        <f t="shared" si="65"/>
        <v>3.4278399999999998</v>
      </c>
      <c r="K287" s="69"/>
      <c r="L287" s="319">
        <v>0.5</v>
      </c>
      <c r="N287" s="60"/>
      <c r="O287" s="60"/>
    </row>
    <row r="288" spans="2:15" s="37" customFormat="1" ht="15.75">
      <c r="B288" s="48"/>
      <c r="C288" s="160" t="s">
        <v>624</v>
      </c>
      <c r="D288" s="156">
        <f>$J$18*F821EO!D84*$L288</f>
        <v>0</v>
      </c>
      <c r="E288" s="156">
        <f>$J$18*F821EO!E84*$L288</f>
        <v>0</v>
      </c>
      <c r="F288" s="156">
        <f>$J$18*F821EO!F84*$L288</f>
        <v>0</v>
      </c>
      <c r="G288" s="156">
        <f>$J$18*F821EO!G84*$L288</f>
        <v>0</v>
      </c>
      <c r="H288" s="156">
        <f>$J$18*F821EO!H84*$L288</f>
        <v>0</v>
      </c>
      <c r="I288" s="156">
        <f>$J$18*F821EO!I84*$L288</f>
        <v>0</v>
      </c>
      <c r="J288" s="156">
        <f t="shared" si="65"/>
        <v>0</v>
      </c>
      <c r="K288" s="69"/>
      <c r="L288" s="319">
        <v>0</v>
      </c>
      <c r="N288" s="60"/>
      <c r="O288" s="60"/>
    </row>
    <row r="289" spans="2:15" s="37" customFormat="1" ht="15.75">
      <c r="B289" s="48"/>
      <c r="C289" s="157"/>
      <c r="D289" s="156"/>
      <c r="E289" s="156"/>
      <c r="F289" s="156"/>
      <c r="G289" s="156"/>
      <c r="H289" s="156"/>
      <c r="I289" s="156"/>
      <c r="J289" s="156"/>
      <c r="K289" s="69"/>
      <c r="L289" s="319"/>
      <c r="N289" s="60"/>
      <c r="O289" s="60"/>
    </row>
    <row r="290" spans="2:15" s="37" customFormat="1" ht="15.75">
      <c r="B290" s="48" t="s">
        <v>902</v>
      </c>
      <c r="C290" s="158" t="s">
        <v>898</v>
      </c>
      <c r="D290" s="159">
        <f t="shared" ref="D290:I290" si="69">SUM(D291:D295)</f>
        <v>6045.1343524469612</v>
      </c>
      <c r="E290" s="159">
        <f t="shared" si="69"/>
        <v>6069.7973898762129</v>
      </c>
      <c r="F290" s="159">
        <f t="shared" si="69"/>
        <v>6000.6012788700082</v>
      </c>
      <c r="G290" s="159">
        <f t="shared" si="69"/>
        <v>5958.859538110115</v>
      </c>
      <c r="H290" s="159">
        <f t="shared" si="69"/>
        <v>5561.0615322443173</v>
      </c>
      <c r="I290" s="159">
        <f t="shared" si="69"/>
        <v>5933.359623952384</v>
      </c>
      <c r="J290" s="159">
        <f t="shared" ref="J290:J309" si="70">SUM(D290:I290)</f>
        <v>35568.813715499993</v>
      </c>
      <c r="K290" s="69"/>
      <c r="L290" s="319"/>
      <c r="N290" s="60"/>
      <c r="O290" s="60"/>
    </row>
    <row r="291" spans="2:15" s="37" customFormat="1" ht="15.75">
      <c r="B291" s="48"/>
      <c r="C291" s="160" t="s">
        <v>304</v>
      </c>
      <c r="D291" s="156">
        <f>$J$17*F821EO!D87*$L291</f>
        <v>5878.061077792886</v>
      </c>
      <c r="E291" s="156">
        <f>$J$17*F821EO!E87*$L291</f>
        <v>5902.0424869594754</v>
      </c>
      <c r="F291" s="156">
        <f>$J$17*F821EO!F87*$L291</f>
        <v>5834.758793475381</v>
      </c>
      <c r="G291" s="156">
        <f>$J$17*F821EO!G87*$L291</f>
        <v>5794.170696110642</v>
      </c>
      <c r="H291" s="156">
        <f>$J$17*F821EO!H87*$L291</f>
        <v>5407.3668901444635</v>
      </c>
      <c r="I291" s="156">
        <f>$J$17*F821EO!I87*$L291</f>
        <v>5769.3755395171502</v>
      </c>
      <c r="J291" s="156">
        <f t="shared" si="70"/>
        <v>34585.775483999998</v>
      </c>
      <c r="K291" s="69"/>
      <c r="L291" s="319">
        <v>1</v>
      </c>
      <c r="N291" s="60"/>
      <c r="O291" s="60"/>
    </row>
    <row r="292" spans="2:15" s="37" customFormat="1" ht="15.75">
      <c r="B292" s="48"/>
      <c r="C292" s="162" t="s">
        <v>644</v>
      </c>
      <c r="D292" s="156">
        <f>$J$17*F821EO!D88*$L292</f>
        <v>167.07327465407491</v>
      </c>
      <c r="E292" s="156">
        <f>$J$17*F821EO!E88*$L292</f>
        <v>167.75490291673765</v>
      </c>
      <c r="F292" s="156">
        <f>$J$17*F821EO!F88*$L292</f>
        <v>165.84248539462681</v>
      </c>
      <c r="G292" s="156">
        <f>$J$17*F821EO!G88*$L292</f>
        <v>164.68884199947317</v>
      </c>
      <c r="H292" s="156">
        <f>$J$17*F821EO!H88*$L292</f>
        <v>153.69464209985352</v>
      </c>
      <c r="I292" s="156">
        <f>$J$17*F821EO!I88*$L292</f>
        <v>163.98408443523391</v>
      </c>
      <c r="J292" s="156">
        <f t="shared" si="70"/>
        <v>983.03823149999994</v>
      </c>
      <c r="K292" s="69"/>
      <c r="L292" s="319">
        <v>0.75</v>
      </c>
      <c r="N292" s="60"/>
      <c r="O292" s="60"/>
    </row>
    <row r="293" spans="2:15" s="37" customFormat="1" ht="15.75">
      <c r="B293" s="48"/>
      <c r="C293" s="160" t="s">
        <v>305</v>
      </c>
      <c r="D293" s="156">
        <f>$J$17*F821EO!D89*$L293</f>
        <v>0</v>
      </c>
      <c r="E293" s="156">
        <f>$J$17*F821EO!E89*$L293</f>
        <v>0</v>
      </c>
      <c r="F293" s="156">
        <f>$J$17*F821EO!F89*$L293</f>
        <v>0</v>
      </c>
      <c r="G293" s="156">
        <f>$J$17*F821EO!G89*$L293</f>
        <v>0</v>
      </c>
      <c r="H293" s="156">
        <f>$J$17*F821EO!H89*$L293</f>
        <v>0</v>
      </c>
      <c r="I293" s="156">
        <f>$J$17*F821EO!I89*$L293</f>
        <v>0</v>
      </c>
      <c r="J293" s="156">
        <f t="shared" si="70"/>
        <v>0</v>
      </c>
      <c r="K293" s="69"/>
      <c r="L293" s="319">
        <v>0.95</v>
      </c>
      <c r="N293" s="60"/>
      <c r="O293" s="60"/>
    </row>
    <row r="294" spans="2:15" s="37" customFormat="1" ht="15.75">
      <c r="B294" s="48"/>
      <c r="C294" s="160" t="s">
        <v>307</v>
      </c>
      <c r="D294" s="156">
        <f>$J$17*F821EO!D90*$L294</f>
        <v>0</v>
      </c>
      <c r="E294" s="156">
        <f>$J$17*F821EO!E90*$L294</f>
        <v>0</v>
      </c>
      <c r="F294" s="156">
        <f>$J$17*F821EO!F90*$L294</f>
        <v>0</v>
      </c>
      <c r="G294" s="156">
        <f>$J$17*F821EO!G90*$L294</f>
        <v>0</v>
      </c>
      <c r="H294" s="156">
        <f>$J$17*F821EO!H90*$L294</f>
        <v>0</v>
      </c>
      <c r="I294" s="156">
        <f>$J$17*F821EO!I90*$L294</f>
        <v>0</v>
      </c>
      <c r="J294" s="156">
        <f t="shared" si="70"/>
        <v>0</v>
      </c>
      <c r="K294" s="69"/>
      <c r="L294" s="319">
        <v>0.5</v>
      </c>
      <c r="N294" s="60"/>
      <c r="O294" s="60"/>
    </row>
    <row r="295" spans="2:15" s="37" customFormat="1" ht="15.75">
      <c r="B295" s="48"/>
      <c r="C295" s="160" t="s">
        <v>624</v>
      </c>
      <c r="D295" s="156">
        <f>$J$17*F821EO!D91*$L295</f>
        <v>0</v>
      </c>
      <c r="E295" s="156">
        <f>$J$17*F821EO!E91*$L295</f>
        <v>0</v>
      </c>
      <c r="F295" s="156">
        <f>$J$17*F821EO!F91*$L295</f>
        <v>0</v>
      </c>
      <c r="G295" s="156">
        <f>$J$17*F821EO!G91*$L295</f>
        <v>0</v>
      </c>
      <c r="H295" s="156">
        <f>$J$17*F821EO!H91*$L295</f>
        <v>0</v>
      </c>
      <c r="I295" s="156">
        <f>$J$17*F821EO!I91*$L295</f>
        <v>0</v>
      </c>
      <c r="J295" s="156">
        <f t="shared" si="70"/>
        <v>0</v>
      </c>
      <c r="K295" s="69"/>
      <c r="L295" s="319">
        <v>0</v>
      </c>
      <c r="N295" s="60"/>
      <c r="O295" s="60"/>
    </row>
    <row r="296" spans="2:15" s="37" customFormat="1" ht="15.75">
      <c r="B296" s="48" t="s">
        <v>902</v>
      </c>
      <c r="C296" s="158" t="s">
        <v>899</v>
      </c>
      <c r="D296" s="159">
        <f t="shared" ref="D296:I296" si="71">SUM(D297:D302)</f>
        <v>2525.8309869823602</v>
      </c>
      <c r="E296" s="159">
        <f t="shared" si="71"/>
        <v>2536.1359133148408</v>
      </c>
      <c r="F296" s="159">
        <f t="shared" si="71"/>
        <v>2507.2237880967473</v>
      </c>
      <c r="G296" s="159">
        <f t="shared" si="71"/>
        <v>2489.7828883392017</v>
      </c>
      <c r="H296" s="159">
        <f t="shared" si="71"/>
        <v>2323.5714410503733</v>
      </c>
      <c r="I296" s="159">
        <f t="shared" si="71"/>
        <v>2479.1282908414778</v>
      </c>
      <c r="J296" s="159">
        <f t="shared" si="70"/>
        <v>14861.673308625001</v>
      </c>
      <c r="K296" s="69"/>
      <c r="L296" s="319"/>
      <c r="N296" s="60"/>
      <c r="O296" s="60"/>
    </row>
    <row r="297" spans="2:15" s="37" customFormat="1" ht="15.75">
      <c r="B297" s="48"/>
      <c r="C297" s="160" t="s">
        <v>304</v>
      </c>
      <c r="D297" s="156">
        <f>$J$17*F821EO!D93*$L297</f>
        <v>2338.5689961266717</v>
      </c>
      <c r="E297" s="156">
        <f>$J$17*F821EO!E93*$L297</f>
        <v>2348.1099279438477</v>
      </c>
      <c r="F297" s="156">
        <f>$J$17*F821EO!F93*$L297</f>
        <v>2321.3413119930456</v>
      </c>
      <c r="G297" s="156">
        <f>$J$17*F821EO!G93*$L297</f>
        <v>2305.1934590101041</v>
      </c>
      <c r="H297" s="156">
        <f>$J$17*F821EO!H93*$L297</f>
        <v>2151.3047232101776</v>
      </c>
      <c r="I297" s="156">
        <f>$J$17*F821EO!I93*$L297</f>
        <v>2295.3287802161544</v>
      </c>
      <c r="J297" s="156">
        <f t="shared" si="70"/>
        <v>13759.847198500001</v>
      </c>
      <c r="K297" s="69"/>
      <c r="L297" s="319">
        <v>1</v>
      </c>
      <c r="N297" s="60"/>
      <c r="O297" s="60"/>
    </row>
    <row r="298" spans="2:15" s="37" customFormat="1" ht="15.75">
      <c r="B298" s="48"/>
      <c r="C298" s="162" t="s">
        <v>642</v>
      </c>
      <c r="D298" s="156">
        <f>$J$17*F821EO!D94*$L298</f>
        <v>153.54334641813489</v>
      </c>
      <c r="E298" s="156">
        <f>$J$17*F821EO!E94*$L298</f>
        <v>154.1697750595745</v>
      </c>
      <c r="F298" s="156">
        <f>$J$17*F821EO!F94*$L298</f>
        <v>152.41222893676368</v>
      </c>
      <c r="G298" s="156">
        <f>$J$17*F821EO!G94*$L298</f>
        <v>151.35200989316246</v>
      </c>
      <c r="H298" s="156">
        <f>$J$17*F821EO!H94*$L298</f>
        <v>141.24814231007531</v>
      </c>
      <c r="I298" s="156">
        <f>$J$17*F821EO!I94*$L298</f>
        <v>150.70432500728921</v>
      </c>
      <c r="J298" s="156">
        <f t="shared" si="70"/>
        <v>903.42982762500003</v>
      </c>
      <c r="K298" s="69"/>
      <c r="L298" s="319">
        <v>0.75</v>
      </c>
      <c r="N298" s="60"/>
      <c r="O298" s="60"/>
    </row>
    <row r="299" spans="2:15" s="37" customFormat="1" ht="15.75">
      <c r="B299" s="48"/>
      <c r="C299" s="162" t="s">
        <v>1177</v>
      </c>
      <c r="D299" s="156">
        <f>$J$17*F821EO!D95*$L299</f>
        <v>33.718644437553529</v>
      </c>
      <c r="E299" s="156">
        <f>$J$17*F821EO!E95*$L299</f>
        <v>33.856210311418756</v>
      </c>
      <c r="F299" s="156">
        <f>$J$17*F821EO!F95*$L299</f>
        <v>33.470247166937888</v>
      </c>
      <c r="G299" s="156">
        <f>$J$17*F821EO!G95*$L299</f>
        <v>33.237419435935074</v>
      </c>
      <c r="H299" s="156">
        <f>$J$17*F821EO!H95*$L299</f>
        <v>31.018575530120607</v>
      </c>
      <c r="I299" s="156">
        <f>$J$17*F821EO!I95*$L299</f>
        <v>33.095185618034144</v>
      </c>
      <c r="J299" s="156">
        <f t="shared" si="70"/>
        <v>198.39628250000001</v>
      </c>
      <c r="K299" s="69"/>
      <c r="L299" s="319">
        <v>1</v>
      </c>
      <c r="N299" s="60"/>
      <c r="O299" s="60"/>
    </row>
    <row r="300" spans="2:15" s="37" customFormat="1" ht="15.75">
      <c r="B300" s="48"/>
      <c r="C300" s="160" t="s">
        <v>305</v>
      </c>
      <c r="D300" s="156">
        <f>$J$17*F821EO!D96*$L300</f>
        <v>0</v>
      </c>
      <c r="E300" s="156">
        <f>$J$17*F821EO!E96*$L300</f>
        <v>0</v>
      </c>
      <c r="F300" s="156">
        <f>$J$17*F821EO!F96*$L300</f>
        <v>0</v>
      </c>
      <c r="G300" s="156">
        <f>$J$17*F821EO!G96*$L300</f>
        <v>0</v>
      </c>
      <c r="H300" s="156">
        <f>$J$17*F821EO!H96*$L300</f>
        <v>0</v>
      </c>
      <c r="I300" s="156">
        <f>$J$17*F821EO!I96*$L300</f>
        <v>0</v>
      </c>
      <c r="J300" s="156">
        <f t="shared" si="70"/>
        <v>0</v>
      </c>
      <c r="K300" s="69"/>
      <c r="L300" s="319">
        <v>0.95</v>
      </c>
      <c r="N300" s="60"/>
      <c r="O300" s="60"/>
    </row>
    <row r="301" spans="2:15" s="37" customFormat="1" ht="15.75">
      <c r="B301" s="48"/>
      <c r="C301" s="160" t="s">
        <v>307</v>
      </c>
      <c r="D301" s="156">
        <f>$J$17*F821EO!D97*$L301</f>
        <v>0</v>
      </c>
      <c r="E301" s="156">
        <f>$J$17*F821EO!E97*$L301</f>
        <v>0</v>
      </c>
      <c r="F301" s="156">
        <f>$J$17*F821EO!F97*$L301</f>
        <v>0</v>
      </c>
      <c r="G301" s="156">
        <f>$J$17*F821EO!G97*$L301</f>
        <v>0</v>
      </c>
      <c r="H301" s="156">
        <f>$J$17*F821EO!H97*$L301</f>
        <v>0</v>
      </c>
      <c r="I301" s="156">
        <f>$J$17*F821EO!I97*$L301</f>
        <v>0</v>
      </c>
      <c r="J301" s="156">
        <f t="shared" si="70"/>
        <v>0</v>
      </c>
      <c r="K301" s="69"/>
      <c r="L301" s="319">
        <v>0.5</v>
      </c>
      <c r="N301" s="60"/>
      <c r="O301" s="60"/>
    </row>
    <row r="302" spans="2:15" s="37" customFormat="1" ht="15.75">
      <c r="B302" s="48"/>
      <c r="C302" s="160" t="s">
        <v>624</v>
      </c>
      <c r="D302" s="156">
        <f>$J$17*F821EO!D98*$L302</f>
        <v>0</v>
      </c>
      <c r="E302" s="156">
        <f>$J$17*F821EO!E98*$L302</f>
        <v>0</v>
      </c>
      <c r="F302" s="156">
        <f>$J$17*F821EO!F98*$L302</f>
        <v>0</v>
      </c>
      <c r="G302" s="156">
        <f>$J$17*F821EO!G98*$L302</f>
        <v>0</v>
      </c>
      <c r="H302" s="156">
        <f>$J$17*F821EO!H98*$L302</f>
        <v>0</v>
      </c>
      <c r="I302" s="156">
        <f>$J$17*F821EO!I98*$L302</f>
        <v>0</v>
      </c>
      <c r="J302" s="156">
        <f t="shared" si="70"/>
        <v>0</v>
      </c>
      <c r="K302" s="69"/>
      <c r="L302" s="319">
        <v>0</v>
      </c>
      <c r="N302" s="60"/>
      <c r="O302" s="60"/>
    </row>
    <row r="303" spans="2:15" s="37" customFormat="1" ht="15.75">
      <c r="B303" s="48" t="s">
        <v>902</v>
      </c>
      <c r="C303" s="158" t="s">
        <v>900</v>
      </c>
      <c r="D303" s="159">
        <f t="shared" ref="D303:I303" si="72">SUM(D304:D309)</f>
        <v>303.16134697383154</v>
      </c>
      <c r="E303" s="159">
        <f t="shared" si="72"/>
        <v>304.39818956683234</v>
      </c>
      <c r="F303" s="159">
        <f t="shared" si="72"/>
        <v>300.92802910472437</v>
      </c>
      <c r="G303" s="159">
        <f t="shared" si="72"/>
        <v>298.83469558788045</v>
      </c>
      <c r="H303" s="159">
        <f t="shared" si="72"/>
        <v>278.88526646841621</v>
      </c>
      <c r="I303" s="159">
        <f t="shared" si="72"/>
        <v>297.55588392331498</v>
      </c>
      <c r="J303" s="159">
        <f t="shared" si="70"/>
        <v>1783.7634116249999</v>
      </c>
      <c r="K303" s="69"/>
      <c r="L303" s="319"/>
      <c r="N303" s="60"/>
      <c r="O303" s="60"/>
    </row>
    <row r="304" spans="2:15" s="37" customFormat="1" ht="15.75">
      <c r="B304" s="48"/>
      <c r="C304" s="160" t="s">
        <v>304</v>
      </c>
      <c r="D304" s="156">
        <f>$J$17*F821EO!D100*$L304</f>
        <v>284.971046593018</v>
      </c>
      <c r="E304" s="156">
        <f>$J$17*F821EO!E100*$L304</f>
        <v>286.13367610273804</v>
      </c>
      <c r="F304" s="156">
        <f>$J$17*F821EO!F100*$L304</f>
        <v>282.87173236022664</v>
      </c>
      <c r="G304" s="156">
        <f>$J$17*F821EO!G100*$L304</f>
        <v>280.90400313248063</v>
      </c>
      <c r="H304" s="156">
        <f>$J$17*F821EO!H100*$L304</f>
        <v>262.15158053027574</v>
      </c>
      <c r="I304" s="156">
        <f>$J$17*F821EO!I100*$L304</f>
        <v>279.70192278126081</v>
      </c>
      <c r="J304" s="156">
        <f t="shared" si="70"/>
        <v>1676.7339614999996</v>
      </c>
      <c r="K304" s="69"/>
      <c r="L304" s="319">
        <v>1</v>
      </c>
      <c r="N304" s="60"/>
      <c r="O304" s="60"/>
    </row>
    <row r="305" spans="2:15" s="37" customFormat="1" ht="15.75">
      <c r="B305" s="48"/>
      <c r="C305" s="162" t="s">
        <v>642</v>
      </c>
      <c r="D305" s="156">
        <f>$J$17*F821EO!D101*$L305</f>
        <v>18.190300380813557</v>
      </c>
      <c r="E305" s="156">
        <f>$J$17*F821EO!E101*$L305</f>
        <v>18.264513464094293</v>
      </c>
      <c r="F305" s="156">
        <f>$J$17*F821EO!F101*$L305</f>
        <v>18.056296744497729</v>
      </c>
      <c r="G305" s="156">
        <f>$J$17*F821EO!G101*$L305</f>
        <v>17.930692455399807</v>
      </c>
      <c r="H305" s="156">
        <f>$J$17*F821EO!H101*$L305</f>
        <v>16.733685938140443</v>
      </c>
      <c r="I305" s="156">
        <f>$J$17*F821EO!I101*$L305</f>
        <v>17.853961142054175</v>
      </c>
      <c r="J305" s="156">
        <f t="shared" si="70"/>
        <v>107.029450125</v>
      </c>
      <c r="K305" s="69"/>
      <c r="L305" s="319">
        <v>0.75</v>
      </c>
      <c r="N305" s="60"/>
      <c r="O305" s="60"/>
    </row>
    <row r="306" spans="2:15" s="37" customFormat="1" ht="15.75">
      <c r="B306" s="48"/>
      <c r="C306" s="162" t="s">
        <v>1177</v>
      </c>
      <c r="D306" s="156">
        <f>$J$17*F821EO!D102*$L306</f>
        <v>0</v>
      </c>
      <c r="E306" s="156">
        <f>$J$17*F821EO!E102*$L306</f>
        <v>0</v>
      </c>
      <c r="F306" s="156">
        <f>$J$17*F821EO!F102*$L306</f>
        <v>0</v>
      </c>
      <c r="G306" s="156">
        <f>$J$17*F821EO!G102*$L306</f>
        <v>0</v>
      </c>
      <c r="H306" s="156">
        <f>$J$17*F821EO!H102*$L306</f>
        <v>0</v>
      </c>
      <c r="I306" s="156">
        <f>$J$17*F821EO!I102*$L306</f>
        <v>0</v>
      </c>
      <c r="J306" s="156">
        <f t="shared" si="70"/>
        <v>0</v>
      </c>
      <c r="K306" s="69"/>
      <c r="L306" s="319">
        <v>1</v>
      </c>
      <c r="N306" s="60"/>
      <c r="O306" s="60"/>
    </row>
    <row r="307" spans="2:15" s="37" customFormat="1" ht="15.75">
      <c r="B307" s="48"/>
      <c r="C307" s="160" t="s">
        <v>305</v>
      </c>
      <c r="D307" s="156">
        <f>$J$17*F821EO!D103*$L307</f>
        <v>0</v>
      </c>
      <c r="E307" s="156">
        <f>$J$17*F821EO!E103*$L307</f>
        <v>0</v>
      </c>
      <c r="F307" s="156">
        <f>$J$17*F821EO!F103*$L307</f>
        <v>0</v>
      </c>
      <c r="G307" s="156">
        <f>$J$17*F821EO!G103*$L307</f>
        <v>0</v>
      </c>
      <c r="H307" s="156">
        <f>$J$17*F821EO!H103*$L307</f>
        <v>0</v>
      </c>
      <c r="I307" s="156">
        <f>$J$17*F821EO!I103*$L307</f>
        <v>0</v>
      </c>
      <c r="J307" s="156">
        <f t="shared" si="70"/>
        <v>0</v>
      </c>
      <c r="K307" s="69"/>
      <c r="L307" s="319">
        <v>0.95</v>
      </c>
      <c r="N307" s="60"/>
      <c r="O307" s="60"/>
    </row>
    <row r="308" spans="2:15" s="37" customFormat="1" ht="15.75">
      <c r="B308" s="48"/>
      <c r="C308" s="160" t="s">
        <v>307</v>
      </c>
      <c r="D308" s="156">
        <f>$J$17*F821EO!D104*$L308</f>
        <v>0</v>
      </c>
      <c r="E308" s="156">
        <f>$J$17*F821EO!E104*$L308</f>
        <v>0</v>
      </c>
      <c r="F308" s="156">
        <f>$J$17*F821EO!F104*$L308</f>
        <v>0</v>
      </c>
      <c r="G308" s="156">
        <f>$J$17*F821EO!G104*$L308</f>
        <v>0</v>
      </c>
      <c r="H308" s="156">
        <f>$J$17*F821EO!H104*$L308</f>
        <v>0</v>
      </c>
      <c r="I308" s="156">
        <f>$J$17*F821EO!I104*$L308</f>
        <v>0</v>
      </c>
      <c r="J308" s="156">
        <f t="shared" si="70"/>
        <v>0</v>
      </c>
      <c r="K308" s="69"/>
      <c r="L308" s="319">
        <v>0.5</v>
      </c>
      <c r="N308" s="60"/>
      <c r="O308" s="60"/>
    </row>
    <row r="309" spans="2:15" s="37" customFormat="1" ht="15.75">
      <c r="B309" s="48"/>
      <c r="C309" s="160" t="s">
        <v>624</v>
      </c>
      <c r="D309" s="156">
        <f>$J$17*F821EO!D105*$L309</f>
        <v>0</v>
      </c>
      <c r="E309" s="156">
        <f>$J$17*F821EO!E105*$L309</f>
        <v>0</v>
      </c>
      <c r="F309" s="156">
        <f>$J$17*F821EO!F105*$L309</f>
        <v>0</v>
      </c>
      <c r="G309" s="156">
        <f>$J$17*F821EO!G105*$L309</f>
        <v>0</v>
      </c>
      <c r="H309" s="156">
        <f>$J$17*F821EO!H105*$L309</f>
        <v>0</v>
      </c>
      <c r="I309" s="156">
        <f>$J$17*F821EO!I105*$L309</f>
        <v>0</v>
      </c>
      <c r="J309" s="156">
        <f t="shared" si="70"/>
        <v>0</v>
      </c>
      <c r="K309" s="69"/>
      <c r="L309" s="319">
        <v>0</v>
      </c>
      <c r="N309" s="60"/>
      <c r="O309" s="60"/>
    </row>
    <row r="310" spans="2:15" s="37" customFormat="1" ht="15.75">
      <c r="B310" s="48"/>
      <c r="C310" s="157"/>
      <c r="D310" s="156"/>
      <c r="E310" s="156"/>
      <c r="F310" s="156"/>
      <c r="G310" s="156"/>
      <c r="H310" s="156"/>
      <c r="I310" s="156"/>
      <c r="J310" s="156"/>
      <c r="K310" s="69"/>
      <c r="L310" s="319"/>
      <c r="N310" s="60"/>
      <c r="O310" s="60"/>
    </row>
    <row r="311" spans="2:15" s="37" customFormat="1" ht="15.75">
      <c r="B311" s="48"/>
      <c r="C311" s="153" t="s">
        <v>112</v>
      </c>
      <c r="D311" s="154">
        <f t="shared" ref="D311:I311" si="73">D234+D224+D220</f>
        <v>172978.74834602809</v>
      </c>
      <c r="E311" s="154">
        <f t="shared" si="73"/>
        <v>173690.12370544948</v>
      </c>
      <c r="F311" s="154">
        <f t="shared" si="73"/>
        <v>171688.93192585511</v>
      </c>
      <c r="G311" s="154">
        <f t="shared" si="73"/>
        <v>170480.29281982995</v>
      </c>
      <c r="H311" s="154">
        <f t="shared" si="73"/>
        <v>158973.04845066043</v>
      </c>
      <c r="I311" s="154">
        <f t="shared" si="73"/>
        <v>169743.9385057019</v>
      </c>
      <c r="J311" s="154">
        <f>SUM(D311:I311)</f>
        <v>1017555.083753525</v>
      </c>
      <c r="K311" s="69"/>
      <c r="L311" s="319"/>
      <c r="N311" s="60"/>
      <c r="O311" s="60"/>
    </row>
    <row r="312" spans="2:15">
      <c r="C312" s="48"/>
      <c r="D312" s="48"/>
      <c r="E312" s="48"/>
      <c r="F312" s="48"/>
      <c r="G312" s="48"/>
      <c r="H312" s="48"/>
      <c r="I312" s="48"/>
      <c r="J312" s="48"/>
    </row>
    <row r="313" spans="2:15" s="69" customFormat="1" ht="30">
      <c r="B313" s="48"/>
      <c r="C313" s="320" t="s">
        <v>662</v>
      </c>
      <c r="D313" s="320"/>
      <c r="E313" s="320"/>
      <c r="F313" s="320"/>
      <c r="G313" s="320"/>
      <c r="H313" s="320"/>
      <c r="I313" s="320"/>
      <c r="J313" s="321"/>
      <c r="L313" s="319"/>
    </row>
    <row r="314" spans="2:15" s="37" customFormat="1" ht="15.75">
      <c r="B314" s="48"/>
      <c r="C314" s="150" t="s">
        <v>310</v>
      </c>
      <c r="D314" s="151">
        <f t="shared" ref="D314:I314" si="74">D$29</f>
        <v>45839</v>
      </c>
      <c r="E314" s="151">
        <f t="shared" si="74"/>
        <v>45870</v>
      </c>
      <c r="F314" s="151">
        <f t="shared" si="74"/>
        <v>45901</v>
      </c>
      <c r="G314" s="151">
        <f t="shared" si="74"/>
        <v>45931</v>
      </c>
      <c r="H314" s="151">
        <f t="shared" si="74"/>
        <v>45962</v>
      </c>
      <c r="I314" s="151">
        <f t="shared" si="74"/>
        <v>45992</v>
      </c>
      <c r="J314" s="152" t="s">
        <v>111</v>
      </c>
      <c r="K314" s="69"/>
      <c r="L314" s="319"/>
    </row>
    <row r="315" spans="2:15" s="37" customFormat="1" ht="15.75">
      <c r="B315" s="48"/>
      <c r="C315" s="334" t="s">
        <v>446</v>
      </c>
      <c r="D315" s="154">
        <f t="shared" ref="D315:I315" si="75">D316+D317+D320</f>
        <v>18152.020571322966</v>
      </c>
      <c r="E315" s="154">
        <f t="shared" si="75"/>
        <v>17733.691788704637</v>
      </c>
      <c r="F315" s="154">
        <f t="shared" si="75"/>
        <v>17649.023798188442</v>
      </c>
      <c r="G315" s="154">
        <f t="shared" si="75"/>
        <v>16073.418534649561</v>
      </c>
      <c r="H315" s="154">
        <f t="shared" si="75"/>
        <v>18039.17694911913</v>
      </c>
      <c r="I315" s="154">
        <f t="shared" si="75"/>
        <v>19281.88524814335</v>
      </c>
      <c r="J315" s="154">
        <f t="shared" ref="J315:J342" si="76">SUM(D315:I315)</f>
        <v>106929.21689012807</v>
      </c>
      <c r="K315" s="69"/>
      <c r="L315" s="319"/>
      <c r="N315" s="60"/>
      <c r="O315" s="60"/>
    </row>
    <row r="316" spans="2:15" s="37" customFormat="1" ht="15.75">
      <c r="B316" s="48" t="s">
        <v>870</v>
      </c>
      <c r="C316" s="157" t="s">
        <v>1029</v>
      </c>
      <c r="D316" s="156">
        <f>$J$7*F821EO!D116</f>
        <v>6035.5579452537604</v>
      </c>
      <c r="E316" s="156">
        <f>$J$7*F821EO!E116</f>
        <v>5934.0871753934407</v>
      </c>
      <c r="F316" s="156">
        <f>$J$7*F821EO!F116</f>
        <v>6219.3913536686405</v>
      </c>
      <c r="G316" s="156">
        <f>$J$7*F821EO!G116</f>
        <v>3230.3553987549603</v>
      </c>
      <c r="H316" s="156">
        <f>$J$7*F821EO!H116</f>
        <v>5585.2228911282309</v>
      </c>
      <c r="I316" s="156">
        <f>$J$7*F821EO!I116</f>
        <v>5823.1932858886494</v>
      </c>
      <c r="J316" s="154">
        <f t="shared" si="76"/>
        <v>32827.808050087682</v>
      </c>
      <c r="K316" s="69"/>
      <c r="L316" s="319"/>
      <c r="N316" s="60"/>
      <c r="O316" s="60"/>
    </row>
    <row r="317" spans="2:15" s="37" customFormat="1" ht="15.75">
      <c r="B317" s="48" t="s">
        <v>871</v>
      </c>
      <c r="C317" s="335" t="s">
        <v>193</v>
      </c>
      <c r="D317" s="154">
        <f t="shared" ref="D317:I317" si="77">SUM(D318:D319)</f>
        <v>3105.1161690381005</v>
      </c>
      <c r="E317" s="154">
        <f t="shared" si="77"/>
        <v>3089.2231778625001</v>
      </c>
      <c r="F317" s="154">
        <f t="shared" si="77"/>
        <v>3285.6915535983003</v>
      </c>
      <c r="G317" s="154">
        <f t="shared" si="77"/>
        <v>4119.4333083582005</v>
      </c>
      <c r="H317" s="154">
        <f t="shared" si="77"/>
        <v>3736.2739140908993</v>
      </c>
      <c r="I317" s="154">
        <f t="shared" si="77"/>
        <v>4149.6919598547001</v>
      </c>
      <c r="J317" s="154">
        <f t="shared" si="76"/>
        <v>21485.430082802701</v>
      </c>
      <c r="K317" s="69"/>
      <c r="L317" s="319"/>
      <c r="N317" s="60"/>
      <c r="O317" s="60"/>
    </row>
    <row r="318" spans="2:15" s="37" customFormat="1" ht="15.75">
      <c r="B318" s="48"/>
      <c r="C318" s="157" t="s">
        <v>1030</v>
      </c>
      <c r="D318" s="156">
        <f>+$J$8*F821EO!D118</f>
        <v>0</v>
      </c>
      <c r="E318" s="156">
        <f>+$J$8*F821EO!E118</f>
        <v>0</v>
      </c>
      <c r="F318" s="156">
        <f>+$J$8*F821EO!F118</f>
        <v>0</v>
      </c>
      <c r="G318" s="156">
        <f>+$J$8*F821EO!G118</f>
        <v>0</v>
      </c>
      <c r="H318" s="156">
        <f>+$J$8*F821EO!H118</f>
        <v>0</v>
      </c>
      <c r="I318" s="156">
        <f>+$J$8*F821EO!I118</f>
        <v>0</v>
      </c>
      <c r="J318" s="154">
        <f t="shared" si="76"/>
        <v>0</v>
      </c>
      <c r="K318" s="69"/>
      <c r="L318" s="319"/>
      <c r="N318" s="60"/>
      <c r="O318" s="60"/>
    </row>
    <row r="319" spans="2:15" s="37" customFormat="1" ht="15.75">
      <c r="B319" s="48"/>
      <c r="C319" s="157" t="s">
        <v>1476</v>
      </c>
      <c r="D319" s="156">
        <f>+$J$8*F821EO!D119</f>
        <v>3105.1161690381005</v>
      </c>
      <c r="E319" s="156">
        <f>+$J$8*F821EO!E119</f>
        <v>3089.2231778625001</v>
      </c>
      <c r="F319" s="156">
        <f>+$J$8*F821EO!F119</f>
        <v>3285.6915535983003</v>
      </c>
      <c r="G319" s="156">
        <f>+$J$8*F821EO!G119</f>
        <v>4119.4333083582005</v>
      </c>
      <c r="H319" s="156">
        <f>+$J$8*F821EO!H119</f>
        <v>3736.2739140908993</v>
      </c>
      <c r="I319" s="156">
        <f>+$J$8*F821EO!I119</f>
        <v>4149.6919598547001</v>
      </c>
      <c r="J319" s="154">
        <f t="shared" si="76"/>
        <v>21485.430082802701</v>
      </c>
      <c r="K319" s="69"/>
      <c r="L319" s="319"/>
      <c r="N319" s="60"/>
      <c r="O319" s="60"/>
    </row>
    <row r="320" spans="2:15" s="37" customFormat="1" ht="15.75">
      <c r="B320" s="48" t="s">
        <v>893</v>
      </c>
      <c r="C320" s="153" t="s">
        <v>942</v>
      </c>
      <c r="D320" s="154">
        <f>+$J$8*F821EO!D120</f>
        <v>9011.3464570311044</v>
      </c>
      <c r="E320" s="154">
        <f>+$J$8*F821EO!E120</f>
        <v>8710.3814354486985</v>
      </c>
      <c r="F320" s="154">
        <f>+$J$8*F821EO!F120</f>
        <v>8143.9408909215008</v>
      </c>
      <c r="G320" s="154">
        <f>+$J$8*F821EO!G120</f>
        <v>8723.6298275364006</v>
      </c>
      <c r="H320" s="154">
        <f>+$J$8*F821EO!H120</f>
        <v>8717.680143900001</v>
      </c>
      <c r="I320" s="154">
        <f>+$J$8*F821EO!I120</f>
        <v>9309.0000024000001</v>
      </c>
      <c r="J320" s="154">
        <f t="shared" si="76"/>
        <v>52615.97875723771</v>
      </c>
      <c r="K320" s="69"/>
      <c r="L320" s="319"/>
      <c r="N320" s="60"/>
      <c r="O320" s="60"/>
    </row>
    <row r="321" spans="2:15" s="37" customFormat="1" ht="15.75">
      <c r="B321" s="48"/>
      <c r="C321" s="334" t="s">
        <v>630</v>
      </c>
      <c r="D321" s="154">
        <f t="shared" ref="D321:I321" si="78">D322+D327</f>
        <v>33541.168886964908</v>
      </c>
      <c r="E321" s="154">
        <f t="shared" si="78"/>
        <v>34482.538984287879</v>
      </c>
      <c r="F321" s="154">
        <f t="shared" si="78"/>
        <v>33466.040091195391</v>
      </c>
      <c r="G321" s="154">
        <f t="shared" si="78"/>
        <v>34768.386195760999</v>
      </c>
      <c r="H321" s="154">
        <f t="shared" si="78"/>
        <v>32131.613136202013</v>
      </c>
      <c r="I321" s="154">
        <f t="shared" si="78"/>
        <v>33971.203445587395</v>
      </c>
      <c r="J321" s="154">
        <f t="shared" si="76"/>
        <v>202360.95073999857</v>
      </c>
      <c r="K321" s="69"/>
      <c r="L321" s="319"/>
      <c r="N321" s="60"/>
      <c r="O321" s="60"/>
    </row>
    <row r="322" spans="2:15" s="37" customFormat="1" ht="15.75">
      <c r="B322" s="48" t="s">
        <v>872</v>
      </c>
      <c r="C322" s="335" t="s">
        <v>1073</v>
      </c>
      <c r="D322" s="154">
        <f t="shared" ref="D322:I322" si="79">SUM(D323:D326)</f>
        <v>5820.9157584994509</v>
      </c>
      <c r="E322" s="154">
        <f t="shared" si="79"/>
        <v>5840.6954857965002</v>
      </c>
      <c r="F322" s="154">
        <f t="shared" si="79"/>
        <v>5519.6392717953913</v>
      </c>
      <c r="G322" s="154">
        <f t="shared" si="79"/>
        <v>6765.4173894703208</v>
      </c>
      <c r="H322" s="154">
        <f t="shared" si="79"/>
        <v>6314.4842998904096</v>
      </c>
      <c r="I322" s="154">
        <f t="shared" si="79"/>
        <v>6651.6373189765791</v>
      </c>
      <c r="J322" s="154">
        <f t="shared" si="76"/>
        <v>36912.789524428648</v>
      </c>
      <c r="K322" s="69"/>
      <c r="L322" s="319"/>
      <c r="N322" s="60"/>
      <c r="O322" s="60"/>
    </row>
    <row r="323" spans="2:15" s="37" customFormat="1" ht="15.75">
      <c r="B323" s="48"/>
      <c r="C323" s="157" t="s">
        <v>1477</v>
      </c>
      <c r="D323" s="156">
        <f>$J$9*F821EO!D124</f>
        <v>5820.9157584994509</v>
      </c>
      <c r="E323" s="156">
        <f>$J$9*F821EO!E124</f>
        <v>5840.6954857965002</v>
      </c>
      <c r="F323" s="156">
        <f>$J$9*F821EO!F124</f>
        <v>5519.6392717953913</v>
      </c>
      <c r="G323" s="156">
        <f>$J$9*F821EO!G124</f>
        <v>5452.8212493587498</v>
      </c>
      <c r="H323" s="156">
        <f>$J$9*F821EO!H124</f>
        <v>5045.6900760183507</v>
      </c>
      <c r="I323" s="156">
        <f>$J$9*F821EO!I124</f>
        <v>5329.2308319784697</v>
      </c>
      <c r="J323" s="154">
        <f t="shared" si="76"/>
        <v>33008.992673446912</v>
      </c>
      <c r="K323" s="69"/>
      <c r="N323" s="60"/>
      <c r="O323" s="60"/>
    </row>
    <row r="324" spans="2:15" s="37" customFormat="1" ht="15.75">
      <c r="B324" s="48"/>
      <c r="C324" s="157" t="s">
        <v>1477</v>
      </c>
      <c r="D324" s="156">
        <f>$J$9*F821EO!D125</f>
        <v>0</v>
      </c>
      <c r="E324" s="156">
        <f>$J$9*F821EO!E125</f>
        <v>0</v>
      </c>
      <c r="F324" s="156">
        <f>$J$9*F821EO!F125</f>
        <v>0</v>
      </c>
      <c r="G324" s="156">
        <f>$J$9*F821EO!G125</f>
        <v>162.42730031921778</v>
      </c>
      <c r="H324" s="156">
        <f>$J$9*F821EO!H125</f>
        <v>163.26884745795118</v>
      </c>
      <c r="I324" s="156">
        <f>$J$9*F821EO!I125</f>
        <v>167.26900760662375</v>
      </c>
      <c r="J324" s="154">
        <f t="shared" si="76"/>
        <v>492.96515538379271</v>
      </c>
      <c r="K324" s="69"/>
      <c r="N324" s="60"/>
      <c r="O324" s="60"/>
    </row>
    <row r="325" spans="2:15" s="37" customFormat="1" ht="15.75">
      <c r="B325" s="48"/>
      <c r="C325" s="157" t="s">
        <v>1477</v>
      </c>
      <c r="D325" s="156">
        <f>$J$9*F821EO!D126</f>
        <v>0</v>
      </c>
      <c r="E325" s="156">
        <f>$J$9*F821EO!E126</f>
        <v>0</v>
      </c>
      <c r="F325" s="156">
        <f>$J$9*F821EO!F126</f>
        <v>0</v>
      </c>
      <c r="G325" s="156">
        <f>$J$9*F821EO!G126</f>
        <v>225.41431384565252</v>
      </c>
      <c r="H325" s="156">
        <f>$J$9*F821EO!H126</f>
        <v>220.81540588732412</v>
      </c>
      <c r="I325" s="156">
        <f>$J$9*F821EO!I126</f>
        <v>225.86981959821443</v>
      </c>
      <c r="J325" s="154">
        <f>SUM(D325:I325)</f>
        <v>672.09953933119107</v>
      </c>
      <c r="K325" s="69"/>
      <c r="N325" s="60"/>
      <c r="O325" s="60"/>
    </row>
    <row r="326" spans="2:15" s="37" customFormat="1" ht="15.75">
      <c r="B326" s="48"/>
      <c r="C326" s="157" t="s">
        <v>1477</v>
      </c>
      <c r="D326" s="156">
        <f>$J$9*F821EO!D127</f>
        <v>0</v>
      </c>
      <c r="E326" s="156">
        <f>$J$9*F821EO!E127</f>
        <v>0</v>
      </c>
      <c r="F326" s="156">
        <f>$J$9*F821EO!F127</f>
        <v>0</v>
      </c>
      <c r="G326" s="156">
        <f>$J$9*F821EO!G127</f>
        <v>924.75452594670082</v>
      </c>
      <c r="H326" s="156">
        <f>$J$9*F821EO!H127</f>
        <v>884.70997052678376</v>
      </c>
      <c r="I326" s="156">
        <f>$J$9*F821EO!I127</f>
        <v>929.26765979327126</v>
      </c>
      <c r="J326" s="154">
        <f>SUM(D326:I326)</f>
        <v>2738.7321562667557</v>
      </c>
      <c r="K326" s="69"/>
      <c r="N326" s="60"/>
      <c r="O326" s="60"/>
    </row>
    <row r="327" spans="2:15" s="37" customFormat="1" ht="15.75">
      <c r="B327" s="48" t="s">
        <v>873</v>
      </c>
      <c r="C327" s="335" t="s">
        <v>193</v>
      </c>
      <c r="D327" s="154">
        <f t="shared" ref="D327:I327" si="80">SUM(D328:D332)</f>
        <v>27720.253128465454</v>
      </c>
      <c r="E327" s="154">
        <f t="shared" si="80"/>
        <v>28641.843498491377</v>
      </c>
      <c r="F327" s="154">
        <f t="shared" si="80"/>
        <v>27946.400819400002</v>
      </c>
      <c r="G327" s="154">
        <f t="shared" si="80"/>
        <v>28002.968806290675</v>
      </c>
      <c r="H327" s="154">
        <f t="shared" si="80"/>
        <v>25817.128836311604</v>
      </c>
      <c r="I327" s="154">
        <f t="shared" si="80"/>
        <v>27319.566126610815</v>
      </c>
      <c r="J327" s="154">
        <f t="shared" si="76"/>
        <v>165448.16121556994</v>
      </c>
      <c r="K327" s="69"/>
      <c r="N327" s="60"/>
      <c r="O327" s="60"/>
    </row>
    <row r="328" spans="2:15" s="37" customFormat="1" ht="15.75">
      <c r="B328" s="48"/>
      <c r="C328" s="157" t="s">
        <v>1031</v>
      </c>
      <c r="D328" s="156">
        <f>$J$10*F821EO!D129</f>
        <v>0</v>
      </c>
      <c r="E328" s="156">
        <f>$J$10*F821EO!E129</f>
        <v>0</v>
      </c>
      <c r="F328" s="156">
        <f>$J$10*F821EO!F129</f>
        <v>0</v>
      </c>
      <c r="G328" s="156">
        <f>$J$10*F821EO!G129</f>
        <v>0</v>
      </c>
      <c r="H328" s="156">
        <f>$J$10*F821EO!H129</f>
        <v>0</v>
      </c>
      <c r="I328" s="156">
        <f>$J$10*F821EO!I129</f>
        <v>0</v>
      </c>
      <c r="J328" s="154">
        <f t="shared" si="76"/>
        <v>0</v>
      </c>
      <c r="K328" s="69"/>
      <c r="N328" s="60"/>
      <c r="O328" s="60"/>
    </row>
    <row r="329" spans="2:15" s="37" customFormat="1" ht="15.75">
      <c r="B329" s="48"/>
      <c r="C329" s="157" t="s">
        <v>1478</v>
      </c>
      <c r="D329" s="156">
        <f>$J$10*F821EO!D130</f>
        <v>27720.253128465454</v>
      </c>
      <c r="E329" s="156">
        <f>$J$10*F821EO!E130</f>
        <v>28641.843498491377</v>
      </c>
      <c r="F329" s="156">
        <f>$J$10*F821EO!F130</f>
        <v>27946.400819400002</v>
      </c>
      <c r="G329" s="156">
        <f>$J$10*F821EO!G130</f>
        <v>20626.219480438544</v>
      </c>
      <c r="H329" s="156">
        <f>$J$10*F821EO!H130</f>
        <v>18726.499346690514</v>
      </c>
      <c r="I329" s="156">
        <f>$J$10*F821EO!I130</f>
        <v>19782.060571632883</v>
      </c>
      <c r="J329" s="154">
        <f t="shared" si="76"/>
        <v>143443.27684511876</v>
      </c>
      <c r="K329" s="69"/>
      <c r="N329" s="60"/>
      <c r="O329" s="60"/>
    </row>
    <row r="330" spans="2:15" s="37" customFormat="1" ht="15.75">
      <c r="B330" s="48"/>
      <c r="C330" s="157" t="s">
        <v>1478</v>
      </c>
      <c r="D330" s="156">
        <f>$J$10*F821EO!D131</f>
        <v>0</v>
      </c>
      <c r="E330" s="156">
        <f>$J$10*F821EO!E131</f>
        <v>0</v>
      </c>
      <c r="F330" s="156">
        <f>$J$10*F821EO!F131</f>
        <v>0</v>
      </c>
      <c r="G330" s="156">
        <f>$J$10*F821EO!G131</f>
        <v>2046.3167814478204</v>
      </c>
      <c r="H330" s="156">
        <f>$J$10*F821EO!H131</f>
        <v>2239.3968243456602</v>
      </c>
      <c r="I330" s="156">
        <f>$J$10*F821EO!I131</f>
        <v>2322.5181706666804</v>
      </c>
      <c r="J330" s="154">
        <f t="shared" si="76"/>
        <v>6608.2317764601612</v>
      </c>
      <c r="K330" s="69"/>
      <c r="N330" s="60"/>
      <c r="O330" s="60"/>
    </row>
    <row r="331" spans="2:15" s="37" customFormat="1" ht="15.75">
      <c r="B331" s="48"/>
      <c r="C331" s="157" t="s">
        <v>1478</v>
      </c>
      <c r="D331" s="156">
        <f>$J$10*F821EO!D132</f>
        <v>0</v>
      </c>
      <c r="E331" s="156">
        <f>$J$10*F821EO!E132</f>
        <v>0</v>
      </c>
      <c r="F331" s="156">
        <f>$J$10*F821EO!F132</f>
        <v>0</v>
      </c>
      <c r="G331" s="156">
        <f>$J$10*F821EO!G132</f>
        <v>1098.8642752611302</v>
      </c>
      <c r="H331" s="156">
        <f>$J$10*F821EO!H132</f>
        <v>1129.34504704455</v>
      </c>
      <c r="I331" s="156">
        <f>$J$10*F821EO!I132</f>
        <v>1177.51496682582</v>
      </c>
      <c r="J331" s="154">
        <f t="shared" si="76"/>
        <v>3405.7242891315</v>
      </c>
      <c r="K331" s="69"/>
      <c r="N331" s="60"/>
      <c r="O331" s="60"/>
    </row>
    <row r="332" spans="2:15" s="37" customFormat="1" ht="15.75">
      <c r="B332" s="48"/>
      <c r="C332" s="157" t="s">
        <v>1478</v>
      </c>
      <c r="D332" s="156">
        <f>$J$10*F821EO!D133</f>
        <v>0</v>
      </c>
      <c r="E332" s="156">
        <f>$J$10*F821EO!E133</f>
        <v>0</v>
      </c>
      <c r="F332" s="156">
        <f>$J$10*F821EO!F133</f>
        <v>0</v>
      </c>
      <c r="G332" s="156">
        <f>$J$10*F821EO!G133</f>
        <v>4231.5682691431803</v>
      </c>
      <c r="H332" s="156">
        <f>$J$10*F821EO!H133</f>
        <v>3721.8876182308795</v>
      </c>
      <c r="I332" s="156">
        <f>$J$10*F821EO!I133</f>
        <v>4037.4724174854309</v>
      </c>
      <c r="J332" s="154">
        <f t="shared" si="76"/>
        <v>11990.928304859492</v>
      </c>
      <c r="K332" s="69"/>
      <c r="N332" s="60"/>
      <c r="O332" s="60"/>
    </row>
    <row r="333" spans="2:15" s="37" customFormat="1" ht="15.75">
      <c r="B333" s="48"/>
      <c r="C333" s="334" t="s">
        <v>443</v>
      </c>
      <c r="D333" s="154">
        <f t="shared" ref="D333:I333" si="81">D334+D335</f>
        <v>5680.2262818823192</v>
      </c>
      <c r="E333" s="154">
        <f t="shared" si="81"/>
        <v>5621.4443033481612</v>
      </c>
      <c r="F333" s="154">
        <f t="shared" si="81"/>
        <v>5398.099822582737</v>
      </c>
      <c r="G333" s="154">
        <f t="shared" si="81"/>
        <v>5624.6422822146906</v>
      </c>
      <c r="H333" s="154">
        <f t="shared" si="81"/>
        <v>5283.7420221432003</v>
      </c>
      <c r="I333" s="154">
        <f t="shared" si="81"/>
        <v>5648.3965039074301</v>
      </c>
      <c r="J333" s="154">
        <f t="shared" si="76"/>
        <v>33256.551216078537</v>
      </c>
      <c r="K333" s="69"/>
      <c r="N333" s="60"/>
      <c r="O333" s="60"/>
    </row>
    <row r="334" spans="2:15" s="37" customFormat="1" ht="15.75">
      <c r="B334" s="48" t="s">
        <v>874</v>
      </c>
      <c r="C334" s="157" t="s">
        <v>1479</v>
      </c>
      <c r="D334" s="156">
        <f>$J$11*F821EO!D137</f>
        <v>179.85539788965005</v>
      </c>
      <c r="E334" s="156">
        <f>$J$11*F821EO!E137</f>
        <v>182.98496296962003</v>
      </c>
      <c r="F334" s="156">
        <f>$J$11*F821EO!F137</f>
        <v>180.84163530321001</v>
      </c>
      <c r="G334" s="156">
        <f>$J$11*F821EO!G137</f>
        <v>187.90421631219002</v>
      </c>
      <c r="H334" s="156">
        <f>$J$11*F821EO!H137</f>
        <v>174.69352829943</v>
      </c>
      <c r="I334" s="156">
        <f>$J$11*F821EO!I137</f>
        <v>188.32228071425999</v>
      </c>
      <c r="J334" s="154">
        <f t="shared" si="76"/>
        <v>1094.6020214883602</v>
      </c>
      <c r="K334" s="69"/>
      <c r="N334" s="60"/>
      <c r="O334" s="60"/>
    </row>
    <row r="335" spans="2:15" s="37" customFormat="1" ht="15.75">
      <c r="B335" s="48" t="s">
        <v>875</v>
      </c>
      <c r="C335" s="335" t="s">
        <v>193</v>
      </c>
      <c r="D335" s="154">
        <f t="shared" ref="D335:I335" si="82">SUM(D336:D341)</f>
        <v>5500.3708839926694</v>
      </c>
      <c r="E335" s="154">
        <f t="shared" si="82"/>
        <v>5438.4593403785411</v>
      </c>
      <c r="F335" s="154">
        <f t="shared" si="82"/>
        <v>5217.2581872795272</v>
      </c>
      <c r="G335" s="154">
        <f t="shared" si="82"/>
        <v>5436.7380659025002</v>
      </c>
      <c r="H335" s="154">
        <f t="shared" si="82"/>
        <v>5109.0484938437703</v>
      </c>
      <c r="I335" s="154">
        <f t="shared" si="82"/>
        <v>5460.0742231931699</v>
      </c>
      <c r="J335" s="154">
        <f t="shared" si="76"/>
        <v>32161.949194590175</v>
      </c>
      <c r="K335" s="69"/>
      <c r="N335" s="60"/>
      <c r="O335" s="60"/>
    </row>
    <row r="336" spans="2:15" s="37" customFormat="1" ht="15.75">
      <c r="B336" s="48"/>
      <c r="C336" s="157" t="s">
        <v>1032</v>
      </c>
      <c r="D336" s="156">
        <f>$J$12*(F821EO!D140)</f>
        <v>58.287708354330007</v>
      </c>
      <c r="E336" s="156">
        <f>$J$12*(F821EO!E140)</f>
        <v>56.364459081209993</v>
      </c>
      <c r="F336" s="156">
        <f>$J$12*(F821EO!F140)</f>
        <v>54.501372441810005</v>
      </c>
      <c r="G336" s="156">
        <f>$J$12*(F821EO!G140)</f>
        <v>56.55615601608001</v>
      </c>
      <c r="H336" s="156">
        <f>$J$12*(F821EO!H140)</f>
        <v>52.468336945709993</v>
      </c>
      <c r="I336" s="156">
        <f>$J$12*(F821EO!I140)</f>
        <v>56.664044985240011</v>
      </c>
      <c r="J336" s="154">
        <f t="shared" si="76"/>
        <v>334.84207782438006</v>
      </c>
      <c r="K336" s="69"/>
      <c r="N336" s="60"/>
      <c r="O336" s="60"/>
    </row>
    <row r="337" spans="2:15" s="37" customFormat="1" ht="15.75">
      <c r="B337" s="48"/>
      <c r="C337" s="157" t="s">
        <v>1480</v>
      </c>
      <c r="D337" s="156">
        <f>$J$12*(F821EO!D141)</f>
        <v>5442.0831756383395</v>
      </c>
      <c r="E337" s="156">
        <f>$J$12*(F821EO!E141)</f>
        <v>5382.0948812973311</v>
      </c>
      <c r="F337" s="156">
        <f>$J$12*(F821EO!F141)</f>
        <v>5162.7568148377168</v>
      </c>
      <c r="G337" s="156">
        <f>$J$12*(F821EO!G141)</f>
        <v>4206.6844497278998</v>
      </c>
      <c r="H337" s="156">
        <f>$J$12*(F821EO!H141)</f>
        <v>3812.3837754760807</v>
      </c>
      <c r="I337" s="156">
        <f>$J$12*(F821EO!I141)</f>
        <v>4099.045847666489</v>
      </c>
      <c r="J337" s="154">
        <f t="shared" si="76"/>
        <v>28105.048944643862</v>
      </c>
      <c r="K337" s="69"/>
      <c r="N337" s="60"/>
      <c r="O337" s="60"/>
    </row>
    <row r="338" spans="2:15" s="37" customFormat="1" ht="15.75">
      <c r="B338" s="48"/>
      <c r="C338" s="157" t="s">
        <v>1480</v>
      </c>
      <c r="D338" s="156">
        <f>$J$12*(F821EO!D142)</f>
        <v>0</v>
      </c>
      <c r="E338" s="156">
        <f>$J$12*(F821EO!E142)</f>
        <v>0</v>
      </c>
      <c r="F338" s="156">
        <f>$J$12*(F821EO!F142)</f>
        <v>0</v>
      </c>
      <c r="G338" s="156">
        <f>$J$12*(F821EO!G142)</f>
        <v>68.445089496000008</v>
      </c>
      <c r="H338" s="156">
        <f>$J$12*(F821EO!H142)</f>
        <v>68.464998851130005</v>
      </c>
      <c r="I338" s="156">
        <f>$J$12*(F821EO!I142)</f>
        <v>69.559828576559994</v>
      </c>
      <c r="J338" s="154">
        <f t="shared" si="76"/>
        <v>206.46991692368999</v>
      </c>
      <c r="K338" s="69"/>
      <c r="N338" s="60"/>
      <c r="O338" s="60"/>
    </row>
    <row r="339" spans="2:15" s="37" customFormat="1" ht="15.75">
      <c r="B339" s="48"/>
      <c r="C339" s="157" t="s">
        <v>1480</v>
      </c>
      <c r="D339" s="156">
        <f>$J$12*(F821EO!D143)</f>
        <v>0</v>
      </c>
      <c r="E339" s="156">
        <f>$J$12*(F821EO!E143)</f>
        <v>0</v>
      </c>
      <c r="F339" s="156">
        <f>$J$12*(F821EO!F143)</f>
        <v>0</v>
      </c>
      <c r="G339" s="156">
        <f>$J$12*(F821EO!G143)</f>
        <v>616.83114293135998</v>
      </c>
      <c r="H339" s="156">
        <f>$J$12*(F821EO!H143)</f>
        <v>656.47019419506</v>
      </c>
      <c r="I339" s="156">
        <f>$J$12*(F821EO!I143)</f>
        <v>675.74803530275994</v>
      </c>
      <c r="J339" s="154">
        <f t="shared" si="76"/>
        <v>1949.04937242918</v>
      </c>
      <c r="K339" s="69"/>
      <c r="N339" s="60"/>
      <c r="O339" s="60"/>
    </row>
    <row r="340" spans="2:15" s="37" customFormat="1" ht="15.75">
      <c r="B340" s="48"/>
      <c r="C340" s="157" t="s">
        <v>1480</v>
      </c>
      <c r="D340" s="156">
        <f>$J$12*(F821EO!D144)</f>
        <v>0</v>
      </c>
      <c r="E340" s="156">
        <f>$J$12*(F821EO!E144)</f>
        <v>0</v>
      </c>
      <c r="F340" s="156">
        <f>$J$12*(F821EO!F144)</f>
        <v>0</v>
      </c>
      <c r="G340" s="156">
        <f>$J$12*(F821EO!G144)</f>
        <v>488.22122773116001</v>
      </c>
      <c r="H340" s="156">
        <f>$J$12*(F821EO!H144)</f>
        <v>519.26118837578997</v>
      </c>
      <c r="I340" s="156">
        <f>$J$12*(F821EO!I144)</f>
        <v>559.0564666621201</v>
      </c>
      <c r="J340" s="154">
        <f t="shared" si="76"/>
        <v>1566.5388827690701</v>
      </c>
      <c r="K340" s="69"/>
      <c r="N340" s="60"/>
      <c r="O340" s="60"/>
    </row>
    <row r="341" spans="2:15" s="37" customFormat="1" ht="15.75">
      <c r="B341" s="48"/>
      <c r="C341" s="157"/>
      <c r="D341" s="156"/>
      <c r="E341" s="156"/>
      <c r="F341" s="156"/>
      <c r="G341" s="156"/>
      <c r="H341" s="156"/>
      <c r="I341" s="156"/>
      <c r="J341" s="156">
        <f t="shared" si="76"/>
        <v>0</v>
      </c>
      <c r="K341" s="69"/>
      <c r="N341" s="60"/>
      <c r="O341" s="60"/>
    </row>
    <row r="342" spans="2:15" s="37" customFormat="1" ht="15.75">
      <c r="B342" s="48"/>
      <c r="C342" s="153" t="s">
        <v>112</v>
      </c>
      <c r="D342" s="154">
        <f t="shared" ref="D342:I342" si="83">D315+D321+D333</f>
        <v>57373.415740170196</v>
      </c>
      <c r="E342" s="154">
        <f t="shared" si="83"/>
        <v>57837.675076340674</v>
      </c>
      <c r="F342" s="154">
        <f t="shared" si="83"/>
        <v>56513.163711966568</v>
      </c>
      <c r="G342" s="154">
        <f t="shared" si="83"/>
        <v>56466.447012625249</v>
      </c>
      <c r="H342" s="154">
        <f t="shared" si="83"/>
        <v>55454.532107464343</v>
      </c>
      <c r="I342" s="154">
        <f t="shared" si="83"/>
        <v>58901.485197638176</v>
      </c>
      <c r="J342" s="154">
        <f t="shared" si="76"/>
        <v>342546.71884620521</v>
      </c>
      <c r="K342" s="69"/>
      <c r="N342" s="60"/>
      <c r="O342" s="60"/>
    </row>
    <row r="343" spans="2:15" s="37" customFormat="1" ht="13.5"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N343" s="60"/>
      <c r="O343" s="60"/>
    </row>
    <row r="344" spans="2:15" s="37" customFormat="1" ht="54" customHeight="1">
      <c r="B344" s="48"/>
      <c r="C344" s="320" t="s">
        <v>663</v>
      </c>
      <c r="D344" s="320"/>
      <c r="E344" s="320"/>
      <c r="F344" s="320"/>
      <c r="G344" s="320"/>
      <c r="H344" s="320"/>
      <c r="I344" s="320"/>
      <c r="J344" s="321"/>
      <c r="K344" s="69"/>
      <c r="N344" s="60"/>
      <c r="O344" s="60"/>
    </row>
    <row r="345" spans="2:15" s="37" customFormat="1" ht="15.75">
      <c r="B345" s="48"/>
      <c r="C345" s="150" t="s">
        <v>310</v>
      </c>
      <c r="D345" s="151">
        <f t="shared" ref="D345:I345" si="84">D$29</f>
        <v>45839</v>
      </c>
      <c r="E345" s="151">
        <f t="shared" si="84"/>
        <v>45870</v>
      </c>
      <c r="F345" s="151">
        <f t="shared" si="84"/>
        <v>45901</v>
      </c>
      <c r="G345" s="151">
        <f t="shared" si="84"/>
        <v>45931</v>
      </c>
      <c r="H345" s="151">
        <f t="shared" si="84"/>
        <v>45962</v>
      </c>
      <c r="I345" s="151">
        <f t="shared" si="84"/>
        <v>45992</v>
      </c>
      <c r="J345" s="152" t="s">
        <v>111</v>
      </c>
      <c r="K345" s="69"/>
      <c r="N345" s="60"/>
      <c r="O345" s="60"/>
    </row>
    <row r="346" spans="2:15">
      <c r="C346" s="153" t="s">
        <v>446</v>
      </c>
      <c r="D346" s="154">
        <f t="shared" ref="D346:I346" si="85">SUM(D347:D348)</f>
        <v>0</v>
      </c>
      <c r="E346" s="154">
        <f t="shared" si="85"/>
        <v>0</v>
      </c>
      <c r="F346" s="154">
        <f t="shared" si="85"/>
        <v>0</v>
      </c>
      <c r="G346" s="154">
        <f t="shared" si="85"/>
        <v>0</v>
      </c>
      <c r="H346" s="154">
        <f t="shared" si="85"/>
        <v>0</v>
      </c>
      <c r="I346" s="154">
        <f t="shared" si="85"/>
        <v>0</v>
      </c>
      <c r="J346" s="154">
        <f t="shared" ref="J346:J373" si="86">SUM(D346:I346)</f>
        <v>0</v>
      </c>
      <c r="N346" s="60"/>
      <c r="O346" s="60"/>
    </row>
    <row r="347" spans="2:15">
      <c r="B347" s="48" t="s">
        <v>870</v>
      </c>
      <c r="C347" s="157" t="s">
        <v>1029</v>
      </c>
      <c r="D347" s="156">
        <f>F821DO!D116*0*(1+D$25)*(1+D$26)</f>
        <v>0</v>
      </c>
      <c r="E347" s="156">
        <f>F821DO!E116*0*(1+E$25)*(1+E$26)</f>
        <v>0</v>
      </c>
      <c r="F347" s="156">
        <f>F821DO!F116*0*(1+F$25)*(1+F$26)</f>
        <v>0</v>
      </c>
      <c r="G347" s="156">
        <f>F821DO!G116*0*(1+G$25)*(1+G$26)</f>
        <v>0</v>
      </c>
      <c r="H347" s="156">
        <f>F821DO!H116*0*(1+H$25)*(1+H$26)</f>
        <v>0</v>
      </c>
      <c r="I347" s="156">
        <f>F821DO!I116*0*(1+I$25)*(1+I$26)</f>
        <v>0</v>
      </c>
      <c r="J347" s="154">
        <f t="shared" si="86"/>
        <v>0</v>
      </c>
      <c r="N347" s="60"/>
      <c r="O347" s="60"/>
    </row>
    <row r="348" spans="2:15">
      <c r="B348" s="48" t="s">
        <v>871</v>
      </c>
      <c r="C348" s="335" t="s">
        <v>193</v>
      </c>
      <c r="D348" s="154">
        <f t="shared" ref="D348:I348" si="87">D349+D350</f>
        <v>0</v>
      </c>
      <c r="E348" s="154">
        <f t="shared" si="87"/>
        <v>0</v>
      </c>
      <c r="F348" s="154">
        <f t="shared" si="87"/>
        <v>0</v>
      </c>
      <c r="G348" s="154">
        <f t="shared" si="87"/>
        <v>0</v>
      </c>
      <c r="H348" s="154">
        <f t="shared" si="87"/>
        <v>0</v>
      </c>
      <c r="I348" s="154">
        <f t="shared" si="87"/>
        <v>0</v>
      </c>
      <c r="J348" s="154">
        <f t="shared" si="86"/>
        <v>0</v>
      </c>
      <c r="N348" s="60"/>
      <c r="O348" s="60"/>
    </row>
    <row r="349" spans="2:15">
      <c r="C349" s="157" t="s">
        <v>1030</v>
      </c>
      <c r="D349" s="156">
        <f>F821DO!D118*0</f>
        <v>0</v>
      </c>
      <c r="E349" s="156">
        <f>F821DO!E118*0</f>
        <v>0</v>
      </c>
      <c r="F349" s="156">
        <f>F821DO!F118*0</f>
        <v>0</v>
      </c>
      <c r="G349" s="156">
        <f>F821DO!G118*0</f>
        <v>0</v>
      </c>
      <c r="H349" s="156">
        <f>F821DO!H118*0</f>
        <v>0</v>
      </c>
      <c r="I349" s="156">
        <f>F821DO!I118*0</f>
        <v>0</v>
      </c>
      <c r="J349" s="154">
        <f t="shared" si="86"/>
        <v>0</v>
      </c>
      <c r="N349" s="60"/>
      <c r="O349" s="60"/>
    </row>
    <row r="350" spans="2:15">
      <c r="C350" s="157" t="s">
        <v>1476</v>
      </c>
      <c r="D350" s="156">
        <f>F821DO!D119*$D$21*(1+D$25)*(1+D$26)</f>
        <v>0</v>
      </c>
      <c r="E350" s="156">
        <f>F821DO!E119*$D$21*(1+E$25)*(1+E$26)</f>
        <v>0</v>
      </c>
      <c r="F350" s="156">
        <f>F821DO!F119*$D$21*(1+F$25)*(1+F$26)</f>
        <v>0</v>
      </c>
      <c r="G350" s="156">
        <f>F821DO!G119*$D$21*(1+G$25)*(1+G$26)</f>
        <v>0</v>
      </c>
      <c r="H350" s="156">
        <f>F821DO!H119*$D$21*(1+H$25)*(1+H$26)</f>
        <v>0</v>
      </c>
      <c r="I350" s="156">
        <f>F821DO!I119*$D$21*(1+I$25)*(1+I$26)</f>
        <v>0</v>
      </c>
      <c r="J350" s="154">
        <f t="shared" si="86"/>
        <v>0</v>
      </c>
      <c r="N350" s="60"/>
      <c r="O350" s="60"/>
    </row>
    <row r="351" spans="2:15">
      <c r="C351" s="153" t="s">
        <v>942</v>
      </c>
      <c r="D351" s="156"/>
      <c r="E351" s="156"/>
      <c r="F351" s="156"/>
      <c r="G351" s="156"/>
      <c r="H351" s="156"/>
      <c r="I351" s="156"/>
      <c r="J351" s="154">
        <f t="shared" si="86"/>
        <v>0</v>
      </c>
      <c r="N351" s="60"/>
      <c r="O351" s="60"/>
    </row>
    <row r="352" spans="2:15">
      <c r="C352" s="153" t="s">
        <v>630</v>
      </c>
      <c r="D352" s="154">
        <f t="shared" ref="D352:I352" si="88">D353+D358</f>
        <v>0</v>
      </c>
      <c r="E352" s="154">
        <f t="shared" si="88"/>
        <v>0</v>
      </c>
      <c r="F352" s="154">
        <f t="shared" si="88"/>
        <v>0</v>
      </c>
      <c r="G352" s="154">
        <f t="shared" si="88"/>
        <v>0</v>
      </c>
      <c r="H352" s="154">
        <f t="shared" si="88"/>
        <v>0</v>
      </c>
      <c r="I352" s="154">
        <f t="shared" si="88"/>
        <v>0</v>
      </c>
      <c r="J352" s="154">
        <f t="shared" si="86"/>
        <v>0</v>
      </c>
      <c r="N352" s="60"/>
      <c r="O352" s="60"/>
    </row>
    <row r="353" spans="2:15">
      <c r="B353" s="48" t="s">
        <v>872</v>
      </c>
      <c r="C353" s="335" t="s">
        <v>1073</v>
      </c>
      <c r="D353" s="154">
        <f t="shared" ref="D353:I353" si="89">SUM(D354:D357)</f>
        <v>0</v>
      </c>
      <c r="E353" s="154">
        <f t="shared" si="89"/>
        <v>0</v>
      </c>
      <c r="F353" s="154">
        <f t="shared" si="89"/>
        <v>0</v>
      </c>
      <c r="G353" s="154">
        <f t="shared" si="89"/>
        <v>0</v>
      </c>
      <c r="H353" s="154">
        <f t="shared" si="89"/>
        <v>0</v>
      </c>
      <c r="I353" s="154">
        <f t="shared" si="89"/>
        <v>0</v>
      </c>
      <c r="J353" s="154">
        <f t="shared" si="86"/>
        <v>0</v>
      </c>
      <c r="N353" s="60"/>
      <c r="O353" s="60"/>
    </row>
    <row r="354" spans="2:15">
      <c r="C354" s="157" t="s">
        <v>1477</v>
      </c>
      <c r="D354" s="156">
        <f>F821DO!D124*$D21*(1+D$25)*(1+D$26)</f>
        <v>0</v>
      </c>
      <c r="E354" s="156">
        <f>F821DO!E124*$D21*(1+E$25)*(1+E$26)</f>
        <v>0</v>
      </c>
      <c r="F354" s="156">
        <f>F821DO!F124*$D21*(1+F$25)*(1+F$26)</f>
        <v>0</v>
      </c>
      <c r="G354" s="156">
        <f>F821DO!G124*$D21*(1+G$25)*(1+G$26)</f>
        <v>0</v>
      </c>
      <c r="H354" s="156">
        <f>F821DO!H124*$D21*(1+H$25)*(1+H$26)</f>
        <v>0</v>
      </c>
      <c r="I354" s="156">
        <f>F821DO!I124*$D21*(1+I$25)*(1+I$26)</f>
        <v>0</v>
      </c>
      <c r="J354" s="154">
        <f t="shared" si="86"/>
        <v>0</v>
      </c>
      <c r="N354" s="60"/>
      <c r="O354" s="60"/>
    </row>
    <row r="355" spans="2:15">
      <c r="C355" s="157" t="s">
        <v>1477</v>
      </c>
      <c r="D355" s="156">
        <f>F821DO!D125*$D22*(1+D$25)*(1+D$26)</f>
        <v>0</v>
      </c>
      <c r="E355" s="156">
        <f>F821DO!E125*$D22*(1+E$25)*(1+E$26)</f>
        <v>0</v>
      </c>
      <c r="F355" s="156">
        <f>F821DO!F125*$D22*(1+F$25)*(1+F$26)</f>
        <v>0</v>
      </c>
      <c r="G355" s="156">
        <f>F821DO!G125*$D22*(1+G$25)*(1+G$26)</f>
        <v>0</v>
      </c>
      <c r="H355" s="156">
        <f>F821DO!H125*$D22*(1+H$25)*(1+H$26)</f>
        <v>0</v>
      </c>
      <c r="I355" s="156">
        <f>F821DO!I125*$D22*(1+I$25)*(1+I$26)</f>
        <v>0</v>
      </c>
      <c r="J355" s="154">
        <f t="shared" si="86"/>
        <v>0</v>
      </c>
      <c r="N355" s="60"/>
      <c r="O355" s="60"/>
    </row>
    <row r="356" spans="2:15">
      <c r="C356" s="157" t="s">
        <v>1477</v>
      </c>
      <c r="D356" s="156">
        <f>F821DO!D126*$D23*(1+D$25)*(1+D$26)</f>
        <v>0</v>
      </c>
      <c r="E356" s="156">
        <f>F821DO!E126*$D23*(1+E$25)*(1+E$26)</f>
        <v>0</v>
      </c>
      <c r="F356" s="156">
        <f>F821DO!F126*$D23*(1+F$25)*(1+F$26)</f>
        <v>0</v>
      </c>
      <c r="G356" s="156">
        <f>F821DO!G126*$D23*(1+G$25)*(1+G$26)</f>
        <v>0</v>
      </c>
      <c r="H356" s="156">
        <f>F821DO!H126*$D23*(1+H$25)*(1+H$26)</f>
        <v>0</v>
      </c>
      <c r="I356" s="156">
        <f>F821DO!I126*$D23*(1+I$25)*(1+I$26)</f>
        <v>0</v>
      </c>
      <c r="J356" s="154">
        <f>SUM(D356:I356)</f>
        <v>0</v>
      </c>
      <c r="N356" s="60"/>
      <c r="O356" s="60"/>
    </row>
    <row r="357" spans="2:15">
      <c r="C357" s="157" t="s">
        <v>1477</v>
      </c>
      <c r="D357" s="156">
        <f>F821DO!D127*$D24*(1+D$25)*(1+D$26)</f>
        <v>0</v>
      </c>
      <c r="E357" s="156">
        <f>F821DO!E127*$D24*(1+E$25)*(1+E$26)</f>
        <v>0</v>
      </c>
      <c r="F357" s="156">
        <f>F821DO!F127*$D24*(1+F$25)*(1+F$26)</f>
        <v>0</v>
      </c>
      <c r="G357" s="156">
        <f>F821DO!G127*$D24*(1+G$25)*(1+G$26)</f>
        <v>0</v>
      </c>
      <c r="H357" s="156">
        <f>F821DO!H127*$D24*(1+H$25)*(1+H$26)</f>
        <v>0</v>
      </c>
      <c r="I357" s="156">
        <f>F821DO!I127*$D24*(1+I$25)*(1+I$26)</f>
        <v>0</v>
      </c>
      <c r="J357" s="154">
        <f>SUM(D357:I357)</f>
        <v>0</v>
      </c>
      <c r="N357" s="60"/>
      <c r="O357" s="60"/>
    </row>
    <row r="358" spans="2:15">
      <c r="B358" s="48" t="s">
        <v>873</v>
      </c>
      <c r="C358" s="335" t="s">
        <v>193</v>
      </c>
      <c r="D358" s="154">
        <f t="shared" ref="D358:I358" si="90">SUM(D359:D363)</f>
        <v>0</v>
      </c>
      <c r="E358" s="154">
        <f t="shared" si="90"/>
        <v>0</v>
      </c>
      <c r="F358" s="154">
        <f t="shared" si="90"/>
        <v>0</v>
      </c>
      <c r="G358" s="154">
        <f t="shared" si="90"/>
        <v>0</v>
      </c>
      <c r="H358" s="154">
        <f t="shared" si="90"/>
        <v>0</v>
      </c>
      <c r="I358" s="154">
        <f t="shared" si="90"/>
        <v>0</v>
      </c>
      <c r="J358" s="154">
        <f t="shared" si="86"/>
        <v>0</v>
      </c>
      <c r="N358" s="60"/>
      <c r="O358" s="60"/>
    </row>
    <row r="359" spans="2:15">
      <c r="C359" s="157" t="s">
        <v>1031</v>
      </c>
      <c r="D359" s="156">
        <f>F821DO!D129*0</f>
        <v>0</v>
      </c>
      <c r="E359" s="156">
        <f>F821DO!E129*0</f>
        <v>0</v>
      </c>
      <c r="F359" s="156">
        <f>F821DO!F129*0</f>
        <v>0</v>
      </c>
      <c r="G359" s="156">
        <f>F821DO!G129*0</f>
        <v>0</v>
      </c>
      <c r="H359" s="156">
        <f>F821DO!H129*0</f>
        <v>0</v>
      </c>
      <c r="I359" s="156">
        <f>F821DO!I129*0</f>
        <v>0</v>
      </c>
      <c r="J359" s="154">
        <f t="shared" si="86"/>
        <v>0</v>
      </c>
      <c r="N359" s="60"/>
      <c r="O359" s="60"/>
    </row>
    <row r="360" spans="2:15">
      <c r="C360" s="157" t="s">
        <v>1478</v>
      </c>
      <c r="D360" s="156">
        <f>F821DO!D130*$D21*(1+D$25)*(1+D$26)</f>
        <v>0</v>
      </c>
      <c r="E360" s="156">
        <f>F821DO!E130*$D21*(1+E$25)*(1+E$26)</f>
        <v>0</v>
      </c>
      <c r="F360" s="156">
        <f>F821DO!F130*$D21*(1+F$25)*(1+F$26)</f>
        <v>0</v>
      </c>
      <c r="G360" s="156">
        <f>F821DO!G130*$D21*(1+G$25)*(1+G$26)</f>
        <v>0</v>
      </c>
      <c r="H360" s="156">
        <f>F821DO!H130*$D21*(1+H$25)*(1+H$26)</f>
        <v>0</v>
      </c>
      <c r="I360" s="156">
        <f>F821DO!I130*$D21*(1+I$25)*(1+I$26)</f>
        <v>0</v>
      </c>
      <c r="J360" s="154">
        <f t="shared" si="86"/>
        <v>0</v>
      </c>
      <c r="N360" s="60"/>
      <c r="O360" s="60"/>
    </row>
    <row r="361" spans="2:15">
      <c r="C361" s="157" t="s">
        <v>1478</v>
      </c>
      <c r="D361" s="156">
        <f>F821DO!D131*$D22*(1+D$25)*(1+D$26)</f>
        <v>0</v>
      </c>
      <c r="E361" s="156">
        <f>F821DO!E131*$D22*(1+E$25)*(1+E$26)</f>
        <v>0</v>
      </c>
      <c r="F361" s="156">
        <f>F821DO!F131*$D22*(1+F$25)*(1+F$26)</f>
        <v>0</v>
      </c>
      <c r="G361" s="156">
        <f>F821DO!G131*$D22*(1+G$25)*(1+G$26)</f>
        <v>0</v>
      </c>
      <c r="H361" s="156">
        <f>F821DO!H131*$D22*(1+H$25)*(1+H$26)</f>
        <v>0</v>
      </c>
      <c r="I361" s="156">
        <f>F821DO!I131*$D22*(1+I$25)*(1+I$26)</f>
        <v>0</v>
      </c>
      <c r="J361" s="154">
        <f t="shared" si="86"/>
        <v>0</v>
      </c>
      <c r="N361" s="60"/>
      <c r="O361" s="60"/>
    </row>
    <row r="362" spans="2:15">
      <c r="C362" s="157" t="s">
        <v>1478</v>
      </c>
      <c r="D362" s="156">
        <f>F821DO!D132*$D23*(1+D$25)*(1+D$26)</f>
        <v>0</v>
      </c>
      <c r="E362" s="156">
        <f>F821DO!E132*$D23*(1+E$25)*(1+E$26)</f>
        <v>0</v>
      </c>
      <c r="F362" s="156">
        <f>F821DO!F132*$D23*(1+F$25)*(1+F$26)</f>
        <v>0</v>
      </c>
      <c r="G362" s="156">
        <f>F821DO!G132*$D23*(1+G$25)*(1+G$26)</f>
        <v>0</v>
      </c>
      <c r="H362" s="156">
        <f>F821DO!H132*$D23*(1+H$25)*(1+H$26)</f>
        <v>0</v>
      </c>
      <c r="I362" s="156">
        <f>F821DO!I132*$D23*(1+I$25)*(1+I$26)</f>
        <v>0</v>
      </c>
      <c r="J362" s="154">
        <f t="shared" si="86"/>
        <v>0</v>
      </c>
      <c r="N362" s="60"/>
      <c r="O362" s="60"/>
    </row>
    <row r="363" spans="2:15">
      <c r="C363" s="157" t="s">
        <v>1478</v>
      </c>
      <c r="D363" s="156">
        <f>F821DO!D133*$D24*(1+D$25)*(1+D$26)</f>
        <v>0</v>
      </c>
      <c r="E363" s="156">
        <f>F821DO!E133*$D24*(1+E$25)*(1+E$26)</f>
        <v>0</v>
      </c>
      <c r="F363" s="156">
        <f>F821DO!F133*$D24*(1+F$25)*(1+F$26)</f>
        <v>0</v>
      </c>
      <c r="G363" s="156">
        <f>F821DO!G133*$D24*(1+G$25)*(1+G$26)</f>
        <v>0</v>
      </c>
      <c r="H363" s="156">
        <f>F821DO!H133*$D24*(1+H$25)*(1+H$26)</f>
        <v>0</v>
      </c>
      <c r="I363" s="156">
        <f>F821DO!I133*$D24*(1+I$25)*(1+I$26)</f>
        <v>0</v>
      </c>
      <c r="J363" s="154">
        <f t="shared" si="86"/>
        <v>0</v>
      </c>
      <c r="N363" s="60"/>
      <c r="O363" s="60"/>
    </row>
    <row r="364" spans="2:15">
      <c r="C364" s="153" t="s">
        <v>443</v>
      </c>
      <c r="D364" s="154">
        <f t="shared" ref="D364:I364" si="91">SUM(D365:D366)</f>
        <v>0</v>
      </c>
      <c r="E364" s="154">
        <f t="shared" si="91"/>
        <v>0</v>
      </c>
      <c r="F364" s="154">
        <f t="shared" si="91"/>
        <v>0</v>
      </c>
      <c r="G364" s="154">
        <f t="shared" si="91"/>
        <v>0</v>
      </c>
      <c r="H364" s="154">
        <f t="shared" si="91"/>
        <v>0</v>
      </c>
      <c r="I364" s="154">
        <f t="shared" si="91"/>
        <v>0</v>
      </c>
      <c r="J364" s="154">
        <f t="shared" si="86"/>
        <v>0</v>
      </c>
      <c r="N364" s="60"/>
      <c r="O364" s="60"/>
    </row>
    <row r="365" spans="2:15">
      <c r="B365" s="48" t="s">
        <v>874</v>
      </c>
      <c r="C365" s="157" t="s">
        <v>1479</v>
      </c>
      <c r="D365" s="156">
        <f>F821DO!D137*$D21*(1+D$25)*(1+D$26)</f>
        <v>0</v>
      </c>
      <c r="E365" s="156">
        <f>F821DO!E137*$D21*(1+E$25)*(1+E$26)</f>
        <v>0</v>
      </c>
      <c r="F365" s="156">
        <f>F821DO!F137*$D21*(1+F$25)*(1+F$26)</f>
        <v>0</v>
      </c>
      <c r="G365" s="156">
        <f>F821DO!G137*$D21*(1+G$25)*(1+G$26)</f>
        <v>0</v>
      </c>
      <c r="H365" s="156">
        <f>F821DO!H137*$D21*(1+H$25)*(1+H$26)</f>
        <v>0</v>
      </c>
      <c r="I365" s="156">
        <f>F821DO!I137*$D21*(1+I$25)*(1+I$26)</f>
        <v>0</v>
      </c>
      <c r="J365" s="154">
        <f t="shared" si="86"/>
        <v>0</v>
      </c>
      <c r="N365" s="60"/>
      <c r="O365" s="60"/>
    </row>
    <row r="366" spans="2:15">
      <c r="B366" s="48" t="s">
        <v>875</v>
      </c>
      <c r="C366" s="335" t="s">
        <v>193</v>
      </c>
      <c r="D366" s="154">
        <f t="shared" ref="D366:I366" si="92">SUM(D367:D372)</f>
        <v>0</v>
      </c>
      <c r="E366" s="154">
        <f t="shared" si="92"/>
        <v>0</v>
      </c>
      <c r="F366" s="154">
        <f t="shared" si="92"/>
        <v>0</v>
      </c>
      <c r="G366" s="154">
        <f t="shared" si="92"/>
        <v>0</v>
      </c>
      <c r="H366" s="154">
        <f t="shared" si="92"/>
        <v>0</v>
      </c>
      <c r="I366" s="154">
        <f t="shared" si="92"/>
        <v>0</v>
      </c>
      <c r="J366" s="154">
        <f t="shared" si="86"/>
        <v>0</v>
      </c>
      <c r="N366" s="60"/>
      <c r="O366" s="60"/>
    </row>
    <row r="367" spans="2:15">
      <c r="C367" s="157" t="s">
        <v>1032</v>
      </c>
      <c r="D367" s="156">
        <f>F821DO!D140*0</f>
        <v>0</v>
      </c>
      <c r="E367" s="156">
        <f>F821DO!E140*0</f>
        <v>0</v>
      </c>
      <c r="F367" s="156">
        <f>F821DO!F140*0</f>
        <v>0</v>
      </c>
      <c r="G367" s="156">
        <f>F821DO!G140*0</f>
        <v>0</v>
      </c>
      <c r="H367" s="156">
        <f>F821DO!H140*0</f>
        <v>0</v>
      </c>
      <c r="I367" s="156">
        <f>F821DO!I140*0</f>
        <v>0</v>
      </c>
      <c r="J367" s="154">
        <f t="shared" si="86"/>
        <v>0</v>
      </c>
      <c r="N367" s="60"/>
      <c r="O367" s="60"/>
    </row>
    <row r="368" spans="2:15">
      <c r="C368" s="157" t="s">
        <v>1480</v>
      </c>
      <c r="D368" s="156">
        <f>F821DO!D141*$D21*(1+D$25)*(1+D$26)</f>
        <v>0</v>
      </c>
      <c r="E368" s="156">
        <f>F821DO!E141*$D21*(1+E$25)*(1+E$26)</f>
        <v>0</v>
      </c>
      <c r="F368" s="156">
        <f>F821DO!F141*$D21*(1+F$25)*(1+F$26)</f>
        <v>0</v>
      </c>
      <c r="G368" s="156">
        <f>F821DO!G141*$D21*(1+G$25)*(1+G$26)</f>
        <v>0</v>
      </c>
      <c r="H368" s="156">
        <f>F821DO!H141*$D21*(1+H$25)*(1+H$26)</f>
        <v>0</v>
      </c>
      <c r="I368" s="156">
        <f>F821DO!I141*$D21*(1+I$25)*(1+I$26)</f>
        <v>0</v>
      </c>
      <c r="J368" s="154">
        <f t="shared" si="86"/>
        <v>0</v>
      </c>
      <c r="N368" s="60"/>
      <c r="O368" s="60"/>
    </row>
    <row r="369" spans="2:15">
      <c r="C369" s="157" t="s">
        <v>1480</v>
      </c>
      <c r="D369" s="156">
        <f>F821DO!D142*$D22*(1+D$25)*(1+D$26)</f>
        <v>0</v>
      </c>
      <c r="E369" s="156">
        <f>F821DO!E142*$D22*(1+E$25)*(1+E$26)</f>
        <v>0</v>
      </c>
      <c r="F369" s="156">
        <f>F821DO!F142*$D22*(1+F$25)*(1+F$26)</f>
        <v>0</v>
      </c>
      <c r="G369" s="156">
        <f>F821DO!G142*$D22*(1+G$25)*(1+G$26)</f>
        <v>0</v>
      </c>
      <c r="H369" s="156">
        <f>F821DO!H142*$D22*(1+H$25)*(1+H$26)</f>
        <v>0</v>
      </c>
      <c r="I369" s="156">
        <f>F821DO!I142*$D22*(1+I$25)*(1+I$26)</f>
        <v>0</v>
      </c>
      <c r="J369" s="154">
        <f t="shared" si="86"/>
        <v>0</v>
      </c>
      <c r="N369" s="60"/>
      <c r="O369" s="60"/>
    </row>
    <row r="370" spans="2:15">
      <c r="C370" s="157" t="s">
        <v>1480</v>
      </c>
      <c r="D370" s="156">
        <f>F821DO!D143*$D23*(1+D$25)*(1+D$26)</f>
        <v>0</v>
      </c>
      <c r="E370" s="156">
        <f>F821DO!E143*$D23*(1+E$25)*(1+E$26)</f>
        <v>0</v>
      </c>
      <c r="F370" s="156">
        <f>F821DO!F143*$D23*(1+F$25)*(1+F$26)</f>
        <v>0</v>
      </c>
      <c r="G370" s="156">
        <f>F821DO!G143*$D23*(1+G$25)*(1+G$26)</f>
        <v>0</v>
      </c>
      <c r="H370" s="156">
        <f>F821DO!H143*$D23*(1+H$25)*(1+H$26)</f>
        <v>0</v>
      </c>
      <c r="I370" s="156">
        <f>F821DO!I143*$D23*(1+I$25)*(1+I$26)</f>
        <v>0</v>
      </c>
      <c r="J370" s="154">
        <f t="shared" si="86"/>
        <v>0</v>
      </c>
      <c r="N370" s="60"/>
      <c r="O370" s="60"/>
    </row>
    <row r="371" spans="2:15">
      <c r="C371" s="157" t="s">
        <v>1480</v>
      </c>
      <c r="D371" s="156">
        <f>F821DO!D144*$D24*(1+D$25)*(1+D$26)</f>
        <v>0</v>
      </c>
      <c r="E371" s="156">
        <f>F821DO!E144*$D24*(1+E$25)*(1+E$26)</f>
        <v>0</v>
      </c>
      <c r="F371" s="156">
        <f>F821DO!F144*$D24*(1+F$25)*(1+F$26)</f>
        <v>0</v>
      </c>
      <c r="G371" s="156">
        <f>F821DO!G144*$D24*(1+G$25)*(1+G$26)</f>
        <v>0</v>
      </c>
      <c r="H371" s="156">
        <f>F821DO!H144*$D24*(1+H$25)*(1+H$26)</f>
        <v>0</v>
      </c>
      <c r="I371" s="156">
        <f>F821DO!I144*$D24*(1+I$25)*(1+I$26)</f>
        <v>0</v>
      </c>
      <c r="J371" s="154">
        <f t="shared" si="86"/>
        <v>0</v>
      </c>
      <c r="N371" s="60"/>
      <c r="O371" s="60"/>
    </row>
    <row r="372" spans="2:15">
      <c r="C372" s="157"/>
      <c r="D372" s="156"/>
      <c r="E372" s="156"/>
      <c r="F372" s="156"/>
      <c r="G372" s="156"/>
      <c r="H372" s="156"/>
      <c r="I372" s="156"/>
      <c r="J372" s="154">
        <f t="shared" si="86"/>
        <v>0</v>
      </c>
      <c r="N372" s="60"/>
      <c r="O372" s="60"/>
    </row>
    <row r="373" spans="2:15">
      <c r="C373" s="153" t="s">
        <v>112</v>
      </c>
      <c r="D373" s="154">
        <f t="shared" ref="D373:I373" si="93">D346+D352+D364</f>
        <v>0</v>
      </c>
      <c r="E373" s="154">
        <f t="shared" si="93"/>
        <v>0</v>
      </c>
      <c r="F373" s="154">
        <f t="shared" si="93"/>
        <v>0</v>
      </c>
      <c r="G373" s="154">
        <f t="shared" si="93"/>
        <v>0</v>
      </c>
      <c r="H373" s="154">
        <f t="shared" si="93"/>
        <v>0</v>
      </c>
      <c r="I373" s="154">
        <f t="shared" si="93"/>
        <v>0</v>
      </c>
      <c r="J373" s="154">
        <f t="shared" si="86"/>
        <v>0</v>
      </c>
      <c r="N373" s="60"/>
      <c r="O373" s="60"/>
    </row>
    <row r="374" spans="2:15">
      <c r="C374" s="164"/>
      <c r="D374" s="164"/>
      <c r="E374" s="164"/>
      <c r="F374" s="164"/>
      <c r="G374" s="164"/>
      <c r="H374" s="164"/>
      <c r="I374" s="164"/>
      <c r="J374" s="164"/>
      <c r="N374" s="60"/>
      <c r="O374" s="60"/>
    </row>
    <row r="375" spans="2:15">
      <c r="C375" s="153" t="s">
        <v>111</v>
      </c>
      <c r="D375" s="154">
        <f t="shared" ref="D375:J375" si="94">D121+D216+D311+D342+D373</f>
        <v>8824348.1563494969</v>
      </c>
      <c r="E375" s="154">
        <f t="shared" si="94"/>
        <v>8860790.2979961559</v>
      </c>
      <c r="F375" s="154">
        <f t="shared" si="94"/>
        <v>8758326.4626691397</v>
      </c>
      <c r="G375" s="154">
        <f t="shared" si="94"/>
        <v>8697214.9545865171</v>
      </c>
      <c r="H375" s="154">
        <f t="shared" si="94"/>
        <v>8114668.1206610063</v>
      </c>
      <c r="I375" s="154">
        <f t="shared" si="94"/>
        <v>8662420.0487628412</v>
      </c>
      <c r="J375" s="154">
        <f t="shared" si="94"/>
        <v>51917768.041025147</v>
      </c>
      <c r="N375" s="60"/>
      <c r="O375" s="60"/>
    </row>
    <row r="376" spans="2:15">
      <c r="D376" s="336"/>
      <c r="E376" s="336"/>
      <c r="F376" s="336"/>
      <c r="G376" s="336"/>
      <c r="H376" s="336"/>
      <c r="I376" s="336"/>
    </row>
    <row r="377" spans="2:15">
      <c r="C377" s="52" t="str">
        <f>'PORTADA PORTADA PORTADA'!$B$23</f>
        <v>1 DE JULIO DE 2026</v>
      </c>
    </row>
    <row r="381" spans="2:15">
      <c r="B381" s="48" t="s">
        <v>902</v>
      </c>
      <c r="D381" s="64">
        <f t="shared" ref="D381:J390" si="95">SUMIF($B$29:$B$375,$B381,D$29:D$375)</f>
        <v>329980.98770825268</v>
      </c>
      <c r="E381" s="64">
        <f t="shared" si="95"/>
        <v>331327.24950762786</v>
      </c>
      <c r="F381" s="64">
        <f t="shared" si="95"/>
        <v>327550.09589545795</v>
      </c>
      <c r="G381" s="64">
        <f t="shared" si="95"/>
        <v>325271.57236867544</v>
      </c>
      <c r="H381" s="64">
        <f t="shared" si="95"/>
        <v>303557.28593088355</v>
      </c>
      <c r="I381" s="64">
        <f t="shared" si="95"/>
        <v>323879.6286384525</v>
      </c>
      <c r="J381" s="64">
        <f t="shared" si="95"/>
        <v>1941566.8200493499</v>
      </c>
    </row>
    <row r="382" spans="2:15">
      <c r="B382" s="48" t="s">
        <v>751</v>
      </c>
      <c r="D382" s="64">
        <f t="shared" si="95"/>
        <v>989857.8408374578</v>
      </c>
      <c r="E382" s="64">
        <f t="shared" si="95"/>
        <v>994106.51515886211</v>
      </c>
      <c r="F382" s="64">
        <f t="shared" si="95"/>
        <v>981988.57813810313</v>
      </c>
      <c r="G382" s="64">
        <f t="shared" si="95"/>
        <v>974624.89223286079</v>
      </c>
      <c r="H382" s="64">
        <f t="shared" si="95"/>
        <v>904860.50034101936</v>
      </c>
      <c r="I382" s="64">
        <f t="shared" si="95"/>
        <v>970200.80526166293</v>
      </c>
      <c r="J382" s="64">
        <f t="shared" si="95"/>
        <v>5815639.1319699651</v>
      </c>
    </row>
    <row r="383" spans="2:15">
      <c r="B383" s="48" t="s">
        <v>750</v>
      </c>
      <c r="D383" s="64">
        <f t="shared" si="95"/>
        <v>1574209.0031812233</v>
      </c>
      <c r="E383" s="64">
        <f t="shared" si="95"/>
        <v>1580631.4866701488</v>
      </c>
      <c r="F383" s="64">
        <f t="shared" si="95"/>
        <v>1562612.1781518848</v>
      </c>
      <c r="G383" s="64">
        <f t="shared" si="95"/>
        <v>1551742.2420542559</v>
      </c>
      <c r="H383" s="64">
        <f t="shared" si="95"/>
        <v>1448151.9550942988</v>
      </c>
      <c r="I383" s="64">
        <f t="shared" si="95"/>
        <v>1545101.8281102388</v>
      </c>
      <c r="J383" s="64">
        <f t="shared" si="95"/>
        <v>9262448.6932620499</v>
      </c>
    </row>
    <row r="384" spans="2:15">
      <c r="B384" s="48" t="s">
        <v>749</v>
      </c>
      <c r="D384" s="64">
        <f t="shared" si="95"/>
        <v>2226842.3058049837</v>
      </c>
      <c r="E384" s="64">
        <f t="shared" si="95"/>
        <v>2235927.4132542307</v>
      </c>
      <c r="F384" s="64">
        <f t="shared" si="95"/>
        <v>2210437.6857474423</v>
      </c>
      <c r="G384" s="64">
        <f t="shared" si="95"/>
        <v>2195061.3071886352</v>
      </c>
      <c r="H384" s="64">
        <f t="shared" si="95"/>
        <v>2048524.7081685907</v>
      </c>
      <c r="I384" s="64">
        <f t="shared" si="95"/>
        <v>2185667.9199899132</v>
      </c>
      <c r="J384" s="64">
        <f t="shared" si="95"/>
        <v>13102461.340153797</v>
      </c>
    </row>
    <row r="385" spans="2:10">
      <c r="B385" s="48" t="s">
        <v>1176</v>
      </c>
      <c r="D385" s="64">
        <f t="shared" si="95"/>
        <v>52.050652044044938</v>
      </c>
      <c r="E385" s="64">
        <f t="shared" si="95"/>
        <v>52.263009140634487</v>
      </c>
      <c r="F385" s="64">
        <f t="shared" si="95"/>
        <v>51.667207213531363</v>
      </c>
      <c r="G385" s="64">
        <f t="shared" si="95"/>
        <v>51.30779670297315</v>
      </c>
      <c r="H385" s="64">
        <f t="shared" si="95"/>
        <v>47.882621284207772</v>
      </c>
      <c r="I385" s="64">
        <f t="shared" si="95"/>
        <v>51.08823381460828</v>
      </c>
      <c r="J385" s="64">
        <f t="shared" si="95"/>
        <v>306.2595202</v>
      </c>
    </row>
    <row r="386" spans="2:10">
      <c r="B386" s="48" t="s">
        <v>274</v>
      </c>
      <c r="D386" s="64">
        <f t="shared" si="95"/>
        <v>1907246.8616213161</v>
      </c>
      <c r="E386" s="64">
        <f t="shared" si="95"/>
        <v>1915028.0783805354</v>
      </c>
      <c r="F386" s="64">
        <f t="shared" si="95"/>
        <v>1893196.6255362218</v>
      </c>
      <c r="G386" s="64">
        <f t="shared" si="95"/>
        <v>1880027.0581748793</v>
      </c>
      <c r="H386" s="64">
        <f t="shared" si="95"/>
        <v>1754521.3284404103</v>
      </c>
      <c r="I386" s="64">
        <f t="shared" si="95"/>
        <v>1871981.8058424378</v>
      </c>
      <c r="J386" s="64">
        <f t="shared" si="95"/>
        <v>11222001.757995801</v>
      </c>
    </row>
    <row r="387" spans="2:10">
      <c r="B387" s="48" t="s">
        <v>275</v>
      </c>
      <c r="D387" s="64">
        <f t="shared" si="95"/>
        <v>97535.135523126053</v>
      </c>
      <c r="E387" s="64">
        <f t="shared" si="95"/>
        <v>97933.060955023277</v>
      </c>
      <c r="F387" s="64">
        <f t="shared" si="95"/>
        <v>96816.617271363604</v>
      </c>
      <c r="G387" s="64">
        <f t="shared" si="95"/>
        <v>96143.135739834121</v>
      </c>
      <c r="H387" s="64">
        <f t="shared" si="95"/>
        <v>89724.869386954044</v>
      </c>
      <c r="I387" s="64">
        <f t="shared" si="95"/>
        <v>95731.707732085139</v>
      </c>
      <c r="J387" s="64">
        <f t="shared" si="95"/>
        <v>573884.52660838619</v>
      </c>
    </row>
    <row r="388" spans="2:10">
      <c r="B388" s="48" t="s">
        <v>276</v>
      </c>
      <c r="D388" s="64">
        <f t="shared" si="95"/>
        <v>869949.90776182164</v>
      </c>
      <c r="E388" s="64">
        <f t="shared" si="95"/>
        <v>873499.14354150638</v>
      </c>
      <c r="F388" s="64">
        <f t="shared" si="95"/>
        <v>863541.19275370298</v>
      </c>
      <c r="G388" s="64">
        <f t="shared" si="95"/>
        <v>857534.17596851161</v>
      </c>
      <c r="H388" s="64">
        <f t="shared" si="95"/>
        <v>800287.41876935889</v>
      </c>
      <c r="I388" s="64">
        <f t="shared" si="95"/>
        <v>853864.50600319938</v>
      </c>
      <c r="J388" s="64">
        <f t="shared" si="95"/>
        <v>5118676.3447981002</v>
      </c>
    </row>
    <row r="389" spans="2:10">
      <c r="B389" s="48" t="s">
        <v>277</v>
      </c>
      <c r="D389" s="64">
        <f t="shared" si="95"/>
        <v>141065.72480594256</v>
      </c>
      <c r="E389" s="64">
        <f t="shared" si="95"/>
        <v>141641.24704383386</v>
      </c>
      <c r="F389" s="64">
        <f t="shared" si="95"/>
        <v>140026.52700888677</v>
      </c>
      <c r="G389" s="64">
        <f t="shared" si="95"/>
        <v>139052.46612427261</v>
      </c>
      <c r="H389" s="64">
        <f t="shared" si="95"/>
        <v>129769.68417897094</v>
      </c>
      <c r="I389" s="64">
        <f t="shared" si="95"/>
        <v>138457.41501979329</v>
      </c>
      <c r="J389" s="64">
        <f t="shared" si="95"/>
        <v>830013.0641817</v>
      </c>
    </row>
    <row r="390" spans="2:10">
      <c r="B390" s="48" t="s">
        <v>278</v>
      </c>
      <c r="D390" s="64">
        <f t="shared" si="95"/>
        <v>16.03</v>
      </c>
      <c r="E390" s="64">
        <f t="shared" si="95"/>
        <v>16.03</v>
      </c>
      <c r="F390" s="64">
        <f t="shared" si="95"/>
        <v>16.03</v>
      </c>
      <c r="G390" s="64">
        <f t="shared" si="95"/>
        <v>16.03</v>
      </c>
      <c r="H390" s="64">
        <f t="shared" si="95"/>
        <v>16.03</v>
      </c>
      <c r="I390" s="64">
        <f t="shared" si="95"/>
        <v>16.03</v>
      </c>
      <c r="J390" s="64">
        <f t="shared" si="95"/>
        <v>96.18</v>
      </c>
    </row>
    <row r="391" spans="2:10">
      <c r="B391" s="48" t="s">
        <v>279</v>
      </c>
      <c r="D391" s="64">
        <f t="shared" ref="D391:J398" si="96">SUMIF($B$29:$B$375,$B391,D$29:D$375)</f>
        <v>630218.89271315781</v>
      </c>
      <c r="E391" s="64">
        <f t="shared" si="96"/>
        <v>632790.13539890654</v>
      </c>
      <c r="F391" s="64">
        <f t="shared" si="96"/>
        <v>625576.1012468955</v>
      </c>
      <c r="G391" s="64">
        <f t="shared" si="96"/>
        <v>621224.31992526527</v>
      </c>
      <c r="H391" s="64">
        <f t="shared" si="96"/>
        <v>579751.9256217709</v>
      </c>
      <c r="I391" s="64">
        <f t="shared" si="96"/>
        <v>618565.82873360394</v>
      </c>
      <c r="J391" s="64">
        <f t="shared" si="96"/>
        <v>3708127.2036396</v>
      </c>
    </row>
    <row r="392" spans="2:10">
      <c r="B392" s="48" t="s">
        <v>875</v>
      </c>
      <c r="D392" s="64">
        <f t="shared" si="96"/>
        <v>5500.3708839926694</v>
      </c>
      <c r="E392" s="64">
        <f t="shared" si="96"/>
        <v>5438.4593403785411</v>
      </c>
      <c r="F392" s="64">
        <f t="shared" si="96"/>
        <v>5217.2581872795272</v>
      </c>
      <c r="G392" s="64">
        <f t="shared" si="96"/>
        <v>5436.7380659025002</v>
      </c>
      <c r="H392" s="64">
        <f t="shared" si="96"/>
        <v>5109.0484938437703</v>
      </c>
      <c r="I392" s="64">
        <f t="shared" si="96"/>
        <v>5460.0742231931699</v>
      </c>
      <c r="J392" s="64">
        <f t="shared" si="96"/>
        <v>32161.949194590175</v>
      </c>
    </row>
    <row r="393" spans="2:10">
      <c r="B393" s="48" t="s">
        <v>874</v>
      </c>
      <c r="D393" s="64">
        <f t="shared" si="96"/>
        <v>179.85539788965005</v>
      </c>
      <c r="E393" s="64">
        <f t="shared" si="96"/>
        <v>182.98496296962003</v>
      </c>
      <c r="F393" s="64">
        <f t="shared" si="96"/>
        <v>180.84163530321001</v>
      </c>
      <c r="G393" s="64">
        <f t="shared" si="96"/>
        <v>187.90421631219002</v>
      </c>
      <c r="H393" s="64">
        <f t="shared" si="96"/>
        <v>174.69352829943</v>
      </c>
      <c r="I393" s="64">
        <f t="shared" si="96"/>
        <v>188.32228071425999</v>
      </c>
      <c r="J393" s="64">
        <f t="shared" si="96"/>
        <v>1094.6020214883602</v>
      </c>
    </row>
    <row r="394" spans="2:10">
      <c r="B394" s="48" t="s">
        <v>873</v>
      </c>
      <c r="D394" s="64">
        <f t="shared" si="96"/>
        <v>27720.253128465454</v>
      </c>
      <c r="E394" s="64">
        <f t="shared" si="96"/>
        <v>28641.843498491377</v>
      </c>
      <c r="F394" s="64">
        <f t="shared" si="96"/>
        <v>27946.400819400002</v>
      </c>
      <c r="G394" s="64">
        <f t="shared" si="96"/>
        <v>28002.968806290675</v>
      </c>
      <c r="H394" s="64">
        <f t="shared" si="96"/>
        <v>25817.128836311604</v>
      </c>
      <c r="I394" s="64">
        <f t="shared" si="96"/>
        <v>27319.566126610815</v>
      </c>
      <c r="J394" s="64">
        <f t="shared" si="96"/>
        <v>165448.16121556994</v>
      </c>
    </row>
    <row r="395" spans="2:10">
      <c r="B395" s="48" t="s">
        <v>872</v>
      </c>
      <c r="D395" s="64">
        <f t="shared" si="96"/>
        <v>5820.9157584994509</v>
      </c>
      <c r="E395" s="64">
        <f t="shared" si="96"/>
        <v>5840.6954857965002</v>
      </c>
      <c r="F395" s="64">
        <f t="shared" si="96"/>
        <v>5519.6392717953913</v>
      </c>
      <c r="G395" s="64">
        <f t="shared" si="96"/>
        <v>6765.4173894703208</v>
      </c>
      <c r="H395" s="64">
        <f t="shared" si="96"/>
        <v>6314.4842998904096</v>
      </c>
      <c r="I395" s="64">
        <f t="shared" si="96"/>
        <v>6651.6373189765791</v>
      </c>
      <c r="J395" s="64">
        <f t="shared" si="96"/>
        <v>36912.789524428648</v>
      </c>
    </row>
    <row r="396" spans="2:10">
      <c r="B396" s="48" t="s">
        <v>871</v>
      </c>
      <c r="D396" s="64">
        <f t="shared" si="96"/>
        <v>3105.1161690381005</v>
      </c>
      <c r="E396" s="64">
        <f t="shared" si="96"/>
        <v>3089.2231778625001</v>
      </c>
      <c r="F396" s="64">
        <f t="shared" si="96"/>
        <v>3285.6915535983003</v>
      </c>
      <c r="G396" s="64">
        <f t="shared" si="96"/>
        <v>4119.4333083582005</v>
      </c>
      <c r="H396" s="64">
        <f t="shared" si="96"/>
        <v>3736.2739140908993</v>
      </c>
      <c r="I396" s="64">
        <f t="shared" si="96"/>
        <v>4149.6919598547001</v>
      </c>
      <c r="J396" s="64">
        <f t="shared" si="96"/>
        <v>21485.430082802701</v>
      </c>
    </row>
    <row r="397" spans="2:10">
      <c r="B397" s="48" t="s">
        <v>870</v>
      </c>
      <c r="D397" s="64">
        <f t="shared" si="96"/>
        <v>6035.5579452537604</v>
      </c>
      <c r="E397" s="64">
        <f t="shared" si="96"/>
        <v>5934.0871753934407</v>
      </c>
      <c r="F397" s="64">
        <f t="shared" si="96"/>
        <v>6219.3913536686405</v>
      </c>
      <c r="G397" s="64">
        <f t="shared" si="96"/>
        <v>3230.3553987549603</v>
      </c>
      <c r="H397" s="64">
        <f t="shared" si="96"/>
        <v>5585.2228911282309</v>
      </c>
      <c r="I397" s="64">
        <f t="shared" si="96"/>
        <v>5823.1932858886494</v>
      </c>
      <c r="J397" s="64">
        <f t="shared" si="96"/>
        <v>32827.808050087682</v>
      </c>
    </row>
    <row r="398" spans="2:10">
      <c r="B398" s="48" t="s">
        <v>890</v>
      </c>
      <c r="D398" s="64">
        <f t="shared" si="96"/>
        <v>9011.3464570311044</v>
      </c>
      <c r="E398" s="64">
        <f t="shared" si="96"/>
        <v>8710.3814354486985</v>
      </c>
      <c r="F398" s="64">
        <f t="shared" si="96"/>
        <v>8143.9408909215008</v>
      </c>
      <c r="G398" s="64">
        <f t="shared" si="96"/>
        <v>8723.6298275364006</v>
      </c>
      <c r="H398" s="64">
        <f t="shared" si="96"/>
        <v>8717.680143900001</v>
      </c>
      <c r="I398" s="64">
        <f t="shared" si="96"/>
        <v>9309.0000024000001</v>
      </c>
      <c r="J398" s="64">
        <f t="shared" si="96"/>
        <v>52615.97875723771</v>
      </c>
    </row>
    <row r="399" spans="2:10">
      <c r="B399" s="48" t="s">
        <v>111</v>
      </c>
      <c r="D399" s="65">
        <f t="shared" ref="D399:J399" si="97">SUM(D381:D398)</f>
        <v>8824348.1563494951</v>
      </c>
      <c r="E399" s="65">
        <f t="shared" si="97"/>
        <v>8860790.2979961559</v>
      </c>
      <c r="F399" s="65">
        <f t="shared" si="97"/>
        <v>8758326.4626691397</v>
      </c>
      <c r="G399" s="65">
        <f t="shared" si="97"/>
        <v>8697214.9545865189</v>
      </c>
      <c r="H399" s="65">
        <f t="shared" si="97"/>
        <v>8114668.1206610072</v>
      </c>
      <c r="I399" s="65">
        <f t="shared" si="97"/>
        <v>8662420.0487628374</v>
      </c>
      <c r="J399" s="65">
        <f t="shared" si="97"/>
        <v>51917768.041025162</v>
      </c>
    </row>
    <row r="400" spans="2:10" ht="17.25" customHeight="1">
      <c r="D400" s="66">
        <f t="shared" ref="D400:J400" si="98">D399-D375</f>
        <v>0</v>
      </c>
      <c r="E400" s="66">
        <f t="shared" si="98"/>
        <v>0</v>
      </c>
      <c r="F400" s="66">
        <f t="shared" si="98"/>
        <v>0</v>
      </c>
      <c r="G400" s="66">
        <f t="shared" si="98"/>
        <v>0</v>
      </c>
      <c r="H400" s="66">
        <f t="shared" si="98"/>
        <v>0</v>
      </c>
      <c r="I400" s="66">
        <f t="shared" si="98"/>
        <v>0</v>
      </c>
      <c r="J400" s="66">
        <f t="shared" si="98"/>
        <v>0</v>
      </c>
    </row>
    <row r="402" spans="2:10">
      <c r="B402" s="48" t="s">
        <v>902</v>
      </c>
      <c r="D402" s="64">
        <f t="shared" ref="D402:J417" si="99">D381-D422</f>
        <v>321106.8610218495</v>
      </c>
      <c r="E402" s="64">
        <f t="shared" si="99"/>
        <v>322416.91801486997</v>
      </c>
      <c r="F402" s="64">
        <f t="shared" si="99"/>
        <v>318741.34279938648</v>
      </c>
      <c r="G402" s="64">
        <f t="shared" si="99"/>
        <v>316524.09524663823</v>
      </c>
      <c r="H402" s="64">
        <f t="shared" si="99"/>
        <v>295393.76769112045</v>
      </c>
      <c r="I402" s="64">
        <f t="shared" si="99"/>
        <v>315169.5848397353</v>
      </c>
      <c r="J402" s="64">
        <f t="shared" si="99"/>
        <v>1889352.5696135999</v>
      </c>
    </row>
    <row r="403" spans="2:10">
      <c r="B403" s="48" t="s">
        <v>751</v>
      </c>
      <c r="D403" s="64">
        <f t="shared" si="99"/>
        <v>963237.74995850259</v>
      </c>
      <c r="E403" s="64">
        <f t="shared" si="99"/>
        <v>967372.16535111447</v>
      </c>
      <c r="F403" s="64">
        <f t="shared" si="99"/>
        <v>955580.11410046276</v>
      </c>
      <c r="G403" s="64">
        <f t="shared" si="99"/>
        <v>948414.45863950707</v>
      </c>
      <c r="H403" s="64">
        <f t="shared" si="99"/>
        <v>880526.22954161256</v>
      </c>
      <c r="I403" s="64">
        <f t="shared" si="99"/>
        <v>944109.34794184158</v>
      </c>
      <c r="J403" s="64">
        <f t="shared" si="99"/>
        <v>5659240.0655330401</v>
      </c>
    </row>
    <row r="404" spans="2:10">
      <c r="B404" s="48" t="s">
        <v>750</v>
      </c>
      <c r="D404" s="64">
        <f t="shared" si="99"/>
        <v>1543295.5333302326</v>
      </c>
      <c r="E404" s="64">
        <f t="shared" si="99"/>
        <v>1549591.8955421851</v>
      </c>
      <c r="F404" s="64">
        <f t="shared" si="99"/>
        <v>1531926.4405144611</v>
      </c>
      <c r="G404" s="64">
        <f t="shared" si="99"/>
        <v>1521269.9623764532</v>
      </c>
      <c r="H404" s="64">
        <f t="shared" si="99"/>
        <v>1419713.9257646524</v>
      </c>
      <c r="I404" s="64">
        <f t="shared" si="99"/>
        <v>1514759.9493104909</v>
      </c>
      <c r="J404" s="64">
        <f t="shared" si="99"/>
        <v>9080557.7068384755</v>
      </c>
    </row>
    <row r="405" spans="2:10">
      <c r="B405" s="48" t="s">
        <v>749</v>
      </c>
      <c r="D405" s="64">
        <f t="shared" si="99"/>
        <v>2192272.2676207651</v>
      </c>
      <c r="E405" s="64">
        <f t="shared" si="99"/>
        <v>2201216.3356660949</v>
      </c>
      <c r="F405" s="64">
        <f t="shared" si="99"/>
        <v>2176122.3168500019</v>
      </c>
      <c r="G405" s="64">
        <f t="shared" si="99"/>
        <v>2160984.6449084198</v>
      </c>
      <c r="H405" s="64">
        <f t="shared" si="99"/>
        <v>2016722.9154695321</v>
      </c>
      <c r="I405" s="64">
        <f t="shared" si="99"/>
        <v>2151737.0829229574</v>
      </c>
      <c r="J405" s="64">
        <f t="shared" si="99"/>
        <v>12899055.563437771</v>
      </c>
    </row>
    <row r="406" spans="2:10">
      <c r="B406" s="48" t="s">
        <v>1176</v>
      </c>
      <c r="D406" s="64">
        <f t="shared" si="99"/>
        <v>50.650862063547244</v>
      </c>
      <c r="E406" s="64">
        <f t="shared" si="99"/>
        <v>50.85750827421279</v>
      </c>
      <c r="F406" s="64">
        <f t="shared" si="99"/>
        <v>50.277729154416946</v>
      </c>
      <c r="G406" s="64">
        <f t="shared" si="99"/>
        <v>49.927984214064068</v>
      </c>
      <c r="H406" s="64">
        <f t="shared" si="99"/>
        <v>46.594921497913397</v>
      </c>
      <c r="I406" s="64">
        <f t="shared" si="99"/>
        <v>49.714325995845542</v>
      </c>
      <c r="J406" s="64">
        <f t="shared" si="99"/>
        <v>298.02333119999997</v>
      </c>
    </row>
    <row r="407" spans="2:10">
      <c r="B407" s="48" t="s">
        <v>274</v>
      </c>
      <c r="D407" s="64">
        <f t="shared" si="99"/>
        <v>1869417.761653078</v>
      </c>
      <c r="E407" s="64">
        <f t="shared" si="99"/>
        <v>1877044.6426351189</v>
      </c>
      <c r="F407" s="64">
        <f t="shared" si="99"/>
        <v>1855646.2035913353</v>
      </c>
      <c r="G407" s="64">
        <f t="shared" si="99"/>
        <v>1842737.8467163099</v>
      </c>
      <c r="H407" s="64">
        <f t="shared" si="99"/>
        <v>1719721.4480129986</v>
      </c>
      <c r="I407" s="64">
        <f t="shared" si="99"/>
        <v>1834852.1671486099</v>
      </c>
      <c r="J407" s="64">
        <f t="shared" si="99"/>
        <v>10999420.06975745</v>
      </c>
    </row>
    <row r="408" spans="2:10">
      <c r="B408" s="48" t="s">
        <v>275</v>
      </c>
      <c r="D408" s="64">
        <f t="shared" si="99"/>
        <v>95616.261002103493</v>
      </c>
      <c r="E408" s="64">
        <f t="shared" si="99"/>
        <v>96006.357778527599</v>
      </c>
      <c r="F408" s="64">
        <f t="shared" si="99"/>
        <v>94911.878644640077</v>
      </c>
      <c r="G408" s="64">
        <f t="shared" si="99"/>
        <v>94251.646969629481</v>
      </c>
      <c r="H408" s="64">
        <f t="shared" si="99"/>
        <v>87959.651500648033</v>
      </c>
      <c r="I408" s="64">
        <f t="shared" si="99"/>
        <v>93848.313262637559</v>
      </c>
      <c r="J408" s="64">
        <f t="shared" si="99"/>
        <v>562594.10915818624</v>
      </c>
    </row>
    <row r="409" spans="2:10">
      <c r="B409" s="48" t="s">
        <v>276</v>
      </c>
      <c r="D409" s="64">
        <f t="shared" si="99"/>
        <v>852854.82223811769</v>
      </c>
      <c r="E409" s="64">
        <f t="shared" si="99"/>
        <v>856334.31320990471</v>
      </c>
      <c r="F409" s="64">
        <f t="shared" si="99"/>
        <v>846572.04267775686</v>
      </c>
      <c r="G409" s="64">
        <f t="shared" si="99"/>
        <v>840683.06770712161</v>
      </c>
      <c r="H409" s="64">
        <f t="shared" si="99"/>
        <v>784561.24678480811</v>
      </c>
      <c r="I409" s="64">
        <f t="shared" si="99"/>
        <v>837085.50916034169</v>
      </c>
      <c r="J409" s="64">
        <f t="shared" si="99"/>
        <v>5018091.0017780503</v>
      </c>
    </row>
    <row r="410" spans="2:10">
      <c r="B410" s="48" t="s">
        <v>277</v>
      </c>
      <c r="D410" s="64">
        <f t="shared" si="99"/>
        <v>138293.69091237601</v>
      </c>
      <c r="E410" s="64">
        <f t="shared" si="99"/>
        <v>138857.90376131312</v>
      </c>
      <c r="F410" s="64">
        <f t="shared" si="99"/>
        <v>137274.9140327296</v>
      </c>
      <c r="G410" s="64">
        <f t="shared" si="99"/>
        <v>136319.99408252927</v>
      </c>
      <c r="H410" s="64">
        <f t="shared" si="99"/>
        <v>127219.62488287763</v>
      </c>
      <c r="I410" s="64">
        <f t="shared" si="99"/>
        <v>135736.63612202441</v>
      </c>
      <c r="J410" s="64">
        <f t="shared" si="99"/>
        <v>813702.76379384997</v>
      </c>
    </row>
    <row r="411" spans="2:10">
      <c r="B411" s="48" t="s">
        <v>278</v>
      </c>
      <c r="D411" s="64">
        <f t="shared" si="99"/>
        <v>15.715000000000002</v>
      </c>
      <c r="E411" s="64">
        <f t="shared" si="99"/>
        <v>15.715000000000002</v>
      </c>
      <c r="F411" s="64">
        <f t="shared" si="99"/>
        <v>15.715000000000002</v>
      </c>
      <c r="G411" s="64">
        <f t="shared" si="99"/>
        <v>15.715000000000002</v>
      </c>
      <c r="H411" s="64">
        <f t="shared" si="99"/>
        <v>15.715000000000002</v>
      </c>
      <c r="I411" s="64">
        <f t="shared" si="99"/>
        <v>15.715000000000002</v>
      </c>
      <c r="J411" s="64">
        <f t="shared" si="99"/>
        <v>94.29</v>
      </c>
    </row>
    <row r="412" spans="2:10">
      <c r="B412" s="48" t="s">
        <v>279</v>
      </c>
      <c r="D412" s="64">
        <f t="shared" si="99"/>
        <v>617834.67866420932</v>
      </c>
      <c r="E412" s="64">
        <f t="shared" si="99"/>
        <v>620355.39474696293</v>
      </c>
      <c r="F412" s="64">
        <f t="shared" si="99"/>
        <v>613283.12109138886</v>
      </c>
      <c r="G412" s="64">
        <f t="shared" si="99"/>
        <v>609016.85512324038</v>
      </c>
      <c r="H412" s="64">
        <f t="shared" si="99"/>
        <v>568359.42053313344</v>
      </c>
      <c r="I412" s="64">
        <f t="shared" si="99"/>
        <v>606410.60502486501</v>
      </c>
      <c r="J412" s="64">
        <f t="shared" si="99"/>
        <v>3635260.0751838</v>
      </c>
    </row>
    <row r="413" spans="2:10">
      <c r="B413" s="48" t="s">
        <v>875</v>
      </c>
      <c r="D413" s="64">
        <f t="shared" si="99"/>
        <v>0</v>
      </c>
      <c r="E413" s="64">
        <f t="shared" si="99"/>
        <v>0</v>
      </c>
      <c r="F413" s="64">
        <f t="shared" si="99"/>
        <v>0</v>
      </c>
      <c r="G413" s="64">
        <f t="shared" si="99"/>
        <v>0</v>
      </c>
      <c r="H413" s="64">
        <f t="shared" si="99"/>
        <v>0</v>
      </c>
      <c r="I413" s="64">
        <f t="shared" si="99"/>
        <v>0</v>
      </c>
      <c r="J413" s="64">
        <f t="shared" si="99"/>
        <v>0</v>
      </c>
    </row>
    <row r="414" spans="2:10">
      <c r="B414" s="48" t="s">
        <v>874</v>
      </c>
      <c r="D414" s="64">
        <f t="shared" si="99"/>
        <v>0</v>
      </c>
      <c r="E414" s="64">
        <f t="shared" si="99"/>
        <v>0</v>
      </c>
      <c r="F414" s="64">
        <f t="shared" si="99"/>
        <v>0</v>
      </c>
      <c r="G414" s="64">
        <f t="shared" si="99"/>
        <v>0</v>
      </c>
      <c r="H414" s="64">
        <f t="shared" si="99"/>
        <v>0</v>
      </c>
      <c r="I414" s="64">
        <f t="shared" si="99"/>
        <v>0</v>
      </c>
      <c r="J414" s="64">
        <f t="shared" si="99"/>
        <v>0</v>
      </c>
    </row>
    <row r="415" spans="2:10">
      <c r="B415" s="48" t="s">
        <v>873</v>
      </c>
      <c r="D415" s="64">
        <f t="shared" si="99"/>
        <v>0</v>
      </c>
      <c r="E415" s="64">
        <f t="shared" si="99"/>
        <v>0</v>
      </c>
      <c r="F415" s="64">
        <f t="shared" si="99"/>
        <v>0</v>
      </c>
      <c r="G415" s="64">
        <f t="shared" si="99"/>
        <v>0</v>
      </c>
      <c r="H415" s="64">
        <f t="shared" si="99"/>
        <v>0</v>
      </c>
      <c r="I415" s="64">
        <f t="shared" si="99"/>
        <v>0</v>
      </c>
      <c r="J415" s="64">
        <f t="shared" si="99"/>
        <v>0</v>
      </c>
    </row>
    <row r="416" spans="2:10">
      <c r="B416" s="48" t="s">
        <v>872</v>
      </c>
      <c r="D416" s="64">
        <f t="shared" si="99"/>
        <v>0</v>
      </c>
      <c r="E416" s="64">
        <f t="shared" si="99"/>
        <v>0</v>
      </c>
      <c r="F416" s="64">
        <f t="shared" si="99"/>
        <v>0</v>
      </c>
      <c r="G416" s="64">
        <f t="shared" si="99"/>
        <v>0</v>
      </c>
      <c r="H416" s="64">
        <f t="shared" si="99"/>
        <v>0</v>
      </c>
      <c r="I416" s="64">
        <f t="shared" si="99"/>
        <v>0</v>
      </c>
      <c r="J416" s="64">
        <f t="shared" si="99"/>
        <v>0</v>
      </c>
    </row>
    <row r="417" spans="2:10">
      <c r="B417" s="48" t="s">
        <v>871</v>
      </c>
      <c r="D417" s="64">
        <f t="shared" si="99"/>
        <v>0</v>
      </c>
      <c r="E417" s="64">
        <f t="shared" si="99"/>
        <v>0</v>
      </c>
      <c r="F417" s="64">
        <f t="shared" si="99"/>
        <v>0</v>
      </c>
      <c r="G417" s="64">
        <f t="shared" si="99"/>
        <v>0</v>
      </c>
      <c r="H417" s="64">
        <f t="shared" si="99"/>
        <v>0</v>
      </c>
      <c r="I417" s="64">
        <f t="shared" si="99"/>
        <v>0</v>
      </c>
      <c r="J417" s="64">
        <f t="shared" si="99"/>
        <v>0</v>
      </c>
    </row>
    <row r="418" spans="2:10">
      <c r="B418" s="48" t="s">
        <v>870</v>
      </c>
      <c r="D418" s="64">
        <f t="shared" ref="D418:F418" si="100">D397-D438</f>
        <v>0</v>
      </c>
      <c r="E418" s="64">
        <f t="shared" si="100"/>
        <v>0</v>
      </c>
      <c r="F418" s="64">
        <f t="shared" si="100"/>
        <v>0</v>
      </c>
      <c r="G418" s="64">
        <f>G397-G438</f>
        <v>0</v>
      </c>
      <c r="H418" s="64">
        <f t="shared" ref="H418:I418" si="101">H397-H438</f>
        <v>0</v>
      </c>
      <c r="I418" s="64">
        <f t="shared" si="101"/>
        <v>0</v>
      </c>
      <c r="J418" s="64">
        <f>J397-J438</f>
        <v>0</v>
      </c>
    </row>
    <row r="419" spans="2:10">
      <c r="B419" s="48" t="s">
        <v>893</v>
      </c>
      <c r="D419" s="64"/>
      <c r="E419" s="64"/>
      <c r="F419" s="64"/>
      <c r="G419" s="64"/>
      <c r="H419" s="64"/>
      <c r="I419" s="64"/>
      <c r="J419" s="64"/>
    </row>
    <row r="420" spans="2:10">
      <c r="B420" s="48" t="s">
        <v>111</v>
      </c>
      <c r="C420" s="48" t="s">
        <v>889</v>
      </c>
      <c r="D420" s="65">
        <f t="shared" ref="D420:J420" si="102">SUM(D402:D419)</f>
        <v>8593995.9922632985</v>
      </c>
      <c r="E420" s="65">
        <f t="shared" si="102"/>
        <v>8629262.4992143661</v>
      </c>
      <c r="F420" s="65">
        <f t="shared" si="102"/>
        <v>8530124.3670313172</v>
      </c>
      <c r="G420" s="65">
        <f t="shared" si="102"/>
        <v>8470268.2147540618</v>
      </c>
      <c r="H420" s="65">
        <f t="shared" si="102"/>
        <v>7900240.5401028804</v>
      </c>
      <c r="I420" s="65">
        <f t="shared" si="102"/>
        <v>8433774.6250595003</v>
      </c>
      <c r="J420" s="65">
        <f t="shared" si="102"/>
        <v>50557666.238425426</v>
      </c>
    </row>
    <row r="422" spans="2:10">
      <c r="B422" s="48" t="s">
        <v>902</v>
      </c>
      <c r="D422" s="64">
        <f t="shared" ref="D422:J431" si="103">SUMIF($B$219:$B$342,$B422,D$219:D$342)</f>
        <v>8874.1266864031531</v>
      </c>
      <c r="E422" s="64">
        <f t="shared" si="103"/>
        <v>8910.3314927578867</v>
      </c>
      <c r="F422" s="64">
        <f t="shared" si="103"/>
        <v>8808.7530960714794</v>
      </c>
      <c r="G422" s="64">
        <f t="shared" si="103"/>
        <v>8747.4771220371968</v>
      </c>
      <c r="H422" s="64">
        <f t="shared" si="103"/>
        <v>8163.518239763107</v>
      </c>
      <c r="I422" s="64">
        <f t="shared" si="103"/>
        <v>8710.0437987171772</v>
      </c>
      <c r="J422" s="64">
        <f t="shared" si="103"/>
        <v>52214.250435749993</v>
      </c>
    </row>
    <row r="423" spans="2:10">
      <c r="B423" s="48" t="s">
        <v>751</v>
      </c>
      <c r="D423" s="64">
        <f t="shared" si="103"/>
        <v>26620.090878955216</v>
      </c>
      <c r="E423" s="64">
        <f t="shared" si="103"/>
        <v>26734.349807747636</v>
      </c>
      <c r="F423" s="64">
        <f t="shared" si="103"/>
        <v>26408.46403764034</v>
      </c>
      <c r="G423" s="64">
        <f t="shared" si="103"/>
        <v>26210.433593353726</v>
      </c>
      <c r="H423" s="64">
        <f t="shared" si="103"/>
        <v>24334.270799406808</v>
      </c>
      <c r="I423" s="64">
        <f t="shared" si="103"/>
        <v>26091.4573198213</v>
      </c>
      <c r="J423" s="64">
        <f t="shared" si="103"/>
        <v>156399.066436925</v>
      </c>
    </row>
    <row r="424" spans="2:10">
      <c r="B424" s="48" t="s">
        <v>750</v>
      </c>
      <c r="D424" s="64">
        <f t="shared" si="103"/>
        <v>30913.46985099079</v>
      </c>
      <c r="E424" s="64">
        <f t="shared" si="103"/>
        <v>31039.591127963646</v>
      </c>
      <c r="F424" s="64">
        <f t="shared" si="103"/>
        <v>30685.737637423725</v>
      </c>
      <c r="G424" s="64">
        <f t="shared" si="103"/>
        <v>30472.279677802602</v>
      </c>
      <c r="H424" s="64">
        <f t="shared" si="103"/>
        <v>28438.02932964635</v>
      </c>
      <c r="I424" s="64">
        <f t="shared" si="103"/>
        <v>30341.878799747883</v>
      </c>
      <c r="J424" s="64">
        <f t="shared" si="103"/>
        <v>181890.986423575</v>
      </c>
    </row>
    <row r="425" spans="2:10">
      <c r="B425" s="48" t="s">
        <v>749</v>
      </c>
      <c r="D425" s="64">
        <f t="shared" si="103"/>
        <v>34570.038184218749</v>
      </c>
      <c r="E425" s="64">
        <f t="shared" si="103"/>
        <v>34711.077588135893</v>
      </c>
      <c r="F425" s="64">
        <f t="shared" si="103"/>
        <v>34315.368897440581</v>
      </c>
      <c r="G425" s="64">
        <f t="shared" si="103"/>
        <v>34076.662280215263</v>
      </c>
      <c r="H425" s="64">
        <f t="shared" si="103"/>
        <v>31801.792699058606</v>
      </c>
      <c r="I425" s="64">
        <f t="shared" si="103"/>
        <v>33930.837066955908</v>
      </c>
      <c r="J425" s="64">
        <f t="shared" si="103"/>
        <v>203405.77671602502</v>
      </c>
    </row>
    <row r="426" spans="2:10">
      <c r="B426" s="48" t="s">
        <v>1176</v>
      </c>
      <c r="D426" s="64">
        <f t="shared" si="103"/>
        <v>1.3997899804976917</v>
      </c>
      <c r="E426" s="64">
        <f t="shared" si="103"/>
        <v>1.405500866421697</v>
      </c>
      <c r="F426" s="64">
        <f t="shared" si="103"/>
        <v>1.3894780591144142</v>
      </c>
      <c r="G426" s="64">
        <f t="shared" si="103"/>
        <v>1.3798124889090837</v>
      </c>
      <c r="H426" s="64">
        <f t="shared" si="103"/>
        <v>1.2876997862943751</v>
      </c>
      <c r="I426" s="64">
        <f t="shared" si="103"/>
        <v>1.3739078187627383</v>
      </c>
      <c r="J426" s="64">
        <f t="shared" si="103"/>
        <v>8.2361889999999995</v>
      </c>
    </row>
    <row r="427" spans="2:10">
      <c r="B427" s="48" t="s">
        <v>274</v>
      </c>
      <c r="D427" s="64">
        <f t="shared" si="103"/>
        <v>37829.099968238137</v>
      </c>
      <c r="E427" s="64">
        <f t="shared" si="103"/>
        <v>37983.435745416347</v>
      </c>
      <c r="F427" s="64">
        <f t="shared" si="103"/>
        <v>37550.421944886424</v>
      </c>
      <c r="G427" s="64">
        <f t="shared" si="103"/>
        <v>37289.211458569429</v>
      </c>
      <c r="H427" s="64">
        <f t="shared" si="103"/>
        <v>34799.88042741183</v>
      </c>
      <c r="I427" s="64">
        <f t="shared" si="103"/>
        <v>37129.638693827845</v>
      </c>
      <c r="J427" s="64">
        <f t="shared" si="103"/>
        <v>222581.68823835003</v>
      </c>
    </row>
    <row r="428" spans="2:10">
      <c r="B428" s="48" t="s">
        <v>275</v>
      </c>
      <c r="D428" s="64">
        <f t="shared" si="103"/>
        <v>1918.8745210225575</v>
      </c>
      <c r="E428" s="64">
        <f t="shared" si="103"/>
        <v>1926.7031764956764</v>
      </c>
      <c r="F428" s="64">
        <f t="shared" si="103"/>
        <v>1904.7386267235258</v>
      </c>
      <c r="G428" s="64">
        <f t="shared" si="103"/>
        <v>1891.4887702046437</v>
      </c>
      <c r="H428" s="64">
        <f t="shared" si="103"/>
        <v>1765.2178863060119</v>
      </c>
      <c r="I428" s="64">
        <f t="shared" si="103"/>
        <v>1883.3944694475854</v>
      </c>
      <c r="J428" s="64">
        <f t="shared" si="103"/>
        <v>11290.417450200001</v>
      </c>
    </row>
    <row r="429" spans="2:10">
      <c r="B429" s="48" t="s">
        <v>276</v>
      </c>
      <c r="D429" s="64">
        <f t="shared" si="103"/>
        <v>17095.085523703921</v>
      </c>
      <c r="E429" s="64">
        <f t="shared" si="103"/>
        <v>17164.830331601654</v>
      </c>
      <c r="F429" s="64">
        <f t="shared" si="103"/>
        <v>16969.150075946131</v>
      </c>
      <c r="G429" s="64">
        <f t="shared" si="103"/>
        <v>16851.108261389963</v>
      </c>
      <c r="H429" s="64">
        <f t="shared" si="103"/>
        <v>15726.171984550721</v>
      </c>
      <c r="I429" s="64">
        <f t="shared" si="103"/>
        <v>16778.996842857629</v>
      </c>
      <c r="J429" s="64">
        <f t="shared" si="103"/>
        <v>100585.34302005002</v>
      </c>
    </row>
    <row r="430" spans="2:10">
      <c r="B430" s="48" t="s">
        <v>277</v>
      </c>
      <c r="D430" s="64">
        <f t="shared" si="103"/>
        <v>2772.0338935665573</v>
      </c>
      <c r="E430" s="64">
        <f t="shared" si="103"/>
        <v>2783.3432825207528</v>
      </c>
      <c r="F430" s="64">
        <f t="shared" si="103"/>
        <v>2751.6129761571638</v>
      </c>
      <c r="G430" s="64">
        <f t="shared" si="103"/>
        <v>2732.4720417433482</v>
      </c>
      <c r="H430" s="64">
        <f t="shared" si="103"/>
        <v>2550.0592960933163</v>
      </c>
      <c r="I430" s="64">
        <f t="shared" si="103"/>
        <v>2720.7788977688633</v>
      </c>
      <c r="J430" s="64">
        <f t="shared" si="103"/>
        <v>16310.300387850004</v>
      </c>
    </row>
    <row r="431" spans="2:10">
      <c r="B431" s="48" t="s">
        <v>278</v>
      </c>
      <c r="D431" s="64">
        <f t="shared" si="103"/>
        <v>0.315</v>
      </c>
      <c r="E431" s="64">
        <f t="shared" si="103"/>
        <v>0.315</v>
      </c>
      <c r="F431" s="64">
        <f t="shared" si="103"/>
        <v>0.315</v>
      </c>
      <c r="G431" s="64">
        <f t="shared" si="103"/>
        <v>0.315</v>
      </c>
      <c r="H431" s="64">
        <f t="shared" si="103"/>
        <v>0.315</v>
      </c>
      <c r="I431" s="64">
        <f t="shared" si="103"/>
        <v>0.315</v>
      </c>
      <c r="J431" s="64">
        <f t="shared" si="103"/>
        <v>1.89</v>
      </c>
    </row>
    <row r="432" spans="2:10">
      <c r="B432" s="48" t="s">
        <v>279</v>
      </c>
      <c r="D432" s="64">
        <f t="shared" ref="D432:J439" si="104">SUMIF($B$219:$B$342,$B432,D$219:D$342)</f>
        <v>12384.214048948515</v>
      </c>
      <c r="E432" s="64">
        <f t="shared" si="104"/>
        <v>12434.740651943577</v>
      </c>
      <c r="F432" s="64">
        <f t="shared" si="104"/>
        <v>12292.980155506681</v>
      </c>
      <c r="G432" s="64">
        <f t="shared" si="104"/>
        <v>12207.464802024864</v>
      </c>
      <c r="H432" s="64">
        <f t="shared" si="104"/>
        <v>11392.505088637419</v>
      </c>
      <c r="I432" s="64">
        <f t="shared" si="104"/>
        <v>12155.223708738944</v>
      </c>
      <c r="J432" s="64">
        <f t="shared" si="104"/>
        <v>72867.128455800004</v>
      </c>
    </row>
    <row r="433" spans="2:10">
      <c r="B433" s="48" t="s">
        <v>875</v>
      </c>
      <c r="D433" s="64">
        <f t="shared" si="104"/>
        <v>5500.3708839926694</v>
      </c>
      <c r="E433" s="64">
        <f t="shared" si="104"/>
        <v>5438.4593403785411</v>
      </c>
      <c r="F433" s="64">
        <f t="shared" si="104"/>
        <v>5217.2581872795272</v>
      </c>
      <c r="G433" s="64">
        <f t="shared" si="104"/>
        <v>5436.7380659025002</v>
      </c>
      <c r="H433" s="64">
        <f t="shared" si="104"/>
        <v>5109.0484938437703</v>
      </c>
      <c r="I433" s="64">
        <f t="shared" si="104"/>
        <v>5460.0742231931699</v>
      </c>
      <c r="J433" s="64">
        <f t="shared" si="104"/>
        <v>32161.949194590175</v>
      </c>
    </row>
    <row r="434" spans="2:10">
      <c r="B434" s="48" t="s">
        <v>874</v>
      </c>
      <c r="D434" s="64">
        <f t="shared" si="104"/>
        <v>179.85539788965005</v>
      </c>
      <c r="E434" s="64">
        <f t="shared" si="104"/>
        <v>182.98496296962003</v>
      </c>
      <c r="F434" s="64">
        <f t="shared" si="104"/>
        <v>180.84163530321001</v>
      </c>
      <c r="G434" s="64">
        <f t="shared" si="104"/>
        <v>187.90421631219002</v>
      </c>
      <c r="H434" s="64">
        <f t="shared" si="104"/>
        <v>174.69352829943</v>
      </c>
      <c r="I434" s="64">
        <f t="shared" si="104"/>
        <v>188.32228071425999</v>
      </c>
      <c r="J434" s="64">
        <f t="shared" si="104"/>
        <v>1094.6020214883602</v>
      </c>
    </row>
    <row r="435" spans="2:10">
      <c r="B435" s="48" t="s">
        <v>873</v>
      </c>
      <c r="D435" s="64">
        <f t="shared" si="104"/>
        <v>27720.253128465454</v>
      </c>
      <c r="E435" s="64">
        <f t="shared" si="104"/>
        <v>28641.843498491377</v>
      </c>
      <c r="F435" s="64">
        <f t="shared" si="104"/>
        <v>27946.400819400002</v>
      </c>
      <c r="G435" s="64">
        <f t="shared" si="104"/>
        <v>28002.968806290675</v>
      </c>
      <c r="H435" s="64">
        <f t="shared" si="104"/>
        <v>25817.128836311604</v>
      </c>
      <c r="I435" s="64">
        <f t="shared" si="104"/>
        <v>27319.566126610815</v>
      </c>
      <c r="J435" s="64">
        <f t="shared" si="104"/>
        <v>165448.16121556994</v>
      </c>
    </row>
    <row r="436" spans="2:10">
      <c r="B436" s="48" t="s">
        <v>872</v>
      </c>
      <c r="D436" s="64">
        <f t="shared" si="104"/>
        <v>5820.9157584994509</v>
      </c>
      <c r="E436" s="64">
        <f t="shared" si="104"/>
        <v>5840.6954857965002</v>
      </c>
      <c r="F436" s="64">
        <f t="shared" si="104"/>
        <v>5519.6392717953913</v>
      </c>
      <c r="G436" s="64">
        <f t="shared" si="104"/>
        <v>6765.4173894703208</v>
      </c>
      <c r="H436" s="64">
        <f t="shared" si="104"/>
        <v>6314.4842998904096</v>
      </c>
      <c r="I436" s="64">
        <f t="shared" si="104"/>
        <v>6651.6373189765791</v>
      </c>
      <c r="J436" s="64">
        <f t="shared" si="104"/>
        <v>36912.789524428648</v>
      </c>
    </row>
    <row r="437" spans="2:10">
      <c r="B437" s="48" t="s">
        <v>871</v>
      </c>
      <c r="D437" s="64">
        <f t="shared" si="104"/>
        <v>3105.1161690381005</v>
      </c>
      <c r="E437" s="64">
        <f t="shared" si="104"/>
        <v>3089.2231778625001</v>
      </c>
      <c r="F437" s="64">
        <f t="shared" si="104"/>
        <v>3285.6915535983003</v>
      </c>
      <c r="G437" s="64">
        <f t="shared" si="104"/>
        <v>4119.4333083582005</v>
      </c>
      <c r="H437" s="64">
        <f t="shared" si="104"/>
        <v>3736.2739140908993</v>
      </c>
      <c r="I437" s="64">
        <f t="shared" si="104"/>
        <v>4149.6919598547001</v>
      </c>
      <c r="J437" s="64">
        <f t="shared" si="104"/>
        <v>21485.430082802701</v>
      </c>
    </row>
    <row r="438" spans="2:10">
      <c r="B438" s="48" t="s">
        <v>870</v>
      </c>
      <c r="D438" s="64">
        <f t="shared" si="104"/>
        <v>6035.5579452537604</v>
      </c>
      <c r="E438" s="64">
        <f t="shared" si="104"/>
        <v>5934.0871753934407</v>
      </c>
      <c r="F438" s="64">
        <f t="shared" si="104"/>
        <v>6219.3913536686405</v>
      </c>
      <c r="G438" s="64">
        <f t="shared" si="104"/>
        <v>3230.3553987549603</v>
      </c>
      <c r="H438" s="64">
        <f t="shared" si="104"/>
        <v>5585.2228911282309</v>
      </c>
      <c r="I438" s="64">
        <f t="shared" si="104"/>
        <v>5823.1932858886494</v>
      </c>
      <c r="J438" s="64">
        <f t="shared" si="104"/>
        <v>32827.808050087682</v>
      </c>
    </row>
    <row r="439" spans="2:10">
      <c r="B439" s="48" t="s">
        <v>893</v>
      </c>
      <c r="D439" s="64">
        <f t="shared" si="104"/>
        <v>9011.3464570311044</v>
      </c>
      <c r="E439" s="64">
        <f t="shared" si="104"/>
        <v>8710.3814354486985</v>
      </c>
      <c r="F439" s="64">
        <f t="shared" si="104"/>
        <v>8143.9408909215008</v>
      </c>
      <c r="G439" s="64">
        <f t="shared" si="104"/>
        <v>8723.6298275364006</v>
      </c>
      <c r="H439" s="64">
        <f t="shared" si="104"/>
        <v>8717.680143900001</v>
      </c>
      <c r="I439" s="64">
        <f t="shared" si="104"/>
        <v>9309.0000024000001</v>
      </c>
      <c r="J439" s="64">
        <f t="shared" si="104"/>
        <v>52615.97875723771</v>
      </c>
    </row>
    <row r="440" spans="2:10">
      <c r="B440" s="48" t="s">
        <v>888</v>
      </c>
      <c r="D440" s="65">
        <f t="shared" ref="D440:J440" si="105">SUM(D422:D439)</f>
        <v>230352.16408619826</v>
      </c>
      <c r="E440" s="65">
        <f t="shared" si="105"/>
        <v>231527.79878179013</v>
      </c>
      <c r="F440" s="65">
        <f t="shared" si="105"/>
        <v>228202.09563782177</v>
      </c>
      <c r="G440" s="65">
        <f t="shared" si="105"/>
        <v>226946.73983245518</v>
      </c>
      <c r="H440" s="65">
        <f t="shared" si="105"/>
        <v>214427.58055812484</v>
      </c>
      <c r="I440" s="65">
        <f t="shared" si="105"/>
        <v>228645.42370334006</v>
      </c>
      <c r="J440" s="65">
        <f t="shared" si="105"/>
        <v>1360101.8025997302</v>
      </c>
    </row>
    <row r="441" spans="2:10">
      <c r="D441" s="66">
        <f t="shared" ref="D441:J441" si="106">D311+D342-D440</f>
        <v>0</v>
      </c>
      <c r="E441" s="66">
        <f t="shared" si="106"/>
        <v>0</v>
      </c>
      <c r="F441" s="66">
        <f t="shared" si="106"/>
        <v>0</v>
      </c>
      <c r="G441" s="66">
        <f t="shared" si="106"/>
        <v>0</v>
      </c>
      <c r="H441" s="66">
        <f t="shared" si="106"/>
        <v>0</v>
      </c>
      <c r="I441" s="66">
        <f t="shared" si="106"/>
        <v>0</v>
      </c>
      <c r="J441" s="66">
        <f t="shared" si="106"/>
        <v>0</v>
      </c>
    </row>
  </sheetData>
  <printOptions horizontalCentered="1" verticalCentered="1"/>
  <pageMargins left="0.511811023622047" right="0.31496062992126" top="0.78740157480314998" bottom="0.82677165354330695" header="0.31496062992126" footer="0.23622047244094499"/>
  <pageSetup scale="48" fitToHeight="4" orientation="portrait" horizontalDpi="300" r:id="rId1"/>
  <headerFooter alignWithMargins="0">
    <oddHeader>&amp;L
NOMBRE DE LA DISTRIBUIDORA: &amp;UENSA.&amp;R&amp;9&amp;A</oddHeader>
  </headerFooter>
  <rowBreaks count="3" manualBreakCount="3">
    <brk id="121" max="9" man="1"/>
    <brk id="216" max="9" man="1"/>
    <brk id="311" max="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1">
    <tabColor theme="4" tint="0.39997558519241921"/>
    <pageSetUpPr fitToPage="1"/>
  </sheetPr>
  <dimension ref="B1:H65"/>
  <sheetViews>
    <sheetView view="pageBreakPreview" zoomScale="85" zoomScaleNormal="100" zoomScaleSheetLayoutView="85" workbookViewId="0">
      <selection activeCell="E30" sqref="E30"/>
    </sheetView>
  </sheetViews>
  <sheetFormatPr baseColWidth="10" defaultColWidth="10" defaultRowHeight="13.5"/>
  <cols>
    <col min="1" max="1" width="2.25" style="730" customWidth="1"/>
    <col min="2" max="2" width="3.625" style="730" customWidth="1"/>
    <col min="3" max="3" width="41.5" style="730" customWidth="1"/>
    <col min="4" max="5" width="15.25" style="730" customWidth="1"/>
    <col min="6" max="6" width="2.375" style="730" customWidth="1"/>
    <col min="7" max="10" width="9.5" style="730" customWidth="1"/>
    <col min="11" max="16384" width="10" style="730"/>
  </cols>
  <sheetData>
    <row r="1" spans="3:5" ht="15">
      <c r="C1" s="136" t="s">
        <v>311</v>
      </c>
      <c r="D1" s="732"/>
      <c r="E1" s="732"/>
    </row>
    <row r="2" spans="3:5" ht="15">
      <c r="C2" s="168" t="s">
        <v>327</v>
      </c>
      <c r="E2" s="168"/>
    </row>
    <row r="3" spans="3:5" s="693" customFormat="1" ht="8.25">
      <c r="D3" s="718"/>
      <c r="E3" s="718"/>
    </row>
    <row r="4" spans="3:5" s="693" customFormat="1" ht="8.25">
      <c r="C4" s="693" t="s">
        <v>312</v>
      </c>
    </row>
    <row r="5" spans="3:5" s="693" customFormat="1" ht="8.25">
      <c r="E5" s="718"/>
    </row>
    <row r="6" spans="3:5" s="693" customFormat="1" ht="8.25">
      <c r="C6" s="693" t="s">
        <v>314</v>
      </c>
      <c r="D6" s="718"/>
      <c r="E6" s="718"/>
    </row>
    <row r="7" spans="3:5" s="693" customFormat="1" ht="8.25">
      <c r="D7" s="718"/>
      <c r="E7" s="718"/>
    </row>
    <row r="8" spans="3:5" s="693" customFormat="1" ht="8.25">
      <c r="D8" s="718"/>
      <c r="E8" s="718"/>
    </row>
    <row r="9" spans="3:5" s="693" customFormat="1" ht="8.25">
      <c r="D9" s="718"/>
      <c r="E9" s="718"/>
    </row>
    <row r="10" spans="3:5" s="693" customFormat="1" ht="8.25">
      <c r="D10" s="718"/>
      <c r="E10" s="718"/>
    </row>
    <row r="11" spans="3:5" s="693" customFormat="1" ht="8.25">
      <c r="D11" s="718"/>
      <c r="E11" s="718"/>
    </row>
    <row r="12" spans="3:5" s="693" customFormat="1" ht="8.25">
      <c r="D12" s="718"/>
      <c r="E12" s="718"/>
    </row>
    <row r="13" spans="3:5" s="693" customFormat="1" ht="8.25">
      <c r="D13" s="718"/>
      <c r="E13" s="718"/>
    </row>
    <row r="14" spans="3:5" s="693" customFormat="1" ht="8.25">
      <c r="D14" s="718"/>
      <c r="E14" s="718"/>
    </row>
    <row r="15" spans="3:5" s="693" customFormat="1" ht="8.25">
      <c r="D15" s="718"/>
    </row>
    <row r="16" spans="3:5" s="693" customFormat="1" ht="8.25">
      <c r="D16" s="718"/>
      <c r="E16" s="718"/>
    </row>
    <row r="17" spans="2:5" s="693" customFormat="1" ht="8.25">
      <c r="D17" s="718"/>
      <c r="E17" s="718"/>
    </row>
    <row r="18" spans="2:5" s="693" customFormat="1" ht="8.25">
      <c r="D18" s="718"/>
      <c r="E18" s="718"/>
    </row>
    <row r="19" spans="2:5" s="693" customFormat="1" ht="8.25">
      <c r="D19" s="718"/>
      <c r="E19" s="718"/>
    </row>
    <row r="20" spans="2:5" s="693" customFormat="1" ht="8.25">
      <c r="D20" s="718"/>
      <c r="E20" s="718"/>
    </row>
    <row r="21" spans="2:5" s="693" customFormat="1" ht="8.25">
      <c r="D21" s="718"/>
      <c r="E21" s="718"/>
    </row>
    <row r="22" spans="2:5" s="693" customFormat="1" ht="8.25">
      <c r="D22" s="718"/>
      <c r="E22" s="718"/>
    </row>
    <row r="23" spans="2:5" s="693" customFormat="1" ht="8.25">
      <c r="D23" s="718"/>
      <c r="E23" s="718"/>
    </row>
    <row r="24" spans="2:5" s="733" customFormat="1" ht="8.25">
      <c r="C24" s="734"/>
      <c r="D24" s="735"/>
      <c r="E24" s="735"/>
    </row>
    <row r="25" spans="2:5" ht="15.75">
      <c r="B25" s="736"/>
      <c r="C25" s="737" t="s">
        <v>227</v>
      </c>
      <c r="D25" s="738" t="s">
        <v>218</v>
      </c>
      <c r="E25" s="738" t="s">
        <v>219</v>
      </c>
    </row>
    <row r="26" spans="2:5" s="742" customFormat="1" ht="28.5">
      <c r="B26" s="739">
        <v>1</v>
      </c>
      <c r="C26" s="740" t="s">
        <v>1489</v>
      </c>
      <c r="D26" s="741"/>
      <c r="E26" s="741"/>
    </row>
    <row r="27" spans="2:5" s="742" customFormat="1" ht="31.15" customHeight="1">
      <c r="B27" s="743">
        <v>2</v>
      </c>
      <c r="C27" s="740" t="s">
        <v>1436</v>
      </c>
      <c r="D27" s="741">
        <f>'T302'!K81</f>
        <v>13992682.678224998</v>
      </c>
      <c r="E27" s="741">
        <f>'T322'!K81</f>
        <v>11366630.620000001</v>
      </c>
    </row>
    <row r="28" spans="2:5" s="742" customFormat="1" ht="43.5">
      <c r="B28" s="743">
        <v>3</v>
      </c>
      <c r="C28" s="740" t="s">
        <v>1437</v>
      </c>
      <c r="D28" s="741">
        <f>'T302'!K82</f>
        <v>1176342.85314</v>
      </c>
      <c r="E28" s="741">
        <f>'T322'!K82</f>
        <v>1054949.3899999999</v>
      </c>
    </row>
    <row r="29" spans="2:5" s="742" customFormat="1" ht="43.5">
      <c r="B29" s="743">
        <v>4</v>
      </c>
      <c r="C29" s="740" t="s">
        <v>1438</v>
      </c>
      <c r="D29" s="741">
        <f>'T302'!K83</f>
        <v>303655.94</v>
      </c>
      <c r="E29" s="741">
        <f>'T322'!K83</f>
        <v>303655.94</v>
      </c>
    </row>
    <row r="30" spans="2:5" s="742" customFormat="1" ht="43.5">
      <c r="B30" s="743">
        <v>5</v>
      </c>
      <c r="C30" s="740" t="s">
        <v>1439</v>
      </c>
      <c r="D30" s="741">
        <f>'T302'!K84</f>
        <v>1219508.4119040016</v>
      </c>
      <c r="E30" s="741">
        <f>'T322'!K84</f>
        <v>1219508.4119039997</v>
      </c>
    </row>
    <row r="31" spans="2:5" s="742" customFormat="1" ht="58.5">
      <c r="B31" s="743">
        <v>6</v>
      </c>
      <c r="C31" s="740" t="s">
        <v>1440</v>
      </c>
      <c r="D31" s="741">
        <f>'T302'!K85</f>
        <v>1170462.01</v>
      </c>
      <c r="E31" s="741">
        <f>'T322'!K85</f>
        <v>1170462.01</v>
      </c>
    </row>
    <row r="32" spans="2:5" s="742" customFormat="1" ht="28.5">
      <c r="B32" s="743">
        <v>7</v>
      </c>
      <c r="C32" s="740" t="s">
        <v>1441</v>
      </c>
      <c r="D32" s="744">
        <f>SUM(D26:D31)</f>
        <v>17862651.893268999</v>
      </c>
      <c r="E32" s="744">
        <f>SUM(E26:E31)</f>
        <v>15115206.371904001</v>
      </c>
    </row>
    <row r="33" spans="2:8" s="742" customFormat="1" ht="15.75">
      <c r="B33" s="1243"/>
      <c r="C33" s="1244"/>
      <c r="D33" s="745">
        <f>'T302'!K75-D32</f>
        <v>0</v>
      </c>
      <c r="E33" s="745">
        <f>'T322'!K75-E32</f>
        <v>0</v>
      </c>
      <c r="G33" s="745"/>
      <c r="H33" s="745"/>
    </row>
    <row r="34" spans="2:8" s="742" customFormat="1" ht="28.5">
      <c r="B34" s="746">
        <v>8</v>
      </c>
      <c r="C34" s="747" t="s">
        <v>1490</v>
      </c>
      <c r="D34" s="748">
        <f>'T302'!K18*1000</f>
        <v>2386496113.192945</v>
      </c>
      <c r="E34" s="748">
        <f>'T322'!K18*1000</f>
        <v>2372306529.065259</v>
      </c>
    </row>
    <row r="35" spans="2:8" s="742" customFormat="1" ht="28.5">
      <c r="B35" s="739">
        <v>9</v>
      </c>
      <c r="C35" s="740" t="s">
        <v>1491</v>
      </c>
      <c r="D35" s="749">
        <f>D32/D34</f>
        <v>7.4848862290289543E-3</v>
      </c>
      <c r="E35" s="749">
        <f>E32/E34</f>
        <v>6.3715233199057647E-3</v>
      </c>
    </row>
    <row r="36" spans="2:8" s="742" customFormat="1" ht="43.5">
      <c r="B36" s="743">
        <v>10</v>
      </c>
      <c r="C36" s="750" t="s">
        <v>1492</v>
      </c>
      <c r="D36" s="751">
        <f>F801ENE!J109+F801ENE!J146</f>
        <v>2183127904.3081188</v>
      </c>
      <c r="E36" s="751">
        <f>F821EVE!J109+F821EVE!J146</f>
        <v>2175758147.1186595</v>
      </c>
    </row>
    <row r="37" spans="2:8" s="742" customFormat="1" ht="28.5" customHeight="1">
      <c r="B37" s="746">
        <v>11</v>
      </c>
      <c r="C37" s="747" t="s">
        <v>1493</v>
      </c>
      <c r="D37" s="752">
        <f>D35*D36</f>
        <v>16340463.98716468</v>
      </c>
      <c r="E37" s="752">
        <f>E35*E36</f>
        <v>13862893.772841496</v>
      </c>
    </row>
    <row r="38" spans="2:8" s="742" customFormat="1" ht="15.75">
      <c r="C38" s="753"/>
      <c r="D38" s="754"/>
      <c r="E38" s="754"/>
    </row>
    <row r="39" spans="2:8" s="742" customFormat="1" ht="23.25" customHeight="1">
      <c r="B39" s="755"/>
      <c r="C39" s="756" t="s">
        <v>153</v>
      </c>
      <c r="D39" s="757"/>
      <c r="E39" s="757" t="s">
        <v>158</v>
      </c>
    </row>
    <row r="40" spans="2:8" s="742" customFormat="1" ht="44.25" customHeight="1">
      <c r="B40" s="739">
        <v>12</v>
      </c>
      <c r="C40" s="758" t="s">
        <v>1494</v>
      </c>
      <c r="D40" s="759"/>
      <c r="E40" s="760">
        <f>D37</f>
        <v>16340463.98716468</v>
      </c>
    </row>
    <row r="41" spans="2:8" s="742" customFormat="1" ht="54">
      <c r="B41" s="743">
        <v>13</v>
      </c>
      <c r="C41" s="758" t="s">
        <v>1495</v>
      </c>
      <c r="D41" s="761"/>
      <c r="E41" s="762">
        <f>'T303'!$J$110+'T303'!$J$143</f>
        <v>13580707.459459314</v>
      </c>
    </row>
    <row r="42" spans="2:8" s="742" customFormat="1" ht="45">
      <c r="B42" s="743">
        <v>14</v>
      </c>
      <c r="C42" s="740" t="s">
        <v>1496</v>
      </c>
      <c r="D42" s="761"/>
      <c r="E42" s="762">
        <f>E37</f>
        <v>13862893.772841496</v>
      </c>
    </row>
    <row r="43" spans="2:8" s="742" customFormat="1" ht="51" customHeight="1">
      <c r="B43" s="743">
        <v>15</v>
      </c>
      <c r="C43" s="740" t="s">
        <v>1497</v>
      </c>
      <c r="D43" s="763"/>
      <c r="E43" s="762">
        <f>'T306'!J146</f>
        <v>14691154.225263068</v>
      </c>
    </row>
    <row r="44" spans="2:8" s="742" customFormat="1" ht="59.25" customHeight="1">
      <c r="B44" s="743">
        <v>16</v>
      </c>
      <c r="C44" s="740" t="s">
        <v>1498</v>
      </c>
      <c r="D44" s="761"/>
      <c r="E44" s="764">
        <f>'T307'!J145</f>
        <v>2628257.1519444054</v>
      </c>
    </row>
    <row r="45" spans="2:8" s="742" customFormat="1" ht="59.25" customHeight="1">
      <c r="B45" s="743">
        <v>17</v>
      </c>
      <c r="C45" s="740" t="s">
        <v>1499</v>
      </c>
      <c r="D45" s="761"/>
      <c r="E45" s="764">
        <f>'T308'!J146</f>
        <v>2564695.1872628815</v>
      </c>
    </row>
    <row r="46" spans="2:8" s="742" customFormat="1" ht="93">
      <c r="B46" s="743">
        <v>18</v>
      </c>
      <c r="C46" s="740" t="s">
        <v>1500</v>
      </c>
      <c r="D46" s="761"/>
      <c r="E46" s="764">
        <f>E44-E45</f>
        <v>63561.964681523852</v>
      </c>
    </row>
    <row r="47" spans="2:8" s="742" customFormat="1" ht="150">
      <c r="B47" s="746">
        <v>19</v>
      </c>
      <c r="C47" s="747" t="s">
        <v>1501</v>
      </c>
      <c r="D47" s="765"/>
      <c r="E47" s="766">
        <f>E42-E43+E46</f>
        <v>-764698.48774004821</v>
      </c>
    </row>
    <row r="48" spans="2:8" s="742" customFormat="1" ht="24" customHeight="1">
      <c r="B48" s="739">
        <v>20</v>
      </c>
      <c r="C48" s="767" t="s">
        <v>1502</v>
      </c>
      <c r="D48" s="768"/>
      <c r="E48" s="769">
        <f>'TI700'!C18</f>
        <v>7.47</v>
      </c>
    </row>
    <row r="49" spans="2:5" s="742" customFormat="1" ht="24" customHeight="1">
      <c r="B49" s="743">
        <v>21</v>
      </c>
      <c r="C49" s="770" t="s">
        <v>16</v>
      </c>
      <c r="D49" s="763"/>
      <c r="E49" s="763">
        <f>1+(E48/100)</f>
        <v>1.0747</v>
      </c>
    </row>
    <row r="50" spans="2:5" s="742" customFormat="1" ht="30.95" customHeight="1">
      <c r="B50" s="743">
        <v>22</v>
      </c>
      <c r="C50" s="750" t="s">
        <v>1503</v>
      </c>
      <c r="D50" s="763"/>
      <c r="E50" s="1069">
        <f>E47*E49</f>
        <v>-821821.4647742298</v>
      </c>
    </row>
    <row r="51" spans="2:5" s="742" customFormat="1" ht="45.75" customHeight="1">
      <c r="B51" s="743">
        <v>23</v>
      </c>
      <c r="C51" s="770" t="s">
        <v>1504</v>
      </c>
      <c r="D51" s="769"/>
      <c r="E51" s="771">
        <f>E40/E41</f>
        <v>1.2032115437243385</v>
      </c>
    </row>
    <row r="52" spans="2:5" s="742" customFormat="1" ht="45.75" customHeight="1">
      <c r="B52" s="746">
        <v>24</v>
      </c>
      <c r="C52" s="772" t="s">
        <v>1505</v>
      </c>
      <c r="D52" s="773"/>
      <c r="E52" s="774">
        <f>SUM(E50:E50)/E41</f>
        <v>-6.0513892021273892E-2</v>
      </c>
    </row>
    <row r="54" spans="2:5">
      <c r="C54" s="775" t="s">
        <v>623</v>
      </c>
      <c r="D54" s="775"/>
      <c r="E54" s="776">
        <f>E32</f>
        <v>15115206.371904001</v>
      </c>
    </row>
    <row r="55" spans="2:5">
      <c r="C55" s="775" t="s">
        <v>520</v>
      </c>
      <c r="D55" s="775"/>
      <c r="E55" s="776">
        <f>E42</f>
        <v>13862893.772841496</v>
      </c>
    </row>
    <row r="56" spans="2:5">
      <c r="C56" s="731"/>
      <c r="D56" s="731"/>
      <c r="E56" s="538">
        <f>(E54-E55)/E54</f>
        <v>8.2851174390201565E-2</v>
      </c>
    </row>
    <row r="57" spans="2:5" ht="12" customHeight="1">
      <c r="C57" s="731"/>
    </row>
    <row r="58" spans="2:5">
      <c r="C58" s="777" t="s">
        <v>681</v>
      </c>
      <c r="D58" s="777"/>
      <c r="E58" s="778">
        <f>E43</f>
        <v>14691154.225263068</v>
      </c>
    </row>
    <row r="59" spans="2:5">
      <c r="C59" s="777" t="s">
        <v>518</v>
      </c>
      <c r="D59" s="777"/>
      <c r="E59" s="778">
        <f>-E46</f>
        <v>-63561.964681523852</v>
      </c>
    </row>
    <row r="60" spans="2:5">
      <c r="C60" s="779" t="s">
        <v>521</v>
      </c>
      <c r="D60" s="777"/>
      <c r="E60" s="780">
        <f>SUM(E58:E59)</f>
        <v>14627592.260581546</v>
      </c>
    </row>
    <row r="61" spans="2:5">
      <c r="C61" s="731"/>
    </row>
    <row r="62" spans="2:5">
      <c r="C62" s="731" t="s">
        <v>625</v>
      </c>
      <c r="E62" s="781">
        <f>E55-E60</f>
        <v>-764698.48774004914</v>
      </c>
    </row>
    <row r="63" spans="2:5">
      <c r="C63" s="730" t="s">
        <v>978</v>
      </c>
      <c r="E63" s="781">
        <f>E62*E48/100</f>
        <v>-57122.977034181677</v>
      </c>
    </row>
    <row r="64" spans="2:5">
      <c r="C64" s="731" t="s">
        <v>517</v>
      </c>
      <c r="E64" s="782">
        <f>E62+E63</f>
        <v>-821821.46477423084</v>
      </c>
    </row>
    <row r="65" spans="5:5">
      <c r="E65" s="776">
        <f>E50-E64</f>
        <v>1.0477378964424133E-9</v>
      </c>
    </row>
  </sheetData>
  <phoneticPr fontId="0" type="noConversion"/>
  <printOptions horizontalCentered="1" verticalCentered="1"/>
  <pageMargins left="0.59055118110236227" right="0.59055118110236227" top="0.39370078740157483" bottom="0.39370078740157483" header="0.19685039370078741" footer="0.19685039370078741"/>
  <pageSetup scale="54" orientation="portrait" r:id="rId1"/>
  <headerFooter>
    <oddHeader>&amp;L&amp;"Times New Roman,Negrita"&amp;14Nombre de la Distribuidora: &amp;K06-048ENSA&amp;RASEP FORM: &amp;A</oddHeader>
    <oddFooter>&amp;R&amp;A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2069" r:id="rId4">
          <objectPr defaultSize="0" autoPict="0" r:id="rId5">
            <anchor moveWithCells="1" sizeWithCells="1">
              <from>
                <xdr:col>2</xdr:col>
                <xdr:colOff>9525</xdr:colOff>
                <xdr:row>6</xdr:row>
                <xdr:rowOff>66675</xdr:rowOff>
              </from>
              <to>
                <xdr:col>2</xdr:col>
                <xdr:colOff>2809875</xdr:colOff>
                <xdr:row>8</xdr:row>
                <xdr:rowOff>238125</xdr:rowOff>
              </to>
            </anchor>
          </objectPr>
        </oleObject>
      </mc:Choice>
      <mc:Fallback>
        <oleObject progId="Equation.3" shapeId="2069" r:id="rId4"/>
      </mc:Fallback>
    </mc:AlternateContent>
    <mc:AlternateContent xmlns:mc="http://schemas.openxmlformats.org/markup-compatibility/2006">
      <mc:Choice Requires="x14">
        <oleObject progId="Equation.3" shapeId="2070" r:id="rId6">
          <objectPr defaultSize="0" autoPict="0" r:id="rId7">
            <anchor moveWithCells="1" sizeWithCells="1">
              <from>
                <xdr:col>2</xdr:col>
                <xdr:colOff>19050</xdr:colOff>
                <xdr:row>9</xdr:row>
                <xdr:rowOff>0</xdr:rowOff>
              </from>
              <to>
                <xdr:col>3</xdr:col>
                <xdr:colOff>771525</xdr:colOff>
                <xdr:row>10</xdr:row>
                <xdr:rowOff>190500</xdr:rowOff>
              </to>
            </anchor>
          </objectPr>
        </oleObject>
      </mc:Choice>
      <mc:Fallback>
        <oleObject progId="Equation.3" shapeId="2070" r:id="rId6"/>
      </mc:Fallback>
    </mc:AlternateContent>
    <mc:AlternateContent xmlns:mc="http://schemas.openxmlformats.org/markup-compatibility/2006">
      <mc:Choice Requires="x14">
        <oleObject progId="Equation.3" shapeId="2072" r:id="rId8">
          <objectPr defaultSize="0" autoPict="0" r:id="rId9">
            <anchor moveWithCells="1" sizeWithCells="1">
              <from>
                <xdr:col>2</xdr:col>
                <xdr:colOff>0</xdr:colOff>
                <xdr:row>11</xdr:row>
                <xdr:rowOff>0</xdr:rowOff>
              </from>
              <to>
                <xdr:col>2</xdr:col>
                <xdr:colOff>2990850</xdr:colOff>
                <xdr:row>13</xdr:row>
                <xdr:rowOff>161925</xdr:rowOff>
              </to>
            </anchor>
          </objectPr>
        </oleObject>
      </mc:Choice>
      <mc:Fallback>
        <oleObject progId="Equation.3" shapeId="2072" r:id="rId8"/>
      </mc:Fallback>
    </mc:AlternateContent>
    <mc:AlternateContent xmlns:mc="http://schemas.openxmlformats.org/markup-compatibility/2006">
      <mc:Choice Requires="x14">
        <oleObject progId="Equation.3" shapeId="2074" r:id="rId10">
          <objectPr defaultSize="0" autoPict="0" r:id="rId11">
            <anchor moveWithCells="1" sizeWithCells="1">
              <from>
                <xdr:col>2</xdr:col>
                <xdr:colOff>0</xdr:colOff>
                <xdr:row>14</xdr:row>
                <xdr:rowOff>0</xdr:rowOff>
              </from>
              <to>
                <xdr:col>2</xdr:col>
                <xdr:colOff>2819400</xdr:colOff>
                <xdr:row>15</xdr:row>
                <xdr:rowOff>104775</xdr:rowOff>
              </to>
            </anchor>
          </objectPr>
        </oleObject>
      </mc:Choice>
      <mc:Fallback>
        <oleObject progId="Equation.3" shapeId="2074" r:id="rId10"/>
      </mc:Fallback>
    </mc:AlternateContent>
    <mc:AlternateContent xmlns:mc="http://schemas.openxmlformats.org/markup-compatibility/2006">
      <mc:Choice Requires="x14">
        <oleObject progId="Equation.3" shapeId="2150" r:id="rId12">
          <objectPr defaultSize="0" autoPict="0" r:id="rId13">
            <anchor moveWithCells="1">
              <from>
                <xdr:col>2</xdr:col>
                <xdr:colOff>9525</xdr:colOff>
                <xdr:row>15</xdr:row>
                <xdr:rowOff>180975</xdr:rowOff>
              </from>
              <to>
                <xdr:col>4</xdr:col>
                <xdr:colOff>552450</xdr:colOff>
                <xdr:row>19</xdr:row>
                <xdr:rowOff>85725</xdr:rowOff>
              </to>
            </anchor>
          </objectPr>
        </oleObject>
      </mc:Choice>
      <mc:Fallback>
        <oleObject progId="Equation.3" shapeId="2150" r:id="rId12"/>
      </mc:Fallback>
    </mc:AlternateContent>
    <mc:AlternateContent xmlns:mc="http://schemas.openxmlformats.org/markup-compatibility/2006">
      <mc:Choice Requires="x14">
        <oleObject progId="Equation.3" shapeId="2151" r:id="rId14">
          <objectPr defaultSize="0" autoPict="0" r:id="rId15">
            <anchor moveWithCells="1">
              <from>
                <xdr:col>2</xdr:col>
                <xdr:colOff>114300</xdr:colOff>
                <xdr:row>17</xdr:row>
                <xdr:rowOff>57150</xdr:rowOff>
              </from>
              <to>
                <xdr:col>2</xdr:col>
                <xdr:colOff>2828925</xdr:colOff>
                <xdr:row>23</xdr:row>
                <xdr:rowOff>28575</xdr:rowOff>
              </to>
            </anchor>
          </objectPr>
        </oleObject>
      </mc:Choice>
      <mc:Fallback>
        <oleObject progId="Equation.3" shapeId="2151" r:id="rId14"/>
      </mc:Fallback>
    </mc:AlternateContent>
    <mc:AlternateContent xmlns:mc="http://schemas.openxmlformats.org/markup-compatibility/2006">
      <mc:Choice Requires="x14">
        <oleObject progId="Equation.3" shapeId="2275" r:id="rId16">
          <objectPr defaultSize="0" autoPict="0" r:id="rId17">
            <anchor moveWithCells="1">
              <from>
                <xdr:col>2</xdr:col>
                <xdr:colOff>1162050</xdr:colOff>
                <xdr:row>3</xdr:row>
                <xdr:rowOff>95250</xdr:rowOff>
              </from>
              <to>
                <xdr:col>3</xdr:col>
                <xdr:colOff>0</xdr:colOff>
                <xdr:row>6</xdr:row>
                <xdr:rowOff>66675</xdr:rowOff>
              </to>
            </anchor>
          </objectPr>
        </oleObject>
      </mc:Choice>
      <mc:Fallback>
        <oleObject progId="Equation.3" shapeId="2275" r:id="rId16"/>
      </mc:Fallback>
    </mc:AlternateContent>
  </oleObjec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E5A3B-8EB5-4DC2-8EAA-E07FF0813616}">
  <sheetPr codeName="Hoja65">
    <tabColor theme="5" tint="0.59999389629810485"/>
  </sheetPr>
  <dimension ref="B1:M441"/>
  <sheetViews>
    <sheetView view="pageBreakPreview" zoomScale="70" zoomScaleNormal="70" zoomScaleSheetLayoutView="70" workbookViewId="0">
      <selection activeCell="E21" sqref="E21"/>
    </sheetView>
  </sheetViews>
  <sheetFormatPr baseColWidth="10" defaultColWidth="8" defaultRowHeight="15"/>
  <cols>
    <col min="1" max="1" width="2.25" style="63" customWidth="1"/>
    <col min="2" max="2" width="7" style="48" customWidth="1"/>
    <col min="3" max="3" width="30.25" style="63" customWidth="1"/>
    <col min="4" max="4" width="11.75" style="63" customWidth="1"/>
    <col min="5" max="5" width="12.625" style="63" customWidth="1"/>
    <col min="6" max="6" width="12.75" style="63" customWidth="1"/>
    <col min="7" max="7" width="13.25" style="63" customWidth="1"/>
    <col min="8" max="8" width="13.875" style="63" customWidth="1"/>
    <col min="9" max="9" width="11.5" style="63" customWidth="1"/>
    <col min="10" max="10" width="13.125" style="63" customWidth="1"/>
    <col min="11" max="11" width="2.25" style="63" customWidth="1"/>
    <col min="12" max="12" width="4.25" style="319" bestFit="1" customWidth="1"/>
    <col min="13" max="16384" width="8" style="63"/>
  </cols>
  <sheetData>
    <row r="1" spans="2:10" s="69" customFormat="1" ht="15.75">
      <c r="B1" s="48"/>
      <c r="C1" s="136" t="s">
        <v>151</v>
      </c>
      <c r="E1" s="63"/>
    </row>
    <row r="2" spans="2:10" s="69" customFormat="1" ht="15.75">
      <c r="B2" s="48"/>
      <c r="C2" s="136"/>
      <c r="E2" s="137" t="s">
        <v>138</v>
      </c>
    </row>
    <row r="3" spans="2:10" s="69" customFormat="1" ht="15.75">
      <c r="B3" s="48"/>
      <c r="C3" s="241"/>
      <c r="D3" s="137"/>
    </row>
    <row r="4" spans="2:10" s="69" customFormat="1" ht="15.75">
      <c r="B4" s="48"/>
      <c r="C4" s="219" t="s">
        <v>1532</v>
      </c>
      <c r="D4" s="338"/>
      <c r="E4" s="338"/>
      <c r="F4" s="338"/>
      <c r="G4" s="338"/>
      <c r="H4" s="338"/>
      <c r="I4" s="338"/>
      <c r="J4" s="339"/>
    </row>
    <row r="5" spans="2:10" s="74" customFormat="1" ht="18.75" customHeight="1">
      <c r="B5" s="48"/>
      <c r="C5" s="322"/>
      <c r="D5" s="322"/>
      <c r="E5" s="323"/>
      <c r="F5" s="322"/>
      <c r="G5" s="322"/>
      <c r="H5" s="322"/>
      <c r="I5" s="322"/>
    </row>
    <row r="6" spans="2:10" s="58" customFormat="1" ht="22.5">
      <c r="B6" s="48"/>
      <c r="C6" s="324" t="s">
        <v>1236</v>
      </c>
      <c r="D6" s="325" t="s">
        <v>1449</v>
      </c>
      <c r="E6" s="325" t="s">
        <v>1450</v>
      </c>
      <c r="F6" s="325" t="s">
        <v>1451</v>
      </c>
      <c r="G6" s="325" t="s">
        <v>1234</v>
      </c>
      <c r="H6" s="325" t="s">
        <v>1233</v>
      </c>
      <c r="I6" s="325" t="s">
        <v>1232</v>
      </c>
      <c r="J6" s="325" t="s">
        <v>291</v>
      </c>
    </row>
    <row r="7" spans="2:10" s="143" customFormat="1" ht="13.5">
      <c r="B7" s="48"/>
      <c r="C7" s="144" t="s">
        <v>266</v>
      </c>
      <c r="D7" s="178">
        <f>RAT1000PT!$F$89</f>
        <v>0</v>
      </c>
      <c r="E7" s="144"/>
      <c r="F7" s="144"/>
      <c r="G7" s="146">
        <f>RAT1000PT!$F$106+RAT1000PT!$F$101</f>
        <v>3.143E-2</v>
      </c>
      <c r="H7" s="146">
        <f>RAT1000PT!$F$111+RAT1000PT!$F$101</f>
        <v>3.143E-2</v>
      </c>
      <c r="I7" s="146">
        <f>RAT1000PT!$F$116+RAT1000PT!$F$101</f>
        <v>3.143E-2</v>
      </c>
      <c r="J7" s="146">
        <f>RAT1000PT!$F$45</f>
        <v>6.3000000000000003E-4</v>
      </c>
    </row>
    <row r="8" spans="2:10" s="143" customFormat="1" ht="13.5">
      <c r="B8" s="48"/>
      <c r="C8" s="326" t="s">
        <v>265</v>
      </c>
      <c r="D8" s="327">
        <f>RAT1000PT!$F$88</f>
        <v>0</v>
      </c>
      <c r="E8" s="328"/>
      <c r="F8" s="328">
        <f>RAT1000PT!$F$127+RAT1000PT!$F$100</f>
        <v>3.143E-2</v>
      </c>
      <c r="G8" s="328"/>
      <c r="H8" s="328"/>
      <c r="I8" s="328"/>
      <c r="J8" s="328">
        <f>RAT1000PT!$F$44</f>
        <v>6.3000000000000003E-4</v>
      </c>
    </row>
    <row r="9" spans="2:10" s="143" customFormat="1" ht="13.5">
      <c r="B9" s="48"/>
      <c r="C9" s="144" t="s">
        <v>264</v>
      </c>
      <c r="D9" s="178">
        <f>RAT1000PT!$F$87</f>
        <v>0</v>
      </c>
      <c r="E9" s="146"/>
      <c r="F9" s="146"/>
      <c r="G9" s="146">
        <f>RAT1000PT!$F$105+RAT1000PT!$F$99</f>
        <v>3.143E-2</v>
      </c>
      <c r="H9" s="146">
        <f>RAT1000PT!$F$110+RAT1000PT!$F$99</f>
        <v>3.143E-2</v>
      </c>
      <c r="I9" s="146">
        <f>RAT1000PT!$F$115+RAT1000PT!$F$99</f>
        <v>3.143E-2</v>
      </c>
      <c r="J9" s="146">
        <f>RAT1000PT!$F$43</f>
        <v>6.3000000000000003E-4</v>
      </c>
    </row>
    <row r="10" spans="2:10" s="143" customFormat="1" ht="13.5">
      <c r="B10" s="48"/>
      <c r="C10" s="326" t="s">
        <v>262</v>
      </c>
      <c r="D10" s="327">
        <f>RAT1000PT!$F$86</f>
        <v>0</v>
      </c>
      <c r="E10" s="328"/>
      <c r="F10" s="328">
        <f>RAT1000PT!$F126+RAT1000PT!$F$98</f>
        <v>3.143E-2</v>
      </c>
      <c r="G10" s="328"/>
      <c r="H10" s="328"/>
      <c r="I10" s="328"/>
      <c r="J10" s="328">
        <f>RAT1000PT!$F$42</f>
        <v>6.3000000000000003E-4</v>
      </c>
    </row>
    <row r="11" spans="2:10" s="143" customFormat="1" ht="13.5">
      <c r="B11" s="48"/>
      <c r="C11" s="144" t="s">
        <v>263</v>
      </c>
      <c r="D11" s="178">
        <f>RAT1000PT!$F$85</f>
        <v>0</v>
      </c>
      <c r="E11" s="146"/>
      <c r="F11" s="146"/>
      <c r="G11" s="146">
        <f>RAT1000PT!$F$104+RAT1000PT!$F$97</f>
        <v>3.143E-2</v>
      </c>
      <c r="H11" s="146">
        <f>RAT1000PT!$F$109+RAT1000PT!$F$97</f>
        <v>3.143E-2</v>
      </c>
      <c r="I11" s="146">
        <f>RAT1000PT!$F$114+RAT1000PT!$F$97</f>
        <v>3.143E-2</v>
      </c>
      <c r="J11" s="146">
        <f>RAT1000PT!$F$41</f>
        <v>6.3000000000000003E-4</v>
      </c>
    </row>
    <row r="12" spans="2:10" s="143" customFormat="1" ht="13.5">
      <c r="B12" s="48"/>
      <c r="C12" s="326" t="s">
        <v>648</v>
      </c>
      <c r="D12" s="327">
        <f>RAT1000PT!$F$84</f>
        <v>0</v>
      </c>
      <c r="E12" s="328"/>
      <c r="F12" s="328">
        <f>RAT1000PT!$F122+RAT1000PT!$F$96</f>
        <v>3.0169999999999999E-2</v>
      </c>
      <c r="G12" s="328"/>
      <c r="H12" s="328"/>
      <c r="I12" s="328"/>
      <c r="J12" s="328">
        <f>RAT1000PT!$F$40</f>
        <v>6.3000000000000003E-4</v>
      </c>
    </row>
    <row r="13" spans="2:10" s="143" customFormat="1" ht="13.5">
      <c r="B13" s="48"/>
      <c r="C13" s="326" t="s">
        <v>649</v>
      </c>
      <c r="D13" s="327">
        <f>D12</f>
        <v>0</v>
      </c>
      <c r="E13" s="328"/>
      <c r="F13" s="328">
        <f>RAT1000PT!$F123+RAT1000PT!$F$96</f>
        <v>3.1669999999999997E-2</v>
      </c>
      <c r="G13" s="328"/>
      <c r="H13" s="328"/>
      <c r="I13" s="328"/>
      <c r="J13" s="328"/>
    </row>
    <row r="14" spans="2:10" s="143" customFormat="1" ht="13.5">
      <c r="B14" s="48"/>
      <c r="C14" s="326" t="s">
        <v>650</v>
      </c>
      <c r="D14" s="327">
        <f>D13</f>
        <v>0</v>
      </c>
      <c r="E14" s="328"/>
      <c r="F14" s="328">
        <f>RAT1000PT!$F124+RAT1000PT!$F$96</f>
        <v>3.3259999999999998E-2</v>
      </c>
      <c r="G14" s="328"/>
      <c r="H14" s="328"/>
      <c r="I14" s="328"/>
      <c r="J14" s="328"/>
    </row>
    <row r="15" spans="2:10" s="143" customFormat="1" ht="13.5">
      <c r="B15" s="48"/>
      <c r="C15" s="326" t="s">
        <v>651</v>
      </c>
      <c r="D15" s="327">
        <f>D14</f>
        <v>0</v>
      </c>
      <c r="E15" s="328"/>
      <c r="F15" s="328">
        <f>RAT1000PT!$F125+RAT1000PT!$F$96</f>
        <v>3.492E-2</v>
      </c>
      <c r="G15" s="328"/>
      <c r="H15" s="328"/>
      <c r="I15" s="328"/>
      <c r="J15" s="328"/>
    </row>
    <row r="16" spans="2:10" s="143" customFormat="1" ht="13.5">
      <c r="B16" s="48"/>
      <c r="C16" s="144" t="s">
        <v>1178</v>
      </c>
      <c r="D16" s="178"/>
      <c r="E16" s="146">
        <f>RAT1000PT!$F$95</f>
        <v>0</v>
      </c>
      <c r="F16" s="146"/>
      <c r="G16" s="146">
        <f>RAT1000PT!$F$103+RAT1000PT!$F$95</f>
        <v>2.3519999999999999E-2</v>
      </c>
      <c r="H16" s="146">
        <f>RAT1000PT!$F$108+RAT1000PT!$F$95</f>
        <v>2.3519999999999999E-2</v>
      </c>
      <c r="I16" s="146">
        <f>RAT1000PT!$F$113+RAT1000PT!$F$95</f>
        <v>2.3519999999999999E-2</v>
      </c>
      <c r="J16" s="146">
        <f>RAT1000PT!$F$39</f>
        <v>6.4999999999999997E-4</v>
      </c>
    </row>
    <row r="17" spans="2:13" s="143" customFormat="1" ht="13.5">
      <c r="B17" s="48"/>
      <c r="C17" s="2062" t="s">
        <v>1768</v>
      </c>
      <c r="D17" s="178"/>
      <c r="E17" s="146">
        <f>RAT1000PT!$F$91</f>
        <v>0</v>
      </c>
      <c r="F17" s="146">
        <f>RAT1000PT!$F118</f>
        <v>2.3519999999999999E-2</v>
      </c>
      <c r="G17" s="146"/>
      <c r="H17" s="146"/>
      <c r="I17" s="146"/>
      <c r="J17" s="146">
        <f>RAT1000PT!$F$37</f>
        <v>6.4999999999999997E-4</v>
      </c>
    </row>
    <row r="18" spans="2:13" s="143" customFormat="1" ht="13.5">
      <c r="B18" s="48"/>
      <c r="C18" s="326" t="s">
        <v>645</v>
      </c>
      <c r="D18" s="327"/>
      <c r="E18" s="328">
        <f>RAT1000PT!$F$92</f>
        <v>0</v>
      </c>
      <c r="F18" s="328">
        <f>RAT1000PT!$F119</f>
        <v>2.3519999999999999E-2</v>
      </c>
      <c r="G18" s="328"/>
      <c r="H18" s="328"/>
      <c r="I18" s="328"/>
      <c r="J18" s="328">
        <f>RAT1000PT!$F$38</f>
        <v>6.4999999999999997E-4</v>
      </c>
      <c r="L18" s="319"/>
    </row>
    <row r="19" spans="2:13" s="143" customFormat="1" ht="13.5">
      <c r="B19" s="48"/>
      <c r="C19" s="326" t="s">
        <v>646</v>
      </c>
      <c r="D19" s="327"/>
      <c r="E19" s="328">
        <f>RAT1000PT!$F$93</f>
        <v>0</v>
      </c>
      <c r="F19" s="328">
        <f>RAT1000PT!$F120</f>
        <v>3.245E-2</v>
      </c>
      <c r="G19" s="328"/>
      <c r="H19" s="328"/>
      <c r="I19" s="328"/>
      <c r="J19" s="328"/>
      <c r="L19" s="319"/>
    </row>
    <row r="20" spans="2:13" s="143" customFormat="1" ht="13.5">
      <c r="B20" s="48"/>
      <c r="C20" s="326" t="s">
        <v>647</v>
      </c>
      <c r="D20" s="328"/>
      <c r="E20" s="328">
        <f>RAT1000PT!$F$94</f>
        <v>0</v>
      </c>
      <c r="F20" s="328">
        <f>RAT1000PT!$F121</f>
        <v>4.122E-2</v>
      </c>
      <c r="G20" s="328"/>
      <c r="H20" s="328"/>
      <c r="I20" s="328"/>
      <c r="J20" s="328"/>
      <c r="L20" s="319"/>
    </row>
    <row r="21" spans="2:13" s="143" customFormat="1" ht="13.5">
      <c r="B21" s="48"/>
      <c r="C21" s="144" t="s">
        <v>1164</v>
      </c>
      <c r="D21" s="178">
        <f>RAT1000PT!$F78</f>
        <v>0</v>
      </c>
      <c r="E21" s="146"/>
      <c r="F21" s="146"/>
      <c r="G21" s="146"/>
      <c r="H21" s="146"/>
      <c r="I21" s="146"/>
      <c r="J21" s="146"/>
      <c r="L21" s="319"/>
    </row>
    <row r="22" spans="2:13" s="143" customFormat="1" ht="13.5">
      <c r="B22" s="48"/>
      <c r="C22" s="144" t="s">
        <v>1167</v>
      </c>
      <c r="D22" s="178">
        <f>RAT1000PT!$F79</f>
        <v>0</v>
      </c>
      <c r="E22" s="146"/>
      <c r="F22" s="146"/>
      <c r="G22" s="146"/>
      <c r="H22" s="146"/>
      <c r="I22" s="146"/>
      <c r="J22" s="146"/>
      <c r="L22" s="319"/>
    </row>
    <row r="23" spans="2:13" s="143" customFormat="1" ht="13.5">
      <c r="B23" s="48"/>
      <c r="C23" s="144" t="s">
        <v>1166</v>
      </c>
      <c r="D23" s="178">
        <f>RAT1000PT!$F80</f>
        <v>0</v>
      </c>
      <c r="E23" s="146"/>
      <c r="F23" s="146"/>
      <c r="G23" s="146"/>
      <c r="H23" s="146"/>
      <c r="I23" s="146"/>
      <c r="J23" s="146"/>
      <c r="L23" s="319"/>
    </row>
    <row r="24" spans="2:13" s="143" customFormat="1" ht="13.5">
      <c r="B24" s="48"/>
      <c r="C24" s="144" t="s">
        <v>1165</v>
      </c>
      <c r="D24" s="178">
        <f>RAT1000PT!$F81</f>
        <v>0</v>
      </c>
      <c r="E24" s="146"/>
      <c r="F24" s="146"/>
      <c r="G24" s="146"/>
      <c r="H24" s="146"/>
      <c r="I24" s="146"/>
      <c r="J24" s="146"/>
      <c r="L24" s="319"/>
    </row>
    <row r="25" spans="2:13" s="143" customFormat="1" ht="13.5">
      <c r="B25" s="52"/>
      <c r="C25" s="143" t="s">
        <v>933</v>
      </c>
      <c r="D25" s="957">
        <f>'Inf Ind Dem'!$C$3</f>
        <v>7.3800000000000004E-2</v>
      </c>
      <c r="E25" s="957">
        <f>'Inf Ind Dem'!$C$3</f>
        <v>7.3800000000000004E-2</v>
      </c>
      <c r="F25" s="957">
        <f>'Inf Ind Dem'!$C$3</f>
        <v>7.3800000000000004E-2</v>
      </c>
      <c r="G25" s="957">
        <f>'Inf Ind Dem'!$C$3</f>
        <v>7.3800000000000004E-2</v>
      </c>
      <c r="H25" s="957">
        <f>'Inf Ind Dem'!$C$3</f>
        <v>7.3800000000000004E-2</v>
      </c>
      <c r="I25" s="957">
        <f>'Inf Ind Dem'!$C$3</f>
        <v>7.3800000000000004E-2</v>
      </c>
      <c r="L25" s="958"/>
    </row>
    <row r="26" spans="2:13" s="143" customFormat="1" ht="13.5">
      <c r="B26" s="52"/>
      <c r="C26" s="957" t="str">
        <f>'Inf Ind Dem'!B$4</f>
        <v>Pérd. Trans. 2025</v>
      </c>
      <c r="D26" s="957">
        <f>'Inf Ind Dem'!C$4</f>
        <v>5.7599999999999998E-2</v>
      </c>
      <c r="E26" s="957">
        <f>'Inf Ind Dem'!D$4</f>
        <v>5.7599999999999998E-2</v>
      </c>
      <c r="F26" s="957">
        <f>'Inf Ind Dem'!E$4</f>
        <v>5.7599999999999998E-2</v>
      </c>
      <c r="G26" s="957">
        <f>'Inf Ind Dem'!F$4</f>
        <v>5.7599999999999998E-2</v>
      </c>
      <c r="H26" s="957">
        <f>'Inf Ind Dem'!G$4</f>
        <v>5.7599999999999998E-2</v>
      </c>
      <c r="I26" s="957">
        <f>'Inf Ind Dem'!H$4</f>
        <v>5.7599999999999998E-2</v>
      </c>
      <c r="L26" s="958"/>
    </row>
    <row r="27" spans="2:13" s="143" customFormat="1" ht="13.5">
      <c r="B27" s="48"/>
      <c r="C27" s="147"/>
      <c r="J27" s="148"/>
      <c r="L27" s="319"/>
    </row>
    <row r="28" spans="2:13" s="69" customFormat="1" ht="33" customHeight="1">
      <c r="B28" s="48"/>
      <c r="C28" s="320" t="s">
        <v>666</v>
      </c>
      <c r="D28" s="320"/>
      <c r="E28" s="320"/>
      <c r="F28" s="320"/>
      <c r="G28" s="320"/>
      <c r="H28" s="320"/>
      <c r="I28" s="320"/>
      <c r="J28" s="321"/>
      <c r="L28" s="319" t="s">
        <v>678</v>
      </c>
    </row>
    <row r="29" spans="2:13" s="37" customFormat="1" ht="15.75">
      <c r="B29" s="48"/>
      <c r="C29" s="150" t="s">
        <v>310</v>
      </c>
      <c r="D29" s="151">
        <f>F821EA!D4</f>
        <v>45839</v>
      </c>
      <c r="E29" s="151">
        <f>F821EA!E4</f>
        <v>45870</v>
      </c>
      <c r="F29" s="151">
        <f>F821EA!F4</f>
        <v>45901</v>
      </c>
      <c r="G29" s="151">
        <f>F821EA!G4</f>
        <v>45931</v>
      </c>
      <c r="H29" s="151">
        <f>F821EA!H4</f>
        <v>45962</v>
      </c>
      <c r="I29" s="151">
        <f>F821EA!I4</f>
        <v>45992</v>
      </c>
      <c r="J29" s="152" t="s">
        <v>111</v>
      </c>
      <c r="K29" s="69"/>
      <c r="L29" s="319" t="s">
        <v>678</v>
      </c>
      <c r="M29" s="319" t="s">
        <v>1287</v>
      </c>
    </row>
    <row r="30" spans="2:13" s="37" customFormat="1" ht="15.75" customHeight="1">
      <c r="B30" s="48"/>
      <c r="C30" s="153" t="s">
        <v>446</v>
      </c>
      <c r="D30" s="154">
        <f t="shared" ref="D30:I30" si="0">SUM(D31:D32)</f>
        <v>150225.46812000001</v>
      </c>
      <c r="E30" s="154">
        <f t="shared" si="0"/>
        <v>142577.88909000001</v>
      </c>
      <c r="F30" s="154">
        <f t="shared" si="0"/>
        <v>136478.8033</v>
      </c>
      <c r="G30" s="154">
        <f t="shared" si="0"/>
        <v>136478.8033</v>
      </c>
      <c r="H30" s="154">
        <f t="shared" si="0"/>
        <v>109551.1508</v>
      </c>
      <c r="I30" s="154">
        <f t="shared" si="0"/>
        <v>127928.83753999999</v>
      </c>
      <c r="J30" s="154">
        <f>SUM(D30:I30)</f>
        <v>803240.95215000003</v>
      </c>
      <c r="K30" s="69"/>
      <c r="L30" s="319"/>
      <c r="M30" s="69"/>
    </row>
    <row r="31" spans="2:13" s="37" customFormat="1" ht="15.75" customHeight="1">
      <c r="B31" s="48" t="s">
        <v>279</v>
      </c>
      <c r="C31" s="155" t="s">
        <v>279</v>
      </c>
      <c r="D31" s="156">
        <f>$D$7*F821D!K6+$G$7*F821EA!K6</f>
        <v>150225.46812000001</v>
      </c>
      <c r="E31" s="156">
        <f>$D$7*F821D!L6+$G$7*F821EA!L6</f>
        <v>142577.88909000001</v>
      </c>
      <c r="F31" s="156">
        <f>$D$7*F821D!M6+$G$7*F821EA!M6</f>
        <v>136478.8033</v>
      </c>
      <c r="G31" s="156">
        <f>$D$7*F821D!N6+$G$7*F821EA!N6</f>
        <v>136478.8033</v>
      </c>
      <c r="H31" s="156">
        <f>$D$7*F821D!O6+$G$7*F821EA!O6</f>
        <v>109551.1508</v>
      </c>
      <c r="I31" s="156">
        <f>$D$7*F821D!P6+$G$7*F821EA!P6</f>
        <v>127928.83753999999</v>
      </c>
      <c r="J31" s="156">
        <f>SUM(D31:I31)</f>
        <v>803240.95215000003</v>
      </c>
      <c r="K31" s="69"/>
      <c r="L31" s="319"/>
      <c r="M31" s="69"/>
    </row>
    <row r="32" spans="2:13" s="37" customFormat="1" ht="15.75" customHeight="1">
      <c r="B32" s="48" t="s">
        <v>278</v>
      </c>
      <c r="C32" s="155" t="s">
        <v>278</v>
      </c>
      <c r="D32" s="156">
        <f>$D$8*F821D!K7+$F$8*F821EA!K7</f>
        <v>0</v>
      </c>
      <c r="E32" s="156">
        <f>$D$8*F821D!L7+$F$8*F821EA!L7</f>
        <v>0</v>
      </c>
      <c r="F32" s="156">
        <f>$D$8*F821D!M7+$F$8*F821EA!M7</f>
        <v>0</v>
      </c>
      <c r="G32" s="156">
        <f>$D$8*F821D!N7+$F$8*F821EA!N7</f>
        <v>0</v>
      </c>
      <c r="H32" s="156">
        <f>$D$8*F821D!O7+$F$8*F821EA!O7</f>
        <v>0</v>
      </c>
      <c r="I32" s="156">
        <f>$D$8*F821D!P7+$F$8*F821EA!P7</f>
        <v>0</v>
      </c>
      <c r="J32" s="156">
        <f>SUM(D32:I32)</f>
        <v>0</v>
      </c>
      <c r="K32" s="69"/>
      <c r="L32" s="319"/>
      <c r="M32" s="69"/>
    </row>
    <row r="33" spans="2:13" s="37" customFormat="1" ht="15.75" customHeight="1">
      <c r="B33" s="48"/>
      <c r="C33" s="157"/>
      <c r="D33" s="156"/>
      <c r="E33" s="156"/>
      <c r="F33" s="156"/>
      <c r="G33" s="156"/>
      <c r="H33" s="156"/>
      <c r="I33" s="156"/>
      <c r="J33" s="156"/>
      <c r="K33" s="69"/>
      <c r="L33" s="319"/>
      <c r="M33" s="69"/>
    </row>
    <row r="34" spans="2:13" s="37" customFormat="1" ht="15.75" customHeight="1">
      <c r="B34" s="48"/>
      <c r="C34" s="153" t="s">
        <v>630</v>
      </c>
      <c r="D34" s="154">
        <f>D35+D38</f>
        <v>285845.50750065589</v>
      </c>
      <c r="E34" s="154">
        <f t="shared" ref="E34:I34" si="1">E35+E38</f>
        <v>291301.81515758438</v>
      </c>
      <c r="F34" s="154">
        <f t="shared" si="1"/>
        <v>281203.05799487385</v>
      </c>
      <c r="G34" s="154">
        <f t="shared" si="1"/>
        <v>294633.12489511893</v>
      </c>
      <c r="H34" s="154">
        <f t="shared" si="1"/>
        <v>261383.77439131457</v>
      </c>
      <c r="I34" s="154">
        <f t="shared" si="1"/>
        <v>264632.19058271917</v>
      </c>
      <c r="J34" s="154">
        <f t="shared" ref="J34:J42" si="2">SUM(D34:I34)</f>
        <v>1678999.4705222668</v>
      </c>
      <c r="K34" s="69"/>
      <c r="L34" s="319"/>
      <c r="M34" s="69"/>
    </row>
    <row r="35" spans="2:13" s="37" customFormat="1" ht="15.75" customHeight="1">
      <c r="B35" s="48" t="s">
        <v>277</v>
      </c>
      <c r="C35" s="155" t="s">
        <v>277</v>
      </c>
      <c r="D35" s="154">
        <f>SUM(D36:D37)</f>
        <v>37787.283239999997</v>
      </c>
      <c r="E35" s="154">
        <f t="shared" ref="E35:I35" si="3">SUM(E36:E37)</f>
        <v>36564.53052</v>
      </c>
      <c r="F35" s="154">
        <f t="shared" si="3"/>
        <v>36042.556794999997</v>
      </c>
      <c r="G35" s="154">
        <f t="shared" si="3"/>
        <v>36042.556794999997</v>
      </c>
      <c r="H35" s="154">
        <f t="shared" si="3"/>
        <v>29184.326499999999</v>
      </c>
      <c r="I35" s="154">
        <f t="shared" si="3"/>
        <v>22885.09447</v>
      </c>
      <c r="J35" s="154">
        <f t="shared" si="2"/>
        <v>198506.34831999999</v>
      </c>
      <c r="K35" s="69"/>
      <c r="L35" s="319"/>
      <c r="M35" s="69"/>
    </row>
    <row r="36" spans="2:13" s="37" customFormat="1" ht="15.75" customHeight="1">
      <c r="B36" s="48"/>
      <c r="C36" s="160" t="s">
        <v>304</v>
      </c>
      <c r="D36" s="156">
        <f>$D$9*F821D!K11+$G$9*F821EA!K11</f>
        <v>32520.243839999999</v>
      </c>
      <c r="E36" s="156">
        <f>$D$9*F821D!L11+$G$9*F821EA!L11</f>
        <v>31360.19397</v>
      </c>
      <c r="F36" s="156">
        <f>$D$9*F821D!M11+$G$9*F821EA!M11</f>
        <v>30806.86882</v>
      </c>
      <c r="G36" s="156">
        <f>$D$9*F821D!N11+$G$9*F821EA!N11</f>
        <v>30806.86882</v>
      </c>
      <c r="H36" s="156">
        <f>$D$9*F821D!O11+$G$9*F821EA!O11</f>
        <v>24920.5327</v>
      </c>
      <c r="I36" s="156">
        <f>$D$9*F821D!P11+$G$9*F821EA!P11</f>
        <v>22885.09447</v>
      </c>
      <c r="J36" s="156">
        <f t="shared" si="2"/>
        <v>173299.80262000003</v>
      </c>
      <c r="K36" s="69"/>
      <c r="L36" s="319"/>
      <c r="M36" s="69"/>
    </row>
    <row r="37" spans="2:13" s="37" customFormat="1" ht="15.75" customHeight="1">
      <c r="B37" s="48"/>
      <c r="C37" s="160" t="s">
        <v>305</v>
      </c>
      <c r="D37" s="156">
        <f>($D$9*F821D!K12+$G$9*F821EA!K12)*$L37</f>
        <v>5267.0393999999997</v>
      </c>
      <c r="E37" s="156">
        <f>($D$9*F821D!L12+$G$9*F821EA!L12)*$L37</f>
        <v>5204.33655</v>
      </c>
      <c r="F37" s="156">
        <f>($D$9*F821D!M12+$G$9*F821EA!M12)*$L37</f>
        <v>5235.6879749999998</v>
      </c>
      <c r="G37" s="156">
        <f>($D$9*F821D!N12+$G$9*F821EA!N12)*$L37</f>
        <v>5235.6879749999998</v>
      </c>
      <c r="H37" s="156">
        <f>($D$9*F821D!O12+$G$9*F821EA!O12)*$L37</f>
        <v>4263.7937999999995</v>
      </c>
      <c r="I37" s="156">
        <f>($D$9*F821D!P12+$G$9*F821EA!P12)*$L37</f>
        <v>0</v>
      </c>
      <c r="J37" s="156">
        <f t="shared" si="2"/>
        <v>25206.545699999999</v>
      </c>
      <c r="K37" s="69"/>
      <c r="L37" s="319">
        <v>0.95</v>
      </c>
      <c r="M37" s="69"/>
    </row>
    <row r="38" spans="2:13" s="37" customFormat="1" ht="15.75" customHeight="1">
      <c r="B38" s="48" t="s">
        <v>276</v>
      </c>
      <c r="C38" s="158" t="s">
        <v>276</v>
      </c>
      <c r="D38" s="159">
        <f t="shared" ref="D38:I38" si="4">SUM(D39:D42)</f>
        <v>248058.2242606559</v>
      </c>
      <c r="E38" s="159">
        <f t="shared" si="4"/>
        <v>254737.28463758435</v>
      </c>
      <c r="F38" s="159">
        <f t="shared" si="4"/>
        <v>245160.50119987386</v>
      </c>
      <c r="G38" s="159">
        <f t="shared" si="4"/>
        <v>258590.56810011895</v>
      </c>
      <c r="H38" s="159">
        <f t="shared" si="4"/>
        <v>232199.44789131457</v>
      </c>
      <c r="I38" s="159">
        <f t="shared" si="4"/>
        <v>241747.09611271915</v>
      </c>
      <c r="J38" s="159">
        <f t="shared" si="2"/>
        <v>1480493.1222022669</v>
      </c>
      <c r="K38" s="69"/>
      <c r="L38" s="319"/>
    </row>
    <row r="39" spans="2:13" s="37" customFormat="1" ht="15.75" customHeight="1">
      <c r="B39" s="48"/>
      <c r="C39" s="160" t="s">
        <v>304</v>
      </c>
      <c r="D39" s="156">
        <f>($D$10*F821D!K15+$F$10*F821EA!K15)*$L39</f>
        <v>247353.68175725735</v>
      </c>
      <c r="E39" s="156">
        <f>($D$10*F821D!L15+$F$10*F821EA!L15)*$L39</f>
        <v>253680.47088248655</v>
      </c>
      <c r="F39" s="156">
        <f>($D$10*F821D!M15+$F$10*F821EA!M15)*$L39</f>
        <v>244410.86274774201</v>
      </c>
      <c r="G39" s="156">
        <f>($D$10*F821D!N15+$F$10*F821EA!N15)*$L39</f>
        <v>258045.49532847296</v>
      </c>
      <c r="H39" s="156">
        <f>($D$10*F821D!O15+$F$10*F821EA!O15)*$L39</f>
        <v>230841.34091352037</v>
      </c>
      <c r="I39" s="156">
        <f>($D$10*F821D!P15+$F$10*F821EA!P15)*$L39</f>
        <v>240389.64269939932</v>
      </c>
      <c r="J39" s="156">
        <f t="shared" si="2"/>
        <v>1474721.4943288784</v>
      </c>
      <c r="K39" s="69"/>
      <c r="L39" s="319">
        <v>1</v>
      </c>
    </row>
    <row r="40" spans="2:13" s="37" customFormat="1" ht="15.75" customHeight="1">
      <c r="B40" s="48"/>
      <c r="C40" s="161" t="s">
        <v>306</v>
      </c>
      <c r="D40" s="156">
        <f>($D$10*F821D!K16+$F$10*F821EA!K16)*$L40</f>
        <v>0</v>
      </c>
      <c r="E40" s="156">
        <f>($D$10*F821D!L16+$F$10*F821EA!L16)*$L40</f>
        <v>0</v>
      </c>
      <c r="F40" s="156">
        <f>($D$10*F821D!M16+$F$10*F821EA!M16)*$L40</f>
        <v>0</v>
      </c>
      <c r="G40" s="156">
        <f>($D$10*F821D!N16+$F$10*F821EA!N16)*$L40</f>
        <v>0</v>
      </c>
      <c r="H40" s="156">
        <f>($D$10*F821D!O16+$F$10*F821EA!O16)*$L40</f>
        <v>0</v>
      </c>
      <c r="I40" s="156">
        <f>($D$10*F821D!P16+$F$10*F821EA!P16)*$L40</f>
        <v>0</v>
      </c>
      <c r="J40" s="156">
        <f t="shared" si="2"/>
        <v>0</v>
      </c>
      <c r="K40" s="69"/>
      <c r="L40" s="319">
        <v>1</v>
      </c>
    </row>
    <row r="41" spans="2:13" s="37" customFormat="1" ht="15.75" customHeight="1">
      <c r="B41" s="48"/>
      <c r="C41" s="160" t="s">
        <v>305</v>
      </c>
      <c r="D41" s="156">
        <f>($D$10*F821D!K17+$F$10*F821EA!K17)*$L41</f>
        <v>704.54250339853945</v>
      </c>
      <c r="E41" s="156">
        <f>($D$10*F821D!L17+$F$10*F821EA!L17)*$L41</f>
        <v>1056.8137550978092</v>
      </c>
      <c r="F41" s="156">
        <f>($D$10*F821D!M17+$F$10*F821EA!M17)*$L41</f>
        <v>749.63845213184118</v>
      </c>
      <c r="G41" s="156">
        <f>($D$10*F821D!N17+$F$10*F821EA!N17)*$L41</f>
        <v>545.07277164599429</v>
      </c>
      <c r="H41" s="156">
        <f>($D$10*F821D!O17+$F$10*F821EA!O17)*$L41</f>
        <v>1358.1069777942159</v>
      </c>
      <c r="I41" s="156">
        <f>($D$10*F821D!P17+$F$10*F821EA!P17)*$L41</f>
        <v>1357.4534133198204</v>
      </c>
      <c r="J41" s="156">
        <f t="shared" si="2"/>
        <v>5771.62787338822</v>
      </c>
      <c r="K41" s="69"/>
      <c r="L41" s="319">
        <v>0.95</v>
      </c>
    </row>
    <row r="42" spans="2:13" s="37" customFormat="1" ht="15.75" customHeight="1">
      <c r="B42" s="48"/>
      <c r="C42" s="160" t="s">
        <v>307</v>
      </c>
      <c r="D42" s="156">
        <f>($D$10*F821D!K18+$F$10*F821EA!K18)*$L42</f>
        <v>0</v>
      </c>
      <c r="E42" s="156">
        <f>($D$10*F821D!L18+$F$10*F821EA!L18)*$L42</f>
        <v>0</v>
      </c>
      <c r="F42" s="156">
        <f>($D$10*F821D!M18+$F$10*F821EA!M18)*$L42</f>
        <v>0</v>
      </c>
      <c r="G42" s="156">
        <f>($D$10*F821D!N18+$F$10*F821EA!N18)*$L42</f>
        <v>0</v>
      </c>
      <c r="H42" s="156">
        <f>($D$10*F821D!O18+$F$10*F821EA!O18)*$L42</f>
        <v>0</v>
      </c>
      <c r="I42" s="156">
        <f>($D$10*F821D!P18+$F$10*F821EA!P18)*$L42</f>
        <v>0</v>
      </c>
      <c r="J42" s="156">
        <f t="shared" si="2"/>
        <v>0</v>
      </c>
      <c r="K42" s="69"/>
      <c r="L42" s="319">
        <v>0.5</v>
      </c>
    </row>
    <row r="43" spans="2:13" s="37" customFormat="1" ht="15.75" customHeight="1">
      <c r="B43" s="48"/>
      <c r="C43" s="157"/>
      <c r="D43" s="157"/>
      <c r="E43" s="157"/>
      <c r="F43" s="157"/>
      <c r="G43" s="157"/>
      <c r="H43" s="157"/>
      <c r="I43" s="157"/>
      <c r="J43" s="157"/>
      <c r="K43" s="69"/>
      <c r="L43" s="319"/>
    </row>
    <row r="44" spans="2:13" s="37" customFormat="1" ht="15.75" customHeight="1">
      <c r="B44" s="48"/>
      <c r="C44" s="153" t="s">
        <v>443</v>
      </c>
      <c r="D44" s="154">
        <f t="shared" ref="D44:I44" si="5">D45+D49+D56+D61+D66+D79+D85+D92+D100+D106+D113+D72</f>
        <v>1906903.7453522915</v>
      </c>
      <c r="E44" s="154">
        <f t="shared" si="5"/>
        <v>1897470.7419328515</v>
      </c>
      <c r="F44" s="154">
        <f t="shared" si="5"/>
        <v>1852291.6911596635</v>
      </c>
      <c r="G44" s="154">
        <f t="shared" si="5"/>
        <v>1884380.5910203175</v>
      </c>
      <c r="H44" s="154">
        <f t="shared" si="5"/>
        <v>1786440.4052348221</v>
      </c>
      <c r="I44" s="154">
        <f t="shared" si="5"/>
        <v>1800514.2305630418</v>
      </c>
      <c r="J44" s="154">
        <f t="shared" ref="J44:J70" si="6">SUM(D44:I44)</f>
        <v>11128001.405262988</v>
      </c>
      <c r="K44" s="69"/>
      <c r="L44" s="319"/>
    </row>
    <row r="45" spans="2:13" s="37" customFormat="1" ht="15.75" customHeight="1">
      <c r="B45" s="48" t="s">
        <v>275</v>
      </c>
      <c r="C45" s="155" t="s">
        <v>275</v>
      </c>
      <c r="D45" s="154">
        <f>SUM(D46:D48)</f>
        <v>22804.067930000001</v>
      </c>
      <c r="E45" s="154">
        <f t="shared" ref="E45:I45" si="7">SUM(E46:E48)</f>
        <v>21154.150079999999</v>
      </c>
      <c r="F45" s="154">
        <f t="shared" si="7"/>
        <v>20668.965169999999</v>
      </c>
      <c r="G45" s="154">
        <f t="shared" si="7"/>
        <v>20668.965169999999</v>
      </c>
      <c r="H45" s="154">
        <f t="shared" si="7"/>
        <v>16938.12988</v>
      </c>
      <c r="I45" s="154">
        <f t="shared" si="7"/>
        <v>19927.405750000002</v>
      </c>
      <c r="J45" s="154">
        <f t="shared" si="6"/>
        <v>122161.68398</v>
      </c>
      <c r="K45" s="69"/>
      <c r="L45" s="319"/>
    </row>
    <row r="46" spans="2:13" s="37" customFormat="1" ht="15.75" customHeight="1">
      <c r="B46" s="48"/>
      <c r="C46" s="160" t="s">
        <v>304</v>
      </c>
      <c r="D46" s="156">
        <f>$D$11*F821D!K22+$G$11*F821EA!K22</f>
        <v>22590.658230000001</v>
      </c>
      <c r="E46" s="156">
        <f>$D$11*F821D!L22+$G$11*F821EA!L22</f>
        <v>21077.712319999999</v>
      </c>
      <c r="F46" s="156">
        <f>$D$11*F821D!M22+$G$11*F821EA!M22</f>
        <v>20531.99323</v>
      </c>
      <c r="G46" s="156">
        <f>$D$11*F821D!N22+$G$11*F821EA!N22</f>
        <v>20531.99323</v>
      </c>
      <c r="H46" s="156">
        <f>$D$11*F821D!O22+$G$11*F821EA!O22</f>
        <v>16845.8514</v>
      </c>
      <c r="I46" s="156">
        <f>$D$11*F821D!P22+$G$11*F821EA!P22</f>
        <v>19826.3583</v>
      </c>
      <c r="J46" s="156">
        <f t="shared" si="6"/>
        <v>121404.56671000001</v>
      </c>
      <c r="K46" s="69"/>
      <c r="L46" s="319"/>
    </row>
    <row r="47" spans="2:13" s="37" customFormat="1" ht="15.75" customHeight="1">
      <c r="B47" s="48"/>
      <c r="C47" s="161" t="s">
        <v>306</v>
      </c>
      <c r="D47" s="156">
        <f>($D$11*F821D!K23+$G$11*F821EA!K23)*$L47</f>
        <v>122.63986</v>
      </c>
      <c r="E47" s="156">
        <f>($D$11*F821D!L23+$G$11*F821EA!L23)*$L47</f>
        <v>0</v>
      </c>
      <c r="F47" s="156">
        <f>($D$11*F821D!M23+$G$11*F821EA!M23)*$L47</f>
        <v>70.088899999999995</v>
      </c>
      <c r="G47" s="156">
        <f>($D$11*F821D!N23+$G$11*F821EA!N23)*$L47</f>
        <v>70.088899999999995</v>
      </c>
      <c r="H47" s="156">
        <f>($D$11*F821D!O23+$G$11*F821EA!O23)*$L47</f>
        <v>44.50488</v>
      </c>
      <c r="I47" s="156">
        <f>($D$11*F821D!P23+$G$11*F821EA!P23)*$L47</f>
        <v>38.941769999999998</v>
      </c>
      <c r="J47" s="156">
        <f t="shared" si="6"/>
        <v>346.26431000000002</v>
      </c>
      <c r="K47" s="69"/>
      <c r="L47" s="319">
        <v>1</v>
      </c>
    </row>
    <row r="48" spans="2:13" s="37" customFormat="1" ht="15.75" customHeight="1">
      <c r="B48" s="48"/>
      <c r="C48" s="160" t="s">
        <v>305</v>
      </c>
      <c r="D48" s="156">
        <f>($D$11*F821D!K24+$G$11*F821EA!K24)*$L48</f>
        <v>90.769840000000002</v>
      </c>
      <c r="E48" s="156">
        <f>($D$11*F821D!L24+$G$11*F821EA!L24)*$L48</f>
        <v>76.437759999999997</v>
      </c>
      <c r="F48" s="156">
        <f>($D$11*F821D!M24+$G$11*F821EA!M24)*$L48</f>
        <v>66.883039999999994</v>
      </c>
      <c r="G48" s="156">
        <f>($D$11*F821D!N24+$G$11*F821EA!N24)*$L48</f>
        <v>66.883039999999994</v>
      </c>
      <c r="H48" s="156">
        <f>($D$11*F821D!O24+$G$11*F821EA!O24)*$L48</f>
        <v>47.773599999999995</v>
      </c>
      <c r="I48" s="156">
        <f>($D$11*F821D!P24+$G$11*F821EA!P24)*$L48</f>
        <v>62.105679999999992</v>
      </c>
      <c r="J48" s="156">
        <f t="shared" si="6"/>
        <v>410.85296</v>
      </c>
      <c r="K48" s="69"/>
      <c r="L48" s="319">
        <v>0.95</v>
      </c>
    </row>
    <row r="49" spans="2:12" s="37" customFormat="1" ht="15.75" customHeight="1">
      <c r="B49" s="48" t="s">
        <v>274</v>
      </c>
      <c r="C49" s="158" t="s">
        <v>627</v>
      </c>
      <c r="D49" s="159">
        <f t="shared" ref="D49:I49" si="8">SUM(D50:D55)</f>
        <v>413900.94602313876</v>
      </c>
      <c r="E49" s="159">
        <f t="shared" si="8"/>
        <v>413863.41657185403</v>
      </c>
      <c r="F49" s="159">
        <f t="shared" si="8"/>
        <v>407804.14677067229</v>
      </c>
      <c r="G49" s="159">
        <f t="shared" si="8"/>
        <v>415840.63497028843</v>
      </c>
      <c r="H49" s="159">
        <f t="shared" si="8"/>
        <v>401036.8100663001</v>
      </c>
      <c r="I49" s="159">
        <f t="shared" si="8"/>
        <v>397863.53215568449</v>
      </c>
      <c r="J49" s="159">
        <f t="shared" si="6"/>
        <v>2450309.4865579386</v>
      </c>
      <c r="K49" s="69"/>
      <c r="L49" s="319"/>
    </row>
    <row r="50" spans="2:12" s="37" customFormat="1" ht="15.75" customHeight="1">
      <c r="B50" s="48"/>
      <c r="C50" s="160" t="s">
        <v>304</v>
      </c>
      <c r="D50" s="156">
        <f>($D$12*F821D!K28+$F$12*F821EA!K28)*$L50</f>
        <v>413206.07231394108</v>
      </c>
      <c r="E50" s="156">
        <f>($D$12*F821D!L28+$F$12*F821EA!L28)*$L50</f>
        <v>413136.57288342901</v>
      </c>
      <c r="F50" s="156">
        <f>($D$12*F821D!M28+$F$12*F821EA!M28)*$L50</f>
        <v>406979.49978857156</v>
      </c>
      <c r="G50" s="156">
        <f>($D$12*F821D!N28+$F$12*F821EA!N28)*$L50</f>
        <v>415145.59242679836</v>
      </c>
      <c r="H50" s="156">
        <f>($D$12*F821D!O28+$F$12*F821EA!O28)*$L50</f>
        <v>400354.43009474094</v>
      </c>
      <c r="I50" s="156">
        <f>($D$12*F821D!P28+$F$12*F821EA!P28)*$L50</f>
        <v>397078.98452399077</v>
      </c>
      <c r="J50" s="156">
        <f t="shared" si="6"/>
        <v>2445901.1520314715</v>
      </c>
      <c r="K50" s="69"/>
      <c r="L50" s="319">
        <v>1</v>
      </c>
    </row>
    <row r="51" spans="2:12" s="37" customFormat="1" ht="15.75" customHeight="1">
      <c r="B51" s="48"/>
      <c r="C51" s="162" t="s">
        <v>628</v>
      </c>
      <c r="D51" s="156">
        <f>($D$12*F821D!K29+$F$12*F821EA!K29)*$L51</f>
        <v>32.560899250843597</v>
      </c>
      <c r="E51" s="156">
        <f>($D$12*F821D!L29+$F$12*F821EA!L29)*$L51</f>
        <v>32.560899250843597</v>
      </c>
      <c r="F51" s="156">
        <f>($D$12*F821D!M29+$F$12*F821EA!M29)*$L51</f>
        <v>37.98771579265086</v>
      </c>
      <c r="G51" s="156">
        <f>($D$12*F821D!N29+$F$12*F821EA!N29)*$L51</f>
        <v>37.98771579265086</v>
      </c>
      <c r="H51" s="156">
        <f>($D$12*F821D!O29+$F$12*F821EA!O29)*$L51</f>
        <v>37.98771579265086</v>
      </c>
      <c r="I51" s="156">
        <f>($D$12*F821D!P29+$F$12*F821EA!P29)*$L51</f>
        <v>32.560899250843597</v>
      </c>
      <c r="J51" s="156">
        <f t="shared" si="6"/>
        <v>211.64584513048339</v>
      </c>
      <c r="K51" s="69"/>
      <c r="L51" s="319">
        <v>0.75</v>
      </c>
    </row>
    <row r="52" spans="2:12" s="37" customFormat="1" ht="15.75" customHeight="1">
      <c r="B52" s="48"/>
      <c r="C52" s="161" t="s">
        <v>629</v>
      </c>
      <c r="D52" s="156">
        <f>($D$12*F821D!K30+$F$12*F821EA!K30)*$L52</f>
        <v>181.23155331173243</v>
      </c>
      <c r="E52" s="156">
        <f>($D$12*F821D!L30+$F$12*F821EA!L30)*$L52</f>
        <v>196.94520209834326</v>
      </c>
      <c r="F52" s="156">
        <f>($D$12*F821D!M30+$F$12*F821EA!M30)*$L52</f>
        <v>195.42569346663723</v>
      </c>
      <c r="G52" s="156">
        <f>($D$12*F821D!N30+$F$12*F821EA!N30)*$L52</f>
        <v>182.65458520491745</v>
      </c>
      <c r="H52" s="156">
        <f>($D$12*F821D!O30+$F$12*F821EA!O30)*$L52</f>
        <v>180.36326266504329</v>
      </c>
      <c r="I52" s="156">
        <f>($D$12*F821D!P30+$F$12*F821EA!P30)*$L52</f>
        <v>187.81609071579194</v>
      </c>
      <c r="J52" s="156">
        <f t="shared" si="6"/>
        <v>1124.4363874624655</v>
      </c>
      <c r="K52" s="69"/>
      <c r="L52" s="319">
        <v>1</v>
      </c>
    </row>
    <row r="53" spans="2:12" s="37" customFormat="1" ht="15.75" customHeight="1">
      <c r="B53" s="48"/>
      <c r="C53" s="160" t="s">
        <v>305</v>
      </c>
      <c r="D53" s="156">
        <f>($D$12*F821D!K31+$F$12*F821EA!K31)*$L53</f>
        <v>437.18434060799336</v>
      </c>
      <c r="E53" s="156">
        <f>($D$12*F821D!L31+$F$12*F821EA!L31)*$L53</f>
        <v>458.26450797483574</v>
      </c>
      <c r="F53" s="156">
        <f>($D$12*F821D!M31+$F$12*F821EA!M31)*$L53</f>
        <v>543.95997096613007</v>
      </c>
      <c r="G53" s="156">
        <f>($D$12*F821D!N31+$F$12*F821EA!N31)*$L53</f>
        <v>426.64425692457212</v>
      </c>
      <c r="H53" s="156">
        <f>($D$12*F821D!O31+$F$12*F821EA!O31)*$L53</f>
        <v>422.06161184482374</v>
      </c>
      <c r="I53" s="156">
        <f>($D$12*F821D!P31+$F$12*F821EA!P31)*$L53</f>
        <v>527.02709739645991</v>
      </c>
      <c r="J53" s="156">
        <f t="shared" si="6"/>
        <v>2815.1417857148149</v>
      </c>
      <c r="K53" s="69"/>
      <c r="L53" s="319">
        <v>0.95</v>
      </c>
    </row>
    <row r="54" spans="2:12" s="37" customFormat="1" ht="15.75" customHeight="1">
      <c r="B54" s="48"/>
      <c r="C54" s="160" t="s">
        <v>307</v>
      </c>
      <c r="D54" s="156">
        <f>($D$12*F821D!K32+$F$12*F821EA!K32)*$L54</f>
        <v>43.89691602706322</v>
      </c>
      <c r="E54" s="156">
        <f>($D$12*F821D!L32+$F$12*F821EA!L32)*$L54</f>
        <v>39.073079101012318</v>
      </c>
      <c r="F54" s="156">
        <f>($D$12*F821D!M32+$F$12*F821EA!M32)*$L54</f>
        <v>47.273601875298851</v>
      </c>
      <c r="G54" s="156">
        <f>($D$12*F821D!N32+$F$12*F821EA!N32)*$L54</f>
        <v>47.755985567903942</v>
      </c>
      <c r="H54" s="156">
        <f>($D$12*F821D!O32+$F$12*F821EA!O32)*$L54</f>
        <v>41.967381256642859</v>
      </c>
      <c r="I54" s="156">
        <f>($D$12*F821D!P32+$F$12*F821EA!P32)*$L54</f>
        <v>37.143544330591958</v>
      </c>
      <c r="J54" s="156">
        <f t="shared" si="6"/>
        <v>257.11050815851314</v>
      </c>
      <c r="K54" s="69"/>
      <c r="L54" s="319">
        <v>0.5</v>
      </c>
    </row>
    <row r="55" spans="2:12" s="37" customFormat="1" ht="15.75" customHeight="1">
      <c r="B55" s="48"/>
      <c r="C55" s="160" t="s">
        <v>624</v>
      </c>
      <c r="D55" s="156">
        <f>($D$12*F821D!K33+$F$12*F821EA!K33)*$L55</f>
        <v>0</v>
      </c>
      <c r="E55" s="156">
        <f>($D$12*F821D!L33+$F$12*F821EA!L33)*$L55</f>
        <v>0</v>
      </c>
      <c r="F55" s="156">
        <f>($D$12*F821D!M33+$F$12*F821EA!M33)*$L55</f>
        <v>0</v>
      </c>
      <c r="G55" s="156">
        <f>($D$12*F821D!N33+$F$12*F821EA!N33)*$L55</f>
        <v>0</v>
      </c>
      <c r="H55" s="156">
        <f>($D$12*F821D!O33+$F$12*F821EA!O33)*$L55</f>
        <v>0</v>
      </c>
      <c r="I55" s="156">
        <f>($D$12*F821D!P33+$F$12*F821EA!P33)*$L55</f>
        <v>0</v>
      </c>
      <c r="J55" s="156">
        <f t="shared" si="6"/>
        <v>0</v>
      </c>
      <c r="K55" s="69"/>
      <c r="L55" s="319">
        <v>0</v>
      </c>
    </row>
    <row r="56" spans="2:12" s="37" customFormat="1" ht="15.75" customHeight="1">
      <c r="B56" s="48" t="s">
        <v>274</v>
      </c>
      <c r="C56" s="158" t="s">
        <v>631</v>
      </c>
      <c r="D56" s="159">
        <f t="shared" ref="D56:I56" si="9">SUM(D57:D60)</f>
        <v>202591.00729003758</v>
      </c>
      <c r="E56" s="159">
        <f t="shared" si="9"/>
        <v>203934.82927864135</v>
      </c>
      <c r="F56" s="159">
        <f t="shared" si="9"/>
        <v>194821.21119849733</v>
      </c>
      <c r="G56" s="159">
        <f t="shared" si="9"/>
        <v>201772.94612844638</v>
      </c>
      <c r="H56" s="159">
        <f t="shared" si="9"/>
        <v>187167.04400500999</v>
      </c>
      <c r="I56" s="159">
        <f t="shared" si="9"/>
        <v>183867.06310775463</v>
      </c>
      <c r="J56" s="159">
        <f t="shared" si="6"/>
        <v>1174154.1010083873</v>
      </c>
      <c r="K56" s="69"/>
      <c r="L56" s="319"/>
    </row>
    <row r="57" spans="2:12" s="37" customFormat="1" ht="15.75" customHeight="1">
      <c r="B57" s="48"/>
      <c r="C57" s="160" t="s">
        <v>304</v>
      </c>
      <c r="D57" s="156">
        <f>($D$13*F821D!K35+$F$13*F821EA!K35)*$L57</f>
        <v>202467.85884245069</v>
      </c>
      <c r="E57" s="156">
        <f>($D$13*F821D!L35+$F$13*F821EA!L35)*$L57</f>
        <v>203814.5671227948</v>
      </c>
      <c r="F57" s="156">
        <f>($D$13*F821D!M35+$F$13*F821EA!M35)*$L57</f>
        <v>194699.02484815722</v>
      </c>
      <c r="G57" s="156">
        <f>($D$13*F821D!N35+$F$13*F821EA!N35)*$L57</f>
        <v>201611.31379098858</v>
      </c>
      <c r="H57" s="156">
        <f>($D$13*F821D!O35+$F$13*F821EA!O35)*$L57</f>
        <v>187076.60686381336</v>
      </c>
      <c r="I57" s="156">
        <f>($D$13*F821D!P35+$F$13*F821EA!P35)*$L57</f>
        <v>183659.25010245177</v>
      </c>
      <c r="J57" s="156">
        <f t="shared" si="6"/>
        <v>1173328.6215706565</v>
      </c>
      <c r="K57" s="69"/>
      <c r="L57" s="319">
        <v>1</v>
      </c>
    </row>
    <row r="58" spans="2:12" s="37" customFormat="1" ht="15.75" customHeight="1">
      <c r="B58" s="48"/>
      <c r="C58" s="161" t="s">
        <v>306</v>
      </c>
      <c r="D58" s="156">
        <f>($D$13*F821D!K36+$F$13*F821EA!K36)*$L58</f>
        <v>0</v>
      </c>
      <c r="E58" s="156">
        <f>($D$13*F821D!L36+$F$13*F821EA!L36)*$L58</f>
        <v>0</v>
      </c>
      <c r="F58" s="156">
        <f>($D$13*F821D!M36+$F$13*F821EA!M36)*$L58</f>
        <v>0</v>
      </c>
      <c r="G58" s="156">
        <f>($D$13*F821D!N36+$F$13*F821EA!N36)*$L58</f>
        <v>0</v>
      </c>
      <c r="H58" s="156">
        <f>($D$13*F821D!O36+$F$13*F821EA!O36)*$L58</f>
        <v>0</v>
      </c>
      <c r="I58" s="156">
        <f>($D$13*F821D!P36+$F$13*F821EA!P36)*$L58</f>
        <v>0</v>
      </c>
      <c r="J58" s="156">
        <f t="shared" si="6"/>
        <v>0</v>
      </c>
      <c r="K58" s="69"/>
      <c r="L58" s="319">
        <v>1</v>
      </c>
    </row>
    <row r="59" spans="2:12" s="37" customFormat="1" ht="15.75" customHeight="1">
      <c r="B59" s="48"/>
      <c r="C59" s="160" t="s">
        <v>305</v>
      </c>
      <c r="D59" s="156">
        <f>($D$13*F821D!K37+$F$13*F821EA!K37)*$L59</f>
        <v>123.14844758687904</v>
      </c>
      <c r="E59" s="156">
        <f>($D$13*F821D!L37+$F$13*F821EA!L37)*$L59</f>
        <v>120.26215584656155</v>
      </c>
      <c r="F59" s="156">
        <f>($D$13*F821D!M37+$F$13*F821EA!M37)*$L59</f>
        <v>122.18635034010653</v>
      </c>
      <c r="G59" s="156">
        <f>($D$13*F821D!N37+$F$13*F821EA!N37)*$L59</f>
        <v>161.63233745777873</v>
      </c>
      <c r="H59" s="156">
        <f>($D$13*F821D!O37+$F$13*F821EA!O37)*$L59</f>
        <v>90.437141196614292</v>
      </c>
      <c r="I59" s="156">
        <f>($D$13*F821D!P37+$F$13*F821EA!P37)*$L59</f>
        <v>207.81300530285839</v>
      </c>
      <c r="J59" s="156">
        <f t="shared" si="6"/>
        <v>825.47943773079862</v>
      </c>
      <c r="K59" s="69"/>
      <c r="L59" s="319">
        <v>0.95</v>
      </c>
    </row>
    <row r="60" spans="2:12" s="37" customFormat="1" ht="15.75" customHeight="1">
      <c r="B60" s="48"/>
      <c r="C60" s="160" t="s">
        <v>307</v>
      </c>
      <c r="D60" s="156">
        <f>($D$13*F821D!K38+$F$13*F821EA!K38)*$L60</f>
        <v>0</v>
      </c>
      <c r="E60" s="156">
        <f>($D$13*F821D!L38+$F$13*F821EA!L38)*$L60</f>
        <v>0</v>
      </c>
      <c r="F60" s="156">
        <f>($D$13*F821D!M38+$F$13*F821EA!M38)*$L60</f>
        <v>0</v>
      </c>
      <c r="G60" s="156">
        <f>($D$13*F821D!N38+$F$13*F821EA!N38)*$L60</f>
        <v>0</v>
      </c>
      <c r="H60" s="156">
        <f>($D$13*F821D!O38+$F$13*F821EA!O38)*$L60</f>
        <v>0</v>
      </c>
      <c r="I60" s="156">
        <f>($D$13*F821D!P38+$F$13*F821EA!P38)*$L60</f>
        <v>0</v>
      </c>
      <c r="J60" s="156">
        <f t="shared" si="6"/>
        <v>0</v>
      </c>
      <c r="K60" s="69"/>
      <c r="L60" s="319">
        <v>0.5</v>
      </c>
    </row>
    <row r="61" spans="2:12" s="37" customFormat="1" ht="15.75" customHeight="1">
      <c r="B61" s="48" t="s">
        <v>274</v>
      </c>
      <c r="C61" s="158" t="s">
        <v>632</v>
      </c>
      <c r="D61" s="159">
        <f t="shared" ref="D61:I61" si="10">SUM(D62:D65)</f>
        <v>62856.133066239112</v>
      </c>
      <c r="E61" s="159">
        <f t="shared" si="10"/>
        <v>60584.090093071303</v>
      </c>
      <c r="F61" s="159">
        <f t="shared" si="10"/>
        <v>55589.525474645794</v>
      </c>
      <c r="G61" s="159">
        <f t="shared" si="10"/>
        <v>60797.590181463805</v>
      </c>
      <c r="H61" s="159">
        <f t="shared" si="10"/>
        <v>52403.815394267935</v>
      </c>
      <c r="I61" s="159">
        <f t="shared" si="10"/>
        <v>54689.57853003747</v>
      </c>
      <c r="J61" s="159">
        <f t="shared" si="6"/>
        <v>346920.73273972544</v>
      </c>
      <c r="K61" s="69"/>
      <c r="L61" s="319"/>
    </row>
    <row r="62" spans="2:12" s="37" customFormat="1" ht="15.75" customHeight="1">
      <c r="B62" s="48"/>
      <c r="C62" s="160" t="s">
        <v>304</v>
      </c>
      <c r="D62" s="156">
        <f>($D$14*F821D!K40+$F$14*F821EA!K40)*$L62</f>
        <v>62856.133066239112</v>
      </c>
      <c r="E62" s="156">
        <f>($D$14*F821D!L40+$F$14*F821EA!L40)*$L62</f>
        <v>60584.090093071303</v>
      </c>
      <c r="F62" s="156">
        <f>($D$14*F821D!M40+$F$14*F821EA!M40)*$L62</f>
        <v>55589.525474645794</v>
      </c>
      <c r="G62" s="156">
        <f>($D$14*F821D!N40+$F$14*F821EA!N40)*$L62</f>
        <v>60797.590181463805</v>
      </c>
      <c r="H62" s="156">
        <f>($D$14*F821D!O40+$F$14*F821EA!O40)*$L62</f>
        <v>52403.815394267935</v>
      </c>
      <c r="I62" s="156">
        <f>($D$14*F821D!P40+$F$14*F821EA!P40)*$L62</f>
        <v>54689.57853003747</v>
      </c>
      <c r="J62" s="156">
        <f t="shared" si="6"/>
        <v>346920.73273972544</v>
      </c>
      <c r="K62" s="69"/>
      <c r="L62" s="319">
        <v>1</v>
      </c>
    </row>
    <row r="63" spans="2:12" s="37" customFormat="1" ht="15.75" customHeight="1">
      <c r="B63" s="48"/>
      <c r="C63" s="161" t="s">
        <v>306</v>
      </c>
      <c r="D63" s="156">
        <f>($D$14*F821D!K41+$F$14*F821EA!K41)*$L63</f>
        <v>0</v>
      </c>
      <c r="E63" s="156">
        <f>($D$14*F821D!L41+$F$14*F821EA!L41)*$L63</f>
        <v>0</v>
      </c>
      <c r="F63" s="156">
        <f>($D$14*F821D!M41+$F$14*F821EA!M41)*$L63</f>
        <v>0</v>
      </c>
      <c r="G63" s="156">
        <f>($D$14*F821D!N41+$F$14*F821EA!N41)*$L63</f>
        <v>0</v>
      </c>
      <c r="H63" s="156">
        <f>($D$14*F821D!O41+$F$14*F821EA!O41)*$L63</f>
        <v>0</v>
      </c>
      <c r="I63" s="156">
        <f>($D$14*F821D!P41+$F$14*F821EA!P41)*$L63</f>
        <v>0</v>
      </c>
      <c r="J63" s="156">
        <f t="shared" si="6"/>
        <v>0</v>
      </c>
      <c r="K63" s="69"/>
      <c r="L63" s="319">
        <v>1</v>
      </c>
    </row>
    <row r="64" spans="2:12" s="37" customFormat="1" ht="15.75" customHeight="1">
      <c r="B64" s="48"/>
      <c r="C64" s="160" t="s">
        <v>305</v>
      </c>
      <c r="D64" s="156">
        <f>($D$14*F821D!K42+$F$14*F821EA!K42)*$L64</f>
        <v>0</v>
      </c>
      <c r="E64" s="156">
        <f>($D$14*F821D!L42+$F$14*F821EA!L42)*$L64</f>
        <v>0</v>
      </c>
      <c r="F64" s="156">
        <f>($D$14*F821D!M42+$F$14*F821EA!M42)*$L64</f>
        <v>0</v>
      </c>
      <c r="G64" s="156">
        <f>($D$14*F821D!N42+$F$14*F821EA!N42)*$L64</f>
        <v>0</v>
      </c>
      <c r="H64" s="156">
        <f>($D$14*F821D!O42+$F$14*F821EA!O42)*$L64</f>
        <v>0</v>
      </c>
      <c r="I64" s="156">
        <f>($D$14*F821D!P42+$F$14*F821EA!P42)*$L64</f>
        <v>0</v>
      </c>
      <c r="J64" s="156">
        <f t="shared" si="6"/>
        <v>0</v>
      </c>
      <c r="K64" s="69"/>
      <c r="L64" s="319">
        <v>0.95</v>
      </c>
    </row>
    <row r="65" spans="2:13" s="37" customFormat="1" ht="15.75" customHeight="1">
      <c r="B65" s="48"/>
      <c r="C65" s="160" t="s">
        <v>307</v>
      </c>
      <c r="D65" s="156">
        <f>($D$14*F821D!K43+$F$14*F821EA!K43)*$L65</f>
        <v>0</v>
      </c>
      <c r="E65" s="156">
        <f>($D$14*F821D!L43+$F$14*F821EA!L43)*$L65</f>
        <v>0</v>
      </c>
      <c r="F65" s="156">
        <f>($D$14*F821D!M43+$F$14*F821EA!M43)*$L65</f>
        <v>0</v>
      </c>
      <c r="G65" s="156">
        <f>($D$14*F821D!N43+$F$14*F821EA!N43)*$L65</f>
        <v>0</v>
      </c>
      <c r="H65" s="156">
        <f>($D$14*F821D!O43+$F$14*F821EA!O43)*$L65</f>
        <v>0</v>
      </c>
      <c r="I65" s="156">
        <f>($D$14*F821D!P43+$F$14*F821EA!P43)*$L65</f>
        <v>0</v>
      </c>
      <c r="J65" s="156">
        <f t="shared" si="6"/>
        <v>0</v>
      </c>
      <c r="K65" s="69"/>
      <c r="L65" s="319">
        <v>0.5</v>
      </c>
    </row>
    <row r="66" spans="2:13" s="37" customFormat="1" ht="15.75" customHeight="1">
      <c r="B66" s="48" t="s">
        <v>274</v>
      </c>
      <c r="C66" s="158" t="s">
        <v>633</v>
      </c>
      <c r="D66" s="159">
        <f t="shared" ref="D66:I66" si="11">SUM(D67:D70)</f>
        <v>69469.744488526878</v>
      </c>
      <c r="E66" s="159">
        <f t="shared" si="11"/>
        <v>63995.493001329494</v>
      </c>
      <c r="F66" s="159">
        <f t="shared" si="11"/>
        <v>55089.978052218983</v>
      </c>
      <c r="G66" s="159">
        <f t="shared" si="11"/>
        <v>63119.318523075839</v>
      </c>
      <c r="H66" s="159">
        <f t="shared" si="11"/>
        <v>57272.353347736964</v>
      </c>
      <c r="I66" s="159">
        <f t="shared" si="11"/>
        <v>59187.9163389772</v>
      </c>
      <c r="J66" s="159">
        <f t="shared" si="6"/>
        <v>368134.80375186529</v>
      </c>
      <c r="K66" s="69"/>
      <c r="L66" s="319"/>
    </row>
    <row r="67" spans="2:13" s="37" customFormat="1" ht="15.75" customHeight="1">
      <c r="B67" s="48"/>
      <c r="C67" s="160" t="s">
        <v>304</v>
      </c>
      <c r="D67" s="156">
        <f>($D$15*F821D!K45+$F$15*F821EA!K45)*$L67</f>
        <v>69469.744488526878</v>
      </c>
      <c r="E67" s="156">
        <f>($D$15*F821D!L45+$F$15*F821EA!L45)*$L67</f>
        <v>63995.493001329494</v>
      </c>
      <c r="F67" s="156">
        <f>($D$15*F821D!M45+$F$15*F821EA!M45)*$L67</f>
        <v>55089.978052218983</v>
      </c>
      <c r="G67" s="156">
        <f>($D$15*F821D!N45+$F$15*F821EA!N45)*$L67</f>
        <v>63119.318523075839</v>
      </c>
      <c r="H67" s="156">
        <f>($D$15*F821D!O45+$F$15*F821EA!O45)*$L67</f>
        <v>57272.353347736964</v>
      </c>
      <c r="I67" s="156">
        <f>($D$15*F821D!P45+$F$15*F821EA!P45)*$L67</f>
        <v>59187.9163389772</v>
      </c>
      <c r="J67" s="156">
        <f t="shared" si="6"/>
        <v>368134.80375186529</v>
      </c>
      <c r="K67" s="69"/>
      <c r="L67" s="319">
        <v>1</v>
      </c>
    </row>
    <row r="68" spans="2:13" s="37" customFormat="1" ht="15.75" customHeight="1">
      <c r="B68" s="48"/>
      <c r="C68" s="161" t="s">
        <v>306</v>
      </c>
      <c r="D68" s="156">
        <f>($D$15*F821D!K46+$F$15*F821EA!K46)*$L68</f>
        <v>0</v>
      </c>
      <c r="E68" s="156">
        <f>($D$15*F821D!L46+$F$15*F821EA!L46)*$L68</f>
        <v>0</v>
      </c>
      <c r="F68" s="156">
        <f>($D$15*F821D!M46+$F$15*F821EA!M46)*$L68</f>
        <v>0</v>
      </c>
      <c r="G68" s="156">
        <f>($D$15*F821D!N46+$F$15*F821EA!N46)*$L68</f>
        <v>0</v>
      </c>
      <c r="H68" s="156">
        <f>($D$15*F821D!O46+$F$15*F821EA!O46)*$L68</f>
        <v>0</v>
      </c>
      <c r="I68" s="156">
        <f>($D$15*F821D!P46+$F$15*F821EA!P46)*$L68</f>
        <v>0</v>
      </c>
      <c r="J68" s="156">
        <f t="shared" si="6"/>
        <v>0</v>
      </c>
      <c r="K68" s="69"/>
      <c r="L68" s="319">
        <v>1</v>
      </c>
    </row>
    <row r="69" spans="2:13" s="37" customFormat="1" ht="15.75" customHeight="1">
      <c r="B69" s="48"/>
      <c r="C69" s="160" t="s">
        <v>305</v>
      </c>
      <c r="D69" s="156">
        <f>($D$15*F821D!K47+$F$15*F821EA!K47)*$L69</f>
        <v>0</v>
      </c>
      <c r="E69" s="156">
        <f>($D$15*F821D!L47+$F$15*F821EA!L47)*$L69</f>
        <v>0</v>
      </c>
      <c r="F69" s="156">
        <f>($D$15*F821D!M47+$F$15*F821EA!M47)*$L69</f>
        <v>0</v>
      </c>
      <c r="G69" s="156">
        <f>($D$15*F821D!N47+$F$15*F821EA!N47)*$L69</f>
        <v>0</v>
      </c>
      <c r="H69" s="156">
        <f>($D$15*F821D!O47+$F$15*F821EA!O47)*$L69</f>
        <v>0</v>
      </c>
      <c r="I69" s="156">
        <f>($D$15*F821D!P47+$F$15*F821EA!P47)*$L69</f>
        <v>0</v>
      </c>
      <c r="J69" s="156">
        <f t="shared" si="6"/>
        <v>0</v>
      </c>
      <c r="K69" s="69"/>
      <c r="L69" s="319">
        <v>0.95</v>
      </c>
    </row>
    <row r="70" spans="2:13" s="37" customFormat="1" ht="15.75" customHeight="1">
      <c r="B70" s="48"/>
      <c r="C70" s="160" t="s">
        <v>307</v>
      </c>
      <c r="D70" s="156">
        <f>($D$15*F821D!K48+$F$15*F821EA!K48)*$L70</f>
        <v>0</v>
      </c>
      <c r="E70" s="156">
        <f>($D$15*F821D!L48+$F$15*F821EA!L48)*$L70</f>
        <v>0</v>
      </c>
      <c r="F70" s="156">
        <f>($D$15*F821D!M48+$F$15*F821EA!M48)*$L70</f>
        <v>0</v>
      </c>
      <c r="G70" s="156">
        <f>($D$15*F821D!N48+$F$15*F821EA!N48)*$L70</f>
        <v>0</v>
      </c>
      <c r="H70" s="156">
        <f>($D$15*F821D!O48+$F$15*F821EA!O48)*$L70</f>
        <v>0</v>
      </c>
      <c r="I70" s="156">
        <f>($D$15*F821D!P48+$F$15*F821EA!P48)*$L70</f>
        <v>0</v>
      </c>
      <c r="J70" s="156">
        <f t="shared" si="6"/>
        <v>0</v>
      </c>
      <c r="K70" s="69"/>
      <c r="L70" s="319">
        <v>0.5</v>
      </c>
    </row>
    <row r="71" spans="2:13" s="37" customFormat="1" ht="15.75">
      <c r="B71" s="48"/>
      <c r="C71" s="157"/>
      <c r="D71" s="156"/>
      <c r="E71" s="156"/>
      <c r="F71" s="156"/>
      <c r="G71" s="156"/>
      <c r="H71" s="156"/>
      <c r="I71" s="156"/>
      <c r="J71" s="156"/>
      <c r="K71" s="69"/>
      <c r="L71" s="319"/>
    </row>
    <row r="72" spans="2:13" s="37" customFormat="1" ht="15.75">
      <c r="B72" s="48" t="s">
        <v>1176</v>
      </c>
      <c r="C72" s="158" t="str">
        <f>F801ENE!$C$50</f>
        <v>BTSH</v>
      </c>
      <c r="D72" s="159">
        <f>SUM(D73:D78)</f>
        <v>0</v>
      </c>
      <c r="E72" s="159">
        <f t="shared" ref="E72:J72" si="12">SUM(E73:E78)</f>
        <v>0</v>
      </c>
      <c r="F72" s="159">
        <f t="shared" si="12"/>
        <v>0</v>
      </c>
      <c r="G72" s="159">
        <f t="shared" si="12"/>
        <v>0</v>
      </c>
      <c r="H72" s="159">
        <f t="shared" si="12"/>
        <v>0</v>
      </c>
      <c r="I72" s="159">
        <f t="shared" si="12"/>
        <v>0</v>
      </c>
      <c r="J72" s="159">
        <f t="shared" si="12"/>
        <v>0</v>
      </c>
      <c r="K72" s="69"/>
      <c r="L72" s="319"/>
    </row>
    <row r="73" spans="2:13" s="37" customFormat="1" ht="15.75">
      <c r="B73" s="48"/>
      <c r="C73" s="160" t="str">
        <f>F801ENE!$C$51</f>
        <v xml:space="preserve">    - Regulares</v>
      </c>
      <c r="D73" s="156">
        <f>($G$16*F821EA!K51)*$L73</f>
        <v>0</v>
      </c>
      <c r="E73" s="156">
        <f>($G$16*F821EA!L51)*$L73</f>
        <v>0</v>
      </c>
      <c r="F73" s="156">
        <f>($G$16*F821EA!M51)*$L73</f>
        <v>0</v>
      </c>
      <c r="G73" s="156">
        <f>($G$16*F821EA!N51)*$L73</f>
        <v>0</v>
      </c>
      <c r="H73" s="156">
        <f>($G$16*F821EA!O51)*$L73</f>
        <v>0</v>
      </c>
      <c r="I73" s="156">
        <f>($G$16*F821EA!P51)*$L73</f>
        <v>0</v>
      </c>
      <c r="J73" s="156">
        <f t="shared" ref="J73:J90" si="13">SUM(D73:I73)</f>
        <v>0</v>
      </c>
      <c r="K73" s="69"/>
      <c r="L73" s="319">
        <v>1</v>
      </c>
      <c r="M73" s="69"/>
    </row>
    <row r="74" spans="2:13" s="37" customFormat="1" ht="15.75">
      <c r="B74" s="48"/>
      <c r="C74" s="162" t="str">
        <f>F801ENE!$C$52</f>
        <v xml:space="preserve">    - Jubilados (0 a 600 KWh)</v>
      </c>
      <c r="D74" s="156">
        <f>($G$16*F821EA!K52)*$L74</f>
        <v>0</v>
      </c>
      <c r="E74" s="156">
        <f>($G$16*F821EA!L52)*$L74</f>
        <v>0</v>
      </c>
      <c r="F74" s="156">
        <f>($G$16*F821EA!M52)*$L74</f>
        <v>0</v>
      </c>
      <c r="G74" s="156">
        <f>($G$16*F821EA!N52)*$L74</f>
        <v>0</v>
      </c>
      <c r="H74" s="156">
        <f>($G$16*F821EA!O52)*$L74</f>
        <v>0</v>
      </c>
      <c r="I74" s="156">
        <f>($G$16*F821EA!P52)*$L74</f>
        <v>0</v>
      </c>
      <c r="J74" s="156">
        <f t="shared" si="13"/>
        <v>0</v>
      </c>
      <c r="K74" s="69"/>
      <c r="L74" s="319">
        <v>0.75</v>
      </c>
      <c r="M74" s="69"/>
    </row>
    <row r="75" spans="2:13" s="37" customFormat="1" ht="15.75">
      <c r="B75" s="48"/>
      <c r="C75" s="162" t="str">
        <f>F801ENE!$C$53</f>
        <v xml:space="preserve">    - Jubilados (601 y Más KWh)</v>
      </c>
      <c r="D75" s="156">
        <f>($G$16*F821EA!K53)*$L75</f>
        <v>0</v>
      </c>
      <c r="E75" s="156">
        <f>($G$16*F821EA!L53)*$L75</f>
        <v>0</v>
      </c>
      <c r="F75" s="156">
        <f>($G$16*F821EA!M53)*$L75</f>
        <v>0</v>
      </c>
      <c r="G75" s="156">
        <f>($G$16*F821EA!N53)*$L75</f>
        <v>0</v>
      </c>
      <c r="H75" s="156">
        <f>($G$16*F821EA!O53)*$L75</f>
        <v>0</v>
      </c>
      <c r="I75" s="156">
        <f>($G$16*F821EA!P53)*$L75</f>
        <v>0</v>
      </c>
      <c r="J75" s="156">
        <f t="shared" si="13"/>
        <v>0</v>
      </c>
      <c r="K75" s="69"/>
      <c r="L75" s="319">
        <v>1</v>
      </c>
      <c r="M75" s="69"/>
    </row>
    <row r="76" spans="2:13" s="37" customFormat="1" ht="15.75">
      <c r="B76" s="48"/>
      <c r="C76" s="160" t="str">
        <f>F801ENE!$C$54</f>
        <v xml:space="preserve">    - Agropecuarios</v>
      </c>
      <c r="D76" s="156">
        <f>($G$16*F821EA!K54)*$L76</f>
        <v>0</v>
      </c>
      <c r="E76" s="156">
        <f>($G$16*F821EA!L54)*$L76</f>
        <v>0</v>
      </c>
      <c r="F76" s="156">
        <f>($G$16*F821EA!M54)*$L76</f>
        <v>0</v>
      </c>
      <c r="G76" s="156">
        <f>($G$16*F821EA!N54)*$L76</f>
        <v>0</v>
      </c>
      <c r="H76" s="156">
        <f>($G$16*F821EA!O54)*$L76</f>
        <v>0</v>
      </c>
      <c r="I76" s="156">
        <f>($G$16*F821EA!P54)*$L76</f>
        <v>0</v>
      </c>
      <c r="J76" s="156">
        <f t="shared" si="13"/>
        <v>0</v>
      </c>
      <c r="K76" s="69"/>
      <c r="L76" s="319">
        <v>0.95</v>
      </c>
      <c r="M76" s="69"/>
    </row>
    <row r="77" spans="2:13" s="37" customFormat="1" ht="15.75">
      <c r="B77" s="48"/>
      <c r="C77" s="160" t="str">
        <f>F801ENE!$C$55</f>
        <v xml:space="preserve">    - Partidos Políticos</v>
      </c>
      <c r="D77" s="156">
        <f>($G$16*F821EA!K55)*$L77</f>
        <v>0</v>
      </c>
      <c r="E77" s="156">
        <f>($G$16*F821EA!L55)*$L77</f>
        <v>0</v>
      </c>
      <c r="F77" s="156">
        <f>($G$16*F821EA!M55)*$L77</f>
        <v>0</v>
      </c>
      <c r="G77" s="156">
        <f>($G$16*F821EA!N55)*$L77</f>
        <v>0</v>
      </c>
      <c r="H77" s="156">
        <f>($G$16*F821EA!O55)*$L77</f>
        <v>0</v>
      </c>
      <c r="I77" s="156">
        <f>($G$16*F821EA!P55)*$L77</f>
        <v>0</v>
      </c>
      <c r="J77" s="156">
        <f t="shared" si="13"/>
        <v>0</v>
      </c>
      <c r="K77" s="69"/>
      <c r="L77" s="319">
        <v>0.5</v>
      </c>
      <c r="M77" s="69"/>
    </row>
    <row r="78" spans="2:13" s="37" customFormat="1" ht="15.75">
      <c r="B78" s="48"/>
      <c r="C78" s="160" t="str">
        <f>F801ENE!$C$56</f>
        <v xml:space="preserve">    - Cruz Roja</v>
      </c>
      <c r="D78" s="156">
        <f>($G$16*F821EA!K56)*$L78</f>
        <v>0</v>
      </c>
      <c r="E78" s="156">
        <f>($G$16*F821EA!L56)*$L78</f>
        <v>0</v>
      </c>
      <c r="F78" s="156">
        <f>($G$16*F821EA!M56)*$L78</f>
        <v>0</v>
      </c>
      <c r="G78" s="156">
        <f>($G$16*F821EA!N56)*$L78</f>
        <v>0</v>
      </c>
      <c r="H78" s="156">
        <f>($G$16*F821EA!O56)*$L78</f>
        <v>0</v>
      </c>
      <c r="I78" s="156">
        <f>($G$16*F821EA!P56)*$L78</f>
        <v>0</v>
      </c>
      <c r="J78" s="156">
        <f t="shared" si="13"/>
        <v>0</v>
      </c>
      <c r="K78" s="69"/>
      <c r="L78" s="319">
        <v>0</v>
      </c>
      <c r="M78" s="69"/>
    </row>
    <row r="79" spans="2:13" s="37" customFormat="1" ht="15.75">
      <c r="B79" s="48" t="s">
        <v>751</v>
      </c>
      <c r="C79" s="158" t="s">
        <v>634</v>
      </c>
      <c r="D79" s="159">
        <f t="shared" ref="D79" si="14">SUM(D80:D84)</f>
        <v>212900.46193526557</v>
      </c>
      <c r="E79" s="159">
        <f t="shared" ref="E79:I79" si="15">SUM(E80:E84)</f>
        <v>211648.75780443428</v>
      </c>
      <c r="F79" s="159">
        <f t="shared" si="15"/>
        <v>214850.82826118814</v>
      </c>
      <c r="G79" s="159">
        <f t="shared" si="15"/>
        <v>213567.65378658375</v>
      </c>
      <c r="H79" s="159">
        <f t="shared" si="15"/>
        <v>219195.234315662</v>
      </c>
      <c r="I79" s="159">
        <f t="shared" si="15"/>
        <v>216145.20593054322</v>
      </c>
      <c r="J79" s="159">
        <f t="shared" si="13"/>
        <v>1288308.1420336768</v>
      </c>
      <c r="K79" s="69"/>
      <c r="L79" s="319"/>
      <c r="M79" s="69"/>
    </row>
    <row r="80" spans="2:13" s="37" customFormat="1" ht="15.75">
      <c r="B80" s="48"/>
      <c r="C80" s="160" t="s">
        <v>304</v>
      </c>
      <c r="D80" s="156">
        <f>(($E$18+$F$18)*F821EA!K66)*$L80</f>
        <v>154804.46271987597</v>
      </c>
      <c r="E80" s="156">
        <f>(($E$18+$F$18)*F821EA!L66)*$L80</f>
        <v>153452.43764681576</v>
      </c>
      <c r="F80" s="156">
        <f>(($E$18+$F$18)*F821EA!M66)*$L80</f>
        <v>155861.27042509223</v>
      </c>
      <c r="G80" s="156">
        <f>(($E$18+$F$18)*F821EA!N66)*$L80</f>
        <v>154662.52122324964</v>
      </c>
      <c r="H80" s="156">
        <f>(($E$18+$F$18)*F821EA!O66)*$L80</f>
        <v>158959.50917435932</v>
      </c>
      <c r="I80" s="156">
        <f>(($E$18+$F$18)*F821EA!P66)*$L80</f>
        <v>155792.92054636095</v>
      </c>
      <c r="J80" s="156">
        <f t="shared" si="13"/>
        <v>933533.12173575396</v>
      </c>
      <c r="K80" s="69"/>
      <c r="L80" s="319">
        <v>1</v>
      </c>
      <c r="M80" s="329">
        <f>F821EVE!$AG$65</f>
        <v>0.2417</v>
      </c>
    </row>
    <row r="81" spans="2:13" s="37" customFormat="1" ht="15.75">
      <c r="B81" s="48"/>
      <c r="C81" s="162" t="s">
        <v>644</v>
      </c>
      <c r="D81" s="156">
        <f>(($E$18+$F$18)*F821EA!K67)*$L81</f>
        <v>58090.921110122741</v>
      </c>
      <c r="E81" s="156">
        <f>(($E$18+$F$18)*F821EA!L67)*$L81</f>
        <v>58191.780953318797</v>
      </c>
      <c r="F81" s="156">
        <f>(($E$18+$F$18)*F821EA!M67)*$L81</f>
        <v>58984.718090872222</v>
      </c>
      <c r="G81" s="156">
        <f>(($E$18+$F$18)*F821EA!N67)*$L81</f>
        <v>58899.28483330553</v>
      </c>
      <c r="H81" s="156">
        <f>(($E$18+$F$18)*F821EA!O67)*$L81</f>
        <v>60229.530234689562</v>
      </c>
      <c r="I81" s="156">
        <f>(($E$18+$F$18)*F821EA!P67)*$L81</f>
        <v>60344.033054038897</v>
      </c>
      <c r="J81" s="156">
        <f t="shared" si="13"/>
        <v>354740.26827634778</v>
      </c>
      <c r="K81" s="69"/>
      <c r="L81" s="319">
        <v>0.75</v>
      </c>
      <c r="M81" s="329">
        <f>F821EVE!$AG$65</f>
        <v>0.2417</v>
      </c>
    </row>
    <row r="82" spans="2:13" s="37" customFormat="1" ht="15.75">
      <c r="B82" s="48"/>
      <c r="C82" s="160" t="s">
        <v>305</v>
      </c>
      <c r="D82" s="156">
        <f>(($E$18+$F$18)*F821EA!K68)*$L82</f>
        <v>5.0781052668443278</v>
      </c>
      <c r="E82" s="156">
        <f>(($E$18+$F$18)*F821EA!L68)*$L82</f>
        <v>4.5392042997506445</v>
      </c>
      <c r="F82" s="156">
        <f>(($E$18+$F$18)*F821EA!M68)*$L82</f>
        <v>4.8397452237067364</v>
      </c>
      <c r="G82" s="156">
        <f>(($E$18+$F$18)*F821EA!N68)*$L82</f>
        <v>5.4822809921645907</v>
      </c>
      <c r="H82" s="156">
        <f>(($E$18+$F$18)*F821EA!O68)*$L82</f>
        <v>6.0367271794628996</v>
      </c>
      <c r="I82" s="156">
        <f>(($E$18+$F$18)*F821EA!P68)*$L82</f>
        <v>8.0368788457913798</v>
      </c>
      <c r="J82" s="156">
        <f t="shared" si="13"/>
        <v>34.01294180772058</v>
      </c>
      <c r="K82" s="69"/>
      <c r="L82" s="319">
        <v>0.95</v>
      </c>
      <c r="M82" s="329">
        <f>F821EVE!$AG$65</f>
        <v>0.2417</v>
      </c>
    </row>
    <row r="83" spans="2:13" s="37" customFormat="1" ht="15.75">
      <c r="B83" s="48"/>
      <c r="C83" s="160" t="s">
        <v>307</v>
      </c>
      <c r="D83" s="156">
        <f>(($E$18+$F$18)*F821EA!K69)*$L83</f>
        <v>0</v>
      </c>
      <c r="E83" s="156">
        <f>(($E$18+$F$18)*F821EA!L69)*$L83</f>
        <v>0</v>
      </c>
      <c r="F83" s="156">
        <f>(($E$18+$F$18)*F821EA!M69)*$L83</f>
        <v>0</v>
      </c>
      <c r="G83" s="156">
        <f>(($E$18+$F$18)*F821EA!N69)*$L83</f>
        <v>0.36544903638944143</v>
      </c>
      <c r="H83" s="156">
        <f>(($E$18+$F$18)*F821EA!O69)*$L83</f>
        <v>0.15817943366110152</v>
      </c>
      <c r="I83" s="156">
        <f>(($E$18+$F$18)*F821EA!P69)*$L83</f>
        <v>0.21545129757287967</v>
      </c>
      <c r="J83" s="156">
        <f t="shared" si="13"/>
        <v>0.73907976762342265</v>
      </c>
      <c r="K83" s="69"/>
      <c r="L83" s="319">
        <v>0.5</v>
      </c>
      <c r="M83" s="329">
        <f>F821EVE!$AG$65</f>
        <v>0.2417</v>
      </c>
    </row>
    <row r="84" spans="2:13" s="37" customFormat="1" ht="15.75">
      <c r="B84" s="48"/>
      <c r="C84" s="160" t="s">
        <v>624</v>
      </c>
      <c r="D84" s="156">
        <f>(($E$18+$F$18)*F821EA!K70)*$L84</f>
        <v>0</v>
      </c>
      <c r="E84" s="156">
        <f>(($E$18+$F$18)*F821EA!L70)*$L84</f>
        <v>0</v>
      </c>
      <c r="F84" s="156">
        <f>(($E$18+$F$18)*F821EA!M70)*$L84</f>
        <v>0</v>
      </c>
      <c r="G84" s="156">
        <f>(($E$18+$F$18)*F821EA!N70)*$L84</f>
        <v>0</v>
      </c>
      <c r="H84" s="156">
        <f>(($E$18+$F$18)*F821EA!O70)*$L84</f>
        <v>0</v>
      </c>
      <c r="I84" s="156">
        <f>(($E$18+$F$18)*F821EA!P70)*$L84</f>
        <v>0</v>
      </c>
      <c r="J84" s="156">
        <f t="shared" si="13"/>
        <v>0</v>
      </c>
      <c r="K84" s="69"/>
      <c r="L84" s="319">
        <v>0</v>
      </c>
      <c r="M84" s="329">
        <f>F821EVE!$AG$65</f>
        <v>0.2417</v>
      </c>
    </row>
    <row r="85" spans="2:13" s="37" customFormat="1" ht="15.75">
      <c r="B85" s="48" t="s">
        <v>750</v>
      </c>
      <c r="C85" s="158" t="s">
        <v>635</v>
      </c>
      <c r="D85" s="159">
        <f t="shared" ref="D85" si="16">SUM(D86:D91)</f>
        <v>332668.60841545486</v>
      </c>
      <c r="E85" s="159">
        <f t="shared" ref="E85:I85" si="17">SUM(E86:E91)</f>
        <v>336443.19315981516</v>
      </c>
      <c r="F85" s="159">
        <f t="shared" si="17"/>
        <v>327437.350304875</v>
      </c>
      <c r="G85" s="159">
        <f t="shared" si="17"/>
        <v>327086.25931560795</v>
      </c>
      <c r="H85" s="159">
        <f t="shared" si="17"/>
        <v>315625.98159211955</v>
      </c>
      <c r="I85" s="159">
        <f t="shared" si="17"/>
        <v>308206.19022958225</v>
      </c>
      <c r="J85" s="159">
        <f t="shared" si="13"/>
        <v>1947467.5830174549</v>
      </c>
      <c r="K85" s="69"/>
      <c r="L85" s="319"/>
      <c r="M85" s="69"/>
    </row>
    <row r="86" spans="2:13" s="37" customFormat="1" ht="15.75">
      <c r="B86" s="48"/>
      <c r="C86" s="160" t="s">
        <v>304</v>
      </c>
      <c r="D86" s="156">
        <f>(($E$19+$F$19)*F821EA!K72)*$L86</f>
        <v>215370.60920204085</v>
      </c>
      <c r="E86" s="156">
        <f>(($E$19+$F$19)*F821EA!L72)*$L86</f>
        <v>218176.8898571512</v>
      </c>
      <c r="F86" s="156">
        <f>(($E$19+$F$19)*F821EA!M72)*$L86</f>
        <v>211413.10840132495</v>
      </c>
      <c r="G86" s="156">
        <f>(($E$19+$F$19)*F821EA!N72)*$L86</f>
        <v>210801.99350660684</v>
      </c>
      <c r="H86" s="156">
        <f>(($E$19+$F$19)*F821EA!O72)*$L86</f>
        <v>202765.86311892036</v>
      </c>
      <c r="I86" s="156">
        <f>(($E$19+$F$19)*F821EA!P72)*$L86</f>
        <v>197383.68430512113</v>
      </c>
      <c r="J86" s="330">
        <f t="shared" si="13"/>
        <v>1255912.1483911653</v>
      </c>
      <c r="K86" s="69"/>
      <c r="L86" s="319">
        <v>1</v>
      </c>
      <c r="M86" s="329">
        <f>F821EVE!$AG$65</f>
        <v>0.2417</v>
      </c>
    </row>
    <row r="87" spans="2:13" s="37" customFormat="1" ht="15.75">
      <c r="B87" s="48"/>
      <c r="C87" s="162" t="s">
        <v>642</v>
      </c>
      <c r="D87" s="156">
        <f>(($E$19+$F$19)*F821EA!K73)*$L87</f>
        <v>113877.12580147271</v>
      </c>
      <c r="E87" s="156">
        <f>(($E$19+$F$19)*F821EA!L73)*$L87</f>
        <v>114762.77281405614</v>
      </c>
      <c r="F87" s="156">
        <f>(($E$19+$F$19)*F821EA!M73)*$L87</f>
        <v>112770.47481818034</v>
      </c>
      <c r="G87" s="156">
        <f>(($E$19+$F$19)*F821EA!N73)*$L87</f>
        <v>113053.89631096882</v>
      </c>
      <c r="H87" s="156">
        <f>(($E$19+$F$19)*F821EA!O73)*$L87</f>
        <v>109793.92829866859</v>
      </c>
      <c r="I87" s="156">
        <f>(($E$19+$F$19)*F821EA!P73)*$L87</f>
        <v>107682.9585585804</v>
      </c>
      <c r="J87" s="330">
        <f t="shared" si="13"/>
        <v>671941.15660192689</v>
      </c>
      <c r="K87" s="69"/>
      <c r="L87" s="319">
        <v>0.75</v>
      </c>
      <c r="M87" s="329">
        <f>F821EVE!$AG$65</f>
        <v>0.2417</v>
      </c>
    </row>
    <row r="88" spans="2:13" s="37" customFormat="1" ht="15.75">
      <c r="B88" s="48"/>
      <c r="C88" s="162" t="s">
        <v>1177</v>
      </c>
      <c r="D88" s="156">
        <f>(($E$19+$F$19)*F821EA!K74)*$L88</f>
        <v>3411.172046707668</v>
      </c>
      <c r="E88" s="156">
        <f>(($E$19+$F$19)*F821EA!L74)*$L88</f>
        <v>3493.5074126627096</v>
      </c>
      <c r="F88" s="156">
        <f>(($E$19+$F$19)*F821EA!M74)*$L88</f>
        <v>3238.6824275635777</v>
      </c>
      <c r="G88" s="156">
        <f>(($E$19+$F$19)*F821EA!N74)*$L88</f>
        <v>3220.8397118447765</v>
      </c>
      <c r="H88" s="156">
        <f>(($E$19+$F$19)*F821EA!O74)*$L88</f>
        <v>3044.5046149561454</v>
      </c>
      <c r="I88" s="156">
        <f>(($E$19+$F$19)*F821EA!P74)*$L88</f>
        <v>3120.6164777903728</v>
      </c>
      <c r="J88" s="330">
        <f t="shared" si="13"/>
        <v>19529.322691525249</v>
      </c>
      <c r="K88" s="69"/>
      <c r="L88" s="319">
        <v>1</v>
      </c>
      <c r="M88" s="329">
        <f>F821EVE!$AG$65</f>
        <v>0.2417</v>
      </c>
    </row>
    <row r="89" spans="2:13" s="37" customFormat="1" ht="15.75">
      <c r="B89" s="48"/>
      <c r="C89" s="160" t="s">
        <v>305</v>
      </c>
      <c r="D89" s="156">
        <f>(($E$19+$F$19)*F821EA!K75)*$L89</f>
        <v>9.7013652336112806</v>
      </c>
      <c r="E89" s="156">
        <f>(($E$19+$F$19)*F821EA!L75)*$L89</f>
        <v>10.023075945116444</v>
      </c>
      <c r="F89" s="156">
        <f>(($E$19+$F$19)*F821EA!M75)*$L89</f>
        <v>15.084657806131027</v>
      </c>
      <c r="G89" s="156">
        <f>(($E$19+$F$19)*F821EA!N75)*$L89</f>
        <v>9.5297861874751923</v>
      </c>
      <c r="H89" s="156">
        <f>(($E$19+$F$19)*F821EA!O75)*$L89</f>
        <v>18.995230232649352</v>
      </c>
      <c r="I89" s="156">
        <f>(($E$19+$F$19)*F821EA!P75)*$L89</f>
        <v>18.930888090348322</v>
      </c>
      <c r="J89" s="156">
        <f t="shared" si="13"/>
        <v>82.265003495331612</v>
      </c>
      <c r="K89" s="69"/>
      <c r="L89" s="319">
        <v>0.95</v>
      </c>
      <c r="M89" s="329">
        <f>F821EVE!$AG$65</f>
        <v>0.2417</v>
      </c>
    </row>
    <row r="90" spans="2:13" s="37" customFormat="1" ht="15.75">
      <c r="B90" s="48"/>
      <c r="C90" s="160" t="s">
        <v>307</v>
      </c>
      <c r="D90" s="156">
        <f>(($E$19+$F$19)*F821EA!K76)*$L90</f>
        <v>0</v>
      </c>
      <c r="E90" s="156">
        <f>(($E$19+$F$19)*F821EA!L76)*$L90</f>
        <v>0</v>
      </c>
      <c r="F90" s="156">
        <f>(($E$19+$F$19)*F821EA!M76)*$L90</f>
        <v>0</v>
      </c>
      <c r="G90" s="156">
        <f>(($E$19+$F$19)*F821EA!N76)*$L90</f>
        <v>0</v>
      </c>
      <c r="H90" s="156">
        <f>(($E$19+$F$19)*F821EA!O76)*$L90</f>
        <v>2.6903293418268106</v>
      </c>
      <c r="I90" s="156">
        <f>(($E$19+$F$19)*F821EA!P76)*$L90</f>
        <v>0</v>
      </c>
      <c r="J90" s="156">
        <f t="shared" si="13"/>
        <v>2.6903293418268106</v>
      </c>
      <c r="K90" s="69"/>
      <c r="L90" s="319">
        <v>0.5</v>
      </c>
      <c r="M90" s="329">
        <f>F821EVE!$AG$65</f>
        <v>0.2417</v>
      </c>
    </row>
    <row r="91" spans="2:13" s="37" customFormat="1" ht="15.75">
      <c r="B91" s="48"/>
      <c r="C91" s="160" t="s">
        <v>624</v>
      </c>
      <c r="D91" s="156">
        <f>(($E$19+$F$19)*F821EA!K77)*$L91</f>
        <v>0</v>
      </c>
      <c r="E91" s="156">
        <f>(($E$19+$F$19)*F821EA!L77)*$L91</f>
        <v>0</v>
      </c>
      <c r="F91" s="156">
        <f>(($E$19+$F$19)*F821EA!M77)*$L91</f>
        <v>0</v>
      </c>
      <c r="G91" s="156">
        <f>(($E$19+$F$19)*F821EA!N77)*$L91</f>
        <v>0</v>
      </c>
      <c r="H91" s="156">
        <f>(($E$19+$F$19)*F821EA!O77)*$L91</f>
        <v>0</v>
      </c>
      <c r="I91" s="156">
        <f>(($E$19+$F$19)*F821EA!P77)*$L91</f>
        <v>0</v>
      </c>
      <c r="J91" s="156"/>
      <c r="K91" s="69"/>
      <c r="L91" s="319">
        <v>0</v>
      </c>
      <c r="M91" s="329">
        <f>F821EVE!$AG$65</f>
        <v>0.2417</v>
      </c>
    </row>
    <row r="92" spans="2:13" s="37" customFormat="1" ht="15.75">
      <c r="B92" s="48" t="s">
        <v>749</v>
      </c>
      <c r="C92" s="158" t="s">
        <v>636</v>
      </c>
      <c r="D92" s="159">
        <f t="shared" ref="D92" si="18">SUM(D93:D98)</f>
        <v>510618.93034441309</v>
      </c>
      <c r="E92" s="159">
        <f t="shared" ref="E92:I92" si="19">SUM(E93:E98)</f>
        <v>508101.64893520641</v>
      </c>
      <c r="F92" s="159">
        <f t="shared" si="19"/>
        <v>495938.53919335414</v>
      </c>
      <c r="G92" s="159">
        <f t="shared" si="19"/>
        <v>502867.81690018578</v>
      </c>
      <c r="H92" s="159">
        <f t="shared" si="19"/>
        <v>463422.14962274238</v>
      </c>
      <c r="I92" s="159">
        <f t="shared" si="19"/>
        <v>481043.78958886926</v>
      </c>
      <c r="J92" s="159">
        <f t="shared" ref="J92:J97" si="20">SUM(D92:I92)</f>
        <v>2961992.8745847708</v>
      </c>
      <c r="K92" s="69"/>
      <c r="L92" s="319"/>
      <c r="M92" s="69"/>
    </row>
    <row r="93" spans="2:13" s="37" customFormat="1" ht="15.75">
      <c r="B93" s="48"/>
      <c r="C93" s="160" t="s">
        <v>304</v>
      </c>
      <c r="D93" s="156">
        <f>(($E$20+$F$20)*F821EA!K79)*$L93</f>
        <v>438601.82430881925</v>
      </c>
      <c r="E93" s="156">
        <f>(($E$20+$F$20)*F821EA!L79)*$L93</f>
        <v>437831.4081211923</v>
      </c>
      <c r="F93" s="156">
        <f>(($E$20+$F$20)*F821EA!M79)*$L93</f>
        <v>429116.73100048432</v>
      </c>
      <c r="G93" s="156">
        <f>(($E$20+$F$20)*F821EA!N79)*$L93</f>
        <v>434931.51203594136</v>
      </c>
      <c r="H93" s="156">
        <f>(($E$20+$F$20)*F821EA!O79)*$L93</f>
        <v>403360.02988014586</v>
      </c>
      <c r="I93" s="156">
        <f>(($E$20+$F$20)*F821EA!P79)*$L93</f>
        <v>416779.39434401679</v>
      </c>
      <c r="J93" s="330">
        <f t="shared" si="20"/>
        <v>2560620.8996906001</v>
      </c>
      <c r="K93" s="69"/>
      <c r="L93" s="319">
        <v>1</v>
      </c>
      <c r="M93" s="329">
        <f>F821EVE!$AG$65</f>
        <v>0.2417</v>
      </c>
    </row>
    <row r="94" spans="2:13" s="37" customFormat="1" ht="15.75">
      <c r="B94" s="48"/>
      <c r="C94" s="162" t="s">
        <v>642</v>
      </c>
      <c r="D94" s="156">
        <f>(($E$20+$F$20)*F821EA!K80)*$L94</f>
        <v>34133.818104738792</v>
      </c>
      <c r="E94" s="156">
        <f>(($E$20+$F$20)*F821EA!L80)*$L94</f>
        <v>33454.157200201495</v>
      </c>
      <c r="F94" s="156">
        <f>(($E$20+$F$20)*F821EA!M80)*$L94</f>
        <v>31833.151604042381</v>
      </c>
      <c r="G94" s="156">
        <f>(($E$20+$F$20)*F821EA!N80)*$L94</f>
        <v>32229.978935963682</v>
      </c>
      <c r="H94" s="156">
        <f>(($E$20+$F$20)*F821EA!O80)*$L94</f>
        <v>28584.114381276395</v>
      </c>
      <c r="I94" s="156">
        <f>(($E$20+$F$20)*F821EA!P80)*$L94</f>
        <v>29760.616010333055</v>
      </c>
      <c r="J94" s="330">
        <f t="shared" si="20"/>
        <v>189995.8362365558</v>
      </c>
      <c r="K94" s="69"/>
      <c r="L94" s="319">
        <v>0.75</v>
      </c>
      <c r="M94" s="329">
        <f>F821EVE!$AG$65</f>
        <v>0.2417</v>
      </c>
    </row>
    <row r="95" spans="2:13" s="37" customFormat="1" ht="15.75">
      <c r="B95" s="48"/>
      <c r="C95" s="162" t="s">
        <v>1177</v>
      </c>
      <c r="D95" s="156">
        <f>(($E$20+$F$20)*F821EA!K81)*$L95</f>
        <v>37594.769009111464</v>
      </c>
      <c r="E95" s="156">
        <f>(($E$20+$F$20)*F821EA!L81)*$L95</f>
        <v>36506.2122509654</v>
      </c>
      <c r="F95" s="156">
        <f>(($E$20+$F$20)*F821EA!M81)*$L95</f>
        <v>34726.246300635379</v>
      </c>
      <c r="G95" s="156">
        <f>(($E$20+$F$20)*F821EA!N81)*$L95</f>
        <v>35461.427184547552</v>
      </c>
      <c r="H95" s="156">
        <f>(($E$20+$F$20)*F821EA!O81)*$L95</f>
        <v>31263.923647461015</v>
      </c>
      <c r="I95" s="156">
        <f>(($E$20+$F$20)*F821EA!P81)*$L95</f>
        <v>34405.151929560729</v>
      </c>
      <c r="J95" s="330">
        <f t="shared" si="20"/>
        <v>209957.73032228154</v>
      </c>
      <c r="K95" s="69"/>
      <c r="L95" s="319">
        <v>1</v>
      </c>
      <c r="M95" s="329">
        <f>F821EVE!$AG$65</f>
        <v>0.2417</v>
      </c>
    </row>
    <row r="96" spans="2:13" s="37" customFormat="1" ht="15.75">
      <c r="B96" s="48"/>
      <c r="C96" s="160" t="s">
        <v>305</v>
      </c>
      <c r="D96" s="156">
        <f>(($E$20+$F$20)*F821EA!K82)*$L96</f>
        <v>283.83490144511603</v>
      </c>
      <c r="E96" s="156">
        <f>(($E$20+$F$20)*F821EA!L82)*$L96</f>
        <v>305.95686016916989</v>
      </c>
      <c r="F96" s="156">
        <f>(($E$20+$F$20)*F821EA!M82)*$L96</f>
        <v>257.81708053197389</v>
      </c>
      <c r="G96" s="156">
        <f>(($E$20+$F$20)*F821EA!N82)*$L96</f>
        <v>240.54451670063136</v>
      </c>
      <c r="H96" s="156">
        <f>(($E$20+$F$20)*F821EA!O82)*$L96</f>
        <v>214.08171385913181</v>
      </c>
      <c r="I96" s="156">
        <f>(($E$20+$F$20)*F821EA!P82)*$L96</f>
        <v>94.172706062577291</v>
      </c>
      <c r="J96" s="156">
        <f t="shared" si="20"/>
        <v>1396.4077787686003</v>
      </c>
      <c r="K96" s="69"/>
      <c r="L96" s="319">
        <v>0.95</v>
      </c>
      <c r="M96" s="329">
        <f>F821EVE!$AG$65</f>
        <v>0.2417</v>
      </c>
    </row>
    <row r="97" spans="2:13" s="37" customFormat="1" ht="15.75">
      <c r="B97" s="48"/>
      <c r="C97" s="160" t="s">
        <v>307</v>
      </c>
      <c r="D97" s="156">
        <f>(($E$20+$F$20)*F821EA!K83)*$L97</f>
        <v>4.6840202984989974</v>
      </c>
      <c r="E97" s="156">
        <f>(($E$20+$F$20)*F821EA!L83)*$L97</f>
        <v>3.914502678031305</v>
      </c>
      <c r="F97" s="156">
        <f>(($E$20+$F$20)*F821EA!M83)*$L97</f>
        <v>4.5932076600587104</v>
      </c>
      <c r="G97" s="156">
        <f>(($E$20+$F$20)*F821EA!N83)*$L97</f>
        <v>4.354227032584272</v>
      </c>
      <c r="H97" s="156">
        <f>(($E$20+$F$20)*F821EA!O83)*$L97</f>
        <v>0</v>
      </c>
      <c r="I97" s="156">
        <f>(($E$20+$F$20)*F821EA!P83)*$L97</f>
        <v>4.4545988961235361</v>
      </c>
      <c r="J97" s="156">
        <f t="shared" si="20"/>
        <v>22.000556565296822</v>
      </c>
      <c r="K97" s="69"/>
      <c r="L97" s="319">
        <v>0.5</v>
      </c>
      <c r="M97" s="329">
        <f>F821EVE!$AG$65</f>
        <v>0.2417</v>
      </c>
    </row>
    <row r="98" spans="2:13" s="37" customFormat="1" ht="15.75">
      <c r="B98" s="48"/>
      <c r="C98" s="160" t="s">
        <v>624</v>
      </c>
      <c r="D98" s="156">
        <f>(($E$20+$F$20)*F821EA!K84)*$L98</f>
        <v>0</v>
      </c>
      <c r="E98" s="156">
        <f>(($E$20+$F$20)*F821EA!L84)*$L98</f>
        <v>0</v>
      </c>
      <c r="F98" s="156">
        <f>(($E$20+$F$20)*F821EA!M84)*$L98</f>
        <v>0</v>
      </c>
      <c r="G98" s="156">
        <f>(($E$20+$F$20)*F821EA!N84)*$L98</f>
        <v>0</v>
      </c>
      <c r="H98" s="156">
        <f>(($E$20+$F$20)*F821EA!O84)*$L98</f>
        <v>0</v>
      </c>
      <c r="I98" s="156">
        <f>(($E$20+$F$20)*F821EA!P84)*$L98</f>
        <v>0</v>
      </c>
      <c r="J98" s="156"/>
      <c r="K98" s="69"/>
      <c r="L98" s="319">
        <v>0</v>
      </c>
      <c r="M98" s="329">
        <f>F821EVE!$AG$65</f>
        <v>0.2417</v>
      </c>
    </row>
    <row r="99" spans="2:13" s="37" customFormat="1" ht="15.75">
      <c r="B99" s="48"/>
      <c r="C99" s="157"/>
      <c r="D99" s="156"/>
      <c r="E99" s="156"/>
      <c r="F99" s="156"/>
      <c r="G99" s="156"/>
      <c r="H99" s="156"/>
      <c r="I99" s="156"/>
      <c r="J99" s="156"/>
      <c r="K99" s="69"/>
      <c r="L99" s="319"/>
      <c r="M99" s="69"/>
    </row>
    <row r="100" spans="2:13" s="37" customFormat="1" ht="15.75">
      <c r="B100" s="48" t="s">
        <v>902</v>
      </c>
      <c r="C100" s="158" t="s">
        <v>898</v>
      </c>
      <c r="D100" s="159">
        <f t="shared" ref="D100" si="21">SUM(D101:D105)</f>
        <v>72081.03839395172</v>
      </c>
      <c r="E100" s="159">
        <f t="shared" ref="E100:I100" si="22">SUM(E101:E105)</f>
        <v>71182.160580703785</v>
      </c>
      <c r="F100" s="159">
        <f t="shared" si="22"/>
        <v>73833.648791911241</v>
      </c>
      <c r="G100" s="159">
        <f t="shared" si="22"/>
        <v>72150.866432218245</v>
      </c>
      <c r="H100" s="159">
        <f t="shared" si="22"/>
        <v>68377.436043137146</v>
      </c>
      <c r="I100" s="159">
        <f t="shared" si="22"/>
        <v>73068.026242596301</v>
      </c>
      <c r="J100" s="159">
        <f t="shared" ref="J100:J119" si="23">SUM(D100:I100)</f>
        <v>430693.17648451845</v>
      </c>
      <c r="K100" s="69"/>
      <c r="L100" s="319"/>
      <c r="M100" s="69"/>
    </row>
    <row r="101" spans="2:13" s="37" customFormat="1" ht="15.75">
      <c r="B101" s="48"/>
      <c r="C101" s="160" t="s">
        <v>304</v>
      </c>
      <c r="D101" s="156">
        <f>(($E$17+$F$17)*F821EA!K87)*$L101</f>
        <v>69337.098394616783</v>
      </c>
      <c r="E101" s="156">
        <f>(($E$17+$F$17)*F821EA!L87)*$L101</f>
        <v>68542.312194028505</v>
      </c>
      <c r="F101" s="156">
        <f>(($E$17+$F$17)*F821EA!M87)*$L101</f>
        <v>71055.636124396216</v>
      </c>
      <c r="G101" s="156">
        <f>(($E$17+$F$17)*F821EA!N87)*$L101</f>
        <v>69348.443678134543</v>
      </c>
      <c r="H101" s="156">
        <f>(($E$17+$F$17)*F821EA!O87)*$L101</f>
        <v>65783.204696067594</v>
      </c>
      <c r="I101" s="156">
        <f>(($E$17+$F$17)*F821EA!P87)*$L101</f>
        <v>70179.098428921279</v>
      </c>
      <c r="J101" s="156">
        <f t="shared" si="23"/>
        <v>414245.79351616488</v>
      </c>
      <c r="K101" s="69"/>
      <c r="L101" s="319">
        <v>1</v>
      </c>
      <c r="M101" s="329">
        <f>F821EVE!$AG$65</f>
        <v>0.2417</v>
      </c>
    </row>
    <row r="102" spans="2:13" s="37" customFormat="1" ht="15.75">
      <c r="B102" s="48"/>
      <c r="C102" s="162" t="s">
        <v>644</v>
      </c>
      <c r="D102" s="156">
        <f>(($E$17+$F$17)*F821EA!K88)*$L102</f>
        <v>2743.9399993349352</v>
      </c>
      <c r="E102" s="156">
        <f>(($E$17+$F$17)*F821EA!L88)*$L102</f>
        <v>2639.8483866752786</v>
      </c>
      <c r="F102" s="156">
        <f>(($E$17+$F$17)*F821EA!M88)*$L102</f>
        <v>2778.0126675150213</v>
      </c>
      <c r="G102" s="156">
        <f>(($E$17+$F$17)*F821EA!N88)*$L102</f>
        <v>2802.4227540837055</v>
      </c>
      <c r="H102" s="156">
        <f>(($E$17+$F$17)*F821EA!O88)*$L102</f>
        <v>2594.2313470695472</v>
      </c>
      <c r="I102" s="156">
        <f>(($E$17+$F$17)*F821EA!P88)*$L102</f>
        <v>2888.9278136750245</v>
      </c>
      <c r="J102" s="156">
        <f t="shared" si="23"/>
        <v>16447.382968353515</v>
      </c>
      <c r="K102" s="69"/>
      <c r="L102" s="319">
        <v>0.75</v>
      </c>
      <c r="M102" s="329">
        <f>F821EVE!$AG$65</f>
        <v>0.2417</v>
      </c>
    </row>
    <row r="103" spans="2:13" s="37" customFormat="1" ht="15.75">
      <c r="B103" s="48"/>
      <c r="C103" s="160" t="s">
        <v>305</v>
      </c>
      <c r="D103" s="156">
        <f>(($E$17+$F$17)*F821EA!K89)*$L103</f>
        <v>0</v>
      </c>
      <c r="E103" s="156">
        <f>(($E$17+$F$17)*F821EA!L89)*$L103</f>
        <v>0</v>
      </c>
      <c r="F103" s="156">
        <f>(($E$17+$F$17)*F821EA!M89)*$L103</f>
        <v>0</v>
      </c>
      <c r="G103" s="156">
        <f>(($E$17+$F$17)*F821EA!N89)*$L103</f>
        <v>0</v>
      </c>
      <c r="H103" s="156">
        <f>(($E$17+$F$17)*F821EA!O89)*$L103</f>
        <v>0</v>
      </c>
      <c r="I103" s="156">
        <f>(($E$17+$F$17)*F821EA!P89)*$L103</f>
        <v>0</v>
      </c>
      <c r="J103" s="156">
        <f t="shared" si="23"/>
        <v>0</v>
      </c>
      <c r="K103" s="69"/>
      <c r="L103" s="319">
        <v>0.95</v>
      </c>
      <c r="M103" s="329">
        <f>F821EVE!$AG$65</f>
        <v>0.2417</v>
      </c>
    </row>
    <row r="104" spans="2:13" s="37" customFormat="1" ht="15.75">
      <c r="B104" s="48"/>
      <c r="C104" s="160" t="s">
        <v>307</v>
      </c>
      <c r="D104" s="156">
        <f>(($E$17+$F$17)*F821EA!K90)*$L104</f>
        <v>0</v>
      </c>
      <c r="E104" s="156">
        <f>(($E$17+$F$17)*F821EA!L90)*$L104</f>
        <v>0</v>
      </c>
      <c r="F104" s="156">
        <f>(($E$17+$F$17)*F821EA!M90)*$L104</f>
        <v>0</v>
      </c>
      <c r="G104" s="156">
        <f>(($E$17+$F$17)*F821EA!N90)*$L104</f>
        <v>0</v>
      </c>
      <c r="H104" s="156">
        <f>(($E$17+$F$17)*F821EA!O90)*$L104</f>
        <v>0</v>
      </c>
      <c r="I104" s="156">
        <f>(($E$17+$F$17)*F821EA!P90)*$L104</f>
        <v>0</v>
      </c>
      <c r="J104" s="156">
        <f t="shared" si="23"/>
        <v>0</v>
      </c>
      <c r="K104" s="69"/>
      <c r="L104" s="319">
        <v>0.5</v>
      </c>
      <c r="M104" s="329">
        <f>F821EVE!$AG$65</f>
        <v>0.2417</v>
      </c>
    </row>
    <row r="105" spans="2:13" s="37" customFormat="1" ht="15.75">
      <c r="B105" s="48"/>
      <c r="C105" s="160" t="s">
        <v>624</v>
      </c>
      <c r="D105" s="156">
        <f>(($E$17+$F$17)*F821EA!K91)*$L105</f>
        <v>0</v>
      </c>
      <c r="E105" s="156">
        <f>(($E$17+$F$17)*F821EA!L91)*$L105</f>
        <v>0</v>
      </c>
      <c r="F105" s="156">
        <f>(($E$17+$F$17)*F821EA!M91)*$L105</f>
        <v>0</v>
      </c>
      <c r="G105" s="156">
        <f>(($E$17+$F$17)*F821EA!N91)*$L105</f>
        <v>0</v>
      </c>
      <c r="H105" s="156">
        <f>(($E$17+$F$17)*F821EA!O91)*$L105</f>
        <v>0</v>
      </c>
      <c r="I105" s="156">
        <f>(($E$17+$F$17)*F821EA!P91)*$L105</f>
        <v>0</v>
      </c>
      <c r="J105" s="156">
        <f t="shared" si="23"/>
        <v>0</v>
      </c>
      <c r="K105" s="69"/>
      <c r="L105" s="319">
        <v>0</v>
      </c>
      <c r="M105" s="329">
        <f>F821EVE!$AG$65</f>
        <v>0.2417</v>
      </c>
    </row>
    <row r="106" spans="2:13" s="37" customFormat="1" ht="15.75">
      <c r="B106" s="48" t="s">
        <v>902</v>
      </c>
      <c r="C106" s="158" t="s">
        <v>899</v>
      </c>
      <c r="D106" s="159">
        <f t="shared" ref="D106:I106" si="24">SUM(D107:D112)</f>
        <v>6337.0812880533767</v>
      </c>
      <c r="E106" s="159">
        <f t="shared" si="24"/>
        <v>5892.3775373206863</v>
      </c>
      <c r="F106" s="159">
        <f t="shared" si="24"/>
        <v>5499.939816870723</v>
      </c>
      <c r="G106" s="159">
        <f t="shared" si="24"/>
        <v>5934.1914524395133</v>
      </c>
      <c r="H106" s="159">
        <f t="shared" si="24"/>
        <v>4547.778715947722</v>
      </c>
      <c r="I106" s="159">
        <f t="shared" si="24"/>
        <v>5877.7077584644258</v>
      </c>
      <c r="J106" s="159">
        <f t="shared" si="23"/>
        <v>34089.076569096447</v>
      </c>
      <c r="K106" s="69"/>
      <c r="L106" s="319"/>
      <c r="M106" s="69"/>
    </row>
    <row r="107" spans="2:13" s="37" customFormat="1" ht="15.75">
      <c r="B107" s="48"/>
      <c r="C107" s="160" t="s">
        <v>304</v>
      </c>
      <c r="D107" s="156">
        <f>(($E$17+$F$17)*F821EA!K93)*$L107</f>
        <v>5774.3347713352814</v>
      </c>
      <c r="E107" s="156">
        <f>(($E$17+$F$17)*F821EA!L93)*$L107</f>
        <v>5384.689736058921</v>
      </c>
      <c r="F107" s="156">
        <f>(($E$17+$F$17)*F821EA!M93)*$L107</f>
        <v>4962.9615480655057</v>
      </c>
      <c r="G107" s="156">
        <f>(($E$17+$F$17)*F821EA!N93)*$L107</f>
        <v>5403.3167279883228</v>
      </c>
      <c r="H107" s="156">
        <f>(($E$17+$F$17)*F821EA!O93)*$L107</f>
        <v>4117.8251974039295</v>
      </c>
      <c r="I107" s="156">
        <f>(($E$17+$F$17)*F821EA!P93)*$L107</f>
        <v>5322.4052204390546</v>
      </c>
      <c r="J107" s="156">
        <f t="shared" si="23"/>
        <v>30965.533201291015</v>
      </c>
      <c r="K107" s="69"/>
      <c r="L107" s="319">
        <v>1</v>
      </c>
      <c r="M107" s="329">
        <f>F821EVE!$AG$65</f>
        <v>0.2417</v>
      </c>
    </row>
    <row r="108" spans="2:13" s="37" customFormat="1" ht="15.75">
      <c r="B108" s="48"/>
      <c r="C108" s="162" t="s">
        <v>642</v>
      </c>
      <c r="D108" s="156">
        <f>(($E$17+$F$17)*F821EA!K94)*$L108</f>
        <v>500.49472787760681</v>
      </c>
      <c r="E108" s="156">
        <f>(($E$17+$F$17)*F821EA!L94)*$L108</f>
        <v>462.74847871232282</v>
      </c>
      <c r="F108" s="156">
        <f>(($E$17+$F$17)*F821EA!M94)*$L108</f>
        <v>492.23530693204395</v>
      </c>
      <c r="G108" s="156">
        <f>(($E$17+$F$17)*F821EA!N94)*$L108</f>
        <v>480.9282046568901</v>
      </c>
      <c r="H108" s="156">
        <f>(($E$17+$F$17)*F821EA!O94)*$L108</f>
        <v>390.92137967210846</v>
      </c>
      <c r="I108" s="156">
        <f>(($E$17+$F$17)*F821EA!P94)*$L108</f>
        <v>505.12147631219403</v>
      </c>
      <c r="J108" s="156">
        <f t="shared" si="23"/>
        <v>2832.4495741631658</v>
      </c>
      <c r="K108" s="69"/>
      <c r="L108" s="319">
        <v>0.75</v>
      </c>
      <c r="M108" s="329">
        <f>F821EVE!$AG$65</f>
        <v>0.2417</v>
      </c>
    </row>
    <row r="109" spans="2:13" s="37" customFormat="1" ht="15.75">
      <c r="B109" s="48"/>
      <c r="C109" s="162" t="s">
        <v>1177</v>
      </c>
      <c r="D109" s="156">
        <f>(($E$17+$F$17)*F821EA!K95)*$L109</f>
        <v>62.25178884048799</v>
      </c>
      <c r="E109" s="156">
        <f>(($E$17+$F$17)*F821EA!L95)*$L109</f>
        <v>44.939322549441911</v>
      </c>
      <c r="F109" s="156">
        <f>(($E$17+$F$17)*F821EA!M95)*$L109</f>
        <v>44.742961873172959</v>
      </c>
      <c r="G109" s="156">
        <f>(($E$17+$F$17)*F821EA!N95)*$L109</f>
        <v>49.946519794300229</v>
      </c>
      <c r="H109" s="156">
        <f>(($E$17+$F$17)*F821EA!O95)*$L109</f>
        <v>39.032138871684225</v>
      </c>
      <c r="I109" s="156">
        <f>(($E$17+$F$17)*F821EA!P95)*$L109</f>
        <v>50.181061713177037</v>
      </c>
      <c r="J109" s="156">
        <f t="shared" si="23"/>
        <v>291.09379364226436</v>
      </c>
      <c r="K109" s="69"/>
      <c r="L109" s="319">
        <v>1</v>
      </c>
      <c r="M109" s="329">
        <f>F821EVE!$AG$65</f>
        <v>0.2417</v>
      </c>
    </row>
    <row r="110" spans="2:13" s="37" customFormat="1" ht="15.75">
      <c r="B110" s="48"/>
      <c r="C110" s="160" t="s">
        <v>305</v>
      </c>
      <c r="D110" s="156">
        <f>(($E$17+$F$17)*F821EA!K96)*$L110</f>
        <v>0</v>
      </c>
      <c r="E110" s="156">
        <f>(($E$17+$F$17)*F821EA!L96)*$L110</f>
        <v>0</v>
      </c>
      <c r="F110" s="156">
        <f>(($E$17+$F$17)*F821EA!M96)*$L110</f>
        <v>0</v>
      </c>
      <c r="G110" s="156">
        <f>(($E$17+$F$17)*F821EA!N96)*$L110</f>
        <v>0</v>
      </c>
      <c r="H110" s="156">
        <f>(($E$17+$F$17)*F821EA!O96)*$L110</f>
        <v>0</v>
      </c>
      <c r="I110" s="156">
        <f>(($E$17+$F$17)*F821EA!P96)*$L110</f>
        <v>0</v>
      </c>
      <c r="J110" s="156">
        <f t="shared" si="23"/>
        <v>0</v>
      </c>
      <c r="K110" s="69"/>
      <c r="L110" s="319">
        <v>0.95</v>
      </c>
      <c r="M110" s="329">
        <f>F821EVE!$AG$65</f>
        <v>0.2417</v>
      </c>
    </row>
    <row r="111" spans="2:13" s="37" customFormat="1" ht="15.75">
      <c r="B111" s="48"/>
      <c r="C111" s="160" t="s">
        <v>307</v>
      </c>
      <c r="D111" s="156">
        <f>(($E$17+$F$17)*F821EA!K97)*$L111</f>
        <v>0</v>
      </c>
      <c r="E111" s="156">
        <f>(($E$17+$F$17)*F821EA!L97)*$L111</f>
        <v>0</v>
      </c>
      <c r="F111" s="156">
        <f>(($E$17+$F$17)*F821EA!M97)*$L111</f>
        <v>0</v>
      </c>
      <c r="G111" s="156">
        <f>(($E$17+$F$17)*F821EA!N97)*$L111</f>
        <v>0</v>
      </c>
      <c r="H111" s="156">
        <f>(($E$17+$F$17)*F821EA!O97)*$L111</f>
        <v>0</v>
      </c>
      <c r="I111" s="156">
        <f>(($E$17+$F$17)*F821EA!P97)*$L111</f>
        <v>0</v>
      </c>
      <c r="J111" s="156">
        <f t="shared" si="23"/>
        <v>0</v>
      </c>
      <c r="K111" s="69"/>
      <c r="L111" s="319">
        <v>0.5</v>
      </c>
      <c r="M111" s="329">
        <f>F821EVE!$AG$65</f>
        <v>0.2417</v>
      </c>
    </row>
    <row r="112" spans="2:13" s="37" customFormat="1" ht="15.75">
      <c r="B112" s="48"/>
      <c r="C112" s="160" t="s">
        <v>624</v>
      </c>
      <c r="D112" s="156">
        <f>(($E$17+$F$17)*F821EA!K98)*$L112</f>
        <v>0</v>
      </c>
      <c r="E112" s="156">
        <f>($E$17*F821EA!L98+$F$17*F821EA!L98)*$L112</f>
        <v>0</v>
      </c>
      <c r="F112" s="156">
        <f>($E$17*F821EA!M98+$F$17*F821EA!M98)*$L112</f>
        <v>0</v>
      </c>
      <c r="G112" s="156">
        <f>($E$17*F821EA!N98+$F$17*F821EA!N98)*$L112</f>
        <v>0</v>
      </c>
      <c r="H112" s="156">
        <f>($E$17*F821EA!O98+$F$17*F821EA!O98)*$L112</f>
        <v>0</v>
      </c>
      <c r="I112" s="156">
        <f>($E$17*F821EA!P98+$F$17*F821EA!P98)*$L112</f>
        <v>0</v>
      </c>
      <c r="J112" s="156">
        <f t="shared" si="23"/>
        <v>0</v>
      </c>
      <c r="K112" s="69"/>
      <c r="L112" s="319">
        <v>0</v>
      </c>
      <c r="M112" s="329">
        <f>F821EVE!$AG$65</f>
        <v>0.2417</v>
      </c>
    </row>
    <row r="113" spans="2:13" s="37" customFormat="1" ht="15.75">
      <c r="B113" s="48" t="s">
        <v>902</v>
      </c>
      <c r="C113" s="158" t="s">
        <v>900</v>
      </c>
      <c r="D113" s="159">
        <f t="shared" ref="D113:I113" si="25">SUM(D114:D119)</f>
        <v>675.72617721053655</v>
      </c>
      <c r="E113" s="159">
        <f t="shared" si="25"/>
        <v>670.62489047496604</v>
      </c>
      <c r="F113" s="159">
        <f t="shared" si="25"/>
        <v>757.5581254298155</v>
      </c>
      <c r="G113" s="159">
        <f t="shared" si="25"/>
        <v>574.34816000765215</v>
      </c>
      <c r="H113" s="159">
        <f t="shared" si="25"/>
        <v>453.67225189811336</v>
      </c>
      <c r="I113" s="159">
        <f t="shared" si="25"/>
        <v>637.81493053255429</v>
      </c>
      <c r="J113" s="159">
        <f t="shared" si="23"/>
        <v>3769.7445355536374</v>
      </c>
      <c r="K113" s="69"/>
      <c r="L113" s="319"/>
      <c r="M113" s="69"/>
    </row>
    <row r="114" spans="2:13" s="37" customFormat="1" ht="15.75">
      <c r="B114" s="48"/>
      <c r="C114" s="160" t="s">
        <v>304</v>
      </c>
      <c r="D114" s="156">
        <f>(($E$17+$F$17)*F821EA!K100)*$L114</f>
        <v>650.72291776562315</v>
      </c>
      <c r="E114" s="156">
        <f>(($E$17+$F$17)*F821EA!L100)*$L114</f>
        <v>657.41554414845666</v>
      </c>
      <c r="F114" s="156">
        <f>(($E$17+$F$17)*F821EA!M100)*$L114</f>
        <v>739.30885507906964</v>
      </c>
      <c r="G114" s="156">
        <f>(($E$17+$F$17)*F821EA!N100)*$L114</f>
        <v>551.30441647800603</v>
      </c>
      <c r="H114" s="156">
        <f>(($E$17+$F$17)*F821EA!O100)*$L114</f>
        <v>443.61694893417405</v>
      </c>
      <c r="I114" s="156">
        <f>(($E$17+$F$17)*F821EA!P100)*$L114</f>
        <v>619.95429068692408</v>
      </c>
      <c r="J114" s="156">
        <f t="shared" si="23"/>
        <v>3662.322973092254</v>
      </c>
      <c r="K114" s="69"/>
      <c r="L114" s="319">
        <v>1</v>
      </c>
      <c r="M114" s="329">
        <f>F821EVE!$AG$65</f>
        <v>0.2417</v>
      </c>
    </row>
    <row r="115" spans="2:13" s="37" customFormat="1" ht="15.75">
      <c r="B115" s="48"/>
      <c r="C115" s="162" t="s">
        <v>642</v>
      </c>
      <c r="D115" s="156">
        <f>(($E$17+$F$17)*F821EA!K101)*$L115</f>
        <v>25.003259444913425</v>
      </c>
      <c r="E115" s="156">
        <f>(($E$17+$F$17)*F821EA!L101)*$L115</f>
        <v>13.209346326509401</v>
      </c>
      <c r="F115" s="156">
        <f>(($E$17+$F$17)*F821EA!M101)*$L115</f>
        <v>18.249270350745874</v>
      </c>
      <c r="G115" s="156">
        <f>(($E$17+$F$17)*F821EA!N101)*$L115</f>
        <v>23.043743529646161</v>
      </c>
      <c r="H115" s="156">
        <f>(($E$17+$F$17)*F821EA!O101)*$L115</f>
        <v>10.055302963939333</v>
      </c>
      <c r="I115" s="156">
        <f>(($E$17+$F$17)*F821EA!P101)*$L115</f>
        <v>17.860639845630239</v>
      </c>
      <c r="J115" s="156">
        <f t="shared" si="23"/>
        <v>107.42156246138444</v>
      </c>
      <c r="K115" s="69"/>
      <c r="L115" s="319">
        <v>0.75</v>
      </c>
      <c r="M115" s="329">
        <f>F821EVE!$AG$65</f>
        <v>0.2417</v>
      </c>
    </row>
    <row r="116" spans="2:13" s="37" customFormat="1" ht="15.75">
      <c r="B116" s="48"/>
      <c r="C116" s="162" t="s">
        <v>1177</v>
      </c>
      <c r="D116" s="156">
        <f>(($E$17+$F$17)*F821EA!K102)*$L116</f>
        <v>0</v>
      </c>
      <c r="E116" s="156">
        <f>(($E$17+$F$17)*F821EA!L102)*$L116</f>
        <v>0</v>
      </c>
      <c r="F116" s="156">
        <f>(($E$17+$F$17)*F821EA!M102)*$L116</f>
        <v>0</v>
      </c>
      <c r="G116" s="156">
        <f>(($E$17+$F$17)*F821EA!N102)*$L116</f>
        <v>0</v>
      </c>
      <c r="H116" s="156">
        <f>(($E$17+$F$17)*F821EA!O102)*$L116</f>
        <v>0</v>
      </c>
      <c r="I116" s="156">
        <f>(($E$17+$F$17)*F821EA!P102)*$L116</f>
        <v>0</v>
      </c>
      <c r="J116" s="156">
        <f t="shared" si="23"/>
        <v>0</v>
      </c>
      <c r="K116" s="69"/>
      <c r="L116" s="319">
        <v>1</v>
      </c>
      <c r="M116" s="329">
        <f>F821EVE!$AG$65</f>
        <v>0.2417</v>
      </c>
    </row>
    <row r="117" spans="2:13" s="37" customFormat="1" ht="15.75">
      <c r="B117" s="48"/>
      <c r="C117" s="160" t="s">
        <v>305</v>
      </c>
      <c r="D117" s="156">
        <f>(($E$17+$F$17)*F821EA!K103)*$L117</f>
        <v>0</v>
      </c>
      <c r="E117" s="156">
        <f>(($E$17+$F$17)*F821EA!L103)*$L117</f>
        <v>0</v>
      </c>
      <c r="F117" s="156">
        <f>(($E$17+$F$17)*F821EA!M103)*$L117</f>
        <v>0</v>
      </c>
      <c r="G117" s="156">
        <f>(($E$17+$F$17)*F821EA!N103)*$L117</f>
        <v>0</v>
      </c>
      <c r="H117" s="156">
        <f>(($E$17+$F$17)*F821EA!O103)*$L117</f>
        <v>0</v>
      </c>
      <c r="I117" s="156">
        <f>(($E$17+$F$17)*F821EA!P103)*$L117</f>
        <v>0</v>
      </c>
      <c r="J117" s="156">
        <f t="shared" si="23"/>
        <v>0</v>
      </c>
      <c r="K117" s="69"/>
      <c r="L117" s="319">
        <v>0.95</v>
      </c>
      <c r="M117" s="329">
        <f>F821EVE!$AG$65</f>
        <v>0.2417</v>
      </c>
    </row>
    <row r="118" spans="2:13" s="37" customFormat="1" ht="15.75">
      <c r="B118" s="48"/>
      <c r="C118" s="160" t="s">
        <v>307</v>
      </c>
      <c r="D118" s="156">
        <f>(($E$17+$F$17)*F821EA!K104)*$L118</f>
        <v>0</v>
      </c>
      <c r="E118" s="156">
        <f>(($E$17+$F$17)*F821EA!L104)*$L118</f>
        <v>0</v>
      </c>
      <c r="F118" s="156">
        <f>(($E$17+$F$17)*F821EA!M104)*$L118</f>
        <v>0</v>
      </c>
      <c r="G118" s="156">
        <f>(($E$17+$F$17)*F821EA!N104)*$L118</f>
        <v>0</v>
      </c>
      <c r="H118" s="156">
        <f>(($E$17+$F$17)*F821EA!O104)*$L118</f>
        <v>0</v>
      </c>
      <c r="I118" s="156">
        <f>(($E$17+$F$17)*F821EA!P104)*$L118</f>
        <v>0</v>
      </c>
      <c r="J118" s="156">
        <f t="shared" si="23"/>
        <v>0</v>
      </c>
      <c r="K118" s="69"/>
      <c r="L118" s="319">
        <v>0.5</v>
      </c>
      <c r="M118" s="329">
        <f>F821EVE!$AG$65</f>
        <v>0.2417</v>
      </c>
    </row>
    <row r="119" spans="2:13" s="37" customFormat="1" ht="15.75">
      <c r="B119" s="48"/>
      <c r="C119" s="160" t="s">
        <v>624</v>
      </c>
      <c r="D119" s="156">
        <f>(($E$17+$F$17)*F821EA!K105)*$L119</f>
        <v>0</v>
      </c>
      <c r="E119" s="156">
        <f>(($E$17+$F$17)*F821EA!L105)*$L119</f>
        <v>0</v>
      </c>
      <c r="F119" s="156">
        <f>(($E$17+$F$17)*F821EA!M105)*$L119</f>
        <v>0</v>
      </c>
      <c r="G119" s="156">
        <f>(($E$17+$F$17)*F821EA!N105)*$L119</f>
        <v>0</v>
      </c>
      <c r="H119" s="156">
        <f>(($E$17+$F$17)*F821EA!O105)*$L119</f>
        <v>0</v>
      </c>
      <c r="I119" s="156">
        <f>(($E$17+$F$17)*F821EA!P105)*$L119</f>
        <v>0</v>
      </c>
      <c r="J119" s="156">
        <f t="shared" si="23"/>
        <v>0</v>
      </c>
      <c r="K119" s="69"/>
      <c r="L119" s="319">
        <v>0</v>
      </c>
      <c r="M119" s="329">
        <f>F821EVE!$AG$65</f>
        <v>0.2417</v>
      </c>
    </row>
    <row r="120" spans="2:13" s="37" customFormat="1" ht="15.75">
      <c r="B120" s="48"/>
      <c r="C120" s="157"/>
      <c r="D120" s="156"/>
      <c r="E120" s="156"/>
      <c r="F120" s="156"/>
      <c r="G120" s="156"/>
      <c r="H120" s="156"/>
      <c r="I120" s="156"/>
      <c r="J120" s="156"/>
      <c r="K120" s="69"/>
      <c r="L120" s="319"/>
      <c r="M120" s="69"/>
    </row>
    <row r="121" spans="2:13" s="37" customFormat="1" ht="15.75">
      <c r="B121" s="48"/>
      <c r="C121" s="153" t="s">
        <v>112</v>
      </c>
      <c r="D121" s="154">
        <f t="shared" ref="D121:I121" si="26">D44+D34+D30</f>
        <v>2342974.7209729473</v>
      </c>
      <c r="E121" s="154">
        <f t="shared" si="26"/>
        <v>2331350.4461804363</v>
      </c>
      <c r="F121" s="154">
        <f t="shared" si="26"/>
        <v>2269973.5524545372</v>
      </c>
      <c r="G121" s="154">
        <f t="shared" si="26"/>
        <v>2315492.5192154362</v>
      </c>
      <c r="H121" s="154">
        <f t="shared" si="26"/>
        <v>2157375.3304261365</v>
      </c>
      <c r="I121" s="154">
        <f t="shared" si="26"/>
        <v>2193075.2586857611</v>
      </c>
      <c r="J121" s="154">
        <f>SUM(D121:I121)</f>
        <v>13610241.827935256</v>
      </c>
      <c r="K121" s="69"/>
      <c r="L121" s="319"/>
    </row>
    <row r="122" spans="2:13">
      <c r="C122" s="48"/>
      <c r="D122" s="48"/>
      <c r="E122" s="48"/>
      <c r="F122" s="48"/>
      <c r="G122" s="48"/>
      <c r="H122" s="48"/>
      <c r="I122" s="48"/>
      <c r="J122" s="48"/>
    </row>
    <row r="123" spans="2:13" s="69" customFormat="1" ht="31.5" customHeight="1">
      <c r="B123" s="48"/>
      <c r="C123" s="320" t="s">
        <v>660</v>
      </c>
      <c r="D123" s="320"/>
      <c r="E123" s="320"/>
      <c r="F123" s="320"/>
      <c r="G123" s="320"/>
      <c r="H123" s="320"/>
      <c r="I123" s="320"/>
      <c r="J123" s="321"/>
      <c r="L123" s="319"/>
    </row>
    <row r="124" spans="2:13" s="37" customFormat="1" ht="15.75">
      <c r="B124" s="48"/>
      <c r="C124" s="150" t="s">
        <v>310</v>
      </c>
      <c r="D124" s="151">
        <f t="shared" ref="D124:I124" si="27">D$29</f>
        <v>45839</v>
      </c>
      <c r="E124" s="151">
        <f t="shared" si="27"/>
        <v>45870</v>
      </c>
      <c r="F124" s="151">
        <f t="shared" si="27"/>
        <v>45901</v>
      </c>
      <c r="G124" s="151">
        <f t="shared" si="27"/>
        <v>45931</v>
      </c>
      <c r="H124" s="151">
        <f t="shared" si="27"/>
        <v>45962</v>
      </c>
      <c r="I124" s="151">
        <f t="shared" si="27"/>
        <v>45992</v>
      </c>
      <c r="J124" s="152" t="s">
        <v>111</v>
      </c>
      <c r="K124" s="69"/>
      <c r="L124" s="319"/>
    </row>
    <row r="125" spans="2:13" s="37" customFormat="1" ht="15.75" customHeight="1">
      <c r="B125" s="48"/>
      <c r="C125" s="153" t="s">
        <v>446</v>
      </c>
      <c r="D125" s="154">
        <f t="shared" ref="D125:I125" si="28">SUM(D126:D127)</f>
        <v>427187.60245000001</v>
      </c>
      <c r="E125" s="154">
        <f t="shared" si="28"/>
        <v>436441.25448</v>
      </c>
      <c r="F125" s="154">
        <f t="shared" si="28"/>
        <v>429376.8591</v>
      </c>
      <c r="G125" s="154">
        <f t="shared" si="28"/>
        <v>450946.38805999997</v>
      </c>
      <c r="H125" s="154">
        <f t="shared" si="28"/>
        <v>450630.26512</v>
      </c>
      <c r="I125" s="154">
        <f t="shared" si="28"/>
        <v>453468.99128999998</v>
      </c>
      <c r="J125" s="154">
        <f>SUM(D125:I125)</f>
        <v>2648051.3605</v>
      </c>
      <c r="K125" s="69"/>
      <c r="L125" s="319"/>
    </row>
    <row r="126" spans="2:13" s="37" customFormat="1" ht="15.75" customHeight="1">
      <c r="B126" s="48" t="s">
        <v>279</v>
      </c>
      <c r="C126" s="155" t="s">
        <v>279</v>
      </c>
      <c r="D126" s="156">
        <f>$H$7*F821EA!R6+$I$7*F821EA!Y6</f>
        <v>427187.60245000001</v>
      </c>
      <c r="E126" s="156">
        <f>$H$7*F821EA!S6+$I$7*F821EA!Z6</f>
        <v>436441.25448</v>
      </c>
      <c r="F126" s="156">
        <f>$H$7*F821EA!T6+$I$7*F821EA!AA6</f>
        <v>429376.8591</v>
      </c>
      <c r="G126" s="156">
        <f>$H$7*F821EA!U6+$I$7*F821EA!AB6</f>
        <v>450946.38805999997</v>
      </c>
      <c r="H126" s="156">
        <f>$H$7*F821EA!V6+$I$7*F821EA!AC6</f>
        <v>450630.26512</v>
      </c>
      <c r="I126" s="156">
        <f>$H$7*F821EA!W6+$I$7*F821EA!AD6</f>
        <v>453468.99128999998</v>
      </c>
      <c r="J126" s="156">
        <f>SUM(D126:I126)</f>
        <v>2648051.3605</v>
      </c>
      <c r="K126" s="69"/>
      <c r="L126" s="319"/>
    </row>
    <row r="127" spans="2:13" s="37" customFormat="1" ht="15.75" customHeight="1">
      <c r="B127" s="48" t="s">
        <v>278</v>
      </c>
      <c r="C127" s="155" t="s">
        <v>278</v>
      </c>
      <c r="D127" s="156">
        <f>$F$8*F821EA!R7</f>
        <v>0</v>
      </c>
      <c r="E127" s="156">
        <f>$F$8*F821EA!S7</f>
        <v>0</v>
      </c>
      <c r="F127" s="156">
        <f>$F$8*F821EA!T7</f>
        <v>0</v>
      </c>
      <c r="G127" s="156">
        <f>$F$8*F821EA!U7</f>
        <v>0</v>
      </c>
      <c r="H127" s="156">
        <f>$F$8*F821EA!V7</f>
        <v>0</v>
      </c>
      <c r="I127" s="156">
        <f>$F$8*F821EA!W7</f>
        <v>0</v>
      </c>
      <c r="J127" s="156">
        <f>SUM(D127:I127)</f>
        <v>0</v>
      </c>
      <c r="K127" s="69"/>
      <c r="L127" s="319"/>
    </row>
    <row r="128" spans="2:13" s="37" customFormat="1" ht="15.75" customHeight="1">
      <c r="B128" s="48"/>
      <c r="C128" s="157"/>
      <c r="D128" s="156"/>
      <c r="E128" s="156"/>
      <c r="F128" s="156"/>
      <c r="G128" s="156"/>
      <c r="H128" s="156"/>
      <c r="I128" s="156"/>
      <c r="J128" s="156"/>
      <c r="K128" s="69"/>
      <c r="L128" s="319"/>
    </row>
    <row r="129" spans="2:12" s="37" customFormat="1" ht="15.75" customHeight="1">
      <c r="B129" s="48"/>
      <c r="C129" s="153" t="s">
        <v>630</v>
      </c>
      <c r="D129" s="154">
        <f>D130+D133</f>
        <v>640728.63473434397</v>
      </c>
      <c r="E129" s="154">
        <f t="shared" ref="E129:I129" si="29">E130+E133</f>
        <v>659501.38406241569</v>
      </c>
      <c r="F129" s="154">
        <f t="shared" si="29"/>
        <v>638360.24558012618</v>
      </c>
      <c r="G129" s="154">
        <f t="shared" si="29"/>
        <v>660139.8561898811</v>
      </c>
      <c r="H129" s="154">
        <f t="shared" si="29"/>
        <v>636784.09099368542</v>
      </c>
      <c r="I129" s="154">
        <f t="shared" si="29"/>
        <v>610475.38951228082</v>
      </c>
      <c r="J129" s="154">
        <f t="shared" ref="J129:J137" si="30">SUM(D129:I129)</f>
        <v>3845989.6010727333</v>
      </c>
      <c r="K129" s="69"/>
      <c r="L129" s="319"/>
    </row>
    <row r="130" spans="2:12" s="37" customFormat="1" ht="15.75" customHeight="1">
      <c r="B130" s="48" t="s">
        <v>277</v>
      </c>
      <c r="C130" s="155" t="s">
        <v>277</v>
      </c>
      <c r="D130" s="154">
        <f>SUM(D131:D132)</f>
        <v>95498.247774999996</v>
      </c>
      <c r="E130" s="154">
        <f t="shared" ref="E130:I130" si="31">SUM(E131:E132)</f>
        <v>99590.465204999986</v>
      </c>
      <c r="F130" s="154">
        <f t="shared" si="31"/>
        <v>99499.035335000008</v>
      </c>
      <c r="G130" s="154">
        <f t="shared" si="31"/>
        <v>91759.444979999986</v>
      </c>
      <c r="H130" s="154">
        <f t="shared" si="31"/>
        <v>126411.192845</v>
      </c>
      <c r="I130" s="154">
        <f t="shared" si="31"/>
        <v>79116.821769999995</v>
      </c>
      <c r="J130" s="154">
        <f t="shared" si="30"/>
        <v>591875.20791</v>
      </c>
      <c r="K130" s="69"/>
      <c r="L130" s="319"/>
    </row>
    <row r="131" spans="2:12" s="37" customFormat="1" ht="15.75" customHeight="1">
      <c r="B131" s="48"/>
      <c r="C131" s="160" t="s">
        <v>304</v>
      </c>
      <c r="D131" s="156">
        <f>$H$9*F821EA!R11+$I$9*F821EA!Y11</f>
        <v>81170.646550000005</v>
      </c>
      <c r="E131" s="156">
        <f>$H$9*F821EA!S11+$I$9*F821EA!Z11</f>
        <v>84635.835479999994</v>
      </c>
      <c r="F131" s="156">
        <f>$H$9*F821EA!T11+$I$9*F821EA!AA11</f>
        <v>84607.108460000003</v>
      </c>
      <c r="G131" s="156">
        <f>$H$9*F821EA!U11+$I$9*F821EA!AB11</f>
        <v>76146.435329999993</v>
      </c>
      <c r="H131" s="156">
        <f>$H$9*F821EA!V11+$I$9*F821EA!AC11</f>
        <v>110139.80327</v>
      </c>
      <c r="I131" s="156">
        <f>$H$9*F821EA!W11+$I$9*F821EA!AD11</f>
        <v>79116.821769999995</v>
      </c>
      <c r="J131" s="156">
        <f t="shared" si="30"/>
        <v>515816.65085999999</v>
      </c>
      <c r="K131" s="69"/>
      <c r="L131" s="319"/>
    </row>
    <row r="132" spans="2:12" s="37" customFormat="1" ht="15.75" customHeight="1">
      <c r="B132" s="48"/>
      <c r="C132" s="160" t="s">
        <v>305</v>
      </c>
      <c r="D132" s="156">
        <f>($H$9*F821EA!R12+$I$9*F821EA!Y12)*$L132</f>
        <v>14327.601224999999</v>
      </c>
      <c r="E132" s="156">
        <f>($H$9*F821EA!S12+$I$9*F821EA!Z12)*$L132</f>
        <v>14954.629724999999</v>
      </c>
      <c r="F132" s="156">
        <f>($H$9*F821EA!T12+$I$9*F821EA!AA12)*$L132</f>
        <v>14891.926874999999</v>
      </c>
      <c r="G132" s="156">
        <f>($H$9*F821EA!U12+$I$9*F821EA!AB12)*$L132</f>
        <v>15613.009649999998</v>
      </c>
      <c r="H132" s="156">
        <f>($H$9*F821EA!V12+$I$9*F821EA!AC12)*$L132</f>
        <v>16271.389574999999</v>
      </c>
      <c r="I132" s="156">
        <f>($H$9*F821EA!W12+$I$9*F821EA!AD12)*$L132</f>
        <v>0</v>
      </c>
      <c r="J132" s="156">
        <f t="shared" si="30"/>
        <v>76058.557049999989</v>
      </c>
      <c r="K132" s="69"/>
      <c r="L132" s="319">
        <v>0.95</v>
      </c>
    </row>
    <row r="133" spans="2:12" s="37" customFormat="1" ht="15.75" customHeight="1">
      <c r="B133" s="48" t="s">
        <v>276</v>
      </c>
      <c r="C133" s="158" t="s">
        <v>276</v>
      </c>
      <c r="D133" s="159">
        <f t="shared" ref="D133:I133" si="32">SUM(D134:D137)</f>
        <v>545230.38695934403</v>
      </c>
      <c r="E133" s="159">
        <f t="shared" si="32"/>
        <v>559910.91885741567</v>
      </c>
      <c r="F133" s="159">
        <f t="shared" si="32"/>
        <v>538861.21024512616</v>
      </c>
      <c r="G133" s="159">
        <f t="shared" si="32"/>
        <v>568380.41120988107</v>
      </c>
      <c r="H133" s="159">
        <f t="shared" si="32"/>
        <v>510372.8981486854</v>
      </c>
      <c r="I133" s="159">
        <f t="shared" si="32"/>
        <v>531358.56774228078</v>
      </c>
      <c r="J133" s="159">
        <f t="shared" si="30"/>
        <v>3254114.3931627329</v>
      </c>
      <c r="K133" s="69"/>
      <c r="L133" s="319"/>
    </row>
    <row r="134" spans="2:12" s="37" customFormat="1" ht="15.75" customHeight="1">
      <c r="B134" s="48"/>
      <c r="C134" s="160" t="s">
        <v>304</v>
      </c>
      <c r="D134" s="156">
        <f>$F$10*(F821EA!R15+F821EA!Y15)*$L134</f>
        <v>543681.80705274257</v>
      </c>
      <c r="E134" s="156">
        <f>$F$10*(F821EA!S15+F821EA!Z15)*$L134</f>
        <v>557588.04899751348</v>
      </c>
      <c r="F134" s="156">
        <f>$F$10*(F821EA!T15+F821EA!AA15)*$L134</f>
        <v>537213.50973225804</v>
      </c>
      <c r="G134" s="156">
        <f>$F$10*(F821EA!U15+F821EA!AB15)*$L134</f>
        <v>567182.34475152707</v>
      </c>
      <c r="H134" s="156">
        <f>$F$10*(F821EA!V15+F821EA!AC15)*$L134</f>
        <v>507387.78771647962</v>
      </c>
      <c r="I134" s="156">
        <f>$F$10*(F821EA!W15+F821EA!AD15)*$L134</f>
        <v>528374.89384060062</v>
      </c>
      <c r="J134" s="156">
        <f t="shared" si="30"/>
        <v>3241428.3920911215</v>
      </c>
      <c r="K134" s="69"/>
      <c r="L134" s="319">
        <v>1</v>
      </c>
    </row>
    <row r="135" spans="2:12" s="37" customFormat="1" ht="15.75" customHeight="1">
      <c r="B135" s="48"/>
      <c r="C135" s="161" t="s">
        <v>306</v>
      </c>
      <c r="D135" s="156">
        <f>$F$10*(F821EA!R16+F821EA!Y16)*$L135</f>
        <v>0</v>
      </c>
      <c r="E135" s="156">
        <f>$F$10*(F821EA!S16+F821EA!Z16)*$L135</f>
        <v>0</v>
      </c>
      <c r="F135" s="156">
        <f>$F$10*(F821EA!T16+F821EA!AA16)*$L135</f>
        <v>0</v>
      </c>
      <c r="G135" s="156">
        <f>$F$10*(F821EA!U16+F821EA!AB16)*$L135</f>
        <v>0</v>
      </c>
      <c r="H135" s="156">
        <f>$F$10*(F821EA!V16+F821EA!AC16)*$L135</f>
        <v>0</v>
      </c>
      <c r="I135" s="156">
        <f>$F$10*(F821EA!W16+F821EA!AD16)*$L135</f>
        <v>0</v>
      </c>
      <c r="J135" s="156">
        <f t="shared" si="30"/>
        <v>0</v>
      </c>
      <c r="K135" s="69"/>
      <c r="L135" s="319">
        <v>1</v>
      </c>
    </row>
    <row r="136" spans="2:12" s="37" customFormat="1" ht="15.75" customHeight="1">
      <c r="B136" s="48"/>
      <c r="C136" s="160" t="s">
        <v>305</v>
      </c>
      <c r="D136" s="156">
        <f>$F$10*(F821EA!R17+F821EA!Y17)*$L136</f>
        <v>1548.5799066014604</v>
      </c>
      <c r="E136" s="156">
        <f>$F$10*(F821EA!S17+F821EA!Z17)*$L136</f>
        <v>2322.8698599021905</v>
      </c>
      <c r="F136" s="156">
        <f>$F$10*(F821EA!T17+F821EA!AA17)*$L136</f>
        <v>1647.7005128681587</v>
      </c>
      <c r="G136" s="156">
        <f>$F$10*(F821EA!U17+F821EA!AB17)*$L136</f>
        <v>1198.0664583540056</v>
      </c>
      <c r="H136" s="156">
        <f>$F$10*(F821EA!V17+F821EA!AC17)*$L136</f>
        <v>2985.110432205784</v>
      </c>
      <c r="I136" s="156">
        <f>$F$10*(F821EA!W17+F821EA!AD17)*$L136</f>
        <v>2983.6739016801794</v>
      </c>
      <c r="J136" s="156">
        <f t="shared" si="30"/>
        <v>12686.001071611779</v>
      </c>
      <c r="K136" s="69"/>
      <c r="L136" s="319">
        <v>0.95</v>
      </c>
    </row>
    <row r="137" spans="2:12" s="37" customFormat="1" ht="15.75" customHeight="1">
      <c r="B137" s="48"/>
      <c r="C137" s="160" t="s">
        <v>307</v>
      </c>
      <c r="D137" s="156">
        <f>$F$10*(F821EA!R18+F821EA!Y18)*$L137</f>
        <v>0</v>
      </c>
      <c r="E137" s="156">
        <f>$F$10*(F821EA!S18+F821EA!Z18)*$L137</f>
        <v>0</v>
      </c>
      <c r="F137" s="156">
        <f>$F$10*(F821EA!T18+F821EA!AA18)*$L137</f>
        <v>0</v>
      </c>
      <c r="G137" s="156">
        <f>$F$10*(F821EA!U18+F821EA!AB18)*$L137</f>
        <v>0</v>
      </c>
      <c r="H137" s="156">
        <f>$F$10*(F821EA!V18+F821EA!AC18)*$L137</f>
        <v>0</v>
      </c>
      <c r="I137" s="156">
        <f>$F$10*(F821EA!W18+F821EA!AD18)*$L137</f>
        <v>0</v>
      </c>
      <c r="J137" s="156">
        <f t="shared" si="30"/>
        <v>0</v>
      </c>
      <c r="K137" s="69"/>
      <c r="L137" s="319">
        <v>0.5</v>
      </c>
    </row>
    <row r="138" spans="2:12" s="37" customFormat="1" ht="15.75" customHeight="1">
      <c r="B138" s="48"/>
      <c r="C138" s="157"/>
      <c r="D138" s="157"/>
      <c r="E138" s="157"/>
      <c r="F138" s="157"/>
      <c r="G138" s="157"/>
      <c r="H138" s="157"/>
      <c r="I138" s="157"/>
      <c r="J138" s="157"/>
      <c r="K138" s="69"/>
      <c r="L138" s="319"/>
    </row>
    <row r="139" spans="2:12" s="37" customFormat="1" ht="15.75" customHeight="1">
      <c r="B139" s="48"/>
      <c r="C139" s="153" t="s">
        <v>443</v>
      </c>
      <c r="D139" s="154">
        <f t="shared" ref="D139:I139" si="33">D140+D144+D151+D156+D161+D174+D180+D187+D195+D201+D208+D167</f>
        <v>4949590.9460477084</v>
      </c>
      <c r="E139" s="154">
        <f t="shared" si="33"/>
        <v>4936546.9907126483</v>
      </c>
      <c r="F139" s="154">
        <f t="shared" si="33"/>
        <v>4840645.6288113361</v>
      </c>
      <c r="G139" s="154">
        <f t="shared" si="33"/>
        <v>4898401.486166182</v>
      </c>
      <c r="H139" s="154">
        <f t="shared" si="33"/>
        <v>4667944.0160861788</v>
      </c>
      <c r="I139" s="154">
        <f t="shared" si="33"/>
        <v>4709771.3605014579</v>
      </c>
      <c r="J139" s="154">
        <f t="shared" ref="J139:J165" si="34">SUM(D139:I139)</f>
        <v>29002900.428325512</v>
      </c>
      <c r="K139" s="69"/>
      <c r="L139" s="319"/>
    </row>
    <row r="140" spans="2:12" s="37" customFormat="1" ht="15.75" customHeight="1">
      <c r="B140" s="48" t="s">
        <v>275</v>
      </c>
      <c r="C140" s="155" t="s">
        <v>275</v>
      </c>
      <c r="D140" s="154">
        <f>SUM(D141:D143)</f>
        <v>64931.779167500004</v>
      </c>
      <c r="E140" s="154">
        <f t="shared" ref="E140:I140" si="35">SUM(E141:E143)</f>
        <v>66007.431629999992</v>
      </c>
      <c r="F140" s="154">
        <f t="shared" si="35"/>
        <v>65503.624445000001</v>
      </c>
      <c r="G140" s="154">
        <f t="shared" si="35"/>
        <v>68076.437099999996</v>
      </c>
      <c r="H140" s="154">
        <f t="shared" si="35"/>
        <v>70625.056512499999</v>
      </c>
      <c r="I140" s="154">
        <f t="shared" si="35"/>
        <v>71626.722754999995</v>
      </c>
      <c r="J140" s="154">
        <f t="shared" si="34"/>
        <v>406771.05160999997</v>
      </c>
      <c r="K140" s="69"/>
      <c r="L140" s="319"/>
    </row>
    <row r="141" spans="2:12" s="37" customFormat="1" ht="15.75" customHeight="1">
      <c r="B141" s="48"/>
      <c r="C141" s="160" t="s">
        <v>304</v>
      </c>
      <c r="D141" s="156">
        <f>$H$11*F821EA!R22+$I$11*F821EA!Y22</f>
        <v>64322.375039999999</v>
      </c>
      <c r="E141" s="156">
        <f>$H$11*F821EA!S22+$I$11*F821EA!Z22</f>
        <v>65570.491769999993</v>
      </c>
      <c r="F141" s="156">
        <f>$H$11*F821EA!T22+$I$11*F821EA!AA22</f>
        <v>64986.396650000002</v>
      </c>
      <c r="G141" s="156">
        <f>$H$11*F821EA!U22+$I$11*F821EA!AB22</f>
        <v>67533.200979999994</v>
      </c>
      <c r="H141" s="156">
        <f>$H$11*F821EA!V22+$I$11*F821EA!AC22</f>
        <v>70194.284790000005</v>
      </c>
      <c r="I141" s="156">
        <f>$H$11*F821EA!W22+$I$11*F821EA!AD22</f>
        <v>71093.057069999995</v>
      </c>
      <c r="J141" s="156">
        <f t="shared" si="34"/>
        <v>403699.8063</v>
      </c>
      <c r="K141" s="69"/>
      <c r="L141" s="319"/>
    </row>
    <row r="142" spans="2:12" s="37" customFormat="1" ht="15.75" customHeight="1">
      <c r="B142" s="48"/>
      <c r="C142" s="161" t="s">
        <v>306</v>
      </c>
      <c r="D142" s="156">
        <f>($H$11*F821EA!R23+$I$11*F821EA!Y23)*$L142</f>
        <v>384.86820749999998</v>
      </c>
      <c r="E142" s="156">
        <f>($H$11*F821EA!S23+$I$11*F821EA!Z23)*$L142</f>
        <v>250.62281999999999</v>
      </c>
      <c r="F142" s="156">
        <f>($H$11*F821EA!T23+$I$11*F821EA!AA23)*$L142</f>
        <v>316.57867499999998</v>
      </c>
      <c r="G142" s="156">
        <f>($H$11*F821EA!U23+$I$11*F821EA!AB23)*$L142</f>
        <v>333.03228000000001</v>
      </c>
      <c r="H142" s="156">
        <f>($H$11*F821EA!V23+$I$11*F821EA!AC23)*$L142</f>
        <v>234.89996250000002</v>
      </c>
      <c r="I142" s="156">
        <f>($H$11*F821EA!W23+$I$11*F821EA!AD23)*$L142</f>
        <v>323.46184500000004</v>
      </c>
      <c r="J142" s="156">
        <f t="shared" si="34"/>
        <v>1843.46379</v>
      </c>
      <c r="K142" s="69"/>
      <c r="L142" s="319">
        <v>0.75</v>
      </c>
    </row>
    <row r="143" spans="2:12" s="37" customFormat="1" ht="15.75" customHeight="1">
      <c r="B143" s="48"/>
      <c r="C143" s="160" t="s">
        <v>305</v>
      </c>
      <c r="D143" s="156">
        <f>($H$11*F821EA!R24+$I$11*F821EA!Y24)*$L143</f>
        <v>224.53591999999998</v>
      </c>
      <c r="E143" s="156">
        <f>($H$11*F821EA!S24+$I$11*F821EA!Z24)*$L143</f>
        <v>186.31703999999999</v>
      </c>
      <c r="F143" s="156">
        <f>($H$11*F821EA!T24+$I$11*F821EA!AA24)*$L143</f>
        <v>200.64911999999998</v>
      </c>
      <c r="G143" s="156">
        <f>($H$11*F821EA!U24+$I$11*F821EA!AB24)*$L143</f>
        <v>210.20383999999999</v>
      </c>
      <c r="H143" s="156">
        <f>($H$11*F821EA!V24+$I$11*F821EA!AC24)*$L143</f>
        <v>195.87175999999999</v>
      </c>
      <c r="I143" s="156">
        <f>($H$11*F821EA!W24+$I$11*F821EA!AD24)*$L143</f>
        <v>210.20383999999999</v>
      </c>
      <c r="J143" s="156">
        <f t="shared" si="34"/>
        <v>1227.78152</v>
      </c>
      <c r="K143" s="69"/>
      <c r="L143" s="319">
        <v>0.95</v>
      </c>
    </row>
    <row r="144" spans="2:12" s="37" customFormat="1" ht="15.75" customHeight="1">
      <c r="B144" s="48" t="s">
        <v>274</v>
      </c>
      <c r="C144" s="158" t="s">
        <v>627</v>
      </c>
      <c r="D144" s="159">
        <f t="shared" ref="D144:I144" si="36">SUM(D145:D150)</f>
        <v>621572.8258268612</v>
      </c>
      <c r="E144" s="159">
        <f t="shared" si="36"/>
        <v>621516.46623814583</v>
      </c>
      <c r="F144" s="159">
        <f t="shared" si="36"/>
        <v>612417.00055932766</v>
      </c>
      <c r="G144" s="159">
        <f t="shared" si="36"/>
        <v>624485.74001971167</v>
      </c>
      <c r="H144" s="159">
        <f t="shared" si="36"/>
        <v>602254.20040369988</v>
      </c>
      <c r="I144" s="159">
        <f t="shared" si="36"/>
        <v>597488.75268731546</v>
      </c>
      <c r="J144" s="159">
        <f t="shared" si="34"/>
        <v>3679734.9857350616</v>
      </c>
      <c r="K144" s="69"/>
      <c r="L144" s="319"/>
    </row>
    <row r="145" spans="2:12" s="37" customFormat="1" ht="15.75" customHeight="1">
      <c r="B145" s="48"/>
      <c r="C145" s="160" t="s">
        <v>304</v>
      </c>
      <c r="D145" s="156">
        <f>$F$12*(F821EA!R28+F821EA!Y28)*$L145</f>
        <v>620529.3041360589</v>
      </c>
      <c r="E145" s="156">
        <f>$F$12*(F821EA!S28+F821EA!Z28)*$L145</f>
        <v>620424.93385657098</v>
      </c>
      <c r="F145" s="156">
        <f>$F$12*(F821EA!T28+F821EA!AA28)*$L145</f>
        <v>611178.5927714284</v>
      </c>
      <c r="G145" s="156">
        <f>$F$12*(F821EA!U28+F821EA!AB28)*$L145</f>
        <v>623441.96478320169</v>
      </c>
      <c r="H145" s="156">
        <f>$F$12*(F821EA!V28+F821EA!AC28)*$L145</f>
        <v>601229.44109525904</v>
      </c>
      <c r="I145" s="156">
        <f>$F$12*(F821EA!W28+F821EA!AD28)*$L145</f>
        <v>596310.56381600921</v>
      </c>
      <c r="J145" s="156">
        <f t="shared" si="34"/>
        <v>3673114.8004585281</v>
      </c>
      <c r="K145" s="69"/>
      <c r="L145" s="319">
        <v>1</v>
      </c>
    </row>
    <row r="146" spans="2:12" s="37" customFormat="1" ht="15.75" customHeight="1">
      <c r="B146" s="48"/>
      <c r="C146" s="162" t="s">
        <v>628</v>
      </c>
      <c r="D146" s="156">
        <f>$F$12*(F821EA!R29+F821EA!Y29)*$L146</f>
        <v>48.898100749156399</v>
      </c>
      <c r="E146" s="156">
        <f>$F$12*(F821EA!S29+F821EA!Z29)*$L146</f>
        <v>48.898100749156399</v>
      </c>
      <c r="F146" s="156">
        <f>$F$12*(F821EA!T29+F821EA!AA29)*$L146</f>
        <v>57.047784207349132</v>
      </c>
      <c r="G146" s="156">
        <f>$F$12*(F821EA!U29+F821EA!AB29)*$L146</f>
        <v>57.047784207349132</v>
      </c>
      <c r="H146" s="156">
        <f>$F$12*(F821EA!V29+F821EA!AC29)*$L146</f>
        <v>57.047784207349132</v>
      </c>
      <c r="I146" s="156">
        <f>$F$12*(F821EA!W29+F821EA!AD29)*$L146</f>
        <v>48.898100749156399</v>
      </c>
      <c r="J146" s="156">
        <f t="shared" si="34"/>
        <v>317.8376548695166</v>
      </c>
      <c r="K146" s="69"/>
      <c r="L146" s="319">
        <v>0.75</v>
      </c>
    </row>
    <row r="147" spans="2:12" s="37" customFormat="1" ht="15.75" customHeight="1">
      <c r="B147" s="48"/>
      <c r="C147" s="161" t="s">
        <v>629</v>
      </c>
      <c r="D147" s="156">
        <f>$F$12*(F821EA!R30+F821EA!Y30)*$L147</f>
        <v>272.16320668826756</v>
      </c>
      <c r="E147" s="156">
        <f>$F$12*(F821EA!S30+F821EA!Z30)*$L147</f>
        <v>295.76106790165676</v>
      </c>
      <c r="F147" s="156">
        <f>$F$12*(F821EA!T30+F821EA!AA30)*$L147</f>
        <v>293.47915653336275</v>
      </c>
      <c r="G147" s="156">
        <f>$F$12*(F821EA!U30+F821EA!AB30)*$L147</f>
        <v>274.30023479508253</v>
      </c>
      <c r="H147" s="156">
        <f>$F$12*(F821EA!V30+F821EA!AC30)*$L147</f>
        <v>270.85925733495668</v>
      </c>
      <c r="I147" s="156">
        <f>$F$12*(F821EA!W30+F821EA!AD30)*$L147</f>
        <v>282.05148928420806</v>
      </c>
      <c r="J147" s="156">
        <f t="shared" si="34"/>
        <v>1688.6144125375345</v>
      </c>
      <c r="K147" s="69"/>
      <c r="L147" s="319">
        <v>1</v>
      </c>
    </row>
    <row r="148" spans="2:12" s="37" customFormat="1" ht="15.75" customHeight="1">
      <c r="B148" s="48"/>
      <c r="C148" s="160" t="s">
        <v>305</v>
      </c>
      <c r="D148" s="156">
        <f>$F$12*(F821EA!R31+F821EA!Y31)*$L148</f>
        <v>656.53849939200654</v>
      </c>
      <c r="E148" s="156">
        <f>$F$12*(F821EA!S31+F821EA!Z31)*$L148</f>
        <v>688.19549202516407</v>
      </c>
      <c r="F148" s="156">
        <f>$F$12*(F821EA!T31+F821EA!AA31)*$L148</f>
        <v>816.88804903386983</v>
      </c>
      <c r="G148" s="156">
        <f>$F$12*(F821EA!U31+F821EA!AB31)*$L148</f>
        <v>640.71000307542772</v>
      </c>
      <c r="H148" s="156">
        <f>$F$12*(F821EA!V31+F821EA!AC31)*$L148</f>
        <v>633.82804815517613</v>
      </c>
      <c r="I148" s="156">
        <f>$F$12*(F821EA!W31+F821EA!AD31)*$L148</f>
        <v>791.45922560354006</v>
      </c>
      <c r="J148" s="156">
        <f t="shared" si="34"/>
        <v>4227.6193172851845</v>
      </c>
      <c r="K148" s="69"/>
      <c r="L148" s="319">
        <v>0.95</v>
      </c>
    </row>
    <row r="149" spans="2:12" s="37" customFormat="1" ht="15.75" customHeight="1">
      <c r="B149" s="48"/>
      <c r="C149" s="160" t="s">
        <v>307</v>
      </c>
      <c r="D149" s="156">
        <f>$F$12*(F821EA!R32+F821EA!Y32)*$L149</f>
        <v>65.921883972936769</v>
      </c>
      <c r="E149" s="156">
        <f>$F$12*(F821EA!S32+F821EA!Z32)*$L149</f>
        <v>58.67772089898768</v>
      </c>
      <c r="F149" s="156">
        <f>$F$12*(F821EA!T32+F821EA!AA32)*$L149</f>
        <v>70.992798124701153</v>
      </c>
      <c r="G149" s="156">
        <f>$F$12*(F821EA!U32+F821EA!AB32)*$L149</f>
        <v>71.717214432096057</v>
      </c>
      <c r="H149" s="156">
        <f>$F$12*(F821EA!V32+F821EA!AC32)*$L149</f>
        <v>63.024218743357139</v>
      </c>
      <c r="I149" s="156">
        <f>$F$12*(F821EA!W32+F821EA!AD32)*$L149</f>
        <v>55.780055669408043</v>
      </c>
      <c r="J149" s="156">
        <f t="shared" si="34"/>
        <v>386.11389184148686</v>
      </c>
      <c r="K149" s="69"/>
      <c r="L149" s="319">
        <v>0.5</v>
      </c>
    </row>
    <row r="150" spans="2:12" s="37" customFormat="1" ht="15.75" customHeight="1">
      <c r="B150" s="48"/>
      <c r="C150" s="160" t="s">
        <v>624</v>
      </c>
      <c r="D150" s="156">
        <f>$F$12*(F821EA!R33+F821EA!Y33)*$L150</f>
        <v>0</v>
      </c>
      <c r="E150" s="156">
        <f>$F$12*(F821EA!S33+F821EA!Z33)*$L150</f>
        <v>0</v>
      </c>
      <c r="F150" s="156">
        <f>$F$12*(F821EA!T33+F821EA!AA33)*$L150</f>
        <v>0</v>
      </c>
      <c r="G150" s="156">
        <f>$F$12*(F821EA!U33+F821EA!AB33)*$L150</f>
        <v>0</v>
      </c>
      <c r="H150" s="156">
        <f>$F$12*(F821EA!V33+F821EA!AC33)*$L150</f>
        <v>0</v>
      </c>
      <c r="I150" s="156">
        <f>$F$12*(F821EA!W33+F821EA!AD33)*$L150</f>
        <v>0</v>
      </c>
      <c r="J150" s="156">
        <f t="shared" si="34"/>
        <v>0</v>
      </c>
      <c r="K150" s="69"/>
      <c r="L150" s="319">
        <v>0</v>
      </c>
    </row>
    <row r="151" spans="2:12" s="37" customFormat="1" ht="15.75" customHeight="1">
      <c r="B151" s="48" t="s">
        <v>274</v>
      </c>
      <c r="C151" s="158" t="s">
        <v>631</v>
      </c>
      <c r="D151" s="159">
        <f t="shared" ref="D151:I151" si="37">SUM(D152:D155)</f>
        <v>304239.61601996236</v>
      </c>
      <c r="E151" s="159">
        <f t="shared" si="37"/>
        <v>306257.69121135853</v>
      </c>
      <c r="F151" s="159">
        <f t="shared" si="37"/>
        <v>292571.37955150258</v>
      </c>
      <c r="G151" s="159">
        <f t="shared" si="37"/>
        <v>303011.09844155359</v>
      </c>
      <c r="H151" s="159">
        <f t="shared" si="37"/>
        <v>281076.78796498996</v>
      </c>
      <c r="I151" s="159">
        <f t="shared" si="37"/>
        <v>276121.0649322453</v>
      </c>
      <c r="J151" s="159">
        <f t="shared" si="34"/>
        <v>1763277.6381216121</v>
      </c>
      <c r="K151" s="69"/>
      <c r="L151" s="319"/>
    </row>
    <row r="152" spans="2:12" s="37" customFormat="1" ht="15.75" customHeight="1">
      <c r="B152" s="48"/>
      <c r="C152" s="160" t="s">
        <v>304</v>
      </c>
      <c r="D152" s="156">
        <f>$F$13*(F821EA!R35+F821EA!Y35)*$L152</f>
        <v>304054.67870754923</v>
      </c>
      <c r="E152" s="156">
        <f>$F$13*(F821EA!S35+F821EA!Z35)*$L152</f>
        <v>306077.08836720511</v>
      </c>
      <c r="F152" s="156">
        <f>$F$13*(F821EA!T35+F821EA!AA35)*$L152</f>
        <v>292387.88706184272</v>
      </c>
      <c r="G152" s="156">
        <f>$F$13*(F821EA!U35+F821EA!AB35)*$L152</f>
        <v>302768.36821901135</v>
      </c>
      <c r="H152" s="156">
        <f>$F$13*(F821EA!V35+F821EA!AC35)*$L152</f>
        <v>280940.97462618659</v>
      </c>
      <c r="I152" s="156">
        <f>$F$13*(F821EA!W35+F821EA!AD35)*$L152</f>
        <v>275808.98321754817</v>
      </c>
      <c r="J152" s="156">
        <f t="shared" si="34"/>
        <v>1762037.9801993431</v>
      </c>
      <c r="K152" s="69"/>
      <c r="L152" s="319">
        <v>1</v>
      </c>
    </row>
    <row r="153" spans="2:12" s="37" customFormat="1" ht="15.75" customHeight="1">
      <c r="B153" s="48"/>
      <c r="C153" s="161" t="s">
        <v>306</v>
      </c>
      <c r="D153" s="156">
        <f>$F$13*(F821EA!R36+F821EA!Y36)*$L153</f>
        <v>0</v>
      </c>
      <c r="E153" s="156">
        <f>$F$13*(F821EA!S36+F821EA!Z36)*$L153</f>
        <v>0</v>
      </c>
      <c r="F153" s="156">
        <f>$F$13*(F821EA!T36+F821EA!AA36)*$L153</f>
        <v>0</v>
      </c>
      <c r="G153" s="156">
        <f>$F$13*(F821EA!U36+F821EA!AB36)*$L153</f>
        <v>0</v>
      </c>
      <c r="H153" s="156">
        <f>$F$13*(F821EA!V36+F821EA!AC36)*$L153</f>
        <v>0</v>
      </c>
      <c r="I153" s="156">
        <f>$F$13*(F821EA!W36+F821EA!AD36)*$L153</f>
        <v>0</v>
      </c>
      <c r="J153" s="156">
        <f t="shared" si="34"/>
        <v>0</v>
      </c>
      <c r="K153" s="69"/>
      <c r="L153" s="319">
        <v>1</v>
      </c>
    </row>
    <row r="154" spans="2:12" s="37" customFormat="1" ht="15.75" customHeight="1">
      <c r="B154" s="48"/>
      <c r="C154" s="160" t="s">
        <v>305</v>
      </c>
      <c r="D154" s="156">
        <f>$F$13*(F821EA!R37+F821EA!Y37)*$L154</f>
        <v>184.93731241312094</v>
      </c>
      <c r="E154" s="156">
        <f>$F$13*(F821EA!S37+F821EA!Z37)*$L154</f>
        <v>180.60284415343838</v>
      </c>
      <c r="F154" s="156">
        <f>$F$13*(F821EA!T37+F821EA!AA37)*$L154</f>
        <v>183.49248965989344</v>
      </c>
      <c r="G154" s="156">
        <f>$F$13*(F821EA!U37+F821EA!AB37)*$L154</f>
        <v>242.73022254222118</v>
      </c>
      <c r="H154" s="156">
        <f>$F$13*(F821EA!V37+F821EA!AC37)*$L154</f>
        <v>135.8133388033857</v>
      </c>
      <c r="I154" s="156">
        <f>$F$13*(F821EA!W37+F821EA!AD37)*$L154</f>
        <v>312.08171469714154</v>
      </c>
      <c r="J154" s="156">
        <f t="shared" si="34"/>
        <v>1239.6579222692012</v>
      </c>
      <c r="K154" s="69"/>
      <c r="L154" s="319">
        <v>0.95</v>
      </c>
    </row>
    <row r="155" spans="2:12" s="37" customFormat="1" ht="15.75" customHeight="1">
      <c r="B155" s="48"/>
      <c r="C155" s="160" t="s">
        <v>307</v>
      </c>
      <c r="D155" s="156">
        <f>$F$13*(F821EA!R38+F821EA!Y38)*$L155</f>
        <v>0</v>
      </c>
      <c r="E155" s="156">
        <f>$F$13*(F821EA!S38+F821EA!Z38)*$L155</f>
        <v>0</v>
      </c>
      <c r="F155" s="156">
        <f>$F$13*(F821EA!T38+F821EA!AA38)*$L155</f>
        <v>0</v>
      </c>
      <c r="G155" s="156">
        <f>$F$13*(F821EA!U38+F821EA!AB38)*$L155</f>
        <v>0</v>
      </c>
      <c r="H155" s="156">
        <f>$F$13*(F821EA!V38+F821EA!AC38)*$L155</f>
        <v>0</v>
      </c>
      <c r="I155" s="156">
        <f>$F$13*(F821EA!W38+F821EA!AD38)*$L155</f>
        <v>0</v>
      </c>
      <c r="J155" s="156">
        <f t="shared" si="34"/>
        <v>0</v>
      </c>
      <c r="K155" s="69"/>
      <c r="L155" s="319">
        <v>0.5</v>
      </c>
    </row>
    <row r="156" spans="2:12" s="37" customFormat="1" ht="15.75" customHeight="1">
      <c r="B156" s="48" t="s">
        <v>274</v>
      </c>
      <c r="C156" s="158" t="s">
        <v>632</v>
      </c>
      <c r="D156" s="159">
        <f t="shared" ref="D156:I156" si="38">SUM(D157:D160)</f>
        <v>94393.754413760878</v>
      </c>
      <c r="E156" s="159">
        <f t="shared" si="38"/>
        <v>90981.729906928696</v>
      </c>
      <c r="F156" s="159">
        <f t="shared" si="38"/>
        <v>83481.177725354195</v>
      </c>
      <c r="G156" s="159">
        <f t="shared" si="38"/>
        <v>91302.352158536189</v>
      </c>
      <c r="H156" s="159">
        <f t="shared" si="38"/>
        <v>78697.060085732068</v>
      </c>
      <c r="I156" s="159">
        <f t="shared" si="38"/>
        <v>82129.68874996253</v>
      </c>
      <c r="J156" s="159">
        <f t="shared" si="34"/>
        <v>520985.76304027461</v>
      </c>
      <c r="K156" s="69"/>
      <c r="L156" s="319"/>
    </row>
    <row r="157" spans="2:12" s="37" customFormat="1" ht="15.75" customHeight="1">
      <c r="B157" s="48"/>
      <c r="C157" s="160" t="s">
        <v>304</v>
      </c>
      <c r="D157" s="156">
        <f>$F$14*(F821EA!R40+F821EA!Y40)*$L157</f>
        <v>94393.754413760878</v>
      </c>
      <c r="E157" s="156">
        <f>$F$14*(F821EA!S40+F821EA!Z40)*$L157</f>
        <v>90981.729906928696</v>
      </c>
      <c r="F157" s="156">
        <f>$F$14*(F821EA!T40+F821EA!AA40)*$L157</f>
        <v>83481.177725354195</v>
      </c>
      <c r="G157" s="156">
        <f>$F$14*(F821EA!U40+F821EA!AB40)*$L157</f>
        <v>91302.352158536189</v>
      </c>
      <c r="H157" s="156">
        <f>$F$14*(F821EA!V40+F821EA!AC40)*$L157</f>
        <v>78697.060085732068</v>
      </c>
      <c r="I157" s="156">
        <f>$F$14*(F821EA!W40+F821EA!AD40)*$L157</f>
        <v>82129.68874996253</v>
      </c>
      <c r="J157" s="156">
        <f t="shared" si="34"/>
        <v>520985.76304027461</v>
      </c>
      <c r="K157" s="69"/>
      <c r="L157" s="319">
        <v>1</v>
      </c>
    </row>
    <row r="158" spans="2:12" s="37" customFormat="1" ht="15.75" customHeight="1">
      <c r="B158" s="48"/>
      <c r="C158" s="161" t="s">
        <v>306</v>
      </c>
      <c r="D158" s="156">
        <f>$F$14*(F821EA!R41+F821EA!Y41)*$L158</f>
        <v>0</v>
      </c>
      <c r="E158" s="156">
        <f>$F$14*(F821EA!S41+F821EA!Z41)*$L158</f>
        <v>0</v>
      </c>
      <c r="F158" s="156">
        <f>$F$14*(F821EA!T41+F821EA!AA41)*$L158</f>
        <v>0</v>
      </c>
      <c r="G158" s="156">
        <f>$F$14*(F821EA!U41+F821EA!AB41)*$L158</f>
        <v>0</v>
      </c>
      <c r="H158" s="156">
        <f>$F$14*(F821EA!V41+F821EA!AC41)*$L158</f>
        <v>0</v>
      </c>
      <c r="I158" s="156">
        <f>$F$14*(F821EA!W41+F821EA!AD41)*$L158</f>
        <v>0</v>
      </c>
      <c r="J158" s="156">
        <f t="shared" si="34"/>
        <v>0</v>
      </c>
      <c r="K158" s="69"/>
      <c r="L158" s="319">
        <v>1</v>
      </c>
    </row>
    <row r="159" spans="2:12" s="37" customFormat="1" ht="15.75" customHeight="1">
      <c r="B159" s="48"/>
      <c r="C159" s="160" t="s">
        <v>305</v>
      </c>
      <c r="D159" s="156">
        <f>$F$14*(F821EA!R42+F821EA!Y42)*$L159</f>
        <v>0</v>
      </c>
      <c r="E159" s="156">
        <f>$F$14*(F821EA!S42+F821EA!Z42)*$L159</f>
        <v>0</v>
      </c>
      <c r="F159" s="156">
        <f>$F$14*(F821EA!T42+F821EA!AA42)*$L159</f>
        <v>0</v>
      </c>
      <c r="G159" s="156">
        <f>$F$14*(F821EA!U42+F821EA!AB42)*$L159</f>
        <v>0</v>
      </c>
      <c r="H159" s="156">
        <f>$F$14*(F821EA!V42+F821EA!AC42)*$L159</f>
        <v>0</v>
      </c>
      <c r="I159" s="156">
        <f>$F$14*(F821EA!W42+F821EA!AD42)*$L159</f>
        <v>0</v>
      </c>
      <c r="J159" s="156">
        <f t="shared" si="34"/>
        <v>0</v>
      </c>
      <c r="K159" s="69"/>
      <c r="L159" s="319">
        <v>0.95</v>
      </c>
    </row>
    <row r="160" spans="2:12" s="37" customFormat="1" ht="15.75" customHeight="1">
      <c r="B160" s="48"/>
      <c r="C160" s="160" t="s">
        <v>307</v>
      </c>
      <c r="D160" s="156">
        <f>$F$14*(F821EA!R43+F821EA!Y43)*$L160</f>
        <v>0</v>
      </c>
      <c r="E160" s="156">
        <f>$F$14*(F821EA!S43+F821EA!Z43)*$L160</f>
        <v>0</v>
      </c>
      <c r="F160" s="156">
        <f>$F$14*(F821EA!T43+F821EA!AA43)*$L160</f>
        <v>0</v>
      </c>
      <c r="G160" s="156">
        <f>$F$14*(F821EA!U43+F821EA!AB43)*$L160</f>
        <v>0</v>
      </c>
      <c r="H160" s="156">
        <f>$F$14*(F821EA!V43+F821EA!AC43)*$L160</f>
        <v>0</v>
      </c>
      <c r="I160" s="156">
        <f>$F$14*(F821EA!W43+F821EA!AD43)*$L160</f>
        <v>0</v>
      </c>
      <c r="J160" s="156">
        <f t="shared" si="34"/>
        <v>0</v>
      </c>
      <c r="K160" s="69"/>
      <c r="L160" s="319">
        <v>0.5</v>
      </c>
    </row>
    <row r="161" spans="2:13" s="37" customFormat="1" ht="15.75" customHeight="1">
      <c r="B161" s="48" t="s">
        <v>274</v>
      </c>
      <c r="C161" s="158" t="s">
        <v>633</v>
      </c>
      <c r="D161" s="159">
        <f t="shared" ref="D161:I161" si="39">SUM(D162:D165)</f>
        <v>104325.69871147312</v>
      </c>
      <c r="E161" s="159">
        <f t="shared" si="39"/>
        <v>96104.780158670503</v>
      </c>
      <c r="F161" s="159">
        <f t="shared" si="39"/>
        <v>82730.985907781025</v>
      </c>
      <c r="G161" s="159">
        <f t="shared" si="39"/>
        <v>94788.991316924148</v>
      </c>
      <c r="H161" s="159">
        <f t="shared" si="39"/>
        <v>86008.352612263028</v>
      </c>
      <c r="I161" s="159">
        <f t="shared" si="39"/>
        <v>88885.035821022815</v>
      </c>
      <c r="J161" s="159">
        <f t="shared" si="34"/>
        <v>552843.84452813468</v>
      </c>
      <c r="K161" s="69"/>
      <c r="L161" s="319"/>
    </row>
    <row r="162" spans="2:13" s="37" customFormat="1" ht="15.75" customHeight="1">
      <c r="B162" s="48"/>
      <c r="C162" s="160" t="s">
        <v>304</v>
      </c>
      <c r="D162" s="156">
        <f>$F$15*(F821EA!R45+F821EA!Y45)*$L162</f>
        <v>104325.69871147312</v>
      </c>
      <c r="E162" s="156">
        <f>$F$15*(F821EA!S45+F821EA!Z45)*$L162</f>
        <v>96104.780158670503</v>
      </c>
      <c r="F162" s="156">
        <f>$F$15*(F821EA!T45+F821EA!AA45)*$L162</f>
        <v>82730.985907781025</v>
      </c>
      <c r="G162" s="156">
        <f>$F$15*(F821EA!U45+F821EA!AB45)*$L162</f>
        <v>94788.991316924148</v>
      </c>
      <c r="H162" s="156">
        <f>$F$15*(F821EA!V45+F821EA!AC45)*$L162</f>
        <v>86008.352612263028</v>
      </c>
      <c r="I162" s="156">
        <f>$F$15*(F821EA!W45+F821EA!AD45)*$L162</f>
        <v>88885.035821022815</v>
      </c>
      <c r="J162" s="156">
        <f t="shared" si="34"/>
        <v>552843.84452813468</v>
      </c>
      <c r="K162" s="69"/>
      <c r="L162" s="319">
        <v>1</v>
      </c>
    </row>
    <row r="163" spans="2:13" s="37" customFormat="1" ht="15.75" customHeight="1">
      <c r="B163" s="48"/>
      <c r="C163" s="161" t="s">
        <v>306</v>
      </c>
      <c r="D163" s="156">
        <f>$F$15*(F821EA!R46+F821EA!Y46)*$L163</f>
        <v>0</v>
      </c>
      <c r="E163" s="156">
        <f>$F$15*(F821EA!S46+F821EA!Z46)*$L163</f>
        <v>0</v>
      </c>
      <c r="F163" s="156">
        <f>$F$15*(F821EA!T46+F821EA!AA46)*$L163</f>
        <v>0</v>
      </c>
      <c r="G163" s="156">
        <f>$F$15*(F821EA!U46+F821EA!AB46)*$L163</f>
        <v>0</v>
      </c>
      <c r="H163" s="156">
        <f>$F$15*(F821EA!V46+F821EA!AC46)*$L163</f>
        <v>0</v>
      </c>
      <c r="I163" s="156">
        <f>$F$15*(F821EA!W46+F821EA!AD46)*$L163</f>
        <v>0</v>
      </c>
      <c r="J163" s="156">
        <f t="shared" si="34"/>
        <v>0</v>
      </c>
      <c r="K163" s="69"/>
      <c r="L163" s="319">
        <v>1</v>
      </c>
    </row>
    <row r="164" spans="2:13" s="37" customFormat="1" ht="15.75" customHeight="1">
      <c r="B164" s="48"/>
      <c r="C164" s="160" t="s">
        <v>305</v>
      </c>
      <c r="D164" s="156">
        <f>$F$15*(F821EA!R47+F821EA!Y47)*$L164</f>
        <v>0</v>
      </c>
      <c r="E164" s="156">
        <f>$F$15*(F821EA!S47+F821EA!Z47)*$L164</f>
        <v>0</v>
      </c>
      <c r="F164" s="156">
        <f>$F$15*(F821EA!T47+F821EA!AA47)*$L164</f>
        <v>0</v>
      </c>
      <c r="G164" s="156">
        <f>$F$15*(F821EA!U47+F821EA!AB47)*$L164</f>
        <v>0</v>
      </c>
      <c r="H164" s="156">
        <f>$F$15*(F821EA!V47+F821EA!AC47)*$L164</f>
        <v>0</v>
      </c>
      <c r="I164" s="156">
        <f>$F$15*(F821EA!W47+F821EA!AD47)*$L164</f>
        <v>0</v>
      </c>
      <c r="J164" s="156">
        <f t="shared" si="34"/>
        <v>0</v>
      </c>
      <c r="K164" s="69"/>
      <c r="L164" s="319">
        <v>0.95</v>
      </c>
    </row>
    <row r="165" spans="2:13" s="37" customFormat="1" ht="15.75" customHeight="1">
      <c r="B165" s="48"/>
      <c r="C165" s="160" t="s">
        <v>307</v>
      </c>
      <c r="D165" s="156">
        <f>$F$15*(F821EA!R48+F821EA!Y48)*$L165</f>
        <v>0</v>
      </c>
      <c r="E165" s="156">
        <f>$F$15*(F821EA!S48+F821EA!Z48)*$L165</f>
        <v>0</v>
      </c>
      <c r="F165" s="156">
        <f>$F$15*(F821EA!T48+F821EA!AA48)*$L165</f>
        <v>0</v>
      </c>
      <c r="G165" s="156">
        <f>$F$15*(F821EA!U48+F821EA!AB48)*$L165</f>
        <v>0</v>
      </c>
      <c r="H165" s="156">
        <f>$F$15*(F821EA!V48+F821EA!AC48)*$L165</f>
        <v>0</v>
      </c>
      <c r="I165" s="156">
        <f>$F$15*(F821EA!W48+F821EA!AD48)*$L165</f>
        <v>0</v>
      </c>
      <c r="J165" s="156">
        <f t="shared" si="34"/>
        <v>0</v>
      </c>
      <c r="K165" s="69"/>
      <c r="L165" s="319">
        <v>0.5</v>
      </c>
    </row>
    <row r="166" spans="2:13" s="37" customFormat="1" ht="15.75">
      <c r="B166" s="48"/>
      <c r="C166" s="157"/>
      <c r="D166" s="156"/>
      <c r="E166" s="156"/>
      <c r="F166" s="156"/>
      <c r="G166" s="156"/>
      <c r="H166" s="156"/>
      <c r="I166" s="156"/>
      <c r="J166" s="156"/>
      <c r="K166" s="69"/>
      <c r="L166" s="319"/>
    </row>
    <row r="167" spans="2:13" s="37" customFormat="1" ht="15.75">
      <c r="B167" s="48" t="s">
        <v>1176</v>
      </c>
      <c r="C167" s="158" t="str">
        <f>F801ENE!$C$50</f>
        <v>BTSH</v>
      </c>
      <c r="D167" s="159">
        <f>SUM(D168:D173)</f>
        <v>0</v>
      </c>
      <c r="E167" s="159">
        <f t="shared" ref="E167:J167" si="40">SUM(E168:E173)</f>
        <v>0</v>
      </c>
      <c r="F167" s="159">
        <f t="shared" si="40"/>
        <v>0</v>
      </c>
      <c r="G167" s="159">
        <f t="shared" si="40"/>
        <v>0</v>
      </c>
      <c r="H167" s="159">
        <f t="shared" si="40"/>
        <v>0</v>
      </c>
      <c r="I167" s="159">
        <f t="shared" si="40"/>
        <v>0</v>
      </c>
      <c r="J167" s="159">
        <f t="shared" si="40"/>
        <v>0</v>
      </c>
      <c r="K167" s="69"/>
      <c r="L167" s="319"/>
    </row>
    <row r="168" spans="2:13" s="37" customFormat="1" ht="15.75">
      <c r="B168" s="48"/>
      <c r="C168" s="160" t="str">
        <f>F801ENE!$C$51</f>
        <v xml:space="preserve">    - Regulares</v>
      </c>
      <c r="D168" s="156">
        <f>($H$16*F821EA!R51+$I$16*F821EA!Y51)*$L168</f>
        <v>0</v>
      </c>
      <c r="E168" s="156">
        <f>($H$16*F821EA!S51+$I$16*F821EA!Z51)*$L168</f>
        <v>0</v>
      </c>
      <c r="F168" s="156">
        <f>($H$16*F821EA!T51+$I$16*F821EA!AA51)*$L168</f>
        <v>0</v>
      </c>
      <c r="G168" s="156">
        <f>($H$16*F821EA!U51+$I$16*F821EA!AB51)*$L168</f>
        <v>0</v>
      </c>
      <c r="H168" s="156">
        <f>($H$16*F821EA!V51+$I$16*F821EA!AC51)*$L168</f>
        <v>0</v>
      </c>
      <c r="I168" s="156">
        <f>($H$16*F821EA!W51+$I$16*F821EA!AD51)*$L168</f>
        <v>0</v>
      </c>
      <c r="J168" s="156">
        <f t="shared" ref="J168:J185" si="41">SUM(D168:I168)</f>
        <v>0</v>
      </c>
      <c r="K168" s="69"/>
      <c r="L168" s="319">
        <v>1</v>
      </c>
    </row>
    <row r="169" spans="2:13" s="37" customFormat="1" ht="15.75">
      <c r="B169" s="48"/>
      <c r="C169" s="162" t="str">
        <f>F801ENE!$C$52</f>
        <v xml:space="preserve">    - Jubilados (0 a 600 KWh)</v>
      </c>
      <c r="D169" s="156">
        <f>($H$16*F821EA!R52+$I$16*F821EA!Y52)*$L169</f>
        <v>0</v>
      </c>
      <c r="E169" s="156">
        <f>($H$16*F821EA!S52+$I$16*F821EA!Z52)*$L169</f>
        <v>0</v>
      </c>
      <c r="F169" s="156">
        <f>($H$16*F821EA!T52+$I$16*F821EA!AA52)*$L169</f>
        <v>0</v>
      </c>
      <c r="G169" s="156">
        <f>($H$16*F821EA!U52+$I$16*F821EA!AB52)*$L169</f>
        <v>0</v>
      </c>
      <c r="H169" s="156">
        <f>($H$16*F821EA!V52+$I$16*F821EA!AC52)*$L169</f>
        <v>0</v>
      </c>
      <c r="I169" s="156">
        <f>($H$16*F821EA!W52+$I$16*F821EA!AD52)*$L169</f>
        <v>0</v>
      </c>
      <c r="J169" s="156">
        <f t="shared" si="41"/>
        <v>0</v>
      </c>
      <c r="K169" s="69"/>
      <c r="L169" s="319">
        <v>0.75</v>
      </c>
    </row>
    <row r="170" spans="2:13" s="37" customFormat="1" ht="15.75">
      <c r="B170" s="48"/>
      <c r="C170" s="162" t="str">
        <f>F801ENE!$C$53</f>
        <v xml:space="preserve">    - Jubilados (601 y Más KWh)</v>
      </c>
      <c r="D170" s="156">
        <f>($H$16*F821EA!R53+$I$16*F821EA!Y53)*$L170</f>
        <v>0</v>
      </c>
      <c r="E170" s="156">
        <f>($H$16*F821EA!S53+$I$16*F821EA!Z53)*$L170</f>
        <v>0</v>
      </c>
      <c r="F170" s="156">
        <f>($H$16*F821EA!T53+$I$16*F821EA!AA53)*$L170</f>
        <v>0</v>
      </c>
      <c r="G170" s="156">
        <f>($H$16*F821EA!U53+$I$16*F821EA!AB53)*$L170</f>
        <v>0</v>
      </c>
      <c r="H170" s="156">
        <f>($H$16*F821EA!V53+$I$16*F821EA!AC53)*$L170</f>
        <v>0</v>
      </c>
      <c r="I170" s="156">
        <f>($H$16*F821EA!W53+$I$16*F821EA!AD53)*$L170</f>
        <v>0</v>
      </c>
      <c r="J170" s="156">
        <f t="shared" si="41"/>
        <v>0</v>
      </c>
      <c r="K170" s="69"/>
      <c r="L170" s="319">
        <v>1</v>
      </c>
    </row>
    <row r="171" spans="2:13" s="37" customFormat="1" ht="15.75">
      <c r="B171" s="48"/>
      <c r="C171" s="160" t="str">
        <f>F801ENE!$C$54</f>
        <v xml:space="preserve">    - Agropecuarios</v>
      </c>
      <c r="D171" s="156">
        <f>($H$16*F821EA!R54+$I$16*F821EA!Y54)*$L171</f>
        <v>0</v>
      </c>
      <c r="E171" s="156">
        <f>($H$16*F821EA!S54+$I$16*F821EA!Z54)*$L171</f>
        <v>0</v>
      </c>
      <c r="F171" s="156">
        <f>($H$16*F821EA!T54+$I$16*F821EA!AA54)*$L171</f>
        <v>0</v>
      </c>
      <c r="G171" s="156">
        <f>($H$16*F821EA!U54+$I$16*F821EA!AB54)*$L171</f>
        <v>0</v>
      </c>
      <c r="H171" s="156">
        <f>($H$16*F821EA!V54+$I$16*F821EA!AC54)*$L171</f>
        <v>0</v>
      </c>
      <c r="I171" s="156">
        <f>($H$16*F821EA!W54+$I$16*F821EA!AD54)*$L171</f>
        <v>0</v>
      </c>
      <c r="J171" s="156">
        <f t="shared" si="41"/>
        <v>0</v>
      </c>
      <c r="K171" s="69"/>
      <c r="L171" s="319">
        <v>0.95</v>
      </c>
    </row>
    <row r="172" spans="2:13" s="37" customFormat="1" ht="15.75">
      <c r="B172" s="48"/>
      <c r="C172" s="160" t="str">
        <f>F801ENE!$C$55</f>
        <v xml:space="preserve">    - Partidos Políticos</v>
      </c>
      <c r="D172" s="156">
        <f>($H$16*F821EA!R55+$I$16*F821EA!Y55)*$L172</f>
        <v>0</v>
      </c>
      <c r="E172" s="156">
        <f>($H$16*F821EA!S55+$I$16*F821EA!Z55)*$L172</f>
        <v>0</v>
      </c>
      <c r="F172" s="156">
        <f>($H$16*F821EA!T55+$I$16*F821EA!AA55)*$L172</f>
        <v>0</v>
      </c>
      <c r="G172" s="156">
        <f>($H$16*F821EA!U55+$I$16*F821EA!AB55)*$L172</f>
        <v>0</v>
      </c>
      <c r="H172" s="156">
        <f>($H$16*F821EA!V55+$I$16*F821EA!AC55)*$L172</f>
        <v>0</v>
      </c>
      <c r="I172" s="156">
        <f>($H$16*F821EA!W55+$I$16*F821EA!AD55)*$L172</f>
        <v>0</v>
      </c>
      <c r="J172" s="156">
        <f t="shared" si="41"/>
        <v>0</v>
      </c>
      <c r="K172" s="69"/>
      <c r="L172" s="319">
        <v>0.5</v>
      </c>
    </row>
    <row r="173" spans="2:13" s="37" customFormat="1" ht="15.75">
      <c r="B173" s="48"/>
      <c r="C173" s="160" t="str">
        <f>F801ENE!$C$56</f>
        <v xml:space="preserve">    - Cruz Roja</v>
      </c>
      <c r="D173" s="156">
        <f>($H$16*F821EA!R56+$I$16*F821EA!Y56)*$L173</f>
        <v>0</v>
      </c>
      <c r="E173" s="156">
        <f>($H$16*F821EA!S56+$I$16*F821EA!Z56)*$L173</f>
        <v>0</v>
      </c>
      <c r="F173" s="156">
        <f>($H$16*F821EA!T56+$I$16*F821EA!AA56)*$L173</f>
        <v>0</v>
      </c>
      <c r="G173" s="156">
        <f>($H$16*F821EA!U56+$I$16*F821EA!AB56)*$L173</f>
        <v>0</v>
      </c>
      <c r="H173" s="156">
        <f>($H$16*F821EA!V56+$I$16*F821EA!AC56)*$L173</f>
        <v>0</v>
      </c>
      <c r="I173" s="156">
        <f>($H$16*F821EA!W56+$I$16*F821EA!AD56)*$L173</f>
        <v>0</v>
      </c>
      <c r="J173" s="156">
        <f t="shared" si="41"/>
        <v>0</v>
      </c>
      <c r="K173" s="69"/>
      <c r="L173" s="319">
        <v>0</v>
      </c>
    </row>
    <row r="174" spans="2:13" s="37" customFormat="1" ht="15.75">
      <c r="B174" s="48" t="s">
        <v>751</v>
      </c>
      <c r="C174" s="158" t="s">
        <v>634</v>
      </c>
      <c r="D174" s="159">
        <f t="shared" ref="D174:I174" si="42">SUM(D175:D179)</f>
        <v>705140.16898473445</v>
      </c>
      <c r="E174" s="159">
        <f t="shared" si="42"/>
        <v>700994.44353956566</v>
      </c>
      <c r="F174" s="159">
        <f t="shared" si="42"/>
        <v>711599.90903481189</v>
      </c>
      <c r="G174" s="159">
        <f t="shared" si="42"/>
        <v>707349.95176541619</v>
      </c>
      <c r="H174" s="159">
        <f t="shared" si="42"/>
        <v>725988.86428433808</v>
      </c>
      <c r="I174" s="159">
        <f t="shared" si="42"/>
        <v>715886.97201345663</v>
      </c>
      <c r="J174" s="159">
        <f t="shared" si="41"/>
        <v>4266960.3096223222</v>
      </c>
      <c r="K174" s="69"/>
      <c r="L174" s="319"/>
      <c r="M174" s="69"/>
    </row>
    <row r="175" spans="2:13" s="37" customFormat="1" ht="15.75">
      <c r="B175" s="48"/>
      <c r="C175" s="160" t="s">
        <v>304</v>
      </c>
      <c r="D175" s="156">
        <f>(($E$18+$F$18)*(F821EA!R66+F821EA!Y66)*$L175)</f>
        <v>512722.44320012396</v>
      </c>
      <c r="E175" s="156">
        <f>(($E$18+$F$18)*(F821EA!S66+F821EA!Z66)*$L175)</f>
        <v>508244.44827318424</v>
      </c>
      <c r="F175" s="156">
        <f>(($E$18+$F$18)*(F821EA!T66+F821EA!AA66)*$L175)</f>
        <v>516222.65901490778</v>
      </c>
      <c r="G175" s="156">
        <f>(($E$18+$F$18)*(F821EA!U66+F821EA!AB66)*$L175)</f>
        <v>512252.32373675035</v>
      </c>
      <c r="H175" s="156">
        <f>(($E$18+$F$18)*(F821EA!V66+F821EA!AC66)*$L175)</f>
        <v>526484.22714564065</v>
      </c>
      <c r="I175" s="156">
        <f>(($E$18+$F$18)*(F821EA!W66+F821EA!AD66)*$L175)</f>
        <v>515996.27977363899</v>
      </c>
      <c r="J175" s="156">
        <f t="shared" si="41"/>
        <v>3091922.3811442456</v>
      </c>
      <c r="K175" s="69"/>
      <c r="L175" s="319">
        <v>1</v>
      </c>
      <c r="M175" s="329">
        <f>1-F821EVE!$AG$65</f>
        <v>0.75829999999999997</v>
      </c>
    </row>
    <row r="176" spans="2:13" s="37" customFormat="1" ht="15.75">
      <c r="B176" s="48"/>
      <c r="C176" s="162" t="s">
        <v>644</v>
      </c>
      <c r="D176" s="156">
        <f>(($E$18+$F$18)*(F821EA!R67+F821EA!Y67)*$L176)</f>
        <v>192400.90676987724</v>
      </c>
      <c r="E176" s="156">
        <f>(($E$18+$F$18)*(F821EA!S67+F821EA!Z67)*$L176)</f>
        <v>192734.96112668121</v>
      </c>
      <c r="F176" s="156">
        <f>(($E$18+$F$18)*(F821EA!T67+F821EA!AA67)*$L176)</f>
        <v>195361.22046912776</v>
      </c>
      <c r="G176" s="156">
        <f>(($E$18+$F$18)*(F821EA!U67+F821EA!AB67)*$L176)</f>
        <v>195078.25996669446</v>
      </c>
      <c r="H176" s="156">
        <f>(($E$18+$F$18)*(F821EA!V67+F821EA!AC67)*$L176)</f>
        <v>199484.11920531042</v>
      </c>
      <c r="I176" s="156">
        <f>(($E$18+$F$18)*(F821EA!W67+F821EA!AD67)*$L176)</f>
        <v>199863.35998596108</v>
      </c>
      <c r="J176" s="156">
        <f t="shared" si="41"/>
        <v>1174922.8275236522</v>
      </c>
      <c r="K176" s="69"/>
      <c r="L176" s="319">
        <v>0.75</v>
      </c>
      <c r="M176" s="329">
        <f>1-F821EVE!$AG$65</f>
        <v>0.75829999999999997</v>
      </c>
    </row>
    <row r="177" spans="2:13" s="37" customFormat="1" ht="15.75">
      <c r="B177" s="48"/>
      <c r="C177" s="160" t="s">
        <v>305</v>
      </c>
      <c r="D177" s="156">
        <f>(($E$18+$F$18)*(F821EA!R68+F821EA!Y68)*$L177)</f>
        <v>16.819014733155669</v>
      </c>
      <c r="E177" s="156">
        <f>(($E$18+$F$18)*(F821EA!S68+F821EA!Z68)*$L177)</f>
        <v>15.034139700249353</v>
      </c>
      <c r="F177" s="156">
        <f>(($E$18+$F$18)*(F821EA!T68+F821EA!AA68)*$L177)</f>
        <v>16.029550776293263</v>
      </c>
      <c r="G177" s="156">
        <f>(($E$18+$F$18)*(F821EA!U68+F821EA!AB68)*$L177)</f>
        <v>18.157671007835408</v>
      </c>
      <c r="H177" s="156">
        <f>(($E$18+$F$18)*(F821EA!V68+F821EA!AC68)*$L177)</f>
        <v>19.994032820537097</v>
      </c>
      <c r="I177" s="156">
        <f>(($E$18+$F$18)*(F821EA!W68+F821EA!AD68)*$L177)</f>
        <v>26.618665154208617</v>
      </c>
      <c r="J177" s="156">
        <f t="shared" si="41"/>
        <v>112.6530741922794</v>
      </c>
      <c r="K177" s="69"/>
      <c r="L177" s="319">
        <v>0.95</v>
      </c>
      <c r="M177" s="329">
        <f>1-F821EVE!$AG$65</f>
        <v>0.75829999999999997</v>
      </c>
    </row>
    <row r="178" spans="2:13" s="37" customFormat="1" ht="15.75">
      <c r="B178" s="48"/>
      <c r="C178" s="160" t="s">
        <v>307</v>
      </c>
      <c r="D178" s="156">
        <f>(($E$18+$F$18)*(F821EA!R69+F821EA!Y69)*$L178)</f>
        <v>0</v>
      </c>
      <c r="E178" s="156">
        <f>(($E$18+$F$18)*(F821EA!S69+F821EA!Z69)*$L178)</f>
        <v>0</v>
      </c>
      <c r="F178" s="156">
        <f>(($E$18+$F$18)*(F821EA!T69+F821EA!AA69)*$L178)</f>
        <v>0</v>
      </c>
      <c r="G178" s="156">
        <f>(($E$18+$F$18)*(F821EA!U69+F821EA!AB69)*$L178)</f>
        <v>1.2103909636105585</v>
      </c>
      <c r="H178" s="156">
        <f>(($E$18+$F$18)*(F821EA!V69+F821EA!AC69)*$L178)</f>
        <v>0.52390056633889848</v>
      </c>
      <c r="I178" s="156">
        <f>(($E$18+$F$18)*(F821EA!W69+F821EA!AD69)*$L178)</f>
        <v>0.71358870242712025</v>
      </c>
      <c r="J178" s="156">
        <f t="shared" si="41"/>
        <v>2.4478802323765771</v>
      </c>
      <c r="K178" s="69"/>
      <c r="L178" s="319">
        <v>0.5</v>
      </c>
      <c r="M178" s="329">
        <f>1-F821EVE!$AG$65</f>
        <v>0.75829999999999997</v>
      </c>
    </row>
    <row r="179" spans="2:13" s="37" customFormat="1" ht="15.75">
      <c r="B179" s="48"/>
      <c r="C179" s="160" t="s">
        <v>624</v>
      </c>
      <c r="D179" s="156">
        <f>(($E$18+$F$18)*(F821EA!R70+F821EA!Y70)*$L179)</f>
        <v>0</v>
      </c>
      <c r="E179" s="156">
        <f>(($E$18+$F$18)*(F821EA!S70+F821EA!Z70)*$L179)</f>
        <v>0</v>
      </c>
      <c r="F179" s="156">
        <f>(($E$18+$F$18)*(F821EA!T70+F821EA!AA70)*$L179)</f>
        <v>0</v>
      </c>
      <c r="G179" s="156">
        <f>(($E$18+$F$18)*(F821EA!U70+F821EA!AB70)*$L179)</f>
        <v>0</v>
      </c>
      <c r="H179" s="156">
        <f>(($E$18+$F$18)*(F821EA!V70+F821EA!AC70)*$L179)</f>
        <v>0</v>
      </c>
      <c r="I179" s="156">
        <f>(($E$18+$F$18)*(F821EA!W70+F821EA!AD70)*$L179)</f>
        <v>0</v>
      </c>
      <c r="J179" s="156">
        <f t="shared" si="41"/>
        <v>0</v>
      </c>
      <c r="K179" s="69"/>
      <c r="L179" s="319">
        <v>0</v>
      </c>
      <c r="M179" s="329">
        <f>1-F821EVE!$AG$65</f>
        <v>0.75829999999999997</v>
      </c>
    </row>
    <row r="180" spans="2:13" s="37" customFormat="1" ht="15.75">
      <c r="B180" s="48" t="s">
        <v>750</v>
      </c>
      <c r="C180" s="158" t="s">
        <v>635</v>
      </c>
      <c r="D180" s="159">
        <f t="shared" ref="D180:I180" si="43">SUM(D181:D186)</f>
        <v>1101820.0553520452</v>
      </c>
      <c r="E180" s="159">
        <f t="shared" si="43"/>
        <v>1114321.725382685</v>
      </c>
      <c r="F180" s="159">
        <f t="shared" si="43"/>
        <v>1084493.7884451251</v>
      </c>
      <c r="G180" s="159">
        <f t="shared" si="43"/>
        <v>1083330.9522668922</v>
      </c>
      <c r="H180" s="159">
        <f t="shared" si="43"/>
        <v>1045373.7675003804</v>
      </c>
      <c r="I180" s="159">
        <f t="shared" si="43"/>
        <v>1020798.9362029177</v>
      </c>
      <c r="J180" s="159">
        <f t="shared" si="41"/>
        <v>6450139.225150045</v>
      </c>
      <c r="K180" s="69"/>
      <c r="L180" s="319"/>
      <c r="M180" s="69"/>
    </row>
    <row r="181" spans="2:13" s="37" customFormat="1" ht="15.75">
      <c r="B181" s="48"/>
      <c r="C181" s="160" t="s">
        <v>304</v>
      </c>
      <c r="D181" s="156">
        <f>(($E$19+$F$19)*(F821EA!R72+F821EA!Y72)*$L181)</f>
        <v>713321.45729795913</v>
      </c>
      <c r="E181" s="156">
        <f>(($E$19+$F$19)*(F821EA!S72+F821EA!Z72)*$L181)</f>
        <v>722616.04124284885</v>
      </c>
      <c r="F181" s="156">
        <f>(($E$19+$F$19)*(F821EA!T72+F821EA!AA72)*$L181)</f>
        <v>700213.95739867515</v>
      </c>
      <c r="G181" s="156">
        <f>(($E$19+$F$19)*(F821EA!U72+F821EA!AB72)*$L181)</f>
        <v>698189.9051433932</v>
      </c>
      <c r="H181" s="156">
        <f>(($E$19+$F$19)*(F821EA!V72+F821EA!AC72)*$L181)</f>
        <v>671573.71893107961</v>
      </c>
      <c r="I181" s="156">
        <f>(($E$19+$F$19)*(F821EA!W72+F821EA!AD72)*$L181)</f>
        <v>653747.59284487879</v>
      </c>
      <c r="J181" s="330">
        <f t="shared" si="41"/>
        <v>4159662.6728588347</v>
      </c>
      <c r="K181" s="69"/>
      <c r="L181" s="319">
        <v>1</v>
      </c>
      <c r="M181" s="329">
        <f>1-F821EVE!$AG$65</f>
        <v>0.75829999999999997</v>
      </c>
    </row>
    <row r="182" spans="2:13" s="37" customFormat="1" ht="15.75">
      <c r="B182" s="48"/>
      <c r="C182" s="162" t="s">
        <v>642</v>
      </c>
      <c r="D182" s="156">
        <f>(($E$19+$F$19)*(F821EA!R73+F821EA!Y73)*$L182)</f>
        <v>377168.44294852728</v>
      </c>
      <c r="E182" s="156">
        <f>(($E$19+$F$19)*(F821EA!S73+F821EA!Z73)*$L182)</f>
        <v>380101.76342344389</v>
      </c>
      <c r="F182" s="156">
        <f>(($E$19+$F$19)*(F821EA!T73+F821EA!AA73)*$L182)</f>
        <v>373503.14295681962</v>
      </c>
      <c r="G182" s="156">
        <f>(($E$19+$F$19)*(F821EA!U73+F821EA!AB73)*$L182)</f>
        <v>374441.85336403118</v>
      </c>
      <c r="H182" s="156">
        <f>(($E$19+$F$19)*(F821EA!V73+F821EA!AC73)*$L182)</f>
        <v>363644.62740133138</v>
      </c>
      <c r="I182" s="156">
        <f>(($E$19+$F$19)*(F821EA!W73+F821EA!AD73)*$L182)</f>
        <v>356652.95840391959</v>
      </c>
      <c r="J182" s="330">
        <f t="shared" si="41"/>
        <v>2225512.7884980729</v>
      </c>
      <c r="K182" s="69"/>
      <c r="L182" s="319">
        <v>0.75</v>
      </c>
      <c r="M182" s="329">
        <f>1-F821EVE!$AG$65</f>
        <v>0.75829999999999997</v>
      </c>
    </row>
    <row r="183" spans="2:13" s="37" customFormat="1" ht="15.75">
      <c r="B183" s="48"/>
      <c r="C183" s="162" t="s">
        <v>1177</v>
      </c>
      <c r="D183" s="156">
        <f>(($E$19+$F$19)*(F821EA!R74+F821EA!Y74)*$L183)</f>
        <v>11298.023553292331</v>
      </c>
      <c r="E183" s="156">
        <f>(($E$19+$F$19)*(F821EA!S74+F821EA!Z74)*$L183)</f>
        <v>11570.723637337291</v>
      </c>
      <c r="F183" s="156">
        <f>(($E$19+$F$19)*(F821EA!T74+F821EA!AA74)*$L183)</f>
        <v>10726.726722436422</v>
      </c>
      <c r="G183" s="156">
        <f>(($E$19+$F$19)*(F821EA!U74+F821EA!AB74)*$L183)</f>
        <v>10667.630488155224</v>
      </c>
      <c r="H183" s="156">
        <f>(($E$19+$F$19)*(F821EA!V74+F821EA!AC74)*$L183)</f>
        <v>10083.597185043855</v>
      </c>
      <c r="I183" s="156">
        <f>(($E$19+$F$19)*(F821EA!W74+F821EA!AD74)*$L183)</f>
        <v>10335.684622209626</v>
      </c>
      <c r="J183" s="330">
        <f t="shared" si="41"/>
        <v>64682.386208474745</v>
      </c>
      <c r="K183" s="69"/>
      <c r="L183" s="319">
        <v>1</v>
      </c>
      <c r="M183" s="329">
        <f>1-F821EVE!$AG$65</f>
        <v>0.75829999999999997</v>
      </c>
    </row>
    <row r="184" spans="2:13" s="37" customFormat="1" ht="15.75">
      <c r="B184" s="48"/>
      <c r="C184" s="160" t="s">
        <v>305</v>
      </c>
      <c r="D184" s="156">
        <f>(($E$19+$F$19)*(F821EA!R75+F821EA!Y75)*$L184)</f>
        <v>32.131552266388717</v>
      </c>
      <c r="E184" s="156">
        <f>(($E$19+$F$19)*(F821EA!S75+F821EA!Z75)*$L184)</f>
        <v>33.197079054883552</v>
      </c>
      <c r="F184" s="156">
        <f>(($E$19+$F$19)*(F821EA!T75+F821EA!AA75)*$L184)</f>
        <v>49.961367193868973</v>
      </c>
      <c r="G184" s="156">
        <f>(($E$19+$F$19)*(F821EA!U75+F821EA!AB75)*$L184)</f>
        <v>31.563271312524805</v>
      </c>
      <c r="H184" s="156">
        <f>(($E$19+$F$19)*(F821EA!V75+F821EA!AC75)*$L184)</f>
        <v>62.913437267350645</v>
      </c>
      <c r="I184" s="156">
        <f>(($E$19+$F$19)*(F821EA!W75+F821EA!AD75)*$L184)</f>
        <v>62.700331909651666</v>
      </c>
      <c r="J184" s="156">
        <f t="shared" si="41"/>
        <v>272.46703900466838</v>
      </c>
      <c r="K184" s="69"/>
      <c r="L184" s="319">
        <v>0.95</v>
      </c>
      <c r="M184" s="329">
        <f>1-F821EVE!$AG$65</f>
        <v>0.75829999999999997</v>
      </c>
    </row>
    <row r="185" spans="2:13" s="37" customFormat="1" ht="15.75">
      <c r="B185" s="48"/>
      <c r="C185" s="160" t="s">
        <v>307</v>
      </c>
      <c r="D185" s="156">
        <f>(($E$19+$F$19)*(F821EA!R76+F821EA!Y76)*$L185)</f>
        <v>0</v>
      </c>
      <c r="E185" s="156">
        <f>(($E$19+$F$19)*(F821EA!S76+F821EA!Z76)*$L185)</f>
        <v>0</v>
      </c>
      <c r="F185" s="156">
        <f>(($E$19+$F$19)*(F821EA!T76+F821EA!AA76)*$L185)</f>
        <v>0</v>
      </c>
      <c r="G185" s="156">
        <f>(($E$19+$F$19)*(F821EA!U76+F821EA!AB76)*$L185)</f>
        <v>0</v>
      </c>
      <c r="H185" s="156">
        <f>(($E$19+$F$19)*(F821EA!V76+F821EA!AC76)*$L185)</f>
        <v>8.9105456581731897</v>
      </c>
      <c r="I185" s="156">
        <f>(($E$19+$F$19)*(F821EA!W76+F821EA!AD76)*$L185)</f>
        <v>0</v>
      </c>
      <c r="J185" s="156">
        <f t="shared" si="41"/>
        <v>8.9105456581731897</v>
      </c>
      <c r="K185" s="69"/>
      <c r="L185" s="319">
        <v>0.5</v>
      </c>
      <c r="M185" s="329">
        <f>1-F821EVE!$AG$65</f>
        <v>0.75829999999999997</v>
      </c>
    </row>
    <row r="186" spans="2:13" s="37" customFormat="1" ht="15.75">
      <c r="B186" s="48"/>
      <c r="C186" s="160" t="s">
        <v>624</v>
      </c>
      <c r="D186" s="156">
        <f>(($E$19+$F$19)*(F821EA!R77+F821EA!Y77)*$L186)</f>
        <v>0</v>
      </c>
      <c r="E186" s="156">
        <f>(($E$19+$F$19)*(F821EA!S77+F821EA!Z77)*$L186)</f>
        <v>0</v>
      </c>
      <c r="F186" s="156">
        <f>(($E$19+$F$19)*(F821EA!T77+F821EA!AA77)*$L186)</f>
        <v>0</v>
      </c>
      <c r="G186" s="156">
        <f>(($E$19+$F$19)*(F821EA!U77+F821EA!AB77)*$L186)</f>
        <v>0</v>
      </c>
      <c r="H186" s="156">
        <f>(($E$19+$F$19)*(F821EA!V77+F821EA!AC77)*$L186)</f>
        <v>0</v>
      </c>
      <c r="I186" s="156">
        <f>(($E$19+$F$19)*(F821EA!W77+F821EA!AD77)*$L186)</f>
        <v>0</v>
      </c>
      <c r="J186" s="156"/>
      <c r="K186" s="69"/>
      <c r="L186" s="319">
        <v>0</v>
      </c>
      <c r="M186" s="329">
        <f>1-F821EVE!$AG$65</f>
        <v>0.75829999999999997</v>
      </c>
    </row>
    <row r="187" spans="2:13" s="37" customFormat="1" ht="15.75">
      <c r="B187" s="48" t="s">
        <v>749</v>
      </c>
      <c r="C187" s="158" t="s">
        <v>636</v>
      </c>
      <c r="D187" s="159">
        <f t="shared" ref="D187:I187" si="44">SUM(D188:D193)</f>
        <v>1691203.0887905869</v>
      </c>
      <c r="E187" s="159">
        <f t="shared" si="44"/>
        <v>1682865.6891337936</v>
      </c>
      <c r="F187" s="159">
        <f t="shared" si="44"/>
        <v>1642580.6790366462</v>
      </c>
      <c r="G187" s="159">
        <f t="shared" si="44"/>
        <v>1665530.8972218141</v>
      </c>
      <c r="H187" s="159">
        <f t="shared" si="44"/>
        <v>1534884.2831332576</v>
      </c>
      <c r="I187" s="159">
        <f t="shared" si="44"/>
        <v>1593248.3001511307</v>
      </c>
      <c r="J187" s="159">
        <f t="shared" ref="J187:J193" si="45">SUM(D187:I187)</f>
        <v>9810312.9374672286</v>
      </c>
      <c r="K187" s="69"/>
      <c r="L187" s="319"/>
      <c r="M187" s="69"/>
    </row>
    <row r="188" spans="2:13" s="37" customFormat="1" ht="15.75">
      <c r="B188" s="48"/>
      <c r="C188" s="160" t="s">
        <v>304</v>
      </c>
      <c r="D188" s="156">
        <f>(($E$20+$F$20)*(F821EA!R79+F821EA!Y79)*$L188)</f>
        <v>1452677.7523111808</v>
      </c>
      <c r="E188" s="156">
        <f>(($E$20+$F$20)*(F821EA!S79+F821EA!Z79)*$L188)</f>
        <v>1450126.0838188077</v>
      </c>
      <c r="F188" s="156">
        <f>(($E$20+$F$20)*(F821EA!T79+F821EA!AA79)*$L188)</f>
        <v>1421262.5067195159</v>
      </c>
      <c r="G188" s="156">
        <f>(($E$20+$F$20)*(F821EA!U79+F821EA!AB79)*$L188)</f>
        <v>1440521.4394840586</v>
      </c>
      <c r="H188" s="156">
        <f>(($E$20+$F$20)*(F821EA!V79+F821EA!AC79)*$L188)</f>
        <v>1335954.6383598542</v>
      </c>
      <c r="I188" s="156">
        <f>(($E$20+$F$20)*(F821EA!W79+F821EA!AD79)*$L188)</f>
        <v>1380400.4457559832</v>
      </c>
      <c r="J188" s="330">
        <f t="shared" si="45"/>
        <v>8480942.8664494008</v>
      </c>
      <c r="K188" s="69"/>
      <c r="L188" s="319">
        <v>1</v>
      </c>
      <c r="M188" s="329">
        <f>1-F821EVE!$AG$65</f>
        <v>0.75829999999999997</v>
      </c>
    </row>
    <row r="189" spans="2:13" s="37" customFormat="1" ht="15.75">
      <c r="B189" s="48"/>
      <c r="C189" s="162" t="s">
        <v>642</v>
      </c>
      <c r="D189" s="156">
        <f>(($E$20+$F$20)*(F821EA!R80+F821EA!Y80)*$L189)</f>
        <v>113053.42434526121</v>
      </c>
      <c r="E189" s="156">
        <f>(($E$20+$F$20)*(F821EA!S80+F821EA!Z80)*$L189)</f>
        <v>110802.34324979849</v>
      </c>
      <c r="F189" s="156">
        <f>(($E$20+$F$20)*(F821EA!T80+F821EA!AA80)*$L189)</f>
        <v>105433.46734595762</v>
      </c>
      <c r="G189" s="156">
        <f>(($E$20+$F$20)*(F821EA!U80+F821EA!AB80)*$L189)</f>
        <v>106747.7852640363</v>
      </c>
      <c r="H189" s="156">
        <f>(($E$20+$F$20)*(F821EA!V80+F821EA!AC80)*$L189)</f>
        <v>94672.444868723614</v>
      </c>
      <c r="I189" s="156">
        <f>(($E$20+$F$20)*(F821EA!W80+F821EA!AD80)*$L189)</f>
        <v>98569.094739666936</v>
      </c>
      <c r="J189" s="330">
        <f t="shared" si="45"/>
        <v>629278.55981344415</v>
      </c>
      <c r="K189" s="69"/>
      <c r="L189" s="319">
        <v>0.75</v>
      </c>
      <c r="M189" s="329">
        <f>1-F821EVE!$AG$65</f>
        <v>0.75829999999999997</v>
      </c>
    </row>
    <row r="190" spans="2:13" s="37" customFormat="1" ht="15.75">
      <c r="B190" s="48"/>
      <c r="C190" s="162" t="s">
        <v>1177</v>
      </c>
      <c r="D190" s="156">
        <f>(($E$20+$F$20)*(F821EA!R81+F821EA!Y81)*$L190)</f>
        <v>124516.31871088853</v>
      </c>
      <c r="E190" s="156">
        <f>(($E$20+$F$20)*(F821EA!S81+F821EA!Z81)*$L190)</f>
        <v>120910.94796903461</v>
      </c>
      <c r="F190" s="156">
        <f>(($E$20+$F$20)*(F821EA!T81+F821EA!AA81)*$L190)</f>
        <v>115015.58503936461</v>
      </c>
      <c r="G190" s="156">
        <f>(($E$20+$F$20)*(F821EA!U81+F821EA!AB81)*$L190)</f>
        <v>117450.55191545245</v>
      </c>
      <c r="H190" s="156">
        <f>(($E$20+$F$20)*(F821EA!V81+F821EA!AC81)*$L190)</f>
        <v>103548.14735253897</v>
      </c>
      <c r="I190" s="156">
        <f>(($E$20+$F$20)*(F821EA!W81+F821EA!AD81)*$L190)</f>
        <v>113952.09961043927</v>
      </c>
      <c r="J190" s="330">
        <f t="shared" si="45"/>
        <v>695393.65059771843</v>
      </c>
      <c r="K190" s="69"/>
      <c r="L190" s="319">
        <v>1</v>
      </c>
      <c r="M190" s="329">
        <f>1-F821EVE!$AG$65</f>
        <v>0.75829999999999997</v>
      </c>
    </row>
    <row r="191" spans="2:13" s="37" customFormat="1" ht="15.75">
      <c r="B191" s="48"/>
      <c r="C191" s="160" t="s">
        <v>305</v>
      </c>
      <c r="D191" s="156">
        <f>(($E$20+$F$20)*(F821EA!R82+F821EA!Y82)*$L191)</f>
        <v>940.07964355488377</v>
      </c>
      <c r="E191" s="156">
        <f>(($E$20+$F$20)*(F821EA!S82+F821EA!Z82)*$L191)</f>
        <v>1013.3490088308299</v>
      </c>
      <c r="F191" s="156">
        <f>(($E$20+$F$20)*(F821EA!T82+F821EA!AA82)*$L191)</f>
        <v>853.90692946802619</v>
      </c>
      <c r="G191" s="156">
        <f>(($E$20+$F$20)*(F821EA!U82+F821EA!AB82)*$L191)</f>
        <v>796.6990752993687</v>
      </c>
      <c r="H191" s="156">
        <f>(($E$20+$F$20)*(F821EA!V82+F821EA!AC82)*$L191)</f>
        <v>709.0525521408681</v>
      </c>
      <c r="I191" s="156">
        <f>(($E$20+$F$20)*(F821EA!W82+F821EA!AD82)*$L191)</f>
        <v>311.90612393742265</v>
      </c>
      <c r="J191" s="156">
        <f t="shared" si="45"/>
        <v>4624.9933332313994</v>
      </c>
      <c r="K191" s="69"/>
      <c r="L191" s="319">
        <v>0.95</v>
      </c>
      <c r="M191" s="329">
        <f>1-F821EVE!$AG$65</f>
        <v>0.75829999999999997</v>
      </c>
    </row>
    <row r="192" spans="2:13" s="37" customFormat="1" ht="15.75">
      <c r="B192" s="48"/>
      <c r="C192" s="160" t="s">
        <v>307</v>
      </c>
      <c r="D192" s="156">
        <f>(($E$20+$F$20)*(F821EA!R83+F821EA!Y83)*$L192)</f>
        <v>15.513779701501003</v>
      </c>
      <c r="E192" s="156">
        <f>(($E$20+$F$20)*(F821EA!S83+F821EA!Z83)*$L192)</f>
        <v>12.965087321968694</v>
      </c>
      <c r="F192" s="156">
        <f>(($E$20+$F$20)*(F821EA!T83+F821EA!AA83)*$L192)</f>
        <v>15.213002339941289</v>
      </c>
      <c r="G192" s="156">
        <f>(($E$20+$F$20)*(F821EA!U83+F821EA!AB83)*$L192)</f>
        <v>14.421482967415727</v>
      </c>
      <c r="H192" s="156">
        <f>(($E$20+$F$20)*(F821EA!V83+F821EA!AC83)*$L192)</f>
        <v>0</v>
      </c>
      <c r="I192" s="156">
        <f>(($E$20+$F$20)*(F821EA!W83+F821EA!AD83)*$L192)</f>
        <v>14.753921103876463</v>
      </c>
      <c r="J192" s="156">
        <f t="shared" si="45"/>
        <v>72.867273434703179</v>
      </c>
      <c r="K192" s="69"/>
      <c r="L192" s="319">
        <v>0.5</v>
      </c>
      <c r="M192" s="329">
        <f>1-F821EVE!$AG$65</f>
        <v>0.75829999999999997</v>
      </c>
    </row>
    <row r="193" spans="2:13" s="37" customFormat="1" ht="15.75">
      <c r="B193" s="48"/>
      <c r="C193" s="160" t="s">
        <v>624</v>
      </c>
      <c r="D193" s="156">
        <f>(($E$20+$F$20)*(F821EA!R84+F821EA!Y84)*$L193)</f>
        <v>0</v>
      </c>
      <c r="E193" s="156">
        <f>(($E$20+$F$20)*(F821EA!S84+F821EA!Z84)*$L193)</f>
        <v>0</v>
      </c>
      <c r="F193" s="156">
        <f>(($E$20+$F$20)*(F821EA!T84+F821EA!AA84)*$L193)</f>
        <v>0</v>
      </c>
      <c r="G193" s="156">
        <f>(($E$20+$F$20)*(F821EA!U84+F821EA!AB84)*$L193)</f>
        <v>0</v>
      </c>
      <c r="H193" s="156">
        <f>(($E$20+$F$20)*(F821EA!V84+F821EA!AC84)*$L193)</f>
        <v>0</v>
      </c>
      <c r="I193" s="156">
        <f>(($E$20+$F$20)*(F821EA!W84+F821EA!AD84)*$L193)</f>
        <v>0</v>
      </c>
      <c r="J193" s="156">
        <f t="shared" si="45"/>
        <v>0</v>
      </c>
      <c r="K193" s="69"/>
      <c r="L193" s="319">
        <v>0</v>
      </c>
      <c r="M193" s="329">
        <f>1-F821EVE!$AG$65</f>
        <v>0.75829999999999997</v>
      </c>
    </row>
    <row r="194" spans="2:13" s="37" customFormat="1" ht="15.75">
      <c r="B194" s="48"/>
      <c r="C194" s="157"/>
      <c r="D194" s="156"/>
      <c r="E194" s="156"/>
      <c r="F194" s="156"/>
      <c r="G194" s="156"/>
      <c r="H194" s="156"/>
      <c r="I194" s="156"/>
      <c r="J194" s="156"/>
      <c r="K194" s="69"/>
      <c r="L194" s="319"/>
      <c r="M194" s="69"/>
    </row>
    <row r="195" spans="2:13" s="37" customFormat="1" ht="15.75">
      <c r="B195" s="48" t="s">
        <v>902</v>
      </c>
      <c r="C195" s="158" t="s">
        <v>898</v>
      </c>
      <c r="D195" s="159">
        <f t="shared" ref="D195:H195" si="46">SUM(D196:D200)</f>
        <v>238737.08460604824</v>
      </c>
      <c r="E195" s="159">
        <f t="shared" si="46"/>
        <v>235759.94285929619</v>
      </c>
      <c r="F195" s="159">
        <f t="shared" si="46"/>
        <v>244541.84416808872</v>
      </c>
      <c r="G195" s="159">
        <f t="shared" si="46"/>
        <v>238968.35960778172</v>
      </c>
      <c r="H195" s="159">
        <f t="shared" si="46"/>
        <v>226470.51287686283</v>
      </c>
      <c r="I195" s="159">
        <f t="shared" ref="I195" si="47">SUM(I196:I200)</f>
        <v>242006.05251740367</v>
      </c>
      <c r="J195" s="159">
        <f t="shared" ref="J195:J214" si="48">SUM(D195:I195)</f>
        <v>1426483.7966354813</v>
      </c>
      <c r="K195" s="69"/>
      <c r="L195" s="319"/>
      <c r="M195" s="69"/>
    </row>
    <row r="196" spans="2:13" s="37" customFormat="1" ht="15.75">
      <c r="B196" s="48"/>
      <c r="C196" s="160" t="s">
        <v>304</v>
      </c>
      <c r="D196" s="156">
        <f>(($E$17+$F$17)*(F821EA!R87+F821EA!Y87)*$L196)</f>
        <v>229648.97696538319</v>
      </c>
      <c r="E196" s="156">
        <f>(($E$17+$F$17)*(F821EA!S87+F821EA!Z87)*$L196)</f>
        <v>227016.59340597148</v>
      </c>
      <c r="F196" s="156">
        <f>(($E$17+$F$17)*(F821EA!T87+F821EA!AA87)*$L196)</f>
        <v>235340.88563560374</v>
      </c>
      <c r="G196" s="156">
        <f>(($E$17+$F$17)*(F821EA!U87+F821EA!AB87)*$L196)</f>
        <v>229686.55328186543</v>
      </c>
      <c r="H196" s="156">
        <f>(($E$17+$F$17)*(F821EA!V87+F821EA!AC87)*$L196)</f>
        <v>217878.25002393237</v>
      </c>
      <c r="I196" s="156">
        <f>(($E$17+$F$17)*(F821EA!W87+F821EA!AD87)*$L196)</f>
        <v>232437.73581107869</v>
      </c>
      <c r="J196" s="156">
        <f t="shared" si="48"/>
        <v>1372008.9951238348</v>
      </c>
      <c r="K196" s="69"/>
      <c r="L196" s="319">
        <v>1</v>
      </c>
      <c r="M196" s="329">
        <f>1-F821EVE!$AG$65</f>
        <v>0.75829999999999997</v>
      </c>
    </row>
    <row r="197" spans="2:13" s="37" customFormat="1" ht="15.75">
      <c r="B197" s="48"/>
      <c r="C197" s="162" t="s">
        <v>644</v>
      </c>
      <c r="D197" s="156">
        <f>(($E$17+$F$17)*(F821EA!R88+F821EA!Y88)*$L197)</f>
        <v>9088.1076406650645</v>
      </c>
      <c r="E197" s="156">
        <f>(($E$17+$F$17)*(F821EA!S88+F821EA!Z88)*$L197)</f>
        <v>8743.3494533247213</v>
      </c>
      <c r="F197" s="156">
        <f>(($E$17+$F$17)*(F821EA!T88+F821EA!AA88)*$L197)</f>
        <v>9200.9585324849777</v>
      </c>
      <c r="G197" s="156">
        <f>(($E$17+$F$17)*(F821EA!U88+F821EA!AB88)*$L197)</f>
        <v>9281.8063259162936</v>
      </c>
      <c r="H197" s="156">
        <f>(($E$17+$F$17)*(F821EA!V88+F821EA!AC88)*$L197)</f>
        <v>8592.2628529304529</v>
      </c>
      <c r="I197" s="156">
        <f>(($E$17+$F$17)*(F821EA!W88+F821EA!AD88)*$L197)</f>
        <v>9568.3167063249748</v>
      </c>
      <c r="J197" s="156">
        <f t="shared" si="48"/>
        <v>54474.801511646481</v>
      </c>
      <c r="K197" s="69"/>
      <c r="L197" s="319">
        <v>0.75</v>
      </c>
      <c r="M197" s="329">
        <f>1-F821EVE!$AG$65</f>
        <v>0.75829999999999997</v>
      </c>
    </row>
    <row r="198" spans="2:13" s="37" customFormat="1" ht="15.75">
      <c r="B198" s="48"/>
      <c r="C198" s="160" t="s">
        <v>305</v>
      </c>
      <c r="D198" s="156">
        <f>(($E$17+$F$17)*(F821EA!R89+F821EA!Y89)*$L198)</f>
        <v>0</v>
      </c>
      <c r="E198" s="156">
        <f>(($E$17+$F$17)*(F821EA!S89+F821EA!Z89)*$L198)</f>
        <v>0</v>
      </c>
      <c r="F198" s="156">
        <f>(($E$17+$F$17)*(F821EA!T89+F821EA!AA89)*$L198)</f>
        <v>0</v>
      </c>
      <c r="G198" s="156">
        <f>(($E$17+$F$17)*(F821EA!U89+F821EA!AB89)*$L198)</f>
        <v>0</v>
      </c>
      <c r="H198" s="156">
        <f>(($E$17+$F$17)*(F821EA!V89+F821EA!AC89)*$L198)</f>
        <v>0</v>
      </c>
      <c r="I198" s="156">
        <f>(($E$17+$F$17)*(F821EA!W89+F821EA!AD89)*$L198)</f>
        <v>0</v>
      </c>
      <c r="J198" s="156">
        <f t="shared" si="48"/>
        <v>0</v>
      </c>
      <c r="K198" s="69"/>
      <c r="L198" s="319">
        <v>0.95</v>
      </c>
      <c r="M198" s="329">
        <f>1-F821EVE!$AG$65</f>
        <v>0.75829999999999997</v>
      </c>
    </row>
    <row r="199" spans="2:13" s="37" customFormat="1" ht="15.75">
      <c r="B199" s="48"/>
      <c r="C199" s="160" t="s">
        <v>307</v>
      </c>
      <c r="D199" s="156">
        <f>(($E$17+$F$17)*(F821EA!R90+F821EA!Y90)*$L199)</f>
        <v>0</v>
      </c>
      <c r="E199" s="156">
        <f>(($E$17+$F$17)*(F821EA!S90+F821EA!Z90)*$L199)</f>
        <v>0</v>
      </c>
      <c r="F199" s="156">
        <f>(($E$17+$F$17)*(F821EA!T90+F821EA!AA90)*$L199)</f>
        <v>0</v>
      </c>
      <c r="G199" s="156">
        <f>(($E$17+$F$17)*(F821EA!U90+F821EA!AB90)*$L199)</f>
        <v>0</v>
      </c>
      <c r="H199" s="156">
        <f>(($E$17+$F$17)*(F821EA!V90+F821EA!AC90)*$L199)</f>
        <v>0</v>
      </c>
      <c r="I199" s="156">
        <f>(($E$17+$F$17)*(F821EA!W90+F821EA!AD90)*$L199)</f>
        <v>0</v>
      </c>
      <c r="J199" s="156">
        <f t="shared" si="48"/>
        <v>0</v>
      </c>
      <c r="K199" s="69"/>
      <c r="L199" s="319">
        <v>0.5</v>
      </c>
      <c r="M199" s="329">
        <f>1-F821EVE!$AG$65</f>
        <v>0.75829999999999997</v>
      </c>
    </row>
    <row r="200" spans="2:13" s="37" customFormat="1" ht="15.75">
      <c r="B200" s="48"/>
      <c r="C200" s="160" t="s">
        <v>624</v>
      </c>
      <c r="D200" s="156">
        <f>(($E$17+$F$17)*(F821EA!R91+F821EA!Y91)*$L200)</f>
        <v>0</v>
      </c>
      <c r="E200" s="156">
        <f>(($E$17+$F$17)*(F821EA!S91+F821EA!Z91)*$L200)</f>
        <v>0</v>
      </c>
      <c r="F200" s="156">
        <f>(($E$17+$F$17)*(F821EA!T91+F821EA!AA91)*$L200)</f>
        <v>0</v>
      </c>
      <c r="G200" s="156">
        <f>(($E$17+$F$17)*(F821EA!U91+F821EA!AB91)*$L200)</f>
        <v>0</v>
      </c>
      <c r="H200" s="156">
        <f>(($E$17+$F$17)*(F821EA!V91+F821EA!AC91)*$L200)</f>
        <v>0</v>
      </c>
      <c r="I200" s="156">
        <f>(($E$17+$F$17)*(F821EA!W91+F821EA!AD91)*$L200)</f>
        <v>0</v>
      </c>
      <c r="J200" s="156">
        <f t="shared" si="48"/>
        <v>0</v>
      </c>
      <c r="K200" s="69"/>
      <c r="L200" s="319">
        <v>0</v>
      </c>
      <c r="M200" s="329">
        <f>1-F821EVE!$AG$65</f>
        <v>0.75829999999999997</v>
      </c>
    </row>
    <row r="201" spans="2:13" s="37" customFormat="1" ht="15.75">
      <c r="B201" s="48" t="s">
        <v>902</v>
      </c>
      <c r="C201" s="158" t="s">
        <v>899</v>
      </c>
      <c r="D201" s="159">
        <f t="shared" ref="D201:I201" si="49">SUM(D202:D207)</f>
        <v>20988.825151946625</v>
      </c>
      <c r="E201" s="159">
        <f t="shared" si="49"/>
        <v>19515.937422679315</v>
      </c>
      <c r="F201" s="159">
        <f t="shared" si="49"/>
        <v>18216.158183129279</v>
      </c>
      <c r="G201" s="159">
        <f t="shared" si="49"/>
        <v>19654.427827560485</v>
      </c>
      <c r="H201" s="159">
        <f t="shared" si="49"/>
        <v>15062.538724052276</v>
      </c>
      <c r="I201" s="159">
        <f t="shared" si="49"/>
        <v>19467.350161535574</v>
      </c>
      <c r="J201" s="159">
        <f t="shared" si="48"/>
        <v>112905.23747090355</v>
      </c>
      <c r="K201" s="69"/>
      <c r="L201" s="319"/>
      <c r="M201" s="69"/>
    </row>
    <row r="202" spans="2:13" s="37" customFormat="1" ht="15.75">
      <c r="B202" s="48"/>
      <c r="C202" s="160" t="s">
        <v>304</v>
      </c>
      <c r="D202" s="156">
        <f>(($E$17+$F$17)*(F821EA!R93+F821EA!Y93)*$L202)</f>
        <v>19124.972108664719</v>
      </c>
      <c r="E202" s="156">
        <f>(($E$17+$F$17)*(F821EA!S93+F821EA!Z93)*$L202)</f>
        <v>17834.44242394108</v>
      </c>
      <c r="F202" s="156">
        <f>(($E$17+$F$17)*(F821EA!T93+F821EA!AA93)*$L202)</f>
        <v>16437.651251934494</v>
      </c>
      <c r="G202" s="156">
        <f>(($E$17+$F$17)*(F821EA!U93+F821EA!AB93)*$L202)</f>
        <v>17896.136232011675</v>
      </c>
      <c r="H202" s="156">
        <f>(($E$17+$F$17)*(F821EA!V93+F821EA!AC93)*$L202)</f>
        <v>13638.504722596068</v>
      </c>
      <c r="I202" s="156">
        <f>(($E$17+$F$17)*(F821EA!W93+F821EA!AD93)*$L202)</f>
        <v>17628.152059560944</v>
      </c>
      <c r="J202" s="156">
        <f t="shared" si="48"/>
        <v>102559.85879870898</v>
      </c>
      <c r="K202" s="69"/>
      <c r="L202" s="319">
        <v>1</v>
      </c>
      <c r="M202" s="329">
        <f>1-F821EVE!$AG$65</f>
        <v>0.75829999999999997</v>
      </c>
    </row>
    <row r="203" spans="2:13" s="37" customFormat="1" ht="15.75">
      <c r="B203" s="48"/>
      <c r="C203" s="162" t="s">
        <v>642</v>
      </c>
      <c r="D203" s="156">
        <f>(($E$17+$F$17)*(F821EA!R94+F821EA!Y94)*$L203)</f>
        <v>1657.6710721223931</v>
      </c>
      <c r="E203" s="156">
        <f>(($E$17+$F$17)*(F821EA!S94+F821EA!Z94)*$L203)</f>
        <v>1532.6530412876771</v>
      </c>
      <c r="F203" s="156">
        <f>(($E$17+$F$17)*(F821EA!T94+F821EA!AA94)*$L203)</f>
        <v>1630.3153330679561</v>
      </c>
      <c r="G203" s="156">
        <f>(($E$17+$F$17)*(F821EA!U94+F821EA!AB94)*$L203)</f>
        <v>1592.8654753431099</v>
      </c>
      <c r="H203" s="156">
        <f>(($E$17+$F$17)*(F821EA!V94+F821EA!AC94)*$L203)</f>
        <v>1294.7570203278915</v>
      </c>
      <c r="I203" s="156">
        <f>(($E$17+$F$17)*(F821EA!W94+F821EA!AD94)*$L203)</f>
        <v>1672.9951636878059</v>
      </c>
      <c r="J203" s="156">
        <f t="shared" si="48"/>
        <v>9381.2571058368339</v>
      </c>
      <c r="K203" s="69"/>
      <c r="L203" s="319">
        <v>0.75</v>
      </c>
      <c r="M203" s="329">
        <f>1-F821EVE!$AG$65</f>
        <v>0.75829999999999997</v>
      </c>
    </row>
    <row r="204" spans="2:13" s="37" customFormat="1" ht="15.75">
      <c r="B204" s="48"/>
      <c r="C204" s="162" t="s">
        <v>1177</v>
      </c>
      <c r="D204" s="156">
        <f>(($E$17+$F$17)*(F821EA!R95+F821EA!Y95)*$L204)</f>
        <v>206.18197115951202</v>
      </c>
      <c r="E204" s="156">
        <f>(($E$17+$F$17)*(F821EA!S95+F821EA!Z95)*$L204)</f>
        <v>148.84195745055808</v>
      </c>
      <c r="F204" s="156">
        <f>(($E$17+$F$17)*(F821EA!T95+F821EA!AA95)*$L204)</f>
        <v>148.19159812682705</v>
      </c>
      <c r="G204" s="156">
        <f>(($E$17+$F$17)*(F821EA!U95+F821EA!AB95)*$L204)</f>
        <v>165.42612020569976</v>
      </c>
      <c r="H204" s="156">
        <f>(($E$17+$F$17)*(F821EA!V95+F821EA!AC95)*$L204)</f>
        <v>129.27698112831578</v>
      </c>
      <c r="I204" s="156">
        <f>(($E$17+$F$17)*(F821EA!W95+F821EA!AD95)*$L204)</f>
        <v>166.20293828682296</v>
      </c>
      <c r="J204" s="156">
        <f t="shared" si="48"/>
        <v>964.12156635773567</v>
      </c>
      <c r="K204" s="69"/>
      <c r="L204" s="319">
        <v>1</v>
      </c>
      <c r="M204" s="329">
        <f>1-F821EVE!$AG$65</f>
        <v>0.75829999999999997</v>
      </c>
    </row>
    <row r="205" spans="2:13" s="37" customFormat="1" ht="15.75">
      <c r="B205" s="48"/>
      <c r="C205" s="160" t="s">
        <v>305</v>
      </c>
      <c r="D205" s="156">
        <f>(($E$17+$F$17)*(F821EA!R96+F821EA!Y96)*$L205)</f>
        <v>0</v>
      </c>
      <c r="E205" s="156">
        <f>(($E$17+$F$17)*(F821EA!S96+F821EA!Z96)*$L205)</f>
        <v>0</v>
      </c>
      <c r="F205" s="156">
        <f>(($E$17+$F$17)*(F821EA!T96+F821EA!AA96)*$L205)</f>
        <v>0</v>
      </c>
      <c r="G205" s="156">
        <f>(($E$17+$F$17)*(F821EA!U96+F821EA!AB96)*$L205)</f>
        <v>0</v>
      </c>
      <c r="H205" s="156">
        <f>(($E$17+$F$17)*(F821EA!V96+F821EA!AC96)*$L205)</f>
        <v>0</v>
      </c>
      <c r="I205" s="156">
        <f>(($E$17+$F$17)*(F821EA!W96+F821EA!AD96)*$L205)</f>
        <v>0</v>
      </c>
      <c r="J205" s="156">
        <f t="shared" si="48"/>
        <v>0</v>
      </c>
      <c r="K205" s="69"/>
      <c r="L205" s="319">
        <v>0.95</v>
      </c>
      <c r="M205" s="329">
        <f>1-F821EVE!$AG$65</f>
        <v>0.75829999999999997</v>
      </c>
    </row>
    <row r="206" spans="2:13" s="37" customFormat="1" ht="15.75">
      <c r="B206" s="48"/>
      <c r="C206" s="160" t="s">
        <v>307</v>
      </c>
      <c r="D206" s="156">
        <f>(($E$17+$F$17)*(F821EA!R97+F821EA!Y97)*$L206)</f>
        <v>0</v>
      </c>
      <c r="E206" s="156">
        <f>(($E$17+$F$17)*(F821EA!S97+F821EA!Z97)*$L206)</f>
        <v>0</v>
      </c>
      <c r="F206" s="156">
        <f>(($E$17+$F$17)*(F821EA!T97+F821EA!AA97)*$L206)</f>
        <v>0</v>
      </c>
      <c r="G206" s="156">
        <f>(($E$17+$F$17)*(F821EA!U97+F821EA!AB97)*$L206)</f>
        <v>0</v>
      </c>
      <c r="H206" s="156">
        <f>(($E$17+$F$17)*(F821EA!V97+F821EA!AC97)*$L206)</f>
        <v>0</v>
      </c>
      <c r="I206" s="156">
        <f>(($E$17+$F$17)*(F821EA!W97+F821EA!AD97)*$L206)</f>
        <v>0</v>
      </c>
      <c r="J206" s="156">
        <f t="shared" si="48"/>
        <v>0</v>
      </c>
      <c r="K206" s="69"/>
      <c r="L206" s="319">
        <v>0.5</v>
      </c>
      <c r="M206" s="329">
        <f>1-F821EVE!$AG$65</f>
        <v>0.75829999999999997</v>
      </c>
    </row>
    <row r="207" spans="2:13" s="37" customFormat="1" ht="15.75">
      <c r="B207" s="48"/>
      <c r="C207" s="160" t="s">
        <v>624</v>
      </c>
      <c r="D207" s="156">
        <f>(($E$17+$F$17)*(F821EA!R98+F821EA!Y98)*$L207)</f>
        <v>0</v>
      </c>
      <c r="E207" s="156">
        <f>(($E$17+$F$17)*(F821EA!S98+F821EA!Z98)*$L207)</f>
        <v>0</v>
      </c>
      <c r="F207" s="156">
        <f>(($E$17+$F$17)*(F821EA!T98+F821EA!AA98)*$L207)</f>
        <v>0</v>
      </c>
      <c r="G207" s="156">
        <f>(($E$17+$F$17)*(F821EA!U98+F821EA!AB98)*$L207)</f>
        <v>0</v>
      </c>
      <c r="H207" s="156">
        <f>(($E$17+$F$17)*(F821EA!V98+F821EA!AC98)*$L207)</f>
        <v>0</v>
      </c>
      <c r="I207" s="156">
        <f>(($E$17+$F$17)*(F821EA!W98+F821EA!AD98)*$L207)</f>
        <v>0</v>
      </c>
      <c r="J207" s="156">
        <f t="shared" si="48"/>
        <v>0</v>
      </c>
      <c r="K207" s="69"/>
      <c r="L207" s="319">
        <v>0</v>
      </c>
      <c r="M207" s="329">
        <f>1-F821EVE!$AG$65</f>
        <v>0.75829999999999997</v>
      </c>
    </row>
    <row r="208" spans="2:13" s="37" customFormat="1" ht="15.75">
      <c r="B208" s="48" t="s">
        <v>902</v>
      </c>
      <c r="C208" s="158" t="s">
        <v>900</v>
      </c>
      <c r="D208" s="159">
        <f t="shared" ref="D208:I208" si="50">SUM(D209:D214)</f>
        <v>2238.0490227894634</v>
      </c>
      <c r="E208" s="159">
        <f t="shared" si="50"/>
        <v>2221.1532295250336</v>
      </c>
      <c r="F208" s="159">
        <f t="shared" si="50"/>
        <v>2509.0817545701839</v>
      </c>
      <c r="G208" s="159">
        <f t="shared" si="50"/>
        <v>1902.278439992348</v>
      </c>
      <c r="H208" s="159">
        <f t="shared" si="50"/>
        <v>1502.5919881018865</v>
      </c>
      <c r="I208" s="159">
        <f t="shared" si="50"/>
        <v>2112.4845094674456</v>
      </c>
      <c r="J208" s="159">
        <f t="shared" si="48"/>
        <v>12485.638944446362</v>
      </c>
      <c r="K208" s="69"/>
      <c r="L208" s="319"/>
      <c r="M208" s="69"/>
    </row>
    <row r="209" spans="2:13" s="37" customFormat="1" ht="15.75">
      <c r="B209" s="48"/>
      <c r="C209" s="160" t="s">
        <v>304</v>
      </c>
      <c r="D209" s="156">
        <f>(($E$17+$F$17)*(F821EA!R100+F821EA!Y100)*$L209)</f>
        <v>2155.2366022343767</v>
      </c>
      <c r="E209" s="156">
        <f>(($E$17+$F$17)*(F821EA!S100+F821EA!Z100)*$L209)</f>
        <v>2177.4030158515429</v>
      </c>
      <c r="F209" s="156">
        <f>(($E$17+$F$17)*(F821EA!T100+F821EA!AA100)*$L209)</f>
        <v>2448.6389849209299</v>
      </c>
      <c r="G209" s="156">
        <f>(($E$17+$F$17)*(F821EA!U100+F821EA!AB100)*$L209)</f>
        <v>1825.9560635219941</v>
      </c>
      <c r="H209" s="156">
        <f>(($E$17+$F$17)*(F821EA!V100+F821EA!AC100)*$L209)</f>
        <v>1469.2881710658257</v>
      </c>
      <c r="I209" s="156">
        <f>(($E$17+$F$17)*(F821EA!W100+F821EA!AD100)*$L209)</f>
        <v>2053.3289093130757</v>
      </c>
      <c r="J209" s="156">
        <f t="shared" si="48"/>
        <v>12129.851746907743</v>
      </c>
      <c r="K209" s="69"/>
      <c r="L209" s="319">
        <v>1</v>
      </c>
      <c r="M209" s="329">
        <f>1-F821EVE!$AG$65</f>
        <v>0.75829999999999997</v>
      </c>
    </row>
    <row r="210" spans="2:13" s="37" customFormat="1" ht="15.75">
      <c r="B210" s="48"/>
      <c r="C210" s="162" t="s">
        <v>642</v>
      </c>
      <c r="D210" s="156">
        <f>(($E$17+$F$17)*(F821EA!R101+F821EA!Y101)*$L210)</f>
        <v>82.812420555086561</v>
      </c>
      <c r="E210" s="156">
        <f>(($E$17+$F$17)*(F821EA!S101+F821EA!Z101)*$L210)</f>
        <v>43.750213673490599</v>
      </c>
      <c r="F210" s="156">
        <f>(($E$17+$F$17)*(F821EA!T101+F821EA!AA101)*$L210)</f>
        <v>60.442769649254117</v>
      </c>
      <c r="G210" s="156">
        <f>(($E$17+$F$17)*(F821EA!U101+F821EA!AB101)*$L210)</f>
        <v>76.322376470353831</v>
      </c>
      <c r="H210" s="156">
        <f>(($E$17+$F$17)*(F821EA!V101+F821EA!AC101)*$L210)</f>
        <v>33.303817036060664</v>
      </c>
      <c r="I210" s="156">
        <f>(($E$17+$F$17)*(F821EA!W101+F821EA!AD101)*$L210)</f>
        <v>59.155600154369765</v>
      </c>
      <c r="J210" s="156">
        <f t="shared" si="48"/>
        <v>355.78719753861554</v>
      </c>
      <c r="K210" s="69"/>
      <c r="L210" s="319">
        <v>0.75</v>
      </c>
      <c r="M210" s="329">
        <f>1-F821EVE!$AG$65</f>
        <v>0.75829999999999997</v>
      </c>
    </row>
    <row r="211" spans="2:13" s="37" customFormat="1" ht="15.75">
      <c r="B211" s="48"/>
      <c r="C211" s="162" t="s">
        <v>1177</v>
      </c>
      <c r="D211" s="156">
        <f>(($E$17+$F$17)*(F821EA!R102+F821EA!Y102)*$L211)</f>
        <v>0</v>
      </c>
      <c r="E211" s="156">
        <f>(($E$17+$F$17)*(F821EA!S102+F821EA!Z102)*$L211)</f>
        <v>0</v>
      </c>
      <c r="F211" s="156">
        <f>(($E$17+$F$17)*(F821EA!T102+F821EA!AA102)*$L211)</f>
        <v>0</v>
      </c>
      <c r="G211" s="156">
        <f>(($E$17+$F$17)*(F821EA!U102+F821EA!AB102)*$L211)</f>
        <v>0</v>
      </c>
      <c r="H211" s="156">
        <f>(($E$17+$F$17)*(F821EA!V102+F821EA!AC102)*$L211)</f>
        <v>0</v>
      </c>
      <c r="I211" s="156">
        <f>(($E$17+$F$17)*(F821EA!W102+F821EA!AD102)*$L211)</f>
        <v>0</v>
      </c>
      <c r="J211" s="156">
        <f t="shared" si="48"/>
        <v>0</v>
      </c>
      <c r="K211" s="69"/>
      <c r="L211" s="319">
        <v>1</v>
      </c>
      <c r="M211" s="329">
        <f>1-F821EVE!$AG$65</f>
        <v>0.75829999999999997</v>
      </c>
    </row>
    <row r="212" spans="2:13" s="37" customFormat="1" ht="15.75">
      <c r="B212" s="48"/>
      <c r="C212" s="160" t="s">
        <v>305</v>
      </c>
      <c r="D212" s="156">
        <f>(($E$17+$F$17)*(F821EA!R103+F821EA!Y103)*$L212)</f>
        <v>0</v>
      </c>
      <c r="E212" s="156">
        <f>(($E$17+$F$17)*(F821EA!S103+F821EA!Z103)*$L212)</f>
        <v>0</v>
      </c>
      <c r="F212" s="156">
        <f>(($E$17+$F$17)*(F821EA!T103+F821EA!AA103)*$L212)</f>
        <v>0</v>
      </c>
      <c r="G212" s="156">
        <f>(($E$17+$F$17)*(F821EA!U103+F821EA!AB103)*$L212)</f>
        <v>0</v>
      </c>
      <c r="H212" s="156">
        <f>(($E$17+$F$17)*(F821EA!V103+F821EA!AC103)*$L212)</f>
        <v>0</v>
      </c>
      <c r="I212" s="156">
        <f>(($E$17+$F$17)*(F821EA!W103+F821EA!AD103)*$L212)</f>
        <v>0</v>
      </c>
      <c r="J212" s="156">
        <f t="shared" si="48"/>
        <v>0</v>
      </c>
      <c r="K212" s="69"/>
      <c r="L212" s="319">
        <v>0.95</v>
      </c>
      <c r="M212" s="329">
        <f>1-F821EVE!$AG$65</f>
        <v>0.75829999999999997</v>
      </c>
    </row>
    <row r="213" spans="2:13" s="37" customFormat="1" ht="15.75">
      <c r="B213" s="48"/>
      <c r="C213" s="160" t="s">
        <v>307</v>
      </c>
      <c r="D213" s="156">
        <f>(($E$17+$F$17)*(F821EA!R104+F821EA!Y104)*$L213)</f>
        <v>0</v>
      </c>
      <c r="E213" s="156">
        <f>(($E$17+$F$17)*(F821EA!S104+F821EA!Z104)*$L213)</f>
        <v>0</v>
      </c>
      <c r="F213" s="156">
        <f>(($E$17+$F$17)*(F821EA!T104+F821EA!AA104)*$L213)</f>
        <v>0</v>
      </c>
      <c r="G213" s="156">
        <f>(($E$17+$F$17)*(F821EA!U104+F821EA!AB104)*$L213)</f>
        <v>0</v>
      </c>
      <c r="H213" s="156">
        <f>(($E$17+$F$17)*(F821EA!V104+F821EA!AC104)*$L213)</f>
        <v>0</v>
      </c>
      <c r="I213" s="156">
        <f>(($E$17+$F$17)*(F821EA!W104+F821EA!AD104)*$L213)</f>
        <v>0</v>
      </c>
      <c r="J213" s="156">
        <f t="shared" si="48"/>
        <v>0</v>
      </c>
      <c r="K213" s="69"/>
      <c r="L213" s="319">
        <v>0.5</v>
      </c>
      <c r="M213" s="329">
        <f>1-F821EVE!$AG$65</f>
        <v>0.75829999999999997</v>
      </c>
    </row>
    <row r="214" spans="2:13" s="37" customFormat="1" ht="15.75">
      <c r="B214" s="48"/>
      <c r="C214" s="160" t="s">
        <v>624</v>
      </c>
      <c r="D214" s="156">
        <f>(($E$17+$F$17)*(F821EA!R105+F821EA!Y105)*$L214)</f>
        <v>0</v>
      </c>
      <c r="E214" s="156">
        <f>(($E$17+$F$17)*(F821EA!S105+F821EA!Z105)*$L214)</f>
        <v>0</v>
      </c>
      <c r="F214" s="156">
        <f>(($E$17+$F$17)*(F821EA!T105+F821EA!AA105)*$L214)</f>
        <v>0</v>
      </c>
      <c r="G214" s="156">
        <f>(($E$17+$F$17)*(F821EA!U105+F821EA!AB105)*$L214)</f>
        <v>0</v>
      </c>
      <c r="H214" s="156">
        <f>(($E$17+$F$17)*(F821EA!V105+F821EA!AC105)*$L214)</f>
        <v>0</v>
      </c>
      <c r="I214" s="156">
        <f>(($E$17+$F$17)*(F821EA!W105+F821EA!AD105)*$L214)</f>
        <v>0</v>
      </c>
      <c r="J214" s="156">
        <f t="shared" si="48"/>
        <v>0</v>
      </c>
      <c r="K214" s="69"/>
      <c r="L214" s="319">
        <v>0</v>
      </c>
      <c r="M214" s="329">
        <f>1-F821EVE!$AG$65</f>
        <v>0.75829999999999997</v>
      </c>
    </row>
    <row r="215" spans="2:13" s="37" customFormat="1" ht="15.75">
      <c r="B215" s="48"/>
      <c r="C215" s="157"/>
      <c r="D215" s="156"/>
      <c r="E215" s="156"/>
      <c r="F215" s="156"/>
      <c r="G215" s="156"/>
      <c r="H215" s="156"/>
      <c r="I215" s="156"/>
      <c r="J215" s="156"/>
      <c r="K215" s="69"/>
      <c r="L215" s="319"/>
      <c r="M215" s="69"/>
    </row>
    <row r="216" spans="2:13" s="37" customFormat="1" ht="15.75">
      <c r="B216" s="48"/>
      <c r="C216" s="153" t="s">
        <v>112</v>
      </c>
      <c r="D216" s="154">
        <f t="shared" ref="D216:I216" si="51">D125+D129+D139</f>
        <v>6017507.1832320523</v>
      </c>
      <c r="E216" s="154">
        <f t="shared" si="51"/>
        <v>6032489.6292550638</v>
      </c>
      <c r="F216" s="154">
        <f t="shared" si="51"/>
        <v>5908382.7334914617</v>
      </c>
      <c r="G216" s="154">
        <f t="shared" si="51"/>
        <v>6009487.7304160632</v>
      </c>
      <c r="H216" s="154">
        <f t="shared" si="51"/>
        <v>5755358.3721998641</v>
      </c>
      <c r="I216" s="154">
        <f t="shared" si="51"/>
        <v>5773715.7413037382</v>
      </c>
      <c r="J216" s="154">
        <f>SUM(D216:I216)</f>
        <v>35496941.389898241</v>
      </c>
      <c r="K216" s="69"/>
      <c r="L216" s="319"/>
      <c r="M216" s="69"/>
    </row>
    <row r="217" spans="2:13">
      <c r="C217" s="48"/>
      <c r="D217" s="48"/>
      <c r="E217" s="48"/>
      <c r="F217" s="48"/>
      <c r="G217" s="48"/>
      <c r="H217" s="48"/>
      <c r="I217" s="48"/>
      <c r="J217" s="48"/>
    </row>
    <row r="218" spans="2:13" s="69" customFormat="1" ht="30">
      <c r="B218" s="48"/>
      <c r="C218" s="320" t="s">
        <v>661</v>
      </c>
      <c r="D218" s="320"/>
      <c r="E218" s="320"/>
      <c r="F218" s="320"/>
      <c r="G218" s="320"/>
      <c r="H218" s="320"/>
      <c r="I218" s="320"/>
      <c r="J218" s="321"/>
      <c r="L218" s="319"/>
    </row>
    <row r="219" spans="2:13" s="37" customFormat="1" ht="15.75">
      <c r="B219" s="48"/>
      <c r="C219" s="150" t="s">
        <v>310</v>
      </c>
      <c r="D219" s="151">
        <f t="shared" ref="D219:I219" si="52">D$29</f>
        <v>45839</v>
      </c>
      <c r="E219" s="151">
        <f t="shared" si="52"/>
        <v>45870</v>
      </c>
      <c r="F219" s="151">
        <f t="shared" si="52"/>
        <v>45901</v>
      </c>
      <c r="G219" s="151">
        <f t="shared" si="52"/>
        <v>45931</v>
      </c>
      <c r="H219" s="151">
        <f t="shared" si="52"/>
        <v>45962</v>
      </c>
      <c r="I219" s="151">
        <f t="shared" si="52"/>
        <v>45992</v>
      </c>
      <c r="J219" s="152" t="s">
        <v>111</v>
      </c>
      <c r="K219" s="69"/>
      <c r="L219" s="319"/>
      <c r="M219" s="69"/>
    </row>
    <row r="220" spans="2:13" s="37" customFormat="1" ht="15.75">
      <c r="B220" s="48"/>
      <c r="C220" s="153" t="s">
        <v>446</v>
      </c>
      <c r="D220" s="154">
        <f t="shared" ref="D220:I220" si="53">SUM(D221:D222)</f>
        <v>11573.981370000001</v>
      </c>
      <c r="E220" s="154">
        <f t="shared" si="53"/>
        <v>11606.174370000001</v>
      </c>
      <c r="F220" s="154">
        <f t="shared" si="53"/>
        <v>11342.3184</v>
      </c>
      <c r="G220" s="154">
        <f t="shared" si="53"/>
        <v>11774.669760000001</v>
      </c>
      <c r="H220" s="154">
        <f t="shared" si="53"/>
        <v>11228.58072</v>
      </c>
      <c r="I220" s="154">
        <f t="shared" si="53"/>
        <v>11653.85403</v>
      </c>
      <c r="J220" s="154">
        <f>SUM(D220:I220)</f>
        <v>69179.57865000001</v>
      </c>
      <c r="K220" s="69"/>
      <c r="L220" s="319"/>
      <c r="M220" s="69"/>
    </row>
    <row r="221" spans="2:13" s="37" customFormat="1" ht="15.75">
      <c r="B221" s="48" t="s">
        <v>279</v>
      </c>
      <c r="C221" s="155" t="s">
        <v>279</v>
      </c>
      <c r="D221" s="156">
        <f>$J$7*F821EA!D6</f>
        <v>11573.981370000001</v>
      </c>
      <c r="E221" s="156">
        <f>$J$7*F821EA!E6</f>
        <v>11606.174370000001</v>
      </c>
      <c r="F221" s="156">
        <f>$J$7*F821EA!F6</f>
        <v>11342.3184</v>
      </c>
      <c r="G221" s="156">
        <f>$J$7*F821EA!G6</f>
        <v>11774.669760000001</v>
      </c>
      <c r="H221" s="156">
        <f>$J$7*F821EA!H6</f>
        <v>11228.58072</v>
      </c>
      <c r="I221" s="156">
        <f>$J$7*F821EA!I6</f>
        <v>11653.85403</v>
      </c>
      <c r="J221" s="156">
        <f>SUM(D221:I221)</f>
        <v>69179.57865000001</v>
      </c>
      <c r="K221" s="69"/>
      <c r="L221" s="319"/>
      <c r="M221" s="69"/>
    </row>
    <row r="222" spans="2:13" s="37" customFormat="1" ht="15.75">
      <c r="B222" s="48" t="s">
        <v>278</v>
      </c>
      <c r="C222" s="155" t="s">
        <v>278</v>
      </c>
      <c r="D222" s="156">
        <f>$J$8*F821EA!D7</f>
        <v>0</v>
      </c>
      <c r="E222" s="156">
        <f>$J$8*F821EA!E7</f>
        <v>0</v>
      </c>
      <c r="F222" s="156">
        <f>$J$8*F821EA!F7</f>
        <v>0</v>
      </c>
      <c r="G222" s="156">
        <f>$J$8*F821EA!G7</f>
        <v>0</v>
      </c>
      <c r="H222" s="156">
        <f>$J$8*F821EA!H7</f>
        <v>0</v>
      </c>
      <c r="I222" s="156">
        <f>$J$8*F821EA!I7</f>
        <v>0</v>
      </c>
      <c r="J222" s="156">
        <f>SUM(D222:I222)</f>
        <v>0</v>
      </c>
      <c r="K222" s="69"/>
      <c r="L222" s="319"/>
    </row>
    <row r="223" spans="2:13" s="37" customFormat="1" ht="15.75">
      <c r="B223" s="48"/>
      <c r="C223" s="157"/>
      <c r="D223" s="156"/>
      <c r="E223" s="156"/>
      <c r="F223" s="156"/>
      <c r="G223" s="156"/>
      <c r="H223" s="156"/>
      <c r="I223" s="156"/>
      <c r="J223" s="156"/>
      <c r="K223" s="69"/>
      <c r="L223" s="319"/>
    </row>
    <row r="224" spans="2:13" s="37" customFormat="1" ht="15.75">
      <c r="B224" s="48"/>
      <c r="C224" s="153" t="s">
        <v>630</v>
      </c>
      <c r="D224" s="154">
        <f>D225+D228</f>
        <v>18572.755635000001</v>
      </c>
      <c r="E224" s="154">
        <f t="shared" ref="E224:I224" si="54">E225+E228</f>
        <v>19058.416020000001</v>
      </c>
      <c r="F224" s="154">
        <f t="shared" si="54"/>
        <v>18432.226575000001</v>
      </c>
      <c r="G224" s="154">
        <f t="shared" si="54"/>
        <v>19137.988484999998</v>
      </c>
      <c r="H224" s="154">
        <f t="shared" si="54"/>
        <v>18003.364785000002</v>
      </c>
      <c r="I224" s="154">
        <f t="shared" si="54"/>
        <v>17541.131894999999</v>
      </c>
      <c r="J224" s="154">
        <f t="shared" ref="J224:J232" si="55">SUM(D224:I224)</f>
        <v>110745.883395</v>
      </c>
      <c r="K224" s="69"/>
      <c r="L224" s="319"/>
    </row>
    <row r="225" spans="2:12" s="37" customFormat="1" ht="15.75">
      <c r="B225" s="48" t="s">
        <v>277</v>
      </c>
      <c r="C225" s="155" t="s">
        <v>277</v>
      </c>
      <c r="D225" s="154">
        <f>SUM(D226:D227)</f>
        <v>2671.6476150000003</v>
      </c>
      <c r="E225" s="154">
        <f t="shared" ref="E225:I225" si="56">SUM(E226:E227)</f>
        <v>2729.1647250000001</v>
      </c>
      <c r="F225" s="154">
        <f t="shared" si="56"/>
        <v>2716.8693300000004</v>
      </c>
      <c r="G225" s="154">
        <f t="shared" si="56"/>
        <v>2561.7327750000004</v>
      </c>
      <c r="H225" s="154">
        <f t="shared" si="56"/>
        <v>3118.8411450000003</v>
      </c>
      <c r="I225" s="154">
        <f t="shared" si="56"/>
        <v>2044.5818400000001</v>
      </c>
      <c r="J225" s="154">
        <f t="shared" si="55"/>
        <v>15842.837430000003</v>
      </c>
      <c r="K225" s="69"/>
      <c r="L225" s="319"/>
    </row>
    <row r="226" spans="2:12" s="37" customFormat="1" ht="15.75">
      <c r="B226" s="48"/>
      <c r="C226" s="160" t="s">
        <v>304</v>
      </c>
      <c r="D226" s="156">
        <f>$J$9*F821EA!D11</f>
        <v>2278.8819900000003</v>
      </c>
      <c r="E226" s="156">
        <f>$J$9*F821EA!E11</f>
        <v>2325.08745</v>
      </c>
      <c r="F226" s="156">
        <f>$J$9*F821EA!F11</f>
        <v>2313.4204800000002</v>
      </c>
      <c r="G226" s="156">
        <f>$J$9*F821EA!G11</f>
        <v>2143.8301500000002</v>
      </c>
      <c r="H226" s="156">
        <f>$J$9*F821EA!H11</f>
        <v>2707.2227700000003</v>
      </c>
      <c r="I226" s="156">
        <f>$J$9*F821EA!I11</f>
        <v>2044.5818400000001</v>
      </c>
      <c r="J226" s="156">
        <f t="shared" si="55"/>
        <v>13813.024680000002</v>
      </c>
      <c r="K226" s="69"/>
      <c r="L226" s="319"/>
    </row>
    <row r="227" spans="2:12" s="37" customFormat="1" ht="15.75">
      <c r="B227" s="48"/>
      <c r="C227" s="160" t="s">
        <v>305</v>
      </c>
      <c r="D227" s="156">
        <f>($J$9*F821EA!D12)*$L227</f>
        <v>392.765625</v>
      </c>
      <c r="E227" s="156">
        <f>($J$9*F821EA!E12)*$L227</f>
        <v>404.07727500000004</v>
      </c>
      <c r="F227" s="156">
        <f>($J$9*F821EA!F12)*$L227</f>
        <v>403.44884999999999</v>
      </c>
      <c r="G227" s="156">
        <f>($J$9*F821EA!G12)*$L227</f>
        <v>417.902625</v>
      </c>
      <c r="H227" s="156">
        <f>($J$9*F821EA!H12)*$L227</f>
        <v>411.61837500000001</v>
      </c>
      <c r="I227" s="156">
        <f>($J$9*F821EA!I12)*$L227</f>
        <v>0</v>
      </c>
      <c r="J227" s="156">
        <f t="shared" si="55"/>
        <v>2029.8127500000001</v>
      </c>
      <c r="K227" s="69"/>
      <c r="L227" s="319">
        <v>0.95</v>
      </c>
    </row>
    <row r="228" spans="2:12" s="37" customFormat="1" ht="15.75">
      <c r="B228" s="48" t="s">
        <v>276</v>
      </c>
      <c r="C228" s="158" t="s">
        <v>276</v>
      </c>
      <c r="D228" s="159">
        <f t="shared" ref="D228:I228" si="57">SUM(D229:D232)</f>
        <v>15901.10802</v>
      </c>
      <c r="E228" s="159">
        <f t="shared" si="57"/>
        <v>16329.251295000002</v>
      </c>
      <c r="F228" s="159">
        <f t="shared" si="57"/>
        <v>15715.357245000001</v>
      </c>
      <c r="G228" s="159">
        <f t="shared" si="57"/>
        <v>16576.255709999998</v>
      </c>
      <c r="H228" s="159">
        <f t="shared" si="57"/>
        <v>14884.523640000001</v>
      </c>
      <c r="I228" s="159">
        <f t="shared" si="57"/>
        <v>15496.550055</v>
      </c>
      <c r="J228" s="159">
        <f t="shared" si="55"/>
        <v>94903.045964999998</v>
      </c>
      <c r="K228" s="69"/>
      <c r="L228" s="319"/>
    </row>
    <row r="229" spans="2:12" s="37" customFormat="1" ht="15.75">
      <c r="B229" s="48"/>
      <c r="C229" s="160" t="s">
        <v>304</v>
      </c>
      <c r="D229" s="156">
        <f>$J$10*F821EA!D15</f>
        <v>15855.94521</v>
      </c>
      <c r="E229" s="156">
        <f>$J$10*F821EA!E15</f>
        <v>16261.507080000001</v>
      </c>
      <c r="F229" s="156">
        <f>$J$10*F821EA!F15</f>
        <v>15667.303680000001</v>
      </c>
      <c r="G229" s="156">
        <f>$J$10*F821EA!G15</f>
        <v>16541.315279999999</v>
      </c>
      <c r="H229" s="156">
        <f>$J$10*F821EA!H15</f>
        <v>14797.465830000001</v>
      </c>
      <c r="I229" s="156">
        <f>$J$10*F821EA!I15</f>
        <v>15409.53414</v>
      </c>
      <c r="J229" s="156">
        <f t="shared" si="55"/>
        <v>94533.071219999998</v>
      </c>
      <c r="K229" s="69"/>
      <c r="L229" s="319">
        <v>1</v>
      </c>
    </row>
    <row r="230" spans="2:12" s="37" customFormat="1" ht="15.75">
      <c r="B230" s="48"/>
      <c r="C230" s="161" t="s">
        <v>306</v>
      </c>
      <c r="D230" s="156">
        <f>$J$10*F821EA!D16</f>
        <v>0</v>
      </c>
      <c r="E230" s="156">
        <f>$J$10*F821EA!E16</f>
        <v>0</v>
      </c>
      <c r="F230" s="156">
        <f>$J$10*F821EA!F16</f>
        <v>0</v>
      </c>
      <c r="G230" s="156">
        <f>$J$10*F821EA!G16</f>
        <v>0</v>
      </c>
      <c r="H230" s="156">
        <f>$J$10*F821EA!H16</f>
        <v>0</v>
      </c>
      <c r="I230" s="156">
        <f>$J$10*F821EA!I16</f>
        <v>0</v>
      </c>
      <c r="J230" s="156">
        <f t="shared" si="55"/>
        <v>0</v>
      </c>
      <c r="K230" s="69"/>
      <c r="L230" s="319">
        <v>1</v>
      </c>
    </row>
    <row r="231" spans="2:12" s="37" customFormat="1" ht="15.75">
      <c r="B231" s="48"/>
      <c r="C231" s="160" t="s">
        <v>305</v>
      </c>
      <c r="D231" s="156">
        <f>$J$10*F821EA!D17*0.95</f>
        <v>45.16281</v>
      </c>
      <c r="E231" s="156">
        <f>$J$10*F821EA!E17*0.95</f>
        <v>67.744214999999997</v>
      </c>
      <c r="F231" s="156">
        <f>$J$10*F821EA!F17*0.95</f>
        <v>48.053564999999999</v>
      </c>
      <c r="G231" s="156">
        <f>$J$10*F821EA!G17*0.95</f>
        <v>34.940429999999999</v>
      </c>
      <c r="H231" s="156">
        <f>$J$10*F821EA!H17*0.95</f>
        <v>87.057810000000003</v>
      </c>
      <c r="I231" s="156">
        <f>$J$10*F821EA!I17*0.95</f>
        <v>87.015915000000007</v>
      </c>
      <c r="J231" s="156">
        <f t="shared" si="55"/>
        <v>369.97474499999998</v>
      </c>
      <c r="K231" s="69"/>
      <c r="L231" s="319">
        <v>0.95</v>
      </c>
    </row>
    <row r="232" spans="2:12" s="37" customFormat="1" ht="15.75">
      <c r="B232" s="48"/>
      <c r="C232" s="160" t="s">
        <v>307</v>
      </c>
      <c r="D232" s="156">
        <f>$J$10*F821EA!D18*0.5</f>
        <v>0</v>
      </c>
      <c r="E232" s="156">
        <f>$J$10*F821EA!E18*0.5</f>
        <v>0</v>
      </c>
      <c r="F232" s="156">
        <f>$J$10*F821EA!F18*0.5</f>
        <v>0</v>
      </c>
      <c r="G232" s="156">
        <f>$J$10*F821EA!G18*0.5</f>
        <v>0</v>
      </c>
      <c r="H232" s="156">
        <f>$J$10*F821EA!H18*0.5</f>
        <v>0</v>
      </c>
      <c r="I232" s="156">
        <f>$J$10*F821EA!I18*0.5</f>
        <v>0</v>
      </c>
      <c r="J232" s="156">
        <f t="shared" si="55"/>
        <v>0</v>
      </c>
      <c r="K232" s="69"/>
      <c r="L232" s="319">
        <v>0.5</v>
      </c>
    </row>
    <row r="233" spans="2:12" s="37" customFormat="1" ht="15.75">
      <c r="B233" s="48"/>
      <c r="C233" s="157"/>
      <c r="D233" s="157"/>
      <c r="E233" s="157"/>
      <c r="F233" s="157"/>
      <c r="G233" s="157"/>
      <c r="H233" s="157"/>
      <c r="I233" s="157"/>
      <c r="J233" s="157"/>
      <c r="K233" s="69"/>
      <c r="L233" s="319"/>
    </row>
    <row r="234" spans="2:12" s="37" customFormat="1" ht="15.75">
      <c r="B234" s="48"/>
      <c r="C234" s="153" t="s">
        <v>443</v>
      </c>
      <c r="D234" s="154">
        <f t="shared" ref="D234:I234" si="58">D235+D239+D246+D251+D256+D269+D275+D282+D290+D296+D303+D262</f>
        <v>137831.3333425</v>
      </c>
      <c r="E234" s="154">
        <f t="shared" si="58"/>
        <v>137374.01757249999</v>
      </c>
      <c r="F234" s="154">
        <f t="shared" si="58"/>
        <v>135002.14817249996</v>
      </c>
      <c r="G234" s="154">
        <f t="shared" si="58"/>
        <v>136546.1415275</v>
      </c>
      <c r="H234" s="154">
        <f t="shared" si="58"/>
        <v>130729.14837750001</v>
      </c>
      <c r="I234" s="154">
        <f t="shared" si="58"/>
        <v>131607.81487450001</v>
      </c>
      <c r="J234" s="154">
        <f>SUM(D234:I234)</f>
        <v>809090.60386699997</v>
      </c>
      <c r="K234" s="69"/>
      <c r="L234" s="319"/>
    </row>
    <row r="235" spans="2:12" s="37" customFormat="1" ht="15.75">
      <c r="B235" s="48" t="s">
        <v>275</v>
      </c>
      <c r="C235" s="155" t="s">
        <v>275</v>
      </c>
      <c r="D235" s="156">
        <f>$J$11*F821EA!D21</f>
        <v>1761.5291400000001</v>
      </c>
      <c r="E235" s="156">
        <f>$J$11*F821EA!E21</f>
        <v>1749.0658500000002</v>
      </c>
      <c r="F235" s="156">
        <f>$J$11*F821EA!F21</f>
        <v>1729.68768</v>
      </c>
      <c r="G235" s="156">
        <f>$J$11*F821EA!G21</f>
        <v>1781.3785500000001</v>
      </c>
      <c r="H235" s="156">
        <f>$J$11*F821EA!H21</f>
        <v>1756.99062</v>
      </c>
      <c r="I235" s="156">
        <f>$J$11*F821EA!I21</f>
        <v>1837.6092000000001</v>
      </c>
      <c r="J235" s="156">
        <f>SUM(D235:I235)</f>
        <v>10616.261040000001</v>
      </c>
      <c r="K235" s="69"/>
      <c r="L235" s="319"/>
    </row>
    <row r="236" spans="2:12" s="37" customFormat="1" ht="15.75">
      <c r="B236" s="48"/>
      <c r="C236" s="160" t="s">
        <v>304</v>
      </c>
      <c r="D236" s="156"/>
      <c r="E236" s="156"/>
      <c r="F236" s="156"/>
      <c r="G236" s="156"/>
      <c r="H236" s="156"/>
      <c r="I236" s="156"/>
      <c r="J236" s="156"/>
      <c r="K236" s="69"/>
      <c r="L236" s="319"/>
    </row>
    <row r="237" spans="2:12" s="37" customFormat="1" ht="15.75">
      <c r="B237" s="48"/>
      <c r="C237" s="161" t="s">
        <v>306</v>
      </c>
      <c r="D237" s="156"/>
      <c r="E237" s="156"/>
      <c r="F237" s="156"/>
      <c r="G237" s="156"/>
      <c r="H237" s="156"/>
      <c r="I237" s="156"/>
      <c r="J237" s="156"/>
      <c r="K237" s="69"/>
      <c r="L237" s="319"/>
    </row>
    <row r="238" spans="2:12" s="37" customFormat="1" ht="15.75">
      <c r="B238" s="48"/>
      <c r="C238" s="160" t="s">
        <v>305</v>
      </c>
      <c r="D238" s="156"/>
      <c r="E238" s="156"/>
      <c r="F238" s="156"/>
      <c r="G238" s="156"/>
      <c r="H238" s="156"/>
      <c r="I238" s="156"/>
      <c r="J238" s="156"/>
      <c r="K238" s="69"/>
      <c r="L238" s="319"/>
    </row>
    <row r="239" spans="2:12" s="37" customFormat="1" ht="15.75">
      <c r="B239" s="48" t="s">
        <v>274</v>
      </c>
      <c r="C239" s="158" t="s">
        <v>627</v>
      </c>
      <c r="D239" s="159">
        <f t="shared" ref="D239:I239" si="59">SUM(D240:D245)</f>
        <v>21622.422149999999</v>
      </c>
      <c r="E239" s="159">
        <f t="shared" si="59"/>
        <v>21620.461590000003</v>
      </c>
      <c r="F239" s="159">
        <f t="shared" si="59"/>
        <v>21303.921869999998</v>
      </c>
      <c r="G239" s="159">
        <f t="shared" si="59"/>
        <v>21723.752610000003</v>
      </c>
      <c r="H239" s="159">
        <f t="shared" si="59"/>
        <v>20950.392329999995</v>
      </c>
      <c r="I239" s="159">
        <f t="shared" si="59"/>
        <v>20784.618477000004</v>
      </c>
      <c r="J239" s="159">
        <f t="shared" ref="J239:J260" si="60">SUM(D239:I239)</f>
        <v>128005.56902700002</v>
      </c>
      <c r="K239" s="69"/>
      <c r="L239" s="319"/>
    </row>
    <row r="240" spans="2:12" s="37" customFormat="1" ht="15.75">
      <c r="B240" s="48"/>
      <c r="C240" s="160" t="s">
        <v>304</v>
      </c>
      <c r="D240" s="156">
        <f>$J$12*F821EA!D28</f>
        <v>21586.12155</v>
      </c>
      <c r="E240" s="156">
        <f>$J$12*F821EA!E28</f>
        <v>21582.490860000002</v>
      </c>
      <c r="F240" s="156">
        <f>$J$12*F821EA!F28</f>
        <v>21260.841840000001</v>
      </c>
      <c r="G240" s="156">
        <f>$J$12*F821EA!G28</f>
        <v>21687.443190000002</v>
      </c>
      <c r="H240" s="156">
        <f>$J$12*F821EA!H28</f>
        <v>20914.744409999999</v>
      </c>
      <c r="I240" s="156">
        <f>$J$12*F821EA!I28</f>
        <v>20743.633260000002</v>
      </c>
      <c r="J240" s="156">
        <f t="shared" si="60"/>
        <v>127775.27511</v>
      </c>
      <c r="K240" s="69"/>
      <c r="L240" s="319">
        <v>1</v>
      </c>
    </row>
    <row r="241" spans="2:12" s="37" customFormat="1" ht="15.75">
      <c r="B241" s="48"/>
      <c r="C241" s="162" t="s">
        <v>628</v>
      </c>
      <c r="D241" s="156">
        <f>$J$12*F821EA!D29*0.75</f>
        <v>1.7010000000000001</v>
      </c>
      <c r="E241" s="156">
        <f>$J$12*F821EA!E29*0.75</f>
        <v>1.7010000000000001</v>
      </c>
      <c r="F241" s="156">
        <f>$J$12*F821EA!F29*0.75</f>
        <v>1.9844999999999999</v>
      </c>
      <c r="G241" s="156">
        <f>$J$12*F821EA!G29*0.75</f>
        <v>1.9844999999999999</v>
      </c>
      <c r="H241" s="156">
        <f>$J$12*F821EA!H29*0.75</f>
        <v>1.9844999999999999</v>
      </c>
      <c r="I241" s="156">
        <f>$J$12*F821EA!I29*0.75</f>
        <v>1.7010000000000001</v>
      </c>
      <c r="J241" s="156">
        <f t="shared" si="60"/>
        <v>11.0565</v>
      </c>
      <c r="K241" s="69"/>
      <c r="L241" s="319">
        <v>0.75</v>
      </c>
    </row>
    <row r="242" spans="2:12" s="37" customFormat="1" ht="15.75">
      <c r="B242" s="48"/>
      <c r="C242" s="161" t="s">
        <v>629</v>
      </c>
      <c r="D242" s="156">
        <f>$J$12*F821EA!D30</f>
        <v>9.4676400000000012</v>
      </c>
      <c r="E242" s="156">
        <f>$J$12*F821EA!E30</f>
        <v>10.28853</v>
      </c>
      <c r="F242" s="156">
        <f>$J$12*F821EA!F30</f>
        <v>10.209150000000001</v>
      </c>
      <c r="G242" s="156">
        <f>$J$12*F821EA!G30</f>
        <v>9.5419800000000006</v>
      </c>
      <c r="H242" s="156">
        <f>$J$12*F821EA!H30</f>
        <v>9.4222800000000007</v>
      </c>
      <c r="I242" s="156">
        <f>$J$12*F821EA!I30</f>
        <v>9.8116199999999996</v>
      </c>
      <c r="J242" s="156">
        <f t="shared" si="60"/>
        <v>58.741199999999999</v>
      </c>
      <c r="K242" s="69"/>
      <c r="L242" s="319">
        <v>1</v>
      </c>
    </row>
    <row r="243" spans="2:12" s="37" customFormat="1" ht="15.75">
      <c r="B243" s="48"/>
      <c r="C243" s="160" t="s">
        <v>305</v>
      </c>
      <c r="D243" s="156">
        <f>$J$12*F821EA!D31*0.95</f>
        <v>22.838760000000001</v>
      </c>
      <c r="E243" s="156">
        <f>$J$12*F821EA!E31*0.95</f>
        <v>23.939999999999998</v>
      </c>
      <c r="F243" s="156">
        <f>$J$12*F821EA!F31*0.95</f>
        <v>28.416779999999999</v>
      </c>
      <c r="G243" s="156">
        <f>$J$12*F821EA!G31*0.95</f>
        <v>22.288140000000002</v>
      </c>
      <c r="H243" s="156">
        <f>$J$12*F821EA!H31*0.95</f>
        <v>22.048740000000002</v>
      </c>
      <c r="I243" s="156">
        <f>$J$12*F821EA!I31*0.95</f>
        <v>27.532197</v>
      </c>
      <c r="J243" s="156">
        <f t="shared" si="60"/>
        <v>147.064617</v>
      </c>
      <c r="K243" s="69"/>
      <c r="L243" s="319">
        <v>0.95</v>
      </c>
    </row>
    <row r="244" spans="2:12" s="37" customFormat="1" ht="15.75">
      <c r="B244" s="48"/>
      <c r="C244" s="160" t="s">
        <v>307</v>
      </c>
      <c r="D244" s="156">
        <f>$J$12*F821EA!D32*0.5</f>
        <v>2.2932000000000001</v>
      </c>
      <c r="E244" s="156">
        <f>$J$12*F821EA!E32*0.5</f>
        <v>2.0411999999999999</v>
      </c>
      <c r="F244" s="156">
        <f>$J$12*F821EA!F32*0.5</f>
        <v>2.4696000000000002</v>
      </c>
      <c r="G244" s="156">
        <f>$J$12*F821EA!G32*0.5</f>
        <v>2.4948000000000001</v>
      </c>
      <c r="H244" s="156">
        <f>$J$12*F821EA!H32*0.5</f>
        <v>2.1924000000000001</v>
      </c>
      <c r="I244" s="156">
        <f>$J$12*F821EA!I32*0.5</f>
        <v>1.9404000000000001</v>
      </c>
      <c r="J244" s="156">
        <f t="shared" si="60"/>
        <v>13.4316</v>
      </c>
      <c r="K244" s="69"/>
      <c r="L244" s="319">
        <v>0.5</v>
      </c>
    </row>
    <row r="245" spans="2:12" s="37" customFormat="1" ht="15.75">
      <c r="B245" s="48"/>
      <c r="C245" s="160" t="s">
        <v>624</v>
      </c>
      <c r="D245" s="156">
        <f>$J$12*F821EA!D33*0</f>
        <v>0</v>
      </c>
      <c r="E245" s="156">
        <f>$J$12*F821EA!E33*0</f>
        <v>0</v>
      </c>
      <c r="F245" s="156">
        <f>$J$12*F821EA!F33*0</f>
        <v>0</v>
      </c>
      <c r="G245" s="156">
        <f>$J$12*F821EA!G33*0</f>
        <v>0</v>
      </c>
      <c r="H245" s="156">
        <f>$J$12*F821EA!H33*0</f>
        <v>0</v>
      </c>
      <c r="I245" s="156">
        <f>$J$12*F821EA!I33*0</f>
        <v>0</v>
      </c>
      <c r="J245" s="156">
        <f t="shared" si="60"/>
        <v>0</v>
      </c>
      <c r="K245" s="69"/>
      <c r="L245" s="319">
        <v>0</v>
      </c>
    </row>
    <row r="246" spans="2:12" s="37" customFormat="1" ht="15.75">
      <c r="B246" s="48" t="s">
        <v>274</v>
      </c>
      <c r="C246" s="158" t="s">
        <v>631</v>
      </c>
      <c r="D246" s="159">
        <f t="shared" ref="D246:I246" si="61">SUM(D247:D250)</f>
        <v>10082.20059</v>
      </c>
      <c r="E246" s="159">
        <f t="shared" si="61"/>
        <v>10149.07761</v>
      </c>
      <c r="F246" s="159">
        <f t="shared" si="61"/>
        <v>9695.5267500000009</v>
      </c>
      <c r="G246" s="159">
        <f t="shared" si="61"/>
        <v>10041.488730000001</v>
      </c>
      <c r="H246" s="159">
        <f t="shared" si="61"/>
        <v>9314.6073300000007</v>
      </c>
      <c r="I246" s="159">
        <f t="shared" si="61"/>
        <v>9150.3795600000012</v>
      </c>
      <c r="J246" s="159">
        <f t="shared" si="60"/>
        <v>58433.280570000003</v>
      </c>
      <c r="K246" s="69"/>
      <c r="L246" s="319"/>
    </row>
    <row r="247" spans="2:12" s="37" customFormat="1" ht="15.75">
      <c r="B247" s="48"/>
      <c r="C247" s="160" t="s">
        <v>304</v>
      </c>
      <c r="D247" s="156">
        <f>$J$12*F821EA!D35</f>
        <v>10076.07195</v>
      </c>
      <c r="E247" s="156">
        <f>$J$12*F821EA!E35</f>
        <v>10143.09261</v>
      </c>
      <c r="F247" s="156">
        <f>$J$12*F821EA!F35</f>
        <v>9689.4459900000002</v>
      </c>
      <c r="G247" s="156">
        <f>$J$12*F821EA!G35</f>
        <v>10033.444890000001</v>
      </c>
      <c r="H247" s="156">
        <f>$J$12*F821EA!H35</f>
        <v>9310.1066100000007</v>
      </c>
      <c r="I247" s="156">
        <f>$J$12*F821EA!I35</f>
        <v>9140.0374800000009</v>
      </c>
      <c r="J247" s="156">
        <f t="shared" si="60"/>
        <v>58392.199529999998</v>
      </c>
      <c r="K247" s="69"/>
      <c r="L247" s="319">
        <v>1</v>
      </c>
    </row>
    <row r="248" spans="2:12" s="37" customFormat="1" ht="15.75">
      <c r="B248" s="48"/>
      <c r="C248" s="161" t="s">
        <v>306</v>
      </c>
      <c r="D248" s="156">
        <f>$J$12*F821EA!D36</f>
        <v>0</v>
      </c>
      <c r="E248" s="156">
        <f>$J$12*F821EA!E36</f>
        <v>0</v>
      </c>
      <c r="F248" s="156">
        <f>$J$12*F821EA!F36</f>
        <v>0</v>
      </c>
      <c r="G248" s="156">
        <f>$J$12*F821EA!G36</f>
        <v>0</v>
      </c>
      <c r="H248" s="156">
        <f>$J$12*F821EA!H36</f>
        <v>0</v>
      </c>
      <c r="I248" s="156">
        <f>$J$12*F821EA!I36</f>
        <v>0</v>
      </c>
      <c r="J248" s="156">
        <f t="shared" si="60"/>
        <v>0</v>
      </c>
      <c r="K248" s="69"/>
      <c r="L248" s="319">
        <v>1</v>
      </c>
    </row>
    <row r="249" spans="2:12" s="37" customFormat="1" ht="15.75">
      <c r="B249" s="48"/>
      <c r="C249" s="160" t="s">
        <v>305</v>
      </c>
      <c r="D249" s="156">
        <f>$J$12*F821EA!D37*0.95</f>
        <v>6.1286399999999999</v>
      </c>
      <c r="E249" s="156">
        <f>$J$12*F821EA!E37*0.95</f>
        <v>5.9849999999999994</v>
      </c>
      <c r="F249" s="156">
        <f>$J$12*F821EA!F37*0.95</f>
        <v>6.0807599999999997</v>
      </c>
      <c r="G249" s="156">
        <f>$J$12*F821EA!G37*0.95</f>
        <v>8.0438399999999994</v>
      </c>
      <c r="H249" s="156">
        <f>$J$12*F821EA!H37*0.95</f>
        <v>4.5007200000000003</v>
      </c>
      <c r="I249" s="156">
        <f>$J$12*F821EA!I37*0.95</f>
        <v>10.342079999999999</v>
      </c>
      <c r="J249" s="156">
        <f t="shared" si="60"/>
        <v>41.081040000000002</v>
      </c>
      <c r="K249" s="69"/>
      <c r="L249" s="319">
        <v>0.95</v>
      </c>
    </row>
    <row r="250" spans="2:12" s="37" customFormat="1" ht="15.75">
      <c r="B250" s="48"/>
      <c r="C250" s="160" t="s">
        <v>307</v>
      </c>
      <c r="D250" s="156">
        <f>$J$12*F821EA!D38*0.5</f>
        <v>0</v>
      </c>
      <c r="E250" s="156">
        <f>$J$12*F821EA!E38*0.5</f>
        <v>0</v>
      </c>
      <c r="F250" s="156">
        <f>$J$12*F821EA!F38*0.5</f>
        <v>0</v>
      </c>
      <c r="G250" s="156">
        <f>$J$12*F821EA!G38*0.5</f>
        <v>0</v>
      </c>
      <c r="H250" s="156">
        <f>$J$12*F821EA!H38*0.5</f>
        <v>0</v>
      </c>
      <c r="I250" s="156">
        <f>$J$12*F821EA!I38*0.5</f>
        <v>0</v>
      </c>
      <c r="J250" s="156">
        <f t="shared" si="60"/>
        <v>0</v>
      </c>
      <c r="K250" s="69"/>
      <c r="L250" s="319">
        <v>0.5</v>
      </c>
    </row>
    <row r="251" spans="2:12" s="37" customFormat="1" ht="15.75">
      <c r="B251" s="48" t="s">
        <v>274</v>
      </c>
      <c r="C251" s="158" t="s">
        <v>632</v>
      </c>
      <c r="D251" s="159">
        <f t="shared" ref="D251:I251" si="62">SUM(D252:D255)</f>
        <v>2978.5757400000002</v>
      </c>
      <c r="E251" s="159">
        <f t="shared" si="62"/>
        <v>2870.9100000000003</v>
      </c>
      <c r="F251" s="159">
        <f t="shared" si="62"/>
        <v>2634.2316000000001</v>
      </c>
      <c r="G251" s="159">
        <f t="shared" si="62"/>
        <v>2881.0271700000003</v>
      </c>
      <c r="H251" s="159">
        <f t="shared" si="62"/>
        <v>2483.2697400000002</v>
      </c>
      <c r="I251" s="159">
        <f t="shared" si="62"/>
        <v>2591.5856400000002</v>
      </c>
      <c r="J251" s="159">
        <f t="shared" si="60"/>
        <v>16439.599890000001</v>
      </c>
      <c r="K251" s="69"/>
      <c r="L251" s="319"/>
    </row>
    <row r="252" spans="2:12" s="37" customFormat="1" ht="15.75">
      <c r="B252" s="48"/>
      <c r="C252" s="160" t="s">
        <v>304</v>
      </c>
      <c r="D252" s="156">
        <f>$J$12*F821EA!D40</f>
        <v>2978.5757400000002</v>
      </c>
      <c r="E252" s="156">
        <f>$J$12*F821EA!E40</f>
        <v>2870.9100000000003</v>
      </c>
      <c r="F252" s="156">
        <f>$J$12*F821EA!F40</f>
        <v>2634.2316000000001</v>
      </c>
      <c r="G252" s="156">
        <f>$J$12*F821EA!G40</f>
        <v>2881.0271700000003</v>
      </c>
      <c r="H252" s="156">
        <f>$J$12*F821EA!H40</f>
        <v>2483.2697400000002</v>
      </c>
      <c r="I252" s="156">
        <f>$J$12*F821EA!I40</f>
        <v>2591.5856400000002</v>
      </c>
      <c r="J252" s="156">
        <f t="shared" si="60"/>
        <v>16439.599890000001</v>
      </c>
      <c r="K252" s="69"/>
      <c r="L252" s="319">
        <v>1</v>
      </c>
    </row>
    <row r="253" spans="2:12" s="37" customFormat="1" ht="15.75">
      <c r="B253" s="48"/>
      <c r="C253" s="161" t="s">
        <v>306</v>
      </c>
      <c r="D253" s="156">
        <f>$J$12*F821EA!D41</f>
        <v>0</v>
      </c>
      <c r="E253" s="156">
        <f>$J$12*F821EA!E41</f>
        <v>0</v>
      </c>
      <c r="F253" s="156">
        <f>$J$12*F821EA!F41</f>
        <v>0</v>
      </c>
      <c r="G253" s="156">
        <f>$J$12*F821EA!G41</f>
        <v>0</v>
      </c>
      <c r="H253" s="156">
        <f>$J$12*F821EA!H41</f>
        <v>0</v>
      </c>
      <c r="I253" s="156">
        <f>$J$12*F821EA!I41</f>
        <v>0</v>
      </c>
      <c r="J253" s="156">
        <f t="shared" si="60"/>
        <v>0</v>
      </c>
      <c r="K253" s="69"/>
      <c r="L253" s="319">
        <v>1</v>
      </c>
    </row>
    <row r="254" spans="2:12" s="37" customFormat="1" ht="15.75">
      <c r="B254" s="48"/>
      <c r="C254" s="160" t="s">
        <v>305</v>
      </c>
      <c r="D254" s="156">
        <f>$J$12*F821EA!D42*0.95</f>
        <v>0</v>
      </c>
      <c r="E254" s="156">
        <f>$J$12*F821EA!E42*0.95</f>
        <v>0</v>
      </c>
      <c r="F254" s="156">
        <f>$J$12*F821EA!F42*0.95</f>
        <v>0</v>
      </c>
      <c r="G254" s="156">
        <f>$J$12*F821EA!G42*0.95</f>
        <v>0</v>
      </c>
      <c r="H254" s="156">
        <f>$J$12*F821EA!H42*0.95</f>
        <v>0</v>
      </c>
      <c r="I254" s="156">
        <f>$J$12*F821EA!I42*0.95</f>
        <v>0</v>
      </c>
      <c r="J254" s="156">
        <f t="shared" si="60"/>
        <v>0</v>
      </c>
      <c r="K254" s="69"/>
      <c r="L254" s="319">
        <v>0.95</v>
      </c>
    </row>
    <row r="255" spans="2:12" s="37" customFormat="1" ht="15.75">
      <c r="B255" s="48"/>
      <c r="C255" s="160" t="s">
        <v>307</v>
      </c>
      <c r="D255" s="156">
        <f>$J$12*F821EA!D43*0.5</f>
        <v>0</v>
      </c>
      <c r="E255" s="156">
        <f>$J$12*F821EA!E43*0.5</f>
        <v>0</v>
      </c>
      <c r="F255" s="156">
        <f>$J$12*F821EA!F43*0.5</f>
        <v>0</v>
      </c>
      <c r="G255" s="156">
        <f>$J$12*F821EA!G43*0.5</f>
        <v>0</v>
      </c>
      <c r="H255" s="156">
        <f>$J$12*F821EA!H43*0.5</f>
        <v>0</v>
      </c>
      <c r="I255" s="156">
        <f>$J$12*F821EA!I43*0.5</f>
        <v>0</v>
      </c>
      <c r="J255" s="156">
        <f t="shared" si="60"/>
        <v>0</v>
      </c>
      <c r="K255" s="69"/>
      <c r="L255" s="319">
        <v>0.5</v>
      </c>
    </row>
    <row r="256" spans="2:12" s="37" customFormat="1" ht="15.75">
      <c r="B256" s="48" t="s">
        <v>274</v>
      </c>
      <c r="C256" s="158" t="s">
        <v>633</v>
      </c>
      <c r="D256" s="159">
        <f t="shared" ref="D256:I256" si="63">SUM(D257:D260)</f>
        <v>3135.4848000000002</v>
      </c>
      <c r="E256" s="159">
        <f t="shared" si="63"/>
        <v>2888.40699</v>
      </c>
      <c r="F256" s="159">
        <f t="shared" si="63"/>
        <v>2486.4606899999999</v>
      </c>
      <c r="G256" s="159">
        <f t="shared" si="63"/>
        <v>2848.8612600000001</v>
      </c>
      <c r="H256" s="159">
        <f t="shared" si="63"/>
        <v>2584.96119</v>
      </c>
      <c r="I256" s="159">
        <f t="shared" si="63"/>
        <v>2671.4192400000002</v>
      </c>
      <c r="J256" s="159">
        <f t="shared" si="60"/>
        <v>16615.59417</v>
      </c>
      <c r="K256" s="69"/>
      <c r="L256" s="319"/>
    </row>
    <row r="257" spans="2:12" s="37" customFormat="1" ht="15.75">
      <c r="B257" s="48"/>
      <c r="C257" s="160" t="s">
        <v>304</v>
      </c>
      <c r="D257" s="156">
        <f>$J$12*F821EA!D45</f>
        <v>3135.4848000000002</v>
      </c>
      <c r="E257" s="156">
        <f>$J$12*F821EA!E45</f>
        <v>2888.40699</v>
      </c>
      <c r="F257" s="156">
        <f>$J$12*F821EA!F45</f>
        <v>2486.4606899999999</v>
      </c>
      <c r="G257" s="156">
        <f>$J$12*F821EA!G45</f>
        <v>2848.8612600000001</v>
      </c>
      <c r="H257" s="156">
        <f>$J$12*F821EA!H45</f>
        <v>2584.96119</v>
      </c>
      <c r="I257" s="156">
        <f>$J$12*F821EA!I45</f>
        <v>2671.4192400000002</v>
      </c>
      <c r="J257" s="156">
        <f t="shared" si="60"/>
        <v>16615.59417</v>
      </c>
      <c r="K257" s="69"/>
      <c r="L257" s="319">
        <v>1</v>
      </c>
    </row>
    <row r="258" spans="2:12" s="37" customFormat="1" ht="15.75">
      <c r="B258" s="48"/>
      <c r="C258" s="161" t="s">
        <v>306</v>
      </c>
      <c r="D258" s="156">
        <f>$J$12*F821EA!D46</f>
        <v>0</v>
      </c>
      <c r="E258" s="156">
        <f>$J$12*F821EA!E46</f>
        <v>0</v>
      </c>
      <c r="F258" s="156">
        <f>$J$12*F821EA!F46</f>
        <v>0</v>
      </c>
      <c r="G258" s="156">
        <f>$J$12*F821EA!G46</f>
        <v>0</v>
      </c>
      <c r="H258" s="156">
        <f>$J$12*F821EA!H46</f>
        <v>0</v>
      </c>
      <c r="I258" s="156">
        <f>$J$12*F821EA!I46</f>
        <v>0</v>
      </c>
      <c r="J258" s="156">
        <f t="shared" si="60"/>
        <v>0</v>
      </c>
      <c r="K258" s="69"/>
      <c r="L258" s="319">
        <v>1</v>
      </c>
    </row>
    <row r="259" spans="2:12" s="37" customFormat="1" ht="15.75">
      <c r="B259" s="48"/>
      <c r="C259" s="160" t="s">
        <v>305</v>
      </c>
      <c r="D259" s="156">
        <f>$J$12*F821EA!D47*0.95</f>
        <v>0</v>
      </c>
      <c r="E259" s="156">
        <f>$J$12*F821EA!E47*0.95</f>
        <v>0</v>
      </c>
      <c r="F259" s="156">
        <f>$J$12*F821EA!F47*0.95</f>
        <v>0</v>
      </c>
      <c r="G259" s="156">
        <f>$J$12*F821EA!G47*0.95</f>
        <v>0</v>
      </c>
      <c r="H259" s="156">
        <f>$J$12*F821EA!H47*0.95</f>
        <v>0</v>
      </c>
      <c r="I259" s="156">
        <f>$J$12*F821EA!I47*0.95</f>
        <v>0</v>
      </c>
      <c r="J259" s="156">
        <f t="shared" si="60"/>
        <v>0</v>
      </c>
      <c r="K259" s="69"/>
      <c r="L259" s="319">
        <v>0.95</v>
      </c>
    </row>
    <row r="260" spans="2:12" s="37" customFormat="1" ht="15.75">
      <c r="B260" s="48"/>
      <c r="C260" s="160" t="s">
        <v>307</v>
      </c>
      <c r="D260" s="156">
        <f>$J$12*F821EA!D48*0.5</f>
        <v>0</v>
      </c>
      <c r="E260" s="156">
        <f>$J$12*F821EA!E48*0.5</f>
        <v>0</v>
      </c>
      <c r="F260" s="156">
        <f>$J$12*F821EA!F48*0.5</f>
        <v>0</v>
      </c>
      <c r="G260" s="156">
        <f>$J$12*F821EA!G48*0.5</f>
        <v>0</v>
      </c>
      <c r="H260" s="156">
        <f>$J$12*F821EA!H48*0.5</f>
        <v>0</v>
      </c>
      <c r="I260" s="156">
        <f>$J$12*F821EA!I48*0.5</f>
        <v>0</v>
      </c>
      <c r="J260" s="156">
        <f t="shared" si="60"/>
        <v>0</v>
      </c>
      <c r="K260" s="69"/>
      <c r="L260" s="319">
        <v>0.5</v>
      </c>
    </row>
    <row r="261" spans="2:12" s="37" customFormat="1" ht="15.75">
      <c r="B261" s="48"/>
      <c r="C261" s="157"/>
      <c r="D261" s="156"/>
      <c r="E261" s="156"/>
      <c r="F261" s="156"/>
      <c r="G261" s="156"/>
      <c r="H261" s="156"/>
      <c r="I261" s="156"/>
      <c r="J261" s="156"/>
      <c r="K261" s="69"/>
      <c r="L261" s="319"/>
    </row>
    <row r="262" spans="2:12" s="37" customFormat="1" ht="15.75">
      <c r="B262" s="48" t="s">
        <v>1176</v>
      </c>
      <c r="C262" s="158" t="str">
        <f>F801ENE!$C$50</f>
        <v>BTSH</v>
      </c>
      <c r="D262" s="159">
        <f t="shared" ref="D262:I262" si="64">SUM(D263:D268)</f>
        <v>0</v>
      </c>
      <c r="E262" s="159">
        <f t="shared" si="64"/>
        <v>0</v>
      </c>
      <c r="F262" s="159">
        <f t="shared" si="64"/>
        <v>0</v>
      </c>
      <c r="G262" s="159">
        <f t="shared" si="64"/>
        <v>0</v>
      </c>
      <c r="H262" s="159">
        <f t="shared" si="64"/>
        <v>0</v>
      </c>
      <c r="I262" s="159">
        <f t="shared" si="64"/>
        <v>0</v>
      </c>
      <c r="J262" s="159">
        <f t="shared" ref="J262:J288" si="65">SUM(D262:I262)</f>
        <v>0</v>
      </c>
      <c r="K262" s="69"/>
      <c r="L262" s="319"/>
    </row>
    <row r="263" spans="2:12" s="37" customFormat="1" ht="15.75">
      <c r="B263" s="48"/>
      <c r="C263" s="160" t="str">
        <f>F801ENE!$C$51</f>
        <v xml:space="preserve">    - Regulares</v>
      </c>
      <c r="D263" s="156">
        <f>$J$16*F821EA!D51*1</f>
        <v>0</v>
      </c>
      <c r="E263" s="156">
        <f>$J$16*F821EA!E51*1</f>
        <v>0</v>
      </c>
      <c r="F263" s="156">
        <f>$J$16*F821EA!F51*1</f>
        <v>0</v>
      </c>
      <c r="G263" s="156">
        <f>$J$16*F821EA!G51*1</f>
        <v>0</v>
      </c>
      <c r="H263" s="156">
        <f>$J$16*F821EA!H51*1</f>
        <v>0</v>
      </c>
      <c r="I263" s="156">
        <f>$J$16*F821EA!I51*1</f>
        <v>0</v>
      </c>
      <c r="J263" s="156">
        <f t="shared" si="65"/>
        <v>0</v>
      </c>
      <c r="K263" s="69"/>
      <c r="L263" s="319">
        <v>1</v>
      </c>
    </row>
    <row r="264" spans="2:12" s="37" customFormat="1" ht="15.75">
      <c r="B264" s="48"/>
      <c r="C264" s="162" t="str">
        <f>F801ENE!$C$52</f>
        <v xml:space="preserve">    - Jubilados (0 a 600 KWh)</v>
      </c>
      <c r="D264" s="156">
        <f>$J$16*F821EA!D52*0.75</f>
        <v>0</v>
      </c>
      <c r="E264" s="156">
        <f>$J$16*F821EA!E52*0.75</f>
        <v>0</v>
      </c>
      <c r="F264" s="156">
        <f>$J$16*F821EA!F52*0.75</f>
        <v>0</v>
      </c>
      <c r="G264" s="156">
        <f>$J$16*F821EA!G52*0.75</f>
        <v>0</v>
      </c>
      <c r="H264" s="156">
        <f>$J$16*F821EA!H52*0.75</f>
        <v>0</v>
      </c>
      <c r="I264" s="156">
        <f>$J$16*F821EA!I52*0.75</f>
        <v>0</v>
      </c>
      <c r="J264" s="156">
        <f t="shared" si="65"/>
        <v>0</v>
      </c>
      <c r="K264" s="69"/>
      <c r="L264" s="319">
        <v>0.75</v>
      </c>
    </row>
    <row r="265" spans="2:12" s="37" customFormat="1" ht="15.75">
      <c r="B265" s="48"/>
      <c r="C265" s="162" t="str">
        <f>F801ENE!$C$53</f>
        <v xml:space="preserve">    - Jubilados (601 y Más KWh)</v>
      </c>
      <c r="D265" s="156">
        <f>$J$16*F821EA!D53*1</f>
        <v>0</v>
      </c>
      <c r="E265" s="156">
        <f>$J$16*F821EA!E53*1</f>
        <v>0</v>
      </c>
      <c r="F265" s="156">
        <f>$J$16*F821EA!F53*1</f>
        <v>0</v>
      </c>
      <c r="G265" s="156">
        <f>$J$16*F821EA!G53*1</f>
        <v>0</v>
      </c>
      <c r="H265" s="156">
        <f>$J$16*F821EA!H53*1</f>
        <v>0</v>
      </c>
      <c r="I265" s="156">
        <f>$J$16*F821EA!I53*1</f>
        <v>0</v>
      </c>
      <c r="J265" s="156">
        <f t="shared" si="65"/>
        <v>0</v>
      </c>
      <c r="K265" s="69"/>
      <c r="L265" s="319">
        <v>1</v>
      </c>
    </row>
    <row r="266" spans="2:12" s="37" customFormat="1" ht="15.75">
      <c r="B266" s="48"/>
      <c r="C266" s="160" t="str">
        <f>F801ENE!$C$54</f>
        <v xml:space="preserve">    - Agropecuarios</v>
      </c>
      <c r="D266" s="156">
        <f>$J$16*F821EA!D54*0.95</f>
        <v>0</v>
      </c>
      <c r="E266" s="156">
        <f>$J$16*F821EA!E54*0.95</f>
        <v>0</v>
      </c>
      <c r="F266" s="156">
        <f>$J$16*F821EA!F54*0.95</f>
        <v>0</v>
      </c>
      <c r="G266" s="156">
        <f>$J$16*F821EA!G54*0.95</f>
        <v>0</v>
      </c>
      <c r="H266" s="156">
        <f>$J$16*F821EA!H54*0.95</f>
        <v>0</v>
      </c>
      <c r="I266" s="156">
        <f>$J$16*F821EA!I54*0.95</f>
        <v>0</v>
      </c>
      <c r="J266" s="156">
        <f t="shared" si="65"/>
        <v>0</v>
      </c>
      <c r="K266" s="69"/>
      <c r="L266" s="319">
        <v>0.95</v>
      </c>
    </row>
    <row r="267" spans="2:12" s="37" customFormat="1" ht="15.75">
      <c r="B267" s="48"/>
      <c r="C267" s="160" t="str">
        <f>F801ENE!$C$55</f>
        <v xml:space="preserve">    - Partidos Políticos</v>
      </c>
      <c r="D267" s="156">
        <f>$J$16*F821EA!D55*0.5</f>
        <v>0</v>
      </c>
      <c r="E267" s="156">
        <f>$J$16*F821EA!E55*0.5</f>
        <v>0</v>
      </c>
      <c r="F267" s="156">
        <f>$J$16*F821EA!F55*0.5</f>
        <v>0</v>
      </c>
      <c r="G267" s="156">
        <f>$J$16*F821EA!G55*0.5</f>
        <v>0</v>
      </c>
      <c r="H267" s="156">
        <f>$J$16*F821EA!H55*0.5</f>
        <v>0</v>
      </c>
      <c r="I267" s="156">
        <f>$J$16*F821EA!I55*0.5</f>
        <v>0</v>
      </c>
      <c r="J267" s="156">
        <f t="shared" si="65"/>
        <v>0</v>
      </c>
      <c r="K267" s="69"/>
      <c r="L267" s="319">
        <v>0.5</v>
      </c>
    </row>
    <row r="268" spans="2:12" s="37" customFormat="1" ht="15.75">
      <c r="B268" s="48"/>
      <c r="C268" s="160" t="str">
        <f>F801ENE!$C$56</f>
        <v xml:space="preserve">    - Cruz Roja</v>
      </c>
      <c r="D268" s="156">
        <f>$J$16*F821EA!D56*0</f>
        <v>0</v>
      </c>
      <c r="E268" s="156">
        <f>$J$16*F821EA!E56*0</f>
        <v>0</v>
      </c>
      <c r="F268" s="156">
        <f>$J$16*F821EA!F56*0</f>
        <v>0</v>
      </c>
      <c r="G268" s="156">
        <f>$J$16*F821EA!G56*0</f>
        <v>0</v>
      </c>
      <c r="H268" s="156">
        <f>$J$16*F821EA!H56*0</f>
        <v>0</v>
      </c>
      <c r="I268" s="156">
        <f>$J$16*F821EA!I56*0</f>
        <v>0</v>
      </c>
      <c r="J268" s="156">
        <f t="shared" si="65"/>
        <v>0</v>
      </c>
      <c r="K268" s="69"/>
      <c r="L268" s="319">
        <v>0</v>
      </c>
    </row>
    <row r="269" spans="2:12" s="37" customFormat="1" ht="15.75">
      <c r="B269" s="48" t="s">
        <v>751</v>
      </c>
      <c r="C269" s="158" t="s">
        <v>634</v>
      </c>
      <c r="D269" s="159">
        <f t="shared" ref="D269:I269" si="66">SUM(D270:D274)</f>
        <v>25371.0208375</v>
      </c>
      <c r="E269" s="159">
        <f t="shared" si="66"/>
        <v>25221.857179999995</v>
      </c>
      <c r="F269" s="159">
        <f t="shared" si="66"/>
        <v>25603.442994999998</v>
      </c>
      <c r="G269" s="159">
        <f t="shared" si="66"/>
        <v>25450.529064999995</v>
      </c>
      <c r="H269" s="159">
        <f t="shared" si="66"/>
        <v>26121.159187500001</v>
      </c>
      <c r="I269" s="159">
        <f t="shared" si="66"/>
        <v>25757.691992499997</v>
      </c>
      <c r="J269" s="159">
        <f t="shared" si="65"/>
        <v>153525.70125749998</v>
      </c>
      <c r="K269" s="69"/>
      <c r="L269" s="319"/>
    </row>
    <row r="270" spans="2:12" s="37" customFormat="1" ht="15.75">
      <c r="B270" s="48"/>
      <c r="C270" s="160" t="s">
        <v>304</v>
      </c>
      <c r="D270" s="156">
        <f>$J$18*F821EA!D66*$L270</f>
        <v>18447.8099</v>
      </c>
      <c r="E270" s="156">
        <f>$J$18*F821EA!E66*$L270</f>
        <v>18286.691149999999</v>
      </c>
      <c r="F270" s="156">
        <f>$J$18*F821EA!F66*$L270</f>
        <v>18573.748049999998</v>
      </c>
      <c r="G270" s="156">
        <f>$J$18*F821EA!G66*$L270</f>
        <v>18430.894949999998</v>
      </c>
      <c r="H270" s="156">
        <f>$J$18*F821EA!H66*$L270</f>
        <v>18942.9604</v>
      </c>
      <c r="I270" s="156">
        <f>$J$18*F821EA!I66*$L270</f>
        <v>18565.602899999998</v>
      </c>
      <c r="J270" s="156">
        <f t="shared" si="65"/>
        <v>111247.70735</v>
      </c>
      <c r="K270" s="69"/>
      <c r="L270" s="319">
        <v>1</v>
      </c>
    </row>
    <row r="271" spans="2:12" s="37" customFormat="1" ht="15.75">
      <c r="B271" s="48"/>
      <c r="C271" s="162" t="s">
        <v>644</v>
      </c>
      <c r="D271" s="156">
        <f>$J$18*F821EA!D67*$L271</f>
        <v>6922.6057875000006</v>
      </c>
      <c r="E271" s="156">
        <f>$J$18*F821EA!E67*$L271</f>
        <v>6934.6250999999993</v>
      </c>
      <c r="F271" s="156">
        <f>$J$18*F821EA!F67*$L271</f>
        <v>7029.1182000000008</v>
      </c>
      <c r="G271" s="156">
        <f>$J$18*F821EA!G67*$L271</f>
        <v>7018.937249999999</v>
      </c>
      <c r="H271" s="156">
        <f>$J$18*F821EA!H67*$L271</f>
        <v>7177.4605499999998</v>
      </c>
      <c r="I271" s="156">
        <f>$J$18*F821EA!I67*$L271</f>
        <v>7191.1056750000007</v>
      </c>
      <c r="J271" s="156">
        <f t="shared" si="65"/>
        <v>42273.852562499997</v>
      </c>
      <c r="K271" s="69"/>
      <c r="L271" s="319">
        <v>0.75</v>
      </c>
    </row>
    <row r="272" spans="2:12" s="37" customFormat="1" ht="15.75">
      <c r="B272" s="48"/>
      <c r="C272" s="160" t="s">
        <v>305</v>
      </c>
      <c r="D272" s="156">
        <f>$J$18*F821EA!D68*$L272</f>
        <v>0.60514999999999997</v>
      </c>
      <c r="E272" s="156">
        <f>$J$18*F821EA!E68*$L272</f>
        <v>0.54093000000000002</v>
      </c>
      <c r="F272" s="156">
        <f>$J$18*F821EA!F68*$L272</f>
        <v>0.57674499999999995</v>
      </c>
      <c r="G272" s="156">
        <f>$J$18*F821EA!G68*$L272</f>
        <v>0.65331499999999998</v>
      </c>
      <c r="H272" s="156">
        <f>$J$18*F821EA!H68*$L272</f>
        <v>0.71938749999999996</v>
      </c>
      <c r="I272" s="156">
        <f>$J$18*F821EA!I68*$L272</f>
        <v>0.95774249999999983</v>
      </c>
      <c r="J272" s="156">
        <f t="shared" si="65"/>
        <v>4.0532699999999995</v>
      </c>
      <c r="K272" s="69"/>
      <c r="L272" s="319">
        <v>0.95</v>
      </c>
    </row>
    <row r="273" spans="2:12" s="37" customFormat="1" ht="15.75">
      <c r="B273" s="48"/>
      <c r="C273" s="160" t="s">
        <v>307</v>
      </c>
      <c r="D273" s="156">
        <f>$J$18*F821EA!D69*$L273</f>
        <v>0</v>
      </c>
      <c r="E273" s="156">
        <f>$J$18*F821EA!E69*$L273</f>
        <v>0</v>
      </c>
      <c r="F273" s="156">
        <f>$J$18*F821EA!F69*$L273</f>
        <v>0</v>
      </c>
      <c r="G273" s="156">
        <f>$J$18*F821EA!G69*$L273</f>
        <v>4.3549999999999998E-2</v>
      </c>
      <c r="H273" s="156">
        <f>$J$18*F821EA!H69*$L273</f>
        <v>1.8849999999999999E-2</v>
      </c>
      <c r="I273" s="156">
        <f>$J$18*F821EA!I69*$L273</f>
        <v>2.5675E-2</v>
      </c>
      <c r="J273" s="156">
        <f t="shared" si="65"/>
        <v>8.8075000000000001E-2</v>
      </c>
      <c r="K273" s="69"/>
      <c r="L273" s="319">
        <v>0.5</v>
      </c>
    </row>
    <row r="274" spans="2:12" s="37" customFormat="1" ht="15.75">
      <c r="B274" s="48"/>
      <c r="C274" s="160" t="s">
        <v>624</v>
      </c>
      <c r="D274" s="156">
        <f>$J$18*F821EA!D70*$L274</f>
        <v>0</v>
      </c>
      <c r="E274" s="156">
        <f>$J$18*F821EA!E70*$L274</f>
        <v>0</v>
      </c>
      <c r="F274" s="156">
        <f>$J$18*F821EA!F70*$L274</f>
        <v>0</v>
      </c>
      <c r="G274" s="156">
        <f>$J$18*F821EA!G70*$L274</f>
        <v>0</v>
      </c>
      <c r="H274" s="156">
        <f>$J$18*F821EA!H70*$L274</f>
        <v>0</v>
      </c>
      <c r="I274" s="156">
        <f>$J$18*F821EA!I70*$L274</f>
        <v>0</v>
      </c>
      <c r="J274" s="156">
        <f t="shared" si="65"/>
        <v>0</v>
      </c>
      <c r="K274" s="69"/>
      <c r="L274" s="319">
        <v>0</v>
      </c>
    </row>
    <row r="275" spans="2:12" s="37" customFormat="1" ht="15.75">
      <c r="B275" s="48" t="s">
        <v>750</v>
      </c>
      <c r="C275" s="158" t="s">
        <v>635</v>
      </c>
      <c r="D275" s="159">
        <f t="shared" ref="D275:I275" si="67">SUM(D276:D281)</f>
        <v>28733.979397499999</v>
      </c>
      <c r="E275" s="159">
        <f t="shared" si="67"/>
        <v>29060.006072499997</v>
      </c>
      <c r="F275" s="159">
        <f t="shared" si="67"/>
        <v>28282.133749999994</v>
      </c>
      <c r="G275" s="159">
        <f t="shared" si="67"/>
        <v>28251.808552500002</v>
      </c>
      <c r="H275" s="159">
        <f t="shared" si="67"/>
        <v>27261.936422499999</v>
      </c>
      <c r="I275" s="159">
        <f t="shared" si="67"/>
        <v>26621.058002499998</v>
      </c>
      <c r="J275" s="159">
        <f t="shared" si="65"/>
        <v>168210.92219750001</v>
      </c>
      <c r="K275" s="69"/>
      <c r="L275" s="319"/>
    </row>
    <row r="276" spans="2:12" s="37" customFormat="1" ht="15.75">
      <c r="B276" s="48"/>
      <c r="C276" s="160" t="s">
        <v>304</v>
      </c>
      <c r="D276" s="156">
        <f>$J$18*F821EA!D72*$L276</f>
        <v>18602.460499999997</v>
      </c>
      <c r="E276" s="156">
        <f>$J$18*F821EA!E72*$L276</f>
        <v>18844.850699999999</v>
      </c>
      <c r="F276" s="156">
        <f>$J$18*F821EA!F72*$L276</f>
        <v>18260.634599999998</v>
      </c>
      <c r="G276" s="156">
        <f>$J$18*F821EA!G72*$L276</f>
        <v>18207.850050000001</v>
      </c>
      <c r="H276" s="156">
        <f>$J$18*F821EA!H72*$L276</f>
        <v>17513.735850000001</v>
      </c>
      <c r="I276" s="156">
        <f>$J$18*F821EA!I72*$L276</f>
        <v>17048.85455</v>
      </c>
      <c r="J276" s="156">
        <f t="shared" si="65"/>
        <v>108478.38625</v>
      </c>
      <c r="K276" s="69"/>
      <c r="L276" s="319">
        <v>1</v>
      </c>
    </row>
    <row r="277" spans="2:12" s="37" customFormat="1" ht="15.75">
      <c r="B277" s="48"/>
      <c r="C277" s="162" t="s">
        <v>642</v>
      </c>
      <c r="D277" s="156">
        <f>$J$18*F821EA!D73*$L277</f>
        <v>9836.0437499999989</v>
      </c>
      <c r="E277" s="156">
        <f>$J$18*F821EA!E73*$L277</f>
        <v>9912.5407875000001</v>
      </c>
      <c r="F277" s="156">
        <f>$J$18*F821EA!F73*$L277</f>
        <v>9740.4576749999997</v>
      </c>
      <c r="G277" s="156">
        <f>$J$18*F821EA!G73*$L277</f>
        <v>9764.9379749999989</v>
      </c>
      <c r="H277" s="156">
        <f>$J$18*F821EA!H73*$L277</f>
        <v>9483.3608999999997</v>
      </c>
      <c r="I277" s="156">
        <f>$J$18*F821EA!I73*$L277</f>
        <v>9301.0276124999982</v>
      </c>
      <c r="J277" s="156">
        <f t="shared" si="65"/>
        <v>58038.368699999992</v>
      </c>
      <c r="K277" s="69"/>
      <c r="L277" s="319">
        <v>0.75</v>
      </c>
    </row>
    <row r="278" spans="2:12" s="37" customFormat="1" ht="15.75">
      <c r="B278" s="48"/>
      <c r="C278" s="162" t="s">
        <v>1177</v>
      </c>
      <c r="D278" s="156">
        <f>$J$18*F821EA!D74*$L278</f>
        <v>294.63720000000001</v>
      </c>
      <c r="E278" s="156">
        <f>$J$18*F821EA!E74*$L278</f>
        <v>301.74885</v>
      </c>
      <c r="F278" s="156">
        <f>$J$18*F821EA!F74*$L278</f>
        <v>279.73854999999998</v>
      </c>
      <c r="G278" s="156">
        <f>$J$18*F821EA!G74*$L278</f>
        <v>278.19739999999996</v>
      </c>
      <c r="H278" s="156">
        <f>$J$18*F821EA!H74*$L278</f>
        <v>262.96659999999997</v>
      </c>
      <c r="I278" s="156">
        <f>$J$18*F821EA!I74*$L278</f>
        <v>269.54070000000002</v>
      </c>
      <c r="J278" s="156">
        <f t="shared" si="65"/>
        <v>1686.8293000000001</v>
      </c>
      <c r="K278" s="69"/>
      <c r="L278" s="319">
        <v>1</v>
      </c>
    </row>
    <row r="279" spans="2:12" s="37" customFormat="1" ht="15.75">
      <c r="B279" s="48"/>
      <c r="C279" s="160" t="s">
        <v>305</v>
      </c>
      <c r="D279" s="156">
        <f>$J$18*F821EA!D75*$L279</f>
        <v>0.83794749999999996</v>
      </c>
      <c r="E279" s="156">
        <f>$J$18*F821EA!E75*$L279</f>
        <v>0.86573499999999992</v>
      </c>
      <c r="F279" s="156">
        <f>$J$18*F821EA!F75*$L279</f>
        <v>1.3029249999999999</v>
      </c>
      <c r="G279" s="156">
        <f>$J$18*F821EA!G75*$L279</f>
        <v>0.8231274999999999</v>
      </c>
      <c r="H279" s="156">
        <f>$J$18*F821EA!H75*$L279</f>
        <v>1.6406974999999999</v>
      </c>
      <c r="I279" s="156">
        <f>$J$18*F821EA!I75*$L279</f>
        <v>1.6351399999999998</v>
      </c>
      <c r="J279" s="156">
        <f t="shared" si="65"/>
        <v>7.1055724999999992</v>
      </c>
      <c r="K279" s="69"/>
      <c r="L279" s="319">
        <v>0.95</v>
      </c>
    </row>
    <row r="280" spans="2:12" s="37" customFormat="1" ht="15.75">
      <c r="B280" s="48"/>
      <c r="C280" s="160" t="s">
        <v>307</v>
      </c>
      <c r="D280" s="156">
        <f>$J$18*F821EA!D76*$L280</f>
        <v>0</v>
      </c>
      <c r="E280" s="156">
        <f>$J$18*F821EA!E76*$L280</f>
        <v>0</v>
      </c>
      <c r="F280" s="156">
        <f>$J$18*F821EA!F76*$L280</f>
        <v>0</v>
      </c>
      <c r="G280" s="156">
        <f>$J$18*F821EA!G76*$L280</f>
        <v>0</v>
      </c>
      <c r="H280" s="156">
        <f>$J$18*F821EA!H76*$L280</f>
        <v>0.232375</v>
      </c>
      <c r="I280" s="156">
        <f>$J$18*F821EA!I76*$L280</f>
        <v>0</v>
      </c>
      <c r="J280" s="156">
        <f t="shared" si="65"/>
        <v>0.232375</v>
      </c>
      <c r="K280" s="69"/>
      <c r="L280" s="319">
        <v>0.5</v>
      </c>
    </row>
    <row r="281" spans="2:12" s="37" customFormat="1" ht="15.75">
      <c r="B281" s="48"/>
      <c r="C281" s="160" t="s">
        <v>624</v>
      </c>
      <c r="D281" s="156">
        <f>$J$18*F821EA!D77*$L281</f>
        <v>0</v>
      </c>
      <c r="E281" s="156">
        <f>$J$18*F821EA!E77*$L281</f>
        <v>0</v>
      </c>
      <c r="F281" s="156">
        <f>$J$18*F821EA!F77*$L281</f>
        <v>0</v>
      </c>
      <c r="G281" s="156">
        <f>$J$18*F821EA!G77*$L281</f>
        <v>0</v>
      </c>
      <c r="H281" s="156">
        <f>$J$18*F821EA!H77*$L281</f>
        <v>0</v>
      </c>
      <c r="I281" s="156">
        <f>$J$18*F821EA!I77*$L281</f>
        <v>0</v>
      </c>
      <c r="J281" s="156">
        <f t="shared" si="65"/>
        <v>0</v>
      </c>
      <c r="K281" s="69"/>
      <c r="L281" s="319">
        <v>0</v>
      </c>
    </row>
    <row r="282" spans="2:12" s="37" customFormat="1" ht="15.75">
      <c r="B282" s="48" t="s">
        <v>749</v>
      </c>
      <c r="C282" s="158" t="s">
        <v>636</v>
      </c>
      <c r="D282" s="159">
        <f t="shared" ref="D282:I282" si="68">SUM(D283:D288)</f>
        <v>34720.628637499998</v>
      </c>
      <c r="E282" s="159">
        <f t="shared" si="68"/>
        <v>34549.460692499997</v>
      </c>
      <c r="F282" s="159">
        <f t="shared" si="68"/>
        <v>33722.403975000001</v>
      </c>
      <c r="G282" s="159">
        <f t="shared" si="68"/>
        <v>34193.575064999997</v>
      </c>
      <c r="H282" s="159">
        <f t="shared" si="68"/>
        <v>31511.382370000003</v>
      </c>
      <c r="I282" s="159">
        <f t="shared" si="68"/>
        <v>32709.603549999996</v>
      </c>
      <c r="J282" s="159">
        <f t="shared" si="65"/>
        <v>201407.05429</v>
      </c>
      <c r="K282" s="69"/>
      <c r="L282" s="319"/>
    </row>
    <row r="283" spans="2:12" s="37" customFormat="1" ht="15.75">
      <c r="B283" s="48"/>
      <c r="C283" s="160" t="s">
        <v>304</v>
      </c>
      <c r="D283" s="156">
        <f>$J$18*F821EA!D79*$L283</f>
        <v>29823.671149999998</v>
      </c>
      <c r="E283" s="156">
        <f>$J$18*F821EA!E79*$L283</f>
        <v>29771.285049999999</v>
      </c>
      <c r="F283" s="156">
        <f>$J$18*F821EA!F79*$L283</f>
        <v>29178.711899999998</v>
      </c>
      <c r="G283" s="156">
        <f>$J$18*F821EA!G79*$L283</f>
        <v>29574.100399999999</v>
      </c>
      <c r="H283" s="156">
        <f>$J$18*F821EA!H79*$L283</f>
        <v>27427.3298</v>
      </c>
      <c r="I283" s="156">
        <f>$J$18*F821EA!I79*$L283</f>
        <v>28339.808249999998</v>
      </c>
      <c r="J283" s="156">
        <f t="shared" si="65"/>
        <v>174114.90654999999</v>
      </c>
      <c r="K283" s="69"/>
      <c r="L283" s="319">
        <v>1</v>
      </c>
    </row>
    <row r="284" spans="2:12" s="37" customFormat="1" ht="15.75">
      <c r="B284" s="48"/>
      <c r="C284" s="162" t="s">
        <v>642</v>
      </c>
      <c r="D284" s="156">
        <f>$J$18*F821EA!D80*$L284</f>
        <v>2321.002125</v>
      </c>
      <c r="E284" s="156">
        <f>$J$18*F821EA!E80*$L284</f>
        <v>2274.7871249999998</v>
      </c>
      <c r="F284" s="156">
        <f>$J$18*F821EA!F80*$L284</f>
        <v>2164.5633749999997</v>
      </c>
      <c r="G284" s="156">
        <f>$J$18*F821EA!G80*$L284</f>
        <v>2191.5464999999999</v>
      </c>
      <c r="H284" s="156">
        <f>$J$18*F821EA!H80*$L284</f>
        <v>1943.6381249999999</v>
      </c>
      <c r="I284" s="156">
        <f>$J$18*F821EA!I80*$L284</f>
        <v>2023.6368749999999</v>
      </c>
      <c r="J284" s="156">
        <f t="shared" si="65"/>
        <v>12919.174125</v>
      </c>
      <c r="K284" s="69"/>
      <c r="L284" s="319">
        <v>0.75</v>
      </c>
    </row>
    <row r="285" spans="2:12" s="37" customFormat="1" ht="15.75">
      <c r="B285" s="48"/>
      <c r="C285" s="162" t="s">
        <v>1177</v>
      </c>
      <c r="D285" s="156">
        <f>$J$18*F821EA!D81*$L285</f>
        <v>2556.3368999999998</v>
      </c>
      <c r="E285" s="156">
        <f>$J$18*F821EA!E81*$L285</f>
        <v>2482.3181500000001</v>
      </c>
      <c r="F285" s="156">
        <f>$J$18*F821EA!F81*$L285</f>
        <v>2361.2855500000001</v>
      </c>
      <c r="G285" s="156">
        <f>$J$18*F821EA!G81*$L285</f>
        <v>2411.2757499999998</v>
      </c>
      <c r="H285" s="156">
        <f>$J$18*F821EA!H81*$L285</f>
        <v>2125.8575000000001</v>
      </c>
      <c r="I285" s="156">
        <f>$J$18*F821EA!I81*$L285</f>
        <v>2339.4520499999999</v>
      </c>
      <c r="J285" s="156">
        <f t="shared" si="65"/>
        <v>14276.525899999999</v>
      </c>
      <c r="K285" s="69"/>
      <c r="L285" s="319">
        <v>1</v>
      </c>
    </row>
    <row r="286" spans="2:12" s="37" customFormat="1" ht="15.75">
      <c r="B286" s="48"/>
      <c r="C286" s="160" t="s">
        <v>305</v>
      </c>
      <c r="D286" s="156">
        <f>$J$18*F821EA!D82*$L286</f>
        <v>19.299962499999996</v>
      </c>
      <c r="E286" s="156">
        <f>$J$18*F821EA!E82*$L286</f>
        <v>20.804192499999999</v>
      </c>
      <c r="F286" s="156">
        <f>$J$18*F821EA!F82*$L286</f>
        <v>17.530824999999997</v>
      </c>
      <c r="G286" s="156">
        <f>$J$18*F821EA!G82*$L286</f>
        <v>16.356339999999996</v>
      </c>
      <c r="H286" s="156">
        <f>$J$18*F821EA!H82*$L286</f>
        <v>14.556944999999999</v>
      </c>
      <c r="I286" s="156">
        <f>$J$18*F821EA!I82*$L286</f>
        <v>6.4034749999999994</v>
      </c>
      <c r="J286" s="156">
        <f t="shared" si="65"/>
        <v>94.951739999999972</v>
      </c>
      <c r="K286" s="69"/>
      <c r="L286" s="319">
        <v>0.95</v>
      </c>
    </row>
    <row r="287" spans="2:12" s="37" customFormat="1" ht="15.75">
      <c r="B287" s="48"/>
      <c r="C287" s="160" t="s">
        <v>307</v>
      </c>
      <c r="D287" s="156">
        <f>$J$18*F821EA!D83*$L287</f>
        <v>0.31850000000000001</v>
      </c>
      <c r="E287" s="156">
        <f>$J$18*F821EA!E83*$L287</f>
        <v>0.26617499999999999</v>
      </c>
      <c r="F287" s="156">
        <f>$J$18*F821EA!F83*$L287</f>
        <v>0.31232499999999996</v>
      </c>
      <c r="G287" s="156">
        <f>$J$18*F821EA!G83*$L287</f>
        <v>0.29607499999999998</v>
      </c>
      <c r="H287" s="156">
        <f>$J$18*F821EA!H83*$L287</f>
        <v>0</v>
      </c>
      <c r="I287" s="156">
        <f>$J$18*F821EA!I83*$L287</f>
        <v>0.3029</v>
      </c>
      <c r="J287" s="156">
        <f t="shared" si="65"/>
        <v>1.4959749999999998</v>
      </c>
      <c r="K287" s="69"/>
      <c r="L287" s="319">
        <v>0.5</v>
      </c>
    </row>
    <row r="288" spans="2:12" s="37" customFormat="1" ht="15.75">
      <c r="B288" s="48"/>
      <c r="C288" s="160" t="s">
        <v>624</v>
      </c>
      <c r="D288" s="156">
        <f>$J$18*F821EA!D84*$L288</f>
        <v>0</v>
      </c>
      <c r="E288" s="156">
        <f>$J$18*F821EA!E84*$L288</f>
        <v>0</v>
      </c>
      <c r="F288" s="156">
        <f>$J$18*F821EA!F84*$L288</f>
        <v>0</v>
      </c>
      <c r="G288" s="156">
        <f>$J$18*F821EA!G84*$L288</f>
        <v>0</v>
      </c>
      <c r="H288" s="156">
        <f>$J$18*F821EA!H84*$L288</f>
        <v>0</v>
      </c>
      <c r="I288" s="156">
        <f>$J$18*F821EA!I84*$L288</f>
        <v>0</v>
      </c>
      <c r="J288" s="156">
        <f t="shared" si="65"/>
        <v>0</v>
      </c>
      <c r="K288" s="69"/>
      <c r="L288" s="319">
        <v>0</v>
      </c>
    </row>
    <row r="289" spans="2:12" s="37" customFormat="1" ht="15.75">
      <c r="B289" s="48"/>
      <c r="C289" s="157"/>
      <c r="D289" s="156"/>
      <c r="E289" s="156"/>
      <c r="F289" s="156"/>
      <c r="G289" s="156"/>
      <c r="H289" s="156"/>
      <c r="I289" s="156"/>
      <c r="J289" s="156"/>
      <c r="K289" s="69"/>
      <c r="L289" s="319"/>
    </row>
    <row r="290" spans="2:12" s="37" customFormat="1" ht="15.75">
      <c r="B290" s="48" t="s">
        <v>902</v>
      </c>
      <c r="C290" s="158" t="s">
        <v>898</v>
      </c>
      <c r="D290" s="159">
        <f t="shared" ref="D290:I290" si="69">SUM(D291:D295)</f>
        <v>8589.7865624999995</v>
      </c>
      <c r="E290" s="159">
        <f t="shared" si="69"/>
        <v>8482.668674999999</v>
      </c>
      <c r="F290" s="159">
        <f t="shared" si="69"/>
        <v>8798.6424499999994</v>
      </c>
      <c r="G290" s="159">
        <f t="shared" si="69"/>
        <v>8598.1078625000009</v>
      </c>
      <c r="H290" s="159">
        <f t="shared" si="69"/>
        <v>8148.4339624999993</v>
      </c>
      <c r="I290" s="159">
        <f t="shared" si="69"/>
        <v>8707.4043875000007</v>
      </c>
      <c r="J290" s="159">
        <f t="shared" ref="J290:J309" si="70">SUM(D290:I290)</f>
        <v>51325.043899999997</v>
      </c>
      <c r="K290" s="69"/>
      <c r="L290" s="319"/>
    </row>
    <row r="291" spans="2:12" s="37" customFormat="1" ht="15.75">
      <c r="B291" s="48"/>
      <c r="C291" s="160" t="s">
        <v>304</v>
      </c>
      <c r="D291" s="156">
        <f>$J$17*F821EA!D87*$L291</f>
        <v>8262.7954499999996</v>
      </c>
      <c r="E291" s="156">
        <f>$J$17*F821EA!E87*$L291</f>
        <v>8168.0819999999994</v>
      </c>
      <c r="F291" s="156">
        <f>$J$17*F821EA!F87*$L291</f>
        <v>8467.5909499999998</v>
      </c>
      <c r="G291" s="156">
        <f>$J$17*F821EA!G87*$L291</f>
        <v>8264.1474500000004</v>
      </c>
      <c r="H291" s="156">
        <f>$J$17*F821EA!H87*$L291</f>
        <v>7839.2833999999993</v>
      </c>
      <c r="I291" s="156">
        <f>$J$17*F821EA!I87*$L291</f>
        <v>8363.1352999999999</v>
      </c>
      <c r="J291" s="156">
        <f t="shared" si="70"/>
        <v>49365.034550000004</v>
      </c>
      <c r="K291" s="69"/>
      <c r="L291" s="319">
        <v>1</v>
      </c>
    </row>
    <row r="292" spans="2:12" s="37" customFormat="1" ht="15.75">
      <c r="B292" s="48"/>
      <c r="C292" s="162" t="s">
        <v>644</v>
      </c>
      <c r="D292" s="156">
        <f>$J$17*F821EA!D88*$L292</f>
        <v>326.99111249999999</v>
      </c>
      <c r="E292" s="156">
        <f>$J$17*F821EA!E88*$L292</f>
        <v>314.58667500000001</v>
      </c>
      <c r="F292" s="156">
        <f>$J$17*F821EA!F88*$L292</f>
        <v>331.05149999999998</v>
      </c>
      <c r="G292" s="156">
        <f>$J$17*F821EA!G88*$L292</f>
        <v>333.96041250000002</v>
      </c>
      <c r="H292" s="156">
        <f>$J$17*F821EA!H88*$L292</f>
        <v>309.15056249999998</v>
      </c>
      <c r="I292" s="156">
        <f>$J$17*F821EA!I88*$L292</f>
        <v>344.26908749999996</v>
      </c>
      <c r="J292" s="156">
        <f t="shared" si="70"/>
        <v>1960.0093499999998</v>
      </c>
      <c r="K292" s="69"/>
      <c r="L292" s="319">
        <v>0.75</v>
      </c>
    </row>
    <row r="293" spans="2:12" s="37" customFormat="1" ht="15.75">
      <c r="B293" s="48"/>
      <c r="C293" s="160" t="s">
        <v>305</v>
      </c>
      <c r="D293" s="156">
        <f>$J$17*F821EA!D89*$L293</f>
        <v>0</v>
      </c>
      <c r="E293" s="156">
        <f>$J$17*F821EA!E89*$L293</f>
        <v>0</v>
      </c>
      <c r="F293" s="156">
        <f>$J$17*F821EA!F89*$L293</f>
        <v>0</v>
      </c>
      <c r="G293" s="156">
        <f>$J$17*F821EA!G89*$L293</f>
        <v>0</v>
      </c>
      <c r="H293" s="156">
        <f>$J$17*F821EA!H89*$L293</f>
        <v>0</v>
      </c>
      <c r="I293" s="156">
        <f>$J$17*F821EA!I89*$L293</f>
        <v>0</v>
      </c>
      <c r="J293" s="156">
        <f t="shared" si="70"/>
        <v>0</v>
      </c>
      <c r="K293" s="69"/>
      <c r="L293" s="319">
        <v>0.95</v>
      </c>
    </row>
    <row r="294" spans="2:12" s="37" customFormat="1" ht="15.75">
      <c r="B294" s="48"/>
      <c r="C294" s="160" t="s">
        <v>307</v>
      </c>
      <c r="D294" s="156">
        <f>$J$17*F821EA!D90*$L294</f>
        <v>0</v>
      </c>
      <c r="E294" s="156">
        <f>$J$17*F821EA!E90*$L294</f>
        <v>0</v>
      </c>
      <c r="F294" s="156">
        <f>$J$17*F821EA!F90*$L294</f>
        <v>0</v>
      </c>
      <c r="G294" s="156">
        <f>$J$17*F821EA!G90*$L294</f>
        <v>0</v>
      </c>
      <c r="H294" s="156">
        <f>$J$17*F821EA!H90*$L294</f>
        <v>0</v>
      </c>
      <c r="I294" s="156">
        <f>$J$17*F821EA!I90*$L294</f>
        <v>0</v>
      </c>
      <c r="J294" s="156">
        <f t="shared" si="70"/>
        <v>0</v>
      </c>
      <c r="K294" s="69"/>
      <c r="L294" s="319">
        <v>0.5</v>
      </c>
    </row>
    <row r="295" spans="2:12" s="37" customFormat="1" ht="15.75">
      <c r="B295" s="48"/>
      <c r="C295" s="160" t="s">
        <v>624</v>
      </c>
      <c r="D295" s="156">
        <f>$J$17*F821EA!D91*$L295</f>
        <v>0</v>
      </c>
      <c r="E295" s="156">
        <f>$J$17*F821EA!E91*$L295</f>
        <v>0</v>
      </c>
      <c r="F295" s="156">
        <f>$J$17*F821EA!F91*$L295</f>
        <v>0</v>
      </c>
      <c r="G295" s="156">
        <f>$J$17*F821EA!G91*$L295</f>
        <v>0</v>
      </c>
      <c r="H295" s="156">
        <f>$J$17*F821EA!H91*$L295</f>
        <v>0</v>
      </c>
      <c r="I295" s="156">
        <f>$J$17*F821EA!I91*$L295</f>
        <v>0</v>
      </c>
      <c r="J295" s="156">
        <f t="shared" si="70"/>
        <v>0</v>
      </c>
      <c r="K295" s="69"/>
      <c r="L295" s="319">
        <v>0</v>
      </c>
    </row>
    <row r="296" spans="2:12" s="37" customFormat="1" ht="15.75">
      <c r="B296" s="48" t="s">
        <v>902</v>
      </c>
      <c r="C296" s="158" t="s">
        <v>899</v>
      </c>
      <c r="D296" s="159">
        <f t="shared" ref="D296:I296" si="71">SUM(D297:D302)</f>
        <v>755.18023749999998</v>
      </c>
      <c r="E296" s="159">
        <f t="shared" si="71"/>
        <v>702.18557500000009</v>
      </c>
      <c r="F296" s="159">
        <f t="shared" si="71"/>
        <v>655.41937499999995</v>
      </c>
      <c r="G296" s="159">
        <f t="shared" si="71"/>
        <v>707.16847499999994</v>
      </c>
      <c r="H296" s="159">
        <f t="shared" si="71"/>
        <v>541.95179999999993</v>
      </c>
      <c r="I296" s="159">
        <f t="shared" si="71"/>
        <v>700.43740000000003</v>
      </c>
      <c r="J296" s="159">
        <f t="shared" si="70"/>
        <v>4062.3428624999997</v>
      </c>
      <c r="K296" s="69"/>
      <c r="L296" s="319"/>
    </row>
    <row r="297" spans="2:12" s="37" customFormat="1" ht="15.75">
      <c r="B297" s="48"/>
      <c r="C297" s="160" t="s">
        <v>304</v>
      </c>
      <c r="D297" s="156">
        <f>$J$17*F821EA!D93*$L297</f>
        <v>688.11860000000001</v>
      </c>
      <c r="E297" s="156">
        <f>$J$17*F821EA!E93*$L297</f>
        <v>641.68520000000001</v>
      </c>
      <c r="F297" s="156">
        <f>$J$17*F821EA!F93*$L297</f>
        <v>591.42849999999999</v>
      </c>
      <c r="G297" s="156">
        <f>$J$17*F821EA!G93*$L297</f>
        <v>643.90494999999999</v>
      </c>
      <c r="H297" s="156">
        <f>$J$17*F821EA!H93*$L297</f>
        <v>490.7149</v>
      </c>
      <c r="I297" s="156">
        <f>$J$17*F821EA!I93*$L297</f>
        <v>634.26284999999996</v>
      </c>
      <c r="J297" s="156">
        <f t="shared" si="70"/>
        <v>3690.1150000000002</v>
      </c>
      <c r="K297" s="69"/>
      <c r="L297" s="319">
        <v>1</v>
      </c>
    </row>
    <row r="298" spans="2:12" s="37" customFormat="1" ht="15.75">
      <c r="B298" s="48"/>
      <c r="C298" s="162" t="s">
        <v>642</v>
      </c>
      <c r="D298" s="156">
        <f>$J$17*F821EA!D94*$L298</f>
        <v>59.643187499999996</v>
      </c>
      <c r="E298" s="156">
        <f>$J$17*F821EA!E94*$L298</f>
        <v>55.14502499999999</v>
      </c>
      <c r="F298" s="156">
        <f>$J$17*F821EA!F94*$L298</f>
        <v>58.658924999999996</v>
      </c>
      <c r="G298" s="156">
        <f>$J$17*F821EA!G94*$L298</f>
        <v>57.311475000000002</v>
      </c>
      <c r="H298" s="156">
        <f>$J$17*F821EA!H94*$L298</f>
        <v>46.585499999999996</v>
      </c>
      <c r="I298" s="156">
        <f>$J$17*F821EA!I94*$L298</f>
        <v>60.19455</v>
      </c>
      <c r="J298" s="156">
        <f t="shared" si="70"/>
        <v>337.53866249999999</v>
      </c>
      <c r="K298" s="69"/>
      <c r="L298" s="319">
        <v>0.75</v>
      </c>
    </row>
    <row r="299" spans="2:12" s="37" customFormat="1" ht="15.75">
      <c r="B299" s="48"/>
      <c r="C299" s="162" t="s">
        <v>1177</v>
      </c>
      <c r="D299" s="156">
        <f>$J$17*F821EA!D95*$L299</f>
        <v>7.41845</v>
      </c>
      <c r="E299" s="156">
        <f>$J$17*F821EA!E95*$L299</f>
        <v>5.3553499999999996</v>
      </c>
      <c r="F299" s="156">
        <f>$J$17*F821EA!F95*$L299</f>
        <v>5.33195</v>
      </c>
      <c r="G299" s="156">
        <f>$J$17*F821EA!G95*$L299</f>
        <v>5.9520499999999998</v>
      </c>
      <c r="H299" s="156">
        <f>$J$17*F821EA!H95*$L299</f>
        <v>4.6513999999999998</v>
      </c>
      <c r="I299" s="156">
        <f>$J$17*F821EA!I95*$L299</f>
        <v>5.9799999999999995</v>
      </c>
      <c r="J299" s="156">
        <f t="shared" si="70"/>
        <v>34.6892</v>
      </c>
      <c r="K299" s="69"/>
      <c r="L299" s="319">
        <v>1</v>
      </c>
    </row>
    <row r="300" spans="2:12" s="37" customFormat="1" ht="15.75">
      <c r="B300" s="48"/>
      <c r="C300" s="160" t="s">
        <v>305</v>
      </c>
      <c r="D300" s="156">
        <f>$J$17*F821EA!D96*$L300</f>
        <v>0</v>
      </c>
      <c r="E300" s="156">
        <f>$J$17*F821EA!E96*$L300</f>
        <v>0</v>
      </c>
      <c r="F300" s="156">
        <f>$J$17*F821EA!F96*$L300</f>
        <v>0</v>
      </c>
      <c r="G300" s="156">
        <f>$J$17*F821EA!G96*$L300</f>
        <v>0</v>
      </c>
      <c r="H300" s="156">
        <f>$J$17*F821EA!H96*$L300</f>
        <v>0</v>
      </c>
      <c r="I300" s="156">
        <f>$J$17*F821EA!I96*$L300</f>
        <v>0</v>
      </c>
      <c r="J300" s="156">
        <f t="shared" si="70"/>
        <v>0</v>
      </c>
      <c r="K300" s="69"/>
      <c r="L300" s="319">
        <v>0.95</v>
      </c>
    </row>
    <row r="301" spans="2:12" s="37" customFormat="1" ht="15.75">
      <c r="B301" s="48"/>
      <c r="C301" s="160" t="s">
        <v>307</v>
      </c>
      <c r="D301" s="156">
        <f>$J$17*F821EA!D97*$L301</f>
        <v>0</v>
      </c>
      <c r="E301" s="156">
        <f>$J$17*F821EA!E97*$L301</f>
        <v>0</v>
      </c>
      <c r="F301" s="156">
        <f>$J$17*F821EA!F97*$L301</f>
        <v>0</v>
      </c>
      <c r="G301" s="156">
        <f>$J$17*F821EA!G97*$L301</f>
        <v>0</v>
      </c>
      <c r="H301" s="156">
        <f>$J$17*F821EA!H97*$L301</f>
        <v>0</v>
      </c>
      <c r="I301" s="156">
        <f>$J$17*F821EA!I97*$L301</f>
        <v>0</v>
      </c>
      <c r="J301" s="156">
        <f t="shared" si="70"/>
        <v>0</v>
      </c>
      <c r="K301" s="69"/>
      <c r="L301" s="319">
        <v>0.5</v>
      </c>
    </row>
    <row r="302" spans="2:12" s="37" customFormat="1" ht="15.75">
      <c r="B302" s="48"/>
      <c r="C302" s="160" t="s">
        <v>624</v>
      </c>
      <c r="D302" s="156">
        <f>$J$17*F821EA!D98*$L302</f>
        <v>0</v>
      </c>
      <c r="E302" s="156">
        <f>$J$17*F821EA!E98*$L302</f>
        <v>0</v>
      </c>
      <c r="F302" s="156">
        <f>$J$17*F821EA!F98*$L302</f>
        <v>0</v>
      </c>
      <c r="G302" s="156">
        <f>$J$17*F821EA!G98*$L302</f>
        <v>0</v>
      </c>
      <c r="H302" s="156">
        <f>$J$17*F821EA!H98*$L302</f>
        <v>0</v>
      </c>
      <c r="I302" s="156">
        <f>$J$17*F821EA!I98*$L302</f>
        <v>0</v>
      </c>
      <c r="J302" s="156">
        <f t="shared" si="70"/>
        <v>0</v>
      </c>
      <c r="K302" s="69"/>
      <c r="L302" s="319">
        <v>0</v>
      </c>
    </row>
    <row r="303" spans="2:12" s="37" customFormat="1" ht="15.75">
      <c r="B303" s="48" t="s">
        <v>902</v>
      </c>
      <c r="C303" s="158" t="s">
        <v>900</v>
      </c>
      <c r="D303" s="159">
        <f t="shared" ref="D303:I303" si="72">SUM(D304:D309)</f>
        <v>80.52525</v>
      </c>
      <c r="E303" s="159">
        <f t="shared" si="72"/>
        <v>79.917337500000002</v>
      </c>
      <c r="F303" s="159">
        <f t="shared" si="72"/>
        <v>90.277037500000006</v>
      </c>
      <c r="G303" s="159">
        <f t="shared" si="72"/>
        <v>68.444187499999998</v>
      </c>
      <c r="H303" s="159">
        <f t="shared" si="72"/>
        <v>54.063425000000002</v>
      </c>
      <c r="I303" s="159">
        <f t="shared" si="72"/>
        <v>76.007424999999984</v>
      </c>
      <c r="J303" s="159">
        <f t="shared" si="70"/>
        <v>449.23466250000001</v>
      </c>
      <c r="K303" s="69"/>
      <c r="L303" s="319"/>
    </row>
    <row r="304" spans="2:12" s="37" customFormat="1" ht="15.75">
      <c r="B304" s="48"/>
      <c r="C304" s="160" t="s">
        <v>304</v>
      </c>
      <c r="D304" s="156">
        <f>$J$17*F821EA!D100*$L304</f>
        <v>77.545649999999995</v>
      </c>
      <c r="E304" s="156">
        <f>$J$17*F821EA!E100*$L304</f>
        <v>78.343199999999996</v>
      </c>
      <c r="F304" s="156">
        <f>$J$17*F821EA!F100*$L304</f>
        <v>88.1023</v>
      </c>
      <c r="G304" s="156">
        <f>$J$17*F821EA!G100*$L304</f>
        <v>65.698099999999997</v>
      </c>
      <c r="H304" s="156">
        <f>$J$17*F821EA!H100*$L304</f>
        <v>52.86515</v>
      </c>
      <c r="I304" s="156">
        <f>$J$17*F821EA!I100*$L304</f>
        <v>73.878999999999991</v>
      </c>
      <c r="J304" s="156">
        <f t="shared" si="70"/>
        <v>436.43340000000001</v>
      </c>
      <c r="K304" s="69"/>
      <c r="L304" s="319">
        <v>1</v>
      </c>
    </row>
    <row r="305" spans="2:12" s="37" customFormat="1" ht="15.75">
      <c r="B305" s="48"/>
      <c r="C305" s="162" t="s">
        <v>642</v>
      </c>
      <c r="D305" s="156">
        <f>$J$17*F821EA!D101*$L305</f>
        <v>2.9796</v>
      </c>
      <c r="E305" s="156">
        <f>$J$17*F821EA!E101*$L305</f>
        <v>1.5741375</v>
      </c>
      <c r="F305" s="156">
        <f>$J$17*F821EA!F101*$L305</f>
        <v>2.1747375</v>
      </c>
      <c r="G305" s="156">
        <f>$J$17*F821EA!G101*$L305</f>
        <v>2.7460874999999998</v>
      </c>
      <c r="H305" s="156">
        <f>$J$17*F821EA!H101*$L305</f>
        <v>1.198275</v>
      </c>
      <c r="I305" s="156">
        <f>$J$17*F821EA!I101*$L305</f>
        <v>2.128425</v>
      </c>
      <c r="J305" s="156">
        <f t="shared" si="70"/>
        <v>12.801262500000002</v>
      </c>
      <c r="K305" s="69"/>
      <c r="L305" s="319">
        <v>0.75</v>
      </c>
    </row>
    <row r="306" spans="2:12" s="37" customFormat="1" ht="15.75">
      <c r="B306" s="48"/>
      <c r="C306" s="162" t="s">
        <v>1177</v>
      </c>
      <c r="D306" s="156">
        <f>$J$17*F821EA!D102*$L306</f>
        <v>0</v>
      </c>
      <c r="E306" s="156">
        <f>$J$17*F821EA!E102*$L306</f>
        <v>0</v>
      </c>
      <c r="F306" s="156">
        <f>$J$17*F821EA!F102*$L306</f>
        <v>0</v>
      </c>
      <c r="G306" s="156">
        <f>$J$17*F821EA!G102*$L306</f>
        <v>0</v>
      </c>
      <c r="H306" s="156">
        <f>$J$17*F821EA!H102*$L306</f>
        <v>0</v>
      </c>
      <c r="I306" s="156">
        <f>$J$17*F821EA!I102*$L306</f>
        <v>0</v>
      </c>
      <c r="J306" s="156">
        <f t="shared" si="70"/>
        <v>0</v>
      </c>
      <c r="K306" s="69"/>
      <c r="L306" s="319">
        <v>1</v>
      </c>
    </row>
    <row r="307" spans="2:12" s="37" customFormat="1" ht="15.75">
      <c r="B307" s="48"/>
      <c r="C307" s="160" t="s">
        <v>305</v>
      </c>
      <c r="D307" s="156">
        <f>$J$17*F821EA!D103*$L307</f>
        <v>0</v>
      </c>
      <c r="E307" s="156">
        <f>$J$17*F821EA!E103*$L307</f>
        <v>0</v>
      </c>
      <c r="F307" s="156">
        <f>$J$17*F821EA!F103*$L307</f>
        <v>0</v>
      </c>
      <c r="G307" s="156">
        <f>$J$17*F821EA!G103*$L307</f>
        <v>0</v>
      </c>
      <c r="H307" s="156">
        <f>$J$17*F821EA!H103*$L307</f>
        <v>0</v>
      </c>
      <c r="I307" s="156">
        <f>$J$17*F821EA!I103*$L307</f>
        <v>0</v>
      </c>
      <c r="J307" s="156">
        <f t="shared" si="70"/>
        <v>0</v>
      </c>
      <c r="K307" s="69"/>
      <c r="L307" s="319">
        <v>0.95</v>
      </c>
    </row>
    <row r="308" spans="2:12" s="37" customFormat="1" ht="15.75">
      <c r="B308" s="48"/>
      <c r="C308" s="160" t="s">
        <v>307</v>
      </c>
      <c r="D308" s="156">
        <f>$J$17*F821EA!D104*$L308</f>
        <v>0</v>
      </c>
      <c r="E308" s="156">
        <f>$J$17*F821EA!E104*$L308</f>
        <v>0</v>
      </c>
      <c r="F308" s="156">
        <f>$J$17*F821EA!F104*$L308</f>
        <v>0</v>
      </c>
      <c r="G308" s="156">
        <f>$J$17*F821EA!G104*$L308</f>
        <v>0</v>
      </c>
      <c r="H308" s="156">
        <f>$J$17*F821EA!H104*$L308</f>
        <v>0</v>
      </c>
      <c r="I308" s="156">
        <f>$J$17*F821EA!I104*$L308</f>
        <v>0</v>
      </c>
      <c r="J308" s="156">
        <f t="shared" si="70"/>
        <v>0</v>
      </c>
      <c r="K308" s="69"/>
      <c r="L308" s="319">
        <v>0.5</v>
      </c>
    </row>
    <row r="309" spans="2:12" s="37" customFormat="1" ht="15.75">
      <c r="B309" s="48"/>
      <c r="C309" s="160" t="s">
        <v>624</v>
      </c>
      <c r="D309" s="156">
        <f>$J$17*F821EA!D105*$L309</f>
        <v>0</v>
      </c>
      <c r="E309" s="156">
        <f>$J$17*F821EA!E105*$L309</f>
        <v>0</v>
      </c>
      <c r="F309" s="156">
        <f>$J$17*F821EA!F105*$L309</f>
        <v>0</v>
      </c>
      <c r="G309" s="156">
        <f>$J$17*F821EA!G105*$L309</f>
        <v>0</v>
      </c>
      <c r="H309" s="156">
        <f>$J$17*F821EA!H105*$L309</f>
        <v>0</v>
      </c>
      <c r="I309" s="156">
        <f>$J$17*F821EA!I105*$L309</f>
        <v>0</v>
      </c>
      <c r="J309" s="156">
        <f t="shared" si="70"/>
        <v>0</v>
      </c>
      <c r="K309" s="69"/>
      <c r="L309" s="319">
        <v>0</v>
      </c>
    </row>
    <row r="310" spans="2:12" s="37" customFormat="1" ht="15.75">
      <c r="B310" s="48"/>
      <c r="C310" s="157"/>
      <c r="D310" s="156"/>
      <c r="E310" s="156"/>
      <c r="F310" s="156"/>
      <c r="G310" s="156"/>
      <c r="H310" s="156"/>
      <c r="I310" s="156"/>
      <c r="J310" s="156"/>
      <c r="K310" s="69"/>
      <c r="L310" s="319"/>
    </row>
    <row r="311" spans="2:12" s="37" customFormat="1" ht="15.75">
      <c r="B311" s="48"/>
      <c r="C311" s="153" t="s">
        <v>112</v>
      </c>
      <c r="D311" s="154">
        <f t="shared" ref="D311:I311" si="73">D234+D224+D220</f>
        <v>167978.0703475</v>
      </c>
      <c r="E311" s="154">
        <f t="shared" si="73"/>
        <v>168038.60796249998</v>
      </c>
      <c r="F311" s="154">
        <f t="shared" si="73"/>
        <v>164776.69314749996</v>
      </c>
      <c r="G311" s="154">
        <f t="shared" si="73"/>
        <v>167458.7997725</v>
      </c>
      <c r="H311" s="154">
        <f t="shared" si="73"/>
        <v>159961.09388250002</v>
      </c>
      <c r="I311" s="154">
        <f t="shared" si="73"/>
        <v>160802.80079949999</v>
      </c>
      <c r="J311" s="154">
        <f>SUM(D311:I311)</f>
        <v>989016.0659119999</v>
      </c>
      <c r="K311" s="69"/>
      <c r="L311" s="319"/>
    </row>
    <row r="312" spans="2:12">
      <c r="C312" s="48"/>
      <c r="D312" s="48"/>
      <c r="E312" s="48"/>
      <c r="F312" s="48"/>
      <c r="G312" s="48"/>
      <c r="H312" s="48"/>
      <c r="I312" s="48"/>
      <c r="J312" s="48"/>
    </row>
    <row r="313" spans="2:12" s="69" customFormat="1" ht="30">
      <c r="B313" s="48"/>
      <c r="C313" s="320" t="s">
        <v>662</v>
      </c>
      <c r="D313" s="320"/>
      <c r="E313" s="320"/>
      <c r="F313" s="320"/>
      <c r="G313" s="320"/>
      <c r="H313" s="320"/>
      <c r="I313" s="320"/>
      <c r="J313" s="321"/>
      <c r="L313" s="319"/>
    </row>
    <row r="314" spans="2:12" s="37" customFormat="1" ht="15.75">
      <c r="B314" s="48"/>
      <c r="C314" s="150" t="s">
        <v>310</v>
      </c>
      <c r="D314" s="151">
        <f t="shared" ref="D314:I314" si="74">D$29</f>
        <v>45839</v>
      </c>
      <c r="E314" s="151">
        <f t="shared" si="74"/>
        <v>45870</v>
      </c>
      <c r="F314" s="151">
        <f t="shared" si="74"/>
        <v>45901</v>
      </c>
      <c r="G314" s="151">
        <f t="shared" si="74"/>
        <v>45931</v>
      </c>
      <c r="H314" s="151">
        <f t="shared" si="74"/>
        <v>45962</v>
      </c>
      <c r="I314" s="151">
        <f t="shared" si="74"/>
        <v>45992</v>
      </c>
      <c r="J314" s="152" t="s">
        <v>111</v>
      </c>
      <c r="K314" s="69"/>
      <c r="L314" s="319"/>
    </row>
    <row r="315" spans="2:12" s="37" customFormat="1" ht="15.75">
      <c r="B315" s="48"/>
      <c r="C315" s="334" t="s">
        <v>446</v>
      </c>
      <c r="D315" s="154">
        <f t="shared" ref="D315:I315" si="75">D316+D317+D320</f>
        <v>17181.187047045001</v>
      </c>
      <c r="E315" s="154">
        <f t="shared" si="75"/>
        <v>15714.040250790002</v>
      </c>
      <c r="F315" s="154">
        <f t="shared" si="75"/>
        <v>16133.837812659</v>
      </c>
      <c r="G315" s="154">
        <f t="shared" si="75"/>
        <v>17895.037539456</v>
      </c>
      <c r="H315" s="154">
        <f t="shared" si="75"/>
        <v>13882.275934947</v>
      </c>
      <c r="I315" s="154">
        <f t="shared" si="75"/>
        <v>10919.878948421103</v>
      </c>
      <c r="J315" s="154">
        <f t="shared" ref="J315:J342" si="76">SUM(D315:I315)</f>
        <v>91726.257533318101</v>
      </c>
      <c r="K315" s="69"/>
      <c r="L315" s="319"/>
    </row>
    <row r="316" spans="2:12" s="37" customFormat="1" ht="15.75">
      <c r="B316" s="48" t="s">
        <v>870</v>
      </c>
      <c r="C316" s="157" t="s">
        <v>1029</v>
      </c>
      <c r="D316" s="156">
        <f>$J$7*F821EA!D116</f>
        <v>6131.2772080350005</v>
      </c>
      <c r="E316" s="156">
        <f>$J$7*F821EA!E116</f>
        <v>5549.8904325899994</v>
      </c>
      <c r="F316" s="156">
        <f>$J$7*F821EA!F116</f>
        <v>5609.6716695389996</v>
      </c>
      <c r="G316" s="156">
        <f>$J$7*F821EA!G116</f>
        <v>6432.242327216999</v>
      </c>
      <c r="H316" s="156">
        <f>$J$7*F821EA!H116</f>
        <v>4468.7688043950002</v>
      </c>
      <c r="I316" s="156">
        <f>$J$7*F821EA!I116</f>
        <v>5762.3417964629998</v>
      </c>
      <c r="J316" s="154">
        <f t="shared" si="76"/>
        <v>33954.192238238997</v>
      </c>
      <c r="K316" s="69"/>
      <c r="L316" s="319"/>
    </row>
    <row r="317" spans="2:12" s="37" customFormat="1" ht="15.75">
      <c r="B317" s="48" t="s">
        <v>871</v>
      </c>
      <c r="C317" s="335" t="s">
        <v>193</v>
      </c>
      <c r="D317" s="154">
        <f t="shared" ref="D317:I317" si="77">SUM(D318:D319)</f>
        <v>2927.1043790100002</v>
      </c>
      <c r="E317" s="154">
        <f t="shared" si="77"/>
        <v>2870.8872368399998</v>
      </c>
      <c r="F317" s="154">
        <f t="shared" si="77"/>
        <v>2968.1737129799994</v>
      </c>
      <c r="G317" s="154">
        <f t="shared" si="77"/>
        <v>3568.6728222389997</v>
      </c>
      <c r="H317" s="154">
        <f t="shared" si="77"/>
        <v>3436.1351384219993</v>
      </c>
      <c r="I317" s="154">
        <f t="shared" si="77"/>
        <v>3612.5566519581007</v>
      </c>
      <c r="J317" s="154">
        <f t="shared" si="76"/>
        <v>19383.529941449102</v>
      </c>
      <c r="K317" s="69"/>
      <c r="L317" s="319"/>
    </row>
    <row r="318" spans="2:12" s="37" customFormat="1" ht="15.75">
      <c r="B318" s="48"/>
      <c r="C318" s="157" t="s">
        <v>1030</v>
      </c>
      <c r="D318" s="156">
        <f>+$J$8*F821EA!D118</f>
        <v>0</v>
      </c>
      <c r="E318" s="156">
        <f>+$J$8*F821EA!E118</f>
        <v>0</v>
      </c>
      <c r="F318" s="156">
        <f>+$J$8*F821EA!F118</f>
        <v>0</v>
      </c>
      <c r="G318" s="156">
        <f>+$J$8*F821EA!G118</f>
        <v>0</v>
      </c>
      <c r="H318" s="156">
        <f>+$J$8*F821EA!H118</f>
        <v>0</v>
      </c>
      <c r="I318" s="156">
        <f>+$J$8*F821EA!I118</f>
        <v>0</v>
      </c>
      <c r="J318" s="154">
        <f t="shared" si="76"/>
        <v>0</v>
      </c>
      <c r="K318" s="69"/>
      <c r="L318" s="319"/>
    </row>
    <row r="319" spans="2:12" s="37" customFormat="1" ht="15.75">
      <c r="B319" s="48"/>
      <c r="C319" s="157" t="s">
        <v>1476</v>
      </c>
      <c r="D319" s="156">
        <f>+$J$8*F821EA!D119</f>
        <v>2927.1043790100002</v>
      </c>
      <c r="E319" s="156">
        <f>+$J$8*F821EA!E119</f>
        <v>2870.8872368399998</v>
      </c>
      <c r="F319" s="156">
        <f>+$J$8*F821EA!F119</f>
        <v>2968.1737129799994</v>
      </c>
      <c r="G319" s="156">
        <f>+$J$8*F821EA!G119</f>
        <v>3568.6728222389997</v>
      </c>
      <c r="H319" s="156">
        <f>+$J$8*F821EA!H119</f>
        <v>3436.1351384219993</v>
      </c>
      <c r="I319" s="156">
        <f>+$J$8*F821EA!I119</f>
        <v>3612.5566519581007</v>
      </c>
      <c r="J319" s="154">
        <f t="shared" si="76"/>
        <v>19383.529941449102</v>
      </c>
      <c r="K319" s="69"/>
      <c r="L319" s="319"/>
    </row>
    <row r="320" spans="2:12" s="37" customFormat="1" ht="15.75">
      <c r="B320" s="48" t="s">
        <v>893</v>
      </c>
      <c r="C320" s="153" t="s">
        <v>942</v>
      </c>
      <c r="D320" s="154">
        <f>+$J$8*F821EA!D120</f>
        <v>8122.8054599999996</v>
      </c>
      <c r="E320" s="154">
        <f>+$J$8*F821EA!E120</f>
        <v>7293.2625813600025</v>
      </c>
      <c r="F320" s="154">
        <f>+$J$8*F821EA!F120</f>
        <v>7555.9924301399997</v>
      </c>
      <c r="G320" s="154">
        <f>+$J$8*F821EA!G120</f>
        <v>7894.1223900000014</v>
      </c>
      <c r="H320" s="154">
        <f>+$J$8*F821EA!H120</f>
        <v>5977.3719921300008</v>
      </c>
      <c r="I320" s="154">
        <f>+$J$8*F821EA!I120</f>
        <v>1544.9805000000031</v>
      </c>
      <c r="J320" s="154">
        <f t="shared" si="76"/>
        <v>38388.53535363001</v>
      </c>
      <c r="K320" s="69"/>
      <c r="L320" s="319"/>
    </row>
    <row r="321" spans="2:12" s="37" customFormat="1" ht="15.75">
      <c r="B321" s="48"/>
      <c r="C321" s="334" t="s">
        <v>630</v>
      </c>
      <c r="D321" s="154">
        <f t="shared" ref="D321:I321" si="78">D322+D327</f>
        <v>33322.545523962457</v>
      </c>
      <c r="E321" s="154">
        <f t="shared" si="78"/>
        <v>33110.860460765849</v>
      </c>
      <c r="F321" s="154">
        <f t="shared" si="78"/>
        <v>32178.345130285205</v>
      </c>
      <c r="G321" s="154">
        <f t="shared" si="78"/>
        <v>33675.310531863004</v>
      </c>
      <c r="H321" s="154">
        <f t="shared" si="78"/>
        <v>31154.998343741998</v>
      </c>
      <c r="I321" s="154">
        <f t="shared" si="78"/>
        <v>32914.84655194691</v>
      </c>
      <c r="J321" s="154">
        <f t="shared" si="76"/>
        <v>196356.90654256541</v>
      </c>
      <c r="K321" s="69"/>
      <c r="L321" s="319"/>
    </row>
    <row r="322" spans="2:12" s="37" customFormat="1" ht="15.75">
      <c r="B322" s="48" t="s">
        <v>872</v>
      </c>
      <c r="C322" s="335" t="s">
        <v>1073</v>
      </c>
      <c r="D322" s="154">
        <f t="shared" ref="D322:I322" si="79">SUM(D323:D326)</f>
        <v>6418.4391745109988</v>
      </c>
      <c r="E322" s="154">
        <f t="shared" si="79"/>
        <v>6478.7254679700009</v>
      </c>
      <c r="F322" s="154">
        <f t="shared" si="79"/>
        <v>6302.2895545050005</v>
      </c>
      <c r="G322" s="154">
        <f t="shared" si="79"/>
        <v>6754.8760690949994</v>
      </c>
      <c r="H322" s="154">
        <f t="shared" si="79"/>
        <v>6333.6882161700014</v>
      </c>
      <c r="I322" s="154">
        <f t="shared" si="79"/>
        <v>6299.5650169221017</v>
      </c>
      <c r="J322" s="154">
        <f t="shared" si="76"/>
        <v>38587.583499173103</v>
      </c>
      <c r="K322" s="69"/>
      <c r="L322" s="319"/>
    </row>
    <row r="323" spans="2:12" s="37" customFormat="1" ht="15.75">
      <c r="B323" s="48"/>
      <c r="C323" s="157" t="s">
        <v>1477</v>
      </c>
      <c r="D323" s="156">
        <f>$J$9*F821EA!D124</f>
        <v>4279.0902003243427</v>
      </c>
      <c r="E323" s="156">
        <f>$J$9*F821EA!E124</f>
        <v>4267.2974085070755</v>
      </c>
      <c r="F323" s="156">
        <f>$J$9*F821EA!F124</f>
        <v>4066.441936378224</v>
      </c>
      <c r="G323" s="156">
        <f>$J$9*F821EA!G124</f>
        <v>4215.2913593095236</v>
      </c>
      <c r="H323" s="156">
        <f>$J$9*F821EA!H124</f>
        <v>3893.6044061324333</v>
      </c>
      <c r="I323" s="156">
        <f>$J$9*F821EA!I124</f>
        <v>3867.8856062564523</v>
      </c>
      <c r="J323" s="154">
        <f t="shared" si="76"/>
        <v>24589.610916908048</v>
      </c>
      <c r="K323" s="69"/>
    </row>
    <row r="324" spans="2:12" s="37" customFormat="1" ht="15.75">
      <c r="B324" s="48"/>
      <c r="C324" s="157" t="s">
        <v>1477</v>
      </c>
      <c r="D324" s="156">
        <f>$J$9*F821EA!D125</f>
        <v>206.91081078284301</v>
      </c>
      <c r="E324" s="156">
        <f>$J$9*F821EA!E125</f>
        <v>210.87590988640804</v>
      </c>
      <c r="F324" s="156">
        <f>$J$9*F821EA!F125</f>
        <v>222.39168612932099</v>
      </c>
      <c r="G324" s="156">
        <f>$J$9*F821EA!G125</f>
        <v>239.60240901772471</v>
      </c>
      <c r="H324" s="156">
        <f>$J$9*F821EA!H125</f>
        <v>258.8501782936624</v>
      </c>
      <c r="I324" s="156">
        <f>$J$9*F821EA!I125</f>
        <v>144.41967932210903</v>
      </c>
      <c r="J324" s="154">
        <f t="shared" si="76"/>
        <v>1283.0506734320682</v>
      </c>
      <c r="K324" s="69"/>
    </row>
    <row r="325" spans="2:12" s="37" customFormat="1" ht="15.75">
      <c r="B325" s="48"/>
      <c r="C325" s="157" t="s">
        <v>1477</v>
      </c>
      <c r="D325" s="156">
        <f>$J$9*F821EA!D126</f>
        <v>77.469134777999102</v>
      </c>
      <c r="E325" s="156">
        <f>$J$9*F821EA!E126</f>
        <v>75.709879651375971</v>
      </c>
      <c r="F325" s="156">
        <f>$J$9*F821EA!F126</f>
        <v>73.099813021247627</v>
      </c>
      <c r="G325" s="156">
        <f>$J$9*F821EA!G126</f>
        <v>78.374390298471923</v>
      </c>
      <c r="H325" s="156">
        <f>$J$9*F821EA!H126</f>
        <v>75.641840631458436</v>
      </c>
      <c r="I325" s="156">
        <f>$J$9*F821EA!I126</f>
        <v>72.498905401484947</v>
      </c>
      <c r="J325" s="154">
        <f>SUM(D325:I325)</f>
        <v>452.79396378203796</v>
      </c>
      <c r="K325" s="69"/>
    </row>
    <row r="326" spans="2:12" s="37" customFormat="1" ht="15.75">
      <c r="B326" s="48"/>
      <c r="C326" s="157" t="s">
        <v>1477</v>
      </c>
      <c r="D326" s="156">
        <f>$J$9*F821EA!D127</f>
        <v>1854.9690286258133</v>
      </c>
      <c r="E326" s="156">
        <f>$J$9*F821EA!E127</f>
        <v>1924.8422699251414</v>
      </c>
      <c r="F326" s="156">
        <f>$J$9*F821EA!F127</f>
        <v>1940.3561189762074</v>
      </c>
      <c r="G326" s="156">
        <f>$J$9*F821EA!G127</f>
        <v>2221.6079104692799</v>
      </c>
      <c r="H326" s="156">
        <f>$J$9*F821EA!H127</f>
        <v>2105.5917911124466</v>
      </c>
      <c r="I326" s="156">
        <f>$J$9*F821EA!I127</f>
        <v>2214.7608259420554</v>
      </c>
      <c r="J326" s="154">
        <f>SUM(D326:I326)</f>
        <v>12262.127945050945</v>
      </c>
      <c r="K326" s="69"/>
    </row>
    <row r="327" spans="2:12" s="37" customFormat="1" ht="15.75">
      <c r="B327" s="48" t="s">
        <v>873</v>
      </c>
      <c r="C327" s="335" t="s">
        <v>193</v>
      </c>
      <c r="D327" s="154">
        <f t="shared" ref="D327:I327" si="80">SUM(D328:D332)</f>
        <v>26904.10634945146</v>
      </c>
      <c r="E327" s="154">
        <f t="shared" si="80"/>
        <v>26632.134992795847</v>
      </c>
      <c r="F327" s="154">
        <f t="shared" si="80"/>
        <v>25876.055575780203</v>
      </c>
      <c r="G327" s="154">
        <f t="shared" si="80"/>
        <v>26920.434462768004</v>
      </c>
      <c r="H327" s="154">
        <f t="shared" si="80"/>
        <v>24821.310127571996</v>
      </c>
      <c r="I327" s="154">
        <f t="shared" si="80"/>
        <v>26615.281535024806</v>
      </c>
      <c r="J327" s="154">
        <f t="shared" si="76"/>
        <v>157769.32304339233</v>
      </c>
      <c r="K327" s="69"/>
    </row>
    <row r="328" spans="2:12" s="37" customFormat="1" ht="15.75">
      <c r="B328" s="48"/>
      <c r="C328" s="157" t="s">
        <v>1031</v>
      </c>
      <c r="D328" s="156">
        <f>$J$10*F821EA!D129</f>
        <v>0</v>
      </c>
      <c r="E328" s="156">
        <f>$J$10*F821EA!E129</f>
        <v>0</v>
      </c>
      <c r="F328" s="156">
        <f>$J$10*F821EA!F129</f>
        <v>0</v>
      </c>
      <c r="G328" s="156">
        <f>$J$10*F821EA!G129</f>
        <v>0</v>
      </c>
      <c r="H328" s="156">
        <f>$J$10*F821EA!H129</f>
        <v>0</v>
      </c>
      <c r="I328" s="156">
        <f>$J$10*F821EA!I129</f>
        <v>0</v>
      </c>
      <c r="J328" s="154">
        <f t="shared" si="76"/>
        <v>0</v>
      </c>
      <c r="K328" s="69"/>
    </row>
    <row r="329" spans="2:12" s="37" customFormat="1" ht="15.75">
      <c r="B329" s="48"/>
      <c r="C329" s="157" t="s">
        <v>1478</v>
      </c>
      <c r="D329" s="156">
        <f>$J$10*F821EA!D130</f>
        <v>17537.855439645456</v>
      </c>
      <c r="E329" s="156">
        <f>$J$10*F821EA!E130</f>
        <v>17494.30242657405</v>
      </c>
      <c r="F329" s="156">
        <f>$J$10*F821EA!F130</f>
        <v>15935.589889972201</v>
      </c>
      <c r="G329" s="156">
        <f>$J$10*F821EA!G130</f>
        <v>16519.389952149006</v>
      </c>
      <c r="H329" s="156">
        <f>$J$10*F821EA!H130</f>
        <v>15087.947837381997</v>
      </c>
      <c r="I329" s="156">
        <f>$J$10*F821EA!I130</f>
        <v>15980.57893044459</v>
      </c>
      <c r="J329" s="154">
        <f t="shared" si="76"/>
        <v>98555.664476167309</v>
      </c>
      <c r="K329" s="69"/>
    </row>
    <row r="330" spans="2:12" s="37" customFormat="1" ht="15.75">
      <c r="B330" s="48"/>
      <c r="C330" s="157" t="s">
        <v>1478</v>
      </c>
      <c r="D330" s="156">
        <f>$J$10*F821EA!D131</f>
        <v>1235.4621931259999</v>
      </c>
      <c r="E330" s="156">
        <f>$J$10*F821EA!E131</f>
        <v>1096.1445378240001</v>
      </c>
      <c r="F330" s="156">
        <f>$J$10*F821EA!F131</f>
        <v>1217.3587645589998</v>
      </c>
      <c r="G330" s="156">
        <f>$J$10*F821EA!G131</f>
        <v>1065.5160275340002</v>
      </c>
      <c r="H330" s="156">
        <f>$J$10*F821EA!H131</f>
        <v>1018.0047510360002</v>
      </c>
      <c r="I330" s="156">
        <f>$J$10*F821EA!I131</f>
        <v>1140.4545860294984</v>
      </c>
      <c r="J330" s="154">
        <f t="shared" si="76"/>
        <v>6772.9408601084988</v>
      </c>
      <c r="K330" s="69"/>
    </row>
    <row r="331" spans="2:12" s="37" customFormat="1" ht="15.75">
      <c r="B331" s="48"/>
      <c r="C331" s="157" t="s">
        <v>1478</v>
      </c>
      <c r="D331" s="156">
        <f>$J$10*F821EA!D132</f>
        <v>1165.799452986</v>
      </c>
      <c r="E331" s="156">
        <f>$J$10*F821EA!E132</f>
        <v>1204.326421389</v>
      </c>
      <c r="F331" s="156">
        <f>$J$10*F821EA!F132</f>
        <v>1155.4463636730002</v>
      </c>
      <c r="G331" s="156">
        <f>$J$10*F821EA!G132</f>
        <v>1210.4088413130003</v>
      </c>
      <c r="H331" s="156">
        <f>$J$10*F821EA!H132</f>
        <v>1071.0742914270002</v>
      </c>
      <c r="I331" s="156">
        <f>$J$10*F821EA!I132</f>
        <v>1210.6881957428996</v>
      </c>
      <c r="J331" s="154">
        <f t="shared" si="76"/>
        <v>7017.7435665309004</v>
      </c>
      <c r="K331" s="69"/>
    </row>
    <row r="332" spans="2:12" s="37" customFormat="1" ht="15.75">
      <c r="B332" s="48"/>
      <c r="C332" s="157" t="s">
        <v>1478</v>
      </c>
      <c r="D332" s="156">
        <f>$J$10*F821EA!D133</f>
        <v>6964.9892636940003</v>
      </c>
      <c r="E332" s="156">
        <f>$J$10*F821EA!E133</f>
        <v>6837.3616070088001</v>
      </c>
      <c r="F332" s="156">
        <f>$J$10*F821EA!F133</f>
        <v>7567.6605575760004</v>
      </c>
      <c r="G332" s="156">
        <f>$J$10*F821EA!G133</f>
        <v>8125.1196417719993</v>
      </c>
      <c r="H332" s="156">
        <f>$J$10*F821EA!H133</f>
        <v>7644.2832477269985</v>
      </c>
      <c r="I332" s="156">
        <f>$J$10*F821EA!I133</f>
        <v>8283.5598228078143</v>
      </c>
      <c r="J332" s="154">
        <f t="shared" si="76"/>
        <v>45422.974140585618</v>
      </c>
      <c r="K332" s="69"/>
    </row>
    <row r="333" spans="2:12" s="37" customFormat="1" ht="15.75">
      <c r="B333" s="48"/>
      <c r="C333" s="334" t="s">
        <v>443</v>
      </c>
      <c r="D333" s="154">
        <f t="shared" ref="D333:I333" si="81">D334+D335</f>
        <v>5400.5034129480018</v>
      </c>
      <c r="E333" s="154">
        <f t="shared" si="81"/>
        <v>5301.9871516710018</v>
      </c>
      <c r="F333" s="154">
        <f t="shared" si="81"/>
        <v>5374.0988073359995</v>
      </c>
      <c r="G333" s="154">
        <f t="shared" si="81"/>
        <v>5660.893635075</v>
      </c>
      <c r="H333" s="154">
        <f t="shared" si="81"/>
        <v>5218.1098819919989</v>
      </c>
      <c r="I333" s="154">
        <f t="shared" si="81"/>
        <v>5849.9154798499821</v>
      </c>
      <c r="J333" s="154">
        <f t="shared" si="76"/>
        <v>32805.508368871982</v>
      </c>
      <c r="K333" s="69"/>
    </row>
    <row r="334" spans="2:12" s="37" customFormat="1" ht="15.75">
      <c r="B334" s="48" t="s">
        <v>874</v>
      </c>
      <c r="C334" s="157" t="s">
        <v>1479</v>
      </c>
      <c r="D334" s="156">
        <f>$J$11*F821EA!D137</f>
        <v>174.82822755299998</v>
      </c>
      <c r="E334" s="156">
        <f>$J$11*F821EA!E137</f>
        <v>173.27465876700001</v>
      </c>
      <c r="F334" s="156">
        <f>$J$11*F821EA!F137</f>
        <v>165.95542152000002</v>
      </c>
      <c r="G334" s="156">
        <f>$J$11*F821EA!G137</f>
        <v>172.0986939</v>
      </c>
      <c r="H334" s="156">
        <f>$J$11*F821EA!H137</f>
        <v>166.66355972700003</v>
      </c>
      <c r="I334" s="156">
        <f>$J$11*F821EA!I137</f>
        <v>172.67669370000019</v>
      </c>
      <c r="J334" s="154">
        <f t="shared" si="76"/>
        <v>1025.497255167</v>
      </c>
      <c r="K334" s="69"/>
    </row>
    <row r="335" spans="2:12" s="37" customFormat="1" ht="15.75">
      <c r="B335" s="48" t="s">
        <v>875</v>
      </c>
      <c r="C335" s="335" t="s">
        <v>193</v>
      </c>
      <c r="D335" s="154">
        <f t="shared" ref="D335:I335" si="82">SUM(D336:D341)</f>
        <v>5225.6751853950018</v>
      </c>
      <c r="E335" s="154">
        <f t="shared" si="82"/>
        <v>5128.7124929040019</v>
      </c>
      <c r="F335" s="154">
        <f t="shared" si="82"/>
        <v>5208.1433858159999</v>
      </c>
      <c r="G335" s="154">
        <f t="shared" si="82"/>
        <v>5488.7949411749996</v>
      </c>
      <c r="H335" s="154">
        <f t="shared" si="82"/>
        <v>5051.4463222649993</v>
      </c>
      <c r="I335" s="154">
        <f t="shared" si="82"/>
        <v>5677.2387861499819</v>
      </c>
      <c r="J335" s="154">
        <f t="shared" si="76"/>
        <v>31780.011113704983</v>
      </c>
      <c r="K335" s="69"/>
    </row>
    <row r="336" spans="2:12" s="37" customFormat="1" ht="15.75">
      <c r="B336" s="48"/>
      <c r="C336" s="157" t="s">
        <v>1032</v>
      </c>
      <c r="D336" s="156">
        <f>$J$12*(F821EA!D140)</f>
        <v>53.870582745000014</v>
      </c>
      <c r="E336" s="156">
        <f>$J$12*(F821EA!E140)</f>
        <v>52.456325166000006</v>
      </c>
      <c r="F336" s="156">
        <f>$J$12*(F821EA!F140)</f>
        <v>53.544329243999996</v>
      </c>
      <c r="G336" s="156">
        <f>$J$12*(F821EA!G140)</f>
        <v>56.046925557000009</v>
      </c>
      <c r="H336" s="156">
        <f>$J$12*(F821EA!H140)</f>
        <v>51.663740940000011</v>
      </c>
      <c r="I336" s="156">
        <f>$J$12*(F821EA!I140)</f>
        <v>54.697652667</v>
      </c>
      <c r="J336" s="154">
        <f t="shared" si="76"/>
        <v>322.27955631900005</v>
      </c>
      <c r="K336" s="69"/>
    </row>
    <row r="337" spans="2:11" s="37" customFormat="1" ht="15.75">
      <c r="B337" s="48"/>
      <c r="C337" s="157" t="s">
        <v>1480</v>
      </c>
      <c r="D337" s="156">
        <f>$J$12*(F821EA!D141)</f>
        <v>3467.7484223760016</v>
      </c>
      <c r="E337" s="156">
        <f>$J$12*(F821EA!E141)</f>
        <v>3384.8263245510011</v>
      </c>
      <c r="F337" s="156">
        <f>$J$12*(F821EA!F141)</f>
        <v>3296.9468476980001</v>
      </c>
      <c r="G337" s="156">
        <f>$J$12*(F821EA!G141)</f>
        <v>3421.4118040619996</v>
      </c>
      <c r="H337" s="156">
        <f>$J$12*(F821EA!H141)</f>
        <v>3133.8849473189994</v>
      </c>
      <c r="I337" s="156">
        <f>$J$12*(F821EA!I141)</f>
        <v>3381.8564421709211</v>
      </c>
      <c r="J337" s="154">
        <f t="shared" si="76"/>
        <v>20086.674788176922</v>
      </c>
      <c r="K337" s="69"/>
    </row>
    <row r="338" spans="2:11" s="37" customFormat="1" ht="15.75">
      <c r="B338" s="48"/>
      <c r="C338" s="157" t="s">
        <v>1480</v>
      </c>
      <c r="D338" s="156">
        <f>$J$12*(F821EA!D142)</f>
        <v>68.125885632000021</v>
      </c>
      <c r="E338" s="156">
        <f>$J$12*(F821EA!E142)</f>
        <v>66.502385649000018</v>
      </c>
      <c r="F338" s="156">
        <f>$J$12*(F821EA!F142)</f>
        <v>65.361220280999987</v>
      </c>
      <c r="G338" s="156">
        <f>$J$12*(F821EA!G142)</f>
        <v>66.457232793000031</v>
      </c>
      <c r="H338" s="156">
        <f>$J$12*(F821EA!H142)</f>
        <v>57.427187517</v>
      </c>
      <c r="I338" s="156">
        <f>$J$12*(F821EA!I142)</f>
        <v>64.330358187059886</v>
      </c>
      <c r="J338" s="154">
        <f t="shared" si="76"/>
        <v>388.20427005905992</v>
      </c>
      <c r="K338" s="69"/>
    </row>
    <row r="339" spans="2:11" s="37" customFormat="1" ht="15.75">
      <c r="B339" s="48"/>
      <c r="C339" s="157" t="s">
        <v>1480</v>
      </c>
      <c r="D339" s="156">
        <f>$J$12*(F821EA!D143)</f>
        <v>702.464304717</v>
      </c>
      <c r="E339" s="156">
        <f>$J$12*(F821EA!E143)</f>
        <v>676.13453775000005</v>
      </c>
      <c r="F339" s="156">
        <f>$J$12*(F821EA!F143)</f>
        <v>666.65919788999997</v>
      </c>
      <c r="G339" s="156">
        <f>$J$12*(F821EA!G143)</f>
        <v>696.01862030400002</v>
      </c>
      <c r="H339" s="156">
        <f>$J$12*(F821EA!H143)</f>
        <v>615.56309362799993</v>
      </c>
      <c r="I339" s="156">
        <f>$J$12*(F821EA!I143)</f>
        <v>624.86609062878006</v>
      </c>
      <c r="J339" s="154">
        <f t="shared" si="76"/>
        <v>3981.7058449177803</v>
      </c>
      <c r="K339" s="69"/>
    </row>
    <row r="340" spans="2:11" s="37" customFormat="1" ht="15.75">
      <c r="B340" s="48"/>
      <c r="C340" s="157" t="s">
        <v>1480</v>
      </c>
      <c r="D340" s="156">
        <f>$J$12*(F821EA!D144)</f>
        <v>933.46598992500014</v>
      </c>
      <c r="E340" s="156">
        <f>$J$12*(F821EA!E144)</f>
        <v>948.79291978799984</v>
      </c>
      <c r="F340" s="156">
        <f>$J$12*(F821EA!F144)</f>
        <v>1125.6317907030002</v>
      </c>
      <c r="G340" s="156">
        <f>$J$12*(F821EA!G144)</f>
        <v>1248.8603584590001</v>
      </c>
      <c r="H340" s="156">
        <f>$J$12*(F821EA!H144)</f>
        <v>1192.9073528609999</v>
      </c>
      <c r="I340" s="156">
        <f>$J$12*(F821EA!I144)</f>
        <v>1551.4882424962204</v>
      </c>
      <c r="J340" s="154">
        <f t="shared" si="76"/>
        <v>7001.1466542322205</v>
      </c>
      <c r="K340" s="69"/>
    </row>
    <row r="341" spans="2:11" s="37" customFormat="1" ht="15.75">
      <c r="B341" s="48"/>
      <c r="C341" s="157"/>
      <c r="D341" s="156"/>
      <c r="E341" s="156"/>
      <c r="F341" s="156"/>
      <c r="G341" s="156"/>
      <c r="H341" s="156"/>
      <c r="I341" s="156"/>
      <c r="J341" s="156">
        <f t="shared" si="76"/>
        <v>0</v>
      </c>
      <c r="K341" s="69"/>
    </row>
    <row r="342" spans="2:11" s="37" customFormat="1" ht="15.75">
      <c r="B342" s="48"/>
      <c r="C342" s="153" t="s">
        <v>112</v>
      </c>
      <c r="D342" s="154">
        <f t="shared" ref="D342:I342" si="83">D315+D321+D333</f>
        <v>55904.235983955463</v>
      </c>
      <c r="E342" s="154">
        <f t="shared" si="83"/>
        <v>54126.887863226853</v>
      </c>
      <c r="F342" s="154">
        <f t="shared" si="83"/>
        <v>53686.281750280199</v>
      </c>
      <c r="G342" s="154">
        <f t="shared" si="83"/>
        <v>57231.241706394008</v>
      </c>
      <c r="H342" s="154">
        <f t="shared" si="83"/>
        <v>50255.384160681002</v>
      </c>
      <c r="I342" s="154">
        <f t="shared" si="83"/>
        <v>49684.640980217991</v>
      </c>
      <c r="J342" s="154">
        <f t="shared" si="76"/>
        <v>320888.67244475556</v>
      </c>
      <c r="K342" s="69"/>
    </row>
    <row r="343" spans="2:11" s="37" customFormat="1" ht="13.5">
      <c r="B343" s="48"/>
      <c r="C343" s="48"/>
      <c r="D343" s="48"/>
      <c r="E343" s="48"/>
      <c r="F343" s="48"/>
      <c r="G343" s="48"/>
      <c r="H343" s="48"/>
      <c r="I343" s="48"/>
      <c r="J343" s="48"/>
      <c r="K343" s="48"/>
    </row>
    <row r="344" spans="2:11" s="37" customFormat="1" ht="54" customHeight="1">
      <c r="B344" s="48"/>
      <c r="C344" s="320" t="s">
        <v>663</v>
      </c>
      <c r="D344" s="320"/>
      <c r="E344" s="320"/>
      <c r="F344" s="320"/>
      <c r="G344" s="320"/>
      <c r="H344" s="320"/>
      <c r="I344" s="320"/>
      <c r="J344" s="321"/>
      <c r="K344" s="69"/>
    </row>
    <row r="345" spans="2:11" s="37" customFormat="1" ht="15.75">
      <c r="B345" s="48"/>
      <c r="C345" s="150" t="s">
        <v>310</v>
      </c>
      <c r="D345" s="151">
        <f t="shared" ref="D345:I345" si="84">D$29</f>
        <v>45839</v>
      </c>
      <c r="E345" s="151">
        <f t="shared" si="84"/>
        <v>45870</v>
      </c>
      <c r="F345" s="151">
        <f t="shared" si="84"/>
        <v>45901</v>
      </c>
      <c r="G345" s="151">
        <f t="shared" si="84"/>
        <v>45931</v>
      </c>
      <c r="H345" s="151">
        <f t="shared" si="84"/>
        <v>45962</v>
      </c>
      <c r="I345" s="151">
        <f t="shared" si="84"/>
        <v>45992</v>
      </c>
      <c r="J345" s="152" t="s">
        <v>111</v>
      </c>
      <c r="K345" s="69"/>
    </row>
    <row r="346" spans="2:11">
      <c r="C346" s="153" t="s">
        <v>446</v>
      </c>
      <c r="D346" s="154">
        <f t="shared" ref="D346:I346" si="85">SUM(D347:D348)</f>
        <v>0</v>
      </c>
      <c r="E346" s="154">
        <f t="shared" si="85"/>
        <v>0</v>
      </c>
      <c r="F346" s="154">
        <f t="shared" si="85"/>
        <v>0</v>
      </c>
      <c r="G346" s="154">
        <f t="shared" si="85"/>
        <v>0</v>
      </c>
      <c r="H346" s="154">
        <f t="shared" si="85"/>
        <v>0</v>
      </c>
      <c r="I346" s="154">
        <f t="shared" si="85"/>
        <v>0</v>
      </c>
      <c r="J346" s="154">
        <f t="shared" ref="J346:J373" si="86">SUM(D346:I346)</f>
        <v>0</v>
      </c>
    </row>
    <row r="347" spans="2:11">
      <c r="B347" s="48" t="s">
        <v>870</v>
      </c>
      <c r="C347" s="157" t="s">
        <v>1029</v>
      </c>
      <c r="D347" s="156">
        <f>F821D!D116*0*(1+D$25)*(1+D$26)</f>
        <v>0</v>
      </c>
      <c r="E347" s="156">
        <f>F821D!E116*0*(1+E$25)*(1+E$26)</f>
        <v>0</v>
      </c>
      <c r="F347" s="156">
        <f>F821D!F116*0*(1+F$25)*(1+F$26)</f>
        <v>0</v>
      </c>
      <c r="G347" s="156">
        <f>F821D!G116*0*(1+G$25)*(1+G$26)</f>
        <v>0</v>
      </c>
      <c r="H347" s="156">
        <f>F821D!H116*0*(1+H$25)*(1+H$26)</f>
        <v>0</v>
      </c>
      <c r="I347" s="156">
        <f>F821D!I116*0*(1+I$25)*(1+I$26)</f>
        <v>0</v>
      </c>
      <c r="J347" s="154">
        <f t="shared" si="86"/>
        <v>0</v>
      </c>
    </row>
    <row r="348" spans="2:11">
      <c r="B348" s="48" t="s">
        <v>871</v>
      </c>
      <c r="C348" s="335" t="s">
        <v>193</v>
      </c>
      <c r="D348" s="154">
        <f t="shared" ref="D348:I348" si="87">D349+D350</f>
        <v>0</v>
      </c>
      <c r="E348" s="154">
        <f t="shared" si="87"/>
        <v>0</v>
      </c>
      <c r="F348" s="154">
        <f t="shared" si="87"/>
        <v>0</v>
      </c>
      <c r="G348" s="154">
        <f t="shared" si="87"/>
        <v>0</v>
      </c>
      <c r="H348" s="154">
        <f t="shared" si="87"/>
        <v>0</v>
      </c>
      <c r="I348" s="154">
        <f t="shared" si="87"/>
        <v>0</v>
      </c>
      <c r="J348" s="154">
        <f t="shared" si="86"/>
        <v>0</v>
      </c>
    </row>
    <row r="349" spans="2:11">
      <c r="C349" s="157" t="s">
        <v>1030</v>
      </c>
      <c r="D349" s="156">
        <f>F821D!D118*0</f>
        <v>0</v>
      </c>
      <c r="E349" s="156">
        <f>F821D!E118*0</f>
        <v>0</v>
      </c>
      <c r="F349" s="156">
        <f>F821D!F118*0</f>
        <v>0</v>
      </c>
      <c r="G349" s="156">
        <f>F821D!G118*0</f>
        <v>0</v>
      </c>
      <c r="H349" s="156">
        <f>F821D!H118*0</f>
        <v>0</v>
      </c>
      <c r="I349" s="156">
        <f>F821D!I118*0</f>
        <v>0</v>
      </c>
      <c r="J349" s="154">
        <f t="shared" si="86"/>
        <v>0</v>
      </c>
    </row>
    <row r="350" spans="2:11">
      <c r="C350" s="157" t="s">
        <v>1476</v>
      </c>
      <c r="D350" s="156">
        <f>F821D!D119*$D$21*(1+D$25)*(1+D$26)</f>
        <v>0</v>
      </c>
      <c r="E350" s="156">
        <f>F821D!E119*$D$21*(1+E$25)*(1+E$26)</f>
        <v>0</v>
      </c>
      <c r="F350" s="156">
        <f>F821D!F119*$D$21*(1+F$25)*(1+F$26)</f>
        <v>0</v>
      </c>
      <c r="G350" s="156">
        <f>F821D!G119*$D$21*(1+G$25)*(1+G$26)</f>
        <v>0</v>
      </c>
      <c r="H350" s="156">
        <f>F821D!H119*$D$21*(1+H$25)*(1+H$26)</f>
        <v>0</v>
      </c>
      <c r="I350" s="156">
        <f>F821D!I119*$D$21*(1+I$25)*(1+I$26)</f>
        <v>0</v>
      </c>
      <c r="J350" s="154">
        <f t="shared" si="86"/>
        <v>0</v>
      </c>
    </row>
    <row r="351" spans="2:11">
      <c r="C351" s="153" t="s">
        <v>942</v>
      </c>
      <c r="D351" s="156"/>
      <c r="E351" s="156"/>
      <c r="F351" s="156"/>
      <c r="G351" s="156"/>
      <c r="H351" s="156"/>
      <c r="I351" s="156"/>
      <c r="J351" s="154">
        <f t="shared" si="86"/>
        <v>0</v>
      </c>
    </row>
    <row r="352" spans="2:11">
      <c r="C352" s="153" t="s">
        <v>630</v>
      </c>
      <c r="D352" s="154">
        <f t="shared" ref="D352:I352" si="88">D353+D358</f>
        <v>0</v>
      </c>
      <c r="E352" s="154">
        <f t="shared" si="88"/>
        <v>0</v>
      </c>
      <c r="F352" s="154">
        <f t="shared" si="88"/>
        <v>0</v>
      </c>
      <c r="G352" s="154">
        <f t="shared" si="88"/>
        <v>0</v>
      </c>
      <c r="H352" s="154">
        <f t="shared" si="88"/>
        <v>0</v>
      </c>
      <c r="I352" s="154">
        <f t="shared" si="88"/>
        <v>0</v>
      </c>
      <c r="J352" s="154">
        <f t="shared" si="86"/>
        <v>0</v>
      </c>
    </row>
    <row r="353" spans="2:10">
      <c r="B353" s="48" t="s">
        <v>872</v>
      </c>
      <c r="C353" s="335" t="s">
        <v>1073</v>
      </c>
      <c r="D353" s="154">
        <f t="shared" ref="D353:I353" si="89">SUM(D354:D357)</f>
        <v>0</v>
      </c>
      <c r="E353" s="154">
        <f t="shared" si="89"/>
        <v>0</v>
      </c>
      <c r="F353" s="154">
        <f t="shared" si="89"/>
        <v>0</v>
      </c>
      <c r="G353" s="154">
        <f t="shared" si="89"/>
        <v>0</v>
      </c>
      <c r="H353" s="154">
        <f t="shared" si="89"/>
        <v>0</v>
      </c>
      <c r="I353" s="154">
        <f t="shared" si="89"/>
        <v>0</v>
      </c>
      <c r="J353" s="154">
        <f t="shared" si="86"/>
        <v>0</v>
      </c>
    </row>
    <row r="354" spans="2:10">
      <c r="C354" s="157" t="s">
        <v>1477</v>
      </c>
      <c r="D354" s="156">
        <f>F821D!D124*$D21*(1+D$25)*(1+D$26)</f>
        <v>0</v>
      </c>
      <c r="E354" s="156">
        <f>F821D!E124*$D21*(1+E$25)*(1+E$26)</f>
        <v>0</v>
      </c>
      <c r="F354" s="156">
        <f>F821D!F124*$D21*(1+F$25)*(1+F$26)</f>
        <v>0</v>
      </c>
      <c r="G354" s="156">
        <f>F821D!G124*$D21*(1+G$25)*(1+G$26)</f>
        <v>0</v>
      </c>
      <c r="H354" s="156">
        <f>F821D!H124*$D21*(1+H$25)*(1+H$26)</f>
        <v>0</v>
      </c>
      <c r="I354" s="156">
        <f>F821D!I124*$D21*(1+I$25)*(1+I$26)</f>
        <v>0</v>
      </c>
      <c r="J354" s="154">
        <f t="shared" si="86"/>
        <v>0</v>
      </c>
    </row>
    <row r="355" spans="2:10">
      <c r="C355" s="157" t="s">
        <v>1477</v>
      </c>
      <c r="D355" s="156">
        <f>F821D!D125*$D22*(1+D$25)*(1+D$26)</f>
        <v>0</v>
      </c>
      <c r="E355" s="156">
        <f>F821D!E125*$D22*(1+E$25)*(1+E$26)</f>
        <v>0</v>
      </c>
      <c r="F355" s="156">
        <f>F821D!F125*$D22*(1+F$25)*(1+F$26)</f>
        <v>0</v>
      </c>
      <c r="G355" s="156">
        <f>F821D!G125*$D22*(1+G$25)*(1+G$26)</f>
        <v>0</v>
      </c>
      <c r="H355" s="156">
        <f>F821D!H125*$D22*(1+H$25)*(1+H$26)</f>
        <v>0</v>
      </c>
      <c r="I355" s="156">
        <f>F821D!I125*$D22*(1+I$25)*(1+I$26)</f>
        <v>0</v>
      </c>
      <c r="J355" s="154">
        <f t="shared" si="86"/>
        <v>0</v>
      </c>
    </row>
    <row r="356" spans="2:10">
      <c r="C356" s="157" t="s">
        <v>1477</v>
      </c>
      <c r="D356" s="156">
        <f>F821D!D126*$D23*(1+D$25)*(1+D$26)</f>
        <v>0</v>
      </c>
      <c r="E356" s="156">
        <f>F821D!E126*$D23*(1+E$25)*(1+E$26)</f>
        <v>0</v>
      </c>
      <c r="F356" s="156">
        <f>F821D!F126*$D23*(1+F$25)*(1+F$26)</f>
        <v>0</v>
      </c>
      <c r="G356" s="156">
        <f>F821D!G126*$D23*(1+G$25)*(1+G$26)</f>
        <v>0</v>
      </c>
      <c r="H356" s="156">
        <f>F821D!H126*$D23*(1+H$25)*(1+H$26)</f>
        <v>0</v>
      </c>
      <c r="I356" s="156">
        <f>F821D!I126*$D23*(1+I$25)*(1+I$26)</f>
        <v>0</v>
      </c>
      <c r="J356" s="154">
        <f>SUM(D356:I356)</f>
        <v>0</v>
      </c>
    </row>
    <row r="357" spans="2:10">
      <c r="C357" s="157" t="s">
        <v>1477</v>
      </c>
      <c r="D357" s="156">
        <f>F821D!D127*$D24*(1+D$25)*(1+D$26)</f>
        <v>0</v>
      </c>
      <c r="E357" s="156">
        <f>F821D!E127*$D24*(1+E$25)*(1+E$26)</f>
        <v>0</v>
      </c>
      <c r="F357" s="156">
        <f>F821D!F127*$D24*(1+F$25)*(1+F$26)</f>
        <v>0</v>
      </c>
      <c r="G357" s="156">
        <f>F821D!G127*$D24*(1+G$25)*(1+G$26)</f>
        <v>0</v>
      </c>
      <c r="H357" s="156">
        <f>F821D!H127*$D24*(1+H$25)*(1+H$26)</f>
        <v>0</v>
      </c>
      <c r="I357" s="156">
        <f>F821D!I127*$D24*(1+I$25)*(1+I$26)</f>
        <v>0</v>
      </c>
      <c r="J357" s="154">
        <f>SUM(D357:I357)</f>
        <v>0</v>
      </c>
    </row>
    <row r="358" spans="2:10">
      <c r="B358" s="48" t="s">
        <v>873</v>
      </c>
      <c r="C358" s="335" t="s">
        <v>193</v>
      </c>
      <c r="D358" s="154">
        <f t="shared" ref="D358:I358" si="90">SUM(D359:D363)</f>
        <v>0</v>
      </c>
      <c r="E358" s="154">
        <f t="shared" si="90"/>
        <v>0</v>
      </c>
      <c r="F358" s="154">
        <f t="shared" si="90"/>
        <v>0</v>
      </c>
      <c r="G358" s="154">
        <f t="shared" si="90"/>
        <v>0</v>
      </c>
      <c r="H358" s="154">
        <f t="shared" si="90"/>
        <v>0</v>
      </c>
      <c r="I358" s="154">
        <f t="shared" si="90"/>
        <v>0</v>
      </c>
      <c r="J358" s="154">
        <f t="shared" si="86"/>
        <v>0</v>
      </c>
    </row>
    <row r="359" spans="2:10">
      <c r="C359" s="157" t="s">
        <v>1031</v>
      </c>
      <c r="D359" s="156">
        <f>F821D!D129*0</f>
        <v>0</v>
      </c>
      <c r="E359" s="156">
        <f>F821D!E129*0</f>
        <v>0</v>
      </c>
      <c r="F359" s="156">
        <f>F821D!F129*0</f>
        <v>0</v>
      </c>
      <c r="G359" s="156">
        <f>F821D!G129*0</f>
        <v>0</v>
      </c>
      <c r="H359" s="156">
        <f>F821D!H129*0</f>
        <v>0</v>
      </c>
      <c r="I359" s="156">
        <f>F821D!I129*0</f>
        <v>0</v>
      </c>
      <c r="J359" s="154">
        <f t="shared" si="86"/>
        <v>0</v>
      </c>
    </row>
    <row r="360" spans="2:10">
      <c r="C360" s="157" t="s">
        <v>1478</v>
      </c>
      <c r="D360" s="156">
        <f>F821D!D130*$D21*(1+D$25)*(1+D$26)</f>
        <v>0</v>
      </c>
      <c r="E360" s="156">
        <f>F821D!E130*$D21*(1+E$25)*(1+E$26)</f>
        <v>0</v>
      </c>
      <c r="F360" s="156">
        <f>F821D!F130*$D21*(1+F$25)*(1+F$26)</f>
        <v>0</v>
      </c>
      <c r="G360" s="156">
        <f>F821D!G130*$D21*(1+G$25)*(1+G$26)</f>
        <v>0</v>
      </c>
      <c r="H360" s="156">
        <f>F821D!H130*$D21*(1+H$25)*(1+H$26)</f>
        <v>0</v>
      </c>
      <c r="I360" s="156">
        <f>F821D!I130*$D21*(1+I$25)*(1+I$26)</f>
        <v>0</v>
      </c>
      <c r="J360" s="154">
        <f t="shared" si="86"/>
        <v>0</v>
      </c>
    </row>
    <row r="361" spans="2:10">
      <c r="C361" s="157" t="s">
        <v>1478</v>
      </c>
      <c r="D361" s="156">
        <f>F821D!D131*$D22*(1+D$25)*(1+D$26)</f>
        <v>0</v>
      </c>
      <c r="E361" s="156">
        <f>F821D!E131*$D22*(1+E$25)*(1+E$26)</f>
        <v>0</v>
      </c>
      <c r="F361" s="156">
        <f>F821D!F131*$D22*(1+F$25)*(1+F$26)</f>
        <v>0</v>
      </c>
      <c r="G361" s="156">
        <f>F821D!G131*$D22*(1+G$25)*(1+G$26)</f>
        <v>0</v>
      </c>
      <c r="H361" s="156">
        <f>F821D!H131*$D22*(1+H$25)*(1+H$26)</f>
        <v>0</v>
      </c>
      <c r="I361" s="156">
        <f>F821D!I131*$D22*(1+I$25)*(1+I$26)</f>
        <v>0</v>
      </c>
      <c r="J361" s="154">
        <f t="shared" si="86"/>
        <v>0</v>
      </c>
    </row>
    <row r="362" spans="2:10">
      <c r="C362" s="157" t="s">
        <v>1478</v>
      </c>
      <c r="D362" s="156">
        <f>F821D!D132*$D23*(1+D$25)*(1+D$26)</f>
        <v>0</v>
      </c>
      <c r="E362" s="156">
        <f>F821D!E132*$D23*(1+E$25)*(1+E$26)</f>
        <v>0</v>
      </c>
      <c r="F362" s="156">
        <f>F821D!F132*$D23*(1+F$25)*(1+F$26)</f>
        <v>0</v>
      </c>
      <c r="G362" s="156">
        <f>F821D!G132*$D23*(1+G$25)*(1+G$26)</f>
        <v>0</v>
      </c>
      <c r="H362" s="156">
        <f>F821D!H132*$D23*(1+H$25)*(1+H$26)</f>
        <v>0</v>
      </c>
      <c r="I362" s="156">
        <f>F821D!I132*$D23*(1+I$25)*(1+I$26)</f>
        <v>0</v>
      </c>
      <c r="J362" s="154">
        <f t="shared" si="86"/>
        <v>0</v>
      </c>
    </row>
    <row r="363" spans="2:10">
      <c r="C363" s="157" t="s">
        <v>1478</v>
      </c>
      <c r="D363" s="156">
        <f>F821D!D133*$D24*(1+D$25)*(1+D$26)</f>
        <v>0</v>
      </c>
      <c r="E363" s="156">
        <f>F821D!E133*$D24*(1+E$25)*(1+E$26)</f>
        <v>0</v>
      </c>
      <c r="F363" s="156">
        <f>F821D!F133*$D24*(1+F$25)*(1+F$26)</f>
        <v>0</v>
      </c>
      <c r="G363" s="156">
        <f>F821D!G133*$D24*(1+G$25)*(1+G$26)</f>
        <v>0</v>
      </c>
      <c r="H363" s="156">
        <f>F821D!H133*$D24*(1+H$25)*(1+H$26)</f>
        <v>0</v>
      </c>
      <c r="I363" s="156">
        <f>F821D!I133*$D24*(1+I$25)*(1+I$26)</f>
        <v>0</v>
      </c>
      <c r="J363" s="154">
        <f t="shared" si="86"/>
        <v>0</v>
      </c>
    </row>
    <row r="364" spans="2:10">
      <c r="C364" s="153" t="s">
        <v>443</v>
      </c>
      <c r="D364" s="154">
        <f t="shared" ref="D364:I364" si="91">SUM(D365:D366)</f>
        <v>0</v>
      </c>
      <c r="E364" s="154">
        <f t="shared" si="91"/>
        <v>0</v>
      </c>
      <c r="F364" s="154">
        <f t="shared" si="91"/>
        <v>0</v>
      </c>
      <c r="G364" s="154">
        <f t="shared" si="91"/>
        <v>0</v>
      </c>
      <c r="H364" s="154">
        <f t="shared" si="91"/>
        <v>0</v>
      </c>
      <c r="I364" s="154">
        <f t="shared" si="91"/>
        <v>0</v>
      </c>
      <c r="J364" s="154">
        <f t="shared" si="86"/>
        <v>0</v>
      </c>
    </row>
    <row r="365" spans="2:10">
      <c r="B365" s="48" t="s">
        <v>874</v>
      </c>
      <c r="C365" s="157" t="s">
        <v>1479</v>
      </c>
      <c r="D365" s="156">
        <f>F821D!D137*$D21*(1+D$25)*(1+D$26)</f>
        <v>0</v>
      </c>
      <c r="E365" s="156">
        <f>F821D!E137*$D21*(1+E$25)*(1+E$26)</f>
        <v>0</v>
      </c>
      <c r="F365" s="156">
        <f>F821D!F137*$D21*(1+F$25)*(1+F$26)</f>
        <v>0</v>
      </c>
      <c r="G365" s="156">
        <f>F821D!G137*$D21*(1+G$25)*(1+G$26)</f>
        <v>0</v>
      </c>
      <c r="H365" s="156">
        <f>F821D!H137*$D21*(1+H$25)*(1+H$26)</f>
        <v>0</v>
      </c>
      <c r="I365" s="156">
        <f>F821D!I137*$D21*(1+I$25)*(1+I$26)</f>
        <v>0</v>
      </c>
      <c r="J365" s="154">
        <f t="shared" si="86"/>
        <v>0</v>
      </c>
    </row>
    <row r="366" spans="2:10">
      <c r="B366" s="48" t="s">
        <v>875</v>
      </c>
      <c r="C366" s="335" t="s">
        <v>193</v>
      </c>
      <c r="D366" s="154">
        <f t="shared" ref="D366:I366" si="92">SUM(D367:D372)</f>
        <v>0</v>
      </c>
      <c r="E366" s="154">
        <f t="shared" si="92"/>
        <v>0</v>
      </c>
      <c r="F366" s="154">
        <f t="shared" si="92"/>
        <v>0</v>
      </c>
      <c r="G366" s="154">
        <f t="shared" si="92"/>
        <v>0</v>
      </c>
      <c r="H366" s="154">
        <f t="shared" si="92"/>
        <v>0</v>
      </c>
      <c r="I366" s="154">
        <f t="shared" si="92"/>
        <v>0</v>
      </c>
      <c r="J366" s="154">
        <f t="shared" si="86"/>
        <v>0</v>
      </c>
    </row>
    <row r="367" spans="2:10">
      <c r="C367" s="157" t="s">
        <v>1032</v>
      </c>
      <c r="D367" s="156">
        <f>F821D!D140*0</f>
        <v>0</v>
      </c>
      <c r="E367" s="156">
        <f>F821D!E140*0</f>
        <v>0</v>
      </c>
      <c r="F367" s="156">
        <f>F821D!F140*0</f>
        <v>0</v>
      </c>
      <c r="G367" s="156">
        <f>F821D!G140*0</f>
        <v>0</v>
      </c>
      <c r="H367" s="156">
        <f>F821D!H140*0</f>
        <v>0</v>
      </c>
      <c r="I367" s="156">
        <f>F821D!I140*0</f>
        <v>0</v>
      </c>
      <c r="J367" s="154">
        <f t="shared" si="86"/>
        <v>0</v>
      </c>
    </row>
    <row r="368" spans="2:10">
      <c r="C368" s="157" t="s">
        <v>1480</v>
      </c>
      <c r="D368" s="156">
        <f>F821D!D141*$D21*(1+D$25)*(1+D$26)</f>
        <v>0</v>
      </c>
      <c r="E368" s="156">
        <f>F821D!E141*$D21*(1+E$25)*(1+E$26)</f>
        <v>0</v>
      </c>
      <c r="F368" s="156">
        <f>F821D!F141*$D21*(1+F$25)*(1+F$26)</f>
        <v>0</v>
      </c>
      <c r="G368" s="156">
        <f>F821D!G141*$D21*(1+G$25)*(1+G$26)</f>
        <v>0</v>
      </c>
      <c r="H368" s="156">
        <f>F821D!H141*$D21*(1+H$25)*(1+H$26)</f>
        <v>0</v>
      </c>
      <c r="I368" s="156">
        <f>F821D!I141*$D21*(1+I$25)*(1+I$26)</f>
        <v>0</v>
      </c>
      <c r="J368" s="154">
        <f t="shared" si="86"/>
        <v>0</v>
      </c>
    </row>
    <row r="369" spans="2:10">
      <c r="C369" s="157" t="s">
        <v>1480</v>
      </c>
      <c r="D369" s="156">
        <f>F821D!D142*$D22*(1+D$25)*(1+D$26)</f>
        <v>0</v>
      </c>
      <c r="E369" s="156">
        <f>F821D!E142*$D22*(1+E$25)*(1+E$26)</f>
        <v>0</v>
      </c>
      <c r="F369" s="156">
        <f>F821D!F142*$D22*(1+F$25)*(1+F$26)</f>
        <v>0</v>
      </c>
      <c r="G369" s="156">
        <f>F821D!G142*$D22*(1+G$25)*(1+G$26)</f>
        <v>0</v>
      </c>
      <c r="H369" s="156">
        <f>F821D!H142*$D22*(1+H$25)*(1+H$26)</f>
        <v>0</v>
      </c>
      <c r="I369" s="156">
        <f>F821D!I142*$D22*(1+I$25)*(1+I$26)</f>
        <v>0</v>
      </c>
      <c r="J369" s="154">
        <f t="shared" si="86"/>
        <v>0</v>
      </c>
    </row>
    <row r="370" spans="2:10">
      <c r="C370" s="157" t="s">
        <v>1480</v>
      </c>
      <c r="D370" s="156">
        <f>F821D!D143*$D23*(1+D$25)*(1+D$26)</f>
        <v>0</v>
      </c>
      <c r="E370" s="156">
        <f>F821D!E143*$D23*(1+E$25)*(1+E$26)</f>
        <v>0</v>
      </c>
      <c r="F370" s="156">
        <f>F821D!F143*$D23*(1+F$25)*(1+F$26)</f>
        <v>0</v>
      </c>
      <c r="G370" s="156">
        <f>F821D!G143*$D23*(1+G$25)*(1+G$26)</f>
        <v>0</v>
      </c>
      <c r="H370" s="156">
        <f>F821D!H143*$D23*(1+H$25)*(1+H$26)</f>
        <v>0</v>
      </c>
      <c r="I370" s="156">
        <f>F821D!I143*$D23*(1+I$25)*(1+I$26)</f>
        <v>0</v>
      </c>
      <c r="J370" s="154">
        <f t="shared" si="86"/>
        <v>0</v>
      </c>
    </row>
    <row r="371" spans="2:10">
      <c r="C371" s="157" t="s">
        <v>1480</v>
      </c>
      <c r="D371" s="156">
        <f>F821D!D144*$D24*(1+D$25)*(1+D$26)</f>
        <v>0</v>
      </c>
      <c r="E371" s="156">
        <f>F821D!E144*$D24*(1+E$25)*(1+E$26)</f>
        <v>0</v>
      </c>
      <c r="F371" s="156">
        <f>F821D!F144*$D24*(1+F$25)*(1+F$26)</f>
        <v>0</v>
      </c>
      <c r="G371" s="156">
        <f>F821D!G144*$D24*(1+G$25)*(1+G$26)</f>
        <v>0</v>
      </c>
      <c r="H371" s="156">
        <f>F821D!H144*$D24*(1+H$25)*(1+H$26)</f>
        <v>0</v>
      </c>
      <c r="I371" s="156">
        <f>F821D!I144*$D24*(1+I$25)*(1+I$26)</f>
        <v>0</v>
      </c>
      <c r="J371" s="154">
        <f t="shared" si="86"/>
        <v>0</v>
      </c>
    </row>
    <row r="372" spans="2:10">
      <c r="C372" s="157"/>
      <c r="D372" s="156"/>
      <c r="E372" s="156"/>
      <c r="F372" s="156"/>
      <c r="G372" s="156"/>
      <c r="H372" s="156"/>
      <c r="I372" s="156"/>
      <c r="J372" s="154">
        <f t="shared" si="86"/>
        <v>0</v>
      </c>
    </row>
    <row r="373" spans="2:10">
      <c r="C373" s="153" t="s">
        <v>112</v>
      </c>
      <c r="D373" s="154">
        <f t="shared" ref="D373:I373" si="93">D346+D352+D364</f>
        <v>0</v>
      </c>
      <c r="E373" s="154">
        <f t="shared" si="93"/>
        <v>0</v>
      </c>
      <c r="F373" s="154">
        <f t="shared" si="93"/>
        <v>0</v>
      </c>
      <c r="G373" s="154">
        <f t="shared" si="93"/>
        <v>0</v>
      </c>
      <c r="H373" s="154">
        <f t="shared" si="93"/>
        <v>0</v>
      </c>
      <c r="I373" s="154">
        <f t="shared" si="93"/>
        <v>0</v>
      </c>
      <c r="J373" s="154">
        <f t="shared" si="86"/>
        <v>0</v>
      </c>
    </row>
    <row r="374" spans="2:10">
      <c r="C374" s="164"/>
      <c r="D374" s="164"/>
      <c r="E374" s="164"/>
      <c r="F374" s="164"/>
      <c r="G374" s="164"/>
      <c r="H374" s="164"/>
      <c r="I374" s="164"/>
      <c r="J374" s="164"/>
    </row>
    <row r="375" spans="2:10">
      <c r="C375" s="153" t="s">
        <v>111</v>
      </c>
      <c r="D375" s="154">
        <f t="shared" ref="D375:J375" si="94">D121+D216+D311+D342+D373</f>
        <v>8584364.2105364539</v>
      </c>
      <c r="E375" s="154">
        <f t="shared" si="94"/>
        <v>8586005.5712612271</v>
      </c>
      <c r="F375" s="154">
        <f t="shared" si="94"/>
        <v>8396819.260843778</v>
      </c>
      <c r="G375" s="154">
        <f t="shared" si="94"/>
        <v>8549670.2911103927</v>
      </c>
      <c r="H375" s="154">
        <f t="shared" si="94"/>
        <v>8122950.180669182</v>
      </c>
      <c r="I375" s="154">
        <f t="shared" si="94"/>
        <v>8177278.4417692171</v>
      </c>
      <c r="J375" s="154">
        <f t="shared" si="94"/>
        <v>50417087.956190251</v>
      </c>
    </row>
    <row r="376" spans="2:10">
      <c r="D376" s="336"/>
      <c r="E376" s="336"/>
      <c r="F376" s="336"/>
      <c r="G376" s="336"/>
      <c r="H376" s="336"/>
      <c r="I376" s="336"/>
      <c r="J376" s="154">
        <f>J375</f>
        <v>50417087.956190251</v>
      </c>
    </row>
    <row r="377" spans="2:10">
      <c r="C377" s="52" t="str">
        <f>'PORTADA PORTADA PORTADA'!$B$23</f>
        <v>1 DE JULIO DE 2026</v>
      </c>
    </row>
    <row r="381" spans="2:10">
      <c r="B381" s="48" t="s">
        <v>902</v>
      </c>
      <c r="D381" s="64">
        <f t="shared" ref="D381:J390" si="95">SUMIF($B$29:$B$375,$B381,D$29:D$375)</f>
        <v>350483.29668999999</v>
      </c>
      <c r="E381" s="64">
        <f t="shared" si="95"/>
        <v>344506.96810750006</v>
      </c>
      <c r="F381" s="64">
        <f t="shared" si="95"/>
        <v>354902.56970249995</v>
      </c>
      <c r="G381" s="64">
        <f t="shared" si="95"/>
        <v>348558.19244499994</v>
      </c>
      <c r="H381" s="64">
        <f t="shared" si="95"/>
        <v>325158.97978749993</v>
      </c>
      <c r="I381" s="64">
        <f t="shared" si="95"/>
        <v>352653.28533249995</v>
      </c>
      <c r="J381" s="64">
        <f t="shared" si="95"/>
        <v>2076263.2920649995</v>
      </c>
    </row>
    <row r="382" spans="2:10">
      <c r="B382" s="48" t="s">
        <v>751</v>
      </c>
      <c r="D382" s="64">
        <f t="shared" si="95"/>
        <v>943411.65175750002</v>
      </c>
      <c r="E382" s="64">
        <f t="shared" si="95"/>
        <v>937865.05852399999</v>
      </c>
      <c r="F382" s="64">
        <f t="shared" si="95"/>
        <v>952054.18029100006</v>
      </c>
      <c r="G382" s="64">
        <f t="shared" si="95"/>
        <v>946368.134617</v>
      </c>
      <c r="H382" s="64">
        <f t="shared" si="95"/>
        <v>971305.25778750016</v>
      </c>
      <c r="I382" s="64">
        <f t="shared" si="95"/>
        <v>957789.86993649986</v>
      </c>
      <c r="J382" s="64">
        <f t="shared" si="95"/>
        <v>5708794.1529134987</v>
      </c>
    </row>
    <row r="383" spans="2:10">
      <c r="B383" s="48" t="s">
        <v>750</v>
      </c>
      <c r="D383" s="64">
        <f t="shared" si="95"/>
        <v>1463222.643165</v>
      </c>
      <c r="E383" s="64">
        <f t="shared" si="95"/>
        <v>1479824.9246150001</v>
      </c>
      <c r="F383" s="64">
        <f t="shared" si="95"/>
        <v>1440213.2725000002</v>
      </c>
      <c r="G383" s="64">
        <f t="shared" si="95"/>
        <v>1438669.0201350001</v>
      </c>
      <c r="H383" s="64">
        <f t="shared" si="95"/>
        <v>1388261.685515</v>
      </c>
      <c r="I383" s="64">
        <f t="shared" si="95"/>
        <v>1355626.1844349999</v>
      </c>
      <c r="J383" s="64">
        <f t="shared" si="95"/>
        <v>8565817.7303650007</v>
      </c>
    </row>
    <row r="384" spans="2:10">
      <c r="B384" s="48" t="s">
        <v>749</v>
      </c>
      <c r="D384" s="64">
        <f t="shared" si="95"/>
        <v>2236542.6477725003</v>
      </c>
      <c r="E384" s="64">
        <f t="shared" si="95"/>
        <v>2225516.7987615</v>
      </c>
      <c r="F384" s="64">
        <f t="shared" si="95"/>
        <v>2172241.6222050004</v>
      </c>
      <c r="G384" s="64">
        <f t="shared" si="95"/>
        <v>2202592.2891870001</v>
      </c>
      <c r="H384" s="64">
        <f t="shared" si="95"/>
        <v>2029817.815126</v>
      </c>
      <c r="I384" s="64">
        <f t="shared" si="95"/>
        <v>2107001.6932899999</v>
      </c>
      <c r="J384" s="64">
        <f t="shared" si="95"/>
        <v>12973712.866342001</v>
      </c>
    </row>
    <row r="385" spans="2:10">
      <c r="B385" s="48" t="s">
        <v>1176</v>
      </c>
      <c r="D385" s="64">
        <f t="shared" si="95"/>
        <v>0</v>
      </c>
      <c r="E385" s="64">
        <f t="shared" si="95"/>
        <v>0</v>
      </c>
      <c r="F385" s="64">
        <f t="shared" si="95"/>
        <v>0</v>
      </c>
      <c r="G385" s="64">
        <f t="shared" si="95"/>
        <v>0</v>
      </c>
      <c r="H385" s="64">
        <f t="shared" si="95"/>
        <v>0</v>
      </c>
      <c r="I385" s="64">
        <f t="shared" si="95"/>
        <v>0</v>
      </c>
      <c r="J385" s="64">
        <f t="shared" si="95"/>
        <v>0</v>
      </c>
    </row>
    <row r="386" spans="2:10">
      <c r="B386" s="48" t="s">
        <v>274</v>
      </c>
      <c r="D386" s="64">
        <f t="shared" si="95"/>
        <v>1911168.4091199997</v>
      </c>
      <c r="E386" s="64">
        <f t="shared" si="95"/>
        <v>1894767.35265</v>
      </c>
      <c r="F386" s="64">
        <f t="shared" si="95"/>
        <v>1820625.5461500001</v>
      </c>
      <c r="G386" s="64">
        <f t="shared" si="95"/>
        <v>1892613.8015100001</v>
      </c>
      <c r="H386" s="64">
        <f t="shared" si="95"/>
        <v>1781249.6544699995</v>
      </c>
      <c r="I386" s="64">
        <f t="shared" si="95"/>
        <v>1775430.6352399995</v>
      </c>
      <c r="J386" s="64">
        <f t="shared" si="95"/>
        <v>11075855.399139998</v>
      </c>
    </row>
    <row r="387" spans="2:10">
      <c r="B387" s="48" t="s">
        <v>275</v>
      </c>
      <c r="D387" s="64">
        <f t="shared" si="95"/>
        <v>89497.376237500008</v>
      </c>
      <c r="E387" s="64">
        <f t="shared" si="95"/>
        <v>88910.647559999998</v>
      </c>
      <c r="F387" s="64">
        <f t="shared" si="95"/>
        <v>87902.277295000007</v>
      </c>
      <c r="G387" s="64">
        <f t="shared" si="95"/>
        <v>90526.780819999985</v>
      </c>
      <c r="H387" s="64">
        <f t="shared" si="95"/>
        <v>89320.177012500004</v>
      </c>
      <c r="I387" s="64">
        <f t="shared" si="95"/>
        <v>93391.737705000007</v>
      </c>
      <c r="J387" s="64">
        <f t="shared" si="95"/>
        <v>539548.99662999995</v>
      </c>
    </row>
    <row r="388" spans="2:10">
      <c r="B388" s="48" t="s">
        <v>276</v>
      </c>
      <c r="D388" s="64">
        <f t="shared" si="95"/>
        <v>809189.71924000001</v>
      </c>
      <c r="E388" s="64">
        <f t="shared" si="95"/>
        <v>830977.45478999999</v>
      </c>
      <c r="F388" s="64">
        <f t="shared" si="95"/>
        <v>799737.06868999999</v>
      </c>
      <c r="G388" s="64">
        <f t="shared" si="95"/>
        <v>843547.23502000002</v>
      </c>
      <c r="H388" s="64">
        <f t="shared" si="95"/>
        <v>757456.86968</v>
      </c>
      <c r="I388" s="64">
        <f t="shared" si="95"/>
        <v>788602.21390999993</v>
      </c>
      <c r="J388" s="64">
        <f t="shared" si="95"/>
        <v>4829510.5613299999</v>
      </c>
    </row>
    <row r="389" spans="2:10">
      <c r="B389" s="48" t="s">
        <v>277</v>
      </c>
      <c r="D389" s="64">
        <f t="shared" si="95"/>
        <v>135957.17862999998</v>
      </c>
      <c r="E389" s="64">
        <f t="shared" si="95"/>
        <v>138884.16045</v>
      </c>
      <c r="F389" s="64">
        <f t="shared" si="95"/>
        <v>138258.46145999999</v>
      </c>
      <c r="G389" s="64">
        <f t="shared" si="95"/>
        <v>130363.73454999998</v>
      </c>
      <c r="H389" s="64">
        <f t="shared" si="95"/>
        <v>158714.36049000002</v>
      </c>
      <c r="I389" s="64">
        <f t="shared" si="95"/>
        <v>104046.49807999999</v>
      </c>
      <c r="J389" s="64">
        <f t="shared" si="95"/>
        <v>806224.39365999994</v>
      </c>
    </row>
    <row r="390" spans="2:10">
      <c r="B390" s="48" t="s">
        <v>278</v>
      </c>
      <c r="D390" s="64">
        <f t="shared" si="95"/>
        <v>0</v>
      </c>
      <c r="E390" s="64">
        <f t="shared" si="95"/>
        <v>0</v>
      </c>
      <c r="F390" s="64">
        <f t="shared" si="95"/>
        <v>0</v>
      </c>
      <c r="G390" s="64">
        <f t="shared" si="95"/>
        <v>0</v>
      </c>
      <c r="H390" s="64">
        <f t="shared" si="95"/>
        <v>0</v>
      </c>
      <c r="I390" s="64">
        <f t="shared" si="95"/>
        <v>0</v>
      </c>
      <c r="J390" s="64">
        <f t="shared" si="95"/>
        <v>0</v>
      </c>
    </row>
    <row r="391" spans="2:10">
      <c r="B391" s="48" t="s">
        <v>279</v>
      </c>
      <c r="D391" s="64">
        <f t="shared" ref="D391:J398" si="96">SUMIF($B$29:$B$375,$B391,D$29:D$375)</f>
        <v>588987.05194000003</v>
      </c>
      <c r="E391" s="64">
        <f t="shared" si="96"/>
        <v>590625.3179400001</v>
      </c>
      <c r="F391" s="64">
        <f t="shared" si="96"/>
        <v>577197.98080000002</v>
      </c>
      <c r="G391" s="64">
        <f t="shared" si="96"/>
        <v>599199.8611199999</v>
      </c>
      <c r="H391" s="64">
        <f t="shared" si="96"/>
        <v>571409.99664000003</v>
      </c>
      <c r="I391" s="64">
        <f t="shared" si="96"/>
        <v>593051.68286000006</v>
      </c>
      <c r="J391" s="64">
        <f t="shared" si="96"/>
        <v>3520471.8912999998</v>
      </c>
    </row>
    <row r="392" spans="2:10">
      <c r="B392" s="48" t="s">
        <v>875</v>
      </c>
      <c r="D392" s="64">
        <f t="shared" si="96"/>
        <v>5225.6751853950018</v>
      </c>
      <c r="E392" s="64">
        <f t="shared" si="96"/>
        <v>5128.7124929040019</v>
      </c>
      <c r="F392" s="64">
        <f t="shared" si="96"/>
        <v>5208.1433858159999</v>
      </c>
      <c r="G392" s="64">
        <f t="shared" si="96"/>
        <v>5488.7949411749996</v>
      </c>
      <c r="H392" s="64">
        <f t="shared" si="96"/>
        <v>5051.4463222649993</v>
      </c>
      <c r="I392" s="64">
        <f t="shared" si="96"/>
        <v>5677.2387861499819</v>
      </c>
      <c r="J392" s="64">
        <f t="shared" si="96"/>
        <v>31780.011113704983</v>
      </c>
    </row>
    <row r="393" spans="2:10">
      <c r="B393" s="48" t="s">
        <v>874</v>
      </c>
      <c r="D393" s="64">
        <f t="shared" si="96"/>
        <v>174.82822755299998</v>
      </c>
      <c r="E393" s="64">
        <f t="shared" si="96"/>
        <v>173.27465876700001</v>
      </c>
      <c r="F393" s="64">
        <f t="shared" si="96"/>
        <v>165.95542152000002</v>
      </c>
      <c r="G393" s="64">
        <f t="shared" si="96"/>
        <v>172.0986939</v>
      </c>
      <c r="H393" s="64">
        <f t="shared" si="96"/>
        <v>166.66355972700003</v>
      </c>
      <c r="I393" s="64">
        <f t="shared" si="96"/>
        <v>172.67669370000019</v>
      </c>
      <c r="J393" s="64">
        <f t="shared" si="96"/>
        <v>1025.497255167</v>
      </c>
    </row>
    <row r="394" spans="2:10">
      <c r="B394" s="48" t="s">
        <v>873</v>
      </c>
      <c r="D394" s="64">
        <f t="shared" si="96"/>
        <v>26904.10634945146</v>
      </c>
      <c r="E394" s="64">
        <f t="shared" si="96"/>
        <v>26632.134992795847</v>
      </c>
      <c r="F394" s="64">
        <f t="shared" si="96"/>
        <v>25876.055575780203</v>
      </c>
      <c r="G394" s="64">
        <f t="shared" si="96"/>
        <v>26920.434462768004</v>
      </c>
      <c r="H394" s="64">
        <f t="shared" si="96"/>
        <v>24821.310127571996</v>
      </c>
      <c r="I394" s="64">
        <f t="shared" si="96"/>
        <v>26615.281535024806</v>
      </c>
      <c r="J394" s="64">
        <f t="shared" si="96"/>
        <v>157769.32304339233</v>
      </c>
    </row>
    <row r="395" spans="2:10">
      <c r="B395" s="48" t="s">
        <v>872</v>
      </c>
      <c r="D395" s="64">
        <f t="shared" si="96"/>
        <v>6418.4391745109988</v>
      </c>
      <c r="E395" s="64">
        <f t="shared" si="96"/>
        <v>6478.7254679700009</v>
      </c>
      <c r="F395" s="64">
        <f t="shared" si="96"/>
        <v>6302.2895545050005</v>
      </c>
      <c r="G395" s="64">
        <f t="shared" si="96"/>
        <v>6754.8760690949994</v>
      </c>
      <c r="H395" s="64">
        <f t="shared" si="96"/>
        <v>6333.6882161700014</v>
      </c>
      <c r="I395" s="64">
        <f t="shared" si="96"/>
        <v>6299.5650169221017</v>
      </c>
      <c r="J395" s="64">
        <f t="shared" si="96"/>
        <v>38587.583499173103</v>
      </c>
    </row>
    <row r="396" spans="2:10">
      <c r="B396" s="48" t="s">
        <v>871</v>
      </c>
      <c r="D396" s="64">
        <f t="shared" si="96"/>
        <v>2927.1043790100002</v>
      </c>
      <c r="E396" s="64">
        <f t="shared" si="96"/>
        <v>2870.8872368399998</v>
      </c>
      <c r="F396" s="64">
        <f t="shared" si="96"/>
        <v>2968.1737129799994</v>
      </c>
      <c r="G396" s="64">
        <f t="shared" si="96"/>
        <v>3568.6728222389997</v>
      </c>
      <c r="H396" s="64">
        <f t="shared" si="96"/>
        <v>3436.1351384219993</v>
      </c>
      <c r="I396" s="64">
        <f t="shared" si="96"/>
        <v>3612.5566519581007</v>
      </c>
      <c r="J396" s="64">
        <f t="shared" si="96"/>
        <v>19383.529941449102</v>
      </c>
    </row>
    <row r="397" spans="2:10">
      <c r="B397" s="48" t="s">
        <v>870</v>
      </c>
      <c r="D397" s="64">
        <f t="shared" si="96"/>
        <v>6131.2772080350005</v>
      </c>
      <c r="E397" s="64">
        <f t="shared" si="96"/>
        <v>5549.8904325899994</v>
      </c>
      <c r="F397" s="64">
        <f t="shared" si="96"/>
        <v>5609.6716695389996</v>
      </c>
      <c r="G397" s="64">
        <f t="shared" si="96"/>
        <v>6432.242327216999</v>
      </c>
      <c r="H397" s="64">
        <f t="shared" si="96"/>
        <v>4468.7688043950002</v>
      </c>
      <c r="I397" s="64">
        <f t="shared" si="96"/>
        <v>5762.3417964629998</v>
      </c>
      <c r="J397" s="64">
        <f t="shared" si="96"/>
        <v>33954.192238238997</v>
      </c>
    </row>
    <row r="398" spans="2:10">
      <c r="B398" s="48" t="s">
        <v>890</v>
      </c>
      <c r="D398" s="64">
        <f t="shared" si="96"/>
        <v>8122.8054599999996</v>
      </c>
      <c r="E398" s="64">
        <f t="shared" si="96"/>
        <v>7293.2625813600025</v>
      </c>
      <c r="F398" s="64">
        <f t="shared" si="96"/>
        <v>7555.9924301399997</v>
      </c>
      <c r="G398" s="64">
        <f t="shared" si="96"/>
        <v>7894.1223900000014</v>
      </c>
      <c r="H398" s="64">
        <f t="shared" si="96"/>
        <v>5977.3719921300008</v>
      </c>
      <c r="I398" s="64">
        <f t="shared" si="96"/>
        <v>1544.9805000000031</v>
      </c>
      <c r="J398" s="64">
        <f t="shared" si="96"/>
        <v>38388.53535363001</v>
      </c>
    </row>
    <row r="399" spans="2:10">
      <c r="B399" s="48" t="s">
        <v>111</v>
      </c>
      <c r="D399" s="65">
        <f t="shared" ref="D399:J399" si="97">SUM(D381:D398)</f>
        <v>8584364.2105364576</v>
      </c>
      <c r="E399" s="65">
        <f t="shared" si="97"/>
        <v>8586005.5712612271</v>
      </c>
      <c r="F399" s="65">
        <f t="shared" si="97"/>
        <v>8396819.2608437799</v>
      </c>
      <c r="G399" s="65">
        <f t="shared" si="97"/>
        <v>8549670.2911103927</v>
      </c>
      <c r="H399" s="65">
        <f t="shared" si="97"/>
        <v>8122950.180669182</v>
      </c>
      <c r="I399" s="65">
        <f t="shared" si="97"/>
        <v>8177278.4417692171</v>
      </c>
      <c r="J399" s="65">
        <f t="shared" si="97"/>
        <v>50417087.956190251</v>
      </c>
    </row>
    <row r="400" spans="2:10" ht="17.25" customHeight="1">
      <c r="D400" s="66">
        <f t="shared" ref="D400:J400" si="98">D399-D375</f>
        <v>0</v>
      </c>
      <c r="E400" s="66">
        <f t="shared" si="98"/>
        <v>0</v>
      </c>
      <c r="F400" s="66">
        <f t="shared" si="98"/>
        <v>0</v>
      </c>
      <c r="G400" s="66">
        <f t="shared" si="98"/>
        <v>0</v>
      </c>
      <c r="H400" s="66">
        <f t="shared" si="98"/>
        <v>0</v>
      </c>
      <c r="I400" s="66">
        <f t="shared" si="98"/>
        <v>0</v>
      </c>
      <c r="J400" s="66">
        <f t="shared" si="98"/>
        <v>0</v>
      </c>
    </row>
    <row r="402" spans="2:10">
      <c r="B402" s="48" t="s">
        <v>902</v>
      </c>
      <c r="D402" s="64">
        <f t="shared" ref="D402:J417" si="99">D381-D422</f>
        <v>341057.80463999999</v>
      </c>
      <c r="E402" s="64">
        <f t="shared" si="99"/>
        <v>335242.19652000006</v>
      </c>
      <c r="F402" s="64">
        <f t="shared" si="99"/>
        <v>345358.23083999997</v>
      </c>
      <c r="G402" s="64">
        <f t="shared" si="99"/>
        <v>339184.47191999992</v>
      </c>
      <c r="H402" s="64">
        <f t="shared" si="99"/>
        <v>316414.53059999994</v>
      </c>
      <c r="I402" s="64">
        <f t="shared" si="99"/>
        <v>343169.43611999997</v>
      </c>
      <c r="J402" s="64">
        <f t="shared" si="99"/>
        <v>2020426.6706399994</v>
      </c>
    </row>
    <row r="403" spans="2:10">
      <c r="B403" s="48" t="s">
        <v>751</v>
      </c>
      <c r="D403" s="64">
        <f t="shared" si="99"/>
        <v>918040.63092000003</v>
      </c>
      <c r="E403" s="64">
        <f t="shared" si="99"/>
        <v>912643.20134399994</v>
      </c>
      <c r="F403" s="64">
        <f t="shared" si="99"/>
        <v>926450.73729600001</v>
      </c>
      <c r="G403" s="64">
        <f t="shared" si="99"/>
        <v>920917.60555199999</v>
      </c>
      <c r="H403" s="64">
        <f t="shared" si="99"/>
        <v>945184.09860000014</v>
      </c>
      <c r="I403" s="64">
        <f t="shared" si="99"/>
        <v>932032.17794399988</v>
      </c>
      <c r="J403" s="64">
        <f t="shared" si="99"/>
        <v>5555268.4516559988</v>
      </c>
    </row>
    <row r="404" spans="2:10">
      <c r="B404" s="48" t="s">
        <v>750</v>
      </c>
      <c r="D404" s="64">
        <f t="shared" si="99"/>
        <v>1434488.6637675001</v>
      </c>
      <c r="E404" s="64">
        <f t="shared" si="99"/>
        <v>1450764.9185425001</v>
      </c>
      <c r="F404" s="64">
        <f t="shared" si="99"/>
        <v>1411931.1387500002</v>
      </c>
      <c r="G404" s="64">
        <f t="shared" si="99"/>
        <v>1410417.2115825</v>
      </c>
      <c r="H404" s="64">
        <f t="shared" si="99"/>
        <v>1360999.7490925</v>
      </c>
      <c r="I404" s="64">
        <f t="shared" si="99"/>
        <v>1329005.1264324998</v>
      </c>
      <c r="J404" s="64">
        <f t="shared" si="99"/>
        <v>8397606.8081675004</v>
      </c>
    </row>
    <row r="405" spans="2:10">
      <c r="B405" s="48" t="s">
        <v>749</v>
      </c>
      <c r="D405" s="64">
        <f t="shared" si="99"/>
        <v>2201822.0191350002</v>
      </c>
      <c r="E405" s="64">
        <f t="shared" si="99"/>
        <v>2190967.3380690003</v>
      </c>
      <c r="F405" s="64">
        <f t="shared" si="99"/>
        <v>2138519.2182300002</v>
      </c>
      <c r="G405" s="64">
        <f t="shared" si="99"/>
        <v>2168398.7141220002</v>
      </c>
      <c r="H405" s="64">
        <f t="shared" si="99"/>
        <v>1998306.432756</v>
      </c>
      <c r="I405" s="64">
        <f t="shared" si="99"/>
        <v>2074292.08974</v>
      </c>
      <c r="J405" s="64">
        <f t="shared" si="99"/>
        <v>12772305.812052</v>
      </c>
    </row>
    <row r="406" spans="2:10">
      <c r="B406" s="48" t="s">
        <v>1176</v>
      </c>
      <c r="D406" s="64">
        <f t="shared" si="99"/>
        <v>0</v>
      </c>
      <c r="E406" s="64">
        <f t="shared" si="99"/>
        <v>0</v>
      </c>
      <c r="F406" s="64">
        <f t="shared" si="99"/>
        <v>0</v>
      </c>
      <c r="G406" s="64">
        <f t="shared" si="99"/>
        <v>0</v>
      </c>
      <c r="H406" s="64">
        <f t="shared" si="99"/>
        <v>0</v>
      </c>
      <c r="I406" s="64">
        <f t="shared" si="99"/>
        <v>0</v>
      </c>
      <c r="J406" s="64">
        <f t="shared" si="99"/>
        <v>0</v>
      </c>
    </row>
    <row r="407" spans="2:10">
      <c r="B407" s="48" t="s">
        <v>274</v>
      </c>
      <c r="D407" s="64">
        <f t="shared" si="99"/>
        <v>1873349.7258399997</v>
      </c>
      <c r="E407" s="64">
        <f t="shared" si="99"/>
        <v>1857238.4964600001</v>
      </c>
      <c r="F407" s="64">
        <f t="shared" si="99"/>
        <v>1784505.40524</v>
      </c>
      <c r="G407" s="64">
        <f t="shared" si="99"/>
        <v>1855118.6717400001</v>
      </c>
      <c r="H407" s="64">
        <f t="shared" si="99"/>
        <v>1745916.4238799994</v>
      </c>
      <c r="I407" s="64">
        <f t="shared" si="99"/>
        <v>1740232.6323229994</v>
      </c>
      <c r="J407" s="64">
        <f t="shared" si="99"/>
        <v>10856361.355482999</v>
      </c>
    </row>
    <row r="408" spans="2:10">
      <c r="B408" s="48" t="s">
        <v>275</v>
      </c>
      <c r="D408" s="64">
        <f t="shared" si="99"/>
        <v>87735.847097500009</v>
      </c>
      <c r="E408" s="64">
        <f t="shared" si="99"/>
        <v>87161.581709999999</v>
      </c>
      <c r="F408" s="64">
        <f t="shared" si="99"/>
        <v>86172.589615000004</v>
      </c>
      <c r="G408" s="64">
        <f t="shared" si="99"/>
        <v>88745.402269999991</v>
      </c>
      <c r="H408" s="64">
        <f t="shared" si="99"/>
        <v>87563.186392500007</v>
      </c>
      <c r="I408" s="64">
        <f t="shared" si="99"/>
        <v>91554.128505000001</v>
      </c>
      <c r="J408" s="64">
        <f t="shared" si="99"/>
        <v>528932.73558999994</v>
      </c>
    </row>
    <row r="409" spans="2:10">
      <c r="B409" s="48" t="s">
        <v>276</v>
      </c>
      <c r="D409" s="64">
        <f t="shared" si="99"/>
        <v>793288.61121999996</v>
      </c>
      <c r="E409" s="64">
        <f t="shared" si="99"/>
        <v>814648.20349500002</v>
      </c>
      <c r="F409" s="64">
        <f t="shared" si="99"/>
        <v>784021.71144500002</v>
      </c>
      <c r="G409" s="64">
        <f t="shared" si="99"/>
        <v>826970.97931000008</v>
      </c>
      <c r="H409" s="64">
        <f t="shared" si="99"/>
        <v>742572.34603999997</v>
      </c>
      <c r="I409" s="64">
        <f t="shared" si="99"/>
        <v>773105.66385499993</v>
      </c>
      <c r="J409" s="64">
        <f t="shared" si="99"/>
        <v>4734607.5153649999</v>
      </c>
    </row>
    <row r="410" spans="2:10">
      <c r="B410" s="48" t="s">
        <v>277</v>
      </c>
      <c r="D410" s="64">
        <f t="shared" si="99"/>
        <v>133285.53101499999</v>
      </c>
      <c r="E410" s="64">
        <f t="shared" si="99"/>
        <v>136154.99572499999</v>
      </c>
      <c r="F410" s="64">
        <f t="shared" si="99"/>
        <v>135541.59213</v>
      </c>
      <c r="G410" s="64">
        <f t="shared" si="99"/>
        <v>127802.00177499998</v>
      </c>
      <c r="H410" s="64">
        <f t="shared" si="99"/>
        <v>155595.51934500001</v>
      </c>
      <c r="I410" s="64">
        <f t="shared" si="99"/>
        <v>102001.91623999999</v>
      </c>
      <c r="J410" s="64">
        <f t="shared" si="99"/>
        <v>790381.55622999999</v>
      </c>
    </row>
    <row r="411" spans="2:10">
      <c r="B411" s="48" t="s">
        <v>278</v>
      </c>
      <c r="D411" s="64">
        <f t="shared" si="99"/>
        <v>0</v>
      </c>
      <c r="E411" s="64">
        <f t="shared" si="99"/>
        <v>0</v>
      </c>
      <c r="F411" s="64">
        <f t="shared" si="99"/>
        <v>0</v>
      </c>
      <c r="G411" s="64">
        <f t="shared" si="99"/>
        <v>0</v>
      </c>
      <c r="H411" s="64">
        <f t="shared" si="99"/>
        <v>0</v>
      </c>
      <c r="I411" s="64">
        <f t="shared" si="99"/>
        <v>0</v>
      </c>
      <c r="J411" s="64">
        <f t="shared" si="99"/>
        <v>0</v>
      </c>
    </row>
    <row r="412" spans="2:10">
      <c r="B412" s="48" t="s">
        <v>279</v>
      </c>
      <c r="D412" s="64">
        <f t="shared" si="99"/>
        <v>577413.07056999998</v>
      </c>
      <c r="E412" s="64">
        <f t="shared" si="99"/>
        <v>579019.14357000007</v>
      </c>
      <c r="F412" s="64">
        <f t="shared" si="99"/>
        <v>565855.66240000003</v>
      </c>
      <c r="G412" s="64">
        <f t="shared" si="99"/>
        <v>587425.19135999994</v>
      </c>
      <c r="H412" s="64">
        <f t="shared" si="99"/>
        <v>560181.41592000006</v>
      </c>
      <c r="I412" s="64">
        <f t="shared" si="99"/>
        <v>581397.82883000001</v>
      </c>
      <c r="J412" s="64">
        <f t="shared" si="99"/>
        <v>3451292.3126499997</v>
      </c>
    </row>
    <row r="413" spans="2:10">
      <c r="B413" s="48" t="s">
        <v>875</v>
      </c>
      <c r="D413" s="64">
        <f t="shared" si="99"/>
        <v>0</v>
      </c>
      <c r="E413" s="64">
        <f t="shared" si="99"/>
        <v>0</v>
      </c>
      <c r="F413" s="64">
        <f t="shared" si="99"/>
        <v>0</v>
      </c>
      <c r="G413" s="64">
        <f t="shared" si="99"/>
        <v>0</v>
      </c>
      <c r="H413" s="64">
        <f t="shared" si="99"/>
        <v>0</v>
      </c>
      <c r="I413" s="64">
        <f t="shared" si="99"/>
        <v>0</v>
      </c>
      <c r="J413" s="64">
        <f t="shared" si="99"/>
        <v>0</v>
      </c>
    </row>
    <row r="414" spans="2:10">
      <c r="B414" s="48" t="s">
        <v>874</v>
      </c>
      <c r="D414" s="64">
        <f t="shared" si="99"/>
        <v>0</v>
      </c>
      <c r="E414" s="64">
        <f t="shared" si="99"/>
        <v>0</v>
      </c>
      <c r="F414" s="64">
        <f t="shared" si="99"/>
        <v>0</v>
      </c>
      <c r="G414" s="64">
        <f t="shared" si="99"/>
        <v>0</v>
      </c>
      <c r="H414" s="64">
        <f t="shared" si="99"/>
        <v>0</v>
      </c>
      <c r="I414" s="64">
        <f t="shared" si="99"/>
        <v>0</v>
      </c>
      <c r="J414" s="64">
        <f t="shared" si="99"/>
        <v>0</v>
      </c>
    </row>
    <row r="415" spans="2:10">
      <c r="B415" s="48" t="s">
        <v>873</v>
      </c>
      <c r="D415" s="64">
        <f t="shared" si="99"/>
        <v>0</v>
      </c>
      <c r="E415" s="64">
        <f t="shared" si="99"/>
        <v>0</v>
      </c>
      <c r="F415" s="64">
        <f t="shared" si="99"/>
        <v>0</v>
      </c>
      <c r="G415" s="64">
        <f t="shared" si="99"/>
        <v>0</v>
      </c>
      <c r="H415" s="64">
        <f t="shared" si="99"/>
        <v>0</v>
      </c>
      <c r="I415" s="64">
        <f t="shared" si="99"/>
        <v>0</v>
      </c>
      <c r="J415" s="64">
        <f t="shared" si="99"/>
        <v>0</v>
      </c>
    </row>
    <row r="416" spans="2:10">
      <c r="B416" s="48" t="s">
        <v>872</v>
      </c>
      <c r="D416" s="64">
        <f t="shared" si="99"/>
        <v>0</v>
      </c>
      <c r="E416" s="64">
        <f t="shared" si="99"/>
        <v>0</v>
      </c>
      <c r="F416" s="64">
        <f t="shared" si="99"/>
        <v>0</v>
      </c>
      <c r="G416" s="64">
        <f t="shared" si="99"/>
        <v>0</v>
      </c>
      <c r="H416" s="64">
        <f t="shared" si="99"/>
        <v>0</v>
      </c>
      <c r="I416" s="64">
        <f t="shared" si="99"/>
        <v>0</v>
      </c>
      <c r="J416" s="64">
        <f t="shared" si="99"/>
        <v>0</v>
      </c>
    </row>
    <row r="417" spans="2:10">
      <c r="B417" s="48" t="s">
        <v>871</v>
      </c>
      <c r="D417" s="64">
        <f t="shared" si="99"/>
        <v>0</v>
      </c>
      <c r="E417" s="64">
        <f t="shared" si="99"/>
        <v>0</v>
      </c>
      <c r="F417" s="64">
        <f t="shared" si="99"/>
        <v>0</v>
      </c>
      <c r="G417" s="64">
        <f t="shared" si="99"/>
        <v>0</v>
      </c>
      <c r="H417" s="64">
        <f t="shared" si="99"/>
        <v>0</v>
      </c>
      <c r="I417" s="64">
        <f t="shared" si="99"/>
        <v>0</v>
      </c>
      <c r="J417" s="64">
        <f t="shared" si="99"/>
        <v>0</v>
      </c>
    </row>
    <row r="418" spans="2:10">
      <c r="B418" s="48" t="s">
        <v>870</v>
      </c>
      <c r="D418" s="64">
        <f t="shared" ref="D418:F418" si="100">D397-D438</f>
        <v>0</v>
      </c>
      <c r="E418" s="64">
        <f t="shared" si="100"/>
        <v>0</v>
      </c>
      <c r="F418" s="64">
        <f t="shared" si="100"/>
        <v>0</v>
      </c>
      <c r="G418" s="64">
        <f>G397-G438</f>
        <v>0</v>
      </c>
      <c r="H418" s="64">
        <f t="shared" ref="H418:I418" si="101">H397-H438</f>
        <v>0</v>
      </c>
      <c r="I418" s="64">
        <f t="shared" si="101"/>
        <v>0</v>
      </c>
      <c r="J418" s="64">
        <f>J397-J438</f>
        <v>0</v>
      </c>
    </row>
    <row r="419" spans="2:10">
      <c r="B419" s="48" t="s">
        <v>893</v>
      </c>
      <c r="D419" s="64"/>
      <c r="E419" s="64"/>
      <c r="F419" s="64"/>
      <c r="G419" s="64"/>
      <c r="H419" s="64"/>
      <c r="I419" s="64"/>
      <c r="J419" s="64"/>
    </row>
    <row r="420" spans="2:10">
      <c r="B420" s="48" t="s">
        <v>111</v>
      </c>
      <c r="C420" s="48" t="s">
        <v>889</v>
      </c>
      <c r="D420" s="65">
        <f t="shared" ref="D420:J420" si="102">SUM(D402:D419)</f>
        <v>8360481.904205</v>
      </c>
      <c r="E420" s="65">
        <f t="shared" si="102"/>
        <v>8363840.0754355006</v>
      </c>
      <c r="F420" s="65">
        <f t="shared" si="102"/>
        <v>8178356.2859460013</v>
      </c>
      <c r="G420" s="65">
        <f t="shared" si="102"/>
        <v>8324980.2496315008</v>
      </c>
      <c r="H420" s="65">
        <f t="shared" si="102"/>
        <v>7912733.7026260011</v>
      </c>
      <c r="I420" s="65">
        <f t="shared" si="102"/>
        <v>7966790.9999894993</v>
      </c>
      <c r="J420" s="65">
        <f t="shared" si="102"/>
        <v>49107183.217833504</v>
      </c>
    </row>
    <row r="422" spans="2:10">
      <c r="B422" s="48" t="s">
        <v>902</v>
      </c>
      <c r="D422" s="64">
        <f t="shared" ref="D422:J431" si="103">SUMIF($B$219:$B$342,$B422,D$219:D$342)</f>
        <v>9425.4920500000007</v>
      </c>
      <c r="E422" s="64">
        <f t="shared" si="103"/>
        <v>9264.7715874999976</v>
      </c>
      <c r="F422" s="64">
        <f t="shared" si="103"/>
        <v>9544.3388624999989</v>
      </c>
      <c r="G422" s="64">
        <f t="shared" si="103"/>
        <v>9373.7205250000006</v>
      </c>
      <c r="H422" s="64">
        <f t="shared" si="103"/>
        <v>8744.4491875000003</v>
      </c>
      <c r="I422" s="64">
        <f t="shared" si="103"/>
        <v>9483.8492125000012</v>
      </c>
      <c r="J422" s="64">
        <f t="shared" si="103"/>
        <v>55836.621424999998</v>
      </c>
    </row>
    <row r="423" spans="2:10">
      <c r="B423" s="48" t="s">
        <v>751</v>
      </c>
      <c r="D423" s="64">
        <f t="shared" si="103"/>
        <v>25371.0208375</v>
      </c>
      <c r="E423" s="64">
        <f t="shared" si="103"/>
        <v>25221.857179999995</v>
      </c>
      <c r="F423" s="64">
        <f t="shared" si="103"/>
        <v>25603.442994999998</v>
      </c>
      <c r="G423" s="64">
        <f t="shared" si="103"/>
        <v>25450.529064999995</v>
      </c>
      <c r="H423" s="64">
        <f t="shared" si="103"/>
        <v>26121.159187500001</v>
      </c>
      <c r="I423" s="64">
        <f t="shared" si="103"/>
        <v>25757.691992499997</v>
      </c>
      <c r="J423" s="64">
        <f t="shared" si="103"/>
        <v>153525.70125749998</v>
      </c>
    </row>
    <row r="424" spans="2:10">
      <c r="B424" s="48" t="s">
        <v>750</v>
      </c>
      <c r="D424" s="64">
        <f t="shared" si="103"/>
        <v>28733.979397499999</v>
      </c>
      <c r="E424" s="64">
        <f t="shared" si="103"/>
        <v>29060.006072499997</v>
      </c>
      <c r="F424" s="64">
        <f t="shared" si="103"/>
        <v>28282.133749999994</v>
      </c>
      <c r="G424" s="64">
        <f t="shared" si="103"/>
        <v>28251.808552500002</v>
      </c>
      <c r="H424" s="64">
        <f t="shared" si="103"/>
        <v>27261.936422499999</v>
      </c>
      <c r="I424" s="64">
        <f t="shared" si="103"/>
        <v>26621.058002499998</v>
      </c>
      <c r="J424" s="64">
        <f t="shared" si="103"/>
        <v>168210.92219750001</v>
      </c>
    </row>
    <row r="425" spans="2:10">
      <c r="B425" s="48" t="s">
        <v>749</v>
      </c>
      <c r="D425" s="64">
        <f t="shared" si="103"/>
        <v>34720.628637499998</v>
      </c>
      <c r="E425" s="64">
        <f t="shared" si="103"/>
        <v>34549.460692499997</v>
      </c>
      <c r="F425" s="64">
        <f t="shared" si="103"/>
        <v>33722.403975000001</v>
      </c>
      <c r="G425" s="64">
        <f t="shared" si="103"/>
        <v>34193.575064999997</v>
      </c>
      <c r="H425" s="64">
        <f t="shared" si="103"/>
        <v>31511.382370000003</v>
      </c>
      <c r="I425" s="64">
        <f t="shared" si="103"/>
        <v>32709.603549999996</v>
      </c>
      <c r="J425" s="64">
        <f t="shared" si="103"/>
        <v>201407.05429</v>
      </c>
    </row>
    <row r="426" spans="2:10">
      <c r="B426" s="48" t="s">
        <v>1176</v>
      </c>
      <c r="D426" s="64">
        <f t="shared" si="103"/>
        <v>0</v>
      </c>
      <c r="E426" s="64">
        <f t="shared" si="103"/>
        <v>0</v>
      </c>
      <c r="F426" s="64">
        <f t="shared" si="103"/>
        <v>0</v>
      </c>
      <c r="G426" s="64">
        <f t="shared" si="103"/>
        <v>0</v>
      </c>
      <c r="H426" s="64">
        <f t="shared" si="103"/>
        <v>0</v>
      </c>
      <c r="I426" s="64">
        <f t="shared" si="103"/>
        <v>0</v>
      </c>
      <c r="J426" s="64">
        <f t="shared" si="103"/>
        <v>0</v>
      </c>
    </row>
    <row r="427" spans="2:10">
      <c r="B427" s="48" t="s">
        <v>274</v>
      </c>
      <c r="D427" s="64">
        <f t="shared" si="103"/>
        <v>37818.683279999997</v>
      </c>
      <c r="E427" s="64">
        <f t="shared" si="103"/>
        <v>37528.856190000006</v>
      </c>
      <c r="F427" s="64">
        <f t="shared" si="103"/>
        <v>36120.140910000002</v>
      </c>
      <c r="G427" s="64">
        <f t="shared" si="103"/>
        <v>37495.12977</v>
      </c>
      <c r="H427" s="64">
        <f t="shared" si="103"/>
        <v>35333.230589999992</v>
      </c>
      <c r="I427" s="64">
        <f t="shared" si="103"/>
        <v>35198.002917000005</v>
      </c>
      <c r="J427" s="64">
        <f t="shared" si="103"/>
        <v>219494.04365700003</v>
      </c>
    </row>
    <row r="428" spans="2:10">
      <c r="B428" s="48" t="s">
        <v>275</v>
      </c>
      <c r="D428" s="64">
        <f t="shared" si="103"/>
        <v>1761.5291400000001</v>
      </c>
      <c r="E428" s="64">
        <f t="shared" si="103"/>
        <v>1749.0658500000002</v>
      </c>
      <c r="F428" s="64">
        <f t="shared" si="103"/>
        <v>1729.68768</v>
      </c>
      <c r="G428" s="64">
        <f t="shared" si="103"/>
        <v>1781.3785500000001</v>
      </c>
      <c r="H428" s="64">
        <f t="shared" si="103"/>
        <v>1756.99062</v>
      </c>
      <c r="I428" s="64">
        <f t="shared" si="103"/>
        <v>1837.6092000000001</v>
      </c>
      <c r="J428" s="64">
        <f t="shared" si="103"/>
        <v>10616.261040000001</v>
      </c>
    </row>
    <row r="429" spans="2:10">
      <c r="B429" s="48" t="s">
        <v>276</v>
      </c>
      <c r="D429" s="64">
        <f t="shared" si="103"/>
        <v>15901.10802</v>
      </c>
      <c r="E429" s="64">
        <f t="shared" si="103"/>
        <v>16329.251295000002</v>
      </c>
      <c r="F429" s="64">
        <f t="shared" si="103"/>
        <v>15715.357245000001</v>
      </c>
      <c r="G429" s="64">
        <f t="shared" si="103"/>
        <v>16576.255709999998</v>
      </c>
      <c r="H429" s="64">
        <f t="shared" si="103"/>
        <v>14884.523640000001</v>
      </c>
      <c r="I429" s="64">
        <f t="shared" si="103"/>
        <v>15496.550055</v>
      </c>
      <c r="J429" s="64">
        <f t="shared" si="103"/>
        <v>94903.045964999998</v>
      </c>
    </row>
    <row r="430" spans="2:10">
      <c r="B430" s="48" t="s">
        <v>277</v>
      </c>
      <c r="D430" s="64">
        <f t="shared" si="103"/>
        <v>2671.6476150000003</v>
      </c>
      <c r="E430" s="64">
        <f t="shared" si="103"/>
        <v>2729.1647250000001</v>
      </c>
      <c r="F430" s="64">
        <f t="shared" si="103"/>
        <v>2716.8693300000004</v>
      </c>
      <c r="G430" s="64">
        <f t="shared" si="103"/>
        <v>2561.7327750000004</v>
      </c>
      <c r="H430" s="64">
        <f t="shared" si="103"/>
        <v>3118.8411450000003</v>
      </c>
      <c r="I430" s="64">
        <f t="shared" si="103"/>
        <v>2044.5818400000001</v>
      </c>
      <c r="J430" s="64">
        <f t="shared" si="103"/>
        <v>15842.837430000003</v>
      </c>
    </row>
    <row r="431" spans="2:10">
      <c r="B431" s="48" t="s">
        <v>278</v>
      </c>
      <c r="D431" s="64">
        <f t="shared" si="103"/>
        <v>0</v>
      </c>
      <c r="E431" s="64">
        <f t="shared" si="103"/>
        <v>0</v>
      </c>
      <c r="F431" s="64">
        <f t="shared" si="103"/>
        <v>0</v>
      </c>
      <c r="G431" s="64">
        <f t="shared" si="103"/>
        <v>0</v>
      </c>
      <c r="H431" s="64">
        <f t="shared" si="103"/>
        <v>0</v>
      </c>
      <c r="I431" s="64">
        <f t="shared" si="103"/>
        <v>0</v>
      </c>
      <c r="J431" s="64">
        <f t="shared" si="103"/>
        <v>0</v>
      </c>
    </row>
    <row r="432" spans="2:10">
      <c r="B432" s="48" t="s">
        <v>279</v>
      </c>
      <c r="D432" s="64">
        <f t="shared" ref="D432:J439" si="104">SUMIF($B$219:$B$342,$B432,D$219:D$342)</f>
        <v>11573.981370000001</v>
      </c>
      <c r="E432" s="64">
        <f t="shared" si="104"/>
        <v>11606.174370000001</v>
      </c>
      <c r="F432" s="64">
        <f t="shared" si="104"/>
        <v>11342.3184</v>
      </c>
      <c r="G432" s="64">
        <f t="shared" si="104"/>
        <v>11774.669760000001</v>
      </c>
      <c r="H432" s="64">
        <f t="shared" si="104"/>
        <v>11228.58072</v>
      </c>
      <c r="I432" s="64">
        <f t="shared" si="104"/>
        <v>11653.85403</v>
      </c>
      <c r="J432" s="64">
        <f t="shared" si="104"/>
        <v>69179.57865000001</v>
      </c>
    </row>
    <row r="433" spans="2:10">
      <c r="B433" s="48" t="s">
        <v>875</v>
      </c>
      <c r="D433" s="64">
        <f t="shared" si="104"/>
        <v>5225.6751853950018</v>
      </c>
      <c r="E433" s="64">
        <f t="shared" si="104"/>
        <v>5128.7124929040019</v>
      </c>
      <c r="F433" s="64">
        <f t="shared" si="104"/>
        <v>5208.1433858159999</v>
      </c>
      <c r="G433" s="64">
        <f t="shared" si="104"/>
        <v>5488.7949411749996</v>
      </c>
      <c r="H433" s="64">
        <f t="shared" si="104"/>
        <v>5051.4463222649993</v>
      </c>
      <c r="I433" s="64">
        <f t="shared" si="104"/>
        <v>5677.2387861499819</v>
      </c>
      <c r="J433" s="64">
        <f t="shared" si="104"/>
        <v>31780.011113704983</v>
      </c>
    </row>
    <row r="434" spans="2:10">
      <c r="B434" s="48" t="s">
        <v>874</v>
      </c>
      <c r="D434" s="64">
        <f t="shared" si="104"/>
        <v>174.82822755299998</v>
      </c>
      <c r="E434" s="64">
        <f t="shared" si="104"/>
        <v>173.27465876700001</v>
      </c>
      <c r="F434" s="64">
        <f t="shared" si="104"/>
        <v>165.95542152000002</v>
      </c>
      <c r="G434" s="64">
        <f t="shared" si="104"/>
        <v>172.0986939</v>
      </c>
      <c r="H434" s="64">
        <f t="shared" si="104"/>
        <v>166.66355972700003</v>
      </c>
      <c r="I434" s="64">
        <f t="shared" si="104"/>
        <v>172.67669370000019</v>
      </c>
      <c r="J434" s="64">
        <f t="shared" si="104"/>
        <v>1025.497255167</v>
      </c>
    </row>
    <row r="435" spans="2:10">
      <c r="B435" s="48" t="s">
        <v>873</v>
      </c>
      <c r="D435" s="64">
        <f t="shared" si="104"/>
        <v>26904.10634945146</v>
      </c>
      <c r="E435" s="64">
        <f t="shared" si="104"/>
        <v>26632.134992795847</v>
      </c>
      <c r="F435" s="64">
        <f t="shared" si="104"/>
        <v>25876.055575780203</v>
      </c>
      <c r="G435" s="64">
        <f t="shared" si="104"/>
        <v>26920.434462768004</v>
      </c>
      <c r="H435" s="64">
        <f t="shared" si="104"/>
        <v>24821.310127571996</v>
      </c>
      <c r="I435" s="64">
        <f t="shared" si="104"/>
        <v>26615.281535024806</v>
      </c>
      <c r="J435" s="64">
        <f t="shared" si="104"/>
        <v>157769.32304339233</v>
      </c>
    </row>
    <row r="436" spans="2:10">
      <c r="B436" s="48" t="s">
        <v>872</v>
      </c>
      <c r="D436" s="64">
        <f t="shared" si="104"/>
        <v>6418.4391745109988</v>
      </c>
      <c r="E436" s="64">
        <f t="shared" si="104"/>
        <v>6478.7254679700009</v>
      </c>
      <c r="F436" s="64">
        <f t="shared" si="104"/>
        <v>6302.2895545050005</v>
      </c>
      <c r="G436" s="64">
        <f t="shared" si="104"/>
        <v>6754.8760690949994</v>
      </c>
      <c r="H436" s="64">
        <f t="shared" si="104"/>
        <v>6333.6882161700014</v>
      </c>
      <c r="I436" s="64">
        <f t="shared" si="104"/>
        <v>6299.5650169221017</v>
      </c>
      <c r="J436" s="64">
        <f t="shared" si="104"/>
        <v>38587.583499173103</v>
      </c>
    </row>
    <row r="437" spans="2:10">
      <c r="B437" s="48" t="s">
        <v>871</v>
      </c>
      <c r="D437" s="64">
        <f t="shared" si="104"/>
        <v>2927.1043790100002</v>
      </c>
      <c r="E437" s="64">
        <f t="shared" si="104"/>
        <v>2870.8872368399998</v>
      </c>
      <c r="F437" s="64">
        <f t="shared" si="104"/>
        <v>2968.1737129799994</v>
      </c>
      <c r="G437" s="64">
        <f t="shared" si="104"/>
        <v>3568.6728222389997</v>
      </c>
      <c r="H437" s="64">
        <f t="shared" si="104"/>
        <v>3436.1351384219993</v>
      </c>
      <c r="I437" s="64">
        <f t="shared" si="104"/>
        <v>3612.5566519581007</v>
      </c>
      <c r="J437" s="64">
        <f t="shared" si="104"/>
        <v>19383.529941449102</v>
      </c>
    </row>
    <row r="438" spans="2:10">
      <c r="B438" s="48" t="s">
        <v>870</v>
      </c>
      <c r="D438" s="64">
        <f t="shared" si="104"/>
        <v>6131.2772080350005</v>
      </c>
      <c r="E438" s="64">
        <f t="shared" si="104"/>
        <v>5549.8904325899994</v>
      </c>
      <c r="F438" s="64">
        <f t="shared" si="104"/>
        <v>5609.6716695389996</v>
      </c>
      <c r="G438" s="64">
        <f t="shared" si="104"/>
        <v>6432.242327216999</v>
      </c>
      <c r="H438" s="64">
        <f t="shared" si="104"/>
        <v>4468.7688043950002</v>
      </c>
      <c r="I438" s="64">
        <f t="shared" si="104"/>
        <v>5762.3417964629998</v>
      </c>
      <c r="J438" s="64">
        <f t="shared" si="104"/>
        <v>33954.192238238997</v>
      </c>
    </row>
    <row r="439" spans="2:10">
      <c r="B439" s="48" t="s">
        <v>893</v>
      </c>
      <c r="D439" s="64">
        <f t="shared" si="104"/>
        <v>8122.8054599999996</v>
      </c>
      <c r="E439" s="64">
        <f t="shared" si="104"/>
        <v>7293.2625813600025</v>
      </c>
      <c r="F439" s="64">
        <f t="shared" si="104"/>
        <v>7555.9924301399997</v>
      </c>
      <c r="G439" s="64">
        <f t="shared" si="104"/>
        <v>7894.1223900000014</v>
      </c>
      <c r="H439" s="64">
        <f t="shared" si="104"/>
        <v>5977.3719921300008</v>
      </c>
      <c r="I439" s="64">
        <f t="shared" si="104"/>
        <v>1544.9805000000031</v>
      </c>
      <c r="J439" s="64">
        <f t="shared" si="104"/>
        <v>38388.53535363001</v>
      </c>
    </row>
    <row r="440" spans="2:10">
      <c r="B440" s="48" t="s">
        <v>888</v>
      </c>
      <c r="D440" s="65">
        <f t="shared" ref="D440:J440" si="105">SUM(D422:D439)</f>
        <v>223882.30633145547</v>
      </c>
      <c r="E440" s="65">
        <f t="shared" si="105"/>
        <v>222165.49582572689</v>
      </c>
      <c r="F440" s="65">
        <f t="shared" si="105"/>
        <v>218462.97489778014</v>
      </c>
      <c r="G440" s="65">
        <f t="shared" si="105"/>
        <v>224690.04147889398</v>
      </c>
      <c r="H440" s="65">
        <f t="shared" si="105"/>
        <v>210216.47804318098</v>
      </c>
      <c r="I440" s="65">
        <f t="shared" si="105"/>
        <v>210487.44177971798</v>
      </c>
      <c r="J440" s="65">
        <f t="shared" si="105"/>
        <v>1309904.7383567558</v>
      </c>
    </row>
    <row r="441" spans="2:10">
      <c r="D441" s="66">
        <f t="shared" ref="D441:J441" si="106">D311+D342-D440</f>
        <v>0</v>
      </c>
      <c r="E441" s="66">
        <f t="shared" si="106"/>
        <v>0</v>
      </c>
      <c r="F441" s="66">
        <f t="shared" si="106"/>
        <v>0</v>
      </c>
      <c r="G441" s="66">
        <f t="shared" si="106"/>
        <v>0</v>
      </c>
      <c r="H441" s="66">
        <f t="shared" si="106"/>
        <v>0</v>
      </c>
      <c r="I441" s="66">
        <f t="shared" si="106"/>
        <v>0</v>
      </c>
      <c r="J441" s="66">
        <f t="shared" si="106"/>
        <v>0</v>
      </c>
    </row>
  </sheetData>
  <printOptions horizontalCentered="1" verticalCentered="1"/>
  <pageMargins left="0.511811023622047" right="0.31496062992126" top="0.78740157480314998" bottom="0.82677165354330695" header="0.31496062992126" footer="0.23622047244094499"/>
  <pageSetup scale="51" fitToHeight="4" orientation="portrait" horizontalDpi="300" r:id="rId1"/>
  <headerFooter alignWithMargins="0">
    <oddHeader>&amp;L
NOMBRE DE LA DISTRIBUIDORA: &amp;UENSA.&amp;R&amp;9&amp;A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6">
    <tabColor theme="5" tint="0.39997558519241921"/>
  </sheetPr>
  <dimension ref="B1:L141"/>
  <sheetViews>
    <sheetView view="pageBreakPreview" zoomScale="70" zoomScaleNormal="85" zoomScaleSheetLayoutView="70" workbookViewId="0"/>
  </sheetViews>
  <sheetFormatPr baseColWidth="10" defaultColWidth="8" defaultRowHeight="15"/>
  <cols>
    <col min="1" max="1" width="1.875" style="63" customWidth="1"/>
    <col min="2" max="2" width="6" style="63" customWidth="1"/>
    <col min="3" max="3" width="28.625" style="63" customWidth="1"/>
    <col min="4" max="4" width="11.75" style="63" customWidth="1"/>
    <col min="5" max="5" width="12.625" style="63" customWidth="1"/>
    <col min="6" max="6" width="12.75" style="63" customWidth="1"/>
    <col min="7" max="7" width="13.25" style="63" customWidth="1"/>
    <col min="8" max="8" width="13.875" style="63" customWidth="1"/>
    <col min="9" max="9" width="11.5" style="63" customWidth="1"/>
    <col min="10" max="10" width="13.125" style="63" customWidth="1"/>
    <col min="11" max="11" width="2.25" style="63" customWidth="1"/>
    <col min="12" max="12" width="4.25" style="345" bestFit="1" customWidth="1"/>
    <col min="13" max="16384" width="8" style="63"/>
  </cols>
  <sheetData>
    <row r="1" spans="2:12" s="69" customFormat="1" ht="15.75">
      <c r="C1" s="136" t="s">
        <v>151</v>
      </c>
      <c r="E1" s="63"/>
      <c r="L1" s="341"/>
    </row>
    <row r="2" spans="2:12" s="69" customFormat="1" ht="15.75">
      <c r="C2" s="136"/>
      <c r="E2" s="137"/>
      <c r="L2" s="341"/>
    </row>
    <row r="3" spans="2:12" s="69" customFormat="1" ht="15.75">
      <c r="D3" s="137"/>
      <c r="L3" s="341"/>
    </row>
    <row r="4" spans="2:12" s="69" customFormat="1" ht="15.75">
      <c r="B4" s="48"/>
      <c r="C4" s="219" t="s">
        <v>1528</v>
      </c>
      <c r="D4" s="219"/>
      <c r="E4" s="219"/>
      <c r="F4" s="219"/>
      <c r="G4" s="219"/>
      <c r="H4" s="219"/>
      <c r="I4" s="219"/>
      <c r="J4" s="219"/>
    </row>
    <row r="5" spans="2:12" s="69" customFormat="1" ht="15.75">
      <c r="C5" s="342"/>
      <c r="D5" s="322"/>
      <c r="E5" s="323"/>
      <c r="F5" s="322"/>
      <c r="G5" s="322"/>
      <c r="H5" s="342"/>
      <c r="I5" s="342"/>
      <c r="L5" s="341"/>
    </row>
    <row r="6" spans="2:12" s="58" customFormat="1" ht="30.95" customHeight="1">
      <c r="C6" s="343" t="s">
        <v>854</v>
      </c>
      <c r="D6" s="344" t="s">
        <v>236</v>
      </c>
      <c r="E6" s="323"/>
      <c r="F6" s="322"/>
      <c r="G6" s="322"/>
      <c r="H6" s="342"/>
      <c r="I6" s="342"/>
      <c r="J6" s="69"/>
      <c r="L6" s="345"/>
    </row>
    <row r="7" spans="2:12" s="143" customFormat="1" ht="15.75">
      <c r="C7" s="144" t="s">
        <v>266</v>
      </c>
      <c r="D7" s="144">
        <f>RAT1000PT!$I$137</f>
        <v>0</v>
      </c>
      <c r="E7" s="322"/>
      <c r="F7" s="322"/>
      <c r="G7" s="322"/>
      <c r="H7" s="342"/>
      <c r="I7" s="342"/>
      <c r="J7" s="69"/>
      <c r="L7" s="345"/>
    </row>
    <row r="8" spans="2:12" s="143" customFormat="1" ht="15.75">
      <c r="C8" s="144" t="s">
        <v>265</v>
      </c>
      <c r="D8" s="144">
        <f>RAT1000PT!$I$136</f>
        <v>0</v>
      </c>
      <c r="E8" s="322"/>
      <c r="F8" s="322"/>
      <c r="G8" s="322"/>
      <c r="H8" s="342"/>
      <c r="I8" s="342"/>
      <c r="J8" s="69"/>
      <c r="L8" s="345"/>
    </row>
    <row r="9" spans="2:12" s="143" customFormat="1" ht="15.75">
      <c r="C9" s="144" t="s">
        <v>264</v>
      </c>
      <c r="D9" s="144">
        <f>RAT1000PT!$I$135</f>
        <v>0</v>
      </c>
      <c r="E9" s="322"/>
      <c r="F9" s="322"/>
      <c r="G9" s="322"/>
      <c r="H9" s="342"/>
      <c r="I9" s="342"/>
      <c r="J9" s="69"/>
      <c r="L9" s="345"/>
    </row>
    <row r="10" spans="2:12" s="143" customFormat="1" ht="15.75">
      <c r="C10" s="144" t="s">
        <v>262</v>
      </c>
      <c r="D10" s="144">
        <f>RAT1000PT!$I$134</f>
        <v>0</v>
      </c>
      <c r="E10" s="322"/>
      <c r="F10" s="322"/>
      <c r="G10" s="322"/>
      <c r="H10" s="342"/>
      <c r="I10" s="342"/>
      <c r="J10" s="69"/>
      <c r="L10" s="345"/>
    </row>
    <row r="11" spans="2:12" s="143" customFormat="1" ht="15.75">
      <c r="C11" s="144" t="s">
        <v>263</v>
      </c>
      <c r="D11" s="144">
        <f>RAT1000PT!$I$133</f>
        <v>0</v>
      </c>
      <c r="E11" s="322"/>
      <c r="F11" s="322"/>
      <c r="G11" s="322"/>
      <c r="H11" s="342"/>
      <c r="I11" s="342"/>
      <c r="J11" s="69"/>
      <c r="L11" s="345"/>
    </row>
    <row r="12" spans="2:12" s="143" customFormat="1" ht="15.75">
      <c r="C12" s="144" t="s">
        <v>261</v>
      </c>
      <c r="D12" s="144">
        <f>RAT1000PT!$I$132</f>
        <v>0</v>
      </c>
      <c r="E12" s="322"/>
      <c r="F12" s="322"/>
      <c r="G12" s="322"/>
      <c r="H12" s="342"/>
      <c r="I12" s="342"/>
      <c r="J12" s="69"/>
      <c r="L12" s="345"/>
    </row>
    <row r="13" spans="2:12" s="143" customFormat="1" ht="15.75">
      <c r="C13" s="144" t="s">
        <v>267</v>
      </c>
      <c r="D13" s="144">
        <f>RAT1000PT!$I$130</f>
        <v>0</v>
      </c>
      <c r="E13" s="322"/>
      <c r="F13" s="322"/>
      <c r="G13" s="322"/>
      <c r="H13" s="342"/>
      <c r="I13" s="342"/>
      <c r="J13" s="69"/>
      <c r="L13" s="345"/>
    </row>
    <row r="14" spans="2:12" s="143" customFormat="1" ht="15.75">
      <c r="C14" s="144" t="s">
        <v>1178</v>
      </c>
      <c r="D14" s="144">
        <f>RAT1000PT!$I$131</f>
        <v>0</v>
      </c>
      <c r="E14" s="322"/>
      <c r="F14" s="322"/>
      <c r="G14" s="322"/>
      <c r="H14" s="342"/>
      <c r="I14" s="342"/>
      <c r="J14" s="69"/>
      <c r="L14" s="345"/>
    </row>
    <row r="15" spans="2:12" s="143" customFormat="1" ht="13.5">
      <c r="C15" s="147"/>
      <c r="E15" s="1010"/>
      <c r="F15" s="1010"/>
      <c r="G15" s="1010"/>
      <c r="H15" s="1010"/>
      <c r="I15" s="1010"/>
      <c r="J15" s="38"/>
      <c r="L15" s="1011"/>
    </row>
    <row r="16" spans="2:12" s="1004" customFormat="1" ht="5.25">
      <c r="C16" s="1005"/>
      <c r="E16" s="1006"/>
      <c r="F16" s="1006"/>
      <c r="G16" s="1006"/>
      <c r="H16" s="1006"/>
      <c r="I16" s="1006"/>
      <c r="J16" s="1007"/>
      <c r="L16" s="1008"/>
    </row>
    <row r="17" spans="2:12" s="1004" customFormat="1" ht="5.25">
      <c r="C17" s="1005"/>
      <c r="J17" s="1009"/>
      <c r="L17" s="1008"/>
    </row>
    <row r="18" spans="2:12" s="1004" customFormat="1" ht="5.25">
      <c r="C18" s="1005"/>
      <c r="J18" s="1009"/>
      <c r="L18" s="1008"/>
    </row>
    <row r="19" spans="2:12" s="1004" customFormat="1" ht="5.25">
      <c r="C19" s="1005"/>
      <c r="J19" s="1009"/>
      <c r="L19" s="1008"/>
    </row>
    <row r="20" spans="2:12" s="1004" customFormat="1" ht="5.25">
      <c r="C20" s="1005"/>
      <c r="J20" s="1009"/>
      <c r="L20" s="1008"/>
    </row>
    <row r="21" spans="2:12" s="1004" customFormat="1" ht="5.25">
      <c r="C21" s="1005"/>
      <c r="J21" s="1009"/>
      <c r="L21" s="1008"/>
    </row>
    <row r="22" spans="2:12" s="1004" customFormat="1" ht="5.25">
      <c r="C22" s="1005"/>
      <c r="J22" s="1009"/>
      <c r="L22" s="1008"/>
    </row>
    <row r="23" spans="2:12" s="1004" customFormat="1" ht="5.25">
      <c r="C23" s="1005"/>
      <c r="J23" s="1009"/>
      <c r="L23" s="1008"/>
    </row>
    <row r="24" spans="2:12" s="1004" customFormat="1" ht="5.25">
      <c r="C24" s="1005"/>
      <c r="J24" s="1009"/>
      <c r="L24" s="1008"/>
    </row>
    <row r="25" spans="2:12" s="1004" customFormat="1" ht="5.25">
      <c r="C25" s="1005"/>
      <c r="J25" s="1009"/>
      <c r="L25" s="1008"/>
    </row>
    <row r="26" spans="2:12" s="1004" customFormat="1" ht="5.25">
      <c r="C26" s="1005"/>
      <c r="J26" s="1009"/>
      <c r="L26" s="1008"/>
    </row>
    <row r="27" spans="2:12" s="69" customFormat="1" ht="15.75">
      <c r="C27" s="1002" t="str">
        <f>C4</f>
        <v>Ingresos Estimados = Cargos Bases P-1 por Ventas Estimadas P</v>
      </c>
      <c r="D27" s="1002"/>
      <c r="E27" s="1002"/>
      <c r="F27" s="1002"/>
      <c r="G27" s="1002"/>
      <c r="H27" s="1002"/>
      <c r="I27" s="1002"/>
      <c r="J27" s="1003"/>
      <c r="L27" s="345" t="s">
        <v>678</v>
      </c>
    </row>
    <row r="28" spans="2:12" s="37" customFormat="1" ht="15.75">
      <c r="C28" s="346" t="s">
        <v>310</v>
      </c>
      <c r="D28" s="347">
        <f>F801ENE!D4</f>
        <v>46204</v>
      </c>
      <c r="E28" s="347">
        <f>F801ENE!E4</f>
        <v>46235</v>
      </c>
      <c r="F28" s="347">
        <f>F801ENE!F4</f>
        <v>46266</v>
      </c>
      <c r="G28" s="347">
        <f>F801ENE!G4</f>
        <v>46296</v>
      </c>
      <c r="H28" s="347">
        <f>F801ENE!H4</f>
        <v>46327</v>
      </c>
      <c r="I28" s="347">
        <f>F801ENE!I4</f>
        <v>46357</v>
      </c>
      <c r="J28" s="348" t="s">
        <v>111</v>
      </c>
      <c r="K28" s="69"/>
      <c r="L28" s="349"/>
    </row>
    <row r="29" spans="2:12" s="37" customFormat="1" ht="15.75" customHeight="1">
      <c r="B29" s="48"/>
      <c r="C29" s="153" t="s">
        <v>446</v>
      </c>
      <c r="D29" s="154">
        <f t="shared" ref="D29:I29" si="0">SUM(D30:D31)</f>
        <v>0</v>
      </c>
      <c r="E29" s="154">
        <f t="shared" si="0"/>
        <v>0</v>
      </c>
      <c r="F29" s="154">
        <f t="shared" si="0"/>
        <v>0</v>
      </c>
      <c r="G29" s="154">
        <f t="shared" si="0"/>
        <v>0</v>
      </c>
      <c r="H29" s="154">
        <f t="shared" si="0"/>
        <v>0</v>
      </c>
      <c r="I29" s="154">
        <f t="shared" si="0"/>
        <v>0</v>
      </c>
      <c r="J29" s="154">
        <f>SUM(D29:I29)</f>
        <v>0</v>
      </c>
      <c r="K29" s="69"/>
      <c r="L29" s="350"/>
    </row>
    <row r="30" spans="2:12" s="37" customFormat="1" ht="15.75" customHeight="1">
      <c r="B30" s="48" t="s">
        <v>279</v>
      </c>
      <c r="C30" s="155" t="s">
        <v>279</v>
      </c>
      <c r="D30" s="156">
        <f>$D$7*F801ENE!D6</f>
        <v>0</v>
      </c>
      <c r="E30" s="156">
        <f>$D$7*F801ENE!E6</f>
        <v>0</v>
      </c>
      <c r="F30" s="156">
        <f>$D$7*F801ENE!F6</f>
        <v>0</v>
      </c>
      <c r="G30" s="156">
        <f>$D$7*F801ENE!G6</f>
        <v>0</v>
      </c>
      <c r="H30" s="156">
        <f>$D$7*F801ENE!H6</f>
        <v>0</v>
      </c>
      <c r="I30" s="156">
        <f>$D$7*F801ENE!I6</f>
        <v>0</v>
      </c>
      <c r="J30" s="156">
        <f>SUM(D30:I30)</f>
        <v>0</v>
      </c>
      <c r="K30" s="69"/>
      <c r="L30" s="341"/>
    </row>
    <row r="31" spans="2:12" s="37" customFormat="1" ht="15.75" customHeight="1">
      <c r="B31" s="48" t="s">
        <v>278</v>
      </c>
      <c r="C31" s="155" t="s">
        <v>278</v>
      </c>
      <c r="D31" s="156">
        <f>$D$8*F801ENE!D7</f>
        <v>0</v>
      </c>
      <c r="E31" s="156">
        <f>$D$8*F801ENE!E7</f>
        <v>0</v>
      </c>
      <c r="F31" s="156">
        <f>$D$8*F801ENE!F7</f>
        <v>0</v>
      </c>
      <c r="G31" s="156">
        <f>$D$8*F801ENE!G7</f>
        <v>0</v>
      </c>
      <c r="H31" s="156">
        <f>$D$8*F801ENE!H7</f>
        <v>0</v>
      </c>
      <c r="I31" s="156">
        <f>$D$8*F801ENE!I7</f>
        <v>0</v>
      </c>
      <c r="J31" s="156">
        <f>SUM(D31:I31)</f>
        <v>0</v>
      </c>
      <c r="K31" s="69"/>
      <c r="L31" s="351"/>
    </row>
    <row r="32" spans="2:12" s="37" customFormat="1" ht="15.75" customHeight="1">
      <c r="B32" s="48"/>
      <c r="C32" s="157"/>
      <c r="D32" s="156"/>
      <c r="E32" s="156"/>
      <c r="F32" s="156"/>
      <c r="G32" s="156"/>
      <c r="H32" s="156"/>
      <c r="I32" s="156"/>
      <c r="J32" s="156"/>
      <c r="K32" s="69"/>
      <c r="L32" s="350"/>
    </row>
    <row r="33" spans="2:12" s="37" customFormat="1" ht="15.75" customHeight="1">
      <c r="B33" s="48"/>
      <c r="C33" s="153" t="s">
        <v>630</v>
      </c>
      <c r="D33" s="154">
        <f>D34+D37</f>
        <v>0</v>
      </c>
      <c r="E33" s="154">
        <f t="shared" ref="E33:J33" si="1">E34+E37</f>
        <v>0</v>
      </c>
      <c r="F33" s="154">
        <f t="shared" si="1"/>
        <v>0</v>
      </c>
      <c r="G33" s="154">
        <f t="shared" si="1"/>
        <v>0</v>
      </c>
      <c r="H33" s="154">
        <f t="shared" si="1"/>
        <v>0</v>
      </c>
      <c r="I33" s="154">
        <f t="shared" si="1"/>
        <v>0</v>
      </c>
      <c r="J33" s="154">
        <f t="shared" si="1"/>
        <v>0</v>
      </c>
      <c r="K33" s="69"/>
      <c r="L33" s="341"/>
    </row>
    <row r="34" spans="2:12" s="37" customFormat="1" ht="15.75" customHeight="1">
      <c r="B34" s="48" t="s">
        <v>277</v>
      </c>
      <c r="C34" s="155" t="s">
        <v>277</v>
      </c>
      <c r="D34" s="154">
        <f>SUM(D35:D36)</f>
        <v>0</v>
      </c>
      <c r="E34" s="154">
        <f t="shared" ref="E34:J34" si="2">SUM(E35:E36)</f>
        <v>0</v>
      </c>
      <c r="F34" s="154">
        <f t="shared" si="2"/>
        <v>0</v>
      </c>
      <c r="G34" s="154">
        <f t="shared" si="2"/>
        <v>0</v>
      </c>
      <c r="H34" s="154">
        <f t="shared" si="2"/>
        <v>0</v>
      </c>
      <c r="I34" s="154">
        <f t="shared" si="2"/>
        <v>0</v>
      </c>
      <c r="J34" s="154">
        <f t="shared" si="2"/>
        <v>0</v>
      </c>
      <c r="K34" s="69"/>
      <c r="L34" s="341"/>
    </row>
    <row r="35" spans="2:12" s="37" customFormat="1" ht="15.75" customHeight="1">
      <c r="B35" s="48"/>
      <c r="C35" s="160" t="s">
        <v>304</v>
      </c>
      <c r="D35" s="156">
        <f>$D$9*F801ENE!D11*$L35</f>
        <v>0</v>
      </c>
      <c r="E35" s="156">
        <f>$D$9*F801ENE!E11*$L35</f>
        <v>0</v>
      </c>
      <c r="F35" s="156">
        <f>$D$9*F801ENE!F11*$L35</f>
        <v>0</v>
      </c>
      <c r="G35" s="156">
        <f>$D$9*F801ENE!G11*$L35</f>
        <v>0</v>
      </c>
      <c r="H35" s="156">
        <f>$D$9*F801ENE!H11*$L35</f>
        <v>0</v>
      </c>
      <c r="I35" s="156">
        <f>$D$9*F801ENE!I11*$L35</f>
        <v>0</v>
      </c>
      <c r="J35" s="156">
        <f t="shared" ref="J35:J36" si="3">SUM(D35:I35)</f>
        <v>0</v>
      </c>
      <c r="K35" s="69"/>
      <c r="L35" s="319">
        <v>1</v>
      </c>
    </row>
    <row r="36" spans="2:12" s="37" customFormat="1" ht="15.75" customHeight="1">
      <c r="B36" s="48"/>
      <c r="C36" s="160" t="s">
        <v>305</v>
      </c>
      <c r="D36" s="156">
        <f>$D$9*F801ENE!D12*$L36</f>
        <v>0</v>
      </c>
      <c r="E36" s="156">
        <f>$D$9*F801ENE!E12*$L36</f>
        <v>0</v>
      </c>
      <c r="F36" s="156">
        <f>$D$9*F801ENE!F12*$L36</f>
        <v>0</v>
      </c>
      <c r="G36" s="156">
        <f>$D$9*F801ENE!G12*$L36</f>
        <v>0</v>
      </c>
      <c r="H36" s="156">
        <f>$D$9*F801ENE!H12*$L36</f>
        <v>0</v>
      </c>
      <c r="I36" s="156">
        <f>$D$9*F801ENE!I12*$L36</f>
        <v>0</v>
      </c>
      <c r="J36" s="156">
        <f t="shared" si="3"/>
        <v>0</v>
      </c>
      <c r="K36" s="69"/>
      <c r="L36" s="319">
        <v>0.95</v>
      </c>
    </row>
    <row r="37" spans="2:12" s="37" customFormat="1" ht="15.75" customHeight="1">
      <c r="B37" s="48" t="s">
        <v>276</v>
      </c>
      <c r="C37" s="158" t="s">
        <v>276</v>
      </c>
      <c r="D37" s="159">
        <f t="shared" ref="D37:I37" si="4">SUM(D38:D41)</f>
        <v>0</v>
      </c>
      <c r="E37" s="159">
        <f t="shared" si="4"/>
        <v>0</v>
      </c>
      <c r="F37" s="159">
        <f t="shared" si="4"/>
        <v>0</v>
      </c>
      <c r="G37" s="159">
        <f t="shared" si="4"/>
        <v>0</v>
      </c>
      <c r="H37" s="159">
        <f t="shared" si="4"/>
        <v>0</v>
      </c>
      <c r="I37" s="159">
        <f t="shared" si="4"/>
        <v>0</v>
      </c>
      <c r="J37" s="159">
        <f t="shared" ref="J37:J41" si="5">SUM(D37:I37)</f>
        <v>0</v>
      </c>
      <c r="K37" s="69"/>
      <c r="L37" s="351"/>
    </row>
    <row r="38" spans="2:12" s="37" customFormat="1" ht="15.75" customHeight="1">
      <c r="B38" s="48"/>
      <c r="C38" s="160" t="s">
        <v>304</v>
      </c>
      <c r="D38" s="156">
        <f>$D$10*F801ENE!D15*$L38</f>
        <v>0</v>
      </c>
      <c r="E38" s="156">
        <f>$D$10*F801ENE!E15*$L38</f>
        <v>0</v>
      </c>
      <c r="F38" s="156">
        <f>$D$10*F801ENE!F15*$L38</f>
        <v>0</v>
      </c>
      <c r="G38" s="156">
        <f>$D$10*F801ENE!G15*$L38</f>
        <v>0</v>
      </c>
      <c r="H38" s="156">
        <f>$D$10*F801ENE!H15*$L38</f>
        <v>0</v>
      </c>
      <c r="I38" s="156">
        <f>$D$10*F801ENE!I15*$L38</f>
        <v>0</v>
      </c>
      <c r="J38" s="156">
        <f t="shared" si="5"/>
        <v>0</v>
      </c>
      <c r="K38" s="69"/>
      <c r="L38" s="319">
        <v>1</v>
      </c>
    </row>
    <row r="39" spans="2:12" s="37" customFormat="1" ht="15.75" customHeight="1">
      <c r="B39" s="48"/>
      <c r="C39" s="161" t="s">
        <v>306</v>
      </c>
      <c r="D39" s="156">
        <f>$D$10*F801ENE!D16*$L39</f>
        <v>0</v>
      </c>
      <c r="E39" s="156">
        <f>$D$10*F801ENE!E16*$L39</f>
        <v>0</v>
      </c>
      <c r="F39" s="156">
        <f>$D$10*F801ENE!F16*$L39</f>
        <v>0</v>
      </c>
      <c r="G39" s="156">
        <f>$D$10*F801ENE!G16*$L39</f>
        <v>0</v>
      </c>
      <c r="H39" s="156">
        <f>$D$10*F801ENE!H16*$L39</f>
        <v>0</v>
      </c>
      <c r="I39" s="156">
        <f>$D$10*F801ENE!I16*$L39</f>
        <v>0</v>
      </c>
      <c r="J39" s="156">
        <f t="shared" si="5"/>
        <v>0</v>
      </c>
      <c r="K39" s="69"/>
      <c r="L39" s="319">
        <v>1</v>
      </c>
    </row>
    <row r="40" spans="2:12" s="37" customFormat="1" ht="15.75" customHeight="1">
      <c r="B40" s="48"/>
      <c r="C40" s="160" t="s">
        <v>305</v>
      </c>
      <c r="D40" s="156">
        <f>$D$10*F801ENE!D17*$L40</f>
        <v>0</v>
      </c>
      <c r="E40" s="156">
        <f>$D$10*F801ENE!E17*$L40</f>
        <v>0</v>
      </c>
      <c r="F40" s="156">
        <f>$D$10*F801ENE!F17*$L40</f>
        <v>0</v>
      </c>
      <c r="G40" s="156">
        <f>$D$10*F801ENE!G17*$L40</f>
        <v>0</v>
      </c>
      <c r="H40" s="156">
        <f>$D$10*F801ENE!H17*$L40</f>
        <v>0</v>
      </c>
      <c r="I40" s="156">
        <f>$D$10*F801ENE!I17*$L40</f>
        <v>0</v>
      </c>
      <c r="J40" s="156">
        <f t="shared" si="5"/>
        <v>0</v>
      </c>
      <c r="K40" s="69"/>
      <c r="L40" s="319">
        <v>0.95</v>
      </c>
    </row>
    <row r="41" spans="2:12" s="37" customFormat="1" ht="15.75" customHeight="1">
      <c r="B41" s="48"/>
      <c r="C41" s="160" t="s">
        <v>307</v>
      </c>
      <c r="D41" s="156">
        <f>$D$10*F801ENE!D18*$L41</f>
        <v>0</v>
      </c>
      <c r="E41" s="156">
        <f>$D$10*F801ENE!E18*$L41</f>
        <v>0</v>
      </c>
      <c r="F41" s="156">
        <f>$D$10*F801ENE!F18*$L41</f>
        <v>0</v>
      </c>
      <c r="G41" s="156">
        <f>$D$10*F801ENE!G18*$L41</f>
        <v>0</v>
      </c>
      <c r="H41" s="156">
        <f>$D$10*F801ENE!H18*$L41</f>
        <v>0</v>
      </c>
      <c r="I41" s="156">
        <f>$D$10*F801ENE!I18*$L41</f>
        <v>0</v>
      </c>
      <c r="J41" s="156">
        <f t="shared" si="5"/>
        <v>0</v>
      </c>
      <c r="K41" s="69"/>
      <c r="L41" s="319">
        <v>0.5</v>
      </c>
    </row>
    <row r="42" spans="2:12" s="37" customFormat="1" ht="15.75" customHeight="1">
      <c r="B42" s="48"/>
      <c r="C42" s="157"/>
      <c r="D42" s="157"/>
      <c r="E42" s="157"/>
      <c r="F42" s="157"/>
      <c r="G42" s="157"/>
      <c r="H42" s="157"/>
      <c r="I42" s="157"/>
      <c r="J42" s="157"/>
      <c r="K42" s="69"/>
      <c r="L42" s="341"/>
    </row>
    <row r="43" spans="2:12" s="37" customFormat="1" ht="15.75" customHeight="1">
      <c r="B43" s="48"/>
      <c r="C43" s="153" t="s">
        <v>443</v>
      </c>
      <c r="D43" s="154">
        <f t="shared" ref="D43:I43" si="6">D44+D48+D55+D60+D65+D78+D84+D91+D99+D105+D112+D71</f>
        <v>0</v>
      </c>
      <c r="E43" s="154">
        <f t="shared" si="6"/>
        <v>0</v>
      </c>
      <c r="F43" s="154">
        <f t="shared" si="6"/>
        <v>0</v>
      </c>
      <c r="G43" s="154">
        <f t="shared" si="6"/>
        <v>0</v>
      </c>
      <c r="H43" s="154">
        <f t="shared" si="6"/>
        <v>0</v>
      </c>
      <c r="I43" s="154">
        <f t="shared" si="6"/>
        <v>0</v>
      </c>
      <c r="J43" s="154">
        <f>J44+J48+J55+J60+J65+J78+J84+J91+J99+J105+J112</f>
        <v>0</v>
      </c>
      <c r="K43" s="69"/>
      <c r="L43" s="341"/>
    </row>
    <row r="44" spans="2:12" s="37" customFormat="1" ht="15.75" customHeight="1">
      <c r="B44" s="48" t="s">
        <v>275</v>
      </c>
      <c r="C44" s="155" t="s">
        <v>275</v>
      </c>
      <c r="D44" s="154">
        <f>SUM(D45:D47)</f>
        <v>0</v>
      </c>
      <c r="E44" s="154">
        <f t="shared" ref="E44:J44" si="7">SUM(E45:E47)</f>
        <v>0</v>
      </c>
      <c r="F44" s="154">
        <f t="shared" si="7"/>
        <v>0</v>
      </c>
      <c r="G44" s="154">
        <f t="shared" si="7"/>
        <v>0</v>
      </c>
      <c r="H44" s="154">
        <f t="shared" si="7"/>
        <v>0</v>
      </c>
      <c r="I44" s="154">
        <f t="shared" si="7"/>
        <v>0</v>
      </c>
      <c r="J44" s="154">
        <f t="shared" si="7"/>
        <v>0</v>
      </c>
      <c r="K44" s="69"/>
      <c r="L44" s="341"/>
    </row>
    <row r="45" spans="2:12" s="37" customFormat="1" ht="15.75" customHeight="1">
      <c r="B45" s="48"/>
      <c r="C45" s="160" t="s">
        <v>304</v>
      </c>
      <c r="D45" s="156">
        <f>$D$11*F801ENE!D22*$L45</f>
        <v>0</v>
      </c>
      <c r="E45" s="156">
        <f>$D$11*F801ENE!E22*$L45</f>
        <v>0</v>
      </c>
      <c r="F45" s="156">
        <f>$D$11*F801ENE!F22*$L45</f>
        <v>0</v>
      </c>
      <c r="G45" s="156">
        <f>$D$11*F801ENE!G22*$L45</f>
        <v>0</v>
      </c>
      <c r="H45" s="156">
        <f>$D$11*F801ENE!H22*$L45</f>
        <v>0</v>
      </c>
      <c r="I45" s="156">
        <f>$D$11*F801ENE!I22*$L45</f>
        <v>0</v>
      </c>
      <c r="J45" s="156">
        <f t="shared" ref="J45" si="8">SUM(D45:I45)</f>
        <v>0</v>
      </c>
      <c r="K45" s="69"/>
      <c r="L45" s="319">
        <v>1</v>
      </c>
    </row>
    <row r="46" spans="2:12" s="37" customFormat="1" ht="15.75" customHeight="1">
      <c r="B46" s="48"/>
      <c r="C46" s="161" t="s">
        <v>306</v>
      </c>
      <c r="D46" s="156">
        <f>$D$11*F801ENE!D23*$L46</f>
        <v>0</v>
      </c>
      <c r="E46" s="156">
        <f>$D$11*F801ENE!E23*$L46</f>
        <v>0</v>
      </c>
      <c r="F46" s="156">
        <f>$D$11*F801ENE!F23*$L46</f>
        <v>0</v>
      </c>
      <c r="G46" s="156">
        <f>$D$11*F801ENE!G23*$L46</f>
        <v>0</v>
      </c>
      <c r="H46" s="156">
        <f>$D$11*F801ENE!H23*$L46</f>
        <v>0</v>
      </c>
      <c r="I46" s="156">
        <f>$D$11*F801ENE!I23*$L46</f>
        <v>0</v>
      </c>
      <c r="J46" s="156">
        <f t="shared" ref="J46:J47" si="9">SUM(D46:I46)</f>
        <v>0</v>
      </c>
      <c r="K46" s="69"/>
      <c r="L46" s="319">
        <v>0.75</v>
      </c>
    </row>
    <row r="47" spans="2:12" s="37" customFormat="1" ht="15.75" customHeight="1">
      <c r="B47" s="48"/>
      <c r="C47" s="160" t="s">
        <v>305</v>
      </c>
      <c r="D47" s="156">
        <f>$D$11*F801ENE!D24*$L47</f>
        <v>0</v>
      </c>
      <c r="E47" s="156">
        <f>$D$11*F801ENE!E24*$L47</f>
        <v>0</v>
      </c>
      <c r="F47" s="156">
        <f>$D$11*F801ENE!F24*$L47</f>
        <v>0</v>
      </c>
      <c r="G47" s="156">
        <f>$D$11*F801ENE!G24*$L47</f>
        <v>0</v>
      </c>
      <c r="H47" s="156">
        <f>$D$11*F801ENE!H24*$L47</f>
        <v>0</v>
      </c>
      <c r="I47" s="156">
        <f>$D$11*F801ENE!I24*$L47</f>
        <v>0</v>
      </c>
      <c r="J47" s="156">
        <f t="shared" si="9"/>
        <v>0</v>
      </c>
      <c r="K47" s="69"/>
      <c r="L47" s="319">
        <v>0.95</v>
      </c>
    </row>
    <row r="48" spans="2:12" s="37" customFormat="1" ht="15.75" customHeight="1">
      <c r="B48" s="48" t="s">
        <v>274</v>
      </c>
      <c r="C48" s="158" t="s">
        <v>627</v>
      </c>
      <c r="D48" s="159">
        <f t="shared" ref="D48:I48" si="10">SUM(D49:D54)</f>
        <v>0</v>
      </c>
      <c r="E48" s="159">
        <f t="shared" si="10"/>
        <v>0</v>
      </c>
      <c r="F48" s="159">
        <f t="shared" si="10"/>
        <v>0</v>
      </c>
      <c r="G48" s="159">
        <f t="shared" si="10"/>
        <v>0</v>
      </c>
      <c r="H48" s="159">
        <f t="shared" si="10"/>
        <v>0</v>
      </c>
      <c r="I48" s="159">
        <f t="shared" si="10"/>
        <v>0</v>
      </c>
      <c r="J48" s="159">
        <f t="shared" ref="J48:J69" si="11">SUM(D48:I48)</f>
        <v>0</v>
      </c>
      <c r="K48" s="69"/>
      <c r="L48" s="341"/>
    </row>
    <row r="49" spans="2:12" s="37" customFormat="1" ht="15.75" customHeight="1">
      <c r="B49" s="48"/>
      <c r="C49" s="160" t="s">
        <v>304</v>
      </c>
      <c r="D49" s="156">
        <f>$D$12*F801ENE!D28*$L49</f>
        <v>0</v>
      </c>
      <c r="E49" s="156">
        <f>$D$12*F801ENE!E28*$L49</f>
        <v>0</v>
      </c>
      <c r="F49" s="156">
        <f>$D$12*F801ENE!F28*$L49</f>
        <v>0</v>
      </c>
      <c r="G49" s="156">
        <f>$D$12*F801ENE!G28*$L49</f>
        <v>0</v>
      </c>
      <c r="H49" s="156">
        <f>$D$12*F801ENE!H28*$L49</f>
        <v>0</v>
      </c>
      <c r="I49" s="156">
        <f>$D$12*F801ENE!I28*$L49</f>
        <v>0</v>
      </c>
      <c r="J49" s="156">
        <f t="shared" si="11"/>
        <v>0</v>
      </c>
      <c r="K49" s="69"/>
      <c r="L49" s="319">
        <v>1</v>
      </c>
    </row>
    <row r="50" spans="2:12" s="37" customFormat="1" ht="15.75" customHeight="1">
      <c r="B50" s="48"/>
      <c r="C50" s="162" t="s">
        <v>628</v>
      </c>
      <c r="D50" s="156">
        <f>$D$12*F801ENE!D29*$L50</f>
        <v>0</v>
      </c>
      <c r="E50" s="156">
        <f>$D$12*F801ENE!E29*$L50</f>
        <v>0</v>
      </c>
      <c r="F50" s="156">
        <f>$D$12*F801ENE!F29*$L50</f>
        <v>0</v>
      </c>
      <c r="G50" s="156">
        <f>$D$12*F801ENE!G29*$L50</f>
        <v>0</v>
      </c>
      <c r="H50" s="156">
        <f>$D$12*F801ENE!H29*$L50</f>
        <v>0</v>
      </c>
      <c r="I50" s="156">
        <f>$D$12*F801ENE!I29*$L50</f>
        <v>0</v>
      </c>
      <c r="J50" s="156">
        <f t="shared" si="11"/>
        <v>0</v>
      </c>
      <c r="K50" s="69"/>
      <c r="L50" s="319">
        <v>0.75</v>
      </c>
    </row>
    <row r="51" spans="2:12" s="37" customFormat="1" ht="15.75" customHeight="1">
      <c r="B51" s="48"/>
      <c r="C51" s="161" t="s">
        <v>629</v>
      </c>
      <c r="D51" s="156">
        <f>$D$12*F801ENE!D30*$L51</f>
        <v>0</v>
      </c>
      <c r="E51" s="156">
        <f>$D$12*F801ENE!E30*$L51</f>
        <v>0</v>
      </c>
      <c r="F51" s="156">
        <f>$D$12*F801ENE!F30*$L51</f>
        <v>0</v>
      </c>
      <c r="G51" s="156">
        <f>$D$12*F801ENE!G30*$L51</f>
        <v>0</v>
      </c>
      <c r="H51" s="156">
        <f>$D$12*F801ENE!H30*$L51</f>
        <v>0</v>
      </c>
      <c r="I51" s="156">
        <f>$D$12*F801ENE!I30*$L51</f>
        <v>0</v>
      </c>
      <c r="J51" s="156">
        <f t="shared" si="11"/>
        <v>0</v>
      </c>
      <c r="K51" s="69"/>
      <c r="L51" s="319">
        <v>1</v>
      </c>
    </row>
    <row r="52" spans="2:12" s="37" customFormat="1" ht="15.75" customHeight="1">
      <c r="B52" s="48"/>
      <c r="C52" s="160" t="s">
        <v>305</v>
      </c>
      <c r="D52" s="156">
        <f>$D$12*F801ENE!D31*$L52</f>
        <v>0</v>
      </c>
      <c r="E52" s="156">
        <f>$D$12*F801ENE!E31*$L52</f>
        <v>0</v>
      </c>
      <c r="F52" s="156">
        <f>$D$12*F801ENE!F31*$L52</f>
        <v>0</v>
      </c>
      <c r="G52" s="156">
        <f>$D$12*F801ENE!G31*$L52</f>
        <v>0</v>
      </c>
      <c r="H52" s="156">
        <f>$D$12*F801ENE!H31*$L52</f>
        <v>0</v>
      </c>
      <c r="I52" s="156">
        <f>$D$12*F801ENE!I31*$L52</f>
        <v>0</v>
      </c>
      <c r="J52" s="156">
        <f t="shared" si="11"/>
        <v>0</v>
      </c>
      <c r="K52" s="69"/>
      <c r="L52" s="319">
        <v>0.95</v>
      </c>
    </row>
    <row r="53" spans="2:12" s="37" customFormat="1" ht="15.75" customHeight="1">
      <c r="B53" s="48"/>
      <c r="C53" s="160" t="s">
        <v>307</v>
      </c>
      <c r="D53" s="156">
        <f>$D$12*F801ENE!D32*$L53</f>
        <v>0</v>
      </c>
      <c r="E53" s="156">
        <f>$D$12*F801ENE!E32*$L53</f>
        <v>0</v>
      </c>
      <c r="F53" s="156">
        <f>$D$12*F801ENE!F32*$L53</f>
        <v>0</v>
      </c>
      <c r="G53" s="156">
        <f>$D$12*F801ENE!G32*$L53</f>
        <v>0</v>
      </c>
      <c r="H53" s="156">
        <f>$D$12*F801ENE!H32*$L53</f>
        <v>0</v>
      </c>
      <c r="I53" s="156">
        <f>$D$12*F801ENE!I32*$L53</f>
        <v>0</v>
      </c>
      <c r="J53" s="156">
        <f t="shared" si="11"/>
        <v>0</v>
      </c>
      <c r="K53" s="69"/>
      <c r="L53" s="319">
        <v>0.5</v>
      </c>
    </row>
    <row r="54" spans="2:12" s="37" customFormat="1" ht="15.75" customHeight="1">
      <c r="B54" s="48"/>
      <c r="C54" s="160" t="s">
        <v>624</v>
      </c>
      <c r="D54" s="156">
        <f>$D$12*F801ENE!D33*$L54</f>
        <v>0</v>
      </c>
      <c r="E54" s="156">
        <f>$D$12*F801ENE!E33*$L54</f>
        <v>0</v>
      </c>
      <c r="F54" s="156">
        <f>$D$12*F801ENE!F33*$L54</f>
        <v>0</v>
      </c>
      <c r="G54" s="156">
        <f>$D$12*F801ENE!G33*$L54</f>
        <v>0</v>
      </c>
      <c r="H54" s="156">
        <f>$D$12*F801ENE!H33*$L54</f>
        <v>0</v>
      </c>
      <c r="I54" s="156">
        <f>$D$12*F801ENE!I33*$L54</f>
        <v>0</v>
      </c>
      <c r="J54" s="156">
        <f t="shared" si="11"/>
        <v>0</v>
      </c>
      <c r="K54" s="69"/>
      <c r="L54" s="319">
        <v>0</v>
      </c>
    </row>
    <row r="55" spans="2:12" s="37" customFormat="1" ht="15.75" customHeight="1">
      <c r="B55" s="48" t="s">
        <v>274</v>
      </c>
      <c r="C55" s="158" t="s">
        <v>631</v>
      </c>
      <c r="D55" s="159">
        <f t="shared" ref="D55:I55" si="12">SUM(D56:D59)</f>
        <v>0</v>
      </c>
      <c r="E55" s="159">
        <f t="shared" si="12"/>
        <v>0</v>
      </c>
      <c r="F55" s="159">
        <f t="shared" si="12"/>
        <v>0</v>
      </c>
      <c r="G55" s="159">
        <f t="shared" si="12"/>
        <v>0</v>
      </c>
      <c r="H55" s="159">
        <f t="shared" si="12"/>
        <v>0</v>
      </c>
      <c r="I55" s="159">
        <f t="shared" si="12"/>
        <v>0</v>
      </c>
      <c r="J55" s="159">
        <f t="shared" si="11"/>
        <v>0</v>
      </c>
      <c r="K55" s="69"/>
      <c r="L55" s="341"/>
    </row>
    <row r="56" spans="2:12" s="37" customFormat="1" ht="15.75" customHeight="1">
      <c r="B56" s="48"/>
      <c r="C56" s="160" t="s">
        <v>304</v>
      </c>
      <c r="D56" s="156">
        <f>$D$12*F801ENE!D35*$L56</f>
        <v>0</v>
      </c>
      <c r="E56" s="156">
        <f>$D$12*F801ENE!E35*$L56</f>
        <v>0</v>
      </c>
      <c r="F56" s="156">
        <f>$D$12*F801ENE!F35*$L56</f>
        <v>0</v>
      </c>
      <c r="G56" s="156">
        <f>$D$12*F801ENE!G35*$L56</f>
        <v>0</v>
      </c>
      <c r="H56" s="156">
        <f>$D$12*F801ENE!H35*$L56</f>
        <v>0</v>
      </c>
      <c r="I56" s="156">
        <f>$D$12*F801ENE!I35*$L56</f>
        <v>0</v>
      </c>
      <c r="J56" s="156">
        <f t="shared" si="11"/>
        <v>0</v>
      </c>
      <c r="K56" s="69"/>
      <c r="L56" s="319">
        <v>1</v>
      </c>
    </row>
    <row r="57" spans="2:12" s="37" customFormat="1" ht="15.75" customHeight="1">
      <c r="B57" s="48"/>
      <c r="C57" s="161" t="s">
        <v>306</v>
      </c>
      <c r="D57" s="156">
        <f>$D$12*F801ENE!D36*$L57</f>
        <v>0</v>
      </c>
      <c r="E57" s="156">
        <f>$D$12*F801ENE!E36*$L57</f>
        <v>0</v>
      </c>
      <c r="F57" s="156">
        <f>$D$12*F801ENE!F36*$L57</f>
        <v>0</v>
      </c>
      <c r="G57" s="156">
        <f>$D$12*F801ENE!G36*$L57</f>
        <v>0</v>
      </c>
      <c r="H57" s="156">
        <f>$D$12*F801ENE!H36*$L57</f>
        <v>0</v>
      </c>
      <c r="I57" s="156">
        <f>$D$12*F801ENE!I36*$L57</f>
        <v>0</v>
      </c>
      <c r="J57" s="156">
        <f t="shared" si="11"/>
        <v>0</v>
      </c>
      <c r="K57" s="69"/>
      <c r="L57" s="319">
        <v>1</v>
      </c>
    </row>
    <row r="58" spans="2:12" s="37" customFormat="1" ht="15.75" customHeight="1">
      <c r="B58" s="48"/>
      <c r="C58" s="160" t="s">
        <v>305</v>
      </c>
      <c r="D58" s="156">
        <f>$D$12*F801ENE!D37*$L58</f>
        <v>0</v>
      </c>
      <c r="E58" s="156">
        <f>$D$12*F801ENE!E37*$L58</f>
        <v>0</v>
      </c>
      <c r="F58" s="156">
        <f>$D$12*F801ENE!F37*$L58</f>
        <v>0</v>
      </c>
      <c r="G58" s="156">
        <f>$D$12*F801ENE!G37*$L58</f>
        <v>0</v>
      </c>
      <c r="H58" s="156">
        <f>$D$12*F801ENE!H37*$L58</f>
        <v>0</v>
      </c>
      <c r="I58" s="156">
        <f>$D$12*F801ENE!I37*$L58</f>
        <v>0</v>
      </c>
      <c r="J58" s="156">
        <f t="shared" si="11"/>
        <v>0</v>
      </c>
      <c r="K58" s="69"/>
      <c r="L58" s="319">
        <v>0.95</v>
      </c>
    </row>
    <row r="59" spans="2:12" s="37" customFormat="1" ht="15.75" customHeight="1">
      <c r="B59" s="48"/>
      <c r="C59" s="160" t="s">
        <v>307</v>
      </c>
      <c r="D59" s="156">
        <f>$D$12*F801ENE!D38*$L59</f>
        <v>0</v>
      </c>
      <c r="E59" s="156">
        <f>$D$12*F801ENE!E38*$L59</f>
        <v>0</v>
      </c>
      <c r="F59" s="156">
        <f>$D$12*F801ENE!F38*$L59</f>
        <v>0</v>
      </c>
      <c r="G59" s="156">
        <f>$D$12*F801ENE!G38*$L59</f>
        <v>0</v>
      </c>
      <c r="H59" s="156">
        <f>$D$12*F801ENE!H38*$L59</f>
        <v>0</v>
      </c>
      <c r="I59" s="156">
        <f>$D$12*F801ENE!I38*$L59</f>
        <v>0</v>
      </c>
      <c r="J59" s="156">
        <f t="shared" si="11"/>
        <v>0</v>
      </c>
      <c r="K59" s="69"/>
      <c r="L59" s="319">
        <v>0.5</v>
      </c>
    </row>
    <row r="60" spans="2:12" s="37" customFormat="1" ht="15.75" customHeight="1">
      <c r="B60" s="48" t="s">
        <v>274</v>
      </c>
      <c r="C60" s="158" t="s">
        <v>632</v>
      </c>
      <c r="D60" s="159">
        <f t="shared" ref="D60:I60" si="13">SUM(D61:D64)</f>
        <v>0</v>
      </c>
      <c r="E60" s="159">
        <f t="shared" si="13"/>
        <v>0</v>
      </c>
      <c r="F60" s="159">
        <f t="shared" si="13"/>
        <v>0</v>
      </c>
      <c r="G60" s="159">
        <f t="shared" si="13"/>
        <v>0</v>
      </c>
      <c r="H60" s="159">
        <f t="shared" si="13"/>
        <v>0</v>
      </c>
      <c r="I60" s="159">
        <f t="shared" si="13"/>
        <v>0</v>
      </c>
      <c r="J60" s="159">
        <f t="shared" si="11"/>
        <v>0</v>
      </c>
      <c r="K60" s="69"/>
      <c r="L60" s="319"/>
    </row>
    <row r="61" spans="2:12" s="37" customFormat="1" ht="15.75" customHeight="1">
      <c r="B61" s="48"/>
      <c r="C61" s="160" t="s">
        <v>304</v>
      </c>
      <c r="D61" s="156">
        <f>$D$12*F801ENE!D40*$L61</f>
        <v>0</v>
      </c>
      <c r="E61" s="156">
        <f>$D$12*F801ENE!E40*$L61</f>
        <v>0</v>
      </c>
      <c r="F61" s="156">
        <f>$D$12*F801ENE!F40*$L61</f>
        <v>0</v>
      </c>
      <c r="G61" s="156">
        <f>$D$12*F801ENE!G40*$L61</f>
        <v>0</v>
      </c>
      <c r="H61" s="156">
        <f>$D$12*F801ENE!H40*$L61</f>
        <v>0</v>
      </c>
      <c r="I61" s="156">
        <f>$D$12*F801ENE!I40*$L61</f>
        <v>0</v>
      </c>
      <c r="J61" s="156">
        <f t="shared" si="11"/>
        <v>0</v>
      </c>
      <c r="K61" s="69"/>
      <c r="L61" s="319">
        <v>1</v>
      </c>
    </row>
    <row r="62" spans="2:12" s="37" customFormat="1" ht="15.75" customHeight="1">
      <c r="B62" s="48"/>
      <c r="C62" s="161" t="s">
        <v>306</v>
      </c>
      <c r="D62" s="156">
        <f>$D$12*F801ENE!D41*$L62</f>
        <v>0</v>
      </c>
      <c r="E62" s="156">
        <f>$D$12*F801ENE!E41*$L62</f>
        <v>0</v>
      </c>
      <c r="F62" s="156">
        <f>$D$12*F801ENE!F41*$L62</f>
        <v>0</v>
      </c>
      <c r="G62" s="156">
        <f>$D$12*F801ENE!G41*$L62</f>
        <v>0</v>
      </c>
      <c r="H62" s="156">
        <f>$D$12*F801ENE!H41*$L62</f>
        <v>0</v>
      </c>
      <c r="I62" s="156">
        <f>$D$12*F801ENE!I41*$L62</f>
        <v>0</v>
      </c>
      <c r="J62" s="156">
        <f t="shared" si="11"/>
        <v>0</v>
      </c>
      <c r="K62" s="69"/>
      <c r="L62" s="319">
        <v>1</v>
      </c>
    </row>
    <row r="63" spans="2:12" s="37" customFormat="1" ht="15.75" customHeight="1">
      <c r="B63" s="48"/>
      <c r="C63" s="160" t="s">
        <v>305</v>
      </c>
      <c r="D63" s="156">
        <f>$D$12*F801ENE!D42*$L63</f>
        <v>0</v>
      </c>
      <c r="E63" s="156">
        <f>$D$12*F801ENE!E42*$L63</f>
        <v>0</v>
      </c>
      <c r="F63" s="156">
        <f>$D$12*F801ENE!F42*$L63</f>
        <v>0</v>
      </c>
      <c r="G63" s="156">
        <f>$D$12*F801ENE!G42*$L63</f>
        <v>0</v>
      </c>
      <c r="H63" s="156">
        <f>$D$12*F801ENE!H42*$L63</f>
        <v>0</v>
      </c>
      <c r="I63" s="156">
        <f>$D$12*F801ENE!I42*$L63</f>
        <v>0</v>
      </c>
      <c r="J63" s="156">
        <f t="shared" si="11"/>
        <v>0</v>
      </c>
      <c r="K63" s="69"/>
      <c r="L63" s="319">
        <v>0.95</v>
      </c>
    </row>
    <row r="64" spans="2:12" s="37" customFormat="1" ht="15.75" customHeight="1">
      <c r="B64" s="48"/>
      <c r="C64" s="160" t="s">
        <v>307</v>
      </c>
      <c r="D64" s="156">
        <f>$D$12*F801ENE!D43*$L64</f>
        <v>0</v>
      </c>
      <c r="E64" s="156">
        <f>$D$12*F801ENE!E43*$L64</f>
        <v>0</v>
      </c>
      <c r="F64" s="156">
        <f>$D$12*F801ENE!F43*$L64</f>
        <v>0</v>
      </c>
      <c r="G64" s="156">
        <f>$D$12*F801ENE!G43*$L64</f>
        <v>0</v>
      </c>
      <c r="H64" s="156">
        <f>$D$12*F801ENE!H43*$L64</f>
        <v>0</v>
      </c>
      <c r="I64" s="156">
        <f>$D$12*F801ENE!I43*$L64</f>
        <v>0</v>
      </c>
      <c r="J64" s="156">
        <f t="shared" si="11"/>
        <v>0</v>
      </c>
      <c r="K64" s="69"/>
      <c r="L64" s="319">
        <v>0.5</v>
      </c>
    </row>
    <row r="65" spans="2:12" s="37" customFormat="1" ht="15.75" customHeight="1">
      <c r="B65" s="48" t="s">
        <v>274</v>
      </c>
      <c r="C65" s="158" t="s">
        <v>633</v>
      </c>
      <c r="D65" s="159">
        <f t="shared" ref="D65:I65" si="14">SUM(D66:D69)</f>
        <v>0</v>
      </c>
      <c r="E65" s="159">
        <f t="shared" si="14"/>
        <v>0</v>
      </c>
      <c r="F65" s="159">
        <f t="shared" si="14"/>
        <v>0</v>
      </c>
      <c r="G65" s="159">
        <f t="shared" si="14"/>
        <v>0</v>
      </c>
      <c r="H65" s="159">
        <f t="shared" si="14"/>
        <v>0</v>
      </c>
      <c r="I65" s="159">
        <f t="shared" si="14"/>
        <v>0</v>
      </c>
      <c r="J65" s="159">
        <f t="shared" si="11"/>
        <v>0</v>
      </c>
      <c r="K65" s="69"/>
      <c r="L65" s="341"/>
    </row>
    <row r="66" spans="2:12" s="37" customFormat="1" ht="15.75" customHeight="1">
      <c r="B66" s="48"/>
      <c r="C66" s="160" t="s">
        <v>304</v>
      </c>
      <c r="D66" s="156">
        <f>$D$12*F801ENE!D45*$L66</f>
        <v>0</v>
      </c>
      <c r="E66" s="156">
        <f>$D$12*F801ENE!E45*$L66</f>
        <v>0</v>
      </c>
      <c r="F66" s="156">
        <f>$D$12*F801ENE!F45*$L66</f>
        <v>0</v>
      </c>
      <c r="G66" s="156">
        <f>$D$12*F801ENE!G45*$L66</f>
        <v>0</v>
      </c>
      <c r="H66" s="156">
        <f>$D$12*F801ENE!H45*$L66</f>
        <v>0</v>
      </c>
      <c r="I66" s="156">
        <f>$D$12*F801ENE!I45*$L66</f>
        <v>0</v>
      </c>
      <c r="J66" s="156">
        <f t="shared" si="11"/>
        <v>0</v>
      </c>
      <c r="K66" s="69"/>
      <c r="L66" s="319">
        <v>1</v>
      </c>
    </row>
    <row r="67" spans="2:12" s="37" customFormat="1" ht="15.75" customHeight="1">
      <c r="B67" s="48"/>
      <c r="C67" s="161" t="s">
        <v>306</v>
      </c>
      <c r="D67" s="156">
        <f>$D$12*F801ENE!D46*$L67</f>
        <v>0</v>
      </c>
      <c r="E67" s="156">
        <f>$D$12*F801ENE!E46*$L67</f>
        <v>0</v>
      </c>
      <c r="F67" s="156">
        <f>$D$12*F801ENE!F46*$L67</f>
        <v>0</v>
      </c>
      <c r="G67" s="156">
        <f>$D$12*F801ENE!G46*$L67</f>
        <v>0</v>
      </c>
      <c r="H67" s="156">
        <f>$D$12*F801ENE!H46*$L67</f>
        <v>0</v>
      </c>
      <c r="I67" s="156">
        <f>$D$12*F801ENE!I46*$L67</f>
        <v>0</v>
      </c>
      <c r="J67" s="156">
        <f t="shared" si="11"/>
        <v>0</v>
      </c>
      <c r="K67" s="69"/>
      <c r="L67" s="319">
        <v>1</v>
      </c>
    </row>
    <row r="68" spans="2:12" s="37" customFormat="1" ht="15.75" customHeight="1">
      <c r="B68" s="48"/>
      <c r="C68" s="160" t="s">
        <v>305</v>
      </c>
      <c r="D68" s="156">
        <f>$D$12*F801ENE!D47*$L68</f>
        <v>0</v>
      </c>
      <c r="E68" s="156">
        <f>$D$12*F801ENE!E47*$L68</f>
        <v>0</v>
      </c>
      <c r="F68" s="156">
        <f>$D$12*F801ENE!F47*$L68</f>
        <v>0</v>
      </c>
      <c r="G68" s="156">
        <f>$D$12*F801ENE!G47*$L68</f>
        <v>0</v>
      </c>
      <c r="H68" s="156">
        <f>$D$12*F801ENE!H47*$L68</f>
        <v>0</v>
      </c>
      <c r="I68" s="156">
        <f>$D$12*F801ENE!I47*$L68</f>
        <v>0</v>
      </c>
      <c r="J68" s="156">
        <f t="shared" si="11"/>
        <v>0</v>
      </c>
      <c r="K68" s="69"/>
      <c r="L68" s="319">
        <v>0.95</v>
      </c>
    </row>
    <row r="69" spans="2:12" s="37" customFormat="1" ht="15.75" customHeight="1">
      <c r="B69" s="48"/>
      <c r="C69" s="160" t="s">
        <v>307</v>
      </c>
      <c r="D69" s="156">
        <f>$D$12*F801ENE!D48*$L69</f>
        <v>0</v>
      </c>
      <c r="E69" s="156">
        <f>$D$12*F801ENE!E48*$L69</f>
        <v>0</v>
      </c>
      <c r="F69" s="156">
        <f>$D$12*F801ENE!F48*$L69</f>
        <v>0</v>
      </c>
      <c r="G69" s="156">
        <f>$D$12*F801ENE!G48*$L69</f>
        <v>0</v>
      </c>
      <c r="H69" s="156">
        <f>$D$12*F801ENE!H48*$L69</f>
        <v>0</v>
      </c>
      <c r="I69" s="156">
        <f>$D$12*F801ENE!I48*$L69</f>
        <v>0</v>
      </c>
      <c r="J69" s="156">
        <f t="shared" si="11"/>
        <v>0</v>
      </c>
      <c r="K69" s="69"/>
      <c r="L69" s="319">
        <v>0.5</v>
      </c>
    </row>
    <row r="70" spans="2:12" s="37" customFormat="1" ht="15.75">
      <c r="B70" s="48"/>
      <c r="C70" s="157"/>
      <c r="D70" s="156"/>
      <c r="E70" s="156"/>
      <c r="F70" s="156"/>
      <c r="G70" s="156"/>
      <c r="H70" s="156"/>
      <c r="I70" s="156"/>
      <c r="J70" s="156"/>
      <c r="K70" s="69"/>
      <c r="L70" s="341"/>
    </row>
    <row r="71" spans="2:12" s="37" customFormat="1" ht="15.75">
      <c r="B71" s="48" t="s">
        <v>1176</v>
      </c>
      <c r="C71" s="158" t="str">
        <f>F801ENE!$C$50</f>
        <v>BTSH</v>
      </c>
      <c r="D71" s="154">
        <f>SUM(D72:D77)</f>
        <v>0</v>
      </c>
      <c r="E71" s="154">
        <f t="shared" ref="E71:J71" si="15">SUM(E72:E77)</f>
        <v>0</v>
      </c>
      <c r="F71" s="154">
        <f t="shared" si="15"/>
        <v>0</v>
      </c>
      <c r="G71" s="154">
        <f t="shared" si="15"/>
        <v>0</v>
      </c>
      <c r="H71" s="154">
        <f t="shared" si="15"/>
        <v>0</v>
      </c>
      <c r="I71" s="154">
        <f t="shared" si="15"/>
        <v>0</v>
      </c>
      <c r="J71" s="154">
        <f t="shared" si="15"/>
        <v>0</v>
      </c>
      <c r="K71" s="69"/>
      <c r="L71" s="341"/>
    </row>
    <row r="72" spans="2:12" s="37" customFormat="1" ht="15.75">
      <c r="B72" s="48"/>
      <c r="C72" s="160" t="str">
        <f>F801ENE!$C$51</f>
        <v xml:space="preserve">    - Regulares</v>
      </c>
      <c r="D72" s="156">
        <f>$D$13*(F801ENE!D51-10*F801C!D51)*1</f>
        <v>0</v>
      </c>
      <c r="E72" s="156">
        <f>$D$13*(F801ENE!E51-10*F801C!E51)*1</f>
        <v>0</v>
      </c>
      <c r="F72" s="156">
        <f>$D$13*(F801ENE!F51-10*F801C!F51)*1</f>
        <v>0</v>
      </c>
      <c r="G72" s="156">
        <f>$D$13*(F801ENE!G51-10*F801C!G51)*1</f>
        <v>0</v>
      </c>
      <c r="H72" s="156">
        <f>$D$13*(F801ENE!H51-10*F801C!H51)*1</f>
        <v>0</v>
      </c>
      <c r="I72" s="156">
        <f>$D$13*(F801ENE!I51-10*F801C!I51)*1</f>
        <v>0</v>
      </c>
      <c r="J72" s="156">
        <f t="shared" ref="J72:J77" si="16">SUM(D72:I72)</f>
        <v>0</v>
      </c>
      <c r="K72" s="69"/>
      <c r="L72" s="319">
        <v>1</v>
      </c>
    </row>
    <row r="73" spans="2:12" s="37" customFormat="1" ht="15.75">
      <c r="B73" s="48"/>
      <c r="C73" s="162" t="str">
        <f>F801ENE!$C$52</f>
        <v xml:space="preserve">    - Jubilados (0 a 600 KWh)</v>
      </c>
      <c r="D73" s="156">
        <f>$D$13*(F801ENE!D52-10*F801C!D52)*0.75</f>
        <v>0</v>
      </c>
      <c r="E73" s="156">
        <f>$D$13*(F801ENE!E52-10*F801C!E52)*0.75</f>
        <v>0</v>
      </c>
      <c r="F73" s="156">
        <f>$D$13*(F801ENE!F52-10*F801C!F52)*0.75</f>
        <v>0</v>
      </c>
      <c r="G73" s="156">
        <f>$D$13*(F801ENE!G52-10*F801C!G52)*0.75</f>
        <v>0</v>
      </c>
      <c r="H73" s="156">
        <f>$D$13*(F801ENE!H52-10*F801C!H52)*0.75</f>
        <v>0</v>
      </c>
      <c r="I73" s="156">
        <f>$D$13*(F801ENE!I52-10*F801C!I52)*0.75</f>
        <v>0</v>
      </c>
      <c r="J73" s="156">
        <f t="shared" si="16"/>
        <v>0</v>
      </c>
      <c r="K73" s="69"/>
      <c r="L73" s="319">
        <v>0.75</v>
      </c>
    </row>
    <row r="74" spans="2:12" s="37" customFormat="1" ht="15.75">
      <c r="B74" s="48"/>
      <c r="C74" s="162" t="str">
        <f>F801ENE!$C$53</f>
        <v xml:space="preserve">    - Jubilados (601 y Más KWh)</v>
      </c>
      <c r="D74" s="156">
        <f>$D$13*(F801ENE!D53-10*F801C!D53)*1</f>
        <v>0</v>
      </c>
      <c r="E74" s="156">
        <f>$D$13*(F801ENE!E53-10*F801C!E53)*1</f>
        <v>0</v>
      </c>
      <c r="F74" s="156">
        <f>$D$13*(F801ENE!F53-10*F801C!F53)*1</f>
        <v>0</v>
      </c>
      <c r="G74" s="156">
        <f>$D$13*(F801ENE!G53-10*F801C!G53)*1</f>
        <v>0</v>
      </c>
      <c r="H74" s="156">
        <f>$D$13*(F801ENE!H53-10*F801C!H53)*1</f>
        <v>0</v>
      </c>
      <c r="I74" s="156">
        <f>$D$13*(F801ENE!I53-10*F801C!I53)*1</f>
        <v>0</v>
      </c>
      <c r="J74" s="156">
        <f t="shared" si="16"/>
        <v>0</v>
      </c>
      <c r="K74" s="69"/>
      <c r="L74" s="319">
        <v>1</v>
      </c>
    </row>
    <row r="75" spans="2:12" s="37" customFormat="1" ht="15.75">
      <c r="B75" s="48"/>
      <c r="C75" s="160" t="str">
        <f>F801ENE!$C$54</f>
        <v xml:space="preserve">    - Agropecuarios</v>
      </c>
      <c r="D75" s="156">
        <f>$D$13*(F801ENE!D54-10*F801C!D54)*0.95</f>
        <v>0</v>
      </c>
      <c r="E75" s="156">
        <f>$D$13*(F801ENE!E54-10*F801C!E54)*0.95</f>
        <v>0</v>
      </c>
      <c r="F75" s="156">
        <f>$D$13*(F801ENE!F54-10*F801C!F54)*0.95</f>
        <v>0</v>
      </c>
      <c r="G75" s="156">
        <f>$D$13*(F801ENE!G54-10*F801C!G54)*0.95</f>
        <v>0</v>
      </c>
      <c r="H75" s="156">
        <f>$D$13*(F801ENE!H54-10*F801C!H54)*0.95</f>
        <v>0</v>
      </c>
      <c r="I75" s="156">
        <f>$D$13*(F801ENE!I54-10*F801C!I54)*0.95</f>
        <v>0</v>
      </c>
      <c r="J75" s="156">
        <f t="shared" si="16"/>
        <v>0</v>
      </c>
      <c r="K75" s="69"/>
      <c r="L75" s="319">
        <v>0.95</v>
      </c>
    </row>
    <row r="76" spans="2:12" s="37" customFormat="1" ht="15.75">
      <c r="B76" s="48"/>
      <c r="C76" s="160" t="str">
        <f>F801ENE!$C$55</f>
        <v xml:space="preserve">    - Partidos Políticos</v>
      </c>
      <c r="D76" s="156">
        <f>$D$13*(F801ENE!D55-10*F801C!D55)*0.5</f>
        <v>0</v>
      </c>
      <c r="E76" s="156">
        <f>$D$13*(F801ENE!E55-10*F801C!E55)*0.5</f>
        <v>0</v>
      </c>
      <c r="F76" s="156">
        <f>$D$13*(F801ENE!F55-10*F801C!F55)*0.5</f>
        <v>0</v>
      </c>
      <c r="G76" s="156">
        <f>$D$13*(F801ENE!G55-10*F801C!G55)*0.5</f>
        <v>0</v>
      </c>
      <c r="H76" s="156">
        <f>$D$13*(F801ENE!H55-10*F801C!H55)*0.5</f>
        <v>0</v>
      </c>
      <c r="I76" s="156">
        <f>$D$13*(F801ENE!I55-10*F801C!I55)*0.5</f>
        <v>0</v>
      </c>
      <c r="J76" s="156">
        <f t="shared" si="16"/>
        <v>0</v>
      </c>
      <c r="K76" s="69"/>
      <c r="L76" s="319">
        <v>0.5</v>
      </c>
    </row>
    <row r="77" spans="2:12" s="37" customFormat="1" ht="15.75">
      <c r="B77" s="48"/>
      <c r="C77" s="160" t="str">
        <f>F801ENE!$C$56</f>
        <v xml:space="preserve">    - Cruz Roja</v>
      </c>
      <c r="D77" s="156">
        <f>$D$13*(F801ENE!D56-10*F801C!D56)*0</f>
        <v>0</v>
      </c>
      <c r="E77" s="156">
        <f>$D$13*(F801ENE!E56-10*F801C!E56)*0</f>
        <v>0</v>
      </c>
      <c r="F77" s="156">
        <f>$D$13*(F801ENE!F56-10*F801C!F56)*0</f>
        <v>0</v>
      </c>
      <c r="G77" s="156">
        <f>$D$13*(F801ENE!G56-10*F801C!G56)*0</f>
        <v>0</v>
      </c>
      <c r="H77" s="156">
        <f>$D$13*(F801ENE!H56-10*F801C!H56)*0</f>
        <v>0</v>
      </c>
      <c r="I77" s="156">
        <f>$D$13*(F801ENE!I56-10*F801C!I56)*0</f>
        <v>0</v>
      </c>
      <c r="J77" s="156">
        <f t="shared" si="16"/>
        <v>0</v>
      </c>
      <c r="K77" s="69"/>
      <c r="L77" s="319">
        <v>0</v>
      </c>
    </row>
    <row r="78" spans="2:12" s="37" customFormat="1" ht="15.75">
      <c r="B78" s="48" t="s">
        <v>751</v>
      </c>
      <c r="C78" s="158" t="s">
        <v>634</v>
      </c>
      <c r="D78" s="159">
        <f t="shared" ref="D78" si="17">SUM(D79:D83)</f>
        <v>0</v>
      </c>
      <c r="E78" s="159">
        <f t="shared" ref="E78:I78" si="18">SUM(E79:E83)</f>
        <v>0</v>
      </c>
      <c r="F78" s="159">
        <f t="shared" si="18"/>
        <v>0</v>
      </c>
      <c r="G78" s="159">
        <f t="shared" si="18"/>
        <v>0</v>
      </c>
      <c r="H78" s="159">
        <f t="shared" si="18"/>
        <v>0</v>
      </c>
      <c r="I78" s="159">
        <f t="shared" si="18"/>
        <v>0</v>
      </c>
      <c r="J78" s="159">
        <f>SUM(D78:I78)</f>
        <v>0</v>
      </c>
      <c r="K78" s="69"/>
      <c r="L78" s="351"/>
    </row>
    <row r="79" spans="2:12" s="37" customFormat="1" ht="15.75">
      <c r="B79" s="48"/>
      <c r="C79" s="160" t="s">
        <v>304</v>
      </c>
      <c r="D79" s="156">
        <f>$D$13*(F801ENE!D66)*$L79</f>
        <v>0</v>
      </c>
      <c r="E79" s="156">
        <f>$D$13*(F801ENE!E66)*$L79</f>
        <v>0</v>
      </c>
      <c r="F79" s="156">
        <f>$D$13*(F801ENE!F66)*$L79</f>
        <v>0</v>
      </c>
      <c r="G79" s="156">
        <f>$D$13*(F801ENE!G66)*$L79</f>
        <v>0</v>
      </c>
      <c r="H79" s="156">
        <f>$D$13*(F801ENE!H66)*$L79</f>
        <v>0</v>
      </c>
      <c r="I79" s="156">
        <f>$D$13*(F801ENE!I66)*$L79</f>
        <v>0</v>
      </c>
      <c r="J79" s="156">
        <f t="shared" ref="J79:J97" si="19">SUM(D79:I79)</f>
        <v>0</v>
      </c>
      <c r="K79" s="69"/>
      <c r="L79" s="319">
        <v>1</v>
      </c>
    </row>
    <row r="80" spans="2:12" s="37" customFormat="1" ht="15.75">
      <c r="B80" s="48"/>
      <c r="C80" s="162" t="s">
        <v>644</v>
      </c>
      <c r="D80" s="156">
        <f>$D$13*(F801ENE!D67)*$L80</f>
        <v>0</v>
      </c>
      <c r="E80" s="156">
        <f>$D$13*(F801ENE!E67)*$L80</f>
        <v>0</v>
      </c>
      <c r="F80" s="156">
        <f>$D$13*(F801ENE!F67)*$L80</f>
        <v>0</v>
      </c>
      <c r="G80" s="156">
        <f>$D$13*(F801ENE!G67)*$L80</f>
        <v>0</v>
      </c>
      <c r="H80" s="156">
        <f>$D$13*(F801ENE!H67)*$L80</f>
        <v>0</v>
      </c>
      <c r="I80" s="156">
        <f>$D$13*(F801ENE!I67)*$L80</f>
        <v>0</v>
      </c>
      <c r="J80" s="156">
        <f t="shared" si="19"/>
        <v>0</v>
      </c>
      <c r="K80" s="69"/>
      <c r="L80" s="319">
        <v>0.75</v>
      </c>
    </row>
    <row r="81" spans="2:12" s="37" customFormat="1" ht="15.75">
      <c r="B81" s="48"/>
      <c r="C81" s="160" t="s">
        <v>305</v>
      </c>
      <c r="D81" s="156">
        <f>$D$13*(F801ENE!D68)*$L81</f>
        <v>0</v>
      </c>
      <c r="E81" s="156">
        <f>$D$13*(F801ENE!E68)*$L81</f>
        <v>0</v>
      </c>
      <c r="F81" s="156">
        <f>$D$13*(F801ENE!F68)*$L81</f>
        <v>0</v>
      </c>
      <c r="G81" s="156">
        <f>$D$13*(F801ENE!G68)*$L81</f>
        <v>0</v>
      </c>
      <c r="H81" s="156">
        <f>$D$13*(F801ENE!H68)*$L81</f>
        <v>0</v>
      </c>
      <c r="I81" s="156">
        <f>$D$13*(F801ENE!I68)*$L81</f>
        <v>0</v>
      </c>
      <c r="J81" s="156">
        <f t="shared" si="19"/>
        <v>0</v>
      </c>
      <c r="K81" s="69"/>
      <c r="L81" s="319">
        <v>0.95</v>
      </c>
    </row>
    <row r="82" spans="2:12" s="37" customFormat="1" ht="15.75">
      <c r="B82" s="48"/>
      <c r="C82" s="160" t="s">
        <v>307</v>
      </c>
      <c r="D82" s="156">
        <f>$D$13*(F801ENE!D69)*$L82</f>
        <v>0</v>
      </c>
      <c r="E82" s="156">
        <f>$D$13*(F801ENE!E69)*$L82</f>
        <v>0</v>
      </c>
      <c r="F82" s="156">
        <f>$D$13*(F801ENE!F69)*$L82</f>
        <v>0</v>
      </c>
      <c r="G82" s="156">
        <f>$D$13*(F801ENE!G69)*$L82</f>
        <v>0</v>
      </c>
      <c r="H82" s="156">
        <f>$D$13*(F801ENE!H69)*$L82</f>
        <v>0</v>
      </c>
      <c r="I82" s="156">
        <f>$D$13*(F801ENE!I69)*$L82</f>
        <v>0</v>
      </c>
      <c r="J82" s="156">
        <f t="shared" si="19"/>
        <v>0</v>
      </c>
      <c r="K82" s="69"/>
      <c r="L82" s="319">
        <v>0.5</v>
      </c>
    </row>
    <row r="83" spans="2:12" s="37" customFormat="1" ht="15.75">
      <c r="B83" s="48"/>
      <c r="C83" s="160" t="s">
        <v>624</v>
      </c>
      <c r="D83" s="156">
        <f>$D$13*(F801ENE!D70)*$L83</f>
        <v>0</v>
      </c>
      <c r="E83" s="156">
        <f>$D$13*(F801ENE!E70)*$L83</f>
        <v>0</v>
      </c>
      <c r="F83" s="156">
        <f>$D$13*(F801ENE!F70)*$L83</f>
        <v>0</v>
      </c>
      <c r="G83" s="156">
        <f>$D$13*(F801ENE!G70)*$L83</f>
        <v>0</v>
      </c>
      <c r="H83" s="156">
        <f>$D$13*(F801ENE!H70)*$L83</f>
        <v>0</v>
      </c>
      <c r="I83" s="156">
        <f>$D$13*(F801ENE!I70)*$L83</f>
        <v>0</v>
      </c>
      <c r="J83" s="156">
        <f t="shared" si="19"/>
        <v>0</v>
      </c>
      <c r="K83" s="69"/>
      <c r="L83" s="319">
        <v>0</v>
      </c>
    </row>
    <row r="84" spans="2:12" s="37" customFormat="1" ht="15.75">
      <c r="B84" s="48" t="s">
        <v>750</v>
      </c>
      <c r="C84" s="158" t="s">
        <v>635</v>
      </c>
      <c r="D84" s="159">
        <f t="shared" ref="D84" si="20">SUM(D85:D90)</f>
        <v>0</v>
      </c>
      <c r="E84" s="159">
        <f t="shared" ref="E84:I84" si="21">SUM(E85:E90)</f>
        <v>0</v>
      </c>
      <c r="F84" s="159">
        <f t="shared" si="21"/>
        <v>0</v>
      </c>
      <c r="G84" s="159">
        <f t="shared" si="21"/>
        <v>0</v>
      </c>
      <c r="H84" s="159">
        <f t="shared" si="21"/>
        <v>0</v>
      </c>
      <c r="I84" s="159">
        <f t="shared" si="21"/>
        <v>0</v>
      </c>
      <c r="J84" s="159">
        <f>SUM(D84:I84)</f>
        <v>0</v>
      </c>
      <c r="K84" s="69"/>
      <c r="L84" s="319"/>
    </row>
    <row r="85" spans="2:12" s="37" customFormat="1" ht="15.75">
      <c r="B85" s="48"/>
      <c r="C85" s="160" t="s">
        <v>304</v>
      </c>
      <c r="D85" s="156">
        <f>$D$13*(F801ENE!D72)*$L85</f>
        <v>0</v>
      </c>
      <c r="E85" s="156">
        <f>$D$13*(F801ENE!E72)*$L85</f>
        <v>0</v>
      </c>
      <c r="F85" s="156">
        <f>$D$13*(F801ENE!F72)*$L85</f>
        <v>0</v>
      </c>
      <c r="G85" s="156">
        <f>$D$13*(F801ENE!G72)*$L85</f>
        <v>0</v>
      </c>
      <c r="H85" s="156">
        <f>$D$13*(F801ENE!H72)*$L85</f>
        <v>0</v>
      </c>
      <c r="I85" s="156">
        <f>$D$13*(F801ENE!I72)*$L85</f>
        <v>0</v>
      </c>
      <c r="J85" s="156">
        <f t="shared" si="19"/>
        <v>0</v>
      </c>
      <c r="K85" s="69"/>
      <c r="L85" s="319">
        <v>1</v>
      </c>
    </row>
    <row r="86" spans="2:12" s="37" customFormat="1" ht="15.75">
      <c r="B86" s="48"/>
      <c r="C86" s="162" t="s">
        <v>642</v>
      </c>
      <c r="D86" s="156">
        <f>$D$13*(F801ENE!D73)*$L86</f>
        <v>0</v>
      </c>
      <c r="E86" s="156">
        <f>$D$13*(F801ENE!E73)*$L86</f>
        <v>0</v>
      </c>
      <c r="F86" s="156">
        <f>$D$13*(F801ENE!F73)*$L86</f>
        <v>0</v>
      </c>
      <c r="G86" s="156">
        <f>$D$13*(F801ENE!G73)*$L86</f>
        <v>0</v>
      </c>
      <c r="H86" s="156">
        <f>$D$13*(F801ENE!H73)*$L86</f>
        <v>0</v>
      </c>
      <c r="I86" s="156">
        <f>$D$13*(F801ENE!I73)*$L86</f>
        <v>0</v>
      </c>
      <c r="J86" s="156">
        <f t="shared" si="19"/>
        <v>0</v>
      </c>
      <c r="K86" s="69"/>
      <c r="L86" s="319">
        <v>0.75</v>
      </c>
    </row>
    <row r="87" spans="2:12" s="37" customFormat="1" ht="15.75">
      <c r="B87" s="48"/>
      <c r="C87" s="162" t="s">
        <v>1177</v>
      </c>
      <c r="D87" s="156">
        <f>$D$13*(F801ENE!D74)*$L87</f>
        <v>0</v>
      </c>
      <c r="E87" s="156">
        <f>$D$13*(F801ENE!E74)*$L87</f>
        <v>0</v>
      </c>
      <c r="F87" s="156">
        <f>$D$13*(F801ENE!F74)*$L87</f>
        <v>0</v>
      </c>
      <c r="G87" s="156">
        <f>$D$13*(F801ENE!G74)*$L87</f>
        <v>0</v>
      </c>
      <c r="H87" s="156">
        <f>$D$13*(F801ENE!H74)*$L87</f>
        <v>0</v>
      </c>
      <c r="I87" s="156">
        <f>$D$13*(F801ENE!I74)*$L87</f>
        <v>0</v>
      </c>
      <c r="J87" s="156">
        <f t="shared" si="19"/>
        <v>0</v>
      </c>
      <c r="K87" s="69"/>
      <c r="L87" s="319">
        <v>1</v>
      </c>
    </row>
    <row r="88" spans="2:12" s="37" customFormat="1" ht="15.75">
      <c r="B88" s="48"/>
      <c r="C88" s="160" t="s">
        <v>305</v>
      </c>
      <c r="D88" s="156">
        <f>$D$13*(F801ENE!D75)*$L88</f>
        <v>0</v>
      </c>
      <c r="E88" s="156">
        <f>$D$13*(F801ENE!E75)*$L88</f>
        <v>0</v>
      </c>
      <c r="F88" s="156">
        <f>$D$13*(F801ENE!F75)*$L88</f>
        <v>0</v>
      </c>
      <c r="G88" s="156">
        <f>$D$13*(F801ENE!G75)*$L88</f>
        <v>0</v>
      </c>
      <c r="H88" s="156">
        <f>$D$13*(F801ENE!H75)*$L88</f>
        <v>0</v>
      </c>
      <c r="I88" s="156">
        <f>$D$13*(F801ENE!I75)*$L88</f>
        <v>0</v>
      </c>
      <c r="J88" s="156">
        <f t="shared" si="19"/>
        <v>0</v>
      </c>
      <c r="K88" s="69"/>
      <c r="L88" s="319">
        <v>0.95</v>
      </c>
    </row>
    <row r="89" spans="2:12" s="37" customFormat="1" ht="15.75">
      <c r="B89" s="48"/>
      <c r="C89" s="160" t="s">
        <v>307</v>
      </c>
      <c r="D89" s="156">
        <f>$D$13*(F801ENE!D76)*$L89</f>
        <v>0</v>
      </c>
      <c r="E89" s="156">
        <f>$D$13*(F801ENE!E76)*$L89</f>
        <v>0</v>
      </c>
      <c r="F89" s="156">
        <f>$D$13*(F801ENE!F76)*$L89</f>
        <v>0</v>
      </c>
      <c r="G89" s="156">
        <f>$D$13*(F801ENE!G76)*$L89</f>
        <v>0</v>
      </c>
      <c r="H89" s="156">
        <f>$D$13*(F801ENE!H76)*$L89</f>
        <v>0</v>
      </c>
      <c r="I89" s="156">
        <f>$D$13*(F801ENE!I76)*$L89</f>
        <v>0</v>
      </c>
      <c r="J89" s="156">
        <f t="shared" si="19"/>
        <v>0</v>
      </c>
      <c r="K89" s="69"/>
      <c r="L89" s="319">
        <v>0.5</v>
      </c>
    </row>
    <row r="90" spans="2:12" s="37" customFormat="1" ht="15.75">
      <c r="B90" s="48"/>
      <c r="C90" s="160" t="s">
        <v>624</v>
      </c>
      <c r="D90" s="156">
        <f>$D$13*(F801ENE!D77)*$L90</f>
        <v>0</v>
      </c>
      <c r="E90" s="156">
        <f>$D$13*(F801ENE!E77)*$L90</f>
        <v>0</v>
      </c>
      <c r="F90" s="156">
        <f>$D$13*(F801ENE!F77)*$L90</f>
        <v>0</v>
      </c>
      <c r="G90" s="156">
        <f>$D$13*(F801ENE!G77)*$L90</f>
        <v>0</v>
      </c>
      <c r="H90" s="156">
        <f>$D$13*(F801ENE!H77)*$L90</f>
        <v>0</v>
      </c>
      <c r="I90" s="156">
        <f>$D$13*(F801ENE!I77)*$L90</f>
        <v>0</v>
      </c>
      <c r="J90" s="156">
        <f t="shared" si="19"/>
        <v>0</v>
      </c>
      <c r="K90" s="69"/>
      <c r="L90" s="319">
        <v>0</v>
      </c>
    </row>
    <row r="91" spans="2:12" s="37" customFormat="1" ht="15.75">
      <c r="B91" s="48" t="s">
        <v>749</v>
      </c>
      <c r="C91" s="158" t="s">
        <v>636</v>
      </c>
      <c r="D91" s="159">
        <f t="shared" ref="D91" si="22">SUM(D92:D97)</f>
        <v>0</v>
      </c>
      <c r="E91" s="159">
        <f t="shared" ref="E91:I91" si="23">SUM(E92:E97)</f>
        <v>0</v>
      </c>
      <c r="F91" s="159">
        <f t="shared" si="23"/>
        <v>0</v>
      </c>
      <c r="G91" s="159">
        <f t="shared" si="23"/>
        <v>0</v>
      </c>
      <c r="H91" s="159">
        <f t="shared" si="23"/>
        <v>0</v>
      </c>
      <c r="I91" s="159">
        <f t="shared" si="23"/>
        <v>0</v>
      </c>
      <c r="J91" s="159">
        <f t="shared" si="19"/>
        <v>0</v>
      </c>
      <c r="K91" s="69"/>
      <c r="L91" s="319"/>
    </row>
    <row r="92" spans="2:12" s="37" customFormat="1" ht="15.75">
      <c r="B92" s="48"/>
      <c r="C92" s="160" t="s">
        <v>304</v>
      </c>
      <c r="D92" s="156">
        <f>$D$13*(F801ENE!D79)*$L92</f>
        <v>0</v>
      </c>
      <c r="E92" s="156">
        <f>$D$13*(F801ENE!E79)*$L92</f>
        <v>0</v>
      </c>
      <c r="F92" s="156">
        <f>$D$13*(F801ENE!F79)*$L92</f>
        <v>0</v>
      </c>
      <c r="G92" s="156">
        <f>$D$13*(F801ENE!G79)*$L92</f>
        <v>0</v>
      </c>
      <c r="H92" s="156">
        <f>$D$13*(F801ENE!H79)*$L92</f>
        <v>0</v>
      </c>
      <c r="I92" s="156">
        <f>$D$13*(F801ENE!I79)*$L92</f>
        <v>0</v>
      </c>
      <c r="J92" s="156">
        <f t="shared" si="19"/>
        <v>0</v>
      </c>
      <c r="K92" s="69"/>
      <c r="L92" s="319">
        <v>1</v>
      </c>
    </row>
    <row r="93" spans="2:12" s="37" customFormat="1" ht="15.75">
      <c r="B93" s="48"/>
      <c r="C93" s="162" t="s">
        <v>642</v>
      </c>
      <c r="D93" s="156">
        <f>$D$13*(F801ENE!D80)*$L93</f>
        <v>0</v>
      </c>
      <c r="E93" s="156">
        <f>$D$13*(F801ENE!E80)*$L93</f>
        <v>0</v>
      </c>
      <c r="F93" s="156">
        <f>$D$13*(F801ENE!F80)*$L93</f>
        <v>0</v>
      </c>
      <c r="G93" s="156">
        <f>$D$13*(F801ENE!G80)*$L93</f>
        <v>0</v>
      </c>
      <c r="H93" s="156">
        <f>$D$13*(F801ENE!H80)*$L93</f>
        <v>0</v>
      </c>
      <c r="I93" s="156">
        <f>$D$13*(F801ENE!I80)*$L93</f>
        <v>0</v>
      </c>
      <c r="J93" s="156">
        <f t="shared" si="19"/>
        <v>0</v>
      </c>
      <c r="K93" s="69"/>
      <c r="L93" s="319">
        <v>0.75</v>
      </c>
    </row>
    <row r="94" spans="2:12" s="37" customFormat="1" ht="15.75">
      <c r="B94" s="48"/>
      <c r="C94" s="162" t="s">
        <v>1177</v>
      </c>
      <c r="D94" s="156">
        <f>$D$13*(F801ENE!D81)*$L94</f>
        <v>0</v>
      </c>
      <c r="E94" s="156">
        <f>$D$13*(F801ENE!E81)*$L94</f>
        <v>0</v>
      </c>
      <c r="F94" s="156">
        <f>$D$13*(F801ENE!F81)*$L94</f>
        <v>0</v>
      </c>
      <c r="G94" s="156">
        <f>$D$13*(F801ENE!G81)*$L94</f>
        <v>0</v>
      </c>
      <c r="H94" s="156">
        <f>$D$13*(F801ENE!H81)*$L94</f>
        <v>0</v>
      </c>
      <c r="I94" s="156">
        <f>$D$13*(F801ENE!I81)*$L94</f>
        <v>0</v>
      </c>
      <c r="J94" s="156">
        <f>SUM(D94:I94)</f>
        <v>0</v>
      </c>
      <c r="K94" s="69"/>
      <c r="L94" s="319">
        <v>1</v>
      </c>
    </row>
    <row r="95" spans="2:12" s="37" customFormat="1" ht="15.75">
      <c r="B95" s="48"/>
      <c r="C95" s="160" t="s">
        <v>305</v>
      </c>
      <c r="D95" s="156">
        <f>$D$13*(F801ENE!D82)*$L95</f>
        <v>0</v>
      </c>
      <c r="E95" s="156">
        <f>$D$13*(F801ENE!E82)*$L95</f>
        <v>0</v>
      </c>
      <c r="F95" s="156">
        <f>$D$13*(F801ENE!F82)*$L95</f>
        <v>0</v>
      </c>
      <c r="G95" s="156">
        <f>$D$13*(F801ENE!G82)*$L95</f>
        <v>0</v>
      </c>
      <c r="H95" s="156">
        <f>$D$13*(F801ENE!H82)*$L95</f>
        <v>0</v>
      </c>
      <c r="I95" s="156">
        <f>$D$13*(F801ENE!I82)*$L95</f>
        <v>0</v>
      </c>
      <c r="J95" s="156">
        <f t="shared" si="19"/>
        <v>0</v>
      </c>
      <c r="K95" s="69"/>
      <c r="L95" s="319">
        <v>0.95</v>
      </c>
    </row>
    <row r="96" spans="2:12" s="37" customFormat="1" ht="15.75">
      <c r="B96" s="48"/>
      <c r="C96" s="160" t="s">
        <v>307</v>
      </c>
      <c r="D96" s="156">
        <f>$D$13*(F801ENE!D83)*$L96</f>
        <v>0</v>
      </c>
      <c r="E96" s="156">
        <f>$D$13*(F801ENE!E83)*$L96</f>
        <v>0</v>
      </c>
      <c r="F96" s="156">
        <f>$D$13*(F801ENE!F83)*$L96</f>
        <v>0</v>
      </c>
      <c r="G96" s="156">
        <f>$D$13*(F801ENE!G83)*$L96</f>
        <v>0</v>
      </c>
      <c r="H96" s="156">
        <f>$D$13*(F801ENE!H83)*$L96</f>
        <v>0</v>
      </c>
      <c r="I96" s="156">
        <f>$D$13*(F801ENE!I83)*$L96</f>
        <v>0</v>
      </c>
      <c r="J96" s="156">
        <f t="shared" si="19"/>
        <v>0</v>
      </c>
      <c r="K96" s="69"/>
      <c r="L96" s="319">
        <v>0.5</v>
      </c>
    </row>
    <row r="97" spans="2:12" s="37" customFormat="1" ht="15.75">
      <c r="B97" s="48"/>
      <c r="C97" s="160" t="s">
        <v>624</v>
      </c>
      <c r="D97" s="156">
        <f>$D$13*(F801ENE!D84)*$L97</f>
        <v>0</v>
      </c>
      <c r="E97" s="156">
        <f>$D$13*(F801ENE!E84)*$L97</f>
        <v>0</v>
      </c>
      <c r="F97" s="156">
        <f>$D$13*(F801ENE!F84)*$L97</f>
        <v>0</v>
      </c>
      <c r="G97" s="156">
        <f>$D$13*(F801ENE!G84)*$L97</f>
        <v>0</v>
      </c>
      <c r="H97" s="156">
        <f>$D$13*(F801ENE!H84)*$L97</f>
        <v>0</v>
      </c>
      <c r="I97" s="156">
        <f>$D$13*(F801ENE!I84)*$L97</f>
        <v>0</v>
      </c>
      <c r="J97" s="156">
        <f t="shared" si="19"/>
        <v>0</v>
      </c>
      <c r="K97" s="69"/>
      <c r="L97" s="319">
        <v>0</v>
      </c>
    </row>
    <row r="98" spans="2:12" s="37" customFormat="1" ht="15.75">
      <c r="B98" s="48"/>
      <c r="C98" s="157"/>
      <c r="D98" s="156"/>
      <c r="E98" s="156"/>
      <c r="F98" s="156"/>
      <c r="G98" s="156"/>
      <c r="H98" s="156"/>
      <c r="I98" s="156"/>
      <c r="J98" s="156"/>
      <c r="K98" s="69"/>
      <c r="L98" s="341"/>
    </row>
    <row r="99" spans="2:12" s="37" customFormat="1" ht="15.75">
      <c r="B99" s="48" t="s">
        <v>902</v>
      </c>
      <c r="C99" s="158" t="s">
        <v>910</v>
      </c>
      <c r="D99" s="159">
        <f t="shared" ref="D99:I99" si="24">SUM(D100:D104)</f>
        <v>0</v>
      </c>
      <c r="E99" s="159">
        <f t="shared" si="24"/>
        <v>0</v>
      </c>
      <c r="F99" s="159">
        <f t="shared" si="24"/>
        <v>0</v>
      </c>
      <c r="G99" s="159">
        <f t="shared" si="24"/>
        <v>0</v>
      </c>
      <c r="H99" s="159">
        <f t="shared" si="24"/>
        <v>0</v>
      </c>
      <c r="I99" s="159">
        <f t="shared" si="24"/>
        <v>0</v>
      </c>
      <c r="J99" s="159">
        <f t="shared" ref="J99:J105" si="25">SUM(D99:I99)</f>
        <v>0</v>
      </c>
      <c r="K99" s="69"/>
      <c r="L99" s="351"/>
    </row>
    <row r="100" spans="2:12" s="37" customFormat="1" ht="15.75">
      <c r="B100" s="48"/>
      <c r="C100" s="160" t="s">
        <v>304</v>
      </c>
      <c r="D100" s="156">
        <f>$D$13*(F801ENE!D87)*$L100</f>
        <v>0</v>
      </c>
      <c r="E100" s="156">
        <f>$D$13*(F801ENE!E87)*$L100</f>
        <v>0</v>
      </c>
      <c r="F100" s="156">
        <f>$D$13*(F801ENE!F87)*$L100</f>
        <v>0</v>
      </c>
      <c r="G100" s="156">
        <f>$D$13*(F801ENE!G87)*$L100</f>
        <v>0</v>
      </c>
      <c r="H100" s="156">
        <f>$D$13*(F801ENE!H87)*$L100</f>
        <v>0</v>
      </c>
      <c r="I100" s="156">
        <f>$D$13*(F801ENE!I87)*$L100</f>
        <v>0</v>
      </c>
      <c r="J100" s="156">
        <f t="shared" si="25"/>
        <v>0</v>
      </c>
      <c r="K100" s="69"/>
      <c r="L100" s="319">
        <v>1</v>
      </c>
    </row>
    <row r="101" spans="2:12" s="37" customFormat="1" ht="15.75">
      <c r="B101" s="48"/>
      <c r="C101" s="162" t="s">
        <v>644</v>
      </c>
      <c r="D101" s="156">
        <f>$D$13*(F801ENE!D88)*$L101</f>
        <v>0</v>
      </c>
      <c r="E101" s="156">
        <f>$D$13*(F801ENE!E88)*$L101</f>
        <v>0</v>
      </c>
      <c r="F101" s="156">
        <f>$D$13*(F801ENE!F88)*$L101</f>
        <v>0</v>
      </c>
      <c r="G101" s="156">
        <f>$D$13*(F801ENE!G88)*$L101</f>
        <v>0</v>
      </c>
      <c r="H101" s="156">
        <f>$D$13*(F801ENE!H88)*$L101</f>
        <v>0</v>
      </c>
      <c r="I101" s="156">
        <f>$D$13*(F801ENE!I88)*$L101</f>
        <v>0</v>
      </c>
      <c r="J101" s="156">
        <f t="shared" si="25"/>
        <v>0</v>
      </c>
      <c r="K101" s="69"/>
      <c r="L101" s="319">
        <v>0.75</v>
      </c>
    </row>
    <row r="102" spans="2:12" s="37" customFormat="1" ht="15.75">
      <c r="B102" s="48"/>
      <c r="C102" s="160" t="s">
        <v>305</v>
      </c>
      <c r="D102" s="156">
        <f>$D$13*(F801ENE!D89)*$L102</f>
        <v>0</v>
      </c>
      <c r="E102" s="156">
        <f>$D$13*(F801ENE!E89)*$L102</f>
        <v>0</v>
      </c>
      <c r="F102" s="156">
        <f>$D$13*(F801ENE!F89)*$L102</f>
        <v>0</v>
      </c>
      <c r="G102" s="156">
        <f>$D$13*(F801ENE!G89)*$L102</f>
        <v>0</v>
      </c>
      <c r="H102" s="156">
        <f>$D$13*(F801ENE!H89)*$L102</f>
        <v>0</v>
      </c>
      <c r="I102" s="156">
        <f>$D$13*(F801ENE!I89)*$L102</f>
        <v>0</v>
      </c>
      <c r="J102" s="156">
        <f t="shared" si="25"/>
        <v>0</v>
      </c>
      <c r="K102" s="69"/>
      <c r="L102" s="319">
        <v>0.95</v>
      </c>
    </row>
    <row r="103" spans="2:12" s="37" customFormat="1" ht="15.75">
      <c r="B103" s="48"/>
      <c r="C103" s="160" t="s">
        <v>307</v>
      </c>
      <c r="D103" s="156">
        <f>$D$13*(F801ENE!D90)*$L103</f>
        <v>0</v>
      </c>
      <c r="E103" s="156">
        <f>$D$13*(F801ENE!E90)*$L103</f>
        <v>0</v>
      </c>
      <c r="F103" s="156">
        <f>$D$13*(F801ENE!F90)*$L103</f>
        <v>0</v>
      </c>
      <c r="G103" s="156">
        <f>$D$13*(F801ENE!G90)*$L103</f>
        <v>0</v>
      </c>
      <c r="H103" s="156">
        <f>$D$13*(F801ENE!H90)*$L103</f>
        <v>0</v>
      </c>
      <c r="I103" s="156">
        <f>$D$13*(F801ENE!I90)*$L103</f>
        <v>0</v>
      </c>
      <c r="J103" s="156">
        <f t="shared" si="25"/>
        <v>0</v>
      </c>
      <c r="K103" s="69"/>
      <c r="L103" s="319">
        <v>0.5</v>
      </c>
    </row>
    <row r="104" spans="2:12" s="37" customFormat="1" ht="15.75">
      <c r="B104" s="48"/>
      <c r="C104" s="160" t="s">
        <v>624</v>
      </c>
      <c r="D104" s="156">
        <f>$D$13*(F801ENE!D91)*$L104</f>
        <v>0</v>
      </c>
      <c r="E104" s="156">
        <f>$D$13*(F801ENE!E91)*$L104</f>
        <v>0</v>
      </c>
      <c r="F104" s="156">
        <f>$D$13*(F801ENE!F91)*$L104</f>
        <v>0</v>
      </c>
      <c r="G104" s="156">
        <f>$D$13*(F801ENE!G91)*$L104</f>
        <v>0</v>
      </c>
      <c r="H104" s="156">
        <f>$D$13*(F801ENE!H91)*$L104</f>
        <v>0</v>
      </c>
      <c r="I104" s="156">
        <f>$D$13*(F801ENE!I91)*$L104</f>
        <v>0</v>
      </c>
      <c r="J104" s="156">
        <f t="shared" si="25"/>
        <v>0</v>
      </c>
      <c r="K104" s="69"/>
      <c r="L104" s="319">
        <v>0</v>
      </c>
    </row>
    <row r="105" spans="2:12" s="37" customFormat="1" ht="15.75">
      <c r="B105" s="48" t="s">
        <v>902</v>
      </c>
      <c r="C105" s="158" t="s">
        <v>911</v>
      </c>
      <c r="D105" s="159">
        <f t="shared" ref="D105:I105" si="26">SUM(D106:D111)</f>
        <v>0</v>
      </c>
      <c r="E105" s="159">
        <f t="shared" si="26"/>
        <v>0</v>
      </c>
      <c r="F105" s="159">
        <f t="shared" si="26"/>
        <v>0</v>
      </c>
      <c r="G105" s="159">
        <f t="shared" si="26"/>
        <v>0</v>
      </c>
      <c r="H105" s="159">
        <f t="shared" si="26"/>
        <v>0</v>
      </c>
      <c r="I105" s="159">
        <f t="shared" si="26"/>
        <v>0</v>
      </c>
      <c r="J105" s="159">
        <f t="shared" si="25"/>
        <v>0</v>
      </c>
      <c r="K105" s="69"/>
      <c r="L105" s="319"/>
    </row>
    <row r="106" spans="2:12" s="37" customFormat="1" ht="15.75">
      <c r="B106" s="48"/>
      <c r="C106" s="160" t="s">
        <v>304</v>
      </c>
      <c r="D106" s="156">
        <f>$D$13*(F801ENE!D93)*$L106</f>
        <v>0</v>
      </c>
      <c r="E106" s="156">
        <f>$D$13*(F801ENE!E93)*$L106</f>
        <v>0</v>
      </c>
      <c r="F106" s="156">
        <f>$D$13*(F801ENE!F93)*$L106</f>
        <v>0</v>
      </c>
      <c r="G106" s="156">
        <f>$D$13*(F801ENE!G93)*$L106</f>
        <v>0</v>
      </c>
      <c r="H106" s="156">
        <f>$D$13*(F801ENE!H93)*$L106</f>
        <v>0</v>
      </c>
      <c r="I106" s="156">
        <f>$D$13*(F801ENE!I93)*$L106</f>
        <v>0</v>
      </c>
      <c r="J106" s="156">
        <f t="shared" ref="J106:J114" si="27">SUM(D106:I106)</f>
        <v>0</v>
      </c>
      <c r="K106" s="69"/>
      <c r="L106" s="319">
        <v>1</v>
      </c>
    </row>
    <row r="107" spans="2:12" s="37" customFormat="1" ht="15.75">
      <c r="B107" s="48"/>
      <c r="C107" s="162" t="s">
        <v>642</v>
      </c>
      <c r="D107" s="156">
        <f>$D$13*(F801ENE!D94)*$L107</f>
        <v>0</v>
      </c>
      <c r="E107" s="156">
        <f>$D$13*(F801ENE!E94)*$L107</f>
        <v>0</v>
      </c>
      <c r="F107" s="156">
        <f>$D$13*(F801ENE!F94)*$L107</f>
        <v>0</v>
      </c>
      <c r="G107" s="156">
        <f>$D$13*(F801ENE!G94)*$L107</f>
        <v>0</v>
      </c>
      <c r="H107" s="156">
        <f>$D$13*(F801ENE!H94)*$L107</f>
        <v>0</v>
      </c>
      <c r="I107" s="156">
        <f>$D$13*(F801ENE!I94)*$L107</f>
        <v>0</v>
      </c>
      <c r="J107" s="156">
        <f t="shared" si="27"/>
        <v>0</v>
      </c>
      <c r="K107" s="69"/>
      <c r="L107" s="319">
        <v>0.75</v>
      </c>
    </row>
    <row r="108" spans="2:12" s="37" customFormat="1" ht="15.75">
      <c r="B108" s="48"/>
      <c r="C108" s="162" t="s">
        <v>1177</v>
      </c>
      <c r="D108" s="156">
        <f>$D$13*(F801ENE!D95)*$L108</f>
        <v>0</v>
      </c>
      <c r="E108" s="156">
        <f>$D$13*(F801ENE!E95)*$L108</f>
        <v>0</v>
      </c>
      <c r="F108" s="156">
        <f>$D$13*(F801ENE!F95)*$L108</f>
        <v>0</v>
      </c>
      <c r="G108" s="156">
        <f>$D$13*(F801ENE!G95)*$L108</f>
        <v>0</v>
      </c>
      <c r="H108" s="156">
        <f>$D$13*(F801ENE!H95)*$L108</f>
        <v>0</v>
      </c>
      <c r="I108" s="156">
        <f>$D$13*(F801ENE!I95)*$L108</f>
        <v>0</v>
      </c>
      <c r="J108" s="156">
        <f t="shared" si="27"/>
        <v>0</v>
      </c>
      <c r="K108" s="69"/>
      <c r="L108" s="319">
        <v>1</v>
      </c>
    </row>
    <row r="109" spans="2:12" s="37" customFormat="1" ht="15.75">
      <c r="B109" s="48"/>
      <c r="C109" s="160" t="s">
        <v>305</v>
      </c>
      <c r="D109" s="156">
        <f>$D$13*(F801ENE!D96)*$L109</f>
        <v>0</v>
      </c>
      <c r="E109" s="156">
        <f>$D$13*(F801ENE!E96)*$L109</f>
        <v>0</v>
      </c>
      <c r="F109" s="156">
        <f>$D$13*(F801ENE!F96)*$L109</f>
        <v>0</v>
      </c>
      <c r="G109" s="156">
        <f>$D$13*(F801ENE!G96)*$L109</f>
        <v>0</v>
      </c>
      <c r="H109" s="156">
        <f>$D$13*(F801ENE!H96)*$L109</f>
        <v>0</v>
      </c>
      <c r="I109" s="156">
        <f>$D$13*(F801ENE!I96)*$L109</f>
        <v>0</v>
      </c>
      <c r="J109" s="156">
        <f t="shared" si="27"/>
        <v>0</v>
      </c>
      <c r="K109" s="69"/>
      <c r="L109" s="319">
        <v>0.95</v>
      </c>
    </row>
    <row r="110" spans="2:12" s="37" customFormat="1" ht="15.75">
      <c r="B110" s="48"/>
      <c r="C110" s="160" t="s">
        <v>307</v>
      </c>
      <c r="D110" s="156">
        <f>$D$13*(F801ENE!D97)*$L110</f>
        <v>0</v>
      </c>
      <c r="E110" s="156">
        <f>$D$13*(F801ENE!E97)*$L110</f>
        <v>0</v>
      </c>
      <c r="F110" s="156">
        <f>$D$13*(F801ENE!F97)*$L110</f>
        <v>0</v>
      </c>
      <c r="G110" s="156">
        <f>$D$13*(F801ENE!G97)*$L110</f>
        <v>0</v>
      </c>
      <c r="H110" s="156">
        <f>$D$13*(F801ENE!H97)*$L110</f>
        <v>0</v>
      </c>
      <c r="I110" s="156">
        <f>$D$13*(F801ENE!I97)*$L110</f>
        <v>0</v>
      </c>
      <c r="J110" s="156">
        <f t="shared" si="27"/>
        <v>0</v>
      </c>
      <c r="K110" s="69"/>
      <c r="L110" s="319">
        <v>0.5</v>
      </c>
    </row>
    <row r="111" spans="2:12" s="37" customFormat="1" ht="15.75">
      <c r="B111" s="48"/>
      <c r="C111" s="160" t="s">
        <v>624</v>
      </c>
      <c r="D111" s="156">
        <f>$D$13*(F801ENE!D98)*$L111</f>
        <v>0</v>
      </c>
      <c r="E111" s="156">
        <f>$D$13*(F801ENE!E98)*$L111</f>
        <v>0</v>
      </c>
      <c r="F111" s="156">
        <f>$D$13*(F801ENE!F98)*$L111</f>
        <v>0</v>
      </c>
      <c r="G111" s="156">
        <f>$D$13*(F801ENE!G98)*$L111</f>
        <v>0</v>
      </c>
      <c r="H111" s="156">
        <f>$D$13*(F801ENE!H98)*$L111</f>
        <v>0</v>
      </c>
      <c r="I111" s="156">
        <f>$D$13*(F801ENE!I98)*$L111</f>
        <v>0</v>
      </c>
      <c r="J111" s="156">
        <f t="shared" si="27"/>
        <v>0</v>
      </c>
      <c r="K111" s="69"/>
      <c r="L111" s="319">
        <v>0</v>
      </c>
    </row>
    <row r="112" spans="2:12" s="37" customFormat="1" ht="15.75">
      <c r="B112" s="48" t="s">
        <v>902</v>
      </c>
      <c r="C112" s="158" t="s">
        <v>912</v>
      </c>
      <c r="D112" s="159">
        <f t="shared" ref="D112:I112" si="28">SUM(D113:D118)</f>
        <v>0</v>
      </c>
      <c r="E112" s="159">
        <f t="shared" si="28"/>
        <v>0</v>
      </c>
      <c r="F112" s="159">
        <f t="shared" si="28"/>
        <v>0</v>
      </c>
      <c r="G112" s="159">
        <f t="shared" si="28"/>
        <v>0</v>
      </c>
      <c r="H112" s="159">
        <f t="shared" si="28"/>
        <v>0</v>
      </c>
      <c r="I112" s="159">
        <f t="shared" si="28"/>
        <v>0</v>
      </c>
      <c r="J112" s="159">
        <f t="shared" si="27"/>
        <v>0</v>
      </c>
      <c r="K112" s="69"/>
      <c r="L112" s="319"/>
    </row>
    <row r="113" spans="2:12" s="37" customFormat="1" ht="15.75">
      <c r="B113" s="48"/>
      <c r="C113" s="160" t="s">
        <v>304</v>
      </c>
      <c r="D113" s="156">
        <f>$D$13*(F801ENE!D100)*$L113</f>
        <v>0</v>
      </c>
      <c r="E113" s="156">
        <f>$D$13*(F801ENE!E100)*$L113</f>
        <v>0</v>
      </c>
      <c r="F113" s="156">
        <f>$D$13*(F801ENE!F100)*$L113</f>
        <v>0</v>
      </c>
      <c r="G113" s="156">
        <f>$D$13*(F801ENE!G100)*$L113</f>
        <v>0</v>
      </c>
      <c r="H113" s="156">
        <f>$D$13*(F801ENE!H100)*$L113</f>
        <v>0</v>
      </c>
      <c r="I113" s="156">
        <f>$D$13*(F801ENE!I100)*$L113</f>
        <v>0</v>
      </c>
      <c r="J113" s="156">
        <f t="shared" si="27"/>
        <v>0</v>
      </c>
      <c r="K113" s="69"/>
      <c r="L113" s="319">
        <v>1</v>
      </c>
    </row>
    <row r="114" spans="2:12" s="37" customFormat="1" ht="15.75">
      <c r="B114" s="48"/>
      <c r="C114" s="162" t="s">
        <v>642</v>
      </c>
      <c r="D114" s="156">
        <f>$D$13*(F801ENE!D101)*$L114</f>
        <v>0</v>
      </c>
      <c r="E114" s="156">
        <f>$D$13*(F801ENE!E101)*$L114</f>
        <v>0</v>
      </c>
      <c r="F114" s="156">
        <f>$D$13*(F801ENE!F101)*$L114</f>
        <v>0</v>
      </c>
      <c r="G114" s="156">
        <f>$D$13*(F801ENE!G101)*$L114</f>
        <v>0</v>
      </c>
      <c r="H114" s="156">
        <f>$D$13*(F801ENE!H101)*$L114</f>
        <v>0</v>
      </c>
      <c r="I114" s="156">
        <f>$D$13*(F801ENE!I101)*$L114</f>
        <v>0</v>
      </c>
      <c r="J114" s="156">
        <f t="shared" si="27"/>
        <v>0</v>
      </c>
      <c r="K114" s="69"/>
      <c r="L114" s="319">
        <v>0.75</v>
      </c>
    </row>
    <row r="115" spans="2:12" s="37" customFormat="1" ht="15.75">
      <c r="B115" s="48"/>
      <c r="C115" s="162" t="s">
        <v>1177</v>
      </c>
      <c r="D115" s="156">
        <f>$D$13*(F801ENE!D102)*$L115</f>
        <v>0</v>
      </c>
      <c r="E115" s="156">
        <f>$D$13*(F801ENE!E102)*$L115</f>
        <v>0</v>
      </c>
      <c r="F115" s="156">
        <f>$D$13*(F801ENE!F102)*$L115</f>
        <v>0</v>
      </c>
      <c r="G115" s="156">
        <f>$D$13*(F801ENE!G102)*$L115</f>
        <v>0</v>
      </c>
      <c r="H115" s="156">
        <f>$D$13*(F801ENE!H102)*$L115</f>
        <v>0</v>
      </c>
      <c r="I115" s="156">
        <f>$D$13*(F801ENE!I102)*$L115</f>
        <v>0</v>
      </c>
      <c r="J115" s="156">
        <f>SUM(D115:I115)</f>
        <v>0</v>
      </c>
      <c r="K115" s="69"/>
      <c r="L115" s="319">
        <v>1</v>
      </c>
    </row>
    <row r="116" spans="2:12" s="37" customFormat="1" ht="15.75">
      <c r="B116" s="48"/>
      <c r="C116" s="160" t="s">
        <v>305</v>
      </c>
      <c r="D116" s="156">
        <f>$D$13*(F801ENE!D103)*$L116</f>
        <v>0</v>
      </c>
      <c r="E116" s="156">
        <f>$D$13*(F801ENE!E103)*$L116</f>
        <v>0</v>
      </c>
      <c r="F116" s="156">
        <f>$D$13*(F801ENE!F103)*$L116</f>
        <v>0</v>
      </c>
      <c r="G116" s="156">
        <f>$D$13*(F801ENE!G103)*$L116</f>
        <v>0</v>
      </c>
      <c r="H116" s="156">
        <f>$D$13*(F801ENE!H103)*$L116</f>
        <v>0</v>
      </c>
      <c r="I116" s="156">
        <f>$D$13*(F801ENE!I103)*$L116</f>
        <v>0</v>
      </c>
      <c r="J116" s="156">
        <f>SUM(D116:I116)</f>
        <v>0</v>
      </c>
      <c r="K116" s="69"/>
      <c r="L116" s="319">
        <v>0.95</v>
      </c>
    </row>
    <row r="117" spans="2:12" s="37" customFormat="1" ht="15.75">
      <c r="B117" s="48"/>
      <c r="C117" s="160" t="s">
        <v>307</v>
      </c>
      <c r="D117" s="156">
        <f>$D$13*(F801ENE!D104)*$L117</f>
        <v>0</v>
      </c>
      <c r="E117" s="156">
        <f>$D$13*(F801ENE!E104)*$L117</f>
        <v>0</v>
      </c>
      <c r="F117" s="156">
        <f>$D$13*(F801ENE!F104)*$L117</f>
        <v>0</v>
      </c>
      <c r="G117" s="156">
        <f>$D$13*(F801ENE!G104)*$L117</f>
        <v>0</v>
      </c>
      <c r="H117" s="156">
        <f>$D$13*(F801ENE!H104)*$L117</f>
        <v>0</v>
      </c>
      <c r="I117" s="156">
        <f>$D$13*(F801ENE!I104)*$L117</f>
        <v>0</v>
      </c>
      <c r="J117" s="156">
        <f>SUM(D117:I117)</f>
        <v>0</v>
      </c>
      <c r="K117" s="69"/>
      <c r="L117" s="319">
        <v>0.5</v>
      </c>
    </row>
    <row r="118" spans="2:12" s="37" customFormat="1" ht="15.75">
      <c r="B118" s="48"/>
      <c r="C118" s="160" t="s">
        <v>624</v>
      </c>
      <c r="D118" s="156">
        <f>$D$13*(F801ENE!D105)*$L118</f>
        <v>0</v>
      </c>
      <c r="E118" s="156">
        <f>$D$13*(F801ENE!E105)*$L118</f>
        <v>0</v>
      </c>
      <c r="F118" s="156">
        <f>$D$13*(F801ENE!F105)*$L118</f>
        <v>0</v>
      </c>
      <c r="G118" s="156">
        <f>$D$13*(F801ENE!G105)*$L118</f>
        <v>0</v>
      </c>
      <c r="H118" s="156">
        <f>$D$13*(F801ENE!H105)*$L118</f>
        <v>0</v>
      </c>
      <c r="I118" s="156">
        <f>$D$13*(F801ENE!I105)*$L118</f>
        <v>0</v>
      </c>
      <c r="J118" s="156">
        <f>SUM(D118:I118)</f>
        <v>0</v>
      </c>
      <c r="K118" s="69"/>
      <c r="L118" s="319">
        <v>0</v>
      </c>
    </row>
    <row r="119" spans="2:12" s="37" customFormat="1" ht="15.75">
      <c r="B119" s="48"/>
      <c r="C119" s="157"/>
      <c r="D119" s="156"/>
      <c r="E119" s="156"/>
      <c r="F119" s="156"/>
      <c r="G119" s="156"/>
      <c r="H119" s="156"/>
      <c r="I119" s="156"/>
      <c r="J119" s="156"/>
      <c r="K119" s="69"/>
      <c r="L119" s="341"/>
    </row>
    <row r="120" spans="2:12" s="37" customFormat="1" ht="15.75">
      <c r="B120" s="48"/>
      <c r="C120" s="153" t="s">
        <v>112</v>
      </c>
      <c r="D120" s="154">
        <f t="shared" ref="D120:I120" si="29">D43+D33+D29</f>
        <v>0</v>
      </c>
      <c r="E120" s="154">
        <f t="shared" si="29"/>
        <v>0</v>
      </c>
      <c r="F120" s="154">
        <f t="shared" si="29"/>
        <v>0</v>
      </c>
      <c r="G120" s="154">
        <f t="shared" si="29"/>
        <v>0</v>
      </c>
      <c r="H120" s="154">
        <f t="shared" si="29"/>
        <v>0</v>
      </c>
      <c r="I120" s="154">
        <f t="shared" si="29"/>
        <v>0</v>
      </c>
      <c r="J120" s="154">
        <f>SUM(D120:I120)</f>
        <v>0</v>
      </c>
      <c r="K120" s="69"/>
      <c r="L120" s="341"/>
    </row>
    <row r="121" spans="2:12">
      <c r="B121" s="48"/>
    </row>
    <row r="122" spans="2:12">
      <c r="B122" s="48" t="s">
        <v>902</v>
      </c>
      <c r="D122" s="64">
        <f t="shared" ref="D122:J131" si="30">SUMIF($B$28:$B$120,$B122,D$28:D$120)</f>
        <v>0</v>
      </c>
      <c r="E122" s="64">
        <f t="shared" si="30"/>
        <v>0</v>
      </c>
      <c r="F122" s="64">
        <f t="shared" si="30"/>
        <v>0</v>
      </c>
      <c r="G122" s="64">
        <f t="shared" si="30"/>
        <v>0</v>
      </c>
      <c r="H122" s="64">
        <f t="shared" si="30"/>
        <v>0</v>
      </c>
      <c r="I122" s="64">
        <f t="shared" si="30"/>
        <v>0</v>
      </c>
      <c r="J122" s="64">
        <f t="shared" si="30"/>
        <v>0</v>
      </c>
    </row>
    <row r="123" spans="2:12">
      <c r="B123" s="48" t="s">
        <v>751</v>
      </c>
      <c r="D123" s="64">
        <f t="shared" si="30"/>
        <v>0</v>
      </c>
      <c r="E123" s="64">
        <f t="shared" si="30"/>
        <v>0</v>
      </c>
      <c r="F123" s="64">
        <f t="shared" si="30"/>
        <v>0</v>
      </c>
      <c r="G123" s="64">
        <f t="shared" si="30"/>
        <v>0</v>
      </c>
      <c r="H123" s="64">
        <f t="shared" si="30"/>
        <v>0</v>
      </c>
      <c r="I123" s="64">
        <f t="shared" si="30"/>
        <v>0</v>
      </c>
      <c r="J123" s="64">
        <f t="shared" si="30"/>
        <v>0</v>
      </c>
    </row>
    <row r="124" spans="2:12">
      <c r="B124" s="48" t="s">
        <v>750</v>
      </c>
      <c r="D124" s="64">
        <f t="shared" si="30"/>
        <v>0</v>
      </c>
      <c r="E124" s="64">
        <f t="shared" si="30"/>
        <v>0</v>
      </c>
      <c r="F124" s="64">
        <f t="shared" si="30"/>
        <v>0</v>
      </c>
      <c r="G124" s="64">
        <f t="shared" si="30"/>
        <v>0</v>
      </c>
      <c r="H124" s="64">
        <f t="shared" si="30"/>
        <v>0</v>
      </c>
      <c r="I124" s="64">
        <f t="shared" si="30"/>
        <v>0</v>
      </c>
      <c r="J124" s="64">
        <f t="shared" si="30"/>
        <v>0</v>
      </c>
    </row>
    <row r="125" spans="2:12">
      <c r="B125" s="48" t="s">
        <v>749</v>
      </c>
      <c r="D125" s="64">
        <f t="shared" si="30"/>
        <v>0</v>
      </c>
      <c r="E125" s="64">
        <f t="shared" si="30"/>
        <v>0</v>
      </c>
      <c r="F125" s="64">
        <f t="shared" si="30"/>
        <v>0</v>
      </c>
      <c r="G125" s="64">
        <f t="shared" si="30"/>
        <v>0</v>
      </c>
      <c r="H125" s="64">
        <f t="shared" si="30"/>
        <v>0</v>
      </c>
      <c r="I125" s="64">
        <f t="shared" si="30"/>
        <v>0</v>
      </c>
      <c r="J125" s="64">
        <f t="shared" si="30"/>
        <v>0</v>
      </c>
    </row>
    <row r="126" spans="2:12">
      <c r="B126" s="48" t="s">
        <v>1176</v>
      </c>
      <c r="D126" s="64">
        <f t="shared" si="30"/>
        <v>0</v>
      </c>
      <c r="E126" s="64">
        <f t="shared" si="30"/>
        <v>0</v>
      </c>
      <c r="F126" s="64">
        <f t="shared" si="30"/>
        <v>0</v>
      </c>
      <c r="G126" s="64">
        <f t="shared" si="30"/>
        <v>0</v>
      </c>
      <c r="H126" s="64">
        <f t="shared" si="30"/>
        <v>0</v>
      </c>
      <c r="I126" s="64">
        <f t="shared" si="30"/>
        <v>0</v>
      </c>
      <c r="J126" s="64">
        <f t="shared" si="30"/>
        <v>0</v>
      </c>
    </row>
    <row r="127" spans="2:12">
      <c r="B127" s="48" t="s">
        <v>274</v>
      </c>
      <c r="D127" s="64">
        <f t="shared" si="30"/>
        <v>0</v>
      </c>
      <c r="E127" s="64">
        <f t="shared" si="30"/>
        <v>0</v>
      </c>
      <c r="F127" s="64">
        <f t="shared" si="30"/>
        <v>0</v>
      </c>
      <c r="G127" s="64">
        <f t="shared" si="30"/>
        <v>0</v>
      </c>
      <c r="H127" s="64">
        <f t="shared" si="30"/>
        <v>0</v>
      </c>
      <c r="I127" s="64">
        <f t="shared" si="30"/>
        <v>0</v>
      </c>
      <c r="J127" s="64">
        <f t="shared" si="30"/>
        <v>0</v>
      </c>
    </row>
    <row r="128" spans="2:12">
      <c r="B128" s="48" t="s">
        <v>275</v>
      </c>
      <c r="D128" s="64">
        <f t="shared" si="30"/>
        <v>0</v>
      </c>
      <c r="E128" s="64">
        <f t="shared" si="30"/>
        <v>0</v>
      </c>
      <c r="F128" s="64">
        <f t="shared" si="30"/>
        <v>0</v>
      </c>
      <c r="G128" s="64">
        <f t="shared" si="30"/>
        <v>0</v>
      </c>
      <c r="H128" s="64">
        <f t="shared" si="30"/>
        <v>0</v>
      </c>
      <c r="I128" s="64">
        <f t="shared" si="30"/>
        <v>0</v>
      </c>
      <c r="J128" s="64">
        <f t="shared" si="30"/>
        <v>0</v>
      </c>
    </row>
    <row r="129" spans="2:10">
      <c r="B129" s="48" t="s">
        <v>276</v>
      </c>
      <c r="D129" s="64">
        <f t="shared" si="30"/>
        <v>0</v>
      </c>
      <c r="E129" s="64">
        <f t="shared" si="30"/>
        <v>0</v>
      </c>
      <c r="F129" s="64">
        <f t="shared" si="30"/>
        <v>0</v>
      </c>
      <c r="G129" s="64">
        <f t="shared" si="30"/>
        <v>0</v>
      </c>
      <c r="H129" s="64">
        <f t="shared" si="30"/>
        <v>0</v>
      </c>
      <c r="I129" s="64">
        <f t="shared" si="30"/>
        <v>0</v>
      </c>
      <c r="J129" s="64">
        <f t="shared" si="30"/>
        <v>0</v>
      </c>
    </row>
    <row r="130" spans="2:10">
      <c r="B130" s="48" t="s">
        <v>277</v>
      </c>
      <c r="D130" s="64">
        <f t="shared" si="30"/>
        <v>0</v>
      </c>
      <c r="E130" s="64">
        <f t="shared" si="30"/>
        <v>0</v>
      </c>
      <c r="F130" s="64">
        <f t="shared" si="30"/>
        <v>0</v>
      </c>
      <c r="G130" s="64">
        <f t="shared" si="30"/>
        <v>0</v>
      </c>
      <c r="H130" s="64">
        <f t="shared" si="30"/>
        <v>0</v>
      </c>
      <c r="I130" s="64">
        <f t="shared" si="30"/>
        <v>0</v>
      </c>
      <c r="J130" s="64">
        <f t="shared" si="30"/>
        <v>0</v>
      </c>
    </row>
    <row r="131" spans="2:10">
      <c r="B131" s="48" t="s">
        <v>278</v>
      </c>
      <c r="D131" s="64">
        <f t="shared" si="30"/>
        <v>0</v>
      </c>
      <c r="E131" s="64">
        <f t="shared" si="30"/>
        <v>0</v>
      </c>
      <c r="F131" s="64">
        <f t="shared" si="30"/>
        <v>0</v>
      </c>
      <c r="G131" s="64">
        <f t="shared" si="30"/>
        <v>0</v>
      </c>
      <c r="H131" s="64">
        <f t="shared" si="30"/>
        <v>0</v>
      </c>
      <c r="I131" s="64">
        <f t="shared" si="30"/>
        <v>0</v>
      </c>
      <c r="J131" s="64">
        <f t="shared" si="30"/>
        <v>0</v>
      </c>
    </row>
    <row r="132" spans="2:10">
      <c r="B132" s="48" t="s">
        <v>279</v>
      </c>
      <c r="D132" s="64">
        <f t="shared" ref="D132:J139" si="31">SUMIF($B$28:$B$120,$B132,D$28:D$120)</f>
        <v>0</v>
      </c>
      <c r="E132" s="64">
        <f t="shared" si="31"/>
        <v>0</v>
      </c>
      <c r="F132" s="64">
        <f t="shared" si="31"/>
        <v>0</v>
      </c>
      <c r="G132" s="64">
        <f t="shared" si="31"/>
        <v>0</v>
      </c>
      <c r="H132" s="64">
        <f t="shared" si="31"/>
        <v>0</v>
      </c>
      <c r="I132" s="64">
        <f t="shared" si="31"/>
        <v>0</v>
      </c>
      <c r="J132" s="64">
        <f t="shared" si="31"/>
        <v>0</v>
      </c>
    </row>
    <row r="133" spans="2:10">
      <c r="B133" s="48" t="s">
        <v>875</v>
      </c>
      <c r="D133" s="64">
        <f t="shared" si="31"/>
        <v>0</v>
      </c>
      <c r="E133" s="64">
        <f t="shared" si="31"/>
        <v>0</v>
      </c>
      <c r="F133" s="64">
        <f t="shared" si="31"/>
        <v>0</v>
      </c>
      <c r="G133" s="64">
        <f t="shared" si="31"/>
        <v>0</v>
      </c>
      <c r="H133" s="64">
        <f t="shared" si="31"/>
        <v>0</v>
      </c>
      <c r="I133" s="64">
        <f t="shared" si="31"/>
        <v>0</v>
      </c>
      <c r="J133" s="64">
        <f t="shared" si="31"/>
        <v>0</v>
      </c>
    </row>
    <row r="134" spans="2:10">
      <c r="B134" s="48" t="s">
        <v>874</v>
      </c>
      <c r="D134" s="64">
        <f t="shared" si="31"/>
        <v>0</v>
      </c>
      <c r="E134" s="64">
        <f t="shared" si="31"/>
        <v>0</v>
      </c>
      <c r="F134" s="64">
        <f t="shared" si="31"/>
        <v>0</v>
      </c>
      <c r="G134" s="64">
        <f t="shared" si="31"/>
        <v>0</v>
      </c>
      <c r="H134" s="64">
        <f t="shared" si="31"/>
        <v>0</v>
      </c>
      <c r="I134" s="64">
        <f t="shared" si="31"/>
        <v>0</v>
      </c>
      <c r="J134" s="64">
        <f t="shared" si="31"/>
        <v>0</v>
      </c>
    </row>
    <row r="135" spans="2:10">
      <c r="B135" s="48" t="s">
        <v>873</v>
      </c>
      <c r="D135" s="64">
        <f t="shared" si="31"/>
        <v>0</v>
      </c>
      <c r="E135" s="64">
        <f t="shared" si="31"/>
        <v>0</v>
      </c>
      <c r="F135" s="64">
        <f t="shared" si="31"/>
        <v>0</v>
      </c>
      <c r="G135" s="64">
        <f t="shared" si="31"/>
        <v>0</v>
      </c>
      <c r="H135" s="64">
        <f t="shared" si="31"/>
        <v>0</v>
      </c>
      <c r="I135" s="64">
        <f t="shared" si="31"/>
        <v>0</v>
      </c>
      <c r="J135" s="64">
        <f t="shared" si="31"/>
        <v>0</v>
      </c>
    </row>
    <row r="136" spans="2:10">
      <c r="B136" s="48" t="s">
        <v>872</v>
      </c>
      <c r="D136" s="64">
        <f t="shared" si="31"/>
        <v>0</v>
      </c>
      <c r="E136" s="64">
        <f t="shared" si="31"/>
        <v>0</v>
      </c>
      <c r="F136" s="64">
        <f t="shared" si="31"/>
        <v>0</v>
      </c>
      <c r="G136" s="64">
        <f t="shared" si="31"/>
        <v>0</v>
      </c>
      <c r="H136" s="64">
        <f t="shared" si="31"/>
        <v>0</v>
      </c>
      <c r="I136" s="64">
        <f t="shared" si="31"/>
        <v>0</v>
      </c>
      <c r="J136" s="64">
        <f t="shared" si="31"/>
        <v>0</v>
      </c>
    </row>
    <row r="137" spans="2:10">
      <c r="B137" s="48" t="s">
        <v>871</v>
      </c>
      <c r="D137" s="64">
        <f t="shared" si="31"/>
        <v>0</v>
      </c>
      <c r="E137" s="64">
        <f t="shared" si="31"/>
        <v>0</v>
      </c>
      <c r="F137" s="64">
        <f t="shared" si="31"/>
        <v>0</v>
      </c>
      <c r="G137" s="64">
        <f t="shared" si="31"/>
        <v>0</v>
      </c>
      <c r="H137" s="64">
        <f t="shared" si="31"/>
        <v>0</v>
      </c>
      <c r="I137" s="64">
        <f t="shared" si="31"/>
        <v>0</v>
      </c>
      <c r="J137" s="64">
        <f t="shared" si="31"/>
        <v>0</v>
      </c>
    </row>
    <row r="138" spans="2:10">
      <c r="B138" s="48" t="s">
        <v>870</v>
      </c>
      <c r="D138" s="64">
        <f t="shared" si="31"/>
        <v>0</v>
      </c>
      <c r="E138" s="64">
        <f t="shared" si="31"/>
        <v>0</v>
      </c>
      <c r="F138" s="64">
        <f t="shared" si="31"/>
        <v>0</v>
      </c>
      <c r="G138" s="64">
        <f t="shared" si="31"/>
        <v>0</v>
      </c>
      <c r="H138" s="64">
        <f t="shared" si="31"/>
        <v>0</v>
      </c>
      <c r="I138" s="64">
        <f t="shared" si="31"/>
        <v>0</v>
      </c>
      <c r="J138" s="64">
        <f t="shared" si="31"/>
        <v>0</v>
      </c>
    </row>
    <row r="139" spans="2:10">
      <c r="B139" s="48" t="s">
        <v>890</v>
      </c>
      <c r="D139" s="64">
        <f t="shared" si="31"/>
        <v>0</v>
      </c>
      <c r="E139" s="64">
        <f t="shared" si="31"/>
        <v>0</v>
      </c>
      <c r="F139" s="64">
        <f t="shared" si="31"/>
        <v>0</v>
      </c>
      <c r="G139" s="64">
        <f t="shared" si="31"/>
        <v>0</v>
      </c>
      <c r="H139" s="64">
        <f t="shared" si="31"/>
        <v>0</v>
      </c>
      <c r="I139" s="64">
        <f t="shared" si="31"/>
        <v>0</v>
      </c>
      <c r="J139" s="64">
        <f t="shared" si="31"/>
        <v>0</v>
      </c>
    </row>
    <row r="140" spans="2:10">
      <c r="B140" s="48" t="s">
        <v>111</v>
      </c>
      <c r="D140" s="65">
        <f>SUM(D122:D139)</f>
        <v>0</v>
      </c>
      <c r="E140" s="65">
        <f t="shared" ref="E140:J140" si="32">SUM(E122:E139)</f>
        <v>0</v>
      </c>
      <c r="F140" s="65">
        <f t="shared" si="32"/>
        <v>0</v>
      </c>
      <c r="G140" s="65">
        <f t="shared" si="32"/>
        <v>0</v>
      </c>
      <c r="H140" s="65">
        <f t="shared" si="32"/>
        <v>0</v>
      </c>
      <c r="I140" s="65">
        <f t="shared" si="32"/>
        <v>0</v>
      </c>
      <c r="J140" s="65">
        <f t="shared" si="32"/>
        <v>0</v>
      </c>
    </row>
    <row r="141" spans="2:10">
      <c r="B141" s="48"/>
      <c r="D141" s="66">
        <f>D140-D120</f>
        <v>0</v>
      </c>
      <c r="E141" s="66">
        <f t="shared" ref="E141:J141" si="33">E140-E120</f>
        <v>0</v>
      </c>
      <c r="F141" s="66">
        <f t="shared" si="33"/>
        <v>0</v>
      </c>
      <c r="G141" s="66">
        <f t="shared" si="33"/>
        <v>0</v>
      </c>
      <c r="H141" s="66">
        <f t="shared" si="33"/>
        <v>0</v>
      </c>
      <c r="I141" s="66">
        <f t="shared" si="33"/>
        <v>0</v>
      </c>
      <c r="J141" s="66">
        <f t="shared" si="33"/>
        <v>0</v>
      </c>
    </row>
  </sheetData>
  <printOptions horizontalCentered="1" verticalCentered="1"/>
  <pageMargins left="0.39370078740157483" right="0.39370078740157483" top="0.39370078740157483" bottom="0.39370078740157483" header="0.31496062992125984" footer="0.23622047244094491"/>
  <pageSetup scale="44" orientation="portrait" horizontalDpi="300" r:id="rId1"/>
  <headerFooter alignWithMargins="0">
    <oddHeader>&amp;L
NOMBRE DE LA DISTRIBUIDORA: &amp;UENSA.&amp;R&amp;9&amp;A</oddHeader>
  </headerFooter>
  <rowBreaks count="1" manualBreakCount="1">
    <brk id="120" max="9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7">
    <tabColor theme="5" tint="0.39997558519241921"/>
  </sheetPr>
  <dimension ref="B1:L141"/>
  <sheetViews>
    <sheetView view="pageBreakPreview" zoomScale="70" zoomScaleNormal="85" zoomScaleSheetLayoutView="70" workbookViewId="0"/>
  </sheetViews>
  <sheetFormatPr baseColWidth="10" defaultColWidth="8" defaultRowHeight="15"/>
  <cols>
    <col min="1" max="1" width="1.875" style="63" customWidth="1"/>
    <col min="2" max="2" width="6" style="63" customWidth="1"/>
    <col min="3" max="3" width="28.625" style="63" customWidth="1"/>
    <col min="4" max="4" width="11.75" style="63" customWidth="1"/>
    <col min="5" max="5" width="12.625" style="63" customWidth="1"/>
    <col min="6" max="6" width="12.75" style="63" customWidth="1"/>
    <col min="7" max="7" width="13.25" style="63" customWidth="1"/>
    <col min="8" max="8" width="13.875" style="63" customWidth="1"/>
    <col min="9" max="9" width="11.5" style="63" customWidth="1"/>
    <col min="10" max="10" width="13.125" style="63" customWidth="1"/>
    <col min="11" max="11" width="2.25" style="63" customWidth="1"/>
    <col min="12" max="12" width="4.25" style="345" bestFit="1" customWidth="1"/>
    <col min="13" max="16384" width="8" style="63"/>
  </cols>
  <sheetData>
    <row r="1" spans="3:12" s="69" customFormat="1" ht="15.75">
      <c r="C1" s="136" t="s">
        <v>151</v>
      </c>
      <c r="E1" s="63"/>
      <c r="L1" s="341"/>
    </row>
    <row r="2" spans="3:12" s="69" customFormat="1" ht="15.75">
      <c r="C2" s="136"/>
      <c r="E2" s="137" t="s">
        <v>138</v>
      </c>
      <c r="L2" s="341"/>
    </row>
    <row r="3" spans="3:12" s="69" customFormat="1" ht="15.75">
      <c r="D3" s="137"/>
      <c r="L3" s="341"/>
    </row>
    <row r="4" spans="3:12" s="69" customFormat="1" ht="15.75">
      <c r="C4" s="219" t="s">
        <v>1529</v>
      </c>
      <c r="D4" s="338"/>
      <c r="E4" s="338"/>
      <c r="F4" s="338"/>
      <c r="G4" s="338"/>
      <c r="H4" s="338"/>
      <c r="I4" s="338"/>
      <c r="J4" s="339"/>
      <c r="L4" s="341"/>
    </row>
    <row r="5" spans="3:12" s="69" customFormat="1" ht="15.75">
      <c r="C5" s="342"/>
      <c r="D5" s="322"/>
      <c r="E5" s="323"/>
      <c r="F5" s="322"/>
      <c r="G5" s="322"/>
      <c r="H5" s="342"/>
      <c r="I5" s="342"/>
      <c r="L5" s="341"/>
    </row>
    <row r="6" spans="3:12" s="58" customFormat="1" ht="30.95" customHeight="1">
      <c r="C6" s="343" t="s">
        <v>854</v>
      </c>
      <c r="D6" s="344" t="s">
        <v>236</v>
      </c>
      <c r="E6" s="323"/>
      <c r="F6" s="322"/>
      <c r="G6" s="322"/>
      <c r="H6" s="342"/>
      <c r="I6" s="342"/>
      <c r="J6" s="69"/>
      <c r="L6" s="345"/>
    </row>
    <row r="7" spans="3:12" s="143" customFormat="1" ht="15.75">
      <c r="C7" s="144" t="s">
        <v>266</v>
      </c>
      <c r="D7" s="144">
        <f>RAT1000PT!$N$137</f>
        <v>0</v>
      </c>
      <c r="E7" s="322"/>
      <c r="F7" s="322"/>
      <c r="G7" s="322"/>
      <c r="H7" s="342"/>
      <c r="I7" s="342"/>
      <c r="J7" s="69"/>
      <c r="L7" s="345"/>
    </row>
    <row r="8" spans="3:12" s="143" customFormat="1" ht="15.75">
      <c r="C8" s="144" t="s">
        <v>265</v>
      </c>
      <c r="D8" s="144">
        <f>RAT1000PT!$N$136</f>
        <v>0</v>
      </c>
      <c r="E8" s="322"/>
      <c r="F8" s="322"/>
      <c r="G8" s="322"/>
      <c r="H8" s="342"/>
      <c r="I8" s="342"/>
      <c r="J8" s="69"/>
      <c r="L8" s="345"/>
    </row>
    <row r="9" spans="3:12" s="143" customFormat="1" ht="15.75">
      <c r="C9" s="144" t="s">
        <v>264</v>
      </c>
      <c r="D9" s="144">
        <f>RAT1000PT!$N$135</f>
        <v>0</v>
      </c>
      <c r="E9" s="322"/>
      <c r="F9" s="322"/>
      <c r="G9" s="322"/>
      <c r="H9" s="342"/>
      <c r="I9" s="342"/>
      <c r="J9" s="69"/>
      <c r="L9" s="345"/>
    </row>
    <row r="10" spans="3:12" s="143" customFormat="1" ht="15.75">
      <c r="C10" s="144" t="s">
        <v>262</v>
      </c>
      <c r="D10" s="144">
        <f>RAT1000PT!$N$134</f>
        <v>0</v>
      </c>
      <c r="E10" s="322"/>
      <c r="F10" s="322"/>
      <c r="G10" s="322"/>
      <c r="H10" s="342"/>
      <c r="I10" s="342"/>
      <c r="J10" s="69"/>
      <c r="L10" s="345"/>
    </row>
    <row r="11" spans="3:12" s="143" customFormat="1" ht="15.75">
      <c r="C11" s="144" t="s">
        <v>263</v>
      </c>
      <c r="D11" s="144">
        <f>RAT1000PT!$N$133</f>
        <v>0</v>
      </c>
      <c r="E11" s="322"/>
      <c r="F11" s="322"/>
      <c r="G11" s="322"/>
      <c r="H11" s="342"/>
      <c r="I11" s="342"/>
      <c r="J11" s="69"/>
      <c r="L11" s="345"/>
    </row>
    <row r="12" spans="3:12" s="143" customFormat="1" ht="15.75">
      <c r="C12" s="144" t="s">
        <v>261</v>
      </c>
      <c r="D12" s="144">
        <f>RAT1000PT!$N$132</f>
        <v>0</v>
      </c>
      <c r="E12" s="322"/>
      <c r="F12" s="322"/>
      <c r="G12" s="322"/>
      <c r="H12" s="342"/>
      <c r="I12" s="342"/>
      <c r="J12" s="69"/>
      <c r="L12" s="345"/>
    </row>
    <row r="13" spans="3:12" s="143" customFormat="1" ht="15.75">
      <c r="C13" s="144" t="s">
        <v>267</v>
      </c>
      <c r="D13" s="144">
        <f>RAT1000PT!$N$130</f>
        <v>0</v>
      </c>
      <c r="E13" s="322"/>
      <c r="F13" s="322"/>
      <c r="G13" s="322"/>
      <c r="H13" s="342"/>
      <c r="I13" s="342"/>
      <c r="J13" s="69"/>
      <c r="L13" s="345"/>
    </row>
    <row r="14" spans="3:12" s="143" customFormat="1" ht="15.75">
      <c r="C14" s="144" t="s">
        <v>1178</v>
      </c>
      <c r="D14" s="144">
        <f>RAT1000PT!$N$131</f>
        <v>0</v>
      </c>
      <c r="E14" s="322"/>
      <c r="F14" s="322"/>
      <c r="G14" s="322"/>
      <c r="H14" s="342"/>
      <c r="I14" s="342"/>
      <c r="J14" s="69"/>
      <c r="L14" s="345"/>
    </row>
    <row r="15" spans="3:12" s="143" customFormat="1" ht="13.5">
      <c r="C15" s="147"/>
      <c r="E15" s="1010"/>
      <c r="F15" s="1010"/>
      <c r="G15" s="1010"/>
      <c r="H15" s="1010"/>
      <c r="I15" s="1010"/>
      <c r="J15" s="38"/>
      <c r="L15" s="1011"/>
    </row>
    <row r="16" spans="3:12" s="1004" customFormat="1" ht="5.25">
      <c r="C16" s="1005"/>
      <c r="E16" s="1006"/>
      <c r="F16" s="1006"/>
      <c r="G16" s="1006"/>
      <c r="H16" s="1006"/>
      <c r="I16" s="1006"/>
      <c r="J16" s="1007"/>
      <c r="L16" s="1008"/>
    </row>
    <row r="17" spans="2:12" s="1004" customFormat="1" ht="5.25">
      <c r="C17" s="1005"/>
      <c r="J17" s="1009"/>
      <c r="L17" s="1008"/>
    </row>
    <row r="18" spans="2:12" s="1004" customFormat="1" ht="5.25">
      <c r="C18" s="1005"/>
      <c r="J18" s="1009"/>
      <c r="L18" s="1008"/>
    </row>
    <row r="19" spans="2:12" s="1004" customFormat="1" ht="5.25">
      <c r="C19" s="1005"/>
      <c r="J19" s="1009"/>
      <c r="L19" s="1008"/>
    </row>
    <row r="20" spans="2:12" s="1004" customFormat="1" ht="5.25">
      <c r="C20" s="1005"/>
      <c r="J20" s="1009"/>
      <c r="L20" s="1008"/>
    </row>
    <row r="21" spans="2:12" s="1004" customFormat="1" ht="5.25">
      <c r="C21" s="1005"/>
      <c r="J21" s="1009"/>
      <c r="L21" s="1008"/>
    </row>
    <row r="22" spans="2:12" s="1004" customFormat="1" ht="5.25">
      <c r="C22" s="1005"/>
      <c r="J22" s="1009"/>
      <c r="L22" s="1008"/>
    </row>
    <row r="23" spans="2:12" s="1004" customFormat="1" ht="5.25">
      <c r="C23" s="1005"/>
      <c r="J23" s="1009"/>
      <c r="L23" s="1008"/>
    </row>
    <row r="24" spans="2:12" s="1004" customFormat="1" ht="5.25">
      <c r="C24" s="1005"/>
      <c r="J24" s="1009"/>
      <c r="L24" s="1008"/>
    </row>
    <row r="25" spans="2:12" s="1004" customFormat="1" ht="5.25">
      <c r="C25" s="1005"/>
      <c r="J25" s="1009"/>
      <c r="L25" s="1008"/>
    </row>
    <row r="26" spans="2:12" s="1004" customFormat="1" ht="5.25">
      <c r="C26" s="1005"/>
      <c r="J26" s="1009"/>
      <c r="L26" s="1008"/>
    </row>
    <row r="27" spans="2:12" s="69" customFormat="1" ht="15.75">
      <c r="C27" s="1002" t="str">
        <f>C4</f>
        <v>Ingresos Estimados = Cargos Totales P por Ventas Estimadas P</v>
      </c>
      <c r="D27" s="1002"/>
      <c r="E27" s="1002"/>
      <c r="F27" s="1002"/>
      <c r="G27" s="1002"/>
      <c r="H27" s="1002"/>
      <c r="I27" s="1002"/>
      <c r="J27" s="1003"/>
      <c r="L27" s="345" t="s">
        <v>678</v>
      </c>
    </row>
    <row r="28" spans="2:12" s="37" customFormat="1" ht="15.75">
      <c r="C28" s="346" t="s">
        <v>310</v>
      </c>
      <c r="D28" s="347">
        <f>F801ENE!D4</f>
        <v>46204</v>
      </c>
      <c r="E28" s="347">
        <f>F801ENE!E4</f>
        <v>46235</v>
      </c>
      <c r="F28" s="347">
        <f>F801ENE!F4</f>
        <v>46266</v>
      </c>
      <c r="G28" s="347">
        <f>F801ENE!G4</f>
        <v>46296</v>
      </c>
      <c r="H28" s="347">
        <f>F801ENE!H4</f>
        <v>46327</v>
      </c>
      <c r="I28" s="347">
        <f>F801ENE!I4</f>
        <v>46357</v>
      </c>
      <c r="J28" s="348" t="s">
        <v>111</v>
      </c>
      <c r="K28" s="69"/>
      <c r="L28" s="349"/>
    </row>
    <row r="29" spans="2:12" s="37" customFormat="1" ht="15.75" customHeight="1">
      <c r="B29" s="48"/>
      <c r="C29" s="153" t="s">
        <v>446</v>
      </c>
      <c r="D29" s="154">
        <f t="shared" ref="D29:I29" si="0">SUM(D30:D31)</f>
        <v>0</v>
      </c>
      <c r="E29" s="154">
        <f t="shared" si="0"/>
        <v>0</v>
      </c>
      <c r="F29" s="154">
        <f t="shared" si="0"/>
        <v>0</v>
      </c>
      <c r="G29" s="154">
        <f t="shared" si="0"/>
        <v>0</v>
      </c>
      <c r="H29" s="154">
        <f t="shared" si="0"/>
        <v>0</v>
      </c>
      <c r="I29" s="154">
        <f t="shared" si="0"/>
        <v>0</v>
      </c>
      <c r="J29" s="154">
        <f>SUM(D29:I29)</f>
        <v>0</v>
      </c>
      <c r="K29" s="69"/>
      <c r="L29" s="350"/>
    </row>
    <row r="30" spans="2:12" s="37" customFormat="1" ht="15.75" customHeight="1">
      <c r="B30" s="48" t="s">
        <v>279</v>
      </c>
      <c r="C30" s="155" t="s">
        <v>279</v>
      </c>
      <c r="D30" s="156">
        <f>$D$7*F801ENE!D6</f>
        <v>0</v>
      </c>
      <c r="E30" s="156">
        <f>$D$7*F801ENE!E6</f>
        <v>0</v>
      </c>
      <c r="F30" s="156">
        <f>$D$7*F801ENE!F6</f>
        <v>0</v>
      </c>
      <c r="G30" s="156">
        <f>$D$7*F801ENE!G6</f>
        <v>0</v>
      </c>
      <c r="H30" s="156">
        <f>$D$7*F801ENE!H6</f>
        <v>0</v>
      </c>
      <c r="I30" s="156">
        <f>$D$7*F801ENE!I6</f>
        <v>0</v>
      </c>
      <c r="J30" s="156">
        <f>SUM(D30:I30)</f>
        <v>0</v>
      </c>
      <c r="K30" s="69"/>
      <c r="L30" s="341"/>
    </row>
    <row r="31" spans="2:12" s="37" customFormat="1" ht="15.75" customHeight="1">
      <c r="B31" s="48" t="s">
        <v>278</v>
      </c>
      <c r="C31" s="155" t="s">
        <v>278</v>
      </c>
      <c r="D31" s="156">
        <f>$D$8*F801ENE!D7</f>
        <v>0</v>
      </c>
      <c r="E31" s="156">
        <f>$D$8*F801ENE!E7</f>
        <v>0</v>
      </c>
      <c r="F31" s="156">
        <f>$D$8*F801ENE!F7</f>
        <v>0</v>
      </c>
      <c r="G31" s="156">
        <f>$D$8*F801ENE!G7</f>
        <v>0</v>
      </c>
      <c r="H31" s="156">
        <f>$D$8*F801ENE!H7</f>
        <v>0</v>
      </c>
      <c r="I31" s="156">
        <f>$D$8*F801ENE!I7</f>
        <v>0</v>
      </c>
      <c r="J31" s="156">
        <f>SUM(D31:I31)</f>
        <v>0</v>
      </c>
      <c r="K31" s="69"/>
      <c r="L31" s="351"/>
    </row>
    <row r="32" spans="2:12" s="37" customFormat="1" ht="15.75" customHeight="1">
      <c r="B32" s="48"/>
      <c r="C32" s="157"/>
      <c r="D32" s="156"/>
      <c r="E32" s="156"/>
      <c r="F32" s="156"/>
      <c r="G32" s="156"/>
      <c r="H32" s="156"/>
      <c r="I32" s="156"/>
      <c r="J32" s="156"/>
      <c r="K32" s="69"/>
      <c r="L32" s="350"/>
    </row>
    <row r="33" spans="2:12" s="37" customFormat="1" ht="15.75" customHeight="1">
      <c r="B33" s="48"/>
      <c r="C33" s="153" t="s">
        <v>630</v>
      </c>
      <c r="D33" s="154">
        <f>D34+D37</f>
        <v>0</v>
      </c>
      <c r="E33" s="154">
        <f t="shared" ref="E33:J33" si="1">E34+E37</f>
        <v>0</v>
      </c>
      <c r="F33" s="154">
        <f t="shared" si="1"/>
        <v>0</v>
      </c>
      <c r="G33" s="154">
        <f t="shared" si="1"/>
        <v>0</v>
      </c>
      <c r="H33" s="154">
        <f t="shared" si="1"/>
        <v>0</v>
      </c>
      <c r="I33" s="154">
        <f t="shared" si="1"/>
        <v>0</v>
      </c>
      <c r="J33" s="154">
        <f t="shared" si="1"/>
        <v>0</v>
      </c>
      <c r="K33" s="69"/>
      <c r="L33" s="341"/>
    </row>
    <row r="34" spans="2:12" s="37" customFormat="1" ht="15.75" customHeight="1">
      <c r="B34" s="48" t="s">
        <v>277</v>
      </c>
      <c r="C34" s="155" t="s">
        <v>277</v>
      </c>
      <c r="D34" s="154">
        <f>SUM(D35:D36)</f>
        <v>0</v>
      </c>
      <c r="E34" s="154">
        <f t="shared" ref="E34:J34" si="2">SUM(E35:E36)</f>
        <v>0</v>
      </c>
      <c r="F34" s="154">
        <f t="shared" si="2"/>
        <v>0</v>
      </c>
      <c r="G34" s="154">
        <f t="shared" si="2"/>
        <v>0</v>
      </c>
      <c r="H34" s="154">
        <f t="shared" si="2"/>
        <v>0</v>
      </c>
      <c r="I34" s="154">
        <f t="shared" si="2"/>
        <v>0</v>
      </c>
      <c r="J34" s="154">
        <f t="shared" si="2"/>
        <v>0</v>
      </c>
      <c r="K34" s="69"/>
      <c r="L34" s="341"/>
    </row>
    <row r="35" spans="2:12" s="37" customFormat="1" ht="15.75" customHeight="1">
      <c r="B35" s="48"/>
      <c r="C35" s="160" t="s">
        <v>304</v>
      </c>
      <c r="D35" s="156">
        <f>$D$9*F801ENE!D11*$L35</f>
        <v>0</v>
      </c>
      <c r="E35" s="156">
        <f>$D$9*F801ENE!E11*$L35</f>
        <v>0</v>
      </c>
      <c r="F35" s="156">
        <f>$D$9*F801ENE!F11*$L35</f>
        <v>0</v>
      </c>
      <c r="G35" s="156">
        <f>$D$9*F801ENE!G11*$L35</f>
        <v>0</v>
      </c>
      <c r="H35" s="156">
        <f>$D$9*F801ENE!H11*$L35</f>
        <v>0</v>
      </c>
      <c r="I35" s="156">
        <f>$D$9*F801ENE!I11*$L35</f>
        <v>0</v>
      </c>
      <c r="J35" s="156">
        <f t="shared" ref="J35:J41" si="3">SUM(D35:I35)</f>
        <v>0</v>
      </c>
      <c r="K35" s="69"/>
      <c r="L35" s="319">
        <v>1</v>
      </c>
    </row>
    <row r="36" spans="2:12" s="37" customFormat="1" ht="15.75" customHeight="1">
      <c r="B36" s="48"/>
      <c r="C36" s="160" t="s">
        <v>305</v>
      </c>
      <c r="D36" s="156">
        <f>$D$9*F801ENE!D12*$L36</f>
        <v>0</v>
      </c>
      <c r="E36" s="156">
        <f>$D$9*F801ENE!E12*$L36</f>
        <v>0</v>
      </c>
      <c r="F36" s="156">
        <f>$D$9*F801ENE!F12*$L36</f>
        <v>0</v>
      </c>
      <c r="G36" s="156">
        <f>$D$9*F801ENE!G12*$L36</f>
        <v>0</v>
      </c>
      <c r="H36" s="156">
        <f>$D$9*F801ENE!H12*$L36</f>
        <v>0</v>
      </c>
      <c r="I36" s="156">
        <f>$D$9*F801ENE!I12*$L36</f>
        <v>0</v>
      </c>
      <c r="J36" s="156">
        <f t="shared" si="3"/>
        <v>0</v>
      </c>
      <c r="K36" s="69"/>
      <c r="L36" s="319">
        <v>0.95</v>
      </c>
    </row>
    <row r="37" spans="2:12" s="37" customFormat="1" ht="15.75" customHeight="1">
      <c r="B37" s="48" t="s">
        <v>276</v>
      </c>
      <c r="C37" s="158" t="s">
        <v>276</v>
      </c>
      <c r="D37" s="159">
        <f t="shared" ref="D37:I37" si="4">SUM(D38:D41)</f>
        <v>0</v>
      </c>
      <c r="E37" s="159">
        <f t="shared" si="4"/>
        <v>0</v>
      </c>
      <c r="F37" s="159">
        <f t="shared" si="4"/>
        <v>0</v>
      </c>
      <c r="G37" s="159">
        <f t="shared" si="4"/>
        <v>0</v>
      </c>
      <c r="H37" s="159">
        <f t="shared" si="4"/>
        <v>0</v>
      </c>
      <c r="I37" s="159">
        <f t="shared" si="4"/>
        <v>0</v>
      </c>
      <c r="J37" s="159">
        <f t="shared" si="3"/>
        <v>0</v>
      </c>
      <c r="K37" s="69"/>
      <c r="L37" s="351"/>
    </row>
    <row r="38" spans="2:12" s="37" customFormat="1" ht="15.75" customHeight="1">
      <c r="B38" s="48"/>
      <c r="C38" s="160" t="s">
        <v>304</v>
      </c>
      <c r="D38" s="156">
        <f>$D$10*F801ENE!D15*$L38</f>
        <v>0</v>
      </c>
      <c r="E38" s="156">
        <f>$D$10*F801ENE!E15*$L38</f>
        <v>0</v>
      </c>
      <c r="F38" s="156">
        <f>$D$10*F801ENE!F15*$L38</f>
        <v>0</v>
      </c>
      <c r="G38" s="156">
        <f>$D$10*F801ENE!G15*$L38</f>
        <v>0</v>
      </c>
      <c r="H38" s="156">
        <f>$D$10*F801ENE!H15*$L38</f>
        <v>0</v>
      </c>
      <c r="I38" s="156">
        <f>$D$10*F801ENE!I15*$L38</f>
        <v>0</v>
      </c>
      <c r="J38" s="156">
        <f t="shared" si="3"/>
        <v>0</v>
      </c>
      <c r="K38" s="69"/>
      <c r="L38" s="319">
        <v>1</v>
      </c>
    </row>
    <row r="39" spans="2:12" s="37" customFormat="1" ht="15.75" customHeight="1">
      <c r="B39" s="48"/>
      <c r="C39" s="161" t="s">
        <v>306</v>
      </c>
      <c r="D39" s="156">
        <f>$D$10*F801ENE!D16*$L39</f>
        <v>0</v>
      </c>
      <c r="E39" s="156">
        <f>$D$10*F801ENE!E16*$L39</f>
        <v>0</v>
      </c>
      <c r="F39" s="156">
        <f>$D$10*F801ENE!F16*$L39</f>
        <v>0</v>
      </c>
      <c r="G39" s="156">
        <f>$D$10*F801ENE!G16*$L39</f>
        <v>0</v>
      </c>
      <c r="H39" s="156">
        <f>$D$10*F801ENE!H16*$L39</f>
        <v>0</v>
      </c>
      <c r="I39" s="156">
        <f>$D$10*F801ENE!I16*$L39</f>
        <v>0</v>
      </c>
      <c r="J39" s="156">
        <f t="shared" si="3"/>
        <v>0</v>
      </c>
      <c r="K39" s="69"/>
      <c r="L39" s="319">
        <v>1</v>
      </c>
    </row>
    <row r="40" spans="2:12" s="37" customFormat="1" ht="15.75" customHeight="1">
      <c r="B40" s="48"/>
      <c r="C40" s="160" t="s">
        <v>305</v>
      </c>
      <c r="D40" s="156">
        <f>$D$10*F801ENE!D17*$L40</f>
        <v>0</v>
      </c>
      <c r="E40" s="156">
        <f>$D$10*F801ENE!E17*$L40</f>
        <v>0</v>
      </c>
      <c r="F40" s="156">
        <f>$D$10*F801ENE!F17*$L40</f>
        <v>0</v>
      </c>
      <c r="G40" s="156">
        <f>$D$10*F801ENE!G17*$L40</f>
        <v>0</v>
      </c>
      <c r="H40" s="156">
        <f>$D$10*F801ENE!H17*$L40</f>
        <v>0</v>
      </c>
      <c r="I40" s="156">
        <f>$D$10*F801ENE!I17*$L40</f>
        <v>0</v>
      </c>
      <c r="J40" s="156">
        <f t="shared" si="3"/>
        <v>0</v>
      </c>
      <c r="K40" s="69"/>
      <c r="L40" s="319">
        <v>0.95</v>
      </c>
    </row>
    <row r="41" spans="2:12" s="37" customFormat="1" ht="15.75" customHeight="1">
      <c r="B41" s="48"/>
      <c r="C41" s="160" t="s">
        <v>307</v>
      </c>
      <c r="D41" s="156">
        <f>$D$10*F801ENE!D18*$L41</f>
        <v>0</v>
      </c>
      <c r="E41" s="156">
        <f>$D$10*F801ENE!E18*$L41</f>
        <v>0</v>
      </c>
      <c r="F41" s="156">
        <f>$D$10*F801ENE!F18*$L41</f>
        <v>0</v>
      </c>
      <c r="G41" s="156">
        <f>$D$10*F801ENE!G18*$L41</f>
        <v>0</v>
      </c>
      <c r="H41" s="156">
        <f>$D$10*F801ENE!H18*$L41</f>
        <v>0</v>
      </c>
      <c r="I41" s="156">
        <f>$D$10*F801ENE!I18*$L41</f>
        <v>0</v>
      </c>
      <c r="J41" s="156">
        <f t="shared" si="3"/>
        <v>0</v>
      </c>
      <c r="K41" s="69"/>
      <c r="L41" s="319">
        <v>0.5</v>
      </c>
    </row>
    <row r="42" spans="2:12" s="37" customFormat="1" ht="15.75" customHeight="1">
      <c r="B42" s="48"/>
      <c r="C42" s="157"/>
      <c r="D42" s="157"/>
      <c r="E42" s="157"/>
      <c r="F42" s="157"/>
      <c r="G42" s="157"/>
      <c r="H42" s="157"/>
      <c r="I42" s="157"/>
      <c r="J42" s="157"/>
      <c r="K42" s="69"/>
      <c r="L42" s="341"/>
    </row>
    <row r="43" spans="2:12" s="37" customFormat="1" ht="15.75" customHeight="1">
      <c r="B43" s="48"/>
      <c r="C43" s="153" t="s">
        <v>443</v>
      </c>
      <c r="D43" s="154">
        <f t="shared" ref="D43:I43" si="5">D44+D48+D55+D60+D65+D78+D84+D91+D99+D105+D112+D71</f>
        <v>0</v>
      </c>
      <c r="E43" s="154">
        <f t="shared" si="5"/>
        <v>0</v>
      </c>
      <c r="F43" s="154">
        <f t="shared" si="5"/>
        <v>0</v>
      </c>
      <c r="G43" s="154">
        <f t="shared" si="5"/>
        <v>0</v>
      </c>
      <c r="H43" s="154">
        <f t="shared" si="5"/>
        <v>0</v>
      </c>
      <c r="I43" s="154">
        <f t="shared" si="5"/>
        <v>0</v>
      </c>
      <c r="J43" s="154">
        <f>J44+J48+J55+J60+J65+J78+J84+J91+J99+J105+J112</f>
        <v>0</v>
      </c>
      <c r="K43" s="69"/>
      <c r="L43" s="341"/>
    </row>
    <row r="44" spans="2:12" s="37" customFormat="1" ht="15.75" customHeight="1">
      <c r="B44" s="48" t="s">
        <v>275</v>
      </c>
      <c r="C44" s="155" t="s">
        <v>275</v>
      </c>
      <c r="D44" s="154">
        <f>SUM(D45:D47)</f>
        <v>0</v>
      </c>
      <c r="E44" s="154">
        <f t="shared" ref="E44:J44" si="6">SUM(E45:E47)</f>
        <v>0</v>
      </c>
      <c r="F44" s="154">
        <f t="shared" si="6"/>
        <v>0</v>
      </c>
      <c r="G44" s="154">
        <f t="shared" si="6"/>
        <v>0</v>
      </c>
      <c r="H44" s="154">
        <f t="shared" si="6"/>
        <v>0</v>
      </c>
      <c r="I44" s="154">
        <f t="shared" si="6"/>
        <v>0</v>
      </c>
      <c r="J44" s="154">
        <f t="shared" si="6"/>
        <v>0</v>
      </c>
      <c r="K44" s="69"/>
      <c r="L44" s="341"/>
    </row>
    <row r="45" spans="2:12" s="37" customFormat="1" ht="15.75" customHeight="1">
      <c r="B45" s="48"/>
      <c r="C45" s="160" t="s">
        <v>304</v>
      </c>
      <c r="D45" s="156">
        <f>$D$11*F801ENE!D22*$L45</f>
        <v>0</v>
      </c>
      <c r="E45" s="156">
        <f>$D$11*F801ENE!E22*$L45</f>
        <v>0</v>
      </c>
      <c r="F45" s="156">
        <f>$D$11*F801ENE!F22*$L45</f>
        <v>0</v>
      </c>
      <c r="G45" s="156">
        <f>$D$11*F801ENE!G22*$L45</f>
        <v>0</v>
      </c>
      <c r="H45" s="156">
        <f>$D$11*F801ENE!H22*$L45</f>
        <v>0</v>
      </c>
      <c r="I45" s="156">
        <f>$D$11*F801ENE!I22*$L45</f>
        <v>0</v>
      </c>
      <c r="J45" s="156">
        <f t="shared" ref="J45" si="7">SUM(D45:I45)</f>
        <v>0</v>
      </c>
      <c r="K45" s="69"/>
      <c r="L45" s="319">
        <v>1</v>
      </c>
    </row>
    <row r="46" spans="2:12" s="37" customFormat="1" ht="15.75" customHeight="1">
      <c r="B46" s="48"/>
      <c r="C46" s="161" t="s">
        <v>306</v>
      </c>
      <c r="D46" s="156">
        <f>$D$11*F801ENE!D23*$L46</f>
        <v>0</v>
      </c>
      <c r="E46" s="156">
        <f>$D$11*F801ENE!E23*$L46</f>
        <v>0</v>
      </c>
      <c r="F46" s="156">
        <f>$D$11*F801ENE!F23*$L46</f>
        <v>0</v>
      </c>
      <c r="G46" s="156">
        <f>$D$11*F801ENE!G23*$L46</f>
        <v>0</v>
      </c>
      <c r="H46" s="156">
        <f>$D$11*F801ENE!H23*$L46</f>
        <v>0</v>
      </c>
      <c r="I46" s="156">
        <f>$D$11*F801ENE!I23*$L46</f>
        <v>0</v>
      </c>
      <c r="J46" s="156">
        <f t="shared" ref="J46:J69" si="8">SUM(D46:I46)</f>
        <v>0</v>
      </c>
      <c r="K46" s="69"/>
      <c r="L46" s="319">
        <v>0.75</v>
      </c>
    </row>
    <row r="47" spans="2:12" s="37" customFormat="1" ht="15.75" customHeight="1">
      <c r="B47" s="48"/>
      <c r="C47" s="160" t="s">
        <v>305</v>
      </c>
      <c r="D47" s="156">
        <f>$D$11*F801ENE!D24*$L47</f>
        <v>0</v>
      </c>
      <c r="E47" s="156">
        <f>$D$11*F801ENE!E24*$L47</f>
        <v>0</v>
      </c>
      <c r="F47" s="156">
        <f>$D$11*F801ENE!F24*$L47</f>
        <v>0</v>
      </c>
      <c r="G47" s="156">
        <f>$D$11*F801ENE!G24*$L47</f>
        <v>0</v>
      </c>
      <c r="H47" s="156">
        <f>$D$11*F801ENE!H24*$L47</f>
        <v>0</v>
      </c>
      <c r="I47" s="156">
        <f>$D$11*F801ENE!I24*$L47</f>
        <v>0</v>
      </c>
      <c r="J47" s="156">
        <f t="shared" si="8"/>
        <v>0</v>
      </c>
      <c r="K47" s="69"/>
      <c r="L47" s="319">
        <v>0.95</v>
      </c>
    </row>
    <row r="48" spans="2:12" s="37" customFormat="1" ht="15.75" customHeight="1">
      <c r="B48" s="48" t="s">
        <v>274</v>
      </c>
      <c r="C48" s="158" t="s">
        <v>627</v>
      </c>
      <c r="D48" s="159">
        <f t="shared" ref="D48:I48" si="9">SUM(D49:D54)</f>
        <v>0</v>
      </c>
      <c r="E48" s="159">
        <f t="shared" si="9"/>
        <v>0</v>
      </c>
      <c r="F48" s="159">
        <f t="shared" si="9"/>
        <v>0</v>
      </c>
      <c r="G48" s="159">
        <f t="shared" si="9"/>
        <v>0</v>
      </c>
      <c r="H48" s="159">
        <f t="shared" si="9"/>
        <v>0</v>
      </c>
      <c r="I48" s="159">
        <f t="shared" si="9"/>
        <v>0</v>
      </c>
      <c r="J48" s="159">
        <f t="shared" si="8"/>
        <v>0</v>
      </c>
      <c r="K48" s="69"/>
      <c r="L48" s="341"/>
    </row>
    <row r="49" spans="2:12" s="37" customFormat="1" ht="15.75" customHeight="1">
      <c r="B49" s="48"/>
      <c r="C49" s="160" t="s">
        <v>304</v>
      </c>
      <c r="D49" s="156">
        <f>$D$12*F801ENE!D28*$L49</f>
        <v>0</v>
      </c>
      <c r="E49" s="156">
        <f>$D$12*F801ENE!E28*$L49</f>
        <v>0</v>
      </c>
      <c r="F49" s="156">
        <f>$D$12*F801ENE!F28*$L49</f>
        <v>0</v>
      </c>
      <c r="G49" s="156">
        <f>$D$12*F801ENE!G28*$L49</f>
        <v>0</v>
      </c>
      <c r="H49" s="156">
        <f>$D$12*F801ENE!H28*$L49</f>
        <v>0</v>
      </c>
      <c r="I49" s="156">
        <f>$D$12*F801ENE!I28*$L49</f>
        <v>0</v>
      </c>
      <c r="J49" s="156">
        <f t="shared" si="8"/>
        <v>0</v>
      </c>
      <c r="K49" s="69"/>
      <c r="L49" s="319">
        <v>1</v>
      </c>
    </row>
    <row r="50" spans="2:12" s="37" customFormat="1" ht="15.75" customHeight="1">
      <c r="B50" s="48"/>
      <c r="C50" s="162" t="s">
        <v>628</v>
      </c>
      <c r="D50" s="156">
        <f>$D$12*F801ENE!D29*$L50</f>
        <v>0</v>
      </c>
      <c r="E50" s="156">
        <f>$D$12*F801ENE!E29*$L50</f>
        <v>0</v>
      </c>
      <c r="F50" s="156">
        <f>$D$12*F801ENE!F29*$L50</f>
        <v>0</v>
      </c>
      <c r="G50" s="156">
        <f>$D$12*F801ENE!G29*$L50</f>
        <v>0</v>
      </c>
      <c r="H50" s="156">
        <f>$D$12*F801ENE!H29*$L50</f>
        <v>0</v>
      </c>
      <c r="I50" s="156">
        <f>$D$12*F801ENE!I29*$L50</f>
        <v>0</v>
      </c>
      <c r="J50" s="156">
        <f t="shared" si="8"/>
        <v>0</v>
      </c>
      <c r="K50" s="69"/>
      <c r="L50" s="319">
        <v>0.75</v>
      </c>
    </row>
    <row r="51" spans="2:12" s="37" customFormat="1" ht="15.75" customHeight="1">
      <c r="B51" s="48"/>
      <c r="C51" s="161" t="s">
        <v>629</v>
      </c>
      <c r="D51" s="156">
        <f>$D$12*F801ENE!D30*$L51</f>
        <v>0</v>
      </c>
      <c r="E51" s="156">
        <f>$D$12*F801ENE!E30*$L51</f>
        <v>0</v>
      </c>
      <c r="F51" s="156">
        <f>$D$12*F801ENE!F30*$L51</f>
        <v>0</v>
      </c>
      <c r="G51" s="156">
        <f>$D$12*F801ENE!G30*$L51</f>
        <v>0</v>
      </c>
      <c r="H51" s="156">
        <f>$D$12*F801ENE!H30*$L51</f>
        <v>0</v>
      </c>
      <c r="I51" s="156">
        <f>$D$12*F801ENE!I30*$L51</f>
        <v>0</v>
      </c>
      <c r="J51" s="156">
        <f t="shared" si="8"/>
        <v>0</v>
      </c>
      <c r="K51" s="69"/>
      <c r="L51" s="319">
        <v>1</v>
      </c>
    </row>
    <row r="52" spans="2:12" s="37" customFormat="1" ht="15.75" customHeight="1">
      <c r="B52" s="48"/>
      <c r="C52" s="160" t="s">
        <v>305</v>
      </c>
      <c r="D52" s="156">
        <f>$D$12*F801ENE!D31*$L52</f>
        <v>0</v>
      </c>
      <c r="E52" s="156">
        <f>$D$12*F801ENE!E31*$L52</f>
        <v>0</v>
      </c>
      <c r="F52" s="156">
        <f>$D$12*F801ENE!F31*$L52</f>
        <v>0</v>
      </c>
      <c r="G52" s="156">
        <f>$D$12*F801ENE!G31*$L52</f>
        <v>0</v>
      </c>
      <c r="H52" s="156">
        <f>$D$12*F801ENE!H31*$L52</f>
        <v>0</v>
      </c>
      <c r="I52" s="156">
        <f>$D$12*F801ENE!I31*$L52</f>
        <v>0</v>
      </c>
      <c r="J52" s="156">
        <f t="shared" si="8"/>
        <v>0</v>
      </c>
      <c r="K52" s="69"/>
      <c r="L52" s="319">
        <v>0.95</v>
      </c>
    </row>
    <row r="53" spans="2:12" s="37" customFormat="1" ht="15.75" customHeight="1">
      <c r="B53" s="48"/>
      <c r="C53" s="160" t="s">
        <v>307</v>
      </c>
      <c r="D53" s="156">
        <f>$D$12*F801ENE!D32*$L53</f>
        <v>0</v>
      </c>
      <c r="E53" s="156">
        <f>$D$12*F801ENE!E32*$L53</f>
        <v>0</v>
      </c>
      <c r="F53" s="156">
        <f>$D$12*F801ENE!F32*$L53</f>
        <v>0</v>
      </c>
      <c r="G53" s="156">
        <f>$D$12*F801ENE!G32*$L53</f>
        <v>0</v>
      </c>
      <c r="H53" s="156">
        <f>$D$12*F801ENE!H32*$L53</f>
        <v>0</v>
      </c>
      <c r="I53" s="156">
        <f>$D$12*F801ENE!I32*$L53</f>
        <v>0</v>
      </c>
      <c r="J53" s="156">
        <f t="shared" si="8"/>
        <v>0</v>
      </c>
      <c r="K53" s="69"/>
      <c r="L53" s="319">
        <v>0.5</v>
      </c>
    </row>
    <row r="54" spans="2:12" s="37" customFormat="1" ht="15.75" customHeight="1">
      <c r="B54" s="48"/>
      <c r="C54" s="160" t="s">
        <v>624</v>
      </c>
      <c r="D54" s="156">
        <f>$D$12*F801ENE!D33*$L54</f>
        <v>0</v>
      </c>
      <c r="E54" s="156">
        <f>$D$12*F801ENE!E33*$L54</f>
        <v>0</v>
      </c>
      <c r="F54" s="156">
        <f>$D$12*F801ENE!F33*$L54</f>
        <v>0</v>
      </c>
      <c r="G54" s="156">
        <f>$D$12*F801ENE!G33*$L54</f>
        <v>0</v>
      </c>
      <c r="H54" s="156">
        <f>$D$12*F801ENE!H33*$L54</f>
        <v>0</v>
      </c>
      <c r="I54" s="156">
        <f>$D$12*F801ENE!I33*$L54</f>
        <v>0</v>
      </c>
      <c r="J54" s="156">
        <f t="shared" si="8"/>
        <v>0</v>
      </c>
      <c r="K54" s="69"/>
      <c r="L54" s="319">
        <v>0</v>
      </c>
    </row>
    <row r="55" spans="2:12" s="37" customFormat="1" ht="15.75" customHeight="1">
      <c r="B55" s="48" t="s">
        <v>274</v>
      </c>
      <c r="C55" s="158" t="s">
        <v>631</v>
      </c>
      <c r="D55" s="159">
        <f t="shared" ref="D55:I55" si="10">SUM(D56:D59)</f>
        <v>0</v>
      </c>
      <c r="E55" s="159">
        <f t="shared" si="10"/>
        <v>0</v>
      </c>
      <c r="F55" s="159">
        <f t="shared" si="10"/>
        <v>0</v>
      </c>
      <c r="G55" s="159">
        <f t="shared" si="10"/>
        <v>0</v>
      </c>
      <c r="H55" s="159">
        <f t="shared" si="10"/>
        <v>0</v>
      </c>
      <c r="I55" s="159">
        <f t="shared" si="10"/>
        <v>0</v>
      </c>
      <c r="J55" s="159">
        <f t="shared" si="8"/>
        <v>0</v>
      </c>
      <c r="K55" s="69"/>
      <c r="L55" s="341"/>
    </row>
    <row r="56" spans="2:12" s="37" customFormat="1" ht="15.75" customHeight="1">
      <c r="B56" s="48"/>
      <c r="C56" s="160" t="s">
        <v>304</v>
      </c>
      <c r="D56" s="156">
        <f>$D$12*F801ENE!D35*$L56</f>
        <v>0</v>
      </c>
      <c r="E56" s="156">
        <f>$D$12*F801ENE!E35*$L56</f>
        <v>0</v>
      </c>
      <c r="F56" s="156">
        <f>$D$12*F801ENE!F35*$L56</f>
        <v>0</v>
      </c>
      <c r="G56" s="156">
        <f>$D$12*F801ENE!G35*$L56</f>
        <v>0</v>
      </c>
      <c r="H56" s="156">
        <f>$D$12*F801ENE!H35*$L56</f>
        <v>0</v>
      </c>
      <c r="I56" s="156">
        <f>$D$12*F801ENE!I35*$L56</f>
        <v>0</v>
      </c>
      <c r="J56" s="156">
        <f t="shared" si="8"/>
        <v>0</v>
      </c>
      <c r="K56" s="69"/>
      <c r="L56" s="319">
        <v>1</v>
      </c>
    </row>
    <row r="57" spans="2:12" s="37" customFormat="1" ht="15.75" customHeight="1">
      <c r="B57" s="48"/>
      <c r="C57" s="161" t="s">
        <v>306</v>
      </c>
      <c r="D57" s="156">
        <f>$D$12*F801ENE!D36*$L57</f>
        <v>0</v>
      </c>
      <c r="E57" s="156">
        <f>$D$12*F801ENE!E36*$L57</f>
        <v>0</v>
      </c>
      <c r="F57" s="156">
        <f>$D$12*F801ENE!F36*$L57</f>
        <v>0</v>
      </c>
      <c r="G57" s="156">
        <f>$D$12*F801ENE!G36*$L57</f>
        <v>0</v>
      </c>
      <c r="H57" s="156">
        <f>$D$12*F801ENE!H36*$L57</f>
        <v>0</v>
      </c>
      <c r="I57" s="156">
        <f>$D$12*F801ENE!I36*$L57</f>
        <v>0</v>
      </c>
      <c r="J57" s="156">
        <f t="shared" si="8"/>
        <v>0</v>
      </c>
      <c r="K57" s="69"/>
      <c r="L57" s="319">
        <v>1</v>
      </c>
    </row>
    <row r="58" spans="2:12" s="37" customFormat="1" ht="15.75" customHeight="1">
      <c r="B58" s="48"/>
      <c r="C58" s="160" t="s">
        <v>305</v>
      </c>
      <c r="D58" s="156">
        <f>$D$12*F801ENE!D37*$L58</f>
        <v>0</v>
      </c>
      <c r="E58" s="156">
        <f>$D$12*F801ENE!E37*$L58</f>
        <v>0</v>
      </c>
      <c r="F58" s="156">
        <f>$D$12*F801ENE!F37*$L58</f>
        <v>0</v>
      </c>
      <c r="G58" s="156">
        <f>$D$12*F801ENE!G37*$L58</f>
        <v>0</v>
      </c>
      <c r="H58" s="156">
        <f>$D$12*F801ENE!H37*$L58</f>
        <v>0</v>
      </c>
      <c r="I58" s="156">
        <f>$D$12*F801ENE!I37*$L58</f>
        <v>0</v>
      </c>
      <c r="J58" s="156">
        <f t="shared" si="8"/>
        <v>0</v>
      </c>
      <c r="K58" s="69"/>
      <c r="L58" s="319">
        <v>0.95</v>
      </c>
    </row>
    <row r="59" spans="2:12" s="37" customFormat="1" ht="15.75" customHeight="1">
      <c r="B59" s="48"/>
      <c r="C59" s="160" t="s">
        <v>307</v>
      </c>
      <c r="D59" s="156">
        <f>$D$12*F801ENE!D38*$L59</f>
        <v>0</v>
      </c>
      <c r="E59" s="156">
        <f>$D$12*F801ENE!E38*$L59</f>
        <v>0</v>
      </c>
      <c r="F59" s="156">
        <f>$D$12*F801ENE!F38*$L59</f>
        <v>0</v>
      </c>
      <c r="G59" s="156">
        <f>$D$12*F801ENE!G38*$L59</f>
        <v>0</v>
      </c>
      <c r="H59" s="156">
        <f>$D$12*F801ENE!H38*$L59</f>
        <v>0</v>
      </c>
      <c r="I59" s="156">
        <f>$D$12*F801ENE!I38*$L59</f>
        <v>0</v>
      </c>
      <c r="J59" s="156">
        <f t="shared" si="8"/>
        <v>0</v>
      </c>
      <c r="K59" s="69"/>
      <c r="L59" s="319">
        <v>0.5</v>
      </c>
    </row>
    <row r="60" spans="2:12" s="37" customFormat="1" ht="15.75" customHeight="1">
      <c r="B60" s="48" t="s">
        <v>274</v>
      </c>
      <c r="C60" s="158" t="s">
        <v>632</v>
      </c>
      <c r="D60" s="159">
        <f t="shared" ref="D60:I60" si="11">SUM(D61:D64)</f>
        <v>0</v>
      </c>
      <c r="E60" s="159">
        <f t="shared" si="11"/>
        <v>0</v>
      </c>
      <c r="F60" s="159">
        <f t="shared" si="11"/>
        <v>0</v>
      </c>
      <c r="G60" s="159">
        <f t="shared" si="11"/>
        <v>0</v>
      </c>
      <c r="H60" s="159">
        <f t="shared" si="11"/>
        <v>0</v>
      </c>
      <c r="I60" s="159">
        <f t="shared" si="11"/>
        <v>0</v>
      </c>
      <c r="J60" s="159">
        <f t="shared" si="8"/>
        <v>0</v>
      </c>
      <c r="K60" s="69"/>
      <c r="L60" s="319"/>
    </row>
    <row r="61" spans="2:12" s="37" customFormat="1" ht="15.75" customHeight="1">
      <c r="B61" s="48"/>
      <c r="C61" s="160" t="s">
        <v>304</v>
      </c>
      <c r="D61" s="156">
        <f>$D$12*F801ENE!D40*$L61</f>
        <v>0</v>
      </c>
      <c r="E61" s="156">
        <f>$D$12*F801ENE!E40*$L61</f>
        <v>0</v>
      </c>
      <c r="F61" s="156">
        <f>$D$12*F801ENE!F40*$L61</f>
        <v>0</v>
      </c>
      <c r="G61" s="156">
        <f>$D$12*F801ENE!G40*$L61</f>
        <v>0</v>
      </c>
      <c r="H61" s="156">
        <f>$D$12*F801ENE!H40*$L61</f>
        <v>0</v>
      </c>
      <c r="I61" s="156">
        <f>$D$12*F801ENE!I40*$L61</f>
        <v>0</v>
      </c>
      <c r="J61" s="156">
        <f t="shared" si="8"/>
        <v>0</v>
      </c>
      <c r="K61" s="69"/>
      <c r="L61" s="319">
        <v>1</v>
      </c>
    </row>
    <row r="62" spans="2:12" s="37" customFormat="1" ht="15.75" customHeight="1">
      <c r="B62" s="48"/>
      <c r="C62" s="161" t="s">
        <v>306</v>
      </c>
      <c r="D62" s="156">
        <f>$D$12*F801ENE!D41*$L62</f>
        <v>0</v>
      </c>
      <c r="E62" s="156">
        <f>$D$12*F801ENE!E41*$L62</f>
        <v>0</v>
      </c>
      <c r="F62" s="156">
        <f>$D$12*F801ENE!F41*$L62</f>
        <v>0</v>
      </c>
      <c r="G62" s="156">
        <f>$D$12*F801ENE!G41*$L62</f>
        <v>0</v>
      </c>
      <c r="H62" s="156">
        <f>$D$12*F801ENE!H41*$L62</f>
        <v>0</v>
      </c>
      <c r="I62" s="156">
        <f>$D$12*F801ENE!I41*$L62</f>
        <v>0</v>
      </c>
      <c r="J62" s="156">
        <f t="shared" si="8"/>
        <v>0</v>
      </c>
      <c r="K62" s="69"/>
      <c r="L62" s="319">
        <v>1</v>
      </c>
    </row>
    <row r="63" spans="2:12" s="37" customFormat="1" ht="15.75" customHeight="1">
      <c r="B63" s="48"/>
      <c r="C63" s="160" t="s">
        <v>305</v>
      </c>
      <c r="D63" s="156">
        <f>$D$12*F801ENE!D42*$L63</f>
        <v>0</v>
      </c>
      <c r="E63" s="156">
        <f>$D$12*F801ENE!E42*$L63</f>
        <v>0</v>
      </c>
      <c r="F63" s="156">
        <f>$D$12*F801ENE!F42*$L63</f>
        <v>0</v>
      </c>
      <c r="G63" s="156">
        <f>$D$12*F801ENE!G42*$L63</f>
        <v>0</v>
      </c>
      <c r="H63" s="156">
        <f>$D$12*F801ENE!H42*$L63</f>
        <v>0</v>
      </c>
      <c r="I63" s="156">
        <f>$D$12*F801ENE!I42*$L63</f>
        <v>0</v>
      </c>
      <c r="J63" s="156">
        <f t="shared" si="8"/>
        <v>0</v>
      </c>
      <c r="K63" s="69"/>
      <c r="L63" s="319">
        <v>0.95</v>
      </c>
    </row>
    <row r="64" spans="2:12" s="37" customFormat="1" ht="15.75" customHeight="1">
      <c r="B64" s="48"/>
      <c r="C64" s="160" t="s">
        <v>307</v>
      </c>
      <c r="D64" s="156">
        <f>$D$12*F801ENE!D43*$L64</f>
        <v>0</v>
      </c>
      <c r="E64" s="156">
        <f>$D$12*F801ENE!E43*$L64</f>
        <v>0</v>
      </c>
      <c r="F64" s="156">
        <f>$D$12*F801ENE!F43*$L64</f>
        <v>0</v>
      </c>
      <c r="G64" s="156">
        <f>$D$12*F801ENE!G43*$L64</f>
        <v>0</v>
      </c>
      <c r="H64" s="156">
        <f>$D$12*F801ENE!H43*$L64</f>
        <v>0</v>
      </c>
      <c r="I64" s="156">
        <f>$D$12*F801ENE!I43*$L64</f>
        <v>0</v>
      </c>
      <c r="J64" s="156">
        <f t="shared" si="8"/>
        <v>0</v>
      </c>
      <c r="K64" s="69"/>
      <c r="L64" s="319">
        <v>0.5</v>
      </c>
    </row>
    <row r="65" spans="2:12" s="37" customFormat="1" ht="15.75" customHeight="1">
      <c r="B65" s="48" t="s">
        <v>274</v>
      </c>
      <c r="C65" s="158" t="s">
        <v>633</v>
      </c>
      <c r="D65" s="159">
        <f t="shared" ref="D65:I65" si="12">SUM(D66:D69)</f>
        <v>0</v>
      </c>
      <c r="E65" s="159">
        <f t="shared" si="12"/>
        <v>0</v>
      </c>
      <c r="F65" s="159">
        <f t="shared" si="12"/>
        <v>0</v>
      </c>
      <c r="G65" s="159">
        <f t="shared" si="12"/>
        <v>0</v>
      </c>
      <c r="H65" s="159">
        <f t="shared" si="12"/>
        <v>0</v>
      </c>
      <c r="I65" s="159">
        <f t="shared" si="12"/>
        <v>0</v>
      </c>
      <c r="J65" s="159">
        <f t="shared" si="8"/>
        <v>0</v>
      </c>
      <c r="K65" s="69"/>
      <c r="L65" s="341"/>
    </row>
    <row r="66" spans="2:12" s="37" customFormat="1" ht="15.75" customHeight="1">
      <c r="B66" s="48"/>
      <c r="C66" s="160" t="s">
        <v>304</v>
      </c>
      <c r="D66" s="156">
        <f>$D$12*F801ENE!D45*$L66</f>
        <v>0</v>
      </c>
      <c r="E66" s="156">
        <f>$D$12*F801ENE!E45*$L66</f>
        <v>0</v>
      </c>
      <c r="F66" s="156">
        <f>$D$12*F801ENE!F45*$L66</f>
        <v>0</v>
      </c>
      <c r="G66" s="156">
        <f>$D$12*F801ENE!G45*$L66</f>
        <v>0</v>
      </c>
      <c r="H66" s="156">
        <f>$D$12*F801ENE!H45*$L66</f>
        <v>0</v>
      </c>
      <c r="I66" s="156">
        <f>$D$12*F801ENE!I45*$L66</f>
        <v>0</v>
      </c>
      <c r="J66" s="156">
        <f t="shared" si="8"/>
        <v>0</v>
      </c>
      <c r="K66" s="69"/>
      <c r="L66" s="319">
        <v>1</v>
      </c>
    </row>
    <row r="67" spans="2:12" s="37" customFormat="1" ht="15.75" customHeight="1">
      <c r="B67" s="48"/>
      <c r="C67" s="161" t="s">
        <v>306</v>
      </c>
      <c r="D67" s="156">
        <f>$D$12*F801ENE!D46*$L67</f>
        <v>0</v>
      </c>
      <c r="E67" s="156">
        <f>$D$12*F801ENE!E46*$L67</f>
        <v>0</v>
      </c>
      <c r="F67" s="156">
        <f>$D$12*F801ENE!F46*$L67</f>
        <v>0</v>
      </c>
      <c r="G67" s="156">
        <f>$D$12*F801ENE!G46*$L67</f>
        <v>0</v>
      </c>
      <c r="H67" s="156">
        <f>$D$12*F801ENE!H46*$L67</f>
        <v>0</v>
      </c>
      <c r="I67" s="156">
        <f>$D$12*F801ENE!I46*$L67</f>
        <v>0</v>
      </c>
      <c r="J67" s="156">
        <f t="shared" si="8"/>
        <v>0</v>
      </c>
      <c r="K67" s="69"/>
      <c r="L67" s="319">
        <v>1</v>
      </c>
    </row>
    <row r="68" spans="2:12" s="37" customFormat="1" ht="15.75" customHeight="1">
      <c r="B68" s="48"/>
      <c r="C68" s="160" t="s">
        <v>305</v>
      </c>
      <c r="D68" s="156">
        <f>$D$12*F801ENE!D47*$L68</f>
        <v>0</v>
      </c>
      <c r="E68" s="156">
        <f>$D$12*F801ENE!E47*$L68</f>
        <v>0</v>
      </c>
      <c r="F68" s="156">
        <f>$D$12*F801ENE!F47*$L68</f>
        <v>0</v>
      </c>
      <c r="G68" s="156">
        <f>$D$12*F801ENE!G47*$L68</f>
        <v>0</v>
      </c>
      <c r="H68" s="156">
        <f>$D$12*F801ENE!H47*$L68</f>
        <v>0</v>
      </c>
      <c r="I68" s="156">
        <f>$D$12*F801ENE!I47*$L68</f>
        <v>0</v>
      </c>
      <c r="J68" s="156">
        <f t="shared" si="8"/>
        <v>0</v>
      </c>
      <c r="K68" s="69"/>
      <c r="L68" s="319">
        <v>0.95</v>
      </c>
    </row>
    <row r="69" spans="2:12" s="37" customFormat="1" ht="15.75" customHeight="1">
      <c r="B69" s="48"/>
      <c r="C69" s="160" t="s">
        <v>307</v>
      </c>
      <c r="D69" s="156">
        <f>$D$12*F801ENE!D48*$L69</f>
        <v>0</v>
      </c>
      <c r="E69" s="156">
        <f>$D$12*F801ENE!E48*$L69</f>
        <v>0</v>
      </c>
      <c r="F69" s="156">
        <f>$D$12*F801ENE!F48*$L69</f>
        <v>0</v>
      </c>
      <c r="G69" s="156">
        <f>$D$12*F801ENE!G48*$L69</f>
        <v>0</v>
      </c>
      <c r="H69" s="156">
        <f>$D$12*F801ENE!H48*$L69</f>
        <v>0</v>
      </c>
      <c r="I69" s="156">
        <f>$D$12*F801ENE!I48*$L69</f>
        <v>0</v>
      </c>
      <c r="J69" s="156">
        <f t="shared" si="8"/>
        <v>0</v>
      </c>
      <c r="K69" s="69"/>
      <c r="L69" s="319">
        <v>0.5</v>
      </c>
    </row>
    <row r="70" spans="2:12" s="37" customFormat="1" ht="15.75">
      <c r="B70" s="48"/>
      <c r="C70" s="157"/>
      <c r="D70" s="156"/>
      <c r="E70" s="156"/>
      <c r="F70" s="156"/>
      <c r="G70" s="156"/>
      <c r="H70" s="156"/>
      <c r="I70" s="156"/>
      <c r="J70" s="156"/>
      <c r="K70" s="69"/>
      <c r="L70" s="341"/>
    </row>
    <row r="71" spans="2:12" s="37" customFormat="1" ht="15.75">
      <c r="B71" s="48" t="s">
        <v>1176</v>
      </c>
      <c r="C71" s="158" t="str">
        <f>F801ENE!$C$50</f>
        <v>BTSH</v>
      </c>
      <c r="D71" s="154">
        <f>SUM(D72:D77)</f>
        <v>0</v>
      </c>
      <c r="E71" s="154">
        <f t="shared" ref="E71:J71" si="13">SUM(E72:E77)</f>
        <v>0</v>
      </c>
      <c r="F71" s="154">
        <f t="shared" si="13"/>
        <v>0</v>
      </c>
      <c r="G71" s="154">
        <f t="shared" si="13"/>
        <v>0</v>
      </c>
      <c r="H71" s="154">
        <f t="shared" si="13"/>
        <v>0</v>
      </c>
      <c r="I71" s="154">
        <f t="shared" si="13"/>
        <v>0</v>
      </c>
      <c r="J71" s="154">
        <f t="shared" si="13"/>
        <v>0</v>
      </c>
      <c r="K71" s="69"/>
      <c r="L71" s="341"/>
    </row>
    <row r="72" spans="2:12" s="37" customFormat="1" ht="15.75">
      <c r="B72" s="48"/>
      <c r="C72" s="160" t="str">
        <f>F801ENE!$C$51</f>
        <v xml:space="preserve">    - Regulares</v>
      </c>
      <c r="D72" s="156">
        <f>$D$13*(F801ENE!D51-10*F801C!D51)*1</f>
        <v>0</v>
      </c>
      <c r="E72" s="156">
        <f>$D$13*(F801ENE!E51-10*F801C!E51)*1</f>
        <v>0</v>
      </c>
      <c r="F72" s="156">
        <f>$D$13*(F801ENE!F51-10*F801C!F51)*1</f>
        <v>0</v>
      </c>
      <c r="G72" s="156">
        <f>$D$13*(F801ENE!G51-10*F801C!G51)*1</f>
        <v>0</v>
      </c>
      <c r="H72" s="156">
        <f>$D$13*(F801ENE!H51-10*F801C!H51)*1</f>
        <v>0</v>
      </c>
      <c r="I72" s="156">
        <f>$D$13*(F801ENE!I51-10*F801C!I51)*1</f>
        <v>0</v>
      </c>
      <c r="J72" s="156">
        <f t="shared" ref="J72:J77" si="14">SUM(D72:I72)</f>
        <v>0</v>
      </c>
      <c r="K72" s="69"/>
      <c r="L72" s="319">
        <v>1</v>
      </c>
    </row>
    <row r="73" spans="2:12" s="37" customFormat="1" ht="15.75">
      <c r="B73" s="48"/>
      <c r="C73" s="162" t="str">
        <f>F801ENE!$C$52</f>
        <v xml:space="preserve">    - Jubilados (0 a 600 KWh)</v>
      </c>
      <c r="D73" s="156">
        <f>$D$13*(F801ENE!D52-10*F801C!D52)*0.75</f>
        <v>0</v>
      </c>
      <c r="E73" s="156">
        <f>$D$13*(F801ENE!E52-10*F801C!E52)*0.75</f>
        <v>0</v>
      </c>
      <c r="F73" s="156">
        <f>$D$13*(F801ENE!F52-10*F801C!F52)*0.75</f>
        <v>0</v>
      </c>
      <c r="G73" s="156">
        <f>$D$13*(F801ENE!G52-10*F801C!G52)*0.75</f>
        <v>0</v>
      </c>
      <c r="H73" s="156">
        <f>$D$13*(F801ENE!H52-10*F801C!H52)*0.75</f>
        <v>0</v>
      </c>
      <c r="I73" s="156">
        <f>$D$13*(F801ENE!I52-10*F801C!I52)*0.75</f>
        <v>0</v>
      </c>
      <c r="J73" s="156">
        <f t="shared" si="14"/>
        <v>0</v>
      </c>
      <c r="K73" s="69"/>
      <c r="L73" s="319">
        <v>0.75</v>
      </c>
    </row>
    <row r="74" spans="2:12" s="37" customFormat="1" ht="15.75">
      <c r="B74" s="48"/>
      <c r="C74" s="162" t="str">
        <f>F801ENE!$C$53</f>
        <v xml:space="preserve">    - Jubilados (601 y Más KWh)</v>
      </c>
      <c r="D74" s="156">
        <f>$D$13*(F801ENE!D53-10*F801C!D53)*1</f>
        <v>0</v>
      </c>
      <c r="E74" s="156">
        <f>$D$13*(F801ENE!E53-10*F801C!E53)*1</f>
        <v>0</v>
      </c>
      <c r="F74" s="156">
        <f>$D$13*(F801ENE!F53-10*F801C!F53)*1</f>
        <v>0</v>
      </c>
      <c r="G74" s="156">
        <f>$D$13*(F801ENE!G53-10*F801C!G53)*1</f>
        <v>0</v>
      </c>
      <c r="H74" s="156">
        <f>$D$13*(F801ENE!H53-10*F801C!H53)*1</f>
        <v>0</v>
      </c>
      <c r="I74" s="156">
        <f>$D$13*(F801ENE!I53-10*F801C!I53)*1</f>
        <v>0</v>
      </c>
      <c r="J74" s="156">
        <f t="shared" si="14"/>
        <v>0</v>
      </c>
      <c r="K74" s="69"/>
      <c r="L74" s="319">
        <v>1</v>
      </c>
    </row>
    <row r="75" spans="2:12" s="37" customFormat="1" ht="15.75">
      <c r="B75" s="48"/>
      <c r="C75" s="160" t="str">
        <f>F801ENE!$C$54</f>
        <v xml:space="preserve">    - Agropecuarios</v>
      </c>
      <c r="D75" s="156">
        <f>$D$13*(F801ENE!D54-10*F801C!D54)*0.95</f>
        <v>0</v>
      </c>
      <c r="E75" s="156">
        <f>$D$13*(F801ENE!E54-10*F801C!E54)*0.95</f>
        <v>0</v>
      </c>
      <c r="F75" s="156">
        <f>$D$13*(F801ENE!F54-10*F801C!F54)*0.95</f>
        <v>0</v>
      </c>
      <c r="G75" s="156">
        <f>$D$13*(F801ENE!G54-10*F801C!G54)*0.95</f>
        <v>0</v>
      </c>
      <c r="H75" s="156">
        <f>$D$13*(F801ENE!H54-10*F801C!H54)*0.95</f>
        <v>0</v>
      </c>
      <c r="I75" s="156">
        <f>$D$13*(F801ENE!I54-10*F801C!I54)*0.95</f>
        <v>0</v>
      </c>
      <c r="J75" s="156">
        <f t="shared" si="14"/>
        <v>0</v>
      </c>
      <c r="K75" s="69"/>
      <c r="L75" s="319">
        <v>0.95</v>
      </c>
    </row>
    <row r="76" spans="2:12" s="37" customFormat="1" ht="15.75">
      <c r="B76" s="48"/>
      <c r="C76" s="160" t="str">
        <f>F801ENE!$C$55</f>
        <v xml:space="preserve">    - Partidos Políticos</v>
      </c>
      <c r="D76" s="156">
        <f>$D$13*(F801ENE!D55-10*F801C!D55)*0.5</f>
        <v>0</v>
      </c>
      <c r="E76" s="156">
        <f>$D$13*(F801ENE!E55-10*F801C!E55)*0.5</f>
        <v>0</v>
      </c>
      <c r="F76" s="156">
        <f>$D$13*(F801ENE!F55-10*F801C!F55)*0.5</f>
        <v>0</v>
      </c>
      <c r="G76" s="156">
        <f>$D$13*(F801ENE!G55-10*F801C!G55)*0.5</f>
        <v>0</v>
      </c>
      <c r="H76" s="156">
        <f>$D$13*(F801ENE!H55-10*F801C!H55)*0.5</f>
        <v>0</v>
      </c>
      <c r="I76" s="156">
        <f>$D$13*(F801ENE!I55-10*F801C!I55)*0.5</f>
        <v>0</v>
      </c>
      <c r="J76" s="156">
        <f t="shared" si="14"/>
        <v>0</v>
      </c>
      <c r="K76" s="69"/>
      <c r="L76" s="319">
        <v>0.5</v>
      </c>
    </row>
    <row r="77" spans="2:12" s="37" customFormat="1" ht="15.75">
      <c r="B77" s="48"/>
      <c r="C77" s="160" t="str">
        <f>F801ENE!$C$56</f>
        <v xml:space="preserve">    - Cruz Roja</v>
      </c>
      <c r="D77" s="156">
        <f>$D$13*(F801ENE!D56-10*F801C!D56)*0</f>
        <v>0</v>
      </c>
      <c r="E77" s="156">
        <f>$D$13*(F801ENE!E56-10*F801C!E56)*0</f>
        <v>0</v>
      </c>
      <c r="F77" s="156">
        <f>$D$13*(F801ENE!F56-10*F801C!F56)*0</f>
        <v>0</v>
      </c>
      <c r="G77" s="156">
        <f>$D$13*(F801ENE!G56-10*F801C!G56)*0</f>
        <v>0</v>
      </c>
      <c r="H77" s="156">
        <f>$D$13*(F801ENE!H56-10*F801C!H56)*0</f>
        <v>0</v>
      </c>
      <c r="I77" s="156">
        <f>$D$13*(F801ENE!I56-10*F801C!I56)*0</f>
        <v>0</v>
      </c>
      <c r="J77" s="156">
        <f t="shared" si="14"/>
        <v>0</v>
      </c>
      <c r="K77" s="69"/>
      <c r="L77" s="319">
        <v>0</v>
      </c>
    </row>
    <row r="78" spans="2:12" s="37" customFormat="1" ht="15.75">
      <c r="B78" s="48" t="s">
        <v>751</v>
      </c>
      <c r="C78" s="158" t="s">
        <v>634</v>
      </c>
      <c r="D78" s="159">
        <f t="shared" ref="D78:I78" si="15">SUM(D79:D83)</f>
        <v>0</v>
      </c>
      <c r="E78" s="159">
        <f t="shared" si="15"/>
        <v>0</v>
      </c>
      <c r="F78" s="159">
        <f t="shared" si="15"/>
        <v>0</v>
      </c>
      <c r="G78" s="159">
        <f t="shared" si="15"/>
        <v>0</v>
      </c>
      <c r="H78" s="159">
        <f t="shared" si="15"/>
        <v>0</v>
      </c>
      <c r="I78" s="159">
        <f t="shared" si="15"/>
        <v>0</v>
      </c>
      <c r="J78" s="159">
        <f>SUM(D78:I78)</f>
        <v>0</v>
      </c>
      <c r="K78" s="69"/>
      <c r="L78" s="351"/>
    </row>
    <row r="79" spans="2:12" s="37" customFormat="1" ht="15.75">
      <c r="B79" s="48"/>
      <c r="C79" s="160" t="s">
        <v>304</v>
      </c>
      <c r="D79" s="156">
        <f>$D$13*(F801ENE!D66)*$L79</f>
        <v>0</v>
      </c>
      <c r="E79" s="156">
        <f>$D$13*(F801ENE!E66)*$L79</f>
        <v>0</v>
      </c>
      <c r="F79" s="156">
        <f>$D$13*(F801ENE!F66)*$L79</f>
        <v>0</v>
      </c>
      <c r="G79" s="156">
        <f>$D$13*(F801ENE!G66)*$L79</f>
        <v>0</v>
      </c>
      <c r="H79" s="156">
        <f>$D$13*(F801ENE!H66)*$L79</f>
        <v>0</v>
      </c>
      <c r="I79" s="156">
        <f>$D$13*(F801ENE!I66)*$L79</f>
        <v>0</v>
      </c>
      <c r="J79" s="156">
        <f t="shared" ref="J79:J97" si="16">SUM(D79:I79)</f>
        <v>0</v>
      </c>
      <c r="K79" s="69"/>
      <c r="L79" s="319">
        <v>1</v>
      </c>
    </row>
    <row r="80" spans="2:12" s="37" customFormat="1" ht="15.75">
      <c r="B80" s="48"/>
      <c r="C80" s="162" t="s">
        <v>644</v>
      </c>
      <c r="D80" s="156">
        <f>$D$13*(F801ENE!D67)*$L80</f>
        <v>0</v>
      </c>
      <c r="E80" s="156">
        <f>$D$13*(F801ENE!E67)*$L80</f>
        <v>0</v>
      </c>
      <c r="F80" s="156">
        <f>$D$13*(F801ENE!F67)*$L80</f>
        <v>0</v>
      </c>
      <c r="G80" s="156">
        <f>$D$13*(F801ENE!G67)*$L80</f>
        <v>0</v>
      </c>
      <c r="H80" s="156">
        <f>$D$13*(F801ENE!H67)*$L80</f>
        <v>0</v>
      </c>
      <c r="I80" s="156">
        <f>$D$13*(F801ENE!I67)*$L80</f>
        <v>0</v>
      </c>
      <c r="J80" s="156">
        <f t="shared" si="16"/>
        <v>0</v>
      </c>
      <c r="K80" s="69"/>
      <c r="L80" s="319">
        <v>0.75</v>
      </c>
    </row>
    <row r="81" spans="2:12" s="37" customFormat="1" ht="15.75">
      <c r="B81" s="48"/>
      <c r="C81" s="160" t="s">
        <v>305</v>
      </c>
      <c r="D81" s="156">
        <f>$D$13*(F801ENE!D68)*$L81</f>
        <v>0</v>
      </c>
      <c r="E81" s="156">
        <f>$D$13*(F801ENE!E68)*$L81</f>
        <v>0</v>
      </c>
      <c r="F81" s="156">
        <f>$D$13*(F801ENE!F68)*$L81</f>
        <v>0</v>
      </c>
      <c r="G81" s="156">
        <f>$D$13*(F801ENE!G68)*$L81</f>
        <v>0</v>
      </c>
      <c r="H81" s="156">
        <f>$D$13*(F801ENE!H68)*$L81</f>
        <v>0</v>
      </c>
      <c r="I81" s="156">
        <f>$D$13*(F801ENE!I68)*$L81</f>
        <v>0</v>
      </c>
      <c r="J81" s="156">
        <f t="shared" si="16"/>
        <v>0</v>
      </c>
      <c r="K81" s="69"/>
      <c r="L81" s="319">
        <v>0.95</v>
      </c>
    </row>
    <row r="82" spans="2:12" s="37" customFormat="1" ht="15.75">
      <c r="B82" s="48"/>
      <c r="C82" s="160" t="s">
        <v>307</v>
      </c>
      <c r="D82" s="156">
        <f>$D$13*(F801ENE!D69)*$L82</f>
        <v>0</v>
      </c>
      <c r="E82" s="156">
        <f>$D$13*(F801ENE!E69)*$L82</f>
        <v>0</v>
      </c>
      <c r="F82" s="156">
        <f>$D$13*(F801ENE!F69)*$L82</f>
        <v>0</v>
      </c>
      <c r="G82" s="156">
        <f>$D$13*(F801ENE!G69)*$L82</f>
        <v>0</v>
      </c>
      <c r="H82" s="156">
        <f>$D$13*(F801ENE!H69)*$L82</f>
        <v>0</v>
      </c>
      <c r="I82" s="156">
        <f>$D$13*(F801ENE!I69)*$L82</f>
        <v>0</v>
      </c>
      <c r="J82" s="156">
        <f t="shared" si="16"/>
        <v>0</v>
      </c>
      <c r="K82" s="69"/>
      <c r="L82" s="319">
        <v>0.5</v>
      </c>
    </row>
    <row r="83" spans="2:12" s="37" customFormat="1" ht="15.75">
      <c r="B83" s="48"/>
      <c r="C83" s="160" t="s">
        <v>624</v>
      </c>
      <c r="D83" s="156">
        <f>$D$13*(F801ENE!D70)*$L83</f>
        <v>0</v>
      </c>
      <c r="E83" s="156">
        <f>$D$13*(F801ENE!E70)*$L83</f>
        <v>0</v>
      </c>
      <c r="F83" s="156">
        <f>$D$13*(F801ENE!F70)*$L83</f>
        <v>0</v>
      </c>
      <c r="G83" s="156">
        <f>$D$13*(F801ENE!G70)*$L83</f>
        <v>0</v>
      </c>
      <c r="H83" s="156">
        <f>$D$13*(F801ENE!H70)*$L83</f>
        <v>0</v>
      </c>
      <c r="I83" s="156">
        <f>$D$13*(F801ENE!I70)*$L83</f>
        <v>0</v>
      </c>
      <c r="J83" s="156">
        <f t="shared" si="16"/>
        <v>0</v>
      </c>
      <c r="K83" s="69"/>
      <c r="L83" s="319">
        <v>0</v>
      </c>
    </row>
    <row r="84" spans="2:12" s="37" customFormat="1" ht="15.75">
      <c r="B84" s="48" t="s">
        <v>750</v>
      </c>
      <c r="C84" s="158" t="s">
        <v>635</v>
      </c>
      <c r="D84" s="159">
        <f t="shared" ref="D84:I84" si="17">SUM(D85:D90)</f>
        <v>0</v>
      </c>
      <c r="E84" s="159">
        <f t="shared" si="17"/>
        <v>0</v>
      </c>
      <c r="F84" s="159">
        <f t="shared" si="17"/>
        <v>0</v>
      </c>
      <c r="G84" s="159">
        <f t="shared" si="17"/>
        <v>0</v>
      </c>
      <c r="H84" s="159">
        <f t="shared" si="17"/>
        <v>0</v>
      </c>
      <c r="I84" s="159">
        <f t="shared" si="17"/>
        <v>0</v>
      </c>
      <c r="J84" s="159">
        <f>SUM(D84:I84)</f>
        <v>0</v>
      </c>
      <c r="K84" s="69"/>
      <c r="L84" s="319"/>
    </row>
    <row r="85" spans="2:12" s="37" customFormat="1" ht="15.75">
      <c r="B85" s="48"/>
      <c r="C85" s="160" t="s">
        <v>304</v>
      </c>
      <c r="D85" s="156">
        <f>$D$13*(F801ENE!D72)*$L85</f>
        <v>0</v>
      </c>
      <c r="E85" s="156">
        <f>$D$13*(F801ENE!E72)*$L85</f>
        <v>0</v>
      </c>
      <c r="F85" s="156">
        <f>$D$13*(F801ENE!F72)*$L85</f>
        <v>0</v>
      </c>
      <c r="G85" s="156">
        <f>$D$13*(F801ENE!G72)*$L85</f>
        <v>0</v>
      </c>
      <c r="H85" s="156">
        <f>$D$13*(F801ENE!H72)*$L85</f>
        <v>0</v>
      </c>
      <c r="I85" s="156">
        <f>$D$13*(F801ENE!I72)*$L85</f>
        <v>0</v>
      </c>
      <c r="J85" s="156">
        <f t="shared" si="16"/>
        <v>0</v>
      </c>
      <c r="K85" s="69"/>
      <c r="L85" s="319">
        <v>1</v>
      </c>
    </row>
    <row r="86" spans="2:12" s="37" customFormat="1" ht="15.75">
      <c r="B86" s="48"/>
      <c r="C86" s="162" t="s">
        <v>642</v>
      </c>
      <c r="D86" s="156">
        <f>$D$13*(F801ENE!D73)*$L86</f>
        <v>0</v>
      </c>
      <c r="E86" s="156">
        <f>$D$13*(F801ENE!E73)*$L86</f>
        <v>0</v>
      </c>
      <c r="F86" s="156">
        <f>$D$13*(F801ENE!F73)*$L86</f>
        <v>0</v>
      </c>
      <c r="G86" s="156">
        <f>$D$13*(F801ENE!G73)*$L86</f>
        <v>0</v>
      </c>
      <c r="H86" s="156">
        <f>$D$13*(F801ENE!H73)*$L86</f>
        <v>0</v>
      </c>
      <c r="I86" s="156">
        <f>$D$13*(F801ENE!I73)*$L86</f>
        <v>0</v>
      </c>
      <c r="J86" s="156">
        <f t="shared" si="16"/>
        <v>0</v>
      </c>
      <c r="K86" s="69"/>
      <c r="L86" s="319">
        <v>0.75</v>
      </c>
    </row>
    <row r="87" spans="2:12" s="37" customFormat="1" ht="15.75">
      <c r="B87" s="48"/>
      <c r="C87" s="162" t="s">
        <v>1177</v>
      </c>
      <c r="D87" s="156">
        <f>$D$13*(F801ENE!D74)*$L87</f>
        <v>0</v>
      </c>
      <c r="E87" s="156">
        <f>$D$13*(F801ENE!E74)*$L87</f>
        <v>0</v>
      </c>
      <c r="F87" s="156">
        <f>$D$13*(F801ENE!F74)*$L87</f>
        <v>0</v>
      </c>
      <c r="G87" s="156">
        <f>$D$13*(F801ENE!G74)*$L87</f>
        <v>0</v>
      </c>
      <c r="H87" s="156">
        <f>$D$13*(F801ENE!H74)*$L87</f>
        <v>0</v>
      </c>
      <c r="I87" s="156">
        <f>$D$13*(F801ENE!I74)*$L87</f>
        <v>0</v>
      </c>
      <c r="J87" s="156">
        <f t="shared" si="16"/>
        <v>0</v>
      </c>
      <c r="K87" s="69"/>
      <c r="L87" s="319">
        <v>1</v>
      </c>
    </row>
    <row r="88" spans="2:12" s="37" customFormat="1" ht="15.75">
      <c r="B88" s="48"/>
      <c r="C88" s="160" t="s">
        <v>305</v>
      </c>
      <c r="D88" s="156">
        <f>$D$13*(F801ENE!D75)*$L88</f>
        <v>0</v>
      </c>
      <c r="E88" s="156">
        <f>$D$13*(F801ENE!E75)*$L88</f>
        <v>0</v>
      </c>
      <c r="F88" s="156">
        <f>$D$13*(F801ENE!F75)*$L88</f>
        <v>0</v>
      </c>
      <c r="G88" s="156">
        <f>$D$13*(F801ENE!G75)*$L88</f>
        <v>0</v>
      </c>
      <c r="H88" s="156">
        <f>$D$13*(F801ENE!H75)*$L88</f>
        <v>0</v>
      </c>
      <c r="I88" s="156">
        <f>$D$13*(F801ENE!I75)*$L88</f>
        <v>0</v>
      </c>
      <c r="J88" s="156">
        <f t="shared" si="16"/>
        <v>0</v>
      </c>
      <c r="K88" s="69"/>
      <c r="L88" s="319">
        <v>0.95</v>
      </c>
    </row>
    <row r="89" spans="2:12" s="37" customFormat="1" ht="15.75">
      <c r="B89" s="48"/>
      <c r="C89" s="160" t="s">
        <v>307</v>
      </c>
      <c r="D89" s="156">
        <f>$D$13*(F801ENE!D76)*$L89</f>
        <v>0</v>
      </c>
      <c r="E89" s="156">
        <f>$D$13*(F801ENE!E76)*$L89</f>
        <v>0</v>
      </c>
      <c r="F89" s="156">
        <f>$D$13*(F801ENE!F76)*$L89</f>
        <v>0</v>
      </c>
      <c r="G89" s="156">
        <f>$D$13*(F801ENE!G76)*$L89</f>
        <v>0</v>
      </c>
      <c r="H89" s="156">
        <f>$D$13*(F801ENE!H76)*$L89</f>
        <v>0</v>
      </c>
      <c r="I89" s="156">
        <f>$D$13*(F801ENE!I76)*$L89</f>
        <v>0</v>
      </c>
      <c r="J89" s="156">
        <f t="shared" si="16"/>
        <v>0</v>
      </c>
      <c r="K89" s="69"/>
      <c r="L89" s="319">
        <v>0.5</v>
      </c>
    </row>
    <row r="90" spans="2:12" s="37" customFormat="1" ht="15.75">
      <c r="B90" s="48"/>
      <c r="C90" s="160" t="s">
        <v>624</v>
      </c>
      <c r="D90" s="156">
        <f>$D$13*(F801ENE!D77)*$L90</f>
        <v>0</v>
      </c>
      <c r="E90" s="156">
        <f>$D$13*(F801ENE!E77)*$L90</f>
        <v>0</v>
      </c>
      <c r="F90" s="156">
        <f>$D$13*(F801ENE!F77)*$L90</f>
        <v>0</v>
      </c>
      <c r="G90" s="156">
        <f>$D$13*(F801ENE!G77)*$L90</f>
        <v>0</v>
      </c>
      <c r="H90" s="156">
        <f>$D$13*(F801ENE!H77)*$L90</f>
        <v>0</v>
      </c>
      <c r="I90" s="156">
        <f>$D$13*(F801ENE!I77)*$L90</f>
        <v>0</v>
      </c>
      <c r="J90" s="156">
        <f t="shared" si="16"/>
        <v>0</v>
      </c>
      <c r="K90" s="69"/>
      <c r="L90" s="319">
        <v>0</v>
      </c>
    </row>
    <row r="91" spans="2:12" s="37" customFormat="1" ht="15.75">
      <c r="B91" s="48" t="s">
        <v>749</v>
      </c>
      <c r="C91" s="158" t="s">
        <v>636</v>
      </c>
      <c r="D91" s="159">
        <f t="shared" ref="D91:I91" si="18">SUM(D92:D97)</f>
        <v>0</v>
      </c>
      <c r="E91" s="159">
        <f t="shared" si="18"/>
        <v>0</v>
      </c>
      <c r="F91" s="159">
        <f t="shared" si="18"/>
        <v>0</v>
      </c>
      <c r="G91" s="159">
        <f t="shared" si="18"/>
        <v>0</v>
      </c>
      <c r="H91" s="159">
        <f t="shared" si="18"/>
        <v>0</v>
      </c>
      <c r="I91" s="159">
        <f t="shared" si="18"/>
        <v>0</v>
      </c>
      <c r="J91" s="159">
        <f t="shared" si="16"/>
        <v>0</v>
      </c>
      <c r="K91" s="69"/>
      <c r="L91" s="319"/>
    </row>
    <row r="92" spans="2:12" s="37" customFormat="1" ht="15.75">
      <c r="B92" s="48"/>
      <c r="C92" s="160" t="s">
        <v>304</v>
      </c>
      <c r="D92" s="156">
        <f>$D$13*(F801ENE!D79)*$L92</f>
        <v>0</v>
      </c>
      <c r="E92" s="156">
        <f>$D$13*(F801ENE!E79)*$L92</f>
        <v>0</v>
      </c>
      <c r="F92" s="156">
        <f>$D$13*(F801ENE!F79)*$L92</f>
        <v>0</v>
      </c>
      <c r="G92" s="156">
        <f>$D$13*(F801ENE!G79)*$L92</f>
        <v>0</v>
      </c>
      <c r="H92" s="156">
        <f>$D$13*(F801ENE!H79)*$L92</f>
        <v>0</v>
      </c>
      <c r="I92" s="156">
        <f>$D$13*(F801ENE!I79)*$L92</f>
        <v>0</v>
      </c>
      <c r="J92" s="156">
        <f t="shared" si="16"/>
        <v>0</v>
      </c>
      <c r="K92" s="69"/>
      <c r="L92" s="319">
        <v>1</v>
      </c>
    </row>
    <row r="93" spans="2:12" s="37" customFormat="1" ht="15.75">
      <c r="B93" s="48"/>
      <c r="C93" s="162" t="s">
        <v>642</v>
      </c>
      <c r="D93" s="156">
        <f>$D$13*(F801ENE!D80)*$L93</f>
        <v>0</v>
      </c>
      <c r="E93" s="156">
        <f>$D$13*(F801ENE!E80)*$L93</f>
        <v>0</v>
      </c>
      <c r="F93" s="156">
        <f>$D$13*(F801ENE!F80)*$L93</f>
        <v>0</v>
      </c>
      <c r="G93" s="156">
        <f>$D$13*(F801ENE!G80)*$L93</f>
        <v>0</v>
      </c>
      <c r="H93" s="156">
        <f>$D$13*(F801ENE!H80)*$L93</f>
        <v>0</v>
      </c>
      <c r="I93" s="156">
        <f>$D$13*(F801ENE!I80)*$L93</f>
        <v>0</v>
      </c>
      <c r="J93" s="156">
        <f t="shared" si="16"/>
        <v>0</v>
      </c>
      <c r="K93" s="69"/>
      <c r="L93" s="319">
        <v>0.75</v>
      </c>
    </row>
    <row r="94" spans="2:12" s="37" customFormat="1" ht="15.75">
      <c r="B94" s="48"/>
      <c r="C94" s="162" t="s">
        <v>1177</v>
      </c>
      <c r="D94" s="156">
        <f>$D$13*(F801ENE!D81)*$L94</f>
        <v>0</v>
      </c>
      <c r="E94" s="156">
        <f>$D$13*(F801ENE!E81)*$L94</f>
        <v>0</v>
      </c>
      <c r="F94" s="156">
        <f>$D$13*(F801ENE!F81)*$L94</f>
        <v>0</v>
      </c>
      <c r="G94" s="156">
        <f>$D$13*(F801ENE!G81)*$L94</f>
        <v>0</v>
      </c>
      <c r="H94" s="156">
        <f>$D$13*(F801ENE!H81)*$L94</f>
        <v>0</v>
      </c>
      <c r="I94" s="156">
        <f>$D$13*(F801ENE!I81)*$L94</f>
        <v>0</v>
      </c>
      <c r="J94" s="156">
        <f>SUM(D94:I94)</f>
        <v>0</v>
      </c>
      <c r="K94" s="69"/>
      <c r="L94" s="319">
        <v>1</v>
      </c>
    </row>
    <row r="95" spans="2:12" s="37" customFormat="1" ht="15.75">
      <c r="B95" s="48"/>
      <c r="C95" s="160" t="s">
        <v>305</v>
      </c>
      <c r="D95" s="156">
        <f>$D$13*(F801ENE!D82)*$L95</f>
        <v>0</v>
      </c>
      <c r="E95" s="156">
        <f>$D$13*(F801ENE!E82)*$L95</f>
        <v>0</v>
      </c>
      <c r="F95" s="156">
        <f>$D$13*(F801ENE!F82)*$L95</f>
        <v>0</v>
      </c>
      <c r="G95" s="156">
        <f>$D$13*(F801ENE!G82)*$L95</f>
        <v>0</v>
      </c>
      <c r="H95" s="156">
        <f>$D$13*(F801ENE!H82)*$L95</f>
        <v>0</v>
      </c>
      <c r="I95" s="156">
        <f>$D$13*(F801ENE!I82)*$L95</f>
        <v>0</v>
      </c>
      <c r="J95" s="156">
        <f t="shared" si="16"/>
        <v>0</v>
      </c>
      <c r="K95" s="69"/>
      <c r="L95" s="319">
        <v>0.95</v>
      </c>
    </row>
    <row r="96" spans="2:12" s="37" customFormat="1" ht="15.75">
      <c r="B96" s="48"/>
      <c r="C96" s="160" t="s">
        <v>307</v>
      </c>
      <c r="D96" s="156">
        <f>$D$13*(F801ENE!D83)*$L96</f>
        <v>0</v>
      </c>
      <c r="E96" s="156">
        <f>$D$13*(F801ENE!E83)*$L96</f>
        <v>0</v>
      </c>
      <c r="F96" s="156">
        <f>$D$13*(F801ENE!F83)*$L96</f>
        <v>0</v>
      </c>
      <c r="G96" s="156">
        <f>$D$13*(F801ENE!G83)*$L96</f>
        <v>0</v>
      </c>
      <c r="H96" s="156">
        <f>$D$13*(F801ENE!H83)*$L96</f>
        <v>0</v>
      </c>
      <c r="I96" s="156">
        <f>$D$13*(F801ENE!I83)*$L96</f>
        <v>0</v>
      </c>
      <c r="J96" s="156">
        <f t="shared" si="16"/>
        <v>0</v>
      </c>
      <c r="K96" s="69"/>
      <c r="L96" s="319">
        <v>0.5</v>
      </c>
    </row>
    <row r="97" spans="2:12" s="37" customFormat="1" ht="15.75">
      <c r="B97" s="48"/>
      <c r="C97" s="160" t="s">
        <v>624</v>
      </c>
      <c r="D97" s="156">
        <f>$D$13*(F801ENE!D84)*$L97</f>
        <v>0</v>
      </c>
      <c r="E97" s="156">
        <f>$D$13*(F801ENE!E84)*$L97</f>
        <v>0</v>
      </c>
      <c r="F97" s="156">
        <f>$D$13*(F801ENE!F84)*$L97</f>
        <v>0</v>
      </c>
      <c r="G97" s="156">
        <f>$D$13*(F801ENE!G84)*$L97</f>
        <v>0</v>
      </c>
      <c r="H97" s="156">
        <f>$D$13*(F801ENE!H84)*$L97</f>
        <v>0</v>
      </c>
      <c r="I97" s="156">
        <f>$D$13*(F801ENE!I84)*$L97</f>
        <v>0</v>
      </c>
      <c r="J97" s="156">
        <f t="shared" si="16"/>
        <v>0</v>
      </c>
      <c r="K97" s="69"/>
      <c r="L97" s="319">
        <v>0</v>
      </c>
    </row>
    <row r="98" spans="2:12" s="37" customFormat="1" ht="15.75">
      <c r="B98" s="48"/>
      <c r="C98" s="157"/>
      <c r="D98" s="156"/>
      <c r="E98" s="156"/>
      <c r="F98" s="156"/>
      <c r="G98" s="156"/>
      <c r="H98" s="156"/>
      <c r="I98" s="156"/>
      <c r="J98" s="156"/>
      <c r="K98" s="69"/>
      <c r="L98" s="341"/>
    </row>
    <row r="99" spans="2:12" s="37" customFormat="1" ht="15.75">
      <c r="B99" s="48" t="s">
        <v>902</v>
      </c>
      <c r="C99" s="158" t="s">
        <v>898</v>
      </c>
      <c r="D99" s="159">
        <f t="shared" ref="D99:I99" si="19">SUM(D100:D104)</f>
        <v>0</v>
      </c>
      <c r="E99" s="159">
        <f t="shared" si="19"/>
        <v>0</v>
      </c>
      <c r="F99" s="159">
        <f t="shared" si="19"/>
        <v>0</v>
      </c>
      <c r="G99" s="159">
        <f t="shared" si="19"/>
        <v>0</v>
      </c>
      <c r="H99" s="159">
        <f t="shared" si="19"/>
        <v>0</v>
      </c>
      <c r="I99" s="159">
        <f t="shared" si="19"/>
        <v>0</v>
      </c>
      <c r="J99" s="159">
        <f t="shared" ref="J99:J105" si="20">SUM(D99:I99)</f>
        <v>0</v>
      </c>
      <c r="K99" s="69"/>
      <c r="L99" s="351"/>
    </row>
    <row r="100" spans="2:12" s="37" customFormat="1" ht="15.75">
      <c r="B100" s="48"/>
      <c r="C100" s="160" t="s">
        <v>304</v>
      </c>
      <c r="D100" s="156">
        <f>$D$13*(F801ENE!D87)*$L100</f>
        <v>0</v>
      </c>
      <c r="E100" s="156">
        <f>$D$13*(F801ENE!E87)*$L100</f>
        <v>0</v>
      </c>
      <c r="F100" s="156">
        <f>$D$13*(F801ENE!F87)*$L100</f>
        <v>0</v>
      </c>
      <c r="G100" s="156">
        <f>$D$13*(F801ENE!G87)*$L100</f>
        <v>0</v>
      </c>
      <c r="H100" s="156">
        <f>$D$13*(F801ENE!H87)*$L100</f>
        <v>0</v>
      </c>
      <c r="I100" s="156">
        <f>$D$13*(F801ENE!I87)*$L100</f>
        <v>0</v>
      </c>
      <c r="J100" s="156">
        <f t="shared" si="20"/>
        <v>0</v>
      </c>
      <c r="K100" s="69"/>
      <c r="L100" s="319">
        <v>1</v>
      </c>
    </row>
    <row r="101" spans="2:12" s="37" customFormat="1" ht="15.75">
      <c r="B101" s="48"/>
      <c r="C101" s="162" t="s">
        <v>644</v>
      </c>
      <c r="D101" s="156">
        <f>$D$13*(F801ENE!D88)*$L101</f>
        <v>0</v>
      </c>
      <c r="E101" s="156">
        <f>$D$13*(F801ENE!E88)*$L101</f>
        <v>0</v>
      </c>
      <c r="F101" s="156">
        <f>$D$13*(F801ENE!F88)*$L101</f>
        <v>0</v>
      </c>
      <c r="G101" s="156">
        <f>$D$13*(F801ENE!G88)*$L101</f>
        <v>0</v>
      </c>
      <c r="H101" s="156">
        <f>$D$13*(F801ENE!H88)*$L101</f>
        <v>0</v>
      </c>
      <c r="I101" s="156">
        <f>$D$13*(F801ENE!I88)*$L101</f>
        <v>0</v>
      </c>
      <c r="J101" s="156">
        <f t="shared" si="20"/>
        <v>0</v>
      </c>
      <c r="K101" s="69"/>
      <c r="L101" s="319">
        <v>0.75</v>
      </c>
    </row>
    <row r="102" spans="2:12" s="37" customFormat="1" ht="15.75">
      <c r="B102" s="48"/>
      <c r="C102" s="160" t="s">
        <v>305</v>
      </c>
      <c r="D102" s="156">
        <f>$D$13*(F801ENE!D89)*$L102</f>
        <v>0</v>
      </c>
      <c r="E102" s="156">
        <f>$D$13*(F801ENE!E89)*$L102</f>
        <v>0</v>
      </c>
      <c r="F102" s="156">
        <f>$D$13*(F801ENE!F89)*$L102</f>
        <v>0</v>
      </c>
      <c r="G102" s="156">
        <f>$D$13*(F801ENE!G89)*$L102</f>
        <v>0</v>
      </c>
      <c r="H102" s="156">
        <f>$D$13*(F801ENE!H89)*$L102</f>
        <v>0</v>
      </c>
      <c r="I102" s="156">
        <f>$D$13*(F801ENE!I89)*$L102</f>
        <v>0</v>
      </c>
      <c r="J102" s="156">
        <f t="shared" si="20"/>
        <v>0</v>
      </c>
      <c r="K102" s="69"/>
      <c r="L102" s="319">
        <v>0.95</v>
      </c>
    </row>
    <row r="103" spans="2:12" s="37" customFormat="1" ht="15.75">
      <c r="B103" s="48"/>
      <c r="C103" s="160" t="s">
        <v>307</v>
      </c>
      <c r="D103" s="156">
        <f>$D$13*(F801ENE!D90)*$L103</f>
        <v>0</v>
      </c>
      <c r="E103" s="156">
        <f>$D$13*(F801ENE!E90)*$L103</f>
        <v>0</v>
      </c>
      <c r="F103" s="156">
        <f>$D$13*(F801ENE!F90)*$L103</f>
        <v>0</v>
      </c>
      <c r="G103" s="156">
        <f>$D$13*(F801ENE!G90)*$L103</f>
        <v>0</v>
      </c>
      <c r="H103" s="156">
        <f>$D$13*(F801ENE!H90)*$L103</f>
        <v>0</v>
      </c>
      <c r="I103" s="156">
        <f>$D$13*(F801ENE!I90)*$L103</f>
        <v>0</v>
      </c>
      <c r="J103" s="156">
        <f t="shared" si="20"/>
        <v>0</v>
      </c>
      <c r="K103" s="69"/>
      <c r="L103" s="319">
        <v>0.5</v>
      </c>
    </row>
    <row r="104" spans="2:12" s="37" customFormat="1" ht="15.75">
      <c r="B104" s="48"/>
      <c r="C104" s="160" t="s">
        <v>624</v>
      </c>
      <c r="D104" s="156">
        <f>$D$13*(F801ENE!D91)*$L104</f>
        <v>0</v>
      </c>
      <c r="E104" s="156">
        <f>$D$13*(F801ENE!E91)*$L104</f>
        <v>0</v>
      </c>
      <c r="F104" s="156">
        <f>$D$13*(F801ENE!F91)*$L104</f>
        <v>0</v>
      </c>
      <c r="G104" s="156">
        <f>$D$13*(F801ENE!G91)*$L104</f>
        <v>0</v>
      </c>
      <c r="H104" s="156">
        <f>$D$13*(F801ENE!H91)*$L104</f>
        <v>0</v>
      </c>
      <c r="I104" s="156">
        <f>$D$13*(F801ENE!I91)*$L104</f>
        <v>0</v>
      </c>
      <c r="J104" s="156">
        <f t="shared" si="20"/>
        <v>0</v>
      </c>
      <c r="K104" s="69"/>
      <c r="L104" s="319">
        <v>0</v>
      </c>
    </row>
    <row r="105" spans="2:12" s="37" customFormat="1" ht="15.75">
      <c r="B105" s="48" t="s">
        <v>902</v>
      </c>
      <c r="C105" s="158" t="s">
        <v>899</v>
      </c>
      <c r="D105" s="159">
        <f t="shared" ref="D105:I105" si="21">SUM(D106:D111)</f>
        <v>0</v>
      </c>
      <c r="E105" s="159">
        <f t="shared" si="21"/>
        <v>0</v>
      </c>
      <c r="F105" s="159">
        <f t="shared" si="21"/>
        <v>0</v>
      </c>
      <c r="G105" s="159">
        <f t="shared" si="21"/>
        <v>0</v>
      </c>
      <c r="H105" s="159">
        <f t="shared" si="21"/>
        <v>0</v>
      </c>
      <c r="I105" s="159">
        <f t="shared" si="21"/>
        <v>0</v>
      </c>
      <c r="J105" s="159">
        <f t="shared" si="20"/>
        <v>0</v>
      </c>
      <c r="K105" s="69"/>
      <c r="L105" s="319"/>
    </row>
    <row r="106" spans="2:12" s="37" customFormat="1" ht="15.75">
      <c r="B106" s="48"/>
      <c r="C106" s="160" t="s">
        <v>304</v>
      </c>
      <c r="D106" s="156">
        <f>$D$13*(F801ENE!D93)*$L106</f>
        <v>0</v>
      </c>
      <c r="E106" s="156">
        <f>$D$13*(F801ENE!E93)*$L106</f>
        <v>0</v>
      </c>
      <c r="F106" s="156">
        <f>$D$13*(F801ENE!F93)*$L106</f>
        <v>0</v>
      </c>
      <c r="G106" s="156">
        <f>$D$13*(F801ENE!G93)*$L106</f>
        <v>0</v>
      </c>
      <c r="H106" s="156">
        <f>$D$13*(F801ENE!H93)*$L106</f>
        <v>0</v>
      </c>
      <c r="I106" s="156">
        <f>$D$13*(F801ENE!I93)*$L106</f>
        <v>0</v>
      </c>
      <c r="J106" s="156">
        <f t="shared" ref="J106:J114" si="22">SUM(D106:I106)</f>
        <v>0</v>
      </c>
      <c r="K106" s="69"/>
      <c r="L106" s="319">
        <v>1</v>
      </c>
    </row>
    <row r="107" spans="2:12" s="37" customFormat="1" ht="15.75">
      <c r="B107" s="48"/>
      <c r="C107" s="162" t="s">
        <v>642</v>
      </c>
      <c r="D107" s="156">
        <f>$D$13*(F801ENE!D94)*$L107</f>
        <v>0</v>
      </c>
      <c r="E107" s="156">
        <f>$D$13*(F801ENE!E94)*$L107</f>
        <v>0</v>
      </c>
      <c r="F107" s="156">
        <f>$D$13*(F801ENE!F94)*$L107</f>
        <v>0</v>
      </c>
      <c r="G107" s="156">
        <f>$D$13*(F801ENE!G94)*$L107</f>
        <v>0</v>
      </c>
      <c r="H107" s="156">
        <f>$D$13*(F801ENE!H94)*$L107</f>
        <v>0</v>
      </c>
      <c r="I107" s="156">
        <f>$D$13*(F801ENE!I94)*$L107</f>
        <v>0</v>
      </c>
      <c r="J107" s="156">
        <f t="shared" si="22"/>
        <v>0</v>
      </c>
      <c r="K107" s="69"/>
      <c r="L107" s="319">
        <v>0.75</v>
      </c>
    </row>
    <row r="108" spans="2:12" s="37" customFormat="1" ht="15.75">
      <c r="B108" s="48"/>
      <c r="C108" s="162" t="s">
        <v>1177</v>
      </c>
      <c r="D108" s="156">
        <f>$D$13*(F801ENE!D95)*$L108</f>
        <v>0</v>
      </c>
      <c r="E108" s="156">
        <f>$D$13*(F801ENE!E95)*$L108</f>
        <v>0</v>
      </c>
      <c r="F108" s="156">
        <f>$D$13*(F801ENE!F95)*$L108</f>
        <v>0</v>
      </c>
      <c r="G108" s="156">
        <f>$D$13*(F801ENE!G95)*$L108</f>
        <v>0</v>
      </c>
      <c r="H108" s="156">
        <f>$D$13*(F801ENE!H95)*$L108</f>
        <v>0</v>
      </c>
      <c r="I108" s="156">
        <f>$D$13*(F801ENE!I95)*$L108</f>
        <v>0</v>
      </c>
      <c r="J108" s="156">
        <f t="shared" si="22"/>
        <v>0</v>
      </c>
      <c r="K108" s="69"/>
      <c r="L108" s="319">
        <v>1</v>
      </c>
    </row>
    <row r="109" spans="2:12" s="37" customFormat="1" ht="15.75">
      <c r="B109" s="48"/>
      <c r="C109" s="160" t="s">
        <v>305</v>
      </c>
      <c r="D109" s="156">
        <f>$D$13*(F801ENE!D96)*$L109</f>
        <v>0</v>
      </c>
      <c r="E109" s="156">
        <f>$D$13*(F801ENE!E96)*$L109</f>
        <v>0</v>
      </c>
      <c r="F109" s="156">
        <f>$D$13*(F801ENE!F96)*$L109</f>
        <v>0</v>
      </c>
      <c r="G109" s="156">
        <f>$D$13*(F801ENE!G96)*$L109</f>
        <v>0</v>
      </c>
      <c r="H109" s="156">
        <f>$D$13*(F801ENE!H96)*$L109</f>
        <v>0</v>
      </c>
      <c r="I109" s="156">
        <f>$D$13*(F801ENE!I96)*$L109</f>
        <v>0</v>
      </c>
      <c r="J109" s="156">
        <f t="shared" si="22"/>
        <v>0</v>
      </c>
      <c r="K109" s="69"/>
      <c r="L109" s="319">
        <v>0.95</v>
      </c>
    </row>
    <row r="110" spans="2:12" s="37" customFormat="1" ht="15.75">
      <c r="B110" s="48"/>
      <c r="C110" s="160" t="s">
        <v>307</v>
      </c>
      <c r="D110" s="156">
        <f>$D$13*(F801ENE!D97)*$L110</f>
        <v>0</v>
      </c>
      <c r="E110" s="156">
        <f>$D$13*(F801ENE!E97)*$L110</f>
        <v>0</v>
      </c>
      <c r="F110" s="156">
        <f>$D$13*(F801ENE!F97)*$L110</f>
        <v>0</v>
      </c>
      <c r="G110" s="156">
        <f>$D$13*(F801ENE!G97)*$L110</f>
        <v>0</v>
      </c>
      <c r="H110" s="156">
        <f>$D$13*(F801ENE!H97)*$L110</f>
        <v>0</v>
      </c>
      <c r="I110" s="156">
        <f>$D$13*(F801ENE!I97)*$L110</f>
        <v>0</v>
      </c>
      <c r="J110" s="156">
        <f t="shared" si="22"/>
        <v>0</v>
      </c>
      <c r="K110" s="69"/>
      <c r="L110" s="319">
        <v>0.5</v>
      </c>
    </row>
    <row r="111" spans="2:12" s="37" customFormat="1" ht="15.75">
      <c r="B111" s="48"/>
      <c r="C111" s="160" t="s">
        <v>624</v>
      </c>
      <c r="D111" s="156">
        <f>$D$13*(F801ENE!D98)*$L111</f>
        <v>0</v>
      </c>
      <c r="E111" s="156">
        <f>$D$13*(F801ENE!E98)*$L111</f>
        <v>0</v>
      </c>
      <c r="F111" s="156">
        <f>$D$13*(F801ENE!F98)*$L111</f>
        <v>0</v>
      </c>
      <c r="G111" s="156">
        <f>$D$13*(F801ENE!G98)*$L111</f>
        <v>0</v>
      </c>
      <c r="H111" s="156">
        <f>$D$13*(F801ENE!H98)*$L111</f>
        <v>0</v>
      </c>
      <c r="I111" s="156">
        <f>$D$13*(F801ENE!I98)*$L111</f>
        <v>0</v>
      </c>
      <c r="J111" s="156">
        <f t="shared" si="22"/>
        <v>0</v>
      </c>
      <c r="K111" s="69"/>
      <c r="L111" s="319">
        <v>0</v>
      </c>
    </row>
    <row r="112" spans="2:12" s="37" customFormat="1" ht="15.75">
      <c r="B112" s="48" t="s">
        <v>902</v>
      </c>
      <c r="C112" s="158" t="s">
        <v>900</v>
      </c>
      <c r="D112" s="159">
        <f t="shared" ref="D112:I112" si="23">SUM(D113:D118)</f>
        <v>0</v>
      </c>
      <c r="E112" s="159">
        <f t="shared" si="23"/>
        <v>0</v>
      </c>
      <c r="F112" s="159">
        <f t="shared" si="23"/>
        <v>0</v>
      </c>
      <c r="G112" s="159">
        <f t="shared" si="23"/>
        <v>0</v>
      </c>
      <c r="H112" s="159">
        <f t="shared" si="23"/>
        <v>0</v>
      </c>
      <c r="I112" s="159">
        <f t="shared" si="23"/>
        <v>0</v>
      </c>
      <c r="J112" s="159">
        <f t="shared" si="22"/>
        <v>0</v>
      </c>
      <c r="K112" s="69"/>
      <c r="L112" s="319"/>
    </row>
    <row r="113" spans="2:12" s="37" customFormat="1" ht="15.75">
      <c r="B113" s="48"/>
      <c r="C113" s="160" t="s">
        <v>304</v>
      </c>
      <c r="D113" s="156">
        <f>$D$13*(F801ENE!D100)*$L113</f>
        <v>0</v>
      </c>
      <c r="E113" s="156">
        <f>$D$13*(F801ENE!E100)*$L113</f>
        <v>0</v>
      </c>
      <c r="F113" s="156">
        <f>$D$13*(F801ENE!F100)*$L113</f>
        <v>0</v>
      </c>
      <c r="G113" s="156">
        <f>$D$13*(F801ENE!G100)*$L113</f>
        <v>0</v>
      </c>
      <c r="H113" s="156">
        <f>$D$13*(F801ENE!H100)*$L113</f>
        <v>0</v>
      </c>
      <c r="I113" s="156">
        <f>$D$13*(F801ENE!I100)*$L113</f>
        <v>0</v>
      </c>
      <c r="J113" s="156">
        <f t="shared" si="22"/>
        <v>0</v>
      </c>
      <c r="K113" s="69"/>
      <c r="L113" s="319">
        <v>1</v>
      </c>
    </row>
    <row r="114" spans="2:12" s="37" customFormat="1" ht="15.75">
      <c r="B114" s="48"/>
      <c r="C114" s="162" t="s">
        <v>642</v>
      </c>
      <c r="D114" s="156">
        <f>$D$13*(F801ENE!D101)*$L114</f>
        <v>0</v>
      </c>
      <c r="E114" s="156">
        <f>$D$13*(F801ENE!E101)*$L114</f>
        <v>0</v>
      </c>
      <c r="F114" s="156">
        <f>$D$13*(F801ENE!F101)*$L114</f>
        <v>0</v>
      </c>
      <c r="G114" s="156">
        <f>$D$13*(F801ENE!G101)*$L114</f>
        <v>0</v>
      </c>
      <c r="H114" s="156">
        <f>$D$13*(F801ENE!H101)*$L114</f>
        <v>0</v>
      </c>
      <c r="I114" s="156">
        <f>$D$13*(F801ENE!I101)*$L114</f>
        <v>0</v>
      </c>
      <c r="J114" s="156">
        <f t="shared" si="22"/>
        <v>0</v>
      </c>
      <c r="K114" s="69"/>
      <c r="L114" s="319">
        <v>0.75</v>
      </c>
    </row>
    <row r="115" spans="2:12" s="37" customFormat="1" ht="15.75">
      <c r="B115" s="48"/>
      <c r="C115" s="162" t="s">
        <v>1177</v>
      </c>
      <c r="D115" s="156">
        <f>$D$13*(F801ENE!D102)*$L115</f>
        <v>0</v>
      </c>
      <c r="E115" s="156">
        <f>$D$13*(F801ENE!E102)*$L115</f>
        <v>0</v>
      </c>
      <c r="F115" s="156">
        <f>$D$13*(F801ENE!F102)*$L115</f>
        <v>0</v>
      </c>
      <c r="G115" s="156">
        <f>$D$13*(F801ENE!G102)*$L115</f>
        <v>0</v>
      </c>
      <c r="H115" s="156">
        <f>$D$13*(F801ENE!H102)*$L115</f>
        <v>0</v>
      </c>
      <c r="I115" s="156">
        <f>$D$13*(F801ENE!I102)*$L115</f>
        <v>0</v>
      </c>
      <c r="J115" s="156">
        <f>SUM(D115:I115)</f>
        <v>0</v>
      </c>
      <c r="K115" s="69"/>
      <c r="L115" s="319">
        <v>1</v>
      </c>
    </row>
    <row r="116" spans="2:12" s="37" customFormat="1" ht="15.75">
      <c r="B116" s="48"/>
      <c r="C116" s="160" t="s">
        <v>305</v>
      </c>
      <c r="D116" s="156">
        <f>$D$13*(F801ENE!D103)*$L116</f>
        <v>0</v>
      </c>
      <c r="E116" s="156">
        <f>$D$13*(F801ENE!E103)*$L116</f>
        <v>0</v>
      </c>
      <c r="F116" s="156">
        <f>$D$13*(F801ENE!F103)*$L116</f>
        <v>0</v>
      </c>
      <c r="G116" s="156">
        <f>$D$13*(F801ENE!G103)*$L116</f>
        <v>0</v>
      </c>
      <c r="H116" s="156">
        <f>$D$13*(F801ENE!H103)*$L116</f>
        <v>0</v>
      </c>
      <c r="I116" s="156">
        <f>$D$13*(F801ENE!I103)*$L116</f>
        <v>0</v>
      </c>
      <c r="J116" s="156">
        <f>SUM(D116:I116)</f>
        <v>0</v>
      </c>
      <c r="K116" s="69"/>
      <c r="L116" s="319">
        <v>0.95</v>
      </c>
    </row>
    <row r="117" spans="2:12" s="37" customFormat="1" ht="15.75">
      <c r="B117" s="48"/>
      <c r="C117" s="160" t="s">
        <v>307</v>
      </c>
      <c r="D117" s="156">
        <f>$D$13*(F801ENE!D104)*$L117</f>
        <v>0</v>
      </c>
      <c r="E117" s="156">
        <f>$D$13*(F801ENE!E104)*$L117</f>
        <v>0</v>
      </c>
      <c r="F117" s="156">
        <f>$D$13*(F801ENE!F104)*$L117</f>
        <v>0</v>
      </c>
      <c r="G117" s="156">
        <f>$D$13*(F801ENE!G104)*$L117</f>
        <v>0</v>
      </c>
      <c r="H117" s="156">
        <f>$D$13*(F801ENE!H104)*$L117</f>
        <v>0</v>
      </c>
      <c r="I117" s="156">
        <f>$D$13*(F801ENE!I104)*$L117</f>
        <v>0</v>
      </c>
      <c r="J117" s="156">
        <f>SUM(D117:I117)</f>
        <v>0</v>
      </c>
      <c r="K117" s="69"/>
      <c r="L117" s="319">
        <v>0.5</v>
      </c>
    </row>
    <row r="118" spans="2:12" s="37" customFormat="1" ht="15.75">
      <c r="B118" s="48"/>
      <c r="C118" s="160" t="s">
        <v>624</v>
      </c>
      <c r="D118" s="156">
        <f>$D$13*(F801ENE!D105)*$L118</f>
        <v>0</v>
      </c>
      <c r="E118" s="156">
        <f>$D$13*(F801ENE!E105)*$L118</f>
        <v>0</v>
      </c>
      <c r="F118" s="156">
        <f>$D$13*(F801ENE!F105)*$L118</f>
        <v>0</v>
      </c>
      <c r="G118" s="156">
        <f>$D$13*(F801ENE!G105)*$L118</f>
        <v>0</v>
      </c>
      <c r="H118" s="156">
        <f>$D$13*(F801ENE!H105)*$L118</f>
        <v>0</v>
      </c>
      <c r="I118" s="156">
        <f>$D$13*(F801ENE!I105)*$L118</f>
        <v>0</v>
      </c>
      <c r="J118" s="156">
        <f>SUM(D118:I118)</f>
        <v>0</v>
      </c>
      <c r="K118" s="69"/>
      <c r="L118" s="319">
        <v>0</v>
      </c>
    </row>
    <row r="119" spans="2:12" s="37" customFormat="1" ht="15.75">
      <c r="B119" s="48"/>
      <c r="C119" s="157"/>
      <c r="D119" s="156"/>
      <c r="E119" s="156"/>
      <c r="F119" s="156"/>
      <c r="G119" s="156"/>
      <c r="H119" s="156"/>
      <c r="I119" s="156"/>
      <c r="J119" s="156"/>
      <c r="K119" s="69"/>
      <c r="L119" s="341"/>
    </row>
    <row r="120" spans="2:12" s="37" customFormat="1" ht="15.75">
      <c r="B120" s="48"/>
      <c r="C120" s="153" t="s">
        <v>112</v>
      </c>
      <c r="D120" s="154">
        <f t="shared" ref="D120:I120" si="24">D43+D33+D29</f>
        <v>0</v>
      </c>
      <c r="E120" s="154">
        <f t="shared" si="24"/>
        <v>0</v>
      </c>
      <c r="F120" s="154">
        <f t="shared" si="24"/>
        <v>0</v>
      </c>
      <c r="G120" s="154">
        <f t="shared" si="24"/>
        <v>0</v>
      </c>
      <c r="H120" s="154">
        <f t="shared" si="24"/>
        <v>0</v>
      </c>
      <c r="I120" s="154">
        <f t="shared" si="24"/>
        <v>0</v>
      </c>
      <c r="J120" s="154">
        <f>SUM(D120:I120)</f>
        <v>0</v>
      </c>
      <c r="K120" s="69"/>
      <c r="L120" s="341"/>
    </row>
    <row r="121" spans="2:12">
      <c r="B121" s="48"/>
    </row>
    <row r="122" spans="2:12">
      <c r="B122" s="48" t="s">
        <v>902</v>
      </c>
      <c r="D122" s="64">
        <f t="shared" ref="D122:J137" si="25">SUMIF($B$28:$B$120,$B122,D$28:D$120)</f>
        <v>0</v>
      </c>
      <c r="E122" s="64">
        <f t="shared" si="25"/>
        <v>0</v>
      </c>
      <c r="F122" s="64">
        <f t="shared" si="25"/>
        <v>0</v>
      </c>
      <c r="G122" s="64">
        <f t="shared" si="25"/>
        <v>0</v>
      </c>
      <c r="H122" s="64">
        <f t="shared" si="25"/>
        <v>0</v>
      </c>
      <c r="I122" s="64">
        <f t="shared" si="25"/>
        <v>0</v>
      </c>
      <c r="J122" s="64">
        <f t="shared" si="25"/>
        <v>0</v>
      </c>
    </row>
    <row r="123" spans="2:12">
      <c r="B123" s="48" t="s">
        <v>751</v>
      </c>
      <c r="D123" s="64">
        <f t="shared" si="25"/>
        <v>0</v>
      </c>
      <c r="E123" s="64">
        <f t="shared" si="25"/>
        <v>0</v>
      </c>
      <c r="F123" s="64">
        <f t="shared" si="25"/>
        <v>0</v>
      </c>
      <c r="G123" s="64">
        <f t="shared" si="25"/>
        <v>0</v>
      </c>
      <c r="H123" s="64">
        <f t="shared" si="25"/>
        <v>0</v>
      </c>
      <c r="I123" s="64">
        <f t="shared" si="25"/>
        <v>0</v>
      </c>
      <c r="J123" s="64">
        <f t="shared" si="25"/>
        <v>0</v>
      </c>
    </row>
    <row r="124" spans="2:12">
      <c r="B124" s="48" t="s">
        <v>750</v>
      </c>
      <c r="D124" s="64">
        <f t="shared" si="25"/>
        <v>0</v>
      </c>
      <c r="E124" s="64">
        <f t="shared" si="25"/>
        <v>0</v>
      </c>
      <c r="F124" s="64">
        <f t="shared" si="25"/>
        <v>0</v>
      </c>
      <c r="G124" s="64">
        <f t="shared" si="25"/>
        <v>0</v>
      </c>
      <c r="H124" s="64">
        <f t="shared" si="25"/>
        <v>0</v>
      </c>
      <c r="I124" s="64">
        <f t="shared" si="25"/>
        <v>0</v>
      </c>
      <c r="J124" s="64">
        <f t="shared" si="25"/>
        <v>0</v>
      </c>
    </row>
    <row r="125" spans="2:12">
      <c r="B125" s="48" t="s">
        <v>749</v>
      </c>
      <c r="D125" s="64">
        <f t="shared" si="25"/>
        <v>0</v>
      </c>
      <c r="E125" s="64">
        <f t="shared" si="25"/>
        <v>0</v>
      </c>
      <c r="F125" s="64">
        <f t="shared" si="25"/>
        <v>0</v>
      </c>
      <c r="G125" s="64">
        <f t="shared" si="25"/>
        <v>0</v>
      </c>
      <c r="H125" s="64">
        <f t="shared" si="25"/>
        <v>0</v>
      </c>
      <c r="I125" s="64">
        <f t="shared" si="25"/>
        <v>0</v>
      </c>
      <c r="J125" s="64">
        <f t="shared" si="25"/>
        <v>0</v>
      </c>
    </row>
    <row r="126" spans="2:12">
      <c r="B126" s="48" t="s">
        <v>1176</v>
      </c>
      <c r="D126" s="64">
        <f t="shared" si="25"/>
        <v>0</v>
      </c>
      <c r="E126" s="64">
        <f t="shared" si="25"/>
        <v>0</v>
      </c>
      <c r="F126" s="64">
        <f t="shared" si="25"/>
        <v>0</v>
      </c>
      <c r="G126" s="64">
        <f t="shared" si="25"/>
        <v>0</v>
      </c>
      <c r="H126" s="64">
        <f t="shared" si="25"/>
        <v>0</v>
      </c>
      <c r="I126" s="64">
        <f t="shared" si="25"/>
        <v>0</v>
      </c>
      <c r="J126" s="64">
        <f t="shared" si="25"/>
        <v>0</v>
      </c>
    </row>
    <row r="127" spans="2:12">
      <c r="B127" s="48" t="s">
        <v>274</v>
      </c>
      <c r="D127" s="64">
        <f t="shared" si="25"/>
        <v>0</v>
      </c>
      <c r="E127" s="64">
        <f t="shared" si="25"/>
        <v>0</v>
      </c>
      <c r="F127" s="64">
        <f t="shared" si="25"/>
        <v>0</v>
      </c>
      <c r="G127" s="64">
        <f t="shared" si="25"/>
        <v>0</v>
      </c>
      <c r="H127" s="64">
        <f t="shared" si="25"/>
        <v>0</v>
      </c>
      <c r="I127" s="64">
        <f t="shared" si="25"/>
        <v>0</v>
      </c>
      <c r="J127" s="64">
        <f t="shared" si="25"/>
        <v>0</v>
      </c>
    </row>
    <row r="128" spans="2:12">
      <c r="B128" s="48" t="s">
        <v>275</v>
      </c>
      <c r="D128" s="64">
        <f t="shared" si="25"/>
        <v>0</v>
      </c>
      <c r="E128" s="64">
        <f t="shared" si="25"/>
        <v>0</v>
      </c>
      <c r="F128" s="64">
        <f t="shared" si="25"/>
        <v>0</v>
      </c>
      <c r="G128" s="64">
        <f t="shared" si="25"/>
        <v>0</v>
      </c>
      <c r="H128" s="64">
        <f t="shared" si="25"/>
        <v>0</v>
      </c>
      <c r="I128" s="64">
        <f t="shared" si="25"/>
        <v>0</v>
      </c>
      <c r="J128" s="64">
        <f t="shared" si="25"/>
        <v>0</v>
      </c>
    </row>
    <row r="129" spans="2:10">
      <c r="B129" s="48" t="s">
        <v>276</v>
      </c>
      <c r="D129" s="64">
        <f t="shared" si="25"/>
        <v>0</v>
      </c>
      <c r="E129" s="64">
        <f t="shared" si="25"/>
        <v>0</v>
      </c>
      <c r="F129" s="64">
        <f t="shared" si="25"/>
        <v>0</v>
      </c>
      <c r="G129" s="64">
        <f t="shared" si="25"/>
        <v>0</v>
      </c>
      <c r="H129" s="64">
        <f t="shared" si="25"/>
        <v>0</v>
      </c>
      <c r="I129" s="64">
        <f t="shared" si="25"/>
        <v>0</v>
      </c>
      <c r="J129" s="64">
        <f t="shared" si="25"/>
        <v>0</v>
      </c>
    </row>
    <row r="130" spans="2:10">
      <c r="B130" s="48" t="s">
        <v>277</v>
      </c>
      <c r="D130" s="64">
        <f t="shared" si="25"/>
        <v>0</v>
      </c>
      <c r="E130" s="64">
        <f t="shared" si="25"/>
        <v>0</v>
      </c>
      <c r="F130" s="64">
        <f t="shared" si="25"/>
        <v>0</v>
      </c>
      <c r="G130" s="64">
        <f t="shared" si="25"/>
        <v>0</v>
      </c>
      <c r="H130" s="64">
        <f t="shared" si="25"/>
        <v>0</v>
      </c>
      <c r="I130" s="64">
        <f t="shared" si="25"/>
        <v>0</v>
      </c>
      <c r="J130" s="64">
        <f t="shared" si="25"/>
        <v>0</v>
      </c>
    </row>
    <row r="131" spans="2:10">
      <c r="B131" s="48" t="s">
        <v>278</v>
      </c>
      <c r="D131" s="64">
        <f t="shared" si="25"/>
        <v>0</v>
      </c>
      <c r="E131" s="64">
        <f t="shared" si="25"/>
        <v>0</v>
      </c>
      <c r="F131" s="64">
        <f t="shared" si="25"/>
        <v>0</v>
      </c>
      <c r="G131" s="64">
        <f t="shared" si="25"/>
        <v>0</v>
      </c>
      <c r="H131" s="64">
        <f t="shared" si="25"/>
        <v>0</v>
      </c>
      <c r="I131" s="64">
        <f t="shared" si="25"/>
        <v>0</v>
      </c>
      <c r="J131" s="64">
        <f t="shared" si="25"/>
        <v>0</v>
      </c>
    </row>
    <row r="132" spans="2:10">
      <c r="B132" s="48" t="s">
        <v>279</v>
      </c>
      <c r="D132" s="64">
        <f t="shared" si="25"/>
        <v>0</v>
      </c>
      <c r="E132" s="64">
        <f t="shared" si="25"/>
        <v>0</v>
      </c>
      <c r="F132" s="64">
        <f t="shared" si="25"/>
        <v>0</v>
      </c>
      <c r="G132" s="64">
        <f t="shared" si="25"/>
        <v>0</v>
      </c>
      <c r="H132" s="64">
        <f t="shared" si="25"/>
        <v>0</v>
      </c>
      <c r="I132" s="64">
        <f t="shared" si="25"/>
        <v>0</v>
      </c>
      <c r="J132" s="64">
        <f t="shared" si="25"/>
        <v>0</v>
      </c>
    </row>
    <row r="133" spans="2:10">
      <c r="B133" s="48" t="s">
        <v>875</v>
      </c>
      <c r="D133" s="64">
        <f t="shared" si="25"/>
        <v>0</v>
      </c>
      <c r="E133" s="64">
        <f t="shared" si="25"/>
        <v>0</v>
      </c>
      <c r="F133" s="64">
        <f t="shared" si="25"/>
        <v>0</v>
      </c>
      <c r="G133" s="64">
        <f t="shared" si="25"/>
        <v>0</v>
      </c>
      <c r="H133" s="64">
        <f t="shared" si="25"/>
        <v>0</v>
      </c>
      <c r="I133" s="64">
        <f t="shared" si="25"/>
        <v>0</v>
      </c>
      <c r="J133" s="64">
        <f t="shared" si="25"/>
        <v>0</v>
      </c>
    </row>
    <row r="134" spans="2:10">
      <c r="B134" s="48" t="s">
        <v>874</v>
      </c>
      <c r="D134" s="64">
        <f t="shared" si="25"/>
        <v>0</v>
      </c>
      <c r="E134" s="64">
        <f t="shared" si="25"/>
        <v>0</v>
      </c>
      <c r="F134" s="64">
        <f t="shared" si="25"/>
        <v>0</v>
      </c>
      <c r="G134" s="64">
        <f t="shared" si="25"/>
        <v>0</v>
      </c>
      <c r="H134" s="64">
        <f t="shared" si="25"/>
        <v>0</v>
      </c>
      <c r="I134" s="64">
        <f t="shared" si="25"/>
        <v>0</v>
      </c>
      <c r="J134" s="64">
        <f t="shared" si="25"/>
        <v>0</v>
      </c>
    </row>
    <row r="135" spans="2:10">
      <c r="B135" s="48" t="s">
        <v>873</v>
      </c>
      <c r="D135" s="64">
        <f t="shared" si="25"/>
        <v>0</v>
      </c>
      <c r="E135" s="64">
        <f t="shared" si="25"/>
        <v>0</v>
      </c>
      <c r="F135" s="64">
        <f t="shared" si="25"/>
        <v>0</v>
      </c>
      <c r="G135" s="64">
        <f t="shared" si="25"/>
        <v>0</v>
      </c>
      <c r="H135" s="64">
        <f t="shared" si="25"/>
        <v>0</v>
      </c>
      <c r="I135" s="64">
        <f t="shared" si="25"/>
        <v>0</v>
      </c>
      <c r="J135" s="64">
        <f t="shared" si="25"/>
        <v>0</v>
      </c>
    </row>
    <row r="136" spans="2:10">
      <c r="B136" s="48" t="s">
        <v>872</v>
      </c>
      <c r="D136" s="64">
        <f t="shared" si="25"/>
        <v>0</v>
      </c>
      <c r="E136" s="64">
        <f t="shared" si="25"/>
        <v>0</v>
      </c>
      <c r="F136" s="64">
        <f t="shared" si="25"/>
        <v>0</v>
      </c>
      <c r="G136" s="64">
        <f t="shared" si="25"/>
        <v>0</v>
      </c>
      <c r="H136" s="64">
        <f t="shared" si="25"/>
        <v>0</v>
      </c>
      <c r="I136" s="64">
        <f t="shared" si="25"/>
        <v>0</v>
      </c>
      <c r="J136" s="64">
        <f t="shared" si="25"/>
        <v>0</v>
      </c>
    </row>
    <row r="137" spans="2:10">
      <c r="B137" s="48" t="s">
        <v>871</v>
      </c>
      <c r="D137" s="64">
        <f t="shared" si="25"/>
        <v>0</v>
      </c>
      <c r="E137" s="64">
        <f t="shared" si="25"/>
        <v>0</v>
      </c>
      <c r="F137" s="64">
        <f t="shared" si="25"/>
        <v>0</v>
      </c>
      <c r="G137" s="64">
        <f t="shared" si="25"/>
        <v>0</v>
      </c>
      <c r="H137" s="64">
        <f t="shared" si="25"/>
        <v>0</v>
      </c>
      <c r="I137" s="64">
        <f t="shared" si="25"/>
        <v>0</v>
      </c>
      <c r="J137" s="64">
        <f t="shared" si="25"/>
        <v>0</v>
      </c>
    </row>
    <row r="138" spans="2:10">
      <c r="B138" s="48" t="s">
        <v>870</v>
      </c>
      <c r="D138" s="64">
        <f t="shared" ref="D138:J139" si="26">SUMIF($B$28:$B$120,$B138,D$28:D$120)</f>
        <v>0</v>
      </c>
      <c r="E138" s="64">
        <f t="shared" si="26"/>
        <v>0</v>
      </c>
      <c r="F138" s="64">
        <f t="shared" si="26"/>
        <v>0</v>
      </c>
      <c r="G138" s="64">
        <f t="shared" si="26"/>
        <v>0</v>
      </c>
      <c r="H138" s="64">
        <f t="shared" si="26"/>
        <v>0</v>
      </c>
      <c r="I138" s="64">
        <f t="shared" si="26"/>
        <v>0</v>
      </c>
      <c r="J138" s="64">
        <f t="shared" si="26"/>
        <v>0</v>
      </c>
    </row>
    <row r="139" spans="2:10">
      <c r="B139" s="48" t="s">
        <v>890</v>
      </c>
      <c r="D139" s="64">
        <f t="shared" si="26"/>
        <v>0</v>
      </c>
      <c r="E139" s="64">
        <f t="shared" si="26"/>
        <v>0</v>
      </c>
      <c r="F139" s="64">
        <f t="shared" si="26"/>
        <v>0</v>
      </c>
      <c r="G139" s="64">
        <f t="shared" si="26"/>
        <v>0</v>
      </c>
      <c r="H139" s="64">
        <f t="shared" si="26"/>
        <v>0</v>
      </c>
      <c r="I139" s="64">
        <f t="shared" si="26"/>
        <v>0</v>
      </c>
      <c r="J139" s="64">
        <f t="shared" si="26"/>
        <v>0</v>
      </c>
    </row>
    <row r="140" spans="2:10">
      <c r="B140" s="48" t="s">
        <v>111</v>
      </c>
      <c r="D140" s="65">
        <f>SUM(D122:D139)</f>
        <v>0</v>
      </c>
      <c r="E140" s="65">
        <f t="shared" ref="E140:J140" si="27">SUM(E122:E139)</f>
        <v>0</v>
      </c>
      <c r="F140" s="65">
        <f t="shared" si="27"/>
        <v>0</v>
      </c>
      <c r="G140" s="65">
        <f t="shared" si="27"/>
        <v>0</v>
      </c>
      <c r="H140" s="65">
        <f t="shared" si="27"/>
        <v>0</v>
      </c>
      <c r="I140" s="65">
        <f t="shared" si="27"/>
        <v>0</v>
      </c>
      <c r="J140" s="65">
        <f t="shared" si="27"/>
        <v>0</v>
      </c>
    </row>
    <row r="141" spans="2:10">
      <c r="B141" s="48"/>
      <c r="D141" s="66">
        <f>D140-D120</f>
        <v>0</v>
      </c>
      <c r="E141" s="66">
        <f t="shared" ref="E141:J141" si="28">E140-E120</f>
        <v>0</v>
      </c>
      <c r="F141" s="66">
        <f t="shared" si="28"/>
        <v>0</v>
      </c>
      <c r="G141" s="66">
        <f t="shared" si="28"/>
        <v>0</v>
      </c>
      <c r="H141" s="66">
        <f t="shared" si="28"/>
        <v>0</v>
      </c>
      <c r="I141" s="66">
        <f t="shared" si="28"/>
        <v>0</v>
      </c>
      <c r="J141" s="66">
        <f t="shared" si="28"/>
        <v>0</v>
      </c>
    </row>
  </sheetData>
  <printOptions horizontalCentered="1" verticalCentered="1"/>
  <pageMargins left="0.39370078740157483" right="0.39370078740157483" top="0.39370078740157483" bottom="0.39370078740157483" header="0.31496062992125984" footer="0.23622047244094491"/>
  <pageSetup scale="44" orientation="portrait" horizontalDpi="300" r:id="rId1"/>
  <headerFooter alignWithMargins="0">
    <oddHeader>&amp;L
NOMBRE DE LA DISTRIBUIDORA: &amp;UENSA.&amp;R&amp;9&amp;A</oddHeader>
  </headerFooter>
  <rowBreaks count="1" manualBreakCount="1">
    <brk id="120" max="9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74">
    <tabColor theme="5" tint="0.39997558519241921"/>
  </sheetPr>
  <dimension ref="B1:L141"/>
  <sheetViews>
    <sheetView view="pageBreakPreview" zoomScale="70" zoomScaleNormal="85" zoomScaleSheetLayoutView="70" workbookViewId="0"/>
  </sheetViews>
  <sheetFormatPr baseColWidth="10" defaultColWidth="8" defaultRowHeight="15"/>
  <cols>
    <col min="1" max="1" width="1.875" style="63" customWidth="1"/>
    <col min="2" max="2" width="6" style="63" customWidth="1"/>
    <col min="3" max="3" width="28.625" style="63" customWidth="1"/>
    <col min="4" max="4" width="11.75" style="63" customWidth="1"/>
    <col min="5" max="5" width="12.625" style="63" customWidth="1"/>
    <col min="6" max="6" width="12.75" style="63" customWidth="1"/>
    <col min="7" max="7" width="13.25" style="63" customWidth="1"/>
    <col min="8" max="8" width="13.875" style="63" customWidth="1"/>
    <col min="9" max="9" width="11.5" style="63" customWidth="1"/>
    <col min="10" max="10" width="13.125" style="63" customWidth="1"/>
    <col min="11" max="11" width="2.25" style="63" customWidth="1"/>
    <col min="12" max="12" width="4.25" style="345" bestFit="1" customWidth="1"/>
    <col min="13" max="16384" width="8" style="63"/>
  </cols>
  <sheetData>
    <row r="1" spans="3:12" s="69" customFormat="1" ht="15.75">
      <c r="C1" s="136" t="s">
        <v>151</v>
      </c>
      <c r="E1" s="63"/>
      <c r="L1" s="341"/>
    </row>
    <row r="2" spans="3:12" s="69" customFormat="1" ht="15.75">
      <c r="C2" s="136"/>
      <c r="E2" s="137" t="s">
        <v>138</v>
      </c>
      <c r="L2" s="341"/>
    </row>
    <row r="3" spans="3:12" s="69" customFormat="1" ht="15.75">
      <c r="D3" s="137"/>
      <c r="L3" s="341"/>
    </row>
    <row r="4" spans="3:12" s="69" customFormat="1" ht="15.75">
      <c r="C4" s="219" t="s">
        <v>1530</v>
      </c>
      <c r="D4" s="338"/>
      <c r="E4" s="338"/>
      <c r="F4" s="338"/>
      <c r="G4" s="338"/>
      <c r="H4" s="338"/>
      <c r="I4" s="338"/>
      <c r="J4" s="339"/>
      <c r="L4" s="341"/>
    </row>
    <row r="5" spans="3:12" s="69" customFormat="1" ht="15.75">
      <c r="C5" s="342"/>
      <c r="D5" s="322"/>
      <c r="E5" s="323"/>
      <c r="F5" s="322"/>
      <c r="G5" s="322"/>
      <c r="H5" s="342"/>
      <c r="I5" s="342"/>
      <c r="L5" s="341"/>
    </row>
    <row r="6" spans="3:12" s="58" customFormat="1" ht="30.95" customHeight="1">
      <c r="C6" s="343" t="s">
        <v>854</v>
      </c>
      <c r="D6" s="344" t="s">
        <v>236</v>
      </c>
      <c r="E6" s="323"/>
      <c r="F6" s="322"/>
      <c r="G6" s="322"/>
      <c r="H6" s="342"/>
      <c r="I6" s="342"/>
      <c r="J6" s="69"/>
      <c r="L6" s="345"/>
    </row>
    <row r="7" spans="3:12" s="143" customFormat="1" ht="15.75">
      <c r="C7" s="144" t="s">
        <v>266</v>
      </c>
      <c r="D7" s="144">
        <f>RAT1000PT!$H$137</f>
        <v>0</v>
      </c>
      <c r="E7" s="322"/>
      <c r="F7" s="322"/>
      <c r="G7" s="322"/>
      <c r="H7" s="342"/>
      <c r="I7" s="342"/>
      <c r="J7" s="69"/>
      <c r="L7" s="345"/>
    </row>
    <row r="8" spans="3:12" s="143" customFormat="1" ht="15.75">
      <c r="C8" s="144" t="s">
        <v>265</v>
      </c>
      <c r="D8" s="144">
        <f>RAT1000PT!$H$136</f>
        <v>0</v>
      </c>
      <c r="E8" s="322"/>
      <c r="F8" s="322"/>
      <c r="G8" s="322"/>
      <c r="H8" s="342"/>
      <c r="I8" s="342"/>
      <c r="J8" s="69"/>
      <c r="L8" s="345"/>
    </row>
    <row r="9" spans="3:12" s="143" customFormat="1" ht="15.75">
      <c r="C9" s="144" t="s">
        <v>264</v>
      </c>
      <c r="D9" s="144">
        <f>RAT1000PT!$H$135</f>
        <v>0</v>
      </c>
      <c r="E9" s="322"/>
      <c r="F9" s="322"/>
      <c r="G9" s="322"/>
      <c r="H9" s="342"/>
      <c r="I9" s="342"/>
      <c r="J9" s="69"/>
      <c r="L9" s="345"/>
    </row>
    <row r="10" spans="3:12" s="143" customFormat="1" ht="15.75">
      <c r="C10" s="144" t="s">
        <v>262</v>
      </c>
      <c r="D10" s="144">
        <f>RAT1000PT!$H$134</f>
        <v>0</v>
      </c>
      <c r="E10" s="322"/>
      <c r="F10" s="322"/>
      <c r="G10" s="322"/>
      <c r="H10" s="342"/>
      <c r="I10" s="342"/>
      <c r="J10" s="69"/>
      <c r="L10" s="345"/>
    </row>
    <row r="11" spans="3:12" s="143" customFormat="1" ht="15.75">
      <c r="C11" s="144" t="s">
        <v>263</v>
      </c>
      <c r="D11" s="144">
        <f>RAT1000PT!$H$133</f>
        <v>0</v>
      </c>
      <c r="E11" s="322"/>
      <c r="F11" s="322"/>
      <c r="G11" s="322"/>
      <c r="H11" s="342"/>
      <c r="I11" s="342"/>
      <c r="J11" s="69"/>
      <c r="L11" s="345"/>
    </row>
    <row r="12" spans="3:12" s="143" customFormat="1" ht="15.75">
      <c r="C12" s="144" t="s">
        <v>261</v>
      </c>
      <c r="D12" s="144">
        <f>RAT1000PT!$H$132</f>
        <v>0</v>
      </c>
      <c r="E12" s="322"/>
      <c r="F12" s="322"/>
      <c r="G12" s="322"/>
      <c r="H12" s="342"/>
      <c r="I12" s="342"/>
      <c r="J12" s="69"/>
      <c r="L12" s="345"/>
    </row>
    <row r="13" spans="3:12" s="143" customFormat="1" ht="15.75">
      <c r="C13" s="144" t="s">
        <v>267</v>
      </c>
      <c r="D13" s="144">
        <f>RAT1000PT!$H$130</f>
        <v>0</v>
      </c>
      <c r="E13" s="322"/>
      <c r="F13" s="322"/>
      <c r="G13" s="322"/>
      <c r="H13" s="342"/>
      <c r="I13" s="342"/>
      <c r="J13" s="69"/>
      <c r="L13" s="345"/>
    </row>
    <row r="14" spans="3:12" s="143" customFormat="1" ht="15.75">
      <c r="C14" s="144" t="s">
        <v>1178</v>
      </c>
      <c r="D14" s="144">
        <f>RAT1000PT!$H$131</f>
        <v>0</v>
      </c>
      <c r="E14" s="322"/>
      <c r="F14" s="322"/>
      <c r="G14" s="322"/>
      <c r="H14" s="342"/>
      <c r="I14" s="342"/>
      <c r="J14" s="69"/>
      <c r="L14" s="345"/>
    </row>
    <row r="15" spans="3:12" s="143" customFormat="1" ht="13.5">
      <c r="C15" s="147"/>
      <c r="E15" s="1010"/>
      <c r="F15" s="1010"/>
      <c r="G15" s="1010"/>
      <c r="H15" s="1010"/>
      <c r="I15" s="1010"/>
      <c r="J15" s="38"/>
      <c r="L15" s="1011"/>
    </row>
    <row r="16" spans="3:12" s="1004" customFormat="1" ht="5.25">
      <c r="C16" s="1005"/>
      <c r="E16" s="1006"/>
      <c r="F16" s="1006"/>
      <c r="G16" s="1006"/>
      <c r="H16" s="1006"/>
      <c r="I16" s="1006"/>
      <c r="J16" s="1007"/>
      <c r="L16" s="1008"/>
    </row>
    <row r="17" spans="2:12" s="1004" customFormat="1" ht="5.25">
      <c r="C17" s="1005"/>
      <c r="J17" s="1009"/>
      <c r="L17" s="1008"/>
    </row>
    <row r="18" spans="2:12" s="1004" customFormat="1" ht="5.25">
      <c r="C18" s="1005"/>
      <c r="J18" s="1009"/>
      <c r="L18" s="1008"/>
    </row>
    <row r="19" spans="2:12" s="1004" customFormat="1" ht="5.25">
      <c r="C19" s="1005"/>
      <c r="J19" s="1009"/>
      <c r="L19" s="1008"/>
    </row>
    <row r="20" spans="2:12" s="1004" customFormat="1" ht="5.25">
      <c r="C20" s="1005"/>
      <c r="J20" s="1009"/>
      <c r="L20" s="1008"/>
    </row>
    <row r="21" spans="2:12" s="1004" customFormat="1" ht="5.25">
      <c r="C21" s="1005"/>
      <c r="J21" s="1009"/>
      <c r="L21" s="1008"/>
    </row>
    <row r="22" spans="2:12" s="1004" customFormat="1" ht="5.25">
      <c r="C22" s="1005"/>
      <c r="J22" s="1009"/>
      <c r="L22" s="1008"/>
    </row>
    <row r="23" spans="2:12" s="1004" customFormat="1" ht="5.25">
      <c r="C23" s="1005"/>
      <c r="J23" s="1009"/>
      <c r="L23" s="1008"/>
    </row>
    <row r="24" spans="2:12" s="1004" customFormat="1" ht="5.25">
      <c r="C24" s="1005"/>
      <c r="J24" s="1009"/>
      <c r="L24" s="1008"/>
    </row>
    <row r="25" spans="2:12" s="1004" customFormat="1" ht="5.25">
      <c r="C25" s="1005"/>
      <c r="J25" s="1009"/>
      <c r="L25" s="1008"/>
    </row>
    <row r="26" spans="2:12" s="1004" customFormat="1" ht="5.25">
      <c r="C26" s="1005"/>
      <c r="J26" s="1009"/>
      <c r="L26" s="1008"/>
    </row>
    <row r="27" spans="2:12" s="69" customFormat="1" ht="15.75">
      <c r="C27" s="1002" t="str">
        <f>C4</f>
        <v>Ingresos Estimados = Cargos Totales P-1 por Ventas Estimadas P</v>
      </c>
      <c r="D27" s="1002"/>
      <c r="E27" s="1002"/>
      <c r="F27" s="1002"/>
      <c r="G27" s="1002"/>
      <c r="H27" s="1002"/>
      <c r="I27" s="1002"/>
      <c r="J27" s="1003"/>
      <c r="L27" s="345" t="s">
        <v>678</v>
      </c>
    </row>
    <row r="28" spans="2:12" s="37" customFormat="1" ht="15.75">
      <c r="C28" s="346" t="s">
        <v>310</v>
      </c>
      <c r="D28" s="347">
        <f>F801ENE!D4</f>
        <v>46204</v>
      </c>
      <c r="E28" s="347">
        <f>F801ENE!E4</f>
        <v>46235</v>
      </c>
      <c r="F28" s="347">
        <f>F801ENE!F4</f>
        <v>46266</v>
      </c>
      <c r="G28" s="347">
        <f>F801ENE!G4</f>
        <v>46296</v>
      </c>
      <c r="H28" s="347">
        <f>F801ENE!H4</f>
        <v>46327</v>
      </c>
      <c r="I28" s="347">
        <f>F801ENE!I4</f>
        <v>46357</v>
      </c>
      <c r="J28" s="348" t="s">
        <v>111</v>
      </c>
      <c r="K28" s="69"/>
      <c r="L28" s="349"/>
    </row>
    <row r="29" spans="2:12" s="37" customFormat="1" ht="15.75" customHeight="1">
      <c r="B29" s="48"/>
      <c r="C29" s="153" t="s">
        <v>446</v>
      </c>
      <c r="D29" s="154">
        <f t="shared" ref="D29:I29" si="0">SUM(D30:D31)</f>
        <v>0</v>
      </c>
      <c r="E29" s="154">
        <f t="shared" si="0"/>
        <v>0</v>
      </c>
      <c r="F29" s="154">
        <f t="shared" si="0"/>
        <v>0</v>
      </c>
      <c r="G29" s="154">
        <f t="shared" si="0"/>
        <v>0</v>
      </c>
      <c r="H29" s="154">
        <f t="shared" si="0"/>
        <v>0</v>
      </c>
      <c r="I29" s="154">
        <f t="shared" si="0"/>
        <v>0</v>
      </c>
      <c r="J29" s="154">
        <f>SUM(D29:I29)</f>
        <v>0</v>
      </c>
      <c r="K29" s="69"/>
      <c r="L29" s="350"/>
    </row>
    <row r="30" spans="2:12" s="37" customFormat="1" ht="15.75" customHeight="1">
      <c r="B30" s="48" t="s">
        <v>279</v>
      </c>
      <c r="C30" s="155" t="s">
        <v>279</v>
      </c>
      <c r="D30" s="156">
        <f>$D$7*F801ENE!D6</f>
        <v>0</v>
      </c>
      <c r="E30" s="156">
        <f>$D$7*F801ENE!E6</f>
        <v>0</v>
      </c>
      <c r="F30" s="156">
        <f>$D$7*F801ENE!F6</f>
        <v>0</v>
      </c>
      <c r="G30" s="156">
        <f>$D$7*F801ENE!G6</f>
        <v>0</v>
      </c>
      <c r="H30" s="156">
        <f>$D$7*F801ENE!H6</f>
        <v>0</v>
      </c>
      <c r="I30" s="156">
        <f>$D$7*F801ENE!I6</f>
        <v>0</v>
      </c>
      <c r="J30" s="156">
        <f>SUM(D30:I30)</f>
        <v>0</v>
      </c>
      <c r="K30" s="69"/>
      <c r="L30" s="341"/>
    </row>
    <row r="31" spans="2:12" s="37" customFormat="1" ht="15.75" customHeight="1">
      <c r="B31" s="48" t="s">
        <v>278</v>
      </c>
      <c r="C31" s="155" t="s">
        <v>278</v>
      </c>
      <c r="D31" s="156">
        <f>$D$8*F801ENE!D7</f>
        <v>0</v>
      </c>
      <c r="E31" s="156">
        <f>$D$8*F801ENE!E7</f>
        <v>0</v>
      </c>
      <c r="F31" s="156">
        <f>$D$8*F801ENE!F7</f>
        <v>0</v>
      </c>
      <c r="G31" s="156">
        <f>$D$8*F801ENE!G7</f>
        <v>0</v>
      </c>
      <c r="H31" s="156">
        <f>$D$8*F801ENE!H7</f>
        <v>0</v>
      </c>
      <c r="I31" s="156">
        <f>$D$8*F801ENE!I7</f>
        <v>0</v>
      </c>
      <c r="J31" s="156">
        <f>SUM(D31:I31)</f>
        <v>0</v>
      </c>
      <c r="K31" s="69"/>
      <c r="L31" s="351"/>
    </row>
    <row r="32" spans="2:12" s="37" customFormat="1" ht="15.75" customHeight="1">
      <c r="B32" s="48"/>
      <c r="C32" s="157"/>
      <c r="D32" s="156"/>
      <c r="E32" s="156"/>
      <c r="F32" s="156"/>
      <c r="G32" s="156"/>
      <c r="H32" s="156"/>
      <c r="I32" s="156"/>
      <c r="J32" s="156"/>
      <c r="K32" s="69"/>
      <c r="L32" s="350"/>
    </row>
    <row r="33" spans="2:12" s="37" customFormat="1" ht="15.75" customHeight="1">
      <c r="B33" s="48"/>
      <c r="C33" s="153" t="s">
        <v>630</v>
      </c>
      <c r="D33" s="154">
        <f>D34+D37</f>
        <v>0</v>
      </c>
      <c r="E33" s="154">
        <f t="shared" ref="E33:J33" si="1">E34+E37</f>
        <v>0</v>
      </c>
      <c r="F33" s="154">
        <f t="shared" si="1"/>
        <v>0</v>
      </c>
      <c r="G33" s="154">
        <f t="shared" si="1"/>
        <v>0</v>
      </c>
      <c r="H33" s="154">
        <f t="shared" si="1"/>
        <v>0</v>
      </c>
      <c r="I33" s="154">
        <f t="shared" si="1"/>
        <v>0</v>
      </c>
      <c r="J33" s="154">
        <f t="shared" si="1"/>
        <v>0</v>
      </c>
      <c r="K33" s="69"/>
      <c r="L33" s="341"/>
    </row>
    <row r="34" spans="2:12" s="37" customFormat="1" ht="15.75" customHeight="1">
      <c r="B34" s="48" t="s">
        <v>277</v>
      </c>
      <c r="C34" s="155" t="s">
        <v>277</v>
      </c>
      <c r="D34" s="154">
        <f>SUM(D35:D36)</f>
        <v>0</v>
      </c>
      <c r="E34" s="154">
        <f t="shared" ref="E34:J34" si="2">SUM(E35:E36)</f>
        <v>0</v>
      </c>
      <c r="F34" s="154">
        <f t="shared" si="2"/>
        <v>0</v>
      </c>
      <c r="G34" s="154">
        <f t="shared" si="2"/>
        <v>0</v>
      </c>
      <c r="H34" s="154">
        <f t="shared" si="2"/>
        <v>0</v>
      </c>
      <c r="I34" s="154">
        <f t="shared" si="2"/>
        <v>0</v>
      </c>
      <c r="J34" s="154">
        <f t="shared" si="2"/>
        <v>0</v>
      </c>
      <c r="K34" s="69"/>
      <c r="L34" s="341"/>
    </row>
    <row r="35" spans="2:12" s="37" customFormat="1" ht="15.75" customHeight="1">
      <c r="B35" s="48"/>
      <c r="C35" s="160" t="s">
        <v>304</v>
      </c>
      <c r="D35" s="156">
        <f>$D$9*F801ENE!D11*$L35</f>
        <v>0</v>
      </c>
      <c r="E35" s="156">
        <f>$D$9*F801ENE!E11*$L35</f>
        <v>0</v>
      </c>
      <c r="F35" s="156">
        <f>$D$9*F801ENE!F11*$L35</f>
        <v>0</v>
      </c>
      <c r="G35" s="156">
        <f>$D$9*F801ENE!G11*$L35</f>
        <v>0</v>
      </c>
      <c r="H35" s="156">
        <f>$D$9*F801ENE!H11*$L35</f>
        <v>0</v>
      </c>
      <c r="I35" s="156">
        <f>$D$9*F801ENE!I11*$L35</f>
        <v>0</v>
      </c>
      <c r="J35" s="156">
        <f t="shared" ref="J35:J41" si="3">SUM(D35:I35)</f>
        <v>0</v>
      </c>
      <c r="K35" s="69"/>
      <c r="L35" s="319">
        <v>1</v>
      </c>
    </row>
    <row r="36" spans="2:12" s="37" customFormat="1" ht="15.75" customHeight="1">
      <c r="B36" s="48"/>
      <c r="C36" s="160" t="s">
        <v>305</v>
      </c>
      <c r="D36" s="156">
        <f>$D$9*F801ENE!D12*$L36</f>
        <v>0</v>
      </c>
      <c r="E36" s="156">
        <f>$D$9*F801ENE!E12*$L36</f>
        <v>0</v>
      </c>
      <c r="F36" s="156">
        <f>$D$9*F801ENE!F12*$L36</f>
        <v>0</v>
      </c>
      <c r="G36" s="156">
        <f>$D$9*F801ENE!G12*$L36</f>
        <v>0</v>
      </c>
      <c r="H36" s="156">
        <f>$D$9*F801ENE!H12*$L36</f>
        <v>0</v>
      </c>
      <c r="I36" s="156">
        <f>$D$9*F801ENE!I12*$L36</f>
        <v>0</v>
      </c>
      <c r="J36" s="156">
        <f t="shared" si="3"/>
        <v>0</v>
      </c>
      <c r="K36" s="69"/>
      <c r="L36" s="319">
        <v>0.95</v>
      </c>
    </row>
    <row r="37" spans="2:12" s="37" customFormat="1" ht="15.75" customHeight="1">
      <c r="B37" s="48" t="s">
        <v>276</v>
      </c>
      <c r="C37" s="158" t="s">
        <v>276</v>
      </c>
      <c r="D37" s="159">
        <f t="shared" ref="D37:I37" si="4">SUM(D38:D41)</f>
        <v>0</v>
      </c>
      <c r="E37" s="159">
        <f t="shared" si="4"/>
        <v>0</v>
      </c>
      <c r="F37" s="159">
        <f t="shared" si="4"/>
        <v>0</v>
      </c>
      <c r="G37" s="159">
        <f t="shared" si="4"/>
        <v>0</v>
      </c>
      <c r="H37" s="159">
        <f t="shared" si="4"/>
        <v>0</v>
      </c>
      <c r="I37" s="159">
        <f t="shared" si="4"/>
        <v>0</v>
      </c>
      <c r="J37" s="159">
        <f t="shared" si="3"/>
        <v>0</v>
      </c>
      <c r="K37" s="69"/>
      <c r="L37" s="351"/>
    </row>
    <row r="38" spans="2:12" s="37" customFormat="1" ht="15.75" customHeight="1">
      <c r="B38" s="48"/>
      <c r="C38" s="160" t="s">
        <v>304</v>
      </c>
      <c r="D38" s="156">
        <f>$D$10*F801ENE!D15*$L38</f>
        <v>0</v>
      </c>
      <c r="E38" s="156">
        <f>$D$10*F801ENE!E15*$L38</f>
        <v>0</v>
      </c>
      <c r="F38" s="156">
        <f>$D$10*F801ENE!F15*$L38</f>
        <v>0</v>
      </c>
      <c r="G38" s="156">
        <f>$D$10*F801ENE!G15*$L38</f>
        <v>0</v>
      </c>
      <c r="H38" s="156">
        <f>$D$10*F801ENE!H15*$L38</f>
        <v>0</v>
      </c>
      <c r="I38" s="156">
        <f>$D$10*F801ENE!I15*$L38</f>
        <v>0</v>
      </c>
      <c r="J38" s="156">
        <f t="shared" si="3"/>
        <v>0</v>
      </c>
      <c r="K38" s="69"/>
      <c r="L38" s="319">
        <v>1</v>
      </c>
    </row>
    <row r="39" spans="2:12" s="37" customFormat="1" ht="15.75" customHeight="1">
      <c r="B39" s="48"/>
      <c r="C39" s="161" t="s">
        <v>306</v>
      </c>
      <c r="D39" s="156">
        <f>$D$10*F801ENE!D16*$L39</f>
        <v>0</v>
      </c>
      <c r="E39" s="156">
        <f>$D$10*F801ENE!E16*$L39</f>
        <v>0</v>
      </c>
      <c r="F39" s="156">
        <f>$D$10*F801ENE!F16*$L39</f>
        <v>0</v>
      </c>
      <c r="G39" s="156">
        <f>$D$10*F801ENE!G16*$L39</f>
        <v>0</v>
      </c>
      <c r="H39" s="156">
        <f>$D$10*F801ENE!H16*$L39</f>
        <v>0</v>
      </c>
      <c r="I39" s="156">
        <f>$D$10*F801ENE!I16*$L39</f>
        <v>0</v>
      </c>
      <c r="J39" s="156">
        <f t="shared" si="3"/>
        <v>0</v>
      </c>
      <c r="K39" s="69"/>
      <c r="L39" s="319">
        <v>1</v>
      </c>
    </row>
    <row r="40" spans="2:12" s="37" customFormat="1" ht="15.75" customHeight="1">
      <c r="B40" s="48"/>
      <c r="C40" s="160" t="s">
        <v>305</v>
      </c>
      <c r="D40" s="156">
        <f>$D$10*F801ENE!D17*$L40</f>
        <v>0</v>
      </c>
      <c r="E40" s="156">
        <f>$D$10*F801ENE!E17*$L40</f>
        <v>0</v>
      </c>
      <c r="F40" s="156">
        <f>$D$10*F801ENE!F17*$L40</f>
        <v>0</v>
      </c>
      <c r="G40" s="156">
        <f>$D$10*F801ENE!G17*$L40</f>
        <v>0</v>
      </c>
      <c r="H40" s="156">
        <f>$D$10*F801ENE!H17*$L40</f>
        <v>0</v>
      </c>
      <c r="I40" s="156">
        <f>$D$10*F801ENE!I17*$L40</f>
        <v>0</v>
      </c>
      <c r="J40" s="156">
        <f t="shared" si="3"/>
        <v>0</v>
      </c>
      <c r="K40" s="69"/>
      <c r="L40" s="319">
        <v>0.95</v>
      </c>
    </row>
    <row r="41" spans="2:12" s="37" customFormat="1" ht="15.75" customHeight="1">
      <c r="B41" s="48"/>
      <c r="C41" s="160" t="s">
        <v>307</v>
      </c>
      <c r="D41" s="156">
        <f>$D$10*F801ENE!D18*$L41</f>
        <v>0</v>
      </c>
      <c r="E41" s="156">
        <f>$D$10*F801ENE!E18*$L41</f>
        <v>0</v>
      </c>
      <c r="F41" s="156">
        <f>$D$10*F801ENE!F18*$L41</f>
        <v>0</v>
      </c>
      <c r="G41" s="156">
        <f>$D$10*F801ENE!G18*$L41</f>
        <v>0</v>
      </c>
      <c r="H41" s="156">
        <f>$D$10*F801ENE!H18*$L41</f>
        <v>0</v>
      </c>
      <c r="I41" s="156">
        <f>$D$10*F801ENE!I18*$L41</f>
        <v>0</v>
      </c>
      <c r="J41" s="156">
        <f t="shared" si="3"/>
        <v>0</v>
      </c>
      <c r="K41" s="69"/>
      <c r="L41" s="319">
        <v>0.5</v>
      </c>
    </row>
    <row r="42" spans="2:12" s="37" customFormat="1" ht="15.75" customHeight="1">
      <c r="B42" s="48"/>
      <c r="C42" s="157"/>
      <c r="D42" s="157"/>
      <c r="E42" s="157"/>
      <c r="F42" s="157"/>
      <c r="G42" s="157"/>
      <c r="H42" s="157"/>
      <c r="I42" s="157"/>
      <c r="J42" s="157"/>
      <c r="K42" s="69"/>
      <c r="L42" s="341"/>
    </row>
    <row r="43" spans="2:12" s="37" customFormat="1" ht="15.75" customHeight="1">
      <c r="B43" s="48"/>
      <c r="C43" s="153" t="s">
        <v>443</v>
      </c>
      <c r="D43" s="154">
        <f t="shared" ref="D43:I43" si="5">D44+D48+D55+D60+D65+D78+D84+D91+D99+D105+D112+D71</f>
        <v>0</v>
      </c>
      <c r="E43" s="154">
        <f t="shared" si="5"/>
        <v>0</v>
      </c>
      <c r="F43" s="154">
        <f t="shared" si="5"/>
        <v>0</v>
      </c>
      <c r="G43" s="154">
        <f t="shared" si="5"/>
        <v>0</v>
      </c>
      <c r="H43" s="154">
        <f t="shared" si="5"/>
        <v>0</v>
      </c>
      <c r="I43" s="154">
        <f t="shared" si="5"/>
        <v>0</v>
      </c>
      <c r="J43" s="154">
        <f>J44+J48+J55+J60+J65+J78+J84+J91+J99+J105+J112</f>
        <v>0</v>
      </c>
      <c r="K43" s="69"/>
      <c r="L43" s="341"/>
    </row>
    <row r="44" spans="2:12" s="37" customFormat="1" ht="15.75" customHeight="1">
      <c r="B44" s="48" t="s">
        <v>275</v>
      </c>
      <c r="C44" s="155" t="s">
        <v>275</v>
      </c>
      <c r="D44" s="154">
        <f>SUM(D45:D47)</f>
        <v>0</v>
      </c>
      <c r="E44" s="154">
        <f t="shared" ref="E44:J44" si="6">SUM(E45:E47)</f>
        <v>0</v>
      </c>
      <c r="F44" s="154">
        <f t="shared" si="6"/>
        <v>0</v>
      </c>
      <c r="G44" s="154">
        <f t="shared" si="6"/>
        <v>0</v>
      </c>
      <c r="H44" s="154">
        <f t="shared" si="6"/>
        <v>0</v>
      </c>
      <c r="I44" s="154">
        <f t="shared" si="6"/>
        <v>0</v>
      </c>
      <c r="J44" s="154">
        <f t="shared" si="6"/>
        <v>0</v>
      </c>
      <c r="K44" s="69"/>
      <c r="L44" s="341"/>
    </row>
    <row r="45" spans="2:12" s="37" customFormat="1" ht="15.75" customHeight="1">
      <c r="B45" s="48"/>
      <c r="C45" s="160" t="s">
        <v>304</v>
      </c>
      <c r="D45" s="156">
        <f>$D$11*F801ENE!D22*$L45</f>
        <v>0</v>
      </c>
      <c r="E45" s="156">
        <f>$D$11*F801ENE!E22*$L45</f>
        <v>0</v>
      </c>
      <c r="F45" s="156">
        <f>$D$11*F801ENE!F22*$L45</f>
        <v>0</v>
      </c>
      <c r="G45" s="156">
        <f>$D$11*F801ENE!G22*$L45</f>
        <v>0</v>
      </c>
      <c r="H45" s="156">
        <f>$D$11*F801ENE!H22*$L45</f>
        <v>0</v>
      </c>
      <c r="I45" s="156">
        <f>$D$11*F801ENE!I22*$L45</f>
        <v>0</v>
      </c>
      <c r="J45" s="156">
        <f t="shared" ref="J45" si="7">SUM(D45:I45)</f>
        <v>0</v>
      </c>
      <c r="K45" s="69"/>
      <c r="L45" s="319">
        <v>1</v>
      </c>
    </row>
    <row r="46" spans="2:12" s="37" customFormat="1" ht="15.75" customHeight="1">
      <c r="B46" s="48"/>
      <c r="C46" s="161" t="s">
        <v>306</v>
      </c>
      <c r="D46" s="156">
        <f>$D$11*F801ENE!D23*$L46</f>
        <v>0</v>
      </c>
      <c r="E46" s="156">
        <f>$D$11*F801ENE!E23*$L46</f>
        <v>0</v>
      </c>
      <c r="F46" s="156">
        <f>$D$11*F801ENE!F23*$L46</f>
        <v>0</v>
      </c>
      <c r="G46" s="156">
        <f>$D$11*F801ENE!G23*$L46</f>
        <v>0</v>
      </c>
      <c r="H46" s="156">
        <f>$D$11*F801ENE!H23*$L46</f>
        <v>0</v>
      </c>
      <c r="I46" s="156">
        <f>$D$11*F801ENE!I23*$L46</f>
        <v>0</v>
      </c>
      <c r="J46" s="156">
        <f t="shared" ref="J46:J69" si="8">SUM(D46:I46)</f>
        <v>0</v>
      </c>
      <c r="K46" s="69"/>
      <c r="L46" s="319">
        <v>0.75</v>
      </c>
    </row>
    <row r="47" spans="2:12" s="37" customFormat="1" ht="15.75" customHeight="1">
      <c r="B47" s="48"/>
      <c r="C47" s="160" t="s">
        <v>305</v>
      </c>
      <c r="D47" s="156">
        <f>$D$11*F801ENE!D24*$L47</f>
        <v>0</v>
      </c>
      <c r="E47" s="156">
        <f>$D$11*F801ENE!E24*$L47</f>
        <v>0</v>
      </c>
      <c r="F47" s="156">
        <f>$D$11*F801ENE!F24*$L47</f>
        <v>0</v>
      </c>
      <c r="G47" s="156">
        <f>$D$11*F801ENE!G24*$L47</f>
        <v>0</v>
      </c>
      <c r="H47" s="156">
        <f>$D$11*F801ENE!H24*$L47</f>
        <v>0</v>
      </c>
      <c r="I47" s="156">
        <f>$D$11*F801ENE!I24*$L47</f>
        <v>0</v>
      </c>
      <c r="J47" s="156">
        <f t="shared" si="8"/>
        <v>0</v>
      </c>
      <c r="K47" s="69"/>
      <c r="L47" s="319">
        <v>0.95</v>
      </c>
    </row>
    <row r="48" spans="2:12" s="37" customFormat="1" ht="15.75" customHeight="1">
      <c r="B48" s="48" t="s">
        <v>274</v>
      </c>
      <c r="C48" s="158" t="s">
        <v>627</v>
      </c>
      <c r="D48" s="159">
        <f t="shared" ref="D48:I48" si="9">SUM(D49:D54)</f>
        <v>0</v>
      </c>
      <c r="E48" s="159">
        <f t="shared" si="9"/>
        <v>0</v>
      </c>
      <c r="F48" s="159">
        <f t="shared" si="9"/>
        <v>0</v>
      </c>
      <c r="G48" s="159">
        <f t="shared" si="9"/>
        <v>0</v>
      </c>
      <c r="H48" s="159">
        <f t="shared" si="9"/>
        <v>0</v>
      </c>
      <c r="I48" s="159">
        <f t="shared" si="9"/>
        <v>0</v>
      </c>
      <c r="J48" s="159">
        <f t="shared" si="8"/>
        <v>0</v>
      </c>
      <c r="K48" s="69"/>
      <c r="L48" s="341"/>
    </row>
    <row r="49" spans="2:12" s="37" customFormat="1" ht="15.75" customHeight="1">
      <c r="B49" s="48"/>
      <c r="C49" s="160" t="s">
        <v>304</v>
      </c>
      <c r="D49" s="156">
        <f>$D$12*F801ENE!D28*$L49</f>
        <v>0</v>
      </c>
      <c r="E49" s="156">
        <f>$D$12*F801ENE!E28*$L49</f>
        <v>0</v>
      </c>
      <c r="F49" s="156">
        <f>$D$12*F801ENE!F28*$L49</f>
        <v>0</v>
      </c>
      <c r="G49" s="156">
        <f>$D$12*F801ENE!G28*$L49</f>
        <v>0</v>
      </c>
      <c r="H49" s="156">
        <f>$D$12*F801ENE!H28*$L49</f>
        <v>0</v>
      </c>
      <c r="I49" s="156">
        <f>$D$12*F801ENE!I28*$L49</f>
        <v>0</v>
      </c>
      <c r="J49" s="156">
        <f t="shared" si="8"/>
        <v>0</v>
      </c>
      <c r="K49" s="69"/>
      <c r="L49" s="319">
        <v>1</v>
      </c>
    </row>
    <row r="50" spans="2:12" s="37" customFormat="1" ht="15.75" customHeight="1">
      <c r="B50" s="48"/>
      <c r="C50" s="162" t="s">
        <v>628</v>
      </c>
      <c r="D50" s="156">
        <f>$D$12*F801ENE!D29*$L50</f>
        <v>0</v>
      </c>
      <c r="E50" s="156">
        <f>$D$12*F801ENE!E29*$L50</f>
        <v>0</v>
      </c>
      <c r="F50" s="156">
        <f>$D$12*F801ENE!F29*$L50</f>
        <v>0</v>
      </c>
      <c r="G50" s="156">
        <f>$D$12*F801ENE!G29*$L50</f>
        <v>0</v>
      </c>
      <c r="H50" s="156">
        <f>$D$12*F801ENE!H29*$L50</f>
        <v>0</v>
      </c>
      <c r="I50" s="156">
        <f>$D$12*F801ENE!I29*$L50</f>
        <v>0</v>
      </c>
      <c r="J50" s="156">
        <f t="shared" si="8"/>
        <v>0</v>
      </c>
      <c r="K50" s="69"/>
      <c r="L50" s="319">
        <v>0.75</v>
      </c>
    </row>
    <row r="51" spans="2:12" s="37" customFormat="1" ht="15.75" customHeight="1">
      <c r="B51" s="48"/>
      <c r="C51" s="161" t="s">
        <v>629</v>
      </c>
      <c r="D51" s="156">
        <f>$D$12*F801ENE!D30*$L51</f>
        <v>0</v>
      </c>
      <c r="E51" s="156">
        <f>$D$12*F801ENE!E30*$L51</f>
        <v>0</v>
      </c>
      <c r="F51" s="156">
        <f>$D$12*F801ENE!F30*$L51</f>
        <v>0</v>
      </c>
      <c r="G51" s="156">
        <f>$D$12*F801ENE!G30*$L51</f>
        <v>0</v>
      </c>
      <c r="H51" s="156">
        <f>$D$12*F801ENE!H30*$L51</f>
        <v>0</v>
      </c>
      <c r="I51" s="156">
        <f>$D$12*F801ENE!I30*$L51</f>
        <v>0</v>
      </c>
      <c r="J51" s="156">
        <f t="shared" si="8"/>
        <v>0</v>
      </c>
      <c r="K51" s="69"/>
      <c r="L51" s="319">
        <v>1</v>
      </c>
    </row>
    <row r="52" spans="2:12" s="37" customFormat="1" ht="15.75" customHeight="1">
      <c r="B52" s="48"/>
      <c r="C52" s="160" t="s">
        <v>305</v>
      </c>
      <c r="D52" s="156">
        <f>$D$12*F801ENE!D31*$L52</f>
        <v>0</v>
      </c>
      <c r="E52" s="156">
        <f>$D$12*F801ENE!E31*$L52</f>
        <v>0</v>
      </c>
      <c r="F52" s="156">
        <f>$D$12*F801ENE!F31*$L52</f>
        <v>0</v>
      </c>
      <c r="G52" s="156">
        <f>$D$12*F801ENE!G31*$L52</f>
        <v>0</v>
      </c>
      <c r="H52" s="156">
        <f>$D$12*F801ENE!H31*$L52</f>
        <v>0</v>
      </c>
      <c r="I52" s="156">
        <f>$D$12*F801ENE!I31*$L52</f>
        <v>0</v>
      </c>
      <c r="J52" s="156">
        <f t="shared" si="8"/>
        <v>0</v>
      </c>
      <c r="K52" s="69"/>
      <c r="L52" s="319">
        <v>0.95</v>
      </c>
    </row>
    <row r="53" spans="2:12" s="37" customFormat="1" ht="15.75" customHeight="1">
      <c r="B53" s="48"/>
      <c r="C53" s="160" t="s">
        <v>307</v>
      </c>
      <c r="D53" s="156">
        <f>$D$12*F801ENE!D32*$L53</f>
        <v>0</v>
      </c>
      <c r="E53" s="156">
        <f>$D$12*F801ENE!E32*$L53</f>
        <v>0</v>
      </c>
      <c r="F53" s="156">
        <f>$D$12*F801ENE!F32*$L53</f>
        <v>0</v>
      </c>
      <c r="G53" s="156">
        <f>$D$12*F801ENE!G32*$L53</f>
        <v>0</v>
      </c>
      <c r="H53" s="156">
        <f>$D$12*F801ENE!H32*$L53</f>
        <v>0</v>
      </c>
      <c r="I53" s="156">
        <f>$D$12*F801ENE!I32*$L53</f>
        <v>0</v>
      </c>
      <c r="J53" s="156">
        <f t="shared" si="8"/>
        <v>0</v>
      </c>
      <c r="K53" s="69"/>
      <c r="L53" s="319">
        <v>0.5</v>
      </c>
    </row>
    <row r="54" spans="2:12" s="37" customFormat="1" ht="15.75" customHeight="1">
      <c r="B54" s="48"/>
      <c r="C54" s="160" t="s">
        <v>624</v>
      </c>
      <c r="D54" s="156">
        <f>$D$12*F801ENE!D33*$L54</f>
        <v>0</v>
      </c>
      <c r="E54" s="156">
        <f>$D$12*F801ENE!E33*$L54</f>
        <v>0</v>
      </c>
      <c r="F54" s="156">
        <f>$D$12*F801ENE!F33*$L54</f>
        <v>0</v>
      </c>
      <c r="G54" s="156">
        <f>$D$12*F801ENE!G33*$L54</f>
        <v>0</v>
      </c>
      <c r="H54" s="156">
        <f>$D$12*F801ENE!H33*$L54</f>
        <v>0</v>
      </c>
      <c r="I54" s="156">
        <f>$D$12*F801ENE!I33*$L54</f>
        <v>0</v>
      </c>
      <c r="J54" s="156">
        <f t="shared" si="8"/>
        <v>0</v>
      </c>
      <c r="K54" s="69"/>
      <c r="L54" s="319">
        <v>0</v>
      </c>
    </row>
    <row r="55" spans="2:12" s="37" customFormat="1" ht="15.75" customHeight="1">
      <c r="B55" s="48" t="s">
        <v>274</v>
      </c>
      <c r="C55" s="158" t="s">
        <v>631</v>
      </c>
      <c r="D55" s="159">
        <f t="shared" ref="D55:I55" si="10">SUM(D56:D59)</f>
        <v>0</v>
      </c>
      <c r="E55" s="159">
        <f t="shared" si="10"/>
        <v>0</v>
      </c>
      <c r="F55" s="159">
        <f t="shared" si="10"/>
        <v>0</v>
      </c>
      <c r="G55" s="159">
        <f t="shared" si="10"/>
        <v>0</v>
      </c>
      <c r="H55" s="159">
        <f t="shared" si="10"/>
        <v>0</v>
      </c>
      <c r="I55" s="159">
        <f t="shared" si="10"/>
        <v>0</v>
      </c>
      <c r="J55" s="159">
        <f t="shared" si="8"/>
        <v>0</v>
      </c>
      <c r="K55" s="69"/>
      <c r="L55" s="341"/>
    </row>
    <row r="56" spans="2:12" s="37" customFormat="1" ht="15.75" customHeight="1">
      <c r="B56" s="48"/>
      <c r="C56" s="160" t="s">
        <v>304</v>
      </c>
      <c r="D56" s="156">
        <f>$D$12*F801ENE!D35*$L56</f>
        <v>0</v>
      </c>
      <c r="E56" s="156">
        <f>$D$12*F801ENE!E35*$L56</f>
        <v>0</v>
      </c>
      <c r="F56" s="156">
        <f>$D$12*F801ENE!F35*$L56</f>
        <v>0</v>
      </c>
      <c r="G56" s="156">
        <f>$D$12*F801ENE!G35*$L56</f>
        <v>0</v>
      </c>
      <c r="H56" s="156">
        <f>$D$12*F801ENE!H35*$L56</f>
        <v>0</v>
      </c>
      <c r="I56" s="156">
        <f>$D$12*F801ENE!I35*$L56</f>
        <v>0</v>
      </c>
      <c r="J56" s="156">
        <f t="shared" si="8"/>
        <v>0</v>
      </c>
      <c r="K56" s="69"/>
      <c r="L56" s="319">
        <v>1</v>
      </c>
    </row>
    <row r="57" spans="2:12" s="37" customFormat="1" ht="15.75" customHeight="1">
      <c r="B57" s="48"/>
      <c r="C57" s="161" t="s">
        <v>306</v>
      </c>
      <c r="D57" s="156">
        <f>$D$12*F801ENE!D36*$L57</f>
        <v>0</v>
      </c>
      <c r="E57" s="156">
        <f>$D$12*F801ENE!E36*$L57</f>
        <v>0</v>
      </c>
      <c r="F57" s="156">
        <f>$D$12*F801ENE!F36*$L57</f>
        <v>0</v>
      </c>
      <c r="G57" s="156">
        <f>$D$12*F801ENE!G36*$L57</f>
        <v>0</v>
      </c>
      <c r="H57" s="156">
        <f>$D$12*F801ENE!H36*$L57</f>
        <v>0</v>
      </c>
      <c r="I57" s="156">
        <f>$D$12*F801ENE!I36*$L57</f>
        <v>0</v>
      </c>
      <c r="J57" s="156">
        <f t="shared" si="8"/>
        <v>0</v>
      </c>
      <c r="K57" s="69"/>
      <c r="L57" s="319">
        <v>1</v>
      </c>
    </row>
    <row r="58" spans="2:12" s="37" customFormat="1" ht="15.75" customHeight="1">
      <c r="B58" s="48"/>
      <c r="C58" s="160" t="s">
        <v>305</v>
      </c>
      <c r="D58" s="156">
        <f>$D$12*F801ENE!D37*$L58</f>
        <v>0</v>
      </c>
      <c r="E58" s="156">
        <f>$D$12*F801ENE!E37*$L58</f>
        <v>0</v>
      </c>
      <c r="F58" s="156">
        <f>$D$12*F801ENE!F37*$L58</f>
        <v>0</v>
      </c>
      <c r="G58" s="156">
        <f>$D$12*F801ENE!G37*$L58</f>
        <v>0</v>
      </c>
      <c r="H58" s="156">
        <f>$D$12*F801ENE!H37*$L58</f>
        <v>0</v>
      </c>
      <c r="I58" s="156">
        <f>$D$12*F801ENE!I37*$L58</f>
        <v>0</v>
      </c>
      <c r="J58" s="156">
        <f t="shared" si="8"/>
        <v>0</v>
      </c>
      <c r="K58" s="69"/>
      <c r="L58" s="319">
        <v>0.95</v>
      </c>
    </row>
    <row r="59" spans="2:12" s="37" customFormat="1" ht="15.75" customHeight="1">
      <c r="B59" s="48"/>
      <c r="C59" s="160" t="s">
        <v>307</v>
      </c>
      <c r="D59" s="156">
        <f>$D$12*F801ENE!D38*$L59</f>
        <v>0</v>
      </c>
      <c r="E59" s="156">
        <f>$D$12*F801ENE!E38*$L59</f>
        <v>0</v>
      </c>
      <c r="F59" s="156">
        <f>$D$12*F801ENE!F38*$L59</f>
        <v>0</v>
      </c>
      <c r="G59" s="156">
        <f>$D$12*F801ENE!G38*$L59</f>
        <v>0</v>
      </c>
      <c r="H59" s="156">
        <f>$D$12*F801ENE!H38*$L59</f>
        <v>0</v>
      </c>
      <c r="I59" s="156">
        <f>$D$12*F801ENE!I38*$L59</f>
        <v>0</v>
      </c>
      <c r="J59" s="156">
        <f t="shared" si="8"/>
        <v>0</v>
      </c>
      <c r="K59" s="69"/>
      <c r="L59" s="319">
        <v>0.5</v>
      </c>
    </row>
    <row r="60" spans="2:12" s="37" customFormat="1" ht="15.75" customHeight="1">
      <c r="B60" s="48" t="s">
        <v>274</v>
      </c>
      <c r="C60" s="158" t="s">
        <v>632</v>
      </c>
      <c r="D60" s="159">
        <f t="shared" ref="D60:I60" si="11">SUM(D61:D64)</f>
        <v>0</v>
      </c>
      <c r="E60" s="159">
        <f t="shared" si="11"/>
        <v>0</v>
      </c>
      <c r="F60" s="159">
        <f t="shared" si="11"/>
        <v>0</v>
      </c>
      <c r="G60" s="159">
        <f t="shared" si="11"/>
        <v>0</v>
      </c>
      <c r="H60" s="159">
        <f t="shared" si="11"/>
        <v>0</v>
      </c>
      <c r="I60" s="159">
        <f t="shared" si="11"/>
        <v>0</v>
      </c>
      <c r="J60" s="159">
        <f t="shared" si="8"/>
        <v>0</v>
      </c>
      <c r="K60" s="69"/>
      <c r="L60" s="319"/>
    </row>
    <row r="61" spans="2:12" s="37" customFormat="1" ht="15.75" customHeight="1">
      <c r="B61" s="48"/>
      <c r="C61" s="160" t="s">
        <v>304</v>
      </c>
      <c r="D61" s="156">
        <f>$D$12*F801ENE!D40*$L61</f>
        <v>0</v>
      </c>
      <c r="E61" s="156">
        <f>$D$12*F801ENE!E40*$L61</f>
        <v>0</v>
      </c>
      <c r="F61" s="156">
        <f>$D$12*F801ENE!F40*$L61</f>
        <v>0</v>
      </c>
      <c r="G61" s="156">
        <f>$D$12*F801ENE!G40*$L61</f>
        <v>0</v>
      </c>
      <c r="H61" s="156">
        <f>$D$12*F801ENE!H40*$L61</f>
        <v>0</v>
      </c>
      <c r="I61" s="156">
        <f>$D$12*F801ENE!I40*$L61</f>
        <v>0</v>
      </c>
      <c r="J61" s="156">
        <f t="shared" si="8"/>
        <v>0</v>
      </c>
      <c r="K61" s="69"/>
      <c r="L61" s="319">
        <v>1</v>
      </c>
    </row>
    <row r="62" spans="2:12" s="37" customFormat="1" ht="15.75" customHeight="1">
      <c r="B62" s="48"/>
      <c r="C62" s="161" t="s">
        <v>306</v>
      </c>
      <c r="D62" s="156">
        <f>$D$12*F801ENE!D41*$L62</f>
        <v>0</v>
      </c>
      <c r="E62" s="156">
        <f>$D$12*F801ENE!E41*$L62</f>
        <v>0</v>
      </c>
      <c r="F62" s="156">
        <f>$D$12*F801ENE!F41*$L62</f>
        <v>0</v>
      </c>
      <c r="G62" s="156">
        <f>$D$12*F801ENE!G41*$L62</f>
        <v>0</v>
      </c>
      <c r="H62" s="156">
        <f>$D$12*F801ENE!H41*$L62</f>
        <v>0</v>
      </c>
      <c r="I62" s="156">
        <f>$D$12*F801ENE!I41*$L62</f>
        <v>0</v>
      </c>
      <c r="J62" s="156">
        <f t="shared" si="8"/>
        <v>0</v>
      </c>
      <c r="K62" s="69"/>
      <c r="L62" s="319">
        <v>1</v>
      </c>
    </row>
    <row r="63" spans="2:12" s="37" customFormat="1" ht="15.75" customHeight="1">
      <c r="B63" s="48"/>
      <c r="C63" s="160" t="s">
        <v>305</v>
      </c>
      <c r="D63" s="156">
        <f>$D$12*F801ENE!D42*$L63</f>
        <v>0</v>
      </c>
      <c r="E63" s="156">
        <f>$D$12*F801ENE!E42*$L63</f>
        <v>0</v>
      </c>
      <c r="F63" s="156">
        <f>$D$12*F801ENE!F42*$L63</f>
        <v>0</v>
      </c>
      <c r="G63" s="156">
        <f>$D$12*F801ENE!G42*$L63</f>
        <v>0</v>
      </c>
      <c r="H63" s="156">
        <f>$D$12*F801ENE!H42*$L63</f>
        <v>0</v>
      </c>
      <c r="I63" s="156">
        <f>$D$12*F801ENE!I42*$L63</f>
        <v>0</v>
      </c>
      <c r="J63" s="156">
        <f t="shared" si="8"/>
        <v>0</v>
      </c>
      <c r="K63" s="69"/>
      <c r="L63" s="319">
        <v>0.95</v>
      </c>
    </row>
    <row r="64" spans="2:12" s="37" customFormat="1" ht="15.75" customHeight="1">
      <c r="B64" s="48"/>
      <c r="C64" s="160" t="s">
        <v>307</v>
      </c>
      <c r="D64" s="156">
        <f>$D$12*F801ENE!D43*$L64</f>
        <v>0</v>
      </c>
      <c r="E64" s="156">
        <f>$D$12*F801ENE!E43*$L64</f>
        <v>0</v>
      </c>
      <c r="F64" s="156">
        <f>$D$12*F801ENE!F43*$L64</f>
        <v>0</v>
      </c>
      <c r="G64" s="156">
        <f>$D$12*F801ENE!G43*$L64</f>
        <v>0</v>
      </c>
      <c r="H64" s="156">
        <f>$D$12*F801ENE!H43*$L64</f>
        <v>0</v>
      </c>
      <c r="I64" s="156">
        <f>$D$12*F801ENE!I43*$L64</f>
        <v>0</v>
      </c>
      <c r="J64" s="156">
        <f t="shared" si="8"/>
        <v>0</v>
      </c>
      <c r="K64" s="69"/>
      <c r="L64" s="319">
        <v>0.5</v>
      </c>
    </row>
    <row r="65" spans="2:12" s="37" customFormat="1" ht="15.75" customHeight="1">
      <c r="B65" s="48" t="s">
        <v>274</v>
      </c>
      <c r="C65" s="158" t="s">
        <v>633</v>
      </c>
      <c r="D65" s="159">
        <f t="shared" ref="D65:I65" si="12">SUM(D66:D69)</f>
        <v>0</v>
      </c>
      <c r="E65" s="159">
        <f t="shared" si="12"/>
        <v>0</v>
      </c>
      <c r="F65" s="159">
        <f t="shared" si="12"/>
        <v>0</v>
      </c>
      <c r="G65" s="159">
        <f t="shared" si="12"/>
        <v>0</v>
      </c>
      <c r="H65" s="159">
        <f t="shared" si="12"/>
        <v>0</v>
      </c>
      <c r="I65" s="159">
        <f t="shared" si="12"/>
        <v>0</v>
      </c>
      <c r="J65" s="159">
        <f t="shared" si="8"/>
        <v>0</v>
      </c>
      <c r="K65" s="69"/>
      <c r="L65" s="341"/>
    </row>
    <row r="66" spans="2:12" s="37" customFormat="1" ht="15.75" customHeight="1">
      <c r="B66" s="48"/>
      <c r="C66" s="160" t="s">
        <v>304</v>
      </c>
      <c r="D66" s="156">
        <f>$D$12*F801ENE!D45*$L66</f>
        <v>0</v>
      </c>
      <c r="E66" s="156">
        <f>$D$12*F801ENE!E45*$L66</f>
        <v>0</v>
      </c>
      <c r="F66" s="156">
        <f>$D$12*F801ENE!F45*$L66</f>
        <v>0</v>
      </c>
      <c r="G66" s="156">
        <f>$D$12*F801ENE!G45*$L66</f>
        <v>0</v>
      </c>
      <c r="H66" s="156">
        <f>$D$12*F801ENE!H45*$L66</f>
        <v>0</v>
      </c>
      <c r="I66" s="156">
        <f>$D$12*F801ENE!I45*$L66</f>
        <v>0</v>
      </c>
      <c r="J66" s="156">
        <f t="shared" si="8"/>
        <v>0</v>
      </c>
      <c r="K66" s="69"/>
      <c r="L66" s="319">
        <v>1</v>
      </c>
    </row>
    <row r="67" spans="2:12" s="37" customFormat="1" ht="15.75" customHeight="1">
      <c r="B67" s="48"/>
      <c r="C67" s="161" t="s">
        <v>306</v>
      </c>
      <c r="D67" s="156">
        <f>$D$12*F801ENE!D46*$L67</f>
        <v>0</v>
      </c>
      <c r="E67" s="156">
        <f>$D$12*F801ENE!E46*$L67</f>
        <v>0</v>
      </c>
      <c r="F67" s="156">
        <f>$D$12*F801ENE!F46*$L67</f>
        <v>0</v>
      </c>
      <c r="G67" s="156">
        <f>$D$12*F801ENE!G46*$L67</f>
        <v>0</v>
      </c>
      <c r="H67" s="156">
        <f>$D$12*F801ENE!H46*$L67</f>
        <v>0</v>
      </c>
      <c r="I67" s="156">
        <f>$D$12*F801ENE!I46*$L67</f>
        <v>0</v>
      </c>
      <c r="J67" s="156">
        <f t="shared" si="8"/>
        <v>0</v>
      </c>
      <c r="K67" s="69"/>
      <c r="L67" s="319">
        <v>1</v>
      </c>
    </row>
    <row r="68" spans="2:12" s="37" customFormat="1" ht="15.75" customHeight="1">
      <c r="B68" s="48"/>
      <c r="C68" s="160" t="s">
        <v>305</v>
      </c>
      <c r="D68" s="156">
        <f>$D$12*F801ENE!D47*$L68</f>
        <v>0</v>
      </c>
      <c r="E68" s="156">
        <f>$D$12*F801ENE!E47*$L68</f>
        <v>0</v>
      </c>
      <c r="F68" s="156">
        <f>$D$12*F801ENE!F47*$L68</f>
        <v>0</v>
      </c>
      <c r="G68" s="156">
        <f>$D$12*F801ENE!G47*$L68</f>
        <v>0</v>
      </c>
      <c r="H68" s="156">
        <f>$D$12*F801ENE!H47*$L68</f>
        <v>0</v>
      </c>
      <c r="I68" s="156">
        <f>$D$12*F801ENE!I47*$L68</f>
        <v>0</v>
      </c>
      <c r="J68" s="156">
        <f t="shared" si="8"/>
        <v>0</v>
      </c>
      <c r="K68" s="69"/>
      <c r="L68" s="319">
        <v>0.95</v>
      </c>
    </row>
    <row r="69" spans="2:12" s="37" customFormat="1" ht="15.75" customHeight="1">
      <c r="B69" s="48"/>
      <c r="C69" s="160" t="s">
        <v>307</v>
      </c>
      <c r="D69" s="156">
        <f>$D$12*F801ENE!D48*$L69</f>
        <v>0</v>
      </c>
      <c r="E69" s="156">
        <f>$D$12*F801ENE!E48*$L69</f>
        <v>0</v>
      </c>
      <c r="F69" s="156">
        <f>$D$12*F801ENE!F48*$L69</f>
        <v>0</v>
      </c>
      <c r="G69" s="156">
        <f>$D$12*F801ENE!G48*$L69</f>
        <v>0</v>
      </c>
      <c r="H69" s="156">
        <f>$D$12*F801ENE!H48*$L69</f>
        <v>0</v>
      </c>
      <c r="I69" s="156">
        <f>$D$12*F801ENE!I48*$L69</f>
        <v>0</v>
      </c>
      <c r="J69" s="156">
        <f t="shared" si="8"/>
        <v>0</v>
      </c>
      <c r="K69" s="69"/>
      <c r="L69" s="319">
        <v>0.5</v>
      </c>
    </row>
    <row r="70" spans="2:12" s="37" customFormat="1" ht="15.75">
      <c r="B70" s="48"/>
      <c r="C70" s="157"/>
      <c r="D70" s="156"/>
      <c r="E70" s="156"/>
      <c r="F70" s="156"/>
      <c r="G70" s="156"/>
      <c r="H70" s="156"/>
      <c r="I70" s="156"/>
      <c r="J70" s="156"/>
      <c r="K70" s="69"/>
      <c r="L70" s="341"/>
    </row>
    <row r="71" spans="2:12" s="37" customFormat="1" ht="15.75">
      <c r="B71" s="48" t="s">
        <v>1176</v>
      </c>
      <c r="C71" s="158" t="str">
        <f>F801ENE!$C$50</f>
        <v>BTSH</v>
      </c>
      <c r="D71" s="154">
        <f>SUM(D72:D77)</f>
        <v>0</v>
      </c>
      <c r="E71" s="154">
        <f t="shared" ref="E71:J71" si="13">SUM(E72:E77)</f>
        <v>0</v>
      </c>
      <c r="F71" s="154">
        <f t="shared" si="13"/>
        <v>0</v>
      </c>
      <c r="G71" s="154">
        <f t="shared" si="13"/>
        <v>0</v>
      </c>
      <c r="H71" s="154">
        <f t="shared" si="13"/>
        <v>0</v>
      </c>
      <c r="I71" s="154">
        <f t="shared" si="13"/>
        <v>0</v>
      </c>
      <c r="J71" s="154">
        <f t="shared" si="13"/>
        <v>0</v>
      </c>
      <c r="K71" s="69"/>
      <c r="L71" s="341"/>
    </row>
    <row r="72" spans="2:12" s="37" customFormat="1" ht="15.75">
      <c r="B72" s="48"/>
      <c r="C72" s="160" t="str">
        <f>F801ENE!$C$51</f>
        <v xml:space="preserve">    - Regulares</v>
      </c>
      <c r="D72" s="156">
        <f>$D$13*(F801ENE!D51-10*F801C!D51)*1</f>
        <v>0</v>
      </c>
      <c r="E72" s="156">
        <f>$D$13*(F801ENE!E51-10*F801C!E51)*1</f>
        <v>0</v>
      </c>
      <c r="F72" s="156">
        <f>$D$13*(F801ENE!F51-10*F801C!F51)*1</f>
        <v>0</v>
      </c>
      <c r="G72" s="156">
        <f>$D$13*(F801ENE!G51-10*F801C!G51)*1</f>
        <v>0</v>
      </c>
      <c r="H72" s="156">
        <f>$D$13*(F801ENE!H51-10*F801C!H51)*1</f>
        <v>0</v>
      </c>
      <c r="I72" s="156">
        <f>$D$13*(F801ENE!I51-10*F801C!I51)*1</f>
        <v>0</v>
      </c>
      <c r="J72" s="156">
        <f t="shared" ref="J72:J77" si="14">SUM(D72:I72)</f>
        <v>0</v>
      </c>
      <c r="K72" s="69"/>
      <c r="L72" s="319">
        <v>1</v>
      </c>
    </row>
    <row r="73" spans="2:12" s="37" customFormat="1" ht="15.75">
      <c r="B73" s="48"/>
      <c r="C73" s="162" t="str">
        <f>F801ENE!$C$52</f>
        <v xml:space="preserve">    - Jubilados (0 a 600 KWh)</v>
      </c>
      <c r="D73" s="156">
        <f>$D$13*(F801ENE!D52-10*F801C!D52)*0.75</f>
        <v>0</v>
      </c>
      <c r="E73" s="156">
        <f>$D$13*(F801ENE!E52-10*F801C!E52)*0.75</f>
        <v>0</v>
      </c>
      <c r="F73" s="156">
        <f>$D$13*(F801ENE!F52-10*F801C!F52)*0.75</f>
        <v>0</v>
      </c>
      <c r="G73" s="156">
        <f>$D$13*(F801ENE!G52-10*F801C!G52)*0.75</f>
        <v>0</v>
      </c>
      <c r="H73" s="156">
        <f>$D$13*(F801ENE!H52-10*F801C!H52)*0.75</f>
        <v>0</v>
      </c>
      <c r="I73" s="156">
        <f>$D$13*(F801ENE!I52-10*F801C!I52)*0.75</f>
        <v>0</v>
      </c>
      <c r="J73" s="156">
        <f t="shared" si="14"/>
        <v>0</v>
      </c>
      <c r="K73" s="69"/>
      <c r="L73" s="319">
        <v>0.75</v>
      </c>
    </row>
    <row r="74" spans="2:12" s="37" customFormat="1" ht="15.75">
      <c r="B74" s="48"/>
      <c r="C74" s="162" t="str">
        <f>F801ENE!$C$53</f>
        <v xml:space="preserve">    - Jubilados (601 y Más KWh)</v>
      </c>
      <c r="D74" s="156">
        <f>$D$13*(F801ENE!D53-10*F801C!D53)*1</f>
        <v>0</v>
      </c>
      <c r="E74" s="156">
        <f>$D$13*(F801ENE!E53-10*F801C!E53)*1</f>
        <v>0</v>
      </c>
      <c r="F74" s="156">
        <f>$D$13*(F801ENE!F53-10*F801C!F53)*1</f>
        <v>0</v>
      </c>
      <c r="G74" s="156">
        <f>$D$13*(F801ENE!G53-10*F801C!G53)*1</f>
        <v>0</v>
      </c>
      <c r="H74" s="156">
        <f>$D$13*(F801ENE!H53-10*F801C!H53)*1</f>
        <v>0</v>
      </c>
      <c r="I74" s="156">
        <f>$D$13*(F801ENE!I53-10*F801C!I53)*1</f>
        <v>0</v>
      </c>
      <c r="J74" s="156">
        <f t="shared" si="14"/>
        <v>0</v>
      </c>
      <c r="K74" s="69"/>
      <c r="L74" s="319">
        <v>1</v>
      </c>
    </row>
    <row r="75" spans="2:12" s="37" customFormat="1" ht="15.75">
      <c r="B75" s="48"/>
      <c r="C75" s="160" t="str">
        <f>F801ENE!$C$54</f>
        <v xml:space="preserve">    - Agropecuarios</v>
      </c>
      <c r="D75" s="156">
        <f>$D$13*(F801ENE!D54-10*F801C!D54)*0.95</f>
        <v>0</v>
      </c>
      <c r="E75" s="156">
        <f>$D$13*(F801ENE!E54-10*F801C!E54)*0.95</f>
        <v>0</v>
      </c>
      <c r="F75" s="156">
        <f>$D$13*(F801ENE!F54-10*F801C!F54)*0.95</f>
        <v>0</v>
      </c>
      <c r="G75" s="156">
        <f>$D$13*(F801ENE!G54-10*F801C!G54)*0.95</f>
        <v>0</v>
      </c>
      <c r="H75" s="156">
        <f>$D$13*(F801ENE!H54-10*F801C!H54)*0.95</f>
        <v>0</v>
      </c>
      <c r="I75" s="156">
        <f>$D$13*(F801ENE!I54-10*F801C!I54)*0.95</f>
        <v>0</v>
      </c>
      <c r="J75" s="156">
        <f t="shared" si="14"/>
        <v>0</v>
      </c>
      <c r="K75" s="69"/>
      <c r="L75" s="319">
        <v>0.95</v>
      </c>
    </row>
    <row r="76" spans="2:12" s="37" customFormat="1" ht="15.75">
      <c r="B76" s="48"/>
      <c r="C76" s="160" t="str">
        <f>F801ENE!$C$55</f>
        <v xml:space="preserve">    - Partidos Políticos</v>
      </c>
      <c r="D76" s="156">
        <f>$D$13*(F801ENE!D55-10*F801C!D55)*0.5</f>
        <v>0</v>
      </c>
      <c r="E76" s="156">
        <f>$D$13*(F801ENE!E55-10*F801C!E55)*0.5</f>
        <v>0</v>
      </c>
      <c r="F76" s="156">
        <f>$D$13*(F801ENE!F55-10*F801C!F55)*0.5</f>
        <v>0</v>
      </c>
      <c r="G76" s="156">
        <f>$D$13*(F801ENE!G55-10*F801C!G55)*0.5</f>
        <v>0</v>
      </c>
      <c r="H76" s="156">
        <f>$D$13*(F801ENE!H55-10*F801C!H55)*0.5</f>
        <v>0</v>
      </c>
      <c r="I76" s="156">
        <f>$D$13*(F801ENE!I55-10*F801C!I55)*0.5</f>
        <v>0</v>
      </c>
      <c r="J76" s="156">
        <f t="shared" si="14"/>
        <v>0</v>
      </c>
      <c r="K76" s="69"/>
      <c r="L76" s="319">
        <v>0.5</v>
      </c>
    </row>
    <row r="77" spans="2:12" s="37" customFormat="1" ht="15.75">
      <c r="B77" s="48"/>
      <c r="C77" s="160" t="str">
        <f>F801ENE!$C$56</f>
        <v xml:space="preserve">    - Cruz Roja</v>
      </c>
      <c r="D77" s="156">
        <f>$D$13*(F801ENE!D56-10*F801C!D56)*0</f>
        <v>0</v>
      </c>
      <c r="E77" s="156">
        <f>$D$13*(F801ENE!E56-10*F801C!E56)*0</f>
        <v>0</v>
      </c>
      <c r="F77" s="156">
        <f>$D$13*(F801ENE!F56-10*F801C!F56)*0</f>
        <v>0</v>
      </c>
      <c r="G77" s="156">
        <f>$D$13*(F801ENE!G56-10*F801C!G56)*0</f>
        <v>0</v>
      </c>
      <c r="H77" s="156">
        <f>$D$13*(F801ENE!H56-10*F801C!H56)*0</f>
        <v>0</v>
      </c>
      <c r="I77" s="156">
        <f>$D$13*(F801ENE!I56-10*F801C!I56)*0</f>
        <v>0</v>
      </c>
      <c r="J77" s="156">
        <f t="shared" si="14"/>
        <v>0</v>
      </c>
      <c r="K77" s="69"/>
      <c r="L77" s="319">
        <v>0</v>
      </c>
    </row>
    <row r="78" spans="2:12" s="37" customFormat="1" ht="15.75">
      <c r="B78" s="48" t="s">
        <v>751</v>
      </c>
      <c r="C78" s="158" t="s">
        <v>634</v>
      </c>
      <c r="D78" s="159">
        <f t="shared" ref="D78:I78" si="15">SUM(D79:D83)</f>
        <v>0</v>
      </c>
      <c r="E78" s="159">
        <f t="shared" si="15"/>
        <v>0</v>
      </c>
      <c r="F78" s="159">
        <f t="shared" si="15"/>
        <v>0</v>
      </c>
      <c r="G78" s="159">
        <f t="shared" si="15"/>
        <v>0</v>
      </c>
      <c r="H78" s="159">
        <f t="shared" si="15"/>
        <v>0</v>
      </c>
      <c r="I78" s="159">
        <f t="shared" si="15"/>
        <v>0</v>
      </c>
      <c r="J78" s="159">
        <f>SUM(D78:I78)</f>
        <v>0</v>
      </c>
      <c r="K78" s="69"/>
      <c r="L78" s="351"/>
    </row>
    <row r="79" spans="2:12" s="37" customFormat="1" ht="15.75">
      <c r="B79" s="48"/>
      <c r="C79" s="160" t="s">
        <v>304</v>
      </c>
      <c r="D79" s="156">
        <f>$D$13*(F801ENE!D66)*$L79</f>
        <v>0</v>
      </c>
      <c r="E79" s="156">
        <f>$D$13*(F801ENE!E66)*$L79</f>
        <v>0</v>
      </c>
      <c r="F79" s="156">
        <f>$D$13*(F801ENE!F66)*$L79</f>
        <v>0</v>
      </c>
      <c r="G79" s="156">
        <f>$D$13*(F801ENE!G66)*$L79</f>
        <v>0</v>
      </c>
      <c r="H79" s="156">
        <f>$D$13*(F801ENE!H66)*$L79</f>
        <v>0</v>
      </c>
      <c r="I79" s="156">
        <f>$D$13*(F801ENE!I66)*$L79</f>
        <v>0</v>
      </c>
      <c r="J79" s="156">
        <f t="shared" ref="J79:J97" si="16">SUM(D79:I79)</f>
        <v>0</v>
      </c>
      <c r="K79" s="69"/>
      <c r="L79" s="319">
        <v>1</v>
      </c>
    </row>
    <row r="80" spans="2:12" s="37" customFormat="1" ht="15.75">
      <c r="B80" s="48"/>
      <c r="C80" s="162" t="s">
        <v>644</v>
      </c>
      <c r="D80" s="156">
        <f>$D$13*(F801ENE!D67)*$L80</f>
        <v>0</v>
      </c>
      <c r="E80" s="156">
        <f>$D$13*(F801ENE!E67)*$L80</f>
        <v>0</v>
      </c>
      <c r="F80" s="156">
        <f>$D$13*(F801ENE!F67)*$L80</f>
        <v>0</v>
      </c>
      <c r="G80" s="156">
        <f>$D$13*(F801ENE!G67)*$L80</f>
        <v>0</v>
      </c>
      <c r="H80" s="156">
        <f>$D$13*(F801ENE!H67)*$L80</f>
        <v>0</v>
      </c>
      <c r="I80" s="156">
        <f>$D$13*(F801ENE!I67)*$L80</f>
        <v>0</v>
      </c>
      <c r="J80" s="156">
        <f t="shared" si="16"/>
        <v>0</v>
      </c>
      <c r="K80" s="69"/>
      <c r="L80" s="319">
        <v>0.75</v>
      </c>
    </row>
    <row r="81" spans="2:12" s="37" customFormat="1" ht="15.75">
      <c r="B81" s="48"/>
      <c r="C81" s="160" t="s">
        <v>305</v>
      </c>
      <c r="D81" s="156">
        <f>$D$13*(F801ENE!D68)*$L81</f>
        <v>0</v>
      </c>
      <c r="E81" s="156">
        <f>$D$13*(F801ENE!E68)*$L81</f>
        <v>0</v>
      </c>
      <c r="F81" s="156">
        <f>$D$13*(F801ENE!F68)*$L81</f>
        <v>0</v>
      </c>
      <c r="G81" s="156">
        <f>$D$13*(F801ENE!G68)*$L81</f>
        <v>0</v>
      </c>
      <c r="H81" s="156">
        <f>$D$13*(F801ENE!H68)*$L81</f>
        <v>0</v>
      </c>
      <c r="I81" s="156">
        <f>$D$13*(F801ENE!I68)*$L81</f>
        <v>0</v>
      </c>
      <c r="J81" s="156">
        <f t="shared" si="16"/>
        <v>0</v>
      </c>
      <c r="K81" s="69"/>
      <c r="L81" s="319">
        <v>0.95</v>
      </c>
    </row>
    <row r="82" spans="2:12" s="37" customFormat="1" ht="15.75">
      <c r="B82" s="48"/>
      <c r="C82" s="160" t="s">
        <v>307</v>
      </c>
      <c r="D82" s="156">
        <f>$D$13*(F801ENE!D69)*$L82</f>
        <v>0</v>
      </c>
      <c r="E82" s="156">
        <f>$D$13*(F801ENE!E69)*$L82</f>
        <v>0</v>
      </c>
      <c r="F82" s="156">
        <f>$D$13*(F801ENE!F69)*$L82</f>
        <v>0</v>
      </c>
      <c r="G82" s="156">
        <f>$D$13*(F801ENE!G69)*$L82</f>
        <v>0</v>
      </c>
      <c r="H82" s="156">
        <f>$D$13*(F801ENE!H69)*$L82</f>
        <v>0</v>
      </c>
      <c r="I82" s="156">
        <f>$D$13*(F801ENE!I69)*$L82</f>
        <v>0</v>
      </c>
      <c r="J82" s="156">
        <f t="shared" si="16"/>
        <v>0</v>
      </c>
      <c r="K82" s="69"/>
      <c r="L82" s="319">
        <v>0.5</v>
      </c>
    </row>
    <row r="83" spans="2:12" s="37" customFormat="1" ht="15.75">
      <c r="B83" s="48"/>
      <c r="C83" s="160" t="s">
        <v>624</v>
      </c>
      <c r="D83" s="156">
        <f>$D$13*(F801ENE!D70)*$L83</f>
        <v>0</v>
      </c>
      <c r="E83" s="156">
        <f>$D$13*(F801ENE!E70)*$L83</f>
        <v>0</v>
      </c>
      <c r="F83" s="156">
        <f>$D$13*(F801ENE!F70)*$L83</f>
        <v>0</v>
      </c>
      <c r="G83" s="156">
        <f>$D$13*(F801ENE!G70)*$L83</f>
        <v>0</v>
      </c>
      <c r="H83" s="156">
        <f>$D$13*(F801ENE!H70)*$L83</f>
        <v>0</v>
      </c>
      <c r="I83" s="156">
        <f>$D$13*(F801ENE!I70)*$L83</f>
        <v>0</v>
      </c>
      <c r="J83" s="156">
        <f t="shared" si="16"/>
        <v>0</v>
      </c>
      <c r="K83" s="69"/>
      <c r="L83" s="319">
        <v>0</v>
      </c>
    </row>
    <row r="84" spans="2:12" s="37" customFormat="1" ht="15.75">
      <c r="B84" s="48" t="s">
        <v>750</v>
      </c>
      <c r="C84" s="158" t="s">
        <v>635</v>
      </c>
      <c r="D84" s="159">
        <f t="shared" ref="D84:I84" si="17">SUM(D85:D90)</f>
        <v>0</v>
      </c>
      <c r="E84" s="159">
        <f t="shared" si="17"/>
        <v>0</v>
      </c>
      <c r="F84" s="159">
        <f t="shared" si="17"/>
        <v>0</v>
      </c>
      <c r="G84" s="159">
        <f t="shared" si="17"/>
        <v>0</v>
      </c>
      <c r="H84" s="159">
        <f t="shared" si="17"/>
        <v>0</v>
      </c>
      <c r="I84" s="159">
        <f t="shared" si="17"/>
        <v>0</v>
      </c>
      <c r="J84" s="159">
        <f>SUM(D84:I84)</f>
        <v>0</v>
      </c>
      <c r="K84" s="69"/>
      <c r="L84" s="319"/>
    </row>
    <row r="85" spans="2:12" s="37" customFormat="1" ht="15.75">
      <c r="B85" s="48"/>
      <c r="C85" s="160" t="s">
        <v>304</v>
      </c>
      <c r="D85" s="156">
        <f>$D$13*(F801ENE!D72)*$L85</f>
        <v>0</v>
      </c>
      <c r="E85" s="156">
        <f>$D$13*(F801ENE!E72)*$L85</f>
        <v>0</v>
      </c>
      <c r="F85" s="156">
        <f>$D$13*(F801ENE!F72)*$L85</f>
        <v>0</v>
      </c>
      <c r="G85" s="156">
        <f>$D$13*(F801ENE!G72)*$L85</f>
        <v>0</v>
      </c>
      <c r="H85" s="156">
        <f>$D$13*(F801ENE!H72)*$L85</f>
        <v>0</v>
      </c>
      <c r="I85" s="156">
        <f>$D$13*(F801ENE!I72)*$L85</f>
        <v>0</v>
      </c>
      <c r="J85" s="156">
        <f t="shared" si="16"/>
        <v>0</v>
      </c>
      <c r="K85" s="69"/>
      <c r="L85" s="319">
        <v>1</v>
      </c>
    </row>
    <row r="86" spans="2:12" s="37" customFormat="1" ht="15.75">
      <c r="B86" s="48"/>
      <c r="C86" s="162" t="s">
        <v>642</v>
      </c>
      <c r="D86" s="156">
        <f>$D$13*(F801ENE!D73)*$L86</f>
        <v>0</v>
      </c>
      <c r="E86" s="156">
        <f>$D$13*(F801ENE!E73)*$L86</f>
        <v>0</v>
      </c>
      <c r="F86" s="156">
        <f>$D$13*(F801ENE!F73)*$L86</f>
        <v>0</v>
      </c>
      <c r="G86" s="156">
        <f>$D$13*(F801ENE!G73)*$L86</f>
        <v>0</v>
      </c>
      <c r="H86" s="156">
        <f>$D$13*(F801ENE!H73)*$L86</f>
        <v>0</v>
      </c>
      <c r="I86" s="156">
        <f>$D$13*(F801ENE!I73)*$L86</f>
        <v>0</v>
      </c>
      <c r="J86" s="156">
        <f t="shared" si="16"/>
        <v>0</v>
      </c>
      <c r="K86" s="69"/>
      <c r="L86" s="319">
        <v>0.75</v>
      </c>
    </row>
    <row r="87" spans="2:12" s="37" customFormat="1" ht="15.75">
      <c r="B87" s="48"/>
      <c r="C87" s="162" t="s">
        <v>1177</v>
      </c>
      <c r="D87" s="156">
        <f>$D$13*(F801ENE!D74)*$L87</f>
        <v>0</v>
      </c>
      <c r="E87" s="156">
        <f>$D$13*(F801ENE!E74)*$L87</f>
        <v>0</v>
      </c>
      <c r="F87" s="156">
        <f>$D$13*(F801ENE!F74)*$L87</f>
        <v>0</v>
      </c>
      <c r="G87" s="156">
        <f>$D$13*(F801ENE!G74)*$L87</f>
        <v>0</v>
      </c>
      <c r="H87" s="156">
        <f>$D$13*(F801ENE!H74)*$L87</f>
        <v>0</v>
      </c>
      <c r="I87" s="156">
        <f>$D$13*(F801ENE!I74)*$L87</f>
        <v>0</v>
      </c>
      <c r="J87" s="156">
        <f t="shared" si="16"/>
        <v>0</v>
      </c>
      <c r="K87" s="69"/>
      <c r="L87" s="319">
        <v>1</v>
      </c>
    </row>
    <row r="88" spans="2:12" s="37" customFormat="1" ht="15.75">
      <c r="B88" s="48"/>
      <c r="C88" s="160" t="s">
        <v>305</v>
      </c>
      <c r="D88" s="156">
        <f>$D$13*(F801ENE!D75)*$L88</f>
        <v>0</v>
      </c>
      <c r="E88" s="156">
        <f>$D$13*(F801ENE!E75)*$L88</f>
        <v>0</v>
      </c>
      <c r="F88" s="156">
        <f>$D$13*(F801ENE!F75)*$L88</f>
        <v>0</v>
      </c>
      <c r="G88" s="156">
        <f>$D$13*(F801ENE!G75)*$L88</f>
        <v>0</v>
      </c>
      <c r="H88" s="156">
        <f>$D$13*(F801ENE!H75)*$L88</f>
        <v>0</v>
      </c>
      <c r="I88" s="156">
        <f>$D$13*(F801ENE!I75)*$L88</f>
        <v>0</v>
      </c>
      <c r="J88" s="156">
        <f t="shared" si="16"/>
        <v>0</v>
      </c>
      <c r="K88" s="69"/>
      <c r="L88" s="319">
        <v>0.95</v>
      </c>
    </row>
    <row r="89" spans="2:12" s="37" customFormat="1" ht="15.75">
      <c r="B89" s="48"/>
      <c r="C89" s="160" t="s">
        <v>307</v>
      </c>
      <c r="D89" s="156">
        <f>$D$13*(F801ENE!D76)*$L89</f>
        <v>0</v>
      </c>
      <c r="E89" s="156">
        <f>$D$13*(F801ENE!E76)*$L89</f>
        <v>0</v>
      </c>
      <c r="F89" s="156">
        <f>$D$13*(F801ENE!F76)*$L89</f>
        <v>0</v>
      </c>
      <c r="G89" s="156">
        <f>$D$13*(F801ENE!G76)*$L89</f>
        <v>0</v>
      </c>
      <c r="H89" s="156">
        <f>$D$13*(F801ENE!H76)*$L89</f>
        <v>0</v>
      </c>
      <c r="I89" s="156">
        <f>$D$13*(F801ENE!I76)*$L89</f>
        <v>0</v>
      </c>
      <c r="J89" s="156">
        <f t="shared" si="16"/>
        <v>0</v>
      </c>
      <c r="K89" s="69"/>
      <c r="L89" s="319">
        <v>0.5</v>
      </c>
    </row>
    <row r="90" spans="2:12" s="37" customFormat="1" ht="15.75">
      <c r="B90" s="48"/>
      <c r="C90" s="160" t="s">
        <v>624</v>
      </c>
      <c r="D90" s="156">
        <f>$D$13*(F801ENE!D77)*$L90</f>
        <v>0</v>
      </c>
      <c r="E90" s="156">
        <f>$D$13*(F801ENE!E77)*$L90</f>
        <v>0</v>
      </c>
      <c r="F90" s="156">
        <f>$D$13*(F801ENE!F77)*$L90</f>
        <v>0</v>
      </c>
      <c r="G90" s="156">
        <f>$D$13*(F801ENE!G77)*$L90</f>
        <v>0</v>
      </c>
      <c r="H90" s="156">
        <f>$D$13*(F801ENE!H77)*$L90</f>
        <v>0</v>
      </c>
      <c r="I90" s="156">
        <f>$D$13*(F801ENE!I77)*$L90</f>
        <v>0</v>
      </c>
      <c r="J90" s="156">
        <f t="shared" si="16"/>
        <v>0</v>
      </c>
      <c r="K90" s="69"/>
      <c r="L90" s="319">
        <v>0</v>
      </c>
    </row>
    <row r="91" spans="2:12" s="37" customFormat="1" ht="15.75">
      <c r="B91" s="48" t="s">
        <v>749</v>
      </c>
      <c r="C91" s="158" t="s">
        <v>636</v>
      </c>
      <c r="D91" s="159">
        <f t="shared" ref="D91:I91" si="18">SUM(D92:D97)</f>
        <v>0</v>
      </c>
      <c r="E91" s="159">
        <f t="shared" si="18"/>
        <v>0</v>
      </c>
      <c r="F91" s="159">
        <f t="shared" si="18"/>
        <v>0</v>
      </c>
      <c r="G91" s="159">
        <f t="shared" si="18"/>
        <v>0</v>
      </c>
      <c r="H91" s="159">
        <f t="shared" si="18"/>
        <v>0</v>
      </c>
      <c r="I91" s="159">
        <f t="shared" si="18"/>
        <v>0</v>
      </c>
      <c r="J91" s="159">
        <f t="shared" si="16"/>
        <v>0</v>
      </c>
      <c r="K91" s="69"/>
      <c r="L91" s="319"/>
    </row>
    <row r="92" spans="2:12" s="37" customFormat="1" ht="15.75">
      <c r="B92" s="48"/>
      <c r="C92" s="160" t="s">
        <v>304</v>
      </c>
      <c r="D92" s="156">
        <f>$D$13*(F801ENE!D79)*$L92</f>
        <v>0</v>
      </c>
      <c r="E92" s="156">
        <f>$D$13*(F801ENE!E79)*$L92</f>
        <v>0</v>
      </c>
      <c r="F92" s="156">
        <f>$D$13*(F801ENE!F79)*$L92</f>
        <v>0</v>
      </c>
      <c r="G92" s="156">
        <f>$D$13*(F801ENE!G79)*$L92</f>
        <v>0</v>
      </c>
      <c r="H92" s="156">
        <f>$D$13*(F801ENE!H79)*$L92</f>
        <v>0</v>
      </c>
      <c r="I92" s="156">
        <f>$D$13*(F801ENE!I79)*$L92</f>
        <v>0</v>
      </c>
      <c r="J92" s="156">
        <f t="shared" si="16"/>
        <v>0</v>
      </c>
      <c r="K92" s="69"/>
      <c r="L92" s="319">
        <v>1</v>
      </c>
    </row>
    <row r="93" spans="2:12" s="37" customFormat="1" ht="15.75">
      <c r="B93" s="48"/>
      <c r="C93" s="162" t="s">
        <v>642</v>
      </c>
      <c r="D93" s="156">
        <f>$D$13*(F801ENE!D80)*$L93</f>
        <v>0</v>
      </c>
      <c r="E93" s="156">
        <f>$D$13*(F801ENE!E80)*$L93</f>
        <v>0</v>
      </c>
      <c r="F93" s="156">
        <f>$D$13*(F801ENE!F80)*$L93</f>
        <v>0</v>
      </c>
      <c r="G93" s="156">
        <f>$D$13*(F801ENE!G80)*$L93</f>
        <v>0</v>
      </c>
      <c r="H93" s="156">
        <f>$D$13*(F801ENE!H80)*$L93</f>
        <v>0</v>
      </c>
      <c r="I93" s="156">
        <f>$D$13*(F801ENE!I80)*$L93</f>
        <v>0</v>
      </c>
      <c r="J93" s="156">
        <f t="shared" si="16"/>
        <v>0</v>
      </c>
      <c r="K93" s="69"/>
      <c r="L93" s="319">
        <v>0.75</v>
      </c>
    </row>
    <row r="94" spans="2:12" s="37" customFormat="1" ht="15.75">
      <c r="B94" s="48"/>
      <c r="C94" s="162" t="s">
        <v>1177</v>
      </c>
      <c r="D94" s="156">
        <f>$D$13*(F801ENE!D81)*$L94</f>
        <v>0</v>
      </c>
      <c r="E94" s="156">
        <f>$D$13*(F801ENE!E81)*$L94</f>
        <v>0</v>
      </c>
      <c r="F94" s="156">
        <f>$D$13*(F801ENE!F81)*$L94</f>
        <v>0</v>
      </c>
      <c r="G94" s="156">
        <f>$D$13*(F801ENE!G81)*$L94</f>
        <v>0</v>
      </c>
      <c r="H94" s="156">
        <f>$D$13*(F801ENE!H81)*$L94</f>
        <v>0</v>
      </c>
      <c r="I94" s="156">
        <f>$D$13*(F801ENE!I81)*$L94</f>
        <v>0</v>
      </c>
      <c r="J94" s="156">
        <f>SUM(D94:I94)</f>
        <v>0</v>
      </c>
      <c r="K94" s="69"/>
      <c r="L94" s="319">
        <v>1</v>
      </c>
    </row>
    <row r="95" spans="2:12" s="37" customFormat="1" ht="15.75">
      <c r="B95" s="48"/>
      <c r="C95" s="160" t="s">
        <v>305</v>
      </c>
      <c r="D95" s="156">
        <f>$D$13*(F801ENE!D82)*$L95</f>
        <v>0</v>
      </c>
      <c r="E95" s="156">
        <f>$D$13*(F801ENE!E82)*$L95</f>
        <v>0</v>
      </c>
      <c r="F95" s="156">
        <f>$D$13*(F801ENE!F82)*$L95</f>
        <v>0</v>
      </c>
      <c r="G95" s="156">
        <f>$D$13*(F801ENE!G82)*$L95</f>
        <v>0</v>
      </c>
      <c r="H95" s="156">
        <f>$D$13*(F801ENE!H82)*$L95</f>
        <v>0</v>
      </c>
      <c r="I95" s="156">
        <f>$D$13*(F801ENE!I82)*$L95</f>
        <v>0</v>
      </c>
      <c r="J95" s="156">
        <f t="shared" si="16"/>
        <v>0</v>
      </c>
      <c r="K95" s="69"/>
      <c r="L95" s="319">
        <v>0.95</v>
      </c>
    </row>
    <row r="96" spans="2:12" s="37" customFormat="1" ht="15.75">
      <c r="B96" s="48"/>
      <c r="C96" s="160" t="s">
        <v>307</v>
      </c>
      <c r="D96" s="156">
        <f>$D$13*(F801ENE!D83)*$L96</f>
        <v>0</v>
      </c>
      <c r="E96" s="156">
        <f>$D$13*(F801ENE!E83)*$L96</f>
        <v>0</v>
      </c>
      <c r="F96" s="156">
        <f>$D$13*(F801ENE!F83)*$L96</f>
        <v>0</v>
      </c>
      <c r="G96" s="156">
        <f>$D$13*(F801ENE!G83)*$L96</f>
        <v>0</v>
      </c>
      <c r="H96" s="156">
        <f>$D$13*(F801ENE!H83)*$L96</f>
        <v>0</v>
      </c>
      <c r="I96" s="156">
        <f>$D$13*(F801ENE!I83)*$L96</f>
        <v>0</v>
      </c>
      <c r="J96" s="156">
        <f t="shared" si="16"/>
        <v>0</v>
      </c>
      <c r="K96" s="69"/>
      <c r="L96" s="319">
        <v>0.5</v>
      </c>
    </row>
    <row r="97" spans="2:12" s="37" customFormat="1" ht="15.75">
      <c r="B97" s="48"/>
      <c r="C97" s="160" t="s">
        <v>624</v>
      </c>
      <c r="D97" s="156">
        <f>$D$13*(F801ENE!D84)*$L97</f>
        <v>0</v>
      </c>
      <c r="E97" s="156">
        <f>$D$13*(F801ENE!E84)*$L97</f>
        <v>0</v>
      </c>
      <c r="F97" s="156">
        <f>$D$13*(F801ENE!F84)*$L97</f>
        <v>0</v>
      </c>
      <c r="G97" s="156">
        <f>$D$13*(F801ENE!G84)*$L97</f>
        <v>0</v>
      </c>
      <c r="H97" s="156">
        <f>$D$13*(F801ENE!H84)*$L97</f>
        <v>0</v>
      </c>
      <c r="I97" s="156">
        <f>$D$13*(F801ENE!I84)*$L97</f>
        <v>0</v>
      </c>
      <c r="J97" s="156">
        <f t="shared" si="16"/>
        <v>0</v>
      </c>
      <c r="K97" s="69"/>
      <c r="L97" s="319">
        <v>0</v>
      </c>
    </row>
    <row r="98" spans="2:12" s="37" customFormat="1" ht="15.75">
      <c r="B98" s="48"/>
      <c r="C98" s="157"/>
      <c r="D98" s="156"/>
      <c r="E98" s="156"/>
      <c r="F98" s="156"/>
      <c r="G98" s="156"/>
      <c r="H98" s="156"/>
      <c r="I98" s="156"/>
      <c r="J98" s="156"/>
      <c r="K98" s="69"/>
      <c r="L98" s="341"/>
    </row>
    <row r="99" spans="2:12" s="37" customFormat="1" ht="15.75">
      <c r="B99" s="48" t="s">
        <v>902</v>
      </c>
      <c r="C99" s="158" t="s">
        <v>898</v>
      </c>
      <c r="D99" s="159">
        <f t="shared" ref="D99:I99" si="19">SUM(D100:D104)</f>
        <v>0</v>
      </c>
      <c r="E99" s="159">
        <f t="shared" si="19"/>
        <v>0</v>
      </c>
      <c r="F99" s="159">
        <f t="shared" si="19"/>
        <v>0</v>
      </c>
      <c r="G99" s="159">
        <f t="shared" si="19"/>
        <v>0</v>
      </c>
      <c r="H99" s="159">
        <f t="shared" si="19"/>
        <v>0</v>
      </c>
      <c r="I99" s="159">
        <f t="shared" si="19"/>
        <v>0</v>
      </c>
      <c r="J99" s="159">
        <f t="shared" ref="J99:J105" si="20">SUM(D99:I99)</f>
        <v>0</v>
      </c>
      <c r="K99" s="69"/>
      <c r="L99" s="351"/>
    </row>
    <row r="100" spans="2:12" s="37" customFormat="1" ht="15.75">
      <c r="B100" s="48"/>
      <c r="C100" s="160" t="s">
        <v>304</v>
      </c>
      <c r="D100" s="156">
        <f>$D$13*(F801ENE!D87)*$L100</f>
        <v>0</v>
      </c>
      <c r="E100" s="156">
        <f>$D$13*(F801ENE!E87)*$L100</f>
        <v>0</v>
      </c>
      <c r="F100" s="156">
        <f>$D$13*(F801ENE!F87)*$L100</f>
        <v>0</v>
      </c>
      <c r="G100" s="156">
        <f>$D$13*(F801ENE!G87)*$L100</f>
        <v>0</v>
      </c>
      <c r="H100" s="156">
        <f>$D$13*(F801ENE!H87)*$L100</f>
        <v>0</v>
      </c>
      <c r="I100" s="156">
        <f>$D$13*(F801ENE!I87)*$L100</f>
        <v>0</v>
      </c>
      <c r="J100" s="156">
        <f t="shared" si="20"/>
        <v>0</v>
      </c>
      <c r="K100" s="69"/>
      <c r="L100" s="319">
        <v>1</v>
      </c>
    </row>
    <row r="101" spans="2:12" s="37" customFormat="1" ht="15.75">
      <c r="B101" s="48"/>
      <c r="C101" s="162" t="s">
        <v>644</v>
      </c>
      <c r="D101" s="156">
        <f>$D$13*(F801ENE!D88)*$L101</f>
        <v>0</v>
      </c>
      <c r="E101" s="156">
        <f>$D$13*(F801ENE!E88)*$L101</f>
        <v>0</v>
      </c>
      <c r="F101" s="156">
        <f>$D$13*(F801ENE!F88)*$L101</f>
        <v>0</v>
      </c>
      <c r="G101" s="156">
        <f>$D$13*(F801ENE!G88)*$L101</f>
        <v>0</v>
      </c>
      <c r="H101" s="156">
        <f>$D$13*(F801ENE!H88)*$L101</f>
        <v>0</v>
      </c>
      <c r="I101" s="156">
        <f>$D$13*(F801ENE!I88)*$L101</f>
        <v>0</v>
      </c>
      <c r="J101" s="156">
        <f t="shared" si="20"/>
        <v>0</v>
      </c>
      <c r="K101" s="69"/>
      <c r="L101" s="319">
        <v>0.75</v>
      </c>
    </row>
    <row r="102" spans="2:12" s="37" customFormat="1" ht="15.75">
      <c r="B102" s="48"/>
      <c r="C102" s="160" t="s">
        <v>305</v>
      </c>
      <c r="D102" s="156">
        <f>$D$13*(F801ENE!D89)*$L102</f>
        <v>0</v>
      </c>
      <c r="E102" s="156">
        <f>$D$13*(F801ENE!E89)*$L102</f>
        <v>0</v>
      </c>
      <c r="F102" s="156">
        <f>$D$13*(F801ENE!F89)*$L102</f>
        <v>0</v>
      </c>
      <c r="G102" s="156">
        <f>$D$13*(F801ENE!G89)*$L102</f>
        <v>0</v>
      </c>
      <c r="H102" s="156">
        <f>$D$13*(F801ENE!H89)*$L102</f>
        <v>0</v>
      </c>
      <c r="I102" s="156">
        <f>$D$13*(F801ENE!I89)*$L102</f>
        <v>0</v>
      </c>
      <c r="J102" s="156">
        <f t="shared" si="20"/>
        <v>0</v>
      </c>
      <c r="K102" s="69"/>
      <c r="L102" s="319">
        <v>0.95</v>
      </c>
    </row>
    <row r="103" spans="2:12" s="37" customFormat="1" ht="15.75">
      <c r="B103" s="48"/>
      <c r="C103" s="160" t="s">
        <v>307</v>
      </c>
      <c r="D103" s="156">
        <f>$D$13*(F801ENE!D90)*$L103</f>
        <v>0</v>
      </c>
      <c r="E103" s="156">
        <f>$D$13*(F801ENE!E90)*$L103</f>
        <v>0</v>
      </c>
      <c r="F103" s="156">
        <f>$D$13*(F801ENE!F90)*$L103</f>
        <v>0</v>
      </c>
      <c r="G103" s="156">
        <f>$D$13*(F801ENE!G90)*$L103</f>
        <v>0</v>
      </c>
      <c r="H103" s="156">
        <f>$D$13*(F801ENE!H90)*$L103</f>
        <v>0</v>
      </c>
      <c r="I103" s="156">
        <f>$D$13*(F801ENE!I90)*$L103</f>
        <v>0</v>
      </c>
      <c r="J103" s="156">
        <f t="shared" si="20"/>
        <v>0</v>
      </c>
      <c r="K103" s="69"/>
      <c r="L103" s="319">
        <v>0.5</v>
      </c>
    </row>
    <row r="104" spans="2:12" s="37" customFormat="1" ht="15.75">
      <c r="B104" s="48"/>
      <c r="C104" s="160" t="s">
        <v>624</v>
      </c>
      <c r="D104" s="156">
        <f>$D$13*(F801ENE!D91)*$L104</f>
        <v>0</v>
      </c>
      <c r="E104" s="156">
        <f>$D$13*(F801ENE!E91)*$L104</f>
        <v>0</v>
      </c>
      <c r="F104" s="156">
        <f>$D$13*(F801ENE!F91)*$L104</f>
        <v>0</v>
      </c>
      <c r="G104" s="156">
        <f>$D$13*(F801ENE!G91)*$L104</f>
        <v>0</v>
      </c>
      <c r="H104" s="156">
        <f>$D$13*(F801ENE!H91)*$L104</f>
        <v>0</v>
      </c>
      <c r="I104" s="156">
        <f>$D$13*(F801ENE!I91)*$L104</f>
        <v>0</v>
      </c>
      <c r="J104" s="156">
        <f t="shared" si="20"/>
        <v>0</v>
      </c>
      <c r="K104" s="69"/>
      <c r="L104" s="319">
        <v>0</v>
      </c>
    </row>
    <row r="105" spans="2:12" s="37" customFormat="1" ht="15.75">
      <c r="B105" s="48" t="s">
        <v>902</v>
      </c>
      <c r="C105" s="158" t="s">
        <v>899</v>
      </c>
      <c r="D105" s="159">
        <f t="shared" ref="D105:I105" si="21">SUM(D106:D111)</f>
        <v>0</v>
      </c>
      <c r="E105" s="159">
        <f t="shared" si="21"/>
        <v>0</v>
      </c>
      <c r="F105" s="159">
        <f t="shared" si="21"/>
        <v>0</v>
      </c>
      <c r="G105" s="159">
        <f t="shared" si="21"/>
        <v>0</v>
      </c>
      <c r="H105" s="159">
        <f t="shared" si="21"/>
        <v>0</v>
      </c>
      <c r="I105" s="159">
        <f t="shared" si="21"/>
        <v>0</v>
      </c>
      <c r="J105" s="159">
        <f t="shared" si="20"/>
        <v>0</v>
      </c>
      <c r="K105" s="69"/>
      <c r="L105" s="319"/>
    </row>
    <row r="106" spans="2:12" s="37" customFormat="1" ht="15.75">
      <c r="B106" s="48"/>
      <c r="C106" s="160" t="s">
        <v>304</v>
      </c>
      <c r="D106" s="156">
        <f>$D$13*(F801ENE!D93)*$L106</f>
        <v>0</v>
      </c>
      <c r="E106" s="156">
        <f>$D$13*(F801ENE!E93)*$L106</f>
        <v>0</v>
      </c>
      <c r="F106" s="156">
        <f>$D$13*(F801ENE!F93)*$L106</f>
        <v>0</v>
      </c>
      <c r="G106" s="156">
        <f>$D$13*(F801ENE!G93)*$L106</f>
        <v>0</v>
      </c>
      <c r="H106" s="156">
        <f>$D$13*(F801ENE!H93)*$L106</f>
        <v>0</v>
      </c>
      <c r="I106" s="156">
        <f>$D$13*(F801ENE!I93)*$L106</f>
        <v>0</v>
      </c>
      <c r="J106" s="156">
        <f t="shared" ref="J106:J114" si="22">SUM(D106:I106)</f>
        <v>0</v>
      </c>
      <c r="K106" s="69"/>
      <c r="L106" s="319">
        <v>1</v>
      </c>
    </row>
    <row r="107" spans="2:12" s="37" customFormat="1" ht="15.75">
      <c r="B107" s="48"/>
      <c r="C107" s="162" t="s">
        <v>642</v>
      </c>
      <c r="D107" s="156">
        <f>$D$13*(F801ENE!D94)*$L107</f>
        <v>0</v>
      </c>
      <c r="E107" s="156">
        <f>$D$13*(F801ENE!E94)*$L107</f>
        <v>0</v>
      </c>
      <c r="F107" s="156">
        <f>$D$13*(F801ENE!F94)*$L107</f>
        <v>0</v>
      </c>
      <c r="G107" s="156">
        <f>$D$13*(F801ENE!G94)*$L107</f>
        <v>0</v>
      </c>
      <c r="H107" s="156">
        <f>$D$13*(F801ENE!H94)*$L107</f>
        <v>0</v>
      </c>
      <c r="I107" s="156">
        <f>$D$13*(F801ENE!I94)*$L107</f>
        <v>0</v>
      </c>
      <c r="J107" s="156">
        <f t="shared" si="22"/>
        <v>0</v>
      </c>
      <c r="K107" s="69"/>
      <c r="L107" s="319">
        <v>0.75</v>
      </c>
    </row>
    <row r="108" spans="2:12" s="37" customFormat="1" ht="15.75">
      <c r="B108" s="48"/>
      <c r="C108" s="162" t="s">
        <v>1177</v>
      </c>
      <c r="D108" s="156">
        <f>$D$13*(F801ENE!D95)*$L108</f>
        <v>0</v>
      </c>
      <c r="E108" s="156">
        <f>$D$13*(F801ENE!E95)*$L108</f>
        <v>0</v>
      </c>
      <c r="F108" s="156">
        <f>$D$13*(F801ENE!F95)*$L108</f>
        <v>0</v>
      </c>
      <c r="G108" s="156">
        <f>$D$13*(F801ENE!G95)*$L108</f>
        <v>0</v>
      </c>
      <c r="H108" s="156">
        <f>$D$13*(F801ENE!H95)*$L108</f>
        <v>0</v>
      </c>
      <c r="I108" s="156">
        <f>$D$13*(F801ENE!I95)*$L108</f>
        <v>0</v>
      </c>
      <c r="J108" s="156">
        <f t="shared" si="22"/>
        <v>0</v>
      </c>
      <c r="K108" s="69"/>
      <c r="L108" s="319">
        <v>1</v>
      </c>
    </row>
    <row r="109" spans="2:12" s="37" customFormat="1" ht="15.75">
      <c r="B109" s="48"/>
      <c r="C109" s="160" t="s">
        <v>305</v>
      </c>
      <c r="D109" s="156">
        <f>$D$13*(F801ENE!D96)*$L109</f>
        <v>0</v>
      </c>
      <c r="E109" s="156">
        <f>$D$13*(F801ENE!E96)*$L109</f>
        <v>0</v>
      </c>
      <c r="F109" s="156">
        <f>$D$13*(F801ENE!F96)*$L109</f>
        <v>0</v>
      </c>
      <c r="G109" s="156">
        <f>$D$13*(F801ENE!G96)*$L109</f>
        <v>0</v>
      </c>
      <c r="H109" s="156">
        <f>$D$13*(F801ENE!H96)*$L109</f>
        <v>0</v>
      </c>
      <c r="I109" s="156">
        <f>$D$13*(F801ENE!I96)*$L109</f>
        <v>0</v>
      </c>
      <c r="J109" s="156">
        <f t="shared" si="22"/>
        <v>0</v>
      </c>
      <c r="K109" s="69"/>
      <c r="L109" s="319">
        <v>0.95</v>
      </c>
    </row>
    <row r="110" spans="2:12" s="37" customFormat="1" ht="15.75">
      <c r="B110" s="48"/>
      <c r="C110" s="160" t="s">
        <v>307</v>
      </c>
      <c r="D110" s="156">
        <f>$D$13*(F801ENE!D97)*$L110</f>
        <v>0</v>
      </c>
      <c r="E110" s="156">
        <f>$D$13*(F801ENE!E97)*$L110</f>
        <v>0</v>
      </c>
      <c r="F110" s="156">
        <f>$D$13*(F801ENE!F97)*$L110</f>
        <v>0</v>
      </c>
      <c r="G110" s="156">
        <f>$D$13*(F801ENE!G97)*$L110</f>
        <v>0</v>
      </c>
      <c r="H110" s="156">
        <f>$D$13*(F801ENE!H97)*$L110</f>
        <v>0</v>
      </c>
      <c r="I110" s="156">
        <f>$D$13*(F801ENE!I97)*$L110</f>
        <v>0</v>
      </c>
      <c r="J110" s="156">
        <f t="shared" si="22"/>
        <v>0</v>
      </c>
      <c r="K110" s="69"/>
      <c r="L110" s="319">
        <v>0.5</v>
      </c>
    </row>
    <row r="111" spans="2:12" s="37" customFormat="1" ht="15.75">
      <c r="B111" s="48"/>
      <c r="C111" s="160" t="s">
        <v>624</v>
      </c>
      <c r="D111" s="156">
        <f>$D$13*(F801ENE!D98)*$L111</f>
        <v>0</v>
      </c>
      <c r="E111" s="156">
        <f>$D$13*(F801ENE!E98)*$L111</f>
        <v>0</v>
      </c>
      <c r="F111" s="156">
        <f>$D$13*(F801ENE!F98)*$L111</f>
        <v>0</v>
      </c>
      <c r="G111" s="156">
        <f>$D$13*(F801ENE!G98)*$L111</f>
        <v>0</v>
      </c>
      <c r="H111" s="156">
        <f>$D$13*(F801ENE!H98)*$L111</f>
        <v>0</v>
      </c>
      <c r="I111" s="156">
        <f>$D$13*(F801ENE!I98)*$L111</f>
        <v>0</v>
      </c>
      <c r="J111" s="156">
        <f t="shared" si="22"/>
        <v>0</v>
      </c>
      <c r="K111" s="69"/>
      <c r="L111" s="319">
        <v>0</v>
      </c>
    </row>
    <row r="112" spans="2:12" s="37" customFormat="1" ht="15.75">
      <c r="B112" s="48" t="s">
        <v>902</v>
      </c>
      <c r="C112" s="158" t="s">
        <v>900</v>
      </c>
      <c r="D112" s="159">
        <f t="shared" ref="D112:I112" si="23">SUM(D113:D118)</f>
        <v>0</v>
      </c>
      <c r="E112" s="159">
        <f t="shared" si="23"/>
        <v>0</v>
      </c>
      <c r="F112" s="159">
        <f t="shared" si="23"/>
        <v>0</v>
      </c>
      <c r="G112" s="159">
        <f t="shared" si="23"/>
        <v>0</v>
      </c>
      <c r="H112" s="159">
        <f t="shared" si="23"/>
        <v>0</v>
      </c>
      <c r="I112" s="159">
        <f t="shared" si="23"/>
        <v>0</v>
      </c>
      <c r="J112" s="159">
        <f t="shared" si="22"/>
        <v>0</v>
      </c>
      <c r="K112" s="69"/>
      <c r="L112" s="319"/>
    </row>
    <row r="113" spans="2:12" s="37" customFormat="1" ht="15.75">
      <c r="B113" s="48"/>
      <c r="C113" s="160" t="s">
        <v>304</v>
      </c>
      <c r="D113" s="156">
        <f>$D$13*(F801ENE!D100)*$L113</f>
        <v>0</v>
      </c>
      <c r="E113" s="156">
        <f>$D$13*(F801ENE!E100)*$L113</f>
        <v>0</v>
      </c>
      <c r="F113" s="156">
        <f>$D$13*(F801ENE!F100)*$L113</f>
        <v>0</v>
      </c>
      <c r="G113" s="156">
        <f>$D$13*(F801ENE!G100)*$L113</f>
        <v>0</v>
      </c>
      <c r="H113" s="156">
        <f>$D$13*(F801ENE!H100)*$L113</f>
        <v>0</v>
      </c>
      <c r="I113" s="156">
        <f>$D$13*(F801ENE!I100)*$L113</f>
        <v>0</v>
      </c>
      <c r="J113" s="156">
        <f t="shared" si="22"/>
        <v>0</v>
      </c>
      <c r="K113" s="69"/>
      <c r="L113" s="319">
        <v>1</v>
      </c>
    </row>
    <row r="114" spans="2:12" s="37" customFormat="1" ht="15.75">
      <c r="B114" s="48"/>
      <c r="C114" s="162" t="s">
        <v>642</v>
      </c>
      <c r="D114" s="156">
        <f>$D$13*(F801ENE!D101)*$L114</f>
        <v>0</v>
      </c>
      <c r="E114" s="156">
        <f>$D$13*(F801ENE!E101)*$L114</f>
        <v>0</v>
      </c>
      <c r="F114" s="156">
        <f>$D$13*(F801ENE!F101)*$L114</f>
        <v>0</v>
      </c>
      <c r="G114" s="156">
        <f>$D$13*(F801ENE!G101)*$L114</f>
        <v>0</v>
      </c>
      <c r="H114" s="156">
        <f>$D$13*(F801ENE!H101)*$L114</f>
        <v>0</v>
      </c>
      <c r="I114" s="156">
        <f>$D$13*(F801ENE!I101)*$L114</f>
        <v>0</v>
      </c>
      <c r="J114" s="156">
        <f t="shared" si="22"/>
        <v>0</v>
      </c>
      <c r="K114" s="69"/>
      <c r="L114" s="319">
        <v>0.75</v>
      </c>
    </row>
    <row r="115" spans="2:12" s="37" customFormat="1" ht="15.75">
      <c r="B115" s="48"/>
      <c r="C115" s="162" t="s">
        <v>1177</v>
      </c>
      <c r="D115" s="156">
        <f>$D$13*(F801ENE!D102)*$L115</f>
        <v>0</v>
      </c>
      <c r="E115" s="156">
        <f>$D$13*(F801ENE!E102)*$L115</f>
        <v>0</v>
      </c>
      <c r="F115" s="156">
        <f>$D$13*(F801ENE!F102)*$L115</f>
        <v>0</v>
      </c>
      <c r="G115" s="156">
        <f>$D$13*(F801ENE!G102)*$L115</f>
        <v>0</v>
      </c>
      <c r="H115" s="156">
        <f>$D$13*(F801ENE!H102)*$L115</f>
        <v>0</v>
      </c>
      <c r="I115" s="156">
        <f>$D$13*(F801ENE!I102)*$L115</f>
        <v>0</v>
      </c>
      <c r="J115" s="156">
        <f>SUM(D115:I115)</f>
        <v>0</v>
      </c>
      <c r="K115" s="69"/>
      <c r="L115" s="319">
        <v>1</v>
      </c>
    </row>
    <row r="116" spans="2:12" s="37" customFormat="1" ht="15.75">
      <c r="B116" s="48"/>
      <c r="C116" s="160" t="s">
        <v>305</v>
      </c>
      <c r="D116" s="156">
        <f>$D$13*(F801ENE!D103)*$L116</f>
        <v>0</v>
      </c>
      <c r="E116" s="156">
        <f>$D$13*(F801ENE!E103)*$L116</f>
        <v>0</v>
      </c>
      <c r="F116" s="156">
        <f>$D$13*(F801ENE!F103)*$L116</f>
        <v>0</v>
      </c>
      <c r="G116" s="156">
        <f>$D$13*(F801ENE!G103)*$L116</f>
        <v>0</v>
      </c>
      <c r="H116" s="156">
        <f>$D$13*(F801ENE!H103)*$L116</f>
        <v>0</v>
      </c>
      <c r="I116" s="156">
        <f>$D$13*(F801ENE!I103)*$L116</f>
        <v>0</v>
      </c>
      <c r="J116" s="156">
        <f>SUM(D116:I116)</f>
        <v>0</v>
      </c>
      <c r="K116" s="69"/>
      <c r="L116" s="319">
        <v>0.95</v>
      </c>
    </row>
    <row r="117" spans="2:12" s="37" customFormat="1" ht="15.75">
      <c r="B117" s="48"/>
      <c r="C117" s="160" t="s">
        <v>307</v>
      </c>
      <c r="D117" s="156">
        <f>$D$13*(F801ENE!D104)*$L117</f>
        <v>0</v>
      </c>
      <c r="E117" s="156">
        <f>$D$13*(F801ENE!E104)*$L117</f>
        <v>0</v>
      </c>
      <c r="F117" s="156">
        <f>$D$13*(F801ENE!F104)*$L117</f>
        <v>0</v>
      </c>
      <c r="G117" s="156">
        <f>$D$13*(F801ENE!G104)*$L117</f>
        <v>0</v>
      </c>
      <c r="H117" s="156">
        <f>$D$13*(F801ENE!H104)*$L117</f>
        <v>0</v>
      </c>
      <c r="I117" s="156">
        <f>$D$13*(F801ENE!I104)*$L117</f>
        <v>0</v>
      </c>
      <c r="J117" s="156">
        <f>SUM(D117:I117)</f>
        <v>0</v>
      </c>
      <c r="K117" s="69"/>
      <c r="L117" s="319">
        <v>0.5</v>
      </c>
    </row>
    <row r="118" spans="2:12" s="37" customFormat="1" ht="15.75">
      <c r="B118" s="48"/>
      <c r="C118" s="160" t="s">
        <v>624</v>
      </c>
      <c r="D118" s="156">
        <f>$D$13*(F801ENE!D105)*$L118</f>
        <v>0</v>
      </c>
      <c r="E118" s="156">
        <f>$D$13*(F801ENE!E105)*$L118</f>
        <v>0</v>
      </c>
      <c r="F118" s="156">
        <f>$D$13*(F801ENE!F105)*$L118</f>
        <v>0</v>
      </c>
      <c r="G118" s="156">
        <f>$D$13*(F801ENE!G105)*$L118</f>
        <v>0</v>
      </c>
      <c r="H118" s="156">
        <f>$D$13*(F801ENE!H105)*$L118</f>
        <v>0</v>
      </c>
      <c r="I118" s="156">
        <f>$D$13*(F801ENE!I105)*$L118</f>
        <v>0</v>
      </c>
      <c r="J118" s="156">
        <f>SUM(D118:I118)</f>
        <v>0</v>
      </c>
      <c r="K118" s="69"/>
      <c r="L118" s="319">
        <v>0</v>
      </c>
    </row>
    <row r="119" spans="2:12" s="37" customFormat="1" ht="15.75">
      <c r="B119" s="48"/>
      <c r="C119" s="157"/>
      <c r="D119" s="156"/>
      <c r="E119" s="156"/>
      <c r="F119" s="156"/>
      <c r="G119" s="156"/>
      <c r="H119" s="156"/>
      <c r="I119" s="156"/>
      <c r="J119" s="156"/>
      <c r="K119" s="69"/>
      <c r="L119" s="341"/>
    </row>
    <row r="120" spans="2:12" s="37" customFormat="1" ht="15.75">
      <c r="B120" s="48"/>
      <c r="C120" s="153" t="s">
        <v>112</v>
      </c>
      <c r="D120" s="154">
        <f t="shared" ref="D120:I120" si="24">D43+D33+D29</f>
        <v>0</v>
      </c>
      <c r="E120" s="154">
        <f t="shared" si="24"/>
        <v>0</v>
      </c>
      <c r="F120" s="154">
        <f t="shared" si="24"/>
        <v>0</v>
      </c>
      <c r="G120" s="154">
        <f t="shared" si="24"/>
        <v>0</v>
      </c>
      <c r="H120" s="154">
        <f t="shared" si="24"/>
        <v>0</v>
      </c>
      <c r="I120" s="154">
        <f t="shared" si="24"/>
        <v>0</v>
      </c>
      <c r="J120" s="154">
        <f>SUM(D120:I120)</f>
        <v>0</v>
      </c>
      <c r="K120" s="69"/>
      <c r="L120" s="341"/>
    </row>
    <row r="121" spans="2:12">
      <c r="B121" s="48"/>
    </row>
    <row r="122" spans="2:12">
      <c r="B122" s="48" t="s">
        <v>902</v>
      </c>
      <c r="D122" s="64">
        <f t="shared" ref="D122:J137" si="25">SUMIF($B$28:$B$120,$B122,D$28:D$120)</f>
        <v>0</v>
      </c>
      <c r="E122" s="64">
        <f t="shared" si="25"/>
        <v>0</v>
      </c>
      <c r="F122" s="64">
        <f t="shared" si="25"/>
        <v>0</v>
      </c>
      <c r="G122" s="64">
        <f t="shared" si="25"/>
        <v>0</v>
      </c>
      <c r="H122" s="64">
        <f t="shared" si="25"/>
        <v>0</v>
      </c>
      <c r="I122" s="64">
        <f t="shared" si="25"/>
        <v>0</v>
      </c>
      <c r="J122" s="64">
        <f t="shared" si="25"/>
        <v>0</v>
      </c>
    </row>
    <row r="123" spans="2:12">
      <c r="B123" s="48" t="s">
        <v>751</v>
      </c>
      <c r="D123" s="64">
        <f t="shared" si="25"/>
        <v>0</v>
      </c>
      <c r="E123" s="64">
        <f t="shared" si="25"/>
        <v>0</v>
      </c>
      <c r="F123" s="64">
        <f t="shared" si="25"/>
        <v>0</v>
      </c>
      <c r="G123" s="64">
        <f t="shared" si="25"/>
        <v>0</v>
      </c>
      <c r="H123" s="64">
        <f t="shared" si="25"/>
        <v>0</v>
      </c>
      <c r="I123" s="64">
        <f t="shared" si="25"/>
        <v>0</v>
      </c>
      <c r="J123" s="64">
        <f t="shared" si="25"/>
        <v>0</v>
      </c>
    </row>
    <row r="124" spans="2:12">
      <c r="B124" s="48" t="s">
        <v>750</v>
      </c>
      <c r="D124" s="64">
        <f t="shared" si="25"/>
        <v>0</v>
      </c>
      <c r="E124" s="64">
        <f t="shared" si="25"/>
        <v>0</v>
      </c>
      <c r="F124" s="64">
        <f t="shared" si="25"/>
        <v>0</v>
      </c>
      <c r="G124" s="64">
        <f t="shared" si="25"/>
        <v>0</v>
      </c>
      <c r="H124" s="64">
        <f t="shared" si="25"/>
        <v>0</v>
      </c>
      <c r="I124" s="64">
        <f t="shared" si="25"/>
        <v>0</v>
      </c>
      <c r="J124" s="64">
        <f t="shared" si="25"/>
        <v>0</v>
      </c>
    </row>
    <row r="125" spans="2:12">
      <c r="B125" s="48" t="s">
        <v>749</v>
      </c>
      <c r="D125" s="64">
        <f t="shared" si="25"/>
        <v>0</v>
      </c>
      <c r="E125" s="64">
        <f t="shared" si="25"/>
        <v>0</v>
      </c>
      <c r="F125" s="64">
        <f t="shared" si="25"/>
        <v>0</v>
      </c>
      <c r="G125" s="64">
        <f t="shared" si="25"/>
        <v>0</v>
      </c>
      <c r="H125" s="64">
        <f t="shared" si="25"/>
        <v>0</v>
      </c>
      <c r="I125" s="64">
        <f t="shared" si="25"/>
        <v>0</v>
      </c>
      <c r="J125" s="64">
        <f t="shared" si="25"/>
        <v>0</v>
      </c>
    </row>
    <row r="126" spans="2:12">
      <c r="B126" s="48" t="s">
        <v>1176</v>
      </c>
      <c r="D126" s="64">
        <f t="shared" si="25"/>
        <v>0</v>
      </c>
      <c r="E126" s="64">
        <f t="shared" si="25"/>
        <v>0</v>
      </c>
      <c r="F126" s="64">
        <f t="shared" si="25"/>
        <v>0</v>
      </c>
      <c r="G126" s="64">
        <f t="shared" si="25"/>
        <v>0</v>
      </c>
      <c r="H126" s="64">
        <f t="shared" si="25"/>
        <v>0</v>
      </c>
      <c r="I126" s="64">
        <f t="shared" si="25"/>
        <v>0</v>
      </c>
      <c r="J126" s="64">
        <f t="shared" si="25"/>
        <v>0</v>
      </c>
    </row>
    <row r="127" spans="2:12">
      <c r="B127" s="48" t="s">
        <v>274</v>
      </c>
      <c r="D127" s="64">
        <f t="shared" si="25"/>
        <v>0</v>
      </c>
      <c r="E127" s="64">
        <f t="shared" si="25"/>
        <v>0</v>
      </c>
      <c r="F127" s="64">
        <f t="shared" si="25"/>
        <v>0</v>
      </c>
      <c r="G127" s="64">
        <f t="shared" si="25"/>
        <v>0</v>
      </c>
      <c r="H127" s="64">
        <f t="shared" si="25"/>
        <v>0</v>
      </c>
      <c r="I127" s="64">
        <f t="shared" si="25"/>
        <v>0</v>
      </c>
      <c r="J127" s="64">
        <f t="shared" si="25"/>
        <v>0</v>
      </c>
    </row>
    <row r="128" spans="2:12">
      <c r="B128" s="48" t="s">
        <v>275</v>
      </c>
      <c r="D128" s="64">
        <f t="shared" si="25"/>
        <v>0</v>
      </c>
      <c r="E128" s="64">
        <f t="shared" si="25"/>
        <v>0</v>
      </c>
      <c r="F128" s="64">
        <f t="shared" si="25"/>
        <v>0</v>
      </c>
      <c r="G128" s="64">
        <f t="shared" si="25"/>
        <v>0</v>
      </c>
      <c r="H128" s="64">
        <f t="shared" si="25"/>
        <v>0</v>
      </c>
      <c r="I128" s="64">
        <f t="shared" si="25"/>
        <v>0</v>
      </c>
      <c r="J128" s="64">
        <f t="shared" si="25"/>
        <v>0</v>
      </c>
    </row>
    <row r="129" spans="2:10">
      <c r="B129" s="48" t="s">
        <v>276</v>
      </c>
      <c r="D129" s="64">
        <f t="shared" si="25"/>
        <v>0</v>
      </c>
      <c r="E129" s="64">
        <f t="shared" si="25"/>
        <v>0</v>
      </c>
      <c r="F129" s="64">
        <f t="shared" si="25"/>
        <v>0</v>
      </c>
      <c r="G129" s="64">
        <f t="shared" si="25"/>
        <v>0</v>
      </c>
      <c r="H129" s="64">
        <f t="shared" si="25"/>
        <v>0</v>
      </c>
      <c r="I129" s="64">
        <f t="shared" si="25"/>
        <v>0</v>
      </c>
      <c r="J129" s="64">
        <f t="shared" si="25"/>
        <v>0</v>
      </c>
    </row>
    <row r="130" spans="2:10">
      <c r="B130" s="48" t="s">
        <v>277</v>
      </c>
      <c r="D130" s="64">
        <f t="shared" si="25"/>
        <v>0</v>
      </c>
      <c r="E130" s="64">
        <f t="shared" si="25"/>
        <v>0</v>
      </c>
      <c r="F130" s="64">
        <f t="shared" si="25"/>
        <v>0</v>
      </c>
      <c r="G130" s="64">
        <f t="shared" si="25"/>
        <v>0</v>
      </c>
      <c r="H130" s="64">
        <f t="shared" si="25"/>
        <v>0</v>
      </c>
      <c r="I130" s="64">
        <f t="shared" si="25"/>
        <v>0</v>
      </c>
      <c r="J130" s="64">
        <f t="shared" si="25"/>
        <v>0</v>
      </c>
    </row>
    <row r="131" spans="2:10">
      <c r="B131" s="48" t="s">
        <v>278</v>
      </c>
      <c r="D131" s="64">
        <f t="shared" si="25"/>
        <v>0</v>
      </c>
      <c r="E131" s="64">
        <f t="shared" si="25"/>
        <v>0</v>
      </c>
      <c r="F131" s="64">
        <f t="shared" si="25"/>
        <v>0</v>
      </c>
      <c r="G131" s="64">
        <f t="shared" si="25"/>
        <v>0</v>
      </c>
      <c r="H131" s="64">
        <f t="shared" si="25"/>
        <v>0</v>
      </c>
      <c r="I131" s="64">
        <f t="shared" si="25"/>
        <v>0</v>
      </c>
      <c r="J131" s="64">
        <f t="shared" si="25"/>
        <v>0</v>
      </c>
    </row>
    <row r="132" spans="2:10">
      <c r="B132" s="48" t="s">
        <v>279</v>
      </c>
      <c r="D132" s="64">
        <f t="shared" si="25"/>
        <v>0</v>
      </c>
      <c r="E132" s="64">
        <f t="shared" si="25"/>
        <v>0</v>
      </c>
      <c r="F132" s="64">
        <f t="shared" si="25"/>
        <v>0</v>
      </c>
      <c r="G132" s="64">
        <f t="shared" si="25"/>
        <v>0</v>
      </c>
      <c r="H132" s="64">
        <f t="shared" si="25"/>
        <v>0</v>
      </c>
      <c r="I132" s="64">
        <f t="shared" si="25"/>
        <v>0</v>
      </c>
      <c r="J132" s="64">
        <f t="shared" si="25"/>
        <v>0</v>
      </c>
    </row>
    <row r="133" spans="2:10">
      <c r="B133" s="48" t="s">
        <v>875</v>
      </c>
      <c r="D133" s="64">
        <f t="shared" si="25"/>
        <v>0</v>
      </c>
      <c r="E133" s="64">
        <f t="shared" si="25"/>
        <v>0</v>
      </c>
      <c r="F133" s="64">
        <f t="shared" si="25"/>
        <v>0</v>
      </c>
      <c r="G133" s="64">
        <f t="shared" si="25"/>
        <v>0</v>
      </c>
      <c r="H133" s="64">
        <f t="shared" si="25"/>
        <v>0</v>
      </c>
      <c r="I133" s="64">
        <f t="shared" si="25"/>
        <v>0</v>
      </c>
      <c r="J133" s="64">
        <f t="shared" si="25"/>
        <v>0</v>
      </c>
    </row>
    <row r="134" spans="2:10">
      <c r="B134" s="48" t="s">
        <v>874</v>
      </c>
      <c r="D134" s="64">
        <f t="shared" si="25"/>
        <v>0</v>
      </c>
      <c r="E134" s="64">
        <f t="shared" si="25"/>
        <v>0</v>
      </c>
      <c r="F134" s="64">
        <f t="shared" si="25"/>
        <v>0</v>
      </c>
      <c r="G134" s="64">
        <f t="shared" si="25"/>
        <v>0</v>
      </c>
      <c r="H134" s="64">
        <f t="shared" si="25"/>
        <v>0</v>
      </c>
      <c r="I134" s="64">
        <f t="shared" si="25"/>
        <v>0</v>
      </c>
      <c r="J134" s="64">
        <f t="shared" si="25"/>
        <v>0</v>
      </c>
    </row>
    <row r="135" spans="2:10">
      <c r="B135" s="48" t="s">
        <v>873</v>
      </c>
      <c r="D135" s="64">
        <f t="shared" si="25"/>
        <v>0</v>
      </c>
      <c r="E135" s="64">
        <f t="shared" si="25"/>
        <v>0</v>
      </c>
      <c r="F135" s="64">
        <f t="shared" si="25"/>
        <v>0</v>
      </c>
      <c r="G135" s="64">
        <f t="shared" si="25"/>
        <v>0</v>
      </c>
      <c r="H135" s="64">
        <f t="shared" si="25"/>
        <v>0</v>
      </c>
      <c r="I135" s="64">
        <f t="shared" si="25"/>
        <v>0</v>
      </c>
      <c r="J135" s="64">
        <f t="shared" si="25"/>
        <v>0</v>
      </c>
    </row>
    <row r="136" spans="2:10">
      <c r="B136" s="48" t="s">
        <v>872</v>
      </c>
      <c r="D136" s="64">
        <f t="shared" si="25"/>
        <v>0</v>
      </c>
      <c r="E136" s="64">
        <f t="shared" si="25"/>
        <v>0</v>
      </c>
      <c r="F136" s="64">
        <f t="shared" si="25"/>
        <v>0</v>
      </c>
      <c r="G136" s="64">
        <f t="shared" si="25"/>
        <v>0</v>
      </c>
      <c r="H136" s="64">
        <f t="shared" si="25"/>
        <v>0</v>
      </c>
      <c r="I136" s="64">
        <f t="shared" si="25"/>
        <v>0</v>
      </c>
      <c r="J136" s="64">
        <f t="shared" si="25"/>
        <v>0</v>
      </c>
    </row>
    <row r="137" spans="2:10">
      <c r="B137" s="48" t="s">
        <v>871</v>
      </c>
      <c r="D137" s="64">
        <f t="shared" si="25"/>
        <v>0</v>
      </c>
      <c r="E137" s="64">
        <f t="shared" si="25"/>
        <v>0</v>
      </c>
      <c r="F137" s="64">
        <f t="shared" si="25"/>
        <v>0</v>
      </c>
      <c r="G137" s="64">
        <f t="shared" si="25"/>
        <v>0</v>
      </c>
      <c r="H137" s="64">
        <f t="shared" si="25"/>
        <v>0</v>
      </c>
      <c r="I137" s="64">
        <f t="shared" si="25"/>
        <v>0</v>
      </c>
      <c r="J137" s="64">
        <f t="shared" si="25"/>
        <v>0</v>
      </c>
    </row>
    <row r="138" spans="2:10">
      <c r="B138" s="48" t="s">
        <v>870</v>
      </c>
      <c r="D138" s="64">
        <f t="shared" ref="D138:J139" si="26">SUMIF($B$28:$B$120,$B138,D$28:D$120)</f>
        <v>0</v>
      </c>
      <c r="E138" s="64">
        <f t="shared" si="26"/>
        <v>0</v>
      </c>
      <c r="F138" s="64">
        <f t="shared" si="26"/>
        <v>0</v>
      </c>
      <c r="G138" s="64">
        <f t="shared" si="26"/>
        <v>0</v>
      </c>
      <c r="H138" s="64">
        <f t="shared" si="26"/>
        <v>0</v>
      </c>
      <c r="I138" s="64">
        <f t="shared" si="26"/>
        <v>0</v>
      </c>
      <c r="J138" s="64">
        <f t="shared" si="26"/>
        <v>0</v>
      </c>
    </row>
    <row r="139" spans="2:10">
      <c r="B139" s="48" t="s">
        <v>890</v>
      </c>
      <c r="D139" s="64">
        <f t="shared" si="26"/>
        <v>0</v>
      </c>
      <c r="E139" s="64">
        <f t="shared" si="26"/>
        <v>0</v>
      </c>
      <c r="F139" s="64">
        <f t="shared" si="26"/>
        <v>0</v>
      </c>
      <c r="G139" s="64">
        <f t="shared" si="26"/>
        <v>0</v>
      </c>
      <c r="H139" s="64">
        <f t="shared" si="26"/>
        <v>0</v>
      </c>
      <c r="I139" s="64">
        <f t="shared" si="26"/>
        <v>0</v>
      </c>
      <c r="J139" s="64">
        <f t="shared" si="26"/>
        <v>0</v>
      </c>
    </row>
    <row r="140" spans="2:10">
      <c r="B140" s="48" t="s">
        <v>111</v>
      </c>
      <c r="D140" s="65">
        <f>SUM(D122:D139)</f>
        <v>0</v>
      </c>
      <c r="E140" s="65">
        <f t="shared" ref="E140:J140" si="27">SUM(E122:E139)</f>
        <v>0</v>
      </c>
      <c r="F140" s="65">
        <f t="shared" si="27"/>
        <v>0</v>
      </c>
      <c r="G140" s="65">
        <f t="shared" si="27"/>
        <v>0</v>
      </c>
      <c r="H140" s="65">
        <f t="shared" si="27"/>
        <v>0</v>
      </c>
      <c r="I140" s="65">
        <f t="shared" si="27"/>
        <v>0</v>
      </c>
      <c r="J140" s="65">
        <f t="shared" si="27"/>
        <v>0</v>
      </c>
    </row>
    <row r="141" spans="2:10">
      <c r="B141" s="48"/>
      <c r="D141" s="66">
        <f>D140-D120</f>
        <v>0</v>
      </c>
      <c r="E141" s="66">
        <f t="shared" ref="E141:J141" si="28">E140-E120</f>
        <v>0</v>
      </c>
      <c r="F141" s="66">
        <f t="shared" si="28"/>
        <v>0</v>
      </c>
      <c r="G141" s="66">
        <f t="shared" si="28"/>
        <v>0</v>
      </c>
      <c r="H141" s="66">
        <f t="shared" si="28"/>
        <v>0</v>
      </c>
      <c r="I141" s="66">
        <f t="shared" si="28"/>
        <v>0</v>
      </c>
      <c r="J141" s="66">
        <f t="shared" si="28"/>
        <v>0</v>
      </c>
    </row>
  </sheetData>
  <printOptions horizontalCentered="1" verticalCentered="1"/>
  <pageMargins left="0.39370078740157483" right="0.39370078740157483" top="0.39370078740157483" bottom="0.39370078740157483" header="0.31496062992125984" footer="0.23622047244094491"/>
  <pageSetup scale="44" orientation="portrait" horizontalDpi="300" r:id="rId1"/>
  <headerFooter alignWithMargins="0">
    <oddHeader>&amp;L
NOMBRE DE LA DISTRIBUIDORA: &amp;UENSA.&amp;R&amp;9&amp;A</oddHeader>
  </headerFooter>
  <rowBreaks count="1" manualBreakCount="1">
    <brk id="120" max="9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89">
    <tabColor theme="5" tint="0.39997558519241921"/>
  </sheetPr>
  <dimension ref="B1:L141"/>
  <sheetViews>
    <sheetView view="pageBreakPreview" zoomScale="70" zoomScaleNormal="85" zoomScaleSheetLayoutView="70" workbookViewId="0"/>
  </sheetViews>
  <sheetFormatPr baseColWidth="10" defaultColWidth="8" defaultRowHeight="15"/>
  <cols>
    <col min="1" max="1" width="1.875" style="63" customWidth="1"/>
    <col min="2" max="2" width="6" style="63" customWidth="1"/>
    <col min="3" max="3" width="28.625" style="63" customWidth="1"/>
    <col min="4" max="4" width="11.75" style="63" customWidth="1"/>
    <col min="5" max="5" width="12.625" style="63" customWidth="1"/>
    <col min="6" max="6" width="12.75" style="63" customWidth="1"/>
    <col min="7" max="7" width="13.25" style="63" customWidth="1"/>
    <col min="8" max="8" width="13.875" style="63" customWidth="1"/>
    <col min="9" max="9" width="11.5" style="63" customWidth="1"/>
    <col min="10" max="10" width="13.125" style="63" customWidth="1"/>
    <col min="11" max="11" width="2.25" style="63" customWidth="1"/>
    <col min="12" max="12" width="4.25" style="345" bestFit="1" customWidth="1"/>
    <col min="13" max="16384" width="8" style="63"/>
  </cols>
  <sheetData>
    <row r="1" spans="3:12" s="69" customFormat="1" ht="15.75">
      <c r="C1" s="136" t="s">
        <v>151</v>
      </c>
      <c r="E1" s="63"/>
      <c r="L1" s="341"/>
    </row>
    <row r="2" spans="3:12" s="69" customFormat="1" ht="15.75">
      <c r="C2" s="136"/>
      <c r="E2" s="137" t="s">
        <v>138</v>
      </c>
      <c r="L2" s="341"/>
    </row>
    <row r="3" spans="3:12" s="69" customFormat="1" ht="15.75">
      <c r="D3" s="137"/>
      <c r="L3" s="341"/>
    </row>
    <row r="4" spans="3:12" s="69" customFormat="1" ht="15.75">
      <c r="C4" s="219" t="s">
        <v>1531</v>
      </c>
      <c r="D4" s="338"/>
      <c r="E4" s="338"/>
      <c r="F4" s="338"/>
      <c r="G4" s="338"/>
      <c r="H4" s="338"/>
      <c r="I4" s="338"/>
      <c r="J4" s="339"/>
      <c r="L4" s="341"/>
    </row>
    <row r="5" spans="3:12" s="69" customFormat="1" ht="15.75">
      <c r="C5" s="342"/>
      <c r="D5" s="322"/>
      <c r="E5" s="323"/>
      <c r="F5" s="322"/>
      <c r="G5" s="322"/>
      <c r="H5" s="342"/>
      <c r="I5" s="342"/>
      <c r="L5" s="341"/>
    </row>
    <row r="6" spans="3:12" s="58" customFormat="1" ht="30.95" customHeight="1">
      <c r="C6" s="343" t="s">
        <v>855</v>
      </c>
      <c r="D6" s="344" t="s">
        <v>236</v>
      </c>
      <c r="E6" s="323"/>
      <c r="F6" s="322"/>
      <c r="G6" s="322"/>
      <c r="H6" s="342"/>
      <c r="I6" s="342"/>
      <c r="J6" s="69"/>
      <c r="L6" s="345"/>
    </row>
    <row r="7" spans="3:12" s="143" customFormat="1" ht="15.75">
      <c r="C7" s="144" t="s">
        <v>266</v>
      </c>
      <c r="D7" s="144">
        <f>RAT1000PT!$E$137</f>
        <v>0</v>
      </c>
      <c r="E7" s="322"/>
      <c r="F7" s="322"/>
      <c r="G7" s="322"/>
      <c r="H7" s="342"/>
      <c r="I7" s="342"/>
      <c r="J7" s="69"/>
      <c r="L7" s="345"/>
    </row>
    <row r="8" spans="3:12" s="143" customFormat="1" ht="15.75">
      <c r="C8" s="144" t="s">
        <v>265</v>
      </c>
      <c r="D8" s="144">
        <f>RAT1000PT!$E$136</f>
        <v>0</v>
      </c>
      <c r="E8" s="322"/>
      <c r="F8" s="322"/>
      <c r="G8" s="322"/>
      <c r="H8" s="342"/>
      <c r="I8" s="342"/>
      <c r="J8" s="69"/>
      <c r="L8" s="345"/>
    </row>
    <row r="9" spans="3:12" s="143" customFormat="1" ht="15.75">
      <c r="C9" s="144" t="s">
        <v>264</v>
      </c>
      <c r="D9" s="144">
        <f>RAT1000PT!$E$135</f>
        <v>0</v>
      </c>
      <c r="E9" s="322"/>
      <c r="F9" s="322"/>
      <c r="G9" s="322"/>
      <c r="H9" s="342"/>
      <c r="I9" s="342"/>
      <c r="J9" s="69"/>
      <c r="L9" s="345"/>
    </row>
    <row r="10" spans="3:12" s="143" customFormat="1" ht="15.75">
      <c r="C10" s="144" t="s">
        <v>262</v>
      </c>
      <c r="D10" s="144">
        <f>RAT1000PT!$E$134</f>
        <v>0</v>
      </c>
      <c r="E10" s="322"/>
      <c r="F10" s="322"/>
      <c r="G10" s="322"/>
      <c r="H10" s="342"/>
      <c r="I10" s="342"/>
      <c r="J10" s="69"/>
      <c r="L10" s="345"/>
    </row>
    <row r="11" spans="3:12" s="143" customFormat="1" ht="15.75">
      <c r="C11" s="144" t="s">
        <v>263</v>
      </c>
      <c r="D11" s="144">
        <f>RAT1000PT!$E$133</f>
        <v>0</v>
      </c>
      <c r="E11" s="322"/>
      <c r="F11" s="322"/>
      <c r="G11" s="322"/>
      <c r="H11" s="342"/>
      <c r="I11" s="342"/>
      <c r="J11" s="69"/>
      <c r="L11" s="345"/>
    </row>
    <row r="12" spans="3:12" s="143" customFormat="1" ht="15.75">
      <c r="C12" s="144" t="s">
        <v>261</v>
      </c>
      <c r="D12" s="144">
        <f>RAT1000PT!$E$132</f>
        <v>0</v>
      </c>
      <c r="E12" s="322"/>
      <c r="F12" s="322"/>
      <c r="G12" s="322"/>
      <c r="H12" s="342"/>
      <c r="I12" s="342"/>
      <c r="J12" s="69"/>
      <c r="L12" s="345"/>
    </row>
    <row r="13" spans="3:12" s="143" customFormat="1" ht="15.75">
      <c r="C13" s="144" t="s">
        <v>267</v>
      </c>
      <c r="D13" s="144">
        <f>RAT1000PT!$E$130</f>
        <v>0</v>
      </c>
      <c r="E13" s="322"/>
      <c r="F13" s="322"/>
      <c r="G13" s="322"/>
      <c r="H13" s="342"/>
      <c r="I13" s="342"/>
      <c r="J13" s="69"/>
      <c r="L13" s="345"/>
    </row>
    <row r="14" spans="3:12" s="143" customFormat="1" ht="15.75">
      <c r="C14" s="144" t="s">
        <v>1178</v>
      </c>
      <c r="D14" s="144">
        <f>RAT1000PT!$E$131</f>
        <v>0</v>
      </c>
      <c r="E14" s="322"/>
      <c r="F14" s="322"/>
      <c r="G14" s="322"/>
      <c r="H14" s="342"/>
      <c r="I14" s="342"/>
      <c r="J14" s="69"/>
      <c r="L14" s="345"/>
    </row>
    <row r="15" spans="3:12" s="143" customFormat="1" ht="13.5">
      <c r="C15" s="147"/>
      <c r="E15" s="1010"/>
      <c r="F15" s="1010"/>
      <c r="G15" s="1010"/>
      <c r="H15" s="1010"/>
      <c r="I15" s="1010"/>
      <c r="J15" s="38"/>
      <c r="L15" s="1011"/>
    </row>
    <row r="16" spans="3:12" s="1004" customFormat="1" ht="5.25">
      <c r="C16" s="1005"/>
      <c r="E16" s="1006"/>
      <c r="F16" s="1006"/>
      <c r="G16" s="1006"/>
      <c r="H16" s="1006"/>
      <c r="I16" s="1006"/>
      <c r="J16" s="1007"/>
      <c r="L16" s="1008"/>
    </row>
    <row r="17" spans="2:12" s="1004" customFormat="1" ht="5.25">
      <c r="C17" s="1005"/>
      <c r="J17" s="1009"/>
      <c r="L17" s="1008"/>
    </row>
    <row r="18" spans="2:12" s="1004" customFormat="1" ht="5.25">
      <c r="C18" s="1005"/>
      <c r="J18" s="1009"/>
      <c r="L18" s="1008"/>
    </row>
    <row r="19" spans="2:12" s="1004" customFormat="1" ht="5.25">
      <c r="C19" s="1005"/>
      <c r="J19" s="1009"/>
      <c r="L19" s="1008"/>
    </row>
    <row r="20" spans="2:12" s="1004" customFormat="1" ht="5.25">
      <c r="C20" s="1005"/>
      <c r="J20" s="1009"/>
      <c r="L20" s="1008"/>
    </row>
    <row r="21" spans="2:12" s="1004" customFormat="1" ht="5.25">
      <c r="C21" s="1005"/>
      <c r="J21" s="1009"/>
      <c r="L21" s="1008"/>
    </row>
    <row r="22" spans="2:12" s="1004" customFormat="1" ht="5.25">
      <c r="C22" s="1005"/>
      <c r="J22" s="1009"/>
      <c r="L22" s="1008"/>
    </row>
    <row r="23" spans="2:12" s="1004" customFormat="1" ht="5.25">
      <c r="C23" s="1005"/>
      <c r="J23" s="1009"/>
      <c r="L23" s="1008"/>
    </row>
    <row r="24" spans="2:12" s="1004" customFormat="1" ht="5.25">
      <c r="C24" s="1005"/>
      <c r="J24" s="1009"/>
      <c r="L24" s="1008"/>
    </row>
    <row r="25" spans="2:12" s="1004" customFormat="1" ht="5.25">
      <c r="C25" s="1005"/>
      <c r="J25" s="1009"/>
      <c r="L25" s="1008"/>
    </row>
    <row r="26" spans="2:12" s="1004" customFormat="1" ht="5.25">
      <c r="C26" s="1005"/>
      <c r="J26" s="1009"/>
      <c r="L26" s="1008"/>
    </row>
    <row r="27" spans="2:12" s="69" customFormat="1" ht="15.75">
      <c r="C27" s="1002" t="str">
        <f>C4</f>
        <v>Ingresos Reales = Cargos Base P-2 por Ventas Reales P-2</v>
      </c>
      <c r="D27" s="1002"/>
      <c r="E27" s="1002"/>
      <c r="F27" s="1002"/>
      <c r="G27" s="1002"/>
      <c r="H27" s="1002"/>
      <c r="I27" s="1002"/>
      <c r="J27" s="1003"/>
      <c r="L27" s="345" t="s">
        <v>678</v>
      </c>
    </row>
    <row r="28" spans="2:12" s="37" customFormat="1" ht="15.75">
      <c r="C28" s="346" t="s">
        <v>310</v>
      </c>
      <c r="D28" s="347">
        <f>F821EVE!D4</f>
        <v>45839</v>
      </c>
      <c r="E28" s="347">
        <f>F821EVE!E4</f>
        <v>45870</v>
      </c>
      <c r="F28" s="347">
        <f>F821EVE!F4</f>
        <v>45901</v>
      </c>
      <c r="G28" s="347">
        <f>F821EVE!G4</f>
        <v>45931</v>
      </c>
      <c r="H28" s="347">
        <f>F821EVE!H4</f>
        <v>45962</v>
      </c>
      <c r="I28" s="347">
        <f>F821EVE!I4</f>
        <v>45992</v>
      </c>
      <c r="J28" s="348" t="s">
        <v>111</v>
      </c>
      <c r="K28" s="69"/>
      <c r="L28" s="349"/>
    </row>
    <row r="29" spans="2:12" s="37" customFormat="1" ht="15.75" customHeight="1">
      <c r="B29" s="48"/>
      <c r="C29" s="153" t="s">
        <v>446</v>
      </c>
      <c r="D29" s="154">
        <f t="shared" ref="D29:I29" si="0">SUM(D30:D31)</f>
        <v>0</v>
      </c>
      <c r="E29" s="154">
        <f t="shared" si="0"/>
        <v>0</v>
      </c>
      <c r="F29" s="154">
        <f t="shared" si="0"/>
        <v>0</v>
      </c>
      <c r="G29" s="154">
        <f t="shared" si="0"/>
        <v>0</v>
      </c>
      <c r="H29" s="154">
        <f t="shared" si="0"/>
        <v>0</v>
      </c>
      <c r="I29" s="154">
        <f t="shared" si="0"/>
        <v>0</v>
      </c>
      <c r="J29" s="154">
        <f>SUM(D29:I29)</f>
        <v>0</v>
      </c>
      <c r="K29" s="69"/>
      <c r="L29" s="350"/>
    </row>
    <row r="30" spans="2:12" s="37" customFormat="1" ht="15.75" customHeight="1">
      <c r="B30" s="48" t="s">
        <v>279</v>
      </c>
      <c r="C30" s="155" t="s">
        <v>279</v>
      </c>
      <c r="D30" s="156">
        <f>$D$7*F821EVE!D6</f>
        <v>0</v>
      </c>
      <c r="E30" s="156">
        <f>$D$7*F821EVE!E6</f>
        <v>0</v>
      </c>
      <c r="F30" s="156">
        <f>$D$7*F821EVE!F6</f>
        <v>0</v>
      </c>
      <c r="G30" s="156">
        <f>$D$7*F821EVE!G6</f>
        <v>0</v>
      </c>
      <c r="H30" s="156">
        <f>$D$7*F821EVE!H6</f>
        <v>0</v>
      </c>
      <c r="I30" s="156">
        <f>$D$7*F821EVE!I6</f>
        <v>0</v>
      </c>
      <c r="J30" s="156">
        <f>SUM(D30:I30)</f>
        <v>0</v>
      </c>
      <c r="K30" s="69"/>
      <c r="L30" s="341"/>
    </row>
    <row r="31" spans="2:12" s="37" customFormat="1" ht="15.75" customHeight="1">
      <c r="B31" s="48" t="s">
        <v>278</v>
      </c>
      <c r="C31" s="155" t="s">
        <v>278</v>
      </c>
      <c r="D31" s="156">
        <f>$D$8*F821EVE!D7</f>
        <v>0</v>
      </c>
      <c r="E31" s="156">
        <f>$D$8*F821EVE!E7</f>
        <v>0</v>
      </c>
      <c r="F31" s="156">
        <f>$D$8*F821EVE!F7</f>
        <v>0</v>
      </c>
      <c r="G31" s="156">
        <f>$D$8*F821EVE!G7</f>
        <v>0</v>
      </c>
      <c r="H31" s="156">
        <f>$D$8*F821EVE!H7</f>
        <v>0</v>
      </c>
      <c r="I31" s="156">
        <f>$D$8*F821EVE!I7</f>
        <v>0</v>
      </c>
      <c r="J31" s="156">
        <f>SUM(D31:I31)</f>
        <v>0</v>
      </c>
      <c r="K31" s="69"/>
      <c r="L31" s="351"/>
    </row>
    <row r="32" spans="2:12" s="37" customFormat="1" ht="15.75" customHeight="1">
      <c r="B32" s="48"/>
      <c r="C32" s="157"/>
      <c r="D32" s="156"/>
      <c r="E32" s="156"/>
      <c r="F32" s="156"/>
      <c r="G32" s="156"/>
      <c r="H32" s="156"/>
      <c r="I32" s="156"/>
      <c r="J32" s="156"/>
      <c r="K32" s="69"/>
      <c r="L32" s="350"/>
    </row>
    <row r="33" spans="2:12" s="37" customFormat="1" ht="15.75" customHeight="1">
      <c r="B33" s="48"/>
      <c r="C33" s="153" t="s">
        <v>630</v>
      </c>
      <c r="D33" s="154">
        <f>D34+D37</f>
        <v>0</v>
      </c>
      <c r="E33" s="154">
        <f t="shared" ref="E33:J33" si="1">E34+E37</f>
        <v>0</v>
      </c>
      <c r="F33" s="154">
        <f t="shared" si="1"/>
        <v>0</v>
      </c>
      <c r="G33" s="154">
        <f t="shared" si="1"/>
        <v>0</v>
      </c>
      <c r="H33" s="154">
        <f t="shared" si="1"/>
        <v>0</v>
      </c>
      <c r="I33" s="154">
        <f t="shared" si="1"/>
        <v>0</v>
      </c>
      <c r="J33" s="154">
        <f t="shared" si="1"/>
        <v>0</v>
      </c>
      <c r="K33" s="69"/>
      <c r="L33" s="341"/>
    </row>
    <row r="34" spans="2:12" s="37" customFormat="1" ht="15.75" customHeight="1">
      <c r="B34" s="48" t="s">
        <v>277</v>
      </c>
      <c r="C34" s="155" t="s">
        <v>277</v>
      </c>
      <c r="D34" s="154">
        <f>SUM(D35:D36)</f>
        <v>0</v>
      </c>
      <c r="E34" s="154">
        <f t="shared" ref="E34:J34" si="2">SUM(E35:E36)</f>
        <v>0</v>
      </c>
      <c r="F34" s="154">
        <f t="shared" si="2"/>
        <v>0</v>
      </c>
      <c r="G34" s="154">
        <f t="shared" si="2"/>
        <v>0</v>
      </c>
      <c r="H34" s="154">
        <f t="shared" si="2"/>
        <v>0</v>
      </c>
      <c r="I34" s="154">
        <f t="shared" si="2"/>
        <v>0</v>
      </c>
      <c r="J34" s="154">
        <f t="shared" si="2"/>
        <v>0</v>
      </c>
      <c r="K34" s="69"/>
      <c r="L34" s="341"/>
    </row>
    <row r="35" spans="2:12" s="37" customFormat="1" ht="15.75" customHeight="1">
      <c r="B35" s="48"/>
      <c r="C35" s="160" t="s">
        <v>304</v>
      </c>
      <c r="D35" s="156">
        <f>$D$9*F821EVE!D11*$L35</f>
        <v>0</v>
      </c>
      <c r="E35" s="156">
        <f>$D$9*F821EVE!E11*$L35</f>
        <v>0</v>
      </c>
      <c r="F35" s="156">
        <f>$D$9*F821EVE!F11*$L35</f>
        <v>0</v>
      </c>
      <c r="G35" s="156">
        <f>$D$9*F821EVE!G11*$L35</f>
        <v>0</v>
      </c>
      <c r="H35" s="156">
        <f>$D$9*F821EVE!H11*$L35</f>
        <v>0</v>
      </c>
      <c r="I35" s="156">
        <f>$D$9*F821EVE!I11*$L35</f>
        <v>0</v>
      </c>
      <c r="J35" s="156">
        <f t="shared" ref="J35:J41" si="3">SUM(D35:I35)</f>
        <v>0</v>
      </c>
      <c r="K35" s="69"/>
      <c r="L35" s="319">
        <v>1</v>
      </c>
    </row>
    <row r="36" spans="2:12" s="37" customFormat="1" ht="15.75" customHeight="1">
      <c r="B36" s="48"/>
      <c r="C36" s="160" t="s">
        <v>305</v>
      </c>
      <c r="D36" s="156">
        <f>$D$9*F821EVE!D12*$L36</f>
        <v>0</v>
      </c>
      <c r="E36" s="156">
        <f>$D$9*F821EVE!E12*$L36</f>
        <v>0</v>
      </c>
      <c r="F36" s="156">
        <f>$D$9*F821EVE!F12*$L36</f>
        <v>0</v>
      </c>
      <c r="G36" s="156">
        <f>$D$9*F821EVE!G12*$L36</f>
        <v>0</v>
      </c>
      <c r="H36" s="156">
        <f>$D$9*F821EVE!H12*$L36</f>
        <v>0</v>
      </c>
      <c r="I36" s="156">
        <f>$D$9*F821EVE!I12*$L36</f>
        <v>0</v>
      </c>
      <c r="J36" s="156">
        <f t="shared" si="3"/>
        <v>0</v>
      </c>
      <c r="K36" s="69"/>
      <c r="L36" s="319">
        <v>0.95</v>
      </c>
    </row>
    <row r="37" spans="2:12" s="37" customFormat="1" ht="15.75" customHeight="1">
      <c r="B37" s="48" t="s">
        <v>276</v>
      </c>
      <c r="C37" s="158" t="s">
        <v>276</v>
      </c>
      <c r="D37" s="159">
        <f t="shared" ref="D37:I37" si="4">SUM(D38:D41)</f>
        <v>0</v>
      </c>
      <c r="E37" s="159">
        <f t="shared" si="4"/>
        <v>0</v>
      </c>
      <c r="F37" s="159">
        <f t="shared" si="4"/>
        <v>0</v>
      </c>
      <c r="G37" s="159">
        <f t="shared" si="4"/>
        <v>0</v>
      </c>
      <c r="H37" s="159">
        <f t="shared" si="4"/>
        <v>0</v>
      </c>
      <c r="I37" s="159">
        <f t="shared" si="4"/>
        <v>0</v>
      </c>
      <c r="J37" s="159">
        <f t="shared" si="3"/>
        <v>0</v>
      </c>
      <c r="K37" s="69"/>
      <c r="L37" s="351"/>
    </row>
    <row r="38" spans="2:12" s="37" customFormat="1" ht="15.75" customHeight="1">
      <c r="B38" s="48"/>
      <c r="C38" s="160" t="s">
        <v>304</v>
      </c>
      <c r="D38" s="156">
        <f>$D$10*F821EVE!D15*$L38</f>
        <v>0</v>
      </c>
      <c r="E38" s="156">
        <f>$D$10*F821EVE!E15*$L38</f>
        <v>0</v>
      </c>
      <c r="F38" s="156">
        <f>$D$10*F821EVE!F15*$L38</f>
        <v>0</v>
      </c>
      <c r="G38" s="156">
        <f>$D$10*F821EVE!G15*$L38</f>
        <v>0</v>
      </c>
      <c r="H38" s="156">
        <f>$D$10*F821EVE!H15*$L38</f>
        <v>0</v>
      </c>
      <c r="I38" s="156">
        <f>$D$10*F821EVE!I15*$L38</f>
        <v>0</v>
      </c>
      <c r="J38" s="156">
        <f t="shared" si="3"/>
        <v>0</v>
      </c>
      <c r="K38" s="69"/>
      <c r="L38" s="319">
        <v>1</v>
      </c>
    </row>
    <row r="39" spans="2:12" s="37" customFormat="1" ht="15.75" customHeight="1">
      <c r="B39" s="48"/>
      <c r="C39" s="161" t="s">
        <v>306</v>
      </c>
      <c r="D39" s="156">
        <f>$D$10*F821EVE!D16*$L39</f>
        <v>0</v>
      </c>
      <c r="E39" s="156">
        <f>$D$10*F821EVE!E16*$L39</f>
        <v>0</v>
      </c>
      <c r="F39" s="156">
        <f>$D$10*F821EVE!F16*$L39</f>
        <v>0</v>
      </c>
      <c r="G39" s="156">
        <f>$D$10*F821EVE!G16*$L39</f>
        <v>0</v>
      </c>
      <c r="H39" s="156">
        <f>$D$10*F821EVE!H16*$L39</f>
        <v>0</v>
      </c>
      <c r="I39" s="156">
        <f>$D$10*F821EVE!I16*$L39</f>
        <v>0</v>
      </c>
      <c r="J39" s="156">
        <f t="shared" si="3"/>
        <v>0</v>
      </c>
      <c r="K39" s="69"/>
      <c r="L39" s="319">
        <v>1</v>
      </c>
    </row>
    <row r="40" spans="2:12" s="37" customFormat="1" ht="15.75" customHeight="1">
      <c r="B40" s="48"/>
      <c r="C40" s="160" t="s">
        <v>305</v>
      </c>
      <c r="D40" s="156">
        <f>$D$10*F821EVE!D17*$L40</f>
        <v>0</v>
      </c>
      <c r="E40" s="156">
        <f>$D$10*F821EVE!E17*$L40</f>
        <v>0</v>
      </c>
      <c r="F40" s="156">
        <f>$D$10*F821EVE!F17*$L40</f>
        <v>0</v>
      </c>
      <c r="G40" s="156">
        <f>$D$10*F821EVE!G17*$L40</f>
        <v>0</v>
      </c>
      <c r="H40" s="156">
        <f>$D$10*F821EVE!H17*$L40</f>
        <v>0</v>
      </c>
      <c r="I40" s="156">
        <f>$D$10*F821EVE!I17*$L40</f>
        <v>0</v>
      </c>
      <c r="J40" s="156">
        <f t="shared" si="3"/>
        <v>0</v>
      </c>
      <c r="K40" s="69"/>
      <c r="L40" s="319">
        <v>0.95</v>
      </c>
    </row>
    <row r="41" spans="2:12" s="37" customFormat="1" ht="15.75" customHeight="1">
      <c r="B41" s="48"/>
      <c r="C41" s="160" t="s">
        <v>307</v>
      </c>
      <c r="D41" s="156">
        <f>$D$10*F821EVE!D18*$L41</f>
        <v>0</v>
      </c>
      <c r="E41" s="156">
        <f>$D$10*F821EVE!E18*$L41</f>
        <v>0</v>
      </c>
      <c r="F41" s="156">
        <f>$D$10*F821EVE!F18*$L41</f>
        <v>0</v>
      </c>
      <c r="G41" s="156">
        <f>$D$10*F821EVE!G18*$L41</f>
        <v>0</v>
      </c>
      <c r="H41" s="156">
        <f>$D$10*F821EVE!H18*$L41</f>
        <v>0</v>
      </c>
      <c r="I41" s="156">
        <f>$D$10*F821EVE!I18*$L41</f>
        <v>0</v>
      </c>
      <c r="J41" s="156">
        <f t="shared" si="3"/>
        <v>0</v>
      </c>
      <c r="K41" s="69"/>
      <c r="L41" s="319">
        <v>0.5</v>
      </c>
    </row>
    <row r="42" spans="2:12" s="37" customFormat="1" ht="15.75" customHeight="1">
      <c r="B42" s="48"/>
      <c r="C42" s="157"/>
      <c r="D42" s="157"/>
      <c r="E42" s="157"/>
      <c r="F42" s="157"/>
      <c r="G42" s="157"/>
      <c r="H42" s="157"/>
      <c r="I42" s="157"/>
      <c r="J42" s="157"/>
      <c r="K42" s="69"/>
      <c r="L42" s="341"/>
    </row>
    <row r="43" spans="2:12" s="37" customFormat="1" ht="15.75" customHeight="1">
      <c r="B43" s="48"/>
      <c r="C43" s="153" t="s">
        <v>443</v>
      </c>
      <c r="D43" s="154">
        <f t="shared" ref="D43:I43" si="5">D44+D48+D55+D60+D65+D78+D84+D91+D99+D105+D112+D71</f>
        <v>0</v>
      </c>
      <c r="E43" s="154">
        <f t="shared" si="5"/>
        <v>0</v>
      </c>
      <c r="F43" s="154">
        <f t="shared" si="5"/>
        <v>0</v>
      </c>
      <c r="G43" s="154">
        <f t="shared" si="5"/>
        <v>0</v>
      </c>
      <c r="H43" s="154">
        <f t="shared" si="5"/>
        <v>0</v>
      </c>
      <c r="I43" s="154">
        <f t="shared" si="5"/>
        <v>0</v>
      </c>
      <c r="J43" s="154">
        <f>J44+J48+J55+J60+J65+J78+J84+J91+J99+J105+J112</f>
        <v>0</v>
      </c>
      <c r="K43" s="69"/>
      <c r="L43" s="341"/>
    </row>
    <row r="44" spans="2:12" s="37" customFormat="1" ht="15.75" customHeight="1">
      <c r="B44" s="48" t="s">
        <v>275</v>
      </c>
      <c r="C44" s="155" t="s">
        <v>275</v>
      </c>
      <c r="D44" s="154">
        <f>SUM(D45:D47)</f>
        <v>0</v>
      </c>
      <c r="E44" s="154">
        <f t="shared" ref="E44:J44" si="6">SUM(E45:E47)</f>
        <v>0</v>
      </c>
      <c r="F44" s="154">
        <f t="shared" si="6"/>
        <v>0</v>
      </c>
      <c r="G44" s="154">
        <f t="shared" si="6"/>
        <v>0</v>
      </c>
      <c r="H44" s="154">
        <f t="shared" si="6"/>
        <v>0</v>
      </c>
      <c r="I44" s="154">
        <f t="shared" si="6"/>
        <v>0</v>
      </c>
      <c r="J44" s="154">
        <f t="shared" si="6"/>
        <v>0</v>
      </c>
      <c r="K44" s="69"/>
      <c r="L44" s="341"/>
    </row>
    <row r="45" spans="2:12" s="37" customFormat="1" ht="15.75" customHeight="1">
      <c r="B45" s="48"/>
      <c r="C45" s="160" t="s">
        <v>304</v>
      </c>
      <c r="D45" s="156">
        <f>$D$11*F821EVE!D22*$L45</f>
        <v>0</v>
      </c>
      <c r="E45" s="156">
        <f>$D$11*F821EVE!E22*$L45</f>
        <v>0</v>
      </c>
      <c r="F45" s="156">
        <f>$D$11*F821EVE!F22*$L45</f>
        <v>0</v>
      </c>
      <c r="G45" s="156">
        <f>$D$11*F821EVE!G22*$L45</f>
        <v>0</v>
      </c>
      <c r="H45" s="156">
        <f>$D$11*F821EVE!H22*$L45</f>
        <v>0</v>
      </c>
      <c r="I45" s="156">
        <f>$D$11*F821EVE!I22*$L45</f>
        <v>0</v>
      </c>
      <c r="J45" s="156">
        <f t="shared" ref="J45" si="7">SUM(D45:I45)</f>
        <v>0</v>
      </c>
      <c r="K45" s="69"/>
      <c r="L45" s="319">
        <v>1</v>
      </c>
    </row>
    <row r="46" spans="2:12" s="37" customFormat="1" ht="15.75" customHeight="1">
      <c r="B46" s="48"/>
      <c r="C46" s="161" t="s">
        <v>306</v>
      </c>
      <c r="D46" s="156">
        <f>$D$11*F821EVE!D23*$L46</f>
        <v>0</v>
      </c>
      <c r="E46" s="156">
        <f>$D$11*F821EVE!E23*$L46</f>
        <v>0</v>
      </c>
      <c r="F46" s="156">
        <f>$D$11*F821EVE!F23*$L46</f>
        <v>0</v>
      </c>
      <c r="G46" s="156">
        <f>$D$11*F821EVE!G23*$L46</f>
        <v>0</v>
      </c>
      <c r="H46" s="156">
        <f>$D$11*F821EVE!H23*$L46</f>
        <v>0</v>
      </c>
      <c r="I46" s="156">
        <f>$D$11*F821EVE!I23*$L46</f>
        <v>0</v>
      </c>
      <c r="J46" s="156">
        <f t="shared" ref="J46:J69" si="8">SUM(D46:I46)</f>
        <v>0</v>
      </c>
      <c r="K46" s="69"/>
      <c r="L46" s="319">
        <v>0.75</v>
      </c>
    </row>
    <row r="47" spans="2:12" s="37" customFormat="1" ht="15.75" customHeight="1">
      <c r="B47" s="48"/>
      <c r="C47" s="160" t="s">
        <v>305</v>
      </c>
      <c r="D47" s="156">
        <f>$D$11*F821EVE!D24*$L47</f>
        <v>0</v>
      </c>
      <c r="E47" s="156">
        <f>$D$11*F821EVE!E24*$L47</f>
        <v>0</v>
      </c>
      <c r="F47" s="156">
        <f>$D$11*F821EVE!F24*$L47</f>
        <v>0</v>
      </c>
      <c r="G47" s="156">
        <f>$D$11*F821EVE!G24*$L47</f>
        <v>0</v>
      </c>
      <c r="H47" s="156">
        <f>$D$11*F821EVE!H24*$L47</f>
        <v>0</v>
      </c>
      <c r="I47" s="156">
        <f>$D$11*F821EVE!I24*$L47</f>
        <v>0</v>
      </c>
      <c r="J47" s="156">
        <f t="shared" si="8"/>
        <v>0</v>
      </c>
      <c r="K47" s="69"/>
      <c r="L47" s="319">
        <v>0.95</v>
      </c>
    </row>
    <row r="48" spans="2:12" s="37" customFormat="1" ht="15.75" customHeight="1">
      <c r="B48" s="48" t="s">
        <v>274</v>
      </c>
      <c r="C48" s="158" t="s">
        <v>627</v>
      </c>
      <c r="D48" s="159">
        <f t="shared" ref="D48:I48" si="9">SUM(D49:D54)</f>
        <v>0</v>
      </c>
      <c r="E48" s="159">
        <f t="shared" si="9"/>
        <v>0</v>
      </c>
      <c r="F48" s="159">
        <f t="shared" si="9"/>
        <v>0</v>
      </c>
      <c r="G48" s="159">
        <f t="shared" si="9"/>
        <v>0</v>
      </c>
      <c r="H48" s="159">
        <f t="shared" si="9"/>
        <v>0</v>
      </c>
      <c r="I48" s="159">
        <f t="shared" si="9"/>
        <v>0</v>
      </c>
      <c r="J48" s="159">
        <f t="shared" si="8"/>
        <v>0</v>
      </c>
      <c r="K48" s="69"/>
      <c r="L48" s="341"/>
    </row>
    <row r="49" spans="2:12" s="37" customFormat="1" ht="15.75" customHeight="1">
      <c r="B49" s="48"/>
      <c r="C49" s="160" t="s">
        <v>304</v>
      </c>
      <c r="D49" s="156">
        <f>$D$12*F821EVE!D28*$L49</f>
        <v>0</v>
      </c>
      <c r="E49" s="156">
        <f>$D$12*F821EVE!E28*$L49</f>
        <v>0</v>
      </c>
      <c r="F49" s="156">
        <f>$D$12*F821EVE!F28*$L49</f>
        <v>0</v>
      </c>
      <c r="G49" s="156">
        <f>$D$12*F821EVE!G28*$L49</f>
        <v>0</v>
      </c>
      <c r="H49" s="156">
        <f>$D$12*F821EVE!H28*$L49</f>
        <v>0</v>
      </c>
      <c r="I49" s="156">
        <f>$D$12*F821EVE!I28*$L49</f>
        <v>0</v>
      </c>
      <c r="J49" s="156">
        <f t="shared" si="8"/>
        <v>0</v>
      </c>
      <c r="K49" s="69"/>
      <c r="L49" s="319">
        <v>1</v>
      </c>
    </row>
    <row r="50" spans="2:12" s="37" customFormat="1" ht="15.75" customHeight="1">
      <c r="B50" s="48"/>
      <c r="C50" s="162" t="s">
        <v>628</v>
      </c>
      <c r="D50" s="156">
        <f>$D$12*F821EVE!D29*$L50</f>
        <v>0</v>
      </c>
      <c r="E50" s="156">
        <f>$D$12*F821EVE!E29*$L50</f>
        <v>0</v>
      </c>
      <c r="F50" s="156">
        <f>$D$12*F821EVE!F29*$L50</f>
        <v>0</v>
      </c>
      <c r="G50" s="156">
        <f>$D$12*F821EVE!G29*$L50</f>
        <v>0</v>
      </c>
      <c r="H50" s="156">
        <f>$D$12*F821EVE!H29*$L50</f>
        <v>0</v>
      </c>
      <c r="I50" s="156">
        <f>$D$12*F821EVE!I29*$L50</f>
        <v>0</v>
      </c>
      <c r="J50" s="156">
        <f t="shared" si="8"/>
        <v>0</v>
      </c>
      <c r="K50" s="69"/>
      <c r="L50" s="319">
        <v>0.75</v>
      </c>
    </row>
    <row r="51" spans="2:12" s="37" customFormat="1" ht="15.75" customHeight="1">
      <c r="B51" s="48"/>
      <c r="C51" s="161" t="s">
        <v>629</v>
      </c>
      <c r="D51" s="156">
        <f>$D$12*F821EVE!D30*$L51</f>
        <v>0</v>
      </c>
      <c r="E51" s="156">
        <f>$D$12*F821EVE!E30*$L51</f>
        <v>0</v>
      </c>
      <c r="F51" s="156">
        <f>$D$12*F821EVE!F30*$L51</f>
        <v>0</v>
      </c>
      <c r="G51" s="156">
        <f>$D$12*F821EVE!G30*$L51</f>
        <v>0</v>
      </c>
      <c r="H51" s="156">
        <f>$D$12*F821EVE!H30*$L51</f>
        <v>0</v>
      </c>
      <c r="I51" s="156">
        <f>$D$12*F821EVE!I30*$L51</f>
        <v>0</v>
      </c>
      <c r="J51" s="156">
        <f t="shared" si="8"/>
        <v>0</v>
      </c>
      <c r="K51" s="69"/>
      <c r="L51" s="319">
        <v>1</v>
      </c>
    </row>
    <row r="52" spans="2:12" s="37" customFormat="1" ht="15.75" customHeight="1">
      <c r="B52" s="48"/>
      <c r="C52" s="160" t="s">
        <v>305</v>
      </c>
      <c r="D52" s="156">
        <f>$D$12*F821EVE!D31*$L52</f>
        <v>0</v>
      </c>
      <c r="E52" s="156">
        <f>$D$12*F821EVE!E31*$L52</f>
        <v>0</v>
      </c>
      <c r="F52" s="156">
        <f>$D$12*F821EVE!F31*$L52</f>
        <v>0</v>
      </c>
      <c r="G52" s="156">
        <f>$D$12*F821EVE!G31*$L52</f>
        <v>0</v>
      </c>
      <c r="H52" s="156">
        <f>$D$12*F821EVE!H31*$L52</f>
        <v>0</v>
      </c>
      <c r="I52" s="156">
        <f>$D$12*F821EVE!I31*$L52</f>
        <v>0</v>
      </c>
      <c r="J52" s="156">
        <f t="shared" si="8"/>
        <v>0</v>
      </c>
      <c r="K52" s="69"/>
      <c r="L52" s="319">
        <v>0.95</v>
      </c>
    </row>
    <row r="53" spans="2:12" s="37" customFormat="1" ht="15.75" customHeight="1">
      <c r="B53" s="48"/>
      <c r="C53" s="160" t="s">
        <v>307</v>
      </c>
      <c r="D53" s="156">
        <f>$D$12*F821EVE!D32*$L53</f>
        <v>0</v>
      </c>
      <c r="E53" s="156">
        <f>$D$12*F821EVE!E32*$L53</f>
        <v>0</v>
      </c>
      <c r="F53" s="156">
        <f>$D$12*F821EVE!F32*$L53</f>
        <v>0</v>
      </c>
      <c r="G53" s="156">
        <f>$D$12*F821EVE!G32*$L53</f>
        <v>0</v>
      </c>
      <c r="H53" s="156">
        <f>$D$12*F821EVE!H32*$L53</f>
        <v>0</v>
      </c>
      <c r="I53" s="156">
        <f>$D$12*F821EVE!I32*$L53</f>
        <v>0</v>
      </c>
      <c r="J53" s="156">
        <f t="shared" si="8"/>
        <v>0</v>
      </c>
      <c r="K53" s="69"/>
      <c r="L53" s="319">
        <v>0.5</v>
      </c>
    </row>
    <row r="54" spans="2:12" s="37" customFormat="1" ht="15.75" customHeight="1">
      <c r="B54" s="48"/>
      <c r="C54" s="160" t="s">
        <v>624</v>
      </c>
      <c r="D54" s="156">
        <f>$D$12*F821EVE!D33*$L54</f>
        <v>0</v>
      </c>
      <c r="E54" s="156">
        <f>$D$12*F821EVE!E33*$L54</f>
        <v>0</v>
      </c>
      <c r="F54" s="156">
        <f>$D$12*F821EVE!F33*$L54</f>
        <v>0</v>
      </c>
      <c r="G54" s="156">
        <f>$D$12*F821EVE!G33*$L54</f>
        <v>0</v>
      </c>
      <c r="H54" s="156">
        <f>$D$12*F821EVE!H33*$L54</f>
        <v>0</v>
      </c>
      <c r="I54" s="156">
        <f>$D$12*F821EVE!I33*$L54</f>
        <v>0</v>
      </c>
      <c r="J54" s="156">
        <f t="shared" si="8"/>
        <v>0</v>
      </c>
      <c r="K54" s="69"/>
      <c r="L54" s="319">
        <v>0</v>
      </c>
    </row>
    <row r="55" spans="2:12" s="37" customFormat="1" ht="15.75" customHeight="1">
      <c r="B55" s="48" t="s">
        <v>274</v>
      </c>
      <c r="C55" s="158" t="s">
        <v>631</v>
      </c>
      <c r="D55" s="159">
        <f t="shared" ref="D55:I55" si="10">SUM(D56:D59)</f>
        <v>0</v>
      </c>
      <c r="E55" s="159">
        <f t="shared" si="10"/>
        <v>0</v>
      </c>
      <c r="F55" s="159">
        <f t="shared" si="10"/>
        <v>0</v>
      </c>
      <c r="G55" s="159">
        <f t="shared" si="10"/>
        <v>0</v>
      </c>
      <c r="H55" s="159">
        <f t="shared" si="10"/>
        <v>0</v>
      </c>
      <c r="I55" s="159">
        <f t="shared" si="10"/>
        <v>0</v>
      </c>
      <c r="J55" s="159">
        <f t="shared" si="8"/>
        <v>0</v>
      </c>
      <c r="K55" s="69"/>
      <c r="L55" s="341"/>
    </row>
    <row r="56" spans="2:12" s="37" customFormat="1" ht="15.75" customHeight="1">
      <c r="B56" s="48"/>
      <c r="C56" s="160" t="s">
        <v>304</v>
      </c>
      <c r="D56" s="156">
        <f>$D$12*F821EVE!D35*$L56</f>
        <v>0</v>
      </c>
      <c r="E56" s="156">
        <f>$D$12*F821EVE!E35*$L56</f>
        <v>0</v>
      </c>
      <c r="F56" s="156">
        <f>$D$12*F821EVE!F35*$L56</f>
        <v>0</v>
      </c>
      <c r="G56" s="156">
        <f>$D$12*F821EVE!G35*$L56</f>
        <v>0</v>
      </c>
      <c r="H56" s="156">
        <f>$D$12*F821EVE!H35*$L56</f>
        <v>0</v>
      </c>
      <c r="I56" s="156">
        <f>$D$12*F821EVE!I35*$L56</f>
        <v>0</v>
      </c>
      <c r="J56" s="156">
        <f t="shared" si="8"/>
        <v>0</v>
      </c>
      <c r="K56" s="69"/>
      <c r="L56" s="319">
        <v>1</v>
      </c>
    </row>
    <row r="57" spans="2:12" s="37" customFormat="1" ht="15.75" customHeight="1">
      <c r="B57" s="48"/>
      <c r="C57" s="161" t="s">
        <v>306</v>
      </c>
      <c r="D57" s="156">
        <f>$D$12*F821EVE!D36*$L57</f>
        <v>0</v>
      </c>
      <c r="E57" s="156">
        <f>$D$12*F821EVE!E36*$L57</f>
        <v>0</v>
      </c>
      <c r="F57" s="156">
        <f>$D$12*F821EVE!F36*$L57</f>
        <v>0</v>
      </c>
      <c r="G57" s="156">
        <f>$D$12*F821EVE!G36*$L57</f>
        <v>0</v>
      </c>
      <c r="H57" s="156">
        <f>$D$12*F821EVE!H36*$L57</f>
        <v>0</v>
      </c>
      <c r="I57" s="156">
        <f>$D$12*F821EVE!I36*$L57</f>
        <v>0</v>
      </c>
      <c r="J57" s="156">
        <f t="shared" si="8"/>
        <v>0</v>
      </c>
      <c r="K57" s="69"/>
      <c r="L57" s="319">
        <v>1</v>
      </c>
    </row>
    <row r="58" spans="2:12" s="37" customFormat="1" ht="15.75" customHeight="1">
      <c r="B58" s="48"/>
      <c r="C58" s="160" t="s">
        <v>305</v>
      </c>
      <c r="D58" s="156">
        <f>$D$12*F821EVE!D37*$L58</f>
        <v>0</v>
      </c>
      <c r="E58" s="156">
        <f>$D$12*F821EVE!E37*$L58</f>
        <v>0</v>
      </c>
      <c r="F58" s="156">
        <f>$D$12*F821EVE!F37*$L58</f>
        <v>0</v>
      </c>
      <c r="G58" s="156">
        <f>$D$12*F821EVE!G37*$L58</f>
        <v>0</v>
      </c>
      <c r="H58" s="156">
        <f>$D$12*F821EVE!H37*$L58</f>
        <v>0</v>
      </c>
      <c r="I58" s="156">
        <f>$D$12*F821EVE!I37*$L58</f>
        <v>0</v>
      </c>
      <c r="J58" s="156">
        <f t="shared" si="8"/>
        <v>0</v>
      </c>
      <c r="K58" s="69"/>
      <c r="L58" s="319">
        <v>0.95</v>
      </c>
    </row>
    <row r="59" spans="2:12" s="37" customFormat="1" ht="15.75" customHeight="1">
      <c r="B59" s="48"/>
      <c r="C59" s="160" t="s">
        <v>307</v>
      </c>
      <c r="D59" s="156">
        <f>$D$12*F821EVE!D38*$L59</f>
        <v>0</v>
      </c>
      <c r="E59" s="156">
        <f>$D$12*F821EVE!E38*$L59</f>
        <v>0</v>
      </c>
      <c r="F59" s="156">
        <f>$D$12*F821EVE!F38*$L59</f>
        <v>0</v>
      </c>
      <c r="G59" s="156">
        <f>$D$12*F821EVE!G38*$L59</f>
        <v>0</v>
      </c>
      <c r="H59" s="156">
        <f>$D$12*F821EVE!H38*$L59</f>
        <v>0</v>
      </c>
      <c r="I59" s="156">
        <f>$D$12*F821EVE!I38*$L59</f>
        <v>0</v>
      </c>
      <c r="J59" s="156">
        <f t="shared" si="8"/>
        <v>0</v>
      </c>
      <c r="K59" s="69"/>
      <c r="L59" s="319">
        <v>0.5</v>
      </c>
    </row>
    <row r="60" spans="2:12" s="37" customFormat="1" ht="15.75" customHeight="1">
      <c r="B60" s="48" t="s">
        <v>274</v>
      </c>
      <c r="C60" s="158" t="s">
        <v>632</v>
      </c>
      <c r="D60" s="159">
        <f t="shared" ref="D60:I60" si="11">SUM(D61:D64)</f>
        <v>0</v>
      </c>
      <c r="E60" s="159">
        <f t="shared" si="11"/>
        <v>0</v>
      </c>
      <c r="F60" s="159">
        <f t="shared" si="11"/>
        <v>0</v>
      </c>
      <c r="G60" s="159">
        <f t="shared" si="11"/>
        <v>0</v>
      </c>
      <c r="H60" s="159">
        <f t="shared" si="11"/>
        <v>0</v>
      </c>
      <c r="I60" s="159">
        <f t="shared" si="11"/>
        <v>0</v>
      </c>
      <c r="J60" s="159">
        <f t="shared" si="8"/>
        <v>0</v>
      </c>
      <c r="K60" s="69"/>
      <c r="L60" s="319"/>
    </row>
    <row r="61" spans="2:12" s="37" customFormat="1" ht="15.75" customHeight="1">
      <c r="B61" s="48"/>
      <c r="C61" s="160" t="s">
        <v>304</v>
      </c>
      <c r="D61" s="156">
        <f>$D$12*F821EVE!D40*$L61</f>
        <v>0</v>
      </c>
      <c r="E61" s="156">
        <f>$D$12*F821EVE!E40*$L61</f>
        <v>0</v>
      </c>
      <c r="F61" s="156">
        <f>$D$12*F821EVE!F40*$L61</f>
        <v>0</v>
      </c>
      <c r="G61" s="156">
        <f>$D$12*F821EVE!G40*$L61</f>
        <v>0</v>
      </c>
      <c r="H61" s="156">
        <f>$D$12*F821EVE!H40*$L61</f>
        <v>0</v>
      </c>
      <c r="I61" s="156">
        <f>$D$12*F821EVE!I40*$L61</f>
        <v>0</v>
      </c>
      <c r="J61" s="156">
        <f t="shared" si="8"/>
        <v>0</v>
      </c>
      <c r="K61" s="69"/>
      <c r="L61" s="319">
        <v>1</v>
      </c>
    </row>
    <row r="62" spans="2:12" s="37" customFormat="1" ht="15.75" customHeight="1">
      <c r="B62" s="48"/>
      <c r="C62" s="161" t="s">
        <v>306</v>
      </c>
      <c r="D62" s="156">
        <f>$D$12*F821EVE!D41*$L62</f>
        <v>0</v>
      </c>
      <c r="E62" s="156">
        <f>$D$12*F821EVE!E41*$L62</f>
        <v>0</v>
      </c>
      <c r="F62" s="156">
        <f>$D$12*F821EVE!F41*$L62</f>
        <v>0</v>
      </c>
      <c r="G62" s="156">
        <f>$D$12*F821EVE!G41*$L62</f>
        <v>0</v>
      </c>
      <c r="H62" s="156">
        <f>$D$12*F821EVE!H41*$L62</f>
        <v>0</v>
      </c>
      <c r="I62" s="156">
        <f>$D$12*F821EVE!I41*$L62</f>
        <v>0</v>
      </c>
      <c r="J62" s="156">
        <f t="shared" si="8"/>
        <v>0</v>
      </c>
      <c r="K62" s="69"/>
      <c r="L62" s="319">
        <v>1</v>
      </c>
    </row>
    <row r="63" spans="2:12" s="37" customFormat="1" ht="15.75" customHeight="1">
      <c r="B63" s="48"/>
      <c r="C63" s="160" t="s">
        <v>305</v>
      </c>
      <c r="D63" s="156">
        <f>$D$12*F821EVE!D42*$L63</f>
        <v>0</v>
      </c>
      <c r="E63" s="156">
        <f>$D$12*F821EVE!E42*$L63</f>
        <v>0</v>
      </c>
      <c r="F63" s="156">
        <f>$D$12*F821EVE!F42*$L63</f>
        <v>0</v>
      </c>
      <c r="G63" s="156">
        <f>$D$12*F821EVE!G42*$L63</f>
        <v>0</v>
      </c>
      <c r="H63" s="156">
        <f>$D$12*F821EVE!H42*$L63</f>
        <v>0</v>
      </c>
      <c r="I63" s="156">
        <f>$D$12*F821EVE!I42*$L63</f>
        <v>0</v>
      </c>
      <c r="J63" s="156">
        <f t="shared" si="8"/>
        <v>0</v>
      </c>
      <c r="K63" s="69"/>
      <c r="L63" s="319">
        <v>0.95</v>
      </c>
    </row>
    <row r="64" spans="2:12" s="37" customFormat="1" ht="15.75" customHeight="1">
      <c r="B64" s="48"/>
      <c r="C64" s="160" t="s">
        <v>307</v>
      </c>
      <c r="D64" s="156">
        <f>$D$12*F821EVE!D43*$L64</f>
        <v>0</v>
      </c>
      <c r="E64" s="156">
        <f>$D$12*F821EVE!E43*$L64</f>
        <v>0</v>
      </c>
      <c r="F64" s="156">
        <f>$D$12*F821EVE!F43*$L64</f>
        <v>0</v>
      </c>
      <c r="G64" s="156">
        <f>$D$12*F821EVE!G43*$L64</f>
        <v>0</v>
      </c>
      <c r="H64" s="156">
        <f>$D$12*F821EVE!H43*$L64</f>
        <v>0</v>
      </c>
      <c r="I64" s="156">
        <f>$D$12*F821EVE!I43*$L64</f>
        <v>0</v>
      </c>
      <c r="J64" s="156">
        <f t="shared" si="8"/>
        <v>0</v>
      </c>
      <c r="K64" s="69"/>
      <c r="L64" s="319">
        <v>0.5</v>
      </c>
    </row>
    <row r="65" spans="2:12" s="37" customFormat="1" ht="15.75" customHeight="1">
      <c r="B65" s="48" t="s">
        <v>274</v>
      </c>
      <c r="C65" s="158" t="s">
        <v>633</v>
      </c>
      <c r="D65" s="159">
        <f t="shared" ref="D65:I65" si="12">SUM(D66:D69)</f>
        <v>0</v>
      </c>
      <c r="E65" s="159">
        <f t="shared" si="12"/>
        <v>0</v>
      </c>
      <c r="F65" s="159">
        <f t="shared" si="12"/>
        <v>0</v>
      </c>
      <c r="G65" s="159">
        <f t="shared" si="12"/>
        <v>0</v>
      </c>
      <c r="H65" s="159">
        <f t="shared" si="12"/>
        <v>0</v>
      </c>
      <c r="I65" s="159">
        <f t="shared" si="12"/>
        <v>0</v>
      </c>
      <c r="J65" s="159">
        <f t="shared" si="8"/>
        <v>0</v>
      </c>
      <c r="K65" s="69"/>
      <c r="L65" s="341"/>
    </row>
    <row r="66" spans="2:12" s="37" customFormat="1" ht="15.75" customHeight="1">
      <c r="B66" s="48"/>
      <c r="C66" s="160" t="s">
        <v>304</v>
      </c>
      <c r="D66" s="156">
        <f>$D$12*F821EVE!D45*$L66</f>
        <v>0</v>
      </c>
      <c r="E66" s="156">
        <f>$D$12*F821EVE!E45*$L66</f>
        <v>0</v>
      </c>
      <c r="F66" s="156">
        <f>$D$12*F821EVE!F45*$L66</f>
        <v>0</v>
      </c>
      <c r="G66" s="156">
        <f>$D$12*F821EVE!G45*$L66</f>
        <v>0</v>
      </c>
      <c r="H66" s="156">
        <f>$D$12*F821EVE!H45*$L66</f>
        <v>0</v>
      </c>
      <c r="I66" s="156">
        <f>$D$12*F821EVE!I45*$L66</f>
        <v>0</v>
      </c>
      <c r="J66" s="156">
        <f t="shared" si="8"/>
        <v>0</v>
      </c>
      <c r="K66" s="69"/>
      <c r="L66" s="319">
        <v>1</v>
      </c>
    </row>
    <row r="67" spans="2:12" s="37" customFormat="1" ht="15.75" customHeight="1">
      <c r="B67" s="48"/>
      <c r="C67" s="161" t="s">
        <v>306</v>
      </c>
      <c r="D67" s="156">
        <f>$D$12*F821EVE!D46*$L67</f>
        <v>0</v>
      </c>
      <c r="E67" s="156">
        <f>$D$12*F821EVE!E46*$L67</f>
        <v>0</v>
      </c>
      <c r="F67" s="156">
        <f>$D$12*F821EVE!F46*$L67</f>
        <v>0</v>
      </c>
      <c r="G67" s="156">
        <f>$D$12*F821EVE!G46*$L67</f>
        <v>0</v>
      </c>
      <c r="H67" s="156">
        <f>$D$12*F821EVE!H46*$L67</f>
        <v>0</v>
      </c>
      <c r="I67" s="156">
        <f>$D$12*F821EVE!I46*$L67</f>
        <v>0</v>
      </c>
      <c r="J67" s="156">
        <f t="shared" si="8"/>
        <v>0</v>
      </c>
      <c r="K67" s="69"/>
      <c r="L67" s="319">
        <v>1</v>
      </c>
    </row>
    <row r="68" spans="2:12" s="37" customFormat="1" ht="15.75" customHeight="1">
      <c r="B68" s="48"/>
      <c r="C68" s="160" t="s">
        <v>305</v>
      </c>
      <c r="D68" s="156">
        <f>$D$12*F821EVE!D47*$L68</f>
        <v>0</v>
      </c>
      <c r="E68" s="156">
        <f>$D$12*F821EVE!E47*$L68</f>
        <v>0</v>
      </c>
      <c r="F68" s="156">
        <f>$D$12*F821EVE!F47*$L68</f>
        <v>0</v>
      </c>
      <c r="G68" s="156">
        <f>$D$12*F821EVE!G47*$L68</f>
        <v>0</v>
      </c>
      <c r="H68" s="156">
        <f>$D$12*F821EVE!H47*$L68</f>
        <v>0</v>
      </c>
      <c r="I68" s="156">
        <f>$D$12*F821EVE!I47*$L68</f>
        <v>0</v>
      </c>
      <c r="J68" s="156">
        <f t="shared" si="8"/>
        <v>0</v>
      </c>
      <c r="K68" s="69"/>
      <c r="L68" s="319">
        <v>0.95</v>
      </c>
    </row>
    <row r="69" spans="2:12" s="37" customFormat="1" ht="15.75" customHeight="1">
      <c r="B69" s="48"/>
      <c r="C69" s="160" t="s">
        <v>307</v>
      </c>
      <c r="D69" s="156">
        <f>$D$12*F821EVE!D48*$L69</f>
        <v>0</v>
      </c>
      <c r="E69" s="156">
        <f>$D$12*F821EVE!E48*$L69</f>
        <v>0</v>
      </c>
      <c r="F69" s="156">
        <f>$D$12*F821EVE!F48*$L69</f>
        <v>0</v>
      </c>
      <c r="G69" s="156">
        <f>$D$12*F821EVE!G48*$L69</f>
        <v>0</v>
      </c>
      <c r="H69" s="156">
        <f>$D$12*F821EVE!H48*$L69</f>
        <v>0</v>
      </c>
      <c r="I69" s="156">
        <f>$D$12*F821EVE!I48*$L69</f>
        <v>0</v>
      </c>
      <c r="J69" s="156">
        <f t="shared" si="8"/>
        <v>0</v>
      </c>
      <c r="K69" s="69"/>
      <c r="L69" s="319">
        <v>0.5</v>
      </c>
    </row>
    <row r="70" spans="2:12" s="37" customFormat="1" ht="15.75">
      <c r="B70" s="48"/>
      <c r="C70" s="157"/>
      <c r="D70" s="156"/>
      <c r="E70" s="156"/>
      <c r="F70" s="156"/>
      <c r="G70" s="156"/>
      <c r="H70" s="156"/>
      <c r="I70" s="156"/>
      <c r="J70" s="156"/>
      <c r="K70" s="69"/>
      <c r="L70" s="341"/>
    </row>
    <row r="71" spans="2:12" s="37" customFormat="1" ht="15.75">
      <c r="B71" s="48" t="s">
        <v>1176</v>
      </c>
      <c r="C71" s="158" t="str">
        <f>F821EVE!$C$50</f>
        <v>BTSH</v>
      </c>
      <c r="D71" s="154">
        <f>SUM(D72:D77)</f>
        <v>0</v>
      </c>
      <c r="E71" s="154">
        <f t="shared" ref="E71:J71" si="13">SUM(E72:E77)</f>
        <v>0</v>
      </c>
      <c r="F71" s="154">
        <f t="shared" si="13"/>
        <v>0</v>
      </c>
      <c r="G71" s="154">
        <f t="shared" si="13"/>
        <v>0</v>
      </c>
      <c r="H71" s="154">
        <f t="shared" si="13"/>
        <v>0</v>
      </c>
      <c r="I71" s="154">
        <f t="shared" si="13"/>
        <v>0</v>
      </c>
      <c r="J71" s="154">
        <f t="shared" si="13"/>
        <v>0</v>
      </c>
      <c r="K71" s="69"/>
      <c r="L71" s="341"/>
    </row>
    <row r="72" spans="2:12" s="37" customFormat="1" ht="15.75">
      <c r="B72" s="48"/>
      <c r="C72" s="160" t="str">
        <f>F821EVE!$C$51</f>
        <v xml:space="preserve">    - Regulares</v>
      </c>
      <c r="D72" s="156">
        <f>$D$13*(F821EVE!D51-10*F801C!D51)*1</f>
        <v>0</v>
      </c>
      <c r="E72" s="156">
        <f>$D$13*(F821EVE!E51-10*F801C!E51)*1</f>
        <v>0</v>
      </c>
      <c r="F72" s="156">
        <f>$D$13*(F821EVE!F51-10*F801C!F51)*1</f>
        <v>0</v>
      </c>
      <c r="G72" s="156">
        <f>$D$13*(F821EVE!G51-10*F801C!G51)*1</f>
        <v>0</v>
      </c>
      <c r="H72" s="156">
        <f>$D$13*(F821EVE!H51-10*F801C!H51)*1</f>
        <v>0</v>
      </c>
      <c r="I72" s="156">
        <f>$D$13*(F821EVE!I51-10*F801C!I51)*1</f>
        <v>0</v>
      </c>
      <c r="J72" s="156">
        <f t="shared" ref="J72:J77" si="14">SUM(D72:I72)</f>
        <v>0</v>
      </c>
      <c r="K72" s="69"/>
      <c r="L72" s="319">
        <v>1</v>
      </c>
    </row>
    <row r="73" spans="2:12" s="37" customFormat="1" ht="15.75">
      <c r="B73" s="48"/>
      <c r="C73" s="162" t="str">
        <f>F821EVE!$C$52</f>
        <v xml:space="preserve">    - Jubilados (0 a 600 KWh)</v>
      </c>
      <c r="D73" s="156">
        <f>$D$13*(F821EVE!D52-10*F801C!D52)*0.75</f>
        <v>0</v>
      </c>
      <c r="E73" s="156">
        <f>$D$13*(F821EVE!E52-10*F801C!E52)*0.75</f>
        <v>0</v>
      </c>
      <c r="F73" s="156">
        <f>$D$13*(F821EVE!F52-10*F801C!F52)*0.75</f>
        <v>0</v>
      </c>
      <c r="G73" s="156">
        <f>$D$13*(F821EVE!G52-10*F801C!G52)*0.75</f>
        <v>0</v>
      </c>
      <c r="H73" s="156">
        <f>$D$13*(F821EVE!H52-10*F801C!H52)*0.75</f>
        <v>0</v>
      </c>
      <c r="I73" s="156">
        <f>$D$13*(F821EVE!I52-10*F801C!I52)*0.75</f>
        <v>0</v>
      </c>
      <c r="J73" s="156">
        <f t="shared" si="14"/>
        <v>0</v>
      </c>
      <c r="K73" s="69"/>
      <c r="L73" s="319">
        <v>0.75</v>
      </c>
    </row>
    <row r="74" spans="2:12" s="37" customFormat="1" ht="15.75">
      <c r="B74" s="48"/>
      <c r="C74" s="162" t="str">
        <f>F821EVE!$C$53</f>
        <v xml:space="preserve">    - Jubilados (601 y Más KWh)</v>
      </c>
      <c r="D74" s="156">
        <f>$D$13*(F821EVE!D53-10*F801C!D53)*1</f>
        <v>0</v>
      </c>
      <c r="E74" s="156">
        <f>$D$13*(F821EVE!E53-10*F801C!E53)*1</f>
        <v>0</v>
      </c>
      <c r="F74" s="156">
        <f>$D$13*(F821EVE!F53-10*F801C!F53)*1</f>
        <v>0</v>
      </c>
      <c r="G74" s="156">
        <f>$D$13*(F821EVE!G53-10*F801C!G53)*1</f>
        <v>0</v>
      </c>
      <c r="H74" s="156">
        <f>$D$13*(F821EVE!H53-10*F801C!H53)*1</f>
        <v>0</v>
      </c>
      <c r="I74" s="156">
        <f>$D$13*(F821EVE!I53-10*F801C!I53)*1</f>
        <v>0</v>
      </c>
      <c r="J74" s="156">
        <f t="shared" si="14"/>
        <v>0</v>
      </c>
      <c r="K74" s="69"/>
      <c r="L74" s="319">
        <v>1</v>
      </c>
    </row>
    <row r="75" spans="2:12" s="37" customFormat="1" ht="15.75">
      <c r="B75" s="48"/>
      <c r="C75" s="160" t="str">
        <f>F821EVE!$C$54</f>
        <v xml:space="preserve">    - Agropecuarios</v>
      </c>
      <c r="D75" s="156">
        <f>$D$13*(F821EVE!D54-10*F801C!D54)*0.95</f>
        <v>0</v>
      </c>
      <c r="E75" s="156">
        <f>$D$13*(F821EVE!E54-10*F801C!E54)*0.95</f>
        <v>0</v>
      </c>
      <c r="F75" s="156">
        <f>$D$13*(F821EVE!F54-10*F801C!F54)*0.95</f>
        <v>0</v>
      </c>
      <c r="G75" s="156">
        <f>$D$13*(F821EVE!G54-10*F801C!G54)*0.95</f>
        <v>0</v>
      </c>
      <c r="H75" s="156">
        <f>$D$13*(F821EVE!H54-10*F801C!H54)*0.95</f>
        <v>0</v>
      </c>
      <c r="I75" s="156">
        <f>$D$13*(F821EVE!I54-10*F801C!I54)*0.95</f>
        <v>0</v>
      </c>
      <c r="J75" s="156">
        <f t="shared" si="14"/>
        <v>0</v>
      </c>
      <c r="K75" s="69"/>
      <c r="L75" s="319">
        <v>0.95</v>
      </c>
    </row>
    <row r="76" spans="2:12" s="37" customFormat="1" ht="15.75">
      <c r="B76" s="48"/>
      <c r="C76" s="160" t="str">
        <f>F821EVE!$C$55</f>
        <v xml:space="preserve">    - Partidos Políticos</v>
      </c>
      <c r="D76" s="156">
        <f>$D$13*(F821EVE!D55-10*F801C!D55)*0.5</f>
        <v>0</v>
      </c>
      <c r="E76" s="156">
        <f>$D$13*(F821EVE!E55-10*F801C!E55)*0.5</f>
        <v>0</v>
      </c>
      <c r="F76" s="156">
        <f>$D$13*(F821EVE!F55-10*F801C!F55)*0.5</f>
        <v>0</v>
      </c>
      <c r="G76" s="156">
        <f>$D$13*(F821EVE!G55-10*F801C!G55)*0.5</f>
        <v>0</v>
      </c>
      <c r="H76" s="156">
        <f>$D$13*(F821EVE!H55-10*F801C!H55)*0.5</f>
        <v>0</v>
      </c>
      <c r="I76" s="156">
        <f>$D$13*(F821EVE!I55-10*F801C!I55)*0.5</f>
        <v>0</v>
      </c>
      <c r="J76" s="156">
        <f t="shared" si="14"/>
        <v>0</v>
      </c>
      <c r="K76" s="69"/>
      <c r="L76" s="319">
        <v>0.5</v>
      </c>
    </row>
    <row r="77" spans="2:12" s="37" customFormat="1" ht="15.75">
      <c r="B77" s="48"/>
      <c r="C77" s="160" t="str">
        <f>F821EVE!$C$56</f>
        <v xml:space="preserve">    - Cruz Roja</v>
      </c>
      <c r="D77" s="156">
        <f>$D$13*(F821EVE!D56-10*F801C!D56)*0</f>
        <v>0</v>
      </c>
      <c r="E77" s="156">
        <f>$D$13*(F821EVE!E56-10*F801C!E56)*0</f>
        <v>0</v>
      </c>
      <c r="F77" s="156">
        <f>$D$13*(F821EVE!F56-10*F801C!F56)*0</f>
        <v>0</v>
      </c>
      <c r="G77" s="156">
        <f>$D$13*(F821EVE!G56-10*F801C!G56)*0</f>
        <v>0</v>
      </c>
      <c r="H77" s="156">
        <f>$D$13*(F821EVE!H56-10*F801C!H56)*0</f>
        <v>0</v>
      </c>
      <c r="I77" s="156">
        <f>$D$13*(F821EVE!I56-10*F801C!I56)*0</f>
        <v>0</v>
      </c>
      <c r="J77" s="156">
        <f t="shared" si="14"/>
        <v>0</v>
      </c>
      <c r="K77" s="69"/>
      <c r="L77" s="319">
        <v>0</v>
      </c>
    </row>
    <row r="78" spans="2:12" s="37" customFormat="1" ht="15.75">
      <c r="B78" s="48" t="s">
        <v>751</v>
      </c>
      <c r="C78" s="158" t="s">
        <v>634</v>
      </c>
      <c r="D78" s="159">
        <f t="shared" ref="D78" si="15">SUM(D79:D83)</f>
        <v>0</v>
      </c>
      <c r="E78" s="159">
        <f t="shared" ref="E78:I78" si="16">SUM(E79:E83)</f>
        <v>0</v>
      </c>
      <c r="F78" s="159">
        <f t="shared" si="16"/>
        <v>0</v>
      </c>
      <c r="G78" s="159">
        <f t="shared" si="16"/>
        <v>0</v>
      </c>
      <c r="H78" s="159">
        <f t="shared" si="16"/>
        <v>0</v>
      </c>
      <c r="I78" s="159">
        <f t="shared" si="16"/>
        <v>0</v>
      </c>
      <c r="J78" s="159">
        <f>SUM(D78:I78)</f>
        <v>0</v>
      </c>
      <c r="K78" s="69"/>
      <c r="L78" s="351"/>
    </row>
    <row r="79" spans="2:12" s="37" customFormat="1" ht="15.75">
      <c r="B79" s="48"/>
      <c r="C79" s="160" t="s">
        <v>304</v>
      </c>
      <c r="D79" s="156">
        <f>$D$13*(F821EVE!D66)*$L79</f>
        <v>0</v>
      </c>
      <c r="E79" s="156">
        <f>$D$13*(F821EVE!E66)*$L79</f>
        <v>0</v>
      </c>
      <c r="F79" s="156">
        <f>$D$13*(F821EVE!F66)*$L79</f>
        <v>0</v>
      </c>
      <c r="G79" s="156">
        <f>$D$13*(F821EVE!G66)*$L79</f>
        <v>0</v>
      </c>
      <c r="H79" s="156">
        <f>$D$13*(F821EVE!H66)*$L79</f>
        <v>0</v>
      </c>
      <c r="I79" s="156">
        <f>$D$13*(F821EVE!I66)*$L79</f>
        <v>0</v>
      </c>
      <c r="J79" s="156">
        <f t="shared" ref="J79:J97" si="17">SUM(D79:I79)</f>
        <v>0</v>
      </c>
      <c r="K79" s="69"/>
      <c r="L79" s="319">
        <v>1</v>
      </c>
    </row>
    <row r="80" spans="2:12" s="37" customFormat="1" ht="15.75">
      <c r="B80" s="48"/>
      <c r="C80" s="162" t="s">
        <v>644</v>
      </c>
      <c r="D80" s="156">
        <f>$D$13*(F821EVE!D67)*$L80</f>
        <v>0</v>
      </c>
      <c r="E80" s="156">
        <f>$D$13*(F821EVE!E67)*$L80</f>
        <v>0</v>
      </c>
      <c r="F80" s="156">
        <f>$D$13*(F821EVE!F67)*$L80</f>
        <v>0</v>
      </c>
      <c r="G80" s="156">
        <f>$D$13*(F821EVE!G67)*$L80</f>
        <v>0</v>
      </c>
      <c r="H80" s="156">
        <f>$D$13*(F821EVE!H67)*$L80</f>
        <v>0</v>
      </c>
      <c r="I80" s="156">
        <f>$D$13*(F821EVE!I67)*$L80</f>
        <v>0</v>
      </c>
      <c r="J80" s="156">
        <f t="shared" si="17"/>
        <v>0</v>
      </c>
      <c r="K80" s="69"/>
      <c r="L80" s="319">
        <v>0.75</v>
      </c>
    </row>
    <row r="81" spans="2:12" s="37" customFormat="1" ht="15.75">
      <c r="B81" s="48"/>
      <c r="C81" s="160" t="s">
        <v>305</v>
      </c>
      <c r="D81" s="156">
        <f>$D$13*(F821EVE!D68)*$L81</f>
        <v>0</v>
      </c>
      <c r="E81" s="156">
        <f>$D$13*(F821EVE!E68)*$L81</f>
        <v>0</v>
      </c>
      <c r="F81" s="156">
        <f>$D$13*(F821EVE!F68)*$L81</f>
        <v>0</v>
      </c>
      <c r="G81" s="156">
        <f>$D$13*(F821EVE!G68)*$L81</f>
        <v>0</v>
      </c>
      <c r="H81" s="156">
        <f>$D$13*(F821EVE!H68)*$L81</f>
        <v>0</v>
      </c>
      <c r="I81" s="156">
        <f>$D$13*(F821EVE!I68)*$L81</f>
        <v>0</v>
      </c>
      <c r="J81" s="156">
        <f t="shared" si="17"/>
        <v>0</v>
      </c>
      <c r="K81" s="69"/>
      <c r="L81" s="319">
        <v>0.95</v>
      </c>
    </row>
    <row r="82" spans="2:12" s="37" customFormat="1" ht="15.75">
      <c r="B82" s="48"/>
      <c r="C82" s="160" t="s">
        <v>307</v>
      </c>
      <c r="D82" s="156">
        <f>$D$13*(F821EVE!D69)*$L82</f>
        <v>0</v>
      </c>
      <c r="E82" s="156">
        <f>$D$13*(F821EVE!E69)*$L82</f>
        <v>0</v>
      </c>
      <c r="F82" s="156">
        <f>$D$13*(F821EVE!F69)*$L82</f>
        <v>0</v>
      </c>
      <c r="G82" s="156">
        <f>$D$13*(F821EVE!G69)*$L82</f>
        <v>0</v>
      </c>
      <c r="H82" s="156">
        <f>$D$13*(F821EVE!H69)*$L82</f>
        <v>0</v>
      </c>
      <c r="I82" s="156">
        <f>$D$13*(F821EVE!I69)*$L82</f>
        <v>0</v>
      </c>
      <c r="J82" s="156">
        <f t="shared" si="17"/>
        <v>0</v>
      </c>
      <c r="K82" s="69"/>
      <c r="L82" s="319">
        <v>0.5</v>
      </c>
    </row>
    <row r="83" spans="2:12" s="37" customFormat="1" ht="15.75">
      <c r="B83" s="48"/>
      <c r="C83" s="160" t="s">
        <v>624</v>
      </c>
      <c r="D83" s="156">
        <f>$D$13*(F821EVE!D70)*$L83</f>
        <v>0</v>
      </c>
      <c r="E83" s="156">
        <f>$D$13*(F821EVE!E70)*$L83</f>
        <v>0</v>
      </c>
      <c r="F83" s="156">
        <f>$D$13*(F821EVE!F70)*$L83</f>
        <v>0</v>
      </c>
      <c r="G83" s="156">
        <f>$D$13*(F821EVE!G70)*$L83</f>
        <v>0</v>
      </c>
      <c r="H83" s="156">
        <f>$D$13*(F821EVE!H70)*$L83</f>
        <v>0</v>
      </c>
      <c r="I83" s="156">
        <f>$D$13*(F821EVE!I70)*$L83</f>
        <v>0</v>
      </c>
      <c r="J83" s="156">
        <f t="shared" si="17"/>
        <v>0</v>
      </c>
      <c r="K83" s="69"/>
      <c r="L83" s="319">
        <v>0</v>
      </c>
    </row>
    <row r="84" spans="2:12" s="37" customFormat="1" ht="15.75">
      <c r="B84" s="48" t="s">
        <v>750</v>
      </c>
      <c r="C84" s="158" t="s">
        <v>635</v>
      </c>
      <c r="D84" s="159">
        <f t="shared" ref="D84" si="18">SUM(D85:D90)</f>
        <v>0</v>
      </c>
      <c r="E84" s="159">
        <f t="shared" ref="E84:I84" si="19">SUM(E85:E90)</f>
        <v>0</v>
      </c>
      <c r="F84" s="159">
        <f t="shared" si="19"/>
        <v>0</v>
      </c>
      <c r="G84" s="159">
        <f t="shared" si="19"/>
        <v>0</v>
      </c>
      <c r="H84" s="159">
        <f t="shared" si="19"/>
        <v>0</v>
      </c>
      <c r="I84" s="159">
        <f t="shared" si="19"/>
        <v>0</v>
      </c>
      <c r="J84" s="159">
        <f>SUM(D84:I84)</f>
        <v>0</v>
      </c>
      <c r="K84" s="69"/>
      <c r="L84" s="319"/>
    </row>
    <row r="85" spans="2:12" s="37" customFormat="1" ht="15.75">
      <c r="B85" s="48"/>
      <c r="C85" s="160" t="s">
        <v>304</v>
      </c>
      <c r="D85" s="156">
        <f>$D$13*(F821EVE!D72)*$L85</f>
        <v>0</v>
      </c>
      <c r="E85" s="156">
        <f>$D$13*(F821EVE!E72)*$L85</f>
        <v>0</v>
      </c>
      <c r="F85" s="156">
        <f>$D$13*(F821EVE!F72)*$L85</f>
        <v>0</v>
      </c>
      <c r="G85" s="156">
        <f>$D$13*(F821EVE!G72)*$L85</f>
        <v>0</v>
      </c>
      <c r="H85" s="156">
        <f>$D$13*(F821EVE!H72)*$L85</f>
        <v>0</v>
      </c>
      <c r="I85" s="156">
        <f>$D$13*(F821EVE!I72)*$L85</f>
        <v>0</v>
      </c>
      <c r="J85" s="156">
        <f t="shared" si="17"/>
        <v>0</v>
      </c>
      <c r="K85" s="69"/>
      <c r="L85" s="319">
        <v>1</v>
      </c>
    </row>
    <row r="86" spans="2:12" s="37" customFormat="1" ht="15.75">
      <c r="B86" s="48"/>
      <c r="C86" s="162" t="s">
        <v>642</v>
      </c>
      <c r="D86" s="156">
        <f>$D$13*(F821EVE!D73)*$L86</f>
        <v>0</v>
      </c>
      <c r="E86" s="156">
        <f>$D$13*(F821EVE!E73)*$L86</f>
        <v>0</v>
      </c>
      <c r="F86" s="156">
        <f>$D$13*(F821EVE!F73)*$L86</f>
        <v>0</v>
      </c>
      <c r="G86" s="156">
        <f>$D$13*(F821EVE!G73)*$L86</f>
        <v>0</v>
      </c>
      <c r="H86" s="156">
        <f>$D$13*(F821EVE!H73)*$L86</f>
        <v>0</v>
      </c>
      <c r="I86" s="156">
        <f>$D$13*(F821EVE!I73)*$L86</f>
        <v>0</v>
      </c>
      <c r="J86" s="156">
        <f t="shared" si="17"/>
        <v>0</v>
      </c>
      <c r="K86" s="69"/>
      <c r="L86" s="319">
        <v>0.75</v>
      </c>
    </row>
    <row r="87" spans="2:12" s="37" customFormat="1" ht="15.75">
      <c r="B87" s="48"/>
      <c r="C87" s="162" t="s">
        <v>1177</v>
      </c>
      <c r="D87" s="156">
        <f>$D$13*(F821EVE!D74)*$L87</f>
        <v>0</v>
      </c>
      <c r="E87" s="156">
        <f>$D$13*(F821EVE!E74)*$L87</f>
        <v>0</v>
      </c>
      <c r="F87" s="156">
        <f>$D$13*(F821EVE!F74)*$L87</f>
        <v>0</v>
      </c>
      <c r="G87" s="156">
        <f>$D$13*(F821EVE!G74)*$L87</f>
        <v>0</v>
      </c>
      <c r="H87" s="156">
        <f>$D$13*(F821EVE!H74)*$L87</f>
        <v>0</v>
      </c>
      <c r="I87" s="156">
        <f>$D$13*(F821EVE!I74)*$L87</f>
        <v>0</v>
      </c>
      <c r="J87" s="156">
        <f t="shared" si="17"/>
        <v>0</v>
      </c>
      <c r="K87" s="69"/>
      <c r="L87" s="319">
        <v>1</v>
      </c>
    </row>
    <row r="88" spans="2:12" s="37" customFormat="1" ht="15.75">
      <c r="B88" s="48"/>
      <c r="C88" s="160" t="s">
        <v>305</v>
      </c>
      <c r="D88" s="156">
        <f>$D$13*(F821EVE!D75)*$L88</f>
        <v>0</v>
      </c>
      <c r="E88" s="156">
        <f>$D$13*(F821EVE!E75)*$L88</f>
        <v>0</v>
      </c>
      <c r="F88" s="156">
        <f>$D$13*(F821EVE!F75)*$L88</f>
        <v>0</v>
      </c>
      <c r="G88" s="156">
        <f>$D$13*(F821EVE!G75)*$L88</f>
        <v>0</v>
      </c>
      <c r="H88" s="156">
        <f>$D$13*(F821EVE!H75)*$L88</f>
        <v>0</v>
      </c>
      <c r="I88" s="156">
        <f>$D$13*(F821EVE!I75)*$L88</f>
        <v>0</v>
      </c>
      <c r="J88" s="156">
        <f t="shared" si="17"/>
        <v>0</v>
      </c>
      <c r="K88" s="69"/>
      <c r="L88" s="319">
        <v>0.95</v>
      </c>
    </row>
    <row r="89" spans="2:12" s="37" customFormat="1" ht="15.75">
      <c r="B89" s="48"/>
      <c r="C89" s="160" t="s">
        <v>307</v>
      </c>
      <c r="D89" s="156">
        <f>$D$13*(F821EVE!D76)*$L89</f>
        <v>0</v>
      </c>
      <c r="E89" s="156">
        <f>$D$13*(F821EVE!E76)*$L89</f>
        <v>0</v>
      </c>
      <c r="F89" s="156">
        <f>$D$13*(F821EVE!F76)*$L89</f>
        <v>0</v>
      </c>
      <c r="G89" s="156">
        <f>$D$13*(F821EVE!G76)*$L89</f>
        <v>0</v>
      </c>
      <c r="H89" s="156">
        <f>$D$13*(F821EVE!H76)*$L89</f>
        <v>0</v>
      </c>
      <c r="I89" s="156">
        <f>$D$13*(F821EVE!I76)*$L89</f>
        <v>0</v>
      </c>
      <c r="J89" s="156">
        <f t="shared" si="17"/>
        <v>0</v>
      </c>
      <c r="K89" s="69"/>
      <c r="L89" s="319">
        <v>0.5</v>
      </c>
    </row>
    <row r="90" spans="2:12" s="37" customFormat="1" ht="15.75">
      <c r="B90" s="48"/>
      <c r="C90" s="160" t="s">
        <v>624</v>
      </c>
      <c r="D90" s="156">
        <f>$D$13*(F821EVE!D77)*$L90</f>
        <v>0</v>
      </c>
      <c r="E90" s="156">
        <f>$D$13*(F821EVE!E77)*$L90</f>
        <v>0</v>
      </c>
      <c r="F90" s="156">
        <f>$D$13*(F821EVE!F77)*$L90</f>
        <v>0</v>
      </c>
      <c r="G90" s="156">
        <f>$D$13*(F821EVE!G77)*$L90</f>
        <v>0</v>
      </c>
      <c r="H90" s="156">
        <f>$D$13*(F821EVE!H77)*$L90</f>
        <v>0</v>
      </c>
      <c r="I90" s="156">
        <f>$D$13*(F821EVE!I77)*$L90</f>
        <v>0</v>
      </c>
      <c r="J90" s="156">
        <f t="shared" si="17"/>
        <v>0</v>
      </c>
      <c r="K90" s="69"/>
      <c r="L90" s="319">
        <v>0</v>
      </c>
    </row>
    <row r="91" spans="2:12" s="37" customFormat="1" ht="15.75">
      <c r="B91" s="48" t="s">
        <v>749</v>
      </c>
      <c r="C91" s="158" t="s">
        <v>636</v>
      </c>
      <c r="D91" s="159">
        <f t="shared" ref="D91" si="20">SUM(D92:D97)</f>
        <v>0</v>
      </c>
      <c r="E91" s="159">
        <f t="shared" ref="E91:I91" si="21">SUM(E92:E97)</f>
        <v>0</v>
      </c>
      <c r="F91" s="159">
        <f t="shared" si="21"/>
        <v>0</v>
      </c>
      <c r="G91" s="159">
        <f t="shared" si="21"/>
        <v>0</v>
      </c>
      <c r="H91" s="159">
        <f t="shared" si="21"/>
        <v>0</v>
      </c>
      <c r="I91" s="159">
        <f t="shared" si="21"/>
        <v>0</v>
      </c>
      <c r="J91" s="159">
        <f t="shared" si="17"/>
        <v>0</v>
      </c>
      <c r="K91" s="69"/>
      <c r="L91" s="319"/>
    </row>
    <row r="92" spans="2:12" s="37" customFormat="1" ht="15.75">
      <c r="B92" s="48"/>
      <c r="C92" s="160" t="s">
        <v>304</v>
      </c>
      <c r="D92" s="156">
        <f>$D$13*(F821EVE!D79)*$L92</f>
        <v>0</v>
      </c>
      <c r="E92" s="156">
        <f>$D$13*(F821EVE!E79)*$L92</f>
        <v>0</v>
      </c>
      <c r="F92" s="156">
        <f>$D$13*(F821EVE!F79)*$L92</f>
        <v>0</v>
      </c>
      <c r="G92" s="156">
        <f>$D$13*(F821EVE!G79)*$L92</f>
        <v>0</v>
      </c>
      <c r="H92" s="156">
        <f>$D$13*(F821EVE!H79)*$L92</f>
        <v>0</v>
      </c>
      <c r="I92" s="156">
        <f>$D$13*(F821EVE!I79)*$L92</f>
        <v>0</v>
      </c>
      <c r="J92" s="156">
        <f t="shared" si="17"/>
        <v>0</v>
      </c>
      <c r="K92" s="69"/>
      <c r="L92" s="319">
        <v>1</v>
      </c>
    </row>
    <row r="93" spans="2:12" s="37" customFormat="1" ht="15.75">
      <c r="B93" s="48"/>
      <c r="C93" s="162" t="s">
        <v>642</v>
      </c>
      <c r="D93" s="156">
        <f>$D$13*(F821EVE!D80)*$L93</f>
        <v>0</v>
      </c>
      <c r="E93" s="156">
        <f>$D$13*(F821EVE!E80)*$L93</f>
        <v>0</v>
      </c>
      <c r="F93" s="156">
        <f>$D$13*(F821EVE!F80)*$L93</f>
        <v>0</v>
      </c>
      <c r="G93" s="156">
        <f>$D$13*(F821EVE!G80)*$L93</f>
        <v>0</v>
      </c>
      <c r="H93" s="156">
        <f>$D$13*(F821EVE!H80)*$L93</f>
        <v>0</v>
      </c>
      <c r="I93" s="156">
        <f>$D$13*(F821EVE!I80)*$L93</f>
        <v>0</v>
      </c>
      <c r="J93" s="156">
        <f t="shared" si="17"/>
        <v>0</v>
      </c>
      <c r="K93" s="69"/>
      <c r="L93" s="319">
        <v>0.75</v>
      </c>
    </row>
    <row r="94" spans="2:12" s="37" customFormat="1" ht="15.75">
      <c r="B94" s="48"/>
      <c r="C94" s="162" t="s">
        <v>1177</v>
      </c>
      <c r="D94" s="156">
        <f>$D$13*(F821EVE!D81)*$L94</f>
        <v>0</v>
      </c>
      <c r="E94" s="156">
        <f>$D$13*(F821EVE!E81)*$L94</f>
        <v>0</v>
      </c>
      <c r="F94" s="156">
        <f>$D$13*(F821EVE!F81)*$L94</f>
        <v>0</v>
      </c>
      <c r="G94" s="156">
        <f>$D$13*(F821EVE!G81)*$L94</f>
        <v>0</v>
      </c>
      <c r="H94" s="156">
        <f>$D$13*(F821EVE!H81)*$L94</f>
        <v>0</v>
      </c>
      <c r="I94" s="156">
        <f>$D$13*(F821EVE!I81)*$L94</f>
        <v>0</v>
      </c>
      <c r="J94" s="156">
        <f>SUM(D94:I94)</f>
        <v>0</v>
      </c>
      <c r="K94" s="69"/>
      <c r="L94" s="319">
        <v>1</v>
      </c>
    </row>
    <row r="95" spans="2:12" s="37" customFormat="1" ht="15.75">
      <c r="B95" s="48"/>
      <c r="C95" s="160" t="s">
        <v>305</v>
      </c>
      <c r="D95" s="156">
        <f>$D$13*(F821EVE!D82)*$L95</f>
        <v>0</v>
      </c>
      <c r="E95" s="156">
        <f>$D$13*(F821EVE!E82)*$L95</f>
        <v>0</v>
      </c>
      <c r="F95" s="156">
        <f>$D$13*(F821EVE!F82)*$L95</f>
        <v>0</v>
      </c>
      <c r="G95" s="156">
        <f>$D$13*(F821EVE!G82)*$L95</f>
        <v>0</v>
      </c>
      <c r="H95" s="156">
        <f>$D$13*(F821EVE!H82)*$L95</f>
        <v>0</v>
      </c>
      <c r="I95" s="156">
        <f>$D$13*(F821EVE!I82)*$L95</f>
        <v>0</v>
      </c>
      <c r="J95" s="156">
        <f t="shared" si="17"/>
        <v>0</v>
      </c>
      <c r="K95" s="69"/>
      <c r="L95" s="319">
        <v>0.95</v>
      </c>
    </row>
    <row r="96" spans="2:12" s="37" customFormat="1" ht="15.75">
      <c r="B96" s="48"/>
      <c r="C96" s="160" t="s">
        <v>307</v>
      </c>
      <c r="D96" s="156">
        <f>$D$13*(F821EVE!D83)*$L96</f>
        <v>0</v>
      </c>
      <c r="E96" s="156">
        <f>$D$13*(F821EVE!E83)*$L96</f>
        <v>0</v>
      </c>
      <c r="F96" s="156">
        <f>$D$13*(F821EVE!F83)*$L96</f>
        <v>0</v>
      </c>
      <c r="G96" s="156">
        <f>$D$13*(F821EVE!G83)*$L96</f>
        <v>0</v>
      </c>
      <c r="H96" s="156">
        <f>$D$13*(F821EVE!H83)*$L96</f>
        <v>0</v>
      </c>
      <c r="I96" s="156">
        <f>$D$13*(F821EVE!I83)*$L96</f>
        <v>0</v>
      </c>
      <c r="J96" s="156">
        <f t="shared" si="17"/>
        <v>0</v>
      </c>
      <c r="K96" s="69"/>
      <c r="L96" s="319">
        <v>0.5</v>
      </c>
    </row>
    <row r="97" spans="2:12" s="37" customFormat="1" ht="15.75">
      <c r="B97" s="48"/>
      <c r="C97" s="160" t="s">
        <v>624</v>
      </c>
      <c r="D97" s="156">
        <f>$D$13*(F821EVE!D84)*$L97</f>
        <v>0</v>
      </c>
      <c r="E97" s="156">
        <f>$D$13*(F821EVE!E84)*$L97</f>
        <v>0</v>
      </c>
      <c r="F97" s="156">
        <f>$D$13*(F821EVE!F84)*$L97</f>
        <v>0</v>
      </c>
      <c r="G97" s="156">
        <f>$D$13*(F821EVE!G84)*$L97</f>
        <v>0</v>
      </c>
      <c r="H97" s="156">
        <f>$D$13*(F821EVE!H84)*$L97</f>
        <v>0</v>
      </c>
      <c r="I97" s="156">
        <f>$D$13*(F821EVE!I84)*$L97</f>
        <v>0</v>
      </c>
      <c r="J97" s="156">
        <f t="shared" si="17"/>
        <v>0</v>
      </c>
      <c r="K97" s="69"/>
      <c r="L97" s="319">
        <v>0</v>
      </c>
    </row>
    <row r="98" spans="2:12" s="37" customFormat="1" ht="15.75">
      <c r="B98" s="48"/>
      <c r="C98" s="157"/>
      <c r="D98" s="156"/>
      <c r="E98" s="156"/>
      <c r="F98" s="156"/>
      <c r="G98" s="156"/>
      <c r="H98" s="156"/>
      <c r="I98" s="156"/>
      <c r="J98" s="156"/>
      <c r="K98" s="69"/>
      <c r="L98" s="341"/>
    </row>
    <row r="99" spans="2:12" s="37" customFormat="1" ht="15.75">
      <c r="B99" s="48" t="s">
        <v>902</v>
      </c>
      <c r="C99" s="158" t="s">
        <v>898</v>
      </c>
      <c r="D99" s="159">
        <f t="shared" ref="D99:I99" si="22">SUM(D100:D104)</f>
        <v>0</v>
      </c>
      <c r="E99" s="159">
        <f t="shared" si="22"/>
        <v>0</v>
      </c>
      <c r="F99" s="159">
        <f t="shared" si="22"/>
        <v>0</v>
      </c>
      <c r="G99" s="159">
        <f t="shared" si="22"/>
        <v>0</v>
      </c>
      <c r="H99" s="159">
        <f t="shared" si="22"/>
        <v>0</v>
      </c>
      <c r="I99" s="159">
        <f t="shared" si="22"/>
        <v>0</v>
      </c>
      <c r="J99" s="159">
        <f t="shared" ref="J99:J105" si="23">SUM(D99:I99)</f>
        <v>0</v>
      </c>
      <c r="K99" s="69"/>
      <c r="L99" s="351"/>
    </row>
    <row r="100" spans="2:12" s="37" customFormat="1" ht="15.75">
      <c r="B100" s="48"/>
      <c r="C100" s="160" t="s">
        <v>304</v>
      </c>
      <c r="D100" s="156">
        <f>$D$13*(F821EVE!D87)*$L100</f>
        <v>0</v>
      </c>
      <c r="E100" s="156">
        <f>$D$13*(F821EVE!E87)*$L100</f>
        <v>0</v>
      </c>
      <c r="F100" s="156">
        <f>$D$13*(F821EVE!F87)*$L100</f>
        <v>0</v>
      </c>
      <c r="G100" s="156">
        <f>$D$13*(F821EVE!G87)*$L100</f>
        <v>0</v>
      </c>
      <c r="H100" s="156">
        <f>$D$13*(F821EVE!H87)*$L100</f>
        <v>0</v>
      </c>
      <c r="I100" s="156">
        <f>$D$13*(F821EVE!I87)*$L100</f>
        <v>0</v>
      </c>
      <c r="J100" s="156">
        <f t="shared" si="23"/>
        <v>0</v>
      </c>
      <c r="K100" s="69"/>
      <c r="L100" s="319">
        <v>1</v>
      </c>
    </row>
    <row r="101" spans="2:12" s="37" customFormat="1" ht="15.75">
      <c r="B101" s="48"/>
      <c r="C101" s="162" t="s">
        <v>644</v>
      </c>
      <c r="D101" s="156">
        <f>$D$13*(F821EVE!D88)*$L101</f>
        <v>0</v>
      </c>
      <c r="E101" s="156">
        <f>$D$13*(F821EVE!E88)*$L101</f>
        <v>0</v>
      </c>
      <c r="F101" s="156">
        <f>$D$13*(F821EVE!F88)*$L101</f>
        <v>0</v>
      </c>
      <c r="G101" s="156">
        <f>$D$13*(F821EVE!G88)*$L101</f>
        <v>0</v>
      </c>
      <c r="H101" s="156">
        <f>$D$13*(F821EVE!H88)*$L101</f>
        <v>0</v>
      </c>
      <c r="I101" s="156">
        <f>$D$13*(F821EVE!I88)*$L101</f>
        <v>0</v>
      </c>
      <c r="J101" s="156">
        <f t="shared" si="23"/>
        <v>0</v>
      </c>
      <c r="K101" s="69"/>
      <c r="L101" s="319">
        <v>0.75</v>
      </c>
    </row>
    <row r="102" spans="2:12" s="37" customFormat="1" ht="15.75">
      <c r="B102" s="48"/>
      <c r="C102" s="160" t="s">
        <v>305</v>
      </c>
      <c r="D102" s="156">
        <f>$D$13*(F821EVE!D89)*$L102</f>
        <v>0</v>
      </c>
      <c r="E102" s="156">
        <f>$D$13*(F821EVE!E89)*$L102</f>
        <v>0</v>
      </c>
      <c r="F102" s="156">
        <f>$D$13*(F821EVE!F89)*$L102</f>
        <v>0</v>
      </c>
      <c r="G102" s="156">
        <f>$D$13*(F821EVE!G89)*$L102</f>
        <v>0</v>
      </c>
      <c r="H102" s="156">
        <f>$D$13*(F821EVE!H89)*$L102</f>
        <v>0</v>
      </c>
      <c r="I102" s="156">
        <f>$D$13*(F821EVE!I89)*$L102</f>
        <v>0</v>
      </c>
      <c r="J102" s="156">
        <f t="shared" si="23"/>
        <v>0</v>
      </c>
      <c r="K102" s="69"/>
      <c r="L102" s="319">
        <v>0.95</v>
      </c>
    </row>
    <row r="103" spans="2:12" s="37" customFormat="1" ht="15.75">
      <c r="B103" s="48"/>
      <c r="C103" s="160" t="s">
        <v>307</v>
      </c>
      <c r="D103" s="156">
        <f>$D$13*(F821EVE!D90)*$L103</f>
        <v>0</v>
      </c>
      <c r="E103" s="156">
        <f>$D$13*(F821EVE!E90)*$L103</f>
        <v>0</v>
      </c>
      <c r="F103" s="156">
        <f>$D$13*(F821EVE!F90)*$L103</f>
        <v>0</v>
      </c>
      <c r="G103" s="156">
        <f>$D$13*(F821EVE!G90)*$L103</f>
        <v>0</v>
      </c>
      <c r="H103" s="156">
        <f>$D$13*(F821EVE!H90)*$L103</f>
        <v>0</v>
      </c>
      <c r="I103" s="156">
        <f>$D$13*(F821EVE!I90)*$L103</f>
        <v>0</v>
      </c>
      <c r="J103" s="156">
        <f t="shared" si="23"/>
        <v>0</v>
      </c>
      <c r="K103" s="69"/>
      <c r="L103" s="319">
        <v>0.5</v>
      </c>
    </row>
    <row r="104" spans="2:12" s="37" customFormat="1" ht="15.75">
      <c r="B104" s="48"/>
      <c r="C104" s="160" t="s">
        <v>624</v>
      </c>
      <c r="D104" s="156">
        <f>$D$13*(F821EVE!D91)*$L104</f>
        <v>0</v>
      </c>
      <c r="E104" s="156">
        <f>$D$13*(F821EVE!E91)*$L104</f>
        <v>0</v>
      </c>
      <c r="F104" s="156">
        <f>$D$13*(F821EVE!F91)*$L104</f>
        <v>0</v>
      </c>
      <c r="G104" s="156">
        <f>$D$13*(F821EVE!G91)*$L104</f>
        <v>0</v>
      </c>
      <c r="H104" s="156">
        <f>$D$13*(F821EVE!H91)*$L104</f>
        <v>0</v>
      </c>
      <c r="I104" s="156">
        <f>$D$13*(F821EVE!I91)*$L104</f>
        <v>0</v>
      </c>
      <c r="J104" s="156">
        <f t="shared" si="23"/>
        <v>0</v>
      </c>
      <c r="K104" s="69"/>
      <c r="L104" s="319">
        <v>0</v>
      </c>
    </row>
    <row r="105" spans="2:12" s="37" customFormat="1" ht="15.75">
      <c r="B105" s="48" t="s">
        <v>902</v>
      </c>
      <c r="C105" s="158" t="s">
        <v>899</v>
      </c>
      <c r="D105" s="159">
        <f t="shared" ref="D105:I105" si="24">SUM(D106:D111)</f>
        <v>0</v>
      </c>
      <c r="E105" s="159">
        <f t="shared" si="24"/>
        <v>0</v>
      </c>
      <c r="F105" s="159">
        <f t="shared" si="24"/>
        <v>0</v>
      </c>
      <c r="G105" s="159">
        <f t="shared" si="24"/>
        <v>0</v>
      </c>
      <c r="H105" s="159">
        <f t="shared" si="24"/>
        <v>0</v>
      </c>
      <c r="I105" s="159">
        <f t="shared" si="24"/>
        <v>0</v>
      </c>
      <c r="J105" s="159">
        <f t="shared" si="23"/>
        <v>0</v>
      </c>
      <c r="K105" s="69"/>
      <c r="L105" s="319"/>
    </row>
    <row r="106" spans="2:12" s="37" customFormat="1" ht="15.75">
      <c r="B106" s="48"/>
      <c r="C106" s="160" t="s">
        <v>304</v>
      </c>
      <c r="D106" s="156">
        <f>$D$13*(F821EVE!D93)*$L106</f>
        <v>0</v>
      </c>
      <c r="E106" s="156">
        <f>$D$13*(F821EVE!E93)*$L106</f>
        <v>0</v>
      </c>
      <c r="F106" s="156">
        <f>$D$13*(F821EVE!F93)*$L106</f>
        <v>0</v>
      </c>
      <c r="G106" s="156">
        <f>$D$13*(F821EVE!G93)*$L106</f>
        <v>0</v>
      </c>
      <c r="H106" s="156">
        <f>$D$13*(F821EVE!H93)*$L106</f>
        <v>0</v>
      </c>
      <c r="I106" s="156">
        <f>$D$13*(F821EVE!I93)*$L106</f>
        <v>0</v>
      </c>
      <c r="J106" s="156">
        <f t="shared" ref="J106:J114" si="25">SUM(D106:I106)</f>
        <v>0</v>
      </c>
      <c r="K106" s="69"/>
      <c r="L106" s="319">
        <v>1</v>
      </c>
    </row>
    <row r="107" spans="2:12" s="37" customFormat="1" ht="15.75">
      <c r="B107" s="48"/>
      <c r="C107" s="162" t="s">
        <v>642</v>
      </c>
      <c r="D107" s="156">
        <f>$D$13*(F821EVE!D94)*$L107</f>
        <v>0</v>
      </c>
      <c r="E107" s="156">
        <f>$D$13*(F821EVE!E94)*$L107</f>
        <v>0</v>
      </c>
      <c r="F107" s="156">
        <f>$D$13*(F821EVE!F94)*$L107</f>
        <v>0</v>
      </c>
      <c r="G107" s="156">
        <f>$D$13*(F821EVE!G94)*$L107</f>
        <v>0</v>
      </c>
      <c r="H107" s="156">
        <f>$D$13*(F821EVE!H94)*$L107</f>
        <v>0</v>
      </c>
      <c r="I107" s="156">
        <f>$D$13*(F821EVE!I94)*$L107</f>
        <v>0</v>
      </c>
      <c r="J107" s="156">
        <f t="shared" si="25"/>
        <v>0</v>
      </c>
      <c r="K107" s="69"/>
      <c r="L107" s="319">
        <v>0.75</v>
      </c>
    </row>
    <row r="108" spans="2:12" s="37" customFormat="1" ht="15.75">
      <c r="B108" s="48"/>
      <c r="C108" s="162" t="s">
        <v>1177</v>
      </c>
      <c r="D108" s="156">
        <f>$D$13*(F821EVE!D95)*$L108</f>
        <v>0</v>
      </c>
      <c r="E108" s="156">
        <f>$D$13*(F821EVE!E95)*$L108</f>
        <v>0</v>
      </c>
      <c r="F108" s="156">
        <f>$D$13*(F821EVE!F95)*$L108</f>
        <v>0</v>
      </c>
      <c r="G108" s="156">
        <f>$D$13*(F821EVE!G95)*$L108</f>
        <v>0</v>
      </c>
      <c r="H108" s="156">
        <f>$D$13*(F821EVE!H95)*$L108</f>
        <v>0</v>
      </c>
      <c r="I108" s="156">
        <f>$D$13*(F821EVE!I95)*$L108</f>
        <v>0</v>
      </c>
      <c r="J108" s="156">
        <f t="shared" si="25"/>
        <v>0</v>
      </c>
      <c r="K108" s="69"/>
      <c r="L108" s="319">
        <v>1</v>
      </c>
    </row>
    <row r="109" spans="2:12" s="37" customFormat="1" ht="15.75">
      <c r="B109" s="48"/>
      <c r="C109" s="160" t="s">
        <v>305</v>
      </c>
      <c r="D109" s="156">
        <f>$D$13*(F821EVE!D96)*$L109</f>
        <v>0</v>
      </c>
      <c r="E109" s="156">
        <f>$D$13*(F821EVE!E96)*$L109</f>
        <v>0</v>
      </c>
      <c r="F109" s="156">
        <f>$D$13*(F821EVE!F96)*$L109</f>
        <v>0</v>
      </c>
      <c r="G109" s="156">
        <f>$D$13*(F821EVE!G96)*$L109</f>
        <v>0</v>
      </c>
      <c r="H109" s="156">
        <f>$D$13*(F821EVE!H96)*$L109</f>
        <v>0</v>
      </c>
      <c r="I109" s="156">
        <f>$D$13*(F821EVE!I96)*$L109</f>
        <v>0</v>
      </c>
      <c r="J109" s="156">
        <f t="shared" si="25"/>
        <v>0</v>
      </c>
      <c r="K109" s="69"/>
      <c r="L109" s="319">
        <v>0.95</v>
      </c>
    </row>
    <row r="110" spans="2:12" s="37" customFormat="1" ht="15.75">
      <c r="B110" s="48"/>
      <c r="C110" s="160" t="s">
        <v>307</v>
      </c>
      <c r="D110" s="156">
        <f>$D$13*(F821EVE!D97)*$L110</f>
        <v>0</v>
      </c>
      <c r="E110" s="156">
        <f>$D$13*(F821EVE!E97)*$L110</f>
        <v>0</v>
      </c>
      <c r="F110" s="156">
        <f>$D$13*(F821EVE!F97)*$L110</f>
        <v>0</v>
      </c>
      <c r="G110" s="156">
        <f>$D$13*(F821EVE!G97)*$L110</f>
        <v>0</v>
      </c>
      <c r="H110" s="156">
        <f>$D$13*(F821EVE!H97)*$L110</f>
        <v>0</v>
      </c>
      <c r="I110" s="156">
        <f>$D$13*(F821EVE!I97)*$L110</f>
        <v>0</v>
      </c>
      <c r="J110" s="156">
        <f t="shared" si="25"/>
        <v>0</v>
      </c>
      <c r="K110" s="69"/>
      <c r="L110" s="319">
        <v>0.5</v>
      </c>
    </row>
    <row r="111" spans="2:12" s="37" customFormat="1" ht="15.75">
      <c r="B111" s="48"/>
      <c r="C111" s="160" t="s">
        <v>624</v>
      </c>
      <c r="D111" s="156">
        <f>$D$13*(F821EVE!D98)*$L111</f>
        <v>0</v>
      </c>
      <c r="E111" s="156">
        <f>$D$13*(F821EVE!E98)*$L111</f>
        <v>0</v>
      </c>
      <c r="F111" s="156">
        <f>$D$13*(F821EVE!F98)*$L111</f>
        <v>0</v>
      </c>
      <c r="G111" s="156">
        <f>$D$13*(F821EVE!G98)*$L111</f>
        <v>0</v>
      </c>
      <c r="H111" s="156">
        <f>$D$13*(F821EVE!H98)*$L111</f>
        <v>0</v>
      </c>
      <c r="I111" s="156">
        <f>$D$13*(F821EVE!I98)*$L111</f>
        <v>0</v>
      </c>
      <c r="J111" s="156">
        <f t="shared" si="25"/>
        <v>0</v>
      </c>
      <c r="K111" s="69"/>
      <c r="L111" s="319">
        <v>0</v>
      </c>
    </row>
    <row r="112" spans="2:12" s="37" customFormat="1" ht="15.75">
      <c r="B112" s="48" t="s">
        <v>902</v>
      </c>
      <c r="C112" s="158" t="s">
        <v>900</v>
      </c>
      <c r="D112" s="159">
        <f t="shared" ref="D112:I112" si="26">SUM(D113:D118)</f>
        <v>0</v>
      </c>
      <c r="E112" s="159">
        <f t="shared" si="26"/>
        <v>0</v>
      </c>
      <c r="F112" s="159">
        <f t="shared" si="26"/>
        <v>0</v>
      </c>
      <c r="G112" s="159">
        <f t="shared" si="26"/>
        <v>0</v>
      </c>
      <c r="H112" s="159">
        <f t="shared" si="26"/>
        <v>0</v>
      </c>
      <c r="I112" s="159">
        <f t="shared" si="26"/>
        <v>0</v>
      </c>
      <c r="J112" s="159">
        <f t="shared" si="25"/>
        <v>0</v>
      </c>
      <c r="K112" s="69"/>
      <c r="L112" s="319"/>
    </row>
    <row r="113" spans="2:12" s="37" customFormat="1" ht="15.75">
      <c r="B113" s="48"/>
      <c r="C113" s="160" t="s">
        <v>304</v>
      </c>
      <c r="D113" s="156">
        <f>$D$13*(F821EVE!D100)*$L113</f>
        <v>0</v>
      </c>
      <c r="E113" s="156">
        <f>$D$13*(F821EVE!E100)*$L113</f>
        <v>0</v>
      </c>
      <c r="F113" s="156">
        <f>$D$13*(F821EVE!F100)*$L113</f>
        <v>0</v>
      </c>
      <c r="G113" s="156">
        <f>$D$13*(F821EVE!G100)*$L113</f>
        <v>0</v>
      </c>
      <c r="H113" s="156">
        <f>$D$13*(F821EVE!H100)*$L113</f>
        <v>0</v>
      </c>
      <c r="I113" s="156">
        <f>$D$13*(F821EVE!I100)*$L113</f>
        <v>0</v>
      </c>
      <c r="J113" s="156">
        <f t="shared" si="25"/>
        <v>0</v>
      </c>
      <c r="K113" s="69"/>
      <c r="L113" s="319">
        <v>1</v>
      </c>
    </row>
    <row r="114" spans="2:12" s="37" customFormat="1" ht="15.75">
      <c r="B114" s="48"/>
      <c r="C114" s="162" t="s">
        <v>642</v>
      </c>
      <c r="D114" s="156">
        <f>$D$13*(F821EVE!D101)*$L114</f>
        <v>0</v>
      </c>
      <c r="E114" s="156">
        <f>$D$13*(F821EVE!E101)*$L114</f>
        <v>0</v>
      </c>
      <c r="F114" s="156">
        <f>$D$13*(F821EVE!F101)*$L114</f>
        <v>0</v>
      </c>
      <c r="G114" s="156">
        <f>$D$13*(F821EVE!G101)*$L114</f>
        <v>0</v>
      </c>
      <c r="H114" s="156">
        <f>$D$13*(F821EVE!H101)*$L114</f>
        <v>0</v>
      </c>
      <c r="I114" s="156">
        <f>$D$13*(F821EVE!I101)*$L114</f>
        <v>0</v>
      </c>
      <c r="J114" s="156">
        <f t="shared" si="25"/>
        <v>0</v>
      </c>
      <c r="K114" s="69"/>
      <c r="L114" s="319">
        <v>0.75</v>
      </c>
    </row>
    <row r="115" spans="2:12" s="37" customFormat="1" ht="15.75">
      <c r="B115" s="48"/>
      <c r="C115" s="162" t="s">
        <v>1177</v>
      </c>
      <c r="D115" s="156">
        <f>$D$13*(F821EVE!D102)*$L115</f>
        <v>0</v>
      </c>
      <c r="E115" s="156">
        <f>$D$13*(F821EVE!E102)*$L115</f>
        <v>0</v>
      </c>
      <c r="F115" s="156">
        <f>$D$13*(F821EVE!F102)*$L115</f>
        <v>0</v>
      </c>
      <c r="G115" s="156">
        <f>$D$13*(F821EVE!G102)*$L115</f>
        <v>0</v>
      </c>
      <c r="H115" s="156">
        <f>$D$13*(F821EVE!H102)*$L115</f>
        <v>0</v>
      </c>
      <c r="I115" s="156">
        <f>$D$13*(F821EVE!I102)*$L115</f>
        <v>0</v>
      </c>
      <c r="J115" s="156">
        <f>SUM(D115:I115)</f>
        <v>0</v>
      </c>
      <c r="K115" s="69"/>
      <c r="L115" s="319">
        <v>1</v>
      </c>
    </row>
    <row r="116" spans="2:12" s="37" customFormat="1" ht="15.75">
      <c r="B116" s="48"/>
      <c r="C116" s="160" t="s">
        <v>305</v>
      </c>
      <c r="D116" s="156">
        <f>$D$13*(F821EVE!D103)*$L116</f>
        <v>0</v>
      </c>
      <c r="E116" s="156">
        <f>$D$13*(F821EVE!E103)*$L116</f>
        <v>0</v>
      </c>
      <c r="F116" s="156">
        <f>$D$13*(F821EVE!F103)*$L116</f>
        <v>0</v>
      </c>
      <c r="G116" s="156">
        <f>$D$13*(F821EVE!G103)*$L116</f>
        <v>0</v>
      </c>
      <c r="H116" s="156">
        <f>$D$13*(F821EVE!H103)*$L116</f>
        <v>0</v>
      </c>
      <c r="I116" s="156">
        <f>$D$13*(F821EVE!I103)*$L116</f>
        <v>0</v>
      </c>
      <c r="J116" s="156">
        <f>SUM(D116:I116)</f>
        <v>0</v>
      </c>
      <c r="K116" s="69"/>
      <c r="L116" s="319">
        <v>0.95</v>
      </c>
    </row>
    <row r="117" spans="2:12" s="37" customFormat="1" ht="15.75">
      <c r="B117" s="48"/>
      <c r="C117" s="160" t="s">
        <v>307</v>
      </c>
      <c r="D117" s="156">
        <f>$D$13*(F821EVE!D104)*$L117</f>
        <v>0</v>
      </c>
      <c r="E117" s="156">
        <f>$D$13*(F821EVE!E104)*$L117</f>
        <v>0</v>
      </c>
      <c r="F117" s="156">
        <f>$D$13*(F821EVE!F104)*$L117</f>
        <v>0</v>
      </c>
      <c r="G117" s="156">
        <f>$D$13*(F821EVE!G104)*$L117</f>
        <v>0</v>
      </c>
      <c r="H117" s="156">
        <f>$D$13*(F821EVE!H104)*$L117</f>
        <v>0</v>
      </c>
      <c r="I117" s="156">
        <f>$D$13*(F821EVE!I104)*$L117</f>
        <v>0</v>
      </c>
      <c r="J117" s="156">
        <f>SUM(D117:I117)</f>
        <v>0</v>
      </c>
      <c r="K117" s="69"/>
      <c r="L117" s="319">
        <v>0.5</v>
      </c>
    </row>
    <row r="118" spans="2:12" s="37" customFormat="1" ht="15.75">
      <c r="B118" s="48"/>
      <c r="C118" s="160" t="s">
        <v>624</v>
      </c>
      <c r="D118" s="156">
        <f>$D$13*(F821EVE!D105)*$L118</f>
        <v>0</v>
      </c>
      <c r="E118" s="156">
        <f>$D$13*(F821EVE!E105)*$L118</f>
        <v>0</v>
      </c>
      <c r="F118" s="156">
        <f>$D$13*(F821EVE!F105)*$L118</f>
        <v>0</v>
      </c>
      <c r="G118" s="156">
        <f>$D$13*(F821EVE!G105)*$L118</f>
        <v>0</v>
      </c>
      <c r="H118" s="156">
        <f>$D$13*(F821EVE!H105)*$L118</f>
        <v>0</v>
      </c>
      <c r="I118" s="156">
        <f>$D$13*(F821EVE!I105)*$L118</f>
        <v>0</v>
      </c>
      <c r="J118" s="156">
        <f>SUM(D118:I118)</f>
        <v>0</v>
      </c>
      <c r="K118" s="69"/>
      <c r="L118" s="319">
        <v>0</v>
      </c>
    </row>
    <row r="119" spans="2:12" s="37" customFormat="1" ht="15.75">
      <c r="B119" s="48"/>
      <c r="C119" s="157"/>
      <c r="D119" s="156"/>
      <c r="E119" s="156"/>
      <c r="F119" s="156"/>
      <c r="G119" s="156"/>
      <c r="H119" s="156"/>
      <c r="I119" s="156"/>
      <c r="J119" s="156"/>
      <c r="K119" s="69"/>
      <c r="L119" s="341"/>
    </row>
    <row r="120" spans="2:12" s="37" customFormat="1" ht="15.75">
      <c r="B120" s="48"/>
      <c r="C120" s="153" t="s">
        <v>112</v>
      </c>
      <c r="D120" s="154">
        <f t="shared" ref="D120:I120" si="27">D43+D33+D29</f>
        <v>0</v>
      </c>
      <c r="E120" s="154">
        <f t="shared" si="27"/>
        <v>0</v>
      </c>
      <c r="F120" s="154">
        <f t="shared" si="27"/>
        <v>0</v>
      </c>
      <c r="G120" s="154">
        <f t="shared" si="27"/>
        <v>0</v>
      </c>
      <c r="H120" s="154">
        <f t="shared" si="27"/>
        <v>0</v>
      </c>
      <c r="I120" s="154">
        <f t="shared" si="27"/>
        <v>0</v>
      </c>
      <c r="J120" s="154">
        <f>SUM(D120:I120)</f>
        <v>0</v>
      </c>
      <c r="K120" s="69"/>
      <c r="L120" s="341"/>
    </row>
    <row r="121" spans="2:12">
      <c r="B121" s="48"/>
    </row>
    <row r="122" spans="2:12">
      <c r="B122" s="48" t="s">
        <v>902</v>
      </c>
      <c r="D122" s="64">
        <f t="shared" ref="D122:J137" si="28">SUMIF($B$28:$B$120,$B122,D$28:D$120)</f>
        <v>0</v>
      </c>
      <c r="E122" s="64">
        <f t="shared" si="28"/>
        <v>0</v>
      </c>
      <c r="F122" s="64">
        <f t="shared" si="28"/>
        <v>0</v>
      </c>
      <c r="G122" s="64">
        <f t="shared" si="28"/>
        <v>0</v>
      </c>
      <c r="H122" s="64">
        <f t="shared" si="28"/>
        <v>0</v>
      </c>
      <c r="I122" s="64">
        <f t="shared" si="28"/>
        <v>0</v>
      </c>
      <c r="J122" s="64">
        <f t="shared" si="28"/>
        <v>0</v>
      </c>
    </row>
    <row r="123" spans="2:12">
      <c r="B123" s="48" t="s">
        <v>751</v>
      </c>
      <c r="D123" s="64">
        <f t="shared" si="28"/>
        <v>0</v>
      </c>
      <c r="E123" s="64">
        <f t="shared" si="28"/>
        <v>0</v>
      </c>
      <c r="F123" s="64">
        <f t="shared" si="28"/>
        <v>0</v>
      </c>
      <c r="G123" s="64">
        <f t="shared" si="28"/>
        <v>0</v>
      </c>
      <c r="H123" s="64">
        <f t="shared" si="28"/>
        <v>0</v>
      </c>
      <c r="I123" s="64">
        <f t="shared" si="28"/>
        <v>0</v>
      </c>
      <c r="J123" s="64">
        <f t="shared" si="28"/>
        <v>0</v>
      </c>
    </row>
    <row r="124" spans="2:12">
      <c r="B124" s="48" t="s">
        <v>750</v>
      </c>
      <c r="D124" s="64">
        <f t="shared" si="28"/>
        <v>0</v>
      </c>
      <c r="E124" s="64">
        <f t="shared" si="28"/>
        <v>0</v>
      </c>
      <c r="F124" s="64">
        <f t="shared" si="28"/>
        <v>0</v>
      </c>
      <c r="G124" s="64">
        <f t="shared" si="28"/>
        <v>0</v>
      </c>
      <c r="H124" s="64">
        <f t="shared" si="28"/>
        <v>0</v>
      </c>
      <c r="I124" s="64">
        <f t="shared" si="28"/>
        <v>0</v>
      </c>
      <c r="J124" s="64">
        <f t="shared" si="28"/>
        <v>0</v>
      </c>
    </row>
    <row r="125" spans="2:12">
      <c r="B125" s="48" t="s">
        <v>749</v>
      </c>
      <c r="D125" s="64">
        <f t="shared" si="28"/>
        <v>0</v>
      </c>
      <c r="E125" s="64">
        <f t="shared" si="28"/>
        <v>0</v>
      </c>
      <c r="F125" s="64">
        <f t="shared" si="28"/>
        <v>0</v>
      </c>
      <c r="G125" s="64">
        <f t="shared" si="28"/>
        <v>0</v>
      </c>
      <c r="H125" s="64">
        <f t="shared" si="28"/>
        <v>0</v>
      </c>
      <c r="I125" s="64">
        <f t="shared" si="28"/>
        <v>0</v>
      </c>
      <c r="J125" s="64">
        <f t="shared" si="28"/>
        <v>0</v>
      </c>
    </row>
    <row r="126" spans="2:12">
      <c r="B126" s="48" t="s">
        <v>1176</v>
      </c>
      <c r="D126" s="64">
        <f t="shared" si="28"/>
        <v>0</v>
      </c>
      <c r="E126" s="64">
        <f t="shared" si="28"/>
        <v>0</v>
      </c>
      <c r="F126" s="64">
        <f t="shared" si="28"/>
        <v>0</v>
      </c>
      <c r="G126" s="64">
        <f t="shared" si="28"/>
        <v>0</v>
      </c>
      <c r="H126" s="64">
        <f t="shared" si="28"/>
        <v>0</v>
      </c>
      <c r="I126" s="64">
        <f t="shared" si="28"/>
        <v>0</v>
      </c>
      <c r="J126" s="64">
        <f t="shared" si="28"/>
        <v>0</v>
      </c>
    </row>
    <row r="127" spans="2:12">
      <c r="B127" s="48" t="s">
        <v>275</v>
      </c>
      <c r="D127" s="64">
        <f t="shared" si="28"/>
        <v>0</v>
      </c>
      <c r="E127" s="64">
        <f t="shared" si="28"/>
        <v>0</v>
      </c>
      <c r="F127" s="64">
        <f t="shared" si="28"/>
        <v>0</v>
      </c>
      <c r="G127" s="64">
        <f t="shared" si="28"/>
        <v>0</v>
      </c>
      <c r="H127" s="64">
        <f t="shared" si="28"/>
        <v>0</v>
      </c>
      <c r="I127" s="64">
        <f t="shared" si="28"/>
        <v>0</v>
      </c>
      <c r="J127" s="64">
        <f t="shared" si="28"/>
        <v>0</v>
      </c>
    </row>
    <row r="128" spans="2:12">
      <c r="B128" s="48" t="s">
        <v>276</v>
      </c>
      <c r="D128" s="64">
        <f t="shared" si="28"/>
        <v>0</v>
      </c>
      <c r="E128" s="64">
        <f t="shared" si="28"/>
        <v>0</v>
      </c>
      <c r="F128" s="64">
        <f t="shared" si="28"/>
        <v>0</v>
      </c>
      <c r="G128" s="64">
        <f t="shared" si="28"/>
        <v>0</v>
      </c>
      <c r="H128" s="64">
        <f t="shared" si="28"/>
        <v>0</v>
      </c>
      <c r="I128" s="64">
        <f t="shared" si="28"/>
        <v>0</v>
      </c>
      <c r="J128" s="64">
        <f t="shared" si="28"/>
        <v>0</v>
      </c>
    </row>
    <row r="129" spans="2:10">
      <c r="B129" s="48" t="s">
        <v>277</v>
      </c>
      <c r="D129" s="64">
        <f t="shared" si="28"/>
        <v>0</v>
      </c>
      <c r="E129" s="64">
        <f t="shared" si="28"/>
        <v>0</v>
      </c>
      <c r="F129" s="64">
        <f t="shared" si="28"/>
        <v>0</v>
      </c>
      <c r="G129" s="64">
        <f t="shared" si="28"/>
        <v>0</v>
      </c>
      <c r="H129" s="64">
        <f t="shared" si="28"/>
        <v>0</v>
      </c>
      <c r="I129" s="64">
        <f t="shared" si="28"/>
        <v>0</v>
      </c>
      <c r="J129" s="64">
        <f t="shared" si="28"/>
        <v>0</v>
      </c>
    </row>
    <row r="130" spans="2:10">
      <c r="B130" s="48" t="s">
        <v>278</v>
      </c>
      <c r="D130" s="64">
        <f t="shared" si="28"/>
        <v>0</v>
      </c>
      <c r="E130" s="64">
        <f t="shared" si="28"/>
        <v>0</v>
      </c>
      <c r="F130" s="64">
        <f t="shared" si="28"/>
        <v>0</v>
      </c>
      <c r="G130" s="64">
        <f t="shared" si="28"/>
        <v>0</v>
      </c>
      <c r="H130" s="64">
        <f t="shared" si="28"/>
        <v>0</v>
      </c>
      <c r="I130" s="64">
        <f t="shared" si="28"/>
        <v>0</v>
      </c>
      <c r="J130" s="64">
        <f t="shared" si="28"/>
        <v>0</v>
      </c>
    </row>
    <row r="131" spans="2:10">
      <c r="B131" s="48" t="s">
        <v>279</v>
      </c>
      <c r="D131" s="64">
        <f t="shared" si="28"/>
        <v>0</v>
      </c>
      <c r="E131" s="64">
        <f t="shared" si="28"/>
        <v>0</v>
      </c>
      <c r="F131" s="64">
        <f t="shared" si="28"/>
        <v>0</v>
      </c>
      <c r="G131" s="64">
        <f t="shared" si="28"/>
        <v>0</v>
      </c>
      <c r="H131" s="64">
        <f t="shared" si="28"/>
        <v>0</v>
      </c>
      <c r="I131" s="64">
        <f t="shared" si="28"/>
        <v>0</v>
      </c>
      <c r="J131" s="64">
        <f t="shared" si="28"/>
        <v>0</v>
      </c>
    </row>
    <row r="132" spans="2:10">
      <c r="B132" s="48" t="s">
        <v>875</v>
      </c>
      <c r="D132" s="64">
        <f t="shared" si="28"/>
        <v>0</v>
      </c>
      <c r="E132" s="64">
        <f t="shared" si="28"/>
        <v>0</v>
      </c>
      <c r="F132" s="64">
        <f t="shared" si="28"/>
        <v>0</v>
      </c>
      <c r="G132" s="64">
        <f t="shared" si="28"/>
        <v>0</v>
      </c>
      <c r="H132" s="64">
        <f t="shared" si="28"/>
        <v>0</v>
      </c>
      <c r="I132" s="64">
        <f t="shared" si="28"/>
        <v>0</v>
      </c>
      <c r="J132" s="64">
        <f t="shared" si="28"/>
        <v>0</v>
      </c>
    </row>
    <row r="133" spans="2:10">
      <c r="B133" s="48" t="s">
        <v>874</v>
      </c>
      <c r="D133" s="64">
        <f t="shared" si="28"/>
        <v>0</v>
      </c>
      <c r="E133" s="64">
        <f t="shared" si="28"/>
        <v>0</v>
      </c>
      <c r="F133" s="64">
        <f t="shared" si="28"/>
        <v>0</v>
      </c>
      <c r="G133" s="64">
        <f t="shared" si="28"/>
        <v>0</v>
      </c>
      <c r="H133" s="64">
        <f t="shared" si="28"/>
        <v>0</v>
      </c>
      <c r="I133" s="64">
        <f t="shared" si="28"/>
        <v>0</v>
      </c>
      <c r="J133" s="64">
        <f t="shared" si="28"/>
        <v>0</v>
      </c>
    </row>
    <row r="134" spans="2:10">
      <c r="B134" s="48" t="s">
        <v>873</v>
      </c>
      <c r="D134" s="64">
        <f t="shared" si="28"/>
        <v>0</v>
      </c>
      <c r="E134" s="64">
        <f t="shared" si="28"/>
        <v>0</v>
      </c>
      <c r="F134" s="64">
        <f t="shared" si="28"/>
        <v>0</v>
      </c>
      <c r="G134" s="64">
        <f t="shared" si="28"/>
        <v>0</v>
      </c>
      <c r="H134" s="64">
        <f t="shared" si="28"/>
        <v>0</v>
      </c>
      <c r="I134" s="64">
        <f t="shared" si="28"/>
        <v>0</v>
      </c>
      <c r="J134" s="64">
        <f t="shared" si="28"/>
        <v>0</v>
      </c>
    </row>
    <row r="135" spans="2:10">
      <c r="B135" s="48" t="s">
        <v>872</v>
      </c>
      <c r="D135" s="64">
        <f t="shared" si="28"/>
        <v>0</v>
      </c>
      <c r="E135" s="64">
        <f t="shared" si="28"/>
        <v>0</v>
      </c>
      <c r="F135" s="64">
        <f t="shared" si="28"/>
        <v>0</v>
      </c>
      <c r="G135" s="64">
        <f t="shared" si="28"/>
        <v>0</v>
      </c>
      <c r="H135" s="64">
        <f t="shared" si="28"/>
        <v>0</v>
      </c>
      <c r="I135" s="64">
        <f t="shared" si="28"/>
        <v>0</v>
      </c>
      <c r="J135" s="64">
        <f t="shared" si="28"/>
        <v>0</v>
      </c>
    </row>
    <row r="136" spans="2:10">
      <c r="B136" s="48" t="s">
        <v>871</v>
      </c>
      <c r="D136" s="64">
        <f t="shared" si="28"/>
        <v>0</v>
      </c>
      <c r="E136" s="64">
        <f t="shared" si="28"/>
        <v>0</v>
      </c>
      <c r="F136" s="64">
        <f t="shared" si="28"/>
        <v>0</v>
      </c>
      <c r="G136" s="64">
        <f t="shared" si="28"/>
        <v>0</v>
      </c>
      <c r="H136" s="64">
        <f t="shared" si="28"/>
        <v>0</v>
      </c>
      <c r="I136" s="64">
        <f t="shared" si="28"/>
        <v>0</v>
      </c>
      <c r="J136" s="64">
        <f t="shared" si="28"/>
        <v>0</v>
      </c>
    </row>
    <row r="137" spans="2:10">
      <c r="B137" s="48" t="s">
        <v>870</v>
      </c>
      <c r="D137" s="64">
        <f t="shared" si="28"/>
        <v>0</v>
      </c>
      <c r="E137" s="64">
        <f t="shared" si="28"/>
        <v>0</v>
      </c>
      <c r="F137" s="64">
        <f t="shared" si="28"/>
        <v>0</v>
      </c>
      <c r="G137" s="64">
        <f t="shared" si="28"/>
        <v>0</v>
      </c>
      <c r="H137" s="64">
        <f t="shared" si="28"/>
        <v>0</v>
      </c>
      <c r="I137" s="64">
        <f t="shared" si="28"/>
        <v>0</v>
      </c>
      <c r="J137" s="64">
        <f t="shared" si="28"/>
        <v>0</v>
      </c>
    </row>
    <row r="138" spans="2:10">
      <c r="B138" s="48" t="s">
        <v>890</v>
      </c>
      <c r="D138" s="64">
        <f t="shared" ref="D138:J139" si="29">SUMIF($B$28:$B$120,$B138,D$28:D$120)</f>
        <v>0</v>
      </c>
      <c r="E138" s="64">
        <f t="shared" si="29"/>
        <v>0</v>
      </c>
      <c r="F138" s="64">
        <f t="shared" si="29"/>
        <v>0</v>
      </c>
      <c r="G138" s="64">
        <f t="shared" si="29"/>
        <v>0</v>
      </c>
      <c r="H138" s="64">
        <f t="shared" si="29"/>
        <v>0</v>
      </c>
      <c r="I138" s="64">
        <f t="shared" si="29"/>
        <v>0</v>
      </c>
      <c r="J138" s="64">
        <f t="shared" si="29"/>
        <v>0</v>
      </c>
    </row>
    <row r="139" spans="2:10">
      <c r="B139" s="48" t="s">
        <v>111</v>
      </c>
      <c r="D139" s="64">
        <f t="shared" si="29"/>
        <v>0</v>
      </c>
      <c r="E139" s="64">
        <f t="shared" si="29"/>
        <v>0</v>
      </c>
      <c r="F139" s="64">
        <f t="shared" si="29"/>
        <v>0</v>
      </c>
      <c r="G139" s="64">
        <f t="shared" si="29"/>
        <v>0</v>
      </c>
      <c r="H139" s="64">
        <f t="shared" si="29"/>
        <v>0</v>
      </c>
      <c r="I139" s="64">
        <f t="shared" si="29"/>
        <v>0</v>
      </c>
      <c r="J139" s="64">
        <f t="shared" si="29"/>
        <v>0</v>
      </c>
    </row>
    <row r="140" spans="2:10">
      <c r="B140" s="48"/>
      <c r="D140" s="65">
        <f>SUM(D122:D139)</f>
        <v>0</v>
      </c>
      <c r="E140" s="65">
        <f t="shared" ref="E140:J140" si="30">SUM(E122:E139)</f>
        <v>0</v>
      </c>
      <c r="F140" s="65">
        <f t="shared" si="30"/>
        <v>0</v>
      </c>
      <c r="G140" s="65">
        <f t="shared" si="30"/>
        <v>0</v>
      </c>
      <c r="H140" s="65">
        <f t="shared" si="30"/>
        <v>0</v>
      </c>
      <c r="I140" s="65">
        <f t="shared" si="30"/>
        <v>0</v>
      </c>
      <c r="J140" s="65">
        <f t="shared" si="30"/>
        <v>0</v>
      </c>
    </row>
    <row r="141" spans="2:10">
      <c r="D141" s="66">
        <f>D140-D120</f>
        <v>0</v>
      </c>
      <c r="E141" s="66">
        <f t="shared" ref="E141:J141" si="31">E140-E120</f>
        <v>0</v>
      </c>
      <c r="F141" s="66">
        <f t="shared" si="31"/>
        <v>0</v>
      </c>
      <c r="G141" s="66">
        <f t="shared" si="31"/>
        <v>0</v>
      </c>
      <c r="H141" s="66">
        <f t="shared" si="31"/>
        <v>0</v>
      </c>
      <c r="I141" s="66">
        <f t="shared" si="31"/>
        <v>0</v>
      </c>
      <c r="J141" s="66">
        <f t="shared" si="31"/>
        <v>0</v>
      </c>
    </row>
  </sheetData>
  <printOptions horizontalCentered="1" verticalCentered="1"/>
  <pageMargins left="0.39370078740157483" right="0.39370078740157483" top="0.39370078740157483" bottom="0.39370078740157483" header="0.31496062992125984" footer="0.23622047244094491"/>
  <pageSetup scale="45" orientation="portrait" horizontalDpi="300" r:id="rId1"/>
  <headerFooter alignWithMargins="0">
    <oddHeader>&amp;L
NOMBRE DE LA DISTRIBUIDORA: &amp;UENSA.&amp;R&amp;9&amp;A</oddHeader>
  </headerFooter>
  <rowBreaks count="1" manualBreakCount="1">
    <brk id="120" max="9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Hoja90">
    <tabColor theme="5" tint="0.39997558519241921"/>
  </sheetPr>
  <dimension ref="B1:L141"/>
  <sheetViews>
    <sheetView view="pageBreakPreview" zoomScale="70" zoomScaleNormal="85" zoomScaleSheetLayoutView="70" workbookViewId="0"/>
  </sheetViews>
  <sheetFormatPr baseColWidth="10" defaultColWidth="8" defaultRowHeight="15"/>
  <cols>
    <col min="1" max="1" width="1.875" style="63" customWidth="1"/>
    <col min="2" max="2" width="6" style="63" customWidth="1"/>
    <col min="3" max="3" width="28.625" style="63" customWidth="1"/>
    <col min="4" max="4" width="11.75" style="63" customWidth="1"/>
    <col min="5" max="5" width="12.625" style="63" customWidth="1"/>
    <col min="6" max="6" width="12.75" style="63" customWidth="1"/>
    <col min="7" max="7" width="13.25" style="63" customWidth="1"/>
    <col min="8" max="8" width="13.875" style="63" customWidth="1"/>
    <col min="9" max="9" width="11.5" style="63" customWidth="1"/>
    <col min="10" max="10" width="13.125" style="63" customWidth="1"/>
    <col min="11" max="11" width="2.25" style="63" customWidth="1"/>
    <col min="12" max="12" width="4.25" style="345" bestFit="1" customWidth="1"/>
    <col min="13" max="16384" width="8" style="63"/>
  </cols>
  <sheetData>
    <row r="1" spans="3:12" s="69" customFormat="1" ht="15.75">
      <c r="C1" s="136" t="s">
        <v>151</v>
      </c>
      <c r="E1" s="63"/>
      <c r="L1" s="341"/>
    </row>
    <row r="2" spans="3:12" s="69" customFormat="1" ht="15.75">
      <c r="C2" s="136"/>
      <c r="E2" s="137" t="s">
        <v>138</v>
      </c>
      <c r="L2" s="341"/>
    </row>
    <row r="3" spans="3:12" s="69" customFormat="1" ht="15.75">
      <c r="D3" s="137"/>
      <c r="L3" s="341"/>
    </row>
    <row r="4" spans="3:12" s="69" customFormat="1" ht="15.75">
      <c r="C4" s="219" t="s">
        <v>1533</v>
      </c>
      <c r="D4" s="338"/>
      <c r="E4" s="338"/>
      <c r="F4" s="338"/>
      <c r="G4" s="338"/>
      <c r="H4" s="338"/>
      <c r="I4" s="338"/>
      <c r="J4" s="339"/>
      <c r="L4" s="341"/>
    </row>
    <row r="5" spans="3:12" s="69" customFormat="1" ht="15.75">
      <c r="C5" s="342" t="s">
        <v>856</v>
      </c>
      <c r="D5" s="322"/>
      <c r="E5" s="323"/>
      <c r="F5" s="322"/>
      <c r="G5" s="322"/>
      <c r="H5" s="342"/>
      <c r="I5" s="342"/>
      <c r="L5" s="341"/>
    </row>
    <row r="6" spans="3:12" s="58" customFormat="1" ht="30.95" customHeight="1">
      <c r="C6" s="343" t="s">
        <v>1465</v>
      </c>
      <c r="D6" s="344" t="s">
        <v>236</v>
      </c>
      <c r="E6" s="323"/>
      <c r="F6" s="322"/>
      <c r="G6" s="322"/>
      <c r="H6" s="342"/>
      <c r="I6" s="342"/>
      <c r="J6" s="69"/>
      <c r="L6" s="345"/>
    </row>
    <row r="7" spans="3:12" s="143" customFormat="1" ht="15.75">
      <c r="C7" s="144" t="s">
        <v>266</v>
      </c>
      <c r="D7" s="144">
        <f>RAT1000PT!$F$137</f>
        <v>0</v>
      </c>
      <c r="E7" s="322"/>
      <c r="F7" s="322"/>
      <c r="G7" s="322"/>
      <c r="H7" s="342"/>
      <c r="I7" s="342"/>
      <c r="J7" s="69"/>
      <c r="L7" s="345"/>
    </row>
    <row r="8" spans="3:12" s="143" customFormat="1" ht="15.75">
      <c r="C8" s="144" t="s">
        <v>265</v>
      </c>
      <c r="D8" s="144">
        <f>RAT1000PT!$F$136</f>
        <v>0</v>
      </c>
      <c r="E8" s="322"/>
      <c r="F8" s="322"/>
      <c r="G8" s="322"/>
      <c r="H8" s="342"/>
      <c r="I8" s="342"/>
      <c r="J8" s="69"/>
      <c r="L8" s="345"/>
    </row>
    <row r="9" spans="3:12" s="143" customFormat="1" ht="15.75">
      <c r="C9" s="144" t="s">
        <v>264</v>
      </c>
      <c r="D9" s="144">
        <f>RAT1000PT!$F$135</f>
        <v>0</v>
      </c>
      <c r="E9" s="322"/>
      <c r="F9" s="322"/>
      <c r="G9" s="322"/>
      <c r="H9" s="342"/>
      <c r="I9" s="342"/>
      <c r="J9" s="69"/>
      <c r="L9" s="345"/>
    </row>
    <row r="10" spans="3:12" s="143" customFormat="1" ht="15.75">
      <c r="C10" s="144" t="s">
        <v>262</v>
      </c>
      <c r="D10" s="144">
        <f>RAT1000PT!$F$134</f>
        <v>0</v>
      </c>
      <c r="E10" s="322"/>
      <c r="F10" s="322"/>
      <c r="G10" s="322"/>
      <c r="H10" s="342"/>
      <c r="I10" s="342"/>
      <c r="J10" s="69"/>
      <c r="L10" s="345"/>
    </row>
    <row r="11" spans="3:12" s="143" customFormat="1" ht="15.75">
      <c r="C11" s="144" t="s">
        <v>263</v>
      </c>
      <c r="D11" s="144">
        <f>RAT1000PT!$F$133</f>
        <v>0</v>
      </c>
      <c r="E11" s="322"/>
      <c r="F11" s="322"/>
      <c r="G11" s="322"/>
      <c r="H11" s="342"/>
      <c r="I11" s="342"/>
      <c r="J11" s="69"/>
      <c r="L11" s="345"/>
    </row>
    <row r="12" spans="3:12" s="143" customFormat="1" ht="15.75">
      <c r="C12" s="144" t="s">
        <v>261</v>
      </c>
      <c r="D12" s="144">
        <f>RAT1000PT!$F$132</f>
        <v>0</v>
      </c>
      <c r="E12" s="322"/>
      <c r="F12" s="322"/>
      <c r="G12" s="322"/>
      <c r="H12" s="342"/>
      <c r="I12" s="342"/>
      <c r="J12" s="69"/>
      <c r="L12" s="345"/>
    </row>
    <row r="13" spans="3:12" s="143" customFormat="1" ht="15.75">
      <c r="C13" s="144" t="s">
        <v>267</v>
      </c>
      <c r="D13" s="144">
        <f>RAT1000PT!$F$130</f>
        <v>0</v>
      </c>
      <c r="E13" s="322"/>
      <c r="F13" s="322"/>
      <c r="G13" s="322"/>
      <c r="H13" s="342"/>
      <c r="I13" s="342"/>
      <c r="J13" s="69"/>
      <c r="L13" s="345"/>
    </row>
    <row r="14" spans="3:12" s="143" customFormat="1" ht="15.75">
      <c r="C14" s="144" t="s">
        <v>1178</v>
      </c>
      <c r="D14" s="144">
        <f>RAT1000PT!$F$131</f>
        <v>0</v>
      </c>
      <c r="E14" s="322"/>
      <c r="F14" s="322"/>
      <c r="G14" s="322"/>
      <c r="H14" s="342"/>
      <c r="I14" s="342"/>
      <c r="J14" s="69"/>
      <c r="L14" s="345"/>
    </row>
    <row r="15" spans="3:12" s="143" customFormat="1" ht="13.5">
      <c r="C15" s="147"/>
      <c r="E15" s="1010"/>
      <c r="F15" s="1010"/>
      <c r="G15" s="1010"/>
      <c r="H15" s="1010"/>
      <c r="I15" s="1010"/>
      <c r="J15" s="38"/>
      <c r="L15" s="1011"/>
    </row>
    <row r="16" spans="3:12" s="1004" customFormat="1" ht="5.25">
      <c r="C16" s="1005"/>
      <c r="E16" s="1006"/>
      <c r="F16" s="1006"/>
      <c r="G16" s="1006"/>
      <c r="H16" s="1006"/>
      <c r="I16" s="1006"/>
      <c r="J16" s="1007"/>
      <c r="L16" s="1008"/>
    </row>
    <row r="17" spans="2:12" s="1004" customFormat="1" ht="5.25">
      <c r="C17" s="1005"/>
      <c r="J17" s="1009"/>
      <c r="L17" s="1008"/>
    </row>
    <row r="18" spans="2:12" s="1004" customFormat="1" ht="5.25">
      <c r="C18" s="1005"/>
      <c r="J18" s="1009"/>
      <c r="L18" s="1008"/>
    </row>
    <row r="19" spans="2:12" s="1004" customFormat="1" ht="5.25">
      <c r="C19" s="1005"/>
      <c r="J19" s="1009"/>
      <c r="L19" s="1008"/>
    </row>
    <row r="20" spans="2:12" s="1004" customFormat="1" ht="5.25">
      <c r="C20" s="1005"/>
      <c r="J20" s="1009"/>
      <c r="L20" s="1008"/>
    </row>
    <row r="21" spans="2:12" s="1004" customFormat="1" ht="5.25">
      <c r="C21" s="1005"/>
      <c r="J21" s="1009"/>
      <c r="L21" s="1008"/>
    </row>
    <row r="22" spans="2:12" s="1004" customFormat="1" ht="5.25">
      <c r="C22" s="1005"/>
      <c r="J22" s="1009"/>
      <c r="L22" s="1008"/>
    </row>
    <row r="23" spans="2:12" s="1004" customFormat="1" ht="5.25">
      <c r="C23" s="1005"/>
      <c r="J23" s="1009"/>
      <c r="L23" s="1008"/>
    </row>
    <row r="24" spans="2:12" s="1004" customFormat="1" ht="5.25">
      <c r="C24" s="1005"/>
      <c r="J24" s="1009"/>
      <c r="L24" s="1008"/>
    </row>
    <row r="25" spans="2:12" s="1004" customFormat="1" ht="5.25">
      <c r="C25" s="1005"/>
      <c r="J25" s="1009"/>
      <c r="L25" s="1008"/>
    </row>
    <row r="26" spans="2:12" s="1004" customFormat="1" ht="5.25">
      <c r="C26" s="1005"/>
      <c r="J26" s="1009"/>
      <c r="L26" s="1008"/>
    </row>
    <row r="27" spans="2:12" s="69" customFormat="1" ht="15.75">
      <c r="C27" s="1002" t="str">
        <f>C4</f>
        <v>Ingresos Estimados = Cargos Corrección P-2 por Ventas Estimadas Originales P-2</v>
      </c>
      <c r="D27" s="1002"/>
      <c r="E27" s="1002"/>
      <c r="F27" s="1002"/>
      <c r="G27" s="1002"/>
      <c r="H27" s="1002"/>
      <c r="I27" s="1002"/>
      <c r="J27" s="1003"/>
      <c r="L27" s="345" t="s">
        <v>678</v>
      </c>
    </row>
    <row r="28" spans="2:12" s="37" customFormat="1" ht="15.75">
      <c r="C28" s="346" t="s">
        <v>310</v>
      </c>
      <c r="D28" s="347">
        <f>F821EO!D4</f>
        <v>45839</v>
      </c>
      <c r="E28" s="347">
        <f>F821EO!E4</f>
        <v>45870</v>
      </c>
      <c r="F28" s="347">
        <f>F821EO!F4</f>
        <v>45901</v>
      </c>
      <c r="G28" s="347">
        <f>F821EO!G4</f>
        <v>45931</v>
      </c>
      <c r="H28" s="347">
        <f>F821EO!H4</f>
        <v>45962</v>
      </c>
      <c r="I28" s="347">
        <f>F821EO!I4</f>
        <v>45992</v>
      </c>
      <c r="J28" s="348" t="s">
        <v>111</v>
      </c>
      <c r="K28" s="69"/>
      <c r="L28" s="349"/>
    </row>
    <row r="29" spans="2:12" s="37" customFormat="1" ht="15.75" customHeight="1">
      <c r="B29" s="48"/>
      <c r="C29" s="153" t="s">
        <v>446</v>
      </c>
      <c r="D29" s="154">
        <f t="shared" ref="D29:I29" si="0">SUM(D30:D31)</f>
        <v>0</v>
      </c>
      <c r="E29" s="154">
        <f t="shared" si="0"/>
        <v>0</v>
      </c>
      <c r="F29" s="154">
        <f t="shared" si="0"/>
        <v>0</v>
      </c>
      <c r="G29" s="154">
        <f t="shared" si="0"/>
        <v>0</v>
      </c>
      <c r="H29" s="154">
        <f t="shared" si="0"/>
        <v>0</v>
      </c>
      <c r="I29" s="154">
        <f t="shared" si="0"/>
        <v>0</v>
      </c>
      <c r="J29" s="154">
        <f>SUM(D29:I29)</f>
        <v>0</v>
      </c>
      <c r="K29" s="69"/>
      <c r="L29" s="350"/>
    </row>
    <row r="30" spans="2:12" s="37" customFormat="1" ht="15.75" customHeight="1">
      <c r="B30" s="48" t="s">
        <v>279</v>
      </c>
      <c r="C30" s="155" t="s">
        <v>279</v>
      </c>
      <c r="D30" s="156">
        <f>$D$7*F821EO!D6</f>
        <v>0</v>
      </c>
      <c r="E30" s="156">
        <f>$D$7*F821EO!E6</f>
        <v>0</v>
      </c>
      <c r="F30" s="156">
        <f>$D$7*F821EO!F6</f>
        <v>0</v>
      </c>
      <c r="G30" s="156">
        <f>$D$7*F821EO!G6</f>
        <v>0</v>
      </c>
      <c r="H30" s="156">
        <f>$D$7*F821EO!H6</f>
        <v>0</v>
      </c>
      <c r="I30" s="156">
        <f>$D$7*F821EO!I6</f>
        <v>0</v>
      </c>
      <c r="J30" s="156">
        <f>SUM(D30:I30)</f>
        <v>0</v>
      </c>
      <c r="K30" s="69"/>
      <c r="L30" s="341"/>
    </row>
    <row r="31" spans="2:12" s="37" customFormat="1" ht="15.75" customHeight="1">
      <c r="B31" s="48" t="s">
        <v>278</v>
      </c>
      <c r="C31" s="155" t="s">
        <v>278</v>
      </c>
      <c r="D31" s="156">
        <f>$D$8*F821EO!D7</f>
        <v>0</v>
      </c>
      <c r="E31" s="156">
        <f>$D$8*F821EO!E7</f>
        <v>0</v>
      </c>
      <c r="F31" s="156">
        <f>$D$8*F821EO!F7</f>
        <v>0</v>
      </c>
      <c r="G31" s="156">
        <f>$D$8*F821EO!G7</f>
        <v>0</v>
      </c>
      <c r="H31" s="156">
        <f>$D$8*F821EO!H7</f>
        <v>0</v>
      </c>
      <c r="I31" s="156">
        <f>$D$8*F821EO!I7</f>
        <v>0</v>
      </c>
      <c r="J31" s="156">
        <f>SUM(D31:I31)</f>
        <v>0</v>
      </c>
      <c r="K31" s="69"/>
      <c r="L31" s="351"/>
    </row>
    <row r="32" spans="2:12" s="37" customFormat="1" ht="15.75" customHeight="1">
      <c r="B32" s="48"/>
      <c r="C32" s="157"/>
      <c r="D32" s="156"/>
      <c r="E32" s="156"/>
      <c r="F32" s="156"/>
      <c r="G32" s="156"/>
      <c r="H32" s="156"/>
      <c r="I32" s="156"/>
      <c r="J32" s="156"/>
      <c r="K32" s="69"/>
      <c r="L32" s="350"/>
    </row>
    <row r="33" spans="2:12" s="37" customFormat="1" ht="15.75" customHeight="1">
      <c r="B33" s="48"/>
      <c r="C33" s="153" t="s">
        <v>630</v>
      </c>
      <c r="D33" s="154">
        <f>D34+D37</f>
        <v>0</v>
      </c>
      <c r="E33" s="154">
        <f t="shared" ref="E33:J33" si="1">E34+E37</f>
        <v>0</v>
      </c>
      <c r="F33" s="154">
        <f t="shared" si="1"/>
        <v>0</v>
      </c>
      <c r="G33" s="154">
        <f t="shared" si="1"/>
        <v>0</v>
      </c>
      <c r="H33" s="154">
        <f t="shared" si="1"/>
        <v>0</v>
      </c>
      <c r="I33" s="154">
        <f t="shared" si="1"/>
        <v>0</v>
      </c>
      <c r="J33" s="154">
        <f t="shared" si="1"/>
        <v>0</v>
      </c>
      <c r="K33" s="69"/>
      <c r="L33" s="341"/>
    </row>
    <row r="34" spans="2:12" s="37" customFormat="1" ht="15.75" customHeight="1">
      <c r="B34" s="48" t="s">
        <v>277</v>
      </c>
      <c r="C34" s="155" t="s">
        <v>277</v>
      </c>
      <c r="D34" s="154">
        <f>SUM(D35:D36)</f>
        <v>0</v>
      </c>
      <c r="E34" s="154">
        <f t="shared" ref="E34:J34" si="2">SUM(E35:E36)</f>
        <v>0</v>
      </c>
      <c r="F34" s="154">
        <f t="shared" si="2"/>
        <v>0</v>
      </c>
      <c r="G34" s="154">
        <f t="shared" si="2"/>
        <v>0</v>
      </c>
      <c r="H34" s="154">
        <f t="shared" si="2"/>
        <v>0</v>
      </c>
      <c r="I34" s="154">
        <f t="shared" si="2"/>
        <v>0</v>
      </c>
      <c r="J34" s="154">
        <f t="shared" si="2"/>
        <v>0</v>
      </c>
      <c r="K34" s="69"/>
      <c r="L34" s="341"/>
    </row>
    <row r="35" spans="2:12" s="37" customFormat="1" ht="15.75" customHeight="1">
      <c r="B35" s="48"/>
      <c r="C35" s="160" t="s">
        <v>304</v>
      </c>
      <c r="D35" s="156">
        <f>$D$9*F821EO!D11*$L35</f>
        <v>0</v>
      </c>
      <c r="E35" s="156">
        <f>$D$9*F821EO!E11*$L35</f>
        <v>0</v>
      </c>
      <c r="F35" s="156">
        <f>$D$9*F821EO!F11*$L35</f>
        <v>0</v>
      </c>
      <c r="G35" s="156">
        <f>$D$9*F821EO!G11*$L35</f>
        <v>0</v>
      </c>
      <c r="H35" s="156">
        <f>$D$9*F821EO!H11*$L35</f>
        <v>0</v>
      </c>
      <c r="I35" s="156">
        <f>$D$9*F821EO!I11*$L35</f>
        <v>0</v>
      </c>
      <c r="J35" s="156">
        <f t="shared" ref="J35:J41" si="3">SUM(D35:I35)</f>
        <v>0</v>
      </c>
      <c r="K35" s="69"/>
      <c r="L35" s="319">
        <v>1</v>
      </c>
    </row>
    <row r="36" spans="2:12" s="37" customFormat="1" ht="15.75" customHeight="1">
      <c r="B36" s="48"/>
      <c r="C36" s="160" t="s">
        <v>305</v>
      </c>
      <c r="D36" s="156">
        <f>$D$9*F821EO!D12*$L36</f>
        <v>0</v>
      </c>
      <c r="E36" s="156">
        <f>$D$9*F821EO!E12*$L36</f>
        <v>0</v>
      </c>
      <c r="F36" s="156">
        <f>$D$9*F821EO!F12*$L36</f>
        <v>0</v>
      </c>
      <c r="G36" s="156">
        <f>$D$9*F821EO!G12*$L36</f>
        <v>0</v>
      </c>
      <c r="H36" s="156">
        <f>$D$9*F821EO!H12*$L36</f>
        <v>0</v>
      </c>
      <c r="I36" s="156">
        <f>$D$9*F821EO!I12*$L36</f>
        <v>0</v>
      </c>
      <c r="J36" s="156">
        <f t="shared" si="3"/>
        <v>0</v>
      </c>
      <c r="K36" s="69"/>
      <c r="L36" s="319">
        <v>0.95</v>
      </c>
    </row>
    <row r="37" spans="2:12" s="37" customFormat="1" ht="15.75" customHeight="1">
      <c r="B37" s="48" t="s">
        <v>276</v>
      </c>
      <c r="C37" s="158" t="s">
        <v>276</v>
      </c>
      <c r="D37" s="159">
        <f t="shared" ref="D37:I37" si="4">SUM(D38:D41)</f>
        <v>0</v>
      </c>
      <c r="E37" s="159">
        <f t="shared" si="4"/>
        <v>0</v>
      </c>
      <c r="F37" s="159">
        <f t="shared" si="4"/>
        <v>0</v>
      </c>
      <c r="G37" s="159">
        <f t="shared" si="4"/>
        <v>0</v>
      </c>
      <c r="H37" s="159">
        <f t="shared" si="4"/>
        <v>0</v>
      </c>
      <c r="I37" s="159">
        <f t="shared" si="4"/>
        <v>0</v>
      </c>
      <c r="J37" s="159">
        <f t="shared" si="3"/>
        <v>0</v>
      </c>
      <c r="K37" s="69"/>
      <c r="L37" s="351"/>
    </row>
    <row r="38" spans="2:12" s="37" customFormat="1" ht="15.75" customHeight="1">
      <c r="B38" s="48"/>
      <c r="C38" s="160" t="s">
        <v>304</v>
      </c>
      <c r="D38" s="156">
        <f>$D$10*F821EO!D15*$L38</f>
        <v>0</v>
      </c>
      <c r="E38" s="156">
        <f>$D$10*F821EO!E15*$L38</f>
        <v>0</v>
      </c>
      <c r="F38" s="156">
        <f>$D$10*F821EO!F15*$L38</f>
        <v>0</v>
      </c>
      <c r="G38" s="156">
        <f>$D$10*F821EO!G15*$L38</f>
        <v>0</v>
      </c>
      <c r="H38" s="156">
        <f>$D$10*F821EO!H15*$L38</f>
        <v>0</v>
      </c>
      <c r="I38" s="156">
        <f>$D$10*F821EO!I15*$L38</f>
        <v>0</v>
      </c>
      <c r="J38" s="156">
        <f t="shared" si="3"/>
        <v>0</v>
      </c>
      <c r="K38" s="69"/>
      <c r="L38" s="319">
        <v>1</v>
      </c>
    </row>
    <row r="39" spans="2:12" s="37" customFormat="1" ht="15.75" customHeight="1">
      <c r="B39" s="48"/>
      <c r="C39" s="161" t="s">
        <v>306</v>
      </c>
      <c r="D39" s="156">
        <f>$D$10*F821EO!D16*$L39</f>
        <v>0</v>
      </c>
      <c r="E39" s="156">
        <f>$D$10*F821EO!E16*$L39</f>
        <v>0</v>
      </c>
      <c r="F39" s="156">
        <f>$D$10*F821EO!F16*$L39</f>
        <v>0</v>
      </c>
      <c r="G39" s="156">
        <f>$D$10*F821EO!G16*$L39</f>
        <v>0</v>
      </c>
      <c r="H39" s="156">
        <f>$D$10*F821EO!H16*$L39</f>
        <v>0</v>
      </c>
      <c r="I39" s="156">
        <f>$D$10*F821EO!I16*$L39</f>
        <v>0</v>
      </c>
      <c r="J39" s="156">
        <f t="shared" si="3"/>
        <v>0</v>
      </c>
      <c r="K39" s="69"/>
      <c r="L39" s="319">
        <v>1</v>
      </c>
    </row>
    <row r="40" spans="2:12" s="37" customFormat="1" ht="15.75" customHeight="1">
      <c r="B40" s="48"/>
      <c r="C40" s="160" t="s">
        <v>305</v>
      </c>
      <c r="D40" s="156">
        <f>$D$10*F821EO!D17*$L40</f>
        <v>0</v>
      </c>
      <c r="E40" s="156">
        <f>$D$10*F821EO!E17*$L40</f>
        <v>0</v>
      </c>
      <c r="F40" s="156">
        <f>$D$10*F821EO!F17*$L40</f>
        <v>0</v>
      </c>
      <c r="G40" s="156">
        <f>$D$10*F821EO!G17*$L40</f>
        <v>0</v>
      </c>
      <c r="H40" s="156">
        <f>$D$10*F821EO!H17*$L40</f>
        <v>0</v>
      </c>
      <c r="I40" s="156">
        <f>$D$10*F821EO!I17*$L40</f>
        <v>0</v>
      </c>
      <c r="J40" s="156">
        <f t="shared" si="3"/>
        <v>0</v>
      </c>
      <c r="K40" s="69"/>
      <c r="L40" s="319">
        <v>0.95</v>
      </c>
    </row>
    <row r="41" spans="2:12" s="37" customFormat="1" ht="15.75" customHeight="1">
      <c r="B41" s="48"/>
      <c r="C41" s="160" t="s">
        <v>307</v>
      </c>
      <c r="D41" s="156">
        <f>$D$10*F821EO!D18*$L41</f>
        <v>0</v>
      </c>
      <c r="E41" s="156">
        <f>$D$10*F821EO!E18*$L41</f>
        <v>0</v>
      </c>
      <c r="F41" s="156">
        <f>$D$10*F821EO!F18*$L41</f>
        <v>0</v>
      </c>
      <c r="G41" s="156">
        <f>$D$10*F821EO!G18*$L41</f>
        <v>0</v>
      </c>
      <c r="H41" s="156">
        <f>$D$10*F821EO!H18*$L41</f>
        <v>0</v>
      </c>
      <c r="I41" s="156">
        <f>$D$10*F821EO!I18*$L41</f>
        <v>0</v>
      </c>
      <c r="J41" s="156">
        <f t="shared" si="3"/>
        <v>0</v>
      </c>
      <c r="K41" s="69"/>
      <c r="L41" s="319">
        <v>0.5</v>
      </c>
    </row>
    <row r="42" spans="2:12" s="37" customFormat="1" ht="15.75" customHeight="1">
      <c r="B42" s="48"/>
      <c r="C42" s="157"/>
      <c r="D42" s="157"/>
      <c r="E42" s="157"/>
      <c r="F42" s="157"/>
      <c r="G42" s="157"/>
      <c r="H42" s="157"/>
      <c r="I42" s="157"/>
      <c r="J42" s="157"/>
      <c r="K42" s="69"/>
      <c r="L42" s="341"/>
    </row>
    <row r="43" spans="2:12" s="37" customFormat="1" ht="15.75" customHeight="1">
      <c r="B43" s="48"/>
      <c r="C43" s="153" t="s">
        <v>443</v>
      </c>
      <c r="D43" s="154">
        <f t="shared" ref="D43:I43" si="5">D44+D48+D55+D60+D65+D78+D84+D91+D99+D105+D112+D71</f>
        <v>0</v>
      </c>
      <c r="E43" s="154">
        <f t="shared" si="5"/>
        <v>0</v>
      </c>
      <c r="F43" s="154">
        <f t="shared" si="5"/>
        <v>0</v>
      </c>
      <c r="G43" s="154">
        <f t="shared" si="5"/>
        <v>0</v>
      </c>
      <c r="H43" s="154">
        <f t="shared" si="5"/>
        <v>0</v>
      </c>
      <c r="I43" s="154">
        <f t="shared" si="5"/>
        <v>0</v>
      </c>
      <c r="J43" s="154">
        <f>J44+J48+J55+J60+J65+J78+J84+J91+J99+J105+J112</f>
        <v>0</v>
      </c>
      <c r="K43" s="69"/>
      <c r="L43" s="341"/>
    </row>
    <row r="44" spans="2:12" s="37" customFormat="1" ht="15.75" customHeight="1">
      <c r="B44" s="48" t="s">
        <v>275</v>
      </c>
      <c r="C44" s="155" t="s">
        <v>275</v>
      </c>
      <c r="D44" s="154">
        <f>SUM(D45:D47)</f>
        <v>0</v>
      </c>
      <c r="E44" s="154">
        <f t="shared" ref="E44:J44" si="6">SUM(E45:E47)</f>
        <v>0</v>
      </c>
      <c r="F44" s="154">
        <f t="shared" si="6"/>
        <v>0</v>
      </c>
      <c r="G44" s="154">
        <f t="shared" si="6"/>
        <v>0</v>
      </c>
      <c r="H44" s="154">
        <f t="shared" si="6"/>
        <v>0</v>
      </c>
      <c r="I44" s="154">
        <f t="shared" si="6"/>
        <v>0</v>
      </c>
      <c r="J44" s="154">
        <f t="shared" si="6"/>
        <v>0</v>
      </c>
      <c r="K44" s="69"/>
      <c r="L44" s="341"/>
    </row>
    <row r="45" spans="2:12" s="37" customFormat="1" ht="15.75" customHeight="1">
      <c r="B45" s="48"/>
      <c r="C45" s="160" t="s">
        <v>304</v>
      </c>
      <c r="D45" s="156">
        <f>$D$11*F821EO!D22*$L45</f>
        <v>0</v>
      </c>
      <c r="E45" s="156">
        <f>$D$11*F821EO!E22*$L45</f>
        <v>0</v>
      </c>
      <c r="F45" s="156">
        <f>$D$11*F821EO!F22*$L45</f>
        <v>0</v>
      </c>
      <c r="G45" s="156">
        <f>$D$11*F821EO!G22*$L45</f>
        <v>0</v>
      </c>
      <c r="H45" s="156">
        <f>$D$11*F821EO!H22*$L45</f>
        <v>0</v>
      </c>
      <c r="I45" s="156">
        <f>$D$11*F821EO!I22*$L45</f>
        <v>0</v>
      </c>
      <c r="J45" s="156">
        <f t="shared" ref="J45" si="7">SUM(D45:I45)</f>
        <v>0</v>
      </c>
      <c r="K45" s="69"/>
      <c r="L45" s="319">
        <v>1</v>
      </c>
    </row>
    <row r="46" spans="2:12" s="37" customFormat="1" ht="15.75" customHeight="1">
      <c r="B46" s="48"/>
      <c r="C46" s="161" t="s">
        <v>306</v>
      </c>
      <c r="D46" s="156">
        <f>$D$11*F821EO!D23*$L46</f>
        <v>0</v>
      </c>
      <c r="E46" s="156">
        <f>$D$11*F821EO!E23*$L46</f>
        <v>0</v>
      </c>
      <c r="F46" s="156">
        <f>$D$11*F821EO!F23*$L46</f>
        <v>0</v>
      </c>
      <c r="G46" s="156">
        <f>$D$11*F821EO!G23*$L46</f>
        <v>0</v>
      </c>
      <c r="H46" s="156">
        <f>$D$11*F821EO!H23*$L46</f>
        <v>0</v>
      </c>
      <c r="I46" s="156">
        <f>$D$11*F821EO!I23*$L46</f>
        <v>0</v>
      </c>
      <c r="J46" s="156">
        <f t="shared" ref="J46:J69" si="8">SUM(D46:I46)</f>
        <v>0</v>
      </c>
      <c r="K46" s="69"/>
      <c r="L46" s="319">
        <v>0.75</v>
      </c>
    </row>
    <row r="47" spans="2:12" s="37" customFormat="1" ht="15.75" customHeight="1">
      <c r="B47" s="48"/>
      <c r="C47" s="160" t="s">
        <v>305</v>
      </c>
      <c r="D47" s="156">
        <f>$D$11*F821EO!D24*$L47</f>
        <v>0</v>
      </c>
      <c r="E47" s="156">
        <f>$D$11*F821EO!E24*$L47</f>
        <v>0</v>
      </c>
      <c r="F47" s="156">
        <f>$D$11*F821EO!F24*$L47</f>
        <v>0</v>
      </c>
      <c r="G47" s="156">
        <f>$D$11*F821EO!G24*$L47</f>
        <v>0</v>
      </c>
      <c r="H47" s="156">
        <f>$D$11*F821EO!H24*$L47</f>
        <v>0</v>
      </c>
      <c r="I47" s="156">
        <f>$D$11*F821EO!I24*$L47</f>
        <v>0</v>
      </c>
      <c r="J47" s="156">
        <f t="shared" si="8"/>
        <v>0</v>
      </c>
      <c r="K47" s="69"/>
      <c r="L47" s="319">
        <v>0.95</v>
      </c>
    </row>
    <row r="48" spans="2:12" s="37" customFormat="1" ht="15.75" customHeight="1">
      <c r="B48" s="48" t="s">
        <v>274</v>
      </c>
      <c r="C48" s="158" t="s">
        <v>627</v>
      </c>
      <c r="D48" s="159">
        <f t="shared" ref="D48:I48" si="9">SUM(D49:D54)</f>
        <v>0</v>
      </c>
      <c r="E48" s="159">
        <f t="shared" si="9"/>
        <v>0</v>
      </c>
      <c r="F48" s="159">
        <f t="shared" si="9"/>
        <v>0</v>
      </c>
      <c r="G48" s="159">
        <f t="shared" si="9"/>
        <v>0</v>
      </c>
      <c r="H48" s="159">
        <f t="shared" si="9"/>
        <v>0</v>
      </c>
      <c r="I48" s="159">
        <f t="shared" si="9"/>
        <v>0</v>
      </c>
      <c r="J48" s="159">
        <f t="shared" si="8"/>
        <v>0</v>
      </c>
      <c r="K48" s="69"/>
      <c r="L48" s="341"/>
    </row>
    <row r="49" spans="2:12" s="37" customFormat="1" ht="15.75" customHeight="1">
      <c r="B49" s="48"/>
      <c r="C49" s="160" t="s">
        <v>304</v>
      </c>
      <c r="D49" s="156">
        <f>$D$12*F821EO!D28*$L49</f>
        <v>0</v>
      </c>
      <c r="E49" s="156">
        <f>$D$12*F821EO!E28*$L49</f>
        <v>0</v>
      </c>
      <c r="F49" s="156">
        <f>$D$12*F821EO!F28*$L49</f>
        <v>0</v>
      </c>
      <c r="G49" s="156">
        <f>$D$12*F821EO!G28*$L49</f>
        <v>0</v>
      </c>
      <c r="H49" s="156">
        <f>$D$12*F821EO!H28*$L49</f>
        <v>0</v>
      </c>
      <c r="I49" s="156">
        <f>$D$12*F821EO!I28*$L49</f>
        <v>0</v>
      </c>
      <c r="J49" s="156">
        <f t="shared" si="8"/>
        <v>0</v>
      </c>
      <c r="K49" s="69"/>
      <c r="L49" s="319">
        <v>1</v>
      </c>
    </row>
    <row r="50" spans="2:12" s="37" customFormat="1" ht="15.75" customHeight="1">
      <c r="B50" s="48"/>
      <c r="C50" s="162" t="s">
        <v>628</v>
      </c>
      <c r="D50" s="156">
        <f>$D$12*F821EO!D29*$L50</f>
        <v>0</v>
      </c>
      <c r="E50" s="156">
        <f>$D$12*F821EO!E29*$L50</f>
        <v>0</v>
      </c>
      <c r="F50" s="156">
        <f>$D$12*F821EO!F29*$L50</f>
        <v>0</v>
      </c>
      <c r="G50" s="156">
        <f>$D$12*F821EO!G29*$L50</f>
        <v>0</v>
      </c>
      <c r="H50" s="156">
        <f>$D$12*F821EO!H29*$L50</f>
        <v>0</v>
      </c>
      <c r="I50" s="156">
        <f>$D$12*F821EO!I29*$L50</f>
        <v>0</v>
      </c>
      <c r="J50" s="156">
        <f t="shared" si="8"/>
        <v>0</v>
      </c>
      <c r="K50" s="69"/>
      <c r="L50" s="319">
        <v>0.75</v>
      </c>
    </row>
    <row r="51" spans="2:12" s="37" customFormat="1" ht="15.75" customHeight="1">
      <c r="B51" s="48"/>
      <c r="C51" s="161" t="s">
        <v>629</v>
      </c>
      <c r="D51" s="156">
        <f>$D$12*F821EO!D30*$L51</f>
        <v>0</v>
      </c>
      <c r="E51" s="156">
        <f>$D$12*F821EO!E30*$L51</f>
        <v>0</v>
      </c>
      <c r="F51" s="156">
        <f>$D$12*F821EO!F30*$L51</f>
        <v>0</v>
      </c>
      <c r="G51" s="156">
        <f>$D$12*F821EO!G30*$L51</f>
        <v>0</v>
      </c>
      <c r="H51" s="156">
        <f>$D$12*F821EO!H30*$L51</f>
        <v>0</v>
      </c>
      <c r="I51" s="156">
        <f>$D$12*F821EO!I30*$L51</f>
        <v>0</v>
      </c>
      <c r="J51" s="156">
        <f t="shared" si="8"/>
        <v>0</v>
      </c>
      <c r="K51" s="69"/>
      <c r="L51" s="319">
        <v>1</v>
      </c>
    </row>
    <row r="52" spans="2:12" s="37" customFormat="1" ht="15.75" customHeight="1">
      <c r="B52" s="48"/>
      <c r="C52" s="160" t="s">
        <v>305</v>
      </c>
      <c r="D52" s="156">
        <f>$D$12*F821EO!D31*$L52</f>
        <v>0</v>
      </c>
      <c r="E52" s="156">
        <f>$D$12*F821EO!E31*$L52</f>
        <v>0</v>
      </c>
      <c r="F52" s="156">
        <f>$D$12*F821EO!F31*$L52</f>
        <v>0</v>
      </c>
      <c r="G52" s="156">
        <f>$D$12*F821EO!G31*$L52</f>
        <v>0</v>
      </c>
      <c r="H52" s="156">
        <f>$D$12*F821EO!H31*$L52</f>
        <v>0</v>
      </c>
      <c r="I52" s="156">
        <f>$D$12*F821EO!I31*$L52</f>
        <v>0</v>
      </c>
      <c r="J52" s="156">
        <f t="shared" si="8"/>
        <v>0</v>
      </c>
      <c r="K52" s="69"/>
      <c r="L52" s="319">
        <v>0.95</v>
      </c>
    </row>
    <row r="53" spans="2:12" s="37" customFormat="1" ht="15.75" customHeight="1">
      <c r="B53" s="48"/>
      <c r="C53" s="160" t="s">
        <v>307</v>
      </c>
      <c r="D53" s="156">
        <f>$D$12*F821EO!D32*$L53</f>
        <v>0</v>
      </c>
      <c r="E53" s="156">
        <f>$D$12*F821EO!E32*$L53</f>
        <v>0</v>
      </c>
      <c r="F53" s="156">
        <f>$D$12*F821EO!F32*$L53</f>
        <v>0</v>
      </c>
      <c r="G53" s="156">
        <f>$D$12*F821EO!G32*$L53</f>
        <v>0</v>
      </c>
      <c r="H53" s="156">
        <f>$D$12*F821EO!H32*$L53</f>
        <v>0</v>
      </c>
      <c r="I53" s="156">
        <f>$D$12*F821EO!I32*$L53</f>
        <v>0</v>
      </c>
      <c r="J53" s="156">
        <f t="shared" si="8"/>
        <v>0</v>
      </c>
      <c r="K53" s="69"/>
      <c r="L53" s="319">
        <v>0.5</v>
      </c>
    </row>
    <row r="54" spans="2:12" s="37" customFormat="1" ht="15.75" customHeight="1">
      <c r="B54" s="48"/>
      <c r="C54" s="160" t="s">
        <v>624</v>
      </c>
      <c r="D54" s="156">
        <f>$D$12*F821EO!D33*$L54</f>
        <v>0</v>
      </c>
      <c r="E54" s="156">
        <f>$D$12*F821EO!E33*$L54</f>
        <v>0</v>
      </c>
      <c r="F54" s="156">
        <f>$D$12*F821EO!F33*$L54</f>
        <v>0</v>
      </c>
      <c r="G54" s="156">
        <f>$D$12*F821EO!G33*$L54</f>
        <v>0</v>
      </c>
      <c r="H54" s="156">
        <f>$D$12*F821EO!H33*$L54</f>
        <v>0</v>
      </c>
      <c r="I54" s="156">
        <f>$D$12*F821EO!I33*$L54</f>
        <v>0</v>
      </c>
      <c r="J54" s="156">
        <f t="shared" si="8"/>
        <v>0</v>
      </c>
      <c r="K54" s="69"/>
      <c r="L54" s="319">
        <v>0</v>
      </c>
    </row>
    <row r="55" spans="2:12" s="37" customFormat="1" ht="15.75" customHeight="1">
      <c r="B55" s="48" t="s">
        <v>274</v>
      </c>
      <c r="C55" s="158" t="s">
        <v>631</v>
      </c>
      <c r="D55" s="159">
        <f t="shared" ref="D55:I55" si="10">SUM(D56:D59)</f>
        <v>0</v>
      </c>
      <c r="E55" s="159">
        <f t="shared" si="10"/>
        <v>0</v>
      </c>
      <c r="F55" s="159">
        <f t="shared" si="10"/>
        <v>0</v>
      </c>
      <c r="G55" s="159">
        <f t="shared" si="10"/>
        <v>0</v>
      </c>
      <c r="H55" s="159">
        <f t="shared" si="10"/>
        <v>0</v>
      </c>
      <c r="I55" s="159">
        <f t="shared" si="10"/>
        <v>0</v>
      </c>
      <c r="J55" s="159">
        <f t="shared" si="8"/>
        <v>0</v>
      </c>
      <c r="K55" s="69"/>
      <c r="L55" s="341"/>
    </row>
    <row r="56" spans="2:12" s="37" customFormat="1" ht="15.75" customHeight="1">
      <c r="B56" s="48"/>
      <c r="C56" s="160" t="s">
        <v>304</v>
      </c>
      <c r="D56" s="156">
        <f>$D$12*F821EO!D35*$L56</f>
        <v>0</v>
      </c>
      <c r="E56" s="156">
        <f>$D$12*F821EO!E35*$L56</f>
        <v>0</v>
      </c>
      <c r="F56" s="156">
        <f>$D$12*F821EO!F35*$L56</f>
        <v>0</v>
      </c>
      <c r="G56" s="156">
        <f>$D$12*F821EO!G35*$L56</f>
        <v>0</v>
      </c>
      <c r="H56" s="156">
        <f>$D$12*F821EO!H35*$L56</f>
        <v>0</v>
      </c>
      <c r="I56" s="156">
        <f>$D$12*F821EO!I35*$L56</f>
        <v>0</v>
      </c>
      <c r="J56" s="156">
        <f t="shared" si="8"/>
        <v>0</v>
      </c>
      <c r="K56" s="69"/>
      <c r="L56" s="319">
        <v>1</v>
      </c>
    </row>
    <row r="57" spans="2:12" s="37" customFormat="1" ht="15.75" customHeight="1">
      <c r="B57" s="48"/>
      <c r="C57" s="161" t="s">
        <v>306</v>
      </c>
      <c r="D57" s="156">
        <f>$D$12*F821EO!D36*$L57</f>
        <v>0</v>
      </c>
      <c r="E57" s="156">
        <f>$D$12*F821EO!E36*$L57</f>
        <v>0</v>
      </c>
      <c r="F57" s="156">
        <f>$D$12*F821EO!F36*$L57</f>
        <v>0</v>
      </c>
      <c r="G57" s="156">
        <f>$D$12*F821EO!G36*$L57</f>
        <v>0</v>
      </c>
      <c r="H57" s="156">
        <f>$D$12*F821EO!H36*$L57</f>
        <v>0</v>
      </c>
      <c r="I57" s="156">
        <f>$D$12*F821EO!I36*$L57</f>
        <v>0</v>
      </c>
      <c r="J57" s="156">
        <f t="shared" si="8"/>
        <v>0</v>
      </c>
      <c r="K57" s="69"/>
      <c r="L57" s="319">
        <v>1</v>
      </c>
    </row>
    <row r="58" spans="2:12" s="37" customFormat="1" ht="15.75" customHeight="1">
      <c r="B58" s="48"/>
      <c r="C58" s="160" t="s">
        <v>305</v>
      </c>
      <c r="D58" s="156">
        <f>$D$12*F821EO!D37*$L58</f>
        <v>0</v>
      </c>
      <c r="E58" s="156">
        <f>$D$12*F821EO!E37*$L58</f>
        <v>0</v>
      </c>
      <c r="F58" s="156">
        <f>$D$12*F821EO!F37*$L58</f>
        <v>0</v>
      </c>
      <c r="G58" s="156">
        <f>$D$12*F821EO!G37*$L58</f>
        <v>0</v>
      </c>
      <c r="H58" s="156">
        <f>$D$12*F821EO!H37*$L58</f>
        <v>0</v>
      </c>
      <c r="I58" s="156">
        <f>$D$12*F821EO!I37*$L58</f>
        <v>0</v>
      </c>
      <c r="J58" s="156">
        <f t="shared" si="8"/>
        <v>0</v>
      </c>
      <c r="K58" s="69"/>
      <c r="L58" s="319">
        <v>0.95</v>
      </c>
    </row>
    <row r="59" spans="2:12" s="37" customFormat="1" ht="15.75" customHeight="1">
      <c r="B59" s="48"/>
      <c r="C59" s="160" t="s">
        <v>307</v>
      </c>
      <c r="D59" s="156">
        <f>$D$12*F821EO!D38*$L59</f>
        <v>0</v>
      </c>
      <c r="E59" s="156">
        <f>$D$12*F821EO!E38*$L59</f>
        <v>0</v>
      </c>
      <c r="F59" s="156">
        <f>$D$12*F821EO!F38*$L59</f>
        <v>0</v>
      </c>
      <c r="G59" s="156">
        <f>$D$12*F821EO!G38*$L59</f>
        <v>0</v>
      </c>
      <c r="H59" s="156">
        <f>$D$12*F821EO!H38*$L59</f>
        <v>0</v>
      </c>
      <c r="I59" s="156">
        <f>$D$12*F821EO!I38*$L59</f>
        <v>0</v>
      </c>
      <c r="J59" s="156">
        <f t="shared" si="8"/>
        <v>0</v>
      </c>
      <c r="K59" s="69"/>
      <c r="L59" s="319">
        <v>0.5</v>
      </c>
    </row>
    <row r="60" spans="2:12" s="37" customFormat="1" ht="15.75" customHeight="1">
      <c r="B60" s="48" t="s">
        <v>274</v>
      </c>
      <c r="C60" s="158" t="s">
        <v>632</v>
      </c>
      <c r="D60" s="159">
        <f t="shared" ref="D60:I60" si="11">SUM(D61:D64)</f>
        <v>0</v>
      </c>
      <c r="E60" s="159">
        <f t="shared" si="11"/>
        <v>0</v>
      </c>
      <c r="F60" s="159">
        <f t="shared" si="11"/>
        <v>0</v>
      </c>
      <c r="G60" s="159">
        <f t="shared" si="11"/>
        <v>0</v>
      </c>
      <c r="H60" s="159">
        <f t="shared" si="11"/>
        <v>0</v>
      </c>
      <c r="I60" s="159">
        <f t="shared" si="11"/>
        <v>0</v>
      </c>
      <c r="J60" s="159">
        <f t="shared" si="8"/>
        <v>0</v>
      </c>
      <c r="K60" s="69"/>
      <c r="L60" s="319"/>
    </row>
    <row r="61" spans="2:12" s="37" customFormat="1" ht="15.75" customHeight="1">
      <c r="B61" s="48"/>
      <c r="C61" s="160" t="s">
        <v>304</v>
      </c>
      <c r="D61" s="156">
        <f>$D$12*F821EO!D40*$L61</f>
        <v>0</v>
      </c>
      <c r="E61" s="156">
        <f>$D$12*F821EO!E40*$L61</f>
        <v>0</v>
      </c>
      <c r="F61" s="156">
        <f>$D$12*F821EO!F40*$L61</f>
        <v>0</v>
      </c>
      <c r="G61" s="156">
        <f>$D$12*F821EO!G40*$L61</f>
        <v>0</v>
      </c>
      <c r="H61" s="156">
        <f>$D$12*F821EO!H40*$L61</f>
        <v>0</v>
      </c>
      <c r="I61" s="156">
        <f>$D$12*F821EO!I40*$L61</f>
        <v>0</v>
      </c>
      <c r="J61" s="156">
        <f t="shared" si="8"/>
        <v>0</v>
      </c>
      <c r="K61" s="69"/>
      <c r="L61" s="319">
        <v>1</v>
      </c>
    </row>
    <row r="62" spans="2:12" s="37" customFormat="1" ht="15.75" customHeight="1">
      <c r="B62" s="48"/>
      <c r="C62" s="161" t="s">
        <v>306</v>
      </c>
      <c r="D62" s="156">
        <f>$D$12*F821EO!D41*$L62</f>
        <v>0</v>
      </c>
      <c r="E62" s="156">
        <f>$D$12*F821EO!E41*$L62</f>
        <v>0</v>
      </c>
      <c r="F62" s="156">
        <f>$D$12*F821EO!F41*$L62</f>
        <v>0</v>
      </c>
      <c r="G62" s="156">
        <f>$D$12*F821EO!G41*$L62</f>
        <v>0</v>
      </c>
      <c r="H62" s="156">
        <f>$D$12*F821EO!H41*$L62</f>
        <v>0</v>
      </c>
      <c r="I62" s="156">
        <f>$D$12*F821EO!I41*$L62</f>
        <v>0</v>
      </c>
      <c r="J62" s="156">
        <f t="shared" si="8"/>
        <v>0</v>
      </c>
      <c r="K62" s="69"/>
      <c r="L62" s="319">
        <v>1</v>
      </c>
    </row>
    <row r="63" spans="2:12" s="37" customFormat="1" ht="15.75" customHeight="1">
      <c r="B63" s="48"/>
      <c r="C63" s="160" t="s">
        <v>305</v>
      </c>
      <c r="D63" s="156">
        <f>$D$12*F821EO!D42*$L63</f>
        <v>0</v>
      </c>
      <c r="E63" s="156">
        <f>$D$12*F821EO!E42*$L63</f>
        <v>0</v>
      </c>
      <c r="F63" s="156">
        <f>$D$12*F821EO!F42*$L63</f>
        <v>0</v>
      </c>
      <c r="G63" s="156">
        <f>$D$12*F821EO!G42*$L63</f>
        <v>0</v>
      </c>
      <c r="H63" s="156">
        <f>$D$12*F821EO!H42*$L63</f>
        <v>0</v>
      </c>
      <c r="I63" s="156">
        <f>$D$12*F821EO!I42*$L63</f>
        <v>0</v>
      </c>
      <c r="J63" s="156">
        <f t="shared" si="8"/>
        <v>0</v>
      </c>
      <c r="K63" s="69"/>
      <c r="L63" s="319">
        <v>0.95</v>
      </c>
    </row>
    <row r="64" spans="2:12" s="37" customFormat="1" ht="15.75" customHeight="1">
      <c r="B64" s="48"/>
      <c r="C64" s="160" t="s">
        <v>307</v>
      </c>
      <c r="D64" s="156">
        <f>$D$12*F821EO!D43*$L64</f>
        <v>0</v>
      </c>
      <c r="E64" s="156">
        <f>$D$12*F821EO!E43*$L64</f>
        <v>0</v>
      </c>
      <c r="F64" s="156">
        <f>$D$12*F821EO!F43*$L64</f>
        <v>0</v>
      </c>
      <c r="G64" s="156">
        <f>$D$12*F821EO!G43*$L64</f>
        <v>0</v>
      </c>
      <c r="H64" s="156">
        <f>$D$12*F821EO!H43*$L64</f>
        <v>0</v>
      </c>
      <c r="I64" s="156">
        <f>$D$12*F821EO!I43*$L64</f>
        <v>0</v>
      </c>
      <c r="J64" s="156">
        <f t="shared" si="8"/>
        <v>0</v>
      </c>
      <c r="K64" s="69"/>
      <c r="L64" s="319">
        <v>0.5</v>
      </c>
    </row>
    <row r="65" spans="2:12" s="37" customFormat="1" ht="15.75" customHeight="1">
      <c r="B65" s="48" t="s">
        <v>274</v>
      </c>
      <c r="C65" s="158" t="s">
        <v>633</v>
      </c>
      <c r="D65" s="159">
        <f t="shared" ref="D65:I65" si="12">SUM(D66:D69)</f>
        <v>0</v>
      </c>
      <c r="E65" s="159">
        <f t="shared" si="12"/>
        <v>0</v>
      </c>
      <c r="F65" s="159">
        <f t="shared" si="12"/>
        <v>0</v>
      </c>
      <c r="G65" s="159">
        <f t="shared" si="12"/>
        <v>0</v>
      </c>
      <c r="H65" s="159">
        <f t="shared" si="12"/>
        <v>0</v>
      </c>
      <c r="I65" s="159">
        <f t="shared" si="12"/>
        <v>0</v>
      </c>
      <c r="J65" s="159">
        <f t="shared" si="8"/>
        <v>0</v>
      </c>
      <c r="K65" s="69"/>
      <c r="L65" s="341"/>
    </row>
    <row r="66" spans="2:12" s="37" customFormat="1" ht="15.75" customHeight="1">
      <c r="B66" s="48"/>
      <c r="C66" s="160" t="s">
        <v>304</v>
      </c>
      <c r="D66" s="156">
        <f>$D$12*F821EO!D45*$L66</f>
        <v>0</v>
      </c>
      <c r="E66" s="156">
        <f>$D$12*F821EO!E45*$L66</f>
        <v>0</v>
      </c>
      <c r="F66" s="156">
        <f>$D$12*F821EO!F45*$L66</f>
        <v>0</v>
      </c>
      <c r="G66" s="156">
        <f>$D$12*F821EO!G45*$L66</f>
        <v>0</v>
      </c>
      <c r="H66" s="156">
        <f>$D$12*F821EO!H45*$L66</f>
        <v>0</v>
      </c>
      <c r="I66" s="156">
        <f>$D$12*F821EO!I45*$L66</f>
        <v>0</v>
      </c>
      <c r="J66" s="156">
        <f t="shared" si="8"/>
        <v>0</v>
      </c>
      <c r="K66" s="69"/>
      <c r="L66" s="319">
        <v>1</v>
      </c>
    </row>
    <row r="67" spans="2:12" s="37" customFormat="1" ht="15.75" customHeight="1">
      <c r="B67" s="48"/>
      <c r="C67" s="161" t="s">
        <v>306</v>
      </c>
      <c r="D67" s="156">
        <f>$D$12*F821EO!D46*$L67</f>
        <v>0</v>
      </c>
      <c r="E67" s="156">
        <f>$D$12*F821EO!E46*$L67</f>
        <v>0</v>
      </c>
      <c r="F67" s="156">
        <f>$D$12*F821EO!F46*$L67</f>
        <v>0</v>
      </c>
      <c r="G67" s="156">
        <f>$D$12*F821EO!G46*$L67</f>
        <v>0</v>
      </c>
      <c r="H67" s="156">
        <f>$D$12*F821EO!H46*$L67</f>
        <v>0</v>
      </c>
      <c r="I67" s="156">
        <f>$D$12*F821EO!I46*$L67</f>
        <v>0</v>
      </c>
      <c r="J67" s="156">
        <f t="shared" si="8"/>
        <v>0</v>
      </c>
      <c r="K67" s="69"/>
      <c r="L67" s="319">
        <v>1</v>
      </c>
    </row>
    <row r="68" spans="2:12" s="37" customFormat="1" ht="15.75" customHeight="1">
      <c r="B68" s="48"/>
      <c r="C68" s="160" t="s">
        <v>305</v>
      </c>
      <c r="D68" s="156">
        <f>$D$12*F821EO!D47*$L68</f>
        <v>0</v>
      </c>
      <c r="E68" s="156">
        <f>$D$12*F821EO!E47*$L68</f>
        <v>0</v>
      </c>
      <c r="F68" s="156">
        <f>$D$12*F821EO!F47*$L68</f>
        <v>0</v>
      </c>
      <c r="G68" s="156">
        <f>$D$12*F821EO!G47*$L68</f>
        <v>0</v>
      </c>
      <c r="H68" s="156">
        <f>$D$12*F821EO!H47*$L68</f>
        <v>0</v>
      </c>
      <c r="I68" s="156">
        <f>$D$12*F821EO!I47*$L68</f>
        <v>0</v>
      </c>
      <c r="J68" s="156">
        <f t="shared" si="8"/>
        <v>0</v>
      </c>
      <c r="K68" s="69"/>
      <c r="L68" s="319">
        <v>0.95</v>
      </c>
    </row>
    <row r="69" spans="2:12" s="37" customFormat="1" ht="15.75" customHeight="1">
      <c r="B69" s="48"/>
      <c r="C69" s="160" t="s">
        <v>307</v>
      </c>
      <c r="D69" s="156">
        <f>$D$12*F821EO!D48*$L69</f>
        <v>0</v>
      </c>
      <c r="E69" s="156">
        <f>$D$12*F821EO!E48*$L69</f>
        <v>0</v>
      </c>
      <c r="F69" s="156">
        <f>$D$12*F821EO!F48*$L69</f>
        <v>0</v>
      </c>
      <c r="G69" s="156">
        <f>$D$12*F821EO!G48*$L69</f>
        <v>0</v>
      </c>
      <c r="H69" s="156">
        <f>$D$12*F821EO!H48*$L69</f>
        <v>0</v>
      </c>
      <c r="I69" s="156">
        <f>$D$12*F821EO!I48*$L69</f>
        <v>0</v>
      </c>
      <c r="J69" s="156">
        <f t="shared" si="8"/>
        <v>0</v>
      </c>
      <c r="K69" s="69"/>
      <c r="L69" s="319">
        <v>0.5</v>
      </c>
    </row>
    <row r="70" spans="2:12" s="37" customFormat="1" ht="15.75">
      <c r="B70" s="48"/>
      <c r="C70" s="157"/>
      <c r="D70" s="156"/>
      <c r="E70" s="156"/>
      <c r="F70" s="156"/>
      <c r="G70" s="156"/>
      <c r="H70" s="156"/>
      <c r="I70" s="156"/>
      <c r="J70" s="156"/>
      <c r="K70" s="69"/>
      <c r="L70" s="341"/>
    </row>
    <row r="71" spans="2:12" s="37" customFormat="1" ht="15.75">
      <c r="B71" s="48" t="s">
        <v>1176</v>
      </c>
      <c r="C71" s="158" t="str">
        <f>F801ENE!$C$50</f>
        <v>BTSH</v>
      </c>
      <c r="D71" s="154">
        <f>SUM(D72:D77)</f>
        <v>0</v>
      </c>
      <c r="E71" s="154">
        <f t="shared" ref="E71:J71" si="13">SUM(E72:E77)</f>
        <v>0</v>
      </c>
      <c r="F71" s="154">
        <f t="shared" si="13"/>
        <v>0</v>
      </c>
      <c r="G71" s="154">
        <f t="shared" si="13"/>
        <v>0</v>
      </c>
      <c r="H71" s="154">
        <f t="shared" si="13"/>
        <v>0</v>
      </c>
      <c r="I71" s="154">
        <f t="shared" si="13"/>
        <v>0</v>
      </c>
      <c r="J71" s="154">
        <f t="shared" si="13"/>
        <v>0</v>
      </c>
      <c r="K71" s="69"/>
      <c r="L71" s="341"/>
    </row>
    <row r="72" spans="2:12" s="37" customFormat="1" ht="15.75">
      <c r="B72" s="48"/>
      <c r="C72" s="160" t="str">
        <f>F801ENE!$C$51</f>
        <v xml:space="preserve">    - Regulares</v>
      </c>
      <c r="D72" s="156">
        <f>$D$13*(F821EO!D51-10*F801C!D51)*1</f>
        <v>0</v>
      </c>
      <c r="E72" s="156">
        <f>$D$13*(F821EO!E51-10*F801C!E51)*1</f>
        <v>0</v>
      </c>
      <c r="F72" s="156">
        <f>$D$13*(F821EO!F51-10*F801C!F51)*1</f>
        <v>0</v>
      </c>
      <c r="G72" s="156">
        <f>$D$13*(F821EO!G51-10*F801C!G51)*1</f>
        <v>0</v>
      </c>
      <c r="H72" s="156">
        <f>$D$13*(F821EO!H51-10*F801C!H51)*1</f>
        <v>0</v>
      </c>
      <c r="I72" s="156">
        <f>$D$13*(F821EO!I51-10*F801C!I51)*1</f>
        <v>0</v>
      </c>
      <c r="J72" s="156">
        <f t="shared" ref="J72:J77" si="14">SUM(D72:I72)</f>
        <v>0</v>
      </c>
      <c r="K72" s="69"/>
      <c r="L72" s="319">
        <v>1</v>
      </c>
    </row>
    <row r="73" spans="2:12" s="37" customFormat="1" ht="15.75">
      <c r="B73" s="48"/>
      <c r="C73" s="162" t="str">
        <f>F801ENE!$C$52</f>
        <v xml:space="preserve">    - Jubilados (0 a 600 KWh)</v>
      </c>
      <c r="D73" s="156">
        <f>$D$13*(F821EO!D52-10*F801C!D52)*0.75</f>
        <v>0</v>
      </c>
      <c r="E73" s="156">
        <f>$D$13*(F821EO!E52-10*F801C!E52)*0.75</f>
        <v>0</v>
      </c>
      <c r="F73" s="156">
        <f>$D$13*(F821EO!F52-10*F801C!F52)*0.75</f>
        <v>0</v>
      </c>
      <c r="G73" s="156">
        <f>$D$13*(F821EO!G52-10*F801C!G52)*0.75</f>
        <v>0</v>
      </c>
      <c r="H73" s="156">
        <f>$D$13*(F821EO!H52-10*F801C!H52)*0.75</f>
        <v>0</v>
      </c>
      <c r="I73" s="156">
        <f>$D$13*(F821EO!I52-10*F801C!I52)*0.75</f>
        <v>0</v>
      </c>
      <c r="J73" s="156">
        <f t="shared" si="14"/>
        <v>0</v>
      </c>
      <c r="K73" s="69"/>
      <c r="L73" s="319">
        <v>0.75</v>
      </c>
    </row>
    <row r="74" spans="2:12" s="37" customFormat="1" ht="15.75">
      <c r="B74" s="48"/>
      <c r="C74" s="162" t="str">
        <f>F801ENE!$C$53</f>
        <v xml:space="preserve">    - Jubilados (601 y Más KWh)</v>
      </c>
      <c r="D74" s="156">
        <f>$D$13*(F821EO!D53-10*F801C!D53)*1</f>
        <v>0</v>
      </c>
      <c r="E74" s="156">
        <f>$D$13*(F821EO!E53-10*F801C!E53)*1</f>
        <v>0</v>
      </c>
      <c r="F74" s="156">
        <f>$D$13*(F821EO!F53-10*F801C!F53)*1</f>
        <v>0</v>
      </c>
      <c r="G74" s="156">
        <f>$D$13*(F821EO!G53-10*F801C!G53)*1</f>
        <v>0</v>
      </c>
      <c r="H74" s="156">
        <f>$D$13*(F821EO!H53-10*F801C!H53)*1</f>
        <v>0</v>
      </c>
      <c r="I74" s="156">
        <f>$D$13*(F821EO!I53-10*F801C!I53)*1</f>
        <v>0</v>
      </c>
      <c r="J74" s="156">
        <f t="shared" si="14"/>
        <v>0</v>
      </c>
      <c r="K74" s="69"/>
      <c r="L74" s="319">
        <v>1</v>
      </c>
    </row>
    <row r="75" spans="2:12" s="37" customFormat="1" ht="15.75">
      <c r="B75" s="48"/>
      <c r="C75" s="160" t="str">
        <f>F801ENE!$C$54</f>
        <v xml:space="preserve">    - Agropecuarios</v>
      </c>
      <c r="D75" s="156">
        <f>$D$13*(F821EO!D54-10*F801C!D54)*0.95</f>
        <v>0</v>
      </c>
      <c r="E75" s="156">
        <f>$D$13*(F821EO!E54-10*F801C!E54)*0.95</f>
        <v>0</v>
      </c>
      <c r="F75" s="156">
        <f>$D$13*(F821EO!F54-10*F801C!F54)*0.95</f>
        <v>0</v>
      </c>
      <c r="G75" s="156">
        <f>$D$13*(F821EO!G54-10*F801C!G54)*0.95</f>
        <v>0</v>
      </c>
      <c r="H75" s="156">
        <f>$D$13*(F821EO!H54-10*F801C!H54)*0.95</f>
        <v>0</v>
      </c>
      <c r="I75" s="156">
        <f>$D$13*(F821EO!I54-10*F801C!I54)*0.95</f>
        <v>0</v>
      </c>
      <c r="J75" s="156">
        <f t="shared" si="14"/>
        <v>0</v>
      </c>
      <c r="K75" s="69"/>
      <c r="L75" s="319">
        <v>0.95</v>
      </c>
    </row>
    <row r="76" spans="2:12" s="37" customFormat="1" ht="15.75">
      <c r="B76" s="48"/>
      <c r="C76" s="160" t="str">
        <f>F801ENE!$C$55</f>
        <v xml:space="preserve">    - Partidos Políticos</v>
      </c>
      <c r="D76" s="156">
        <f>$D$13*(F821EO!D55-10*F801C!D55)*0.5</f>
        <v>0</v>
      </c>
      <c r="E76" s="156">
        <f>$D$13*(F821EO!E55-10*F801C!E55)*0.5</f>
        <v>0</v>
      </c>
      <c r="F76" s="156">
        <f>$D$13*(F821EO!F55-10*F801C!F55)*0.5</f>
        <v>0</v>
      </c>
      <c r="G76" s="156">
        <f>$D$13*(F821EO!G55-10*F801C!G55)*0.5</f>
        <v>0</v>
      </c>
      <c r="H76" s="156">
        <f>$D$13*(F821EO!H55-10*F801C!H55)*0.5</f>
        <v>0</v>
      </c>
      <c r="I76" s="156">
        <f>$D$13*(F821EO!I55-10*F801C!I55)*0.5</f>
        <v>0</v>
      </c>
      <c r="J76" s="156">
        <f t="shared" si="14"/>
        <v>0</v>
      </c>
      <c r="K76" s="69"/>
      <c r="L76" s="319">
        <v>0.5</v>
      </c>
    </row>
    <row r="77" spans="2:12" s="37" customFormat="1" ht="15.75">
      <c r="B77" s="48"/>
      <c r="C77" s="160" t="str">
        <f>F801ENE!$C$56</f>
        <v xml:space="preserve">    - Cruz Roja</v>
      </c>
      <c r="D77" s="156">
        <f>$D$13*(F821EO!D56-10*F801C!D56)*0</f>
        <v>0</v>
      </c>
      <c r="E77" s="156">
        <f>$D$13*(F821EO!E56-10*F801C!E56)*0</f>
        <v>0</v>
      </c>
      <c r="F77" s="156">
        <f>$D$13*(F821EO!F56-10*F801C!F56)*0</f>
        <v>0</v>
      </c>
      <c r="G77" s="156">
        <f>$D$13*(F821EO!G56-10*F801C!G56)*0</f>
        <v>0</v>
      </c>
      <c r="H77" s="156">
        <f>$D$13*(F821EO!H56-10*F801C!H56)*0</f>
        <v>0</v>
      </c>
      <c r="I77" s="156">
        <f>$D$13*(F821EO!I56-10*F801C!I56)*0</f>
        <v>0</v>
      </c>
      <c r="J77" s="156">
        <f t="shared" si="14"/>
        <v>0</v>
      </c>
      <c r="K77" s="69"/>
      <c r="L77" s="319">
        <v>0</v>
      </c>
    </row>
    <row r="78" spans="2:12" s="37" customFormat="1" ht="15.75">
      <c r="B78" s="48" t="s">
        <v>751</v>
      </c>
      <c r="C78" s="158" t="s">
        <v>634</v>
      </c>
      <c r="D78" s="159">
        <f t="shared" ref="D78" si="15">SUM(D79:D83)</f>
        <v>0</v>
      </c>
      <c r="E78" s="159">
        <f t="shared" ref="E78:I78" si="16">SUM(E79:E83)</f>
        <v>0</v>
      </c>
      <c r="F78" s="159">
        <f t="shared" si="16"/>
        <v>0</v>
      </c>
      <c r="G78" s="159">
        <f t="shared" si="16"/>
        <v>0</v>
      </c>
      <c r="H78" s="159">
        <f t="shared" si="16"/>
        <v>0</v>
      </c>
      <c r="I78" s="159">
        <f t="shared" si="16"/>
        <v>0</v>
      </c>
      <c r="J78" s="159">
        <f>SUM(D78:I78)</f>
        <v>0</v>
      </c>
      <c r="K78" s="69"/>
      <c r="L78" s="351"/>
    </row>
    <row r="79" spans="2:12" s="37" customFormat="1" ht="15.75">
      <c r="B79" s="48"/>
      <c r="C79" s="160" t="s">
        <v>304</v>
      </c>
      <c r="D79" s="156">
        <f>$D$13*(F821EO!D66)*$L79</f>
        <v>0</v>
      </c>
      <c r="E79" s="156">
        <f>$D$13*(F821EO!E66)*$L79</f>
        <v>0</v>
      </c>
      <c r="F79" s="156">
        <f>$D$13*(F821EO!F66)*$L79</f>
        <v>0</v>
      </c>
      <c r="G79" s="156">
        <f>$D$13*(F821EO!G66)*$L79</f>
        <v>0</v>
      </c>
      <c r="H79" s="156">
        <f>$D$13*(F821EO!H66)*$L79</f>
        <v>0</v>
      </c>
      <c r="I79" s="156">
        <f>$D$13*(F821EO!I66)*$L79</f>
        <v>0</v>
      </c>
      <c r="J79" s="156">
        <f t="shared" ref="J79:J97" si="17">SUM(D79:I79)</f>
        <v>0</v>
      </c>
      <c r="K79" s="69"/>
      <c r="L79" s="319">
        <v>1</v>
      </c>
    </row>
    <row r="80" spans="2:12" s="37" customFormat="1" ht="15.75">
      <c r="B80" s="48"/>
      <c r="C80" s="162" t="s">
        <v>644</v>
      </c>
      <c r="D80" s="156">
        <f>$D$13*(F821EO!D67)*$L80</f>
        <v>0</v>
      </c>
      <c r="E80" s="156">
        <f>$D$13*(F821EO!E67)*$L80</f>
        <v>0</v>
      </c>
      <c r="F80" s="156">
        <f>$D$13*(F821EO!F67)*$L80</f>
        <v>0</v>
      </c>
      <c r="G80" s="156">
        <f>$D$13*(F821EO!G67)*$L80</f>
        <v>0</v>
      </c>
      <c r="H80" s="156">
        <f>$D$13*(F821EO!H67)*$L80</f>
        <v>0</v>
      </c>
      <c r="I80" s="156">
        <f>$D$13*(F821EO!I67)*$L80</f>
        <v>0</v>
      </c>
      <c r="J80" s="156">
        <f t="shared" si="17"/>
        <v>0</v>
      </c>
      <c r="K80" s="69"/>
      <c r="L80" s="319">
        <v>0.75</v>
      </c>
    </row>
    <row r="81" spans="2:12" s="37" customFormat="1" ht="15.75">
      <c r="B81" s="48"/>
      <c r="C81" s="160" t="s">
        <v>305</v>
      </c>
      <c r="D81" s="156">
        <f>$D$13*(F821EO!D68)*$L81</f>
        <v>0</v>
      </c>
      <c r="E81" s="156">
        <f>$D$13*(F821EO!E68)*$L81</f>
        <v>0</v>
      </c>
      <c r="F81" s="156">
        <f>$D$13*(F821EO!F68)*$L81</f>
        <v>0</v>
      </c>
      <c r="G81" s="156">
        <f>$D$13*(F821EO!G68)*$L81</f>
        <v>0</v>
      </c>
      <c r="H81" s="156">
        <f>$D$13*(F821EO!H68)*$L81</f>
        <v>0</v>
      </c>
      <c r="I81" s="156">
        <f>$D$13*(F821EO!I68)*$L81</f>
        <v>0</v>
      </c>
      <c r="J81" s="156">
        <f t="shared" si="17"/>
        <v>0</v>
      </c>
      <c r="K81" s="69"/>
      <c r="L81" s="319">
        <v>0.95</v>
      </c>
    </row>
    <row r="82" spans="2:12" s="37" customFormat="1" ht="15.75">
      <c r="B82" s="48"/>
      <c r="C82" s="160" t="s">
        <v>307</v>
      </c>
      <c r="D82" s="156">
        <f>$D$13*(F821EO!D69)*$L82</f>
        <v>0</v>
      </c>
      <c r="E82" s="156">
        <f>$D$13*(F821EO!E69)*$L82</f>
        <v>0</v>
      </c>
      <c r="F82" s="156">
        <f>$D$13*(F821EO!F69)*$L82</f>
        <v>0</v>
      </c>
      <c r="G82" s="156">
        <f>$D$13*(F821EO!G69)*$L82</f>
        <v>0</v>
      </c>
      <c r="H82" s="156">
        <f>$D$13*(F821EO!H69)*$L82</f>
        <v>0</v>
      </c>
      <c r="I82" s="156">
        <f>$D$13*(F821EO!I69)*$L82</f>
        <v>0</v>
      </c>
      <c r="J82" s="156">
        <f t="shared" si="17"/>
        <v>0</v>
      </c>
      <c r="K82" s="69"/>
      <c r="L82" s="319">
        <v>0.5</v>
      </c>
    </row>
    <row r="83" spans="2:12" s="37" customFormat="1" ht="15.75">
      <c r="B83" s="48"/>
      <c r="C83" s="160" t="s">
        <v>624</v>
      </c>
      <c r="D83" s="156">
        <f>$D$13*(F821EO!D70)*$L83</f>
        <v>0</v>
      </c>
      <c r="E83" s="156">
        <f>$D$13*(F821EO!E70)*$L83</f>
        <v>0</v>
      </c>
      <c r="F83" s="156">
        <f>$D$13*(F821EO!F70)*$L83</f>
        <v>0</v>
      </c>
      <c r="G83" s="156">
        <f>$D$13*(F821EO!G70)*$L83</f>
        <v>0</v>
      </c>
      <c r="H83" s="156">
        <f>$D$13*(F821EO!H70)*$L83</f>
        <v>0</v>
      </c>
      <c r="I83" s="156">
        <f>$D$13*(F821EO!I70)*$L83</f>
        <v>0</v>
      </c>
      <c r="J83" s="156">
        <f t="shared" si="17"/>
        <v>0</v>
      </c>
      <c r="K83" s="69"/>
      <c r="L83" s="319">
        <v>0</v>
      </c>
    </row>
    <row r="84" spans="2:12" s="37" customFormat="1" ht="15.75">
      <c r="B84" s="48" t="s">
        <v>750</v>
      </c>
      <c r="C84" s="158" t="s">
        <v>635</v>
      </c>
      <c r="D84" s="159">
        <f t="shared" ref="D84" si="18">SUM(D85:D90)</f>
        <v>0</v>
      </c>
      <c r="E84" s="159">
        <f t="shared" ref="E84:I84" si="19">SUM(E85:E90)</f>
        <v>0</v>
      </c>
      <c r="F84" s="159">
        <f t="shared" si="19"/>
        <v>0</v>
      </c>
      <c r="G84" s="159">
        <f t="shared" si="19"/>
        <v>0</v>
      </c>
      <c r="H84" s="159">
        <f t="shared" si="19"/>
        <v>0</v>
      </c>
      <c r="I84" s="159">
        <f t="shared" si="19"/>
        <v>0</v>
      </c>
      <c r="J84" s="159">
        <f>SUM(D84:I84)</f>
        <v>0</v>
      </c>
      <c r="K84" s="69"/>
      <c r="L84" s="319"/>
    </row>
    <row r="85" spans="2:12" s="37" customFormat="1" ht="15.75">
      <c r="B85" s="48"/>
      <c r="C85" s="160" t="s">
        <v>304</v>
      </c>
      <c r="D85" s="156">
        <f>$D$13*(F821EO!D72)*$L85</f>
        <v>0</v>
      </c>
      <c r="E85" s="156">
        <f>$D$13*(F821EO!E72)*$L85</f>
        <v>0</v>
      </c>
      <c r="F85" s="156">
        <f>$D$13*(F821EO!F72)*$L85</f>
        <v>0</v>
      </c>
      <c r="G85" s="156">
        <f>$D$13*(F821EO!G72)*$L85</f>
        <v>0</v>
      </c>
      <c r="H85" s="156">
        <f>$D$13*(F821EO!H72)*$L85</f>
        <v>0</v>
      </c>
      <c r="I85" s="156">
        <f>$D$13*(F821EO!I72)*$L85</f>
        <v>0</v>
      </c>
      <c r="J85" s="156">
        <f t="shared" si="17"/>
        <v>0</v>
      </c>
      <c r="K85" s="69"/>
      <c r="L85" s="319">
        <v>1</v>
      </c>
    </row>
    <row r="86" spans="2:12" s="37" customFormat="1" ht="15.75">
      <c r="B86" s="48"/>
      <c r="C86" s="162" t="s">
        <v>642</v>
      </c>
      <c r="D86" s="156">
        <f>$D$13*(F821EO!D73)*$L86</f>
        <v>0</v>
      </c>
      <c r="E86" s="156">
        <f>$D$13*(F821EO!E73)*$L86</f>
        <v>0</v>
      </c>
      <c r="F86" s="156">
        <f>$D$13*(F821EO!F73)*$L86</f>
        <v>0</v>
      </c>
      <c r="G86" s="156">
        <f>$D$13*(F821EO!G73)*$L86</f>
        <v>0</v>
      </c>
      <c r="H86" s="156">
        <f>$D$13*(F821EO!H73)*$L86</f>
        <v>0</v>
      </c>
      <c r="I86" s="156">
        <f>$D$13*(F821EO!I73)*$L86</f>
        <v>0</v>
      </c>
      <c r="J86" s="156">
        <f t="shared" si="17"/>
        <v>0</v>
      </c>
      <c r="K86" s="69"/>
      <c r="L86" s="319">
        <v>0.75</v>
      </c>
    </row>
    <row r="87" spans="2:12" s="37" customFormat="1" ht="15.75">
      <c r="B87" s="48"/>
      <c r="C87" s="162" t="s">
        <v>1177</v>
      </c>
      <c r="D87" s="156">
        <f>$D$13*(F821EO!D74)*$L87</f>
        <v>0</v>
      </c>
      <c r="E87" s="156">
        <f>$D$13*(F821EO!E74)*$L87</f>
        <v>0</v>
      </c>
      <c r="F87" s="156">
        <f>$D$13*(F821EO!F74)*$L87</f>
        <v>0</v>
      </c>
      <c r="G87" s="156">
        <f>$D$13*(F821EO!G74)*$L87</f>
        <v>0</v>
      </c>
      <c r="H87" s="156">
        <f>$D$13*(F821EO!H74)*$L87</f>
        <v>0</v>
      </c>
      <c r="I87" s="156">
        <f>$D$13*(F821EO!I74)*$L87</f>
        <v>0</v>
      </c>
      <c r="J87" s="156">
        <f t="shared" si="17"/>
        <v>0</v>
      </c>
      <c r="K87" s="69"/>
      <c r="L87" s="319">
        <v>1</v>
      </c>
    </row>
    <row r="88" spans="2:12" s="37" customFormat="1" ht="15.75">
      <c r="B88" s="48"/>
      <c r="C88" s="160" t="s">
        <v>305</v>
      </c>
      <c r="D88" s="156">
        <f>$D$13*(F821EO!D75)*$L88</f>
        <v>0</v>
      </c>
      <c r="E88" s="156">
        <f>$D$13*(F821EO!E75)*$L88</f>
        <v>0</v>
      </c>
      <c r="F88" s="156">
        <f>$D$13*(F821EO!F75)*$L88</f>
        <v>0</v>
      </c>
      <c r="G88" s="156">
        <f>$D$13*(F821EO!G75)*$L88</f>
        <v>0</v>
      </c>
      <c r="H88" s="156">
        <f>$D$13*(F821EO!H75)*$L88</f>
        <v>0</v>
      </c>
      <c r="I88" s="156">
        <f>$D$13*(F821EO!I75)*$L88</f>
        <v>0</v>
      </c>
      <c r="J88" s="156">
        <f t="shared" si="17"/>
        <v>0</v>
      </c>
      <c r="K88" s="69"/>
      <c r="L88" s="319">
        <v>0.95</v>
      </c>
    </row>
    <row r="89" spans="2:12" s="37" customFormat="1" ht="15.75">
      <c r="B89" s="48"/>
      <c r="C89" s="160" t="s">
        <v>307</v>
      </c>
      <c r="D89" s="156">
        <f>$D$13*(F821EO!D76)*$L89</f>
        <v>0</v>
      </c>
      <c r="E89" s="156">
        <f>$D$13*(F821EO!E76)*$L89</f>
        <v>0</v>
      </c>
      <c r="F89" s="156">
        <f>$D$13*(F821EO!F76)*$L89</f>
        <v>0</v>
      </c>
      <c r="G89" s="156">
        <f>$D$13*(F821EO!G76)*$L89</f>
        <v>0</v>
      </c>
      <c r="H89" s="156">
        <f>$D$13*(F821EO!H76)*$L89</f>
        <v>0</v>
      </c>
      <c r="I89" s="156">
        <f>$D$13*(F821EO!I76)*$L89</f>
        <v>0</v>
      </c>
      <c r="J89" s="156">
        <f t="shared" si="17"/>
        <v>0</v>
      </c>
      <c r="K89" s="69"/>
      <c r="L89" s="319">
        <v>0.5</v>
      </c>
    </row>
    <row r="90" spans="2:12" s="37" customFormat="1" ht="15.75">
      <c r="B90" s="48"/>
      <c r="C90" s="160" t="s">
        <v>624</v>
      </c>
      <c r="D90" s="156">
        <f>$D$13*(F821EO!D77)*$L90</f>
        <v>0</v>
      </c>
      <c r="E90" s="156">
        <f>$D$13*(F821EO!E77)*$L90</f>
        <v>0</v>
      </c>
      <c r="F90" s="156">
        <f>$D$13*(F821EO!F77)*$L90</f>
        <v>0</v>
      </c>
      <c r="G90" s="156">
        <f>$D$13*(F821EO!G77)*$L90</f>
        <v>0</v>
      </c>
      <c r="H90" s="156">
        <f>$D$13*(F821EO!H77)*$L90</f>
        <v>0</v>
      </c>
      <c r="I90" s="156">
        <f>$D$13*(F821EO!I77)*$L90</f>
        <v>0</v>
      </c>
      <c r="J90" s="156">
        <f t="shared" si="17"/>
        <v>0</v>
      </c>
      <c r="K90" s="69"/>
      <c r="L90" s="319">
        <v>0</v>
      </c>
    </row>
    <row r="91" spans="2:12" s="37" customFormat="1" ht="15.75">
      <c r="B91" s="48" t="s">
        <v>749</v>
      </c>
      <c r="C91" s="158" t="s">
        <v>636</v>
      </c>
      <c r="D91" s="159">
        <f t="shared" ref="D91" si="20">SUM(D92:D97)</f>
        <v>0</v>
      </c>
      <c r="E91" s="159">
        <f t="shared" ref="E91:I91" si="21">SUM(E92:E97)</f>
        <v>0</v>
      </c>
      <c r="F91" s="159">
        <f t="shared" si="21"/>
        <v>0</v>
      </c>
      <c r="G91" s="159">
        <f t="shared" si="21"/>
        <v>0</v>
      </c>
      <c r="H91" s="159">
        <f t="shared" si="21"/>
        <v>0</v>
      </c>
      <c r="I91" s="159">
        <f t="shared" si="21"/>
        <v>0</v>
      </c>
      <c r="J91" s="159">
        <f t="shared" si="17"/>
        <v>0</v>
      </c>
      <c r="K91" s="69"/>
      <c r="L91" s="319"/>
    </row>
    <row r="92" spans="2:12" s="37" customFormat="1" ht="15.75">
      <c r="B92" s="48"/>
      <c r="C92" s="160" t="s">
        <v>304</v>
      </c>
      <c r="D92" s="156">
        <f>$D$13*(F821EO!D79)*$L92</f>
        <v>0</v>
      </c>
      <c r="E92" s="156">
        <f>$D$13*(F821EO!E79)*$L92</f>
        <v>0</v>
      </c>
      <c r="F92" s="156">
        <f>$D$13*(F821EO!F79)*$L92</f>
        <v>0</v>
      </c>
      <c r="G92" s="156">
        <f>$D$13*(F821EO!G79)*$L92</f>
        <v>0</v>
      </c>
      <c r="H92" s="156">
        <f>$D$13*(F821EO!H79)*$L92</f>
        <v>0</v>
      </c>
      <c r="I92" s="156">
        <f>$D$13*(F821EO!I79)*$L92</f>
        <v>0</v>
      </c>
      <c r="J92" s="156">
        <f t="shared" si="17"/>
        <v>0</v>
      </c>
      <c r="K92" s="69"/>
      <c r="L92" s="319">
        <v>1</v>
      </c>
    </row>
    <row r="93" spans="2:12" s="37" customFormat="1" ht="15.75">
      <c r="B93" s="48"/>
      <c r="C93" s="162" t="s">
        <v>642</v>
      </c>
      <c r="D93" s="156">
        <f>$D$13*(F821EO!D80)*$L93</f>
        <v>0</v>
      </c>
      <c r="E93" s="156">
        <f>$D$13*(F821EO!E80)*$L93</f>
        <v>0</v>
      </c>
      <c r="F93" s="156">
        <f>$D$13*(F821EO!F80)*$L93</f>
        <v>0</v>
      </c>
      <c r="G93" s="156">
        <f>$D$13*(F821EO!G80)*$L93</f>
        <v>0</v>
      </c>
      <c r="H93" s="156">
        <f>$D$13*(F821EO!H80)*$L93</f>
        <v>0</v>
      </c>
      <c r="I93" s="156">
        <f>$D$13*(F821EO!I80)*$L93</f>
        <v>0</v>
      </c>
      <c r="J93" s="156">
        <f t="shared" si="17"/>
        <v>0</v>
      </c>
      <c r="K93" s="69"/>
      <c r="L93" s="319">
        <v>0.75</v>
      </c>
    </row>
    <row r="94" spans="2:12" s="37" customFormat="1" ht="15.75">
      <c r="B94" s="48"/>
      <c r="C94" s="162" t="s">
        <v>1177</v>
      </c>
      <c r="D94" s="156">
        <f>$D$13*(F821EO!D81)*$L94</f>
        <v>0</v>
      </c>
      <c r="E94" s="156">
        <f>$D$13*(F821EO!E81)*$L94</f>
        <v>0</v>
      </c>
      <c r="F94" s="156">
        <f>$D$13*(F821EO!F81)*$L94</f>
        <v>0</v>
      </c>
      <c r="G94" s="156">
        <f>$D$13*(F821EO!G81)*$L94</f>
        <v>0</v>
      </c>
      <c r="H94" s="156">
        <f>$D$13*(F821EO!H81)*$L94</f>
        <v>0</v>
      </c>
      <c r="I94" s="156">
        <f>$D$13*(F821EO!I81)*$L94</f>
        <v>0</v>
      </c>
      <c r="J94" s="156">
        <f>SUM(D94:I94)</f>
        <v>0</v>
      </c>
      <c r="K94" s="69"/>
      <c r="L94" s="319">
        <v>1</v>
      </c>
    </row>
    <row r="95" spans="2:12" s="37" customFormat="1" ht="15.75">
      <c r="B95" s="48"/>
      <c r="C95" s="160" t="s">
        <v>305</v>
      </c>
      <c r="D95" s="156">
        <f>$D$13*(F821EO!D82)*$L95</f>
        <v>0</v>
      </c>
      <c r="E95" s="156">
        <f>$D$13*(F821EO!E82)*$L95</f>
        <v>0</v>
      </c>
      <c r="F95" s="156">
        <f>$D$13*(F821EO!F82)*$L95</f>
        <v>0</v>
      </c>
      <c r="G95" s="156">
        <f>$D$13*(F821EO!G82)*$L95</f>
        <v>0</v>
      </c>
      <c r="H95" s="156">
        <f>$D$13*(F821EO!H82)*$L95</f>
        <v>0</v>
      </c>
      <c r="I95" s="156">
        <f>$D$13*(F821EO!I82)*$L95</f>
        <v>0</v>
      </c>
      <c r="J95" s="156">
        <f t="shared" si="17"/>
        <v>0</v>
      </c>
      <c r="K95" s="69"/>
      <c r="L95" s="319">
        <v>0.95</v>
      </c>
    </row>
    <row r="96" spans="2:12" s="37" customFormat="1" ht="15.75">
      <c r="B96" s="48"/>
      <c r="C96" s="160" t="s">
        <v>307</v>
      </c>
      <c r="D96" s="156">
        <f>$D$13*(F821EO!D83)*$L96</f>
        <v>0</v>
      </c>
      <c r="E96" s="156">
        <f>$D$13*(F821EO!E83)*$L96</f>
        <v>0</v>
      </c>
      <c r="F96" s="156">
        <f>$D$13*(F821EO!F83)*$L96</f>
        <v>0</v>
      </c>
      <c r="G96" s="156">
        <f>$D$13*(F821EO!G83)*$L96</f>
        <v>0</v>
      </c>
      <c r="H96" s="156">
        <f>$D$13*(F821EO!H83)*$L96</f>
        <v>0</v>
      </c>
      <c r="I96" s="156">
        <f>$D$13*(F821EO!I83)*$L96</f>
        <v>0</v>
      </c>
      <c r="J96" s="156">
        <f t="shared" si="17"/>
        <v>0</v>
      </c>
      <c r="K96" s="69"/>
      <c r="L96" s="319">
        <v>0.5</v>
      </c>
    </row>
    <row r="97" spans="2:12" s="37" customFormat="1" ht="15.75">
      <c r="B97" s="48"/>
      <c r="C97" s="160" t="s">
        <v>624</v>
      </c>
      <c r="D97" s="156">
        <f>$D$13*(F821EO!D84)*$L97</f>
        <v>0</v>
      </c>
      <c r="E97" s="156">
        <f>$D$13*(F821EO!E84)*$L97</f>
        <v>0</v>
      </c>
      <c r="F97" s="156">
        <f>$D$13*(F821EO!F84)*$L97</f>
        <v>0</v>
      </c>
      <c r="G97" s="156">
        <f>$D$13*(F821EO!G84)*$L97</f>
        <v>0</v>
      </c>
      <c r="H97" s="156">
        <f>$D$13*(F821EO!H84)*$L97</f>
        <v>0</v>
      </c>
      <c r="I97" s="156">
        <f>$D$13*(F821EO!I84)*$L97</f>
        <v>0</v>
      </c>
      <c r="J97" s="156">
        <f t="shared" si="17"/>
        <v>0</v>
      </c>
      <c r="K97" s="69"/>
      <c r="L97" s="319">
        <v>0</v>
      </c>
    </row>
    <row r="98" spans="2:12" s="37" customFormat="1" ht="15.75">
      <c r="B98" s="48"/>
      <c r="C98" s="157"/>
      <c r="D98" s="156"/>
      <c r="E98" s="156"/>
      <c r="F98" s="156"/>
      <c r="G98" s="156"/>
      <c r="H98" s="156"/>
      <c r="I98" s="156"/>
      <c r="J98" s="156"/>
      <c r="K98" s="69"/>
      <c r="L98" s="341"/>
    </row>
    <row r="99" spans="2:12" s="37" customFormat="1" ht="15.75">
      <c r="B99" s="48" t="s">
        <v>902</v>
      </c>
      <c r="C99" s="158" t="s">
        <v>898</v>
      </c>
      <c r="D99" s="159">
        <f t="shared" ref="D99:I99" si="22">SUM(D100:D104)</f>
        <v>0</v>
      </c>
      <c r="E99" s="159">
        <f t="shared" si="22"/>
        <v>0</v>
      </c>
      <c r="F99" s="159">
        <f t="shared" si="22"/>
        <v>0</v>
      </c>
      <c r="G99" s="159">
        <f t="shared" si="22"/>
        <v>0</v>
      </c>
      <c r="H99" s="159">
        <f t="shared" si="22"/>
        <v>0</v>
      </c>
      <c r="I99" s="159">
        <f t="shared" si="22"/>
        <v>0</v>
      </c>
      <c r="J99" s="159">
        <f t="shared" ref="J99:J105" si="23">SUM(D99:I99)</f>
        <v>0</v>
      </c>
      <c r="K99" s="69"/>
      <c r="L99" s="351"/>
    </row>
    <row r="100" spans="2:12" s="37" customFormat="1" ht="15.75">
      <c r="B100" s="48"/>
      <c r="C100" s="160" t="s">
        <v>304</v>
      </c>
      <c r="D100" s="156">
        <f>$D$13*(F821EO!D87)*$L100</f>
        <v>0</v>
      </c>
      <c r="E100" s="156">
        <f>$D$13*(F821EO!E87)*$L100</f>
        <v>0</v>
      </c>
      <c r="F100" s="156">
        <f>$D$13*(F821EO!F87)*$L100</f>
        <v>0</v>
      </c>
      <c r="G100" s="156">
        <f>$D$13*(F821EO!G87)*$L100</f>
        <v>0</v>
      </c>
      <c r="H100" s="156">
        <f>$D$13*(F821EO!H87)*$L100</f>
        <v>0</v>
      </c>
      <c r="I100" s="156">
        <f>$D$13*(F821EO!I87)*$L100</f>
        <v>0</v>
      </c>
      <c r="J100" s="156">
        <f t="shared" si="23"/>
        <v>0</v>
      </c>
      <c r="K100" s="69"/>
      <c r="L100" s="319">
        <v>1</v>
      </c>
    </row>
    <row r="101" spans="2:12" s="37" customFormat="1" ht="15.75">
      <c r="B101" s="48"/>
      <c r="C101" s="162" t="s">
        <v>644</v>
      </c>
      <c r="D101" s="156">
        <f>$D$13*(F821EO!D88)*$L101</f>
        <v>0</v>
      </c>
      <c r="E101" s="156">
        <f>$D$13*(F821EO!E88)*$L101</f>
        <v>0</v>
      </c>
      <c r="F101" s="156">
        <f>$D$13*(F821EO!F88)*$L101</f>
        <v>0</v>
      </c>
      <c r="G101" s="156">
        <f>$D$13*(F821EO!G88)*$L101</f>
        <v>0</v>
      </c>
      <c r="H101" s="156">
        <f>$D$13*(F821EO!H88)*$L101</f>
        <v>0</v>
      </c>
      <c r="I101" s="156">
        <f>$D$13*(F821EO!I88)*$L101</f>
        <v>0</v>
      </c>
      <c r="J101" s="156">
        <f t="shared" si="23"/>
        <v>0</v>
      </c>
      <c r="K101" s="69"/>
      <c r="L101" s="319">
        <v>0.75</v>
      </c>
    </row>
    <row r="102" spans="2:12" s="37" customFormat="1" ht="15.75">
      <c r="B102" s="48"/>
      <c r="C102" s="160" t="s">
        <v>305</v>
      </c>
      <c r="D102" s="156">
        <f>$D$13*(F821EO!D89)*$L102</f>
        <v>0</v>
      </c>
      <c r="E102" s="156">
        <f>$D$13*(F821EO!E89)*$L102</f>
        <v>0</v>
      </c>
      <c r="F102" s="156">
        <f>$D$13*(F821EO!F89)*$L102</f>
        <v>0</v>
      </c>
      <c r="G102" s="156">
        <f>$D$13*(F821EO!G89)*$L102</f>
        <v>0</v>
      </c>
      <c r="H102" s="156">
        <f>$D$13*(F821EO!H89)*$L102</f>
        <v>0</v>
      </c>
      <c r="I102" s="156">
        <f>$D$13*(F821EO!I89)*$L102</f>
        <v>0</v>
      </c>
      <c r="J102" s="156">
        <f t="shared" si="23"/>
        <v>0</v>
      </c>
      <c r="K102" s="69"/>
      <c r="L102" s="319">
        <v>0.95</v>
      </c>
    </row>
    <row r="103" spans="2:12" s="37" customFormat="1" ht="15.75">
      <c r="B103" s="48"/>
      <c r="C103" s="160" t="s">
        <v>307</v>
      </c>
      <c r="D103" s="156">
        <f>$D$13*(F821EO!D90)*$L103</f>
        <v>0</v>
      </c>
      <c r="E103" s="156">
        <f>$D$13*(F821EO!E90)*$L103</f>
        <v>0</v>
      </c>
      <c r="F103" s="156">
        <f>$D$13*(F821EO!F90)*$L103</f>
        <v>0</v>
      </c>
      <c r="G103" s="156">
        <f>$D$13*(F821EO!G90)*$L103</f>
        <v>0</v>
      </c>
      <c r="H103" s="156">
        <f>$D$13*(F821EO!H90)*$L103</f>
        <v>0</v>
      </c>
      <c r="I103" s="156">
        <f>$D$13*(F821EO!I90)*$L103</f>
        <v>0</v>
      </c>
      <c r="J103" s="156">
        <f t="shared" si="23"/>
        <v>0</v>
      </c>
      <c r="K103" s="69"/>
      <c r="L103" s="319">
        <v>0.5</v>
      </c>
    </row>
    <row r="104" spans="2:12" s="37" customFormat="1" ht="15.75">
      <c r="B104" s="48"/>
      <c r="C104" s="160" t="s">
        <v>624</v>
      </c>
      <c r="D104" s="156">
        <f>$D$13*(F821EO!D91)*$L104</f>
        <v>0</v>
      </c>
      <c r="E104" s="156">
        <f>$D$13*(F821EO!E91)*$L104</f>
        <v>0</v>
      </c>
      <c r="F104" s="156">
        <f>$D$13*(F821EO!F91)*$L104</f>
        <v>0</v>
      </c>
      <c r="G104" s="156">
        <f>$D$13*(F821EO!G91)*$L104</f>
        <v>0</v>
      </c>
      <c r="H104" s="156">
        <f>$D$13*(F821EO!H91)*$L104</f>
        <v>0</v>
      </c>
      <c r="I104" s="156">
        <f>$D$13*(F821EO!I91)*$L104</f>
        <v>0</v>
      </c>
      <c r="J104" s="156">
        <f t="shared" si="23"/>
        <v>0</v>
      </c>
      <c r="K104" s="69"/>
      <c r="L104" s="319">
        <v>0</v>
      </c>
    </row>
    <row r="105" spans="2:12" s="37" customFormat="1" ht="15.75">
      <c r="B105" s="48" t="s">
        <v>902</v>
      </c>
      <c r="C105" s="158" t="s">
        <v>899</v>
      </c>
      <c r="D105" s="159">
        <f t="shared" ref="D105:I105" si="24">SUM(D106:D111)</f>
        <v>0</v>
      </c>
      <c r="E105" s="159">
        <f t="shared" si="24"/>
        <v>0</v>
      </c>
      <c r="F105" s="159">
        <f t="shared" si="24"/>
        <v>0</v>
      </c>
      <c r="G105" s="159">
        <f t="shared" si="24"/>
        <v>0</v>
      </c>
      <c r="H105" s="159">
        <f t="shared" si="24"/>
        <v>0</v>
      </c>
      <c r="I105" s="159">
        <f t="shared" si="24"/>
        <v>0</v>
      </c>
      <c r="J105" s="159">
        <f t="shared" si="23"/>
        <v>0</v>
      </c>
      <c r="K105" s="69"/>
      <c r="L105" s="319"/>
    </row>
    <row r="106" spans="2:12" s="37" customFormat="1" ht="15.75">
      <c r="B106" s="48"/>
      <c r="C106" s="160" t="s">
        <v>304</v>
      </c>
      <c r="D106" s="156">
        <f>$D$13*(F821EO!D93)*$L106</f>
        <v>0</v>
      </c>
      <c r="E106" s="156">
        <f>$D$13*(F821EO!E93)*$L106</f>
        <v>0</v>
      </c>
      <c r="F106" s="156">
        <f>$D$13*(F821EO!F93)*$L106</f>
        <v>0</v>
      </c>
      <c r="G106" s="156">
        <f>$D$13*(F821EO!G93)*$L106</f>
        <v>0</v>
      </c>
      <c r="H106" s="156">
        <f>$D$13*(F821EO!H93)*$L106</f>
        <v>0</v>
      </c>
      <c r="I106" s="156">
        <f>$D$13*(F821EO!I93)*$L106</f>
        <v>0</v>
      </c>
      <c r="J106" s="156">
        <f t="shared" ref="J106:J114" si="25">SUM(D106:I106)</f>
        <v>0</v>
      </c>
      <c r="K106" s="69"/>
      <c r="L106" s="319">
        <v>1</v>
      </c>
    </row>
    <row r="107" spans="2:12" s="37" customFormat="1" ht="15.75">
      <c r="B107" s="48"/>
      <c r="C107" s="162" t="s">
        <v>642</v>
      </c>
      <c r="D107" s="156">
        <f>$D$13*(F821EO!D94)*$L107</f>
        <v>0</v>
      </c>
      <c r="E107" s="156">
        <f>$D$13*(F821EO!E94)*$L107</f>
        <v>0</v>
      </c>
      <c r="F107" s="156">
        <f>$D$13*(F821EO!F94)*$L107</f>
        <v>0</v>
      </c>
      <c r="G107" s="156">
        <f>$D$13*(F821EO!G94)*$L107</f>
        <v>0</v>
      </c>
      <c r="H107" s="156">
        <f>$D$13*(F821EO!H94)*$L107</f>
        <v>0</v>
      </c>
      <c r="I107" s="156">
        <f>$D$13*(F821EO!I94)*$L107</f>
        <v>0</v>
      </c>
      <c r="J107" s="156">
        <f t="shared" si="25"/>
        <v>0</v>
      </c>
      <c r="K107" s="69"/>
      <c r="L107" s="319">
        <v>0.75</v>
      </c>
    </row>
    <row r="108" spans="2:12" s="37" customFormat="1" ht="15.75">
      <c r="B108" s="48"/>
      <c r="C108" s="162" t="s">
        <v>1177</v>
      </c>
      <c r="D108" s="156">
        <f>$D$13*(F821EO!D95)*$L108</f>
        <v>0</v>
      </c>
      <c r="E108" s="156">
        <f>$D$13*(F821EO!E95)*$L108</f>
        <v>0</v>
      </c>
      <c r="F108" s="156">
        <f>$D$13*(F821EO!F95)*$L108</f>
        <v>0</v>
      </c>
      <c r="G108" s="156">
        <f>$D$13*(F821EO!G95)*$L108</f>
        <v>0</v>
      </c>
      <c r="H108" s="156">
        <f>$D$13*(F821EO!H95)*$L108</f>
        <v>0</v>
      </c>
      <c r="I108" s="156">
        <f>$D$13*(F821EO!I95)*$L108</f>
        <v>0</v>
      </c>
      <c r="J108" s="156">
        <f t="shared" si="25"/>
        <v>0</v>
      </c>
      <c r="K108" s="69"/>
      <c r="L108" s="319">
        <v>1</v>
      </c>
    </row>
    <row r="109" spans="2:12" s="37" customFormat="1" ht="15.75">
      <c r="B109" s="48"/>
      <c r="C109" s="160" t="s">
        <v>305</v>
      </c>
      <c r="D109" s="156">
        <f>$D$13*(F821EO!D96)*$L109</f>
        <v>0</v>
      </c>
      <c r="E109" s="156">
        <f>$D$13*(F821EO!E96)*$L109</f>
        <v>0</v>
      </c>
      <c r="F109" s="156">
        <f>$D$13*(F821EO!F96)*$L109</f>
        <v>0</v>
      </c>
      <c r="G109" s="156">
        <f>$D$13*(F821EO!G96)*$L109</f>
        <v>0</v>
      </c>
      <c r="H109" s="156">
        <f>$D$13*(F821EO!H96)*$L109</f>
        <v>0</v>
      </c>
      <c r="I109" s="156">
        <f>$D$13*(F821EO!I96)*$L109</f>
        <v>0</v>
      </c>
      <c r="J109" s="156">
        <f t="shared" si="25"/>
        <v>0</v>
      </c>
      <c r="K109" s="69"/>
      <c r="L109" s="319">
        <v>0.95</v>
      </c>
    </row>
    <row r="110" spans="2:12" s="37" customFormat="1" ht="15.75">
      <c r="B110" s="48"/>
      <c r="C110" s="160" t="s">
        <v>307</v>
      </c>
      <c r="D110" s="156">
        <f>$D$13*(F821EO!D97)*$L110</f>
        <v>0</v>
      </c>
      <c r="E110" s="156">
        <f>$D$13*(F821EO!E97)*$L110</f>
        <v>0</v>
      </c>
      <c r="F110" s="156">
        <f>$D$13*(F821EO!F97)*$L110</f>
        <v>0</v>
      </c>
      <c r="G110" s="156">
        <f>$D$13*(F821EO!G97)*$L110</f>
        <v>0</v>
      </c>
      <c r="H110" s="156">
        <f>$D$13*(F821EO!H97)*$L110</f>
        <v>0</v>
      </c>
      <c r="I110" s="156">
        <f>$D$13*(F821EO!I97)*$L110</f>
        <v>0</v>
      </c>
      <c r="J110" s="156">
        <f t="shared" si="25"/>
        <v>0</v>
      </c>
      <c r="K110" s="69"/>
      <c r="L110" s="319">
        <v>0.5</v>
      </c>
    </row>
    <row r="111" spans="2:12" s="37" customFormat="1" ht="15.75">
      <c r="B111" s="48"/>
      <c r="C111" s="160" t="s">
        <v>624</v>
      </c>
      <c r="D111" s="156">
        <f>$D$13*(F821EO!D98)*$L111</f>
        <v>0</v>
      </c>
      <c r="E111" s="156">
        <f>$D$13*(F821EO!E98)*$L111</f>
        <v>0</v>
      </c>
      <c r="F111" s="156">
        <f>$D$13*(F821EO!F98)*$L111</f>
        <v>0</v>
      </c>
      <c r="G111" s="156">
        <f>$D$13*(F821EO!G98)*$L111</f>
        <v>0</v>
      </c>
      <c r="H111" s="156">
        <f>$D$13*(F821EO!H98)*$L111</f>
        <v>0</v>
      </c>
      <c r="I111" s="156">
        <f>$D$13*(F821EO!I98)*$L111</f>
        <v>0</v>
      </c>
      <c r="J111" s="156">
        <f t="shared" si="25"/>
        <v>0</v>
      </c>
      <c r="K111" s="69"/>
      <c r="L111" s="319">
        <v>0</v>
      </c>
    </row>
    <row r="112" spans="2:12" s="37" customFormat="1" ht="15.75">
      <c r="B112" s="48" t="s">
        <v>902</v>
      </c>
      <c r="C112" s="158" t="s">
        <v>900</v>
      </c>
      <c r="D112" s="159">
        <f t="shared" ref="D112:I112" si="26">SUM(D113:D118)</f>
        <v>0</v>
      </c>
      <c r="E112" s="159">
        <f t="shared" si="26"/>
        <v>0</v>
      </c>
      <c r="F112" s="159">
        <f t="shared" si="26"/>
        <v>0</v>
      </c>
      <c r="G112" s="159">
        <f t="shared" si="26"/>
        <v>0</v>
      </c>
      <c r="H112" s="159">
        <f t="shared" si="26"/>
        <v>0</v>
      </c>
      <c r="I112" s="159">
        <f t="shared" si="26"/>
        <v>0</v>
      </c>
      <c r="J112" s="159">
        <f t="shared" si="25"/>
        <v>0</v>
      </c>
      <c r="K112" s="69"/>
      <c r="L112" s="319"/>
    </row>
    <row r="113" spans="2:12" s="37" customFormat="1" ht="15.75">
      <c r="B113" s="48"/>
      <c r="C113" s="160" t="s">
        <v>304</v>
      </c>
      <c r="D113" s="156">
        <f>$D$13*(F821EO!D100)*$L113</f>
        <v>0</v>
      </c>
      <c r="E113" s="156">
        <f>$D$13*(F821EO!E100)*$L113</f>
        <v>0</v>
      </c>
      <c r="F113" s="156">
        <f>$D$13*(F821EO!F100)*$L113</f>
        <v>0</v>
      </c>
      <c r="G113" s="156">
        <f>$D$13*(F821EO!G100)*$L113</f>
        <v>0</v>
      </c>
      <c r="H113" s="156">
        <f>$D$13*(F821EO!H100)*$L113</f>
        <v>0</v>
      </c>
      <c r="I113" s="156">
        <f>$D$13*(F821EO!I100)*$L113</f>
        <v>0</v>
      </c>
      <c r="J113" s="156">
        <f t="shared" si="25"/>
        <v>0</v>
      </c>
      <c r="K113" s="69"/>
      <c r="L113" s="319">
        <v>1</v>
      </c>
    </row>
    <row r="114" spans="2:12" s="37" customFormat="1" ht="15.75">
      <c r="B114" s="48"/>
      <c r="C114" s="162" t="s">
        <v>642</v>
      </c>
      <c r="D114" s="156">
        <f>$D$13*(F821EO!D101)*$L114</f>
        <v>0</v>
      </c>
      <c r="E114" s="156">
        <f>$D$13*(F821EO!E101)*$L114</f>
        <v>0</v>
      </c>
      <c r="F114" s="156">
        <f>$D$13*(F821EO!F101)*$L114</f>
        <v>0</v>
      </c>
      <c r="G114" s="156">
        <f>$D$13*(F821EO!G101)*$L114</f>
        <v>0</v>
      </c>
      <c r="H114" s="156">
        <f>$D$13*(F821EO!H101)*$L114</f>
        <v>0</v>
      </c>
      <c r="I114" s="156">
        <f>$D$13*(F821EO!I101)*$L114</f>
        <v>0</v>
      </c>
      <c r="J114" s="156">
        <f t="shared" si="25"/>
        <v>0</v>
      </c>
      <c r="K114" s="69"/>
      <c r="L114" s="319">
        <v>0.75</v>
      </c>
    </row>
    <row r="115" spans="2:12" s="37" customFormat="1" ht="15.75">
      <c r="B115" s="48"/>
      <c r="C115" s="162" t="s">
        <v>1177</v>
      </c>
      <c r="D115" s="156">
        <f>$D$13*(F821EO!D102)*$L115</f>
        <v>0</v>
      </c>
      <c r="E115" s="156">
        <f>$D$13*(F821EO!E102)*$L115</f>
        <v>0</v>
      </c>
      <c r="F115" s="156">
        <f>$D$13*(F821EO!F102)*$L115</f>
        <v>0</v>
      </c>
      <c r="G115" s="156">
        <f>$D$13*(F821EO!G102)*$L115</f>
        <v>0</v>
      </c>
      <c r="H115" s="156">
        <f>$D$13*(F821EO!H102)*$L115</f>
        <v>0</v>
      </c>
      <c r="I115" s="156">
        <f>$D$13*(F821EO!I102)*$L115</f>
        <v>0</v>
      </c>
      <c r="J115" s="156">
        <f>SUM(D115:I115)</f>
        <v>0</v>
      </c>
      <c r="K115" s="69"/>
      <c r="L115" s="319">
        <v>1</v>
      </c>
    </row>
    <row r="116" spans="2:12" s="37" customFormat="1" ht="15.75">
      <c r="B116" s="48"/>
      <c r="C116" s="160" t="s">
        <v>305</v>
      </c>
      <c r="D116" s="156">
        <f>$D$13*(F821EO!D103)*$L116</f>
        <v>0</v>
      </c>
      <c r="E116" s="156">
        <f>$D$13*(F821EO!E103)*$L116</f>
        <v>0</v>
      </c>
      <c r="F116" s="156">
        <f>$D$13*(F821EO!F103)*$L116</f>
        <v>0</v>
      </c>
      <c r="G116" s="156">
        <f>$D$13*(F821EO!G103)*$L116</f>
        <v>0</v>
      </c>
      <c r="H116" s="156">
        <f>$D$13*(F821EO!H103)*$L116</f>
        <v>0</v>
      </c>
      <c r="I116" s="156">
        <f>$D$13*(F821EO!I103)*$L116</f>
        <v>0</v>
      </c>
      <c r="J116" s="156">
        <f>SUM(D116:I116)</f>
        <v>0</v>
      </c>
      <c r="K116" s="69"/>
      <c r="L116" s="319">
        <v>0.95</v>
      </c>
    </row>
    <row r="117" spans="2:12" s="37" customFormat="1" ht="15.75">
      <c r="B117" s="48"/>
      <c r="C117" s="160" t="s">
        <v>307</v>
      </c>
      <c r="D117" s="156">
        <f>$D$13*(F821EO!D104)*$L117</f>
        <v>0</v>
      </c>
      <c r="E117" s="156">
        <f>$D$13*(F821EO!E104)*$L117</f>
        <v>0</v>
      </c>
      <c r="F117" s="156">
        <f>$D$13*(F821EO!F104)*$L117</f>
        <v>0</v>
      </c>
      <c r="G117" s="156">
        <f>$D$13*(F821EO!G104)*$L117</f>
        <v>0</v>
      </c>
      <c r="H117" s="156">
        <f>$D$13*(F821EO!H104)*$L117</f>
        <v>0</v>
      </c>
      <c r="I117" s="156">
        <f>$D$13*(F821EO!I104)*$L117</f>
        <v>0</v>
      </c>
      <c r="J117" s="156">
        <f>SUM(D117:I117)</f>
        <v>0</v>
      </c>
      <c r="K117" s="69"/>
      <c r="L117" s="319">
        <v>0.5</v>
      </c>
    </row>
    <row r="118" spans="2:12" s="37" customFormat="1" ht="15.75">
      <c r="B118" s="48"/>
      <c r="C118" s="160" t="s">
        <v>624</v>
      </c>
      <c r="D118" s="156">
        <f>$D$13*(F821EO!D105)*$L118</f>
        <v>0</v>
      </c>
      <c r="E118" s="156">
        <f>$D$13*(F821EO!E105)*$L118</f>
        <v>0</v>
      </c>
      <c r="F118" s="156">
        <f>$D$13*(F821EO!F105)*$L118</f>
        <v>0</v>
      </c>
      <c r="G118" s="156">
        <f>$D$13*(F821EO!G105)*$L118</f>
        <v>0</v>
      </c>
      <c r="H118" s="156">
        <f>$D$13*(F821EO!H105)*$L118</f>
        <v>0</v>
      </c>
      <c r="I118" s="156">
        <f>$D$13*(F821EO!I105)*$L118</f>
        <v>0</v>
      </c>
      <c r="J118" s="156">
        <f>SUM(D118:I118)</f>
        <v>0</v>
      </c>
      <c r="K118" s="69"/>
      <c r="L118" s="319">
        <v>0</v>
      </c>
    </row>
    <row r="119" spans="2:12" s="37" customFormat="1" ht="15.75">
      <c r="B119" s="48"/>
      <c r="C119" s="157"/>
      <c r="D119" s="156"/>
      <c r="E119" s="156"/>
      <c r="F119" s="156"/>
      <c r="G119" s="156"/>
      <c r="H119" s="156"/>
      <c r="I119" s="156"/>
      <c r="J119" s="156"/>
      <c r="K119" s="69"/>
      <c r="L119" s="341"/>
    </row>
    <row r="120" spans="2:12" s="37" customFormat="1" ht="15.75">
      <c r="B120" s="48"/>
      <c r="C120" s="153" t="s">
        <v>112</v>
      </c>
      <c r="D120" s="154">
        <f t="shared" ref="D120:I120" si="27">D43+D33+D29</f>
        <v>0</v>
      </c>
      <c r="E120" s="154">
        <f t="shared" si="27"/>
        <v>0</v>
      </c>
      <c r="F120" s="154">
        <f t="shared" si="27"/>
        <v>0</v>
      </c>
      <c r="G120" s="154">
        <f t="shared" si="27"/>
        <v>0</v>
      </c>
      <c r="H120" s="154">
        <f t="shared" si="27"/>
        <v>0</v>
      </c>
      <c r="I120" s="154">
        <f t="shared" si="27"/>
        <v>0</v>
      </c>
      <c r="J120" s="154">
        <f>SUM(D120:I120)</f>
        <v>0</v>
      </c>
      <c r="K120" s="69"/>
      <c r="L120" s="341"/>
    </row>
    <row r="121" spans="2:12">
      <c r="B121" s="48"/>
    </row>
    <row r="122" spans="2:12">
      <c r="B122" s="48" t="s">
        <v>902</v>
      </c>
      <c r="D122" s="64">
        <f t="shared" ref="D122:J137" si="28">SUMIF($B$28:$B$120,$B122,D$28:D$120)</f>
        <v>0</v>
      </c>
      <c r="E122" s="64">
        <f t="shared" si="28"/>
        <v>0</v>
      </c>
      <c r="F122" s="64">
        <f t="shared" si="28"/>
        <v>0</v>
      </c>
      <c r="G122" s="64">
        <f t="shared" si="28"/>
        <v>0</v>
      </c>
      <c r="H122" s="64">
        <f t="shared" si="28"/>
        <v>0</v>
      </c>
      <c r="I122" s="64">
        <f t="shared" si="28"/>
        <v>0</v>
      </c>
      <c r="J122" s="64">
        <f t="shared" si="28"/>
        <v>0</v>
      </c>
    </row>
    <row r="123" spans="2:12">
      <c r="B123" s="48" t="s">
        <v>751</v>
      </c>
      <c r="D123" s="64">
        <f t="shared" si="28"/>
        <v>0</v>
      </c>
      <c r="E123" s="64">
        <f t="shared" si="28"/>
        <v>0</v>
      </c>
      <c r="F123" s="64">
        <f t="shared" si="28"/>
        <v>0</v>
      </c>
      <c r="G123" s="64">
        <f t="shared" si="28"/>
        <v>0</v>
      </c>
      <c r="H123" s="64">
        <f t="shared" si="28"/>
        <v>0</v>
      </c>
      <c r="I123" s="64">
        <f t="shared" si="28"/>
        <v>0</v>
      </c>
      <c r="J123" s="64">
        <f t="shared" si="28"/>
        <v>0</v>
      </c>
    </row>
    <row r="124" spans="2:12">
      <c r="B124" s="48" t="s">
        <v>750</v>
      </c>
      <c r="D124" s="64">
        <f t="shared" si="28"/>
        <v>0</v>
      </c>
      <c r="E124" s="64">
        <f t="shared" si="28"/>
        <v>0</v>
      </c>
      <c r="F124" s="64">
        <f t="shared" si="28"/>
        <v>0</v>
      </c>
      <c r="G124" s="64">
        <f t="shared" si="28"/>
        <v>0</v>
      </c>
      <c r="H124" s="64">
        <f t="shared" si="28"/>
        <v>0</v>
      </c>
      <c r="I124" s="64">
        <f t="shared" si="28"/>
        <v>0</v>
      </c>
      <c r="J124" s="64">
        <f t="shared" si="28"/>
        <v>0</v>
      </c>
    </row>
    <row r="125" spans="2:12">
      <c r="B125" s="48" t="s">
        <v>749</v>
      </c>
      <c r="D125" s="64">
        <f t="shared" si="28"/>
        <v>0</v>
      </c>
      <c r="E125" s="64">
        <f t="shared" si="28"/>
        <v>0</v>
      </c>
      <c r="F125" s="64">
        <f t="shared" si="28"/>
        <v>0</v>
      </c>
      <c r="G125" s="64">
        <f t="shared" si="28"/>
        <v>0</v>
      </c>
      <c r="H125" s="64">
        <f t="shared" si="28"/>
        <v>0</v>
      </c>
      <c r="I125" s="64">
        <f t="shared" si="28"/>
        <v>0</v>
      </c>
      <c r="J125" s="64">
        <f t="shared" si="28"/>
        <v>0</v>
      </c>
    </row>
    <row r="126" spans="2:12">
      <c r="B126" s="48" t="s">
        <v>1176</v>
      </c>
      <c r="D126" s="64">
        <f t="shared" si="28"/>
        <v>0</v>
      </c>
      <c r="E126" s="64">
        <f t="shared" si="28"/>
        <v>0</v>
      </c>
      <c r="F126" s="64">
        <f t="shared" si="28"/>
        <v>0</v>
      </c>
      <c r="G126" s="64">
        <f t="shared" si="28"/>
        <v>0</v>
      </c>
      <c r="H126" s="64">
        <f t="shared" si="28"/>
        <v>0</v>
      </c>
      <c r="I126" s="64">
        <f t="shared" si="28"/>
        <v>0</v>
      </c>
      <c r="J126" s="64">
        <f t="shared" si="28"/>
        <v>0</v>
      </c>
    </row>
    <row r="127" spans="2:12">
      <c r="B127" s="48" t="s">
        <v>274</v>
      </c>
      <c r="D127" s="64">
        <f t="shared" si="28"/>
        <v>0</v>
      </c>
      <c r="E127" s="64">
        <f t="shared" si="28"/>
        <v>0</v>
      </c>
      <c r="F127" s="64">
        <f t="shared" si="28"/>
        <v>0</v>
      </c>
      <c r="G127" s="64">
        <f t="shared" si="28"/>
        <v>0</v>
      </c>
      <c r="H127" s="64">
        <f t="shared" si="28"/>
        <v>0</v>
      </c>
      <c r="I127" s="64">
        <f t="shared" si="28"/>
        <v>0</v>
      </c>
      <c r="J127" s="64">
        <f t="shared" si="28"/>
        <v>0</v>
      </c>
    </row>
    <row r="128" spans="2:12">
      <c r="B128" s="48" t="s">
        <v>275</v>
      </c>
      <c r="D128" s="64">
        <f t="shared" si="28"/>
        <v>0</v>
      </c>
      <c r="E128" s="64">
        <f t="shared" si="28"/>
        <v>0</v>
      </c>
      <c r="F128" s="64">
        <f t="shared" si="28"/>
        <v>0</v>
      </c>
      <c r="G128" s="64">
        <f t="shared" si="28"/>
        <v>0</v>
      </c>
      <c r="H128" s="64">
        <f t="shared" si="28"/>
        <v>0</v>
      </c>
      <c r="I128" s="64">
        <f t="shared" si="28"/>
        <v>0</v>
      </c>
      <c r="J128" s="64">
        <f t="shared" si="28"/>
        <v>0</v>
      </c>
    </row>
    <row r="129" spans="2:10">
      <c r="B129" s="48" t="s">
        <v>276</v>
      </c>
      <c r="D129" s="64">
        <f t="shared" si="28"/>
        <v>0</v>
      </c>
      <c r="E129" s="64">
        <f t="shared" si="28"/>
        <v>0</v>
      </c>
      <c r="F129" s="64">
        <f t="shared" si="28"/>
        <v>0</v>
      </c>
      <c r="G129" s="64">
        <f t="shared" si="28"/>
        <v>0</v>
      </c>
      <c r="H129" s="64">
        <f t="shared" si="28"/>
        <v>0</v>
      </c>
      <c r="I129" s="64">
        <f t="shared" si="28"/>
        <v>0</v>
      </c>
      <c r="J129" s="64">
        <f t="shared" si="28"/>
        <v>0</v>
      </c>
    </row>
    <row r="130" spans="2:10">
      <c r="B130" s="48" t="s">
        <v>277</v>
      </c>
      <c r="D130" s="64">
        <f t="shared" si="28"/>
        <v>0</v>
      </c>
      <c r="E130" s="64">
        <f t="shared" si="28"/>
        <v>0</v>
      </c>
      <c r="F130" s="64">
        <f t="shared" si="28"/>
        <v>0</v>
      </c>
      <c r="G130" s="64">
        <f t="shared" si="28"/>
        <v>0</v>
      </c>
      <c r="H130" s="64">
        <f t="shared" si="28"/>
        <v>0</v>
      </c>
      <c r="I130" s="64">
        <f t="shared" si="28"/>
        <v>0</v>
      </c>
      <c r="J130" s="64">
        <f t="shared" si="28"/>
        <v>0</v>
      </c>
    </row>
    <row r="131" spans="2:10">
      <c r="B131" s="48" t="s">
        <v>278</v>
      </c>
      <c r="D131" s="64">
        <f t="shared" si="28"/>
        <v>0</v>
      </c>
      <c r="E131" s="64">
        <f t="shared" si="28"/>
        <v>0</v>
      </c>
      <c r="F131" s="64">
        <f t="shared" si="28"/>
        <v>0</v>
      </c>
      <c r="G131" s="64">
        <f t="shared" si="28"/>
        <v>0</v>
      </c>
      <c r="H131" s="64">
        <f t="shared" si="28"/>
        <v>0</v>
      </c>
      <c r="I131" s="64">
        <f t="shared" si="28"/>
        <v>0</v>
      </c>
      <c r="J131" s="64">
        <f t="shared" si="28"/>
        <v>0</v>
      </c>
    </row>
    <row r="132" spans="2:10">
      <c r="B132" s="48" t="s">
        <v>279</v>
      </c>
      <c r="D132" s="64">
        <f t="shared" si="28"/>
        <v>0</v>
      </c>
      <c r="E132" s="64">
        <f t="shared" si="28"/>
        <v>0</v>
      </c>
      <c r="F132" s="64">
        <f t="shared" si="28"/>
        <v>0</v>
      </c>
      <c r="G132" s="64">
        <f t="shared" si="28"/>
        <v>0</v>
      </c>
      <c r="H132" s="64">
        <f t="shared" si="28"/>
        <v>0</v>
      </c>
      <c r="I132" s="64">
        <f t="shared" si="28"/>
        <v>0</v>
      </c>
      <c r="J132" s="64">
        <f t="shared" si="28"/>
        <v>0</v>
      </c>
    </row>
    <row r="133" spans="2:10">
      <c r="B133" s="48" t="s">
        <v>875</v>
      </c>
      <c r="D133" s="64">
        <f t="shared" si="28"/>
        <v>0</v>
      </c>
      <c r="E133" s="64">
        <f t="shared" si="28"/>
        <v>0</v>
      </c>
      <c r="F133" s="64">
        <f t="shared" si="28"/>
        <v>0</v>
      </c>
      <c r="G133" s="64">
        <f t="shared" si="28"/>
        <v>0</v>
      </c>
      <c r="H133" s="64">
        <f t="shared" si="28"/>
        <v>0</v>
      </c>
      <c r="I133" s="64">
        <f t="shared" si="28"/>
        <v>0</v>
      </c>
      <c r="J133" s="64">
        <f t="shared" si="28"/>
        <v>0</v>
      </c>
    </row>
    <row r="134" spans="2:10">
      <c r="B134" s="48" t="s">
        <v>874</v>
      </c>
      <c r="D134" s="64">
        <f t="shared" si="28"/>
        <v>0</v>
      </c>
      <c r="E134" s="64">
        <f t="shared" si="28"/>
        <v>0</v>
      </c>
      <c r="F134" s="64">
        <f t="shared" si="28"/>
        <v>0</v>
      </c>
      <c r="G134" s="64">
        <f t="shared" si="28"/>
        <v>0</v>
      </c>
      <c r="H134" s="64">
        <f t="shared" si="28"/>
        <v>0</v>
      </c>
      <c r="I134" s="64">
        <f t="shared" si="28"/>
        <v>0</v>
      </c>
      <c r="J134" s="64">
        <f t="shared" si="28"/>
        <v>0</v>
      </c>
    </row>
    <row r="135" spans="2:10">
      <c r="B135" s="48" t="s">
        <v>873</v>
      </c>
      <c r="D135" s="64">
        <f t="shared" si="28"/>
        <v>0</v>
      </c>
      <c r="E135" s="64">
        <f t="shared" si="28"/>
        <v>0</v>
      </c>
      <c r="F135" s="64">
        <f t="shared" si="28"/>
        <v>0</v>
      </c>
      <c r="G135" s="64">
        <f t="shared" si="28"/>
        <v>0</v>
      </c>
      <c r="H135" s="64">
        <f t="shared" si="28"/>
        <v>0</v>
      </c>
      <c r="I135" s="64">
        <f t="shared" si="28"/>
        <v>0</v>
      </c>
      <c r="J135" s="64">
        <f t="shared" si="28"/>
        <v>0</v>
      </c>
    </row>
    <row r="136" spans="2:10">
      <c r="B136" s="48" t="s">
        <v>872</v>
      </c>
      <c r="D136" s="64">
        <f t="shared" si="28"/>
        <v>0</v>
      </c>
      <c r="E136" s="64">
        <f t="shared" si="28"/>
        <v>0</v>
      </c>
      <c r="F136" s="64">
        <f t="shared" si="28"/>
        <v>0</v>
      </c>
      <c r="G136" s="64">
        <f t="shared" si="28"/>
        <v>0</v>
      </c>
      <c r="H136" s="64">
        <f t="shared" si="28"/>
        <v>0</v>
      </c>
      <c r="I136" s="64">
        <f t="shared" si="28"/>
        <v>0</v>
      </c>
      <c r="J136" s="64">
        <f t="shared" si="28"/>
        <v>0</v>
      </c>
    </row>
    <row r="137" spans="2:10">
      <c r="B137" s="48" t="s">
        <v>871</v>
      </c>
      <c r="D137" s="64">
        <f t="shared" si="28"/>
        <v>0</v>
      </c>
      <c r="E137" s="64">
        <f t="shared" si="28"/>
        <v>0</v>
      </c>
      <c r="F137" s="64">
        <f t="shared" si="28"/>
        <v>0</v>
      </c>
      <c r="G137" s="64">
        <f t="shared" si="28"/>
        <v>0</v>
      </c>
      <c r="H137" s="64">
        <f t="shared" si="28"/>
        <v>0</v>
      </c>
      <c r="I137" s="64">
        <f t="shared" si="28"/>
        <v>0</v>
      </c>
      <c r="J137" s="64">
        <f t="shared" si="28"/>
        <v>0</v>
      </c>
    </row>
    <row r="138" spans="2:10">
      <c r="B138" s="48" t="s">
        <v>870</v>
      </c>
      <c r="D138" s="64">
        <f t="shared" ref="D138:J139" si="29">SUMIF($B$28:$B$120,$B138,D$28:D$120)</f>
        <v>0</v>
      </c>
      <c r="E138" s="64">
        <f t="shared" si="29"/>
        <v>0</v>
      </c>
      <c r="F138" s="64">
        <f t="shared" si="29"/>
        <v>0</v>
      </c>
      <c r="G138" s="64">
        <f t="shared" si="29"/>
        <v>0</v>
      </c>
      <c r="H138" s="64">
        <f t="shared" si="29"/>
        <v>0</v>
      </c>
      <c r="I138" s="64">
        <f t="shared" si="29"/>
        <v>0</v>
      </c>
      <c r="J138" s="64">
        <f t="shared" si="29"/>
        <v>0</v>
      </c>
    </row>
    <row r="139" spans="2:10">
      <c r="B139" s="48" t="s">
        <v>890</v>
      </c>
      <c r="D139" s="64">
        <f t="shared" si="29"/>
        <v>0</v>
      </c>
      <c r="E139" s="64">
        <f t="shared" si="29"/>
        <v>0</v>
      </c>
      <c r="F139" s="64">
        <f t="shared" si="29"/>
        <v>0</v>
      </c>
      <c r="G139" s="64">
        <f t="shared" si="29"/>
        <v>0</v>
      </c>
      <c r="H139" s="64">
        <f t="shared" si="29"/>
        <v>0</v>
      </c>
      <c r="I139" s="64">
        <f t="shared" si="29"/>
        <v>0</v>
      </c>
      <c r="J139" s="64">
        <f t="shared" si="29"/>
        <v>0</v>
      </c>
    </row>
    <row r="140" spans="2:10">
      <c r="B140" s="48" t="s">
        <v>111</v>
      </c>
      <c r="D140" s="65">
        <f>SUM(D122:D139)</f>
        <v>0</v>
      </c>
      <c r="E140" s="65">
        <f t="shared" ref="E140:J140" si="30">SUM(E122:E139)</f>
        <v>0</v>
      </c>
      <c r="F140" s="65">
        <f t="shared" si="30"/>
        <v>0</v>
      </c>
      <c r="G140" s="65">
        <f t="shared" si="30"/>
        <v>0</v>
      </c>
      <c r="H140" s="65">
        <f t="shared" si="30"/>
        <v>0</v>
      </c>
      <c r="I140" s="65">
        <f t="shared" si="30"/>
        <v>0</v>
      </c>
      <c r="J140" s="65">
        <f t="shared" si="30"/>
        <v>0</v>
      </c>
    </row>
    <row r="141" spans="2:10">
      <c r="B141" s="48"/>
      <c r="D141" s="66">
        <f>D140-D120</f>
        <v>0</v>
      </c>
      <c r="E141" s="66">
        <f t="shared" ref="E141:J141" si="31">E140-E120</f>
        <v>0</v>
      </c>
      <c r="F141" s="66">
        <f t="shared" si="31"/>
        <v>0</v>
      </c>
      <c r="G141" s="66">
        <f t="shared" si="31"/>
        <v>0</v>
      </c>
      <c r="H141" s="66">
        <f t="shared" si="31"/>
        <v>0</v>
      </c>
      <c r="I141" s="66">
        <f t="shared" si="31"/>
        <v>0</v>
      </c>
      <c r="J141" s="66">
        <f t="shared" si="31"/>
        <v>0</v>
      </c>
    </row>
  </sheetData>
  <printOptions horizontalCentered="1" verticalCentered="1"/>
  <pageMargins left="0.39370078740157483" right="0.39370078740157483" top="0.39370078740157483" bottom="0.39370078740157483" header="0.31496062992125984" footer="0.23622047244094491"/>
  <pageSetup scale="45" orientation="portrait" horizontalDpi="300" r:id="rId1"/>
  <headerFooter alignWithMargins="0">
    <oddHeader>&amp;L
NOMBRE DE LA DISTRIBUIDORA: &amp;UENSA.&amp;R&amp;9&amp;A</oddHeader>
  </headerFooter>
  <rowBreaks count="1" manualBreakCount="1">
    <brk id="120" max="9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Hoja91">
    <tabColor theme="5" tint="0.39997558519241921"/>
  </sheetPr>
  <dimension ref="B1:L141"/>
  <sheetViews>
    <sheetView view="pageBreakPreview" zoomScale="70" zoomScaleNormal="85" zoomScaleSheetLayoutView="70" workbookViewId="0"/>
  </sheetViews>
  <sheetFormatPr baseColWidth="10" defaultColWidth="8" defaultRowHeight="15"/>
  <cols>
    <col min="1" max="1" width="1.875" style="63" customWidth="1"/>
    <col min="2" max="2" width="6" style="63" customWidth="1"/>
    <col min="3" max="3" width="28.625" style="63" customWidth="1"/>
    <col min="4" max="4" width="11.75" style="63" customWidth="1"/>
    <col min="5" max="5" width="12.625" style="63" customWidth="1"/>
    <col min="6" max="6" width="12.75" style="63" customWidth="1"/>
    <col min="7" max="7" width="13.25" style="63" customWidth="1"/>
    <col min="8" max="8" width="13.875" style="63" customWidth="1"/>
    <col min="9" max="9" width="11.5" style="63" customWidth="1"/>
    <col min="10" max="10" width="13.125" style="63" customWidth="1"/>
    <col min="11" max="11" width="2.25" style="63" customWidth="1"/>
    <col min="12" max="12" width="4.25" style="345" bestFit="1" customWidth="1"/>
    <col min="13" max="16384" width="8" style="63"/>
  </cols>
  <sheetData>
    <row r="1" spans="3:12" s="69" customFormat="1" ht="15.75">
      <c r="C1" s="136" t="s">
        <v>151</v>
      </c>
      <c r="E1" s="63"/>
      <c r="L1" s="341"/>
    </row>
    <row r="2" spans="3:12" s="69" customFormat="1" ht="15.75">
      <c r="C2" s="136"/>
      <c r="E2" s="137" t="s">
        <v>138</v>
      </c>
      <c r="L2" s="341"/>
    </row>
    <row r="3" spans="3:12" s="69" customFormat="1" ht="15.75">
      <c r="D3" s="137"/>
      <c r="L3" s="341"/>
    </row>
    <row r="4" spans="3:12" s="69" customFormat="1" ht="15.75">
      <c r="C4" s="219" t="s">
        <v>1532</v>
      </c>
      <c r="D4" s="338"/>
      <c r="E4" s="338"/>
      <c r="F4" s="338"/>
      <c r="G4" s="338"/>
      <c r="H4" s="338"/>
      <c r="I4" s="338"/>
      <c r="J4" s="339"/>
      <c r="L4" s="341"/>
    </row>
    <row r="5" spans="3:12" s="69" customFormat="1" ht="15.75">
      <c r="C5" s="342" t="s">
        <v>804</v>
      </c>
      <c r="D5" s="322"/>
      <c r="E5" s="323"/>
      <c r="F5" s="322"/>
      <c r="G5" s="322"/>
      <c r="H5" s="342"/>
      <c r="I5" s="342"/>
      <c r="L5" s="341"/>
    </row>
    <row r="6" spans="3:12" s="58" customFormat="1" ht="30.95" customHeight="1">
      <c r="C6" s="343" t="s">
        <v>1465</v>
      </c>
      <c r="D6" s="344" t="s">
        <v>236</v>
      </c>
      <c r="E6" s="323"/>
      <c r="F6" s="322"/>
      <c r="G6" s="322"/>
      <c r="H6" s="342"/>
      <c r="I6" s="342"/>
      <c r="J6" s="69"/>
      <c r="L6" s="345"/>
    </row>
    <row r="7" spans="3:12" s="143" customFormat="1" ht="15.75">
      <c r="C7" s="144" t="s">
        <v>266</v>
      </c>
      <c r="D7" s="144">
        <f>RAT1000PT!$F$137</f>
        <v>0</v>
      </c>
      <c r="E7" s="322"/>
      <c r="F7" s="322"/>
      <c r="G7" s="322"/>
      <c r="H7" s="342"/>
      <c r="I7" s="342"/>
      <c r="J7" s="69"/>
      <c r="L7" s="345"/>
    </row>
    <row r="8" spans="3:12" s="143" customFormat="1" ht="15.75">
      <c r="C8" s="144" t="s">
        <v>265</v>
      </c>
      <c r="D8" s="144">
        <f>RAT1000PT!$F$136</f>
        <v>0</v>
      </c>
      <c r="E8" s="322"/>
      <c r="F8" s="322"/>
      <c r="G8" s="322"/>
      <c r="H8" s="342"/>
      <c r="I8" s="342"/>
      <c r="J8" s="69"/>
      <c r="L8" s="345"/>
    </row>
    <row r="9" spans="3:12" s="143" customFormat="1" ht="15.75">
      <c r="C9" s="144" t="s">
        <v>264</v>
      </c>
      <c r="D9" s="144">
        <f>RAT1000PT!$F$135</f>
        <v>0</v>
      </c>
      <c r="E9" s="322"/>
      <c r="F9" s="322"/>
      <c r="G9" s="322"/>
      <c r="H9" s="342"/>
      <c r="I9" s="342"/>
      <c r="J9" s="69"/>
      <c r="L9" s="345"/>
    </row>
    <row r="10" spans="3:12" s="143" customFormat="1" ht="15.75">
      <c r="C10" s="144" t="s">
        <v>262</v>
      </c>
      <c r="D10" s="144">
        <f>RAT1000PT!$F$134</f>
        <v>0</v>
      </c>
      <c r="E10" s="322"/>
      <c r="F10" s="322"/>
      <c r="G10" s="322"/>
      <c r="H10" s="342"/>
      <c r="I10" s="342"/>
      <c r="J10" s="69"/>
      <c r="L10" s="345"/>
    </row>
    <row r="11" spans="3:12" s="143" customFormat="1" ht="15.75">
      <c r="C11" s="144" t="s">
        <v>263</v>
      </c>
      <c r="D11" s="144">
        <f>RAT1000PT!$F$133</f>
        <v>0</v>
      </c>
      <c r="E11" s="322"/>
      <c r="F11" s="322"/>
      <c r="G11" s="322"/>
      <c r="H11" s="342"/>
      <c r="I11" s="342"/>
      <c r="J11" s="69"/>
      <c r="L11" s="345"/>
    </row>
    <row r="12" spans="3:12" s="143" customFormat="1" ht="15.75">
      <c r="C12" s="144" t="s">
        <v>261</v>
      </c>
      <c r="D12" s="144">
        <f>RAT1000PT!$F$132</f>
        <v>0</v>
      </c>
      <c r="E12" s="322"/>
      <c r="F12" s="322"/>
      <c r="G12" s="322"/>
      <c r="H12" s="342"/>
      <c r="I12" s="342"/>
      <c r="J12" s="69"/>
      <c r="L12" s="345"/>
    </row>
    <row r="13" spans="3:12" s="143" customFormat="1" ht="15.75">
      <c r="C13" s="144" t="s">
        <v>267</v>
      </c>
      <c r="D13" s="144">
        <f>RAT1000PT!$F$130</f>
        <v>0</v>
      </c>
      <c r="E13" s="322"/>
      <c r="F13" s="322"/>
      <c r="G13" s="322"/>
      <c r="H13" s="342"/>
      <c r="I13" s="342"/>
      <c r="J13" s="69"/>
      <c r="L13" s="345"/>
    </row>
    <row r="14" spans="3:12" s="143" customFormat="1" ht="15.75">
      <c r="C14" s="144" t="s">
        <v>1178</v>
      </c>
      <c r="D14" s="144">
        <f>RAT1000PT!$F$131</f>
        <v>0</v>
      </c>
      <c r="E14" s="322"/>
      <c r="F14" s="322"/>
      <c r="G14" s="322"/>
      <c r="H14" s="342"/>
      <c r="I14" s="342"/>
      <c r="J14" s="69"/>
      <c r="L14" s="345"/>
    </row>
    <row r="15" spans="3:12" s="143" customFormat="1" ht="13.5">
      <c r="C15" s="147"/>
      <c r="E15" s="1010"/>
      <c r="F15" s="1010"/>
      <c r="G15" s="1010"/>
      <c r="H15" s="1010"/>
      <c r="I15" s="1010"/>
      <c r="J15" s="38"/>
      <c r="L15" s="1011"/>
    </row>
    <row r="16" spans="3:12" s="1004" customFormat="1" ht="5.25">
      <c r="C16" s="1005"/>
      <c r="E16" s="1006"/>
      <c r="F16" s="1006"/>
      <c r="G16" s="1006"/>
      <c r="H16" s="1006"/>
      <c r="I16" s="1006"/>
      <c r="J16" s="1007"/>
      <c r="L16" s="1008"/>
    </row>
    <row r="17" spans="2:12" s="1004" customFormat="1" ht="5.25">
      <c r="C17" s="1005"/>
      <c r="J17" s="1009"/>
      <c r="L17" s="1008"/>
    </row>
    <row r="18" spans="2:12" s="1004" customFormat="1" ht="5.25">
      <c r="C18" s="1005"/>
      <c r="J18" s="1009"/>
      <c r="L18" s="1008"/>
    </row>
    <row r="19" spans="2:12" s="1004" customFormat="1" ht="5.25">
      <c r="C19" s="1005"/>
      <c r="J19" s="1009"/>
      <c r="L19" s="1008"/>
    </row>
    <row r="20" spans="2:12" s="1004" customFormat="1" ht="5.25">
      <c r="C20" s="1005"/>
      <c r="J20" s="1009"/>
      <c r="L20" s="1008"/>
    </row>
    <row r="21" spans="2:12" s="1004" customFormat="1" ht="5.25">
      <c r="C21" s="1005"/>
      <c r="J21" s="1009"/>
      <c r="L21" s="1008"/>
    </row>
    <row r="22" spans="2:12" s="1004" customFormat="1" ht="5.25">
      <c r="C22" s="1005"/>
      <c r="J22" s="1009"/>
      <c r="L22" s="1008"/>
    </row>
    <row r="23" spans="2:12" s="1004" customFormat="1" ht="5.25">
      <c r="C23" s="1005"/>
      <c r="J23" s="1009"/>
      <c r="L23" s="1008"/>
    </row>
    <row r="24" spans="2:12" s="1004" customFormat="1" ht="5.25">
      <c r="C24" s="1005"/>
      <c r="J24" s="1009"/>
      <c r="L24" s="1008"/>
    </row>
    <row r="25" spans="2:12" s="1004" customFormat="1" ht="5.25">
      <c r="C25" s="1005"/>
      <c r="J25" s="1009"/>
      <c r="L25" s="1008"/>
    </row>
    <row r="26" spans="2:12" s="1004" customFormat="1" ht="5.25">
      <c r="C26" s="1005"/>
      <c r="J26" s="1009"/>
      <c r="L26" s="1008"/>
    </row>
    <row r="27" spans="2:12" s="69" customFormat="1" ht="15.75">
      <c r="C27" s="1002" t="str">
        <f>C4</f>
        <v>Ingresos Reales = Cargos Corrección P-2 por Ventas Reales P-2</v>
      </c>
      <c r="D27" s="1002"/>
      <c r="E27" s="1002"/>
      <c r="F27" s="1002"/>
      <c r="G27" s="1002"/>
      <c r="H27" s="1002"/>
      <c r="I27" s="1002"/>
      <c r="J27" s="1003"/>
      <c r="L27" s="345" t="s">
        <v>678</v>
      </c>
    </row>
    <row r="28" spans="2:12" s="37" customFormat="1" ht="15.75">
      <c r="C28" s="346" t="s">
        <v>310</v>
      </c>
      <c r="D28" s="347">
        <f>F821EVE!D4</f>
        <v>45839</v>
      </c>
      <c r="E28" s="347">
        <f>F821EVE!E4</f>
        <v>45870</v>
      </c>
      <c r="F28" s="347">
        <f>F821EVE!F4</f>
        <v>45901</v>
      </c>
      <c r="G28" s="347">
        <f>F821EVE!G4</f>
        <v>45931</v>
      </c>
      <c r="H28" s="347">
        <f>F821EVE!H4</f>
        <v>45962</v>
      </c>
      <c r="I28" s="347">
        <f>F821EVE!I4</f>
        <v>45992</v>
      </c>
      <c r="J28" s="348" t="s">
        <v>111</v>
      </c>
      <c r="K28" s="69"/>
      <c r="L28" s="349"/>
    </row>
    <row r="29" spans="2:12" s="37" customFormat="1" ht="15.75" customHeight="1">
      <c r="B29" s="48"/>
      <c r="C29" s="153" t="s">
        <v>446</v>
      </c>
      <c r="D29" s="154">
        <f t="shared" ref="D29:I29" si="0">SUM(D30:D31)</f>
        <v>0</v>
      </c>
      <c r="E29" s="154">
        <f t="shared" si="0"/>
        <v>0</v>
      </c>
      <c r="F29" s="154">
        <f t="shared" si="0"/>
        <v>0</v>
      </c>
      <c r="G29" s="154">
        <f t="shared" si="0"/>
        <v>0</v>
      </c>
      <c r="H29" s="154">
        <f t="shared" si="0"/>
        <v>0</v>
      </c>
      <c r="I29" s="154">
        <f t="shared" si="0"/>
        <v>0</v>
      </c>
      <c r="J29" s="154">
        <f>SUM(D29:I29)</f>
        <v>0</v>
      </c>
      <c r="K29" s="69"/>
      <c r="L29" s="350"/>
    </row>
    <row r="30" spans="2:12" s="37" customFormat="1" ht="15.75" customHeight="1">
      <c r="B30" s="48" t="s">
        <v>279</v>
      </c>
      <c r="C30" s="155" t="s">
        <v>279</v>
      </c>
      <c r="D30" s="156">
        <f>$D$7*F821EVE!D6</f>
        <v>0</v>
      </c>
      <c r="E30" s="156">
        <f>$D$7*F821EVE!E6</f>
        <v>0</v>
      </c>
      <c r="F30" s="156">
        <f>$D$7*F821EVE!F6</f>
        <v>0</v>
      </c>
      <c r="G30" s="156">
        <f>$D$7*F821EVE!G6</f>
        <v>0</v>
      </c>
      <c r="H30" s="156">
        <f>$D$7*F821EVE!H6</f>
        <v>0</v>
      </c>
      <c r="I30" s="156">
        <f>$D$7*F821EVE!I6</f>
        <v>0</v>
      </c>
      <c r="J30" s="156">
        <f>SUM(D30:I30)</f>
        <v>0</v>
      </c>
      <c r="K30" s="69"/>
      <c r="L30" s="341"/>
    </row>
    <row r="31" spans="2:12" s="37" customFormat="1" ht="15.75" customHeight="1">
      <c r="B31" s="48" t="s">
        <v>278</v>
      </c>
      <c r="C31" s="155" t="s">
        <v>278</v>
      </c>
      <c r="D31" s="156">
        <f>$D$8*F821EVE!D7</f>
        <v>0</v>
      </c>
      <c r="E31" s="156">
        <f>$D$8*F821EVE!E7</f>
        <v>0</v>
      </c>
      <c r="F31" s="156">
        <f>$D$8*F821EVE!F7</f>
        <v>0</v>
      </c>
      <c r="G31" s="156">
        <f>$D$8*F821EVE!G7</f>
        <v>0</v>
      </c>
      <c r="H31" s="156">
        <f>$D$8*F821EVE!H7</f>
        <v>0</v>
      </c>
      <c r="I31" s="156">
        <f>$D$8*F821EVE!I7</f>
        <v>0</v>
      </c>
      <c r="J31" s="156">
        <f>SUM(D31:I31)</f>
        <v>0</v>
      </c>
      <c r="K31" s="69"/>
      <c r="L31" s="351"/>
    </row>
    <row r="32" spans="2:12" s="37" customFormat="1" ht="15.75" customHeight="1">
      <c r="B32" s="48"/>
      <c r="C32" s="157"/>
      <c r="D32" s="156"/>
      <c r="E32" s="156"/>
      <c r="F32" s="156"/>
      <c r="G32" s="156"/>
      <c r="H32" s="156"/>
      <c r="I32" s="156"/>
      <c r="J32" s="156"/>
      <c r="K32" s="69"/>
      <c r="L32" s="350"/>
    </row>
    <row r="33" spans="2:12" s="37" customFormat="1" ht="15.75" customHeight="1">
      <c r="B33" s="48"/>
      <c r="C33" s="153" t="s">
        <v>630</v>
      </c>
      <c r="D33" s="154">
        <f>D34+D37</f>
        <v>0</v>
      </c>
      <c r="E33" s="154">
        <f t="shared" ref="E33:J33" si="1">E34+E37</f>
        <v>0</v>
      </c>
      <c r="F33" s="154">
        <f t="shared" si="1"/>
        <v>0</v>
      </c>
      <c r="G33" s="154">
        <f t="shared" si="1"/>
        <v>0</v>
      </c>
      <c r="H33" s="154">
        <f t="shared" si="1"/>
        <v>0</v>
      </c>
      <c r="I33" s="154">
        <f t="shared" si="1"/>
        <v>0</v>
      </c>
      <c r="J33" s="154">
        <f t="shared" si="1"/>
        <v>0</v>
      </c>
      <c r="K33" s="69"/>
      <c r="L33" s="341"/>
    </row>
    <row r="34" spans="2:12" s="37" customFormat="1" ht="15.75" customHeight="1">
      <c r="B34" s="48" t="s">
        <v>277</v>
      </c>
      <c r="C34" s="155" t="s">
        <v>277</v>
      </c>
      <c r="D34" s="154">
        <f>SUM(D35:D36)</f>
        <v>0</v>
      </c>
      <c r="E34" s="154">
        <f t="shared" ref="E34:J34" si="2">SUM(E35:E36)</f>
        <v>0</v>
      </c>
      <c r="F34" s="154">
        <f t="shared" si="2"/>
        <v>0</v>
      </c>
      <c r="G34" s="154">
        <f t="shared" si="2"/>
        <v>0</v>
      </c>
      <c r="H34" s="154">
        <f t="shared" si="2"/>
        <v>0</v>
      </c>
      <c r="I34" s="154">
        <f t="shared" si="2"/>
        <v>0</v>
      </c>
      <c r="J34" s="154">
        <f t="shared" si="2"/>
        <v>0</v>
      </c>
      <c r="K34" s="69"/>
      <c r="L34" s="341"/>
    </row>
    <row r="35" spans="2:12" s="37" customFormat="1" ht="15.75" customHeight="1">
      <c r="B35" s="48"/>
      <c r="C35" s="160" t="s">
        <v>304</v>
      </c>
      <c r="D35" s="156">
        <f>$D$9*F821EVE!D11*$L35</f>
        <v>0</v>
      </c>
      <c r="E35" s="156">
        <f>$D$9*F821EVE!E11*$L35</f>
        <v>0</v>
      </c>
      <c r="F35" s="156">
        <f>$D$9*F821EVE!F11*$L35</f>
        <v>0</v>
      </c>
      <c r="G35" s="156">
        <f>$D$9*F821EVE!G11*$L35</f>
        <v>0</v>
      </c>
      <c r="H35" s="156">
        <f>$D$9*F821EVE!H11*$L35</f>
        <v>0</v>
      </c>
      <c r="I35" s="156">
        <f>$D$9*F821EVE!I11*$L35</f>
        <v>0</v>
      </c>
      <c r="J35" s="156">
        <f t="shared" ref="J35:J41" si="3">SUM(D35:I35)</f>
        <v>0</v>
      </c>
      <c r="K35" s="69"/>
      <c r="L35" s="319">
        <v>1</v>
      </c>
    </row>
    <row r="36" spans="2:12" s="37" customFormat="1" ht="15.75" customHeight="1">
      <c r="B36" s="48"/>
      <c r="C36" s="160" t="s">
        <v>305</v>
      </c>
      <c r="D36" s="156">
        <f>$D$9*F821EVE!D12*$L36</f>
        <v>0</v>
      </c>
      <c r="E36" s="156">
        <f>$D$9*F821EVE!E12*$L36</f>
        <v>0</v>
      </c>
      <c r="F36" s="156">
        <f>$D$9*F821EVE!F12*$L36</f>
        <v>0</v>
      </c>
      <c r="G36" s="156">
        <f>$D$9*F821EVE!G12*$L36</f>
        <v>0</v>
      </c>
      <c r="H36" s="156">
        <f>$D$9*F821EVE!H12*$L36</f>
        <v>0</v>
      </c>
      <c r="I36" s="156">
        <f>$D$9*F821EVE!I12*$L36</f>
        <v>0</v>
      </c>
      <c r="J36" s="156">
        <f t="shared" si="3"/>
        <v>0</v>
      </c>
      <c r="K36" s="69"/>
      <c r="L36" s="319">
        <v>0.95</v>
      </c>
    </row>
    <row r="37" spans="2:12" s="37" customFormat="1" ht="15.75" customHeight="1">
      <c r="B37" s="48" t="s">
        <v>276</v>
      </c>
      <c r="C37" s="158" t="s">
        <v>276</v>
      </c>
      <c r="D37" s="159">
        <f t="shared" ref="D37:I37" si="4">SUM(D38:D41)</f>
        <v>0</v>
      </c>
      <c r="E37" s="159">
        <f t="shared" si="4"/>
        <v>0</v>
      </c>
      <c r="F37" s="159">
        <f t="shared" si="4"/>
        <v>0</v>
      </c>
      <c r="G37" s="159">
        <f t="shared" si="4"/>
        <v>0</v>
      </c>
      <c r="H37" s="159">
        <f t="shared" si="4"/>
        <v>0</v>
      </c>
      <c r="I37" s="159">
        <f t="shared" si="4"/>
        <v>0</v>
      </c>
      <c r="J37" s="159">
        <f t="shared" si="3"/>
        <v>0</v>
      </c>
      <c r="K37" s="69"/>
      <c r="L37" s="351"/>
    </row>
    <row r="38" spans="2:12" s="37" customFormat="1" ht="15.75" customHeight="1">
      <c r="B38" s="48"/>
      <c r="C38" s="160" t="s">
        <v>304</v>
      </c>
      <c r="D38" s="156">
        <f>$D$10*F821EVE!D15*$L38</f>
        <v>0</v>
      </c>
      <c r="E38" s="156">
        <f>$D$10*F821EVE!E15*$L38</f>
        <v>0</v>
      </c>
      <c r="F38" s="156">
        <f>$D$10*F821EVE!F15*$L38</f>
        <v>0</v>
      </c>
      <c r="G38" s="156">
        <f>$D$10*F821EVE!G15*$L38</f>
        <v>0</v>
      </c>
      <c r="H38" s="156">
        <f>$D$10*F821EVE!H15*$L38</f>
        <v>0</v>
      </c>
      <c r="I38" s="156">
        <f>$D$10*F821EVE!I15*$L38</f>
        <v>0</v>
      </c>
      <c r="J38" s="156">
        <f t="shared" si="3"/>
        <v>0</v>
      </c>
      <c r="K38" s="69"/>
      <c r="L38" s="319">
        <v>1</v>
      </c>
    </row>
    <row r="39" spans="2:12" s="37" customFormat="1" ht="15.75" customHeight="1">
      <c r="B39" s="48"/>
      <c r="C39" s="161" t="s">
        <v>306</v>
      </c>
      <c r="D39" s="156">
        <f>$D$10*F821EVE!D16*$L39</f>
        <v>0</v>
      </c>
      <c r="E39" s="156">
        <f>$D$10*F821EVE!E16*$L39</f>
        <v>0</v>
      </c>
      <c r="F39" s="156">
        <f>$D$10*F821EVE!F16*$L39</f>
        <v>0</v>
      </c>
      <c r="G39" s="156">
        <f>$D$10*F821EVE!G16*$L39</f>
        <v>0</v>
      </c>
      <c r="H39" s="156">
        <f>$D$10*F821EVE!H16*$L39</f>
        <v>0</v>
      </c>
      <c r="I39" s="156">
        <f>$D$10*F821EVE!I16*$L39</f>
        <v>0</v>
      </c>
      <c r="J39" s="156">
        <f t="shared" si="3"/>
        <v>0</v>
      </c>
      <c r="K39" s="69"/>
      <c r="L39" s="319">
        <v>1</v>
      </c>
    </row>
    <row r="40" spans="2:12" s="37" customFormat="1" ht="15.75" customHeight="1">
      <c r="B40" s="48"/>
      <c r="C40" s="160" t="s">
        <v>305</v>
      </c>
      <c r="D40" s="156">
        <f>$D$10*F821EVE!D17*$L40</f>
        <v>0</v>
      </c>
      <c r="E40" s="156">
        <f>$D$10*F821EVE!E17*$L40</f>
        <v>0</v>
      </c>
      <c r="F40" s="156">
        <f>$D$10*F821EVE!F17*$L40</f>
        <v>0</v>
      </c>
      <c r="G40" s="156">
        <f>$D$10*F821EVE!G17*$L40</f>
        <v>0</v>
      </c>
      <c r="H40" s="156">
        <f>$D$10*F821EVE!H17*$L40</f>
        <v>0</v>
      </c>
      <c r="I40" s="156">
        <f>$D$10*F821EVE!I17*$L40</f>
        <v>0</v>
      </c>
      <c r="J40" s="156">
        <f t="shared" si="3"/>
        <v>0</v>
      </c>
      <c r="K40" s="69"/>
      <c r="L40" s="319">
        <v>0.95</v>
      </c>
    </row>
    <row r="41" spans="2:12" s="37" customFormat="1" ht="15.75" customHeight="1">
      <c r="B41" s="48"/>
      <c r="C41" s="160" t="s">
        <v>307</v>
      </c>
      <c r="D41" s="156">
        <f>$D$10*F821EVE!D18*$L41</f>
        <v>0</v>
      </c>
      <c r="E41" s="156">
        <f>$D$10*F821EVE!E18*$L41</f>
        <v>0</v>
      </c>
      <c r="F41" s="156">
        <f>$D$10*F821EVE!F18*$L41</f>
        <v>0</v>
      </c>
      <c r="G41" s="156">
        <f>$D$10*F821EVE!G18*$L41</f>
        <v>0</v>
      </c>
      <c r="H41" s="156">
        <f>$D$10*F821EVE!H18*$L41</f>
        <v>0</v>
      </c>
      <c r="I41" s="156">
        <f>$D$10*F821EVE!I18*$L41</f>
        <v>0</v>
      </c>
      <c r="J41" s="156">
        <f t="shared" si="3"/>
        <v>0</v>
      </c>
      <c r="K41" s="69"/>
      <c r="L41" s="319">
        <v>0.5</v>
      </c>
    </row>
    <row r="42" spans="2:12" s="37" customFormat="1" ht="15.75" customHeight="1">
      <c r="B42" s="48"/>
      <c r="C42" s="157"/>
      <c r="D42" s="157"/>
      <c r="E42" s="157"/>
      <c r="F42" s="157"/>
      <c r="G42" s="157"/>
      <c r="H42" s="157"/>
      <c r="I42" s="157"/>
      <c r="J42" s="157"/>
      <c r="K42" s="69"/>
      <c r="L42" s="341"/>
    </row>
    <row r="43" spans="2:12" s="37" customFormat="1" ht="15.75" customHeight="1">
      <c r="B43" s="48"/>
      <c r="C43" s="153" t="s">
        <v>443</v>
      </c>
      <c r="D43" s="154">
        <f t="shared" ref="D43:I43" si="5">D44+D48+D55+D60+D65+D78+D84+D91+D99+D105+D112+D71</f>
        <v>0</v>
      </c>
      <c r="E43" s="154">
        <f t="shared" si="5"/>
        <v>0</v>
      </c>
      <c r="F43" s="154">
        <f t="shared" si="5"/>
        <v>0</v>
      </c>
      <c r="G43" s="154">
        <f t="shared" si="5"/>
        <v>0</v>
      </c>
      <c r="H43" s="154">
        <f t="shared" si="5"/>
        <v>0</v>
      </c>
      <c r="I43" s="154">
        <f t="shared" si="5"/>
        <v>0</v>
      </c>
      <c r="J43" s="154">
        <f>J44+J48+J55+J60+J65+J78+J84+J91+J99+J105+J112</f>
        <v>0</v>
      </c>
      <c r="K43" s="69"/>
      <c r="L43" s="341"/>
    </row>
    <row r="44" spans="2:12" s="37" customFormat="1" ht="15.75" customHeight="1">
      <c r="B44" s="48" t="s">
        <v>275</v>
      </c>
      <c r="C44" s="155" t="s">
        <v>275</v>
      </c>
      <c r="D44" s="154">
        <f>SUM(D45:D47)</f>
        <v>0</v>
      </c>
      <c r="E44" s="154">
        <f t="shared" ref="E44:J44" si="6">SUM(E45:E47)</f>
        <v>0</v>
      </c>
      <c r="F44" s="154">
        <f t="shared" si="6"/>
        <v>0</v>
      </c>
      <c r="G44" s="154">
        <f t="shared" si="6"/>
        <v>0</v>
      </c>
      <c r="H44" s="154">
        <f t="shared" si="6"/>
        <v>0</v>
      </c>
      <c r="I44" s="154">
        <f t="shared" si="6"/>
        <v>0</v>
      </c>
      <c r="J44" s="154">
        <f t="shared" si="6"/>
        <v>0</v>
      </c>
      <c r="K44" s="69"/>
      <c r="L44" s="341"/>
    </row>
    <row r="45" spans="2:12" s="37" customFormat="1" ht="15.75" customHeight="1">
      <c r="B45" s="48"/>
      <c r="C45" s="160" t="s">
        <v>304</v>
      </c>
      <c r="D45" s="156">
        <f>$D$11*F821EVE!D22*$L45</f>
        <v>0</v>
      </c>
      <c r="E45" s="156">
        <f>$D$11*F821EVE!E22*$L45</f>
        <v>0</v>
      </c>
      <c r="F45" s="156">
        <f>$D$11*F821EVE!F22*$L45</f>
        <v>0</v>
      </c>
      <c r="G45" s="156">
        <f>$D$11*F821EVE!G22*$L45</f>
        <v>0</v>
      </c>
      <c r="H45" s="156">
        <f>$D$11*F821EVE!H22*$L45</f>
        <v>0</v>
      </c>
      <c r="I45" s="156">
        <f>$D$11*F821EVE!I22*$L45</f>
        <v>0</v>
      </c>
      <c r="J45" s="156">
        <f t="shared" ref="J45" si="7">SUM(D45:I45)</f>
        <v>0</v>
      </c>
      <c r="K45" s="69"/>
      <c r="L45" s="319">
        <v>1</v>
      </c>
    </row>
    <row r="46" spans="2:12" s="37" customFormat="1" ht="15.75" customHeight="1">
      <c r="B46" s="48"/>
      <c r="C46" s="161" t="s">
        <v>306</v>
      </c>
      <c r="D46" s="156">
        <f>$D$11*F821EVE!D23*$L46</f>
        <v>0</v>
      </c>
      <c r="E46" s="156">
        <f>$D$11*F821EVE!E23*$L46</f>
        <v>0</v>
      </c>
      <c r="F46" s="156">
        <f>$D$11*F821EVE!F23*$L46</f>
        <v>0</v>
      </c>
      <c r="G46" s="156">
        <f>$D$11*F821EVE!G23*$L46</f>
        <v>0</v>
      </c>
      <c r="H46" s="156">
        <f>$D$11*F821EVE!H23*$L46</f>
        <v>0</v>
      </c>
      <c r="I46" s="156">
        <f>$D$11*F821EVE!I23*$L46</f>
        <v>0</v>
      </c>
      <c r="J46" s="156">
        <f t="shared" ref="J46:J69" si="8">SUM(D46:I46)</f>
        <v>0</v>
      </c>
      <c r="K46" s="69"/>
      <c r="L46" s="319">
        <v>0.75</v>
      </c>
    </row>
    <row r="47" spans="2:12" s="37" customFormat="1" ht="15.75" customHeight="1">
      <c r="B47" s="48"/>
      <c r="C47" s="160" t="s">
        <v>305</v>
      </c>
      <c r="D47" s="156">
        <f>$D$11*F821EVE!D24*$L47</f>
        <v>0</v>
      </c>
      <c r="E47" s="156">
        <f>$D$11*F821EVE!E24*$L47</f>
        <v>0</v>
      </c>
      <c r="F47" s="156">
        <f>$D$11*F821EVE!F24*$L47</f>
        <v>0</v>
      </c>
      <c r="G47" s="156">
        <f>$D$11*F821EVE!G24*$L47</f>
        <v>0</v>
      </c>
      <c r="H47" s="156">
        <f>$D$11*F821EVE!H24*$L47</f>
        <v>0</v>
      </c>
      <c r="I47" s="156">
        <f>$D$11*F821EVE!I24*$L47</f>
        <v>0</v>
      </c>
      <c r="J47" s="156">
        <f t="shared" si="8"/>
        <v>0</v>
      </c>
      <c r="K47" s="69"/>
      <c r="L47" s="319">
        <v>0.95</v>
      </c>
    </row>
    <row r="48" spans="2:12" s="37" customFormat="1" ht="15.75" customHeight="1">
      <c r="B48" s="48" t="s">
        <v>274</v>
      </c>
      <c r="C48" s="158" t="s">
        <v>627</v>
      </c>
      <c r="D48" s="159">
        <f t="shared" ref="D48:I48" si="9">SUM(D49:D54)</f>
        <v>0</v>
      </c>
      <c r="E48" s="159">
        <f t="shared" si="9"/>
        <v>0</v>
      </c>
      <c r="F48" s="159">
        <f t="shared" si="9"/>
        <v>0</v>
      </c>
      <c r="G48" s="159">
        <f t="shared" si="9"/>
        <v>0</v>
      </c>
      <c r="H48" s="159">
        <f t="shared" si="9"/>
        <v>0</v>
      </c>
      <c r="I48" s="159">
        <f t="shared" si="9"/>
        <v>0</v>
      </c>
      <c r="J48" s="159">
        <f t="shared" si="8"/>
        <v>0</v>
      </c>
      <c r="K48" s="69"/>
      <c r="L48" s="341"/>
    </row>
    <row r="49" spans="2:12" s="37" customFormat="1" ht="15.75" customHeight="1">
      <c r="B49" s="48"/>
      <c r="C49" s="160" t="s">
        <v>304</v>
      </c>
      <c r="D49" s="156">
        <f>$D$12*F821EVE!D28*$L49</f>
        <v>0</v>
      </c>
      <c r="E49" s="156">
        <f>$D$12*F821EVE!E28*$L49</f>
        <v>0</v>
      </c>
      <c r="F49" s="156">
        <f>$D$12*F821EVE!F28*$L49</f>
        <v>0</v>
      </c>
      <c r="G49" s="156">
        <f>$D$12*F821EVE!G28*$L49</f>
        <v>0</v>
      </c>
      <c r="H49" s="156">
        <f>$D$12*F821EVE!H28*$L49</f>
        <v>0</v>
      </c>
      <c r="I49" s="156">
        <f>$D$12*F821EVE!I28*$L49</f>
        <v>0</v>
      </c>
      <c r="J49" s="156">
        <f t="shared" si="8"/>
        <v>0</v>
      </c>
      <c r="K49" s="69"/>
      <c r="L49" s="319">
        <v>1</v>
      </c>
    </row>
    <row r="50" spans="2:12" s="37" customFormat="1" ht="15.75" customHeight="1">
      <c r="B50" s="48"/>
      <c r="C50" s="162" t="s">
        <v>628</v>
      </c>
      <c r="D50" s="156">
        <f>$D$12*F821EVE!D29*$L50</f>
        <v>0</v>
      </c>
      <c r="E50" s="156">
        <f>$D$12*F821EVE!E29*$L50</f>
        <v>0</v>
      </c>
      <c r="F50" s="156">
        <f>$D$12*F821EVE!F29*$L50</f>
        <v>0</v>
      </c>
      <c r="G50" s="156">
        <f>$D$12*F821EVE!G29*$L50</f>
        <v>0</v>
      </c>
      <c r="H50" s="156">
        <f>$D$12*F821EVE!H29*$L50</f>
        <v>0</v>
      </c>
      <c r="I50" s="156">
        <f>$D$12*F821EVE!I29*$L50</f>
        <v>0</v>
      </c>
      <c r="J50" s="156">
        <f t="shared" si="8"/>
        <v>0</v>
      </c>
      <c r="K50" s="69"/>
      <c r="L50" s="319">
        <v>0.75</v>
      </c>
    </row>
    <row r="51" spans="2:12" s="37" customFormat="1" ht="15.75" customHeight="1">
      <c r="B51" s="48"/>
      <c r="C51" s="161" t="s">
        <v>629</v>
      </c>
      <c r="D51" s="156">
        <f>$D$12*F821EVE!D30*$L51</f>
        <v>0</v>
      </c>
      <c r="E51" s="156">
        <f>$D$12*F821EVE!E30*$L51</f>
        <v>0</v>
      </c>
      <c r="F51" s="156">
        <f>$D$12*F821EVE!F30*$L51</f>
        <v>0</v>
      </c>
      <c r="G51" s="156">
        <f>$D$12*F821EVE!G30*$L51</f>
        <v>0</v>
      </c>
      <c r="H51" s="156">
        <f>$D$12*F821EVE!H30*$L51</f>
        <v>0</v>
      </c>
      <c r="I51" s="156">
        <f>$D$12*F821EVE!I30*$L51</f>
        <v>0</v>
      </c>
      <c r="J51" s="156">
        <f t="shared" si="8"/>
        <v>0</v>
      </c>
      <c r="K51" s="69"/>
      <c r="L51" s="319">
        <v>1</v>
      </c>
    </row>
    <row r="52" spans="2:12" s="37" customFormat="1" ht="15.75" customHeight="1">
      <c r="B52" s="48"/>
      <c r="C52" s="160" t="s">
        <v>305</v>
      </c>
      <c r="D52" s="156">
        <f>$D$12*F821EVE!D31*$L52</f>
        <v>0</v>
      </c>
      <c r="E52" s="156">
        <f>$D$12*F821EVE!E31*$L52</f>
        <v>0</v>
      </c>
      <c r="F52" s="156">
        <f>$D$12*F821EVE!F31*$L52</f>
        <v>0</v>
      </c>
      <c r="G52" s="156">
        <f>$D$12*F821EVE!G31*$L52</f>
        <v>0</v>
      </c>
      <c r="H52" s="156">
        <f>$D$12*F821EVE!H31*$L52</f>
        <v>0</v>
      </c>
      <c r="I52" s="156">
        <f>$D$12*F821EVE!I31*$L52</f>
        <v>0</v>
      </c>
      <c r="J52" s="156">
        <f t="shared" si="8"/>
        <v>0</v>
      </c>
      <c r="K52" s="69"/>
      <c r="L52" s="319">
        <v>0.95</v>
      </c>
    </row>
    <row r="53" spans="2:12" s="37" customFormat="1" ht="15.75" customHeight="1">
      <c r="B53" s="48"/>
      <c r="C53" s="160" t="s">
        <v>307</v>
      </c>
      <c r="D53" s="156">
        <f>$D$12*F821EVE!D32*$L53</f>
        <v>0</v>
      </c>
      <c r="E53" s="156">
        <f>$D$12*F821EVE!E32*$L53</f>
        <v>0</v>
      </c>
      <c r="F53" s="156">
        <f>$D$12*F821EVE!F32*$L53</f>
        <v>0</v>
      </c>
      <c r="G53" s="156">
        <f>$D$12*F821EVE!G32*$L53</f>
        <v>0</v>
      </c>
      <c r="H53" s="156">
        <f>$D$12*F821EVE!H32*$L53</f>
        <v>0</v>
      </c>
      <c r="I53" s="156">
        <f>$D$12*F821EVE!I32*$L53</f>
        <v>0</v>
      </c>
      <c r="J53" s="156">
        <f t="shared" si="8"/>
        <v>0</v>
      </c>
      <c r="K53" s="69"/>
      <c r="L53" s="319">
        <v>0.5</v>
      </c>
    </row>
    <row r="54" spans="2:12" s="37" customFormat="1" ht="15.75" customHeight="1">
      <c r="B54" s="48"/>
      <c r="C54" s="160" t="s">
        <v>624</v>
      </c>
      <c r="D54" s="156">
        <f>$D$12*F821EVE!D33*$L54</f>
        <v>0</v>
      </c>
      <c r="E54" s="156">
        <f>$D$12*F821EVE!E33*$L54</f>
        <v>0</v>
      </c>
      <c r="F54" s="156">
        <f>$D$12*F821EVE!F33*$L54</f>
        <v>0</v>
      </c>
      <c r="G54" s="156">
        <f>$D$12*F821EVE!G33*$L54</f>
        <v>0</v>
      </c>
      <c r="H54" s="156">
        <f>$D$12*F821EVE!H33*$L54</f>
        <v>0</v>
      </c>
      <c r="I54" s="156">
        <f>$D$12*F821EVE!I33*$L54</f>
        <v>0</v>
      </c>
      <c r="J54" s="156">
        <f t="shared" si="8"/>
        <v>0</v>
      </c>
      <c r="K54" s="69"/>
      <c r="L54" s="319">
        <v>0</v>
      </c>
    </row>
    <row r="55" spans="2:12" s="37" customFormat="1" ht="15.75" customHeight="1">
      <c r="B55" s="48" t="s">
        <v>274</v>
      </c>
      <c r="C55" s="158" t="s">
        <v>631</v>
      </c>
      <c r="D55" s="159">
        <f t="shared" ref="D55:I55" si="10">SUM(D56:D59)</f>
        <v>0</v>
      </c>
      <c r="E55" s="159">
        <f t="shared" si="10"/>
        <v>0</v>
      </c>
      <c r="F55" s="159">
        <f t="shared" si="10"/>
        <v>0</v>
      </c>
      <c r="G55" s="159">
        <f t="shared" si="10"/>
        <v>0</v>
      </c>
      <c r="H55" s="159">
        <f t="shared" si="10"/>
        <v>0</v>
      </c>
      <c r="I55" s="159">
        <f t="shared" si="10"/>
        <v>0</v>
      </c>
      <c r="J55" s="159">
        <f t="shared" si="8"/>
        <v>0</v>
      </c>
      <c r="K55" s="69"/>
      <c r="L55" s="341"/>
    </row>
    <row r="56" spans="2:12" s="37" customFormat="1" ht="15.75" customHeight="1">
      <c r="B56" s="48"/>
      <c r="C56" s="160" t="s">
        <v>304</v>
      </c>
      <c r="D56" s="156">
        <f>$D$12*F821EVE!D35*$L56</f>
        <v>0</v>
      </c>
      <c r="E56" s="156">
        <f>$D$12*F821EVE!E35*$L56</f>
        <v>0</v>
      </c>
      <c r="F56" s="156">
        <f>$D$12*F821EVE!F35*$L56</f>
        <v>0</v>
      </c>
      <c r="G56" s="156">
        <f>$D$12*F821EVE!G35*$L56</f>
        <v>0</v>
      </c>
      <c r="H56" s="156">
        <f>$D$12*F821EVE!H35*$L56</f>
        <v>0</v>
      </c>
      <c r="I56" s="156">
        <f>$D$12*F821EVE!I35*$L56</f>
        <v>0</v>
      </c>
      <c r="J56" s="156">
        <f t="shared" si="8"/>
        <v>0</v>
      </c>
      <c r="K56" s="69"/>
      <c r="L56" s="319">
        <v>1</v>
      </c>
    </row>
    <row r="57" spans="2:12" s="37" customFormat="1" ht="15.75" customHeight="1">
      <c r="B57" s="48"/>
      <c r="C57" s="161" t="s">
        <v>306</v>
      </c>
      <c r="D57" s="156">
        <f>$D$12*F821EVE!D36*$L57</f>
        <v>0</v>
      </c>
      <c r="E57" s="156">
        <f>$D$12*F821EVE!E36*$L57</f>
        <v>0</v>
      </c>
      <c r="F57" s="156">
        <f>$D$12*F821EVE!F36*$L57</f>
        <v>0</v>
      </c>
      <c r="G57" s="156">
        <f>$D$12*F821EVE!G36*$L57</f>
        <v>0</v>
      </c>
      <c r="H57" s="156">
        <f>$D$12*F821EVE!H36*$L57</f>
        <v>0</v>
      </c>
      <c r="I57" s="156">
        <f>$D$12*F821EVE!I36*$L57</f>
        <v>0</v>
      </c>
      <c r="J57" s="156">
        <f t="shared" si="8"/>
        <v>0</v>
      </c>
      <c r="K57" s="69"/>
      <c r="L57" s="319">
        <v>1</v>
      </c>
    </row>
    <row r="58" spans="2:12" s="37" customFormat="1" ht="15.75" customHeight="1">
      <c r="B58" s="48"/>
      <c r="C58" s="160" t="s">
        <v>305</v>
      </c>
      <c r="D58" s="156">
        <f>$D$12*F821EVE!D37*$L58</f>
        <v>0</v>
      </c>
      <c r="E58" s="156">
        <f>$D$12*F821EVE!E37*$L58</f>
        <v>0</v>
      </c>
      <c r="F58" s="156">
        <f>$D$12*F821EVE!F37*$L58</f>
        <v>0</v>
      </c>
      <c r="G58" s="156">
        <f>$D$12*F821EVE!G37*$L58</f>
        <v>0</v>
      </c>
      <c r="H58" s="156">
        <f>$D$12*F821EVE!H37*$L58</f>
        <v>0</v>
      </c>
      <c r="I58" s="156">
        <f>$D$12*F821EVE!I37*$L58</f>
        <v>0</v>
      </c>
      <c r="J58" s="156">
        <f t="shared" si="8"/>
        <v>0</v>
      </c>
      <c r="K58" s="69"/>
      <c r="L58" s="319">
        <v>0.95</v>
      </c>
    </row>
    <row r="59" spans="2:12" s="37" customFormat="1" ht="15.75" customHeight="1">
      <c r="B59" s="48"/>
      <c r="C59" s="160" t="s">
        <v>307</v>
      </c>
      <c r="D59" s="156">
        <f>$D$12*F821EVE!D38*$L59</f>
        <v>0</v>
      </c>
      <c r="E59" s="156">
        <f>$D$12*F821EVE!E38*$L59</f>
        <v>0</v>
      </c>
      <c r="F59" s="156">
        <f>$D$12*F821EVE!F38*$L59</f>
        <v>0</v>
      </c>
      <c r="G59" s="156">
        <f>$D$12*F821EVE!G38*$L59</f>
        <v>0</v>
      </c>
      <c r="H59" s="156">
        <f>$D$12*F821EVE!H38*$L59</f>
        <v>0</v>
      </c>
      <c r="I59" s="156">
        <f>$D$12*F821EVE!I38*$L59</f>
        <v>0</v>
      </c>
      <c r="J59" s="156">
        <f t="shared" si="8"/>
        <v>0</v>
      </c>
      <c r="K59" s="69"/>
      <c r="L59" s="319">
        <v>0.5</v>
      </c>
    </row>
    <row r="60" spans="2:12" s="37" customFormat="1" ht="15.75" customHeight="1">
      <c r="B60" s="48" t="s">
        <v>274</v>
      </c>
      <c r="C60" s="158" t="s">
        <v>632</v>
      </c>
      <c r="D60" s="159">
        <f t="shared" ref="D60:I60" si="11">SUM(D61:D64)</f>
        <v>0</v>
      </c>
      <c r="E60" s="159">
        <f t="shared" si="11"/>
        <v>0</v>
      </c>
      <c r="F60" s="159">
        <f t="shared" si="11"/>
        <v>0</v>
      </c>
      <c r="G60" s="159">
        <f t="shared" si="11"/>
        <v>0</v>
      </c>
      <c r="H60" s="159">
        <f t="shared" si="11"/>
        <v>0</v>
      </c>
      <c r="I60" s="159">
        <f t="shared" si="11"/>
        <v>0</v>
      </c>
      <c r="J60" s="159">
        <f t="shared" si="8"/>
        <v>0</v>
      </c>
      <c r="K60" s="69"/>
      <c r="L60" s="319"/>
    </row>
    <row r="61" spans="2:12" s="37" customFormat="1" ht="15.75" customHeight="1">
      <c r="B61" s="48"/>
      <c r="C61" s="160" t="s">
        <v>304</v>
      </c>
      <c r="D61" s="156">
        <f>$D$12*F821EVE!D40*$L61</f>
        <v>0</v>
      </c>
      <c r="E61" s="156">
        <f>$D$12*F821EVE!E40*$L61</f>
        <v>0</v>
      </c>
      <c r="F61" s="156">
        <f>$D$12*F821EVE!F40*$L61</f>
        <v>0</v>
      </c>
      <c r="G61" s="156">
        <f>$D$12*F821EVE!G40*$L61</f>
        <v>0</v>
      </c>
      <c r="H61" s="156">
        <f>$D$12*F821EVE!H40*$L61</f>
        <v>0</v>
      </c>
      <c r="I61" s="156">
        <f>$D$12*F821EVE!I40*$L61</f>
        <v>0</v>
      </c>
      <c r="J61" s="156">
        <f t="shared" si="8"/>
        <v>0</v>
      </c>
      <c r="K61" s="69"/>
      <c r="L61" s="319">
        <v>1</v>
      </c>
    </row>
    <row r="62" spans="2:12" s="37" customFormat="1" ht="15.75" customHeight="1">
      <c r="B62" s="48"/>
      <c r="C62" s="161" t="s">
        <v>306</v>
      </c>
      <c r="D62" s="156">
        <f>$D$12*F821EVE!D41*$L62</f>
        <v>0</v>
      </c>
      <c r="E62" s="156">
        <f>$D$12*F821EVE!E41*$L62</f>
        <v>0</v>
      </c>
      <c r="F62" s="156">
        <f>$D$12*F821EVE!F41*$L62</f>
        <v>0</v>
      </c>
      <c r="G62" s="156">
        <f>$D$12*F821EVE!G41*$L62</f>
        <v>0</v>
      </c>
      <c r="H62" s="156">
        <f>$D$12*F821EVE!H41*$L62</f>
        <v>0</v>
      </c>
      <c r="I62" s="156">
        <f>$D$12*F821EVE!I41*$L62</f>
        <v>0</v>
      </c>
      <c r="J62" s="156">
        <f t="shared" si="8"/>
        <v>0</v>
      </c>
      <c r="K62" s="69"/>
      <c r="L62" s="319">
        <v>1</v>
      </c>
    </row>
    <row r="63" spans="2:12" s="37" customFormat="1" ht="15.75" customHeight="1">
      <c r="B63" s="48"/>
      <c r="C63" s="160" t="s">
        <v>305</v>
      </c>
      <c r="D63" s="156">
        <f>$D$12*F821EVE!D42*$L63</f>
        <v>0</v>
      </c>
      <c r="E63" s="156">
        <f>$D$12*F821EVE!E42*$L63</f>
        <v>0</v>
      </c>
      <c r="F63" s="156">
        <f>$D$12*F821EVE!F42*$L63</f>
        <v>0</v>
      </c>
      <c r="G63" s="156">
        <f>$D$12*F821EVE!G42*$L63</f>
        <v>0</v>
      </c>
      <c r="H63" s="156">
        <f>$D$12*F821EVE!H42*$L63</f>
        <v>0</v>
      </c>
      <c r="I63" s="156">
        <f>$D$12*F821EVE!I42*$L63</f>
        <v>0</v>
      </c>
      <c r="J63" s="156">
        <f t="shared" si="8"/>
        <v>0</v>
      </c>
      <c r="K63" s="69"/>
      <c r="L63" s="319">
        <v>0.95</v>
      </c>
    </row>
    <row r="64" spans="2:12" s="37" customFormat="1" ht="15.75" customHeight="1">
      <c r="B64" s="48"/>
      <c r="C64" s="160" t="s">
        <v>307</v>
      </c>
      <c r="D64" s="156">
        <f>$D$12*F821EVE!D43*$L64</f>
        <v>0</v>
      </c>
      <c r="E64" s="156">
        <f>$D$12*F821EVE!E43*$L64</f>
        <v>0</v>
      </c>
      <c r="F64" s="156">
        <f>$D$12*F821EVE!F43*$L64</f>
        <v>0</v>
      </c>
      <c r="G64" s="156">
        <f>$D$12*F821EVE!G43*$L64</f>
        <v>0</v>
      </c>
      <c r="H64" s="156">
        <f>$D$12*F821EVE!H43*$L64</f>
        <v>0</v>
      </c>
      <c r="I64" s="156">
        <f>$D$12*F821EVE!I43*$L64</f>
        <v>0</v>
      </c>
      <c r="J64" s="156">
        <f t="shared" si="8"/>
        <v>0</v>
      </c>
      <c r="K64" s="69"/>
      <c r="L64" s="319">
        <v>0.5</v>
      </c>
    </row>
    <row r="65" spans="2:12" s="37" customFormat="1" ht="15.75" customHeight="1">
      <c r="B65" s="48" t="s">
        <v>274</v>
      </c>
      <c r="C65" s="158" t="s">
        <v>633</v>
      </c>
      <c r="D65" s="159">
        <f t="shared" ref="D65:I65" si="12">SUM(D66:D69)</f>
        <v>0</v>
      </c>
      <c r="E65" s="159">
        <f t="shared" si="12"/>
        <v>0</v>
      </c>
      <c r="F65" s="159">
        <f t="shared" si="12"/>
        <v>0</v>
      </c>
      <c r="G65" s="159">
        <f t="shared" si="12"/>
        <v>0</v>
      </c>
      <c r="H65" s="159">
        <f t="shared" si="12"/>
        <v>0</v>
      </c>
      <c r="I65" s="159">
        <f t="shared" si="12"/>
        <v>0</v>
      </c>
      <c r="J65" s="159">
        <f t="shared" si="8"/>
        <v>0</v>
      </c>
      <c r="K65" s="69"/>
      <c r="L65" s="341"/>
    </row>
    <row r="66" spans="2:12" s="37" customFormat="1" ht="15.75" customHeight="1">
      <c r="B66" s="48"/>
      <c r="C66" s="160" t="s">
        <v>304</v>
      </c>
      <c r="D66" s="156">
        <f>$D$12*F821EVE!D45*$L66</f>
        <v>0</v>
      </c>
      <c r="E66" s="156">
        <f>$D$12*F821EVE!E45*$L66</f>
        <v>0</v>
      </c>
      <c r="F66" s="156">
        <f>$D$12*F821EVE!F45*$L66</f>
        <v>0</v>
      </c>
      <c r="G66" s="156">
        <f>$D$12*F821EVE!G45*$L66</f>
        <v>0</v>
      </c>
      <c r="H66" s="156">
        <f>$D$12*F821EVE!H45*$L66</f>
        <v>0</v>
      </c>
      <c r="I66" s="156">
        <f>$D$12*F821EVE!I45*$L66</f>
        <v>0</v>
      </c>
      <c r="J66" s="156">
        <f t="shared" si="8"/>
        <v>0</v>
      </c>
      <c r="K66" s="69"/>
      <c r="L66" s="319">
        <v>1</v>
      </c>
    </row>
    <row r="67" spans="2:12" s="37" customFormat="1" ht="15.75" customHeight="1">
      <c r="B67" s="48"/>
      <c r="C67" s="161" t="s">
        <v>306</v>
      </c>
      <c r="D67" s="156">
        <f>$D$12*F821EVE!D46*$L67</f>
        <v>0</v>
      </c>
      <c r="E67" s="156">
        <f>$D$12*F821EVE!E46*$L67</f>
        <v>0</v>
      </c>
      <c r="F67" s="156">
        <f>$D$12*F821EVE!F46*$L67</f>
        <v>0</v>
      </c>
      <c r="G67" s="156">
        <f>$D$12*F821EVE!G46*$L67</f>
        <v>0</v>
      </c>
      <c r="H67" s="156">
        <f>$D$12*F821EVE!H46*$L67</f>
        <v>0</v>
      </c>
      <c r="I67" s="156">
        <f>$D$12*F821EVE!I46*$L67</f>
        <v>0</v>
      </c>
      <c r="J67" s="156">
        <f t="shared" si="8"/>
        <v>0</v>
      </c>
      <c r="K67" s="69"/>
      <c r="L67" s="319">
        <v>1</v>
      </c>
    </row>
    <row r="68" spans="2:12" s="37" customFormat="1" ht="15.75" customHeight="1">
      <c r="B68" s="48"/>
      <c r="C68" s="160" t="s">
        <v>305</v>
      </c>
      <c r="D68" s="156">
        <f>$D$12*F821EVE!D47*$L68</f>
        <v>0</v>
      </c>
      <c r="E68" s="156">
        <f>$D$12*F821EVE!E47*$L68</f>
        <v>0</v>
      </c>
      <c r="F68" s="156">
        <f>$D$12*F821EVE!F47*$L68</f>
        <v>0</v>
      </c>
      <c r="G68" s="156">
        <f>$D$12*F821EVE!G47*$L68</f>
        <v>0</v>
      </c>
      <c r="H68" s="156">
        <f>$D$12*F821EVE!H47*$L68</f>
        <v>0</v>
      </c>
      <c r="I68" s="156">
        <f>$D$12*F821EVE!I47*$L68</f>
        <v>0</v>
      </c>
      <c r="J68" s="156">
        <f t="shared" si="8"/>
        <v>0</v>
      </c>
      <c r="K68" s="69"/>
      <c r="L68" s="319">
        <v>0.95</v>
      </c>
    </row>
    <row r="69" spans="2:12" s="37" customFormat="1" ht="15.75" customHeight="1">
      <c r="B69" s="48"/>
      <c r="C69" s="160" t="s">
        <v>307</v>
      </c>
      <c r="D69" s="156">
        <f>$D$12*F821EVE!D48*$L69</f>
        <v>0</v>
      </c>
      <c r="E69" s="156">
        <f>$D$12*F821EVE!E48*$L69</f>
        <v>0</v>
      </c>
      <c r="F69" s="156">
        <f>$D$12*F821EVE!F48*$L69</f>
        <v>0</v>
      </c>
      <c r="G69" s="156">
        <f>$D$12*F821EVE!G48*$L69</f>
        <v>0</v>
      </c>
      <c r="H69" s="156">
        <f>$D$12*F821EVE!H48*$L69</f>
        <v>0</v>
      </c>
      <c r="I69" s="156">
        <f>$D$12*F821EVE!I48*$L69</f>
        <v>0</v>
      </c>
      <c r="J69" s="156">
        <f t="shared" si="8"/>
        <v>0</v>
      </c>
      <c r="K69" s="69"/>
      <c r="L69" s="319">
        <v>0.5</v>
      </c>
    </row>
    <row r="70" spans="2:12" s="37" customFormat="1" ht="15.75">
      <c r="B70" s="48"/>
      <c r="C70" s="157"/>
      <c r="D70" s="156"/>
      <c r="E70" s="156"/>
      <c r="F70" s="156"/>
      <c r="G70" s="156"/>
      <c r="H70" s="156"/>
      <c r="I70" s="156"/>
      <c r="J70" s="156"/>
      <c r="K70" s="69"/>
      <c r="L70" s="341"/>
    </row>
    <row r="71" spans="2:12" s="37" customFormat="1" ht="15.75">
      <c r="B71" s="48" t="s">
        <v>1176</v>
      </c>
      <c r="C71" s="158" t="str">
        <f>F801ENE!$C$50</f>
        <v>BTSH</v>
      </c>
      <c r="D71" s="154">
        <f>SUM(D72:D77)</f>
        <v>0</v>
      </c>
      <c r="E71" s="154">
        <f t="shared" ref="E71:J71" si="13">SUM(E72:E77)</f>
        <v>0</v>
      </c>
      <c r="F71" s="154">
        <f t="shared" si="13"/>
        <v>0</v>
      </c>
      <c r="G71" s="154">
        <f t="shared" si="13"/>
        <v>0</v>
      </c>
      <c r="H71" s="154">
        <f t="shared" si="13"/>
        <v>0</v>
      </c>
      <c r="I71" s="154">
        <f t="shared" si="13"/>
        <v>0</v>
      </c>
      <c r="J71" s="154">
        <f t="shared" si="13"/>
        <v>0</v>
      </c>
      <c r="K71" s="69"/>
      <c r="L71" s="341"/>
    </row>
    <row r="72" spans="2:12" s="37" customFormat="1" ht="15.75">
      <c r="B72" s="48"/>
      <c r="C72" s="160" t="str">
        <f>F801ENE!$C$51</f>
        <v xml:space="preserve">    - Regulares</v>
      </c>
      <c r="D72" s="156">
        <f>$D$13*(F821EVE!D51-10*F801C!D51)*1</f>
        <v>0</v>
      </c>
      <c r="E72" s="156">
        <f>$D$13*(F821EVE!E51-10*F801C!E51)*1</f>
        <v>0</v>
      </c>
      <c r="F72" s="156">
        <f>$D$13*(F821EVE!F51-10*F801C!F51)*1</f>
        <v>0</v>
      </c>
      <c r="G72" s="156">
        <f>$D$13*(F821EVE!G51-10*F801C!G51)*1</f>
        <v>0</v>
      </c>
      <c r="H72" s="156">
        <f>$D$13*(F821EVE!H51-10*F801C!H51)*1</f>
        <v>0</v>
      </c>
      <c r="I72" s="156">
        <f>$D$13*(F821EVE!I51-10*F801C!I51)*1</f>
        <v>0</v>
      </c>
      <c r="J72" s="156">
        <f t="shared" ref="J72:J77" si="14">SUM(D72:I72)</f>
        <v>0</v>
      </c>
      <c r="K72" s="69"/>
      <c r="L72" s="319">
        <v>1</v>
      </c>
    </row>
    <row r="73" spans="2:12" s="37" customFormat="1" ht="15.75">
      <c r="B73" s="48"/>
      <c r="C73" s="162" t="str">
        <f>F801ENE!$C$52</f>
        <v xml:space="preserve">    - Jubilados (0 a 600 KWh)</v>
      </c>
      <c r="D73" s="156">
        <f>$D$13*(F821EVE!D52-10*F801C!D52)*0.75</f>
        <v>0</v>
      </c>
      <c r="E73" s="156">
        <f>$D$13*(F821EVE!E52-10*F801C!E52)*0.75</f>
        <v>0</v>
      </c>
      <c r="F73" s="156">
        <f>$D$13*(F821EVE!F52-10*F801C!F52)*0.75</f>
        <v>0</v>
      </c>
      <c r="G73" s="156">
        <f>$D$13*(F821EVE!G52-10*F801C!G52)*0.75</f>
        <v>0</v>
      </c>
      <c r="H73" s="156">
        <f>$D$13*(F821EVE!H52-10*F801C!H52)*0.75</f>
        <v>0</v>
      </c>
      <c r="I73" s="156">
        <f>$D$13*(F821EVE!I52-10*F801C!I52)*0.75</f>
        <v>0</v>
      </c>
      <c r="J73" s="156">
        <f t="shared" si="14"/>
        <v>0</v>
      </c>
      <c r="K73" s="69"/>
      <c r="L73" s="319">
        <v>0.75</v>
      </c>
    </row>
    <row r="74" spans="2:12" s="37" customFormat="1" ht="15.75">
      <c r="B74" s="48"/>
      <c r="C74" s="162" t="str">
        <f>F801ENE!$C$53</f>
        <v xml:space="preserve">    - Jubilados (601 y Más KWh)</v>
      </c>
      <c r="D74" s="156">
        <f>$D$13*(F821EVE!D53-10*F801C!D53)*1</f>
        <v>0</v>
      </c>
      <c r="E74" s="156">
        <f>$D$13*(F821EVE!E53-10*F801C!E53)*1</f>
        <v>0</v>
      </c>
      <c r="F74" s="156">
        <f>$D$13*(F821EVE!F53-10*F801C!F53)*1</f>
        <v>0</v>
      </c>
      <c r="G74" s="156">
        <f>$D$13*(F821EVE!G53-10*F801C!G53)*1</f>
        <v>0</v>
      </c>
      <c r="H74" s="156">
        <f>$D$13*(F821EVE!H53-10*F801C!H53)*1</f>
        <v>0</v>
      </c>
      <c r="I74" s="156">
        <f>$D$13*(F821EVE!I53-10*F801C!I53)*1</f>
        <v>0</v>
      </c>
      <c r="J74" s="156">
        <f t="shared" si="14"/>
        <v>0</v>
      </c>
      <c r="K74" s="69"/>
      <c r="L74" s="319">
        <v>1</v>
      </c>
    </row>
    <row r="75" spans="2:12" s="37" customFormat="1" ht="15.75">
      <c r="B75" s="48"/>
      <c r="C75" s="160" t="str">
        <f>F801ENE!$C$54</f>
        <v xml:space="preserve">    - Agropecuarios</v>
      </c>
      <c r="D75" s="156">
        <f>$D$13*(F821EVE!D54-10*F801C!D54)*0.95</f>
        <v>0</v>
      </c>
      <c r="E75" s="156">
        <f>$D$13*(F821EVE!E54-10*F801C!E54)*0.95</f>
        <v>0</v>
      </c>
      <c r="F75" s="156">
        <f>$D$13*(F821EVE!F54-10*F801C!F54)*0.95</f>
        <v>0</v>
      </c>
      <c r="G75" s="156">
        <f>$D$13*(F821EVE!G54-10*F801C!G54)*0.95</f>
        <v>0</v>
      </c>
      <c r="H75" s="156">
        <f>$D$13*(F821EVE!H54-10*F801C!H54)*0.95</f>
        <v>0</v>
      </c>
      <c r="I75" s="156">
        <f>$D$13*(F821EVE!I54-10*F801C!I54)*0.95</f>
        <v>0</v>
      </c>
      <c r="J75" s="156">
        <f t="shared" si="14"/>
        <v>0</v>
      </c>
      <c r="K75" s="69"/>
      <c r="L75" s="319">
        <v>0.95</v>
      </c>
    </row>
    <row r="76" spans="2:12" s="37" customFormat="1" ht="15.75">
      <c r="B76" s="48"/>
      <c r="C76" s="160" t="str">
        <f>F801ENE!$C$55</f>
        <v xml:space="preserve">    - Partidos Políticos</v>
      </c>
      <c r="D76" s="156">
        <f>$D$13*(F821EVE!D55-10*F801C!D55)*0.5</f>
        <v>0</v>
      </c>
      <c r="E76" s="156">
        <f>$D$13*(F821EVE!E55-10*F801C!E55)*0.5</f>
        <v>0</v>
      </c>
      <c r="F76" s="156">
        <f>$D$13*(F821EVE!F55-10*F801C!F55)*0.5</f>
        <v>0</v>
      </c>
      <c r="G76" s="156">
        <f>$D$13*(F821EVE!G55-10*F801C!G55)*0.5</f>
        <v>0</v>
      </c>
      <c r="H76" s="156">
        <f>$D$13*(F821EVE!H55-10*F801C!H55)*0.5</f>
        <v>0</v>
      </c>
      <c r="I76" s="156">
        <f>$D$13*(F821EVE!I55-10*F801C!I55)*0.5</f>
        <v>0</v>
      </c>
      <c r="J76" s="156">
        <f t="shared" si="14"/>
        <v>0</v>
      </c>
      <c r="K76" s="69"/>
      <c r="L76" s="319">
        <v>0.5</v>
      </c>
    </row>
    <row r="77" spans="2:12" s="37" customFormat="1" ht="15.75">
      <c r="B77" s="48"/>
      <c r="C77" s="160" t="str">
        <f>F801ENE!$C$56</f>
        <v xml:space="preserve">    - Cruz Roja</v>
      </c>
      <c r="D77" s="156">
        <f>$D$13*(F821EVE!D56-10*F801C!D56)*0</f>
        <v>0</v>
      </c>
      <c r="E77" s="156">
        <f>$D$13*(F821EVE!E56-10*F801C!E56)*0</f>
        <v>0</v>
      </c>
      <c r="F77" s="156">
        <f>$D$13*(F821EVE!F56-10*F801C!F56)*0</f>
        <v>0</v>
      </c>
      <c r="G77" s="156">
        <f>$D$13*(F821EVE!G56-10*F801C!G56)*0</f>
        <v>0</v>
      </c>
      <c r="H77" s="156">
        <f>$D$13*(F821EVE!H56-10*F801C!H56)*0</f>
        <v>0</v>
      </c>
      <c r="I77" s="156">
        <f>$D$13*(F821EVE!I56-10*F801C!I56)*0</f>
        <v>0</v>
      </c>
      <c r="J77" s="156">
        <f t="shared" si="14"/>
        <v>0</v>
      </c>
      <c r="K77" s="69"/>
      <c r="L77" s="319">
        <v>0</v>
      </c>
    </row>
    <row r="78" spans="2:12" s="37" customFormat="1" ht="15.75">
      <c r="B78" s="48" t="s">
        <v>751</v>
      </c>
      <c r="C78" s="158" t="s">
        <v>634</v>
      </c>
      <c r="D78" s="159">
        <f t="shared" ref="D78" si="15">SUM(D79:D83)</f>
        <v>0</v>
      </c>
      <c r="E78" s="159">
        <f t="shared" ref="E78:I78" si="16">SUM(E79:E83)</f>
        <v>0</v>
      </c>
      <c r="F78" s="159">
        <f t="shared" si="16"/>
        <v>0</v>
      </c>
      <c r="G78" s="159">
        <f t="shared" si="16"/>
        <v>0</v>
      </c>
      <c r="H78" s="159">
        <f t="shared" si="16"/>
        <v>0</v>
      </c>
      <c r="I78" s="159">
        <f t="shared" si="16"/>
        <v>0</v>
      </c>
      <c r="J78" s="159">
        <f>SUM(D78:I78)</f>
        <v>0</v>
      </c>
      <c r="K78" s="69"/>
      <c r="L78" s="351"/>
    </row>
    <row r="79" spans="2:12" s="37" customFormat="1" ht="15.75">
      <c r="B79" s="48"/>
      <c r="C79" s="160" t="s">
        <v>304</v>
      </c>
      <c r="D79" s="156">
        <f>$D$13*(F821EVE!D66)*$L79</f>
        <v>0</v>
      </c>
      <c r="E79" s="156">
        <f>$D$13*(F821EVE!E66)*$L79</f>
        <v>0</v>
      </c>
      <c r="F79" s="156">
        <f>$D$13*(F821EVE!F66)*$L79</f>
        <v>0</v>
      </c>
      <c r="G79" s="156">
        <f>$D$13*(F821EVE!G66)*$L79</f>
        <v>0</v>
      </c>
      <c r="H79" s="156">
        <f>$D$13*(F821EVE!H66)*$L79</f>
        <v>0</v>
      </c>
      <c r="I79" s="156">
        <f>$D$13*(F821EVE!I66)*$L79</f>
        <v>0</v>
      </c>
      <c r="J79" s="156">
        <f t="shared" ref="J79:J97" si="17">SUM(D79:I79)</f>
        <v>0</v>
      </c>
      <c r="K79" s="69"/>
      <c r="L79" s="319">
        <v>1</v>
      </c>
    </row>
    <row r="80" spans="2:12" s="37" customFormat="1" ht="15.75">
      <c r="B80" s="48"/>
      <c r="C80" s="162" t="s">
        <v>644</v>
      </c>
      <c r="D80" s="156">
        <f>$D$13*(F821EVE!D67)*$L80</f>
        <v>0</v>
      </c>
      <c r="E80" s="156">
        <f>$D$13*(F821EVE!E67)*$L80</f>
        <v>0</v>
      </c>
      <c r="F80" s="156">
        <f>$D$13*(F821EVE!F67)*$L80</f>
        <v>0</v>
      </c>
      <c r="G80" s="156">
        <f>$D$13*(F821EVE!G67)*$L80</f>
        <v>0</v>
      </c>
      <c r="H80" s="156">
        <f>$D$13*(F821EVE!H67)*$L80</f>
        <v>0</v>
      </c>
      <c r="I80" s="156">
        <f>$D$13*(F821EVE!I67)*$L80</f>
        <v>0</v>
      </c>
      <c r="J80" s="156">
        <f t="shared" si="17"/>
        <v>0</v>
      </c>
      <c r="K80" s="69"/>
      <c r="L80" s="319">
        <v>0.75</v>
      </c>
    </row>
    <row r="81" spans="2:12" s="37" customFormat="1" ht="15.75">
      <c r="B81" s="48"/>
      <c r="C81" s="160" t="s">
        <v>305</v>
      </c>
      <c r="D81" s="156">
        <f>$D$13*(F821EVE!D68)*$L81</f>
        <v>0</v>
      </c>
      <c r="E81" s="156">
        <f>$D$13*(F821EVE!E68)*$L81</f>
        <v>0</v>
      </c>
      <c r="F81" s="156">
        <f>$D$13*(F821EVE!F68)*$L81</f>
        <v>0</v>
      </c>
      <c r="G81" s="156">
        <f>$D$13*(F821EVE!G68)*$L81</f>
        <v>0</v>
      </c>
      <c r="H81" s="156">
        <f>$D$13*(F821EVE!H68)*$L81</f>
        <v>0</v>
      </c>
      <c r="I81" s="156">
        <f>$D$13*(F821EVE!I68)*$L81</f>
        <v>0</v>
      </c>
      <c r="J81" s="156">
        <f t="shared" si="17"/>
        <v>0</v>
      </c>
      <c r="K81" s="69"/>
      <c r="L81" s="319">
        <v>0.95</v>
      </c>
    </row>
    <row r="82" spans="2:12" s="37" customFormat="1" ht="15.75">
      <c r="B82" s="48"/>
      <c r="C82" s="160" t="s">
        <v>307</v>
      </c>
      <c r="D82" s="156">
        <f>$D$13*(F821EVE!D69)*$L82</f>
        <v>0</v>
      </c>
      <c r="E82" s="156">
        <f>$D$13*(F821EVE!E69)*$L82</f>
        <v>0</v>
      </c>
      <c r="F82" s="156">
        <f>$D$13*(F821EVE!F69)*$L82</f>
        <v>0</v>
      </c>
      <c r="G82" s="156">
        <f>$D$13*(F821EVE!G69)*$L82</f>
        <v>0</v>
      </c>
      <c r="H82" s="156">
        <f>$D$13*(F821EVE!H69)*$L82</f>
        <v>0</v>
      </c>
      <c r="I82" s="156">
        <f>$D$13*(F821EVE!I69)*$L82</f>
        <v>0</v>
      </c>
      <c r="J82" s="156">
        <f t="shared" si="17"/>
        <v>0</v>
      </c>
      <c r="K82" s="69"/>
      <c r="L82" s="319">
        <v>0.5</v>
      </c>
    </row>
    <row r="83" spans="2:12" s="37" customFormat="1" ht="15.75">
      <c r="B83" s="48"/>
      <c r="C83" s="160" t="s">
        <v>624</v>
      </c>
      <c r="D83" s="156">
        <f>$D$13*(F821EVE!D70)*$L83</f>
        <v>0</v>
      </c>
      <c r="E83" s="156">
        <f>$D$13*(F821EVE!E70)*$L83</f>
        <v>0</v>
      </c>
      <c r="F83" s="156">
        <f>$D$13*(F821EVE!F70)*$L83</f>
        <v>0</v>
      </c>
      <c r="G83" s="156">
        <f>$D$13*(F821EVE!G70)*$L83</f>
        <v>0</v>
      </c>
      <c r="H83" s="156">
        <f>$D$13*(F821EVE!H70)*$L83</f>
        <v>0</v>
      </c>
      <c r="I83" s="156">
        <f>$D$13*(F821EVE!I70)*$L83</f>
        <v>0</v>
      </c>
      <c r="J83" s="156">
        <f t="shared" si="17"/>
        <v>0</v>
      </c>
      <c r="K83" s="69"/>
      <c r="L83" s="319">
        <v>0</v>
      </c>
    </row>
    <row r="84" spans="2:12" s="37" customFormat="1" ht="15.75">
      <c r="B84" s="48" t="s">
        <v>750</v>
      </c>
      <c r="C84" s="158" t="s">
        <v>635</v>
      </c>
      <c r="D84" s="159">
        <f t="shared" ref="D84" si="18">SUM(D85:D90)</f>
        <v>0</v>
      </c>
      <c r="E84" s="159">
        <f t="shared" ref="E84:I84" si="19">SUM(E85:E90)</f>
        <v>0</v>
      </c>
      <c r="F84" s="159">
        <f t="shared" si="19"/>
        <v>0</v>
      </c>
      <c r="G84" s="159">
        <f t="shared" si="19"/>
        <v>0</v>
      </c>
      <c r="H84" s="159">
        <f t="shared" si="19"/>
        <v>0</v>
      </c>
      <c r="I84" s="159">
        <f t="shared" si="19"/>
        <v>0</v>
      </c>
      <c r="J84" s="159">
        <f>SUM(D84:I84)</f>
        <v>0</v>
      </c>
      <c r="K84" s="69"/>
      <c r="L84" s="319"/>
    </row>
    <row r="85" spans="2:12" s="37" customFormat="1" ht="15.75">
      <c r="B85" s="48"/>
      <c r="C85" s="160" t="s">
        <v>304</v>
      </c>
      <c r="D85" s="156">
        <f>$D$13*(F821EVE!D72)*$L85</f>
        <v>0</v>
      </c>
      <c r="E85" s="156">
        <f>$D$13*(F821EVE!E72)*$L85</f>
        <v>0</v>
      </c>
      <c r="F85" s="156">
        <f>$D$13*(F821EVE!F72)*$L85</f>
        <v>0</v>
      </c>
      <c r="G85" s="156">
        <f>$D$13*(F821EVE!G72)*$L85</f>
        <v>0</v>
      </c>
      <c r="H85" s="156">
        <f>$D$13*(F821EVE!H72)*$L85</f>
        <v>0</v>
      </c>
      <c r="I85" s="156">
        <f>$D$13*(F821EVE!I72)*$L85</f>
        <v>0</v>
      </c>
      <c r="J85" s="156">
        <f t="shared" si="17"/>
        <v>0</v>
      </c>
      <c r="K85" s="69"/>
      <c r="L85" s="319">
        <v>1</v>
      </c>
    </row>
    <row r="86" spans="2:12" s="37" customFormat="1" ht="15.75">
      <c r="B86" s="48"/>
      <c r="C86" s="162" t="s">
        <v>642</v>
      </c>
      <c r="D86" s="156">
        <f>$D$13*(F821EVE!D73)*$L86</f>
        <v>0</v>
      </c>
      <c r="E86" s="156">
        <f>$D$13*(F821EVE!E73)*$L86</f>
        <v>0</v>
      </c>
      <c r="F86" s="156">
        <f>$D$13*(F821EVE!F73)*$L86</f>
        <v>0</v>
      </c>
      <c r="G86" s="156">
        <f>$D$13*(F821EVE!G73)*$L86</f>
        <v>0</v>
      </c>
      <c r="H86" s="156">
        <f>$D$13*(F821EVE!H73)*$L86</f>
        <v>0</v>
      </c>
      <c r="I86" s="156">
        <f>$D$13*(F821EVE!I73)*$L86</f>
        <v>0</v>
      </c>
      <c r="J86" s="156">
        <f t="shared" si="17"/>
        <v>0</v>
      </c>
      <c r="K86" s="69"/>
      <c r="L86" s="319">
        <v>0.75</v>
      </c>
    </row>
    <row r="87" spans="2:12" s="37" customFormat="1" ht="15.75">
      <c r="B87" s="48"/>
      <c r="C87" s="162" t="s">
        <v>1177</v>
      </c>
      <c r="D87" s="156">
        <f>$D$13*(F821EVE!D74)*$L87</f>
        <v>0</v>
      </c>
      <c r="E87" s="156">
        <f>$D$13*(F821EVE!E74)*$L87</f>
        <v>0</v>
      </c>
      <c r="F87" s="156">
        <f>$D$13*(F821EVE!F74)*$L87</f>
        <v>0</v>
      </c>
      <c r="G87" s="156">
        <f>$D$13*(F821EVE!G74)*$L87</f>
        <v>0</v>
      </c>
      <c r="H87" s="156">
        <f>$D$13*(F821EVE!H74)*$L87</f>
        <v>0</v>
      </c>
      <c r="I87" s="156">
        <f>$D$13*(F821EVE!I74)*$L87</f>
        <v>0</v>
      </c>
      <c r="J87" s="156">
        <f t="shared" si="17"/>
        <v>0</v>
      </c>
      <c r="K87" s="69"/>
      <c r="L87" s="319">
        <v>1</v>
      </c>
    </row>
    <row r="88" spans="2:12" s="37" customFormat="1" ht="15.75">
      <c r="B88" s="48"/>
      <c r="C88" s="160" t="s">
        <v>305</v>
      </c>
      <c r="D88" s="156">
        <f>$D$13*(F821EVE!D75)*$L88</f>
        <v>0</v>
      </c>
      <c r="E88" s="156">
        <f>$D$13*(F821EVE!E75)*$L88</f>
        <v>0</v>
      </c>
      <c r="F88" s="156">
        <f>$D$13*(F821EVE!F75)*$L88</f>
        <v>0</v>
      </c>
      <c r="G88" s="156">
        <f>$D$13*(F821EVE!G75)*$L88</f>
        <v>0</v>
      </c>
      <c r="H88" s="156">
        <f>$D$13*(F821EVE!H75)*$L88</f>
        <v>0</v>
      </c>
      <c r="I88" s="156">
        <f>$D$13*(F821EVE!I75)*$L88</f>
        <v>0</v>
      </c>
      <c r="J88" s="156">
        <f t="shared" si="17"/>
        <v>0</v>
      </c>
      <c r="K88" s="69"/>
      <c r="L88" s="319">
        <v>0.95</v>
      </c>
    </row>
    <row r="89" spans="2:12" s="37" customFormat="1" ht="15.75">
      <c r="B89" s="48"/>
      <c r="C89" s="160" t="s">
        <v>307</v>
      </c>
      <c r="D89" s="156">
        <f>$D$13*(F821EVE!D76)*$L89</f>
        <v>0</v>
      </c>
      <c r="E89" s="156">
        <f>$D$13*(F821EVE!E76)*$L89</f>
        <v>0</v>
      </c>
      <c r="F89" s="156">
        <f>$D$13*(F821EVE!F76)*$L89</f>
        <v>0</v>
      </c>
      <c r="G89" s="156">
        <f>$D$13*(F821EVE!G76)*$L89</f>
        <v>0</v>
      </c>
      <c r="H89" s="156">
        <f>$D$13*(F821EVE!H76)*$L89</f>
        <v>0</v>
      </c>
      <c r="I89" s="156">
        <f>$D$13*(F821EVE!I76)*$L89</f>
        <v>0</v>
      </c>
      <c r="J89" s="156">
        <f t="shared" si="17"/>
        <v>0</v>
      </c>
      <c r="K89" s="69"/>
      <c r="L89" s="319">
        <v>0.5</v>
      </c>
    </row>
    <row r="90" spans="2:12" s="37" customFormat="1" ht="15.75">
      <c r="B90" s="48"/>
      <c r="C90" s="160" t="s">
        <v>624</v>
      </c>
      <c r="D90" s="156">
        <f>$D$13*(F821EVE!D77)*$L90</f>
        <v>0</v>
      </c>
      <c r="E90" s="156">
        <f>$D$13*(F821EVE!E77)*$L90</f>
        <v>0</v>
      </c>
      <c r="F90" s="156">
        <f>$D$13*(F821EVE!F77)*$L90</f>
        <v>0</v>
      </c>
      <c r="G90" s="156">
        <f>$D$13*(F821EVE!G77)*$L90</f>
        <v>0</v>
      </c>
      <c r="H90" s="156">
        <f>$D$13*(F821EVE!H77)*$L90</f>
        <v>0</v>
      </c>
      <c r="I90" s="156">
        <f>$D$13*(F821EVE!I77)*$L90</f>
        <v>0</v>
      </c>
      <c r="J90" s="156">
        <f t="shared" si="17"/>
        <v>0</v>
      </c>
      <c r="K90" s="69"/>
      <c r="L90" s="319">
        <v>0</v>
      </c>
    </row>
    <row r="91" spans="2:12" s="37" customFormat="1" ht="15.75">
      <c r="B91" s="48" t="s">
        <v>749</v>
      </c>
      <c r="C91" s="158" t="s">
        <v>636</v>
      </c>
      <c r="D91" s="159">
        <f t="shared" ref="D91" si="20">SUM(D92:D97)</f>
        <v>0</v>
      </c>
      <c r="E91" s="159">
        <f t="shared" ref="E91:I91" si="21">SUM(E92:E97)</f>
        <v>0</v>
      </c>
      <c r="F91" s="159">
        <f t="shared" si="21"/>
        <v>0</v>
      </c>
      <c r="G91" s="159">
        <f t="shared" si="21"/>
        <v>0</v>
      </c>
      <c r="H91" s="159">
        <f t="shared" si="21"/>
        <v>0</v>
      </c>
      <c r="I91" s="159">
        <f t="shared" si="21"/>
        <v>0</v>
      </c>
      <c r="J91" s="159">
        <f t="shared" si="17"/>
        <v>0</v>
      </c>
      <c r="K91" s="69"/>
      <c r="L91" s="319"/>
    </row>
    <row r="92" spans="2:12" s="37" customFormat="1" ht="15.75">
      <c r="B92" s="48"/>
      <c r="C92" s="160" t="s">
        <v>304</v>
      </c>
      <c r="D92" s="156">
        <f>$D$13*(F821EVE!D79)*$L92</f>
        <v>0</v>
      </c>
      <c r="E92" s="156">
        <f>$D$13*(F821EVE!E79)*$L92</f>
        <v>0</v>
      </c>
      <c r="F92" s="156">
        <f>$D$13*(F821EVE!F79)*$L92</f>
        <v>0</v>
      </c>
      <c r="G92" s="156">
        <f>$D$13*(F821EVE!G79)*$L92</f>
        <v>0</v>
      </c>
      <c r="H92" s="156">
        <f>$D$13*(F821EVE!H79)*$L92</f>
        <v>0</v>
      </c>
      <c r="I92" s="156">
        <f>$D$13*(F821EVE!I79)*$L92</f>
        <v>0</v>
      </c>
      <c r="J92" s="156">
        <f t="shared" si="17"/>
        <v>0</v>
      </c>
      <c r="K92" s="69"/>
      <c r="L92" s="319">
        <v>1</v>
      </c>
    </row>
    <row r="93" spans="2:12" s="37" customFormat="1" ht="15.75">
      <c r="B93" s="48"/>
      <c r="C93" s="162" t="s">
        <v>642</v>
      </c>
      <c r="D93" s="156">
        <f>$D$13*(F821EVE!D80)*$L93</f>
        <v>0</v>
      </c>
      <c r="E93" s="156">
        <f>$D$13*(F821EVE!E80)*$L93</f>
        <v>0</v>
      </c>
      <c r="F93" s="156">
        <f>$D$13*(F821EVE!F80)*$L93</f>
        <v>0</v>
      </c>
      <c r="G93" s="156">
        <f>$D$13*(F821EVE!G80)*$L93</f>
        <v>0</v>
      </c>
      <c r="H93" s="156">
        <f>$D$13*(F821EVE!H80)*$L93</f>
        <v>0</v>
      </c>
      <c r="I93" s="156">
        <f>$D$13*(F821EVE!I80)*$L93</f>
        <v>0</v>
      </c>
      <c r="J93" s="156">
        <f t="shared" si="17"/>
        <v>0</v>
      </c>
      <c r="K93" s="69"/>
      <c r="L93" s="319">
        <v>0.75</v>
      </c>
    </row>
    <row r="94" spans="2:12" s="37" customFormat="1" ht="15.75">
      <c r="B94" s="48"/>
      <c r="C94" s="162" t="s">
        <v>1177</v>
      </c>
      <c r="D94" s="156">
        <f>$D$13*(F821EVE!D81)*$L94</f>
        <v>0</v>
      </c>
      <c r="E94" s="156">
        <f>$D$13*(F821EVE!E81)*$L94</f>
        <v>0</v>
      </c>
      <c r="F94" s="156">
        <f>$D$13*(F821EVE!F81)*$L94</f>
        <v>0</v>
      </c>
      <c r="G94" s="156">
        <f>$D$13*(F821EVE!G81)*$L94</f>
        <v>0</v>
      </c>
      <c r="H94" s="156">
        <f>$D$13*(F821EVE!H81)*$L94</f>
        <v>0</v>
      </c>
      <c r="I94" s="156">
        <f>$D$13*(F821EVE!I81)*$L94</f>
        <v>0</v>
      </c>
      <c r="J94" s="156">
        <f>SUM(D94:I94)</f>
        <v>0</v>
      </c>
      <c r="K94" s="69"/>
      <c r="L94" s="319">
        <v>1</v>
      </c>
    </row>
    <row r="95" spans="2:12" s="37" customFormat="1" ht="15.75">
      <c r="B95" s="48"/>
      <c r="C95" s="160" t="s">
        <v>305</v>
      </c>
      <c r="D95" s="156">
        <f>$D$13*(F821EVE!D82)*$L95</f>
        <v>0</v>
      </c>
      <c r="E95" s="156">
        <f>$D$13*(F821EVE!E82)*$L95</f>
        <v>0</v>
      </c>
      <c r="F95" s="156">
        <f>$D$13*(F821EVE!F82)*$L95</f>
        <v>0</v>
      </c>
      <c r="G95" s="156">
        <f>$D$13*(F821EVE!G82)*$L95</f>
        <v>0</v>
      </c>
      <c r="H95" s="156">
        <f>$D$13*(F821EVE!H82)*$L95</f>
        <v>0</v>
      </c>
      <c r="I95" s="156">
        <f>$D$13*(F821EVE!I82)*$L95</f>
        <v>0</v>
      </c>
      <c r="J95" s="156">
        <f t="shared" si="17"/>
        <v>0</v>
      </c>
      <c r="K95" s="69"/>
      <c r="L95" s="319">
        <v>0.95</v>
      </c>
    </row>
    <row r="96" spans="2:12" s="37" customFormat="1" ht="15.75">
      <c r="B96" s="48"/>
      <c r="C96" s="160" t="s">
        <v>307</v>
      </c>
      <c r="D96" s="156">
        <f>$D$13*(F821EVE!D83)*$L96</f>
        <v>0</v>
      </c>
      <c r="E96" s="156">
        <f>$D$13*(F821EVE!E83)*$L96</f>
        <v>0</v>
      </c>
      <c r="F96" s="156">
        <f>$D$13*(F821EVE!F83)*$L96</f>
        <v>0</v>
      </c>
      <c r="G96" s="156">
        <f>$D$13*(F821EVE!G83)*$L96</f>
        <v>0</v>
      </c>
      <c r="H96" s="156">
        <f>$D$13*(F821EVE!H83)*$L96</f>
        <v>0</v>
      </c>
      <c r="I96" s="156">
        <f>$D$13*(F821EVE!I83)*$L96</f>
        <v>0</v>
      </c>
      <c r="J96" s="156">
        <f t="shared" si="17"/>
        <v>0</v>
      </c>
      <c r="K96" s="69"/>
      <c r="L96" s="319">
        <v>0.5</v>
      </c>
    </row>
    <row r="97" spans="2:12" s="37" customFormat="1" ht="15.75">
      <c r="B97" s="48"/>
      <c r="C97" s="160" t="s">
        <v>624</v>
      </c>
      <c r="D97" s="156">
        <f>$D$13*(F821EVE!D84)*$L97</f>
        <v>0</v>
      </c>
      <c r="E97" s="156">
        <f>$D$13*(F821EVE!E84)*$L97</f>
        <v>0</v>
      </c>
      <c r="F97" s="156">
        <f>$D$13*(F821EVE!F84)*$L97</f>
        <v>0</v>
      </c>
      <c r="G97" s="156">
        <f>$D$13*(F821EVE!G84)*$L97</f>
        <v>0</v>
      </c>
      <c r="H97" s="156">
        <f>$D$13*(F821EVE!H84)*$L97</f>
        <v>0</v>
      </c>
      <c r="I97" s="156">
        <f>$D$13*(F821EVE!I84)*$L97</f>
        <v>0</v>
      </c>
      <c r="J97" s="156">
        <f t="shared" si="17"/>
        <v>0</v>
      </c>
      <c r="K97" s="69"/>
      <c r="L97" s="319">
        <v>0</v>
      </c>
    </row>
    <row r="98" spans="2:12" s="37" customFormat="1" ht="15.75">
      <c r="B98" s="48"/>
      <c r="C98" s="157"/>
      <c r="D98" s="156"/>
      <c r="E98" s="156"/>
      <c r="F98" s="156"/>
      <c r="G98" s="156"/>
      <c r="H98" s="156"/>
      <c r="I98" s="156"/>
      <c r="J98" s="156"/>
      <c r="K98" s="69"/>
      <c r="L98" s="341"/>
    </row>
    <row r="99" spans="2:12" s="37" customFormat="1" ht="15.75">
      <c r="B99" s="48" t="s">
        <v>902</v>
      </c>
      <c r="C99" s="158" t="s">
        <v>898</v>
      </c>
      <c r="D99" s="159">
        <f t="shared" ref="D99:I99" si="22">SUM(D100:D104)</f>
        <v>0</v>
      </c>
      <c r="E99" s="159">
        <f t="shared" si="22"/>
        <v>0</v>
      </c>
      <c r="F99" s="159">
        <f t="shared" si="22"/>
        <v>0</v>
      </c>
      <c r="G99" s="159">
        <f t="shared" si="22"/>
        <v>0</v>
      </c>
      <c r="H99" s="159">
        <f t="shared" si="22"/>
        <v>0</v>
      </c>
      <c r="I99" s="159">
        <f t="shared" si="22"/>
        <v>0</v>
      </c>
      <c r="J99" s="159">
        <f t="shared" ref="J99:J105" si="23">SUM(D99:I99)</f>
        <v>0</v>
      </c>
      <c r="K99" s="69"/>
      <c r="L99" s="351"/>
    </row>
    <row r="100" spans="2:12" s="37" customFormat="1" ht="15.75">
      <c r="B100" s="48"/>
      <c r="C100" s="160" t="s">
        <v>304</v>
      </c>
      <c r="D100" s="156">
        <f>$D$13*(F821EVE!D87)*$L100</f>
        <v>0</v>
      </c>
      <c r="E100" s="156">
        <f>$D$13*(F821EVE!E87)*$L100</f>
        <v>0</v>
      </c>
      <c r="F100" s="156">
        <f>$D$13*(F821EVE!F87)*$L100</f>
        <v>0</v>
      </c>
      <c r="G100" s="156">
        <f>$D$13*(F821EVE!G87)*$L100</f>
        <v>0</v>
      </c>
      <c r="H100" s="156">
        <f>$D$13*(F821EVE!H87)*$L100</f>
        <v>0</v>
      </c>
      <c r="I100" s="156">
        <f>$D$13*(F821EVE!I87)*$L100</f>
        <v>0</v>
      </c>
      <c r="J100" s="156">
        <f t="shared" si="23"/>
        <v>0</v>
      </c>
      <c r="K100" s="69"/>
      <c r="L100" s="319">
        <v>1</v>
      </c>
    </row>
    <row r="101" spans="2:12" s="37" customFormat="1" ht="15.75">
      <c r="B101" s="48"/>
      <c r="C101" s="162" t="s">
        <v>644</v>
      </c>
      <c r="D101" s="156">
        <f>$D$13*(F821EVE!D88)*$L101</f>
        <v>0</v>
      </c>
      <c r="E101" s="156">
        <f>$D$13*(F821EVE!E88)*$L101</f>
        <v>0</v>
      </c>
      <c r="F101" s="156">
        <f>$D$13*(F821EVE!F88)*$L101</f>
        <v>0</v>
      </c>
      <c r="G101" s="156">
        <f>$D$13*(F821EVE!G88)*$L101</f>
        <v>0</v>
      </c>
      <c r="H101" s="156">
        <f>$D$13*(F821EVE!H88)*$L101</f>
        <v>0</v>
      </c>
      <c r="I101" s="156">
        <f>$D$13*(F821EVE!I88)*$L101</f>
        <v>0</v>
      </c>
      <c r="J101" s="156">
        <f t="shared" si="23"/>
        <v>0</v>
      </c>
      <c r="K101" s="69"/>
      <c r="L101" s="319">
        <v>0.75</v>
      </c>
    </row>
    <row r="102" spans="2:12" s="37" customFormat="1" ht="15.75">
      <c r="B102" s="48"/>
      <c r="C102" s="160" t="s">
        <v>305</v>
      </c>
      <c r="D102" s="156">
        <f>$D$13*(F821EVE!D89)*$L102</f>
        <v>0</v>
      </c>
      <c r="E102" s="156">
        <f>$D$13*(F821EVE!E89)*$L102</f>
        <v>0</v>
      </c>
      <c r="F102" s="156">
        <f>$D$13*(F821EVE!F89)*$L102</f>
        <v>0</v>
      </c>
      <c r="G102" s="156">
        <f>$D$13*(F821EVE!G89)*$L102</f>
        <v>0</v>
      </c>
      <c r="H102" s="156">
        <f>$D$13*(F821EVE!H89)*$L102</f>
        <v>0</v>
      </c>
      <c r="I102" s="156">
        <f>$D$13*(F821EVE!I89)*$L102</f>
        <v>0</v>
      </c>
      <c r="J102" s="156">
        <f t="shared" si="23"/>
        <v>0</v>
      </c>
      <c r="K102" s="69"/>
      <c r="L102" s="319">
        <v>0.95</v>
      </c>
    </row>
    <row r="103" spans="2:12" s="37" customFormat="1" ht="15.75">
      <c r="B103" s="48"/>
      <c r="C103" s="160" t="s">
        <v>307</v>
      </c>
      <c r="D103" s="156">
        <f>$D$13*(F821EVE!D90)*$L103</f>
        <v>0</v>
      </c>
      <c r="E103" s="156">
        <f>$D$13*(F821EVE!E90)*$L103</f>
        <v>0</v>
      </c>
      <c r="F103" s="156">
        <f>$D$13*(F821EVE!F90)*$L103</f>
        <v>0</v>
      </c>
      <c r="G103" s="156">
        <f>$D$13*(F821EVE!G90)*$L103</f>
        <v>0</v>
      </c>
      <c r="H103" s="156">
        <f>$D$13*(F821EVE!H90)*$L103</f>
        <v>0</v>
      </c>
      <c r="I103" s="156">
        <f>$D$13*(F821EVE!I90)*$L103</f>
        <v>0</v>
      </c>
      <c r="J103" s="156">
        <f t="shared" si="23"/>
        <v>0</v>
      </c>
      <c r="K103" s="69"/>
      <c r="L103" s="319">
        <v>0.5</v>
      </c>
    </row>
    <row r="104" spans="2:12" s="37" customFormat="1" ht="15.75">
      <c r="B104" s="48"/>
      <c r="C104" s="160" t="s">
        <v>624</v>
      </c>
      <c r="D104" s="156">
        <f>$D$13*(F821EVE!D91)*$L104</f>
        <v>0</v>
      </c>
      <c r="E104" s="156">
        <f>$D$13*(F821EVE!E91)*$L104</f>
        <v>0</v>
      </c>
      <c r="F104" s="156">
        <f>$D$13*(F821EVE!F91)*$L104</f>
        <v>0</v>
      </c>
      <c r="G104" s="156">
        <f>$D$13*(F821EVE!G91)*$L104</f>
        <v>0</v>
      </c>
      <c r="H104" s="156">
        <f>$D$13*(F821EVE!H91)*$L104</f>
        <v>0</v>
      </c>
      <c r="I104" s="156">
        <f>$D$13*(F821EVE!I91)*$L104</f>
        <v>0</v>
      </c>
      <c r="J104" s="156">
        <f t="shared" si="23"/>
        <v>0</v>
      </c>
      <c r="K104" s="69"/>
      <c r="L104" s="319">
        <v>0</v>
      </c>
    </row>
    <row r="105" spans="2:12" s="37" customFormat="1" ht="15.75">
      <c r="B105" s="48" t="s">
        <v>902</v>
      </c>
      <c r="C105" s="158" t="s">
        <v>899</v>
      </c>
      <c r="D105" s="159">
        <f t="shared" ref="D105:I105" si="24">SUM(D106:D111)</f>
        <v>0</v>
      </c>
      <c r="E105" s="159">
        <f t="shared" si="24"/>
        <v>0</v>
      </c>
      <c r="F105" s="159">
        <f t="shared" si="24"/>
        <v>0</v>
      </c>
      <c r="G105" s="159">
        <f t="shared" si="24"/>
        <v>0</v>
      </c>
      <c r="H105" s="159">
        <f t="shared" si="24"/>
        <v>0</v>
      </c>
      <c r="I105" s="159">
        <f t="shared" si="24"/>
        <v>0</v>
      </c>
      <c r="J105" s="159">
        <f t="shared" si="23"/>
        <v>0</v>
      </c>
      <c r="K105" s="69"/>
      <c r="L105" s="319"/>
    </row>
    <row r="106" spans="2:12" s="37" customFormat="1" ht="15.75">
      <c r="B106" s="48"/>
      <c r="C106" s="160" t="s">
        <v>304</v>
      </c>
      <c r="D106" s="156">
        <f>$D$13*(F821EVE!D93)*$L106</f>
        <v>0</v>
      </c>
      <c r="E106" s="156">
        <f>$D$13*(F821EVE!E93)*$L106</f>
        <v>0</v>
      </c>
      <c r="F106" s="156">
        <f>$D$13*(F821EVE!F93)*$L106</f>
        <v>0</v>
      </c>
      <c r="G106" s="156">
        <f>$D$13*(F821EVE!G93)*$L106</f>
        <v>0</v>
      </c>
      <c r="H106" s="156">
        <f>$D$13*(F821EVE!H93)*$L106</f>
        <v>0</v>
      </c>
      <c r="I106" s="156">
        <f>$D$13*(F821EVE!I93)*$L106</f>
        <v>0</v>
      </c>
      <c r="J106" s="156">
        <f t="shared" ref="J106:J114" si="25">SUM(D106:I106)</f>
        <v>0</v>
      </c>
      <c r="K106" s="69"/>
      <c r="L106" s="319">
        <v>1</v>
      </c>
    </row>
    <row r="107" spans="2:12" s="37" customFormat="1" ht="15.75">
      <c r="B107" s="48"/>
      <c r="C107" s="162" t="s">
        <v>642</v>
      </c>
      <c r="D107" s="156">
        <f>$D$13*(F821EVE!D94)*$L107</f>
        <v>0</v>
      </c>
      <c r="E107" s="156">
        <f>$D$13*(F821EVE!E94)*$L107</f>
        <v>0</v>
      </c>
      <c r="F107" s="156">
        <f>$D$13*(F821EVE!F94)*$L107</f>
        <v>0</v>
      </c>
      <c r="G107" s="156">
        <f>$D$13*(F821EVE!G94)*$L107</f>
        <v>0</v>
      </c>
      <c r="H107" s="156">
        <f>$D$13*(F821EVE!H94)*$L107</f>
        <v>0</v>
      </c>
      <c r="I107" s="156">
        <f>$D$13*(F821EVE!I94)*$L107</f>
        <v>0</v>
      </c>
      <c r="J107" s="156">
        <f t="shared" si="25"/>
        <v>0</v>
      </c>
      <c r="K107" s="69"/>
      <c r="L107" s="319">
        <v>0.75</v>
      </c>
    </row>
    <row r="108" spans="2:12" s="37" customFormat="1" ht="15.75">
      <c r="B108" s="48"/>
      <c r="C108" s="162" t="s">
        <v>1177</v>
      </c>
      <c r="D108" s="156">
        <f>$D$13*(F821EVE!D95)*$L108</f>
        <v>0</v>
      </c>
      <c r="E108" s="156">
        <f>$D$13*(F821EVE!E95)*$L108</f>
        <v>0</v>
      </c>
      <c r="F108" s="156">
        <f>$D$13*(F821EVE!F95)*$L108</f>
        <v>0</v>
      </c>
      <c r="G108" s="156">
        <f>$D$13*(F821EVE!G95)*$L108</f>
        <v>0</v>
      </c>
      <c r="H108" s="156">
        <f>$D$13*(F821EVE!H95)*$L108</f>
        <v>0</v>
      </c>
      <c r="I108" s="156">
        <f>$D$13*(F821EVE!I95)*$L108</f>
        <v>0</v>
      </c>
      <c r="J108" s="156">
        <f t="shared" si="25"/>
        <v>0</v>
      </c>
      <c r="K108" s="69"/>
      <c r="L108" s="319">
        <v>1</v>
      </c>
    </row>
    <row r="109" spans="2:12" s="37" customFormat="1" ht="15.75">
      <c r="B109" s="48"/>
      <c r="C109" s="160" t="s">
        <v>305</v>
      </c>
      <c r="D109" s="156">
        <f>$D$13*(F821EVE!D96)*$L109</f>
        <v>0</v>
      </c>
      <c r="E109" s="156">
        <f>$D$13*(F821EVE!E96)*$L109</f>
        <v>0</v>
      </c>
      <c r="F109" s="156">
        <f>$D$13*(F821EVE!F96)*$L109</f>
        <v>0</v>
      </c>
      <c r="G109" s="156">
        <f>$D$13*(F821EVE!G96)*$L109</f>
        <v>0</v>
      </c>
      <c r="H109" s="156">
        <f>$D$13*(F821EVE!H96)*$L109</f>
        <v>0</v>
      </c>
      <c r="I109" s="156">
        <f>$D$13*(F821EVE!I96)*$L109</f>
        <v>0</v>
      </c>
      <c r="J109" s="156">
        <f t="shared" si="25"/>
        <v>0</v>
      </c>
      <c r="K109" s="69"/>
      <c r="L109" s="319">
        <v>0.95</v>
      </c>
    </row>
    <row r="110" spans="2:12" s="37" customFormat="1" ht="15.75">
      <c r="B110" s="48"/>
      <c r="C110" s="160" t="s">
        <v>307</v>
      </c>
      <c r="D110" s="156">
        <f>$D$13*(F821EVE!D97)*$L110</f>
        <v>0</v>
      </c>
      <c r="E110" s="156">
        <f>$D$13*(F821EVE!E97)*$L110</f>
        <v>0</v>
      </c>
      <c r="F110" s="156">
        <f>$D$13*(F821EVE!F97)*$L110</f>
        <v>0</v>
      </c>
      <c r="G110" s="156">
        <f>$D$13*(F821EVE!G97)*$L110</f>
        <v>0</v>
      </c>
      <c r="H110" s="156">
        <f>$D$13*(F821EVE!H97)*$L110</f>
        <v>0</v>
      </c>
      <c r="I110" s="156">
        <f>$D$13*(F821EVE!I97)*$L110</f>
        <v>0</v>
      </c>
      <c r="J110" s="156">
        <f t="shared" si="25"/>
        <v>0</v>
      </c>
      <c r="K110" s="69"/>
      <c r="L110" s="319">
        <v>0.5</v>
      </c>
    </row>
    <row r="111" spans="2:12" s="37" customFormat="1" ht="15.75">
      <c r="B111" s="48"/>
      <c r="C111" s="160" t="s">
        <v>624</v>
      </c>
      <c r="D111" s="156">
        <f>$D$13*(F821EVE!D98)*$L111</f>
        <v>0</v>
      </c>
      <c r="E111" s="156">
        <f>$D$13*(F821EVE!E98)*$L111</f>
        <v>0</v>
      </c>
      <c r="F111" s="156">
        <f>$D$13*(F821EVE!F98)*$L111</f>
        <v>0</v>
      </c>
      <c r="G111" s="156">
        <f>$D$13*(F821EVE!G98)*$L111</f>
        <v>0</v>
      </c>
      <c r="H111" s="156">
        <f>$D$13*(F821EVE!H98)*$L111</f>
        <v>0</v>
      </c>
      <c r="I111" s="156">
        <f>$D$13*(F821EVE!I98)*$L111</f>
        <v>0</v>
      </c>
      <c r="J111" s="156">
        <f t="shared" si="25"/>
        <v>0</v>
      </c>
      <c r="K111" s="69"/>
      <c r="L111" s="319">
        <v>0</v>
      </c>
    </row>
    <row r="112" spans="2:12" s="37" customFormat="1" ht="15.75">
      <c r="B112" s="48" t="s">
        <v>902</v>
      </c>
      <c r="C112" s="158" t="s">
        <v>900</v>
      </c>
      <c r="D112" s="159">
        <f t="shared" ref="D112:I112" si="26">SUM(D113:D118)</f>
        <v>0</v>
      </c>
      <c r="E112" s="159">
        <f t="shared" si="26"/>
        <v>0</v>
      </c>
      <c r="F112" s="159">
        <f t="shared" si="26"/>
        <v>0</v>
      </c>
      <c r="G112" s="159">
        <f t="shared" si="26"/>
        <v>0</v>
      </c>
      <c r="H112" s="159">
        <f t="shared" si="26"/>
        <v>0</v>
      </c>
      <c r="I112" s="159">
        <f t="shared" si="26"/>
        <v>0</v>
      </c>
      <c r="J112" s="159">
        <f t="shared" si="25"/>
        <v>0</v>
      </c>
      <c r="K112" s="69"/>
      <c r="L112" s="319"/>
    </row>
    <row r="113" spans="2:12" s="37" customFormat="1" ht="15.75">
      <c r="B113" s="48"/>
      <c r="C113" s="160" t="s">
        <v>304</v>
      </c>
      <c r="D113" s="156">
        <f>$D$13*(F821EVE!D100)*$L113</f>
        <v>0</v>
      </c>
      <c r="E113" s="156">
        <f>$D$13*(F821EVE!E100)*$L113</f>
        <v>0</v>
      </c>
      <c r="F113" s="156">
        <f>$D$13*(F821EVE!F100)*$L113</f>
        <v>0</v>
      </c>
      <c r="G113" s="156">
        <f>$D$13*(F821EVE!G100)*$L113</f>
        <v>0</v>
      </c>
      <c r="H113" s="156">
        <f>$D$13*(F821EVE!H100)*$L113</f>
        <v>0</v>
      </c>
      <c r="I113" s="156">
        <f>$D$13*(F821EVE!I100)*$L113</f>
        <v>0</v>
      </c>
      <c r="J113" s="156">
        <f t="shared" si="25"/>
        <v>0</v>
      </c>
      <c r="K113" s="69"/>
      <c r="L113" s="319">
        <v>1</v>
      </c>
    </row>
    <row r="114" spans="2:12" s="37" customFormat="1" ht="15.75">
      <c r="B114" s="48"/>
      <c r="C114" s="162" t="s">
        <v>642</v>
      </c>
      <c r="D114" s="156">
        <f>$D$13*(F821EVE!D101)*$L114</f>
        <v>0</v>
      </c>
      <c r="E114" s="156">
        <f>$D$13*(F821EVE!E101)*$L114</f>
        <v>0</v>
      </c>
      <c r="F114" s="156">
        <f>$D$13*(F821EVE!F101)*$L114</f>
        <v>0</v>
      </c>
      <c r="G114" s="156">
        <f>$D$13*(F821EVE!G101)*$L114</f>
        <v>0</v>
      </c>
      <c r="H114" s="156">
        <f>$D$13*(F821EVE!H101)*$L114</f>
        <v>0</v>
      </c>
      <c r="I114" s="156">
        <f>$D$13*(F821EVE!I101)*$L114</f>
        <v>0</v>
      </c>
      <c r="J114" s="156">
        <f t="shared" si="25"/>
        <v>0</v>
      </c>
      <c r="K114" s="69"/>
      <c r="L114" s="319">
        <v>0.75</v>
      </c>
    </row>
    <row r="115" spans="2:12" s="37" customFormat="1" ht="15.75">
      <c r="B115" s="48"/>
      <c r="C115" s="162" t="s">
        <v>1177</v>
      </c>
      <c r="D115" s="156">
        <f>$D$13*(F821EVE!D102)*$L115</f>
        <v>0</v>
      </c>
      <c r="E115" s="156">
        <f>$D$13*(F821EVE!E102)*$L115</f>
        <v>0</v>
      </c>
      <c r="F115" s="156">
        <f>$D$13*(F821EVE!F102)*$L115</f>
        <v>0</v>
      </c>
      <c r="G115" s="156">
        <f>$D$13*(F821EVE!G102)*$L115</f>
        <v>0</v>
      </c>
      <c r="H115" s="156">
        <f>$D$13*(F821EVE!H102)*$L115</f>
        <v>0</v>
      </c>
      <c r="I115" s="156">
        <f>$D$13*(F821EVE!I102)*$L115</f>
        <v>0</v>
      </c>
      <c r="J115" s="156">
        <f>SUM(D115:I115)</f>
        <v>0</v>
      </c>
      <c r="K115" s="69"/>
      <c r="L115" s="319">
        <v>1</v>
      </c>
    </row>
    <row r="116" spans="2:12" s="37" customFormat="1" ht="15.75">
      <c r="B116" s="48"/>
      <c r="C116" s="160" t="s">
        <v>305</v>
      </c>
      <c r="D116" s="156">
        <f>$D$13*(F821EVE!D103)*$L116</f>
        <v>0</v>
      </c>
      <c r="E116" s="156">
        <f>$D$13*(F821EVE!E103)*$L116</f>
        <v>0</v>
      </c>
      <c r="F116" s="156">
        <f>$D$13*(F821EVE!F103)*$L116</f>
        <v>0</v>
      </c>
      <c r="G116" s="156">
        <f>$D$13*(F821EVE!G103)*$L116</f>
        <v>0</v>
      </c>
      <c r="H116" s="156">
        <f>$D$13*(F821EVE!H103)*$L116</f>
        <v>0</v>
      </c>
      <c r="I116" s="156">
        <f>$D$13*(F821EVE!I103)*$L116</f>
        <v>0</v>
      </c>
      <c r="J116" s="156">
        <f>SUM(D116:I116)</f>
        <v>0</v>
      </c>
      <c r="K116" s="69"/>
      <c r="L116" s="319">
        <v>0.95</v>
      </c>
    </row>
    <row r="117" spans="2:12" s="37" customFormat="1" ht="15.75">
      <c r="B117" s="48"/>
      <c r="C117" s="160" t="s">
        <v>307</v>
      </c>
      <c r="D117" s="156">
        <f>$D$13*(F821EVE!D104)*$L117</f>
        <v>0</v>
      </c>
      <c r="E117" s="156">
        <f>$D$13*(F821EVE!E104)*$L117</f>
        <v>0</v>
      </c>
      <c r="F117" s="156">
        <f>$D$13*(F821EVE!F104)*$L117</f>
        <v>0</v>
      </c>
      <c r="G117" s="156">
        <f>$D$13*(F821EVE!G104)*$L117</f>
        <v>0</v>
      </c>
      <c r="H117" s="156">
        <f>$D$13*(F821EVE!H104)*$L117</f>
        <v>0</v>
      </c>
      <c r="I117" s="156">
        <f>$D$13*(F821EVE!I104)*$L117</f>
        <v>0</v>
      </c>
      <c r="J117" s="156">
        <f>SUM(D117:I117)</f>
        <v>0</v>
      </c>
      <c r="K117" s="69"/>
      <c r="L117" s="319">
        <v>0.5</v>
      </c>
    </row>
    <row r="118" spans="2:12" s="37" customFormat="1" ht="15.75">
      <c r="B118" s="48"/>
      <c r="C118" s="160" t="s">
        <v>624</v>
      </c>
      <c r="D118" s="156">
        <f>$D$13*(F821EVE!D105)*$L118</f>
        <v>0</v>
      </c>
      <c r="E118" s="156">
        <f>$D$13*(F821EVE!E105)*$L118</f>
        <v>0</v>
      </c>
      <c r="F118" s="156">
        <f>$D$13*(F821EVE!F105)*$L118</f>
        <v>0</v>
      </c>
      <c r="G118" s="156">
        <f>$D$13*(F821EVE!G105)*$L118</f>
        <v>0</v>
      </c>
      <c r="H118" s="156">
        <f>$D$13*(F821EVE!H105)*$L118</f>
        <v>0</v>
      </c>
      <c r="I118" s="156">
        <f>$D$13*(F821EVE!I105)*$L118</f>
        <v>0</v>
      </c>
      <c r="J118" s="156">
        <f>SUM(D118:I118)</f>
        <v>0</v>
      </c>
      <c r="K118" s="69"/>
      <c r="L118" s="319">
        <v>0</v>
      </c>
    </row>
    <row r="119" spans="2:12" s="37" customFormat="1" ht="15.75">
      <c r="B119" s="48"/>
      <c r="C119" s="157"/>
      <c r="D119" s="156"/>
      <c r="E119" s="156"/>
      <c r="F119" s="156"/>
      <c r="G119" s="156"/>
      <c r="H119" s="156"/>
      <c r="I119" s="156"/>
      <c r="J119" s="156"/>
      <c r="K119" s="69"/>
      <c r="L119" s="341"/>
    </row>
    <row r="120" spans="2:12" s="37" customFormat="1" ht="15.75">
      <c r="B120" s="48"/>
      <c r="C120" s="153" t="s">
        <v>112</v>
      </c>
      <c r="D120" s="154">
        <f t="shared" ref="D120:I120" si="27">D43+D33+D29</f>
        <v>0</v>
      </c>
      <c r="E120" s="154">
        <f t="shared" si="27"/>
        <v>0</v>
      </c>
      <c r="F120" s="154">
        <f t="shared" si="27"/>
        <v>0</v>
      </c>
      <c r="G120" s="154">
        <f t="shared" si="27"/>
        <v>0</v>
      </c>
      <c r="H120" s="154">
        <f t="shared" si="27"/>
        <v>0</v>
      </c>
      <c r="I120" s="154">
        <f t="shared" si="27"/>
        <v>0</v>
      </c>
      <c r="J120" s="154">
        <f>SUM(D120:I120)</f>
        <v>0</v>
      </c>
      <c r="K120" s="69"/>
      <c r="L120" s="341"/>
    </row>
    <row r="121" spans="2:12">
      <c r="B121" s="48"/>
    </row>
    <row r="122" spans="2:12">
      <c r="B122" s="48" t="s">
        <v>902</v>
      </c>
      <c r="D122" s="64">
        <f t="shared" ref="D122:J137" si="28">SUMIF($B$28:$B$120,$B122,D$28:D$120)</f>
        <v>0</v>
      </c>
      <c r="E122" s="64">
        <f t="shared" si="28"/>
        <v>0</v>
      </c>
      <c r="F122" s="64">
        <f t="shared" si="28"/>
        <v>0</v>
      </c>
      <c r="G122" s="64">
        <f t="shared" si="28"/>
        <v>0</v>
      </c>
      <c r="H122" s="64">
        <f t="shared" si="28"/>
        <v>0</v>
      </c>
      <c r="I122" s="64">
        <f t="shared" si="28"/>
        <v>0</v>
      </c>
      <c r="J122" s="64">
        <f t="shared" si="28"/>
        <v>0</v>
      </c>
    </row>
    <row r="123" spans="2:12">
      <c r="B123" s="48" t="s">
        <v>751</v>
      </c>
      <c r="D123" s="64">
        <f t="shared" si="28"/>
        <v>0</v>
      </c>
      <c r="E123" s="64">
        <f t="shared" si="28"/>
        <v>0</v>
      </c>
      <c r="F123" s="64">
        <f t="shared" si="28"/>
        <v>0</v>
      </c>
      <c r="G123" s="64">
        <f t="shared" si="28"/>
        <v>0</v>
      </c>
      <c r="H123" s="64">
        <f t="shared" si="28"/>
        <v>0</v>
      </c>
      <c r="I123" s="64">
        <f t="shared" si="28"/>
        <v>0</v>
      </c>
      <c r="J123" s="64">
        <f t="shared" si="28"/>
        <v>0</v>
      </c>
    </row>
    <row r="124" spans="2:12">
      <c r="B124" s="48" t="s">
        <v>750</v>
      </c>
      <c r="D124" s="64">
        <f t="shared" si="28"/>
        <v>0</v>
      </c>
      <c r="E124" s="64">
        <f t="shared" si="28"/>
        <v>0</v>
      </c>
      <c r="F124" s="64">
        <f t="shared" si="28"/>
        <v>0</v>
      </c>
      <c r="G124" s="64">
        <f t="shared" si="28"/>
        <v>0</v>
      </c>
      <c r="H124" s="64">
        <f t="shared" si="28"/>
        <v>0</v>
      </c>
      <c r="I124" s="64">
        <f t="shared" si="28"/>
        <v>0</v>
      </c>
      <c r="J124" s="64">
        <f t="shared" si="28"/>
        <v>0</v>
      </c>
    </row>
    <row r="125" spans="2:12">
      <c r="B125" s="48" t="s">
        <v>749</v>
      </c>
      <c r="D125" s="64">
        <f t="shared" si="28"/>
        <v>0</v>
      </c>
      <c r="E125" s="64">
        <f t="shared" si="28"/>
        <v>0</v>
      </c>
      <c r="F125" s="64">
        <f t="shared" si="28"/>
        <v>0</v>
      </c>
      <c r="G125" s="64">
        <f t="shared" si="28"/>
        <v>0</v>
      </c>
      <c r="H125" s="64">
        <f t="shared" si="28"/>
        <v>0</v>
      </c>
      <c r="I125" s="64">
        <f t="shared" si="28"/>
        <v>0</v>
      </c>
      <c r="J125" s="64">
        <f t="shared" si="28"/>
        <v>0</v>
      </c>
    </row>
    <row r="126" spans="2:12">
      <c r="B126" s="48" t="s">
        <v>1176</v>
      </c>
      <c r="D126" s="64">
        <f t="shared" si="28"/>
        <v>0</v>
      </c>
      <c r="E126" s="64">
        <f t="shared" si="28"/>
        <v>0</v>
      </c>
      <c r="F126" s="64">
        <f t="shared" si="28"/>
        <v>0</v>
      </c>
      <c r="G126" s="64">
        <f t="shared" si="28"/>
        <v>0</v>
      </c>
      <c r="H126" s="64">
        <f t="shared" si="28"/>
        <v>0</v>
      </c>
      <c r="I126" s="64">
        <f t="shared" si="28"/>
        <v>0</v>
      </c>
      <c r="J126" s="64">
        <f t="shared" si="28"/>
        <v>0</v>
      </c>
    </row>
    <row r="127" spans="2:12">
      <c r="B127" s="48" t="s">
        <v>274</v>
      </c>
      <c r="D127" s="64">
        <f t="shared" si="28"/>
        <v>0</v>
      </c>
      <c r="E127" s="64">
        <f t="shared" si="28"/>
        <v>0</v>
      </c>
      <c r="F127" s="64">
        <f t="shared" si="28"/>
        <v>0</v>
      </c>
      <c r="G127" s="64">
        <f t="shared" si="28"/>
        <v>0</v>
      </c>
      <c r="H127" s="64">
        <f t="shared" si="28"/>
        <v>0</v>
      </c>
      <c r="I127" s="64">
        <f t="shared" si="28"/>
        <v>0</v>
      </c>
      <c r="J127" s="64">
        <f t="shared" si="28"/>
        <v>0</v>
      </c>
    </row>
    <row r="128" spans="2:12">
      <c r="B128" s="48" t="s">
        <v>275</v>
      </c>
      <c r="D128" s="64">
        <f t="shared" si="28"/>
        <v>0</v>
      </c>
      <c r="E128" s="64">
        <f t="shared" si="28"/>
        <v>0</v>
      </c>
      <c r="F128" s="64">
        <f t="shared" si="28"/>
        <v>0</v>
      </c>
      <c r="G128" s="64">
        <f t="shared" si="28"/>
        <v>0</v>
      </c>
      <c r="H128" s="64">
        <f t="shared" si="28"/>
        <v>0</v>
      </c>
      <c r="I128" s="64">
        <f t="shared" si="28"/>
        <v>0</v>
      </c>
      <c r="J128" s="64">
        <f t="shared" si="28"/>
        <v>0</v>
      </c>
    </row>
    <row r="129" spans="2:10">
      <c r="B129" s="48" t="s">
        <v>276</v>
      </c>
      <c r="D129" s="64">
        <f t="shared" si="28"/>
        <v>0</v>
      </c>
      <c r="E129" s="64">
        <f t="shared" si="28"/>
        <v>0</v>
      </c>
      <c r="F129" s="64">
        <f t="shared" si="28"/>
        <v>0</v>
      </c>
      <c r="G129" s="64">
        <f t="shared" si="28"/>
        <v>0</v>
      </c>
      <c r="H129" s="64">
        <f t="shared" si="28"/>
        <v>0</v>
      </c>
      <c r="I129" s="64">
        <f t="shared" si="28"/>
        <v>0</v>
      </c>
      <c r="J129" s="64">
        <f t="shared" si="28"/>
        <v>0</v>
      </c>
    </row>
    <row r="130" spans="2:10">
      <c r="B130" s="48" t="s">
        <v>277</v>
      </c>
      <c r="D130" s="64">
        <f t="shared" si="28"/>
        <v>0</v>
      </c>
      <c r="E130" s="64">
        <f t="shared" si="28"/>
        <v>0</v>
      </c>
      <c r="F130" s="64">
        <f t="shared" si="28"/>
        <v>0</v>
      </c>
      <c r="G130" s="64">
        <f t="shared" si="28"/>
        <v>0</v>
      </c>
      <c r="H130" s="64">
        <f t="shared" si="28"/>
        <v>0</v>
      </c>
      <c r="I130" s="64">
        <f t="shared" si="28"/>
        <v>0</v>
      </c>
      <c r="J130" s="64">
        <f t="shared" si="28"/>
        <v>0</v>
      </c>
    </row>
    <row r="131" spans="2:10">
      <c r="B131" s="48" t="s">
        <v>278</v>
      </c>
      <c r="D131" s="64">
        <f t="shared" si="28"/>
        <v>0</v>
      </c>
      <c r="E131" s="64">
        <f t="shared" si="28"/>
        <v>0</v>
      </c>
      <c r="F131" s="64">
        <f t="shared" si="28"/>
        <v>0</v>
      </c>
      <c r="G131" s="64">
        <f t="shared" si="28"/>
        <v>0</v>
      </c>
      <c r="H131" s="64">
        <f t="shared" si="28"/>
        <v>0</v>
      </c>
      <c r="I131" s="64">
        <f t="shared" si="28"/>
        <v>0</v>
      </c>
      <c r="J131" s="64">
        <f t="shared" si="28"/>
        <v>0</v>
      </c>
    </row>
    <row r="132" spans="2:10">
      <c r="B132" s="48" t="s">
        <v>279</v>
      </c>
      <c r="D132" s="64">
        <f t="shared" si="28"/>
        <v>0</v>
      </c>
      <c r="E132" s="64">
        <f t="shared" si="28"/>
        <v>0</v>
      </c>
      <c r="F132" s="64">
        <f t="shared" si="28"/>
        <v>0</v>
      </c>
      <c r="G132" s="64">
        <f t="shared" si="28"/>
        <v>0</v>
      </c>
      <c r="H132" s="64">
        <f t="shared" si="28"/>
        <v>0</v>
      </c>
      <c r="I132" s="64">
        <f t="shared" si="28"/>
        <v>0</v>
      </c>
      <c r="J132" s="64">
        <f t="shared" si="28"/>
        <v>0</v>
      </c>
    </row>
    <row r="133" spans="2:10">
      <c r="B133" s="48" t="s">
        <v>875</v>
      </c>
      <c r="D133" s="64">
        <f t="shared" si="28"/>
        <v>0</v>
      </c>
      <c r="E133" s="64">
        <f t="shared" si="28"/>
        <v>0</v>
      </c>
      <c r="F133" s="64">
        <f t="shared" si="28"/>
        <v>0</v>
      </c>
      <c r="G133" s="64">
        <f t="shared" si="28"/>
        <v>0</v>
      </c>
      <c r="H133" s="64">
        <f t="shared" si="28"/>
        <v>0</v>
      </c>
      <c r="I133" s="64">
        <f t="shared" si="28"/>
        <v>0</v>
      </c>
      <c r="J133" s="64">
        <f t="shared" si="28"/>
        <v>0</v>
      </c>
    </row>
    <row r="134" spans="2:10">
      <c r="B134" s="48" t="s">
        <v>874</v>
      </c>
      <c r="D134" s="64">
        <f t="shared" si="28"/>
        <v>0</v>
      </c>
      <c r="E134" s="64">
        <f t="shared" si="28"/>
        <v>0</v>
      </c>
      <c r="F134" s="64">
        <f t="shared" si="28"/>
        <v>0</v>
      </c>
      <c r="G134" s="64">
        <f t="shared" si="28"/>
        <v>0</v>
      </c>
      <c r="H134" s="64">
        <f t="shared" si="28"/>
        <v>0</v>
      </c>
      <c r="I134" s="64">
        <f t="shared" si="28"/>
        <v>0</v>
      </c>
      <c r="J134" s="64">
        <f t="shared" si="28"/>
        <v>0</v>
      </c>
    </row>
    <row r="135" spans="2:10">
      <c r="B135" s="48" t="s">
        <v>873</v>
      </c>
      <c r="D135" s="64">
        <f t="shared" si="28"/>
        <v>0</v>
      </c>
      <c r="E135" s="64">
        <f t="shared" si="28"/>
        <v>0</v>
      </c>
      <c r="F135" s="64">
        <f t="shared" si="28"/>
        <v>0</v>
      </c>
      <c r="G135" s="64">
        <f t="shared" si="28"/>
        <v>0</v>
      </c>
      <c r="H135" s="64">
        <f t="shared" si="28"/>
        <v>0</v>
      </c>
      <c r="I135" s="64">
        <f t="shared" si="28"/>
        <v>0</v>
      </c>
      <c r="J135" s="64">
        <f t="shared" si="28"/>
        <v>0</v>
      </c>
    </row>
    <row r="136" spans="2:10">
      <c r="B136" s="48" t="s">
        <v>872</v>
      </c>
      <c r="D136" s="64">
        <f t="shared" si="28"/>
        <v>0</v>
      </c>
      <c r="E136" s="64">
        <f t="shared" si="28"/>
        <v>0</v>
      </c>
      <c r="F136" s="64">
        <f t="shared" si="28"/>
        <v>0</v>
      </c>
      <c r="G136" s="64">
        <f t="shared" si="28"/>
        <v>0</v>
      </c>
      <c r="H136" s="64">
        <f t="shared" si="28"/>
        <v>0</v>
      </c>
      <c r="I136" s="64">
        <f t="shared" si="28"/>
        <v>0</v>
      </c>
      <c r="J136" s="64">
        <f t="shared" si="28"/>
        <v>0</v>
      </c>
    </row>
    <row r="137" spans="2:10">
      <c r="B137" s="48" t="s">
        <v>871</v>
      </c>
      <c r="D137" s="64">
        <f t="shared" si="28"/>
        <v>0</v>
      </c>
      <c r="E137" s="64">
        <f t="shared" si="28"/>
        <v>0</v>
      </c>
      <c r="F137" s="64">
        <f t="shared" si="28"/>
        <v>0</v>
      </c>
      <c r="G137" s="64">
        <f t="shared" si="28"/>
        <v>0</v>
      </c>
      <c r="H137" s="64">
        <f t="shared" si="28"/>
        <v>0</v>
      </c>
      <c r="I137" s="64">
        <f t="shared" si="28"/>
        <v>0</v>
      </c>
      <c r="J137" s="64">
        <f t="shared" si="28"/>
        <v>0</v>
      </c>
    </row>
    <row r="138" spans="2:10">
      <c r="B138" s="48" t="s">
        <v>870</v>
      </c>
      <c r="D138" s="64">
        <f t="shared" ref="D138:J139" si="29">SUMIF($B$28:$B$120,$B138,D$28:D$120)</f>
        <v>0</v>
      </c>
      <c r="E138" s="64">
        <f t="shared" si="29"/>
        <v>0</v>
      </c>
      <c r="F138" s="64">
        <f t="shared" si="29"/>
        <v>0</v>
      </c>
      <c r="G138" s="64">
        <f t="shared" si="29"/>
        <v>0</v>
      </c>
      <c r="H138" s="64">
        <f t="shared" si="29"/>
        <v>0</v>
      </c>
      <c r="I138" s="64">
        <f t="shared" si="29"/>
        <v>0</v>
      </c>
      <c r="J138" s="64">
        <f t="shared" si="29"/>
        <v>0</v>
      </c>
    </row>
    <row r="139" spans="2:10">
      <c r="B139" s="48" t="s">
        <v>890</v>
      </c>
      <c r="D139" s="64">
        <f t="shared" si="29"/>
        <v>0</v>
      </c>
      <c r="E139" s="64">
        <f t="shared" si="29"/>
        <v>0</v>
      </c>
      <c r="F139" s="64">
        <f t="shared" si="29"/>
        <v>0</v>
      </c>
      <c r="G139" s="64">
        <f t="shared" si="29"/>
        <v>0</v>
      </c>
      <c r="H139" s="64">
        <f t="shared" si="29"/>
        <v>0</v>
      </c>
      <c r="I139" s="64">
        <f t="shared" si="29"/>
        <v>0</v>
      </c>
      <c r="J139" s="64">
        <f t="shared" si="29"/>
        <v>0</v>
      </c>
    </row>
    <row r="140" spans="2:10">
      <c r="B140" s="48" t="s">
        <v>111</v>
      </c>
      <c r="D140" s="65">
        <f>SUM(D122:D139)</f>
        <v>0</v>
      </c>
      <c r="E140" s="65">
        <f t="shared" ref="E140:J140" si="30">SUM(E122:E139)</f>
        <v>0</v>
      </c>
      <c r="F140" s="65">
        <f t="shared" si="30"/>
        <v>0</v>
      </c>
      <c r="G140" s="65">
        <f t="shared" si="30"/>
        <v>0</v>
      </c>
      <c r="H140" s="65">
        <f t="shared" si="30"/>
        <v>0</v>
      </c>
      <c r="I140" s="65">
        <f t="shared" si="30"/>
        <v>0</v>
      </c>
      <c r="J140" s="65">
        <f t="shared" si="30"/>
        <v>0</v>
      </c>
    </row>
    <row r="141" spans="2:10">
      <c r="B141" s="48"/>
      <c r="D141" s="66">
        <f>D140-D120</f>
        <v>0</v>
      </c>
      <c r="E141" s="66">
        <f t="shared" ref="E141:J141" si="31">E140-E120</f>
        <v>0</v>
      </c>
      <c r="F141" s="66">
        <f t="shared" si="31"/>
        <v>0</v>
      </c>
      <c r="G141" s="66">
        <f t="shared" si="31"/>
        <v>0</v>
      </c>
      <c r="H141" s="66">
        <f t="shared" si="31"/>
        <v>0</v>
      </c>
      <c r="I141" s="66">
        <f t="shared" si="31"/>
        <v>0</v>
      </c>
      <c r="J141" s="66">
        <f t="shared" si="31"/>
        <v>0</v>
      </c>
    </row>
  </sheetData>
  <printOptions horizontalCentered="1" verticalCentered="1"/>
  <pageMargins left="0.39370078740157483" right="0.39370078740157483" top="0.39370078740157483" bottom="0.39370078740157483" header="0.31496062992125984" footer="0.23622047244094491"/>
  <pageSetup scale="45" orientation="portrait" horizontalDpi="300" r:id="rId1"/>
  <headerFooter alignWithMargins="0">
    <oddHeader>&amp;L
NOMBRE DE LA DISTRIBUIDORA: &amp;UENSA.&amp;R&amp;9&amp;A</oddHeader>
  </headerFooter>
  <rowBreaks count="1" manualBreakCount="1">
    <brk id="120" max="9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92">
    <tabColor theme="7" tint="0.39997558519241921"/>
  </sheetPr>
  <dimension ref="B1:R135"/>
  <sheetViews>
    <sheetView view="pageBreakPreview" topLeftCell="A89" zoomScale="70" zoomScaleNormal="85" zoomScaleSheetLayoutView="70" workbookViewId="0">
      <selection activeCell="J110" sqref="J110"/>
    </sheetView>
  </sheetViews>
  <sheetFormatPr baseColWidth="10" defaultColWidth="8" defaultRowHeight="15"/>
  <cols>
    <col min="1" max="1" width="4" style="63" customWidth="1"/>
    <col min="2" max="2" width="5.625" style="63" bestFit="1" customWidth="1"/>
    <col min="3" max="3" width="28.625" style="63" customWidth="1"/>
    <col min="4" max="14" width="9.625" style="63" customWidth="1"/>
    <col min="15" max="15" width="1.875" style="63" customWidth="1"/>
    <col min="16" max="16" width="13.125" style="63" customWidth="1"/>
    <col min="17" max="17" width="1.375" style="63" customWidth="1"/>
    <col min="18" max="18" width="5" style="345" bestFit="1" customWidth="1"/>
    <col min="19" max="19" width="4.375" style="63" customWidth="1"/>
    <col min="20" max="20" width="11.375" style="63" bestFit="1" customWidth="1"/>
    <col min="21" max="16384" width="8" style="63"/>
  </cols>
  <sheetData>
    <row r="1" spans="3:18" s="174" customFormat="1" ht="15.75">
      <c r="C1" s="136" t="s">
        <v>151</v>
      </c>
      <c r="E1" s="63"/>
      <c r="R1" s="1012"/>
    </row>
    <row r="2" spans="3:18" s="174" customFormat="1" ht="15.75">
      <c r="R2" s="1012"/>
    </row>
    <row r="3" spans="3:18" s="58" customFormat="1" ht="13.5">
      <c r="C3" s="346" t="s">
        <v>310</v>
      </c>
      <c r="D3" s="347">
        <f>D16</f>
        <v>45839</v>
      </c>
      <c r="E3" s="347">
        <f t="shared" ref="E3:N3" si="0">E16</f>
        <v>45870</v>
      </c>
      <c r="F3" s="347">
        <f t="shared" si="0"/>
        <v>45901</v>
      </c>
      <c r="G3" s="347">
        <f t="shared" si="0"/>
        <v>45931</v>
      </c>
      <c r="H3" s="347">
        <f t="shared" si="0"/>
        <v>45962</v>
      </c>
      <c r="I3" s="347">
        <f t="shared" si="0"/>
        <v>45992</v>
      </c>
      <c r="J3" s="347">
        <f t="shared" si="0"/>
        <v>46023</v>
      </c>
      <c r="K3" s="347">
        <f t="shared" si="0"/>
        <v>46054</v>
      </c>
      <c r="L3" s="347">
        <f t="shared" si="0"/>
        <v>46085</v>
      </c>
      <c r="M3" s="347">
        <f t="shared" si="0"/>
        <v>46116</v>
      </c>
      <c r="N3" s="347">
        <f t="shared" si="0"/>
        <v>46147</v>
      </c>
      <c r="O3" s="347"/>
      <c r="P3" s="348"/>
      <c r="R3" s="345"/>
    </row>
    <row r="4" spans="3:18" s="1930" customFormat="1" ht="13.5">
      <c r="C4" s="1931" t="s">
        <v>1868</v>
      </c>
      <c r="D4" s="1932"/>
      <c r="E4" s="1932"/>
      <c r="F4" s="1932">
        <v>5.6299999999999996E-3</v>
      </c>
      <c r="G4" s="1932">
        <v>5.6299999999999996E-3</v>
      </c>
      <c r="H4" s="1932">
        <v>5.6299999999999996E-3</v>
      </c>
      <c r="I4" s="1932">
        <v>5.6299999999999996E-3</v>
      </c>
      <c r="J4" s="1932">
        <v>4.0899999999999999E-3</v>
      </c>
      <c r="K4" s="1932">
        <v>7.3200000000000001E-3</v>
      </c>
      <c r="L4" s="1932">
        <v>3.1700000000000001E-3</v>
      </c>
      <c r="M4" s="1932">
        <v>3.0000000000000001E-3</v>
      </c>
      <c r="N4" s="1932">
        <v>3.0500000000000002E-3</v>
      </c>
      <c r="O4" s="1932"/>
      <c r="P4" s="1933"/>
      <c r="R4" s="1934"/>
    </row>
    <row r="5" spans="3:18" s="143" customFormat="1" ht="13.5">
      <c r="C5" s="144" t="s">
        <v>892</v>
      </c>
      <c r="D5" s="352"/>
      <c r="E5" s="352"/>
      <c r="F5" s="352">
        <v>3.2500000000000003E-3</v>
      </c>
      <c r="G5" s="352">
        <v>3.2500000000000003E-3</v>
      </c>
      <c r="H5" s="352">
        <v>3.2500000000000003E-3</v>
      </c>
      <c r="I5" s="352">
        <v>3.2500000000000003E-3</v>
      </c>
      <c r="J5" s="352">
        <v>3.16E-3</v>
      </c>
      <c r="K5" s="352">
        <v>5.6500000000000005E-3</v>
      </c>
      <c r="L5" s="352">
        <v>2.4499999999999999E-3</v>
      </c>
      <c r="M5" s="352">
        <v>2.32E-3</v>
      </c>
      <c r="N5" s="352">
        <v>2.3600000000000001E-3</v>
      </c>
      <c r="O5" s="352"/>
      <c r="P5" s="353"/>
      <c r="R5" s="345"/>
    </row>
    <row r="6" spans="3:18" s="143" customFormat="1" ht="13.5">
      <c r="C6" s="144" t="s">
        <v>273</v>
      </c>
      <c r="D6" s="352"/>
      <c r="E6" s="352"/>
      <c r="F6" s="352">
        <v>5.8100000000000001E-3</v>
      </c>
      <c r="G6" s="352">
        <v>5.8100000000000001E-3</v>
      </c>
      <c r="H6" s="352">
        <v>5.8100000000000001E-3</v>
      </c>
      <c r="I6" s="352">
        <v>5.8100000000000001E-3</v>
      </c>
      <c r="J6" s="352">
        <v>4.0899999999999999E-3</v>
      </c>
      <c r="K6" s="352">
        <v>7.3100000000000005E-3</v>
      </c>
      <c r="L6" s="352">
        <v>3.16E-3</v>
      </c>
      <c r="M6" s="352">
        <v>2.99E-3</v>
      </c>
      <c r="N6" s="352">
        <v>3.0400000000000002E-3</v>
      </c>
      <c r="O6" s="352"/>
      <c r="P6" s="353"/>
      <c r="R6" s="345"/>
    </row>
    <row r="7" spans="3:18" s="143" customFormat="1" ht="13.5">
      <c r="C7" s="144" t="s">
        <v>1176</v>
      </c>
      <c r="D7" s="352"/>
      <c r="E7" s="352"/>
      <c r="F7" s="352"/>
      <c r="G7" s="352"/>
      <c r="H7" s="352"/>
      <c r="I7" s="352"/>
      <c r="J7" s="352"/>
      <c r="K7" s="352"/>
      <c r="L7" s="352"/>
      <c r="M7" s="352"/>
      <c r="N7" s="352"/>
      <c r="O7" s="352"/>
      <c r="P7" s="353"/>
      <c r="R7" s="345"/>
    </row>
    <row r="8" spans="3:18" s="143" customFormat="1" ht="13.5">
      <c r="C8" s="144" t="s">
        <v>274</v>
      </c>
      <c r="D8" s="352"/>
      <c r="E8" s="352"/>
      <c r="F8" s="352">
        <v>5.4099999999999999E-3</v>
      </c>
      <c r="G8" s="352">
        <v>5.4099999999999999E-3</v>
      </c>
      <c r="H8" s="352">
        <v>5.4099999999999999E-3</v>
      </c>
      <c r="I8" s="352">
        <v>5.4099999999999999E-3</v>
      </c>
      <c r="J8" s="352">
        <v>4.1999999999999997E-3</v>
      </c>
      <c r="K8" s="352">
        <v>7.5099999999999993E-3</v>
      </c>
      <c r="L8" s="352">
        <v>3.2599999999999999E-3</v>
      </c>
      <c r="M8" s="352">
        <v>3.0799999999999998E-3</v>
      </c>
      <c r="N8" s="352">
        <v>3.14E-3</v>
      </c>
      <c r="O8" s="352"/>
      <c r="P8" s="353"/>
      <c r="R8" s="345"/>
    </row>
    <row r="9" spans="3:18" s="143" customFormat="1" ht="13.5">
      <c r="C9" s="144" t="s">
        <v>275</v>
      </c>
      <c r="D9" s="352"/>
      <c r="E9" s="352"/>
      <c r="F9" s="352">
        <v>4.0200000000000001E-3</v>
      </c>
      <c r="G9" s="352">
        <v>4.0200000000000001E-3</v>
      </c>
      <c r="H9" s="352">
        <v>4.0200000000000001E-3</v>
      </c>
      <c r="I9" s="352">
        <v>4.0200000000000001E-3</v>
      </c>
      <c r="J9" s="352">
        <v>4.2399999999999998E-3</v>
      </c>
      <c r="K9" s="352">
        <v>7.5799999999999999E-3</v>
      </c>
      <c r="L9" s="352">
        <v>3.2799999999999999E-3</v>
      </c>
      <c r="M9" s="352">
        <v>3.0999999999999999E-3</v>
      </c>
      <c r="N9" s="352">
        <v>3.16E-3</v>
      </c>
      <c r="O9" s="352"/>
      <c r="P9" s="353"/>
      <c r="R9" s="345"/>
    </row>
    <row r="10" spans="3:18" s="143" customFormat="1" ht="13.5">
      <c r="C10" s="144" t="s">
        <v>276</v>
      </c>
      <c r="D10" s="352"/>
      <c r="E10" s="352"/>
      <c r="F10" s="352">
        <v>5.6100000000000004E-3</v>
      </c>
      <c r="G10" s="352">
        <v>5.6100000000000004E-3</v>
      </c>
      <c r="H10" s="352">
        <v>5.6100000000000004E-3</v>
      </c>
      <c r="I10" s="352">
        <v>5.6100000000000004E-3</v>
      </c>
      <c r="J10" s="352">
        <v>4.2399999999999998E-3</v>
      </c>
      <c r="K10" s="352">
        <v>7.5799999999999999E-3</v>
      </c>
      <c r="L10" s="352">
        <v>3.29E-3</v>
      </c>
      <c r="M10" s="352">
        <v>3.1099999999999999E-3</v>
      </c>
      <c r="N10" s="352">
        <v>3.16E-3</v>
      </c>
      <c r="O10" s="352"/>
      <c r="P10" s="353"/>
      <c r="R10" s="345"/>
    </row>
    <row r="11" spans="3:18" s="143" customFormat="1" ht="13.5">
      <c r="C11" s="144" t="s">
        <v>277</v>
      </c>
      <c r="D11" s="352"/>
      <c r="E11" s="352"/>
      <c r="F11" s="352">
        <v>6.4999999999999997E-3</v>
      </c>
      <c r="G11" s="352">
        <v>6.4999999999999997E-3</v>
      </c>
      <c r="H11" s="352">
        <v>6.4999999999999997E-3</v>
      </c>
      <c r="I11" s="352">
        <v>6.4999999999999997E-3</v>
      </c>
      <c r="J11" s="352">
        <v>4.2100000000000002E-3</v>
      </c>
      <c r="K11" s="352">
        <v>7.5300000000000002E-3</v>
      </c>
      <c r="L11" s="352">
        <v>3.2599999999999999E-3</v>
      </c>
      <c r="M11" s="352">
        <v>3.0899999999999999E-3</v>
      </c>
      <c r="N11" s="352">
        <v>3.14E-3</v>
      </c>
      <c r="O11" s="352"/>
      <c r="P11" s="353"/>
      <c r="R11" s="345"/>
    </row>
    <row r="12" spans="3:18" s="143" customFormat="1" ht="13.5">
      <c r="C12" s="144" t="s">
        <v>278</v>
      </c>
      <c r="D12" s="352"/>
      <c r="E12" s="352"/>
      <c r="F12" s="352">
        <v>5.9500000000000004E-3</v>
      </c>
      <c r="G12" s="352">
        <v>5.9500000000000004E-3</v>
      </c>
      <c r="H12" s="352">
        <v>5.9500000000000004E-3</v>
      </c>
      <c r="I12" s="352">
        <v>5.9500000000000004E-3</v>
      </c>
      <c r="J12" s="352">
        <v>4.2399999999999998E-3</v>
      </c>
      <c r="K12" s="352">
        <v>7.5599999999999999E-3</v>
      </c>
      <c r="L12" s="352">
        <v>3.32E-3</v>
      </c>
      <c r="M12" s="352">
        <v>3.32E-3</v>
      </c>
      <c r="N12" s="352">
        <v>3.32E-3</v>
      </c>
      <c r="O12" s="352"/>
      <c r="P12" s="353"/>
      <c r="R12" s="345"/>
    </row>
    <row r="13" spans="3:18" s="143" customFormat="1" ht="13.5">
      <c r="C13" s="144" t="s">
        <v>279</v>
      </c>
      <c r="D13" s="352"/>
      <c r="E13" s="352"/>
      <c r="F13" s="352">
        <v>6.0600000000000003E-3</v>
      </c>
      <c r="G13" s="352">
        <v>6.0600000000000003E-3</v>
      </c>
      <c r="H13" s="352">
        <v>6.0600000000000003E-3</v>
      </c>
      <c r="I13" s="352">
        <v>6.0600000000000003E-3</v>
      </c>
      <c r="J13" s="352">
        <v>4.2399999999999998E-3</v>
      </c>
      <c r="K13" s="352">
        <v>7.5799999999999999E-3</v>
      </c>
      <c r="L13" s="352">
        <v>3.29E-3</v>
      </c>
      <c r="M13" s="352">
        <v>3.1099999999999999E-3</v>
      </c>
      <c r="N13" s="352">
        <v>3.16E-3</v>
      </c>
      <c r="O13" s="352"/>
      <c r="P13" s="353"/>
      <c r="R13" s="345"/>
    </row>
    <row r="14" spans="3:18" s="143" customFormat="1" ht="13.5">
      <c r="C14" s="147"/>
      <c r="D14" s="354"/>
      <c r="P14" s="148"/>
      <c r="R14" s="345"/>
    </row>
    <row r="15" spans="3:18" s="174" customFormat="1" ht="15.75">
      <c r="C15" s="355" t="s">
        <v>1714</v>
      </c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  <c r="P15" s="357"/>
      <c r="R15" s="345" t="s">
        <v>678</v>
      </c>
    </row>
    <row r="16" spans="3:18" s="37" customFormat="1" ht="15.75">
      <c r="C16" s="346" t="s">
        <v>310</v>
      </c>
      <c r="D16" s="347">
        <f>F821CVC!D4</f>
        <v>45839</v>
      </c>
      <c r="E16" s="347">
        <f>F821CVC!E4</f>
        <v>45870</v>
      </c>
      <c r="F16" s="347">
        <f>F821CVC!F4</f>
        <v>45901</v>
      </c>
      <c r="G16" s="347">
        <f>F821CVC!G4</f>
        <v>45931</v>
      </c>
      <c r="H16" s="347">
        <f>F821CVC!H4</f>
        <v>45962</v>
      </c>
      <c r="I16" s="347">
        <f>F821CVC!I4</f>
        <v>45992</v>
      </c>
      <c r="J16" s="347">
        <f>F821CVC!J4</f>
        <v>46023</v>
      </c>
      <c r="K16" s="347">
        <f>F821CVC!K4</f>
        <v>46054</v>
      </c>
      <c r="L16" s="347">
        <f>F821CVC!L4</f>
        <v>46085</v>
      </c>
      <c r="M16" s="347">
        <f>F821CVC!M4</f>
        <v>46116</v>
      </c>
      <c r="N16" s="347">
        <f>F821CVC!N4</f>
        <v>46147</v>
      </c>
      <c r="O16" s="347"/>
      <c r="P16" s="348" t="s">
        <v>111</v>
      </c>
      <c r="Q16" s="174"/>
      <c r="R16" s="349"/>
    </row>
    <row r="17" spans="2:18" s="37" customFormat="1" ht="15.75">
      <c r="C17" s="153" t="s">
        <v>446</v>
      </c>
      <c r="D17" s="154">
        <f t="shared" ref="D17:I17" si="1">SUM(D18:D19)</f>
        <v>0</v>
      </c>
      <c r="E17" s="154">
        <f t="shared" si="1"/>
        <v>0</v>
      </c>
      <c r="F17" s="154">
        <f t="shared" si="1"/>
        <v>109102.30080000001</v>
      </c>
      <c r="G17" s="154">
        <f t="shared" si="1"/>
        <v>113261.10912000001</v>
      </c>
      <c r="H17" s="154">
        <f t="shared" si="1"/>
        <v>108008.25264000001</v>
      </c>
      <c r="I17" s="154">
        <f t="shared" si="1"/>
        <v>112098.97686000001</v>
      </c>
      <c r="J17" s="154">
        <f t="shared" ref="J17:K17" si="2">SUM(J18:J19)</f>
        <v>78351.672319999998</v>
      </c>
      <c r="K17" s="154">
        <f t="shared" si="2"/>
        <v>124218.40974</v>
      </c>
      <c r="L17" s="154">
        <f t="shared" ref="L17:N17" si="3">SUM(L18:L19)</f>
        <v>60686.945200000002</v>
      </c>
      <c r="M17" s="154">
        <f t="shared" si="3"/>
        <v>56245.217689999998</v>
      </c>
      <c r="N17" s="154">
        <f t="shared" si="3"/>
        <v>60249.416360000003</v>
      </c>
      <c r="O17" s="154"/>
      <c r="P17" s="154">
        <f>SUM(D17:O17)</f>
        <v>822222.30073000002</v>
      </c>
      <c r="Q17" s="174"/>
      <c r="R17" s="350"/>
    </row>
    <row r="18" spans="2:18" s="37" customFormat="1" ht="15.75">
      <c r="B18" s="48" t="s">
        <v>279</v>
      </c>
      <c r="C18" s="155" t="s">
        <v>279</v>
      </c>
      <c r="D18" s="156">
        <f>D$13*F821CVC!D6</f>
        <v>0</v>
      </c>
      <c r="E18" s="156">
        <f>E$13*F821CVC!E6</f>
        <v>0</v>
      </c>
      <c r="F18" s="156">
        <f>F$13*F821CVC!F6</f>
        <v>109102.30080000001</v>
      </c>
      <c r="G18" s="156">
        <f>G$13*F821CVC!G6</f>
        <v>113261.10912000001</v>
      </c>
      <c r="H18" s="156">
        <f>H$13*F821CVC!H6</f>
        <v>108008.25264000001</v>
      </c>
      <c r="I18" s="156">
        <f>I$13*F821CVC!I6</f>
        <v>112098.97686000001</v>
      </c>
      <c r="J18" s="156">
        <f>J$13*F821CVC!J6</f>
        <v>78351.672319999998</v>
      </c>
      <c r="K18" s="156">
        <f>K$13*F821CVC!K6</f>
        <v>124218.40974</v>
      </c>
      <c r="L18" s="156">
        <f>L$13*F821CVC!L6</f>
        <v>60686.945200000002</v>
      </c>
      <c r="M18" s="156">
        <f>M$13*F821CVC!M6</f>
        <v>56245.217689999998</v>
      </c>
      <c r="N18" s="156">
        <f>N$13*F821CVC!N6</f>
        <v>60249.416360000003</v>
      </c>
      <c r="O18" s="156"/>
      <c r="P18" s="156">
        <f>SUM(D18:O18)</f>
        <v>822222.30073000002</v>
      </c>
      <c r="Q18" s="174"/>
      <c r="R18" s="1012"/>
    </row>
    <row r="19" spans="2:18" s="37" customFormat="1" ht="15.75">
      <c r="B19" s="48" t="s">
        <v>278</v>
      </c>
      <c r="C19" s="155" t="s">
        <v>278</v>
      </c>
      <c r="D19" s="156">
        <f>D$12*F821CVC!D7</f>
        <v>0</v>
      </c>
      <c r="E19" s="156">
        <f>E$12*F821CVC!E7</f>
        <v>0</v>
      </c>
      <c r="F19" s="156">
        <f>F$12*F821CVC!F7</f>
        <v>0</v>
      </c>
      <c r="G19" s="156">
        <f>G$12*F821CVC!G7</f>
        <v>0</v>
      </c>
      <c r="H19" s="156">
        <f>H$12*F821CVC!H7</f>
        <v>0</v>
      </c>
      <c r="I19" s="156">
        <f>I$12*F821CVC!I7</f>
        <v>0</v>
      </c>
      <c r="J19" s="156">
        <f>J$12*F821CVC!J7</f>
        <v>0</v>
      </c>
      <c r="K19" s="156">
        <f>K$12*F821CVC!K7</f>
        <v>0</v>
      </c>
      <c r="L19" s="156">
        <f>L$12*F821CVC!L7</f>
        <v>0</v>
      </c>
      <c r="M19" s="156">
        <f>M$12*F821CVC!M7</f>
        <v>0</v>
      </c>
      <c r="N19" s="156">
        <f>N$12*F821CVC!N7</f>
        <v>0</v>
      </c>
      <c r="O19" s="156"/>
      <c r="P19" s="156">
        <f>SUM(D19:O19)</f>
        <v>0</v>
      </c>
      <c r="Q19" s="174"/>
      <c r="R19" s="1013"/>
    </row>
    <row r="20" spans="2:18" s="37" customFormat="1" ht="15.75">
      <c r="B20" s="48"/>
      <c r="C20" s="157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74"/>
      <c r="R20" s="350"/>
    </row>
    <row r="21" spans="2:18" s="37" customFormat="1" ht="15.75">
      <c r="B21" s="48"/>
      <c r="C21" s="153" t="s">
        <v>630</v>
      </c>
      <c r="D21" s="154">
        <f>D22+D25</f>
        <v>0</v>
      </c>
      <c r="E21" s="154">
        <f t="shared" ref="E21:I21" si="4">E22+E25</f>
        <v>0</v>
      </c>
      <c r="F21" s="154">
        <f t="shared" si="4"/>
        <v>167972.706015</v>
      </c>
      <c r="G21" s="154">
        <f t="shared" si="4"/>
        <v>174038.18661999999</v>
      </c>
      <c r="H21" s="154">
        <f t="shared" si="4"/>
        <v>164721.65883000003</v>
      </c>
      <c r="I21" s="154">
        <f t="shared" si="4"/>
        <v>159087.98058500001</v>
      </c>
      <c r="J21" s="154">
        <f t="shared" ref="J21:K21" si="5">J22+J25</f>
        <v>130884.85171999999</v>
      </c>
      <c r="K21" s="154">
        <f t="shared" si="5"/>
        <v>217989.33559999999</v>
      </c>
      <c r="L21" s="154">
        <f t="shared" ref="L21:N21" si="6">L22+L25</f>
        <v>110746.79759</v>
      </c>
      <c r="M21" s="154">
        <f t="shared" si="6"/>
        <v>104371.16106</v>
      </c>
      <c r="N21" s="154">
        <f t="shared" si="6"/>
        <v>110800.49948</v>
      </c>
      <c r="O21" s="154"/>
      <c r="P21" s="154">
        <f t="shared" ref="P21:P29" si="7">SUM(D21:O21)</f>
        <v>1340613.1775000002</v>
      </c>
      <c r="Q21" s="174"/>
      <c r="R21" s="1012"/>
    </row>
    <row r="22" spans="2:18" s="37" customFormat="1" ht="15.75">
      <c r="B22" s="48" t="s">
        <v>277</v>
      </c>
      <c r="C22" s="155" t="s">
        <v>277</v>
      </c>
      <c r="D22" s="154">
        <f>SUM(D23:D24)</f>
        <v>0</v>
      </c>
      <c r="E22" s="154">
        <f t="shared" ref="E22:I22" si="8">SUM(E23:E24)</f>
        <v>0</v>
      </c>
      <c r="F22" s="154">
        <f t="shared" si="8"/>
        <v>28031.191500000001</v>
      </c>
      <c r="G22" s="154">
        <f t="shared" si="8"/>
        <v>26430.576249999998</v>
      </c>
      <c r="H22" s="154">
        <f t="shared" si="8"/>
        <v>32178.519749999999</v>
      </c>
      <c r="I22" s="154">
        <f t="shared" si="8"/>
        <v>21094.892</v>
      </c>
      <c r="J22" s="154">
        <f t="shared" ref="J22:K22" si="9">SUM(J23:J24)</f>
        <v>16043.16488</v>
      </c>
      <c r="K22" s="154">
        <f t="shared" si="9"/>
        <v>24834.32403</v>
      </c>
      <c r="L22" s="154">
        <f t="shared" ref="L22:N22" si="10">SUM(L23:L24)</f>
        <v>11032.64522</v>
      </c>
      <c r="M22" s="154">
        <f t="shared" si="10"/>
        <v>10990.428569999998</v>
      </c>
      <c r="N22" s="154">
        <f t="shared" si="10"/>
        <v>11654.99862</v>
      </c>
      <c r="O22" s="156"/>
      <c r="P22" s="156">
        <f t="shared" si="7"/>
        <v>182290.74081999998</v>
      </c>
      <c r="Q22" s="174"/>
      <c r="R22" s="1012"/>
    </row>
    <row r="23" spans="2:18" s="37" customFormat="1" ht="15.75">
      <c r="B23" s="48"/>
      <c r="C23" s="160" t="s">
        <v>304</v>
      </c>
      <c r="D23" s="156">
        <f>D$11*F821CVC!D11*$R23</f>
        <v>0</v>
      </c>
      <c r="E23" s="156">
        <f>E$11*F821CVC!E11*$R23</f>
        <v>0</v>
      </c>
      <c r="F23" s="156">
        <f>F$11*F821CVC!F11*$R23</f>
        <v>23868.624</v>
      </c>
      <c r="G23" s="156">
        <f>G$11*F821CVC!G11*$R23</f>
        <v>22118.8825</v>
      </c>
      <c r="H23" s="156">
        <f>H$11*F821CVC!H11*$R23</f>
        <v>27931.663499999999</v>
      </c>
      <c r="I23" s="156">
        <f>I$11*F821CVC!I11*$R23</f>
        <v>21094.892</v>
      </c>
      <c r="J23" s="156">
        <f>J$11*F821CVC!J11*$R23</f>
        <v>10483.05998</v>
      </c>
      <c r="K23" s="156">
        <f>K$11*F821CVC!K11*$R23</f>
        <v>20507.88723</v>
      </c>
      <c r="L23" s="156">
        <f>L$11*F821CVC!L11*$R23</f>
        <v>8873.4168200000004</v>
      </c>
      <c r="M23" s="156">
        <f>M$11*F821CVC!M11*$R23</f>
        <v>9042.430769999999</v>
      </c>
      <c r="N23" s="156">
        <f>N$11*F821CVC!N11*$R23</f>
        <v>9443.7007200000007</v>
      </c>
      <c r="O23" s="156"/>
      <c r="P23" s="156">
        <f t="shared" si="7"/>
        <v>153364.55752000003</v>
      </c>
      <c r="Q23" s="174"/>
      <c r="R23" s="1014">
        <v>1</v>
      </c>
    </row>
    <row r="24" spans="2:18" s="37" customFormat="1" ht="15.75">
      <c r="B24" s="48"/>
      <c r="C24" s="160" t="s">
        <v>305</v>
      </c>
      <c r="D24" s="156">
        <f>D$11*F821CVC!D12*$R24</f>
        <v>0</v>
      </c>
      <c r="E24" s="156">
        <f>E$11*F821CVC!E12*$R24</f>
        <v>0</v>
      </c>
      <c r="F24" s="156">
        <f>F$11*F821CVC!F12*$R24</f>
        <v>4162.5674999999992</v>
      </c>
      <c r="G24" s="156">
        <f>G$11*F821CVC!G12*$R24</f>
        <v>4311.6937499999995</v>
      </c>
      <c r="H24" s="156">
        <f>H$11*F821CVC!H12*$R24</f>
        <v>4246.8562499999998</v>
      </c>
      <c r="I24" s="156">
        <f>I$11*F821CVC!I12*$R24</f>
        <v>0</v>
      </c>
      <c r="J24" s="156">
        <f>J$11*F821CVC!J12*$R24</f>
        <v>5560.1049000000003</v>
      </c>
      <c r="K24" s="156">
        <f>K$11*F821CVC!K12*$R24</f>
        <v>4326.4368000000004</v>
      </c>
      <c r="L24" s="156">
        <f>L$11*F821CVC!L12*$R24</f>
        <v>2159.2284</v>
      </c>
      <c r="M24" s="156">
        <f>M$11*F821CVC!M12*$R24</f>
        <v>1947.9977999999999</v>
      </c>
      <c r="N24" s="156">
        <f>N$11*F821CVC!N12*$R24</f>
        <v>2211.2978999999996</v>
      </c>
      <c r="O24" s="156"/>
      <c r="P24" s="156">
        <f t="shared" si="7"/>
        <v>28926.183299999997</v>
      </c>
      <c r="Q24" s="174"/>
      <c r="R24" s="1014">
        <v>0.95</v>
      </c>
    </row>
    <row r="25" spans="2:18" s="37" customFormat="1" ht="15.75">
      <c r="B25" s="48" t="s">
        <v>276</v>
      </c>
      <c r="C25" s="158" t="s">
        <v>626</v>
      </c>
      <c r="D25" s="159">
        <f t="shared" ref="D25:I25" si="11">SUM(D26:D29)</f>
        <v>0</v>
      </c>
      <c r="E25" s="159">
        <f t="shared" si="11"/>
        <v>0</v>
      </c>
      <c r="F25" s="159">
        <f t="shared" si="11"/>
        <v>139941.51451500002</v>
      </c>
      <c r="G25" s="159">
        <f t="shared" si="11"/>
        <v>147607.61037000001</v>
      </c>
      <c r="H25" s="159">
        <f t="shared" si="11"/>
        <v>132543.13908000002</v>
      </c>
      <c r="I25" s="159">
        <f t="shared" si="11"/>
        <v>137993.08858500002</v>
      </c>
      <c r="J25" s="159">
        <f t="shared" ref="J25:K25" si="12">SUM(J26:J29)</f>
        <v>114841.68683999999</v>
      </c>
      <c r="K25" s="159">
        <f t="shared" si="12"/>
        <v>193155.01157</v>
      </c>
      <c r="L25" s="159">
        <f t="shared" ref="L25:N25" si="13">SUM(L26:L29)</f>
        <v>99714.152369999996</v>
      </c>
      <c r="M25" s="159">
        <f t="shared" si="13"/>
        <v>93380.732489999995</v>
      </c>
      <c r="N25" s="159">
        <f t="shared" si="13"/>
        <v>99145.50086</v>
      </c>
      <c r="O25" s="159"/>
      <c r="P25" s="159">
        <f t="shared" si="7"/>
        <v>1158322.43668</v>
      </c>
      <c r="Q25" s="174"/>
      <c r="R25" s="1013"/>
    </row>
    <row r="26" spans="2:18" s="37" customFormat="1" ht="15.75">
      <c r="B26" s="48"/>
      <c r="C26" s="160" t="s">
        <v>304</v>
      </c>
      <c r="D26" s="156">
        <f>D$10*F821CVC!D15*$R26</f>
        <v>0</v>
      </c>
      <c r="E26" s="156">
        <f>E$10*F821CVC!E15*$R26</f>
        <v>0</v>
      </c>
      <c r="F26" s="156">
        <f>F$10*F821CVC!F15*$R26</f>
        <v>139513.60896000001</v>
      </c>
      <c r="G26" s="156">
        <f>G$10*F821CVC!G15*$R26</f>
        <v>147296.47416000001</v>
      </c>
      <c r="H26" s="156">
        <f>H$10*F821CVC!H15*$R26</f>
        <v>131767.91001000002</v>
      </c>
      <c r="I26" s="156">
        <f>I$10*F821CVC!I15*$R26</f>
        <v>137218.23258000001</v>
      </c>
      <c r="J26" s="156">
        <f>J$10*F821CVC!J15*$R26</f>
        <v>113852.2892</v>
      </c>
      <c r="K26" s="156">
        <f>K$10*F821CVC!K15*$R26</f>
        <v>191032.37280000001</v>
      </c>
      <c r="L26" s="156">
        <f>L$10*F821CVC!L15*$R26</f>
        <v>98268.858659999998</v>
      </c>
      <c r="M26" s="156">
        <f>M$10*F821CVC!M15*$R26</f>
        <v>91993.00383999999</v>
      </c>
      <c r="N26" s="156">
        <f>N$10*F821CVC!N15*$R26</f>
        <v>97520.488240000006</v>
      </c>
      <c r="O26" s="156"/>
      <c r="P26" s="156">
        <f t="shared" si="7"/>
        <v>1148463.2384500003</v>
      </c>
      <c r="Q26" s="174"/>
      <c r="R26" s="1014">
        <v>1</v>
      </c>
    </row>
    <row r="27" spans="2:18" s="37" customFormat="1" ht="15.75">
      <c r="B27" s="48"/>
      <c r="C27" s="161" t="s">
        <v>306</v>
      </c>
      <c r="D27" s="156">
        <f>D$10*F821CVC!D16*$R27</f>
        <v>0</v>
      </c>
      <c r="E27" s="156">
        <f>E$10*F821CVC!E16*$R27</f>
        <v>0</v>
      </c>
      <c r="F27" s="156">
        <f>F$10*F821CVC!F16*$R27</f>
        <v>0</v>
      </c>
      <c r="G27" s="156">
        <f>G$10*F821CVC!G16*$R27</f>
        <v>0</v>
      </c>
      <c r="H27" s="156">
        <f>H$10*F821CVC!H16*$R27</f>
        <v>0</v>
      </c>
      <c r="I27" s="156">
        <f>I$10*F821CVC!I16*$R27</f>
        <v>0</v>
      </c>
      <c r="J27" s="156">
        <f>J$10*F821CVC!J16*$R27</f>
        <v>0</v>
      </c>
      <c r="K27" s="156">
        <f>K$10*F821CVC!K16*$R27</f>
        <v>0</v>
      </c>
      <c r="L27" s="156">
        <f>L$10*F821CVC!L16*$R27</f>
        <v>0</v>
      </c>
      <c r="M27" s="156">
        <f>M$10*F821CVC!M16*$R27</f>
        <v>0</v>
      </c>
      <c r="N27" s="156">
        <f>N$10*F821CVC!N16*$R27</f>
        <v>0</v>
      </c>
      <c r="O27" s="156"/>
      <c r="P27" s="156">
        <f t="shared" si="7"/>
        <v>0</v>
      </c>
      <c r="Q27" s="174"/>
      <c r="R27" s="1014">
        <v>1</v>
      </c>
    </row>
    <row r="28" spans="2:18" s="37" customFormat="1" ht="15.75">
      <c r="B28" s="48"/>
      <c r="C28" s="160" t="s">
        <v>305</v>
      </c>
      <c r="D28" s="156">
        <f>D$10*F821CVC!D17*$R28</f>
        <v>0</v>
      </c>
      <c r="E28" s="156">
        <f>E$10*F821CVC!E17*$R28</f>
        <v>0</v>
      </c>
      <c r="F28" s="156">
        <f>F$10*F821CVC!F17*$R28</f>
        <v>427.90555500000005</v>
      </c>
      <c r="G28" s="156">
        <f>G$10*F821CVC!G17*$R28</f>
        <v>311.13621000000001</v>
      </c>
      <c r="H28" s="156">
        <f>H$10*F821CVC!H17*$R28</f>
        <v>775.22906999999998</v>
      </c>
      <c r="I28" s="156">
        <f>I$10*F821CVC!I17*$R28</f>
        <v>774.85600499999998</v>
      </c>
      <c r="J28" s="156">
        <f>J$10*F821CVC!J17*$R28</f>
        <v>989.39763999999991</v>
      </c>
      <c r="K28" s="156">
        <f>K$10*F821CVC!K17*$R28</f>
        <v>2122.63877</v>
      </c>
      <c r="L28" s="156">
        <f>L$10*F821CVC!L17*$R28</f>
        <v>1445.2937099999999</v>
      </c>
      <c r="M28" s="156">
        <f>M$10*F821CVC!M17*$R28</f>
        <v>1387.72865</v>
      </c>
      <c r="N28" s="156">
        <f>N$10*F821CVC!N17*$R28</f>
        <v>1625.01262</v>
      </c>
      <c r="O28" s="156"/>
      <c r="P28" s="156">
        <f t="shared" si="7"/>
        <v>9859.19823</v>
      </c>
      <c r="Q28" s="174"/>
      <c r="R28" s="1014">
        <v>0.95</v>
      </c>
    </row>
    <row r="29" spans="2:18" s="37" customFormat="1" ht="15.75">
      <c r="B29" s="48"/>
      <c r="C29" s="160" t="s">
        <v>307</v>
      </c>
      <c r="D29" s="156">
        <f>D$10*F821CVC!D18*$R29</f>
        <v>0</v>
      </c>
      <c r="E29" s="156">
        <f>E$10*F821CVC!E18*$R29</f>
        <v>0</v>
      </c>
      <c r="F29" s="156">
        <f>F$10*F821CVC!F18*$R29</f>
        <v>0</v>
      </c>
      <c r="G29" s="156">
        <f>G$10*F821CVC!G18*$R29</f>
        <v>0</v>
      </c>
      <c r="H29" s="156">
        <f>H$10*F821CVC!H18*$R29</f>
        <v>0</v>
      </c>
      <c r="I29" s="156">
        <f>I$10*F821CVC!I18*$R29</f>
        <v>0</v>
      </c>
      <c r="J29" s="156">
        <f>J$10*F821CVC!J18*$R29</f>
        <v>0</v>
      </c>
      <c r="K29" s="156">
        <f>K$10*F821CVC!K18*$R29</f>
        <v>0</v>
      </c>
      <c r="L29" s="156">
        <f>L$10*F821CVC!L18*$R29</f>
        <v>0</v>
      </c>
      <c r="M29" s="156">
        <f>M$10*F821CVC!M18*$R29</f>
        <v>0</v>
      </c>
      <c r="N29" s="156">
        <f>N$10*F821CVC!N18*$R29</f>
        <v>0</v>
      </c>
      <c r="O29" s="156"/>
      <c r="P29" s="156">
        <f t="shared" si="7"/>
        <v>0</v>
      </c>
      <c r="Q29" s="174"/>
      <c r="R29" s="1014">
        <v>0.5</v>
      </c>
    </row>
    <row r="30" spans="2:18" s="37" customFormat="1" ht="15.75">
      <c r="B30" s="48"/>
      <c r="C30" s="157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74"/>
      <c r="R30" s="1012"/>
    </row>
    <row r="31" spans="2:18" s="37" customFormat="1" ht="15.75">
      <c r="B31" s="48"/>
      <c r="C31" s="153" t="s">
        <v>443</v>
      </c>
      <c r="D31" s="154">
        <f>D32+D36+D43+D48+D53+D59+D74+D80+D87+D95+D101+D108+D68</f>
        <v>0</v>
      </c>
      <c r="E31" s="154">
        <f t="shared" ref="E31:K31" si="14">E32+E36+E43+E48+E53+E59+E74+E80+E87+E95+E101+E108+E68</f>
        <v>0</v>
      </c>
      <c r="F31" s="154">
        <f t="shared" si="14"/>
        <v>1174483.7947074999</v>
      </c>
      <c r="G31" s="154">
        <f t="shared" si="14"/>
        <v>1188316.1131425002</v>
      </c>
      <c r="H31" s="154">
        <f t="shared" si="14"/>
        <v>1139634.7287195001</v>
      </c>
      <c r="I31" s="154">
        <f t="shared" si="14"/>
        <v>1144404.3316334998</v>
      </c>
      <c r="J31" s="154">
        <f t="shared" si="14"/>
        <v>845699.31682700012</v>
      </c>
      <c r="K31" s="154">
        <f t="shared" si="14"/>
        <v>1430574.3299259997</v>
      </c>
      <c r="L31" s="154">
        <f t="shared" ref="L31:N31" si="15">L32+L36+L43+L48+L53+L59+L74+L80+L87+L95+L101+L108+L68</f>
        <v>702854.98556349997</v>
      </c>
      <c r="M31" s="154">
        <f t="shared" si="15"/>
        <v>691998.43198650016</v>
      </c>
      <c r="N31" s="154">
        <f t="shared" si="15"/>
        <v>718080.23593099997</v>
      </c>
      <c r="O31" s="154"/>
      <c r="P31" s="154">
        <f t="shared" ref="P31:P57" si="16">SUM(D31:O31)</f>
        <v>9036046.268437</v>
      </c>
      <c r="Q31" s="174"/>
      <c r="R31" s="1012"/>
    </row>
    <row r="32" spans="2:18" s="37" customFormat="1" ht="15.75">
      <c r="B32" s="48" t="s">
        <v>275</v>
      </c>
      <c r="C32" s="155" t="s">
        <v>275</v>
      </c>
      <c r="D32" s="154">
        <f>SUM(D33:D35)</f>
        <v>0</v>
      </c>
      <c r="E32" s="154">
        <f t="shared" ref="E32:I32" si="17">SUM(E33:E35)</f>
        <v>0</v>
      </c>
      <c r="F32" s="154">
        <f t="shared" si="17"/>
        <v>11019.515460000001</v>
      </c>
      <c r="G32" s="154">
        <f t="shared" si="17"/>
        <v>11348.58663</v>
      </c>
      <c r="H32" s="154">
        <f t="shared" si="17"/>
        <v>11198.195415</v>
      </c>
      <c r="I32" s="154">
        <f t="shared" si="17"/>
        <v>11708.827875000001</v>
      </c>
      <c r="J32" s="154">
        <f t="shared" ref="J32:K32" si="18">SUM(J33:J35)</f>
        <v>13259.97884</v>
      </c>
      <c r="K32" s="154">
        <f t="shared" si="18"/>
        <v>21248.110085</v>
      </c>
      <c r="L32" s="154">
        <f t="shared" ref="L32:N32" si="19">SUM(L33:L35)</f>
        <v>10398.022300000001</v>
      </c>
      <c r="M32" s="154">
        <f t="shared" si="19"/>
        <v>8885.729949999999</v>
      </c>
      <c r="N32" s="154">
        <f t="shared" si="19"/>
        <v>8741.1864699999987</v>
      </c>
      <c r="O32" s="156"/>
      <c r="P32" s="156">
        <f t="shared" si="16"/>
        <v>107808.15302499999</v>
      </c>
      <c r="Q32" s="174"/>
      <c r="R32" s="1012"/>
    </row>
    <row r="33" spans="2:18" s="37" customFormat="1" ht="15.75">
      <c r="B33" s="48"/>
      <c r="C33" s="160" t="s">
        <v>304</v>
      </c>
      <c r="D33" s="156">
        <f>D$9*F821CVC!D22*$R33</f>
        <v>0</v>
      </c>
      <c r="E33" s="156">
        <f>E$9*F821CVC!E22*$R33</f>
        <v>0</v>
      </c>
      <c r="F33" s="156">
        <f>F$9*F821CVC!F22*$R33</f>
        <v>10938.08232</v>
      </c>
      <c r="G33" s="156">
        <f>G$9*F821CVC!G22*$R33</f>
        <v>11263.826940000001</v>
      </c>
      <c r="H33" s="156">
        <f>H$9*F821CVC!H22*$R33</f>
        <v>11132.71866</v>
      </c>
      <c r="I33" s="156">
        <f>I$9*F821CVC!I22*$R33</f>
        <v>11628.891180000001</v>
      </c>
      <c r="J33" s="156">
        <f>J$9*F821CVC!J22*$R33</f>
        <v>13182.189679999999</v>
      </c>
      <c r="K33" s="156">
        <f>K$9*F821CVC!K22*$R33</f>
        <v>21117.9558</v>
      </c>
      <c r="L33" s="156">
        <f>L$9*F821CVC!L22*$R33</f>
        <v>10324.82992</v>
      </c>
      <c r="M33" s="156">
        <f>M$9*F821CVC!M22*$R33</f>
        <v>8828.164499999999</v>
      </c>
      <c r="N33" s="156">
        <f>N$9*F821CVC!N22*$R33</f>
        <v>8666.9193599999999</v>
      </c>
      <c r="O33" s="156"/>
      <c r="P33" s="156">
        <f t="shared" si="16"/>
        <v>107083.57836</v>
      </c>
      <c r="Q33" s="174"/>
      <c r="R33" s="1014">
        <v>1</v>
      </c>
    </row>
    <row r="34" spans="2:18" s="37" customFormat="1" ht="15.75">
      <c r="B34" s="48"/>
      <c r="C34" s="161" t="s">
        <v>306</v>
      </c>
      <c r="D34" s="156">
        <f>D$9*F821CVC!D23*$R34</f>
        <v>0</v>
      </c>
      <c r="E34" s="156">
        <f>E$9*F821CVC!E23*$R34</f>
        <v>0</v>
      </c>
      <c r="F34" s="156">
        <f>F$9*F821CVC!F23*$R34</f>
        <v>47.2149</v>
      </c>
      <c r="G34" s="156">
        <f>G$9*F821CVC!G23*$R34</f>
        <v>49.319370000000006</v>
      </c>
      <c r="H34" s="156">
        <f>H$9*F821CVC!H23*$R34</f>
        <v>34.313715000000002</v>
      </c>
      <c r="I34" s="156">
        <f>I$9*F821CVC!I23*$R34</f>
        <v>45.107415000000003</v>
      </c>
      <c r="J34" s="156">
        <f>J$9*F821CVC!J23*$R34</f>
        <v>42.98724</v>
      </c>
      <c r="K34" s="156">
        <f>K$9*F821CVC!K23*$R34</f>
        <v>69.089804999999998</v>
      </c>
      <c r="L34" s="156">
        <f>L$9*F821CVC!L23*$R34</f>
        <v>43.278779999999998</v>
      </c>
      <c r="M34" s="156">
        <f>M$9*F821CVC!M23*$R34</f>
        <v>34.005449999999996</v>
      </c>
      <c r="N34" s="156">
        <f>N$9*F821CVC!N23*$R34</f>
        <v>50.251109999999997</v>
      </c>
      <c r="O34" s="156"/>
      <c r="P34" s="156">
        <f t="shared" si="16"/>
        <v>415.56778499999996</v>
      </c>
      <c r="Q34" s="174"/>
      <c r="R34" s="1014">
        <v>0.75</v>
      </c>
    </row>
    <row r="35" spans="2:18" s="37" customFormat="1" ht="15.75">
      <c r="B35" s="48"/>
      <c r="C35" s="160" t="s">
        <v>305</v>
      </c>
      <c r="D35" s="156">
        <f>D$9*F821CVC!D24*$R35</f>
        <v>0</v>
      </c>
      <c r="E35" s="156">
        <f>E$9*F821CVC!E24*$R35</f>
        <v>0</v>
      </c>
      <c r="F35" s="156">
        <f>F$9*F821CVC!F24*$R35</f>
        <v>34.218239999999994</v>
      </c>
      <c r="G35" s="156">
        <f>G$9*F821CVC!G24*$R35</f>
        <v>35.44032</v>
      </c>
      <c r="H35" s="156">
        <f>H$9*F821CVC!H24*$R35</f>
        <v>31.163040000000002</v>
      </c>
      <c r="I35" s="156">
        <f>I$9*F821CVC!I24*$R35</f>
        <v>34.829279999999997</v>
      </c>
      <c r="J35" s="156">
        <f>J$9*F821CVC!J24*$R35</f>
        <v>34.801920000000003</v>
      </c>
      <c r="K35" s="156">
        <f>K$9*F821CVC!K24*$R35</f>
        <v>61.064480000000003</v>
      </c>
      <c r="L35" s="156">
        <f>L$9*F821CVC!L24*$R35</f>
        <v>29.913599999999999</v>
      </c>
      <c r="M35" s="156">
        <f>M$9*F821CVC!M24*$R35</f>
        <v>23.56</v>
      </c>
      <c r="N35" s="156">
        <f>N$9*F821CVC!N24*$R35</f>
        <v>24.015999999999998</v>
      </c>
      <c r="O35" s="156"/>
      <c r="P35" s="156">
        <f t="shared" si="16"/>
        <v>309.00687999999997</v>
      </c>
      <c r="Q35" s="174"/>
      <c r="R35" s="1014">
        <v>0.95</v>
      </c>
    </row>
    <row r="36" spans="2:18" s="37" customFormat="1" ht="15.75">
      <c r="B36" s="48" t="s">
        <v>274</v>
      </c>
      <c r="C36" s="158" t="s">
        <v>627</v>
      </c>
      <c r="D36" s="159">
        <f t="shared" ref="D36:I36" si="20">SUM(D37:D42)</f>
        <v>0</v>
      </c>
      <c r="E36" s="159">
        <f t="shared" si="20"/>
        <v>0</v>
      </c>
      <c r="F36" s="159">
        <f t="shared" si="20"/>
        <v>182943.20208999998</v>
      </c>
      <c r="G36" s="159">
        <f t="shared" si="20"/>
        <v>186548.41527000003</v>
      </c>
      <c r="H36" s="159">
        <f t="shared" si="20"/>
        <v>179907.33731</v>
      </c>
      <c r="I36" s="159">
        <f t="shared" si="20"/>
        <v>178483.78723899997</v>
      </c>
      <c r="J36" s="159">
        <f t="shared" ref="J36:K36" si="21">SUM(J37:J42)</f>
        <v>134792.46711</v>
      </c>
      <c r="K36" s="159">
        <f t="shared" si="21"/>
        <v>236165.88442949997</v>
      </c>
      <c r="L36" s="159">
        <f t="shared" ref="L36:N36" si="22">SUM(L37:L42)</f>
        <v>112249.227258</v>
      </c>
      <c r="M36" s="159">
        <f t="shared" si="22"/>
        <v>107780.53070399999</v>
      </c>
      <c r="N36" s="159">
        <f t="shared" si="22"/>
        <v>111595.16966299999</v>
      </c>
      <c r="O36" s="159"/>
      <c r="P36" s="159">
        <f t="shared" si="16"/>
        <v>1430466.0210734999</v>
      </c>
      <c r="Q36" s="174"/>
      <c r="R36" s="1012"/>
    </row>
    <row r="37" spans="2:18" s="37" customFormat="1" ht="15.75">
      <c r="B37" s="48"/>
      <c r="C37" s="160" t="s">
        <v>304</v>
      </c>
      <c r="D37" s="156">
        <f>D$8*F821CVC!D28*$R37</f>
        <v>0</v>
      </c>
      <c r="E37" s="156">
        <f>E$8*F821CVC!E28*$R37</f>
        <v>0</v>
      </c>
      <c r="F37" s="156">
        <f>F$8*F821CVC!F28*$R37</f>
        <v>182573.26087999999</v>
      </c>
      <c r="G37" s="156">
        <f>G$8*F821CVC!G28*$R37</f>
        <v>186236.61533</v>
      </c>
      <c r="H37" s="156">
        <f>H$8*F821CVC!H28*$R37</f>
        <v>179601.21786999999</v>
      </c>
      <c r="I37" s="156">
        <f>I$8*F821CVC!I28*$R37</f>
        <v>178131.83481999999</v>
      </c>
      <c r="J37" s="156">
        <f>J$8*F821CVC!J28*$R37</f>
        <v>134538.62940000001</v>
      </c>
      <c r="K37" s="156">
        <f>K$8*F821CVC!K28*$R37</f>
        <v>235624.67289999998</v>
      </c>
      <c r="L37" s="156">
        <f>L$8*F821CVC!L28*$R37</f>
        <v>111995.34074</v>
      </c>
      <c r="M37" s="156">
        <f>M$8*F821CVC!M28*$R37</f>
        <v>107504.48015999999</v>
      </c>
      <c r="N37" s="156">
        <f>N$8*F821CVC!N28*$R37</f>
        <v>111321.52196</v>
      </c>
      <c r="O37" s="156"/>
      <c r="P37" s="156">
        <f t="shared" si="16"/>
        <v>1427527.5740599998</v>
      </c>
      <c r="Q37" s="174"/>
      <c r="R37" s="1014">
        <v>1</v>
      </c>
    </row>
    <row r="38" spans="2:18" s="37" customFormat="1" ht="15.75">
      <c r="B38" s="48"/>
      <c r="C38" s="162" t="s">
        <v>628</v>
      </c>
      <c r="D38" s="156">
        <f>D$8*F821CVC!D29*$R38</f>
        <v>0</v>
      </c>
      <c r="E38" s="156">
        <f>E$8*F821CVC!E29*$R38</f>
        <v>0</v>
      </c>
      <c r="F38" s="156">
        <f>F$8*F821CVC!F29*$R38</f>
        <v>17.041499999999999</v>
      </c>
      <c r="G38" s="156">
        <f>G$8*F821CVC!G29*$R38</f>
        <v>17.041499999999999</v>
      </c>
      <c r="H38" s="156">
        <f>H$8*F821CVC!H29*$R38</f>
        <v>17.041499999999999</v>
      </c>
      <c r="I38" s="156">
        <f>I$8*F821CVC!I29*$R38</f>
        <v>14.606999999999999</v>
      </c>
      <c r="J38" s="156">
        <f>J$8*F821CVC!J29*$R38</f>
        <v>11.34</v>
      </c>
      <c r="K38" s="156">
        <f>K$8*F821CVC!K29*$R38</f>
        <v>20.502299999999998</v>
      </c>
      <c r="L38" s="156">
        <f>L$8*F821CVC!L29*$R38</f>
        <v>11.736000000000001</v>
      </c>
      <c r="M38" s="156">
        <f>M$8*F821CVC!M29*$R38</f>
        <v>11.087999999999999</v>
      </c>
      <c r="N38" s="156">
        <f>N$8*F821CVC!N29*$R38</f>
        <v>11.303999999999998</v>
      </c>
      <c r="O38" s="156"/>
      <c r="P38" s="156">
        <f t="shared" si="16"/>
        <v>131.70179999999999</v>
      </c>
      <c r="Q38" s="174"/>
      <c r="R38" s="1014">
        <v>0.75</v>
      </c>
    </row>
    <row r="39" spans="2:18" s="37" customFormat="1" ht="15.75">
      <c r="B39" s="48"/>
      <c r="C39" s="161" t="s">
        <v>629</v>
      </c>
      <c r="D39" s="156">
        <f>D$8*F821CVC!D30*$R39</f>
        <v>0</v>
      </c>
      <c r="E39" s="156">
        <f>E$8*F821CVC!E30*$R39</f>
        <v>0</v>
      </c>
      <c r="F39" s="156">
        <f>F$8*F821CVC!F30*$R39</f>
        <v>87.669049999999999</v>
      </c>
      <c r="G39" s="156">
        <f>G$8*F821CVC!G30*$R39</f>
        <v>81.939859999999996</v>
      </c>
      <c r="H39" s="156">
        <f>H$8*F821CVC!H30*$R39</f>
        <v>80.911959999999993</v>
      </c>
      <c r="I39" s="156">
        <f>I$8*F821CVC!I30*$R39</f>
        <v>84.255340000000004</v>
      </c>
      <c r="J39" s="156">
        <f>J$8*F821CVC!J30*$R39</f>
        <v>68.342399999999998</v>
      </c>
      <c r="K39" s="156">
        <f>K$8*F821CVC!K30*$R39</f>
        <v>109.59342999999998</v>
      </c>
      <c r="L39" s="156">
        <f>L$8*F821CVC!L30*$R39</f>
        <v>87.759199999999993</v>
      </c>
      <c r="M39" s="156">
        <f>M$8*F821CVC!M30*$R39</f>
        <v>98.544599999999988</v>
      </c>
      <c r="N39" s="156">
        <f>N$8*F821CVC!N30*$R39</f>
        <v>100.11262000000001</v>
      </c>
      <c r="O39" s="156"/>
      <c r="P39" s="156">
        <f t="shared" si="16"/>
        <v>799.1284599999999</v>
      </c>
      <c r="Q39" s="174"/>
      <c r="R39" s="1014">
        <v>1</v>
      </c>
    </row>
    <row r="40" spans="2:18" s="37" customFormat="1" ht="15.75">
      <c r="B40" s="48"/>
      <c r="C40" s="160" t="s">
        <v>305</v>
      </c>
      <c r="D40" s="156">
        <f>D$8*F821CVC!D31*$R40</f>
        <v>0</v>
      </c>
      <c r="E40" s="156">
        <f>E$8*F821CVC!E31*$R40</f>
        <v>0</v>
      </c>
      <c r="F40" s="156">
        <f>F$8*F821CVC!F31*$R40</f>
        <v>244.02346</v>
      </c>
      <c r="G40" s="156">
        <f>G$8*F821CVC!G31*$R40</f>
        <v>191.39498</v>
      </c>
      <c r="H40" s="156">
        <f>H$8*F821CVC!H31*$R40</f>
        <v>189.33917999999997</v>
      </c>
      <c r="I40" s="156">
        <f>I$8*F821CVC!I31*$R40</f>
        <v>236.42727899999997</v>
      </c>
      <c r="J40" s="156">
        <f>J$8*F821CVC!J31*$R40</f>
        <v>159.87530999999998</v>
      </c>
      <c r="K40" s="156">
        <f>K$8*F821CVC!K31*$R40</f>
        <v>386.48299949999995</v>
      </c>
      <c r="L40" s="156">
        <f>L$8*F821CVC!L31*$R40</f>
        <v>142.13371799999999</v>
      </c>
      <c r="M40" s="156">
        <f>M$8*F821CVC!M31*$R40</f>
        <v>155.20674399999999</v>
      </c>
      <c r="N40" s="156">
        <f>N$8*F821CVC!N31*$R40</f>
        <v>152.43428299999999</v>
      </c>
      <c r="O40" s="156"/>
      <c r="P40" s="156">
        <f t="shared" si="16"/>
        <v>1857.3179535000002</v>
      </c>
      <c r="Q40" s="174"/>
      <c r="R40" s="1014">
        <v>0.95</v>
      </c>
    </row>
    <row r="41" spans="2:18" s="37" customFormat="1" ht="15.75">
      <c r="B41" s="48"/>
      <c r="C41" s="160" t="s">
        <v>307</v>
      </c>
      <c r="D41" s="156">
        <f>D$8*F821CVC!D32*$R41</f>
        <v>0</v>
      </c>
      <c r="E41" s="156">
        <f>E$8*F821CVC!E32*$R41</f>
        <v>0</v>
      </c>
      <c r="F41" s="156">
        <f>F$8*F821CVC!F32*$R41</f>
        <v>21.2072</v>
      </c>
      <c r="G41" s="156">
        <f>G$8*F821CVC!G32*$R41</f>
        <v>21.4236</v>
      </c>
      <c r="H41" s="156">
        <f>H$8*F821CVC!H32*$R41</f>
        <v>18.826799999999999</v>
      </c>
      <c r="I41" s="156">
        <f>I$8*F821CVC!I32*$R41</f>
        <v>16.662800000000001</v>
      </c>
      <c r="J41" s="156">
        <f>J$8*F821CVC!J32*$R41</f>
        <v>14.28</v>
      </c>
      <c r="K41" s="156">
        <f>K$8*F821CVC!K32*$R41</f>
        <v>24.632799999999996</v>
      </c>
      <c r="L41" s="156">
        <f>L$8*F821CVC!L32*$R41</f>
        <v>12.2576</v>
      </c>
      <c r="M41" s="156">
        <f>M$8*F821CVC!M32*$R41</f>
        <v>11.2112</v>
      </c>
      <c r="N41" s="156">
        <f>N$8*F821CVC!N32*$R41</f>
        <v>9.7967999999999993</v>
      </c>
      <c r="O41" s="156"/>
      <c r="P41" s="156">
        <f t="shared" si="16"/>
        <v>150.29879999999997</v>
      </c>
      <c r="Q41" s="174"/>
      <c r="R41" s="1014">
        <v>0.5</v>
      </c>
    </row>
    <row r="42" spans="2:18" s="37" customFormat="1" ht="15.75">
      <c r="B42" s="48"/>
      <c r="C42" s="160" t="s">
        <v>624</v>
      </c>
      <c r="D42" s="156">
        <f>D$8*F821CVC!D33*$R42</f>
        <v>0</v>
      </c>
      <c r="E42" s="156">
        <f>E$8*F821CVC!E33*$R42</f>
        <v>0</v>
      </c>
      <c r="F42" s="156">
        <f>F$8*F821CVC!F33*$R42</f>
        <v>0</v>
      </c>
      <c r="G42" s="156">
        <f>G$8*F821CVC!G33*$R42</f>
        <v>0</v>
      </c>
      <c r="H42" s="156">
        <f>H$8*F821CVC!H33*$R42</f>
        <v>0</v>
      </c>
      <c r="I42" s="156">
        <f>I$8*F821CVC!I33*$R42</f>
        <v>0</v>
      </c>
      <c r="J42" s="156">
        <f>J$8*F821CVC!J33*$R42</f>
        <v>0</v>
      </c>
      <c r="K42" s="156">
        <f>K$8*F821CVC!K33*$R42</f>
        <v>0</v>
      </c>
      <c r="L42" s="156">
        <f>L$8*F821CVC!L33*$R42</f>
        <v>0</v>
      </c>
      <c r="M42" s="156">
        <f>M$8*F821CVC!M33*$R42</f>
        <v>0</v>
      </c>
      <c r="N42" s="156">
        <f>N$8*F821CVC!N33*$R42</f>
        <v>0</v>
      </c>
      <c r="O42" s="156"/>
      <c r="P42" s="156">
        <f t="shared" si="16"/>
        <v>0</v>
      </c>
      <c r="Q42" s="174"/>
      <c r="R42" s="1014">
        <v>0</v>
      </c>
    </row>
    <row r="43" spans="2:18" s="37" customFormat="1" ht="15.75">
      <c r="B43" s="48" t="s">
        <v>274</v>
      </c>
      <c r="C43" s="158" t="s">
        <v>631</v>
      </c>
      <c r="D43" s="159">
        <f t="shared" ref="D43:I43" si="23">SUM(D44:D47)</f>
        <v>0</v>
      </c>
      <c r="E43" s="159">
        <f t="shared" si="23"/>
        <v>0</v>
      </c>
      <c r="F43" s="159">
        <f t="shared" si="23"/>
        <v>83258.412249999994</v>
      </c>
      <c r="G43" s="159">
        <f t="shared" si="23"/>
        <v>86229.292109999995</v>
      </c>
      <c r="H43" s="159">
        <f t="shared" si="23"/>
        <v>79987.342310000007</v>
      </c>
      <c r="I43" s="159">
        <f t="shared" si="23"/>
        <v>78577.068919999991</v>
      </c>
      <c r="J43" s="159">
        <f t="shared" ref="J43:K43" si="24">SUM(J44:J47)</f>
        <v>59334.382799999999</v>
      </c>
      <c r="K43" s="159">
        <f t="shared" si="24"/>
        <v>99230.118149999995</v>
      </c>
      <c r="L43" s="159">
        <f t="shared" ref="L43:N43" si="25">SUM(L44:L47)</f>
        <v>52699.243119999999</v>
      </c>
      <c r="M43" s="159">
        <f t="shared" si="25"/>
        <v>51458.517879999992</v>
      </c>
      <c r="N43" s="159">
        <f t="shared" si="25"/>
        <v>54347.474820000003</v>
      </c>
      <c r="O43" s="159"/>
      <c r="P43" s="159">
        <f t="shared" si="16"/>
        <v>645121.8523599999</v>
      </c>
      <c r="Q43" s="174"/>
      <c r="R43" s="1012"/>
    </row>
    <row r="44" spans="2:18" s="37" customFormat="1" ht="15.75">
      <c r="B44" s="48"/>
      <c r="C44" s="160" t="s">
        <v>304</v>
      </c>
      <c r="D44" s="156">
        <f>D$8*F821CVC!D35*$R44</f>
        <v>0</v>
      </c>
      <c r="E44" s="156">
        <f>E$8*F821CVC!E35*$R44</f>
        <v>0</v>
      </c>
      <c r="F44" s="156">
        <f>F$8*F821CVC!F35*$R44</f>
        <v>83206.194929999998</v>
      </c>
      <c r="G44" s="156">
        <f>G$8*F821CVC!G35*$R44</f>
        <v>86160.217229999995</v>
      </c>
      <c r="H44" s="156">
        <f>H$8*F821CVC!H35*$R44</f>
        <v>79948.693270000003</v>
      </c>
      <c r="I44" s="156">
        <f>I$8*F821CVC!I35*$R44</f>
        <v>78488.258359999993</v>
      </c>
      <c r="J44" s="156">
        <f>J$8*F821CVC!J35*$R44</f>
        <v>59292.248399999997</v>
      </c>
      <c r="K44" s="156">
        <f>K$8*F821CVC!K35*$R44</f>
        <v>99165.622269999993</v>
      </c>
      <c r="L44" s="156">
        <f>L$8*F821CVC!L35*$R44</f>
        <v>52640.276239999999</v>
      </c>
      <c r="M44" s="156">
        <f>M$8*F821CVC!M35*$R44</f>
        <v>51402.363319999997</v>
      </c>
      <c r="N44" s="156">
        <f>N$8*F821CVC!N35*$R44</f>
        <v>54290.678500000002</v>
      </c>
      <c r="O44" s="156"/>
      <c r="P44" s="156">
        <f t="shared" si="16"/>
        <v>644594.55252000003</v>
      </c>
      <c r="Q44" s="174"/>
      <c r="R44" s="1014">
        <v>1</v>
      </c>
    </row>
    <row r="45" spans="2:18" s="37" customFormat="1" ht="15.75">
      <c r="B45" s="48"/>
      <c r="C45" s="161" t="s">
        <v>306</v>
      </c>
      <c r="D45" s="156">
        <f>D$8*F821CVC!D36*$R45</f>
        <v>0</v>
      </c>
      <c r="E45" s="156">
        <f>E$8*F821CVC!E36*$R45</f>
        <v>0</v>
      </c>
      <c r="F45" s="156">
        <f>F$8*F821CVC!F36*$R45</f>
        <v>0</v>
      </c>
      <c r="G45" s="156">
        <f>G$8*F821CVC!G36*$R45</f>
        <v>0</v>
      </c>
      <c r="H45" s="156">
        <f>H$8*F821CVC!H36*$R45</f>
        <v>0</v>
      </c>
      <c r="I45" s="156">
        <f>I$8*F821CVC!I36*$R45</f>
        <v>0</v>
      </c>
      <c r="J45" s="156">
        <f>J$8*F821CVC!J36*$R45</f>
        <v>0</v>
      </c>
      <c r="K45" s="156">
        <f>K$8*F821CVC!K36*$R45</f>
        <v>0</v>
      </c>
      <c r="L45" s="156">
        <f>L$8*F821CVC!L36*$R45</f>
        <v>0</v>
      </c>
      <c r="M45" s="156">
        <f>M$8*F821CVC!M36*$R45</f>
        <v>0.91167999999999993</v>
      </c>
      <c r="N45" s="156">
        <f>N$8*F821CVC!N36*$R45</f>
        <v>0</v>
      </c>
      <c r="O45" s="156"/>
      <c r="P45" s="156">
        <f t="shared" si="16"/>
        <v>0.91167999999999993</v>
      </c>
      <c r="Q45" s="174"/>
      <c r="R45" s="1014">
        <v>1</v>
      </c>
    </row>
    <row r="46" spans="2:18" s="37" customFormat="1" ht="15.75">
      <c r="B46" s="48"/>
      <c r="C46" s="160" t="s">
        <v>305</v>
      </c>
      <c r="D46" s="156">
        <f>D$8*F821CVC!D37*$R46</f>
        <v>0</v>
      </c>
      <c r="E46" s="156">
        <f>E$8*F821CVC!E37*$R46</f>
        <v>0</v>
      </c>
      <c r="F46" s="156">
        <f>F$8*F821CVC!F37*$R46</f>
        <v>52.217320000000001</v>
      </c>
      <c r="G46" s="156">
        <f>G$8*F821CVC!G37*$R46</f>
        <v>69.074879999999993</v>
      </c>
      <c r="H46" s="156">
        <f>H$8*F821CVC!H37*$R46</f>
        <v>38.649039999999999</v>
      </c>
      <c r="I46" s="156">
        <f>I$8*F821CVC!I37*$R46</f>
        <v>88.810559999999995</v>
      </c>
      <c r="J46" s="156">
        <f>J$8*F821CVC!J37*$R46</f>
        <v>42.134399999999992</v>
      </c>
      <c r="K46" s="156">
        <f>K$8*F821CVC!K37*$R46</f>
        <v>64.49588</v>
      </c>
      <c r="L46" s="156">
        <f>L$8*F821CVC!L37*$R46</f>
        <v>58.966879999999996</v>
      </c>
      <c r="M46" s="156">
        <f>M$8*F821CVC!M37*$R46</f>
        <v>55.242879999999992</v>
      </c>
      <c r="N46" s="156">
        <f>N$8*F821CVC!N37*$R46</f>
        <v>56.796320000000001</v>
      </c>
      <c r="O46" s="156"/>
      <c r="P46" s="156">
        <f t="shared" si="16"/>
        <v>526.38815999999997</v>
      </c>
      <c r="Q46" s="174"/>
      <c r="R46" s="1014">
        <v>0.95</v>
      </c>
    </row>
    <row r="47" spans="2:18" s="37" customFormat="1" ht="15.75">
      <c r="B47" s="48"/>
      <c r="C47" s="160" t="s">
        <v>307</v>
      </c>
      <c r="D47" s="156">
        <f>D$8*F821CVC!D38*$R47</f>
        <v>0</v>
      </c>
      <c r="E47" s="156">
        <f>E$8*F821CVC!E38*$R47</f>
        <v>0</v>
      </c>
      <c r="F47" s="156">
        <f>F$8*F821CVC!F38*$R47</f>
        <v>0</v>
      </c>
      <c r="G47" s="156">
        <f>G$8*F821CVC!G38*$R47</f>
        <v>0</v>
      </c>
      <c r="H47" s="156">
        <f>H$8*F821CVC!H38*$R47</f>
        <v>0</v>
      </c>
      <c r="I47" s="156">
        <f>I$8*F821CVC!I38*$R47</f>
        <v>0</v>
      </c>
      <c r="J47" s="156">
        <f>J$8*F821CVC!J38*$R47</f>
        <v>0</v>
      </c>
      <c r="K47" s="156">
        <f>K$8*F821CVC!K38*$R47</f>
        <v>0</v>
      </c>
      <c r="L47" s="156">
        <f>L$8*F821CVC!L38*$R47</f>
        <v>0</v>
      </c>
      <c r="M47" s="156">
        <f>M$8*F821CVC!M38*$R47</f>
        <v>0</v>
      </c>
      <c r="N47" s="156">
        <f>N$8*F821CVC!N38*$R47</f>
        <v>0</v>
      </c>
      <c r="O47" s="156"/>
      <c r="P47" s="156">
        <f t="shared" si="16"/>
        <v>0</v>
      </c>
      <c r="Q47" s="174"/>
      <c r="R47" s="1014">
        <v>0.5</v>
      </c>
    </row>
    <row r="48" spans="2:18" s="37" customFormat="1" ht="15.75">
      <c r="B48" s="48" t="s">
        <v>274</v>
      </c>
      <c r="C48" s="158" t="s">
        <v>632</v>
      </c>
      <c r="D48" s="159">
        <f t="shared" ref="D48:I48" si="26">SUM(D49:D52)</f>
        <v>0</v>
      </c>
      <c r="E48" s="159">
        <f t="shared" si="26"/>
        <v>0</v>
      </c>
      <c r="F48" s="159">
        <f t="shared" si="26"/>
        <v>22620.941200000001</v>
      </c>
      <c r="G48" s="159">
        <f>SUM(G49:G52)</f>
        <v>24740.249189999999</v>
      </c>
      <c r="H48" s="159">
        <f t="shared" si="26"/>
        <v>21324.586179999998</v>
      </c>
      <c r="I48" s="159">
        <f t="shared" si="26"/>
        <v>22254.727479999998</v>
      </c>
      <c r="J48" s="159">
        <f t="shared" ref="J48:K48" si="27">SUM(J49:J52)</f>
        <v>16825.855199999998</v>
      </c>
      <c r="K48" s="159">
        <f t="shared" si="27"/>
        <v>25698.829479999997</v>
      </c>
      <c r="L48" s="159">
        <f t="shared" ref="L48:N48" si="28">SUM(L49:L52)</f>
        <v>14766.9035</v>
      </c>
      <c r="M48" s="159">
        <f t="shared" si="28"/>
        <v>14449.317959999998</v>
      </c>
      <c r="N48" s="159">
        <f t="shared" si="28"/>
        <v>15211.19306</v>
      </c>
      <c r="O48" s="159"/>
      <c r="P48" s="159">
        <f t="shared" si="16"/>
        <v>177892.60324999999</v>
      </c>
      <c r="Q48" s="174"/>
      <c r="R48" s="1014"/>
    </row>
    <row r="49" spans="2:18" s="37" customFormat="1" ht="15.75">
      <c r="B49" s="48"/>
      <c r="C49" s="160" t="s">
        <v>304</v>
      </c>
      <c r="D49" s="156">
        <f>D$8*F821CVC!D40*$R49</f>
        <v>0</v>
      </c>
      <c r="E49" s="156">
        <f>E$8*F821CVC!E40*$R49</f>
        <v>0</v>
      </c>
      <c r="F49" s="156">
        <f>F$8*F821CVC!F40*$R49</f>
        <v>22620.941200000001</v>
      </c>
      <c r="G49" s="156">
        <f>G$8*F821CVC!G40*$R49</f>
        <v>24740.249189999999</v>
      </c>
      <c r="H49" s="156">
        <f>H$8*F821CVC!H40*$R49</f>
        <v>21324.586179999998</v>
      </c>
      <c r="I49" s="156">
        <f>I$8*F821CVC!I40*$R49</f>
        <v>22254.727479999998</v>
      </c>
      <c r="J49" s="156">
        <f>J$8*F821CVC!J40*$R49</f>
        <v>16825.855199999998</v>
      </c>
      <c r="K49" s="156">
        <f>K$8*F821CVC!K40*$R49</f>
        <v>25698.829479999997</v>
      </c>
      <c r="L49" s="156">
        <f>L$8*F821CVC!L40*$R49</f>
        <v>14766.9035</v>
      </c>
      <c r="M49" s="156">
        <f>M$8*F821CVC!M40*$R49</f>
        <v>14449.317959999998</v>
      </c>
      <c r="N49" s="156">
        <f>N$8*F821CVC!N40*$R49</f>
        <v>15211.19306</v>
      </c>
      <c r="O49" s="156"/>
      <c r="P49" s="156">
        <f t="shared" si="16"/>
        <v>177892.60324999999</v>
      </c>
      <c r="Q49" s="174"/>
      <c r="R49" s="1014">
        <v>1</v>
      </c>
    </row>
    <row r="50" spans="2:18" s="37" customFormat="1" ht="15.75">
      <c r="B50" s="48"/>
      <c r="C50" s="161" t="s">
        <v>306</v>
      </c>
      <c r="D50" s="156">
        <f>D$8*F821CVC!D41*$R50</f>
        <v>0</v>
      </c>
      <c r="E50" s="156">
        <f>E$8*F821CVC!E41*$R50</f>
        <v>0</v>
      </c>
      <c r="F50" s="156">
        <f>F$8*F821CVC!F41*$R50</f>
        <v>0</v>
      </c>
      <c r="G50" s="156">
        <f>G$8*F821CVC!G41*$R50</f>
        <v>0</v>
      </c>
      <c r="H50" s="156">
        <f>H$8*F821CVC!H41*$R50</f>
        <v>0</v>
      </c>
      <c r="I50" s="156">
        <f>I$8*F821CVC!I41*$R50</f>
        <v>0</v>
      </c>
      <c r="J50" s="156">
        <f>J$8*F821CVC!J41*$R50</f>
        <v>0</v>
      </c>
      <c r="K50" s="156">
        <f>K$8*F821CVC!K41*$R50</f>
        <v>0</v>
      </c>
      <c r="L50" s="156">
        <f>L$8*F821CVC!L41*$R50</f>
        <v>0</v>
      </c>
      <c r="M50" s="156">
        <f>M$8*F821CVC!M41*$R50</f>
        <v>0</v>
      </c>
      <c r="N50" s="156">
        <f>N$8*F821CVC!N41*$R50</f>
        <v>0</v>
      </c>
      <c r="O50" s="156"/>
      <c r="P50" s="156">
        <f t="shared" si="16"/>
        <v>0</v>
      </c>
      <c r="Q50" s="174"/>
      <c r="R50" s="1014">
        <v>1</v>
      </c>
    </row>
    <row r="51" spans="2:18" s="37" customFormat="1" ht="15.75">
      <c r="B51" s="48"/>
      <c r="C51" s="160" t="s">
        <v>305</v>
      </c>
      <c r="D51" s="156">
        <f>D$8*F821CVC!D42*$R51</f>
        <v>0</v>
      </c>
      <c r="E51" s="156">
        <f>E$8*F821CVC!E42*$R51</f>
        <v>0</v>
      </c>
      <c r="F51" s="156">
        <f>F$8*F821CVC!F42*$R51</f>
        <v>0</v>
      </c>
      <c r="G51" s="156">
        <f>G$8*F821CVC!G42*$R51</f>
        <v>0</v>
      </c>
      <c r="H51" s="156">
        <f>H$8*F821CVC!H42*$R51</f>
        <v>0</v>
      </c>
      <c r="I51" s="156">
        <f>I$8*F821CVC!I42*$R51</f>
        <v>0</v>
      </c>
      <c r="J51" s="156">
        <f>J$8*F821CVC!J42*$R51</f>
        <v>0</v>
      </c>
      <c r="K51" s="156">
        <f>K$8*F821CVC!K42*$R51</f>
        <v>0</v>
      </c>
      <c r="L51" s="156">
        <f>L$8*F821CVC!L42*$R51</f>
        <v>0</v>
      </c>
      <c r="M51" s="156">
        <f>M$8*F821CVC!M42*$R51</f>
        <v>0</v>
      </c>
      <c r="N51" s="156">
        <f>N$8*F821CVC!N42*$R51</f>
        <v>0</v>
      </c>
      <c r="O51" s="156"/>
      <c r="P51" s="156">
        <f t="shared" si="16"/>
        <v>0</v>
      </c>
      <c r="Q51" s="174"/>
      <c r="R51" s="1014">
        <v>0.95</v>
      </c>
    </row>
    <row r="52" spans="2:18" s="37" customFormat="1" ht="15.75">
      <c r="B52" s="48"/>
      <c r="C52" s="160" t="s">
        <v>307</v>
      </c>
      <c r="D52" s="156">
        <f>D$8*F821CVC!D43*$R52</f>
        <v>0</v>
      </c>
      <c r="E52" s="156">
        <f>E$8*F821CVC!E43*$R52</f>
        <v>0</v>
      </c>
      <c r="F52" s="156">
        <f>F$8*F821CVC!F43*$R52</f>
        <v>0</v>
      </c>
      <c r="G52" s="156">
        <f>G$8*F821CVC!G43*$R52</f>
        <v>0</v>
      </c>
      <c r="H52" s="156">
        <f>H$8*F821CVC!H43*$R52</f>
        <v>0</v>
      </c>
      <c r="I52" s="156">
        <f>I$8*F821CVC!I43*$R52</f>
        <v>0</v>
      </c>
      <c r="J52" s="156">
        <f>J$8*F821CVC!J43*$R52</f>
        <v>0</v>
      </c>
      <c r="K52" s="156">
        <f>K$8*F821CVC!K43*$R52</f>
        <v>0</v>
      </c>
      <c r="L52" s="156">
        <f>L$8*F821CVC!L43*$R52</f>
        <v>0</v>
      </c>
      <c r="M52" s="156">
        <f>M$8*F821CVC!M43*$R52</f>
        <v>0</v>
      </c>
      <c r="N52" s="156">
        <f>N$8*F821CVC!N43*$R52</f>
        <v>0</v>
      </c>
      <c r="O52" s="156"/>
      <c r="P52" s="156">
        <f t="shared" si="16"/>
        <v>0</v>
      </c>
      <c r="Q52" s="174"/>
      <c r="R52" s="1014">
        <v>0.5</v>
      </c>
    </row>
    <row r="53" spans="2:18" s="37" customFormat="1" ht="15.75">
      <c r="B53" s="48" t="s">
        <v>274</v>
      </c>
      <c r="C53" s="158" t="s">
        <v>633</v>
      </c>
      <c r="D53" s="159">
        <f t="shared" ref="D53:I53" si="29">SUM(D54:D57)</f>
        <v>0</v>
      </c>
      <c r="E53" s="159">
        <f t="shared" si="29"/>
        <v>0</v>
      </c>
      <c r="F53" s="159">
        <f t="shared" si="29"/>
        <v>21351.987829999998</v>
      </c>
      <c r="G53" s="159">
        <f>SUM(G54:G57)</f>
        <v>24464.03082</v>
      </c>
      <c r="H53" s="159">
        <f t="shared" si="29"/>
        <v>22197.841329999999</v>
      </c>
      <c r="I53" s="159">
        <f t="shared" si="29"/>
        <v>22940.28268</v>
      </c>
      <c r="J53" s="159">
        <f t="shared" ref="J53:K53" si="30">SUM(J54:J57)</f>
        <v>15981.793799999999</v>
      </c>
      <c r="K53" s="159">
        <f t="shared" si="30"/>
        <v>24658.431629999999</v>
      </c>
      <c r="L53" s="159">
        <f t="shared" ref="L53:N53" si="31">SUM(L54:L57)</f>
        <v>14725.175499999999</v>
      </c>
      <c r="M53" s="159">
        <f t="shared" si="31"/>
        <v>13338.642239999999</v>
      </c>
      <c r="N53" s="159">
        <f t="shared" si="31"/>
        <v>14406.203820000001</v>
      </c>
      <c r="O53" s="159"/>
      <c r="P53" s="159">
        <f t="shared" si="16"/>
        <v>174064.38965</v>
      </c>
      <c r="Q53" s="174"/>
      <c r="R53" s="1012"/>
    </row>
    <row r="54" spans="2:18" s="37" customFormat="1" ht="15.75">
      <c r="B54" s="48"/>
      <c r="C54" s="160" t="s">
        <v>304</v>
      </c>
      <c r="D54" s="156">
        <f>D$8*F821CVC!D45*$R54</f>
        <v>0</v>
      </c>
      <c r="E54" s="156">
        <f>E$8*F821CVC!E45*$R54</f>
        <v>0</v>
      </c>
      <c r="F54" s="156">
        <f>F$8*F821CVC!F45*$R54</f>
        <v>21351.987829999998</v>
      </c>
      <c r="G54" s="156">
        <f>G$8*F821CVC!G45*$R54</f>
        <v>24464.03082</v>
      </c>
      <c r="H54" s="156">
        <f>H$8*F821CVC!H45*$R54</f>
        <v>22197.841329999999</v>
      </c>
      <c r="I54" s="156">
        <f>I$8*F821CVC!I45*$R54</f>
        <v>22940.28268</v>
      </c>
      <c r="J54" s="156">
        <f>J$8*F821CVC!J45*$R54</f>
        <v>15981.793799999999</v>
      </c>
      <c r="K54" s="156">
        <f>K$8*F821CVC!K45*$R54</f>
        <v>24658.431629999999</v>
      </c>
      <c r="L54" s="156">
        <f>L$8*F821CVC!L45*$R54</f>
        <v>14725.175499999999</v>
      </c>
      <c r="M54" s="156">
        <f>M$8*F821CVC!M45*$R54</f>
        <v>13338.642239999999</v>
      </c>
      <c r="N54" s="156">
        <f>N$8*F821CVC!N45*$R54</f>
        <v>14406.203820000001</v>
      </c>
      <c r="O54" s="156"/>
      <c r="P54" s="156">
        <f t="shared" si="16"/>
        <v>174064.38965</v>
      </c>
      <c r="Q54" s="174"/>
      <c r="R54" s="1014">
        <v>1</v>
      </c>
    </row>
    <row r="55" spans="2:18" s="37" customFormat="1" ht="15.75">
      <c r="B55" s="48"/>
      <c r="C55" s="161" t="s">
        <v>306</v>
      </c>
      <c r="D55" s="156">
        <f>D$8*F821CVC!D46*$R55</f>
        <v>0</v>
      </c>
      <c r="E55" s="156">
        <f>E$8*F821CVC!E46*$R55</f>
        <v>0</v>
      </c>
      <c r="F55" s="156">
        <f>F$8*F821CVC!F46*$R55</f>
        <v>0</v>
      </c>
      <c r="G55" s="156">
        <f>G$8*F821CVC!G46*$R55</f>
        <v>0</v>
      </c>
      <c r="H55" s="156">
        <f>H$8*F821CVC!H46*$R55</f>
        <v>0</v>
      </c>
      <c r="I55" s="156">
        <f>I$8*F821CVC!I46*$R55</f>
        <v>0</v>
      </c>
      <c r="J55" s="156">
        <f>J$8*F821CVC!J46*$R55</f>
        <v>0</v>
      </c>
      <c r="K55" s="156">
        <f>K$8*F821CVC!K46*$R55</f>
        <v>0</v>
      </c>
      <c r="L55" s="156">
        <f>L$8*F821CVC!L46*$R55</f>
        <v>0</v>
      </c>
      <c r="M55" s="156">
        <f>M$8*F821CVC!M46*$R55</f>
        <v>0</v>
      </c>
      <c r="N55" s="156">
        <f>N$8*F821CVC!N46*$R55</f>
        <v>0</v>
      </c>
      <c r="O55" s="156"/>
      <c r="P55" s="156">
        <f t="shared" si="16"/>
        <v>0</v>
      </c>
      <c r="Q55" s="174"/>
      <c r="R55" s="1014">
        <v>1</v>
      </c>
    </row>
    <row r="56" spans="2:18" s="37" customFormat="1" ht="15.75">
      <c r="B56" s="48"/>
      <c r="C56" s="160" t="s">
        <v>305</v>
      </c>
      <c r="D56" s="156">
        <f>D$8*F821CVC!D47*$R56</f>
        <v>0</v>
      </c>
      <c r="E56" s="156">
        <f>E$8*F821CVC!E47*$R56</f>
        <v>0</v>
      </c>
      <c r="F56" s="156">
        <f>F$8*F821CVC!F47*$R56</f>
        <v>0</v>
      </c>
      <c r="G56" s="156">
        <f>G$8*F821CVC!G47*$R56</f>
        <v>0</v>
      </c>
      <c r="H56" s="156">
        <f>H$8*F821CVC!H47*$R56</f>
        <v>0</v>
      </c>
      <c r="I56" s="156">
        <f>I$8*F821CVC!I47*$R56</f>
        <v>0</v>
      </c>
      <c r="J56" s="156">
        <f>J$8*F821CVC!J47*$R56</f>
        <v>0</v>
      </c>
      <c r="K56" s="156">
        <f>K$8*F821CVC!K47*$R56</f>
        <v>0</v>
      </c>
      <c r="L56" s="156">
        <f>L$8*F821CVC!L47*$R56</f>
        <v>0</v>
      </c>
      <c r="M56" s="156">
        <f>M$8*F821CVC!M47*$R56</f>
        <v>0</v>
      </c>
      <c r="N56" s="156">
        <f>N$8*F821CVC!N47*$R56</f>
        <v>0</v>
      </c>
      <c r="O56" s="156"/>
      <c r="P56" s="156">
        <f t="shared" si="16"/>
        <v>0</v>
      </c>
      <c r="Q56" s="174"/>
      <c r="R56" s="1014">
        <v>0.95</v>
      </c>
    </row>
    <row r="57" spans="2:18" s="37" customFormat="1" ht="15.75">
      <c r="B57" s="48"/>
      <c r="C57" s="160" t="s">
        <v>307</v>
      </c>
      <c r="D57" s="156">
        <f>D$8*F821CVC!D48*$R57</f>
        <v>0</v>
      </c>
      <c r="E57" s="156">
        <f>E$8*F821CVC!E48*$R57</f>
        <v>0</v>
      </c>
      <c r="F57" s="156">
        <f>F$8*F821CVC!F48*$R57</f>
        <v>0</v>
      </c>
      <c r="G57" s="156">
        <f>G$8*F821CVC!G48*$R57</f>
        <v>0</v>
      </c>
      <c r="H57" s="156">
        <f>H$8*F821CVC!H48*$R57</f>
        <v>0</v>
      </c>
      <c r="I57" s="156">
        <f>I$8*F821CVC!I48*$R57</f>
        <v>0</v>
      </c>
      <c r="J57" s="156">
        <f>J$8*F821CVC!J48*$R57</f>
        <v>0</v>
      </c>
      <c r="K57" s="156">
        <f>K$8*F821CVC!K48*$R57</f>
        <v>0</v>
      </c>
      <c r="L57" s="156">
        <f>L$8*F821CVC!L48*$R57</f>
        <v>0</v>
      </c>
      <c r="M57" s="156">
        <f>M$8*F821CVC!M48*$R57</f>
        <v>0</v>
      </c>
      <c r="N57" s="156">
        <f>N$8*F821CVC!N48*$R57</f>
        <v>0</v>
      </c>
      <c r="O57" s="156"/>
      <c r="P57" s="156">
        <f t="shared" si="16"/>
        <v>0</v>
      </c>
      <c r="Q57" s="174"/>
      <c r="R57" s="1014">
        <v>0.5</v>
      </c>
    </row>
    <row r="58" spans="2:18" s="37" customFormat="1" ht="15.75">
      <c r="B58" s="48"/>
      <c r="C58" s="157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74"/>
      <c r="R58" s="1012"/>
    </row>
    <row r="59" spans="2:18" s="37" customFormat="1" ht="15.75">
      <c r="B59" s="48" t="s">
        <v>1176</v>
      </c>
      <c r="C59" s="158" t="str">
        <f>F801ENE!$C$50</f>
        <v>BTSH</v>
      </c>
      <c r="D59" s="159">
        <f t="shared" ref="D59:I59" si="32">SUM(D60:D64)</f>
        <v>0</v>
      </c>
      <c r="E59" s="159">
        <f t="shared" si="32"/>
        <v>0</v>
      </c>
      <c r="F59" s="159">
        <f t="shared" si="32"/>
        <v>0</v>
      </c>
      <c r="G59" s="159">
        <f>SUM(G60:G64)</f>
        <v>0</v>
      </c>
      <c r="H59" s="159">
        <f t="shared" si="32"/>
        <v>0</v>
      </c>
      <c r="I59" s="159">
        <f t="shared" si="32"/>
        <v>0</v>
      </c>
      <c r="J59" s="159">
        <f t="shared" ref="J59:K59" si="33">SUM(J60:J64)</f>
        <v>0</v>
      </c>
      <c r="K59" s="159">
        <f t="shared" si="33"/>
        <v>0</v>
      </c>
      <c r="L59" s="159">
        <f t="shared" ref="L59:N59" si="34">SUM(L60:L64)</f>
        <v>0</v>
      </c>
      <c r="M59" s="159">
        <f t="shared" si="34"/>
        <v>0</v>
      </c>
      <c r="N59" s="159">
        <f t="shared" si="34"/>
        <v>0</v>
      </c>
      <c r="O59" s="159"/>
      <c r="P59" s="159">
        <f t="shared" ref="P59:P93" si="35">SUM(D59:O59)</f>
        <v>0</v>
      </c>
      <c r="Q59" s="174"/>
      <c r="R59" s="1012"/>
    </row>
    <row r="60" spans="2:18" s="37" customFormat="1" ht="15.75">
      <c r="B60" s="48"/>
      <c r="C60" s="160" t="str">
        <f>F801ENE!$C$51</f>
        <v xml:space="preserve">    - Regulares</v>
      </c>
      <c r="D60" s="156">
        <f>D$7*F821CVC!D51*$R60</f>
        <v>0</v>
      </c>
      <c r="E60" s="156">
        <f>E$7*F821CVC!E51*$R60</f>
        <v>0</v>
      </c>
      <c r="F60" s="156">
        <f>F$7*F821CVC!F51*$R60</f>
        <v>0</v>
      </c>
      <c r="G60" s="156">
        <f>G$7*F821CVC!G51*$R60</f>
        <v>0</v>
      </c>
      <c r="H60" s="156">
        <f>H$7*F821CVC!H51*$R60</f>
        <v>0</v>
      </c>
      <c r="I60" s="156">
        <f>I$7*F821CVC!I51*$R60</f>
        <v>0</v>
      </c>
      <c r="J60" s="156">
        <f>J$7*F821CVC!J51*$R60</f>
        <v>0</v>
      </c>
      <c r="K60" s="156">
        <f>K$7*F821CVC!K51*$R60</f>
        <v>0</v>
      </c>
      <c r="L60" s="156">
        <f>L$7*F821CVC!L51*$R60</f>
        <v>0</v>
      </c>
      <c r="M60" s="156">
        <f>M$7*F821CVC!M51*$R60</f>
        <v>0</v>
      </c>
      <c r="N60" s="156">
        <f>N$7*F821CVC!N51*$R60</f>
        <v>0</v>
      </c>
      <c r="O60" s="156"/>
      <c r="P60" s="156">
        <f t="shared" si="35"/>
        <v>0</v>
      </c>
      <c r="Q60" s="174"/>
      <c r="R60" s="1014">
        <v>1</v>
      </c>
    </row>
    <row r="61" spans="2:18" s="37" customFormat="1" ht="15.75">
      <c r="B61" s="48"/>
      <c r="C61" s="162" t="str">
        <f>F801ENE!$C$52</f>
        <v xml:space="preserve">    - Jubilados (0 a 600 KWh)</v>
      </c>
      <c r="D61" s="156">
        <f>D$7*F821CVC!D52*$R61</f>
        <v>0</v>
      </c>
      <c r="E61" s="156">
        <f>E$7*F821CVC!E52*$R61</f>
        <v>0</v>
      </c>
      <c r="F61" s="156">
        <f>F$7*F821CVC!F52*$R61</f>
        <v>0</v>
      </c>
      <c r="G61" s="156">
        <f>G$7*F821CVC!G52*$R61</f>
        <v>0</v>
      </c>
      <c r="H61" s="156">
        <f>H$7*F821CVC!H52*$R61</f>
        <v>0</v>
      </c>
      <c r="I61" s="156">
        <f>I$7*F821CVC!I52*$R61</f>
        <v>0</v>
      </c>
      <c r="J61" s="156">
        <f>J$7*F821CVC!J52*$R61</f>
        <v>0</v>
      </c>
      <c r="K61" s="156">
        <f>K$7*F821CVC!K52*$R61</f>
        <v>0</v>
      </c>
      <c r="L61" s="156">
        <f>L$7*F821CVC!L52*$R61</f>
        <v>0</v>
      </c>
      <c r="M61" s="156">
        <f>M$7*F821CVC!M52*$R61</f>
        <v>0</v>
      </c>
      <c r="N61" s="156">
        <f>N$7*F821CVC!N52*$R61</f>
        <v>0</v>
      </c>
      <c r="O61" s="156"/>
      <c r="P61" s="156">
        <f t="shared" si="35"/>
        <v>0</v>
      </c>
      <c r="Q61" s="174"/>
      <c r="R61" s="1014">
        <v>0.75</v>
      </c>
    </row>
    <row r="62" spans="2:18" s="37" customFormat="1" ht="15.75">
      <c r="B62" s="48"/>
      <c r="C62" s="162" t="str">
        <f>F801ENE!$C$53</f>
        <v xml:space="preserve">    - Jubilados (601 y Más KWh)</v>
      </c>
      <c r="D62" s="156">
        <f>D$7*F821CVC!D53*$R62</f>
        <v>0</v>
      </c>
      <c r="E62" s="156">
        <f>E$7*F821CVC!E53*$R62</f>
        <v>0</v>
      </c>
      <c r="F62" s="156">
        <f>F$7*F821CVC!F53*$R62</f>
        <v>0</v>
      </c>
      <c r="G62" s="156">
        <f>G$7*F821CVC!G53*$R62</f>
        <v>0</v>
      </c>
      <c r="H62" s="156">
        <f>H$7*F821CVC!H53*$R62</f>
        <v>0</v>
      </c>
      <c r="I62" s="156">
        <f>I$7*F821CVC!I53*$R62</f>
        <v>0</v>
      </c>
      <c r="J62" s="156">
        <f>J$7*F821CVC!J53*$R62</f>
        <v>0</v>
      </c>
      <c r="K62" s="156">
        <f>K$7*F821CVC!K53*$R62</f>
        <v>0</v>
      </c>
      <c r="L62" s="156">
        <f>L$7*F821CVC!L53*$R62</f>
        <v>0</v>
      </c>
      <c r="M62" s="156">
        <f>M$7*F821CVC!M53*$R62</f>
        <v>0</v>
      </c>
      <c r="N62" s="156">
        <f>N$7*F821CVC!N53*$R62</f>
        <v>0</v>
      </c>
      <c r="O62" s="156"/>
      <c r="P62" s="156">
        <f t="shared" si="35"/>
        <v>0</v>
      </c>
      <c r="Q62" s="174"/>
      <c r="R62" s="1014">
        <v>1</v>
      </c>
    </row>
    <row r="63" spans="2:18" s="37" customFormat="1" ht="15.75">
      <c r="B63" s="48"/>
      <c r="C63" s="160" t="str">
        <f>F801ENE!$C$54</f>
        <v xml:space="preserve">    - Agropecuarios</v>
      </c>
      <c r="D63" s="156">
        <f>D$7*F821CVC!D54*$R63</f>
        <v>0</v>
      </c>
      <c r="E63" s="156">
        <f>E$7*F821CVC!E54*$R63</f>
        <v>0</v>
      </c>
      <c r="F63" s="156">
        <f>F$7*F821CVC!F54*$R63</f>
        <v>0</v>
      </c>
      <c r="G63" s="156">
        <f>G$7*F821CVC!G54*$R63</f>
        <v>0</v>
      </c>
      <c r="H63" s="156">
        <f>H$7*F821CVC!H54*$R63</f>
        <v>0</v>
      </c>
      <c r="I63" s="156">
        <f>I$7*F821CVC!I54*$R63</f>
        <v>0</v>
      </c>
      <c r="J63" s="156">
        <f>J$7*F821CVC!J54*$R63</f>
        <v>0</v>
      </c>
      <c r="K63" s="156">
        <f>K$7*F821CVC!K54*$R63</f>
        <v>0</v>
      </c>
      <c r="L63" s="156">
        <f>L$7*F821CVC!L54*$R63</f>
        <v>0</v>
      </c>
      <c r="M63" s="156">
        <f>M$7*F821CVC!M54*$R63</f>
        <v>0</v>
      </c>
      <c r="N63" s="156">
        <f>N$7*F821CVC!N54*$R63</f>
        <v>0</v>
      </c>
      <c r="O63" s="156"/>
      <c r="P63" s="156">
        <f t="shared" si="35"/>
        <v>0</v>
      </c>
      <c r="Q63" s="174"/>
      <c r="R63" s="1014">
        <v>0.95</v>
      </c>
    </row>
    <row r="64" spans="2:18" s="37" customFormat="1" ht="15.75">
      <c r="B64" s="48"/>
      <c r="C64" s="160" t="str">
        <f>F801ENE!$C$55</f>
        <v xml:space="preserve">    - Partidos Políticos</v>
      </c>
      <c r="D64" s="156">
        <f>D$7*F821CVC!D55*$R64</f>
        <v>0</v>
      </c>
      <c r="E64" s="156">
        <f>E$7*F821CVC!E55*$R64</f>
        <v>0</v>
      </c>
      <c r="F64" s="156">
        <f>F$7*F821CVC!F55*$R64</f>
        <v>0</v>
      </c>
      <c r="G64" s="156">
        <f>G$7*F821CVC!G55*$R64</f>
        <v>0</v>
      </c>
      <c r="H64" s="156">
        <f>H$7*F821CVC!H55*$R64</f>
        <v>0</v>
      </c>
      <c r="I64" s="156">
        <f>I$7*F821CVC!I55*$R64</f>
        <v>0</v>
      </c>
      <c r="J64" s="156">
        <f>J$7*F821CVC!J55*$R64</f>
        <v>0</v>
      </c>
      <c r="K64" s="156">
        <f>K$7*F821CVC!K55*$R64</f>
        <v>0</v>
      </c>
      <c r="L64" s="156">
        <f>L$7*F821CVC!L55*$R64</f>
        <v>0</v>
      </c>
      <c r="M64" s="156">
        <f>M$7*F821CVC!M55*$R64</f>
        <v>0</v>
      </c>
      <c r="N64" s="156">
        <f>N$7*F821CVC!N55*$R64</f>
        <v>0</v>
      </c>
      <c r="O64" s="156"/>
      <c r="P64" s="156">
        <f t="shared" si="35"/>
        <v>0</v>
      </c>
      <c r="Q64" s="174"/>
      <c r="R64" s="1014">
        <v>0.5</v>
      </c>
    </row>
    <row r="65" spans="2:18" s="37" customFormat="1" ht="15.75">
      <c r="B65" s="48"/>
      <c r="C65" s="160" t="str">
        <f>F801ENE!$C$56</f>
        <v xml:space="preserve">    - Cruz Roja</v>
      </c>
      <c r="D65" s="156">
        <f>D$7*F821CVC!D56*$R65</f>
        <v>0</v>
      </c>
      <c r="E65" s="156">
        <f>E$7*F821CVC!E56*$R65</f>
        <v>0</v>
      </c>
      <c r="F65" s="156">
        <f>F$7*F821CVC!F56*$R65</f>
        <v>0</v>
      </c>
      <c r="G65" s="156">
        <f>G$7*F821CVC!G56*$R65</f>
        <v>0</v>
      </c>
      <c r="H65" s="156">
        <f>H$7*F821CVC!H56*$R65</f>
        <v>0</v>
      </c>
      <c r="I65" s="156">
        <f>I$7*F821CVC!I56*$R65</f>
        <v>0</v>
      </c>
      <c r="J65" s="156">
        <f>J$7*F821CVC!J56*$R65</f>
        <v>0</v>
      </c>
      <c r="K65" s="156">
        <f>K$7*F821CVC!K56*$R65</f>
        <v>0</v>
      </c>
      <c r="L65" s="156">
        <f>L$7*F821CVC!L56*$R65</f>
        <v>0</v>
      </c>
      <c r="M65" s="156">
        <f>M$7*F821CVC!M56*$R65</f>
        <v>0</v>
      </c>
      <c r="N65" s="156">
        <f>N$7*F821CVC!N56*$R65</f>
        <v>0</v>
      </c>
      <c r="O65" s="156"/>
      <c r="P65" s="156">
        <f t="shared" si="35"/>
        <v>0</v>
      </c>
      <c r="Q65" s="174"/>
      <c r="R65" s="1014">
        <v>0</v>
      </c>
    </row>
    <row r="66" spans="2:18" s="37" customFormat="1" ht="15.75">
      <c r="B66" s="48"/>
      <c r="C66" s="160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74"/>
      <c r="R66" s="1014"/>
    </row>
    <row r="67" spans="2:18" s="37" customFormat="1" ht="15.75">
      <c r="B67" s="48"/>
      <c r="C67" s="160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74"/>
      <c r="R67" s="1014"/>
    </row>
    <row r="68" spans="2:18" s="37" customFormat="1" ht="15.75">
      <c r="B68" s="48" t="s">
        <v>751</v>
      </c>
      <c r="C68" s="158" t="s">
        <v>1739</v>
      </c>
      <c r="D68" s="159">
        <f>SUM(D69:D73)</f>
        <v>0</v>
      </c>
      <c r="E68" s="159">
        <f t="shared" ref="E68:F68" si="36">SUM(E69:E73)</f>
        <v>0</v>
      </c>
      <c r="F68" s="159">
        <f t="shared" si="36"/>
        <v>22487.475437000005</v>
      </c>
      <c r="G68" s="159">
        <f>SUM(G69:G73)</f>
        <v>22462.701596999999</v>
      </c>
      <c r="H68" s="159">
        <f t="shared" ref="H68:I68" si="37">SUM(H69:H73)</f>
        <v>22471.153985000001</v>
      </c>
      <c r="I68" s="159">
        <f t="shared" si="37"/>
        <v>22461.415843999999</v>
      </c>
      <c r="J68" s="159">
        <f t="shared" ref="J68:K68" si="38">SUM(J69:J73)</f>
        <v>15860.0500565</v>
      </c>
      <c r="K68" s="159">
        <f t="shared" si="38"/>
        <v>28416.159345000004</v>
      </c>
      <c r="L68" s="159">
        <f t="shared" ref="L68:N68" si="39">SUM(L69:L73)</f>
        <v>12321.120450000002</v>
      </c>
      <c r="M68" s="159">
        <f t="shared" si="39"/>
        <v>11655.268169999999</v>
      </c>
      <c r="N68" s="159">
        <f t="shared" si="39"/>
        <v>11846.518240000001</v>
      </c>
      <c r="O68" s="159"/>
      <c r="P68" s="159">
        <f t="shared" ref="P68:P73" si="40">SUM(D68:O68)</f>
        <v>169981.86312450003</v>
      </c>
      <c r="Q68" s="174"/>
      <c r="R68" s="1014"/>
    </row>
    <row r="69" spans="2:18" s="37" customFormat="1" ht="15.75">
      <c r="B69" s="48"/>
      <c r="C69" s="160" t="s">
        <v>304</v>
      </c>
      <c r="D69" s="156">
        <f>D$6*F821CVC!D60*$R69</f>
        <v>0</v>
      </c>
      <c r="E69" s="156">
        <f>E$6*F821CVC!E60*$R69</f>
        <v>0</v>
      </c>
      <c r="F69" s="156">
        <f>F$6*F821CVC!F60*$R69</f>
        <v>16373.393400000001</v>
      </c>
      <c r="G69" s="156">
        <f>G$6*F821CVC!G60*$R69</f>
        <v>16342.972240000001</v>
      </c>
      <c r="H69" s="156">
        <f>H$6*F821CVC!H60*$R69</f>
        <v>16331.87514</v>
      </c>
      <c r="I69" s="156">
        <f>I$6*F821CVC!I60*$R69</f>
        <v>16310.773220000001</v>
      </c>
      <c r="J69" s="156">
        <f>J$6*F821CVC!J60*$R69</f>
        <v>11585.30946</v>
      </c>
      <c r="K69" s="156">
        <f>K$6*F821CVC!K60*$R69</f>
        <v>21185.6227</v>
      </c>
      <c r="L69" s="156">
        <f>L$6*F821CVC!L60*$R69</f>
        <v>9260.5632800000003</v>
      </c>
      <c r="M69" s="156">
        <f>M$6*F821CVC!M60*$R69</f>
        <v>8745.9802299999992</v>
      </c>
      <c r="N69" s="156">
        <f>N$6*F821CVC!N60*$R69</f>
        <v>8869.0632000000005</v>
      </c>
      <c r="O69" s="156"/>
      <c r="P69" s="156">
        <f t="shared" si="40"/>
        <v>125005.55287000003</v>
      </c>
      <c r="Q69" s="174"/>
      <c r="R69" s="1014">
        <v>1</v>
      </c>
    </row>
    <row r="70" spans="2:18" s="37" customFormat="1" ht="15.75">
      <c r="B70" s="48"/>
      <c r="C70" s="162" t="s">
        <v>644</v>
      </c>
      <c r="D70" s="156">
        <f>D$6*F821CVC!D61*$R70</f>
        <v>0</v>
      </c>
      <c r="E70" s="156">
        <f>E$6*F821CVC!E61*$R70</f>
        <v>0</v>
      </c>
      <c r="F70" s="156">
        <f>F$6*F821CVC!F61*$R70</f>
        <v>6112.9711650000008</v>
      </c>
      <c r="G70" s="156">
        <f>G$6*F821CVC!G61*$R70</f>
        <v>6118.6446299999998</v>
      </c>
      <c r="H70" s="156">
        <f>H$6*F821CVC!H61*$R70</f>
        <v>6138.1444425</v>
      </c>
      <c r="I70" s="156">
        <f>I$6*F821CVC!I61*$R70</f>
        <v>6149.5523775000001</v>
      </c>
      <c r="J70" s="156">
        <f>J$6*F821CVC!J61*$R70</f>
        <v>4273.9692224999999</v>
      </c>
      <c r="K70" s="156">
        <f>K$6*F821CVC!K61*$R70</f>
        <v>7229.2135350000008</v>
      </c>
      <c r="L70" s="156">
        <f>L$6*F821CVC!L61*$R70</f>
        <v>3059.9852100000003</v>
      </c>
      <c r="M70" s="156">
        <f>M$6*F821CVC!M61*$R70</f>
        <v>2908.7467500000002</v>
      </c>
      <c r="N70" s="156">
        <f>N$6*F821CVC!N61*$R70</f>
        <v>2976.9048000000003</v>
      </c>
      <c r="O70" s="156"/>
      <c r="P70" s="156">
        <f t="shared" si="40"/>
        <v>44968.132132500003</v>
      </c>
      <c r="Q70" s="174"/>
      <c r="R70" s="1014">
        <v>0.75</v>
      </c>
    </row>
    <row r="71" spans="2:18" s="37" customFormat="1" ht="15.75">
      <c r="B71" s="48"/>
      <c r="C71" s="160" t="s">
        <v>305</v>
      </c>
      <c r="D71" s="156">
        <f>D$6*F821CVC!D62*$R71</f>
        <v>0</v>
      </c>
      <c r="E71" s="156">
        <f>E$6*F821CVC!E62*$R71</f>
        <v>0</v>
      </c>
      <c r="F71" s="156">
        <f>F$6*F821CVC!F62*$R71</f>
        <v>1.0818219999999998</v>
      </c>
      <c r="G71" s="156">
        <f>G$6*F821CVC!G62*$R71</f>
        <v>1.026627</v>
      </c>
      <c r="H71" s="156">
        <f>H$6*F821CVC!H62*$R71</f>
        <v>1.0763024999999999</v>
      </c>
      <c r="I71" s="156">
        <f>I$6*F821CVC!I62*$R71</f>
        <v>1.0321465000000001</v>
      </c>
      <c r="J71" s="156">
        <f>J$6*F821CVC!J62*$R71</f>
        <v>0.73047399999999996</v>
      </c>
      <c r="K71" s="156">
        <f>K$6*F821CVC!K62*$R71</f>
        <v>1.2500100000000001</v>
      </c>
      <c r="L71" s="156">
        <f>L$6*F821CVC!L62*$R71</f>
        <v>0.54035999999999995</v>
      </c>
      <c r="M71" s="156">
        <f>M$6*F821CVC!M62*$R71</f>
        <v>0.51129000000000002</v>
      </c>
      <c r="N71" s="156">
        <f>N$6*F821CVC!N62*$R71</f>
        <v>0.51983999999999997</v>
      </c>
      <c r="O71" s="156"/>
      <c r="P71" s="156">
        <f t="shared" si="40"/>
        <v>7.7688720000000009</v>
      </c>
      <c r="Q71" s="174"/>
      <c r="R71" s="1014">
        <v>0.95</v>
      </c>
    </row>
    <row r="72" spans="2:18" s="37" customFormat="1" ht="15.75">
      <c r="B72" s="48"/>
      <c r="C72" s="160" t="s">
        <v>307</v>
      </c>
      <c r="D72" s="156">
        <f>D$6*F821CVC!D63*$R72</f>
        <v>0</v>
      </c>
      <c r="E72" s="156">
        <f>E$6*F821CVC!E63*$R72</f>
        <v>0</v>
      </c>
      <c r="F72" s="156">
        <f>F$6*F821CVC!F63*$R72</f>
        <v>2.9049999999999999E-2</v>
      </c>
      <c r="G72" s="156">
        <f>G$6*F821CVC!G63*$R72</f>
        <v>5.8099999999999999E-2</v>
      </c>
      <c r="H72" s="156">
        <f>H$6*F821CVC!H63*$R72</f>
        <v>5.8099999999999999E-2</v>
      </c>
      <c r="I72" s="156">
        <f>I$6*F821CVC!I63*$R72</f>
        <v>5.8099999999999999E-2</v>
      </c>
      <c r="J72" s="156">
        <f>J$6*F821CVC!J63*$R72</f>
        <v>4.0899999999999999E-2</v>
      </c>
      <c r="K72" s="156">
        <f>K$6*F821CVC!K63*$R72</f>
        <v>7.3099999999999998E-2</v>
      </c>
      <c r="L72" s="156">
        <f>L$6*F821CVC!L63*$R72</f>
        <v>3.1600000000000003E-2</v>
      </c>
      <c r="M72" s="156">
        <f>M$6*F821CVC!M63*$R72</f>
        <v>2.9899999999999999E-2</v>
      </c>
      <c r="N72" s="156">
        <f>N$6*F821CVC!N63*$R72</f>
        <v>3.0400000000000003E-2</v>
      </c>
      <c r="O72" s="156"/>
      <c r="P72" s="156">
        <f t="shared" si="40"/>
        <v>0.40924999999999995</v>
      </c>
      <c r="Q72" s="174"/>
      <c r="R72" s="1014">
        <v>0.5</v>
      </c>
    </row>
    <row r="73" spans="2:18" s="37" customFormat="1" ht="15.75">
      <c r="B73" s="48"/>
      <c r="C73" s="160" t="s">
        <v>624</v>
      </c>
      <c r="D73" s="156">
        <f>D$6*F821CVC!D64*$R73</f>
        <v>0</v>
      </c>
      <c r="E73" s="156">
        <f>E$6*F821CVC!E64*$R73</f>
        <v>0</v>
      </c>
      <c r="F73" s="156">
        <f>F$6*F821CVC!F64*$R73</f>
        <v>0</v>
      </c>
      <c r="G73" s="156">
        <f>G$6*F821CVC!G64*$R73</f>
        <v>0</v>
      </c>
      <c r="H73" s="156">
        <f>H$6*F821CVC!H64*$R73</f>
        <v>0</v>
      </c>
      <c r="I73" s="156">
        <f>I$6*F821CVC!I64*$R73</f>
        <v>0</v>
      </c>
      <c r="J73" s="156">
        <f>J$6*F821CVC!J64*$R73</f>
        <v>0</v>
      </c>
      <c r="K73" s="156">
        <f>K$6*F821CVC!K64*$R73</f>
        <v>0</v>
      </c>
      <c r="L73" s="156">
        <f>L$6*F821CVC!L64*$R73</f>
        <v>0</v>
      </c>
      <c r="M73" s="156">
        <f>M$6*F821CVC!M64*$R73</f>
        <v>0</v>
      </c>
      <c r="N73" s="156">
        <f>N$6*F821CVC!N64*$R73</f>
        <v>0</v>
      </c>
      <c r="O73" s="156"/>
      <c r="P73" s="156">
        <f t="shared" si="40"/>
        <v>0</v>
      </c>
      <c r="Q73" s="174"/>
      <c r="R73" s="1014">
        <v>0</v>
      </c>
    </row>
    <row r="74" spans="2:18" s="37" customFormat="1" ht="15.75">
      <c r="B74" s="48" t="s">
        <v>751</v>
      </c>
      <c r="C74" s="158" t="s">
        <v>634</v>
      </c>
      <c r="D74" s="159">
        <f t="shared" ref="D74:I74" si="41">SUM(D75:D79)</f>
        <v>0</v>
      </c>
      <c r="E74" s="159">
        <f t="shared" si="41"/>
        <v>0</v>
      </c>
      <c r="F74" s="159">
        <f t="shared" si="41"/>
        <v>228855.39046299999</v>
      </c>
      <c r="G74" s="159">
        <f>SUM(G75:G79)</f>
        <v>227488.57518100002</v>
      </c>
      <c r="H74" s="159">
        <f t="shared" si="41"/>
        <v>233482.97673749999</v>
      </c>
      <c r="I74" s="159">
        <f t="shared" si="41"/>
        <v>230234.13919449999</v>
      </c>
      <c r="J74" s="159">
        <f t="shared" ref="J74:K74" si="42">SUM(J75:J79)</f>
        <v>157477.560799</v>
      </c>
      <c r="K74" s="159">
        <f t="shared" si="42"/>
        <v>288968.26786800002</v>
      </c>
      <c r="L74" s="159">
        <f t="shared" ref="L74:N74" si="43">SUM(L75:L79)</f>
        <v>120374.47629199999</v>
      </c>
      <c r="M74" s="159">
        <f t="shared" si="43"/>
        <v>111029.77002649999</v>
      </c>
      <c r="N74" s="159">
        <f t="shared" si="43"/>
        <v>112491.549568</v>
      </c>
      <c r="O74" s="159"/>
      <c r="P74" s="159">
        <f t="shared" si="35"/>
        <v>1710402.7061294999</v>
      </c>
      <c r="Q74" s="174"/>
      <c r="R74" s="1013"/>
    </row>
    <row r="75" spans="2:18" s="37" customFormat="1" ht="15.75">
      <c r="B75" s="48"/>
      <c r="C75" s="160" t="s">
        <v>304</v>
      </c>
      <c r="D75" s="156">
        <f>D$6*F821CVC!D66*$R75</f>
        <v>0</v>
      </c>
      <c r="E75" s="156">
        <f>E$6*F821CVC!E66*$R75</f>
        <v>0</v>
      </c>
      <c r="F75" s="156">
        <f>F$6*F821CVC!F66*$R75</f>
        <v>166020.73256999999</v>
      </c>
      <c r="G75" s="156">
        <f>G$6*F821CVC!G66*$R75</f>
        <v>164743.84563</v>
      </c>
      <c r="H75" s="156">
        <f>H$6*F821CVC!H66*$R75</f>
        <v>169320.92296</v>
      </c>
      <c r="I75" s="156">
        <f>I$6*F821CVC!I66*$R75</f>
        <v>165947.92746000001</v>
      </c>
      <c r="J75" s="156">
        <f>J$6*F821CVC!J66*$R75</f>
        <v>113764.95328</v>
      </c>
      <c r="K75" s="156">
        <f>K$6*F821CVC!K66*$R75</f>
        <v>212188.99282000001</v>
      </c>
      <c r="L75" s="156">
        <f>L$6*F821CVC!L66*$R75</f>
        <v>89789.257519999999</v>
      </c>
      <c r="M75" s="156">
        <f>M$6*F821CVC!M66*$R75</f>
        <v>83143.390459999995</v>
      </c>
      <c r="N75" s="156">
        <f>N$6*F821CVC!N66*$R75</f>
        <v>83985.207520000011</v>
      </c>
      <c r="O75" s="156"/>
      <c r="P75" s="156">
        <f t="shared" si="35"/>
        <v>1248905.23022</v>
      </c>
      <c r="Q75" s="174"/>
      <c r="R75" s="1014">
        <v>1</v>
      </c>
    </row>
    <row r="76" spans="2:18" s="37" customFormat="1" ht="15.75">
      <c r="B76" s="48"/>
      <c r="C76" s="162" t="s">
        <v>644</v>
      </c>
      <c r="D76" s="156">
        <f>D$6*F821CVC!D67*$R76</f>
        <v>0</v>
      </c>
      <c r="E76" s="156">
        <f>E$6*F821CVC!E67*$R76</f>
        <v>0</v>
      </c>
      <c r="F76" s="156">
        <f>F$6*F821CVC!F67*$R76</f>
        <v>62829.502680000005</v>
      </c>
      <c r="G76" s="156">
        <f>G$6*F821CVC!G67*$R76</f>
        <v>62738.500650000002</v>
      </c>
      <c r="H76" s="156">
        <f>H$6*F821CVC!H67*$R76</f>
        <v>64155.455069999996</v>
      </c>
      <c r="I76" s="156">
        <f>I$6*F821CVC!I67*$R76</f>
        <v>64277.421495000002</v>
      </c>
      <c r="J76" s="156">
        <f>J$6*F821CVC!J67*$R76</f>
        <v>43707.463934999992</v>
      </c>
      <c r="K76" s="156">
        <f>K$6*F821CVC!K67*$R76</f>
        <v>76771.880617500006</v>
      </c>
      <c r="L76" s="156">
        <f>L$6*F821CVC!L67*$R76</f>
        <v>30583.17441</v>
      </c>
      <c r="M76" s="156">
        <f>M$6*F821CVC!M67*$R76</f>
        <v>27883.6688325</v>
      </c>
      <c r="N76" s="156">
        <f>N$6*F821CVC!N67*$R76</f>
        <v>28503.611519999999</v>
      </c>
      <c r="O76" s="156"/>
      <c r="P76" s="156">
        <f t="shared" si="35"/>
        <v>461450.67920999997</v>
      </c>
      <c r="Q76" s="174"/>
      <c r="R76" s="1014">
        <v>0.75</v>
      </c>
    </row>
    <row r="77" spans="2:18" s="37" customFormat="1" ht="15.75">
      <c r="B77" s="48"/>
      <c r="C77" s="160" t="s">
        <v>305</v>
      </c>
      <c r="D77" s="156">
        <f>D$6*F821CVC!D68*$R77</f>
        <v>0</v>
      </c>
      <c r="E77" s="156">
        <f>E$6*F821CVC!E68*$R77</f>
        <v>0</v>
      </c>
      <c r="F77" s="156">
        <f>F$6*F821CVC!F68*$R77</f>
        <v>5.1552129999999998</v>
      </c>
      <c r="G77" s="156">
        <f>G$6*F821CVC!G68*$R77</f>
        <v>5.8396309999999998</v>
      </c>
      <c r="H77" s="156">
        <f>H$6*F821CVC!H68*$R77</f>
        <v>6.4302174999999995</v>
      </c>
      <c r="I77" s="156">
        <f>I$6*F821CVC!I68*$R77</f>
        <v>8.5607445000000002</v>
      </c>
      <c r="J77" s="156">
        <f>J$6*F821CVC!J68*$R77</f>
        <v>5.0822339999999997</v>
      </c>
      <c r="K77" s="156">
        <f>K$6*F821CVC!K68*$R77</f>
        <v>7.284780500000001</v>
      </c>
      <c r="L77" s="156">
        <f>L$6*F821CVC!L68*$R77</f>
        <v>1.954302</v>
      </c>
      <c r="M77" s="156">
        <f>M$6*F821CVC!M68*$R77</f>
        <v>2.5507689999999998</v>
      </c>
      <c r="N77" s="156">
        <f>N$6*F821CVC!N68*$R77</f>
        <v>2.5298880000000001</v>
      </c>
      <c r="O77" s="156"/>
      <c r="P77" s="156">
        <f t="shared" si="35"/>
        <v>45.387779500000001</v>
      </c>
      <c r="Q77" s="174"/>
      <c r="R77" s="1014">
        <v>0.95</v>
      </c>
    </row>
    <row r="78" spans="2:18" s="37" customFormat="1" ht="15.75">
      <c r="B78" s="48"/>
      <c r="C78" s="160" t="s">
        <v>307</v>
      </c>
      <c r="D78" s="156">
        <f>D$6*F821CVC!D69*$R78</f>
        <v>0</v>
      </c>
      <c r="E78" s="156">
        <f>E$6*F821CVC!E69*$R78</f>
        <v>0</v>
      </c>
      <c r="F78" s="156">
        <f>F$6*F821CVC!F69*$R78</f>
        <v>0</v>
      </c>
      <c r="G78" s="156">
        <f>G$6*F821CVC!G69*$R78</f>
        <v>0.38927</v>
      </c>
      <c r="H78" s="156">
        <f>H$6*F821CVC!H69*$R78</f>
        <v>0.16849</v>
      </c>
      <c r="I78" s="156">
        <f>I$6*F821CVC!I69*$R78</f>
        <v>0.229495</v>
      </c>
      <c r="J78" s="156">
        <f>J$6*F821CVC!J69*$R78</f>
        <v>6.1350000000000002E-2</v>
      </c>
      <c r="K78" s="156">
        <f>K$6*F821CVC!K69*$R78</f>
        <v>0.10965000000000001</v>
      </c>
      <c r="L78" s="156">
        <f>L$6*F821CVC!L69*$R78</f>
        <v>9.0060000000000001E-2</v>
      </c>
      <c r="M78" s="156">
        <f>M$6*F821CVC!M69*$R78</f>
        <v>0.159965</v>
      </c>
      <c r="N78" s="156">
        <f>N$6*F821CVC!N69*$R78</f>
        <v>0.20064000000000001</v>
      </c>
      <c r="O78" s="156"/>
      <c r="P78" s="156">
        <f t="shared" si="35"/>
        <v>1.40892</v>
      </c>
      <c r="Q78" s="174"/>
      <c r="R78" s="1014">
        <v>0.5</v>
      </c>
    </row>
    <row r="79" spans="2:18" s="37" customFormat="1" ht="15.75">
      <c r="B79" s="48"/>
      <c r="C79" s="160" t="s">
        <v>624</v>
      </c>
      <c r="D79" s="156">
        <f>D$6*F821CVC!D70*$R79</f>
        <v>0</v>
      </c>
      <c r="E79" s="156">
        <f>E$6*F821CVC!E70*$R79</f>
        <v>0</v>
      </c>
      <c r="F79" s="156">
        <f>F$6*F821CVC!F70*$R79</f>
        <v>0</v>
      </c>
      <c r="G79" s="156">
        <f>G$6*F821CVC!G70*$R79</f>
        <v>0</v>
      </c>
      <c r="H79" s="156">
        <f>H$6*F821CVC!H70*$R79</f>
        <v>0</v>
      </c>
      <c r="I79" s="156">
        <f>I$6*F821CVC!I70*$R79</f>
        <v>0</v>
      </c>
      <c r="J79" s="156">
        <f>J$6*F821CVC!J70*$R79</f>
        <v>0</v>
      </c>
      <c r="K79" s="156">
        <f>K$6*F821CVC!K70*$R79</f>
        <v>0</v>
      </c>
      <c r="L79" s="156">
        <f>L$6*F821CVC!L70*$R79</f>
        <v>0</v>
      </c>
      <c r="M79" s="156">
        <f>M$6*F821CVC!M70*$R79</f>
        <v>0</v>
      </c>
      <c r="N79" s="156">
        <f>N$6*F821CVC!N70*$R79</f>
        <v>0</v>
      </c>
      <c r="O79" s="156"/>
      <c r="P79" s="156">
        <f t="shared" si="35"/>
        <v>0</v>
      </c>
      <c r="Q79" s="174"/>
      <c r="R79" s="1014">
        <v>0</v>
      </c>
    </row>
    <row r="80" spans="2:18" s="37" customFormat="1" ht="15.75">
      <c r="B80" s="48" t="s">
        <v>750</v>
      </c>
      <c r="C80" s="158" t="s">
        <v>635</v>
      </c>
      <c r="D80" s="159">
        <f t="shared" ref="D80:I80" si="44">SUM(D81:D86)</f>
        <v>0</v>
      </c>
      <c r="E80" s="159">
        <f t="shared" si="44"/>
        <v>0</v>
      </c>
      <c r="F80" s="159">
        <f t="shared" si="44"/>
        <v>252798.76474999997</v>
      </c>
      <c r="G80" s="159">
        <f t="shared" si="44"/>
        <v>252527.7041385</v>
      </c>
      <c r="H80" s="159">
        <f t="shared" si="44"/>
        <v>243679.77017649999</v>
      </c>
      <c r="I80" s="159">
        <f t="shared" si="44"/>
        <v>237951.30306850001</v>
      </c>
      <c r="J80" s="159">
        <f t="shared" ref="J80:K80" si="45">SUM(J81:J86)</f>
        <v>173489.12572350004</v>
      </c>
      <c r="K80" s="159">
        <f t="shared" si="45"/>
        <v>285668.32005049998</v>
      </c>
      <c r="L80" s="159">
        <f t="shared" ref="L80:N80" si="46">SUM(L81:L86)</f>
        <v>140906.22458400001</v>
      </c>
      <c r="M80" s="159">
        <f t="shared" si="46"/>
        <v>141756.75723300001</v>
      </c>
      <c r="N80" s="159">
        <f t="shared" si="46"/>
        <v>143941.216728</v>
      </c>
      <c r="O80" s="159"/>
      <c r="P80" s="159">
        <f t="shared" si="35"/>
        <v>1872719.1864525001</v>
      </c>
      <c r="Q80" s="174"/>
      <c r="R80" s="1014"/>
    </row>
    <row r="81" spans="2:18" s="37" customFormat="1" ht="15.75">
      <c r="B81" s="48"/>
      <c r="C81" s="160" t="s">
        <v>304</v>
      </c>
      <c r="D81" s="156">
        <f>D$6*F821CVC!D72*$R81</f>
        <v>0</v>
      </c>
      <c r="E81" s="156">
        <f>E$6*F821CVC!E72*$R81</f>
        <v>0</v>
      </c>
      <c r="F81" s="156">
        <f>F$6*F821CVC!F72*$R81</f>
        <v>163221.98003999999</v>
      </c>
      <c r="G81" s="156">
        <f>G$6*F821CVC!G72*$R81</f>
        <v>162750.16737000001</v>
      </c>
      <c r="H81" s="156">
        <f>H$6*F821CVC!H72*$R81</f>
        <v>156545.85428999999</v>
      </c>
      <c r="I81" s="156">
        <f>I$6*F821CVC!I72*$R81</f>
        <v>152390.53067000001</v>
      </c>
      <c r="J81" s="156">
        <f>J$6*F821CVC!J72*$R81</f>
        <v>112960.14762</v>
      </c>
      <c r="K81" s="156">
        <f>K$6*F821CVC!K72*$R81</f>
        <v>189548.6655</v>
      </c>
      <c r="L81" s="156">
        <f>L$6*F821CVC!L72*$R81</f>
        <v>94944.453080000007</v>
      </c>
      <c r="M81" s="156">
        <f>M$6*F821CVC!M72*$R81</f>
        <v>95657.512210000001</v>
      </c>
      <c r="N81" s="156">
        <f>N$6*F821CVC!N72*$R81</f>
        <v>96945.949600000007</v>
      </c>
      <c r="O81" s="156"/>
      <c r="P81" s="156">
        <f t="shared" si="35"/>
        <v>1224965.2603799999</v>
      </c>
      <c r="Q81" s="174"/>
      <c r="R81" s="1014">
        <v>1</v>
      </c>
    </row>
    <row r="82" spans="2:18" s="37" customFormat="1" ht="15.75">
      <c r="B82" s="48"/>
      <c r="C82" s="162" t="s">
        <v>642</v>
      </c>
      <c r="D82" s="156">
        <f>D$6*F821CVC!D73*$R82</f>
        <v>0</v>
      </c>
      <c r="E82" s="156">
        <f>E$6*F821CVC!E73*$R82</f>
        <v>0</v>
      </c>
      <c r="F82" s="156">
        <f>F$6*F821CVC!F73*$R82</f>
        <v>87064.706294999996</v>
      </c>
      <c r="G82" s="156">
        <f>G$6*F821CVC!G73*$R82</f>
        <v>87283.522515000004</v>
      </c>
      <c r="H82" s="156">
        <f>H$6*F821CVC!H73*$R82</f>
        <v>84766.656660000008</v>
      </c>
      <c r="I82" s="156">
        <f>I$6*F821CVC!I73*$R82</f>
        <v>83136.877582500005</v>
      </c>
      <c r="J82" s="156">
        <f>J$6*F821CVC!J73*$R82</f>
        <v>58753.321372500002</v>
      </c>
      <c r="K82" s="156">
        <f>K$6*F821CVC!K73*$R82</f>
        <v>93627.278617500007</v>
      </c>
      <c r="L82" s="156">
        <f>L$6*F821CVC!L73*$R82</f>
        <v>44570.110980000005</v>
      </c>
      <c r="M82" s="156">
        <f>M$6*F821CVC!M73*$R82</f>
        <v>44595.8372925</v>
      </c>
      <c r="N82" s="156">
        <f>N$6*F821CVC!N73*$R82</f>
        <v>45474.178200000002</v>
      </c>
      <c r="O82" s="156"/>
      <c r="P82" s="156">
        <f t="shared" si="35"/>
        <v>629272.48951499991</v>
      </c>
      <c r="Q82" s="174"/>
      <c r="R82" s="1014">
        <v>0.75</v>
      </c>
    </row>
    <row r="83" spans="2:18" s="37" customFormat="1" ht="15.75">
      <c r="B83" s="48"/>
      <c r="C83" s="162" t="s">
        <v>1177</v>
      </c>
      <c r="D83" s="156">
        <f>D$6*F821CVC!D74*$R83</f>
        <v>0</v>
      </c>
      <c r="E83" s="156">
        <f>E$6*F821CVC!E74*$R83</f>
        <v>0</v>
      </c>
      <c r="F83" s="156">
        <f>F$6*F821CVC!F74*$R83</f>
        <v>2500.4322700000002</v>
      </c>
      <c r="G83" s="156">
        <f>G$6*F821CVC!G74*$R83</f>
        <v>2486.6567599999998</v>
      </c>
      <c r="H83" s="156">
        <f>H$6*F821CVC!H74*$R83</f>
        <v>2350.5168400000002</v>
      </c>
      <c r="I83" s="156">
        <f>I$6*F821CVC!I74*$R83</f>
        <v>2409.27918</v>
      </c>
      <c r="J83" s="156">
        <f>J$6*F821CVC!J74*$R83</f>
        <v>1768.42193</v>
      </c>
      <c r="K83" s="156">
        <f>K$6*F821CVC!K74*$R83</f>
        <v>2472.1396600000003</v>
      </c>
      <c r="L83" s="156">
        <f>L$6*F821CVC!L74*$R83</f>
        <v>1382.4684</v>
      </c>
      <c r="M83" s="156">
        <f>M$6*F821CVC!M74*$R83</f>
        <v>1495.6787300000001</v>
      </c>
      <c r="N83" s="156">
        <f>N$6*F821CVC!N74*$R83</f>
        <v>1510.93472</v>
      </c>
      <c r="O83" s="156"/>
      <c r="P83" s="156">
        <f t="shared" si="35"/>
        <v>18376.528490000004</v>
      </c>
      <c r="Q83" s="174"/>
      <c r="R83" s="1014">
        <v>1</v>
      </c>
    </row>
    <row r="84" spans="2:18" s="37" customFormat="1" ht="15.75">
      <c r="B84" s="48"/>
      <c r="C84" s="160" t="s">
        <v>305</v>
      </c>
      <c r="D84" s="156">
        <f>D$6*F821CVC!D75*$R84</f>
        <v>0</v>
      </c>
      <c r="E84" s="156">
        <f>E$6*F821CVC!E75*$R84</f>
        <v>0</v>
      </c>
      <c r="F84" s="156">
        <f>F$6*F821CVC!F75*$R84</f>
        <v>11.646144999999999</v>
      </c>
      <c r="G84" s="156">
        <f>G$6*F821CVC!G75*$R84</f>
        <v>7.3574934999999995</v>
      </c>
      <c r="H84" s="156">
        <f>H$6*F821CVC!H75*$R84</f>
        <v>14.6653115</v>
      </c>
      <c r="I84" s="156">
        <f>I$6*F821CVC!I75*$R84</f>
        <v>14.615636</v>
      </c>
      <c r="J84" s="156">
        <f>J$6*F821CVC!J75*$R84</f>
        <v>7.2348009999999991</v>
      </c>
      <c r="K84" s="156">
        <f>K$6*F821CVC!K75*$R84</f>
        <v>20.236273000000001</v>
      </c>
      <c r="L84" s="156">
        <f>L$6*F821CVC!L75*$R84</f>
        <v>9.1921239999999997</v>
      </c>
      <c r="M84" s="156">
        <f>M$6*F821CVC!M75*$R84</f>
        <v>7.7290004999999997</v>
      </c>
      <c r="N84" s="156">
        <f>N$6*F821CVC!N75*$R84</f>
        <v>10.154208000000001</v>
      </c>
      <c r="O84" s="156"/>
      <c r="P84" s="156">
        <f t="shared" si="35"/>
        <v>102.83099249999998</v>
      </c>
      <c r="Q84" s="174"/>
      <c r="R84" s="1014">
        <v>0.95</v>
      </c>
    </row>
    <row r="85" spans="2:18" s="37" customFormat="1" ht="15.75">
      <c r="B85" s="48"/>
      <c r="C85" s="160" t="s">
        <v>307</v>
      </c>
      <c r="D85" s="156">
        <f>D$6*F821CVC!D76*$R85</f>
        <v>0</v>
      </c>
      <c r="E85" s="156">
        <f>E$6*F821CVC!E76*$R85</f>
        <v>0</v>
      </c>
      <c r="F85" s="156">
        <f>F$6*F821CVC!F76*$R85</f>
        <v>0</v>
      </c>
      <c r="G85" s="156">
        <f>G$6*F821CVC!G76*$R85</f>
        <v>0</v>
      </c>
      <c r="H85" s="156">
        <f>H$6*F821CVC!H76*$R85</f>
        <v>2.0770750000000002</v>
      </c>
      <c r="I85" s="156">
        <f>I$6*F821CVC!I76*$R85</f>
        <v>0</v>
      </c>
      <c r="J85" s="156">
        <f>J$6*F821CVC!J76*$R85</f>
        <v>0</v>
      </c>
      <c r="K85" s="156">
        <f>K$6*F821CVC!K76*$R85</f>
        <v>0</v>
      </c>
      <c r="L85" s="156">
        <f>L$6*F821CVC!L76*$R85</f>
        <v>0</v>
      </c>
      <c r="M85" s="156">
        <f>M$6*F821CVC!M76*$R85</f>
        <v>0</v>
      </c>
      <c r="N85" s="156">
        <f>N$6*F821CVC!N76*$R85</f>
        <v>0</v>
      </c>
      <c r="O85" s="156"/>
      <c r="P85" s="156">
        <f t="shared" si="35"/>
        <v>2.0770750000000002</v>
      </c>
      <c r="Q85" s="174"/>
      <c r="R85" s="1014">
        <v>0.5</v>
      </c>
    </row>
    <row r="86" spans="2:18" s="37" customFormat="1" ht="15.75">
      <c r="B86" s="48"/>
      <c r="C86" s="160" t="s">
        <v>624</v>
      </c>
      <c r="D86" s="156">
        <f>D$6*F821CVC!D77*$R86</f>
        <v>0</v>
      </c>
      <c r="E86" s="156">
        <f>E$6*F821CVC!E77*$R86</f>
        <v>0</v>
      </c>
      <c r="F86" s="156">
        <f>F$6*F821CVC!F77*$R86</f>
        <v>0</v>
      </c>
      <c r="G86" s="156">
        <f>G$6*F821CVC!G77*$R86</f>
        <v>0</v>
      </c>
      <c r="H86" s="156">
        <f>H$6*F821CVC!H77*$R86</f>
        <v>0</v>
      </c>
      <c r="I86" s="156">
        <f>I$6*F821CVC!I77*$R86</f>
        <v>0</v>
      </c>
      <c r="J86" s="156">
        <f>J$6*F821CVC!J77*$R86</f>
        <v>0</v>
      </c>
      <c r="K86" s="156">
        <f>K$6*F821CVC!K77*$R86</f>
        <v>0</v>
      </c>
      <c r="L86" s="156">
        <f>L$6*F821CVC!L77*$R86</f>
        <v>0</v>
      </c>
      <c r="M86" s="156">
        <f>M$6*F821CVC!M77*$R86</f>
        <v>0</v>
      </c>
      <c r="N86" s="156">
        <f>N$6*F821CVC!N77*$R86</f>
        <v>0</v>
      </c>
      <c r="O86" s="156"/>
      <c r="P86" s="156">
        <f t="shared" si="35"/>
        <v>0</v>
      </c>
      <c r="Q86" s="174"/>
      <c r="R86" s="1014">
        <v>0</v>
      </c>
    </row>
    <row r="87" spans="2:18" s="37" customFormat="1" ht="15.75">
      <c r="B87" s="48" t="s">
        <v>749</v>
      </c>
      <c r="C87" s="158" t="s">
        <v>636</v>
      </c>
      <c r="D87" s="159">
        <f t="shared" ref="D87:I87" si="47">SUM(D88:D93)</f>
        <v>0</v>
      </c>
      <c r="E87" s="159">
        <f t="shared" si="47"/>
        <v>0</v>
      </c>
      <c r="F87" s="159">
        <f t="shared" si="47"/>
        <v>301426.41091500001</v>
      </c>
      <c r="G87" s="159">
        <f t="shared" si="47"/>
        <v>305637.95558100002</v>
      </c>
      <c r="H87" s="159">
        <f t="shared" si="47"/>
        <v>281663.27933799999</v>
      </c>
      <c r="I87" s="159">
        <f t="shared" si="47"/>
        <v>292373.53327000001</v>
      </c>
      <c r="J87" s="159">
        <f t="shared" ref="J87:K87" si="48">SUM(J88:J93)</f>
        <v>213370.09833799998</v>
      </c>
      <c r="K87" s="159">
        <f t="shared" si="48"/>
        <v>346319.49056299997</v>
      </c>
      <c r="L87" s="159">
        <f t="shared" ref="L87:N87" si="49">SUM(L88:L93)</f>
        <v>185082.94732199996</v>
      </c>
      <c r="M87" s="159">
        <f t="shared" si="49"/>
        <v>194182.81026299999</v>
      </c>
      <c r="N87" s="159">
        <f t="shared" si="49"/>
        <v>203039.05491200002</v>
      </c>
      <c r="O87" s="159"/>
      <c r="P87" s="159">
        <f t="shared" si="35"/>
        <v>2323095.5805020002</v>
      </c>
      <c r="Q87" s="174"/>
      <c r="R87" s="1014"/>
    </row>
    <row r="88" spans="2:18" s="37" customFormat="1" ht="15.75">
      <c r="B88" s="48"/>
      <c r="C88" s="160" t="s">
        <v>304</v>
      </c>
      <c r="D88" s="156">
        <f>D$6*F821CVC!D79*$R88</f>
        <v>0</v>
      </c>
      <c r="E88" s="156">
        <f>E$6*F821CVC!E79*$R88</f>
        <v>0</v>
      </c>
      <c r="F88" s="156">
        <f>F$6*F821CVC!F79*$R88</f>
        <v>260812.79406000001</v>
      </c>
      <c r="G88" s="156">
        <f>G$6*F821CVC!G79*$R88</f>
        <v>264346.95896000002</v>
      </c>
      <c r="H88" s="156">
        <f>H$6*F821CVC!H79*$R88</f>
        <v>245158.13252000001</v>
      </c>
      <c r="I88" s="156">
        <f>I$6*F821CVC!I79*$R88</f>
        <v>253314.28605</v>
      </c>
      <c r="J88" s="156">
        <f>J$6*F821CVC!J79*$R88</f>
        <v>181924.21023</v>
      </c>
      <c r="K88" s="156">
        <f>K$6*F821CVC!K79*$R88</f>
        <v>303944.01779000001</v>
      </c>
      <c r="L88" s="156">
        <f>L$6*F821CVC!L79*$R88</f>
        <v>158244.29011999999</v>
      </c>
      <c r="M88" s="156">
        <f>M$6*F821CVC!M79*$R88</f>
        <v>162818.85931999999</v>
      </c>
      <c r="N88" s="156">
        <f>N$6*F821CVC!N79*$R88</f>
        <v>169888.51520000002</v>
      </c>
      <c r="O88" s="156"/>
      <c r="P88" s="156">
        <f t="shared" si="35"/>
        <v>2000452.0642500001</v>
      </c>
      <c r="Q88" s="174"/>
      <c r="R88" s="1014">
        <v>1</v>
      </c>
    </row>
    <row r="89" spans="2:18" s="37" customFormat="1" ht="15.75">
      <c r="B89" s="48"/>
      <c r="C89" s="162" t="s">
        <v>642</v>
      </c>
      <c r="D89" s="156">
        <f>D$6*F821CVC!D80*$R89</f>
        <v>0</v>
      </c>
      <c r="E89" s="156">
        <f>E$6*F821CVC!E80*$R89</f>
        <v>0</v>
      </c>
      <c r="F89" s="156">
        <f>F$6*F821CVC!F80*$R89</f>
        <v>19347.866474999999</v>
      </c>
      <c r="G89" s="156">
        <f>G$6*F821CVC!G80*$R89</f>
        <v>19589.054100000001</v>
      </c>
      <c r="H89" s="156">
        <f>H$6*F821CVC!H80*$R89</f>
        <v>17373.134625000002</v>
      </c>
      <c r="I89" s="156">
        <f>I$6*F821CVC!I80*$R89</f>
        <v>18088.200375</v>
      </c>
      <c r="J89" s="156">
        <f>J$6*F821CVC!J80*$R89</f>
        <v>14656.422975000001</v>
      </c>
      <c r="K89" s="156">
        <f>K$6*F821CVC!K80*$R89</f>
        <v>19939.578375000001</v>
      </c>
      <c r="L89" s="156">
        <f>L$6*F821CVC!L80*$R89</f>
        <v>12526.3032</v>
      </c>
      <c r="M89" s="156">
        <f>M$6*F821CVC!M80*$R89</f>
        <v>14638.726050000001</v>
      </c>
      <c r="N89" s="156">
        <f>N$6*F821CVC!N80*$R89</f>
        <v>15224.631600000001</v>
      </c>
      <c r="O89" s="156"/>
      <c r="P89" s="156">
        <f t="shared" si="35"/>
        <v>151383.91777500001</v>
      </c>
      <c r="Q89" s="174"/>
      <c r="R89" s="1014">
        <v>0.75</v>
      </c>
    </row>
    <row r="90" spans="2:18" s="37" customFormat="1" ht="15.75">
      <c r="B90" s="48"/>
      <c r="C90" s="162" t="s">
        <v>1177</v>
      </c>
      <c r="D90" s="156">
        <f>D$6*F821CVC!D81*$R90</f>
        <v>0</v>
      </c>
      <c r="E90" s="156">
        <f>E$6*F821CVC!E81*$R90</f>
        <v>0</v>
      </c>
      <c r="F90" s="156">
        <f>F$6*F821CVC!F81*$R90</f>
        <v>21106.26007</v>
      </c>
      <c r="G90" s="156">
        <f>G$6*F821CVC!G81*$R90</f>
        <v>21553.095550000002</v>
      </c>
      <c r="H90" s="156">
        <f>H$6*F821CVC!H81*$R90</f>
        <v>19001.895499999999</v>
      </c>
      <c r="I90" s="156">
        <f>I$6*F821CVC!I81*$R90</f>
        <v>20911.102170000002</v>
      </c>
      <c r="J90" s="156">
        <f>J$6*F821CVC!J81*$R90</f>
        <v>16737.57244</v>
      </c>
      <c r="K90" s="156">
        <f>K$6*F821CVC!K81*$R90</f>
        <v>22344.652440000002</v>
      </c>
      <c r="L90" s="156">
        <f>L$6*F821CVC!L81*$R90</f>
        <v>14260.33108</v>
      </c>
      <c r="M90" s="156">
        <f>M$6*F821CVC!M81*$R90</f>
        <v>16682.292379999999</v>
      </c>
      <c r="N90" s="156">
        <f>N$6*F821CVC!N81*$R90</f>
        <v>17883.967360000002</v>
      </c>
      <c r="O90" s="156"/>
      <c r="P90" s="156">
        <f t="shared" si="35"/>
        <v>170481.16899000001</v>
      </c>
      <c r="Q90" s="174"/>
      <c r="R90" s="1014">
        <v>1</v>
      </c>
    </row>
    <row r="91" spans="2:18" s="37" customFormat="1" ht="15.75">
      <c r="B91" s="48"/>
      <c r="C91" s="160" t="s">
        <v>305</v>
      </c>
      <c r="D91" s="156">
        <f>D$6*F821CVC!D82*$R91</f>
        <v>0</v>
      </c>
      <c r="E91" s="156">
        <f>E$6*F821CVC!E82*$R91</f>
        <v>0</v>
      </c>
      <c r="F91" s="156">
        <f>F$6*F821CVC!F82*$R91</f>
        <v>156.69860499999999</v>
      </c>
      <c r="G91" s="156">
        <f>G$6*F821CVC!G82*$R91</f>
        <v>146.20051599999999</v>
      </c>
      <c r="H91" s="156">
        <f>H$6*F821CVC!H82*$R91</f>
        <v>130.116693</v>
      </c>
      <c r="I91" s="156">
        <f>I$6*F821CVC!I82*$R91</f>
        <v>57.237214999999992</v>
      </c>
      <c r="J91" s="156">
        <f>J$6*F821CVC!J82*$R91</f>
        <v>50.262827999999999</v>
      </c>
      <c r="K91" s="156">
        <f>K$6*F821CVC!K82*$R91</f>
        <v>88.431263000000001</v>
      </c>
      <c r="L91" s="156">
        <f>L$6*F821CVC!L82*$R91</f>
        <v>50.676762000000004</v>
      </c>
      <c r="M91" s="156">
        <f>M$6*F821CVC!M82*$R91</f>
        <v>41.658772999999997</v>
      </c>
      <c r="N91" s="156">
        <f>N$6*F821CVC!N82*$R91</f>
        <v>40.645712000000003</v>
      </c>
      <c r="O91" s="156"/>
      <c r="P91" s="156">
        <f t="shared" si="35"/>
        <v>761.92836700000009</v>
      </c>
      <c r="Q91" s="174"/>
      <c r="R91" s="1014">
        <v>0.95</v>
      </c>
    </row>
    <row r="92" spans="2:18" s="37" customFormat="1" ht="15.75">
      <c r="B92" s="48"/>
      <c r="C92" s="160" t="s">
        <v>307</v>
      </c>
      <c r="D92" s="156">
        <f>D$6*F821CVC!D83*$R92</f>
        <v>0</v>
      </c>
      <c r="E92" s="156">
        <f>E$6*F821CVC!E83*$R92</f>
        <v>0</v>
      </c>
      <c r="F92" s="156">
        <f>F$6*F821CVC!F83*$R92</f>
        <v>2.7917049999999999</v>
      </c>
      <c r="G92" s="156">
        <f>G$6*F821CVC!G83*$R92</f>
        <v>2.646455</v>
      </c>
      <c r="H92" s="156">
        <f>H$6*F821CVC!H83*$R92</f>
        <v>0</v>
      </c>
      <c r="I92" s="156">
        <f>I$6*F821CVC!I83*$R92</f>
        <v>2.7074600000000002</v>
      </c>
      <c r="J92" s="156">
        <f>J$6*F821CVC!J83*$R92</f>
        <v>1.6298649999999999</v>
      </c>
      <c r="K92" s="156">
        <f>K$6*F821CVC!K83*$R92</f>
        <v>2.8106950000000004</v>
      </c>
      <c r="L92" s="156">
        <f>L$6*F821CVC!L83*$R92</f>
        <v>1.34616</v>
      </c>
      <c r="M92" s="156">
        <f>M$6*F821CVC!M83*$R92</f>
        <v>1.2737400000000001</v>
      </c>
      <c r="N92" s="156">
        <f>N$6*F821CVC!N83*$R92</f>
        <v>1.29504</v>
      </c>
      <c r="O92" s="156"/>
      <c r="P92" s="156">
        <f t="shared" si="35"/>
        <v>16.50112</v>
      </c>
      <c r="Q92" s="174"/>
      <c r="R92" s="1014">
        <v>0.5</v>
      </c>
    </row>
    <row r="93" spans="2:18" s="37" customFormat="1" ht="15.75">
      <c r="B93" s="48"/>
      <c r="C93" s="160" t="s">
        <v>624</v>
      </c>
      <c r="D93" s="156">
        <f>D$6*F821CVC!D84*$R93</f>
        <v>0</v>
      </c>
      <c r="E93" s="156">
        <f>E$6*F821CVC!E84*$R93</f>
        <v>0</v>
      </c>
      <c r="F93" s="156">
        <f>F$6*F821CVC!F84*$R93</f>
        <v>0</v>
      </c>
      <c r="G93" s="156">
        <f>G$6*F821CVC!G84*$R93</f>
        <v>0</v>
      </c>
      <c r="H93" s="156">
        <f>H$6*F821CVC!H84*$R93</f>
        <v>0</v>
      </c>
      <c r="I93" s="156">
        <f>I$6*F821CVC!I84*$R93</f>
        <v>0</v>
      </c>
      <c r="J93" s="156">
        <f>J$6*F821CVC!J84*$R93</f>
        <v>0</v>
      </c>
      <c r="K93" s="156">
        <f>K$6*F821CVC!K84*$R93</f>
        <v>0</v>
      </c>
      <c r="L93" s="156">
        <f>L$6*F821CVC!L84*$R93</f>
        <v>0</v>
      </c>
      <c r="M93" s="156">
        <f>M$6*F821CVC!M84*$R93</f>
        <v>0</v>
      </c>
      <c r="N93" s="156">
        <f>N$6*F821CVC!N84*$R93</f>
        <v>0</v>
      </c>
      <c r="O93" s="156"/>
      <c r="P93" s="156">
        <f t="shared" si="35"/>
        <v>0</v>
      </c>
      <c r="Q93" s="174"/>
      <c r="R93" s="1014">
        <v>0</v>
      </c>
    </row>
    <row r="94" spans="2:18" s="37" customFormat="1" ht="15.75">
      <c r="B94" s="48"/>
      <c r="C94" s="157"/>
      <c r="D94" s="156"/>
      <c r="E94" s="156"/>
      <c r="F94" s="156"/>
      <c r="G94" s="156"/>
      <c r="H94" s="156"/>
      <c r="I94" s="156"/>
      <c r="J94" s="156"/>
      <c r="K94" s="156"/>
      <c r="L94" s="156"/>
      <c r="M94" s="156"/>
      <c r="N94" s="156"/>
      <c r="O94" s="156"/>
      <c r="P94" s="156"/>
      <c r="Q94" s="174"/>
      <c r="R94" s="1012"/>
    </row>
    <row r="95" spans="2:18" s="37" customFormat="1" ht="15.75">
      <c r="B95" s="48" t="s">
        <v>902</v>
      </c>
      <c r="C95" s="158" t="s">
        <v>898</v>
      </c>
      <c r="D95" s="159">
        <f>SUM(D96:D100)</f>
        <v>0</v>
      </c>
      <c r="E95" s="159">
        <f t="shared" ref="E95:I95" si="50">SUM(E96:E100)</f>
        <v>0</v>
      </c>
      <c r="F95" s="159">
        <f t="shared" si="50"/>
        <v>43993.212250000004</v>
      </c>
      <c r="G95" s="159">
        <f t="shared" si="50"/>
        <v>42990.539312500005</v>
      </c>
      <c r="H95" s="159">
        <f t="shared" si="50"/>
        <v>40742.169812500004</v>
      </c>
      <c r="I95" s="159">
        <f t="shared" si="50"/>
        <v>43537.021937500002</v>
      </c>
      <c r="J95" s="159">
        <f t="shared" ref="J95:K95" si="51">SUM(J96:J100)</f>
        <v>41771.11649</v>
      </c>
      <c r="K95" s="159">
        <f t="shared" si="51"/>
        <v>69802.085975000009</v>
      </c>
      <c r="L95" s="159">
        <f t="shared" ref="L95:N95" si="52">SUM(L96:L100)</f>
        <v>35722.380575000003</v>
      </c>
      <c r="M95" s="159">
        <f t="shared" si="52"/>
        <v>33955.032220000001</v>
      </c>
      <c r="N95" s="159">
        <f t="shared" si="52"/>
        <v>37473.095390000002</v>
      </c>
      <c r="O95" s="159"/>
      <c r="P95" s="159">
        <f t="shared" ref="P95:P114" si="53">SUM(D95:O95)</f>
        <v>389986.65396250004</v>
      </c>
      <c r="Q95" s="174"/>
      <c r="R95" s="1013"/>
    </row>
    <row r="96" spans="2:18" s="37" customFormat="1" ht="15.75">
      <c r="B96" s="48"/>
      <c r="C96" s="160" t="s">
        <v>304</v>
      </c>
      <c r="D96" s="156">
        <f>D$5*F821CVC!D87*$R96</f>
        <v>0</v>
      </c>
      <c r="E96" s="156">
        <f>E$5*F821CVC!E87*$R96</f>
        <v>0</v>
      </c>
      <c r="F96" s="156">
        <f>F$5*F821CVC!F87*$R96</f>
        <v>42337.954750000004</v>
      </c>
      <c r="G96" s="156">
        <f>G$5*F821CVC!G87*$R96</f>
        <v>41320.737250000006</v>
      </c>
      <c r="H96" s="156">
        <f>H$5*F821CVC!H87*$R96</f>
        <v>39196.417000000001</v>
      </c>
      <c r="I96" s="156">
        <f>I$5*F821CVC!I87*$R96</f>
        <v>41815.676500000001</v>
      </c>
      <c r="J96" s="156">
        <f>J$5*F821CVC!J87*$R96</f>
        <v>40324.048999999999</v>
      </c>
      <c r="K96" s="156">
        <f>K$5*F821CVC!K87*$R96</f>
        <v>67136.384900000005</v>
      </c>
      <c r="L96" s="156">
        <f>L$5*F821CVC!L87*$R96</f>
        <v>34372.777249999999</v>
      </c>
      <c r="M96" s="156">
        <f>M$5*F821CVC!M87*$R96</f>
        <v>32685.623920000002</v>
      </c>
      <c r="N96" s="156">
        <f>N$5*F821CVC!N87*$R96</f>
        <v>36075.044959999999</v>
      </c>
      <c r="O96" s="156"/>
      <c r="P96" s="156">
        <f t="shared" si="53"/>
        <v>375264.66553</v>
      </c>
      <c r="Q96" s="174"/>
      <c r="R96" s="1014">
        <v>1</v>
      </c>
    </row>
    <row r="97" spans="2:18" s="37" customFormat="1" ht="15.75">
      <c r="B97" s="48"/>
      <c r="C97" s="162" t="s">
        <v>644</v>
      </c>
      <c r="D97" s="156">
        <f>D$5*F821CVC!D88*$R97</f>
        <v>0</v>
      </c>
      <c r="E97" s="156">
        <f>E$5*F821CVC!E88*$R97</f>
        <v>0</v>
      </c>
      <c r="F97" s="156">
        <f>F$5*F821CVC!F88*$R97</f>
        <v>1655.2575000000002</v>
      </c>
      <c r="G97" s="156">
        <f>G$5*F821CVC!G88*$R97</f>
        <v>1669.8020625000001</v>
      </c>
      <c r="H97" s="156">
        <f>H$5*F821CVC!H88*$R97</f>
        <v>1545.7528125000003</v>
      </c>
      <c r="I97" s="156">
        <f>I$5*F821CVC!I88*$R97</f>
        <v>1721.3454375000001</v>
      </c>
      <c r="J97" s="156">
        <f>J$5*F821CVC!J88*$R97</f>
        <v>1447.0674900000001</v>
      </c>
      <c r="K97" s="156">
        <f>K$5*F821CVC!K88*$R97</f>
        <v>2665.7010749999999</v>
      </c>
      <c r="L97" s="156">
        <f>L$5*F821CVC!L88*$R97</f>
        <v>1349.603325</v>
      </c>
      <c r="M97" s="156">
        <f>M$5*F821CVC!M88*$R97</f>
        <v>1269.4083000000001</v>
      </c>
      <c r="N97" s="156">
        <f>N$5*F821CVC!N88*$R97</f>
        <v>1398.05043</v>
      </c>
      <c r="O97" s="156"/>
      <c r="P97" s="156">
        <f t="shared" si="53"/>
        <v>14721.988432500002</v>
      </c>
      <c r="Q97" s="174"/>
      <c r="R97" s="1014">
        <v>0.75</v>
      </c>
    </row>
    <row r="98" spans="2:18" s="37" customFormat="1" ht="15.75">
      <c r="B98" s="48"/>
      <c r="C98" s="160" t="s">
        <v>305</v>
      </c>
      <c r="D98" s="156">
        <f>D$5*F821CVC!D89*$R98</f>
        <v>0</v>
      </c>
      <c r="E98" s="156">
        <f>E$5*F821CVC!E89*$R98</f>
        <v>0</v>
      </c>
      <c r="F98" s="156">
        <f>F$5*F821CVC!F89*$R98</f>
        <v>0</v>
      </c>
      <c r="G98" s="156">
        <f>G$5*F821CVC!G89*$R98</f>
        <v>0</v>
      </c>
      <c r="H98" s="156">
        <f>H$5*F821CVC!H89*$R98</f>
        <v>0</v>
      </c>
      <c r="I98" s="156">
        <f>I$5*F821CVC!I89*$R98</f>
        <v>0</v>
      </c>
      <c r="J98" s="156">
        <f>J$5*F821CVC!J89*$R98</f>
        <v>0</v>
      </c>
      <c r="K98" s="156">
        <f>K$5*F821CVC!K89*$R98</f>
        <v>0</v>
      </c>
      <c r="L98" s="156">
        <f>L$5*F821CVC!L89*$R98</f>
        <v>0</v>
      </c>
      <c r="M98" s="156">
        <f>M$5*F821CVC!M89*$R98</f>
        <v>0</v>
      </c>
      <c r="N98" s="156">
        <f>N$5*F821CVC!N89*$R98</f>
        <v>0</v>
      </c>
      <c r="O98" s="156"/>
      <c r="P98" s="156">
        <f t="shared" si="53"/>
        <v>0</v>
      </c>
      <c r="Q98" s="174"/>
      <c r="R98" s="1014">
        <v>0.95</v>
      </c>
    </row>
    <row r="99" spans="2:18" s="37" customFormat="1" ht="15.75">
      <c r="B99" s="48"/>
      <c r="C99" s="160" t="s">
        <v>307</v>
      </c>
      <c r="D99" s="156">
        <f>D$5*F821CVC!D90*$R99</f>
        <v>0</v>
      </c>
      <c r="E99" s="156">
        <f>E$5*F821CVC!E90*$R99</f>
        <v>0</v>
      </c>
      <c r="F99" s="156">
        <f>F$5*F821CVC!F90*$R99</f>
        <v>0</v>
      </c>
      <c r="G99" s="156">
        <f>G$5*F821CVC!G90*$R99</f>
        <v>0</v>
      </c>
      <c r="H99" s="156">
        <f>H$5*F821CVC!H90*$R99</f>
        <v>0</v>
      </c>
      <c r="I99" s="156">
        <f>I$5*F821CVC!I90*$R99</f>
        <v>0</v>
      </c>
      <c r="J99" s="156">
        <f>J$5*F821CVC!J90*$R99</f>
        <v>0</v>
      </c>
      <c r="K99" s="156">
        <f>K$5*F821CVC!K90*$R99</f>
        <v>0</v>
      </c>
      <c r="L99" s="156">
        <f>L$5*F821CVC!L90*$R99</f>
        <v>0</v>
      </c>
      <c r="M99" s="156">
        <f>M$5*F821CVC!M90*$R99</f>
        <v>0</v>
      </c>
      <c r="N99" s="156">
        <f>N$5*F821CVC!N90*$R99</f>
        <v>0</v>
      </c>
      <c r="O99" s="156"/>
      <c r="P99" s="156">
        <f t="shared" si="53"/>
        <v>0</v>
      </c>
      <c r="Q99" s="174"/>
      <c r="R99" s="1014">
        <v>0.5</v>
      </c>
    </row>
    <row r="100" spans="2:18" s="37" customFormat="1" ht="15.75">
      <c r="B100" s="48"/>
      <c r="C100" s="160" t="s">
        <v>624</v>
      </c>
      <c r="D100" s="156">
        <f>D$5*F821CVC!D91*$R100</f>
        <v>0</v>
      </c>
      <c r="E100" s="156">
        <f>E$5*F821CVC!E91*$R100</f>
        <v>0</v>
      </c>
      <c r="F100" s="156">
        <f>F$5*F821CVC!F91*$R100</f>
        <v>0</v>
      </c>
      <c r="G100" s="156">
        <f>G$5*F821CVC!G91*$R100</f>
        <v>0</v>
      </c>
      <c r="H100" s="156">
        <f>H$5*F821CVC!H91*$R100</f>
        <v>0</v>
      </c>
      <c r="I100" s="156">
        <f>I$5*F821CVC!I91*$R100</f>
        <v>0</v>
      </c>
      <c r="J100" s="156">
        <f>J$5*F821CVC!J91*$R100</f>
        <v>0</v>
      </c>
      <c r="K100" s="156">
        <f>K$5*F821CVC!K91*$R100</f>
        <v>0</v>
      </c>
      <c r="L100" s="156">
        <f>L$5*F821CVC!L91*$R100</f>
        <v>0</v>
      </c>
      <c r="M100" s="156">
        <f>M$5*F821CVC!M91*$R100</f>
        <v>0</v>
      </c>
      <c r="N100" s="156">
        <f>N$5*F821CVC!N91*$R100</f>
        <v>0</v>
      </c>
      <c r="O100" s="156"/>
      <c r="P100" s="156">
        <f t="shared" si="53"/>
        <v>0</v>
      </c>
      <c r="Q100" s="174"/>
      <c r="R100" s="1014">
        <v>0</v>
      </c>
    </row>
    <row r="101" spans="2:18" s="37" customFormat="1" ht="15.75">
      <c r="B101" s="48" t="s">
        <v>902</v>
      </c>
      <c r="C101" s="158" t="s">
        <v>899</v>
      </c>
      <c r="D101" s="159">
        <f>SUM(D102:D107)</f>
        <v>0</v>
      </c>
      <c r="E101" s="159">
        <f t="shared" ref="E101:I101" si="54">SUM(E102:E107)</f>
        <v>0</v>
      </c>
      <c r="F101" s="159">
        <f t="shared" si="54"/>
        <v>3277.0968750000002</v>
      </c>
      <c r="G101" s="159">
        <f t="shared" si="54"/>
        <v>3535.8423750000002</v>
      </c>
      <c r="H101" s="159">
        <f t="shared" si="54"/>
        <v>2709.7590000000005</v>
      </c>
      <c r="I101" s="159">
        <f t="shared" si="54"/>
        <v>3502.1870000000004</v>
      </c>
      <c r="J101" s="159">
        <f t="shared" ref="J101:K101" si="55">SUM(J102:J107)</f>
        <v>3208.43885</v>
      </c>
      <c r="K101" s="159">
        <f t="shared" si="55"/>
        <v>3839.4546750000004</v>
      </c>
      <c r="L101" s="159">
        <f t="shared" ref="L101:N101" si="56">SUM(L102:L107)</f>
        <v>3257.8893374999998</v>
      </c>
      <c r="M101" s="159">
        <f t="shared" si="56"/>
        <v>3224.9200599999999</v>
      </c>
      <c r="N101" s="159">
        <f t="shared" si="56"/>
        <v>4626.5097800000003</v>
      </c>
      <c r="O101" s="159"/>
      <c r="P101" s="159">
        <f t="shared" si="53"/>
        <v>31182.097952500004</v>
      </c>
      <c r="Q101" s="174"/>
      <c r="R101" s="1014"/>
    </row>
    <row r="102" spans="2:18" s="37" customFormat="1" ht="15.75">
      <c r="B102" s="48"/>
      <c r="C102" s="160" t="s">
        <v>304</v>
      </c>
      <c r="D102" s="156">
        <f>D$5*F821CVC!D93*$R102</f>
        <v>0</v>
      </c>
      <c r="E102" s="156">
        <f>E$5*F821CVC!E93*$R102</f>
        <v>0</v>
      </c>
      <c r="F102" s="156">
        <f>F$5*F821CVC!F93*$R102</f>
        <v>2957.1425000000004</v>
      </c>
      <c r="G102" s="156">
        <f>G$5*F821CVC!G93*$R102</f>
        <v>3219.5247500000005</v>
      </c>
      <c r="H102" s="156">
        <f>H$5*F821CVC!H93*$R102</f>
        <v>2453.5745000000002</v>
      </c>
      <c r="I102" s="156">
        <f>I$5*F821CVC!I93*$R102</f>
        <v>3171.3142500000004</v>
      </c>
      <c r="J102" s="156">
        <f>J$5*F821CVC!J93*$R102</f>
        <v>3005.3022000000001</v>
      </c>
      <c r="K102" s="156">
        <f>K$5*F821CVC!K93*$R102</f>
        <v>3586.1623500000005</v>
      </c>
      <c r="L102" s="156">
        <f>L$5*F821CVC!L93*$R102</f>
        <v>3061.9070999999999</v>
      </c>
      <c r="M102" s="156">
        <f>M$5*F821CVC!M93*$R102</f>
        <v>3032.9916800000001</v>
      </c>
      <c r="N102" s="156">
        <f>N$5*F821CVC!N93*$R102</f>
        <v>4367.1634800000002</v>
      </c>
      <c r="O102" s="156"/>
      <c r="P102" s="156">
        <f t="shared" si="53"/>
        <v>28855.08281</v>
      </c>
      <c r="Q102" s="174"/>
      <c r="R102" s="1014">
        <v>1</v>
      </c>
    </row>
    <row r="103" spans="2:18" s="37" customFormat="1" ht="15.75">
      <c r="B103" s="48"/>
      <c r="C103" s="162" t="s">
        <v>642</v>
      </c>
      <c r="D103" s="156">
        <f>D$5*F821CVC!D94*$R103</f>
        <v>0</v>
      </c>
      <c r="E103" s="156">
        <f>E$5*F821CVC!E94*$R103</f>
        <v>0</v>
      </c>
      <c r="F103" s="156">
        <f>F$5*F821CVC!F94*$R103</f>
        <v>293.294625</v>
      </c>
      <c r="G103" s="156">
        <f>G$5*F821CVC!G94*$R103</f>
        <v>286.55737499999998</v>
      </c>
      <c r="H103" s="156">
        <f>H$5*F821CVC!H94*$R103</f>
        <v>232.92750000000004</v>
      </c>
      <c r="I103" s="156">
        <f>I$5*F821CVC!I94*$R103</f>
        <v>300.97275000000002</v>
      </c>
      <c r="J103" s="156">
        <f>J$5*F821CVC!J94*$R103</f>
        <v>186.67304999999999</v>
      </c>
      <c r="K103" s="156">
        <f>K$5*F821CVC!K94*$R103</f>
        <v>238.24072500000003</v>
      </c>
      <c r="L103" s="156">
        <f>L$5*F821CVC!L94*$R103</f>
        <v>182.0466375</v>
      </c>
      <c r="M103" s="156">
        <f>M$5*F821CVC!M94*$R103</f>
        <v>176.54214000000002</v>
      </c>
      <c r="N103" s="156">
        <f>N$5*F821CVC!N94*$R103</f>
        <v>236.7021</v>
      </c>
      <c r="O103" s="156"/>
      <c r="P103" s="156">
        <f t="shared" si="53"/>
        <v>2133.9569025000001</v>
      </c>
      <c r="Q103" s="174"/>
      <c r="R103" s="1014">
        <v>0.75</v>
      </c>
    </row>
    <row r="104" spans="2:18" s="37" customFormat="1" ht="15.75">
      <c r="B104" s="48"/>
      <c r="C104" s="162" t="s">
        <v>1177</v>
      </c>
      <c r="D104" s="156">
        <f>D$5*F821CVC!D95*$R104</f>
        <v>0</v>
      </c>
      <c r="E104" s="156">
        <f>E$5*F821CVC!E95*$R104</f>
        <v>0</v>
      </c>
      <c r="F104" s="156">
        <f>F$5*F821CVC!F95*$R104</f>
        <v>26.659750000000003</v>
      </c>
      <c r="G104" s="156">
        <f>G$5*F821CVC!G95*$R104</f>
        <v>29.760250000000003</v>
      </c>
      <c r="H104" s="156">
        <f>H$5*F821CVC!H95*$R104</f>
        <v>23.257000000000001</v>
      </c>
      <c r="I104" s="156">
        <f>I$5*F821CVC!I95*$R104</f>
        <v>29.900000000000002</v>
      </c>
      <c r="J104" s="156">
        <f>J$5*F821CVC!J95*$R104</f>
        <v>16.4636</v>
      </c>
      <c r="K104" s="156">
        <f>K$5*F821CVC!K95*$R104</f>
        <v>15.051600000000001</v>
      </c>
      <c r="L104" s="156">
        <f>L$5*F821CVC!L95*$R104</f>
        <v>13.935599999999999</v>
      </c>
      <c r="M104" s="156">
        <f>M$5*F821CVC!M95*$R104</f>
        <v>15.386240000000001</v>
      </c>
      <c r="N104" s="156">
        <f>N$5*F821CVC!N95*$R104</f>
        <v>22.644200000000001</v>
      </c>
      <c r="O104" s="156"/>
      <c r="P104" s="156">
        <f t="shared" si="53"/>
        <v>193.05824000000001</v>
      </c>
      <c r="Q104" s="174"/>
      <c r="R104" s="1014">
        <v>1</v>
      </c>
    </row>
    <row r="105" spans="2:18" s="37" customFormat="1" ht="15.75">
      <c r="B105" s="48"/>
      <c r="C105" s="160" t="s">
        <v>305</v>
      </c>
      <c r="D105" s="156">
        <f>D$5*F821CVC!D96*$R105</f>
        <v>0</v>
      </c>
      <c r="E105" s="156">
        <f>E$5*F821CVC!E96*$R105</f>
        <v>0</v>
      </c>
      <c r="F105" s="156">
        <f>F$5*F821CVC!F96*$R105</f>
        <v>0</v>
      </c>
      <c r="G105" s="156">
        <f>G$5*F821CVC!G96*$R105</f>
        <v>0</v>
      </c>
      <c r="H105" s="156">
        <f>H$5*F821CVC!H96*$R105</f>
        <v>0</v>
      </c>
      <c r="I105" s="156">
        <f>I$5*F821CVC!I96*$R105</f>
        <v>0</v>
      </c>
      <c r="J105" s="156">
        <f>J$5*F821CVC!J96*$R105</f>
        <v>0</v>
      </c>
      <c r="K105" s="156">
        <f>K$5*F821CVC!K96*$R105</f>
        <v>0</v>
      </c>
      <c r="L105" s="156">
        <f>L$5*F821CVC!L96*$R105</f>
        <v>0</v>
      </c>
      <c r="M105" s="156">
        <f>M$5*F821CVC!M96*$R105</f>
        <v>0</v>
      </c>
      <c r="N105" s="156">
        <f>N$5*F821CVC!N96*$R105</f>
        <v>0</v>
      </c>
      <c r="O105" s="156"/>
      <c r="P105" s="156">
        <f t="shared" si="53"/>
        <v>0</v>
      </c>
      <c r="Q105" s="174"/>
      <c r="R105" s="1014">
        <v>0.95</v>
      </c>
    </row>
    <row r="106" spans="2:18" s="37" customFormat="1" ht="15.75">
      <c r="B106" s="48"/>
      <c r="C106" s="160" t="s">
        <v>307</v>
      </c>
      <c r="D106" s="156">
        <f>D$5*F821CVC!D97*$R106</f>
        <v>0</v>
      </c>
      <c r="E106" s="156">
        <f>E$5*F821CVC!E97*$R106</f>
        <v>0</v>
      </c>
      <c r="F106" s="156">
        <f>F$5*F821CVC!F97*$R106</f>
        <v>0</v>
      </c>
      <c r="G106" s="156">
        <f>G$5*F821CVC!G97*$R106</f>
        <v>0</v>
      </c>
      <c r="H106" s="156">
        <f>H$5*F821CVC!H97*$R106</f>
        <v>0</v>
      </c>
      <c r="I106" s="156">
        <f>I$5*F821CVC!I97*$R106</f>
        <v>0</v>
      </c>
      <c r="J106" s="156">
        <f>J$5*F821CVC!J97*$R106</f>
        <v>0</v>
      </c>
      <c r="K106" s="156">
        <f>K$5*F821CVC!K97*$R106</f>
        <v>0</v>
      </c>
      <c r="L106" s="156">
        <f>L$5*F821CVC!L97*$R106</f>
        <v>0</v>
      </c>
      <c r="M106" s="156">
        <f>M$5*F821CVC!M97*$R106</f>
        <v>0</v>
      </c>
      <c r="N106" s="156">
        <f>N$5*F821CVC!N97*$R106</f>
        <v>0</v>
      </c>
      <c r="O106" s="156"/>
      <c r="P106" s="156">
        <f t="shared" si="53"/>
        <v>0</v>
      </c>
      <c r="Q106" s="174"/>
      <c r="R106" s="1014">
        <v>0.5</v>
      </c>
    </row>
    <row r="107" spans="2:18" s="37" customFormat="1" ht="15.75">
      <c r="B107" s="48"/>
      <c r="C107" s="160" t="s">
        <v>624</v>
      </c>
      <c r="D107" s="156">
        <f>D$5*F821CVC!D98*$R107</f>
        <v>0</v>
      </c>
      <c r="E107" s="156">
        <f>E$5*F821CVC!E98*$R107</f>
        <v>0</v>
      </c>
      <c r="F107" s="156">
        <f>F$5*F821CVC!F98*$R107</f>
        <v>0</v>
      </c>
      <c r="G107" s="156">
        <f>G$5*F821CVC!G98*$R107</f>
        <v>0</v>
      </c>
      <c r="H107" s="156">
        <f>H$5*F821CVC!H98*$R107</f>
        <v>0</v>
      </c>
      <c r="I107" s="156">
        <f>I$5*F821CVC!I98*$R107</f>
        <v>0</v>
      </c>
      <c r="J107" s="156">
        <f>J$5*F821CVC!J98*$R107</f>
        <v>0</v>
      </c>
      <c r="K107" s="156">
        <f>K$5*F821CVC!K98*$R107</f>
        <v>0</v>
      </c>
      <c r="L107" s="156">
        <f>L$5*F821CVC!L98*$R107</f>
        <v>0</v>
      </c>
      <c r="M107" s="156">
        <f>M$5*F821CVC!M98*$R107</f>
        <v>0</v>
      </c>
      <c r="N107" s="156">
        <f>N$5*F821CVC!N98*$R107</f>
        <v>0</v>
      </c>
      <c r="O107" s="156"/>
      <c r="P107" s="156">
        <f t="shared" si="53"/>
        <v>0</v>
      </c>
      <c r="Q107" s="174"/>
      <c r="R107" s="1014">
        <v>0</v>
      </c>
    </row>
    <row r="108" spans="2:18" s="37" customFormat="1" ht="15.75">
      <c r="B108" s="48" t="s">
        <v>902</v>
      </c>
      <c r="C108" s="158" t="s">
        <v>900</v>
      </c>
      <c r="D108" s="159">
        <f>SUM(D109:D114)</f>
        <v>0</v>
      </c>
      <c r="E108" s="159">
        <f t="shared" ref="E108:I108" si="57">SUM(E109:E114)</f>
        <v>0</v>
      </c>
      <c r="F108" s="159">
        <f t="shared" si="57"/>
        <v>451.38518750000003</v>
      </c>
      <c r="G108" s="159">
        <f t="shared" si="57"/>
        <v>342.22093750000005</v>
      </c>
      <c r="H108" s="159">
        <f t="shared" si="57"/>
        <v>270.31712500000003</v>
      </c>
      <c r="I108" s="159">
        <f t="shared" si="57"/>
        <v>380.03712500000006</v>
      </c>
      <c r="J108" s="159">
        <f t="shared" ref="J108:K108" si="58">SUM(J109:J114)</f>
        <v>328.44882000000001</v>
      </c>
      <c r="K108" s="159">
        <f t="shared" si="58"/>
        <v>559.17767500000002</v>
      </c>
      <c r="L108" s="159">
        <f t="shared" ref="L108:N108" si="59">SUM(L109:L114)</f>
        <v>351.37532499999998</v>
      </c>
      <c r="M108" s="159">
        <f t="shared" si="59"/>
        <v>281.13528000000002</v>
      </c>
      <c r="N108" s="159">
        <f t="shared" si="59"/>
        <v>361.06348000000003</v>
      </c>
      <c r="O108" s="159"/>
      <c r="P108" s="159">
        <f t="shared" si="53"/>
        <v>3325.1609550000003</v>
      </c>
      <c r="Q108" s="174"/>
      <c r="R108" s="1014"/>
    </row>
    <row r="109" spans="2:18" s="37" customFormat="1" ht="15.75">
      <c r="C109" s="160" t="s">
        <v>304</v>
      </c>
      <c r="D109" s="156">
        <f>D$5*F821CVC!D100*$R109</f>
        <v>0</v>
      </c>
      <c r="E109" s="156">
        <f>E$5*F821CVC!E100*$R109</f>
        <v>0</v>
      </c>
      <c r="F109" s="156">
        <f>F$5*F821CVC!F100*$R109</f>
        <v>440.51150000000001</v>
      </c>
      <c r="G109" s="156">
        <f>G$5*F821CVC!G100*$R109</f>
        <v>328.49050000000005</v>
      </c>
      <c r="H109" s="156">
        <f>H$5*F821CVC!H100*$R109</f>
        <v>264.32575000000003</v>
      </c>
      <c r="I109" s="156">
        <f>I$5*F821CVC!I100*$R109</f>
        <v>369.39500000000004</v>
      </c>
      <c r="J109" s="156">
        <f>J$5*F821CVC!J100*$R109</f>
        <v>318.61331999999999</v>
      </c>
      <c r="K109" s="156">
        <f>K$5*F821CVC!K100*$R109</f>
        <v>552.71125000000006</v>
      </c>
      <c r="L109" s="156">
        <f>L$5*F821CVC!L100*$R109</f>
        <v>338.95749999999998</v>
      </c>
      <c r="M109" s="156">
        <f>M$5*F821CVC!M100*$R109</f>
        <v>274.91304000000002</v>
      </c>
      <c r="N109" s="156">
        <f>N$5*F821CVC!N100*$R109</f>
        <v>344.28388000000001</v>
      </c>
      <c r="O109" s="156"/>
      <c r="P109" s="156">
        <f t="shared" si="53"/>
        <v>3232.20174</v>
      </c>
      <c r="Q109" s="174"/>
      <c r="R109" s="1014">
        <v>1</v>
      </c>
    </row>
    <row r="110" spans="2:18" s="37" customFormat="1" ht="15.75">
      <c r="C110" s="162" t="s">
        <v>642</v>
      </c>
      <c r="D110" s="156">
        <f>D$5*F821CVC!D101*$R110</f>
        <v>0</v>
      </c>
      <c r="E110" s="156">
        <f>E$5*F821CVC!E101*$R110</f>
        <v>0</v>
      </c>
      <c r="F110" s="156">
        <f>F$5*F821CVC!F101*$R110</f>
        <v>10.873687500000001</v>
      </c>
      <c r="G110" s="156">
        <f>G$5*F821CVC!G101*$R110</f>
        <v>13.730437500000003</v>
      </c>
      <c r="H110" s="156">
        <f>H$5*F821CVC!H101*$R110</f>
        <v>5.9913750000000006</v>
      </c>
      <c r="I110" s="156">
        <f>I$5*F821CVC!I101*$R110</f>
        <v>10.642125</v>
      </c>
      <c r="J110" s="156">
        <f>J$5*F821CVC!J101*$R110</f>
        <v>9.8354999999999997</v>
      </c>
      <c r="K110" s="156">
        <f>K$5*F821CVC!K101*$R110</f>
        <v>6.4664250000000001</v>
      </c>
      <c r="L110" s="156">
        <f>L$5*F821CVC!L101*$R110</f>
        <v>12.417824999999999</v>
      </c>
      <c r="M110" s="156">
        <f>M$5*F821CVC!M101*$R110</f>
        <v>6.2222399999999993</v>
      </c>
      <c r="N110" s="156">
        <f>N$5*F821CVC!N101*$R110</f>
        <v>16.779600000000002</v>
      </c>
      <c r="O110" s="156"/>
      <c r="P110" s="156">
        <f t="shared" si="53"/>
        <v>92.959215</v>
      </c>
      <c r="Q110" s="174"/>
      <c r="R110" s="1014">
        <v>0.75</v>
      </c>
    </row>
    <row r="111" spans="2:18" s="37" customFormat="1" ht="15.75">
      <c r="C111" s="162" t="s">
        <v>1177</v>
      </c>
      <c r="D111" s="156">
        <f>D$5*F821CVC!D102*$R111</f>
        <v>0</v>
      </c>
      <c r="E111" s="156">
        <f>E$5*F821CVC!E102*$R111</f>
        <v>0</v>
      </c>
      <c r="F111" s="156">
        <f>F$5*F821CVC!F102*$R111</f>
        <v>0</v>
      </c>
      <c r="G111" s="156">
        <f>G$5*F821CVC!G102*$R111</f>
        <v>0</v>
      </c>
      <c r="H111" s="156">
        <f>H$5*F821CVC!H102*$R111</f>
        <v>0</v>
      </c>
      <c r="I111" s="156">
        <f>I$5*F821CVC!I102*$R111</f>
        <v>0</v>
      </c>
      <c r="J111" s="156">
        <f>J$5*F821CVC!J102*$R111</f>
        <v>0</v>
      </c>
      <c r="K111" s="156">
        <f>K$5*F821CVC!K102*$R111</f>
        <v>0</v>
      </c>
      <c r="L111" s="156">
        <f>L$5*F821CVC!L102*$R111</f>
        <v>0</v>
      </c>
      <c r="M111" s="156">
        <f>M$5*F821CVC!M102*$R111</f>
        <v>0</v>
      </c>
      <c r="N111" s="156">
        <f>N$5*F821CVC!N102*$R111</f>
        <v>0</v>
      </c>
      <c r="O111" s="156"/>
      <c r="P111" s="156">
        <f t="shared" si="53"/>
        <v>0</v>
      </c>
      <c r="Q111" s="174"/>
      <c r="R111" s="1014">
        <v>1</v>
      </c>
    </row>
    <row r="112" spans="2:18" s="37" customFormat="1" ht="15.75">
      <c r="C112" s="160" t="s">
        <v>305</v>
      </c>
      <c r="D112" s="156">
        <f>D$5*F821CVC!D103*$R112</f>
        <v>0</v>
      </c>
      <c r="E112" s="156">
        <f>E$5*F821CVC!E103*$R112</f>
        <v>0</v>
      </c>
      <c r="F112" s="156">
        <f>F$5*F821CVC!F103*$R112</f>
        <v>0</v>
      </c>
      <c r="G112" s="156">
        <f>G$5*F821CVC!G103*$R112</f>
        <v>0</v>
      </c>
      <c r="H112" s="156">
        <f>H$5*F821CVC!H103*$R112</f>
        <v>0</v>
      </c>
      <c r="I112" s="156">
        <f>I$5*F821CVC!I103*$R112</f>
        <v>0</v>
      </c>
      <c r="J112" s="156">
        <f>J$5*F821CVC!J103*$R112</f>
        <v>0</v>
      </c>
      <c r="K112" s="156">
        <f>K$5*F821CVC!K103*$R112</f>
        <v>0</v>
      </c>
      <c r="L112" s="156">
        <f>L$5*F821CVC!L103*$R112</f>
        <v>0</v>
      </c>
      <c r="M112" s="156">
        <f>M$5*F821CVC!M103*$R112</f>
        <v>0</v>
      </c>
      <c r="N112" s="156">
        <f>N$5*F821CVC!N103*$R112</f>
        <v>0</v>
      </c>
      <c r="O112" s="156"/>
      <c r="P112" s="156">
        <f t="shared" si="53"/>
        <v>0</v>
      </c>
      <c r="Q112" s="174"/>
      <c r="R112" s="1014">
        <v>0.95</v>
      </c>
    </row>
    <row r="113" spans="2:18" s="37" customFormat="1" ht="15.75">
      <c r="C113" s="160" t="s">
        <v>307</v>
      </c>
      <c r="D113" s="156">
        <f>D$5*F821CVC!D104*$R113</f>
        <v>0</v>
      </c>
      <c r="E113" s="156">
        <f>E$5*F821CVC!E104*$R113</f>
        <v>0</v>
      </c>
      <c r="F113" s="156">
        <f>F$5*F821CVC!F104*$R113</f>
        <v>0</v>
      </c>
      <c r="G113" s="156">
        <f>G$5*F821CVC!G104*$R113</f>
        <v>0</v>
      </c>
      <c r="H113" s="156">
        <f>H$5*F821CVC!H104*$R113</f>
        <v>0</v>
      </c>
      <c r="I113" s="156">
        <f>I$5*F821CVC!I104*$R113</f>
        <v>0</v>
      </c>
      <c r="J113" s="156">
        <f>J$5*F821CVC!J104*$R113</f>
        <v>0</v>
      </c>
      <c r="K113" s="156">
        <f>K$5*F821CVC!K104*$R113</f>
        <v>0</v>
      </c>
      <c r="L113" s="156">
        <f>L$5*F821CVC!L104*$R113</f>
        <v>0</v>
      </c>
      <c r="M113" s="156">
        <f>M$5*F821CVC!M104*$R113</f>
        <v>0</v>
      </c>
      <c r="N113" s="156">
        <f>N$5*F821CVC!N104*$R113</f>
        <v>0</v>
      </c>
      <c r="O113" s="156"/>
      <c r="P113" s="156">
        <f t="shared" si="53"/>
        <v>0</v>
      </c>
      <c r="Q113" s="174"/>
      <c r="R113" s="1014">
        <v>0.5</v>
      </c>
    </row>
    <row r="114" spans="2:18" s="37" customFormat="1" ht="15.75">
      <c r="C114" s="160" t="s">
        <v>624</v>
      </c>
      <c r="D114" s="156">
        <f>D$5*F821CVC!D105*$R114</f>
        <v>0</v>
      </c>
      <c r="E114" s="156">
        <f>E$5*F821CVC!E105*$R114</f>
        <v>0</v>
      </c>
      <c r="F114" s="156">
        <f>F$5*F821CVC!F105*$R114</f>
        <v>0</v>
      </c>
      <c r="G114" s="156">
        <f>G$5*F821CVC!G105*$R114</f>
        <v>0</v>
      </c>
      <c r="H114" s="156">
        <f>H$5*F821CVC!H105*$R114</f>
        <v>0</v>
      </c>
      <c r="I114" s="156">
        <f>I$5*F821CVC!I105*$R114</f>
        <v>0</v>
      </c>
      <c r="J114" s="156">
        <f>J$5*F821CVC!J105*$R114</f>
        <v>0</v>
      </c>
      <c r="K114" s="156">
        <f>K$5*F821CVC!K105*$R114</f>
        <v>0</v>
      </c>
      <c r="L114" s="156">
        <f>L$5*F821CVC!L105*$R114</f>
        <v>0</v>
      </c>
      <c r="M114" s="156">
        <f>M$5*F821CVC!M105*$R114</f>
        <v>0</v>
      </c>
      <c r="N114" s="156">
        <f>N$5*F821CVC!N105*$R114</f>
        <v>0</v>
      </c>
      <c r="O114" s="156"/>
      <c r="P114" s="156">
        <f t="shared" si="53"/>
        <v>0</v>
      </c>
      <c r="Q114" s="174"/>
      <c r="R114" s="1014">
        <v>0</v>
      </c>
    </row>
    <row r="115" spans="2:18" s="37" customFormat="1" ht="15.75">
      <c r="C115" s="157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74"/>
      <c r="R115" s="1012"/>
    </row>
    <row r="116" spans="2:18" s="37" customFormat="1" ht="15.75">
      <c r="C116" s="153" t="s">
        <v>112</v>
      </c>
      <c r="D116" s="154">
        <f t="shared" ref="D116:I116" si="60">D31+D21+D17</f>
        <v>0</v>
      </c>
      <c r="E116" s="154">
        <f t="shared" si="60"/>
        <v>0</v>
      </c>
      <c r="F116" s="154">
        <f t="shared" si="60"/>
        <v>1451558.8015225001</v>
      </c>
      <c r="G116" s="154">
        <f t="shared" si="60"/>
        <v>1475615.4088825001</v>
      </c>
      <c r="H116" s="154">
        <f t="shared" si="60"/>
        <v>1412364.6401895003</v>
      </c>
      <c r="I116" s="154">
        <f t="shared" si="60"/>
        <v>1415591.2890784999</v>
      </c>
      <c r="J116" s="154">
        <f t="shared" ref="J116:K116" si="61">J31+J21+J17</f>
        <v>1054935.8408670002</v>
      </c>
      <c r="K116" s="154">
        <f t="shared" si="61"/>
        <v>1772782.0752659999</v>
      </c>
      <c r="L116" s="154">
        <f t="shared" ref="L116:N116" si="62">L31+L21+L17</f>
        <v>874288.7283534999</v>
      </c>
      <c r="M116" s="154">
        <f t="shared" si="62"/>
        <v>852614.81073650008</v>
      </c>
      <c r="N116" s="154">
        <f t="shared" si="62"/>
        <v>889130.151771</v>
      </c>
      <c r="O116" s="154"/>
      <c r="P116" s="154">
        <f>P31+P21+P17</f>
        <v>11198881.746667</v>
      </c>
      <c r="Q116" s="174"/>
      <c r="R116" s="1012"/>
    </row>
    <row r="117" spans="2:18"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2:18">
      <c r="F118" s="163"/>
      <c r="G118" s="163"/>
      <c r="H118" s="163"/>
      <c r="I118" s="163"/>
      <c r="J118" s="163"/>
      <c r="K118" s="163"/>
      <c r="L118" s="163"/>
      <c r="M118" s="163"/>
      <c r="N118" s="163"/>
    </row>
    <row r="120" spans="2:18">
      <c r="F120" s="163"/>
    </row>
    <row r="121" spans="2:18">
      <c r="B121" s="48" t="s">
        <v>902</v>
      </c>
      <c r="D121" s="64">
        <f t="shared" ref="D121:N131" si="63">SUMIF($B$16:$B$116,$B121,D$16:D$116)</f>
        <v>0</v>
      </c>
      <c r="E121" s="64">
        <f t="shared" si="63"/>
        <v>0</v>
      </c>
      <c r="F121" s="64">
        <f t="shared" si="63"/>
        <v>47721.694312500011</v>
      </c>
      <c r="G121" s="64">
        <f t="shared" si="63"/>
        <v>46868.602625000007</v>
      </c>
      <c r="H121" s="64">
        <f t="shared" si="63"/>
        <v>43722.245937500003</v>
      </c>
      <c r="I121" s="64">
        <f t="shared" si="63"/>
        <v>47419.246062500002</v>
      </c>
      <c r="J121" s="64">
        <f t="shared" si="63"/>
        <v>45308.004159999997</v>
      </c>
      <c r="K121" s="64">
        <f t="shared" si="63"/>
        <v>74200.718325000009</v>
      </c>
      <c r="L121" s="64">
        <f t="shared" si="63"/>
        <v>39331.645237500001</v>
      </c>
      <c r="M121" s="64">
        <f t="shared" si="63"/>
        <v>37461.08756</v>
      </c>
      <c r="N121" s="64">
        <f t="shared" si="63"/>
        <v>42460.66865</v>
      </c>
      <c r="O121" s="64"/>
      <c r="P121" s="64">
        <f t="shared" ref="P121:P131" si="64">SUMIF($B$16:$B$116,$B121,P$16:P$116)</f>
        <v>424493.91287000006</v>
      </c>
    </row>
    <row r="122" spans="2:18">
      <c r="B122" s="48" t="s">
        <v>751</v>
      </c>
      <c r="D122" s="64">
        <f t="shared" si="63"/>
        <v>0</v>
      </c>
      <c r="E122" s="64">
        <f t="shared" si="63"/>
        <v>0</v>
      </c>
      <c r="F122" s="64">
        <f t="shared" si="63"/>
        <v>251342.8659</v>
      </c>
      <c r="G122" s="64">
        <f t="shared" si="63"/>
        <v>249951.27677800003</v>
      </c>
      <c r="H122" s="64">
        <f t="shared" si="63"/>
        <v>255954.13072250001</v>
      </c>
      <c r="I122" s="64">
        <f t="shared" si="63"/>
        <v>252695.5550385</v>
      </c>
      <c r="J122" s="64">
        <f t="shared" si="63"/>
        <v>173337.61085550001</v>
      </c>
      <c r="K122" s="64">
        <f t="shared" si="63"/>
        <v>317384.42721300002</v>
      </c>
      <c r="L122" s="64">
        <f t="shared" si="63"/>
        <v>132695.59674199999</v>
      </c>
      <c r="M122" s="64">
        <f t="shared" si="63"/>
        <v>122685.03819649998</v>
      </c>
      <c r="N122" s="64">
        <f t="shared" si="63"/>
        <v>124338.06780800001</v>
      </c>
      <c r="O122" s="64"/>
      <c r="P122" s="64">
        <f t="shared" si="64"/>
        <v>1880384.569254</v>
      </c>
    </row>
    <row r="123" spans="2:18">
      <c r="B123" s="48" t="s">
        <v>750</v>
      </c>
      <c r="D123" s="64">
        <f t="shared" si="63"/>
        <v>0</v>
      </c>
      <c r="E123" s="64">
        <f t="shared" si="63"/>
        <v>0</v>
      </c>
      <c r="F123" s="64">
        <f t="shared" si="63"/>
        <v>252798.76474999997</v>
      </c>
      <c r="G123" s="64">
        <f t="shared" si="63"/>
        <v>252527.7041385</v>
      </c>
      <c r="H123" s="64">
        <f t="shared" si="63"/>
        <v>243679.77017649999</v>
      </c>
      <c r="I123" s="64">
        <f t="shared" si="63"/>
        <v>237951.30306850001</v>
      </c>
      <c r="J123" s="64">
        <f t="shared" si="63"/>
        <v>173489.12572350004</v>
      </c>
      <c r="K123" s="64">
        <f t="shared" si="63"/>
        <v>285668.32005049998</v>
      </c>
      <c r="L123" s="64">
        <f t="shared" si="63"/>
        <v>140906.22458400001</v>
      </c>
      <c r="M123" s="64">
        <f t="shared" si="63"/>
        <v>141756.75723300001</v>
      </c>
      <c r="N123" s="64">
        <f t="shared" si="63"/>
        <v>143941.216728</v>
      </c>
      <c r="O123" s="64"/>
      <c r="P123" s="64">
        <f t="shared" si="64"/>
        <v>1872719.1864525001</v>
      </c>
    </row>
    <row r="124" spans="2:18">
      <c r="B124" s="48" t="s">
        <v>749</v>
      </c>
      <c r="D124" s="64">
        <f t="shared" si="63"/>
        <v>0</v>
      </c>
      <c r="E124" s="64">
        <f t="shared" si="63"/>
        <v>0</v>
      </c>
      <c r="F124" s="64">
        <f t="shared" si="63"/>
        <v>301426.41091500001</v>
      </c>
      <c r="G124" s="64">
        <f t="shared" si="63"/>
        <v>305637.95558100002</v>
      </c>
      <c r="H124" s="64">
        <f t="shared" si="63"/>
        <v>281663.27933799999</v>
      </c>
      <c r="I124" s="64">
        <f t="shared" si="63"/>
        <v>292373.53327000001</v>
      </c>
      <c r="J124" s="64">
        <f t="shared" si="63"/>
        <v>213370.09833799998</v>
      </c>
      <c r="K124" s="64">
        <f t="shared" si="63"/>
        <v>346319.49056299997</v>
      </c>
      <c r="L124" s="64">
        <f t="shared" si="63"/>
        <v>185082.94732199996</v>
      </c>
      <c r="M124" s="64">
        <f t="shared" si="63"/>
        <v>194182.81026299999</v>
      </c>
      <c r="N124" s="64">
        <f t="shared" si="63"/>
        <v>203039.05491200002</v>
      </c>
      <c r="O124" s="64"/>
      <c r="P124" s="64">
        <f t="shared" si="64"/>
        <v>2323095.5805020002</v>
      </c>
    </row>
    <row r="125" spans="2:18">
      <c r="B125" s="48" t="s">
        <v>1176</v>
      </c>
      <c r="D125" s="64">
        <f t="shared" si="63"/>
        <v>0</v>
      </c>
      <c r="E125" s="64">
        <f t="shared" si="63"/>
        <v>0</v>
      </c>
      <c r="F125" s="64">
        <f t="shared" si="63"/>
        <v>0</v>
      </c>
      <c r="G125" s="64">
        <f t="shared" si="63"/>
        <v>0</v>
      </c>
      <c r="H125" s="64">
        <f t="shared" si="63"/>
        <v>0</v>
      </c>
      <c r="I125" s="64">
        <f t="shared" si="63"/>
        <v>0</v>
      </c>
      <c r="J125" s="64">
        <f t="shared" si="63"/>
        <v>0</v>
      </c>
      <c r="K125" s="64">
        <f t="shared" si="63"/>
        <v>0</v>
      </c>
      <c r="L125" s="64">
        <f t="shared" si="63"/>
        <v>0</v>
      </c>
      <c r="M125" s="64">
        <f t="shared" si="63"/>
        <v>0</v>
      </c>
      <c r="N125" s="64">
        <f t="shared" si="63"/>
        <v>0</v>
      </c>
      <c r="O125" s="64"/>
      <c r="P125" s="64">
        <f t="shared" si="64"/>
        <v>0</v>
      </c>
    </row>
    <row r="126" spans="2:18">
      <c r="B126" s="48" t="s">
        <v>274</v>
      </c>
      <c r="D126" s="64">
        <f t="shared" si="63"/>
        <v>0</v>
      </c>
      <c r="E126" s="64">
        <f t="shared" si="63"/>
        <v>0</v>
      </c>
      <c r="F126" s="64">
        <f t="shared" si="63"/>
        <v>310174.54336999997</v>
      </c>
      <c r="G126" s="64">
        <f t="shared" si="63"/>
        <v>321981.98739000002</v>
      </c>
      <c r="H126" s="64">
        <f t="shared" si="63"/>
        <v>303417.10713000002</v>
      </c>
      <c r="I126" s="64">
        <f t="shared" si="63"/>
        <v>302255.86631899996</v>
      </c>
      <c r="J126" s="64">
        <f t="shared" si="63"/>
        <v>226934.49890999997</v>
      </c>
      <c r="K126" s="64">
        <f t="shared" si="63"/>
        <v>385753.26368949999</v>
      </c>
      <c r="L126" s="64">
        <f t="shared" si="63"/>
        <v>194440.54937800003</v>
      </c>
      <c r="M126" s="64">
        <f t="shared" si="63"/>
        <v>187027.00878399995</v>
      </c>
      <c r="N126" s="64">
        <f t="shared" si="63"/>
        <v>195560.04136299997</v>
      </c>
      <c r="O126" s="64"/>
      <c r="P126" s="64">
        <f t="shared" si="64"/>
        <v>2427544.8663334996</v>
      </c>
    </row>
    <row r="127" spans="2:18">
      <c r="B127" s="48" t="s">
        <v>275</v>
      </c>
      <c r="D127" s="64">
        <f t="shared" si="63"/>
        <v>0</v>
      </c>
      <c r="E127" s="64">
        <f t="shared" si="63"/>
        <v>0</v>
      </c>
      <c r="F127" s="64">
        <f t="shared" si="63"/>
        <v>11019.515460000001</v>
      </c>
      <c r="G127" s="64">
        <f t="shared" si="63"/>
        <v>11348.58663</v>
      </c>
      <c r="H127" s="64">
        <f t="shared" si="63"/>
        <v>11198.195415</v>
      </c>
      <c r="I127" s="64">
        <f t="shared" si="63"/>
        <v>11708.827875000001</v>
      </c>
      <c r="J127" s="64">
        <f t="shared" si="63"/>
        <v>13259.97884</v>
      </c>
      <c r="K127" s="64">
        <f t="shared" si="63"/>
        <v>21248.110085</v>
      </c>
      <c r="L127" s="64">
        <f t="shared" si="63"/>
        <v>10398.022300000001</v>
      </c>
      <c r="M127" s="64">
        <f t="shared" si="63"/>
        <v>8885.729949999999</v>
      </c>
      <c r="N127" s="64">
        <f t="shared" si="63"/>
        <v>8741.1864699999987</v>
      </c>
      <c r="O127" s="64"/>
      <c r="P127" s="64">
        <f t="shared" si="64"/>
        <v>107808.15302499999</v>
      </c>
    </row>
    <row r="128" spans="2:18">
      <c r="B128" s="48" t="s">
        <v>276</v>
      </c>
      <c r="D128" s="64">
        <f t="shared" si="63"/>
        <v>0</v>
      </c>
      <c r="E128" s="64">
        <f t="shared" si="63"/>
        <v>0</v>
      </c>
      <c r="F128" s="64">
        <f t="shared" si="63"/>
        <v>139941.51451500002</v>
      </c>
      <c r="G128" s="64">
        <f t="shared" si="63"/>
        <v>147607.61037000001</v>
      </c>
      <c r="H128" s="64">
        <f t="shared" si="63"/>
        <v>132543.13908000002</v>
      </c>
      <c r="I128" s="64">
        <f t="shared" si="63"/>
        <v>137993.08858500002</v>
      </c>
      <c r="J128" s="64">
        <f t="shared" si="63"/>
        <v>114841.68683999999</v>
      </c>
      <c r="K128" s="64">
        <f t="shared" si="63"/>
        <v>193155.01157</v>
      </c>
      <c r="L128" s="64">
        <f t="shared" si="63"/>
        <v>99714.152369999996</v>
      </c>
      <c r="M128" s="64">
        <f t="shared" si="63"/>
        <v>93380.732489999995</v>
      </c>
      <c r="N128" s="64">
        <f t="shared" si="63"/>
        <v>99145.50086</v>
      </c>
      <c r="O128" s="64"/>
      <c r="P128" s="64">
        <f t="shared" si="64"/>
        <v>1158322.43668</v>
      </c>
    </row>
    <row r="129" spans="2:16">
      <c r="B129" s="48" t="s">
        <v>277</v>
      </c>
      <c r="D129" s="64">
        <f t="shared" si="63"/>
        <v>0</v>
      </c>
      <c r="E129" s="64">
        <f t="shared" si="63"/>
        <v>0</v>
      </c>
      <c r="F129" s="64">
        <f t="shared" si="63"/>
        <v>28031.191500000001</v>
      </c>
      <c r="G129" s="64">
        <f t="shared" si="63"/>
        <v>26430.576249999998</v>
      </c>
      <c r="H129" s="64">
        <f t="shared" si="63"/>
        <v>32178.519749999999</v>
      </c>
      <c r="I129" s="64">
        <f t="shared" si="63"/>
        <v>21094.892</v>
      </c>
      <c r="J129" s="64">
        <f t="shared" si="63"/>
        <v>16043.16488</v>
      </c>
      <c r="K129" s="64">
        <f t="shared" si="63"/>
        <v>24834.32403</v>
      </c>
      <c r="L129" s="64">
        <f t="shared" si="63"/>
        <v>11032.64522</v>
      </c>
      <c r="M129" s="64">
        <f t="shared" si="63"/>
        <v>10990.428569999998</v>
      </c>
      <c r="N129" s="64">
        <f t="shared" si="63"/>
        <v>11654.99862</v>
      </c>
      <c r="O129" s="64"/>
      <c r="P129" s="64">
        <f t="shared" si="64"/>
        <v>182290.74081999998</v>
      </c>
    </row>
    <row r="130" spans="2:16">
      <c r="B130" s="48" t="s">
        <v>278</v>
      </c>
      <c r="D130" s="64">
        <f t="shared" si="63"/>
        <v>0</v>
      </c>
      <c r="E130" s="64">
        <f t="shared" si="63"/>
        <v>0</v>
      </c>
      <c r="F130" s="64">
        <f t="shared" si="63"/>
        <v>0</v>
      </c>
      <c r="G130" s="64">
        <f t="shared" si="63"/>
        <v>0</v>
      </c>
      <c r="H130" s="64">
        <f t="shared" si="63"/>
        <v>0</v>
      </c>
      <c r="I130" s="64">
        <f t="shared" si="63"/>
        <v>0</v>
      </c>
      <c r="J130" s="64">
        <f t="shared" si="63"/>
        <v>0</v>
      </c>
      <c r="K130" s="64">
        <f t="shared" si="63"/>
        <v>0</v>
      </c>
      <c r="L130" s="64">
        <f t="shared" si="63"/>
        <v>0</v>
      </c>
      <c r="M130" s="64">
        <f t="shared" si="63"/>
        <v>0</v>
      </c>
      <c r="N130" s="64">
        <f t="shared" si="63"/>
        <v>0</v>
      </c>
      <c r="O130" s="64"/>
      <c r="P130" s="64">
        <f t="shared" si="64"/>
        <v>0</v>
      </c>
    </row>
    <row r="131" spans="2:16">
      <c r="B131" s="48" t="s">
        <v>279</v>
      </c>
      <c r="D131" s="64">
        <f t="shared" si="63"/>
        <v>0</v>
      </c>
      <c r="E131" s="64">
        <f t="shared" si="63"/>
        <v>0</v>
      </c>
      <c r="F131" s="64">
        <f t="shared" si="63"/>
        <v>109102.30080000001</v>
      </c>
      <c r="G131" s="64">
        <f t="shared" si="63"/>
        <v>113261.10912000001</v>
      </c>
      <c r="H131" s="64">
        <f t="shared" si="63"/>
        <v>108008.25264000001</v>
      </c>
      <c r="I131" s="64">
        <f t="shared" si="63"/>
        <v>112098.97686000001</v>
      </c>
      <c r="J131" s="64">
        <f t="shared" si="63"/>
        <v>78351.672319999998</v>
      </c>
      <c r="K131" s="64">
        <f t="shared" si="63"/>
        <v>124218.40974</v>
      </c>
      <c r="L131" s="64">
        <f t="shared" si="63"/>
        <v>60686.945200000002</v>
      </c>
      <c r="M131" s="64">
        <f t="shared" si="63"/>
        <v>56245.217689999998</v>
      </c>
      <c r="N131" s="64">
        <f t="shared" si="63"/>
        <v>60249.416360000003</v>
      </c>
      <c r="O131" s="64"/>
      <c r="P131" s="64">
        <f t="shared" si="64"/>
        <v>822222.30073000002</v>
      </c>
    </row>
    <row r="132" spans="2:16">
      <c r="B132" s="48" t="s">
        <v>111</v>
      </c>
      <c r="D132" s="65">
        <f t="shared" ref="D132:I132" si="65">SUM(D121:D131)</f>
        <v>0</v>
      </c>
      <c r="E132" s="65">
        <f t="shared" si="65"/>
        <v>0</v>
      </c>
      <c r="F132" s="65">
        <f t="shared" si="65"/>
        <v>1451558.8015224999</v>
      </c>
      <c r="G132" s="65">
        <f t="shared" si="65"/>
        <v>1475615.4088824999</v>
      </c>
      <c r="H132" s="65">
        <f t="shared" si="65"/>
        <v>1412364.6401895001</v>
      </c>
      <c r="I132" s="65">
        <f t="shared" si="65"/>
        <v>1415591.2890785001</v>
      </c>
      <c r="J132" s="65">
        <f t="shared" ref="J132:K132" si="66">SUM(J121:J131)</f>
        <v>1054935.8408669999</v>
      </c>
      <c r="K132" s="65">
        <f t="shared" si="66"/>
        <v>1772782.0752660001</v>
      </c>
      <c r="L132" s="65">
        <f t="shared" ref="L132:N132" si="67">SUM(L121:L131)</f>
        <v>874288.7283534999</v>
      </c>
      <c r="M132" s="65">
        <f t="shared" si="67"/>
        <v>852614.81073649984</v>
      </c>
      <c r="N132" s="65">
        <f t="shared" si="67"/>
        <v>889130.151771</v>
      </c>
      <c r="O132" s="65"/>
      <c r="P132" s="65">
        <f>SUM(P121:P131)</f>
        <v>11198881.746667</v>
      </c>
    </row>
    <row r="133" spans="2:16">
      <c r="B133" s="48"/>
      <c r="D133" s="66">
        <f t="shared" ref="D133:I133" si="68">D132-D116</f>
        <v>0</v>
      </c>
      <c r="E133" s="66">
        <f t="shared" si="68"/>
        <v>0</v>
      </c>
      <c r="F133" s="66">
        <f t="shared" si="68"/>
        <v>0</v>
      </c>
      <c r="G133" s="66">
        <f t="shared" si="68"/>
        <v>0</v>
      </c>
      <c r="H133" s="66">
        <f t="shared" si="68"/>
        <v>0</v>
      </c>
      <c r="I133" s="66">
        <f t="shared" si="68"/>
        <v>0</v>
      </c>
      <c r="J133" s="66">
        <f t="shared" ref="J133:K133" si="69">J132-J116</f>
        <v>0</v>
      </c>
      <c r="K133" s="66">
        <f t="shared" si="69"/>
        <v>0</v>
      </c>
      <c r="L133" s="66">
        <f t="shared" ref="L133:N133" si="70">L132-L116</f>
        <v>0</v>
      </c>
      <c r="M133" s="66">
        <f t="shared" si="70"/>
        <v>0</v>
      </c>
      <c r="N133" s="66">
        <f t="shared" si="70"/>
        <v>0</v>
      </c>
      <c r="O133" s="66"/>
      <c r="P133" s="66">
        <f>P132-P116</f>
        <v>0</v>
      </c>
    </row>
    <row r="135" spans="2:16">
      <c r="E135" s="65"/>
      <c r="F135" s="65"/>
      <c r="G135" s="65"/>
      <c r="H135" s="65"/>
      <c r="I135" s="65"/>
      <c r="J135" s="65"/>
    </row>
  </sheetData>
  <printOptions horizontalCentered="1" verticalCentered="1"/>
  <pageMargins left="0.39370078740157483" right="0.39370078740157483" top="0.39370078740157483" bottom="0.39370078740157483" header="0.31496062992125984" footer="0.23622047244094491"/>
  <pageSetup scale="44" orientation="portrait" horizontalDpi="300" r:id="rId1"/>
  <headerFooter alignWithMargins="0">
    <oddHeader>&amp;L
NOMBRE DE LA DISTRIBUIDORA: &amp;UENSA.&amp;R&amp;9&amp;A</oddHeader>
  </headerFooter>
  <rowBreaks count="1" manualBreakCount="1">
    <brk id="116" max="9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Hoja93">
    <tabColor theme="7" tint="0.59999389629810485"/>
    <pageSetUpPr fitToPage="1"/>
  </sheetPr>
  <dimension ref="B2:P32"/>
  <sheetViews>
    <sheetView zoomScale="85" zoomScaleNormal="85" zoomScaleSheetLayoutView="85" workbookViewId="0">
      <selection activeCell="P20" sqref="P20"/>
    </sheetView>
  </sheetViews>
  <sheetFormatPr baseColWidth="10" defaultColWidth="10" defaultRowHeight="15"/>
  <cols>
    <col min="1" max="1" width="1.625" style="167" customWidth="1"/>
    <col min="2" max="2" width="27.75" style="167" customWidth="1"/>
    <col min="3" max="3" width="11.75" style="167" customWidth="1"/>
    <col min="4" max="4" width="3.25" style="169" bestFit="1" customWidth="1"/>
    <col min="5" max="6" width="13.375" style="694" customWidth="1"/>
    <col min="7" max="7" width="0.875" style="167" customWidth="1"/>
    <col min="8" max="8" width="11.25" style="167" bestFit="1" customWidth="1"/>
    <col min="9" max="9" width="1.375" style="167" customWidth="1"/>
    <col min="10" max="10" width="11.625" style="167" customWidth="1"/>
    <col min="11" max="11" width="12.25" style="167" customWidth="1"/>
    <col min="12" max="12" width="1.125" style="167" customWidth="1"/>
    <col min="13" max="13" width="6.125" style="169" bestFit="1" customWidth="1"/>
    <col min="14" max="14" width="6.75" style="169" bestFit="1" customWidth="1"/>
    <col min="15" max="16384" width="10" style="167"/>
  </cols>
  <sheetData>
    <row r="2" spans="2:16">
      <c r="B2" s="177" t="s">
        <v>1763</v>
      </c>
      <c r="C2" s="177"/>
      <c r="D2" s="177"/>
      <c r="E2" s="1577"/>
      <c r="F2" s="1577"/>
      <c r="G2" s="177"/>
      <c r="H2" s="177"/>
      <c r="I2" s="177"/>
      <c r="J2" s="177"/>
      <c r="K2" s="177"/>
      <c r="L2" s="359"/>
      <c r="M2" s="167"/>
      <c r="N2" s="167"/>
    </row>
    <row r="3" spans="2:16" s="363" customFormat="1" ht="8.4499999999999993" customHeight="1">
      <c r="D3" s="364"/>
      <c r="E3" s="1576"/>
      <c r="F3" s="1576"/>
      <c r="M3" s="364"/>
      <c r="N3" s="364"/>
    </row>
    <row r="4" spans="2:16" s="1541" customFormat="1">
      <c r="B4" s="360"/>
      <c r="C4" s="360"/>
      <c r="D4" s="360"/>
      <c r="E4" s="1578" t="s">
        <v>764</v>
      </c>
      <c r="F4" s="1578"/>
      <c r="G4" s="361"/>
      <c r="H4" s="361"/>
      <c r="I4" s="362"/>
      <c r="J4" s="360"/>
      <c r="K4" s="360"/>
    </row>
    <row r="5" spans="2:16" s="1541" customFormat="1">
      <c r="B5" s="360"/>
      <c r="C5" s="365"/>
      <c r="D5" s="360"/>
      <c r="E5" s="1578" t="s">
        <v>710</v>
      </c>
      <c r="F5" s="1578"/>
      <c r="G5" s="360" t="s">
        <v>487</v>
      </c>
      <c r="H5" s="360"/>
      <c r="I5" s="362"/>
      <c r="J5" s="360"/>
      <c r="K5" s="360"/>
    </row>
    <row r="6" spans="2:16" s="363" customFormat="1" ht="24">
      <c r="B6" s="365" t="s">
        <v>710</v>
      </c>
      <c r="C6" s="365" t="s">
        <v>1366</v>
      </c>
      <c r="D6" s="366"/>
      <c r="E6" s="365" t="s">
        <v>1816</v>
      </c>
      <c r="F6" s="365" t="s">
        <v>1882</v>
      </c>
      <c r="G6" s="360"/>
      <c r="H6" s="365" t="s">
        <v>791</v>
      </c>
      <c r="I6" s="367"/>
      <c r="J6" s="365" t="s">
        <v>748</v>
      </c>
      <c r="K6" s="365" t="s">
        <v>451</v>
      </c>
      <c r="M6" s="364"/>
      <c r="N6" s="364"/>
    </row>
    <row r="7" spans="2:16" s="363" customFormat="1" ht="6" customHeight="1">
      <c r="B7" s="368"/>
      <c r="C7" s="369"/>
      <c r="D7" s="370"/>
      <c r="E7" s="1579"/>
      <c r="F7" s="1579"/>
      <c r="G7" s="369"/>
      <c r="H7" s="369"/>
      <c r="I7" s="362"/>
      <c r="J7" s="369"/>
      <c r="K7" s="369"/>
      <c r="M7" s="364"/>
      <c r="N7" s="364"/>
    </row>
    <row r="8" spans="2:16" s="363" customFormat="1" ht="15.75">
      <c r="B8" s="368">
        <v>45839</v>
      </c>
      <c r="C8" s="369">
        <v>601343.76</v>
      </c>
      <c r="D8" s="371"/>
      <c r="E8" s="1579">
        <f t="array" ref="E8:E18">TRANSPOSE(GEN506CVC!$D$116:$N$116)</f>
        <v>0</v>
      </c>
      <c r="F8" s="1579">
        <f>E26</f>
        <v>601343.76</v>
      </c>
      <c r="G8" s="369"/>
      <c r="H8" s="369">
        <f t="shared" ref="H8:H16" si="0">SUM(E8:G8)</f>
        <v>601343.76</v>
      </c>
      <c r="I8" s="362"/>
      <c r="J8" s="369">
        <f>J7+C8-H8</f>
        <v>0</v>
      </c>
      <c r="K8" s="369">
        <f t="shared" ref="K8:K16" si="1">J8*IF(J8&lt;0,$C$22,$C$23)/12</f>
        <v>0</v>
      </c>
      <c r="M8" s="372"/>
      <c r="N8" s="364"/>
      <c r="O8" s="1971">
        <f>-E8</f>
        <v>0</v>
      </c>
      <c r="P8" s="1971">
        <f>-F8</f>
        <v>-601343.76</v>
      </c>
    </row>
    <row r="9" spans="2:16" s="363" customFormat="1" ht="15.75">
      <c r="B9" s="368">
        <v>45870</v>
      </c>
      <c r="C9" s="369">
        <v>1406434.5699999998</v>
      </c>
      <c r="D9" s="371"/>
      <c r="E9" s="1579">
        <v>0</v>
      </c>
      <c r="F9" s="1579">
        <f t="shared" ref="F9:F10" si="2">E27</f>
        <v>1406434.57</v>
      </c>
      <c r="G9" s="369"/>
      <c r="H9" s="369">
        <f t="shared" si="0"/>
        <v>1406434.57</v>
      </c>
      <c r="I9" s="362"/>
      <c r="J9" s="369">
        <f t="shared" ref="J9:J16" si="3">J8+C9-H9</f>
        <v>0</v>
      </c>
      <c r="K9" s="369">
        <f t="shared" si="1"/>
        <v>0</v>
      </c>
      <c r="M9" s="372"/>
      <c r="N9" s="364"/>
      <c r="O9" s="1971">
        <f t="shared" ref="O9:P18" si="4">-E9</f>
        <v>0</v>
      </c>
      <c r="P9" s="1971">
        <f t="shared" si="4"/>
        <v>-1406434.57</v>
      </c>
    </row>
    <row r="10" spans="2:16" s="363" customFormat="1" ht="15.75">
      <c r="B10" s="368">
        <v>45901</v>
      </c>
      <c r="C10" s="369">
        <v>2490142.4300000002</v>
      </c>
      <c r="D10" s="371"/>
      <c r="E10" s="1579">
        <v>1451558.8015225001</v>
      </c>
      <c r="F10" s="1579">
        <f t="shared" si="2"/>
        <v>1832931.96</v>
      </c>
      <c r="G10" s="369"/>
      <c r="H10" s="369">
        <f t="shared" si="0"/>
        <v>3284490.7615224998</v>
      </c>
      <c r="I10" s="362"/>
      <c r="J10" s="369">
        <f t="shared" si="3"/>
        <v>-794348.33152249968</v>
      </c>
      <c r="K10" s="369">
        <f t="shared" si="1"/>
        <v>-2720.6430354645618</v>
      </c>
      <c r="M10" s="372">
        <f t="shared" ref="M10:M14" si="5">K10/J10*12</f>
        <v>4.1100000000000005E-2</v>
      </c>
      <c r="N10" s="364"/>
      <c r="O10" s="1971">
        <f t="shared" si="4"/>
        <v>-1451558.8015225001</v>
      </c>
      <c r="P10" s="1971">
        <f t="shared" si="4"/>
        <v>-1832931.96</v>
      </c>
    </row>
    <row r="11" spans="2:16" s="363" customFormat="1" ht="15.75">
      <c r="B11" s="368">
        <v>45931</v>
      </c>
      <c r="C11" s="369">
        <v>1334351.1399999999</v>
      </c>
      <c r="D11" s="371"/>
      <c r="E11" s="1579">
        <v>1475615.4088825001</v>
      </c>
      <c r="F11" s="1579"/>
      <c r="G11" s="369"/>
      <c r="H11" s="369">
        <f t="shared" si="0"/>
        <v>1475615.4088825001</v>
      </c>
      <c r="I11" s="362"/>
      <c r="J11" s="369">
        <f t="shared" si="3"/>
        <v>-935612.60040499992</v>
      </c>
      <c r="K11" s="369">
        <f t="shared" si="1"/>
        <v>-3204.4731563871251</v>
      </c>
      <c r="M11" s="372">
        <f t="shared" si="5"/>
        <v>4.1100000000000005E-2</v>
      </c>
      <c r="N11" s="364"/>
      <c r="O11" s="1971">
        <f t="shared" si="4"/>
        <v>-1475615.4088825001</v>
      </c>
      <c r="P11" s="1971">
        <f t="shared" si="4"/>
        <v>0</v>
      </c>
    </row>
    <row r="12" spans="2:16" s="363" customFormat="1" ht="15.75">
      <c r="B12" s="368">
        <v>45962</v>
      </c>
      <c r="C12" s="369">
        <v>2195605.9700000002</v>
      </c>
      <c r="D12" s="371"/>
      <c r="E12" s="1579">
        <v>1412364.6401895003</v>
      </c>
      <c r="F12" s="1579"/>
      <c r="G12" s="369"/>
      <c r="H12" s="369">
        <f t="shared" si="0"/>
        <v>1412364.6401895003</v>
      </c>
      <c r="I12" s="362"/>
      <c r="J12" s="369">
        <f t="shared" si="3"/>
        <v>-152371.27059450001</v>
      </c>
      <c r="K12" s="369">
        <f t="shared" si="1"/>
        <v>-521.87160178616261</v>
      </c>
      <c r="M12" s="372">
        <f t="shared" si="5"/>
        <v>4.1100000000000005E-2</v>
      </c>
      <c r="O12" s="1971">
        <f t="shared" si="4"/>
        <v>-1412364.6401895003</v>
      </c>
      <c r="P12" s="1971">
        <f t="shared" si="4"/>
        <v>0</v>
      </c>
    </row>
    <row r="13" spans="2:16" s="363" customFormat="1" ht="15.75">
      <c r="B13" s="368">
        <v>45992</v>
      </c>
      <c r="C13" s="369">
        <v>3470022.61</v>
      </c>
      <c r="D13" s="371"/>
      <c r="E13" s="1579">
        <v>1415591.2890784999</v>
      </c>
      <c r="F13" s="1579"/>
      <c r="G13" s="369"/>
      <c r="H13" s="369">
        <f t="shared" si="0"/>
        <v>1415591.2890784999</v>
      </c>
      <c r="I13" s="362"/>
      <c r="J13" s="369">
        <f t="shared" si="3"/>
        <v>1902060.050327</v>
      </c>
      <c r="K13" s="369">
        <f t="shared" si="1"/>
        <v>11840.323813285575</v>
      </c>
      <c r="M13" s="372">
        <f t="shared" si="5"/>
        <v>7.4699999999999989E-2</v>
      </c>
      <c r="O13" s="1971">
        <f t="shared" si="4"/>
        <v>-1415591.2890784999</v>
      </c>
      <c r="P13" s="1971">
        <f t="shared" si="4"/>
        <v>0</v>
      </c>
    </row>
    <row r="14" spans="2:16" s="363" customFormat="1" ht="15.75">
      <c r="B14" s="368">
        <v>46023</v>
      </c>
      <c r="C14" s="369"/>
      <c r="D14" s="370"/>
      <c r="E14" s="1579">
        <v>1054935.8408670002</v>
      </c>
      <c r="F14" s="1579"/>
      <c r="G14" s="369"/>
      <c r="H14" s="369">
        <f t="shared" si="0"/>
        <v>1054935.8408670002</v>
      </c>
      <c r="I14" s="362"/>
      <c r="J14" s="369">
        <f t="shared" si="3"/>
        <v>847124.20945999981</v>
      </c>
      <c r="K14" s="369">
        <f t="shared" si="1"/>
        <v>5273.3482038884986</v>
      </c>
      <c r="M14" s="372">
        <f t="shared" si="5"/>
        <v>7.4699999999999989E-2</v>
      </c>
      <c r="O14" s="1971">
        <f t="shared" si="4"/>
        <v>-1054935.8408670002</v>
      </c>
      <c r="P14" s="1971">
        <f t="shared" si="4"/>
        <v>0</v>
      </c>
    </row>
    <row r="15" spans="2:16" s="363" customFormat="1" ht="15.75">
      <c r="B15" s="368">
        <v>46054</v>
      </c>
      <c r="C15" s="369"/>
      <c r="D15" s="370"/>
      <c r="E15" s="1579">
        <v>1772782.0752659999</v>
      </c>
      <c r="F15" s="1579"/>
      <c r="G15" s="369"/>
      <c r="H15" s="369">
        <f t="shared" si="0"/>
        <v>1772782.0752659999</v>
      </c>
      <c r="I15" s="362"/>
      <c r="J15" s="369">
        <f t="shared" si="3"/>
        <v>-925657.86580600007</v>
      </c>
      <c r="K15" s="369">
        <f t="shared" si="1"/>
        <v>-3170.3781903855506</v>
      </c>
      <c r="M15" s="372">
        <f>K15/J15*12</f>
        <v>4.1100000000000005E-2</v>
      </c>
      <c r="O15" s="1971">
        <f t="shared" si="4"/>
        <v>-1772782.0752659999</v>
      </c>
      <c r="P15" s="1971">
        <f t="shared" si="4"/>
        <v>0</v>
      </c>
    </row>
    <row r="16" spans="2:16" s="363" customFormat="1" ht="15.75">
      <c r="B16" s="368">
        <v>46082</v>
      </c>
      <c r="C16" s="369"/>
      <c r="D16" s="370"/>
      <c r="E16" s="1579">
        <v>874288.7283534999</v>
      </c>
      <c r="F16" s="1579"/>
      <c r="G16" s="369"/>
      <c r="H16" s="369">
        <f t="shared" si="0"/>
        <v>874288.7283534999</v>
      </c>
      <c r="I16" s="362"/>
      <c r="J16" s="369">
        <f t="shared" si="3"/>
        <v>-1799946.5941595</v>
      </c>
      <c r="K16" s="369">
        <f t="shared" si="1"/>
        <v>-6164.817084996288</v>
      </c>
      <c r="M16" s="372">
        <f>K16/J16*12</f>
        <v>4.1100000000000005E-2</v>
      </c>
      <c r="N16" s="364"/>
      <c r="O16" s="1971">
        <f t="shared" si="4"/>
        <v>-874288.7283534999</v>
      </c>
      <c r="P16" s="1971">
        <f t="shared" si="4"/>
        <v>0</v>
      </c>
    </row>
    <row r="17" spans="2:16" s="363" customFormat="1" ht="15.75">
      <c r="B17" s="368">
        <v>46113</v>
      </c>
      <c r="C17" s="369"/>
      <c r="D17" s="370"/>
      <c r="E17" s="1579">
        <v>852614.81073650008</v>
      </c>
      <c r="F17" s="1579"/>
      <c r="G17" s="369"/>
      <c r="H17" s="369">
        <f t="shared" ref="H17:H18" si="6">SUM(E17:G17)</f>
        <v>852614.81073650008</v>
      </c>
      <c r="I17" s="362"/>
      <c r="J17" s="369">
        <f t="shared" ref="J17:J18" si="7">J16+C17-H17</f>
        <v>-2652561.4048959999</v>
      </c>
      <c r="K17" s="369">
        <f t="shared" ref="K17:K18" si="8">J17*IF(J17&lt;0,$C$22,$C$23)/12</f>
        <v>-9085.0228117688002</v>
      </c>
      <c r="M17" s="372">
        <f t="shared" ref="M17:M18" si="9">K17/J17*12</f>
        <v>4.1099999999999998E-2</v>
      </c>
      <c r="N17" s="364"/>
      <c r="O17" s="1971">
        <f t="shared" si="4"/>
        <v>-852614.81073650008</v>
      </c>
      <c r="P17" s="1971">
        <f t="shared" si="4"/>
        <v>0</v>
      </c>
    </row>
    <row r="18" spans="2:16" s="363" customFormat="1" ht="15.75">
      <c r="B18" s="368">
        <v>46143</v>
      </c>
      <c r="C18" s="369"/>
      <c r="D18" s="370"/>
      <c r="E18" s="1579">
        <v>889130.151771</v>
      </c>
      <c r="F18" s="1579"/>
      <c r="G18" s="369"/>
      <c r="H18" s="369">
        <f t="shared" si="6"/>
        <v>889130.151771</v>
      </c>
      <c r="I18" s="362"/>
      <c r="J18" s="369">
        <f t="shared" si="7"/>
        <v>-3541691.5566670001</v>
      </c>
      <c r="K18" s="369">
        <f t="shared" si="8"/>
        <v>-12130.293581584476</v>
      </c>
      <c r="M18" s="372">
        <f t="shared" si="9"/>
        <v>4.1099999999999998E-2</v>
      </c>
      <c r="N18" s="364"/>
      <c r="O18" s="1971">
        <f t="shared" si="4"/>
        <v>-889130.151771</v>
      </c>
      <c r="P18" s="1971">
        <f t="shared" si="4"/>
        <v>0</v>
      </c>
    </row>
    <row r="19" spans="2:16" s="363" customFormat="1" ht="4.9000000000000004" customHeight="1">
      <c r="B19" s="368"/>
      <c r="C19" s="369"/>
      <c r="D19" s="370"/>
      <c r="E19" s="1579"/>
      <c r="F19" s="1579"/>
      <c r="G19" s="369"/>
      <c r="H19" s="369"/>
      <c r="I19" s="362"/>
      <c r="J19" s="369"/>
      <c r="K19" s="373"/>
      <c r="M19" s="364"/>
      <c r="N19" s="364"/>
    </row>
    <row r="20" spans="2:16" s="363" customFormat="1" ht="15.75">
      <c r="B20" s="374" t="s">
        <v>111</v>
      </c>
      <c r="C20" s="374">
        <f>SUM(C8:C19)</f>
        <v>11497900.479999999</v>
      </c>
      <c r="D20" s="374"/>
      <c r="E20" s="2013">
        <f>SUM(E8:E19)</f>
        <v>11198881.746667001</v>
      </c>
      <c r="F20" s="2013">
        <f>SUM(F8:F19)</f>
        <v>3840710.29</v>
      </c>
      <c r="G20" s="374">
        <f>SUM(G8:G19)</f>
        <v>0</v>
      </c>
      <c r="H20" s="374">
        <f>SUM(H8:H19)</f>
        <v>15039592.036667001</v>
      </c>
      <c r="I20" s="362"/>
      <c r="J20" s="374"/>
      <c r="K20" s="374">
        <f>SUM(K8:K19)</f>
        <v>-19883.827445198891</v>
      </c>
      <c r="M20" s="364"/>
      <c r="N20" s="364"/>
    </row>
    <row r="21" spans="2:16" s="363" customFormat="1" ht="8.4499999999999993" customHeight="1">
      <c r="D21" s="364"/>
      <c r="E21" s="1576"/>
      <c r="F21" s="1576"/>
      <c r="M21" s="364"/>
      <c r="N21" s="364"/>
    </row>
    <row r="22" spans="2:16" s="791" customFormat="1" ht="13.5">
      <c r="B22" s="1649" t="s">
        <v>783</v>
      </c>
      <c r="C22" s="1651">
        <f>'TI700'!D18/100</f>
        <v>4.1100000000000005E-2</v>
      </c>
    </row>
    <row r="23" spans="2:16" s="791" customFormat="1" ht="13.5">
      <c r="B23" s="1649" t="s">
        <v>784</v>
      </c>
      <c r="C23" s="1651">
        <f>'TI700'!C18/100</f>
        <v>7.4700000000000003E-2</v>
      </c>
    </row>
    <row r="24" spans="2:16" s="791" customFormat="1" ht="13.5"/>
    <row r="25" spans="2:16" s="363" customFormat="1" ht="15.75">
      <c r="B25" s="1583" t="s">
        <v>1817</v>
      </c>
      <c r="C25" s="1539"/>
      <c r="D25" s="1540"/>
      <c r="E25" s="1584"/>
      <c r="F25" s="1576"/>
      <c r="M25" s="364"/>
      <c r="N25" s="364"/>
    </row>
    <row r="26" spans="2:16" s="1576" customFormat="1" ht="12">
      <c r="B26" s="1582" t="s">
        <v>1814</v>
      </c>
      <c r="C26" s="1585">
        <v>45898</v>
      </c>
      <c r="D26" s="1584"/>
      <c r="E26" s="1586">
        <v>601343.76</v>
      </c>
    </row>
    <row r="27" spans="2:16" s="1576" customFormat="1" ht="12">
      <c r="B27" s="1582" t="s">
        <v>1815</v>
      </c>
      <c r="C27" s="1585">
        <v>45936</v>
      </c>
      <c r="D27" s="1584"/>
      <c r="E27" s="1586">
        <v>1406434.57</v>
      </c>
    </row>
    <row r="28" spans="2:16" s="363" customFormat="1" ht="15.75">
      <c r="B28" s="1582" t="s">
        <v>1838</v>
      </c>
      <c r="C28" s="1585">
        <v>45960</v>
      </c>
      <c r="D28" s="364"/>
      <c r="E28" s="1586">
        <v>1832931.96</v>
      </c>
      <c r="F28" s="1576"/>
      <c r="M28" s="364"/>
      <c r="N28" s="364"/>
    </row>
    <row r="29" spans="2:16" s="363" customFormat="1" ht="15.75">
      <c r="D29" s="364"/>
      <c r="E29" s="1576"/>
      <c r="F29" s="1576"/>
      <c r="M29" s="364"/>
      <c r="N29" s="364"/>
    </row>
    <row r="30" spans="2:16" s="363" customFormat="1" ht="15.75">
      <c r="B30" s="375" t="s">
        <v>793</v>
      </c>
      <c r="D30" s="364"/>
      <c r="E30" s="1576"/>
      <c r="F30" s="1580"/>
      <c r="G30" s="376"/>
      <c r="H30" s="376"/>
      <c r="M30" s="364"/>
      <c r="N30" s="364"/>
    </row>
    <row r="31" spans="2:16" s="363" customFormat="1" ht="15.75">
      <c r="B31" s="375" t="s">
        <v>785</v>
      </c>
      <c r="D31" s="364"/>
      <c r="E31" s="1576"/>
      <c r="F31" s="1580"/>
      <c r="G31" s="376"/>
      <c r="H31" s="376"/>
      <c r="M31" s="364"/>
      <c r="N31" s="364"/>
    </row>
    <row r="32" spans="2:16" s="363" customFormat="1" ht="15.75">
      <c r="B32" s="52" t="str">
        <f>'PORTADA PORTADA PORTADA'!$B$23</f>
        <v>1 DE JULIO DE 2026</v>
      </c>
      <c r="D32" s="364"/>
      <c r="E32" s="1576"/>
      <c r="F32" s="1581"/>
      <c r="H32" s="377"/>
      <c r="M32" s="364"/>
      <c r="N32" s="364"/>
    </row>
  </sheetData>
  <printOptions horizontalCentered="1" verticalCentered="1"/>
  <pageMargins left="0.59055118110236204" right="0.59055118110236204" top="0.78740157480314998" bottom="0.59055118110236204" header="0.59055118110236204" footer="0.47244094488188998"/>
  <pageSetup orientation="landscape" r:id="rId1"/>
  <headerFooter>
    <oddHeader>&amp;L&amp;"Times New Roman,Negrita"&amp;14Nombre de la Distribuidora: &amp;K06-048ENSA&amp;RASEP FORM: &amp;A</oddHeader>
    <oddFooter>&amp;R&amp;A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28057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280577" r:id="rId4"/>
      </mc:Fallback>
    </mc:AlternateContent>
  </oleObject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Hoja68">
    <tabColor theme="7" tint="0.59999389629810485"/>
    <pageSetUpPr fitToPage="1"/>
  </sheetPr>
  <dimension ref="B1:P31"/>
  <sheetViews>
    <sheetView zoomScale="70" zoomScaleNormal="70" zoomScaleSheetLayoutView="70" workbookViewId="0">
      <pane xSplit="2" ySplit="4" topLeftCell="C5" activePane="bottomRight" state="frozen"/>
      <selection pane="topRight" activeCell="D1" sqref="D1"/>
      <selection pane="bottomLeft" activeCell="A5" sqref="A5"/>
      <selection pane="bottomRight" activeCell="F23" sqref="F23"/>
    </sheetView>
  </sheetViews>
  <sheetFormatPr baseColWidth="10" defaultColWidth="10" defaultRowHeight="15"/>
  <cols>
    <col min="1" max="1" width="1.125" style="167" customWidth="1"/>
    <col min="2" max="2" width="19.5" style="167" customWidth="1"/>
    <col min="3" max="3" width="1" style="136" customWidth="1"/>
    <col min="4" max="6" width="13.375" style="167" customWidth="1"/>
    <col min="7" max="7" width="0.75" style="167" customWidth="1"/>
    <col min="8" max="10" width="13.375" style="167" customWidth="1"/>
    <col min="11" max="11" width="0.75" style="167" customWidth="1"/>
    <col min="12" max="12" width="13.375" style="167" customWidth="1"/>
    <col min="13" max="13" width="7.125" style="136" bestFit="1" customWidth="1"/>
    <col min="14" max="14" width="13.375" style="167" customWidth="1"/>
    <col min="15" max="15" width="3.125" style="167" customWidth="1"/>
    <col min="16" max="16384" width="10" style="167"/>
  </cols>
  <sheetData>
    <row r="1" spans="2:16" ht="37.5">
      <c r="B1" s="358" t="s">
        <v>1335</v>
      </c>
      <c r="C1" s="177"/>
      <c r="D1" s="177"/>
      <c r="E1" s="177"/>
      <c r="F1" s="177"/>
      <c r="G1" s="177"/>
      <c r="H1" s="177"/>
      <c r="I1" s="177"/>
      <c r="J1" s="177"/>
      <c r="K1" s="358"/>
      <c r="L1" s="177"/>
      <c r="M1" s="177"/>
      <c r="N1" s="177"/>
      <c r="O1" s="359"/>
    </row>
    <row r="2" spans="2:16">
      <c r="B2" s="360"/>
      <c r="C2" s="361" t="s">
        <v>1513</v>
      </c>
      <c r="D2" s="361"/>
      <c r="E2" s="361"/>
      <c r="F2" s="361"/>
      <c r="G2" s="378" t="s">
        <v>1512</v>
      </c>
      <c r="H2" s="378"/>
      <c r="I2" s="378"/>
      <c r="J2" s="378"/>
      <c r="K2" s="2020"/>
      <c r="L2" s="379" t="s">
        <v>1336</v>
      </c>
      <c r="M2" s="379"/>
      <c r="N2" s="379"/>
      <c r="O2" s="359"/>
    </row>
    <row r="3" spans="2:16" ht="30">
      <c r="B3" s="360" t="s">
        <v>461</v>
      </c>
      <c r="C3" s="365"/>
      <c r="D3" s="360" t="s">
        <v>1514</v>
      </c>
      <c r="E3" s="360" t="s">
        <v>1713</v>
      </c>
      <c r="F3" s="360" t="s">
        <v>1836</v>
      </c>
      <c r="G3" s="879"/>
      <c r="H3" s="879" t="str">
        <f>D3</f>
        <v>FET
Jul-Dic 24</v>
      </c>
      <c r="I3" s="879" t="str">
        <f>E3</f>
        <v>FET
Ene-Jun 25</v>
      </c>
      <c r="J3" s="879" t="str">
        <f>F3</f>
        <v>FET
Jul-Dic 25</v>
      </c>
      <c r="K3" s="2020"/>
      <c r="L3" s="380" t="s">
        <v>748</v>
      </c>
      <c r="M3" s="380" t="s">
        <v>1761</v>
      </c>
      <c r="N3" s="380" t="s">
        <v>782</v>
      </c>
      <c r="O3" s="359"/>
    </row>
    <row r="4" spans="2:16" s="363" customFormat="1" ht="6" customHeight="1">
      <c r="B4" s="368"/>
      <c r="C4" s="365"/>
      <c r="D4" s="369"/>
      <c r="E4" s="369"/>
      <c r="F4" s="369"/>
      <c r="G4" s="850"/>
      <c r="H4" s="383"/>
      <c r="I4" s="383"/>
      <c r="J4" s="383"/>
      <c r="K4" s="2020"/>
      <c r="L4" s="369"/>
      <c r="M4" s="1907"/>
      <c r="N4" s="196"/>
    </row>
    <row r="5" spans="2:16" s="363" customFormat="1" ht="15.75">
      <c r="B5" s="1650">
        <v>45474</v>
      </c>
      <c r="C5" s="365"/>
      <c r="D5" s="369">
        <v>4473837.8600000003</v>
      </c>
      <c r="E5" s="369"/>
      <c r="F5" s="369"/>
      <c r="G5" s="2015"/>
      <c r="H5" s="369"/>
      <c r="I5" s="369"/>
      <c r="J5" s="369"/>
      <c r="K5" s="2020"/>
      <c r="L5" s="369">
        <f t="shared" ref="L5:L10" si="0">L4+SUM(D5:K5)</f>
        <v>4473837.8600000003</v>
      </c>
      <c r="M5" s="1945">
        <v>7.4399999999999994E-2</v>
      </c>
      <c r="N5" s="369">
        <f t="shared" ref="N5:N16" si="1">L5*$M5/12</f>
        <v>27737.794731999998</v>
      </c>
    </row>
    <row r="6" spans="2:16" s="363" customFormat="1" ht="15.75">
      <c r="B6" s="1650">
        <f t="shared" ref="B6:B10" si="2">B5+31</f>
        <v>45505</v>
      </c>
      <c r="C6" s="365"/>
      <c r="D6" s="369">
        <v>4458892.92</v>
      </c>
      <c r="E6" s="369"/>
      <c r="F6" s="369"/>
      <c r="G6" s="2015"/>
      <c r="H6" s="369"/>
      <c r="I6" s="369"/>
      <c r="J6" s="369"/>
      <c r="K6" s="2020"/>
      <c r="L6" s="369">
        <f t="shared" si="0"/>
        <v>8932730.7800000012</v>
      </c>
      <c r="M6" s="1945">
        <v>7.4399999999999994E-2</v>
      </c>
      <c r="N6" s="369">
        <f t="shared" si="1"/>
        <v>55382.930836000007</v>
      </c>
    </row>
    <row r="7" spans="2:16" s="363" customFormat="1" ht="15.75">
      <c r="B7" s="1650">
        <f t="shared" si="2"/>
        <v>45536</v>
      </c>
      <c r="C7" s="365"/>
      <c r="D7" s="369">
        <v>4381808.3899999997</v>
      </c>
      <c r="E7" s="369"/>
      <c r="F7" s="369"/>
      <c r="G7" s="2015"/>
      <c r="H7" s="369"/>
      <c r="I7" s="369"/>
      <c r="J7" s="369"/>
      <c r="K7" s="2020"/>
      <c r="L7" s="369">
        <f t="shared" si="0"/>
        <v>13314539.170000002</v>
      </c>
      <c r="M7" s="1945">
        <v>7.4399999999999994E-2</v>
      </c>
      <c r="N7" s="369">
        <f t="shared" si="1"/>
        <v>82550.142854000005</v>
      </c>
    </row>
    <row r="8" spans="2:16" s="363" customFormat="1" ht="15.75">
      <c r="B8" s="1650">
        <f t="shared" si="2"/>
        <v>45567</v>
      </c>
      <c r="C8" s="365"/>
      <c r="D8" s="369">
        <v>3970782.62</v>
      </c>
      <c r="E8" s="369"/>
      <c r="F8" s="369"/>
      <c r="G8" s="2015"/>
      <c r="H8" s="369"/>
      <c r="I8" s="369"/>
      <c r="J8" s="369"/>
      <c r="K8" s="2020"/>
      <c r="L8" s="369">
        <f t="shared" si="0"/>
        <v>17285321.790000003</v>
      </c>
      <c r="M8" s="1945">
        <v>7.4399999999999994E-2</v>
      </c>
      <c r="N8" s="369">
        <f t="shared" si="1"/>
        <v>107168.995098</v>
      </c>
    </row>
    <row r="9" spans="2:16" s="363" customFormat="1" ht="15.75">
      <c r="B9" s="1650">
        <f t="shared" si="2"/>
        <v>45598</v>
      </c>
      <c r="C9" s="365"/>
      <c r="D9" s="369">
        <v>3302218.4</v>
      </c>
      <c r="E9" s="369"/>
      <c r="F9" s="369"/>
      <c r="G9" s="2015"/>
      <c r="H9" s="369"/>
      <c r="I9" s="369"/>
      <c r="J9" s="369"/>
      <c r="K9" s="2020"/>
      <c r="L9" s="369">
        <f t="shared" si="0"/>
        <v>20587540.190000001</v>
      </c>
      <c r="M9" s="1945">
        <v>7.4399999999999994E-2</v>
      </c>
      <c r="N9" s="369">
        <f t="shared" si="1"/>
        <v>127642.74917799998</v>
      </c>
    </row>
    <row r="10" spans="2:16" s="363" customFormat="1" ht="15.75">
      <c r="B10" s="1939">
        <f t="shared" si="2"/>
        <v>45629</v>
      </c>
      <c r="C10" s="365"/>
      <c r="D10" s="1940">
        <v>3336654.68</v>
      </c>
      <c r="E10" s="1940"/>
      <c r="F10" s="1940"/>
      <c r="G10" s="2016"/>
      <c r="H10" s="1940"/>
      <c r="I10" s="1940"/>
      <c r="J10" s="1940"/>
      <c r="K10" s="2020"/>
      <c r="L10" s="1940">
        <f t="shared" si="0"/>
        <v>23924194.870000001</v>
      </c>
      <c r="M10" s="1946">
        <v>7.4399999999999994E-2</v>
      </c>
      <c r="N10" s="1940">
        <f t="shared" si="1"/>
        <v>148330.00819399999</v>
      </c>
    </row>
    <row r="11" spans="2:16" s="363" customFormat="1" ht="15.75">
      <c r="B11" s="1935">
        <v>45658</v>
      </c>
      <c r="C11" s="365"/>
      <c r="D11" s="1936"/>
      <c r="E11" s="1937">
        <v>3280990.18</v>
      </c>
      <c r="F11" s="1937"/>
      <c r="G11" s="2017"/>
      <c r="H11" s="1938"/>
      <c r="I11" s="1938"/>
      <c r="J11" s="1938"/>
      <c r="K11" s="2020"/>
      <c r="L11" s="1937">
        <f t="shared" ref="L11:L16" si="3">L10+SUM(D11:K11)</f>
        <v>27205185.050000001</v>
      </c>
      <c r="M11" s="1947">
        <f>7.47%</f>
        <v>7.4700000000000003E-2</v>
      </c>
      <c r="N11" s="1937">
        <f t="shared" si="1"/>
        <v>169352.27693625001</v>
      </c>
      <c r="O11" s="384"/>
      <c r="P11" s="1435"/>
    </row>
    <row r="12" spans="2:16" s="363" customFormat="1" ht="15.75">
      <c r="B12" s="1650">
        <v>45689</v>
      </c>
      <c r="C12" s="365"/>
      <c r="D12" s="794"/>
      <c r="E12" s="369">
        <v>3048620.34</v>
      </c>
      <c r="F12" s="369"/>
      <c r="G12" s="2018"/>
      <c r="H12" s="796"/>
      <c r="I12" s="796"/>
      <c r="J12" s="796"/>
      <c r="K12" s="2020"/>
      <c r="L12" s="369">
        <f t="shared" si="3"/>
        <v>30253805.390000001</v>
      </c>
      <c r="M12" s="1945">
        <f t="shared" ref="M12:M16" si="4">7.47%</f>
        <v>7.4700000000000003E-2</v>
      </c>
      <c r="N12" s="369">
        <f t="shared" si="1"/>
        <v>188329.93855275001</v>
      </c>
      <c r="O12" s="384"/>
      <c r="P12" s="1435"/>
    </row>
    <row r="13" spans="2:16" s="363" customFormat="1" ht="15.75">
      <c r="B13" s="1650">
        <v>45717</v>
      </c>
      <c r="C13" s="365"/>
      <c r="D13" s="794"/>
      <c r="E13" s="369">
        <v>3277528.99</v>
      </c>
      <c r="F13" s="369"/>
      <c r="G13" s="2018"/>
      <c r="H13" s="796"/>
      <c r="I13" s="796"/>
      <c r="J13" s="796"/>
      <c r="K13" s="2020"/>
      <c r="L13" s="369">
        <f t="shared" si="3"/>
        <v>33531334.380000003</v>
      </c>
      <c r="M13" s="1945">
        <f t="shared" si="4"/>
        <v>7.4700000000000003E-2</v>
      </c>
      <c r="N13" s="369">
        <f t="shared" si="1"/>
        <v>208732.55651550004</v>
      </c>
      <c r="O13" s="384"/>
      <c r="P13" s="1435"/>
    </row>
    <row r="14" spans="2:16" s="363" customFormat="1" ht="15.75">
      <c r="B14" s="1650">
        <v>45748</v>
      </c>
      <c r="C14" s="365"/>
      <c r="D14" s="794"/>
      <c r="E14" s="369">
        <v>3184084.9899999998</v>
      </c>
      <c r="F14" s="369"/>
      <c r="G14" s="2018"/>
      <c r="H14" s="796"/>
      <c r="I14" s="796"/>
      <c r="J14" s="796"/>
      <c r="K14" s="2020"/>
      <c r="L14" s="369">
        <f t="shared" si="3"/>
        <v>36715419.370000005</v>
      </c>
      <c r="M14" s="1945">
        <f t="shared" si="4"/>
        <v>7.4700000000000003E-2</v>
      </c>
      <c r="N14" s="369">
        <f t="shared" si="1"/>
        <v>228553.48557825002</v>
      </c>
      <c r="O14" s="384"/>
      <c r="P14" s="1435"/>
    </row>
    <row r="15" spans="2:16" s="363" customFormat="1" ht="15.75">
      <c r="B15" s="1650">
        <v>45778</v>
      </c>
      <c r="C15" s="365"/>
      <c r="D15" s="794"/>
      <c r="E15" s="369">
        <v>3330317.31</v>
      </c>
      <c r="F15" s="369"/>
      <c r="G15" s="2018"/>
      <c r="H15" s="796"/>
      <c r="I15" s="796"/>
      <c r="J15" s="796"/>
      <c r="K15" s="2020"/>
      <c r="L15" s="369">
        <f t="shared" si="3"/>
        <v>40045736.680000007</v>
      </c>
      <c r="M15" s="1945">
        <f t="shared" si="4"/>
        <v>7.4700000000000003E-2</v>
      </c>
      <c r="N15" s="369">
        <f t="shared" si="1"/>
        <v>249284.71083300005</v>
      </c>
      <c r="O15" s="384"/>
      <c r="P15" s="1435"/>
    </row>
    <row r="16" spans="2:16" s="363" customFormat="1" ht="15.75">
      <c r="B16" s="1650">
        <v>45809</v>
      </c>
      <c r="C16" s="365"/>
      <c r="D16" s="794"/>
      <c r="E16" s="369">
        <v>3337140.27</v>
      </c>
      <c r="F16" s="369"/>
      <c r="G16" s="2018"/>
      <c r="H16" s="796"/>
      <c r="I16" s="796"/>
      <c r="J16" s="796"/>
      <c r="K16" s="2020"/>
      <c r="L16" s="369">
        <f t="shared" si="3"/>
        <v>43382876.95000001</v>
      </c>
      <c r="M16" s="1945">
        <f t="shared" si="4"/>
        <v>7.4700000000000003E-2</v>
      </c>
      <c r="N16" s="369">
        <f t="shared" si="1"/>
        <v>270058.40901375009</v>
      </c>
      <c r="O16" s="384"/>
      <c r="P16" s="1435"/>
    </row>
    <row r="17" spans="2:16" s="363" customFormat="1" ht="15.75">
      <c r="B17" s="1941" t="s">
        <v>1837</v>
      </c>
      <c r="C17" s="365"/>
      <c r="D17" s="1942"/>
      <c r="E17" s="1940"/>
      <c r="F17" s="1940"/>
      <c r="G17" s="2019"/>
      <c r="H17" s="1943"/>
      <c r="I17" s="1943"/>
      <c r="J17" s="1943"/>
      <c r="K17" s="2020"/>
      <c r="L17" s="1940"/>
      <c r="M17" s="1946"/>
      <c r="N17" s="1944">
        <f>-SUM(N5:N16)</f>
        <v>-1863123.9983215001</v>
      </c>
      <c r="O17" s="384"/>
      <c r="P17" s="1435"/>
    </row>
    <row r="18" spans="2:16" s="363" customFormat="1" ht="15.75">
      <c r="B18" s="1935">
        <v>45839</v>
      </c>
      <c r="C18" s="365"/>
      <c r="D18" s="1936"/>
      <c r="E18" s="1937"/>
      <c r="F18" s="1937">
        <v>23359549.75</v>
      </c>
      <c r="G18" s="2017"/>
      <c r="H18" s="1938">
        <f>-SUM($D$5:$D$10)</f>
        <v>-23924194.870000001</v>
      </c>
      <c r="I18" s="1938"/>
      <c r="J18" s="1938"/>
      <c r="K18" s="2020"/>
      <c r="L18" s="1937">
        <f>L16+SUM(D18:K18)</f>
        <v>42818231.830000013</v>
      </c>
      <c r="M18" s="2014">
        <f>'TI700'!$C$18/100</f>
        <v>7.4700000000000003E-2</v>
      </c>
      <c r="N18" s="1937">
        <f t="shared" ref="N18:N23" si="5">L18*$M18/12</f>
        <v>266543.49314175011</v>
      </c>
      <c r="O18" s="384"/>
      <c r="P18" s="1435"/>
    </row>
    <row r="19" spans="2:16" s="363" customFormat="1" ht="15.75">
      <c r="B19" s="1650">
        <v>45870</v>
      </c>
      <c r="C19" s="365"/>
      <c r="D19" s="794"/>
      <c r="E19" s="369"/>
      <c r="F19" s="369">
        <v>23320437.23</v>
      </c>
      <c r="G19" s="2018"/>
      <c r="H19" s="796"/>
      <c r="I19" s="796"/>
      <c r="J19" s="796"/>
      <c r="K19" s="2020"/>
      <c r="L19" s="369">
        <f>L18+SUM(D19:K19)</f>
        <v>66138669.060000017</v>
      </c>
      <c r="M19" s="1945">
        <f>M18</f>
        <v>7.4700000000000003E-2</v>
      </c>
      <c r="N19" s="369">
        <f t="shared" si="5"/>
        <v>411713.21489850013</v>
      </c>
      <c r="O19" s="384"/>
      <c r="P19" s="1435"/>
    </row>
    <row r="20" spans="2:16" s="363" customFormat="1" ht="15.75">
      <c r="B20" s="1650">
        <v>45901</v>
      </c>
      <c r="C20" s="365"/>
      <c r="D20" s="794"/>
      <c r="E20" s="369"/>
      <c r="F20" s="369">
        <v>22959298.550000001</v>
      </c>
      <c r="G20" s="2018"/>
      <c r="H20" s="796"/>
      <c r="I20" s="796"/>
      <c r="J20" s="796"/>
      <c r="K20" s="2020"/>
      <c r="L20" s="369">
        <f>L19+SUM(D20:K20)</f>
        <v>89097967.610000014</v>
      </c>
      <c r="M20" s="1945">
        <f t="shared" ref="M20:M23" si="6">M19</f>
        <v>7.4700000000000003E-2</v>
      </c>
      <c r="N20" s="369">
        <f t="shared" si="5"/>
        <v>554634.8483722501</v>
      </c>
      <c r="O20" s="384"/>
      <c r="P20" s="1435"/>
    </row>
    <row r="21" spans="2:16" s="363" customFormat="1" ht="15.75">
      <c r="B21" s="1650">
        <v>45931</v>
      </c>
      <c r="C21" s="365"/>
      <c r="D21" s="794"/>
      <c r="E21" s="369"/>
      <c r="F21" s="369">
        <v>23297456.100000001</v>
      </c>
      <c r="G21" s="2018"/>
      <c r="H21" s="796"/>
      <c r="I21" s="796"/>
      <c r="J21" s="796"/>
      <c r="K21" s="2020"/>
      <c r="L21" s="369">
        <f>L20+SUM(D21:K21)</f>
        <v>112395423.71000001</v>
      </c>
      <c r="M21" s="1945">
        <f t="shared" si="6"/>
        <v>7.4700000000000003E-2</v>
      </c>
      <c r="N21" s="369">
        <f t="shared" si="5"/>
        <v>699661.51259475015</v>
      </c>
      <c r="O21" s="384"/>
      <c r="P21" s="1435"/>
    </row>
    <row r="22" spans="2:16" s="363" customFormat="1" ht="15.75">
      <c r="B22" s="1650">
        <v>45962</v>
      </c>
      <c r="C22" s="365"/>
      <c r="D22" s="794"/>
      <c r="E22" s="369"/>
      <c r="F22" s="369">
        <v>22519387.670000002</v>
      </c>
      <c r="G22" s="2018"/>
      <c r="H22" s="796"/>
      <c r="I22" s="796"/>
      <c r="J22" s="796"/>
      <c r="K22" s="2020"/>
      <c r="L22" s="369">
        <f>L21+SUM(D22:K22)</f>
        <v>134914811.38</v>
      </c>
      <c r="M22" s="1945">
        <f t="shared" si="6"/>
        <v>7.4700000000000003E-2</v>
      </c>
      <c r="N22" s="369">
        <f t="shared" si="5"/>
        <v>839844.70084050007</v>
      </c>
      <c r="O22" s="384"/>
      <c r="P22" s="1435"/>
    </row>
    <row r="23" spans="2:16" s="363" customFormat="1" ht="15.75">
      <c r="B23" s="1650">
        <v>45992</v>
      </c>
      <c r="C23" s="365"/>
      <c r="D23" s="794"/>
      <c r="E23" s="369"/>
      <c r="F23" s="369">
        <v>22685927.23</v>
      </c>
      <c r="G23" s="2018"/>
      <c r="H23" s="796"/>
      <c r="I23" s="796"/>
      <c r="J23" s="796"/>
      <c r="K23" s="2020"/>
      <c r="L23" s="369">
        <f>L22+SUM(D23:K23)</f>
        <v>157600738.60999998</v>
      </c>
      <c r="M23" s="1945">
        <f t="shared" si="6"/>
        <v>7.4700000000000003E-2</v>
      </c>
      <c r="N23" s="369">
        <f t="shared" si="5"/>
        <v>981064.59784724994</v>
      </c>
      <c r="O23" s="384"/>
      <c r="P23" s="1435"/>
    </row>
    <row r="24" spans="2:16" s="363" customFormat="1" ht="15.75">
      <c r="B24" s="795"/>
      <c r="C24" s="365"/>
      <c r="D24" s="794"/>
      <c r="E24" s="369"/>
      <c r="F24" s="369"/>
      <c r="G24" s="2018"/>
      <c r="H24" s="796"/>
      <c r="I24" s="796"/>
      <c r="J24" s="796"/>
      <c r="K24" s="2020"/>
      <c r="L24" s="369"/>
      <c r="M24" s="1908"/>
      <c r="N24" s="369"/>
      <c r="O24" s="384"/>
    </row>
    <row r="25" spans="2:16" s="363" customFormat="1" ht="15.75">
      <c r="B25" s="849" t="s">
        <v>112</v>
      </c>
      <c r="C25" s="365"/>
      <c r="D25" s="848">
        <f>SUM(D4:D24)</f>
        <v>23924194.870000001</v>
      </c>
      <c r="E25" s="848">
        <f>SUM(E4:E24)</f>
        <v>19458682.080000002</v>
      </c>
      <c r="F25" s="848">
        <f>SUM(F4:F24)</f>
        <v>138142056.53</v>
      </c>
      <c r="G25" s="850"/>
      <c r="H25" s="850">
        <f>SUM(H4:H24)</f>
        <v>-23924194.870000001</v>
      </c>
      <c r="I25" s="850">
        <f>SUM(I4:I24)</f>
        <v>0</v>
      </c>
      <c r="J25" s="850">
        <f>SUM(J4:J24)</f>
        <v>0</v>
      </c>
      <c r="K25" s="2020"/>
      <c r="L25" s="2021">
        <f>SUM(D25:K25)</f>
        <v>157600738.61000001</v>
      </c>
      <c r="M25" s="2021"/>
      <c r="N25" s="2021">
        <f>SUM(N4:N24)</f>
        <v>3753462.3676950005</v>
      </c>
    </row>
    <row r="26" spans="2:16" s="381" customFormat="1">
      <c r="C26" s="1905"/>
      <c r="D26" s="382"/>
      <c r="E26" s="382"/>
      <c r="F26" s="382"/>
      <c r="G26" s="382"/>
      <c r="H26" s="382"/>
      <c r="I26" s="382"/>
      <c r="J26" s="382"/>
      <c r="L26" s="2022">
        <f>L25-L23</f>
        <v>0</v>
      </c>
      <c r="M26" s="1905"/>
      <c r="N26" s="382">
        <f>SUM(N18:N23)</f>
        <v>3753462.3676950005</v>
      </c>
    </row>
    <row r="27" spans="2:16" s="381" customFormat="1">
      <c r="C27" s="1905"/>
      <c r="D27" s="382"/>
      <c r="E27" s="382"/>
      <c r="F27" s="382"/>
      <c r="G27" s="382"/>
      <c r="H27" s="382"/>
      <c r="I27" s="382"/>
      <c r="J27" s="382"/>
      <c r="M27" s="1905"/>
    </row>
    <row r="28" spans="2:16" s="363" customFormat="1" ht="15.75">
      <c r="C28" s="1906"/>
      <c r="D28" s="382"/>
      <c r="E28" s="382"/>
      <c r="F28" s="382"/>
      <c r="G28" s="382"/>
      <c r="H28" s="382"/>
      <c r="I28" s="382"/>
      <c r="J28" s="382"/>
      <c r="K28" s="381"/>
      <c r="L28" s="381"/>
      <c r="M28" s="1906"/>
      <c r="N28" s="382"/>
    </row>
    <row r="29" spans="2:16" s="363" customFormat="1" ht="15.75">
      <c r="B29" s="52" t="str">
        <f>'PORTADA PORTADA PORTADA'!$B$23</f>
        <v>1 DE JULIO DE 2026</v>
      </c>
      <c r="C29" s="136"/>
      <c r="D29" s="382"/>
      <c r="E29" s="382"/>
      <c r="F29" s="382"/>
      <c r="G29" s="382"/>
      <c r="H29" s="382"/>
      <c r="I29" s="382"/>
      <c r="J29" s="382"/>
      <c r="K29" s="381"/>
      <c r="L29" s="381"/>
      <c r="M29" s="136"/>
      <c r="N29" s="382"/>
      <c r="O29" s="167"/>
    </row>
    <row r="30" spans="2:16">
      <c r="D30" s="382"/>
      <c r="E30" s="382"/>
      <c r="F30" s="382"/>
      <c r="G30" s="382"/>
      <c r="H30" s="382"/>
      <c r="I30" s="382"/>
      <c r="J30" s="382"/>
      <c r="K30" s="381"/>
      <c r="L30" s="381"/>
      <c r="N30" s="382"/>
    </row>
    <row r="31" spans="2:16">
      <c r="G31" s="382"/>
    </row>
  </sheetData>
  <printOptions horizontalCentered="1" verticalCentered="1"/>
  <pageMargins left="0.59055118110236227" right="0.59055118110236227" top="0.78740157480314965" bottom="0.59055118110236227" header="0.59055118110236227" footer="0.47244094488188981"/>
  <pageSetup scale="83" orientation="landscape" r:id="rId1"/>
  <headerFooter>
    <oddHeader>&amp;L&amp;"Times New Roman,Negrita"&amp;14Nombre de la Distribuidora: &amp;K06-048ENSA&amp;RASEP FORM: &amp;A</oddHeader>
    <oddFooter>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12">
    <tabColor theme="4" tint="0.39997558519241921"/>
    <pageSetUpPr fitToPage="1"/>
  </sheetPr>
  <dimension ref="B1:E37"/>
  <sheetViews>
    <sheetView view="pageBreakPreview" zoomScale="85" zoomScaleNormal="100" zoomScaleSheetLayoutView="85" workbookViewId="0">
      <selection activeCell="D5" sqref="D5"/>
    </sheetView>
  </sheetViews>
  <sheetFormatPr baseColWidth="10" defaultColWidth="10" defaultRowHeight="13.5"/>
  <cols>
    <col min="1" max="1" width="3.625" style="730" customWidth="1"/>
    <col min="2" max="2" width="4.5" style="729" customWidth="1"/>
    <col min="3" max="3" width="42.25" style="730" customWidth="1"/>
    <col min="4" max="5" width="14.75" style="730" customWidth="1"/>
    <col min="6" max="16384" width="10" style="730"/>
  </cols>
  <sheetData>
    <row r="1" spans="2:5" ht="15">
      <c r="C1" s="136" t="s">
        <v>311</v>
      </c>
      <c r="D1" s="732"/>
    </row>
    <row r="2" spans="2:5" ht="15">
      <c r="C2" s="1067" t="s">
        <v>316</v>
      </c>
    </row>
    <row r="3" spans="2:5" ht="18.75">
      <c r="C3" s="1068"/>
      <c r="D3" s="168"/>
    </row>
    <row r="4" spans="2:5" ht="15.75">
      <c r="B4" s="1217"/>
      <c r="C4" s="1218" t="s">
        <v>227</v>
      </c>
      <c r="D4" s="1219" t="s">
        <v>218</v>
      </c>
      <c r="E4" s="1219" t="s">
        <v>219</v>
      </c>
    </row>
    <row r="5" spans="2:5" ht="33.75" customHeight="1">
      <c r="B5" s="186">
        <v>1</v>
      </c>
      <c r="C5" s="724" t="s">
        <v>1616</v>
      </c>
      <c r="D5" s="922">
        <f>'PT402'!E19</f>
        <v>9063216.5149618685</v>
      </c>
      <c r="E5" s="922">
        <f>'PT422'!E19</f>
        <v>8833599.3399999999</v>
      </c>
    </row>
    <row r="6" spans="2:5" s="742" customFormat="1" ht="37.5" customHeight="1">
      <c r="B6" s="189">
        <v>2</v>
      </c>
      <c r="C6" s="724" t="s">
        <v>1617</v>
      </c>
      <c r="D6" s="1220">
        <f>'T302'!K17*1000</f>
        <v>1911327794.7588265</v>
      </c>
      <c r="E6" s="1220">
        <f>'T322'!K17*1000</f>
        <v>1862959429.9466</v>
      </c>
    </row>
    <row r="7" spans="2:5" s="742" customFormat="1" ht="41.25" customHeight="1">
      <c r="B7" s="189">
        <v>3</v>
      </c>
      <c r="C7" s="724" t="s">
        <v>1618</v>
      </c>
      <c r="D7" s="1221">
        <f>D5/D6</f>
        <v>4.7418430997627362E-3</v>
      </c>
      <c r="E7" s="1221">
        <f>E5/E6</f>
        <v>4.7417024751060773E-3</v>
      </c>
    </row>
    <row r="8" spans="2:5" s="742" customFormat="1" ht="52.7" customHeight="1">
      <c r="B8" s="189">
        <v>4</v>
      </c>
      <c r="C8" s="724" t="s">
        <v>1492</v>
      </c>
      <c r="D8" s="1222">
        <f>F801ENE!J109</f>
        <v>1707959585.8740001</v>
      </c>
      <c r="E8" s="1222">
        <f>F821EA!J109</f>
        <v>1666411048</v>
      </c>
    </row>
    <row r="9" spans="2:5" s="742" customFormat="1" ht="35.25" customHeight="1">
      <c r="B9" s="189">
        <v>5</v>
      </c>
      <c r="C9" s="724" t="s">
        <v>1619</v>
      </c>
      <c r="D9" s="1223">
        <f>D7*D8</f>
        <v>8098876.3769502481</v>
      </c>
      <c r="E9" s="1223">
        <f>E7*E8</f>
        <v>7901625.3908457123</v>
      </c>
    </row>
    <row r="10" spans="2:5" ht="18.75">
      <c r="B10" s="1224"/>
      <c r="C10" s="1225"/>
      <c r="D10" s="1224"/>
      <c r="E10" s="183"/>
    </row>
    <row r="11" spans="2:5" s="742" customFormat="1" ht="23.25" customHeight="1">
      <c r="B11" s="1226"/>
      <c r="C11" s="1227" t="s">
        <v>153</v>
      </c>
      <c r="D11" s="1228"/>
      <c r="E11" s="1228" t="s">
        <v>158</v>
      </c>
    </row>
    <row r="12" spans="2:5" s="742" customFormat="1" ht="44.25" customHeight="1">
      <c r="B12" s="186">
        <v>6</v>
      </c>
      <c r="C12" s="187" t="s">
        <v>1620</v>
      </c>
      <c r="D12" s="197"/>
      <c r="E12" s="1229">
        <f>D9</f>
        <v>8098876.3769502481</v>
      </c>
    </row>
    <row r="13" spans="2:5" s="742" customFormat="1" ht="73.5">
      <c r="B13" s="186">
        <v>7</v>
      </c>
      <c r="C13" s="187" t="s">
        <v>1621</v>
      </c>
      <c r="D13" s="197"/>
      <c r="E13" s="1229">
        <f>'PT403'!$J$110</f>
        <v>6192411.312261492</v>
      </c>
    </row>
    <row r="14" spans="2:5" s="742" customFormat="1" ht="45">
      <c r="B14" s="186">
        <v>8</v>
      </c>
      <c r="C14" s="187" t="s">
        <v>1622</v>
      </c>
      <c r="D14" s="1230"/>
      <c r="E14" s="1229">
        <f>E9</f>
        <v>7901625.3908457123</v>
      </c>
    </row>
    <row r="15" spans="2:5" s="742" customFormat="1" ht="43.5">
      <c r="B15" s="186">
        <v>9</v>
      </c>
      <c r="C15" s="187" t="s">
        <v>1623</v>
      </c>
      <c r="D15" s="197"/>
      <c r="E15" s="1229">
        <f>'PT406'!J111</f>
        <v>4605923.6281420002</v>
      </c>
    </row>
    <row r="16" spans="2:5" s="742" customFormat="1" ht="47.25">
      <c r="B16" s="186">
        <v>10</v>
      </c>
      <c r="C16" s="187" t="s">
        <v>1624</v>
      </c>
      <c r="D16" s="197"/>
      <c r="E16" s="1229">
        <f>'PT407'!J110</f>
        <v>3331428.8624405549</v>
      </c>
    </row>
    <row r="17" spans="2:5" s="742" customFormat="1" ht="47.25">
      <c r="B17" s="186">
        <v>11</v>
      </c>
      <c r="C17" s="187" t="s">
        <v>1625</v>
      </c>
      <c r="D17" s="197"/>
      <c r="E17" s="1229">
        <f>'PT408'!J111</f>
        <v>3238020.1229980001</v>
      </c>
    </row>
    <row r="18" spans="2:5" s="742" customFormat="1" ht="78">
      <c r="B18" s="186">
        <v>12</v>
      </c>
      <c r="C18" s="187" t="s">
        <v>1626</v>
      </c>
      <c r="D18" s="1231"/>
      <c r="E18" s="1229">
        <f>E16-E17</f>
        <v>93408.739442554768</v>
      </c>
    </row>
    <row r="19" spans="2:5" s="742" customFormat="1" ht="135">
      <c r="B19" s="186">
        <v>13</v>
      </c>
      <c r="C19" s="187" t="s">
        <v>1627</v>
      </c>
      <c r="D19" s="1231"/>
      <c r="E19" s="1232">
        <f>E14-E15+E18</f>
        <v>3389110.5021462669</v>
      </c>
    </row>
    <row r="20" spans="2:5" s="742" customFormat="1" ht="45.2" customHeight="1">
      <c r="B20" s="186">
        <v>14</v>
      </c>
      <c r="C20" s="1233" t="s">
        <v>1502</v>
      </c>
      <c r="D20" s="197"/>
      <c r="E20" s="1234">
        <f>AjTran300!E48</f>
        <v>7.47</v>
      </c>
    </row>
    <row r="21" spans="2:5" s="742" customFormat="1" ht="35.25" customHeight="1">
      <c r="B21" s="186">
        <v>15</v>
      </c>
      <c r="C21" s="1233" t="s">
        <v>16</v>
      </c>
      <c r="D21" s="197"/>
      <c r="E21" s="197">
        <f>AjTran300!E49</f>
        <v>1.0747</v>
      </c>
    </row>
    <row r="22" spans="2:5" s="742" customFormat="1" ht="44.25" customHeight="1">
      <c r="B22" s="186">
        <v>16</v>
      </c>
      <c r="C22" s="187" t="s">
        <v>1628</v>
      </c>
      <c r="D22" s="197"/>
      <c r="E22" s="1232">
        <f>E19*E21</f>
        <v>3642277.056656593</v>
      </c>
    </row>
    <row r="23" spans="2:5" s="742" customFormat="1" ht="44.25" customHeight="1">
      <c r="B23" s="186">
        <v>17</v>
      </c>
      <c r="C23" s="1233" t="s">
        <v>1629</v>
      </c>
      <c r="D23" s="197"/>
      <c r="E23" s="1235">
        <f>E12/E13</f>
        <v>1.3078711940393553</v>
      </c>
    </row>
    <row r="24" spans="2:5" s="742" customFormat="1" ht="45.75" customHeight="1">
      <c r="B24" s="186">
        <v>18</v>
      </c>
      <c r="C24" s="1233" t="s">
        <v>1630</v>
      </c>
      <c r="D24" s="197"/>
      <c r="E24" s="1235">
        <f>SUM(E22:E22)/E13</f>
        <v>0.58818396792289618</v>
      </c>
    </row>
    <row r="26" spans="2:5">
      <c r="C26" s="775" t="s">
        <v>623</v>
      </c>
      <c r="D26" s="775"/>
      <c r="E26" s="776">
        <f>E5</f>
        <v>8833599.3399999999</v>
      </c>
    </row>
    <row r="27" spans="2:5">
      <c r="C27" s="775" t="s">
        <v>520</v>
      </c>
      <c r="D27" s="775"/>
      <c r="E27" s="776">
        <f>E14</f>
        <v>7901625.3908457123</v>
      </c>
    </row>
    <row r="28" spans="2:5">
      <c r="C28" s="731"/>
      <c r="D28" s="731"/>
      <c r="E28" s="538">
        <f>(E26-E27)/E26</f>
        <v>0.10550330768729291</v>
      </c>
    </row>
    <row r="29" spans="2:5">
      <c r="C29" s="731"/>
    </row>
    <row r="30" spans="2:5">
      <c r="C30" s="777" t="s">
        <v>681</v>
      </c>
      <c r="D30" s="777"/>
      <c r="E30" s="778">
        <f>E15</f>
        <v>4605923.6281420002</v>
      </c>
    </row>
    <row r="31" spans="2:5">
      <c r="C31" s="777" t="s">
        <v>518</v>
      </c>
      <c r="D31" s="777"/>
      <c r="E31" s="778">
        <f>-E18</f>
        <v>-93408.739442554768</v>
      </c>
    </row>
    <row r="32" spans="2:5">
      <c r="C32" s="779" t="s">
        <v>521</v>
      </c>
      <c r="D32" s="777"/>
      <c r="E32" s="780">
        <f>SUM(E30:E31)</f>
        <v>4512514.8886994459</v>
      </c>
    </row>
    <row r="34" spans="3:5">
      <c r="C34" s="731" t="s">
        <v>625</v>
      </c>
      <c r="E34" s="781">
        <f>E27-E32</f>
        <v>3389110.5021462664</v>
      </c>
    </row>
    <row r="35" spans="3:5">
      <c r="C35" s="730" t="s">
        <v>978</v>
      </c>
      <c r="E35" s="781">
        <f>E34*E20/100</f>
        <v>253166.5545103261</v>
      </c>
    </row>
    <row r="36" spans="3:5">
      <c r="C36" s="731" t="s">
        <v>517</v>
      </c>
      <c r="E36" s="782">
        <f>E34+E35</f>
        <v>3642277.0566565925</v>
      </c>
    </row>
    <row r="37" spans="3:5">
      <c r="E37" s="776">
        <f>E22-E36</f>
        <v>0</v>
      </c>
    </row>
  </sheetData>
  <phoneticPr fontId="0" type="noConversion"/>
  <printOptions horizontalCentered="1" verticalCentered="1"/>
  <pageMargins left="0.59055118110236227" right="0.59055118110236227" top="0.78740157480314965" bottom="0.59055118110236227" header="0.59055118110236227" footer="0.47244094488188981"/>
  <pageSetup scale="69" orientation="portrait" r:id="rId1"/>
  <headerFooter>
    <oddHeader>&amp;L&amp;"Times New Roman,Negrita"&amp;14Nombre de la Distribuidora: &amp;K06-048ENSA&amp;RASEP FORM: &amp;A</oddHeader>
    <oddFooter>&amp;R&amp;A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Hoja5">
    <tabColor rgb="FFC00000"/>
  </sheetPr>
  <dimension ref="B1:P47"/>
  <sheetViews>
    <sheetView zoomScale="85" zoomScaleNormal="85" workbookViewId="0">
      <pane xSplit="2" ySplit="2" topLeftCell="C3" activePane="bottomRight" state="frozen"/>
      <selection activeCell="H87" sqref="H87"/>
      <selection pane="topRight" activeCell="H87" sqref="H87"/>
      <selection pane="bottomLeft" activeCell="H87" sqref="H87"/>
      <selection pane="bottomRight" activeCell="H3" sqref="H3"/>
    </sheetView>
  </sheetViews>
  <sheetFormatPr baseColWidth="10" defaultColWidth="11" defaultRowHeight="13.5"/>
  <cols>
    <col min="1" max="1" width="1.375" style="38" customWidth="1"/>
    <col min="2" max="2" width="29.625" style="38" bestFit="1" customWidth="1"/>
    <col min="3" max="8" width="13.875" style="38" customWidth="1"/>
    <col min="9" max="9" width="13.875" style="246" customWidth="1"/>
    <col min="10" max="16" width="8.75" style="1171" customWidth="1"/>
    <col min="17" max="16384" width="11" style="38"/>
  </cols>
  <sheetData>
    <row r="1" spans="2:9">
      <c r="B1" s="812" t="s">
        <v>153</v>
      </c>
      <c r="C1" s="813">
        <v>45839</v>
      </c>
      <c r="D1" s="813">
        <v>45870</v>
      </c>
      <c r="E1" s="813">
        <v>45901</v>
      </c>
      <c r="F1" s="813">
        <v>45931</v>
      </c>
      <c r="G1" s="813">
        <v>45962</v>
      </c>
      <c r="H1" s="813">
        <v>45992</v>
      </c>
      <c r="I1" s="813" t="s">
        <v>111</v>
      </c>
    </row>
    <row r="2" spans="2:9" ht="18">
      <c r="B2" s="814" t="s">
        <v>927</v>
      </c>
      <c r="C2" s="815" t="s">
        <v>1844</v>
      </c>
      <c r="D2" s="815" t="s">
        <v>1845</v>
      </c>
      <c r="E2" s="815" t="s">
        <v>1846</v>
      </c>
      <c r="F2" s="815"/>
      <c r="G2" s="815" t="s">
        <v>1847</v>
      </c>
      <c r="H2" s="815"/>
      <c r="I2" s="813"/>
    </row>
    <row r="3" spans="2:9">
      <c r="B3" s="38" t="s">
        <v>489</v>
      </c>
      <c r="C3" s="691">
        <f>2746080.97-9194.9-10123.76</f>
        <v>2726762.3100000005</v>
      </c>
      <c r="D3" s="691">
        <v>3772796.88</v>
      </c>
      <c r="E3" s="691">
        <f>4326923.78-361.55</f>
        <v>4326562.2300000004</v>
      </c>
      <c r="F3" s="691">
        <v>3112380.92</v>
      </c>
      <c r="G3" s="691">
        <f>1891766.12-229.3</f>
        <v>1891536.82</v>
      </c>
      <c r="H3" s="691">
        <v>2944742.96</v>
      </c>
      <c r="I3" s="816">
        <f t="shared" ref="I3:I14" si="0">SUM(C3:H3)</f>
        <v>18774782.120000001</v>
      </c>
    </row>
    <row r="4" spans="2:9">
      <c r="B4" s="38" t="s">
        <v>1104</v>
      </c>
      <c r="C4" s="691">
        <f>1601929.68+316.51</f>
        <v>1602246.19</v>
      </c>
      <c r="D4" s="691">
        <v>1354369.61</v>
      </c>
      <c r="E4" s="691">
        <f>1219166.99-20.4</f>
        <v>1219146.5900000001</v>
      </c>
      <c r="F4" s="691">
        <v>1964828.56</v>
      </c>
      <c r="G4" s="691">
        <f>1540897.27-136.49</f>
        <v>1540760.78</v>
      </c>
      <c r="H4" s="691">
        <v>1152247.6100000001</v>
      </c>
      <c r="I4" s="816">
        <f t="shared" si="0"/>
        <v>8833599.3399999999</v>
      </c>
    </row>
    <row r="5" spans="2:9">
      <c r="B5" s="38" t="s">
        <v>522</v>
      </c>
      <c r="C5" s="691">
        <f>324537.69-20.86</f>
        <v>324516.83</v>
      </c>
      <c r="D5" s="691">
        <v>217022.55</v>
      </c>
      <c r="E5" s="691">
        <v>129956.87</v>
      </c>
      <c r="F5" s="691">
        <v>182241.85</v>
      </c>
      <c r="G5" s="691">
        <f>78235.52-1.21</f>
        <v>78234.31</v>
      </c>
      <c r="H5" s="691">
        <v>190895.32</v>
      </c>
      <c r="I5" s="816">
        <f t="shared" si="0"/>
        <v>1122867.73</v>
      </c>
    </row>
    <row r="6" spans="2:9">
      <c r="B6" s="38" t="s">
        <v>523</v>
      </c>
      <c r="C6" s="691">
        <v>0</v>
      </c>
      <c r="D6" s="691">
        <v>0</v>
      </c>
      <c r="E6" s="691">
        <v>0</v>
      </c>
      <c r="F6" s="691">
        <v>0</v>
      </c>
      <c r="G6" s="691">
        <v>0</v>
      </c>
      <c r="H6" s="691">
        <v>0</v>
      </c>
      <c r="I6" s="816">
        <f t="shared" si="0"/>
        <v>0</v>
      </c>
    </row>
    <row r="7" spans="2:9">
      <c r="B7" s="38" t="s">
        <v>805</v>
      </c>
      <c r="C7" s="691">
        <v>117415.78</v>
      </c>
      <c r="D7" s="691">
        <v>112130.23</v>
      </c>
      <c r="E7" s="691">
        <v>90829.42</v>
      </c>
      <c r="F7" s="691">
        <v>227576.67</v>
      </c>
      <c r="G7" s="691">
        <v>290339.78999999998</v>
      </c>
      <c r="H7" s="691">
        <v>204504.78</v>
      </c>
      <c r="I7" s="816">
        <f t="shared" si="0"/>
        <v>1042796.6699999999</v>
      </c>
    </row>
    <row r="8" spans="2:9">
      <c r="B8" s="38" t="s">
        <v>846</v>
      </c>
      <c r="C8" s="691">
        <v>0</v>
      </c>
      <c r="D8" s="691">
        <v>0</v>
      </c>
      <c r="E8" s="691">
        <v>0</v>
      </c>
      <c r="F8" s="691">
        <v>0</v>
      </c>
      <c r="G8" s="691">
        <v>0</v>
      </c>
      <c r="H8" s="691">
        <v>0</v>
      </c>
      <c r="I8" s="816">
        <f t="shared" si="0"/>
        <v>0</v>
      </c>
    </row>
    <row r="9" spans="2:9">
      <c r="B9" s="38" t="s">
        <v>527</v>
      </c>
      <c r="C9" s="691">
        <f>53396.32-6.03</f>
        <v>53390.29</v>
      </c>
      <c r="D9" s="691">
        <v>66012.009999999995</v>
      </c>
      <c r="E9" s="691">
        <f>244856.41-8.25</f>
        <v>244848.16</v>
      </c>
      <c r="F9" s="691">
        <v>211831.42</v>
      </c>
      <c r="G9" s="691">
        <f>213477.01-8.17</f>
        <v>213468.84</v>
      </c>
      <c r="H9" s="691">
        <v>137982.31</v>
      </c>
      <c r="I9" s="816">
        <f t="shared" si="0"/>
        <v>927533.03</v>
      </c>
    </row>
    <row r="10" spans="2:9">
      <c r="B10" s="38" t="s">
        <v>524</v>
      </c>
      <c r="C10" s="691">
        <f>155966.02-172.48</f>
        <v>155793.53999999998</v>
      </c>
      <c r="D10" s="691">
        <v>189259.36</v>
      </c>
      <c r="E10" s="691">
        <f>213696.95-4.97</f>
        <v>213691.98</v>
      </c>
      <c r="F10" s="691">
        <v>142704.32999999999</v>
      </c>
      <c r="G10" s="691">
        <f>118586.55-9.49</f>
        <v>118577.06</v>
      </c>
      <c r="H10" s="691">
        <v>150832.95000000001</v>
      </c>
      <c r="I10" s="816">
        <f t="shared" si="0"/>
        <v>970859.22</v>
      </c>
    </row>
    <row r="11" spans="2:9">
      <c r="B11" s="38" t="s">
        <v>526</v>
      </c>
      <c r="C11" s="691">
        <v>0</v>
      </c>
      <c r="D11" s="691">
        <v>0</v>
      </c>
      <c r="E11" s="691"/>
      <c r="F11" s="691"/>
      <c r="G11" s="691">
        <v>0</v>
      </c>
      <c r="H11" s="691">
        <v>0</v>
      </c>
      <c r="I11" s="816">
        <f t="shared" si="0"/>
        <v>0</v>
      </c>
    </row>
    <row r="12" spans="2:9">
      <c r="B12" s="38" t="s">
        <v>525</v>
      </c>
      <c r="C12" s="691"/>
      <c r="D12" s="691"/>
      <c r="E12" s="691"/>
      <c r="F12" s="691"/>
      <c r="G12" s="691"/>
      <c r="H12" s="691"/>
      <c r="I12" s="816">
        <f t="shared" si="0"/>
        <v>0</v>
      </c>
    </row>
    <row r="13" spans="2:9">
      <c r="B13" s="38" t="s">
        <v>481</v>
      </c>
      <c r="C13" s="691"/>
      <c r="D13" s="691"/>
      <c r="E13" s="691"/>
      <c r="F13" s="691"/>
      <c r="G13" s="691"/>
      <c r="H13" s="691"/>
      <c r="I13" s="816">
        <f t="shared" si="0"/>
        <v>0</v>
      </c>
    </row>
    <row r="14" spans="2:9">
      <c r="B14" s="572" t="s">
        <v>111</v>
      </c>
      <c r="C14" s="690">
        <f t="shared" ref="C14:H14" si="1">SUM(C3:C13)</f>
        <v>4980124.9400000004</v>
      </c>
      <c r="D14" s="690">
        <f t="shared" si="1"/>
        <v>5711590.6400000006</v>
      </c>
      <c r="E14" s="690">
        <f t="shared" si="1"/>
        <v>6225035.2500000009</v>
      </c>
      <c r="F14" s="690">
        <f t="shared" si="1"/>
        <v>5841563.75</v>
      </c>
      <c r="G14" s="690">
        <f t="shared" si="1"/>
        <v>4132917.6</v>
      </c>
      <c r="H14" s="690">
        <f t="shared" si="1"/>
        <v>4781205.9300000006</v>
      </c>
      <c r="I14" s="817">
        <f t="shared" si="0"/>
        <v>31672438.110000003</v>
      </c>
    </row>
    <row r="16" spans="2:9">
      <c r="B16" s="38" t="s">
        <v>756</v>
      </c>
      <c r="C16" s="818">
        <v>49240.862999999998</v>
      </c>
      <c r="D16" s="818">
        <v>50450.47</v>
      </c>
      <c r="E16" s="818">
        <v>49964.468999999997</v>
      </c>
      <c r="F16" s="818">
        <v>53909.232000000004</v>
      </c>
      <c r="G16" s="818">
        <v>36588.819000000003</v>
      </c>
      <c r="H16" s="818">
        <v>46895.32</v>
      </c>
      <c r="I16" s="819">
        <f>SUM(C16:H16)</f>
        <v>287049.17300000001</v>
      </c>
    </row>
    <row r="17" spans="2:9">
      <c r="B17" s="38" t="s">
        <v>238</v>
      </c>
      <c r="C17" s="818">
        <v>19469.409</v>
      </c>
      <c r="D17" s="818">
        <v>16466.013999999999</v>
      </c>
      <c r="E17" s="818">
        <v>14593.031000000001</v>
      </c>
      <c r="F17" s="818">
        <v>23480.06</v>
      </c>
      <c r="G17" s="818">
        <v>17439.516</v>
      </c>
      <c r="H17" s="818">
        <v>13952.062</v>
      </c>
      <c r="I17" s="819">
        <f>SUM(C17:H17)</f>
        <v>105400.092</v>
      </c>
    </row>
    <row r="18" spans="2:9">
      <c r="B18" s="38" t="s">
        <v>528</v>
      </c>
      <c r="C18" s="820">
        <v>324616.255</v>
      </c>
      <c r="D18" s="820">
        <v>317541.84299999999</v>
      </c>
      <c r="E18" s="820">
        <v>306507.49699999997</v>
      </c>
      <c r="F18" s="820">
        <v>314221.2</v>
      </c>
      <c r="G18" s="820">
        <v>291241.01</v>
      </c>
      <c r="H18" s="820">
        <v>308829.33399999997</v>
      </c>
      <c r="I18" s="819">
        <f>SUM(C18:H18)</f>
        <v>1862957.139</v>
      </c>
    </row>
    <row r="19" spans="2:9">
      <c r="B19" s="246" t="s">
        <v>7</v>
      </c>
      <c r="C19" s="821">
        <f>C17+C18</f>
        <v>344085.66399999999</v>
      </c>
      <c r="D19" s="821">
        <f t="shared" ref="D19:H19" si="2">D17+D18</f>
        <v>334007.85700000002</v>
      </c>
      <c r="E19" s="821">
        <f t="shared" si="2"/>
        <v>321100.52799999999</v>
      </c>
      <c r="F19" s="821">
        <f t="shared" si="2"/>
        <v>337701.26</v>
      </c>
      <c r="G19" s="821">
        <f t="shared" si="2"/>
        <v>308680.52600000001</v>
      </c>
      <c r="H19" s="821">
        <f t="shared" si="2"/>
        <v>322781.39599999995</v>
      </c>
      <c r="I19" s="819">
        <f>SUM(C19:H19)</f>
        <v>1968357.2309999999</v>
      </c>
    </row>
    <row r="20" spans="2:9">
      <c r="B20" s="38" t="s">
        <v>529</v>
      </c>
      <c r="C20" s="820">
        <v>701.06</v>
      </c>
      <c r="D20" s="820">
        <v>681.50199999999995</v>
      </c>
      <c r="E20" s="820">
        <v>672.89800000000002</v>
      </c>
      <c r="F20" s="820">
        <v>661.70600000000002</v>
      </c>
      <c r="G20" s="820">
        <v>649.048</v>
      </c>
      <c r="H20" s="820">
        <v>655.88199999999995</v>
      </c>
      <c r="I20" s="819">
        <f>MAX(C20:H20)</f>
        <v>701.06</v>
      </c>
    </row>
    <row r="21" spans="2:9">
      <c r="B21" s="822" t="s">
        <v>705</v>
      </c>
      <c r="C21" s="823">
        <f>C17/C19</f>
        <v>5.6583028696016814E-2</v>
      </c>
      <c r="D21" s="823">
        <f t="shared" ref="D21:I21" si="3">D17/D19</f>
        <v>4.9298283423314791E-2</v>
      </c>
      <c r="E21" s="823">
        <f t="shared" si="3"/>
        <v>4.54469230894569E-2</v>
      </c>
      <c r="F21" s="823">
        <f t="shared" si="3"/>
        <v>6.952908615147009E-2</v>
      </c>
      <c r="G21" s="823">
        <f t="shared" si="3"/>
        <v>5.6496975128259304E-2</v>
      </c>
      <c r="H21" s="823">
        <f t="shared" si="3"/>
        <v>4.3224492405380149E-2</v>
      </c>
      <c r="I21" s="824">
        <f t="shared" si="3"/>
        <v>5.3547237432329683E-2</v>
      </c>
    </row>
    <row r="22" spans="2:9">
      <c r="B22" s="38" t="s">
        <v>706</v>
      </c>
      <c r="C22" s="691">
        <f>C3/C16</f>
        <v>55.376005696732015</v>
      </c>
      <c r="D22" s="691">
        <f t="shared" ref="D22:I23" si="4">D3/D16</f>
        <v>74.78219489332804</v>
      </c>
      <c r="E22" s="691">
        <f t="shared" si="4"/>
        <v>86.592779160727204</v>
      </c>
      <c r="F22" s="691">
        <f t="shared" si="4"/>
        <v>57.733727685083693</v>
      </c>
      <c r="G22" s="691">
        <f t="shared" si="4"/>
        <v>51.697126928311079</v>
      </c>
      <c r="H22" s="691">
        <f t="shared" si="4"/>
        <v>62.793962382600228</v>
      </c>
      <c r="I22" s="825">
        <f t="shared" si="4"/>
        <v>65.406152972961195</v>
      </c>
    </row>
    <row r="23" spans="2:9">
      <c r="B23" s="38" t="s">
        <v>707</v>
      </c>
      <c r="C23" s="691">
        <f>C4/C17</f>
        <v>82.295574046443832</v>
      </c>
      <c r="D23" s="691">
        <f t="shared" si="4"/>
        <v>82.252426725739468</v>
      </c>
      <c r="E23" s="691">
        <f t="shared" si="4"/>
        <v>83.543068605829731</v>
      </c>
      <c r="F23" s="691">
        <f t="shared" si="4"/>
        <v>83.680729947027388</v>
      </c>
      <c r="G23" s="691">
        <f t="shared" si="4"/>
        <v>88.348826882580923</v>
      </c>
      <c r="H23" s="691">
        <f t="shared" si="4"/>
        <v>82.586187618719023</v>
      </c>
      <c r="I23" s="825">
        <f t="shared" si="4"/>
        <v>83.810167262472589</v>
      </c>
    </row>
    <row r="24" spans="2:9">
      <c r="B24" s="822" t="s">
        <v>385</v>
      </c>
      <c r="C24" s="823">
        <f>C19/(C20*24*C25)</f>
        <v>0.65968780301656882</v>
      </c>
      <c r="D24" s="823">
        <f t="shared" ref="D24:I24" si="5">D19/(D20*24*D25)</f>
        <v>0.65874390928664439</v>
      </c>
      <c r="E24" s="823">
        <f t="shared" si="5"/>
        <v>0.66276457287071078</v>
      </c>
      <c r="F24" s="823">
        <f t="shared" si="5"/>
        <v>0.68595349446846898</v>
      </c>
      <c r="G24" s="823">
        <f t="shared" si="5"/>
        <v>0.6605412123260187</v>
      </c>
      <c r="H24" s="823">
        <f t="shared" si="5"/>
        <v>0.66146953623607818</v>
      </c>
      <c r="I24" s="824">
        <f t="shared" si="5"/>
        <v>0.63579874563394068</v>
      </c>
    </row>
    <row r="25" spans="2:9">
      <c r="B25" s="553" t="s">
        <v>708</v>
      </c>
      <c r="C25" s="687">
        <v>31</v>
      </c>
      <c r="D25" s="687">
        <v>31</v>
      </c>
      <c r="E25" s="687">
        <v>30</v>
      </c>
      <c r="F25" s="687">
        <v>31</v>
      </c>
      <c r="G25" s="687">
        <v>30</v>
      </c>
      <c r="H25" s="687">
        <v>31</v>
      </c>
      <c r="I25" s="553">
        <f>SUM(C25:H25)</f>
        <v>184</v>
      </c>
    </row>
    <row r="26" spans="2:9">
      <c r="I26" s="38"/>
    </row>
    <row r="27" spans="2:9" s="697" customFormat="1" ht="12">
      <c r="B27" s="697" t="str">
        <f>B3</f>
        <v>Mercado Ocasional</v>
      </c>
      <c r="C27" s="698">
        <f>'G522'!H425</f>
        <v>2726762.3100000005</v>
      </c>
      <c r="D27" s="698">
        <f>'G522'!I425</f>
        <v>3772796.88</v>
      </c>
      <c r="E27" s="698">
        <f>'G522'!J425</f>
        <v>4326562.2300000004</v>
      </c>
      <c r="F27" s="698">
        <f>'G522'!K425</f>
        <v>3112380.92</v>
      </c>
      <c r="G27" s="698">
        <f>'G522'!L425</f>
        <v>1891536.82</v>
      </c>
      <c r="H27" s="698">
        <f>'G522'!M425</f>
        <v>2944742.96</v>
      </c>
      <c r="I27" s="699">
        <f t="shared" ref="I27:I34" si="6">SUM(C27:H27)</f>
        <v>18774782.120000001</v>
      </c>
    </row>
    <row r="28" spans="2:9" s="697" customFormat="1" ht="12">
      <c r="B28" s="697" t="str">
        <f>B4</f>
        <v>Pérdidas de Transmisión (DTE +Aj)</v>
      </c>
      <c r="C28" s="698">
        <f t="array" ref="C28:H28">TRANSPOSE('PT422'!E12:E17)</f>
        <v>1602246.19</v>
      </c>
      <c r="D28" s="698">
        <v>1354369.61</v>
      </c>
      <c r="E28" s="698">
        <v>1219146.5900000001</v>
      </c>
      <c r="F28" s="698">
        <v>1964828.56</v>
      </c>
      <c r="G28" s="698">
        <v>1540760.78</v>
      </c>
      <c r="H28" s="698">
        <v>1152247.6100000001</v>
      </c>
      <c r="I28" s="699">
        <f t="shared" si="6"/>
        <v>8833599.3399999999</v>
      </c>
    </row>
    <row r="29" spans="2:9" s="697" customFormat="1" ht="12">
      <c r="B29" s="697" t="str">
        <f>B5</f>
        <v>Generación Obligada</v>
      </c>
      <c r="C29" s="698">
        <f>'G522'!H428</f>
        <v>324516.83</v>
      </c>
      <c r="D29" s="698">
        <f>'G522'!I428</f>
        <v>217022.55</v>
      </c>
      <c r="E29" s="698">
        <f>'G522'!J428</f>
        <v>129956.87000000001</v>
      </c>
      <c r="F29" s="698">
        <f>'G522'!K428</f>
        <v>182241.85</v>
      </c>
      <c r="G29" s="698">
        <f>'G522'!L428</f>
        <v>78234.31</v>
      </c>
      <c r="H29" s="698">
        <f>'G522'!M428</f>
        <v>190895.32</v>
      </c>
      <c r="I29" s="699">
        <f t="shared" si="6"/>
        <v>1122867.73</v>
      </c>
    </row>
    <row r="30" spans="2:9" s="697" customFormat="1" ht="12">
      <c r="B30" s="697" t="str">
        <f>B6</f>
        <v>Compensación de Potencia</v>
      </c>
      <c r="C30" s="698">
        <f>'G522'!H139</f>
        <v>0</v>
      </c>
      <c r="D30" s="698">
        <f>'G522'!I139</f>
        <v>0</v>
      </c>
      <c r="E30" s="698">
        <f>'G522'!J139</f>
        <v>0</v>
      </c>
      <c r="F30" s="698">
        <f>'G522'!K139</f>
        <v>0</v>
      </c>
      <c r="G30" s="698">
        <f>'G522'!L139</f>
        <v>0</v>
      </c>
      <c r="H30" s="698">
        <f>'G522'!M139</f>
        <v>0</v>
      </c>
      <c r="I30" s="699">
        <f t="shared" si="6"/>
        <v>0</v>
      </c>
    </row>
    <row r="31" spans="2:9" s="697" customFormat="1" ht="12">
      <c r="B31" s="697" t="str">
        <f>B7</f>
        <v>Asignación SAERLP</v>
      </c>
      <c r="C31" s="698">
        <f>'G522'!H136</f>
        <v>117415.78</v>
      </c>
      <c r="D31" s="698">
        <f>'G522'!I136</f>
        <v>112130.23</v>
      </c>
      <c r="E31" s="698">
        <f>'G522'!J136</f>
        <v>90829.42</v>
      </c>
      <c r="F31" s="698">
        <f>'G522'!K136</f>
        <v>227576.67</v>
      </c>
      <c r="G31" s="698">
        <f>'G522'!L136</f>
        <v>290339.78999999998</v>
      </c>
      <c r="H31" s="698">
        <f>'G522'!M136</f>
        <v>204504.78</v>
      </c>
      <c r="I31" s="699">
        <f t="shared" si="6"/>
        <v>1042796.6699999999</v>
      </c>
    </row>
    <row r="32" spans="2:9" s="697" customFormat="1" ht="12">
      <c r="B32" s="697" t="s">
        <v>526</v>
      </c>
      <c r="C32" s="698">
        <f>'G522'!H137</f>
        <v>0</v>
      </c>
      <c r="D32" s="698">
        <f>'G522'!I137</f>
        <v>0</v>
      </c>
      <c r="E32" s="698">
        <f>'G522'!J137</f>
        <v>0</v>
      </c>
      <c r="F32" s="698">
        <f>'G522'!K137</f>
        <v>0</v>
      </c>
      <c r="G32" s="698">
        <f>'G522'!L137</f>
        <v>0</v>
      </c>
      <c r="H32" s="698">
        <f>'G522'!M137</f>
        <v>0</v>
      </c>
      <c r="I32" s="699">
        <f t="shared" si="6"/>
        <v>0</v>
      </c>
    </row>
    <row r="33" spans="2:16" s="697" customFormat="1" ht="12">
      <c r="B33" s="697" t="s">
        <v>527</v>
      </c>
      <c r="C33" s="698">
        <f>'G522'!H138</f>
        <v>53390.29</v>
      </c>
      <c r="D33" s="698">
        <f>'G522'!I138</f>
        <v>66012.009999999995</v>
      </c>
      <c r="E33" s="698">
        <f>'G522'!J138</f>
        <v>244848.16</v>
      </c>
      <c r="F33" s="698">
        <f>'G522'!K138</f>
        <v>211831.42</v>
      </c>
      <c r="G33" s="698">
        <f>'G522'!L138</f>
        <v>213468.84</v>
      </c>
      <c r="H33" s="698">
        <f>'G522'!M138</f>
        <v>137982.31</v>
      </c>
      <c r="I33" s="699">
        <f t="shared" si="6"/>
        <v>927533.03</v>
      </c>
    </row>
    <row r="34" spans="2:16" s="697" customFormat="1" ht="12">
      <c r="B34" s="697" t="s">
        <v>846</v>
      </c>
      <c r="C34" s="698"/>
      <c r="D34" s="698"/>
      <c r="E34" s="698"/>
      <c r="F34" s="698"/>
      <c r="G34" s="698"/>
      <c r="H34" s="698"/>
      <c r="I34" s="699">
        <f t="shared" si="6"/>
        <v>0</v>
      </c>
    </row>
    <row r="35" spans="2:16" s="697" customFormat="1" ht="12">
      <c r="B35" s="697" t="str">
        <f>B11</f>
        <v>Incumplimiento SAERLP</v>
      </c>
      <c r="C35" s="698">
        <f>'G522'!H137</f>
        <v>0</v>
      </c>
      <c r="D35" s="698">
        <f>'G522'!I137</f>
        <v>0</v>
      </c>
      <c r="E35" s="698">
        <f>'G522'!J137</f>
        <v>0</v>
      </c>
      <c r="F35" s="698">
        <f>'G522'!K137</f>
        <v>0</v>
      </c>
      <c r="G35" s="698">
        <f>'G522'!L137</f>
        <v>0</v>
      </c>
      <c r="H35" s="698">
        <f>'G522'!M137</f>
        <v>0</v>
      </c>
      <c r="I35" s="699">
        <f>'G522'!N137</f>
        <v>0</v>
      </c>
    </row>
    <row r="36" spans="2:16" s="697" customFormat="1" ht="12">
      <c r="C36" s="698"/>
      <c r="D36" s="698"/>
      <c r="E36" s="698"/>
      <c r="F36" s="698"/>
      <c r="G36" s="698"/>
      <c r="H36" s="698"/>
      <c r="I36" s="698"/>
      <c r="J36" s="1172"/>
      <c r="K36" s="1172"/>
      <c r="L36" s="1172"/>
      <c r="M36" s="1172"/>
      <c r="N36" s="1172"/>
      <c r="O36" s="1172"/>
      <c r="P36" s="1172"/>
    </row>
    <row r="37" spans="2:16" s="697" customFormat="1" ht="12">
      <c r="B37" s="1904" t="str">
        <f>B27</f>
        <v>Mercado Ocasional</v>
      </c>
      <c r="C37" s="1904">
        <f t="shared" ref="C37:I40" si="7">C27-C3</f>
        <v>0</v>
      </c>
      <c r="D37" s="1904">
        <f t="shared" si="7"/>
        <v>0</v>
      </c>
      <c r="E37" s="1904">
        <f t="shared" si="7"/>
        <v>0</v>
      </c>
      <c r="F37" s="1904">
        <f>F27-F3</f>
        <v>0</v>
      </c>
      <c r="G37" s="1904">
        <f t="shared" si="7"/>
        <v>0</v>
      </c>
      <c r="H37" s="1904">
        <f t="shared" si="7"/>
        <v>0</v>
      </c>
      <c r="I37" s="1904">
        <f t="shared" si="7"/>
        <v>0</v>
      </c>
      <c r="J37" s="1172"/>
      <c r="K37" s="1172"/>
      <c r="L37" s="1172"/>
      <c r="M37" s="1172"/>
      <c r="N37" s="1172"/>
      <c r="O37" s="1172"/>
      <c r="P37" s="1172"/>
    </row>
    <row r="38" spans="2:16" s="337" customFormat="1" ht="12">
      <c r="B38" s="1904" t="str">
        <f t="shared" ref="B38:B45" si="8">B28</f>
        <v>Pérdidas de Transmisión (DTE +Aj)</v>
      </c>
      <c r="C38" s="1904">
        <f t="shared" si="7"/>
        <v>0</v>
      </c>
      <c r="D38" s="1904">
        <f t="shared" si="7"/>
        <v>0</v>
      </c>
      <c r="E38" s="1904">
        <f t="shared" si="7"/>
        <v>0</v>
      </c>
      <c r="F38" s="1904">
        <f>F28-F4</f>
        <v>0</v>
      </c>
      <c r="G38" s="1904">
        <f t="shared" si="7"/>
        <v>0</v>
      </c>
      <c r="H38" s="1904">
        <f t="shared" si="7"/>
        <v>0</v>
      </c>
      <c r="I38" s="1904">
        <f t="shared" si="7"/>
        <v>0</v>
      </c>
      <c r="J38" s="1172"/>
      <c r="K38" s="1172"/>
      <c r="L38" s="1172"/>
      <c r="M38" s="1172"/>
      <c r="N38" s="1172"/>
      <c r="O38" s="1172"/>
      <c r="P38" s="1172"/>
    </row>
    <row r="39" spans="2:16" s="337" customFormat="1" ht="12">
      <c r="B39" s="1904" t="str">
        <f t="shared" si="8"/>
        <v>Generación Obligada</v>
      </c>
      <c r="C39" s="1904">
        <f t="shared" si="7"/>
        <v>0</v>
      </c>
      <c r="D39" s="1904">
        <f t="shared" si="7"/>
        <v>0</v>
      </c>
      <c r="E39" s="1904">
        <f t="shared" si="7"/>
        <v>0</v>
      </c>
      <c r="F39" s="1904">
        <f>F29-F5</f>
        <v>0</v>
      </c>
      <c r="G39" s="1904">
        <f t="shared" si="7"/>
        <v>0</v>
      </c>
      <c r="H39" s="1904">
        <f t="shared" si="7"/>
        <v>0</v>
      </c>
      <c r="I39" s="1904">
        <f t="shared" si="7"/>
        <v>0</v>
      </c>
      <c r="J39" s="1172"/>
      <c r="K39" s="1172"/>
      <c r="L39" s="1172"/>
      <c r="M39" s="1172"/>
      <c r="N39" s="1172"/>
      <c r="O39" s="1172"/>
      <c r="P39" s="1172"/>
    </row>
    <row r="40" spans="2:16" s="337" customFormat="1" ht="12">
      <c r="B40" s="1904" t="str">
        <f t="shared" si="8"/>
        <v>Compensación de Potencia</v>
      </c>
      <c r="C40" s="1904">
        <f t="shared" si="7"/>
        <v>0</v>
      </c>
      <c r="D40" s="1904">
        <f t="shared" si="7"/>
        <v>0</v>
      </c>
      <c r="E40" s="1904">
        <f t="shared" si="7"/>
        <v>0</v>
      </c>
      <c r="F40" s="1904">
        <f>F30-F6</f>
        <v>0</v>
      </c>
      <c r="G40" s="1904">
        <f t="shared" si="7"/>
        <v>0</v>
      </c>
      <c r="H40" s="1904">
        <f t="shared" si="7"/>
        <v>0</v>
      </c>
      <c r="I40" s="1904">
        <f t="shared" si="7"/>
        <v>0</v>
      </c>
      <c r="J40" s="1172"/>
      <c r="K40" s="1172"/>
      <c r="L40" s="1172"/>
      <c r="M40" s="1172"/>
      <c r="N40" s="1172"/>
      <c r="O40" s="1172"/>
      <c r="P40" s="1172"/>
    </row>
    <row r="41" spans="2:16" s="337" customFormat="1" ht="12">
      <c r="B41" s="1904" t="str">
        <f t="shared" si="8"/>
        <v>Asignación SAERLP</v>
      </c>
      <c r="C41" s="1904">
        <f>C31-C7</f>
        <v>0</v>
      </c>
      <c r="D41" s="1904">
        <f t="shared" ref="D41:I41" si="9">D31-D7</f>
        <v>0</v>
      </c>
      <c r="E41" s="1904">
        <f t="shared" si="9"/>
        <v>0</v>
      </c>
      <c r="F41" s="1904">
        <f>F31-F7</f>
        <v>0</v>
      </c>
      <c r="G41" s="1904">
        <f t="shared" si="9"/>
        <v>0</v>
      </c>
      <c r="H41" s="1904">
        <f t="shared" si="9"/>
        <v>0</v>
      </c>
      <c r="I41" s="1904">
        <f t="shared" si="9"/>
        <v>0</v>
      </c>
      <c r="J41" s="1172"/>
      <c r="K41" s="1172"/>
      <c r="L41" s="1172"/>
      <c r="M41" s="1172"/>
      <c r="N41" s="1172"/>
      <c r="O41" s="1172"/>
      <c r="P41" s="1172"/>
    </row>
    <row r="42" spans="2:16" s="337" customFormat="1" ht="12">
      <c r="B42" s="1904" t="str">
        <f t="shared" si="8"/>
        <v>Incumplimiento SAERLP</v>
      </c>
      <c r="C42" s="1904">
        <f>C32-C11</f>
        <v>0</v>
      </c>
      <c r="D42" s="1904">
        <f t="shared" ref="D42:I42" si="10">D32-D11</f>
        <v>0</v>
      </c>
      <c r="E42" s="1904">
        <f t="shared" si="10"/>
        <v>0</v>
      </c>
      <c r="F42" s="1904">
        <f>F32-F11</f>
        <v>0</v>
      </c>
      <c r="G42" s="1904">
        <f t="shared" si="10"/>
        <v>0</v>
      </c>
      <c r="H42" s="1904">
        <f t="shared" si="10"/>
        <v>0</v>
      </c>
      <c r="I42" s="1904">
        <f t="shared" si="10"/>
        <v>0</v>
      </c>
      <c r="J42" s="1172"/>
      <c r="K42" s="1172"/>
      <c r="L42" s="1172"/>
      <c r="M42" s="1172"/>
      <c r="N42" s="1172"/>
      <c r="O42" s="1172"/>
      <c r="P42" s="1172"/>
    </row>
    <row r="43" spans="2:16" s="337" customFormat="1" ht="12">
      <c r="B43" s="1904" t="str">
        <f t="shared" si="8"/>
        <v>Serv. Aux. Seg de la Demanda</v>
      </c>
      <c r="C43" s="1904">
        <f t="shared" ref="C43:I43" si="11">C9-C33</f>
        <v>0</v>
      </c>
      <c r="D43" s="1904">
        <f t="shared" si="11"/>
        <v>0</v>
      </c>
      <c r="E43" s="1904">
        <f t="shared" si="11"/>
        <v>0</v>
      </c>
      <c r="F43" s="1904">
        <f>F9-F33</f>
        <v>0</v>
      </c>
      <c r="G43" s="1904">
        <f t="shared" si="11"/>
        <v>0</v>
      </c>
      <c r="H43" s="1904">
        <f t="shared" si="11"/>
        <v>0</v>
      </c>
      <c r="I43" s="1904">
        <f t="shared" si="11"/>
        <v>0</v>
      </c>
      <c r="J43" s="1172"/>
      <c r="K43" s="1172"/>
      <c r="L43" s="1172"/>
      <c r="M43" s="1172"/>
      <c r="N43" s="1172"/>
      <c r="O43" s="1172"/>
      <c r="P43" s="1172"/>
    </row>
    <row r="44" spans="2:16" s="337" customFormat="1" ht="12">
      <c r="B44" s="1904" t="str">
        <f t="shared" si="8"/>
        <v>Diferencia en Importación del MER</v>
      </c>
      <c r="C44" s="1904">
        <f t="shared" ref="C44:I44" si="12">C34-C8</f>
        <v>0</v>
      </c>
      <c r="D44" s="1904">
        <f t="shared" si="12"/>
        <v>0</v>
      </c>
      <c r="E44" s="1904">
        <f t="shared" si="12"/>
        <v>0</v>
      </c>
      <c r="F44" s="1904">
        <f>F34-F8</f>
        <v>0</v>
      </c>
      <c r="G44" s="1904">
        <f t="shared" si="12"/>
        <v>0</v>
      </c>
      <c r="H44" s="1904">
        <f t="shared" si="12"/>
        <v>0</v>
      </c>
      <c r="I44" s="1904">
        <f t="shared" si="12"/>
        <v>0</v>
      </c>
      <c r="J44" s="1172"/>
      <c r="K44" s="1172"/>
      <c r="L44" s="1172"/>
      <c r="M44" s="1172"/>
      <c r="N44" s="1172"/>
      <c r="O44" s="1172"/>
      <c r="P44" s="1172"/>
    </row>
    <row r="45" spans="2:16" s="337" customFormat="1" ht="12">
      <c r="B45" s="1904" t="str">
        <f t="shared" si="8"/>
        <v>Incumplimiento SAERLP</v>
      </c>
      <c r="C45" s="1904">
        <f t="shared" ref="C45:I45" si="13">C35-C11</f>
        <v>0</v>
      </c>
      <c r="D45" s="1904">
        <f t="shared" si="13"/>
        <v>0</v>
      </c>
      <c r="E45" s="1904">
        <f t="shared" si="13"/>
        <v>0</v>
      </c>
      <c r="F45" s="1904">
        <f>F35-F11</f>
        <v>0</v>
      </c>
      <c r="G45" s="1904">
        <f t="shared" si="13"/>
        <v>0</v>
      </c>
      <c r="H45" s="1904">
        <f t="shared" si="13"/>
        <v>0</v>
      </c>
      <c r="I45" s="1904">
        <f t="shared" si="13"/>
        <v>0</v>
      </c>
      <c r="J45" s="1172"/>
      <c r="K45" s="1172"/>
      <c r="L45" s="1172"/>
      <c r="M45" s="1172"/>
      <c r="N45" s="1172"/>
      <c r="O45" s="1172"/>
      <c r="P45" s="1172"/>
    </row>
    <row r="46" spans="2:16">
      <c r="B46" s="697"/>
    </row>
    <row r="47" spans="2:16">
      <c r="B47" s="697"/>
    </row>
  </sheetData>
  <pageMargins left="0.7" right="0.7" top="0.75" bottom="0.75" header="0.3" footer="0.3"/>
  <pageSetup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Hoja69">
    <tabColor theme="5" tint="0.59999389629810485"/>
  </sheetPr>
  <dimension ref="B1:P457"/>
  <sheetViews>
    <sheetView view="pageBreakPreview" zoomScale="85" zoomScaleNormal="70" zoomScaleSheetLayoutView="85" workbookViewId="0"/>
  </sheetViews>
  <sheetFormatPr baseColWidth="10" defaultColWidth="8" defaultRowHeight="13.5"/>
  <cols>
    <col min="1" max="1" width="3" style="143" customWidth="1"/>
    <col min="2" max="2" width="4.5" style="143" bestFit="1" customWidth="1"/>
    <col min="3" max="3" width="4.25" style="143" bestFit="1" customWidth="1"/>
    <col min="4" max="4" width="13.25" style="143" bestFit="1" customWidth="1"/>
    <col min="5" max="5" width="39.5" style="143" customWidth="1"/>
    <col min="6" max="6" width="4.875" style="314" bestFit="1" customWidth="1"/>
    <col min="7" max="7" width="7.375" style="844" bestFit="1" customWidth="1"/>
    <col min="8" max="8" width="11.625" style="314" customWidth="1"/>
    <col min="9" max="13" width="11.625" style="143" customWidth="1"/>
    <col min="14" max="14" width="12.75" style="65" customWidth="1"/>
    <col min="15" max="15" width="10" style="143" bestFit="1" customWidth="1"/>
    <col min="16" max="16" width="9.125" style="143" bestFit="1" customWidth="1"/>
    <col min="17" max="16384" width="8" style="143"/>
  </cols>
  <sheetData>
    <row r="1" spans="2:14" s="38" customFormat="1">
      <c r="B1" s="271"/>
      <c r="C1" s="271"/>
      <c r="D1" s="271"/>
      <c r="E1" s="271" t="s">
        <v>151</v>
      </c>
      <c r="F1" s="385"/>
      <c r="G1" s="826"/>
      <c r="H1" s="386" t="s">
        <v>138</v>
      </c>
      <c r="I1" s="387"/>
      <c r="J1" s="387"/>
      <c r="K1" s="387"/>
      <c r="L1" s="387"/>
      <c r="M1" s="388" t="s">
        <v>76</v>
      </c>
      <c r="N1" s="389" t="s">
        <v>509</v>
      </c>
    </row>
    <row r="2" spans="2:14" s="38" customFormat="1">
      <c r="B2" s="390"/>
      <c r="C2" s="390"/>
      <c r="D2" s="390"/>
      <c r="E2" s="390"/>
      <c r="F2" s="391"/>
      <c r="G2" s="847"/>
      <c r="H2" s="387"/>
      <c r="I2" s="387"/>
      <c r="J2" s="387"/>
      <c r="K2" s="387"/>
      <c r="L2" s="387"/>
      <c r="M2" s="387"/>
      <c r="N2" s="392"/>
    </row>
    <row r="3" spans="2:14" ht="15.75">
      <c r="B3" s="393"/>
      <c r="C3" s="393"/>
      <c r="D3" s="393"/>
      <c r="E3" s="394" t="s">
        <v>352</v>
      </c>
      <c r="F3" s="393"/>
      <c r="G3" s="827"/>
      <c r="H3" s="395"/>
      <c r="I3" s="395"/>
      <c r="J3" s="395"/>
      <c r="K3" s="395"/>
      <c r="L3" s="395"/>
      <c r="M3" s="395"/>
      <c r="N3" s="396"/>
    </row>
    <row r="4" spans="2:14" ht="15.75">
      <c r="B4" s="397"/>
      <c r="C4" s="397"/>
      <c r="D4" s="397" t="s">
        <v>1334</v>
      </c>
      <c r="E4" s="398" t="s">
        <v>137</v>
      </c>
      <c r="F4" s="399"/>
      <c r="G4" s="828"/>
      <c r="H4" s="398">
        <v>45839</v>
      </c>
      <c r="I4" s="398">
        <v>45870</v>
      </c>
      <c r="J4" s="398">
        <v>45901</v>
      </c>
      <c r="K4" s="398">
        <v>45931</v>
      </c>
      <c r="L4" s="398">
        <v>45962</v>
      </c>
      <c r="M4" s="398">
        <v>45992</v>
      </c>
      <c r="N4" s="396"/>
    </row>
    <row r="5" spans="2:14">
      <c r="B5" s="400"/>
      <c r="C5" s="400"/>
      <c r="D5" s="402" t="s">
        <v>448</v>
      </c>
      <c r="E5" s="402" t="s">
        <v>817</v>
      </c>
      <c r="F5" s="403" t="s">
        <v>386</v>
      </c>
      <c r="G5" s="829" t="s">
        <v>1114</v>
      </c>
      <c r="H5" s="401">
        <v>5.0919999999999996</v>
      </c>
      <c r="I5" s="401">
        <v>5.0919999999999996</v>
      </c>
      <c r="J5" s="401">
        <v>5.0919999999999996</v>
      </c>
      <c r="K5" s="401">
        <v>5.0919999999999996</v>
      </c>
      <c r="L5" s="401">
        <v>5.0919999999999996</v>
      </c>
      <c r="M5" s="401">
        <v>5.0919999999999996</v>
      </c>
      <c r="N5" s="396"/>
    </row>
    <row r="6" spans="2:14">
      <c r="B6" s="400"/>
      <c r="C6" s="400"/>
      <c r="D6" s="402" t="s">
        <v>545</v>
      </c>
      <c r="E6" s="402" t="s">
        <v>818</v>
      </c>
      <c r="F6" s="403" t="s">
        <v>386</v>
      </c>
      <c r="G6" s="829" t="s">
        <v>1115</v>
      </c>
      <c r="H6" s="401">
        <v>4.5999999999999996</v>
      </c>
      <c r="I6" s="401">
        <v>4.5999999999999996</v>
      </c>
      <c r="J6" s="401">
        <v>4.5999999999999996</v>
      </c>
      <c r="K6" s="401">
        <v>4.5999999999999996</v>
      </c>
      <c r="L6" s="401">
        <v>4.5999999999999996</v>
      </c>
      <c r="M6" s="401">
        <v>4.5999999999999996</v>
      </c>
      <c r="N6" s="396"/>
    </row>
    <row r="7" spans="2:14">
      <c r="B7" s="400"/>
      <c r="C7" s="400"/>
      <c r="D7" s="402" t="s">
        <v>547</v>
      </c>
      <c r="E7" s="402" t="s">
        <v>550</v>
      </c>
      <c r="F7" s="403" t="s">
        <v>386</v>
      </c>
      <c r="G7" s="829" t="s">
        <v>1116</v>
      </c>
      <c r="H7" s="401">
        <v>7.8729800000000001</v>
      </c>
      <c r="I7" s="401">
        <v>7.8729800000000001</v>
      </c>
      <c r="J7" s="401">
        <v>7.8729800000000001</v>
      </c>
      <c r="K7" s="401">
        <v>7.8729800000000001</v>
      </c>
      <c r="L7" s="401">
        <v>7.8729800000000001</v>
      </c>
      <c r="M7" s="401">
        <v>7.8729800000000001</v>
      </c>
      <c r="N7" s="396"/>
    </row>
    <row r="8" spans="2:14">
      <c r="B8" s="400"/>
      <c r="C8" s="400"/>
      <c r="D8" s="402" t="s">
        <v>558</v>
      </c>
      <c r="E8" s="402" t="s">
        <v>952</v>
      </c>
      <c r="F8" s="403" t="s">
        <v>386</v>
      </c>
      <c r="G8" s="829" t="s">
        <v>1116</v>
      </c>
      <c r="H8" s="401">
        <v>2.6669999999999998</v>
      </c>
      <c r="I8" s="401">
        <v>2.6669999999999998</v>
      </c>
      <c r="J8" s="401">
        <v>2.6669999999999998</v>
      </c>
      <c r="K8" s="401">
        <v>2.6669999999999998</v>
      </c>
      <c r="L8" s="401">
        <v>2.6669999999999998</v>
      </c>
      <c r="M8" s="401">
        <v>2.6669999999999998</v>
      </c>
      <c r="N8" s="396"/>
    </row>
    <row r="9" spans="2:14">
      <c r="B9" s="400"/>
      <c r="C9" s="400"/>
      <c r="D9" s="402" t="s">
        <v>559</v>
      </c>
      <c r="E9" s="402" t="s">
        <v>551</v>
      </c>
      <c r="F9" s="403" t="s">
        <v>386</v>
      </c>
      <c r="G9" s="829" t="s">
        <v>1116</v>
      </c>
      <c r="H9" s="401">
        <v>1.4615199999999999</v>
      </c>
      <c r="I9" s="401">
        <v>1.4615199999999999</v>
      </c>
      <c r="J9" s="401">
        <v>1.4615199999999999</v>
      </c>
      <c r="K9" s="401">
        <v>1.4615199999999999</v>
      </c>
      <c r="L9" s="401">
        <v>1.4615199999999999</v>
      </c>
      <c r="M9" s="401">
        <v>1.4615199999999999</v>
      </c>
      <c r="N9" s="396"/>
    </row>
    <row r="10" spans="2:14">
      <c r="B10" s="400"/>
      <c r="C10" s="400"/>
      <c r="D10" s="402" t="s">
        <v>560</v>
      </c>
      <c r="E10" s="402" t="s">
        <v>552</v>
      </c>
      <c r="F10" s="403" t="s">
        <v>386</v>
      </c>
      <c r="G10" s="829" t="s">
        <v>1116</v>
      </c>
      <c r="H10" s="401">
        <v>1.05026</v>
      </c>
      <c r="I10" s="401">
        <v>1.05026</v>
      </c>
      <c r="J10" s="401">
        <v>1.05026</v>
      </c>
      <c r="K10" s="401">
        <v>1.05026</v>
      </c>
      <c r="L10" s="401">
        <v>1.05026</v>
      </c>
      <c r="M10" s="401">
        <v>1.05026</v>
      </c>
      <c r="N10" s="396"/>
    </row>
    <row r="11" spans="2:14">
      <c r="B11" s="400"/>
      <c r="C11" s="400"/>
      <c r="D11" s="402" t="s">
        <v>561</v>
      </c>
      <c r="E11" s="402" t="s">
        <v>578</v>
      </c>
      <c r="F11" s="403" t="s">
        <v>386</v>
      </c>
      <c r="G11" s="829" t="s">
        <v>1116</v>
      </c>
      <c r="H11" s="401">
        <v>0.80010000000000003</v>
      </c>
      <c r="I11" s="401">
        <v>0.80010000000000003</v>
      </c>
      <c r="J11" s="401">
        <v>0.80010000000000003</v>
      </c>
      <c r="K11" s="401">
        <v>0.80010000000000003</v>
      </c>
      <c r="L11" s="401">
        <v>0.80010000000000003</v>
      </c>
      <c r="M11" s="401">
        <v>0.80010000000000003</v>
      </c>
      <c r="N11" s="396"/>
    </row>
    <row r="12" spans="2:14">
      <c r="B12" s="400"/>
      <c r="C12" s="400"/>
      <c r="D12" s="402" t="s">
        <v>562</v>
      </c>
      <c r="E12" s="402" t="s">
        <v>554</v>
      </c>
      <c r="F12" s="403" t="s">
        <v>386</v>
      </c>
      <c r="G12" s="829" t="s">
        <v>1116</v>
      </c>
      <c r="H12" s="401">
        <v>0.64407999999999999</v>
      </c>
      <c r="I12" s="401">
        <v>0.64407999999999999</v>
      </c>
      <c r="J12" s="401">
        <v>0.64407999999999999</v>
      </c>
      <c r="K12" s="401">
        <v>0.64407999999999999</v>
      </c>
      <c r="L12" s="401">
        <v>0.64407999999999999</v>
      </c>
      <c r="M12" s="401">
        <v>0.64407999999999999</v>
      </c>
      <c r="N12" s="396"/>
    </row>
    <row r="13" spans="2:14">
      <c r="B13" s="400"/>
      <c r="C13" s="400"/>
      <c r="D13" s="402" t="s">
        <v>563</v>
      </c>
      <c r="E13" s="402" t="s">
        <v>555</v>
      </c>
      <c r="F13" s="403" t="s">
        <v>386</v>
      </c>
      <c r="G13" s="829" t="s">
        <v>1116</v>
      </c>
      <c r="H13" s="401">
        <v>0.61287999999999998</v>
      </c>
      <c r="I13" s="401">
        <v>0.61287999999999998</v>
      </c>
      <c r="J13" s="401">
        <v>0.61287999999999998</v>
      </c>
      <c r="K13" s="401">
        <v>0.61287999999999998</v>
      </c>
      <c r="L13" s="401">
        <v>0.61287999999999998</v>
      </c>
      <c r="M13" s="401">
        <v>0.61287999999999998</v>
      </c>
      <c r="N13" s="396"/>
    </row>
    <row r="14" spans="2:14">
      <c r="B14" s="400"/>
      <c r="C14" s="400"/>
      <c r="D14" s="402" t="s">
        <v>564</v>
      </c>
      <c r="E14" s="402" t="s">
        <v>556</v>
      </c>
      <c r="F14" s="403" t="s">
        <v>386</v>
      </c>
      <c r="G14" s="829" t="s">
        <v>1116</v>
      </c>
      <c r="H14" s="401">
        <v>0.50753000000000004</v>
      </c>
      <c r="I14" s="401">
        <v>0.50753000000000004</v>
      </c>
      <c r="J14" s="401">
        <v>0.50753000000000004</v>
      </c>
      <c r="K14" s="401">
        <v>0.50753000000000004</v>
      </c>
      <c r="L14" s="401">
        <v>0.50753000000000004</v>
      </c>
      <c r="M14" s="401">
        <v>0.50753000000000004</v>
      </c>
      <c r="N14" s="396"/>
    </row>
    <row r="15" spans="2:14">
      <c r="B15" s="400"/>
      <c r="C15" s="400"/>
      <c r="D15" s="402" t="s">
        <v>565</v>
      </c>
      <c r="E15" s="402" t="s">
        <v>557</v>
      </c>
      <c r="F15" s="403" t="s">
        <v>386</v>
      </c>
      <c r="G15" s="829" t="s">
        <v>1116</v>
      </c>
      <c r="H15" s="401">
        <v>0.35550999999999999</v>
      </c>
      <c r="I15" s="401">
        <v>0.35550999999999999</v>
      </c>
      <c r="J15" s="401">
        <v>0.35550999999999999</v>
      </c>
      <c r="K15" s="401">
        <v>0.35550999999999999</v>
      </c>
      <c r="L15" s="401">
        <v>0.35550999999999999</v>
      </c>
      <c r="M15" s="401">
        <v>0.35550999999999999</v>
      </c>
      <c r="N15" s="396"/>
    </row>
    <row r="16" spans="2:14">
      <c r="B16" s="400"/>
      <c r="C16" s="400"/>
      <c r="D16" s="402" t="s">
        <v>566</v>
      </c>
      <c r="E16" s="402" t="s">
        <v>953</v>
      </c>
      <c r="F16" s="403" t="s">
        <v>386</v>
      </c>
      <c r="G16" s="829" t="s">
        <v>1116</v>
      </c>
      <c r="H16" s="401">
        <v>0.33338000000000001</v>
      </c>
      <c r="I16" s="401">
        <v>0.33338000000000001</v>
      </c>
      <c r="J16" s="401">
        <v>0.33338000000000001</v>
      </c>
      <c r="K16" s="401">
        <v>0.33338000000000001</v>
      </c>
      <c r="L16" s="401">
        <v>0.33338000000000001</v>
      </c>
      <c r="M16" s="401">
        <v>0.33338000000000001</v>
      </c>
      <c r="N16" s="396"/>
    </row>
    <row r="17" spans="2:14">
      <c r="B17" s="400"/>
      <c r="C17" s="400"/>
      <c r="D17" s="402" t="s">
        <v>831</v>
      </c>
      <c r="E17" s="402" t="s">
        <v>924</v>
      </c>
      <c r="F17" s="403" t="s">
        <v>386</v>
      </c>
      <c r="G17" s="829" t="s">
        <v>1118</v>
      </c>
      <c r="H17" s="401">
        <v>115.5</v>
      </c>
      <c r="I17" s="401">
        <v>115.5</v>
      </c>
      <c r="J17" s="401">
        <v>115.5</v>
      </c>
      <c r="K17" s="401">
        <v>115.5</v>
      </c>
      <c r="L17" s="401">
        <v>115.5</v>
      </c>
      <c r="M17" s="401">
        <v>115.5</v>
      </c>
      <c r="N17" s="396"/>
    </row>
    <row r="18" spans="2:14">
      <c r="B18" s="400"/>
      <c r="C18" s="400"/>
      <c r="D18" s="402" t="s">
        <v>687</v>
      </c>
      <c r="E18" s="402" t="s">
        <v>689</v>
      </c>
      <c r="F18" s="403" t="s">
        <v>386</v>
      </c>
      <c r="G18" s="829" t="s">
        <v>1118</v>
      </c>
      <c r="H18" s="401">
        <v>0.58940000000000003</v>
      </c>
      <c r="I18" s="401">
        <v>0.58940000000000003</v>
      </c>
      <c r="J18" s="401">
        <v>0.58940000000000003</v>
      </c>
      <c r="K18" s="401">
        <v>0.58940000000000003</v>
      </c>
      <c r="L18" s="401">
        <v>0.58940000000000003</v>
      </c>
      <c r="M18" s="401">
        <v>0.58940000000000003</v>
      </c>
      <c r="N18" s="396"/>
    </row>
    <row r="19" spans="2:14">
      <c r="B19" s="400"/>
      <c r="C19" s="400"/>
      <c r="D19" s="402" t="s">
        <v>688</v>
      </c>
      <c r="E19" s="402" t="s">
        <v>819</v>
      </c>
      <c r="F19" s="403" t="s">
        <v>386</v>
      </c>
      <c r="G19" s="829" t="s">
        <v>1118</v>
      </c>
      <c r="H19" s="401">
        <v>2.9073000000000002</v>
      </c>
      <c r="I19" s="401">
        <v>2.9073000000000002</v>
      </c>
      <c r="J19" s="401">
        <v>2.9073000000000002</v>
      </c>
      <c r="K19" s="401">
        <v>2.9073000000000002</v>
      </c>
      <c r="L19" s="401">
        <v>2.9073000000000002</v>
      </c>
      <c r="M19" s="401">
        <v>2.9073000000000002</v>
      </c>
      <c r="N19" s="396"/>
    </row>
    <row r="20" spans="2:14">
      <c r="B20" s="400"/>
      <c r="C20" s="400"/>
      <c r="D20" s="402" t="s">
        <v>800</v>
      </c>
      <c r="E20" s="402" t="s">
        <v>954</v>
      </c>
      <c r="F20" s="403" t="s">
        <v>386</v>
      </c>
      <c r="G20" s="829" t="s">
        <v>1118</v>
      </c>
      <c r="H20" s="401">
        <v>0.30420000000000003</v>
      </c>
      <c r="I20" s="401">
        <v>0.30420000000000003</v>
      </c>
      <c r="J20" s="401">
        <v>0.30420000000000003</v>
      </c>
      <c r="K20" s="401">
        <v>0.30420000000000003</v>
      </c>
      <c r="L20" s="401">
        <v>0.30420000000000003</v>
      </c>
      <c r="M20" s="401">
        <v>0.30420000000000003</v>
      </c>
      <c r="N20" s="396"/>
    </row>
    <row r="21" spans="2:14">
      <c r="B21" s="400"/>
      <c r="C21" s="400"/>
      <c r="D21" s="402" t="s">
        <v>1273</v>
      </c>
      <c r="E21" s="402" t="s">
        <v>1507</v>
      </c>
      <c r="F21" s="403" t="s">
        <v>780</v>
      </c>
      <c r="G21" s="829" t="s">
        <v>1315</v>
      </c>
      <c r="H21" s="401">
        <v>160</v>
      </c>
      <c r="I21" s="401">
        <v>160</v>
      </c>
      <c r="J21" s="401">
        <v>160</v>
      </c>
      <c r="K21" s="401">
        <v>160</v>
      </c>
      <c r="L21" s="401">
        <v>160</v>
      </c>
      <c r="M21" s="401">
        <v>160</v>
      </c>
      <c r="N21" s="396"/>
    </row>
    <row r="22" spans="2:14">
      <c r="B22" s="400"/>
      <c r="C22" s="400"/>
      <c r="D22" s="402" t="s">
        <v>792</v>
      </c>
      <c r="E22" s="402" t="s">
        <v>820</v>
      </c>
      <c r="F22" s="403" t="s">
        <v>780</v>
      </c>
      <c r="G22" s="829" t="s">
        <v>1121</v>
      </c>
      <c r="H22" s="401">
        <v>126</v>
      </c>
      <c r="I22" s="401">
        <v>126</v>
      </c>
      <c r="J22" s="401">
        <v>126</v>
      </c>
      <c r="K22" s="401">
        <v>126</v>
      </c>
      <c r="L22" s="401">
        <v>126</v>
      </c>
      <c r="M22" s="401">
        <v>126</v>
      </c>
      <c r="N22" s="396"/>
    </row>
    <row r="23" spans="2:14">
      <c r="B23" s="400"/>
      <c r="C23" s="400"/>
      <c r="D23" s="402" t="s">
        <v>1363</v>
      </c>
      <c r="E23" s="402" t="s">
        <v>1718</v>
      </c>
      <c r="F23" s="403" t="s">
        <v>1325</v>
      </c>
      <c r="G23" s="829" t="s">
        <v>1322</v>
      </c>
      <c r="H23" s="401">
        <v>126</v>
      </c>
      <c r="I23" s="401">
        <v>126</v>
      </c>
      <c r="J23" s="401">
        <v>126</v>
      </c>
      <c r="K23" s="401">
        <v>126</v>
      </c>
      <c r="L23" s="401">
        <v>126</v>
      </c>
      <c r="M23" s="401">
        <v>126</v>
      </c>
      <c r="N23" s="396"/>
    </row>
    <row r="24" spans="2:14">
      <c r="B24" s="400"/>
      <c r="C24" s="400"/>
      <c r="D24" s="402" t="s">
        <v>1131</v>
      </c>
      <c r="E24" s="402" t="s">
        <v>1261</v>
      </c>
      <c r="F24" s="403" t="s">
        <v>387</v>
      </c>
      <c r="G24" s="829" t="s">
        <v>1143</v>
      </c>
      <c r="H24" s="401">
        <v>0</v>
      </c>
      <c r="I24" s="401">
        <v>0</v>
      </c>
      <c r="J24" s="401">
        <v>0</v>
      </c>
      <c r="K24" s="401">
        <v>0</v>
      </c>
      <c r="L24" s="401">
        <v>0</v>
      </c>
      <c r="M24" s="401">
        <v>0</v>
      </c>
      <c r="N24" s="396"/>
    </row>
    <row r="25" spans="2:14">
      <c r="B25" s="400"/>
      <c r="C25" s="400"/>
      <c r="D25" s="402" t="s">
        <v>1132</v>
      </c>
      <c r="E25" s="402" t="s">
        <v>1262</v>
      </c>
      <c r="F25" s="403" t="s">
        <v>387</v>
      </c>
      <c r="G25" s="829" t="s">
        <v>1143</v>
      </c>
      <c r="H25" s="401">
        <v>0</v>
      </c>
      <c r="I25" s="401">
        <v>0</v>
      </c>
      <c r="J25" s="401">
        <v>0</v>
      </c>
      <c r="K25" s="401">
        <v>0</v>
      </c>
      <c r="L25" s="401">
        <v>0</v>
      </c>
      <c r="M25" s="401">
        <v>0</v>
      </c>
      <c r="N25" s="396"/>
    </row>
    <row r="26" spans="2:14">
      <c r="B26" s="400"/>
      <c r="C26" s="400"/>
      <c r="D26" s="402" t="s">
        <v>1134</v>
      </c>
      <c r="E26" s="402" t="s">
        <v>1086</v>
      </c>
      <c r="F26" s="403" t="s">
        <v>387</v>
      </c>
      <c r="G26" s="829" t="s">
        <v>1143</v>
      </c>
      <c r="H26" s="401">
        <v>47.45</v>
      </c>
      <c r="I26" s="401">
        <v>51.35</v>
      </c>
      <c r="J26" s="401">
        <v>50.05</v>
      </c>
      <c r="K26" s="401">
        <v>37.96</v>
      </c>
      <c r="L26" s="401">
        <v>52</v>
      </c>
      <c r="M26" s="401">
        <v>48.1</v>
      </c>
      <c r="N26" s="396"/>
    </row>
    <row r="27" spans="2:14">
      <c r="B27" s="400"/>
      <c r="C27" s="400"/>
      <c r="D27" s="402" t="s">
        <v>1135</v>
      </c>
      <c r="E27" s="402" t="s">
        <v>1086</v>
      </c>
      <c r="F27" s="403" t="s">
        <v>387</v>
      </c>
      <c r="G27" s="829" t="s">
        <v>1143</v>
      </c>
      <c r="H27" s="401">
        <v>6.57</v>
      </c>
      <c r="I27" s="401">
        <v>0</v>
      </c>
      <c r="J27" s="401">
        <v>0</v>
      </c>
      <c r="K27" s="401">
        <v>0</v>
      </c>
      <c r="L27" s="401">
        <v>0</v>
      </c>
      <c r="M27" s="401">
        <v>7.4</v>
      </c>
      <c r="N27" s="396"/>
    </row>
    <row r="28" spans="2:14">
      <c r="B28" s="400"/>
      <c r="C28" s="400"/>
      <c r="D28" s="402" t="s">
        <v>1136</v>
      </c>
      <c r="E28" s="402" t="s">
        <v>1263</v>
      </c>
      <c r="F28" s="403" t="s">
        <v>387</v>
      </c>
      <c r="G28" s="829" t="s">
        <v>1143</v>
      </c>
      <c r="H28" s="401">
        <v>0</v>
      </c>
      <c r="I28" s="401">
        <v>28.44</v>
      </c>
      <c r="J28" s="401">
        <v>13.09</v>
      </c>
      <c r="K28" s="401">
        <v>0</v>
      </c>
      <c r="L28" s="401">
        <v>16</v>
      </c>
      <c r="M28" s="401">
        <v>0</v>
      </c>
      <c r="N28" s="396"/>
    </row>
    <row r="29" spans="2:14">
      <c r="B29" s="400"/>
      <c r="C29" s="400"/>
      <c r="D29" s="402" t="s">
        <v>1137</v>
      </c>
      <c r="E29" s="402" t="s">
        <v>1087</v>
      </c>
      <c r="F29" s="403" t="s">
        <v>387</v>
      </c>
      <c r="G29" s="829" t="s">
        <v>1143</v>
      </c>
      <c r="H29" s="401">
        <v>0</v>
      </c>
      <c r="I29" s="401">
        <v>0</v>
      </c>
      <c r="J29" s="401">
        <v>0</v>
      </c>
      <c r="K29" s="401">
        <v>0</v>
      </c>
      <c r="L29" s="401">
        <v>0</v>
      </c>
      <c r="M29" s="401">
        <v>0</v>
      </c>
      <c r="N29" s="396"/>
    </row>
    <row r="30" spans="2:14">
      <c r="B30" s="400"/>
      <c r="C30" s="400"/>
      <c r="D30" s="402" t="s">
        <v>1138</v>
      </c>
      <c r="E30" s="402" t="s">
        <v>1087</v>
      </c>
      <c r="F30" s="403" t="s">
        <v>387</v>
      </c>
      <c r="G30" s="829" t="s">
        <v>1143</v>
      </c>
      <c r="H30" s="401">
        <v>0</v>
      </c>
      <c r="I30" s="401">
        <v>0</v>
      </c>
      <c r="J30" s="401">
        <v>0</v>
      </c>
      <c r="K30" s="401">
        <v>0</v>
      </c>
      <c r="L30" s="401">
        <v>0</v>
      </c>
      <c r="M30" s="401">
        <v>0</v>
      </c>
      <c r="N30" s="396"/>
    </row>
    <row r="31" spans="2:14">
      <c r="B31" s="400"/>
      <c r="C31" s="400"/>
      <c r="D31" s="402" t="s">
        <v>1139</v>
      </c>
      <c r="E31" s="402" t="s">
        <v>1140</v>
      </c>
      <c r="F31" s="403" t="s">
        <v>387</v>
      </c>
      <c r="G31" s="829" t="s">
        <v>1143</v>
      </c>
      <c r="H31" s="401">
        <v>32.85</v>
      </c>
      <c r="I31" s="401">
        <v>35.549999999999997</v>
      </c>
      <c r="J31" s="401">
        <v>34.65</v>
      </c>
      <c r="K31" s="401">
        <v>32.85</v>
      </c>
      <c r="L31" s="401">
        <v>36</v>
      </c>
      <c r="M31" s="401">
        <v>33.299999999999997</v>
      </c>
      <c r="N31" s="396"/>
    </row>
    <row r="32" spans="2:14">
      <c r="B32" s="400"/>
      <c r="C32" s="400"/>
      <c r="D32" s="402" t="s">
        <v>1141</v>
      </c>
      <c r="E32" s="402" t="s">
        <v>1264</v>
      </c>
      <c r="F32" s="403" t="s">
        <v>387</v>
      </c>
      <c r="G32" s="829" t="s">
        <v>1143</v>
      </c>
      <c r="H32" s="401">
        <v>0.73</v>
      </c>
      <c r="I32" s="401">
        <v>0.79</v>
      </c>
      <c r="J32" s="401">
        <v>0.77</v>
      </c>
      <c r="K32" s="401">
        <v>0</v>
      </c>
      <c r="L32" s="401">
        <v>0.8</v>
      </c>
      <c r="M32" s="401">
        <v>0.74</v>
      </c>
      <c r="N32" s="396"/>
    </row>
    <row r="33" spans="2:14">
      <c r="B33" s="400"/>
      <c r="C33" s="400"/>
      <c r="D33" s="402" t="s">
        <v>1294</v>
      </c>
      <c r="E33" s="402" t="s">
        <v>1321</v>
      </c>
      <c r="F33" s="403" t="s">
        <v>387</v>
      </c>
      <c r="G33" s="829" t="s">
        <v>1293</v>
      </c>
      <c r="H33" s="401">
        <v>48</v>
      </c>
      <c r="I33" s="401">
        <v>47.52</v>
      </c>
      <c r="J33" s="401">
        <v>45.6</v>
      </c>
      <c r="K33" s="401">
        <v>44.16</v>
      </c>
      <c r="L33" s="401">
        <v>45.12</v>
      </c>
      <c r="M33" s="401">
        <v>43.2</v>
      </c>
      <c r="N33" s="396"/>
    </row>
    <row r="34" spans="2:14">
      <c r="B34" s="400"/>
      <c r="C34" s="400"/>
      <c r="D34" s="402" t="s">
        <v>1295</v>
      </c>
      <c r="E34" s="402" t="s">
        <v>1086</v>
      </c>
      <c r="F34" s="403" t="s">
        <v>387</v>
      </c>
      <c r="G34" s="829" t="s">
        <v>1293</v>
      </c>
      <c r="H34" s="401">
        <v>62</v>
      </c>
      <c r="I34" s="401">
        <v>43.56</v>
      </c>
      <c r="J34" s="401">
        <v>34.200000000000003</v>
      </c>
      <c r="K34" s="401">
        <v>69.92</v>
      </c>
      <c r="L34" s="401">
        <v>22.56</v>
      </c>
      <c r="M34" s="401">
        <v>55.8</v>
      </c>
      <c r="N34" s="396"/>
    </row>
    <row r="35" spans="2:14">
      <c r="B35" s="400"/>
      <c r="C35" s="400"/>
      <c r="D35" s="402" t="s">
        <v>1572</v>
      </c>
      <c r="E35" s="402" t="s">
        <v>1261</v>
      </c>
      <c r="F35" s="403" t="s">
        <v>387</v>
      </c>
      <c r="G35" s="829" t="s">
        <v>1585</v>
      </c>
      <c r="H35" s="401">
        <v>13.419</v>
      </c>
      <c r="I35" s="401">
        <v>0</v>
      </c>
      <c r="J35" s="401">
        <v>11.554399999999999</v>
      </c>
      <c r="K35" s="401">
        <v>16.012799999999999</v>
      </c>
      <c r="L35" s="401">
        <v>0.97619999999999996</v>
      </c>
      <c r="M35" s="401">
        <v>0.57899999999999996</v>
      </c>
      <c r="N35" s="396"/>
    </row>
    <row r="36" spans="2:14">
      <c r="B36" s="400"/>
      <c r="C36" s="400"/>
      <c r="D36" s="402" t="s">
        <v>1576</v>
      </c>
      <c r="E36" s="402" t="s">
        <v>1321</v>
      </c>
      <c r="F36" s="403" t="s">
        <v>387</v>
      </c>
      <c r="G36" s="829" t="s">
        <v>1585</v>
      </c>
      <c r="H36" s="401">
        <v>0</v>
      </c>
      <c r="I36" s="401">
        <v>0</v>
      </c>
      <c r="J36" s="401">
        <v>0</v>
      </c>
      <c r="K36" s="401">
        <v>0</v>
      </c>
      <c r="L36" s="401">
        <v>0</v>
      </c>
      <c r="M36" s="401">
        <v>0</v>
      </c>
      <c r="N36" s="396"/>
    </row>
    <row r="37" spans="2:14">
      <c r="B37" s="402"/>
      <c r="C37" s="402"/>
      <c r="D37" s="402"/>
      <c r="E37" s="402"/>
      <c r="F37" s="403"/>
      <c r="G37" s="829"/>
      <c r="H37" s="401"/>
      <c r="I37" s="401"/>
      <c r="J37" s="401"/>
      <c r="K37" s="401"/>
      <c r="L37" s="401"/>
      <c r="M37" s="401"/>
      <c r="N37" s="396"/>
    </row>
    <row r="38" spans="2:14">
      <c r="B38" s="404"/>
      <c r="C38" s="404"/>
      <c r="D38" s="404"/>
      <c r="E38" s="405" t="s">
        <v>401</v>
      </c>
      <c r="F38" s="406"/>
      <c r="G38" s="830"/>
      <c r="H38" s="407">
        <f t="shared" ref="H38:M38" si="0">SUM(H5:H37)</f>
        <v>768.31714000000011</v>
      </c>
      <c r="I38" s="407">
        <f t="shared" si="0"/>
        <v>764.50813999999991</v>
      </c>
      <c r="J38" s="407">
        <f t="shared" si="0"/>
        <v>747.21253999999999</v>
      </c>
      <c r="K38" s="407">
        <f t="shared" si="0"/>
        <v>758.20093999999995</v>
      </c>
      <c r="L38" s="407">
        <f t="shared" si="0"/>
        <v>730.75433999999984</v>
      </c>
      <c r="M38" s="407">
        <f t="shared" si="0"/>
        <v>746.4171399999999</v>
      </c>
      <c r="N38" s="396"/>
    </row>
    <row r="39" spans="2:14">
      <c r="B39" s="400"/>
      <c r="C39" s="400"/>
      <c r="D39" s="402" t="s">
        <v>825</v>
      </c>
      <c r="E39" s="402" t="s">
        <v>896</v>
      </c>
      <c r="F39" s="403" t="s">
        <v>1056</v>
      </c>
      <c r="G39" s="829" t="s">
        <v>1122</v>
      </c>
      <c r="H39" s="401">
        <v>5.5</v>
      </c>
      <c r="I39" s="401">
        <v>5.5</v>
      </c>
      <c r="J39" s="401">
        <v>5.5</v>
      </c>
      <c r="K39" s="401">
        <v>5.5</v>
      </c>
      <c r="L39" s="401">
        <v>5.5</v>
      </c>
      <c r="M39" s="401">
        <v>5.5</v>
      </c>
      <c r="N39" s="396"/>
    </row>
    <row r="40" spans="2:14">
      <c r="B40" s="400"/>
      <c r="C40" s="400"/>
      <c r="D40" s="402" t="s">
        <v>897</v>
      </c>
      <c r="E40" s="402" t="s">
        <v>1066</v>
      </c>
      <c r="F40" s="403" t="s">
        <v>1056</v>
      </c>
      <c r="G40" s="829" t="s">
        <v>1122</v>
      </c>
      <c r="H40" s="401">
        <v>22.64</v>
      </c>
      <c r="I40" s="401">
        <v>22.64</v>
      </c>
      <c r="J40" s="401">
        <v>22.64</v>
      </c>
      <c r="K40" s="401">
        <v>22.64</v>
      </c>
      <c r="L40" s="401">
        <v>22.62</v>
      </c>
      <c r="M40" s="401">
        <v>22.62</v>
      </c>
      <c r="N40" s="396"/>
    </row>
    <row r="41" spans="2:14">
      <c r="B41" s="400"/>
      <c r="C41" s="400"/>
      <c r="D41" s="402"/>
      <c r="E41" s="402"/>
      <c r="F41" s="403"/>
      <c r="G41" s="829"/>
      <c r="H41" s="401"/>
      <c r="I41" s="401"/>
      <c r="J41" s="401"/>
      <c r="K41" s="401"/>
      <c r="L41" s="401"/>
      <c r="M41" s="401"/>
      <c r="N41" s="396"/>
    </row>
    <row r="42" spans="2:14">
      <c r="B42" s="405"/>
      <c r="C42" s="405"/>
      <c r="D42" s="405"/>
      <c r="E42" s="405" t="s">
        <v>182</v>
      </c>
      <c r="F42" s="397"/>
      <c r="G42" s="831"/>
      <c r="H42" s="407">
        <f t="shared" ref="H42:M42" si="1">SUM(H38:H41)</f>
        <v>796.45714000000009</v>
      </c>
      <c r="I42" s="407">
        <f t="shared" si="1"/>
        <v>792.6481399999999</v>
      </c>
      <c r="J42" s="407">
        <f t="shared" si="1"/>
        <v>775.35253999999998</v>
      </c>
      <c r="K42" s="407">
        <f t="shared" si="1"/>
        <v>786.34093999999993</v>
      </c>
      <c r="L42" s="407">
        <f t="shared" si="1"/>
        <v>758.87433999999985</v>
      </c>
      <c r="M42" s="407">
        <f t="shared" si="1"/>
        <v>774.53713999999991</v>
      </c>
      <c r="N42" s="396"/>
    </row>
    <row r="43" spans="2:14">
      <c r="B43" s="400"/>
      <c r="C43" s="400"/>
      <c r="D43" s="402" t="s">
        <v>1014</v>
      </c>
      <c r="E43" s="402" t="s">
        <v>388</v>
      </c>
      <c r="F43" s="403" t="s">
        <v>1065</v>
      </c>
      <c r="G43" s="829"/>
      <c r="H43" s="401">
        <v>13.104439732142856</v>
      </c>
      <c r="I43" s="401">
        <v>12.514534598214285</v>
      </c>
      <c r="J43" s="401">
        <v>10.137212053571428</v>
      </c>
      <c r="K43" s="401">
        <v>25.399181919642857</v>
      </c>
      <c r="L43" s="401">
        <v>32.403994419642856</v>
      </c>
      <c r="M43" s="401">
        <v>22.824194196428572</v>
      </c>
      <c r="N43" s="396"/>
    </row>
    <row r="44" spans="2:14">
      <c r="B44" s="400"/>
      <c r="C44" s="400"/>
      <c r="D44" s="400"/>
      <c r="E44" s="400"/>
      <c r="F44" s="403"/>
      <c r="G44" s="832"/>
      <c r="H44" s="401"/>
      <c r="I44" s="401"/>
      <c r="J44" s="401"/>
      <c r="K44" s="401"/>
      <c r="L44" s="401"/>
      <c r="M44" s="401"/>
      <c r="N44" s="396"/>
    </row>
    <row r="45" spans="2:14">
      <c r="B45" s="408"/>
      <c r="C45" s="408"/>
      <c r="D45" s="408"/>
      <c r="E45" s="408" t="s">
        <v>245</v>
      </c>
      <c r="F45" s="409"/>
      <c r="G45" s="833"/>
      <c r="H45" s="407">
        <f t="shared" ref="H45:M45" si="2">SUM(H42:H44)</f>
        <v>809.56157973214295</v>
      </c>
      <c r="I45" s="407">
        <f t="shared" si="2"/>
        <v>805.16267459821415</v>
      </c>
      <c r="J45" s="407">
        <f t="shared" si="2"/>
        <v>785.48975205357135</v>
      </c>
      <c r="K45" s="407">
        <f t="shared" si="2"/>
        <v>811.74012191964277</v>
      </c>
      <c r="L45" s="407">
        <f t="shared" si="2"/>
        <v>791.27833441964276</v>
      </c>
      <c r="M45" s="407">
        <f t="shared" si="2"/>
        <v>797.36133419642852</v>
      </c>
      <c r="N45" s="396"/>
    </row>
    <row r="46" spans="2:14">
      <c r="B46" s="410"/>
      <c r="C46" s="410"/>
      <c r="D46" s="410"/>
      <c r="E46" s="410" t="s">
        <v>320</v>
      </c>
      <c r="F46" s="411"/>
      <c r="G46" s="834"/>
      <c r="H46" s="193"/>
      <c r="I46" s="193"/>
      <c r="J46" s="193"/>
      <c r="K46" s="193"/>
      <c r="L46" s="193"/>
      <c r="M46" s="193"/>
      <c r="N46" s="396"/>
    </row>
    <row r="47" spans="2:14">
      <c r="B47" s="405"/>
      <c r="C47" s="405"/>
      <c r="D47" s="405"/>
      <c r="E47" s="405" t="s">
        <v>104</v>
      </c>
      <c r="F47" s="397"/>
      <c r="G47" s="831"/>
      <c r="H47" s="407">
        <f t="shared" ref="H47:M47" si="3">H45+H46</f>
        <v>809.56157973214295</v>
      </c>
      <c r="I47" s="407">
        <f t="shared" si="3"/>
        <v>805.16267459821415</v>
      </c>
      <c r="J47" s="407">
        <f t="shared" si="3"/>
        <v>785.48975205357135</v>
      </c>
      <c r="K47" s="407">
        <f t="shared" si="3"/>
        <v>811.74012191964277</v>
      </c>
      <c r="L47" s="407">
        <f t="shared" si="3"/>
        <v>791.27833441964276</v>
      </c>
      <c r="M47" s="407">
        <f t="shared" si="3"/>
        <v>797.36133419642852</v>
      </c>
      <c r="N47" s="396"/>
    </row>
    <row r="48" spans="2:14" s="58" customFormat="1" ht="12">
      <c r="B48" s="1972"/>
      <c r="C48" s="1972"/>
      <c r="D48" s="1972"/>
      <c r="E48" s="1972"/>
      <c r="F48" s="1973"/>
      <c r="G48" s="1972"/>
      <c r="H48" s="1652">
        <v>0</v>
      </c>
      <c r="I48" s="1652">
        <v>0</v>
      </c>
      <c r="J48" s="1652">
        <v>0</v>
      </c>
      <c r="K48" s="1652">
        <v>0</v>
      </c>
      <c r="L48" s="1652">
        <v>0</v>
      </c>
      <c r="M48" s="1652">
        <v>0</v>
      </c>
      <c r="N48" s="1972"/>
    </row>
    <row r="49" spans="2:14" ht="31.5" hidden="1">
      <c r="B49" s="1653"/>
      <c r="C49" s="1653"/>
      <c r="D49" s="1653"/>
      <c r="E49" s="1654" t="s">
        <v>15</v>
      </c>
      <c r="F49" s="1653"/>
      <c r="G49" s="1655"/>
      <c r="H49" s="1656"/>
      <c r="I49" s="1656"/>
      <c r="J49" s="1656"/>
      <c r="K49" s="1656"/>
      <c r="L49" s="1656"/>
      <c r="M49" s="1656"/>
      <c r="N49" s="1657"/>
    </row>
    <row r="50" spans="2:14" ht="15.75" hidden="1">
      <c r="B50" s="1658"/>
      <c r="C50" s="1658"/>
      <c r="D50" s="1658" t="s">
        <v>477</v>
      </c>
      <c r="E50" s="1659" t="s">
        <v>137</v>
      </c>
      <c r="F50" s="411"/>
      <c r="G50" s="834"/>
      <c r="H50" s="1659">
        <f t="shared" ref="H50:M50" si="4">H$4</f>
        <v>45839</v>
      </c>
      <c r="I50" s="1659">
        <f t="shared" si="4"/>
        <v>45870</v>
      </c>
      <c r="J50" s="1659">
        <f t="shared" si="4"/>
        <v>45901</v>
      </c>
      <c r="K50" s="1659">
        <f t="shared" si="4"/>
        <v>45931</v>
      </c>
      <c r="L50" s="1659">
        <f t="shared" si="4"/>
        <v>45962</v>
      </c>
      <c r="M50" s="1659">
        <f t="shared" si="4"/>
        <v>45992</v>
      </c>
      <c r="N50" s="1657"/>
    </row>
    <row r="51" spans="2:14" hidden="1">
      <c r="B51" s="402"/>
      <c r="C51" s="402"/>
      <c r="D51" s="402" t="str">
        <f t="shared" ref="D51:F51" si="5">D5</f>
        <v>DME-010-08</v>
      </c>
      <c r="E51" s="400" t="str">
        <f t="shared" si="5"/>
        <v xml:space="preserve">HYDRO CAISAN </v>
      </c>
      <c r="F51" s="403" t="str">
        <f t="shared" si="5"/>
        <v>H</v>
      </c>
      <c r="G51" s="837"/>
      <c r="H51" s="401">
        <f t="shared" ref="H51:M60" si="6">IF(SUMIF($D$4:$D$47,$D51,H$4:H$47)=0,0,SUMIF($D$94:$D$143,$D51,H$94:H$143)/SUMIF($D$5:$D$47,$D51,H$5:H$47)/1000)</f>
        <v>31.620000000000005</v>
      </c>
      <c r="I51" s="401">
        <f t="shared" si="6"/>
        <v>31.620000000000005</v>
      </c>
      <c r="J51" s="401">
        <f t="shared" si="6"/>
        <v>31.620000000000005</v>
      </c>
      <c r="K51" s="401">
        <f t="shared" si="6"/>
        <v>31.620000000000005</v>
      </c>
      <c r="L51" s="401">
        <f t="shared" si="6"/>
        <v>31.620000000000005</v>
      </c>
      <c r="M51" s="401">
        <f t="shared" si="6"/>
        <v>31.620000000000005</v>
      </c>
      <c r="N51" s="1657"/>
    </row>
    <row r="52" spans="2:14" hidden="1">
      <c r="B52" s="402"/>
      <c r="C52" s="402"/>
      <c r="D52" s="402" t="str">
        <f t="shared" ref="D52:F52" si="7">D6</f>
        <v>DME-011-08</v>
      </c>
      <c r="E52" s="400" t="str">
        <f t="shared" si="7"/>
        <v xml:space="preserve">ELECTRON INVESTMENT </v>
      </c>
      <c r="F52" s="403" t="str">
        <f t="shared" si="7"/>
        <v>H</v>
      </c>
      <c r="G52" s="837"/>
      <c r="H52" s="401">
        <f t="shared" si="6"/>
        <v>15.000000000000002</v>
      </c>
      <c r="I52" s="401">
        <f t="shared" si="6"/>
        <v>15.000000000000002</v>
      </c>
      <c r="J52" s="401">
        <f t="shared" si="6"/>
        <v>15.000000000000002</v>
      </c>
      <c r="K52" s="401">
        <f t="shared" si="6"/>
        <v>15.000000000000002</v>
      </c>
      <c r="L52" s="401">
        <f t="shared" si="6"/>
        <v>15.000000000000002</v>
      </c>
      <c r="M52" s="401">
        <f t="shared" si="6"/>
        <v>15.000000000000002</v>
      </c>
      <c r="N52" s="1657"/>
    </row>
    <row r="53" spans="2:14" hidden="1">
      <c r="B53" s="402"/>
      <c r="C53" s="402"/>
      <c r="D53" s="402" t="str">
        <f t="shared" ref="D53:F53" si="8">D7</f>
        <v>DME-016-11</v>
      </c>
      <c r="E53" s="400" t="str">
        <f t="shared" si="8"/>
        <v xml:space="preserve">FORTUNA </v>
      </c>
      <c r="F53" s="403" t="str">
        <f t="shared" si="8"/>
        <v>H</v>
      </c>
      <c r="G53" s="837"/>
      <c r="H53" s="401">
        <f t="shared" si="6"/>
        <v>8.2799999999999976</v>
      </c>
      <c r="I53" s="401">
        <f t="shared" si="6"/>
        <v>10.140001092343688</v>
      </c>
      <c r="J53" s="401">
        <f t="shared" si="6"/>
        <v>8.8000000000000007</v>
      </c>
      <c r="K53" s="401">
        <f t="shared" si="6"/>
        <v>8.6300000000000008</v>
      </c>
      <c r="L53" s="401">
        <f t="shared" si="6"/>
        <v>8.6</v>
      </c>
      <c r="M53" s="401">
        <f t="shared" si="6"/>
        <v>8.3699999999999992</v>
      </c>
      <c r="N53" s="1657"/>
    </row>
    <row r="54" spans="2:14" hidden="1">
      <c r="B54" s="402"/>
      <c r="C54" s="402"/>
      <c r="D54" s="402" t="str">
        <f t="shared" ref="D54:F54" si="9">D8</f>
        <v>DME-018-11</v>
      </c>
      <c r="E54" s="400" t="str">
        <f t="shared" si="9"/>
        <v xml:space="preserve">HIDROECOLOGICA DEL TERIBE </v>
      </c>
      <c r="F54" s="403" t="str">
        <f t="shared" si="9"/>
        <v>H</v>
      </c>
      <c r="G54" s="837"/>
      <c r="H54" s="401">
        <f t="shared" si="6"/>
        <v>8.5</v>
      </c>
      <c r="I54" s="401">
        <f t="shared" si="6"/>
        <v>8.5</v>
      </c>
      <c r="J54" s="401">
        <f t="shared" si="6"/>
        <v>8.5</v>
      </c>
      <c r="K54" s="401">
        <f t="shared" si="6"/>
        <v>8.5</v>
      </c>
      <c r="L54" s="401">
        <f t="shared" si="6"/>
        <v>8.5</v>
      </c>
      <c r="M54" s="401">
        <f t="shared" si="6"/>
        <v>8.5</v>
      </c>
      <c r="N54" s="1657"/>
    </row>
    <row r="55" spans="2:14" hidden="1">
      <c r="B55" s="402"/>
      <c r="C55" s="402"/>
      <c r="D55" s="402" t="str">
        <f t="shared" ref="D55:F55" si="10">D9</f>
        <v>DME-020-11</v>
      </c>
      <c r="E55" s="400" t="str">
        <f t="shared" si="10"/>
        <v xml:space="preserve">ESEPSA </v>
      </c>
      <c r="F55" s="403" t="str">
        <f t="shared" si="10"/>
        <v>H</v>
      </c>
      <c r="G55" s="837"/>
      <c r="H55" s="401">
        <f t="shared" si="6"/>
        <v>12.000000000000002</v>
      </c>
      <c r="I55" s="401">
        <f t="shared" si="6"/>
        <v>12.000000000000002</v>
      </c>
      <c r="J55" s="401">
        <f t="shared" si="6"/>
        <v>12.000000000000002</v>
      </c>
      <c r="K55" s="401">
        <f t="shared" si="6"/>
        <v>12.000000000000002</v>
      </c>
      <c r="L55" s="401">
        <f t="shared" si="6"/>
        <v>12.000000000000002</v>
      </c>
      <c r="M55" s="401">
        <f t="shared" si="6"/>
        <v>12.000000000000002</v>
      </c>
      <c r="N55" s="1657"/>
    </row>
    <row r="56" spans="2:14" hidden="1">
      <c r="B56" s="402"/>
      <c r="C56" s="402"/>
      <c r="D56" s="402" t="str">
        <f t="shared" ref="D56:F56" si="11">D10</f>
        <v>DME-021-11</v>
      </c>
      <c r="E56" s="400" t="str">
        <f t="shared" si="11"/>
        <v xml:space="preserve">PEDREGALITO </v>
      </c>
      <c r="F56" s="403" t="str">
        <f t="shared" si="11"/>
        <v>H</v>
      </c>
      <c r="G56" s="837"/>
      <c r="H56" s="401">
        <f t="shared" si="6"/>
        <v>31.130000190429026</v>
      </c>
      <c r="I56" s="401">
        <f t="shared" si="6"/>
        <v>31.13</v>
      </c>
      <c r="J56" s="401">
        <f t="shared" si="6"/>
        <v>31.1</v>
      </c>
      <c r="K56" s="401">
        <f t="shared" si="6"/>
        <v>30.830000000000005</v>
      </c>
      <c r="L56" s="401">
        <f t="shared" si="6"/>
        <v>30.56</v>
      </c>
      <c r="M56" s="401">
        <f t="shared" si="6"/>
        <v>30.699999999999996</v>
      </c>
      <c r="N56" s="1657"/>
    </row>
    <row r="57" spans="2:14" hidden="1">
      <c r="B57" s="402"/>
      <c r="C57" s="402"/>
      <c r="D57" s="402" t="str">
        <f t="shared" ref="D57:F57" si="12">D11</f>
        <v>DME-022-11</v>
      </c>
      <c r="E57" s="400" t="str">
        <f t="shared" si="12"/>
        <v>CALDERA ENERGY CORP</v>
      </c>
      <c r="F57" s="403" t="str">
        <f t="shared" si="12"/>
        <v>H</v>
      </c>
      <c r="G57" s="837"/>
      <c r="H57" s="401">
        <f t="shared" si="6"/>
        <v>27.220001249843772</v>
      </c>
      <c r="I57" s="401">
        <f t="shared" si="6"/>
        <v>27.2</v>
      </c>
      <c r="J57" s="401">
        <f t="shared" si="6"/>
        <v>26.909999999999997</v>
      </c>
      <c r="K57" s="401">
        <f t="shared" si="6"/>
        <v>26.82</v>
      </c>
      <c r="L57" s="401">
        <f t="shared" si="6"/>
        <v>26.929999999999996</v>
      </c>
      <c r="M57" s="401">
        <f t="shared" si="6"/>
        <v>26.8</v>
      </c>
      <c r="N57" s="1657"/>
    </row>
    <row r="58" spans="2:14" hidden="1">
      <c r="B58" s="402"/>
      <c r="C58" s="402"/>
      <c r="D58" s="402" t="str">
        <f t="shared" ref="D58:F58" si="13">D12</f>
        <v>DME-023-11</v>
      </c>
      <c r="E58" s="400" t="str">
        <f t="shared" si="13"/>
        <v xml:space="preserve">RIO CHICO </v>
      </c>
      <c r="F58" s="403" t="str">
        <f t="shared" si="13"/>
        <v>H</v>
      </c>
      <c r="G58" s="837"/>
      <c r="H58" s="401">
        <f t="shared" si="6"/>
        <v>31.130002484163459</v>
      </c>
      <c r="I58" s="401">
        <f t="shared" si="6"/>
        <v>31.13</v>
      </c>
      <c r="J58" s="401">
        <f t="shared" si="6"/>
        <v>31.1</v>
      </c>
      <c r="K58" s="401">
        <f t="shared" si="6"/>
        <v>30.830000000000005</v>
      </c>
      <c r="L58" s="401">
        <f t="shared" si="6"/>
        <v>30.56</v>
      </c>
      <c r="M58" s="401">
        <f t="shared" si="6"/>
        <v>30.700000000000003</v>
      </c>
      <c r="N58" s="1657"/>
    </row>
    <row r="59" spans="2:14" hidden="1">
      <c r="B59" s="402"/>
      <c r="C59" s="402"/>
      <c r="D59" s="402" t="str">
        <f t="shared" ref="D59:F59" si="14">D13</f>
        <v>DME-024-11</v>
      </c>
      <c r="E59" s="400" t="str">
        <f t="shared" si="14"/>
        <v xml:space="preserve">ALTO VALLE </v>
      </c>
      <c r="F59" s="403" t="str">
        <f t="shared" si="14"/>
        <v>H</v>
      </c>
      <c r="G59" s="837"/>
      <c r="H59" s="401">
        <f t="shared" si="6"/>
        <v>31.129996084062135</v>
      </c>
      <c r="I59" s="401">
        <f t="shared" si="6"/>
        <v>31.13</v>
      </c>
      <c r="J59" s="401">
        <f t="shared" si="6"/>
        <v>31.1</v>
      </c>
      <c r="K59" s="401">
        <f t="shared" si="6"/>
        <v>30.830000000000005</v>
      </c>
      <c r="L59" s="401">
        <f t="shared" si="6"/>
        <v>30.56</v>
      </c>
      <c r="M59" s="401">
        <f t="shared" si="6"/>
        <v>30.700000000000003</v>
      </c>
      <c r="N59" s="1657"/>
    </row>
    <row r="60" spans="2:14" hidden="1">
      <c r="B60" s="402"/>
      <c r="C60" s="402"/>
      <c r="D60" s="402" t="str">
        <f t="shared" ref="D60:F60" si="15">D14</f>
        <v>DME-025-11</v>
      </c>
      <c r="E60" s="400" t="str">
        <f t="shared" si="15"/>
        <v xml:space="preserve">DESARROLLO HIDRO CORP </v>
      </c>
      <c r="F60" s="403" t="str">
        <f t="shared" si="15"/>
        <v>H</v>
      </c>
      <c r="G60" s="837"/>
      <c r="H60" s="401">
        <f t="shared" si="6"/>
        <v>10.350000000000001</v>
      </c>
      <c r="I60" s="401">
        <f t="shared" si="6"/>
        <v>10.350000000000001</v>
      </c>
      <c r="J60" s="401">
        <f t="shared" si="6"/>
        <v>10.350000000000001</v>
      </c>
      <c r="K60" s="401">
        <f t="shared" si="6"/>
        <v>10.350000000000001</v>
      </c>
      <c r="L60" s="401">
        <f t="shared" si="6"/>
        <v>10.350000000000001</v>
      </c>
      <c r="M60" s="401">
        <f t="shared" si="6"/>
        <v>10.350000000000001</v>
      </c>
      <c r="N60" s="1657"/>
    </row>
    <row r="61" spans="2:14" hidden="1">
      <c r="B61" s="402"/>
      <c r="C61" s="402"/>
      <c r="D61" s="402" t="str">
        <f t="shared" ref="D61:F61" si="16">D15</f>
        <v>DME-026-11</v>
      </c>
      <c r="E61" s="400" t="str">
        <f t="shared" si="16"/>
        <v xml:space="preserve">SAN LORENZO </v>
      </c>
      <c r="F61" s="403" t="str">
        <f t="shared" si="16"/>
        <v>H</v>
      </c>
      <c r="G61" s="837"/>
      <c r="H61" s="401">
        <f t="shared" ref="H61:M70" si="17">IF(SUMIF($D$4:$D$47,$D61,H$4:H$47)=0,0,SUMIF($D$94:$D$143,$D61,H$94:H$143)/SUMIF($D$5:$D$47,$D61,H$5:H$47)/1000)</f>
        <v>15.000000000000002</v>
      </c>
      <c r="I61" s="401">
        <f t="shared" si="17"/>
        <v>15.000000000000002</v>
      </c>
      <c r="J61" s="401">
        <f t="shared" si="17"/>
        <v>15.000000000000002</v>
      </c>
      <c r="K61" s="401">
        <f t="shared" si="17"/>
        <v>15.000000000000002</v>
      </c>
      <c r="L61" s="401">
        <f t="shared" si="17"/>
        <v>15.000000000000002</v>
      </c>
      <c r="M61" s="401">
        <f t="shared" si="17"/>
        <v>15.000000000000002</v>
      </c>
      <c r="N61" s="1657"/>
    </row>
    <row r="62" spans="2:14" hidden="1">
      <c r="B62" s="402"/>
      <c r="C62" s="402"/>
      <c r="D62" s="402" t="str">
        <f t="shared" ref="D62:F62" si="18">D16</f>
        <v>DME-027-11</v>
      </c>
      <c r="E62" s="400" t="str">
        <f t="shared" si="18"/>
        <v xml:space="preserve">ELECTROGENERADORA DEL ISTMO </v>
      </c>
      <c r="F62" s="403" t="str">
        <f t="shared" si="18"/>
        <v>H</v>
      </c>
      <c r="G62" s="837"/>
      <c r="H62" s="401">
        <f t="shared" si="17"/>
        <v>25.939993400923871</v>
      </c>
      <c r="I62" s="401">
        <f t="shared" si="17"/>
        <v>25.94</v>
      </c>
      <c r="J62" s="401">
        <f t="shared" si="17"/>
        <v>25.91</v>
      </c>
      <c r="K62" s="401">
        <f t="shared" si="17"/>
        <v>25.69</v>
      </c>
      <c r="L62" s="401">
        <f t="shared" si="17"/>
        <v>25.469999999999995</v>
      </c>
      <c r="M62" s="401">
        <f t="shared" si="17"/>
        <v>25.579999999999995</v>
      </c>
      <c r="N62" s="1657"/>
    </row>
    <row r="63" spans="2:14" hidden="1">
      <c r="B63" s="402"/>
      <c r="C63" s="402"/>
      <c r="D63" s="402" t="str">
        <f t="shared" ref="D63:F63" si="19">D17</f>
        <v>DME-062-12</v>
      </c>
      <c r="E63" s="400" t="str">
        <f t="shared" si="19"/>
        <v>AES PANAMÁ</v>
      </c>
      <c r="F63" s="403" t="str">
        <f t="shared" si="19"/>
        <v>H</v>
      </c>
      <c r="G63" s="837"/>
      <c r="H63" s="401">
        <f t="shared" si="17"/>
        <v>11.22</v>
      </c>
      <c r="I63" s="401">
        <f t="shared" si="17"/>
        <v>11.253053593073593</v>
      </c>
      <c r="J63" s="401">
        <f t="shared" si="17"/>
        <v>10.97</v>
      </c>
      <c r="K63" s="401">
        <f t="shared" si="17"/>
        <v>11.810128658008658</v>
      </c>
      <c r="L63" s="401">
        <f t="shared" si="17"/>
        <v>11.13</v>
      </c>
      <c r="M63" s="401">
        <f t="shared" si="17"/>
        <v>11.02</v>
      </c>
      <c r="N63" s="1657"/>
    </row>
    <row r="64" spans="2:14" hidden="1">
      <c r="B64" s="402"/>
      <c r="C64" s="402"/>
      <c r="D64" s="402" t="str">
        <f t="shared" ref="D64:F64" si="20">D18</f>
        <v>DME-063-12</v>
      </c>
      <c r="E64" s="400" t="str">
        <f t="shared" si="20"/>
        <v>HIDRO PIEDRA</v>
      </c>
      <c r="F64" s="403" t="str">
        <f t="shared" si="20"/>
        <v>H</v>
      </c>
      <c r="G64" s="837"/>
      <c r="H64" s="401">
        <f t="shared" si="17"/>
        <v>10.478758059043095</v>
      </c>
      <c r="I64" s="401">
        <f t="shared" si="17"/>
        <v>10.838785205293517</v>
      </c>
      <c r="J64" s="401">
        <f t="shared" si="17"/>
        <v>10.289837122497454</v>
      </c>
      <c r="K64" s="401">
        <f t="shared" si="17"/>
        <v>10.349100780454698</v>
      </c>
      <c r="L64" s="401">
        <f t="shared" si="17"/>
        <v>10.363420427553443</v>
      </c>
      <c r="M64" s="401">
        <f t="shared" si="17"/>
        <v>10.145283338988802</v>
      </c>
      <c r="N64" s="1657"/>
    </row>
    <row r="65" spans="2:14" hidden="1">
      <c r="B65" s="402"/>
      <c r="C65" s="402"/>
      <c r="D65" s="402" t="str">
        <f t="shared" ref="D65:F65" si="21">D19</f>
        <v>DME-064-12</v>
      </c>
      <c r="E65" s="400" t="str">
        <f t="shared" si="21"/>
        <v>CORP ENERGIA ISTMO</v>
      </c>
      <c r="F65" s="403" t="str">
        <f t="shared" si="21"/>
        <v>H</v>
      </c>
      <c r="G65" s="837"/>
      <c r="H65" s="401">
        <f t="shared" si="17"/>
        <v>10.515998383379769</v>
      </c>
      <c r="I65" s="401">
        <f t="shared" si="17"/>
        <v>10.012000000000002</v>
      </c>
      <c r="J65" s="401">
        <f t="shared" si="17"/>
        <v>10.212</v>
      </c>
      <c r="K65" s="401">
        <f t="shared" si="17"/>
        <v>10.405998933718569</v>
      </c>
      <c r="L65" s="401">
        <f t="shared" si="17"/>
        <v>10.486998245795066</v>
      </c>
      <c r="M65" s="401">
        <f t="shared" si="17"/>
        <v>10.111000000000002</v>
      </c>
      <c r="N65" s="1657"/>
    </row>
    <row r="66" spans="2:14" hidden="1">
      <c r="B66" s="402"/>
      <c r="C66" s="402"/>
      <c r="D66" s="402" t="str">
        <f t="shared" ref="D66:F66" si="22">D20</f>
        <v>DME-066-12</v>
      </c>
      <c r="E66" s="400" t="str">
        <f t="shared" si="22"/>
        <v>SALTOS DE  FRANCOLI</v>
      </c>
      <c r="F66" s="403" t="str">
        <f t="shared" si="22"/>
        <v>H</v>
      </c>
      <c r="G66" s="837"/>
      <c r="H66" s="401">
        <f t="shared" si="17"/>
        <v>13.529999999999998</v>
      </c>
      <c r="I66" s="401">
        <f t="shared" si="17"/>
        <v>13.529999999999998</v>
      </c>
      <c r="J66" s="401">
        <f t="shared" si="17"/>
        <v>13.529999999999998</v>
      </c>
      <c r="K66" s="401">
        <f t="shared" si="17"/>
        <v>13.529999999999998</v>
      </c>
      <c r="L66" s="401">
        <f t="shared" si="17"/>
        <v>13.529999999999998</v>
      </c>
      <c r="M66" s="401">
        <f t="shared" si="17"/>
        <v>13.529999999999998</v>
      </c>
      <c r="N66" s="1657"/>
    </row>
    <row r="67" spans="2:14" hidden="1">
      <c r="B67" s="402"/>
      <c r="C67" s="402"/>
      <c r="D67" s="402" t="str">
        <f t="shared" ref="D67:F67" si="23">D21</f>
        <v>DME-010-13</v>
      </c>
      <c r="E67" s="400" t="str">
        <f t="shared" si="23"/>
        <v>GENERADORA GATÚN</v>
      </c>
      <c r="F67" s="403" t="str">
        <f t="shared" si="23"/>
        <v>G</v>
      </c>
      <c r="G67" s="837"/>
      <c r="H67" s="401">
        <f t="shared" si="17"/>
        <v>20.408000000000001</v>
      </c>
      <c r="I67" s="401">
        <f t="shared" si="17"/>
        <v>20.417999999999999</v>
      </c>
      <c r="J67" s="401">
        <f t="shared" si="17"/>
        <v>20.446000000000002</v>
      </c>
      <c r="K67" s="401">
        <f t="shared" si="17"/>
        <v>20.446000000000002</v>
      </c>
      <c r="L67" s="401">
        <f t="shared" si="17"/>
        <v>20.321000000000002</v>
      </c>
      <c r="M67" s="401">
        <f t="shared" si="17"/>
        <v>20.277000000000001</v>
      </c>
      <c r="N67" s="1657"/>
    </row>
    <row r="68" spans="2:14" hidden="1">
      <c r="B68" s="402"/>
      <c r="C68" s="402"/>
      <c r="D68" s="402" t="str">
        <f t="shared" ref="D68:F68" si="24">D22</f>
        <v>DME-004-15</v>
      </c>
      <c r="E68" s="400" t="str">
        <f t="shared" si="24"/>
        <v>GAS NATURAL ATLÁNTICO, S. DE R.L.</v>
      </c>
      <c r="F68" s="403" t="str">
        <f t="shared" si="24"/>
        <v>G</v>
      </c>
      <c r="G68" s="837"/>
      <c r="H68" s="401">
        <f t="shared" si="17"/>
        <v>39.189</v>
      </c>
      <c r="I68" s="401">
        <f t="shared" si="17"/>
        <v>39.982521269841264</v>
      </c>
      <c r="J68" s="401">
        <f t="shared" si="17"/>
        <v>39.345999999999997</v>
      </c>
      <c r="K68" s="401">
        <f t="shared" si="17"/>
        <v>39.954516428571438</v>
      </c>
      <c r="L68" s="401">
        <f t="shared" si="17"/>
        <v>39.277000000000001</v>
      </c>
      <c r="M68" s="401">
        <f t="shared" si="17"/>
        <v>39.287999999999997</v>
      </c>
      <c r="N68" s="1657"/>
    </row>
    <row r="69" spans="2:14" hidden="1">
      <c r="B69" s="402"/>
      <c r="C69" s="402"/>
      <c r="D69" s="402" t="str">
        <f t="shared" ref="D69:F69" si="25">D23</f>
        <v>DME-005-15a</v>
      </c>
      <c r="E69" s="400" t="str">
        <f t="shared" si="25"/>
        <v>ALTERNEGY</v>
      </c>
      <c r="F69" s="403" t="str">
        <f t="shared" si="25"/>
        <v>H2</v>
      </c>
      <c r="G69" s="837"/>
      <c r="H69" s="401">
        <f t="shared" si="17"/>
        <v>32.340000000000003</v>
      </c>
      <c r="I69" s="401">
        <f t="shared" si="17"/>
        <v>32.708025714285725</v>
      </c>
      <c r="J69" s="401">
        <f t="shared" si="17"/>
        <v>32.587392063492068</v>
      </c>
      <c r="K69" s="401">
        <f t="shared" si="17"/>
        <v>32.582730952380956</v>
      </c>
      <c r="L69" s="401">
        <f t="shared" si="17"/>
        <v>32.574941587301588</v>
      </c>
      <c r="M69" s="401">
        <f t="shared" si="17"/>
        <v>32.288925158730159</v>
      </c>
      <c r="N69" s="1657"/>
    </row>
    <row r="70" spans="2:14" hidden="1">
      <c r="B70" s="402"/>
      <c r="C70" s="402"/>
      <c r="D70" s="402" t="str">
        <f t="shared" ref="D70:F70" si="26">D24</f>
        <v>DME-014-23</v>
      </c>
      <c r="E70" s="400" t="str">
        <f t="shared" si="26"/>
        <v>AUTORIDAD DEL CANAL DE PANAMA</v>
      </c>
      <c r="F70" s="403" t="str">
        <f t="shared" si="26"/>
        <v>T</v>
      </c>
      <c r="G70" s="837"/>
      <c r="H70" s="401">
        <f t="shared" si="17"/>
        <v>0</v>
      </c>
      <c r="I70" s="401">
        <f t="shared" si="17"/>
        <v>0</v>
      </c>
      <c r="J70" s="401">
        <f t="shared" si="17"/>
        <v>0</v>
      </c>
      <c r="K70" s="401">
        <f t="shared" si="17"/>
        <v>0</v>
      </c>
      <c r="L70" s="401">
        <f t="shared" si="17"/>
        <v>0</v>
      </c>
      <c r="M70" s="401">
        <f t="shared" si="17"/>
        <v>0</v>
      </c>
      <c r="N70" s="1657"/>
    </row>
    <row r="71" spans="2:14" hidden="1">
      <c r="B71" s="402"/>
      <c r="C71" s="402"/>
      <c r="D71" s="402" t="str">
        <f t="shared" ref="D71:F71" si="27">D25</f>
        <v>DME-015-23</v>
      </c>
      <c r="E71" s="400" t="str">
        <f t="shared" si="27"/>
        <v>CELSIA CENTROAMERICA, S.A.</v>
      </c>
      <c r="F71" s="403" t="str">
        <f t="shared" si="27"/>
        <v>T</v>
      </c>
      <c r="G71" s="837"/>
      <c r="H71" s="401">
        <f t="shared" ref="H71:M82" si="28">IF(SUMIF($D$4:$D$47,$D71,H$4:H$47)=0,0,SUMIF($D$94:$D$143,$D71,H$94:H$143)/SUMIF($D$5:$D$47,$D71,H$5:H$47)/1000)</f>
        <v>0</v>
      </c>
      <c r="I71" s="401">
        <f t="shared" si="28"/>
        <v>0</v>
      </c>
      <c r="J71" s="401">
        <f t="shared" si="28"/>
        <v>0</v>
      </c>
      <c r="K71" s="401">
        <f t="shared" si="28"/>
        <v>0</v>
      </c>
      <c r="L71" s="401">
        <f t="shared" si="28"/>
        <v>0</v>
      </c>
      <c r="M71" s="401">
        <f t="shared" si="28"/>
        <v>0</v>
      </c>
    </row>
    <row r="72" spans="2:14" hidden="1">
      <c r="B72" s="402"/>
      <c r="C72" s="402"/>
      <c r="D72" s="402" t="str">
        <f t="shared" ref="D72:F72" si="29">D26</f>
        <v>DME-016-23</v>
      </c>
      <c r="E72" s="400" t="str">
        <f t="shared" si="29"/>
        <v>GENERADORA DEL ATLÁNTICO, S.A.</v>
      </c>
      <c r="F72" s="403" t="str">
        <f t="shared" si="29"/>
        <v>T</v>
      </c>
      <c r="G72" s="837"/>
      <c r="H72" s="401">
        <f t="shared" si="28"/>
        <v>5.9509999999999996</v>
      </c>
      <c r="I72" s="401">
        <f t="shared" si="28"/>
        <v>5.8090000000000002</v>
      </c>
      <c r="J72" s="401">
        <f t="shared" si="28"/>
        <v>6.0804805194805196</v>
      </c>
      <c r="K72" s="401">
        <f t="shared" si="28"/>
        <v>5.9569109589041087</v>
      </c>
      <c r="L72" s="401">
        <f t="shared" si="28"/>
        <v>5.9059999999999979</v>
      </c>
      <c r="M72" s="401">
        <f t="shared" si="28"/>
        <v>5.8859999999999992</v>
      </c>
      <c r="N72" s="1657"/>
    </row>
    <row r="73" spans="2:14" hidden="1">
      <c r="B73" s="402"/>
      <c r="C73" s="402"/>
      <c r="D73" s="402" t="str">
        <f t="shared" ref="D73:F73" si="30">D27</f>
        <v>DME-017-23</v>
      </c>
      <c r="E73" s="400" t="str">
        <f t="shared" si="30"/>
        <v>GENERADORA DEL ATLÁNTICO, S.A.</v>
      </c>
      <c r="F73" s="403" t="str">
        <f t="shared" si="30"/>
        <v>T</v>
      </c>
      <c r="G73" s="837"/>
      <c r="H73" s="401">
        <f t="shared" si="28"/>
        <v>7.9509999999999996</v>
      </c>
      <c r="I73" s="401">
        <f t="shared" si="28"/>
        <v>0</v>
      </c>
      <c r="J73" s="401">
        <f t="shared" si="28"/>
        <v>0</v>
      </c>
      <c r="K73" s="401">
        <f t="shared" si="28"/>
        <v>0</v>
      </c>
      <c r="L73" s="401">
        <f t="shared" si="28"/>
        <v>0</v>
      </c>
      <c r="M73" s="401">
        <f t="shared" si="28"/>
        <v>7.8860000000000001</v>
      </c>
      <c r="N73" s="1657"/>
    </row>
    <row r="74" spans="2:14" hidden="1">
      <c r="B74" s="402"/>
      <c r="C74" s="402"/>
      <c r="D74" s="402" t="str">
        <f t="shared" ref="D74:F74" si="31">D28</f>
        <v>DME-018-23</v>
      </c>
      <c r="E74" s="400" t="str">
        <f t="shared" si="31"/>
        <v>PEDREGAL POWER S. DE R.L.</v>
      </c>
      <c r="F74" s="403" t="str">
        <f t="shared" si="31"/>
        <v>T</v>
      </c>
      <c r="G74" s="837"/>
      <c r="H74" s="401">
        <f t="shared" si="28"/>
        <v>0</v>
      </c>
      <c r="I74" s="401">
        <f t="shared" si="28"/>
        <v>7.9389741492034958</v>
      </c>
      <c r="J74" s="401">
        <f t="shared" si="28"/>
        <v>8.3721351081576252</v>
      </c>
      <c r="K74" s="401">
        <f t="shared" si="28"/>
        <v>0</v>
      </c>
      <c r="L74" s="401">
        <f t="shared" si="28"/>
        <v>8.0168850000000003</v>
      </c>
      <c r="M74" s="401">
        <f t="shared" si="28"/>
        <v>0</v>
      </c>
      <c r="N74" s="1657"/>
    </row>
    <row r="75" spans="2:14" hidden="1">
      <c r="B75" s="402"/>
      <c r="C75" s="402"/>
      <c r="D75" s="402" t="str">
        <f t="shared" ref="D75:F75" si="32">D29</f>
        <v>DME-019-23</v>
      </c>
      <c r="E75" s="400" t="str">
        <f t="shared" si="32"/>
        <v>PANAM</v>
      </c>
      <c r="F75" s="403" t="str">
        <f t="shared" si="32"/>
        <v>T</v>
      </c>
      <c r="G75" s="837"/>
      <c r="H75" s="401">
        <f t="shared" si="28"/>
        <v>0</v>
      </c>
      <c r="I75" s="401">
        <f t="shared" si="28"/>
        <v>0</v>
      </c>
      <c r="J75" s="401">
        <f t="shared" si="28"/>
        <v>0</v>
      </c>
      <c r="K75" s="401">
        <f t="shared" si="28"/>
        <v>0</v>
      </c>
      <c r="L75" s="401">
        <f t="shared" si="28"/>
        <v>0</v>
      </c>
      <c r="M75" s="401">
        <f t="shared" si="28"/>
        <v>0</v>
      </c>
      <c r="N75" s="1657"/>
    </row>
    <row r="76" spans="2:14" hidden="1">
      <c r="B76" s="402"/>
      <c r="C76" s="402"/>
      <c r="D76" s="402" t="str">
        <f t="shared" ref="D76:F76" si="33">D30</f>
        <v>DME-020-23</v>
      </c>
      <c r="E76" s="400" t="str">
        <f t="shared" si="33"/>
        <v>PANAM</v>
      </c>
      <c r="F76" s="403" t="str">
        <f t="shared" si="33"/>
        <v>T</v>
      </c>
      <c r="G76" s="837"/>
      <c r="H76" s="401">
        <f t="shared" si="28"/>
        <v>0</v>
      </c>
      <c r="I76" s="401">
        <f t="shared" si="28"/>
        <v>0</v>
      </c>
      <c r="J76" s="401">
        <f t="shared" si="28"/>
        <v>0</v>
      </c>
      <c r="K76" s="401">
        <f t="shared" si="28"/>
        <v>0</v>
      </c>
      <c r="L76" s="401">
        <f t="shared" si="28"/>
        <v>0</v>
      </c>
      <c r="M76" s="401">
        <f t="shared" si="28"/>
        <v>0</v>
      </c>
      <c r="N76" s="1657"/>
    </row>
    <row r="77" spans="2:14" hidden="1">
      <c r="B77" s="402"/>
      <c r="C77" s="402"/>
      <c r="D77" s="402" t="str">
        <f t="shared" ref="D77:F77" si="34">D31</f>
        <v>DME-021-23</v>
      </c>
      <c r="E77" s="400" t="str">
        <f t="shared" si="34"/>
        <v>SPARKLE POWER, S.A.</v>
      </c>
      <c r="F77" s="403" t="str">
        <f t="shared" si="34"/>
        <v>T</v>
      </c>
      <c r="G77" s="837"/>
      <c r="H77" s="401">
        <f t="shared" si="28"/>
        <v>5.859</v>
      </c>
      <c r="I77" s="401">
        <f t="shared" si="28"/>
        <v>5.9880000000000004</v>
      </c>
      <c r="J77" s="401">
        <f t="shared" si="28"/>
        <v>6.016</v>
      </c>
      <c r="K77" s="401">
        <f t="shared" si="28"/>
        <v>5.9409999999999998</v>
      </c>
      <c r="L77" s="401">
        <f t="shared" si="28"/>
        <v>5.9470000000000001</v>
      </c>
      <c r="M77" s="401">
        <f t="shared" si="28"/>
        <v>5.9580000000000002</v>
      </c>
      <c r="N77" s="1657"/>
    </row>
    <row r="78" spans="2:14" hidden="1">
      <c r="B78" s="402"/>
      <c r="C78" s="402"/>
      <c r="D78" s="402" t="str">
        <f t="shared" ref="D78:F78" si="35">D32</f>
        <v>DME-022-23</v>
      </c>
      <c r="E78" s="400" t="str">
        <f t="shared" si="35"/>
        <v>TROPITERMICA S.A.</v>
      </c>
      <c r="F78" s="403" t="str">
        <f t="shared" si="35"/>
        <v>T</v>
      </c>
      <c r="G78" s="837"/>
      <c r="H78" s="401">
        <f t="shared" si="28"/>
        <v>7.9307945205479449</v>
      </c>
      <c r="I78" s="401">
        <f t="shared" si="28"/>
        <v>6.875</v>
      </c>
      <c r="J78" s="401">
        <f t="shared" si="28"/>
        <v>6.875</v>
      </c>
      <c r="K78" s="401">
        <f t="shared" si="28"/>
        <v>0</v>
      </c>
      <c r="L78" s="401">
        <f t="shared" si="28"/>
        <v>6.875</v>
      </c>
      <c r="M78" s="401">
        <f t="shared" si="28"/>
        <v>6.875</v>
      </c>
      <c r="N78" s="1657"/>
    </row>
    <row r="79" spans="2:14" hidden="1">
      <c r="B79" s="402"/>
      <c r="C79" s="402"/>
      <c r="D79" s="402" t="str">
        <f t="shared" ref="D79:F79" si="36">D33</f>
        <v>DME-038-23</v>
      </c>
      <c r="E79" s="400" t="str">
        <f t="shared" si="36"/>
        <v>CELSIA CENTROAMERICA</v>
      </c>
      <c r="F79" s="403" t="str">
        <f t="shared" si="36"/>
        <v>T</v>
      </c>
      <c r="G79" s="837"/>
      <c r="H79" s="401">
        <f t="shared" si="28"/>
        <v>5.26</v>
      </c>
      <c r="I79" s="401">
        <f t="shared" si="28"/>
        <v>5.26</v>
      </c>
      <c r="J79" s="401">
        <f t="shared" si="28"/>
        <v>5.26</v>
      </c>
      <c r="K79" s="401">
        <f t="shared" si="28"/>
        <v>5.2600000000000007</v>
      </c>
      <c r="L79" s="401">
        <f t="shared" si="28"/>
        <v>5.2600000000000007</v>
      </c>
      <c r="M79" s="401">
        <f t="shared" si="28"/>
        <v>5.26</v>
      </c>
      <c r="N79" s="1657"/>
    </row>
    <row r="80" spans="2:14" hidden="1">
      <c r="B80" s="402"/>
      <c r="C80" s="402"/>
      <c r="D80" s="402" t="str">
        <f t="shared" ref="D80:F80" si="37">D34</f>
        <v>DME-039-23</v>
      </c>
      <c r="E80" s="400" t="str">
        <f t="shared" si="37"/>
        <v>GENERADORA DEL ATLÁNTICO, S.A.</v>
      </c>
      <c r="F80" s="403" t="str">
        <f t="shared" si="37"/>
        <v>T</v>
      </c>
      <c r="G80" s="837"/>
      <c r="H80" s="401">
        <f t="shared" si="28"/>
        <v>4.4400000000000022</v>
      </c>
      <c r="I80" s="401">
        <f t="shared" si="28"/>
        <v>4.4400000000000004</v>
      </c>
      <c r="J80" s="401">
        <f t="shared" si="28"/>
        <v>4.4400000000000004</v>
      </c>
      <c r="K80" s="401">
        <f t="shared" si="28"/>
        <v>4.4400000000000004</v>
      </c>
      <c r="L80" s="401">
        <f t="shared" si="28"/>
        <v>4.4400000000000004</v>
      </c>
      <c r="M80" s="401">
        <f t="shared" si="28"/>
        <v>4.4400000000000004</v>
      </c>
      <c r="N80" s="1657"/>
    </row>
    <row r="81" spans="2:16" hidden="1">
      <c r="B81" s="402"/>
      <c r="C81" s="402"/>
      <c r="D81" s="402" t="str">
        <f t="shared" ref="D81:F81" si="38">D35</f>
        <v>DME-018-25</v>
      </c>
      <c r="E81" s="400" t="str">
        <f t="shared" si="38"/>
        <v>AUTORIDAD DEL CANAL DE PANAMA</v>
      </c>
      <c r="F81" s="403" t="str">
        <f t="shared" si="38"/>
        <v>T</v>
      </c>
      <c r="G81" s="837"/>
      <c r="H81" s="401">
        <f t="shared" si="28"/>
        <v>3.4609999999999999</v>
      </c>
      <c r="I81" s="401">
        <f t="shared" si="28"/>
        <v>0</v>
      </c>
      <c r="J81" s="401">
        <f t="shared" si="28"/>
        <v>3.4530000000000003</v>
      </c>
      <c r="K81" s="401">
        <f t="shared" si="28"/>
        <v>3.4590000000000001</v>
      </c>
      <c r="L81" s="401">
        <f t="shared" si="28"/>
        <v>3.4159999999999999</v>
      </c>
      <c r="M81" s="401">
        <f t="shared" si="28"/>
        <v>3.3960000000000004</v>
      </c>
      <c r="N81" s="1657"/>
    </row>
    <row r="82" spans="2:16" hidden="1">
      <c r="B82" s="402"/>
      <c r="C82" s="402"/>
      <c r="D82" s="402" t="str">
        <f t="shared" ref="D82:F82" si="39">D36</f>
        <v>DME-020-25</v>
      </c>
      <c r="E82" s="400" t="str">
        <f t="shared" si="39"/>
        <v>CELSIA CENTROAMERICA</v>
      </c>
      <c r="F82" s="403" t="str">
        <f t="shared" si="39"/>
        <v>T</v>
      </c>
      <c r="G82" s="837"/>
      <c r="H82" s="401">
        <f t="shared" si="28"/>
        <v>0</v>
      </c>
      <c r="I82" s="401">
        <f t="shared" si="28"/>
        <v>0</v>
      </c>
      <c r="J82" s="401">
        <f t="shared" si="28"/>
        <v>0</v>
      </c>
      <c r="K82" s="401">
        <f t="shared" si="28"/>
        <v>0</v>
      </c>
      <c r="L82" s="401">
        <f t="shared" si="28"/>
        <v>0</v>
      </c>
      <c r="M82" s="401">
        <f t="shared" si="28"/>
        <v>0</v>
      </c>
      <c r="N82" s="1657"/>
    </row>
    <row r="83" spans="2:16" hidden="1">
      <c r="B83" s="402"/>
      <c r="C83" s="402"/>
      <c r="D83" s="402"/>
      <c r="E83" s="400"/>
      <c r="F83" s="403"/>
      <c r="G83" s="837"/>
      <c r="H83" s="401"/>
      <c r="I83" s="401"/>
      <c r="J83" s="401"/>
      <c r="K83" s="401"/>
      <c r="L83" s="401"/>
      <c r="M83" s="401"/>
      <c r="N83" s="1657"/>
    </row>
    <row r="84" spans="2:16" hidden="1">
      <c r="B84" s="292"/>
      <c r="C84" s="292"/>
      <c r="D84" s="292"/>
      <c r="E84" s="292" t="str">
        <f>E38</f>
        <v>Sub-Total Contratos - SIN</v>
      </c>
      <c r="F84" s="1658"/>
      <c r="G84" s="1660"/>
      <c r="H84" s="1661">
        <f t="shared" ref="H84:M84" si="40">H131/H38/1000</f>
        <v>19.744785132608129</v>
      </c>
      <c r="I84" s="1661">
        <f t="shared" si="40"/>
        <v>20.161773915845227</v>
      </c>
      <c r="J84" s="1661">
        <f t="shared" si="40"/>
        <v>20.28004878460121</v>
      </c>
      <c r="K84" s="1661">
        <f t="shared" si="40"/>
        <v>20.159993209188055</v>
      </c>
      <c r="L84" s="1661">
        <f t="shared" si="40"/>
        <v>20.63045632202472</v>
      </c>
      <c r="M84" s="1661">
        <f t="shared" si="40"/>
        <v>19.300200626153899</v>
      </c>
      <c r="N84" s="1657"/>
    </row>
    <row r="85" spans="2:16" hidden="1">
      <c r="B85" s="402"/>
      <c r="C85" s="402"/>
      <c r="D85" s="402" t="str">
        <f>D39</f>
        <v>DME-041-16</v>
      </c>
      <c r="E85" s="400" t="str">
        <f>E39</f>
        <v>Costas Colón - SENECA</v>
      </c>
      <c r="F85" s="403" t="str">
        <f>F39</f>
        <v>SA</v>
      </c>
      <c r="G85" s="837"/>
      <c r="H85" s="401">
        <f t="shared" ref="H85:M86" si="41">IF(SUMIF($D$4:$D$47,$D85,H$4:H$47)=0,0,SUMIF($D$94:$D$143,$D85,H$94:H$143)/SUMIF($D$5:$D$47,$D85,H$5:H$47)/1000)</f>
        <v>21.255527439291672</v>
      </c>
      <c r="I85" s="401">
        <f t="shared" si="41"/>
        <v>21.251064567370907</v>
      </c>
      <c r="J85" s="401">
        <f t="shared" si="41"/>
        <v>21.238878823529419</v>
      </c>
      <c r="K85" s="401">
        <f t="shared" si="41"/>
        <v>21.24381882352942</v>
      </c>
      <c r="L85" s="401">
        <f t="shared" si="41"/>
        <v>21.245437769790474</v>
      </c>
      <c r="M85" s="401">
        <f t="shared" si="41"/>
        <v>21.231847272727276</v>
      </c>
      <c r="N85" s="1657"/>
    </row>
    <row r="86" spans="2:16" hidden="1">
      <c r="B86" s="402"/>
      <c r="C86" s="402"/>
      <c r="D86" s="402" t="str">
        <f>D40</f>
        <v>DME-001-18</v>
      </c>
      <c r="E86" s="400" t="str">
        <f>E40</f>
        <v>Sistemas Aislados - PI Potencia</v>
      </c>
      <c r="F86" s="403" t="str">
        <f>F40</f>
        <v>SA</v>
      </c>
      <c r="G86" s="837"/>
      <c r="H86" s="401">
        <f t="shared" si="41"/>
        <v>38.9</v>
      </c>
      <c r="I86" s="401">
        <f t="shared" si="41"/>
        <v>38.9</v>
      </c>
      <c r="J86" s="401">
        <f t="shared" si="41"/>
        <v>38.9</v>
      </c>
      <c r="K86" s="401">
        <f t="shared" si="41"/>
        <v>39.368827296819788</v>
      </c>
      <c r="L86" s="401">
        <f t="shared" si="41"/>
        <v>39.71</v>
      </c>
      <c r="M86" s="401">
        <f t="shared" si="41"/>
        <v>39.71</v>
      </c>
      <c r="N86" s="1657"/>
    </row>
    <row r="87" spans="2:16" hidden="1">
      <c r="B87" s="402"/>
      <c r="C87" s="402"/>
      <c r="D87" s="402"/>
      <c r="E87" s="400"/>
      <c r="F87" s="403"/>
      <c r="G87" s="837"/>
      <c r="H87" s="401"/>
      <c r="I87" s="401"/>
      <c r="J87" s="401"/>
      <c r="K87" s="401"/>
      <c r="L87" s="401"/>
      <c r="M87" s="401"/>
      <c r="N87" s="1657"/>
    </row>
    <row r="88" spans="2:16" hidden="1">
      <c r="B88" s="292"/>
      <c r="C88" s="292"/>
      <c r="D88" s="292"/>
      <c r="E88" s="292" t="str">
        <f>E42</f>
        <v>Sub-Total Contratos</v>
      </c>
      <c r="F88" s="1658"/>
      <c r="G88" s="1660"/>
      <c r="H88" s="1661">
        <f t="shared" ref="H88:M88" si="42">H135/H42/1000</f>
        <v>20.29972164467771</v>
      </c>
      <c r="I88" s="1661">
        <f t="shared" si="42"/>
        <v>20.704542535889747</v>
      </c>
      <c r="J88" s="1661">
        <f t="shared" si="42"/>
        <v>20.830545802036319</v>
      </c>
      <c r="K88" s="1661">
        <f t="shared" si="42"/>
        <v>20.720626672610244</v>
      </c>
      <c r="L88" s="1661">
        <f t="shared" si="42"/>
        <v>21.203623252347484</v>
      </c>
      <c r="M88" s="1661">
        <f t="shared" si="42"/>
        <v>19.909976057184295</v>
      </c>
      <c r="N88" s="1657"/>
    </row>
    <row r="89" spans="2:16" hidden="1">
      <c r="B89" s="402"/>
      <c r="C89" s="402"/>
      <c r="D89" s="402" t="str">
        <f>D43</f>
        <v>RESERVA</v>
      </c>
      <c r="E89" s="400" t="str">
        <f>E43</f>
        <v>SERV. AUX. DE RESERVA A LARGO PLAZO</v>
      </c>
      <c r="F89" s="403" t="str">
        <f>F43</f>
        <v>SP</v>
      </c>
      <c r="G89" s="837"/>
      <c r="H89" s="401">
        <f t="shared" ref="H89:M89" si="43">IF(SUMIF($D$4:$D$47,$D89,H$4:H$47)=0,0,SUMIF($D$94:$D$143,$D89,H$94:H$143)/SUMIF($D$5:$D$47,$D89,H$5:H$47)/1000)</f>
        <v>8.9600000000000009</v>
      </c>
      <c r="I89" s="401">
        <f t="shared" si="43"/>
        <v>8.9600000000000009</v>
      </c>
      <c r="J89" s="401">
        <f t="shared" si="43"/>
        <v>8.9600000000000009</v>
      </c>
      <c r="K89" s="401">
        <f t="shared" si="43"/>
        <v>8.9600000000000009</v>
      </c>
      <c r="L89" s="401">
        <f t="shared" si="43"/>
        <v>8.9600000000000009</v>
      </c>
      <c r="M89" s="401">
        <f t="shared" si="43"/>
        <v>8.9600000000000009</v>
      </c>
      <c r="N89" s="1657"/>
    </row>
    <row r="90" spans="2:16" hidden="1">
      <c r="B90" s="292"/>
      <c r="C90" s="292"/>
      <c r="D90" s="292"/>
      <c r="E90" s="292" t="s">
        <v>360</v>
      </c>
      <c r="F90" s="1658"/>
      <c r="G90" s="1660"/>
      <c r="H90" s="1661">
        <f t="shared" ref="H90:M90" si="44">H143/H47/1000</f>
        <v>20.182114273903693</v>
      </c>
      <c r="I90" s="1661">
        <f t="shared" si="44"/>
        <v>20.603984628202344</v>
      </c>
      <c r="J90" s="1661">
        <f t="shared" si="44"/>
        <v>20.989063363452743</v>
      </c>
      <c r="K90" s="1661">
        <f t="shared" si="44"/>
        <v>20.613598728566807</v>
      </c>
      <c r="L90" s="1661">
        <f t="shared" si="44"/>
        <v>20.972006321145013</v>
      </c>
      <c r="M90" s="1661">
        <f t="shared" si="44"/>
        <v>19.769585414730795</v>
      </c>
      <c r="N90" s="1657"/>
    </row>
    <row r="91" spans="2:16" ht="15.75">
      <c r="B91" s="412"/>
      <c r="C91" s="412"/>
      <c r="D91" s="412"/>
      <c r="E91" s="412"/>
      <c r="F91" s="412"/>
      <c r="G91" s="836"/>
      <c r="H91" s="1662"/>
      <c r="I91" s="1662"/>
      <c r="J91" s="1662"/>
      <c r="K91" s="1662"/>
      <c r="L91" s="1662"/>
      <c r="M91" s="1662"/>
      <c r="N91" s="412"/>
    </row>
    <row r="92" spans="2:16" ht="15.75">
      <c r="B92" s="393"/>
      <c r="C92" s="393"/>
      <c r="D92" s="393"/>
      <c r="E92" s="394" t="s">
        <v>353</v>
      </c>
      <c r="F92" s="393"/>
      <c r="G92" s="827"/>
      <c r="H92" s="395"/>
      <c r="I92" s="395"/>
      <c r="J92" s="395"/>
      <c r="K92" s="395"/>
      <c r="L92" s="395"/>
      <c r="M92" s="395"/>
      <c r="N92" s="414"/>
    </row>
    <row r="93" spans="2:16" ht="15.75">
      <c r="B93" s="398"/>
      <c r="C93" s="398"/>
      <c r="D93" s="398" t="s">
        <v>477</v>
      </c>
      <c r="E93" s="398" t="s">
        <v>153</v>
      </c>
      <c r="F93" s="415"/>
      <c r="G93" s="838"/>
      <c r="H93" s="398">
        <f t="shared" ref="H93:M93" si="45">H$4</f>
        <v>45839</v>
      </c>
      <c r="I93" s="398">
        <f t="shared" si="45"/>
        <v>45870</v>
      </c>
      <c r="J93" s="398">
        <f t="shared" si="45"/>
        <v>45901</v>
      </c>
      <c r="K93" s="398">
        <f t="shared" si="45"/>
        <v>45931</v>
      </c>
      <c r="L93" s="398">
        <f t="shared" si="45"/>
        <v>45962</v>
      </c>
      <c r="M93" s="398">
        <f t="shared" si="45"/>
        <v>45992</v>
      </c>
      <c r="N93" s="416" t="s">
        <v>111</v>
      </c>
    </row>
    <row r="94" spans="2:16">
      <c r="B94" s="400"/>
      <c r="C94" s="400"/>
      <c r="D94" s="400" t="s">
        <v>448</v>
      </c>
      <c r="E94" s="400" t="s">
        <v>817</v>
      </c>
      <c r="F94" s="403" t="s">
        <v>386</v>
      </c>
      <c r="G94" s="829" t="s">
        <v>1114</v>
      </c>
      <c r="H94" s="417">
        <v>161009.04</v>
      </c>
      <c r="I94" s="417">
        <v>161009.04</v>
      </c>
      <c r="J94" s="417">
        <v>161009.04</v>
      </c>
      <c r="K94" s="417">
        <v>161009.04</v>
      </c>
      <c r="L94" s="417">
        <v>161009.04</v>
      </c>
      <c r="M94" s="417">
        <v>161009.04</v>
      </c>
      <c r="N94" s="418">
        <f>SUM(H94:M94)</f>
        <v>966054.24000000011</v>
      </c>
      <c r="O94" s="65"/>
      <c r="P94" s="1535"/>
    </row>
    <row r="95" spans="2:16">
      <c r="B95" s="400"/>
      <c r="C95" s="400"/>
      <c r="D95" s="400" t="s">
        <v>545</v>
      </c>
      <c r="E95" s="400" t="s">
        <v>818</v>
      </c>
      <c r="F95" s="403" t="s">
        <v>386</v>
      </c>
      <c r="G95" s="829" t="s">
        <v>1115</v>
      </c>
      <c r="H95" s="417">
        <v>69000</v>
      </c>
      <c r="I95" s="417">
        <v>69000</v>
      </c>
      <c r="J95" s="417">
        <v>69000</v>
      </c>
      <c r="K95" s="417">
        <v>69000</v>
      </c>
      <c r="L95" s="417">
        <v>69000</v>
      </c>
      <c r="M95" s="417">
        <v>69000</v>
      </c>
      <c r="N95" s="418">
        <f t="shared" ref="N95:N126" si="46">SUM(H95:M95)</f>
        <v>414000</v>
      </c>
      <c r="O95" s="65"/>
      <c r="P95" s="1535"/>
    </row>
    <row r="96" spans="2:16">
      <c r="B96" s="400"/>
      <c r="C96" s="400"/>
      <c r="D96" s="400" t="s">
        <v>547</v>
      </c>
      <c r="E96" s="400" t="s">
        <v>550</v>
      </c>
      <c r="F96" s="403" t="s">
        <v>386</v>
      </c>
      <c r="G96" s="829" t="s">
        <v>1116</v>
      </c>
      <c r="H96" s="417">
        <v>65188.27439999998</v>
      </c>
      <c r="I96" s="417">
        <v>79832.025800000003</v>
      </c>
      <c r="J96" s="417">
        <v>69282.224000000002</v>
      </c>
      <c r="K96" s="417">
        <v>67943.8174</v>
      </c>
      <c r="L96" s="417">
        <v>67707.627999999997</v>
      </c>
      <c r="M96" s="417">
        <v>65896.842600000004</v>
      </c>
      <c r="N96" s="418">
        <f t="shared" si="46"/>
        <v>415850.81219999993</v>
      </c>
      <c r="O96" s="65"/>
      <c r="P96" s="1535"/>
    </row>
    <row r="97" spans="2:16">
      <c r="B97" s="400"/>
      <c r="C97" s="400"/>
      <c r="D97" s="400" t="s">
        <v>558</v>
      </c>
      <c r="E97" s="400" t="s">
        <v>952</v>
      </c>
      <c r="F97" s="403" t="s">
        <v>386</v>
      </c>
      <c r="G97" s="829" t="s">
        <v>1116</v>
      </c>
      <c r="H97" s="417">
        <v>22669.5</v>
      </c>
      <c r="I97" s="417">
        <v>22669.5</v>
      </c>
      <c r="J97" s="417">
        <v>22669.5</v>
      </c>
      <c r="K97" s="417">
        <v>22669.5</v>
      </c>
      <c r="L97" s="417">
        <v>22669.5</v>
      </c>
      <c r="M97" s="417">
        <v>22669.5</v>
      </c>
      <c r="N97" s="418">
        <f t="shared" si="46"/>
        <v>136017</v>
      </c>
      <c r="O97" s="65"/>
      <c r="P97" s="1535"/>
    </row>
    <row r="98" spans="2:16">
      <c r="B98" s="400"/>
      <c r="C98" s="400"/>
      <c r="D98" s="400" t="s">
        <v>559</v>
      </c>
      <c r="E98" s="400" t="s">
        <v>551</v>
      </c>
      <c r="F98" s="403" t="s">
        <v>386</v>
      </c>
      <c r="G98" s="829" t="s">
        <v>1116</v>
      </c>
      <c r="H98" s="417">
        <v>17538.240000000002</v>
      </c>
      <c r="I98" s="417">
        <v>17538.240000000002</v>
      </c>
      <c r="J98" s="417">
        <v>17538.240000000002</v>
      </c>
      <c r="K98" s="417">
        <v>17538.240000000002</v>
      </c>
      <c r="L98" s="417">
        <v>17538.240000000002</v>
      </c>
      <c r="M98" s="417">
        <v>17538.240000000002</v>
      </c>
      <c r="N98" s="418">
        <f t="shared" si="46"/>
        <v>105229.44000000002</v>
      </c>
      <c r="O98" s="65"/>
      <c r="P98" s="1535"/>
    </row>
    <row r="99" spans="2:16">
      <c r="B99" s="400"/>
      <c r="C99" s="400"/>
      <c r="D99" s="400" t="s">
        <v>560</v>
      </c>
      <c r="E99" s="400" t="s">
        <v>552</v>
      </c>
      <c r="F99" s="403" t="s">
        <v>386</v>
      </c>
      <c r="G99" s="829" t="s">
        <v>1116</v>
      </c>
      <c r="H99" s="417">
        <v>32694.593999999986</v>
      </c>
      <c r="I99" s="417">
        <v>32694.593799999999</v>
      </c>
      <c r="J99" s="417">
        <v>32663.085999999999</v>
      </c>
      <c r="K99" s="417">
        <v>32379.515800000001</v>
      </c>
      <c r="L99" s="417">
        <v>32095.945599999999</v>
      </c>
      <c r="M99" s="417">
        <v>32242.981999999996</v>
      </c>
      <c r="N99" s="418">
        <f t="shared" si="46"/>
        <v>194770.71719999998</v>
      </c>
      <c r="O99" s="65"/>
      <c r="P99" s="1535"/>
    </row>
    <row r="100" spans="2:16" s="38" customFormat="1">
      <c r="B100" s="400"/>
      <c r="C100" s="400"/>
      <c r="D100" s="400" t="s">
        <v>561</v>
      </c>
      <c r="E100" s="400" t="s">
        <v>578</v>
      </c>
      <c r="F100" s="403" t="s">
        <v>386</v>
      </c>
      <c r="G100" s="829" t="s">
        <v>1116</v>
      </c>
      <c r="H100" s="417">
        <v>21778.723000000002</v>
      </c>
      <c r="I100" s="417">
        <v>21762.720000000001</v>
      </c>
      <c r="J100" s="417">
        <v>21530.690999999999</v>
      </c>
      <c r="K100" s="417">
        <v>21458.682000000001</v>
      </c>
      <c r="L100" s="417">
        <v>21546.692999999999</v>
      </c>
      <c r="M100" s="417">
        <v>21442.68</v>
      </c>
      <c r="N100" s="418">
        <f t="shared" si="46"/>
        <v>129520.18899999998</v>
      </c>
      <c r="O100" s="65"/>
      <c r="P100" s="1535"/>
    </row>
    <row r="101" spans="2:16" s="38" customFormat="1">
      <c r="B101" s="400"/>
      <c r="C101" s="400"/>
      <c r="D101" s="400" t="s">
        <v>562</v>
      </c>
      <c r="E101" s="400" t="s">
        <v>554</v>
      </c>
      <c r="F101" s="403" t="s">
        <v>386</v>
      </c>
      <c r="G101" s="829" t="s">
        <v>1116</v>
      </c>
      <c r="H101" s="417">
        <v>20050.212</v>
      </c>
      <c r="I101" s="417">
        <v>20050.2104</v>
      </c>
      <c r="J101" s="417">
        <v>20030.887999999999</v>
      </c>
      <c r="K101" s="417">
        <v>19856.986400000002</v>
      </c>
      <c r="L101" s="417">
        <v>19683.084800000001</v>
      </c>
      <c r="M101" s="417">
        <v>19773.256000000001</v>
      </c>
      <c r="N101" s="418">
        <f t="shared" si="46"/>
        <v>119444.63759999999</v>
      </c>
      <c r="O101" s="65"/>
      <c r="P101" s="1535"/>
    </row>
    <row r="102" spans="2:16">
      <c r="B102" s="400"/>
      <c r="C102" s="400"/>
      <c r="D102" s="400" t="s">
        <v>563</v>
      </c>
      <c r="E102" s="400" t="s">
        <v>555</v>
      </c>
      <c r="F102" s="403" t="s">
        <v>386</v>
      </c>
      <c r="G102" s="829" t="s">
        <v>1116</v>
      </c>
      <c r="H102" s="417">
        <v>19078.952000000001</v>
      </c>
      <c r="I102" s="417">
        <v>19078.954399999999</v>
      </c>
      <c r="J102" s="417">
        <v>19060.567999999999</v>
      </c>
      <c r="K102" s="417">
        <v>18895.090400000001</v>
      </c>
      <c r="L102" s="417">
        <v>18729.612799999999</v>
      </c>
      <c r="M102" s="417">
        <v>18815.416000000001</v>
      </c>
      <c r="N102" s="418">
        <f t="shared" si="46"/>
        <v>113658.59359999999</v>
      </c>
      <c r="O102" s="65"/>
      <c r="P102" s="1535"/>
    </row>
    <row r="103" spans="2:16">
      <c r="B103" s="400"/>
      <c r="C103" s="400"/>
      <c r="D103" s="400" t="s">
        <v>564</v>
      </c>
      <c r="E103" s="400" t="s">
        <v>556</v>
      </c>
      <c r="F103" s="403" t="s">
        <v>386</v>
      </c>
      <c r="G103" s="829" t="s">
        <v>1116</v>
      </c>
      <c r="H103" s="417">
        <v>5252.9355000000014</v>
      </c>
      <c r="I103" s="417">
        <v>5252.9355000000014</v>
      </c>
      <c r="J103" s="417">
        <v>5252.9355000000014</v>
      </c>
      <c r="K103" s="417">
        <v>5252.9355000000014</v>
      </c>
      <c r="L103" s="417">
        <v>5252.9355000000014</v>
      </c>
      <c r="M103" s="417">
        <v>5252.9355000000014</v>
      </c>
      <c r="N103" s="418">
        <f t="shared" si="46"/>
        <v>31517.613000000005</v>
      </c>
      <c r="O103" s="65"/>
      <c r="P103" s="1535"/>
    </row>
    <row r="104" spans="2:16">
      <c r="B104" s="400"/>
      <c r="C104" s="400"/>
      <c r="D104" s="400" t="s">
        <v>565</v>
      </c>
      <c r="E104" s="400" t="s">
        <v>557</v>
      </c>
      <c r="F104" s="403" t="s">
        <v>386</v>
      </c>
      <c r="G104" s="829" t="s">
        <v>1116</v>
      </c>
      <c r="H104" s="417">
        <v>5332.6500000000005</v>
      </c>
      <c r="I104" s="417">
        <v>5332.6500000000005</v>
      </c>
      <c r="J104" s="417">
        <v>5332.6500000000005</v>
      </c>
      <c r="K104" s="417">
        <v>5332.6500000000005</v>
      </c>
      <c r="L104" s="417">
        <v>5332.6500000000005</v>
      </c>
      <c r="M104" s="417">
        <v>5332.6500000000005</v>
      </c>
      <c r="N104" s="418">
        <f t="shared" si="46"/>
        <v>31995.900000000005</v>
      </c>
      <c r="O104" s="65"/>
      <c r="P104" s="1535"/>
    </row>
    <row r="105" spans="2:16">
      <c r="B105" s="400"/>
      <c r="C105" s="400"/>
      <c r="D105" s="400" t="s">
        <v>566</v>
      </c>
      <c r="E105" s="400" t="s">
        <v>953</v>
      </c>
      <c r="F105" s="403" t="s">
        <v>386</v>
      </c>
      <c r="G105" s="829" t="s">
        <v>1116</v>
      </c>
      <c r="H105" s="417">
        <v>8647.875</v>
      </c>
      <c r="I105" s="417">
        <v>8647.8772000000008</v>
      </c>
      <c r="J105" s="417">
        <v>8637.8757999999998</v>
      </c>
      <c r="K105" s="417">
        <v>8564.5321999999996</v>
      </c>
      <c r="L105" s="417">
        <v>8491.1885999999995</v>
      </c>
      <c r="M105" s="417">
        <v>8527.8603999999996</v>
      </c>
      <c r="N105" s="418">
        <f t="shared" si="46"/>
        <v>51517.209200000005</v>
      </c>
      <c r="O105" s="65"/>
      <c r="P105" s="1535"/>
    </row>
    <row r="106" spans="2:16">
      <c r="B106" s="400"/>
      <c r="C106" s="400"/>
      <c r="D106" s="400" t="s">
        <v>831</v>
      </c>
      <c r="E106" s="400" t="s">
        <v>924</v>
      </c>
      <c r="F106" s="403" t="s">
        <v>386</v>
      </c>
      <c r="G106" s="829" t="s">
        <v>1118</v>
      </c>
      <c r="H106" s="417">
        <v>1295910</v>
      </c>
      <c r="I106" s="417">
        <v>1299727.69</v>
      </c>
      <c r="J106" s="417">
        <v>1267035</v>
      </c>
      <c r="K106" s="417">
        <v>1364069.86</v>
      </c>
      <c r="L106" s="417">
        <v>1285515</v>
      </c>
      <c r="M106" s="417">
        <v>1272810</v>
      </c>
      <c r="N106" s="418">
        <f t="shared" si="46"/>
        <v>7785067.5499999998</v>
      </c>
      <c r="O106" s="65"/>
      <c r="P106" s="1535"/>
    </row>
    <row r="107" spans="2:16">
      <c r="B107" s="400"/>
      <c r="C107" s="400"/>
      <c r="D107" s="400" t="s">
        <v>687</v>
      </c>
      <c r="E107" s="400" t="s">
        <v>689</v>
      </c>
      <c r="F107" s="403" t="s">
        <v>386</v>
      </c>
      <c r="G107" s="829" t="s">
        <v>1118</v>
      </c>
      <c r="H107" s="417">
        <v>6176.18</v>
      </c>
      <c r="I107" s="417">
        <v>6388.38</v>
      </c>
      <c r="J107" s="417">
        <v>6064.83</v>
      </c>
      <c r="K107" s="417">
        <v>6099.76</v>
      </c>
      <c r="L107" s="417">
        <v>6108.2</v>
      </c>
      <c r="M107" s="417">
        <v>5979.63</v>
      </c>
      <c r="N107" s="418">
        <f t="shared" si="46"/>
        <v>36816.980000000003</v>
      </c>
      <c r="O107" s="65"/>
      <c r="P107" s="1535"/>
    </row>
    <row r="108" spans="2:16">
      <c r="B108" s="400"/>
      <c r="C108" s="400"/>
      <c r="D108" s="400" t="s">
        <v>688</v>
      </c>
      <c r="E108" s="400" t="s">
        <v>819</v>
      </c>
      <c r="F108" s="403" t="s">
        <v>386</v>
      </c>
      <c r="G108" s="829" t="s">
        <v>1118</v>
      </c>
      <c r="H108" s="417">
        <v>30573.162100000001</v>
      </c>
      <c r="I108" s="417">
        <v>29107.887600000009</v>
      </c>
      <c r="J108" s="417">
        <v>29689.347600000001</v>
      </c>
      <c r="K108" s="417">
        <v>30253.360699999997</v>
      </c>
      <c r="L108" s="417">
        <v>30488.85</v>
      </c>
      <c r="M108" s="417">
        <v>29395.71030000001</v>
      </c>
      <c r="N108" s="418">
        <f t="shared" si="46"/>
        <v>179508.31830000001</v>
      </c>
      <c r="O108" s="65"/>
      <c r="P108" s="1535"/>
    </row>
    <row r="109" spans="2:16">
      <c r="B109" s="400"/>
      <c r="C109" s="400"/>
      <c r="D109" s="400" t="s">
        <v>800</v>
      </c>
      <c r="E109" s="400" t="s">
        <v>954</v>
      </c>
      <c r="F109" s="403" t="s">
        <v>386</v>
      </c>
      <c r="G109" s="829" t="s">
        <v>1118</v>
      </c>
      <c r="H109" s="417">
        <v>4115.826</v>
      </c>
      <c r="I109" s="417">
        <v>4115.826</v>
      </c>
      <c r="J109" s="417">
        <v>4115.826</v>
      </c>
      <c r="K109" s="417">
        <v>4115.826</v>
      </c>
      <c r="L109" s="417">
        <v>4115.826</v>
      </c>
      <c r="M109" s="417">
        <v>4115.826</v>
      </c>
      <c r="N109" s="418">
        <f t="shared" si="46"/>
        <v>24694.956000000002</v>
      </c>
      <c r="O109" s="65"/>
      <c r="P109" s="1535"/>
    </row>
    <row r="110" spans="2:16">
      <c r="B110" s="400"/>
      <c r="C110" s="400"/>
      <c r="D110" s="400" t="s">
        <v>1273</v>
      </c>
      <c r="E110" s="400" t="s">
        <v>1507</v>
      </c>
      <c r="F110" s="403" t="s">
        <v>780</v>
      </c>
      <c r="G110" s="829" t="s">
        <v>1315</v>
      </c>
      <c r="H110" s="417">
        <v>3265280</v>
      </c>
      <c r="I110" s="417">
        <v>3266880</v>
      </c>
      <c r="J110" s="417">
        <v>3271360</v>
      </c>
      <c r="K110" s="417">
        <v>3271360</v>
      </c>
      <c r="L110" s="417">
        <v>3251360</v>
      </c>
      <c r="M110" s="417">
        <v>3244320</v>
      </c>
      <c r="N110" s="418">
        <f t="shared" si="46"/>
        <v>19570560</v>
      </c>
      <c r="O110" s="65"/>
      <c r="P110" s="1535"/>
    </row>
    <row r="111" spans="2:16">
      <c r="B111" s="400"/>
      <c r="C111" s="400"/>
      <c r="D111" s="400" t="s">
        <v>792</v>
      </c>
      <c r="E111" s="400" t="s">
        <v>820</v>
      </c>
      <c r="F111" s="403" t="s">
        <v>780</v>
      </c>
      <c r="G111" s="829" t="s">
        <v>1121</v>
      </c>
      <c r="H111" s="417">
        <v>4937814</v>
      </c>
      <c r="I111" s="417">
        <v>5037797.68</v>
      </c>
      <c r="J111" s="417">
        <v>4957596</v>
      </c>
      <c r="K111" s="417">
        <v>5034269.07</v>
      </c>
      <c r="L111" s="417">
        <v>4948902</v>
      </c>
      <c r="M111" s="417">
        <v>4950288</v>
      </c>
      <c r="N111" s="418">
        <f t="shared" si="46"/>
        <v>29866666.75</v>
      </c>
      <c r="O111" s="65"/>
      <c r="P111" s="1535"/>
    </row>
    <row r="112" spans="2:16">
      <c r="B112" s="400"/>
      <c r="C112" s="400"/>
      <c r="D112" s="400" t="s">
        <v>1363</v>
      </c>
      <c r="E112" s="400" t="s">
        <v>1718</v>
      </c>
      <c r="F112" s="403" t="s">
        <v>1325</v>
      </c>
      <c r="G112" s="829" t="s">
        <v>1322</v>
      </c>
      <c r="H112" s="417">
        <v>4074840</v>
      </c>
      <c r="I112" s="417">
        <v>4121211.2400000016</v>
      </c>
      <c r="J112" s="417">
        <v>4106011.4000000004</v>
      </c>
      <c r="K112" s="417">
        <v>4105424.1</v>
      </c>
      <c r="L112" s="417">
        <v>4104442.64</v>
      </c>
      <c r="M112" s="417">
        <v>4068404.57</v>
      </c>
      <c r="N112" s="418">
        <f t="shared" si="46"/>
        <v>24580333.950000003</v>
      </c>
      <c r="O112" s="65"/>
      <c r="P112" s="1535"/>
    </row>
    <row r="113" spans="2:16">
      <c r="B113" s="400"/>
      <c r="C113" s="400"/>
      <c r="D113" s="400" t="s">
        <v>1131</v>
      </c>
      <c r="E113" s="400" t="s">
        <v>1261</v>
      </c>
      <c r="F113" s="403" t="s">
        <v>387</v>
      </c>
      <c r="G113" s="829" t="s">
        <v>1143</v>
      </c>
      <c r="H113" s="417">
        <v>0</v>
      </c>
      <c r="I113" s="417">
        <v>0</v>
      </c>
      <c r="J113" s="417">
        <v>0</v>
      </c>
      <c r="K113" s="417">
        <v>0</v>
      </c>
      <c r="L113" s="417">
        <v>0</v>
      </c>
      <c r="M113" s="417">
        <v>0</v>
      </c>
      <c r="N113" s="418">
        <f t="shared" si="46"/>
        <v>0</v>
      </c>
      <c r="O113" s="65"/>
      <c r="P113" s="1535"/>
    </row>
    <row r="114" spans="2:16">
      <c r="B114" s="400"/>
      <c r="C114" s="400"/>
      <c r="D114" s="400" t="s">
        <v>1132</v>
      </c>
      <c r="E114" s="400" t="s">
        <v>1262</v>
      </c>
      <c r="F114" s="403" t="s">
        <v>387</v>
      </c>
      <c r="G114" s="829" t="s">
        <v>1143</v>
      </c>
      <c r="H114" s="417">
        <v>0</v>
      </c>
      <c r="I114" s="417">
        <v>0</v>
      </c>
      <c r="J114" s="417">
        <v>0</v>
      </c>
      <c r="K114" s="417">
        <v>0</v>
      </c>
      <c r="L114" s="417">
        <v>0</v>
      </c>
      <c r="M114" s="417">
        <v>0</v>
      </c>
      <c r="N114" s="418">
        <f t="shared" si="46"/>
        <v>0</v>
      </c>
      <c r="O114" s="65"/>
      <c r="P114" s="1535"/>
    </row>
    <row r="115" spans="2:16">
      <c r="B115" s="400"/>
      <c r="C115" s="400"/>
      <c r="D115" s="400" t="s">
        <v>1134</v>
      </c>
      <c r="E115" s="400" t="s">
        <v>1086</v>
      </c>
      <c r="F115" s="403" t="s">
        <v>387</v>
      </c>
      <c r="G115" s="829" t="s">
        <v>1143</v>
      </c>
      <c r="H115" s="417">
        <v>282374.95</v>
      </c>
      <c r="I115" s="417">
        <v>298292.15000000002</v>
      </c>
      <c r="J115" s="417">
        <v>304328.05</v>
      </c>
      <c r="K115" s="417">
        <v>226124.34</v>
      </c>
      <c r="L115" s="417">
        <v>307111.99999999988</v>
      </c>
      <c r="M115" s="417">
        <v>283116.59999999998</v>
      </c>
      <c r="N115" s="418">
        <f t="shared" si="46"/>
        <v>1701348.0900000003</v>
      </c>
      <c r="O115" s="65"/>
      <c r="P115" s="1535"/>
    </row>
    <row r="116" spans="2:16">
      <c r="B116" s="400"/>
      <c r="C116" s="400"/>
      <c r="D116" s="400" t="s">
        <v>1135</v>
      </c>
      <c r="E116" s="400" t="s">
        <v>1086</v>
      </c>
      <c r="F116" s="403" t="s">
        <v>387</v>
      </c>
      <c r="G116" s="829" t="s">
        <v>1143</v>
      </c>
      <c r="H116" s="417">
        <v>52238.07</v>
      </c>
      <c r="I116" s="417">
        <v>0</v>
      </c>
      <c r="J116" s="417">
        <v>0</v>
      </c>
      <c r="K116" s="417">
        <v>0</v>
      </c>
      <c r="L116" s="417">
        <v>0</v>
      </c>
      <c r="M116" s="417">
        <v>58356.4</v>
      </c>
      <c r="N116" s="418">
        <f t="shared" si="46"/>
        <v>110594.47</v>
      </c>
      <c r="O116" s="65"/>
      <c r="P116" s="1535"/>
    </row>
    <row r="117" spans="2:16">
      <c r="B117" s="400"/>
      <c r="C117" s="400"/>
      <c r="D117" s="400" t="s">
        <v>1136</v>
      </c>
      <c r="E117" s="400" t="s">
        <v>1263</v>
      </c>
      <c r="F117" s="403" t="s">
        <v>387</v>
      </c>
      <c r="G117" s="829" t="s">
        <v>1143</v>
      </c>
      <c r="H117" s="417">
        <v>0</v>
      </c>
      <c r="I117" s="417">
        <v>225784.42480334741</v>
      </c>
      <c r="J117" s="417">
        <v>109591.2485657833</v>
      </c>
      <c r="K117" s="417">
        <v>78.540000000000006</v>
      </c>
      <c r="L117" s="417">
        <v>128270.16</v>
      </c>
      <c r="M117" s="417">
        <v>0</v>
      </c>
      <c r="N117" s="418">
        <f t="shared" si="46"/>
        <v>463724.37336913066</v>
      </c>
      <c r="O117" s="65"/>
      <c r="P117" s="1535"/>
    </row>
    <row r="118" spans="2:16">
      <c r="B118" s="400"/>
      <c r="C118" s="400"/>
      <c r="D118" s="400" t="s">
        <v>1137</v>
      </c>
      <c r="E118" s="400" t="s">
        <v>1087</v>
      </c>
      <c r="F118" s="403" t="s">
        <v>387</v>
      </c>
      <c r="G118" s="829" t="s">
        <v>1143</v>
      </c>
      <c r="H118" s="417">
        <v>0</v>
      </c>
      <c r="I118" s="417">
        <v>0</v>
      </c>
      <c r="J118" s="417">
        <v>0</v>
      </c>
      <c r="K118" s="417">
        <v>0</v>
      </c>
      <c r="L118" s="417">
        <v>0</v>
      </c>
      <c r="M118" s="417">
        <v>0</v>
      </c>
      <c r="N118" s="418">
        <f t="shared" si="46"/>
        <v>0</v>
      </c>
      <c r="O118" s="65"/>
      <c r="P118" s="1535"/>
    </row>
    <row r="119" spans="2:16">
      <c r="B119" s="400"/>
      <c r="C119" s="400"/>
      <c r="D119" s="400" t="s">
        <v>1138</v>
      </c>
      <c r="E119" s="400" t="s">
        <v>1087</v>
      </c>
      <c r="F119" s="403" t="s">
        <v>387</v>
      </c>
      <c r="G119" s="829" t="s">
        <v>1143</v>
      </c>
      <c r="H119" s="417">
        <v>0</v>
      </c>
      <c r="I119" s="417">
        <v>0</v>
      </c>
      <c r="J119" s="417">
        <v>0</v>
      </c>
      <c r="K119" s="417">
        <v>0</v>
      </c>
      <c r="L119" s="417">
        <v>0</v>
      </c>
      <c r="M119" s="417">
        <v>0</v>
      </c>
      <c r="N119" s="418">
        <f t="shared" si="46"/>
        <v>0</v>
      </c>
      <c r="O119" s="65"/>
      <c r="P119" s="1535"/>
    </row>
    <row r="120" spans="2:16">
      <c r="B120" s="400"/>
      <c r="C120" s="400"/>
      <c r="D120" s="400" t="s">
        <v>1139</v>
      </c>
      <c r="E120" s="400" t="s">
        <v>1140</v>
      </c>
      <c r="F120" s="403" t="s">
        <v>387</v>
      </c>
      <c r="G120" s="829" t="s">
        <v>1143</v>
      </c>
      <c r="H120" s="417">
        <v>192468.15</v>
      </c>
      <c r="I120" s="417">
        <v>212873.4</v>
      </c>
      <c r="J120" s="417">
        <v>208454.39999999999</v>
      </c>
      <c r="K120" s="417">
        <v>195161.85</v>
      </c>
      <c r="L120" s="417">
        <v>214092</v>
      </c>
      <c r="M120" s="417">
        <v>198401.4</v>
      </c>
      <c r="N120" s="418">
        <f t="shared" si="46"/>
        <v>1221451.2</v>
      </c>
      <c r="O120" s="65"/>
      <c r="P120" s="1535"/>
    </row>
    <row r="121" spans="2:16">
      <c r="B121" s="400"/>
      <c r="C121" s="400"/>
      <c r="D121" s="400" t="s">
        <v>1141</v>
      </c>
      <c r="E121" s="400" t="s">
        <v>1264</v>
      </c>
      <c r="F121" s="403" t="s">
        <v>387</v>
      </c>
      <c r="G121" s="829" t="s">
        <v>1143</v>
      </c>
      <c r="H121" s="417">
        <v>5789.48</v>
      </c>
      <c r="I121" s="417">
        <v>5431.25</v>
      </c>
      <c r="J121" s="417">
        <v>5293.75</v>
      </c>
      <c r="K121" s="417">
        <v>0</v>
      </c>
      <c r="L121" s="417">
        <v>5500</v>
      </c>
      <c r="M121" s="417">
        <v>5087.5</v>
      </c>
      <c r="N121" s="418">
        <f t="shared" si="46"/>
        <v>27101.98</v>
      </c>
      <c r="O121" s="65"/>
      <c r="P121" s="1535"/>
    </row>
    <row r="122" spans="2:16">
      <c r="B122" s="400"/>
      <c r="C122" s="400"/>
      <c r="D122" s="400" t="s">
        <v>1294</v>
      </c>
      <c r="E122" s="400" t="s">
        <v>1321</v>
      </c>
      <c r="F122" s="403" t="s">
        <v>387</v>
      </c>
      <c r="G122" s="829" t="s">
        <v>1293</v>
      </c>
      <c r="H122" s="417">
        <v>252480</v>
      </c>
      <c r="I122" s="417">
        <v>249955.20000000001</v>
      </c>
      <c r="J122" s="417">
        <v>239856</v>
      </c>
      <c r="K122" s="417">
        <v>232281.60000000001</v>
      </c>
      <c r="L122" s="417">
        <v>237331.20000000001</v>
      </c>
      <c r="M122" s="417">
        <v>227232</v>
      </c>
      <c r="N122" s="418">
        <f t="shared" si="46"/>
        <v>1439136</v>
      </c>
      <c r="O122" s="65"/>
      <c r="P122" s="1535"/>
    </row>
    <row r="123" spans="2:16">
      <c r="B123" s="400"/>
      <c r="C123" s="400"/>
      <c r="D123" s="400" t="s">
        <v>1295</v>
      </c>
      <c r="E123" s="400" t="s">
        <v>1086</v>
      </c>
      <c r="F123" s="403" t="s">
        <v>387</v>
      </c>
      <c r="G123" s="829" t="s">
        <v>1293</v>
      </c>
      <c r="H123" s="417">
        <v>275280.00000000012</v>
      </c>
      <c r="I123" s="417">
        <v>193406.4</v>
      </c>
      <c r="J123" s="417">
        <v>151848</v>
      </c>
      <c r="K123" s="417">
        <v>310444.79999999999</v>
      </c>
      <c r="L123" s="417">
        <v>100166.39999999999</v>
      </c>
      <c r="M123" s="417">
        <v>247752</v>
      </c>
      <c r="N123" s="418">
        <f t="shared" si="46"/>
        <v>1278897.6000000001</v>
      </c>
      <c r="O123" s="65"/>
      <c r="P123" s="1535"/>
    </row>
    <row r="124" spans="2:16">
      <c r="B124" s="400"/>
      <c r="C124" s="400"/>
      <c r="D124" s="400" t="s">
        <v>1572</v>
      </c>
      <c r="E124" s="400" t="s">
        <v>1261</v>
      </c>
      <c r="F124" s="403" t="s">
        <v>387</v>
      </c>
      <c r="G124" s="829" t="s">
        <v>1585</v>
      </c>
      <c r="H124" s="417">
        <v>46443.159</v>
      </c>
      <c r="I124" s="417">
        <v>0</v>
      </c>
      <c r="J124" s="417">
        <v>39897.343200000003</v>
      </c>
      <c r="K124" s="417">
        <v>55388.275199999996</v>
      </c>
      <c r="L124" s="417">
        <v>3334.6992</v>
      </c>
      <c r="M124" s="417">
        <v>1966.2840000000001</v>
      </c>
      <c r="N124" s="418">
        <f t="shared" si="46"/>
        <v>147029.76060000001</v>
      </c>
      <c r="O124" s="65"/>
      <c r="P124" s="1535"/>
    </row>
    <row r="125" spans="2:16">
      <c r="B125" s="400"/>
      <c r="C125" s="400"/>
      <c r="D125" s="400" t="s">
        <v>1576</v>
      </c>
      <c r="E125" s="400" t="s">
        <v>1321</v>
      </c>
      <c r="F125" s="403" t="s">
        <v>387</v>
      </c>
      <c r="G125" s="829" t="s">
        <v>1585</v>
      </c>
      <c r="H125" s="417">
        <v>0</v>
      </c>
      <c r="I125" s="417">
        <v>0</v>
      </c>
      <c r="J125" s="417">
        <v>0</v>
      </c>
      <c r="K125" s="417">
        <v>0</v>
      </c>
      <c r="L125" s="417">
        <v>0</v>
      </c>
      <c r="M125" s="417">
        <v>0</v>
      </c>
      <c r="N125" s="418">
        <f t="shared" si="46"/>
        <v>0</v>
      </c>
      <c r="O125" s="65"/>
      <c r="P125" s="1535"/>
    </row>
    <row r="126" spans="2:16">
      <c r="B126" s="400"/>
      <c r="C126" s="400"/>
      <c r="D126" s="400" t="s">
        <v>1839</v>
      </c>
      <c r="E126" s="400" t="s">
        <v>984</v>
      </c>
      <c r="F126" s="403" t="s">
        <v>387</v>
      </c>
      <c r="G126" s="829" t="s">
        <v>1842</v>
      </c>
      <c r="H126" s="417">
        <v>232.87</v>
      </c>
      <c r="I126" s="417">
        <v>0</v>
      </c>
      <c r="J126" s="417">
        <v>357.87</v>
      </c>
      <c r="K126" s="417">
        <v>353.43</v>
      </c>
      <c r="L126" s="417">
        <v>0</v>
      </c>
      <c r="M126" s="417">
        <v>0</v>
      </c>
      <c r="N126" s="418">
        <f t="shared" si="46"/>
        <v>944.17000000000007</v>
      </c>
      <c r="O126" s="65"/>
      <c r="P126" s="1535"/>
    </row>
    <row r="127" spans="2:16">
      <c r="B127" s="400"/>
      <c r="C127" s="400"/>
      <c r="D127" s="418" t="s">
        <v>1840</v>
      </c>
      <c r="E127" s="417"/>
      <c r="F127" s="403"/>
      <c r="G127" s="829"/>
      <c r="H127" s="417"/>
      <c r="I127" s="417"/>
      <c r="J127" s="417"/>
      <c r="K127" s="417"/>
      <c r="L127" s="417"/>
      <c r="M127" s="417"/>
      <c r="N127" s="418"/>
      <c r="O127" s="65"/>
      <c r="P127" s="1535"/>
    </row>
    <row r="128" spans="2:16">
      <c r="B128" s="400"/>
      <c r="C128" s="400"/>
      <c r="D128" s="400" t="s">
        <v>1719</v>
      </c>
      <c r="E128" s="400" t="s">
        <v>1507</v>
      </c>
      <c r="F128" s="403" t="s">
        <v>780</v>
      </c>
      <c r="G128" s="829"/>
      <c r="H128" s="417">
        <v>0</v>
      </c>
      <c r="I128" s="417">
        <v>0</v>
      </c>
      <c r="J128" s="417">
        <v>0</v>
      </c>
      <c r="K128" s="417">
        <v>0</v>
      </c>
      <c r="L128" s="417">
        <v>0</v>
      </c>
      <c r="M128" s="417">
        <v>-620855.36</v>
      </c>
      <c r="N128" s="418">
        <f t="shared" ref="N128:N129" si="47">SUM(H128:M128)</f>
        <v>-620855.36</v>
      </c>
      <c r="O128" s="65"/>
      <c r="P128" s="1535"/>
    </row>
    <row r="129" spans="2:16">
      <c r="B129" s="400"/>
      <c r="C129" s="400"/>
      <c r="D129" s="400" t="s">
        <v>1879</v>
      </c>
      <c r="E129" s="400" t="s">
        <v>1263</v>
      </c>
      <c r="F129" s="403" t="s">
        <v>387</v>
      </c>
      <c r="G129" s="829"/>
      <c r="H129" s="417">
        <v>0</v>
      </c>
      <c r="I129" s="417">
        <v>0</v>
      </c>
      <c r="J129" s="417">
        <v>0</v>
      </c>
      <c r="K129" s="417">
        <v>0</v>
      </c>
      <c r="L129" s="417">
        <v>0</v>
      </c>
      <c r="M129" s="417">
        <v>-17871.41</v>
      </c>
      <c r="N129" s="418">
        <f t="shared" si="47"/>
        <v>-17871.41</v>
      </c>
      <c r="O129" s="65"/>
      <c r="P129" s="1535"/>
    </row>
    <row r="130" spans="2:16">
      <c r="B130" s="400"/>
      <c r="C130" s="400"/>
      <c r="D130" s="400"/>
      <c r="E130" s="400"/>
      <c r="F130" s="403"/>
      <c r="G130" s="832"/>
      <c r="H130" s="417"/>
      <c r="I130" s="417"/>
      <c r="J130" s="417"/>
      <c r="K130" s="417"/>
      <c r="L130" s="417"/>
      <c r="M130" s="417"/>
      <c r="N130" s="418"/>
      <c r="O130" s="65"/>
      <c r="P130" s="1535"/>
    </row>
    <row r="131" spans="2:16">
      <c r="B131" s="404"/>
      <c r="C131" s="404"/>
      <c r="D131" s="404"/>
      <c r="E131" s="405" t="s">
        <v>401</v>
      </c>
      <c r="F131" s="406"/>
      <c r="G131" s="830"/>
      <c r="H131" s="419">
        <f t="shared" ref="H131:N131" si="48">SUM(H94:H130)</f>
        <v>15170256.843</v>
      </c>
      <c r="I131" s="419">
        <f t="shared" si="48"/>
        <v>15413840.27550335</v>
      </c>
      <c r="J131" s="419">
        <f t="shared" si="48"/>
        <v>15153506.763665784</v>
      </c>
      <c r="K131" s="419">
        <f t="shared" si="48"/>
        <v>15285325.801599998</v>
      </c>
      <c r="L131" s="419">
        <f t="shared" si="48"/>
        <v>15075795.4935</v>
      </c>
      <c r="M131" s="419">
        <f t="shared" si="48"/>
        <v>14406000.5528</v>
      </c>
      <c r="N131" s="419">
        <f t="shared" si="48"/>
        <v>90504725.730069131</v>
      </c>
      <c r="O131" s="65"/>
      <c r="P131" s="1535"/>
    </row>
    <row r="132" spans="2:16">
      <c r="B132" s="400"/>
      <c r="C132" s="400"/>
      <c r="D132" s="400" t="s">
        <v>825</v>
      </c>
      <c r="E132" s="400" t="s">
        <v>896</v>
      </c>
      <c r="F132" s="403" t="s">
        <v>1056</v>
      </c>
      <c r="G132" s="832"/>
      <c r="H132" s="417">
        <v>116905.4009161042</v>
      </c>
      <c r="I132" s="417">
        <v>116880.85512054</v>
      </c>
      <c r="J132" s="417">
        <v>116813.8335294118</v>
      </c>
      <c r="K132" s="417">
        <v>116841.0035294118</v>
      </c>
      <c r="L132" s="417">
        <v>116849.90773384761</v>
      </c>
      <c r="M132" s="417">
        <v>116775.16</v>
      </c>
      <c r="N132" s="418">
        <f>SUM(H132:M132)</f>
        <v>701066.16082931543</v>
      </c>
      <c r="O132" s="65"/>
      <c r="P132" s="1535"/>
    </row>
    <row r="133" spans="2:16">
      <c r="B133" s="400"/>
      <c r="C133" s="400"/>
      <c r="D133" s="400" t="s">
        <v>897</v>
      </c>
      <c r="E133" s="400" t="s">
        <v>1066</v>
      </c>
      <c r="F133" s="403" t="s">
        <v>1056</v>
      </c>
      <c r="G133" s="832"/>
      <c r="H133" s="417">
        <v>880696</v>
      </c>
      <c r="I133" s="417">
        <v>880696</v>
      </c>
      <c r="J133" s="417">
        <v>880696</v>
      </c>
      <c r="K133" s="417">
        <v>891310.25</v>
      </c>
      <c r="L133" s="417">
        <v>898240.20000000007</v>
      </c>
      <c r="M133" s="417">
        <v>898240.20000000007</v>
      </c>
      <c r="N133" s="418">
        <f>SUM(H133:M133)</f>
        <v>5329878.6500000004</v>
      </c>
      <c r="O133" s="65"/>
      <c r="P133" s="1535"/>
    </row>
    <row r="134" spans="2:16">
      <c r="B134" s="402"/>
      <c r="C134" s="402"/>
      <c r="D134" s="402"/>
      <c r="E134" s="400"/>
      <c r="F134" s="403"/>
      <c r="G134" s="837"/>
      <c r="H134" s="417"/>
      <c r="I134" s="417"/>
      <c r="J134" s="417"/>
      <c r="K134" s="417"/>
      <c r="L134" s="417"/>
      <c r="M134" s="417"/>
      <c r="N134" s="418"/>
      <c r="O134" s="65"/>
      <c r="P134" s="1535"/>
    </row>
    <row r="135" spans="2:16">
      <c r="B135" s="405"/>
      <c r="C135" s="405"/>
      <c r="D135" s="405"/>
      <c r="E135" s="405" t="s">
        <v>182</v>
      </c>
      <c r="F135" s="397"/>
      <c r="G135" s="831"/>
      <c r="H135" s="419">
        <f t="shared" ref="H135:N135" si="49">SUM(H131:H134)</f>
        <v>16167858.243916105</v>
      </c>
      <c r="I135" s="419">
        <f t="shared" si="49"/>
        <v>16411417.13062389</v>
      </c>
      <c r="J135" s="419">
        <f t="shared" si="49"/>
        <v>16151016.597195195</v>
      </c>
      <c r="K135" s="419">
        <f t="shared" si="49"/>
        <v>16293477.055129411</v>
      </c>
      <c r="L135" s="419">
        <f t="shared" si="49"/>
        <v>16090885.601233847</v>
      </c>
      <c r="M135" s="419">
        <f t="shared" si="49"/>
        <v>15421015.912799999</v>
      </c>
      <c r="N135" s="419">
        <f t="shared" si="49"/>
        <v>96535670.540898457</v>
      </c>
      <c r="O135" s="65"/>
      <c r="P135" s="1535"/>
    </row>
    <row r="136" spans="2:16">
      <c r="B136" s="400"/>
      <c r="C136" s="400"/>
      <c r="D136" s="400" t="s">
        <v>1014</v>
      </c>
      <c r="E136" s="400" t="s">
        <v>388</v>
      </c>
      <c r="F136" s="403" t="s">
        <v>1065</v>
      </c>
      <c r="G136" s="832"/>
      <c r="H136" s="417">
        <v>117415.78</v>
      </c>
      <c r="I136" s="417">
        <v>112130.23</v>
      </c>
      <c r="J136" s="417">
        <v>90829.42</v>
      </c>
      <c r="K136" s="417">
        <v>227576.67</v>
      </c>
      <c r="L136" s="417">
        <v>290339.78999999998</v>
      </c>
      <c r="M136" s="417">
        <v>204504.78</v>
      </c>
      <c r="N136" s="418">
        <f>SUM(H136:M136)</f>
        <v>1042796.6699999999</v>
      </c>
      <c r="O136" s="65"/>
      <c r="P136" s="1535"/>
    </row>
    <row r="137" spans="2:16">
      <c r="B137" s="400"/>
      <c r="C137" s="400"/>
      <c r="D137" s="400"/>
      <c r="E137" s="400" t="s">
        <v>526</v>
      </c>
      <c r="F137" s="403"/>
      <c r="G137" s="832"/>
      <c r="H137" s="417">
        <v>0</v>
      </c>
      <c r="I137" s="417">
        <v>0</v>
      </c>
      <c r="J137" s="417">
        <v>0</v>
      </c>
      <c r="K137" s="417">
        <v>0</v>
      </c>
      <c r="L137" s="417">
        <v>0</v>
      </c>
      <c r="M137" s="417">
        <v>0</v>
      </c>
      <c r="N137" s="418">
        <f>SUM(H137:M137)</f>
        <v>0</v>
      </c>
      <c r="O137" s="65"/>
      <c r="P137" s="1535"/>
    </row>
    <row r="138" spans="2:16" s="38" customFormat="1">
      <c r="B138" s="400"/>
      <c r="C138" s="400"/>
      <c r="D138" s="400" t="s">
        <v>465</v>
      </c>
      <c r="E138" s="400" t="s">
        <v>1365</v>
      </c>
      <c r="F138" s="403" t="s">
        <v>776</v>
      </c>
      <c r="G138" s="832"/>
      <c r="H138" s="417">
        <v>53390.29</v>
      </c>
      <c r="I138" s="417">
        <v>66012.009999999995</v>
      </c>
      <c r="J138" s="417">
        <v>244848.16</v>
      </c>
      <c r="K138" s="417">
        <v>211831.42</v>
      </c>
      <c r="L138" s="417">
        <v>213468.84</v>
      </c>
      <c r="M138" s="417">
        <v>137982.31</v>
      </c>
      <c r="N138" s="418">
        <f t="shared" ref="N138:N139" si="50">SUM(H138:M138)</f>
        <v>927533.03</v>
      </c>
      <c r="O138" s="65"/>
      <c r="P138" s="1535"/>
    </row>
    <row r="139" spans="2:16" s="38" customFormat="1">
      <c r="B139" s="400"/>
      <c r="C139" s="400"/>
      <c r="D139" s="400" t="s">
        <v>467</v>
      </c>
      <c r="E139" s="400" t="s">
        <v>397</v>
      </c>
      <c r="F139" s="403" t="s">
        <v>776</v>
      </c>
      <c r="G139" s="832"/>
      <c r="H139" s="417">
        <v>0</v>
      </c>
      <c r="I139" s="417">
        <v>0</v>
      </c>
      <c r="J139" s="417">
        <v>0</v>
      </c>
      <c r="K139" s="417">
        <v>0</v>
      </c>
      <c r="L139" s="417">
        <v>0</v>
      </c>
      <c r="M139" s="417">
        <v>0</v>
      </c>
      <c r="N139" s="418">
        <f t="shared" si="50"/>
        <v>0</v>
      </c>
      <c r="O139" s="65"/>
      <c r="P139" s="1535"/>
    </row>
    <row r="140" spans="2:16">
      <c r="B140" s="400"/>
      <c r="C140" s="400"/>
      <c r="D140" s="400"/>
      <c r="E140" s="400"/>
      <c r="F140" s="403"/>
      <c r="G140" s="832"/>
      <c r="H140" s="417"/>
      <c r="I140" s="417"/>
      <c r="J140" s="417"/>
      <c r="K140" s="417"/>
      <c r="L140" s="417"/>
      <c r="M140" s="417"/>
      <c r="N140" s="418"/>
      <c r="O140" s="65"/>
      <c r="P140" s="1535"/>
    </row>
    <row r="141" spans="2:16">
      <c r="B141" s="408"/>
      <c r="C141" s="408"/>
      <c r="D141" s="408"/>
      <c r="E141" s="408" t="s">
        <v>246</v>
      </c>
      <c r="F141" s="409"/>
      <c r="G141" s="833"/>
      <c r="H141" s="419">
        <f t="shared" ref="H141:N141" si="51">SUM(H135:H140)</f>
        <v>16338664.313916104</v>
      </c>
      <c r="I141" s="419">
        <f t="shared" si="51"/>
        <v>16589559.37062389</v>
      </c>
      <c r="J141" s="419">
        <f t="shared" si="51"/>
        <v>16486694.177195195</v>
      </c>
      <c r="K141" s="419">
        <f t="shared" si="51"/>
        <v>16732885.145129411</v>
      </c>
      <c r="L141" s="419">
        <f t="shared" si="51"/>
        <v>16594694.231233846</v>
      </c>
      <c r="M141" s="419">
        <f t="shared" si="51"/>
        <v>15763503.002799999</v>
      </c>
      <c r="N141" s="419">
        <f t="shared" si="51"/>
        <v>98506000.24089846</v>
      </c>
      <c r="O141" s="65"/>
      <c r="P141" s="1535"/>
    </row>
    <row r="142" spans="2:16">
      <c r="B142" s="410"/>
      <c r="C142" s="410"/>
      <c r="D142" s="410"/>
      <c r="E142" s="410" t="s">
        <v>320</v>
      </c>
      <c r="F142" s="411"/>
      <c r="G142" s="834"/>
      <c r="H142" s="420"/>
      <c r="I142" s="420"/>
      <c r="J142" s="420"/>
      <c r="K142" s="420"/>
      <c r="L142" s="420"/>
      <c r="M142" s="420"/>
      <c r="N142" s="421"/>
      <c r="O142" s="65"/>
      <c r="P142" s="1535"/>
    </row>
    <row r="143" spans="2:16">
      <c r="B143" s="408"/>
      <c r="C143" s="408"/>
      <c r="D143" s="408"/>
      <c r="E143" s="408" t="s">
        <v>103</v>
      </c>
      <c r="F143" s="409"/>
      <c r="G143" s="833"/>
      <c r="H143" s="419">
        <f t="shared" ref="H143:N143" si="52">H141+H142</f>
        <v>16338664.313916104</v>
      </c>
      <c r="I143" s="419">
        <f t="shared" si="52"/>
        <v>16589559.37062389</v>
      </c>
      <c r="J143" s="419">
        <f t="shared" si="52"/>
        <v>16486694.177195195</v>
      </c>
      <c r="K143" s="419">
        <f t="shared" si="52"/>
        <v>16732885.145129411</v>
      </c>
      <c r="L143" s="419">
        <f t="shared" si="52"/>
        <v>16594694.231233846</v>
      </c>
      <c r="M143" s="419">
        <f t="shared" si="52"/>
        <v>15763503.002799999</v>
      </c>
      <c r="N143" s="419">
        <f t="shared" si="52"/>
        <v>98506000.24089846</v>
      </c>
      <c r="O143" s="65"/>
      <c r="P143" s="1535"/>
    </row>
    <row r="144" spans="2:16" ht="15.75">
      <c r="B144" s="412"/>
      <c r="C144" s="412"/>
      <c r="D144" s="412"/>
      <c r="E144" s="412"/>
      <c r="F144" s="835"/>
      <c r="G144" s="836"/>
      <c r="H144" s="166"/>
      <c r="I144" s="166"/>
      <c r="J144" s="166"/>
      <c r="K144" s="166"/>
      <c r="L144" s="166"/>
      <c r="M144" s="166"/>
      <c r="N144" s="166"/>
    </row>
    <row r="145" spans="2:14" ht="15.75">
      <c r="B145" s="393"/>
      <c r="C145" s="393"/>
      <c r="D145" s="393"/>
      <c r="E145" s="394" t="s">
        <v>803</v>
      </c>
      <c r="F145" s="393"/>
      <c r="G145" s="827"/>
      <c r="H145" s="395"/>
      <c r="I145" s="395"/>
      <c r="J145" s="395"/>
      <c r="K145" s="395"/>
      <c r="L145" s="395"/>
      <c r="M145" s="395"/>
      <c r="N145" s="414"/>
    </row>
    <row r="146" spans="2:14" ht="15.75">
      <c r="B146" s="397"/>
      <c r="C146" s="397"/>
      <c r="D146" s="397"/>
      <c r="E146" s="398" t="s">
        <v>802</v>
      </c>
      <c r="F146" s="397"/>
      <c r="G146" s="831"/>
      <c r="H146" s="398">
        <f t="shared" ref="H146:M146" si="53">H$4</f>
        <v>45839</v>
      </c>
      <c r="I146" s="398">
        <f t="shared" si="53"/>
        <v>45870</v>
      </c>
      <c r="J146" s="398">
        <f t="shared" si="53"/>
        <v>45901</v>
      </c>
      <c r="K146" s="398">
        <f t="shared" si="53"/>
        <v>45931</v>
      </c>
      <c r="L146" s="398">
        <f t="shared" si="53"/>
        <v>45962</v>
      </c>
      <c r="M146" s="398">
        <f t="shared" si="53"/>
        <v>45992</v>
      </c>
      <c r="N146" s="416" t="s">
        <v>111</v>
      </c>
    </row>
    <row r="147" spans="2:14">
      <c r="B147" s="400"/>
      <c r="C147" s="400"/>
      <c r="D147" s="400" t="s">
        <v>448</v>
      </c>
      <c r="E147" s="400" t="s">
        <v>817</v>
      </c>
      <c r="F147" s="400" t="s">
        <v>386</v>
      </c>
      <c r="G147" s="829" t="s">
        <v>1114</v>
      </c>
      <c r="H147" s="417">
        <v>2242.4927520024871</v>
      </c>
      <c r="I147" s="417">
        <v>2178.127173837137</v>
      </c>
      <c r="J147" s="417">
        <v>2123.2523471763179</v>
      </c>
      <c r="K147" s="417">
        <v>2139.6014710259619</v>
      </c>
      <c r="L147" s="417">
        <v>2079.624936006363</v>
      </c>
      <c r="M147" s="417">
        <v>2130.2049070091348</v>
      </c>
      <c r="N147" s="418">
        <f>SUM(H147:M147)</f>
        <v>12893.303587057402</v>
      </c>
    </row>
    <row r="148" spans="2:14">
      <c r="B148" s="400"/>
      <c r="C148" s="400"/>
      <c r="D148" s="400" t="s">
        <v>545</v>
      </c>
      <c r="E148" s="400" t="s">
        <v>818</v>
      </c>
      <c r="F148" s="400" t="s">
        <v>386</v>
      </c>
      <c r="G148" s="829" t="s">
        <v>1115</v>
      </c>
      <c r="H148" s="417">
        <v>2025.818275571768</v>
      </c>
      <c r="I148" s="417">
        <v>1967.671838108962</v>
      </c>
      <c r="J148" s="417">
        <v>1918.0991353124618</v>
      </c>
      <c r="K148" s="417">
        <v>1932.8685716259649</v>
      </c>
      <c r="L148" s="417">
        <v>1878.68709851321</v>
      </c>
      <c r="M148" s="417">
        <v>1924.3799238495701</v>
      </c>
      <c r="N148" s="418">
        <f t="shared" ref="N148:N211" si="54">SUM(H148:M148)</f>
        <v>11647.524842981937</v>
      </c>
    </row>
    <row r="149" spans="2:14">
      <c r="B149" s="400"/>
      <c r="C149" s="400"/>
      <c r="D149" s="400" t="s">
        <v>547</v>
      </c>
      <c r="E149" s="400" t="s">
        <v>821</v>
      </c>
      <c r="F149" s="400" t="s">
        <v>386</v>
      </c>
      <c r="G149" s="829" t="s">
        <v>1116</v>
      </c>
      <c r="H149" s="417">
        <v>3467.2232102632679</v>
      </c>
      <c r="I149" s="417">
        <v>3367.704571303284</v>
      </c>
      <c r="J149" s="417">
        <v>3282.8600283331107</v>
      </c>
      <c r="K149" s="417">
        <v>3308.1381754434369</v>
      </c>
      <c r="L149" s="417">
        <v>3215.4056419244612</v>
      </c>
      <c r="M149" s="417">
        <v>3293.6097071454769</v>
      </c>
      <c r="N149" s="418">
        <f t="shared" si="54"/>
        <v>19934.941334413037</v>
      </c>
    </row>
    <row r="150" spans="2:14">
      <c r="B150" s="400"/>
      <c r="C150" s="400"/>
      <c r="D150" s="400" t="s">
        <v>558</v>
      </c>
      <c r="E150" s="400" t="s">
        <v>952</v>
      </c>
      <c r="F150" s="400" t="s">
        <v>386</v>
      </c>
      <c r="G150" s="829" t="s">
        <v>1116</v>
      </c>
      <c r="H150" s="417">
        <v>1174.5342045543291</v>
      </c>
      <c r="I150" s="417">
        <v>1140.821911355782</v>
      </c>
      <c r="J150" s="417">
        <v>1112.080520408334</v>
      </c>
      <c r="K150" s="417">
        <v>1120.6435827231419</v>
      </c>
      <c r="L150" s="417">
        <v>1089.230106898855</v>
      </c>
      <c r="M150" s="417">
        <v>1115.722012371044</v>
      </c>
      <c r="N150" s="418">
        <f t="shared" si="54"/>
        <v>6753.0323383114855</v>
      </c>
    </row>
    <row r="151" spans="2:14">
      <c r="B151" s="400"/>
      <c r="C151" s="400"/>
      <c r="D151" s="400" t="s">
        <v>559</v>
      </c>
      <c r="E151" s="400" t="s">
        <v>551</v>
      </c>
      <c r="F151" s="400" t="s">
        <v>386</v>
      </c>
      <c r="G151" s="829" t="s">
        <v>1116</v>
      </c>
      <c r="H151" s="417">
        <v>643.64650567688011</v>
      </c>
      <c r="I151" s="417">
        <v>625.17211844195856</v>
      </c>
      <c r="J151" s="417">
        <v>609.42179309605808</v>
      </c>
      <c r="K151" s="417">
        <v>614.1143640875614</v>
      </c>
      <c r="L151" s="417">
        <v>596.89973222152787</v>
      </c>
      <c r="M151" s="417">
        <v>611.41733615317889</v>
      </c>
      <c r="N151" s="418">
        <f t="shared" si="54"/>
        <v>3700.6718496771646</v>
      </c>
    </row>
    <row r="152" spans="2:14">
      <c r="B152" s="400"/>
      <c r="C152" s="400"/>
      <c r="D152" s="400" t="s">
        <v>560</v>
      </c>
      <c r="E152" s="400" t="s">
        <v>552</v>
      </c>
      <c r="F152" s="400" t="s">
        <v>386</v>
      </c>
      <c r="G152" s="829" t="s">
        <v>1116</v>
      </c>
      <c r="H152" s="417">
        <v>462.52954393521816</v>
      </c>
      <c r="I152" s="417">
        <v>449.25370102006889</v>
      </c>
      <c r="J152" s="417">
        <v>437.93539083766672</v>
      </c>
      <c r="K152" s="417">
        <v>441.30751000780168</v>
      </c>
      <c r="L152" s="417">
        <v>428.9369374096708</v>
      </c>
      <c r="M152" s="417">
        <v>439.36940409179329</v>
      </c>
      <c r="N152" s="418">
        <f t="shared" si="54"/>
        <v>2659.3324873022193</v>
      </c>
    </row>
    <row r="153" spans="2:14" s="38" customFormat="1">
      <c r="B153" s="400"/>
      <c r="C153" s="400"/>
      <c r="D153" s="400" t="s">
        <v>561</v>
      </c>
      <c r="E153" s="400" t="s">
        <v>553</v>
      </c>
      <c r="F153" s="400" t="s">
        <v>386</v>
      </c>
      <c r="G153" s="829" t="s">
        <v>1116</v>
      </c>
      <c r="H153" s="417">
        <v>352.36026136629818</v>
      </c>
      <c r="I153" s="417">
        <v>342.24657340673491</v>
      </c>
      <c r="J153" s="417">
        <v>333.62415612250027</v>
      </c>
      <c r="K153" s="417">
        <v>336.1930748169425</v>
      </c>
      <c r="L153" s="417">
        <v>326.76903206965619</v>
      </c>
      <c r="M153" s="417">
        <v>334.71660371131338</v>
      </c>
      <c r="N153" s="418">
        <f t="shared" si="54"/>
        <v>2025.9097014934455</v>
      </c>
    </row>
    <row r="154" spans="2:14" s="38" customFormat="1">
      <c r="B154" s="400"/>
      <c r="C154" s="400"/>
      <c r="D154" s="400" t="s">
        <v>562</v>
      </c>
      <c r="E154" s="400" t="s">
        <v>955</v>
      </c>
      <c r="F154" s="400" t="s">
        <v>386</v>
      </c>
      <c r="G154" s="829" t="s">
        <v>1116</v>
      </c>
      <c r="H154" s="417">
        <v>283.64979020223137</v>
      </c>
      <c r="I154" s="417">
        <v>275.50827771504783</v>
      </c>
      <c r="J154" s="417">
        <v>268.56723718957608</v>
      </c>
      <c r="K154" s="417">
        <v>270.63521513322871</v>
      </c>
      <c r="L154" s="417">
        <v>263.04886661095418</v>
      </c>
      <c r="M154" s="417">
        <v>269.44665681587622</v>
      </c>
      <c r="N154" s="418">
        <f t="shared" si="54"/>
        <v>1630.8560436669143</v>
      </c>
    </row>
    <row r="155" spans="2:14" s="38" customFormat="1">
      <c r="B155" s="400"/>
      <c r="C155" s="400"/>
      <c r="D155" s="400" t="s">
        <v>563</v>
      </c>
      <c r="E155" s="400" t="s">
        <v>956</v>
      </c>
      <c r="F155" s="400" t="s">
        <v>386</v>
      </c>
      <c r="G155" s="829" t="s">
        <v>1116</v>
      </c>
      <c r="H155" s="417">
        <v>269.90945755052712</v>
      </c>
      <c r="I155" s="417">
        <v>262.1623295957001</v>
      </c>
      <c r="J155" s="417">
        <v>255.55752131528308</v>
      </c>
      <c r="K155" s="417">
        <v>257.52532395176559</v>
      </c>
      <c r="L155" s="417">
        <v>250.30646716016901</v>
      </c>
      <c r="M155" s="417">
        <v>256.39434081063558</v>
      </c>
      <c r="N155" s="418">
        <f t="shared" si="54"/>
        <v>1551.8554403840806</v>
      </c>
    </row>
    <row r="156" spans="2:14">
      <c r="B156" s="400"/>
      <c r="C156" s="400"/>
      <c r="D156" s="400" t="s">
        <v>564</v>
      </c>
      <c r="E156" s="400" t="s">
        <v>556</v>
      </c>
      <c r="F156" s="400" t="s">
        <v>386</v>
      </c>
      <c r="G156" s="829" t="s">
        <v>1116</v>
      </c>
      <c r="H156" s="417">
        <v>223.51381508716071</v>
      </c>
      <c r="I156" s="417">
        <v>217.09836695553091</v>
      </c>
      <c r="J156" s="417">
        <v>211.6288813358988</v>
      </c>
      <c r="K156" s="417">
        <v>213.25843177333181</v>
      </c>
      <c r="L156" s="417">
        <v>207.2804485018284</v>
      </c>
      <c r="M156" s="417">
        <v>212.32185711986361</v>
      </c>
      <c r="N156" s="418">
        <f t="shared" si="54"/>
        <v>1285.1018007736143</v>
      </c>
    </row>
    <row r="157" spans="2:14">
      <c r="B157" s="400"/>
      <c r="C157" s="400"/>
      <c r="D157" s="400" t="s">
        <v>565</v>
      </c>
      <c r="E157" s="400" t="s">
        <v>957</v>
      </c>
      <c r="F157" s="400" t="s">
        <v>386</v>
      </c>
      <c r="G157" s="829" t="s">
        <v>1116</v>
      </c>
      <c r="H157" s="417">
        <v>156.56492503228671</v>
      </c>
      <c r="I157" s="417">
        <v>152.07109025350371</v>
      </c>
      <c r="J157" s="417">
        <v>148.23987469455068</v>
      </c>
      <c r="K157" s="417">
        <v>149.3813273692929</v>
      </c>
      <c r="L157" s="417">
        <v>145.19392399835479</v>
      </c>
      <c r="M157" s="417">
        <v>148.72528407125219</v>
      </c>
      <c r="N157" s="418">
        <f t="shared" si="54"/>
        <v>900.17642541924101</v>
      </c>
    </row>
    <row r="158" spans="2:14">
      <c r="B158" s="400"/>
      <c r="C158" s="400"/>
      <c r="D158" s="400" t="s">
        <v>566</v>
      </c>
      <c r="E158" s="400" t="s">
        <v>953</v>
      </c>
      <c r="F158" s="400" t="s">
        <v>386</v>
      </c>
      <c r="G158" s="829" t="s">
        <v>1116</v>
      </c>
      <c r="H158" s="417">
        <v>146.81897754567751</v>
      </c>
      <c r="I158" s="417">
        <v>142.60487769320989</v>
      </c>
      <c r="J158" s="417">
        <v>139.01214994140631</v>
      </c>
      <c r="K158" s="417">
        <v>140.08254878449219</v>
      </c>
      <c r="L158" s="417">
        <v>136.15580541355101</v>
      </c>
      <c r="M158" s="417">
        <v>139.46734326368909</v>
      </c>
      <c r="N158" s="418">
        <f t="shared" si="54"/>
        <v>844.14170264202608</v>
      </c>
    </row>
    <row r="159" spans="2:14">
      <c r="B159" s="400"/>
      <c r="C159" s="400"/>
      <c r="D159" s="400" t="s">
        <v>576</v>
      </c>
      <c r="E159" s="400" t="s">
        <v>952</v>
      </c>
      <c r="F159" s="400" t="s">
        <v>386</v>
      </c>
      <c r="G159" s="829" t="s">
        <v>1843</v>
      </c>
      <c r="H159" s="417">
        <v>0</v>
      </c>
      <c r="I159" s="417">
        <v>0</v>
      </c>
      <c r="J159" s="417">
        <v>0</v>
      </c>
      <c r="K159" s="417">
        <v>0</v>
      </c>
      <c r="L159" s="417">
        <v>0</v>
      </c>
      <c r="M159" s="417">
        <v>0</v>
      </c>
      <c r="N159" s="418">
        <f t="shared" si="54"/>
        <v>0</v>
      </c>
    </row>
    <row r="160" spans="2:14">
      <c r="B160" s="400"/>
      <c r="C160" s="400"/>
      <c r="D160" s="400" t="s">
        <v>568</v>
      </c>
      <c r="E160" s="400" t="s">
        <v>845</v>
      </c>
      <c r="F160" s="400" t="s">
        <v>775</v>
      </c>
      <c r="G160" s="829" t="s">
        <v>1123</v>
      </c>
      <c r="H160" s="417">
        <v>2177.1635161999998</v>
      </c>
      <c r="I160" s="417">
        <v>1235.6003000999999</v>
      </c>
      <c r="J160" s="417">
        <v>322.54451289999997</v>
      </c>
      <c r="K160" s="417">
        <v>396.60056309999999</v>
      </c>
      <c r="L160" s="417">
        <v>1020.7632152</v>
      </c>
      <c r="M160" s="417">
        <v>2445.9615389000001</v>
      </c>
      <c r="N160" s="418">
        <f t="shared" si="54"/>
        <v>7598.6336463999996</v>
      </c>
    </row>
    <row r="161" spans="2:14">
      <c r="B161" s="400"/>
      <c r="C161" s="400"/>
      <c r="D161" s="400" t="s">
        <v>571</v>
      </c>
      <c r="E161" s="400" t="s">
        <v>845</v>
      </c>
      <c r="F161" s="400" t="s">
        <v>775</v>
      </c>
      <c r="G161" s="829" t="s">
        <v>1123</v>
      </c>
      <c r="H161" s="417">
        <v>2032.0263269999989</v>
      </c>
      <c r="I161" s="417">
        <v>1169.7686567999999</v>
      </c>
      <c r="J161" s="417">
        <v>322.6082583000001</v>
      </c>
      <c r="K161" s="417">
        <v>338.73044479999999</v>
      </c>
      <c r="L161" s="417">
        <v>1102.6981318999999</v>
      </c>
      <c r="M161" s="417">
        <v>2222.5847018000009</v>
      </c>
      <c r="N161" s="418">
        <f t="shared" si="54"/>
        <v>7188.4165205999998</v>
      </c>
    </row>
    <row r="162" spans="2:14">
      <c r="B162" s="400"/>
      <c r="C162" s="400"/>
      <c r="D162" s="400" t="s">
        <v>573</v>
      </c>
      <c r="E162" s="400" t="s">
        <v>845</v>
      </c>
      <c r="F162" s="400" t="s">
        <v>775</v>
      </c>
      <c r="G162" s="829" t="s">
        <v>1123</v>
      </c>
      <c r="H162" s="417">
        <v>1056.542723400001</v>
      </c>
      <c r="I162" s="417">
        <v>583.77485439999964</v>
      </c>
      <c r="J162" s="417">
        <v>168.75355089999991</v>
      </c>
      <c r="K162" s="417">
        <v>221.84054970000011</v>
      </c>
      <c r="L162" s="417">
        <v>491.53829490000021</v>
      </c>
      <c r="M162" s="417">
        <v>1248.526580400001</v>
      </c>
      <c r="N162" s="418">
        <f t="shared" si="54"/>
        <v>3770.9765537000021</v>
      </c>
    </row>
    <row r="163" spans="2:14">
      <c r="B163" s="400"/>
      <c r="C163" s="400"/>
      <c r="D163" s="400" t="s">
        <v>575</v>
      </c>
      <c r="E163" s="400" t="s">
        <v>845</v>
      </c>
      <c r="F163" s="400" t="s">
        <v>775</v>
      </c>
      <c r="G163" s="829" t="s">
        <v>1123</v>
      </c>
      <c r="H163" s="417">
        <v>636.19139949999965</v>
      </c>
      <c r="I163" s="417">
        <v>419.39523439999999</v>
      </c>
      <c r="J163" s="417">
        <v>116.9005775</v>
      </c>
      <c r="K163" s="417">
        <v>111.70414539999989</v>
      </c>
      <c r="L163" s="417">
        <v>395.63737220000007</v>
      </c>
      <c r="M163" s="417">
        <v>698.23106159999998</v>
      </c>
      <c r="N163" s="418">
        <f t="shared" si="54"/>
        <v>2378.0597905999994</v>
      </c>
    </row>
    <row r="164" spans="2:14">
      <c r="B164" s="400"/>
      <c r="C164" s="400"/>
      <c r="D164" s="400" t="s">
        <v>831</v>
      </c>
      <c r="E164" s="400" t="s">
        <v>924</v>
      </c>
      <c r="F164" s="400" t="s">
        <v>386</v>
      </c>
      <c r="G164" s="829" t="s">
        <v>1118</v>
      </c>
      <c r="H164" s="417">
        <v>50865.654527943283</v>
      </c>
      <c r="I164" s="417">
        <v>49405.673326431512</v>
      </c>
      <c r="J164" s="417">
        <v>48160.967419258537</v>
      </c>
      <c r="K164" s="417">
        <v>48531.808700608461</v>
      </c>
      <c r="L164" s="417">
        <v>47171.382582233884</v>
      </c>
      <c r="M164" s="417">
        <v>48318.669827092453</v>
      </c>
      <c r="N164" s="418">
        <f t="shared" si="54"/>
        <v>292454.15638356813</v>
      </c>
    </row>
    <row r="165" spans="2:14">
      <c r="B165" s="400"/>
      <c r="C165" s="400"/>
      <c r="D165" s="400" t="s">
        <v>687</v>
      </c>
      <c r="E165" s="400" t="s">
        <v>753</v>
      </c>
      <c r="F165" s="400" t="s">
        <v>386</v>
      </c>
      <c r="G165" s="829" t="s">
        <v>1118</v>
      </c>
      <c r="H165" s="417">
        <v>259.56897643956518</v>
      </c>
      <c r="I165" s="417">
        <v>252.11864812639629</v>
      </c>
      <c r="J165" s="417">
        <v>245.76687616373178</v>
      </c>
      <c r="K165" s="417">
        <v>247.65929046007491</v>
      </c>
      <c r="L165" s="417">
        <v>240.71699475297532</v>
      </c>
      <c r="M165" s="417">
        <v>246.57163632976889</v>
      </c>
      <c r="N165" s="418">
        <f t="shared" si="54"/>
        <v>1492.4024222725122</v>
      </c>
    </row>
    <row r="166" spans="2:14">
      <c r="B166" s="400"/>
      <c r="C166" s="400"/>
      <c r="D166" s="400" t="s">
        <v>688</v>
      </c>
      <c r="E166" s="400" t="s">
        <v>754</v>
      </c>
      <c r="F166" s="400" t="s">
        <v>386</v>
      </c>
      <c r="G166" s="829" t="s">
        <v>1118</v>
      </c>
      <c r="H166" s="417">
        <v>1280.361189689087</v>
      </c>
      <c r="I166" s="417">
        <v>1243.611377159606</v>
      </c>
      <c r="J166" s="417">
        <v>1212.2803513247659</v>
      </c>
      <c r="K166" s="417">
        <v>1221.6149561496029</v>
      </c>
      <c r="L166" s="417">
        <v>1187.37108728423</v>
      </c>
      <c r="M166" s="417">
        <v>1216.249946219099</v>
      </c>
      <c r="N166" s="418">
        <f t="shared" si="54"/>
        <v>7361.4889078263914</v>
      </c>
    </row>
    <row r="167" spans="2:14">
      <c r="B167" s="400"/>
      <c r="C167" s="400"/>
      <c r="D167" s="400" t="s">
        <v>800</v>
      </c>
      <c r="E167" s="400" t="s">
        <v>826</v>
      </c>
      <c r="F167" s="400" t="s">
        <v>386</v>
      </c>
      <c r="G167" s="829" t="s">
        <v>1118</v>
      </c>
      <c r="H167" s="417">
        <v>133.9682433541156</v>
      </c>
      <c r="I167" s="417">
        <v>130.12299416364041</v>
      </c>
      <c r="J167" s="417">
        <v>126.84472977435888</v>
      </c>
      <c r="K167" s="417">
        <v>127.8214390192649</v>
      </c>
      <c r="L167" s="417">
        <v>124.2383946451563</v>
      </c>
      <c r="M167" s="417">
        <v>127.26008105109548</v>
      </c>
      <c r="N167" s="418">
        <f t="shared" si="54"/>
        <v>770.2558820076315</v>
      </c>
    </row>
    <row r="168" spans="2:14">
      <c r="B168" s="400"/>
      <c r="C168" s="400"/>
      <c r="D168" s="400" t="s">
        <v>690</v>
      </c>
      <c r="E168" s="400" t="s">
        <v>958</v>
      </c>
      <c r="F168" s="400" t="s">
        <v>386</v>
      </c>
      <c r="G168" s="829" t="s">
        <v>1124</v>
      </c>
      <c r="H168" s="417">
        <v>402.96167872786259</v>
      </c>
      <c r="I168" s="417">
        <v>356.66190839462024</v>
      </c>
      <c r="J168" s="417">
        <v>345.17444874166438</v>
      </c>
      <c r="K168" s="417">
        <v>333.2937719595036</v>
      </c>
      <c r="L168" s="417">
        <v>354.66345138018937</v>
      </c>
      <c r="M168" s="417">
        <v>346.68122671611712</v>
      </c>
      <c r="N168" s="418">
        <f t="shared" si="54"/>
        <v>2139.4364859199572</v>
      </c>
    </row>
    <row r="169" spans="2:14">
      <c r="B169" s="400"/>
      <c r="C169" s="400"/>
      <c r="D169" s="400" t="s">
        <v>579</v>
      </c>
      <c r="E169" s="400" t="s">
        <v>1015</v>
      </c>
      <c r="F169" s="400" t="s">
        <v>386</v>
      </c>
      <c r="G169" s="829" t="s">
        <v>1124</v>
      </c>
      <c r="H169" s="417">
        <v>455.80911200364761</v>
      </c>
      <c r="I169" s="417">
        <v>752.84835545038572</v>
      </c>
      <c r="J169" s="417">
        <v>831.8712554235575</v>
      </c>
      <c r="K169" s="417">
        <v>1201.7400249674481</v>
      </c>
      <c r="L169" s="417">
        <v>833.15688716672844</v>
      </c>
      <c r="M169" s="417">
        <v>240.54749048119629</v>
      </c>
      <c r="N169" s="418">
        <f t="shared" si="54"/>
        <v>4315.9731254929638</v>
      </c>
    </row>
    <row r="170" spans="2:14">
      <c r="B170" s="400"/>
      <c r="C170" s="400"/>
      <c r="D170" s="400" t="s">
        <v>581</v>
      </c>
      <c r="E170" s="400" t="s">
        <v>842</v>
      </c>
      <c r="F170" s="400" t="s">
        <v>386</v>
      </c>
      <c r="G170" s="829" t="s">
        <v>1124</v>
      </c>
      <c r="H170" s="417">
        <v>151.93637066788261</v>
      </c>
      <c r="I170" s="417">
        <v>235.2651110782455</v>
      </c>
      <c r="J170" s="417">
        <v>328.37023240403568</v>
      </c>
      <c r="K170" s="417">
        <v>415.98693171950168</v>
      </c>
      <c r="L170" s="417">
        <v>318.55998626963151</v>
      </c>
      <c r="M170" s="417">
        <v>120.27374524059812</v>
      </c>
      <c r="N170" s="418">
        <f t="shared" si="54"/>
        <v>1570.3923773798952</v>
      </c>
    </row>
    <row r="171" spans="2:14">
      <c r="B171" s="400"/>
      <c r="C171" s="400"/>
      <c r="D171" s="400" t="s">
        <v>582</v>
      </c>
      <c r="E171" s="400" t="s">
        <v>824</v>
      </c>
      <c r="F171" s="400" t="s">
        <v>386</v>
      </c>
      <c r="G171" s="829" t="s">
        <v>1124</v>
      </c>
      <c r="H171" s="417">
        <v>1917.304879245489</v>
      </c>
      <c r="I171" s="417">
        <v>1985.4664356014259</v>
      </c>
      <c r="J171" s="417">
        <v>2676.8324367504101</v>
      </c>
      <c r="K171" s="417">
        <v>3825.4410354217316</v>
      </c>
      <c r="L171" s="417">
        <v>2719.317893050109</v>
      </c>
      <c r="M171" s="417">
        <v>1492.984146137901</v>
      </c>
      <c r="N171" s="418">
        <f t="shared" si="54"/>
        <v>14617.346826207067</v>
      </c>
    </row>
    <row r="172" spans="2:14">
      <c r="B172" s="400"/>
      <c r="C172" s="400"/>
      <c r="D172" s="400" t="s">
        <v>482</v>
      </c>
      <c r="E172" s="400" t="s">
        <v>959</v>
      </c>
      <c r="F172" s="400" t="s">
        <v>386</v>
      </c>
      <c r="G172" s="829" t="s">
        <v>1124</v>
      </c>
      <c r="H172" s="417">
        <v>41.529274649221243</v>
      </c>
      <c r="I172" s="417">
        <v>62.109989324656773</v>
      </c>
      <c r="J172" s="417">
        <v>70.052316246194295</v>
      </c>
      <c r="K172" s="417">
        <v>93.36595578593257</v>
      </c>
      <c r="L172" s="417">
        <v>91.157165301771414</v>
      </c>
      <c r="M172" s="417">
        <v>82.748336725531544</v>
      </c>
      <c r="N172" s="418">
        <f t="shared" si="54"/>
        <v>440.96303803330784</v>
      </c>
    </row>
    <row r="173" spans="2:14">
      <c r="B173" s="400"/>
      <c r="C173" s="400"/>
      <c r="D173" s="400" t="s">
        <v>584</v>
      </c>
      <c r="E173" s="400" t="s">
        <v>952</v>
      </c>
      <c r="F173" s="400" t="s">
        <v>386</v>
      </c>
      <c r="G173" s="829" t="s">
        <v>1124</v>
      </c>
      <c r="H173" s="417">
        <v>506.45456889294189</v>
      </c>
      <c r="I173" s="417">
        <v>470.53022215649088</v>
      </c>
      <c r="J173" s="417">
        <v>525.39237184645731</v>
      </c>
      <c r="K173" s="417">
        <v>924.41540382111373</v>
      </c>
      <c r="L173" s="417">
        <v>686.12920119612909</v>
      </c>
      <c r="M173" s="417">
        <v>673.53297334734953</v>
      </c>
      <c r="N173" s="418">
        <f t="shared" si="54"/>
        <v>3786.4547412604825</v>
      </c>
    </row>
    <row r="174" spans="2:14">
      <c r="B174" s="400"/>
      <c r="C174" s="400"/>
      <c r="D174" s="400" t="s">
        <v>1273</v>
      </c>
      <c r="E174" s="400" t="s">
        <v>1507</v>
      </c>
      <c r="F174" s="400" t="s">
        <v>780</v>
      </c>
      <c r="G174" s="829" t="s">
        <v>1315</v>
      </c>
      <c r="H174" s="417">
        <v>70463.244367713662</v>
      </c>
      <c r="I174" s="417">
        <v>68440.759586398679</v>
      </c>
      <c r="J174" s="417">
        <v>66716.491663042136</v>
      </c>
      <c r="K174" s="417">
        <v>67230.211186990113</v>
      </c>
      <c r="L174" s="417">
        <v>65345.63820915512</v>
      </c>
      <c r="M174" s="417">
        <v>66934.953873028513</v>
      </c>
      <c r="N174" s="418">
        <f t="shared" si="54"/>
        <v>405131.29888632824</v>
      </c>
    </row>
    <row r="175" spans="2:14">
      <c r="B175" s="400"/>
      <c r="C175" s="400"/>
      <c r="D175" s="400" t="s">
        <v>586</v>
      </c>
      <c r="E175" s="400" t="s">
        <v>1016</v>
      </c>
      <c r="F175" s="400" t="s">
        <v>386</v>
      </c>
      <c r="G175" s="829" t="s">
        <v>1124</v>
      </c>
      <c r="H175" s="417">
        <v>412.83974479766141</v>
      </c>
      <c r="I175" s="417">
        <v>502.38511819648545</v>
      </c>
      <c r="J175" s="417">
        <v>469.3713677531465</v>
      </c>
      <c r="K175" s="417">
        <v>530.11021520941699</v>
      </c>
      <c r="L175" s="417">
        <v>380.91606153071751</v>
      </c>
      <c r="M175" s="417">
        <v>251.63777565103351</v>
      </c>
      <c r="N175" s="418">
        <f t="shared" si="54"/>
        <v>2547.2602831384611</v>
      </c>
    </row>
    <row r="176" spans="2:14">
      <c r="B176" s="400"/>
      <c r="C176" s="400"/>
      <c r="D176" s="400" t="s">
        <v>483</v>
      </c>
      <c r="E176" s="400" t="s">
        <v>925</v>
      </c>
      <c r="F176" s="400" t="s">
        <v>386</v>
      </c>
      <c r="G176" s="829" t="s">
        <v>1124</v>
      </c>
      <c r="H176" s="417">
        <v>23.301314121848321</v>
      </c>
      <c r="I176" s="417">
        <v>23.055980885668056</v>
      </c>
      <c r="J176" s="417">
        <v>15.519923873115189</v>
      </c>
      <c r="K176" s="417">
        <v>22.396064101666077</v>
      </c>
      <c r="L176" s="417">
        <v>35.862503069661983</v>
      </c>
      <c r="M176" s="417">
        <v>26.221768179758921</v>
      </c>
      <c r="N176" s="418">
        <f t="shared" si="54"/>
        <v>146.35755423171855</v>
      </c>
    </row>
    <row r="177" spans="2:14">
      <c r="B177" s="400"/>
      <c r="C177" s="400"/>
      <c r="D177" s="400" t="s">
        <v>490</v>
      </c>
      <c r="E177" s="400" t="s">
        <v>815</v>
      </c>
      <c r="F177" s="400" t="s">
        <v>386</v>
      </c>
      <c r="G177" s="829" t="s">
        <v>1124</v>
      </c>
      <c r="H177" s="417">
        <v>194.4785544548896</v>
      </c>
      <c r="I177" s="417">
        <v>307.72676529034499</v>
      </c>
      <c r="J177" s="417">
        <v>214.74370754041698</v>
      </c>
      <c r="K177" s="417">
        <v>226.69186834613231</v>
      </c>
      <c r="L177" s="417">
        <v>320.52035541590601</v>
      </c>
      <c r="M177" s="417">
        <v>208.79522173767839</v>
      </c>
      <c r="N177" s="418">
        <f t="shared" si="54"/>
        <v>1472.9564727853681</v>
      </c>
    </row>
    <row r="178" spans="2:14">
      <c r="B178" s="400"/>
      <c r="C178" s="400"/>
      <c r="D178" s="400" t="s">
        <v>484</v>
      </c>
      <c r="E178" s="400" t="s">
        <v>960</v>
      </c>
      <c r="F178" s="400" t="s">
        <v>386</v>
      </c>
      <c r="G178" s="829" t="s">
        <v>1124</v>
      </c>
      <c r="H178" s="417">
        <v>1128.508494123892</v>
      </c>
      <c r="I178" s="417">
        <v>1256.3028605154091</v>
      </c>
      <c r="J178" s="417">
        <v>941.86173149154013</v>
      </c>
      <c r="K178" s="417">
        <v>1131.3583976310679</v>
      </c>
      <c r="L178" s="417">
        <v>1339.9368160930551</v>
      </c>
      <c r="M178" s="417">
        <v>960.52495494719369</v>
      </c>
      <c r="N178" s="418">
        <f t="shared" si="54"/>
        <v>6758.4932548021579</v>
      </c>
    </row>
    <row r="179" spans="2:14">
      <c r="B179" s="400"/>
      <c r="C179" s="400"/>
      <c r="D179" s="400" t="s">
        <v>692</v>
      </c>
      <c r="E179" s="400" t="s">
        <v>826</v>
      </c>
      <c r="F179" s="400" t="s">
        <v>386</v>
      </c>
      <c r="G179" s="829" t="s">
        <v>1124</v>
      </c>
      <c r="H179" s="417">
        <v>75.968185333941292</v>
      </c>
      <c r="I179" s="417">
        <v>70.579533323473612</v>
      </c>
      <c r="J179" s="417">
        <v>49.245110408783006</v>
      </c>
      <c r="K179" s="417">
        <v>51.977357023941778</v>
      </c>
      <c r="L179" s="417">
        <v>73.513842985299533</v>
      </c>
      <c r="M179" s="417">
        <v>72.164247144358882</v>
      </c>
      <c r="N179" s="418">
        <f t="shared" si="54"/>
        <v>393.44827621979812</v>
      </c>
    </row>
    <row r="180" spans="2:14">
      <c r="B180" s="400"/>
      <c r="C180" s="400"/>
      <c r="D180" s="400" t="s">
        <v>587</v>
      </c>
      <c r="E180" s="400" t="s">
        <v>695</v>
      </c>
      <c r="F180" s="400" t="s">
        <v>386</v>
      </c>
      <c r="G180" s="829" t="s">
        <v>1124</v>
      </c>
      <c r="H180" s="417">
        <v>1025.953645899456</v>
      </c>
      <c r="I180" s="417">
        <v>1557.5063659076741</v>
      </c>
      <c r="J180" s="417">
        <v>1709.430798294112</v>
      </c>
      <c r="K180" s="417">
        <v>392.59922200282728</v>
      </c>
      <c r="L180" s="417">
        <v>1746.4969565184781</v>
      </c>
      <c r="M180" s="417">
        <v>521.41074036704129</v>
      </c>
      <c r="N180" s="418">
        <f t="shared" si="54"/>
        <v>6953.3977289895893</v>
      </c>
    </row>
    <row r="181" spans="2:14">
      <c r="B181" s="400"/>
      <c r="C181" s="400"/>
      <c r="D181" s="400" t="s">
        <v>1274</v>
      </c>
      <c r="E181" s="400" t="s">
        <v>1508</v>
      </c>
      <c r="F181" s="400" t="s">
        <v>386</v>
      </c>
      <c r="G181" s="829" t="s">
        <v>1278</v>
      </c>
      <c r="H181" s="417">
        <v>305.85452008360721</v>
      </c>
      <c r="I181" s="417">
        <v>274.49022141619997</v>
      </c>
      <c r="J181" s="417">
        <v>51.657328560474866</v>
      </c>
      <c r="K181" s="417">
        <v>0</v>
      </c>
      <c r="L181" s="417">
        <v>343.06460059806449</v>
      </c>
      <c r="M181" s="417">
        <v>336.76648667367482</v>
      </c>
      <c r="N181" s="418">
        <f t="shared" si="54"/>
        <v>1311.8331573320213</v>
      </c>
    </row>
    <row r="182" spans="2:14">
      <c r="B182" s="400"/>
      <c r="C182" s="400"/>
      <c r="D182" s="400" t="s">
        <v>588</v>
      </c>
      <c r="E182" s="400" t="s">
        <v>1017</v>
      </c>
      <c r="F182" s="400" t="s">
        <v>386</v>
      </c>
      <c r="G182" s="829" t="s">
        <v>1124</v>
      </c>
      <c r="H182" s="417">
        <v>468.67305805352828</v>
      </c>
      <c r="I182" s="417">
        <v>557.766525344304</v>
      </c>
      <c r="J182" s="417">
        <v>519.0876633842995</v>
      </c>
      <c r="K182" s="417">
        <v>649.63292503528783</v>
      </c>
      <c r="L182" s="417">
        <v>530.10832176699523</v>
      </c>
      <c r="M182" s="417">
        <v>325.79752110773211</v>
      </c>
      <c r="N182" s="418">
        <f t="shared" si="54"/>
        <v>3051.0660146921473</v>
      </c>
    </row>
    <row r="183" spans="2:14">
      <c r="B183" s="400"/>
      <c r="C183" s="400"/>
      <c r="D183" s="400" t="s">
        <v>589</v>
      </c>
      <c r="E183" s="400" t="s">
        <v>1018</v>
      </c>
      <c r="F183" s="400" t="s">
        <v>386</v>
      </c>
      <c r="G183" s="829" t="s">
        <v>1124</v>
      </c>
      <c r="H183" s="417">
        <v>288.98297701031271</v>
      </c>
      <c r="I183" s="417">
        <v>343.74799257016173</v>
      </c>
      <c r="J183" s="417">
        <v>319.76380497950328</v>
      </c>
      <c r="K183" s="417">
        <v>400.07438110918037</v>
      </c>
      <c r="L183" s="417">
        <v>326.56891105264089</v>
      </c>
      <c r="M183" s="417">
        <v>201.06841799996062</v>
      </c>
      <c r="N183" s="418">
        <f t="shared" si="54"/>
        <v>1880.2064847217598</v>
      </c>
    </row>
    <row r="184" spans="2:14">
      <c r="B184" s="400"/>
      <c r="C184" s="400"/>
      <c r="D184" s="400" t="s">
        <v>945</v>
      </c>
      <c r="E184" s="400" t="s">
        <v>1317</v>
      </c>
      <c r="F184" s="400" t="s">
        <v>775</v>
      </c>
      <c r="G184" s="829" t="s">
        <v>1125</v>
      </c>
      <c r="H184" s="417">
        <v>6451.1342087999974</v>
      </c>
      <c r="I184" s="417">
        <v>4247.0316900999997</v>
      </c>
      <c r="J184" s="417">
        <v>1676.1179722000011</v>
      </c>
      <c r="K184" s="417">
        <v>2053.0691911000008</v>
      </c>
      <c r="L184" s="417">
        <v>5773.6503758000026</v>
      </c>
      <c r="M184" s="417">
        <v>8001.5093339999976</v>
      </c>
      <c r="N184" s="418">
        <f t="shared" si="54"/>
        <v>28202.512772000002</v>
      </c>
    </row>
    <row r="185" spans="2:14">
      <c r="B185" s="400"/>
      <c r="C185" s="400"/>
      <c r="D185" s="400" t="s">
        <v>759</v>
      </c>
      <c r="E185" s="400" t="s">
        <v>827</v>
      </c>
      <c r="F185" s="400" t="s">
        <v>801</v>
      </c>
      <c r="G185" s="829" t="s">
        <v>1126</v>
      </c>
      <c r="H185" s="417">
        <v>763.81300550000026</v>
      </c>
      <c r="I185" s="417">
        <v>805.26888910000002</v>
      </c>
      <c r="J185" s="417">
        <v>711.43633009999985</v>
      </c>
      <c r="K185" s="417">
        <v>725.63678049999976</v>
      </c>
      <c r="L185" s="417">
        <v>715.46856959999991</v>
      </c>
      <c r="M185" s="417">
        <v>884.77583249999975</v>
      </c>
      <c r="N185" s="418">
        <f t="shared" si="54"/>
        <v>4606.3994072999994</v>
      </c>
    </row>
    <row r="186" spans="2:14">
      <c r="B186" s="400"/>
      <c r="C186" s="400"/>
      <c r="D186" s="400" t="s">
        <v>760</v>
      </c>
      <c r="E186" s="400" t="s">
        <v>1067</v>
      </c>
      <c r="F186" s="400" t="s">
        <v>801</v>
      </c>
      <c r="G186" s="829" t="s">
        <v>1126</v>
      </c>
      <c r="H186" s="417">
        <v>66.045421800000028</v>
      </c>
      <c r="I186" s="417">
        <v>64.782492399999995</v>
      </c>
      <c r="J186" s="417">
        <v>61.286925899999986</v>
      </c>
      <c r="K186" s="417">
        <v>19.232940299999999</v>
      </c>
      <c r="L186" s="417">
        <v>0</v>
      </c>
      <c r="M186" s="417">
        <v>30.029577599999996</v>
      </c>
      <c r="N186" s="418">
        <f t="shared" si="54"/>
        <v>241.37735799999996</v>
      </c>
    </row>
    <row r="187" spans="2:14">
      <c r="B187" s="400"/>
      <c r="C187" s="400"/>
      <c r="D187" s="400" t="s">
        <v>792</v>
      </c>
      <c r="E187" s="400" t="s">
        <v>961</v>
      </c>
      <c r="F187" s="400" t="s">
        <v>780</v>
      </c>
      <c r="G187" s="829" t="s">
        <v>1121</v>
      </c>
      <c r="H187" s="417">
        <v>55489.80493957446</v>
      </c>
      <c r="I187" s="417">
        <v>53897.098174288963</v>
      </c>
      <c r="J187" s="417">
        <v>52539.23718464571</v>
      </c>
      <c r="K187" s="417">
        <v>52943.791309754728</v>
      </c>
      <c r="L187" s="417">
        <v>51459.690089709708</v>
      </c>
      <c r="M187" s="417">
        <v>52711.276175009938</v>
      </c>
      <c r="N187" s="418">
        <f t="shared" si="54"/>
        <v>319040.89787298354</v>
      </c>
    </row>
    <row r="188" spans="2:14">
      <c r="B188" s="400"/>
      <c r="C188" s="400"/>
      <c r="D188" s="400" t="s">
        <v>1362</v>
      </c>
      <c r="E188" s="400" t="s">
        <v>1718</v>
      </c>
      <c r="F188" s="400" t="s">
        <v>1325</v>
      </c>
      <c r="G188" s="829" t="s">
        <v>1322</v>
      </c>
      <c r="H188" s="417">
        <v>5412.4579579950068</v>
      </c>
      <c r="I188" s="417">
        <v>4679.6369367200105</v>
      </c>
      <c r="J188" s="417">
        <v>4470.0049414238238</v>
      </c>
      <c r="K188" s="417">
        <v>4794.3544352722347</v>
      </c>
      <c r="L188" s="417">
        <v>4365.9054528491797</v>
      </c>
      <c r="M188" s="417">
        <v>4969.9203250723667</v>
      </c>
      <c r="N188" s="418">
        <f t="shared" si="54"/>
        <v>28692.280049332621</v>
      </c>
    </row>
    <row r="189" spans="2:14">
      <c r="B189" s="400"/>
      <c r="C189" s="400"/>
      <c r="D189" s="400" t="s">
        <v>1144</v>
      </c>
      <c r="E189" s="400" t="s">
        <v>578</v>
      </c>
      <c r="F189" s="400" t="s">
        <v>386</v>
      </c>
      <c r="G189" s="829" t="s">
        <v>1143</v>
      </c>
      <c r="H189" s="417">
        <v>0</v>
      </c>
      <c r="I189" s="417">
        <v>0</v>
      </c>
      <c r="J189" s="417">
        <v>0</v>
      </c>
      <c r="K189" s="417">
        <v>0</v>
      </c>
      <c r="L189" s="417">
        <v>0</v>
      </c>
      <c r="M189" s="417">
        <v>0</v>
      </c>
      <c r="N189" s="418">
        <f t="shared" si="54"/>
        <v>0</v>
      </c>
    </row>
    <row r="190" spans="2:14">
      <c r="B190" s="400"/>
      <c r="C190" s="400"/>
      <c r="D190" s="400" t="s">
        <v>1145</v>
      </c>
      <c r="E190" s="400" t="s">
        <v>903</v>
      </c>
      <c r="F190" s="400" t="s">
        <v>386</v>
      </c>
      <c r="G190" s="829" t="s">
        <v>1143</v>
      </c>
      <c r="H190" s="417">
        <v>0</v>
      </c>
      <c r="I190" s="417">
        <v>269.48549087144482</v>
      </c>
      <c r="J190" s="417">
        <v>0</v>
      </c>
      <c r="K190" s="417">
        <v>0</v>
      </c>
      <c r="L190" s="417">
        <v>0</v>
      </c>
      <c r="M190" s="417">
        <v>0</v>
      </c>
      <c r="N190" s="418">
        <f t="shared" si="54"/>
        <v>269.48549087144482</v>
      </c>
    </row>
    <row r="191" spans="2:14">
      <c r="B191" s="400"/>
      <c r="C191" s="400"/>
      <c r="D191" s="400" t="s">
        <v>1146</v>
      </c>
      <c r="E191" s="400" t="s">
        <v>1127</v>
      </c>
      <c r="F191" s="400" t="s">
        <v>386</v>
      </c>
      <c r="G191" s="829" t="s">
        <v>1143</v>
      </c>
      <c r="H191" s="417">
        <v>0</v>
      </c>
      <c r="I191" s="417">
        <v>0</v>
      </c>
      <c r="J191" s="417">
        <v>0</v>
      </c>
      <c r="K191" s="417">
        <v>0</v>
      </c>
      <c r="L191" s="417">
        <v>0</v>
      </c>
      <c r="M191" s="417">
        <v>0</v>
      </c>
      <c r="N191" s="418">
        <f t="shared" si="54"/>
        <v>0</v>
      </c>
    </row>
    <row r="192" spans="2:14">
      <c r="B192" s="400"/>
      <c r="C192" s="400"/>
      <c r="D192" s="400" t="s">
        <v>1148</v>
      </c>
      <c r="E192" s="400" t="s">
        <v>1128</v>
      </c>
      <c r="F192" s="400" t="s">
        <v>386</v>
      </c>
      <c r="G192" s="829" t="s">
        <v>1143</v>
      </c>
      <c r="H192" s="417">
        <v>0</v>
      </c>
      <c r="I192" s="417">
        <v>0</v>
      </c>
      <c r="J192" s="417">
        <v>0</v>
      </c>
      <c r="K192" s="417">
        <v>0</v>
      </c>
      <c r="L192" s="417">
        <v>0</v>
      </c>
      <c r="M192" s="417">
        <v>0</v>
      </c>
      <c r="N192" s="418">
        <f t="shared" si="54"/>
        <v>0</v>
      </c>
    </row>
    <row r="193" spans="2:14">
      <c r="B193" s="400"/>
      <c r="C193" s="400"/>
      <c r="D193" s="400" t="s">
        <v>1151</v>
      </c>
      <c r="E193" s="400" t="s">
        <v>1267</v>
      </c>
      <c r="F193" s="400" t="s">
        <v>386</v>
      </c>
      <c r="G193" s="829" t="s">
        <v>1143</v>
      </c>
      <c r="H193" s="417">
        <v>4300.7681595111299</v>
      </c>
      <c r="I193" s="417">
        <v>5245.9842222974567</v>
      </c>
      <c r="J193" s="417">
        <v>5343.1570260638946</v>
      </c>
      <c r="K193" s="417">
        <v>0</v>
      </c>
      <c r="L193" s="417">
        <v>4601.9665708797493</v>
      </c>
      <c r="M193" s="417">
        <v>0</v>
      </c>
      <c r="N193" s="418">
        <f t="shared" si="54"/>
        <v>19491.875978752229</v>
      </c>
    </row>
    <row r="194" spans="2:14">
      <c r="B194" s="400"/>
      <c r="C194" s="400"/>
      <c r="D194" s="400" t="s">
        <v>1152</v>
      </c>
      <c r="E194" s="400" t="s">
        <v>1266</v>
      </c>
      <c r="F194" s="400" t="s">
        <v>386</v>
      </c>
      <c r="G194" s="829" t="s">
        <v>1143</v>
      </c>
      <c r="H194" s="417">
        <v>778.19519000647506</v>
      </c>
      <c r="I194" s="417">
        <v>875.18621321107355</v>
      </c>
      <c r="J194" s="417">
        <v>1069.924037238749</v>
      </c>
      <c r="K194" s="417">
        <v>0</v>
      </c>
      <c r="L194" s="417">
        <v>932.31889314912155</v>
      </c>
      <c r="M194" s="417">
        <v>0</v>
      </c>
      <c r="N194" s="418">
        <f t="shared" si="54"/>
        <v>3655.6243336054195</v>
      </c>
    </row>
    <row r="195" spans="2:14">
      <c r="B195" s="400"/>
      <c r="C195" s="400"/>
      <c r="D195" s="400" t="s">
        <v>1153</v>
      </c>
      <c r="E195" s="400" t="s">
        <v>814</v>
      </c>
      <c r="F195" s="400" t="s">
        <v>386</v>
      </c>
      <c r="G195" s="829" t="s">
        <v>1143</v>
      </c>
      <c r="H195" s="417">
        <v>0</v>
      </c>
      <c r="I195" s="417">
        <v>0</v>
      </c>
      <c r="J195" s="417">
        <v>0</v>
      </c>
      <c r="K195" s="417">
        <v>0</v>
      </c>
      <c r="L195" s="417">
        <v>0</v>
      </c>
      <c r="M195" s="417">
        <v>0</v>
      </c>
      <c r="N195" s="418">
        <f t="shared" si="54"/>
        <v>0</v>
      </c>
    </row>
    <row r="196" spans="2:14">
      <c r="B196" s="400"/>
      <c r="C196" s="400"/>
      <c r="D196" s="400" t="s">
        <v>1154</v>
      </c>
      <c r="E196" s="400" t="s">
        <v>1268</v>
      </c>
      <c r="F196" s="400" t="s">
        <v>386</v>
      </c>
      <c r="G196" s="829" t="s">
        <v>1143</v>
      </c>
      <c r="H196" s="417">
        <v>2505.168320767641</v>
      </c>
      <c r="I196" s="417">
        <v>8555.0949482998349</v>
      </c>
      <c r="J196" s="417">
        <v>3820.8397172660211</v>
      </c>
      <c r="K196" s="417">
        <v>0</v>
      </c>
      <c r="L196" s="417">
        <v>2857.7281229818773</v>
      </c>
      <c r="M196" s="417">
        <v>0</v>
      </c>
      <c r="N196" s="418">
        <f t="shared" si="54"/>
        <v>17738.831109315375</v>
      </c>
    </row>
    <row r="197" spans="2:14">
      <c r="B197" s="400"/>
      <c r="C197" s="400"/>
      <c r="D197" s="400" t="s">
        <v>1156</v>
      </c>
      <c r="E197" s="400" t="s">
        <v>958</v>
      </c>
      <c r="F197" s="400" t="s">
        <v>386</v>
      </c>
      <c r="G197" s="829" t="s">
        <v>1143</v>
      </c>
      <c r="H197" s="417">
        <v>0</v>
      </c>
      <c r="I197" s="417">
        <v>0</v>
      </c>
      <c r="J197" s="417">
        <v>0</v>
      </c>
      <c r="K197" s="417">
        <v>0</v>
      </c>
      <c r="L197" s="417">
        <v>0</v>
      </c>
      <c r="M197" s="417">
        <v>0</v>
      </c>
      <c r="N197" s="418">
        <f t="shared" si="54"/>
        <v>0</v>
      </c>
    </row>
    <row r="198" spans="2:14">
      <c r="B198" s="400"/>
      <c r="C198" s="400"/>
      <c r="D198" s="400" t="s">
        <v>1157</v>
      </c>
      <c r="E198" s="400" t="s">
        <v>1360</v>
      </c>
      <c r="F198" s="400" t="s">
        <v>386</v>
      </c>
      <c r="G198" s="829" t="s">
        <v>1143</v>
      </c>
      <c r="H198" s="417">
        <v>0</v>
      </c>
      <c r="I198" s="417">
        <v>226.71001612994559</v>
      </c>
      <c r="J198" s="417">
        <v>0</v>
      </c>
      <c r="K198" s="417">
        <v>0</v>
      </c>
      <c r="L198" s="417">
        <v>0</v>
      </c>
      <c r="M198" s="417">
        <v>0</v>
      </c>
      <c r="N198" s="418">
        <f t="shared" si="54"/>
        <v>226.71001612994559</v>
      </c>
    </row>
    <row r="199" spans="2:14">
      <c r="B199" s="400"/>
      <c r="C199" s="400"/>
      <c r="D199" s="400" t="s">
        <v>1158</v>
      </c>
      <c r="E199" s="400" t="s">
        <v>1359</v>
      </c>
      <c r="F199" s="400" t="s">
        <v>386</v>
      </c>
      <c r="G199" s="829" t="s">
        <v>1143</v>
      </c>
      <c r="H199" s="417">
        <v>0</v>
      </c>
      <c r="I199" s="417">
        <v>2994.2832319049421</v>
      </c>
      <c r="J199" s="417">
        <v>0</v>
      </c>
      <c r="K199" s="417">
        <v>0</v>
      </c>
      <c r="L199" s="417">
        <v>0</v>
      </c>
      <c r="M199" s="417">
        <v>0</v>
      </c>
      <c r="N199" s="418">
        <f t="shared" si="54"/>
        <v>2994.2832319049421</v>
      </c>
    </row>
    <row r="200" spans="2:14">
      <c r="B200" s="400"/>
      <c r="C200" s="400"/>
      <c r="D200" s="400" t="s">
        <v>1159</v>
      </c>
      <c r="E200" s="400" t="s">
        <v>1265</v>
      </c>
      <c r="F200" s="400" t="s">
        <v>801</v>
      </c>
      <c r="G200" s="829" t="s">
        <v>1143</v>
      </c>
      <c r="H200" s="417">
        <v>66.089461499999985</v>
      </c>
      <c r="I200" s="417">
        <v>72.312180199999972</v>
      </c>
      <c r="J200" s="417">
        <v>65.476149400000025</v>
      </c>
      <c r="K200" s="417">
        <v>0</v>
      </c>
      <c r="L200" s="417">
        <v>64.101020600000012</v>
      </c>
      <c r="M200" s="417">
        <v>0</v>
      </c>
      <c r="N200" s="418">
        <f t="shared" si="54"/>
        <v>267.97881169999999</v>
      </c>
    </row>
    <row r="201" spans="2:14">
      <c r="B201" s="400"/>
      <c r="C201" s="400"/>
      <c r="D201" s="400" t="s">
        <v>1313</v>
      </c>
      <c r="E201" s="400" t="s">
        <v>578</v>
      </c>
      <c r="F201" s="400" t="s">
        <v>386</v>
      </c>
      <c r="G201" s="829" t="s">
        <v>1293</v>
      </c>
      <c r="H201" s="417">
        <v>512.79311520000022</v>
      </c>
      <c r="I201" s="417">
        <v>514.89976519999993</v>
      </c>
      <c r="J201" s="417">
        <v>0</v>
      </c>
      <c r="K201" s="417">
        <v>0</v>
      </c>
      <c r="L201" s="417">
        <v>0</v>
      </c>
      <c r="M201" s="417">
        <v>516.6636132000001</v>
      </c>
      <c r="N201" s="418">
        <f t="shared" si="54"/>
        <v>1544.3564936000002</v>
      </c>
    </row>
    <row r="202" spans="2:14">
      <c r="B202" s="400"/>
      <c r="C202" s="400"/>
      <c r="D202" s="400" t="s">
        <v>1312</v>
      </c>
      <c r="E202" s="400" t="s">
        <v>822</v>
      </c>
      <c r="F202" s="400" t="s">
        <v>386</v>
      </c>
      <c r="G202" s="829" t="s">
        <v>1293</v>
      </c>
      <c r="H202" s="417">
        <v>0</v>
      </c>
      <c r="I202" s="417">
        <v>0</v>
      </c>
      <c r="J202" s="417">
        <v>823.9966222000005</v>
      </c>
      <c r="K202" s="417">
        <v>996.1059033000007</v>
      </c>
      <c r="L202" s="417">
        <v>871.37528070000042</v>
      </c>
      <c r="M202" s="417">
        <v>4313.8618717999998</v>
      </c>
      <c r="N202" s="418">
        <f t="shared" si="54"/>
        <v>7005.3396780000021</v>
      </c>
    </row>
    <row r="203" spans="2:14">
      <c r="B203" s="400"/>
      <c r="C203" s="400"/>
      <c r="D203" s="400" t="s">
        <v>1309</v>
      </c>
      <c r="E203" s="400" t="s">
        <v>1319</v>
      </c>
      <c r="F203" s="400" t="s">
        <v>386</v>
      </c>
      <c r="G203" s="829" t="s">
        <v>1293</v>
      </c>
      <c r="H203" s="417">
        <v>0</v>
      </c>
      <c r="I203" s="417">
        <v>4277.5474741499174</v>
      </c>
      <c r="J203" s="417">
        <v>4169.7807289401335</v>
      </c>
      <c r="K203" s="417">
        <v>4201.888199186882</v>
      </c>
      <c r="L203" s="417">
        <v>2479.0501495598241</v>
      </c>
      <c r="M203" s="417">
        <v>4183.4346170642821</v>
      </c>
      <c r="N203" s="418">
        <f t="shared" si="54"/>
        <v>19311.70116890104</v>
      </c>
    </row>
    <row r="204" spans="2:14">
      <c r="B204" s="400"/>
      <c r="C204" s="400"/>
      <c r="D204" s="400" t="s">
        <v>1308</v>
      </c>
      <c r="E204" s="400" t="s">
        <v>1715</v>
      </c>
      <c r="F204" s="400" t="s">
        <v>801</v>
      </c>
      <c r="G204" s="829" t="s">
        <v>1293</v>
      </c>
      <c r="H204" s="417">
        <v>708.26607659999991</v>
      </c>
      <c r="I204" s="417">
        <v>732.39172789999998</v>
      </c>
      <c r="J204" s="417">
        <v>668.45005070000002</v>
      </c>
      <c r="K204" s="417">
        <v>726.46562309999979</v>
      </c>
      <c r="L204" s="417">
        <v>681.45378629999982</v>
      </c>
      <c r="M204" s="417">
        <v>838.70358700000008</v>
      </c>
      <c r="N204" s="418">
        <f t="shared" si="54"/>
        <v>4355.7308515999994</v>
      </c>
    </row>
    <row r="205" spans="2:14">
      <c r="B205" s="400"/>
      <c r="C205" s="400"/>
      <c r="D205" s="400" t="s">
        <v>1307</v>
      </c>
      <c r="E205" s="400" t="s">
        <v>1509</v>
      </c>
      <c r="F205" s="400" t="s">
        <v>386</v>
      </c>
      <c r="G205" s="829" t="s">
        <v>1293</v>
      </c>
      <c r="H205" s="417">
        <v>0</v>
      </c>
      <c r="I205" s="417">
        <v>0</v>
      </c>
      <c r="J205" s="417">
        <v>4553.4005560026271</v>
      </c>
      <c r="K205" s="417">
        <v>17219.337840267861</v>
      </c>
      <c r="L205" s="417">
        <v>6342.6110086761237</v>
      </c>
      <c r="M205" s="417">
        <v>0</v>
      </c>
      <c r="N205" s="418">
        <f t="shared" si="54"/>
        <v>28115.34940494661</v>
      </c>
    </row>
    <row r="206" spans="2:14">
      <c r="B206" s="400"/>
      <c r="C206" s="400"/>
      <c r="D206" s="400" t="s">
        <v>1290</v>
      </c>
      <c r="E206" s="400" t="s">
        <v>689</v>
      </c>
      <c r="F206" s="400" t="s">
        <v>386</v>
      </c>
      <c r="G206" s="829" t="s">
        <v>1293</v>
      </c>
      <c r="H206" s="417">
        <v>2201.9763864910519</v>
      </c>
      <c r="I206" s="417">
        <v>2138.7737370749592</v>
      </c>
      <c r="J206" s="417">
        <v>2084.8903644700667</v>
      </c>
      <c r="K206" s="417">
        <v>2100.944099593441</v>
      </c>
      <c r="L206" s="417">
        <v>2042.051194036098</v>
      </c>
      <c r="M206" s="417">
        <v>2091.717308532141</v>
      </c>
      <c r="N206" s="418">
        <f t="shared" si="54"/>
        <v>12660.353090197757</v>
      </c>
    </row>
    <row r="207" spans="2:14">
      <c r="B207" s="400"/>
      <c r="C207" s="400"/>
      <c r="D207" s="400" t="s">
        <v>1306</v>
      </c>
      <c r="E207" s="400" t="s">
        <v>958</v>
      </c>
      <c r="F207" s="400" t="s">
        <v>386</v>
      </c>
      <c r="G207" s="829" t="s">
        <v>1293</v>
      </c>
      <c r="H207" s="417">
        <v>2761.2783886597781</v>
      </c>
      <c r="I207" s="417">
        <v>2814.6262379906466</v>
      </c>
      <c r="J207" s="417">
        <v>2839.620676408234</v>
      </c>
      <c r="K207" s="417">
        <v>2991.7443978210622</v>
      </c>
      <c r="L207" s="417">
        <v>0</v>
      </c>
      <c r="M207" s="417">
        <v>2568.6288548774719</v>
      </c>
      <c r="N207" s="418">
        <f t="shared" si="54"/>
        <v>13975.898555757194</v>
      </c>
    </row>
    <row r="208" spans="2:14">
      <c r="B208" s="400"/>
      <c r="C208" s="400"/>
      <c r="D208" s="400" t="s">
        <v>1305</v>
      </c>
      <c r="E208" s="400" t="s">
        <v>1360</v>
      </c>
      <c r="F208" s="400" t="s">
        <v>386</v>
      </c>
      <c r="G208" s="829" t="s">
        <v>1293</v>
      </c>
      <c r="H208" s="417">
        <v>691.42058535819069</v>
      </c>
      <c r="I208" s="417">
        <v>692.96269081228593</v>
      </c>
      <c r="J208" s="417">
        <v>1125.8407968138361</v>
      </c>
      <c r="K208" s="417">
        <v>0</v>
      </c>
      <c r="L208" s="417">
        <v>0</v>
      </c>
      <c r="M208" s="417">
        <v>225.90546932147129</v>
      </c>
      <c r="N208" s="418">
        <f t="shared" si="54"/>
        <v>2736.1295423057836</v>
      </c>
    </row>
    <row r="209" spans="2:14">
      <c r="B209" s="400"/>
      <c r="C209" s="400"/>
      <c r="D209" s="400" t="s">
        <v>1304</v>
      </c>
      <c r="E209" s="400" t="s">
        <v>1359</v>
      </c>
      <c r="F209" s="400" t="s">
        <v>386</v>
      </c>
      <c r="G209" s="829" t="s">
        <v>1293</v>
      </c>
      <c r="H209" s="417">
        <v>4245.4104731547459</v>
      </c>
      <c r="I209" s="417">
        <v>1646.8557775477179</v>
      </c>
      <c r="J209" s="417">
        <v>4040.5175263429937</v>
      </c>
      <c r="K209" s="417">
        <v>563.05301869104278</v>
      </c>
      <c r="L209" s="417">
        <v>0</v>
      </c>
      <c r="M209" s="417">
        <v>3965.8960169769416</v>
      </c>
      <c r="N209" s="418">
        <f t="shared" si="54"/>
        <v>14461.732812713442</v>
      </c>
    </row>
    <row r="210" spans="2:14">
      <c r="B210" s="400"/>
      <c r="C210" s="400"/>
      <c r="D210" s="400" t="s">
        <v>1291</v>
      </c>
      <c r="E210" s="400" t="s">
        <v>1358</v>
      </c>
      <c r="F210" s="400" t="s">
        <v>387</v>
      </c>
      <c r="G210" s="829" t="s">
        <v>1293</v>
      </c>
      <c r="H210" s="417">
        <v>0</v>
      </c>
      <c r="I210" s="417">
        <v>0</v>
      </c>
      <c r="J210" s="417">
        <v>0</v>
      </c>
      <c r="K210" s="417">
        <v>0</v>
      </c>
      <c r="L210" s="417">
        <v>0</v>
      </c>
      <c r="M210" s="417">
        <v>0</v>
      </c>
      <c r="N210" s="418">
        <f t="shared" si="54"/>
        <v>0</v>
      </c>
    </row>
    <row r="211" spans="2:14">
      <c r="B211" s="400"/>
      <c r="C211" s="400"/>
      <c r="D211" s="400" t="s">
        <v>1303</v>
      </c>
      <c r="E211" s="400" t="s">
        <v>1510</v>
      </c>
      <c r="F211" s="400" t="s">
        <v>387</v>
      </c>
      <c r="G211" s="829" t="s">
        <v>1293</v>
      </c>
      <c r="H211" s="417">
        <v>11009.881932455261</v>
      </c>
      <c r="I211" s="417">
        <v>10693.868685374789</v>
      </c>
      <c r="J211" s="417">
        <v>10424.45182235034</v>
      </c>
      <c r="K211" s="417">
        <v>12605.66459756065</v>
      </c>
      <c r="L211" s="417">
        <v>12252.3071642166</v>
      </c>
      <c r="M211" s="417">
        <v>14642.021159724991</v>
      </c>
      <c r="N211" s="418">
        <f t="shared" si="54"/>
        <v>71628.195361682621</v>
      </c>
    </row>
    <row r="212" spans="2:14">
      <c r="B212" s="400"/>
      <c r="C212" s="400"/>
      <c r="D212" s="400" t="s">
        <v>1302</v>
      </c>
      <c r="E212" s="400" t="s">
        <v>1320</v>
      </c>
      <c r="F212" s="400" t="s">
        <v>801</v>
      </c>
      <c r="G212" s="829" t="s">
        <v>1293</v>
      </c>
      <c r="H212" s="417">
        <v>0</v>
      </c>
      <c r="I212" s="417">
        <v>0</v>
      </c>
      <c r="J212" s="417">
        <v>0</v>
      </c>
      <c r="K212" s="417">
        <v>0</v>
      </c>
      <c r="L212" s="417">
        <v>0</v>
      </c>
      <c r="M212" s="417">
        <v>0</v>
      </c>
      <c r="N212" s="418">
        <f t="shared" ref="N212:N225" si="55">SUM(H212:M212)</f>
        <v>0</v>
      </c>
    </row>
    <row r="213" spans="2:14">
      <c r="B213" s="400"/>
      <c r="C213" s="400"/>
      <c r="D213" s="400" t="s">
        <v>1292</v>
      </c>
      <c r="E213" s="400" t="s">
        <v>1361</v>
      </c>
      <c r="F213" s="400" t="s">
        <v>386</v>
      </c>
      <c r="G213" s="829" t="s">
        <v>1293</v>
      </c>
      <c r="H213" s="417">
        <v>0</v>
      </c>
      <c r="I213" s="417">
        <v>0</v>
      </c>
      <c r="J213" s="417">
        <v>0</v>
      </c>
      <c r="K213" s="417">
        <v>0</v>
      </c>
      <c r="L213" s="417">
        <v>0</v>
      </c>
      <c r="M213" s="417">
        <v>0</v>
      </c>
      <c r="N213" s="418">
        <f t="shared" si="55"/>
        <v>0</v>
      </c>
    </row>
    <row r="214" spans="2:14">
      <c r="B214" s="400"/>
      <c r="C214" s="400"/>
      <c r="D214" s="400" t="s">
        <v>1593</v>
      </c>
      <c r="E214" s="400" t="s">
        <v>838</v>
      </c>
      <c r="F214" s="400" t="s">
        <v>386</v>
      </c>
      <c r="G214" s="829" t="s">
        <v>1585</v>
      </c>
      <c r="H214" s="417">
        <v>2170.267926525582</v>
      </c>
      <c r="I214" s="417">
        <v>1964.2498001296431</v>
      </c>
      <c r="J214" s="417">
        <v>1914.7633107293098</v>
      </c>
      <c r="K214" s="417">
        <v>2000.0987828129557</v>
      </c>
      <c r="L214" s="417">
        <v>1966.9037100955709</v>
      </c>
      <c r="M214" s="417">
        <v>1944.4604100114798</v>
      </c>
      <c r="N214" s="418">
        <f t="shared" si="55"/>
        <v>11960.743940304541</v>
      </c>
    </row>
    <row r="215" spans="2:14">
      <c r="B215" s="400"/>
      <c r="C215" s="400"/>
      <c r="D215" s="400" t="s">
        <v>1594</v>
      </c>
      <c r="E215" s="400" t="s">
        <v>1595</v>
      </c>
      <c r="F215" s="400" t="s">
        <v>801</v>
      </c>
      <c r="G215" s="829" t="s">
        <v>1585</v>
      </c>
      <c r="H215" s="417">
        <v>573.36994450000032</v>
      </c>
      <c r="I215" s="417">
        <v>670.61392330000001</v>
      </c>
      <c r="J215" s="417">
        <v>1201.6492732000011</v>
      </c>
      <c r="K215" s="417">
        <v>1298.4650481000001</v>
      </c>
      <c r="L215" s="417">
        <v>1238.5332475</v>
      </c>
      <c r="M215" s="417">
        <v>578.07341160000021</v>
      </c>
      <c r="N215" s="418">
        <f t="shared" si="55"/>
        <v>5560.7048482000009</v>
      </c>
    </row>
    <row r="216" spans="2:14">
      <c r="B216" s="400"/>
      <c r="C216" s="400"/>
      <c r="D216" s="400" t="s">
        <v>1596</v>
      </c>
      <c r="E216" s="400" t="s">
        <v>1597</v>
      </c>
      <c r="F216" s="400" t="s">
        <v>386</v>
      </c>
      <c r="G216" s="829" t="s">
        <v>1585</v>
      </c>
      <c r="H216" s="417">
        <v>968.86961005606236</v>
      </c>
      <c r="I216" s="417">
        <v>1403.035571521172</v>
      </c>
      <c r="J216" s="417">
        <v>2393.4541384116364</v>
      </c>
      <c r="K216" s="417">
        <v>2678.7037269816365</v>
      </c>
      <c r="L216" s="417">
        <v>2634.2460403065679</v>
      </c>
      <c r="M216" s="417">
        <v>868.06268304083846</v>
      </c>
      <c r="N216" s="418">
        <f t="shared" si="55"/>
        <v>10946.371770317914</v>
      </c>
    </row>
    <row r="217" spans="2:14">
      <c r="B217" s="400"/>
      <c r="C217" s="400"/>
      <c r="D217" s="400" t="s">
        <v>1605</v>
      </c>
      <c r="E217" s="400" t="s">
        <v>1717</v>
      </c>
      <c r="F217" s="400" t="s">
        <v>386</v>
      </c>
      <c r="G217" s="829" t="s">
        <v>1585</v>
      </c>
      <c r="H217" s="417">
        <v>387.54784402242501</v>
      </c>
      <c r="I217" s="417">
        <v>350.7588928802931</v>
      </c>
      <c r="J217" s="417">
        <v>341.92201977309122</v>
      </c>
      <c r="K217" s="417">
        <v>357.16049693088542</v>
      </c>
      <c r="L217" s="417">
        <v>351.23280537420891</v>
      </c>
      <c r="M217" s="417">
        <v>347.22507321633532</v>
      </c>
      <c r="N217" s="418">
        <f t="shared" si="55"/>
        <v>2135.8471321972388</v>
      </c>
    </row>
    <row r="218" spans="2:14">
      <c r="B218" s="400"/>
      <c r="C218" s="400"/>
      <c r="D218" s="400" t="s">
        <v>1607</v>
      </c>
      <c r="E218" s="400" t="s">
        <v>1608</v>
      </c>
      <c r="F218" s="400" t="s">
        <v>386</v>
      </c>
      <c r="G218" s="829" t="s">
        <v>1585</v>
      </c>
      <c r="H218" s="417">
        <v>15265.509576043321</v>
      </c>
      <c r="I218" s="417">
        <v>4766.8133542431842</v>
      </c>
      <c r="J218" s="417">
        <v>6578.5796604342731</v>
      </c>
      <c r="K218" s="417">
        <v>5053.8210315720225</v>
      </c>
      <c r="L218" s="417">
        <v>8566.5681230769587</v>
      </c>
      <c r="M218" s="417">
        <v>12121.627305982271</v>
      </c>
      <c r="N218" s="418">
        <f t="shared" si="55"/>
        <v>52352.91905135203</v>
      </c>
    </row>
    <row r="219" spans="2:14">
      <c r="B219" s="400"/>
      <c r="C219" s="400"/>
      <c r="D219" s="400" t="s">
        <v>1311</v>
      </c>
      <c r="E219" s="400" t="s">
        <v>1716</v>
      </c>
      <c r="F219" s="400" t="s">
        <v>386</v>
      </c>
      <c r="G219" s="829" t="s">
        <v>1293</v>
      </c>
      <c r="H219" s="417">
        <v>911.61822400729511</v>
      </c>
      <c r="I219" s="417">
        <v>936.78289683883179</v>
      </c>
      <c r="J219" s="417">
        <v>1121.6710160848961</v>
      </c>
      <c r="K219" s="417">
        <v>1680.7552796747527</v>
      </c>
      <c r="L219" s="417">
        <v>1482.5291668702059</v>
      </c>
      <c r="M219" s="417">
        <v>1050.042088883135</v>
      </c>
      <c r="N219" s="418">
        <f t="shared" si="55"/>
        <v>7183.398672359117</v>
      </c>
    </row>
    <row r="220" spans="2:14">
      <c r="B220" s="400"/>
      <c r="C220" s="400"/>
      <c r="D220" s="400" t="s">
        <v>1149</v>
      </c>
      <c r="E220" s="400" t="s">
        <v>1715</v>
      </c>
      <c r="F220" s="400" t="s">
        <v>801</v>
      </c>
      <c r="G220" s="829" t="s">
        <v>1143</v>
      </c>
      <c r="H220" s="417">
        <v>0</v>
      </c>
      <c r="I220" s="417">
        <v>0</v>
      </c>
      <c r="J220" s="417">
        <v>0</v>
      </c>
      <c r="K220" s="417">
        <v>0</v>
      </c>
      <c r="L220" s="417">
        <v>0</v>
      </c>
      <c r="M220" s="417">
        <v>0</v>
      </c>
      <c r="N220" s="418">
        <f t="shared" si="55"/>
        <v>0</v>
      </c>
    </row>
    <row r="221" spans="2:14">
      <c r="B221" s="400"/>
      <c r="C221" s="400"/>
      <c r="D221" s="400" t="s">
        <v>1588</v>
      </c>
      <c r="E221" s="400" t="s">
        <v>815</v>
      </c>
      <c r="F221" s="400" t="s">
        <v>386</v>
      </c>
      <c r="G221" s="829" t="s">
        <v>1585</v>
      </c>
      <c r="H221" s="417">
        <v>127.8907885</v>
      </c>
      <c r="I221" s="417">
        <v>115.75043599999989</v>
      </c>
      <c r="J221" s="417">
        <v>112.83426629999988</v>
      </c>
      <c r="K221" s="417">
        <v>217.8679022</v>
      </c>
      <c r="L221" s="417">
        <v>115.9068256</v>
      </c>
      <c r="M221" s="417">
        <v>0</v>
      </c>
      <c r="N221" s="418">
        <f t="shared" si="55"/>
        <v>690.25021859999981</v>
      </c>
    </row>
    <row r="222" spans="2:14">
      <c r="B222" s="400"/>
      <c r="C222" s="400"/>
      <c r="D222" s="400" t="s">
        <v>1589</v>
      </c>
      <c r="E222" s="400" t="s">
        <v>815</v>
      </c>
      <c r="F222" s="400" t="s">
        <v>386</v>
      </c>
      <c r="G222" s="829" t="s">
        <v>1585</v>
      </c>
      <c r="H222" s="417">
        <v>127.8907885</v>
      </c>
      <c r="I222" s="417">
        <v>115.75043599999989</v>
      </c>
      <c r="J222" s="417">
        <v>112.83426629999988</v>
      </c>
      <c r="K222" s="417">
        <v>217.8679022</v>
      </c>
      <c r="L222" s="417">
        <v>115.9068256</v>
      </c>
      <c r="M222" s="417">
        <v>0</v>
      </c>
      <c r="N222" s="418">
        <f t="shared" si="55"/>
        <v>690.25021859999981</v>
      </c>
    </row>
    <row r="223" spans="2:14">
      <c r="B223" s="400"/>
      <c r="C223" s="400"/>
      <c r="D223" s="400" t="s">
        <v>1590</v>
      </c>
      <c r="E223" s="400" t="s">
        <v>1591</v>
      </c>
      <c r="F223" s="400" t="s">
        <v>801</v>
      </c>
      <c r="G223" s="829" t="s">
        <v>1585</v>
      </c>
      <c r="H223" s="417">
        <v>293.10404449999999</v>
      </c>
      <c r="I223" s="417">
        <v>37.151111199999981</v>
      </c>
      <c r="J223" s="417">
        <v>227.38407690000011</v>
      </c>
      <c r="K223" s="417">
        <v>309.83706980000011</v>
      </c>
      <c r="L223" s="417">
        <v>138.01689450000001</v>
      </c>
      <c r="M223" s="417">
        <v>37.376016700000022</v>
      </c>
      <c r="N223" s="418">
        <f t="shared" si="55"/>
        <v>1042.8692136000002</v>
      </c>
    </row>
    <row r="224" spans="2:14">
      <c r="B224" s="400"/>
      <c r="C224" s="400"/>
      <c r="D224" s="400" t="s">
        <v>1592</v>
      </c>
      <c r="E224" s="400" t="s">
        <v>1591</v>
      </c>
      <c r="F224" s="400" t="s">
        <v>801</v>
      </c>
      <c r="G224" s="829" t="s">
        <v>1585</v>
      </c>
      <c r="H224" s="417">
        <v>293.10404449999999</v>
      </c>
      <c r="I224" s="417">
        <v>37.151111199999981</v>
      </c>
      <c r="J224" s="417">
        <v>227.38407690000011</v>
      </c>
      <c r="K224" s="417">
        <v>309.83706980000011</v>
      </c>
      <c r="L224" s="417">
        <v>138.01689450000001</v>
      </c>
      <c r="M224" s="417">
        <v>37.376016700000022</v>
      </c>
      <c r="N224" s="418">
        <f t="shared" si="55"/>
        <v>1042.8692136000002</v>
      </c>
    </row>
    <row r="225" spans="2:14">
      <c r="B225" s="400"/>
      <c r="C225" s="400"/>
      <c r="D225" s="400" t="s">
        <v>1599</v>
      </c>
      <c r="E225" s="400" t="s">
        <v>1600</v>
      </c>
      <c r="F225" s="400" t="s">
        <v>801</v>
      </c>
      <c r="G225" s="829" t="s">
        <v>1585</v>
      </c>
      <c r="H225" s="417">
        <v>3836.7236569000042</v>
      </c>
      <c r="I225" s="417">
        <v>3472.5130379999991</v>
      </c>
      <c r="J225" s="417">
        <v>3385.0279960999974</v>
      </c>
      <c r="K225" s="417">
        <v>3535.8889207000007</v>
      </c>
      <c r="L225" s="417">
        <v>3477.2047730000022</v>
      </c>
      <c r="M225" s="417">
        <v>3437.528225</v>
      </c>
      <c r="N225" s="418">
        <f t="shared" si="55"/>
        <v>21144.886609700006</v>
      </c>
    </row>
    <row r="226" spans="2:14">
      <c r="B226" s="400"/>
      <c r="C226" s="400"/>
      <c r="D226" s="400" t="s">
        <v>1310</v>
      </c>
      <c r="E226" s="400" t="s">
        <v>1147</v>
      </c>
      <c r="F226" s="400" t="s">
        <v>386</v>
      </c>
      <c r="G226" s="829" t="s">
        <v>1293</v>
      </c>
      <c r="H226" s="417">
        <v>3496.7385017477909</v>
      </c>
      <c r="I226" s="417">
        <v>3828.4049893641759</v>
      </c>
      <c r="J226" s="417">
        <v>0</v>
      </c>
      <c r="K226" s="417">
        <v>0</v>
      </c>
      <c r="L226" s="417">
        <v>0</v>
      </c>
      <c r="M226" s="417">
        <v>0</v>
      </c>
      <c r="N226" s="418">
        <f t="shared" ref="N226:N227" si="56">SUM(H226:M226)</f>
        <v>7325.1434911119668</v>
      </c>
    </row>
    <row r="227" spans="2:14">
      <c r="B227" s="400"/>
      <c r="C227" s="400"/>
      <c r="D227" s="400" t="s">
        <v>1743</v>
      </c>
      <c r="E227" s="400" t="s">
        <v>1841</v>
      </c>
      <c r="F227" s="400" t="s">
        <v>801</v>
      </c>
      <c r="G227" s="829" t="s">
        <v>1746</v>
      </c>
      <c r="H227" s="417">
        <v>1203.8748175000001</v>
      </c>
      <c r="I227" s="417">
        <v>1189.852670100001</v>
      </c>
      <c r="J227" s="417">
        <v>1137.6163004</v>
      </c>
      <c r="K227" s="417">
        <v>1159.5137252999998</v>
      </c>
      <c r="L227" s="417">
        <v>1189.9168316999999</v>
      </c>
      <c r="M227" s="417">
        <v>1371.9191877999999</v>
      </c>
      <c r="N227" s="418">
        <f t="shared" si="56"/>
        <v>7252.6935328000018</v>
      </c>
    </row>
    <row r="228" spans="2:14">
      <c r="B228" s="402"/>
      <c r="C228" s="402"/>
      <c r="D228" s="402"/>
      <c r="E228" s="400"/>
      <c r="F228" s="403"/>
      <c r="G228" s="837"/>
      <c r="H228" s="417"/>
      <c r="I228" s="417"/>
      <c r="J228" s="417"/>
      <c r="K228" s="417"/>
      <c r="L228" s="417"/>
      <c r="M228" s="417"/>
      <c r="N228" s="418"/>
    </row>
    <row r="229" spans="2:14">
      <c r="B229" s="405"/>
      <c r="C229" s="405"/>
      <c r="D229" s="405"/>
      <c r="E229" s="405" t="s">
        <v>401</v>
      </c>
      <c r="F229" s="397"/>
      <c r="G229" s="831"/>
      <c r="H229" s="419">
        <f t="shared" ref="H229:N229" si="57">SUM(H147:H228)</f>
        <v>275375.35275877028</v>
      </c>
      <c r="I229" s="419">
        <f t="shared" si="57"/>
        <v>267091.34000547352</v>
      </c>
      <c r="J229" s="419">
        <f t="shared" si="57"/>
        <v>256545.36130262405</v>
      </c>
      <c r="K229" s="419">
        <f t="shared" si="57"/>
        <v>260311.92971962533</v>
      </c>
      <c r="L229" s="419">
        <f t="shared" si="57"/>
        <v>254652.15604957702</v>
      </c>
      <c r="M229" s="419">
        <f t="shared" si="57"/>
        <v>261933.97383690454</v>
      </c>
      <c r="N229" s="419">
        <f t="shared" si="57"/>
        <v>1575910.1136729752</v>
      </c>
    </row>
    <row r="230" spans="2:14">
      <c r="B230" s="400"/>
      <c r="C230" s="400"/>
      <c r="D230" s="400" t="s">
        <v>825</v>
      </c>
      <c r="E230" s="400" t="s">
        <v>896</v>
      </c>
      <c r="F230" s="403" t="s">
        <v>1056</v>
      </c>
      <c r="G230" s="832"/>
      <c r="H230" s="417">
        <v>33.055999999999997</v>
      </c>
      <c r="I230" s="417">
        <v>48.738</v>
      </c>
      <c r="J230" s="417">
        <v>11.254</v>
      </c>
      <c r="K230" s="417">
        <v>11.254</v>
      </c>
      <c r="L230" s="417">
        <v>216.18600000000001</v>
      </c>
      <c r="M230" s="417">
        <v>58.968000000000004</v>
      </c>
      <c r="N230" s="418">
        <f t="shared" ref="N230:N233" si="58">SUM(H230:M230)</f>
        <v>379.45600000000002</v>
      </c>
    </row>
    <row r="231" spans="2:14">
      <c r="B231" s="400"/>
      <c r="C231" s="400"/>
      <c r="D231" s="400" t="s">
        <v>897</v>
      </c>
      <c r="E231" s="400" t="s">
        <v>1068</v>
      </c>
      <c r="F231" s="403" t="s">
        <v>1056</v>
      </c>
      <c r="G231" s="832"/>
      <c r="H231" s="417">
        <v>7162.2639999999992</v>
      </c>
      <c r="I231" s="417">
        <v>6988.0129999999999</v>
      </c>
      <c r="J231" s="417">
        <v>6735.0150000000003</v>
      </c>
      <c r="K231" s="417">
        <v>5735.0149999999994</v>
      </c>
      <c r="L231" s="417">
        <v>6694.9340000000002</v>
      </c>
      <c r="M231" s="417">
        <v>6879.1869999999999</v>
      </c>
      <c r="N231" s="418">
        <f t="shared" si="58"/>
        <v>40194.427999999993</v>
      </c>
    </row>
    <row r="232" spans="2:14">
      <c r="B232" s="400"/>
      <c r="C232" s="400"/>
      <c r="D232" s="400" t="s">
        <v>391</v>
      </c>
      <c r="E232" s="400" t="s">
        <v>390</v>
      </c>
      <c r="F232" s="403" t="s">
        <v>1511</v>
      </c>
      <c r="G232" s="832"/>
      <c r="H232" s="417">
        <v>0</v>
      </c>
      <c r="I232" s="417">
        <v>0</v>
      </c>
      <c r="J232" s="417">
        <v>0</v>
      </c>
      <c r="K232" s="417">
        <v>0</v>
      </c>
      <c r="L232" s="417">
        <v>0</v>
      </c>
      <c r="M232" s="417">
        <v>0</v>
      </c>
      <c r="N232" s="418">
        <f t="shared" si="58"/>
        <v>0</v>
      </c>
    </row>
    <row r="233" spans="2:14">
      <c r="B233" s="400"/>
      <c r="C233" s="400"/>
      <c r="D233" s="400" t="s">
        <v>393</v>
      </c>
      <c r="E233" s="400" t="s">
        <v>400</v>
      </c>
      <c r="F233" s="403" t="s">
        <v>1511</v>
      </c>
      <c r="G233" s="832"/>
      <c r="H233" s="417">
        <v>-31.146000000000001</v>
      </c>
      <c r="I233" s="417">
        <v>-21.942</v>
      </c>
      <c r="J233" s="417">
        <v>-17.288</v>
      </c>
      <c r="K233" s="417">
        <v>-20.309000000000001</v>
      </c>
      <c r="L233" s="417">
        <v>-22.55</v>
      </c>
      <c r="M233" s="417">
        <v>-20.64</v>
      </c>
      <c r="N233" s="418">
        <f t="shared" si="58"/>
        <v>-133.875</v>
      </c>
    </row>
    <row r="234" spans="2:14">
      <c r="B234" s="402"/>
      <c r="C234" s="402"/>
      <c r="D234" s="402"/>
      <c r="E234" s="400"/>
      <c r="F234" s="403"/>
      <c r="G234" s="837"/>
      <c r="H234" s="417"/>
      <c r="I234" s="417"/>
      <c r="J234" s="417"/>
      <c r="K234" s="417"/>
      <c r="L234" s="417"/>
      <c r="M234" s="417"/>
      <c r="N234" s="418"/>
    </row>
    <row r="235" spans="2:14">
      <c r="B235" s="405"/>
      <c r="C235" s="405"/>
      <c r="D235" s="405"/>
      <c r="E235" s="405" t="s">
        <v>182</v>
      </c>
      <c r="F235" s="397"/>
      <c r="G235" s="831"/>
      <c r="H235" s="419">
        <f t="shared" ref="H235:N235" si="59">SUM(H229:H234)</f>
        <v>282539.52675877028</v>
      </c>
      <c r="I235" s="419">
        <f t="shared" si="59"/>
        <v>274106.14900547353</v>
      </c>
      <c r="J235" s="419">
        <f t="shared" si="59"/>
        <v>263274.34230262402</v>
      </c>
      <c r="K235" s="419">
        <f t="shared" si="59"/>
        <v>266037.88971962529</v>
      </c>
      <c r="L235" s="419">
        <f t="shared" si="59"/>
        <v>261540.72604957703</v>
      </c>
      <c r="M235" s="419">
        <f t="shared" si="59"/>
        <v>268851.48883690452</v>
      </c>
      <c r="N235" s="419">
        <f t="shared" si="59"/>
        <v>1616350.1226729753</v>
      </c>
    </row>
    <row r="236" spans="2:14">
      <c r="B236" s="400"/>
      <c r="C236" s="400"/>
      <c r="D236" s="400" t="s">
        <v>389</v>
      </c>
      <c r="E236" s="400" t="s">
        <v>399</v>
      </c>
      <c r="F236" s="403" t="s">
        <v>1065</v>
      </c>
      <c r="G236" s="832"/>
      <c r="H236" s="417">
        <v>49240.902676829675</v>
      </c>
      <c r="I236" s="417">
        <v>50450.502890826428</v>
      </c>
      <c r="J236" s="417">
        <v>49964.46590147588</v>
      </c>
      <c r="K236" s="417">
        <v>53909.23077997462</v>
      </c>
      <c r="L236" s="417">
        <v>36588.854136522808</v>
      </c>
      <c r="M236" s="417">
        <v>46895.35988799543</v>
      </c>
      <c r="N236" s="418">
        <f t="shared" ref="N236:N237" si="60">SUM(H236:M236)</f>
        <v>287049.31627362478</v>
      </c>
    </row>
    <row r="237" spans="2:14">
      <c r="B237" s="400"/>
      <c r="C237" s="400"/>
      <c r="D237" s="400" t="s">
        <v>449</v>
      </c>
      <c r="E237" s="400" t="s">
        <v>1269</v>
      </c>
      <c r="F237" s="403" t="s">
        <v>1065</v>
      </c>
      <c r="G237" s="832"/>
      <c r="H237" s="417">
        <v>0</v>
      </c>
      <c r="I237" s="417">
        <v>0</v>
      </c>
      <c r="J237" s="417">
        <v>0</v>
      </c>
      <c r="K237" s="417">
        <v>0</v>
      </c>
      <c r="L237" s="417">
        <v>0</v>
      </c>
      <c r="M237" s="417">
        <v>0</v>
      </c>
      <c r="N237" s="418">
        <f t="shared" si="60"/>
        <v>0</v>
      </c>
    </row>
    <row r="238" spans="2:14">
      <c r="B238" s="402"/>
      <c r="C238" s="402"/>
      <c r="D238" s="402"/>
      <c r="E238" s="400"/>
      <c r="F238" s="403"/>
      <c r="G238" s="837"/>
      <c r="H238" s="417"/>
      <c r="I238" s="417"/>
      <c r="J238" s="417"/>
      <c r="K238" s="417"/>
      <c r="L238" s="417"/>
      <c r="M238" s="417"/>
      <c r="N238" s="418"/>
    </row>
    <row r="239" spans="2:14">
      <c r="B239" s="405"/>
      <c r="C239" s="405"/>
      <c r="D239" s="405"/>
      <c r="E239" s="405" t="s">
        <v>244</v>
      </c>
      <c r="F239" s="397"/>
      <c r="G239" s="831"/>
      <c r="H239" s="419">
        <f t="shared" ref="H239:N239" si="61">SUM(H235:H238)</f>
        <v>331780.42943559994</v>
      </c>
      <c r="I239" s="419">
        <f t="shared" si="61"/>
        <v>324556.65189629997</v>
      </c>
      <c r="J239" s="419">
        <f t="shared" si="61"/>
        <v>313238.80820409989</v>
      </c>
      <c r="K239" s="419">
        <f t="shared" si="61"/>
        <v>319947.1204995999</v>
      </c>
      <c r="L239" s="419">
        <f t="shared" si="61"/>
        <v>298129.58018609986</v>
      </c>
      <c r="M239" s="419">
        <f t="shared" si="61"/>
        <v>315746.84872489993</v>
      </c>
      <c r="N239" s="419">
        <f t="shared" si="61"/>
        <v>1903399.4389466001</v>
      </c>
    </row>
    <row r="240" spans="2:14">
      <c r="B240" s="410"/>
      <c r="C240" s="410"/>
      <c r="D240" s="410"/>
      <c r="E240" s="410" t="s">
        <v>320</v>
      </c>
      <c r="F240" s="411"/>
      <c r="G240" s="834"/>
      <c r="H240" s="193"/>
      <c r="I240" s="193"/>
      <c r="J240" s="193"/>
      <c r="K240" s="193"/>
      <c r="L240" s="193"/>
      <c r="M240" s="193"/>
      <c r="N240" s="418"/>
    </row>
    <row r="241" spans="2:14">
      <c r="B241" s="410"/>
      <c r="C241" s="410"/>
      <c r="D241" s="410"/>
      <c r="E241" s="410" t="s">
        <v>947</v>
      </c>
      <c r="F241" s="403"/>
      <c r="G241" s="832"/>
      <c r="H241" s="417">
        <f>G522Bid!$F$3/6000</f>
        <v>357.68201038961035</v>
      </c>
      <c r="I241" s="417">
        <f>G522Bid!$F$3/6000</f>
        <v>357.68201038961035</v>
      </c>
      <c r="J241" s="417">
        <f>G522Bid!$F$3/6000</f>
        <v>357.68201038961035</v>
      </c>
      <c r="K241" s="417">
        <f>G522Bid!$F$3/6000</f>
        <v>357.68201038961035</v>
      </c>
      <c r="L241" s="417">
        <f>G522Bid!$F$3/6000</f>
        <v>357.68201038961035</v>
      </c>
      <c r="M241" s="417">
        <f>G522Bid!$F$3/6000</f>
        <v>357.68201038961035</v>
      </c>
      <c r="N241" s="418">
        <f>SUM(H241:M241)</f>
        <v>2146.0920623376619</v>
      </c>
    </row>
    <row r="242" spans="2:14">
      <c r="B242" s="423"/>
      <c r="C242" s="423"/>
      <c r="D242" s="423"/>
      <c r="E242" s="423" t="s">
        <v>757</v>
      </c>
      <c r="F242" s="424"/>
      <c r="G242" s="839"/>
      <c r="H242" s="425"/>
      <c r="I242" s="425"/>
      <c r="J242" s="425"/>
      <c r="K242" s="425"/>
      <c r="L242" s="425"/>
      <c r="M242" s="425"/>
      <c r="N242" s="426"/>
    </row>
    <row r="243" spans="2:14">
      <c r="B243" s="405"/>
      <c r="C243" s="405"/>
      <c r="D243" s="405"/>
      <c r="E243" s="405" t="s">
        <v>777</v>
      </c>
      <c r="F243" s="397"/>
      <c r="G243" s="831"/>
      <c r="H243" s="419">
        <f>SUM(H239:H242)</f>
        <v>332138.11144598958</v>
      </c>
      <c r="I243" s="419">
        <f t="shared" ref="I243:N243" si="62">SUM(I239:I242)</f>
        <v>324914.3339066896</v>
      </c>
      <c r="J243" s="419">
        <f t="shared" si="62"/>
        <v>313596.49021448952</v>
      </c>
      <c r="K243" s="419">
        <f t="shared" si="62"/>
        <v>320304.80250998953</v>
      </c>
      <c r="L243" s="419">
        <f t="shared" si="62"/>
        <v>298487.26219648949</v>
      </c>
      <c r="M243" s="419">
        <f t="shared" si="62"/>
        <v>316104.53073528956</v>
      </c>
      <c r="N243" s="419">
        <f t="shared" si="62"/>
        <v>1905545.5310089376</v>
      </c>
    </row>
    <row r="244" spans="2:14">
      <c r="B244" s="405"/>
      <c r="C244" s="405"/>
      <c r="D244" s="405"/>
      <c r="E244" s="405" t="s">
        <v>795</v>
      </c>
      <c r="F244" s="397"/>
      <c r="G244" s="831"/>
      <c r="H244" s="419">
        <f t="shared" ref="H244:N244" si="63">SUM(H229:H229,H236:H238)</f>
        <v>324616.25543559995</v>
      </c>
      <c r="I244" s="419">
        <f t="shared" si="63"/>
        <v>317541.84289629996</v>
      </c>
      <c r="J244" s="419">
        <f t="shared" si="63"/>
        <v>306509.82720409991</v>
      </c>
      <c r="K244" s="419">
        <f t="shared" si="63"/>
        <v>314221.16049959994</v>
      </c>
      <c r="L244" s="419">
        <f t="shared" si="63"/>
        <v>291241.01018609985</v>
      </c>
      <c r="M244" s="419">
        <f t="shared" si="63"/>
        <v>308829.33372489997</v>
      </c>
      <c r="N244" s="419">
        <f t="shared" si="63"/>
        <v>1862959.4299466</v>
      </c>
    </row>
    <row r="245" spans="2:14" ht="15.75">
      <c r="B245" s="412"/>
      <c r="C245" s="412"/>
      <c r="D245" s="412"/>
      <c r="E245" s="412"/>
      <c r="F245" s="835"/>
      <c r="G245" s="836"/>
      <c r="H245" s="166">
        <v>0</v>
      </c>
      <c r="I245" s="166">
        <v>0</v>
      </c>
      <c r="J245" s="166">
        <v>0</v>
      </c>
      <c r="K245" s="166">
        <v>0</v>
      </c>
      <c r="L245" s="166">
        <v>0</v>
      </c>
      <c r="M245" s="166">
        <v>0</v>
      </c>
      <c r="N245" s="166">
        <v>0</v>
      </c>
    </row>
    <row r="246" spans="2:14" ht="15.75">
      <c r="B246" s="412"/>
      <c r="C246" s="412"/>
      <c r="D246" s="412"/>
      <c r="E246" s="412"/>
      <c r="F246" s="412"/>
      <c r="G246" s="836"/>
      <c r="H246" s="427"/>
      <c r="I246" s="427"/>
      <c r="J246" s="427"/>
      <c r="K246" s="427"/>
      <c r="L246" s="427"/>
      <c r="M246" s="427"/>
      <c r="N246" s="427"/>
    </row>
    <row r="247" spans="2:14" ht="45">
      <c r="B247" s="428"/>
      <c r="C247" s="428"/>
      <c r="D247" s="428"/>
      <c r="E247" s="429" t="s">
        <v>496</v>
      </c>
      <c r="F247" s="430"/>
      <c r="G247" s="840"/>
      <c r="H247" s="431">
        <v>93285.5171481</v>
      </c>
      <c r="I247" s="431">
        <v>83944.591941599982</v>
      </c>
      <c r="J247" s="431">
        <v>86571.342538699973</v>
      </c>
      <c r="K247" s="431">
        <v>89121.025402000043</v>
      </c>
      <c r="L247" s="431">
        <v>73517.651995399938</v>
      </c>
      <c r="M247" s="431">
        <v>86312.838139324725</v>
      </c>
      <c r="N247" s="431">
        <f>SUM(H247:M247)</f>
        <v>512752.96716512466</v>
      </c>
    </row>
    <row r="248" spans="2:14" ht="15">
      <c r="B248" s="431"/>
      <c r="C248" s="431"/>
      <c r="D248" s="431"/>
      <c r="E248" s="429" t="s">
        <v>982</v>
      </c>
      <c r="F248" s="432"/>
      <c r="G248" s="841"/>
      <c r="H248" s="433">
        <f t="shared" ref="H248:N248" si="64">H247/H243</f>
        <v>0.28086363453436314</v>
      </c>
      <c r="I248" s="433">
        <f t="shared" si="64"/>
        <v>0.25835915249496988</v>
      </c>
      <c r="J248" s="433">
        <f t="shared" si="64"/>
        <v>0.27605966661006975</v>
      </c>
      <c r="K248" s="433">
        <f t="shared" si="64"/>
        <v>0.27823818033206221</v>
      </c>
      <c r="L248" s="433">
        <f t="shared" si="64"/>
        <v>0.24630080176421204</v>
      </c>
      <c r="M248" s="433">
        <f t="shared" si="64"/>
        <v>0.27305156917097251</v>
      </c>
      <c r="N248" s="433">
        <f t="shared" si="64"/>
        <v>0.26908460533799738</v>
      </c>
    </row>
    <row r="249" spans="2:14" ht="15.75">
      <c r="B249" s="412"/>
      <c r="C249" s="412"/>
      <c r="D249" s="412"/>
      <c r="E249" s="412"/>
      <c r="F249" s="412"/>
      <c r="G249" s="836"/>
      <c r="H249" s="301"/>
      <c r="I249" s="301"/>
      <c r="J249" s="301"/>
      <c r="K249" s="301"/>
      <c r="L249" s="301"/>
      <c r="M249" s="301"/>
      <c r="N249" s="300"/>
    </row>
    <row r="250" spans="2:14" ht="31.5">
      <c r="B250" s="393"/>
      <c r="C250" s="393"/>
      <c r="D250" s="393"/>
      <c r="E250" s="394" t="s">
        <v>247</v>
      </c>
      <c r="F250" s="393"/>
      <c r="G250" s="827"/>
      <c r="H250" s="395"/>
      <c r="I250" s="395"/>
      <c r="J250" s="395"/>
      <c r="K250" s="395"/>
      <c r="L250" s="395"/>
      <c r="M250" s="395"/>
      <c r="N250" s="414"/>
    </row>
    <row r="251" spans="2:14" ht="15.75">
      <c r="B251" s="399"/>
      <c r="C251" s="399"/>
      <c r="D251" s="399"/>
      <c r="E251" s="398" t="s">
        <v>137</v>
      </c>
      <c r="F251" s="399"/>
      <c r="G251" s="828"/>
      <c r="H251" s="398">
        <f t="shared" ref="H251:M251" si="65">H$4</f>
        <v>45839</v>
      </c>
      <c r="I251" s="398">
        <f t="shared" si="65"/>
        <v>45870</v>
      </c>
      <c r="J251" s="398">
        <f t="shared" si="65"/>
        <v>45901</v>
      </c>
      <c r="K251" s="398">
        <f t="shared" si="65"/>
        <v>45931</v>
      </c>
      <c r="L251" s="398">
        <f t="shared" si="65"/>
        <v>45962</v>
      </c>
      <c r="M251" s="398">
        <f t="shared" si="65"/>
        <v>45992</v>
      </c>
      <c r="N251" s="416" t="s">
        <v>154</v>
      </c>
    </row>
    <row r="252" spans="2:14">
      <c r="B252" s="417"/>
      <c r="C252" s="417"/>
      <c r="D252" s="417" t="str">
        <f>D147</f>
        <v>DME-010-08</v>
      </c>
      <c r="E252" s="417" t="str">
        <f>E147</f>
        <v xml:space="preserve">HYDRO CAISAN </v>
      </c>
      <c r="F252" s="417" t="str">
        <f>F147</f>
        <v>H</v>
      </c>
      <c r="G252" s="842"/>
      <c r="H252" s="434">
        <f t="shared" ref="H252:M261" si="66">IF(SUMIF($D$147:$D$243,$D252,H$147:H$243)=0,"",SUMIF($D$335:$D$436,$D252,H$335:H$436)/SUMIF($D$147:$D$243,$D252,H$147:H$243)/1000)</f>
        <v>3.0599999999999995E-2</v>
      </c>
      <c r="I252" s="434">
        <f t="shared" si="66"/>
        <v>3.0600000000000006E-2</v>
      </c>
      <c r="J252" s="434">
        <f t="shared" si="66"/>
        <v>3.0600000000000006E-2</v>
      </c>
      <c r="K252" s="434">
        <f t="shared" si="66"/>
        <v>3.0600000000000009E-2</v>
      </c>
      <c r="L252" s="434">
        <f t="shared" si="66"/>
        <v>3.0600000000000006E-2</v>
      </c>
      <c r="M252" s="434">
        <f t="shared" si="66"/>
        <v>3.0600000000000013E-2</v>
      </c>
      <c r="N252" s="2187">
        <f>AVERAGE(H252:M252)</f>
        <v>3.0600000000000006E-2</v>
      </c>
    </row>
    <row r="253" spans="2:14">
      <c r="B253" s="417"/>
      <c r="C253" s="417"/>
      <c r="D253" s="417" t="str">
        <f t="shared" ref="D253:F253" si="67">D148</f>
        <v>DME-011-08</v>
      </c>
      <c r="E253" s="417" t="str">
        <f t="shared" si="67"/>
        <v xml:space="preserve">ELECTRON INVESTMENT </v>
      </c>
      <c r="F253" s="417" t="str">
        <f t="shared" si="67"/>
        <v>H</v>
      </c>
      <c r="G253" s="842"/>
      <c r="H253" s="434">
        <f t="shared" si="66"/>
        <v>6.9500000000000006E-2</v>
      </c>
      <c r="I253" s="434">
        <f t="shared" si="66"/>
        <v>6.9500000000000034E-2</v>
      </c>
      <c r="J253" s="434">
        <f t="shared" si="66"/>
        <v>6.9500000000000076E-2</v>
      </c>
      <c r="K253" s="434">
        <f t="shared" si="66"/>
        <v>6.950000000000002E-2</v>
      </c>
      <c r="L253" s="434">
        <f t="shared" si="66"/>
        <v>6.9500000000000006E-2</v>
      </c>
      <c r="M253" s="434">
        <f t="shared" si="66"/>
        <v>6.9500000000000034E-2</v>
      </c>
      <c r="N253" s="2187">
        <f t="shared" ref="N253:N299" si="68">AVERAGE(H253:M253)</f>
        <v>6.950000000000002E-2</v>
      </c>
    </row>
    <row r="254" spans="2:14">
      <c r="B254" s="417"/>
      <c r="C254" s="417"/>
      <c r="D254" s="417" t="str">
        <f t="shared" ref="D254:F254" si="69">D149</f>
        <v>DME-016-11</v>
      </c>
      <c r="E254" s="417" t="str">
        <f t="shared" si="69"/>
        <v>ENEL FORTUNA, S.A.</v>
      </c>
      <c r="F254" s="417" t="str">
        <f t="shared" si="69"/>
        <v>H</v>
      </c>
      <c r="G254" s="842"/>
      <c r="H254" s="434">
        <f t="shared" si="66"/>
        <v>9.98E-2</v>
      </c>
      <c r="I254" s="434">
        <f t="shared" si="66"/>
        <v>9.9799999999999986E-2</v>
      </c>
      <c r="J254" s="434">
        <f t="shared" si="66"/>
        <v>9.9800000000000014E-2</v>
      </c>
      <c r="K254" s="434">
        <f t="shared" si="66"/>
        <v>9.9800000000000028E-2</v>
      </c>
      <c r="L254" s="434">
        <f t="shared" si="66"/>
        <v>9.9800000000000055E-2</v>
      </c>
      <c r="M254" s="434">
        <f t="shared" si="66"/>
        <v>9.9800000000000041E-2</v>
      </c>
      <c r="N254" s="2187">
        <f t="shared" si="68"/>
        <v>9.9800000000000014E-2</v>
      </c>
    </row>
    <row r="255" spans="2:14">
      <c r="B255" s="417"/>
      <c r="C255" s="417"/>
      <c r="D255" s="417" t="str">
        <f t="shared" ref="D255:F255" si="70">D150</f>
        <v>DME-018-11</v>
      </c>
      <c r="E255" s="417" t="str">
        <f t="shared" si="70"/>
        <v xml:space="preserve">HIDROECOLOGICA DEL TERIBE </v>
      </c>
      <c r="F255" s="417" t="str">
        <f t="shared" si="70"/>
        <v>H</v>
      </c>
      <c r="G255" s="842"/>
      <c r="H255" s="434">
        <f t="shared" si="66"/>
        <v>0.10459999999999997</v>
      </c>
      <c r="I255" s="434">
        <f t="shared" si="66"/>
        <v>0.10459999999999998</v>
      </c>
      <c r="J255" s="434">
        <f t="shared" si="66"/>
        <v>0.10459999999999997</v>
      </c>
      <c r="K255" s="434">
        <f t="shared" si="66"/>
        <v>0.10459999999999997</v>
      </c>
      <c r="L255" s="434">
        <f t="shared" si="66"/>
        <v>0.10459999999999997</v>
      </c>
      <c r="M255" s="434">
        <f t="shared" si="66"/>
        <v>0.1046</v>
      </c>
      <c r="N255" s="2187">
        <f t="shared" si="68"/>
        <v>0.10459999999999998</v>
      </c>
    </row>
    <row r="256" spans="2:14">
      <c r="B256" s="417"/>
      <c r="C256" s="417"/>
      <c r="D256" s="417" t="str">
        <f t="shared" ref="D256:F256" si="71">D151</f>
        <v>DME-020-11</v>
      </c>
      <c r="E256" s="417" t="str">
        <f t="shared" si="71"/>
        <v xml:space="preserve">ESEPSA </v>
      </c>
      <c r="F256" s="417" t="str">
        <f t="shared" si="71"/>
        <v>H</v>
      </c>
      <c r="G256" s="842"/>
      <c r="H256" s="434">
        <f t="shared" si="66"/>
        <v>9.0999999999999998E-2</v>
      </c>
      <c r="I256" s="434">
        <f t="shared" si="66"/>
        <v>9.0999999999999998E-2</v>
      </c>
      <c r="J256" s="434">
        <f t="shared" si="66"/>
        <v>9.1000000000000011E-2</v>
      </c>
      <c r="K256" s="434">
        <f t="shared" si="66"/>
        <v>9.1000000000000025E-2</v>
      </c>
      <c r="L256" s="434">
        <f t="shared" si="66"/>
        <v>9.1000000000000011E-2</v>
      </c>
      <c r="M256" s="434">
        <f t="shared" si="66"/>
        <v>9.0999999999999984E-2</v>
      </c>
      <c r="N256" s="2187">
        <f t="shared" si="68"/>
        <v>9.1000000000000011E-2</v>
      </c>
    </row>
    <row r="257" spans="2:14">
      <c r="B257" s="417"/>
      <c r="C257" s="417"/>
      <c r="D257" s="417" t="str">
        <f t="shared" ref="D257:F257" si="72">D152</f>
        <v>DME-021-11</v>
      </c>
      <c r="E257" s="417" t="str">
        <f t="shared" si="72"/>
        <v xml:space="preserve">PEDREGALITO </v>
      </c>
      <c r="F257" s="417" t="str">
        <f t="shared" si="72"/>
        <v>H</v>
      </c>
      <c r="G257" s="842"/>
      <c r="H257" s="434">
        <f t="shared" si="66"/>
        <v>5.4199999999999991E-2</v>
      </c>
      <c r="I257" s="434">
        <f t="shared" si="66"/>
        <v>5.4200000000000012E-2</v>
      </c>
      <c r="J257" s="434">
        <f t="shared" si="66"/>
        <v>5.4199999999999984E-2</v>
      </c>
      <c r="K257" s="434">
        <f t="shared" si="66"/>
        <v>5.4200000000000012E-2</v>
      </c>
      <c r="L257" s="434">
        <f t="shared" si="66"/>
        <v>5.4200000000000005E-2</v>
      </c>
      <c r="M257" s="434">
        <f t="shared" si="66"/>
        <v>5.4200000000000005E-2</v>
      </c>
      <c r="N257" s="2187">
        <f t="shared" si="68"/>
        <v>5.4200000000000005E-2</v>
      </c>
    </row>
    <row r="258" spans="2:14">
      <c r="B258" s="417"/>
      <c r="C258" s="417"/>
      <c r="D258" s="417" t="str">
        <f t="shared" ref="D258:F258" si="73">D153</f>
        <v>DME-022-11</v>
      </c>
      <c r="E258" s="417" t="str">
        <f t="shared" si="73"/>
        <v xml:space="preserve">CALDERA </v>
      </c>
      <c r="F258" s="417" t="str">
        <f t="shared" si="73"/>
        <v>H</v>
      </c>
      <c r="G258" s="842"/>
      <c r="H258" s="434">
        <f t="shared" si="66"/>
        <v>6.4284547616601656E-2</v>
      </c>
      <c r="I258" s="434">
        <f t="shared" si="66"/>
        <v>6.3300000000000009E-2</v>
      </c>
      <c r="J258" s="434">
        <f t="shared" si="66"/>
        <v>6.4694353470703708E-2</v>
      </c>
      <c r="K258" s="434">
        <f t="shared" si="66"/>
        <v>6.3300000000000009E-2</v>
      </c>
      <c r="L258" s="434">
        <f t="shared" si="66"/>
        <v>6.329436993769702E-2</v>
      </c>
      <c r="M258" s="434">
        <f t="shared" si="66"/>
        <v>6.55230447840041E-2</v>
      </c>
      <c r="N258" s="2187">
        <f t="shared" si="68"/>
        <v>6.4066052634834419E-2</v>
      </c>
    </row>
    <row r="259" spans="2:14">
      <c r="B259" s="417"/>
      <c r="C259" s="417"/>
      <c r="D259" s="417" t="str">
        <f t="shared" ref="D259:F259" si="74">D154</f>
        <v>DME-023-11</v>
      </c>
      <c r="E259" s="417" t="str">
        <f t="shared" si="74"/>
        <v>RIO CHICO</v>
      </c>
      <c r="F259" s="417" t="str">
        <f t="shared" si="74"/>
        <v>H</v>
      </c>
      <c r="G259" s="842"/>
      <c r="H259" s="434">
        <f t="shared" si="66"/>
        <v>5.4200000000000005E-2</v>
      </c>
      <c r="I259" s="434">
        <f t="shared" si="66"/>
        <v>5.4200000000000026E-2</v>
      </c>
      <c r="J259" s="434">
        <f t="shared" si="66"/>
        <v>5.4200000000000033E-2</v>
      </c>
      <c r="K259" s="434">
        <f t="shared" si="66"/>
        <v>5.4199999999999977E-2</v>
      </c>
      <c r="L259" s="434">
        <f t="shared" si="66"/>
        <v>5.4200000000000026E-2</v>
      </c>
      <c r="M259" s="434">
        <f t="shared" si="66"/>
        <v>5.4199999999999991E-2</v>
      </c>
      <c r="N259" s="2187">
        <f t="shared" si="68"/>
        <v>5.4199999999999998E-2</v>
      </c>
    </row>
    <row r="260" spans="2:14">
      <c r="B260" s="417"/>
      <c r="C260" s="417"/>
      <c r="D260" s="417" t="str">
        <f t="shared" ref="D260:F260" si="75">D155</f>
        <v>DME-024-11</v>
      </c>
      <c r="E260" s="417" t="str">
        <f t="shared" si="75"/>
        <v>ALTO VALLE</v>
      </c>
      <c r="F260" s="417" t="str">
        <f t="shared" si="75"/>
        <v>H</v>
      </c>
      <c r="G260" s="842"/>
      <c r="H260" s="434">
        <f t="shared" si="66"/>
        <v>5.4200000000000005E-2</v>
      </c>
      <c r="I260" s="434">
        <f t="shared" si="66"/>
        <v>5.4200000000000012E-2</v>
      </c>
      <c r="J260" s="434">
        <f t="shared" si="66"/>
        <v>5.4199999999999991E-2</v>
      </c>
      <c r="K260" s="434">
        <f t="shared" si="66"/>
        <v>5.4199990066275211E-2</v>
      </c>
      <c r="L260" s="434">
        <f t="shared" si="66"/>
        <v>5.4199999999999998E-2</v>
      </c>
      <c r="M260" s="434">
        <f t="shared" si="66"/>
        <v>5.420000000000004E-2</v>
      </c>
      <c r="N260" s="2187">
        <f t="shared" si="68"/>
        <v>5.4199998344379212E-2</v>
      </c>
    </row>
    <row r="261" spans="2:14">
      <c r="B261" s="417"/>
      <c r="C261" s="417"/>
      <c r="D261" s="417" t="str">
        <f t="shared" ref="D261:F261" si="76">D156</f>
        <v>DME-025-11</v>
      </c>
      <c r="E261" s="417" t="str">
        <f t="shared" si="76"/>
        <v xml:space="preserve">DESARROLLO HIDRO CORP </v>
      </c>
      <c r="F261" s="417" t="str">
        <f t="shared" si="76"/>
        <v>H</v>
      </c>
      <c r="G261" s="842"/>
      <c r="H261" s="434">
        <f t="shared" si="66"/>
        <v>9.6499999999999975E-2</v>
      </c>
      <c r="I261" s="434">
        <f t="shared" si="66"/>
        <v>9.6499999999999961E-2</v>
      </c>
      <c r="J261" s="434">
        <f t="shared" si="66"/>
        <v>9.650000000000003E-2</v>
      </c>
      <c r="K261" s="434">
        <f t="shared" si="66"/>
        <v>9.6500000000000002E-2</v>
      </c>
      <c r="L261" s="434">
        <f t="shared" si="66"/>
        <v>9.6499999999999989E-2</v>
      </c>
      <c r="M261" s="434">
        <f t="shared" si="66"/>
        <v>9.6500000000000016E-2</v>
      </c>
      <c r="N261" s="2187">
        <f t="shared" si="68"/>
        <v>9.6499999999999989E-2</v>
      </c>
    </row>
    <row r="262" spans="2:14">
      <c r="B262" s="417"/>
      <c r="C262" s="417"/>
      <c r="D262" s="417" t="str">
        <f t="shared" ref="D262:F262" si="77">D157</f>
        <v>DME-026-11</v>
      </c>
      <c r="E262" s="417" t="str">
        <f t="shared" si="77"/>
        <v>SAN LORENZO</v>
      </c>
      <c r="F262" s="417" t="str">
        <f t="shared" si="77"/>
        <v>H</v>
      </c>
      <c r="G262" s="842"/>
      <c r="H262" s="434">
        <f t="shared" ref="H262:M271" si="78">IF(SUMIF($D$147:$D$243,$D262,H$147:H$243)=0,"",SUMIF($D$335:$D$436,$D262,H$335:H$436)/SUMIF($D$147:$D$243,$D262,H$147:H$243)/1000)</f>
        <v>8.9500000000000066E-2</v>
      </c>
      <c r="I262" s="434">
        <f t="shared" si="78"/>
        <v>8.9500000000000038E-2</v>
      </c>
      <c r="J262" s="434">
        <f t="shared" si="78"/>
        <v>8.950000000000001E-2</v>
      </c>
      <c r="K262" s="434">
        <f t="shared" si="78"/>
        <v>8.9500000000000024E-2</v>
      </c>
      <c r="L262" s="434">
        <f t="shared" si="78"/>
        <v>8.9499999999999982E-2</v>
      </c>
      <c r="M262" s="434">
        <f t="shared" si="78"/>
        <v>8.9500000000000066E-2</v>
      </c>
      <c r="N262" s="2187">
        <f t="shared" si="68"/>
        <v>8.9500000000000024E-2</v>
      </c>
    </row>
    <row r="263" spans="2:14">
      <c r="B263" s="417"/>
      <c r="C263" s="417"/>
      <c r="D263" s="417" t="str">
        <f t="shared" ref="D263:F263" si="79">D158</f>
        <v>DME-027-11</v>
      </c>
      <c r="E263" s="417" t="str">
        <f t="shared" si="79"/>
        <v xml:space="preserve">ELECTROGENERADORA DEL ISTMO </v>
      </c>
      <c r="F263" s="417" t="str">
        <f t="shared" si="79"/>
        <v>H</v>
      </c>
      <c r="G263" s="842"/>
      <c r="H263" s="434">
        <f t="shared" si="78"/>
        <v>6.3269068858009356E-2</v>
      </c>
      <c r="I263" s="434">
        <f t="shared" si="78"/>
        <v>6.3300000000000023E-2</v>
      </c>
      <c r="J263" s="434">
        <f t="shared" si="78"/>
        <v>6.2220100931074773E-2</v>
      </c>
      <c r="K263" s="434">
        <f t="shared" si="78"/>
        <v>6.3300000000000009E-2</v>
      </c>
      <c r="L263" s="434">
        <f t="shared" si="78"/>
        <v>6.3295281268574435E-2</v>
      </c>
      <c r="M263" s="434">
        <f t="shared" si="78"/>
        <v>6.3300000000000009E-2</v>
      </c>
      <c r="N263" s="2187">
        <f>IF(AVERAGE(H263:M263)&lt;=0,0,AVERAGE(H263:M263))</f>
        <v>6.3114075176276443E-2</v>
      </c>
    </row>
    <row r="264" spans="2:14">
      <c r="B264" s="417"/>
      <c r="C264" s="417"/>
      <c r="D264" s="417" t="str">
        <f t="shared" ref="D264:F264" si="80">D160</f>
        <v>DME-008-12</v>
      </c>
      <c r="E264" s="417" t="str">
        <f t="shared" si="80"/>
        <v>UEP PENONOME II, S.A.</v>
      </c>
      <c r="F264" s="417" t="str">
        <f t="shared" si="80"/>
        <v>E</v>
      </c>
      <c r="G264" s="842"/>
      <c r="H264" s="434">
        <f t="shared" si="78"/>
        <v>9.9350000000000022E-2</v>
      </c>
      <c r="I264" s="434">
        <f t="shared" si="78"/>
        <v>9.9330000000000002E-2</v>
      </c>
      <c r="J264" s="434">
        <f t="shared" si="78"/>
        <v>9.9280000000000049E-2</v>
      </c>
      <c r="K264" s="434">
        <f t="shared" si="78"/>
        <v>9.9269999999999983E-2</v>
      </c>
      <c r="L264" s="434">
        <f t="shared" si="78"/>
        <v>0.1562506148585594</v>
      </c>
      <c r="M264" s="434">
        <f t="shared" si="78"/>
        <v>9.9432921613305164E-2</v>
      </c>
      <c r="N264" s="2187">
        <f t="shared" si="68"/>
        <v>0.10881892274531076</v>
      </c>
    </row>
    <row r="265" spans="2:14">
      <c r="B265" s="417"/>
      <c r="C265" s="417"/>
      <c r="D265" s="417" t="str">
        <f t="shared" ref="D265:F265" si="81">D161</f>
        <v>DME-009-12</v>
      </c>
      <c r="E265" s="417" t="str">
        <f t="shared" si="81"/>
        <v>UEP PENONOME II, S.A.</v>
      </c>
      <c r="F265" s="417" t="str">
        <f t="shared" si="81"/>
        <v>E</v>
      </c>
      <c r="G265" s="842"/>
      <c r="H265" s="434">
        <f t="shared" si="78"/>
        <v>0.10248999999999997</v>
      </c>
      <c r="I265" s="434">
        <f t="shared" si="78"/>
        <v>0.10246000000000001</v>
      </c>
      <c r="J265" s="434">
        <f t="shared" si="78"/>
        <v>0.10240999999999999</v>
      </c>
      <c r="K265" s="434">
        <f t="shared" si="78"/>
        <v>0.10239999999999999</v>
      </c>
      <c r="L265" s="434">
        <f t="shared" si="78"/>
        <v>0.10238999999999999</v>
      </c>
      <c r="M265" s="434">
        <f t="shared" si="78"/>
        <v>0.10239999999999999</v>
      </c>
      <c r="N265" s="2187">
        <f t="shared" si="68"/>
        <v>0.10242499999999999</v>
      </c>
    </row>
    <row r="266" spans="2:14">
      <c r="B266" s="417"/>
      <c r="C266" s="417"/>
      <c r="D266" s="417" t="str">
        <f t="shared" ref="D266:F266" si="82">D162</f>
        <v>DME-010-12</v>
      </c>
      <c r="E266" s="417" t="str">
        <f t="shared" si="82"/>
        <v>UEP PENONOME II, S.A.</v>
      </c>
      <c r="F266" s="417" t="str">
        <f t="shared" si="82"/>
        <v>E</v>
      </c>
      <c r="G266" s="842"/>
      <c r="H266" s="434">
        <f t="shared" si="78"/>
        <v>0.11294999999999998</v>
      </c>
      <c r="I266" s="434">
        <f t="shared" si="78"/>
        <v>0.11292000000000002</v>
      </c>
      <c r="J266" s="434">
        <f t="shared" si="78"/>
        <v>0.11286000000000002</v>
      </c>
      <c r="K266" s="434">
        <f t="shared" si="78"/>
        <v>0.11284999999999998</v>
      </c>
      <c r="L266" s="434">
        <f t="shared" si="78"/>
        <v>0.11284000000000002</v>
      </c>
      <c r="M266" s="434">
        <f t="shared" si="78"/>
        <v>0.11284999999999991</v>
      </c>
      <c r="N266" s="2187">
        <f t="shared" si="68"/>
        <v>0.11287833333333332</v>
      </c>
    </row>
    <row r="267" spans="2:14">
      <c r="B267" s="417"/>
      <c r="C267" s="417"/>
      <c r="D267" s="417" t="str">
        <f t="shared" ref="D267:F267" si="83">D163</f>
        <v>DME-011-12</v>
      </c>
      <c r="E267" s="417" t="str">
        <f t="shared" si="83"/>
        <v>UEP PENONOME II, S.A.</v>
      </c>
      <c r="F267" s="417" t="str">
        <f t="shared" si="83"/>
        <v>E</v>
      </c>
      <c r="G267" s="842"/>
      <c r="H267" s="434">
        <f t="shared" si="78"/>
        <v>0.11504</v>
      </c>
      <c r="I267" s="434">
        <f t="shared" si="78"/>
        <v>0.11500999999999997</v>
      </c>
      <c r="J267" s="434">
        <f t="shared" si="78"/>
        <v>0.11495</v>
      </c>
      <c r="K267" s="434">
        <f t="shared" si="78"/>
        <v>0.11494000000000001</v>
      </c>
      <c r="L267" s="434">
        <f t="shared" si="78"/>
        <v>0.11492999999999999</v>
      </c>
      <c r="M267" s="434">
        <f t="shared" si="78"/>
        <v>0.11494</v>
      </c>
      <c r="N267" s="2187">
        <f t="shared" si="68"/>
        <v>0.11496833333333334</v>
      </c>
    </row>
    <row r="268" spans="2:14">
      <c r="B268" s="417"/>
      <c r="C268" s="417"/>
      <c r="D268" s="417" t="str">
        <f t="shared" ref="D268:F268" si="84">D164</f>
        <v>DME-062-12</v>
      </c>
      <c r="E268" s="417" t="str">
        <f t="shared" si="84"/>
        <v>AES PANAMÁ</v>
      </c>
      <c r="F268" s="417" t="str">
        <f t="shared" si="84"/>
        <v>H</v>
      </c>
      <c r="G268" s="842"/>
      <c r="H268" s="434">
        <f t="shared" si="78"/>
        <v>9.054375722716354E-2</v>
      </c>
      <c r="I268" s="434">
        <f t="shared" si="78"/>
        <v>9.0500000000000039E-2</v>
      </c>
      <c r="J268" s="434">
        <f t="shared" si="78"/>
        <v>9.0500000000000025E-2</v>
      </c>
      <c r="K268" s="434">
        <f t="shared" si="78"/>
        <v>9.0499999999999997E-2</v>
      </c>
      <c r="L268" s="434">
        <f t="shared" si="78"/>
        <v>9.0499999999999983E-2</v>
      </c>
      <c r="M268" s="434">
        <f t="shared" si="78"/>
        <v>9.0500000000000011E-2</v>
      </c>
      <c r="N268" s="2187">
        <f t="shared" si="68"/>
        <v>9.0507292871193926E-2</v>
      </c>
    </row>
    <row r="269" spans="2:14">
      <c r="B269" s="417"/>
      <c r="C269" s="417"/>
      <c r="D269" s="417" t="str">
        <f t="shared" ref="D269:F269" si="85">D165</f>
        <v>DME-063-12</v>
      </c>
      <c r="E269" s="417" t="str">
        <f t="shared" si="85"/>
        <v>HIDRO PIEDRA, S.A.</v>
      </c>
      <c r="F269" s="417" t="str">
        <f t="shared" si="85"/>
        <v>H</v>
      </c>
      <c r="G269" s="842"/>
      <c r="H269" s="434">
        <f t="shared" si="78"/>
        <v>8.9999969643672476E-2</v>
      </c>
      <c r="I269" s="434">
        <f t="shared" si="78"/>
        <v>9.0000006618409012E-2</v>
      </c>
      <c r="J269" s="434">
        <f t="shared" si="78"/>
        <v>9.000000465996133E-2</v>
      </c>
      <c r="K269" s="434">
        <f t="shared" si="78"/>
        <v>8.9999999999999983E-2</v>
      </c>
      <c r="L269" s="434">
        <f t="shared" si="78"/>
        <v>0.09</v>
      </c>
      <c r="M269" s="434">
        <f t="shared" si="78"/>
        <v>0.09</v>
      </c>
      <c r="N269" s="2187">
        <f t="shared" si="68"/>
        <v>8.9999996820340447E-2</v>
      </c>
    </row>
    <row r="270" spans="2:14">
      <c r="B270" s="417"/>
      <c r="C270" s="417"/>
      <c r="D270" s="417" t="str">
        <f t="shared" ref="D270:F270" si="86">D166</f>
        <v>DME-064-12</v>
      </c>
      <c r="E270" s="417" t="str">
        <f t="shared" si="86"/>
        <v>CORPORACION DE ENERGIA DEL ISTMO</v>
      </c>
      <c r="F270" s="417" t="str">
        <f t="shared" si="86"/>
        <v>H</v>
      </c>
      <c r="G270" s="842"/>
      <c r="H270" s="434">
        <f t="shared" si="78"/>
        <v>0.1</v>
      </c>
      <c r="I270" s="434">
        <f t="shared" si="78"/>
        <v>9.9999999999999908E-2</v>
      </c>
      <c r="J270" s="434">
        <f t="shared" si="78"/>
        <v>0.1</v>
      </c>
      <c r="K270" s="434">
        <f t="shared" si="78"/>
        <v>0.10000000358954324</v>
      </c>
      <c r="L270" s="434">
        <f t="shared" si="78"/>
        <v>0.10000000000000002</v>
      </c>
      <c r="M270" s="434">
        <f t="shared" si="78"/>
        <v>0.10000000000000007</v>
      </c>
      <c r="N270" s="2187">
        <f t="shared" si="68"/>
        <v>0.10000000059825721</v>
      </c>
    </row>
    <row r="271" spans="2:14">
      <c r="B271" s="417"/>
      <c r="C271" s="417"/>
      <c r="D271" s="417" t="str">
        <f t="shared" ref="D271:F271" si="87">D167</f>
        <v>DME-066-12</v>
      </c>
      <c r="E271" s="417" t="str">
        <f t="shared" si="87"/>
        <v>SALTOS DEL FRANCOLI, S.A.</v>
      </c>
      <c r="F271" s="417" t="str">
        <f t="shared" si="87"/>
        <v>H</v>
      </c>
      <c r="G271" s="842"/>
      <c r="H271" s="434">
        <f t="shared" si="78"/>
        <v>0.10349999999999995</v>
      </c>
      <c r="I271" s="434">
        <f t="shared" si="78"/>
        <v>0.10350000000000005</v>
      </c>
      <c r="J271" s="434">
        <f t="shared" si="78"/>
        <v>0.10350000000000004</v>
      </c>
      <c r="K271" s="434">
        <f t="shared" si="78"/>
        <v>0.10350000000000002</v>
      </c>
      <c r="L271" s="434">
        <f t="shared" si="78"/>
        <v>0.10350000000000001</v>
      </c>
      <c r="M271" s="434">
        <f t="shared" si="78"/>
        <v>0.10349999999999997</v>
      </c>
      <c r="N271" s="2187">
        <f t="shared" si="68"/>
        <v>0.10349999999999999</v>
      </c>
    </row>
    <row r="272" spans="2:14">
      <c r="B272" s="417"/>
      <c r="C272" s="417"/>
      <c r="D272" s="417" t="str">
        <f t="shared" ref="D272:F272" si="88">D168</f>
        <v>DME-001-13</v>
      </c>
      <c r="E272" s="417" t="str">
        <f t="shared" si="88"/>
        <v>ISTMUS HYDRO POWER</v>
      </c>
      <c r="F272" s="417" t="str">
        <f t="shared" si="88"/>
        <v>H</v>
      </c>
      <c r="G272" s="842"/>
      <c r="H272" s="434">
        <f t="shared" ref="H272:M281" si="89">IF(SUMIF($D$147:$D$243,$D272,H$147:H$243)=0,"",SUMIF($D$335:$D$436,$D272,H$335:H$436)/SUMIF($D$147:$D$243,$D272,H$147:H$243)/1000)</f>
        <v>0.1248085713909997</v>
      </c>
      <c r="I272" s="434">
        <f t="shared" si="89"/>
        <v>0.12000000000000001</v>
      </c>
      <c r="J272" s="434">
        <f t="shared" si="89"/>
        <v>0.12000000000000001</v>
      </c>
      <c r="K272" s="434">
        <f t="shared" si="89"/>
        <v>0.12</v>
      </c>
      <c r="L272" s="434">
        <f t="shared" si="89"/>
        <v>0.12000000000000006</v>
      </c>
      <c r="M272" s="434">
        <f t="shared" si="89"/>
        <v>0.11999999999999997</v>
      </c>
      <c r="N272" s="2187">
        <f t="shared" si="68"/>
        <v>0.12080142856516662</v>
      </c>
    </row>
    <row r="273" spans="2:14">
      <c r="B273" s="417"/>
      <c r="C273" s="417"/>
      <c r="D273" s="417" t="str">
        <f t="shared" ref="D273:F273" si="90">D169</f>
        <v>DME-002-13</v>
      </c>
      <c r="E273" s="417" t="str">
        <f t="shared" si="90"/>
        <v>CALDERA ENERGY</v>
      </c>
      <c r="F273" s="417" t="str">
        <f t="shared" si="90"/>
        <v>H</v>
      </c>
      <c r="G273" s="842"/>
      <c r="H273" s="434">
        <f t="shared" si="89"/>
        <v>0.12432900000000002</v>
      </c>
      <c r="I273" s="434">
        <f t="shared" si="89"/>
        <v>0.12511399999999998</v>
      </c>
      <c r="J273" s="434">
        <f t="shared" si="89"/>
        <v>0.124135</v>
      </c>
      <c r="K273" s="434">
        <f t="shared" si="89"/>
        <v>0.124571</v>
      </c>
      <c r="L273" s="434">
        <f t="shared" si="89"/>
        <v>0.12462970852117639</v>
      </c>
      <c r="M273" s="434">
        <f t="shared" si="89"/>
        <v>0.12586027620964435</v>
      </c>
      <c r="N273" s="2187">
        <f t="shared" si="68"/>
        <v>0.12477316412180345</v>
      </c>
    </row>
    <row r="274" spans="2:14">
      <c r="B274" s="417"/>
      <c r="C274" s="417"/>
      <c r="D274" s="417" t="str">
        <f t="shared" ref="D274:F274" si="91">D170</f>
        <v>DME-003-13</v>
      </c>
      <c r="E274" s="417" t="str">
        <f t="shared" si="91"/>
        <v>ELECTROGENERADORA DEL ISTMO, S.A.</v>
      </c>
      <c r="F274" s="417" t="str">
        <f t="shared" si="91"/>
        <v>H</v>
      </c>
      <c r="G274" s="842"/>
      <c r="H274" s="434">
        <f t="shared" si="89"/>
        <v>0.12500000000000003</v>
      </c>
      <c r="I274" s="434">
        <f t="shared" si="89"/>
        <v>0.12499999999999999</v>
      </c>
      <c r="J274" s="434">
        <f t="shared" si="89"/>
        <v>0.12609526051390985</v>
      </c>
      <c r="K274" s="434">
        <f t="shared" si="89"/>
        <v>0.125</v>
      </c>
      <c r="L274" s="434">
        <f t="shared" si="89"/>
        <v>0.12498820227314815</v>
      </c>
      <c r="M274" s="434">
        <f t="shared" si="89"/>
        <v>0.12500000000000006</v>
      </c>
      <c r="N274" s="2187">
        <f t="shared" si="68"/>
        <v>0.12518057713117633</v>
      </c>
    </row>
    <row r="275" spans="2:14">
      <c r="B275" s="417"/>
      <c r="C275" s="417"/>
      <c r="D275" s="417" t="str">
        <f t="shared" ref="D275:F275" si="92">D171</f>
        <v>DME-004-13</v>
      </c>
      <c r="E275" s="417" t="str">
        <f t="shared" si="92"/>
        <v>FOUNTAIN INTERTRADE CORP.</v>
      </c>
      <c r="F275" s="417" t="str">
        <f t="shared" si="92"/>
        <v>H</v>
      </c>
      <c r="G275" s="842"/>
      <c r="H275" s="434">
        <f t="shared" si="89"/>
        <v>0.14133299999999999</v>
      </c>
      <c r="I275" s="434">
        <f t="shared" si="89"/>
        <v>0.14061300000000004</v>
      </c>
      <c r="J275" s="434">
        <f t="shared" si="89"/>
        <v>0.14088645106945069</v>
      </c>
      <c r="K275" s="434">
        <f t="shared" si="89"/>
        <v>0.1413489993308247</v>
      </c>
      <c r="L275" s="434">
        <f t="shared" si="89"/>
        <v>0.14134900000000006</v>
      </c>
      <c r="M275" s="434">
        <f t="shared" si="89"/>
        <v>0.14109300000000002</v>
      </c>
      <c r="N275" s="2187">
        <f t="shared" si="68"/>
        <v>0.14110390840004591</v>
      </c>
    </row>
    <row r="276" spans="2:14">
      <c r="B276" s="417"/>
      <c r="C276" s="417"/>
      <c r="D276" s="417" t="str">
        <f t="shared" ref="D276:F276" si="93">D172</f>
        <v>DME-005-13</v>
      </c>
      <c r="E276" s="417" t="str">
        <f t="shared" si="93"/>
        <v xml:space="preserve">HIDROIBÉRICA </v>
      </c>
      <c r="F276" s="417" t="str">
        <f t="shared" si="93"/>
        <v>H</v>
      </c>
      <c r="G276" s="842"/>
      <c r="H276" s="434">
        <f t="shared" si="89"/>
        <v>0.20462071807843024</v>
      </c>
      <c r="I276" s="434">
        <f t="shared" si="89"/>
        <v>0.09</v>
      </c>
      <c r="J276" s="434">
        <f t="shared" si="89"/>
        <v>8.9998737198679124E-2</v>
      </c>
      <c r="K276" s="434">
        <f t="shared" si="89"/>
        <v>8.9999999999999983E-2</v>
      </c>
      <c r="L276" s="434">
        <f t="shared" si="89"/>
        <v>8.9993254757786828E-2</v>
      </c>
      <c r="M276" s="434">
        <f t="shared" si="89"/>
        <v>9.0000000000000011E-2</v>
      </c>
      <c r="N276" s="2187">
        <f t="shared" si="68"/>
        <v>0.10910211833914936</v>
      </c>
    </row>
    <row r="277" spans="2:14">
      <c r="B277" s="417"/>
      <c r="C277" s="417"/>
      <c r="D277" s="417" t="str">
        <f t="shared" ref="D277:F277" si="94">D173</f>
        <v>DME-007-13</v>
      </c>
      <c r="E277" s="417" t="str">
        <f t="shared" si="94"/>
        <v xml:space="preserve">HIDROECOLOGICA DEL TERIBE </v>
      </c>
      <c r="F277" s="417" t="str">
        <f t="shared" si="94"/>
        <v>H</v>
      </c>
      <c r="G277" s="842"/>
      <c r="H277" s="434">
        <f t="shared" si="89"/>
        <v>0.13600000000000007</v>
      </c>
      <c r="I277" s="434">
        <f t="shared" si="89"/>
        <v>0.14420975958206414</v>
      </c>
      <c r="J277" s="434">
        <f t="shared" si="89"/>
        <v>0.13600000000000007</v>
      </c>
      <c r="K277" s="434">
        <f t="shared" si="89"/>
        <v>0.13600000000000004</v>
      </c>
      <c r="L277" s="434">
        <f t="shared" si="89"/>
        <v>0.13600000000000004</v>
      </c>
      <c r="M277" s="434">
        <f t="shared" si="89"/>
        <v>0.14431567305779339</v>
      </c>
      <c r="N277" s="2187">
        <f t="shared" si="68"/>
        <v>0.13875423877330961</v>
      </c>
    </row>
    <row r="278" spans="2:14">
      <c r="B278" s="417"/>
      <c r="C278" s="417"/>
      <c r="D278" s="417" t="str">
        <f t="shared" ref="D278:F278" si="95">D174</f>
        <v>DME-010-13</v>
      </c>
      <c r="E278" s="417" t="str">
        <f t="shared" si="95"/>
        <v>GENERADORA GATÚN</v>
      </c>
      <c r="F278" s="417" t="str">
        <f t="shared" si="95"/>
        <v>G</v>
      </c>
      <c r="G278" s="842"/>
      <c r="H278" s="434">
        <f t="shared" si="89"/>
        <v>8.2360000027685093E-2</v>
      </c>
      <c r="I278" s="434">
        <f t="shared" si="89"/>
        <v>7.9689999909884873E-2</v>
      </c>
      <c r="J278" s="434">
        <f t="shared" si="89"/>
        <v>8.0239999979169363E-2</v>
      </c>
      <c r="K278" s="434">
        <f t="shared" si="89"/>
        <v>8.2269999881087352E-2</v>
      </c>
      <c r="L278" s="434">
        <f t="shared" si="89"/>
        <v>8.7819999967088239E-2</v>
      </c>
      <c r="M278" s="434">
        <f t="shared" si="89"/>
        <v>9.2190000079182099E-2</v>
      </c>
      <c r="N278" s="2187">
        <f t="shared" si="68"/>
        <v>8.4094999974016163E-2</v>
      </c>
    </row>
    <row r="279" spans="2:14">
      <c r="B279" s="417"/>
      <c r="C279" s="417"/>
      <c r="D279" s="417" t="str">
        <f t="shared" ref="D279:F279" si="96">D175</f>
        <v>DME-011-13</v>
      </c>
      <c r="E279" s="417" t="str">
        <f t="shared" si="96"/>
        <v xml:space="preserve">GENERADORA ALTO VALLE, S.A. </v>
      </c>
      <c r="F279" s="417" t="str">
        <f t="shared" si="96"/>
        <v>H</v>
      </c>
      <c r="G279" s="842"/>
      <c r="H279" s="434">
        <f t="shared" si="89"/>
        <v>0.13432899999999998</v>
      </c>
      <c r="I279" s="434">
        <f t="shared" si="89"/>
        <v>0.13511400000000007</v>
      </c>
      <c r="J279" s="434">
        <f t="shared" si="89"/>
        <v>0.13413500000000003</v>
      </c>
      <c r="K279" s="434">
        <f t="shared" si="89"/>
        <v>0.1355683963617946</v>
      </c>
      <c r="L279" s="434">
        <f t="shared" si="89"/>
        <v>0.134575</v>
      </c>
      <c r="M279" s="434">
        <f t="shared" si="89"/>
        <v>0.13475851599835528</v>
      </c>
      <c r="N279" s="2187">
        <f t="shared" si="68"/>
        <v>0.13474665206002501</v>
      </c>
    </row>
    <row r="280" spans="2:14">
      <c r="B280" s="417"/>
      <c r="C280" s="417"/>
      <c r="D280" s="417" t="str">
        <f t="shared" ref="D280:F280" si="97">D176</f>
        <v>DME-012-13</v>
      </c>
      <c r="E280" s="417" t="str">
        <f t="shared" si="97"/>
        <v xml:space="preserve">CAFÉ DE ELETA, S.A. </v>
      </c>
      <c r="F280" s="417" t="str">
        <f t="shared" si="97"/>
        <v>H</v>
      </c>
      <c r="G280" s="842"/>
      <c r="H280" s="434">
        <f t="shared" si="89"/>
        <v>0.128</v>
      </c>
      <c r="I280" s="434">
        <f t="shared" si="89"/>
        <v>0.12800000000000003</v>
      </c>
      <c r="J280" s="434">
        <f t="shared" si="89"/>
        <v>0.12800000000000003</v>
      </c>
      <c r="K280" s="434">
        <f t="shared" si="89"/>
        <v>0.12800000000000009</v>
      </c>
      <c r="L280" s="434">
        <f t="shared" si="89"/>
        <v>0.12800000000000006</v>
      </c>
      <c r="M280" s="434">
        <f t="shared" si="89"/>
        <v>0.128</v>
      </c>
      <c r="N280" s="2187">
        <f t="shared" si="68"/>
        <v>0.12800000000000003</v>
      </c>
    </row>
    <row r="281" spans="2:14">
      <c r="B281" s="417"/>
      <c r="C281" s="417"/>
      <c r="D281" s="417" t="str">
        <f t="shared" ref="D281:F281" si="98">D177</f>
        <v>DME-013-13</v>
      </c>
      <c r="E281" s="417" t="str">
        <f t="shared" si="98"/>
        <v>EMPRESA NACIONAL DE ENERGÍA, S.A.</v>
      </c>
      <c r="F281" s="417" t="str">
        <f t="shared" si="98"/>
        <v>H</v>
      </c>
      <c r="G281" s="842"/>
      <c r="H281" s="434">
        <f t="shared" si="89"/>
        <v>0.12751393469839181</v>
      </c>
      <c r="I281" s="434">
        <f t="shared" si="89"/>
        <v>0.12750000000000006</v>
      </c>
      <c r="J281" s="434">
        <f t="shared" si="89"/>
        <v>0.12750000000000003</v>
      </c>
      <c r="K281" s="434">
        <f t="shared" si="89"/>
        <v>0.12750000000000003</v>
      </c>
      <c r="L281" s="434">
        <f t="shared" si="89"/>
        <v>0.1275</v>
      </c>
      <c r="M281" s="434">
        <f t="shared" si="89"/>
        <v>0.12749999999999997</v>
      </c>
      <c r="N281" s="2187">
        <f t="shared" si="68"/>
        <v>0.127502322449732</v>
      </c>
    </row>
    <row r="282" spans="2:14">
      <c r="B282" s="417"/>
      <c r="C282" s="417"/>
      <c r="D282" s="417" t="str">
        <f t="shared" ref="D282:F282" si="99">D178</f>
        <v>DME-014-13</v>
      </c>
      <c r="E282" s="417" t="str">
        <f t="shared" si="99"/>
        <v xml:space="preserve">ESEPSA  </v>
      </c>
      <c r="F282" s="417" t="str">
        <f t="shared" si="99"/>
        <v>H</v>
      </c>
      <c r="G282" s="842"/>
      <c r="H282" s="434">
        <f t="shared" ref="H282:M291" si="100">IF(SUMIF($D$147:$D$243,$D282,H$147:H$243)=0,"",SUMIF($D$335:$D$436,$D282,H$335:H$436)/SUMIF($D$147:$D$243,$D282,H$147:H$243)/1000)</f>
        <v>0.13260000000000002</v>
      </c>
      <c r="I282" s="434">
        <f t="shared" si="100"/>
        <v>0.13259999999999997</v>
      </c>
      <c r="J282" s="434">
        <f t="shared" si="100"/>
        <v>0.1326</v>
      </c>
      <c r="K282" s="434">
        <f t="shared" si="100"/>
        <v>0.1326</v>
      </c>
      <c r="L282" s="434">
        <f t="shared" si="100"/>
        <v>0.1326</v>
      </c>
      <c r="M282" s="434">
        <f t="shared" si="100"/>
        <v>0.1326</v>
      </c>
      <c r="N282" s="2187">
        <f t="shared" si="68"/>
        <v>0.13260000000000002</v>
      </c>
    </row>
    <row r="283" spans="2:14">
      <c r="B283" s="417"/>
      <c r="C283" s="417"/>
      <c r="D283" s="417" t="str">
        <f t="shared" ref="D283:F283" si="101">D179</f>
        <v>DME-015-13</v>
      </c>
      <c r="E283" s="417" t="str">
        <f t="shared" si="101"/>
        <v>SALTOS DEL FRANCOLI, S.A.</v>
      </c>
      <c r="F283" s="417" t="str">
        <f t="shared" si="101"/>
        <v>H</v>
      </c>
      <c r="G283" s="842"/>
      <c r="H283" s="434">
        <f t="shared" si="100"/>
        <v>0.12760000000000002</v>
      </c>
      <c r="I283" s="434">
        <f t="shared" si="100"/>
        <v>0.12759999999999996</v>
      </c>
      <c r="J283" s="434">
        <f t="shared" si="100"/>
        <v>0.12760000000000002</v>
      </c>
      <c r="K283" s="434">
        <f t="shared" si="100"/>
        <v>0.12759999999999999</v>
      </c>
      <c r="L283" s="434">
        <f t="shared" si="100"/>
        <v>0.12760000000000002</v>
      </c>
      <c r="M283" s="434">
        <f t="shared" si="100"/>
        <v>0.12759999999999999</v>
      </c>
      <c r="N283" s="2187">
        <f t="shared" si="68"/>
        <v>0.12760000000000002</v>
      </c>
    </row>
    <row r="284" spans="2:14">
      <c r="B284" s="417"/>
      <c r="C284" s="417"/>
      <c r="D284" s="417" t="str">
        <f t="shared" ref="D284:F284" si="102">D180</f>
        <v>DME-016-13</v>
      </c>
      <c r="E284" s="417" t="str">
        <f t="shared" si="102"/>
        <v>HYDRO CAISAN</v>
      </c>
      <c r="F284" s="417" t="str">
        <f t="shared" si="102"/>
        <v>H</v>
      </c>
      <c r="G284" s="842"/>
      <c r="H284" s="434">
        <f t="shared" si="100"/>
        <v>0.13438100000000011</v>
      </c>
      <c r="I284" s="434">
        <f t="shared" si="100"/>
        <v>0.134493</v>
      </c>
      <c r="J284" s="434">
        <f t="shared" si="100"/>
        <v>0.13440300000000005</v>
      </c>
      <c r="K284" s="434">
        <f t="shared" si="100"/>
        <v>0.13550416561858825</v>
      </c>
      <c r="L284" s="434">
        <f t="shared" si="100"/>
        <v>0.13440100000000005</v>
      </c>
      <c r="M284" s="434">
        <f t="shared" si="100"/>
        <v>0.13513607963194668</v>
      </c>
      <c r="N284" s="2187">
        <f t="shared" si="68"/>
        <v>0.13471970754175586</v>
      </c>
    </row>
    <row r="285" spans="2:14">
      <c r="B285" s="417"/>
      <c r="C285" s="417"/>
      <c r="D285" s="417" t="str">
        <f t="shared" ref="D285:F285" si="103">D181</f>
        <v>DME-017-13</v>
      </c>
      <c r="E285" s="417" t="str">
        <f t="shared" si="103"/>
        <v>PASO ANCHO</v>
      </c>
      <c r="F285" s="417" t="str">
        <f t="shared" si="103"/>
        <v>H</v>
      </c>
      <c r="G285" s="842"/>
      <c r="H285" s="434">
        <f t="shared" si="100"/>
        <v>0.12199999999999998</v>
      </c>
      <c r="I285" s="434">
        <f t="shared" si="100"/>
        <v>0.12200000000000001</v>
      </c>
      <c r="J285" s="434">
        <f t="shared" si="100"/>
        <v>0.122</v>
      </c>
      <c r="K285" s="434" t="str">
        <f t="shared" si="100"/>
        <v/>
      </c>
      <c r="L285" s="434">
        <f t="shared" si="100"/>
        <v>0.12200000000000004</v>
      </c>
      <c r="M285" s="434">
        <f t="shared" si="100"/>
        <v>0.12199999999999998</v>
      </c>
      <c r="N285" s="2187">
        <f t="shared" si="68"/>
        <v>0.122</v>
      </c>
    </row>
    <row r="286" spans="2:14">
      <c r="B286" s="417"/>
      <c r="C286" s="417"/>
      <c r="D286" s="417" t="str">
        <f t="shared" ref="D286:F286" si="104">D182</f>
        <v>DME-018-13</v>
      </c>
      <c r="E286" s="417" t="str">
        <f t="shared" si="104"/>
        <v xml:space="preserve">GENERADORA PEDREGALITO, S.A. </v>
      </c>
      <c r="F286" s="417" t="str">
        <f t="shared" si="104"/>
        <v>H</v>
      </c>
      <c r="G286" s="842"/>
      <c r="H286" s="434">
        <f t="shared" si="100"/>
        <v>0.133881</v>
      </c>
      <c r="I286" s="434">
        <f t="shared" si="100"/>
        <v>0.13417113905188846</v>
      </c>
      <c r="J286" s="434">
        <f t="shared" si="100"/>
        <v>0.13390300000000005</v>
      </c>
      <c r="K286" s="434">
        <f t="shared" si="100"/>
        <v>0.13405400000000001</v>
      </c>
      <c r="L286" s="434">
        <f t="shared" si="100"/>
        <v>0.13404885657342394</v>
      </c>
      <c r="M286" s="434">
        <f t="shared" si="100"/>
        <v>0.13406999999999997</v>
      </c>
      <c r="N286" s="2187">
        <f t="shared" si="68"/>
        <v>0.13402133260421875</v>
      </c>
    </row>
    <row r="287" spans="2:14">
      <c r="B287" s="417"/>
      <c r="C287" s="417"/>
      <c r="D287" s="417" t="str">
        <f t="shared" ref="D287:F287" si="105">D183</f>
        <v>DME-019-13</v>
      </c>
      <c r="E287" s="417" t="str">
        <f t="shared" si="105"/>
        <v xml:space="preserve">GENERADORA RIO CHICO, S.A.  </v>
      </c>
      <c r="F287" s="417" t="str">
        <f t="shared" si="105"/>
        <v>H</v>
      </c>
      <c r="G287" s="842"/>
      <c r="H287" s="434">
        <f t="shared" si="100"/>
        <v>0.13388100000000006</v>
      </c>
      <c r="I287" s="434">
        <f t="shared" si="100"/>
        <v>0.13417118285873333</v>
      </c>
      <c r="J287" s="434">
        <f t="shared" si="100"/>
        <v>0.13390300000000005</v>
      </c>
      <c r="K287" s="434">
        <f t="shared" si="100"/>
        <v>0.13405400000000003</v>
      </c>
      <c r="L287" s="434">
        <f t="shared" si="100"/>
        <v>0.13404882864965534</v>
      </c>
      <c r="M287" s="434">
        <f t="shared" si="100"/>
        <v>0.13406999999999999</v>
      </c>
      <c r="N287" s="2187">
        <f t="shared" si="68"/>
        <v>0.13402133525139812</v>
      </c>
    </row>
    <row r="288" spans="2:14">
      <c r="B288" s="417"/>
      <c r="C288" s="417"/>
      <c r="D288" s="417" t="str">
        <f t="shared" ref="D288:F288" si="106">D184</f>
        <v>DME-002-14</v>
      </c>
      <c r="E288" s="417" t="str">
        <f t="shared" si="106"/>
        <v>PARQUE EOLICO TOABRE (FERSA)</v>
      </c>
      <c r="F288" s="417" t="str">
        <f t="shared" si="106"/>
        <v>E</v>
      </c>
      <c r="G288" s="842"/>
      <c r="H288" s="434">
        <f t="shared" si="100"/>
        <v>9.8419170921340227E-2</v>
      </c>
      <c r="I288" s="434">
        <f t="shared" si="100"/>
        <v>0.10052568412738978</v>
      </c>
      <c r="J288" s="434">
        <f t="shared" si="100"/>
        <v>9.6624645967055514E-2</v>
      </c>
      <c r="K288" s="434">
        <f t="shared" si="100"/>
        <v>9.7919843029162637E-2</v>
      </c>
      <c r="L288" s="434">
        <f t="shared" si="100"/>
        <v>9.7735370739661639E-2</v>
      </c>
      <c r="M288" s="434">
        <f t="shared" si="100"/>
        <v>9.8706958528931993E-2</v>
      </c>
      <c r="N288" s="2187">
        <f t="shared" si="68"/>
        <v>9.832194555225697E-2</v>
      </c>
    </row>
    <row r="289" spans="2:14">
      <c r="B289" s="417"/>
      <c r="C289" s="417"/>
      <c r="D289" s="417" t="str">
        <f t="shared" ref="D289:F289" si="107">D185</f>
        <v>DME-002-15</v>
      </c>
      <c r="E289" s="417" t="str">
        <f t="shared" si="107"/>
        <v>PANAMA SOLAR2</v>
      </c>
      <c r="F289" s="417" t="str">
        <f t="shared" si="107"/>
        <v>S</v>
      </c>
      <c r="G289" s="842"/>
      <c r="H289" s="434">
        <f t="shared" si="100"/>
        <v>8.894599792200053E-2</v>
      </c>
      <c r="I289" s="434">
        <f t="shared" si="100"/>
        <v>8.9680999999999983E-2</v>
      </c>
      <c r="J289" s="434">
        <f t="shared" si="100"/>
        <v>8.8952000000000003E-2</v>
      </c>
      <c r="K289" s="434">
        <f t="shared" si="100"/>
        <v>8.8653999999999997E-2</v>
      </c>
      <c r="L289" s="434">
        <f t="shared" si="100"/>
        <v>8.8342000000000004E-2</v>
      </c>
      <c r="M289" s="434">
        <f t="shared" si="100"/>
        <v>8.8838999999999987E-2</v>
      </c>
      <c r="N289" s="2187">
        <f t="shared" si="68"/>
        <v>8.8902332987000079E-2</v>
      </c>
    </row>
    <row r="290" spans="2:14">
      <c r="B290" s="417"/>
      <c r="C290" s="417"/>
      <c r="D290" s="417" t="str">
        <f t="shared" ref="D290:F290" si="108">D186</f>
        <v>DME-003-15</v>
      </c>
      <c r="E290" s="417" t="str">
        <f t="shared" si="108"/>
        <v>SOLPAC</v>
      </c>
      <c r="F290" s="417" t="str">
        <f t="shared" si="108"/>
        <v>S</v>
      </c>
      <c r="G290" s="842"/>
      <c r="H290" s="434">
        <f t="shared" si="100"/>
        <v>0.10669005977943496</v>
      </c>
      <c r="I290" s="434">
        <f t="shared" si="100"/>
        <v>0.10665999013029638</v>
      </c>
      <c r="J290" s="434">
        <f t="shared" si="100"/>
        <v>0.10661001353960881</v>
      </c>
      <c r="K290" s="434">
        <f t="shared" si="100"/>
        <v>0.1066</v>
      </c>
      <c r="L290" s="434" t="str">
        <f t="shared" si="100"/>
        <v/>
      </c>
      <c r="M290" s="434">
        <f t="shared" si="100"/>
        <v>0.10660989117609168</v>
      </c>
      <c r="N290" s="2187">
        <f t="shared" si="68"/>
        <v>0.10663399092508637</v>
      </c>
    </row>
    <row r="291" spans="2:14">
      <c r="B291" s="417"/>
      <c r="C291" s="417"/>
      <c r="D291" s="417" t="str">
        <f t="shared" ref="D291:F291" si="109">D187</f>
        <v>DME-004-15</v>
      </c>
      <c r="E291" s="417" t="str">
        <f t="shared" si="109"/>
        <v>GAS NATURAL DEL ATLÁNTICO, S.A.</v>
      </c>
      <c r="F291" s="417" t="str">
        <f t="shared" si="109"/>
        <v>G</v>
      </c>
      <c r="G291" s="842"/>
      <c r="H291" s="434">
        <f t="shared" si="100"/>
        <v>3.0210000000000008E-2</v>
      </c>
      <c r="I291" s="434">
        <f t="shared" si="100"/>
        <v>2.7760000000000003E-2</v>
      </c>
      <c r="J291" s="434">
        <f t="shared" si="100"/>
        <v>2.7999999977729405E-2</v>
      </c>
      <c r="K291" s="434">
        <f t="shared" si="100"/>
        <v>2.9380000000000003E-2</v>
      </c>
      <c r="L291" s="434">
        <f t="shared" si="100"/>
        <v>3.4710000000000005E-2</v>
      </c>
      <c r="M291" s="434">
        <f t="shared" si="100"/>
        <v>3.7659999999999999E-2</v>
      </c>
      <c r="N291" s="2187">
        <f t="shared" si="68"/>
        <v>3.1286666662954904E-2</v>
      </c>
    </row>
    <row r="292" spans="2:14">
      <c r="B292" s="417"/>
      <c r="C292" s="417"/>
      <c r="D292" s="417" t="str">
        <f t="shared" ref="D292:F292" si="110">D188</f>
        <v>DME-005-15b</v>
      </c>
      <c r="E292" s="417" t="str">
        <f t="shared" si="110"/>
        <v>ALTERNEGY</v>
      </c>
      <c r="F292" s="417" t="str">
        <f t="shared" si="110"/>
        <v>H2</v>
      </c>
      <c r="G292" s="842"/>
      <c r="H292" s="434">
        <f t="shared" ref="H292:M301" si="111">IF(SUMIF($D$147:$D$243,$D292,H$147:H$243)=0,"",SUMIF($D$335:$D$436,$D292,H$335:H$436)/SUMIF($D$147:$D$243,$D292,H$147:H$243)/1000)</f>
        <v>2.0899999999999992E-2</v>
      </c>
      <c r="I292" s="434">
        <f t="shared" si="111"/>
        <v>2.1183329672350457E-2</v>
      </c>
      <c r="J292" s="434">
        <f t="shared" si="111"/>
        <v>2.0899999999999998E-2</v>
      </c>
      <c r="K292" s="434">
        <f t="shared" si="111"/>
        <v>2.1026311061932493E-2</v>
      </c>
      <c r="L292" s="434">
        <f t="shared" si="111"/>
        <v>2.1032491654182445E-2</v>
      </c>
      <c r="M292" s="434">
        <f t="shared" si="111"/>
        <v>2.0980250783496034E-2</v>
      </c>
      <c r="N292" s="2187">
        <f t="shared" si="68"/>
        <v>2.1003730528660235E-2</v>
      </c>
    </row>
    <row r="293" spans="2:14">
      <c r="B293" s="417"/>
      <c r="C293" s="417"/>
      <c r="D293" s="417" t="str">
        <f t="shared" ref="D293:F293" si="112">D190</f>
        <v>DME-002-23</v>
      </c>
      <c r="E293" s="417" t="str">
        <f t="shared" si="112"/>
        <v>EMNADESA</v>
      </c>
      <c r="F293" s="417" t="str">
        <f t="shared" si="112"/>
        <v>H</v>
      </c>
      <c r="G293" s="842"/>
      <c r="H293" s="434" t="str">
        <f t="shared" si="111"/>
        <v/>
      </c>
      <c r="I293" s="434">
        <f t="shared" si="111"/>
        <v>6.9999999999999965E-2</v>
      </c>
      <c r="J293" s="434" t="str">
        <f t="shared" si="111"/>
        <v/>
      </c>
      <c r="K293" s="434" t="str">
        <f t="shared" si="111"/>
        <v/>
      </c>
      <c r="L293" s="434" t="str">
        <f t="shared" si="111"/>
        <v/>
      </c>
      <c r="M293" s="434" t="str">
        <f t="shared" si="111"/>
        <v/>
      </c>
      <c r="N293" s="2187">
        <f t="shared" si="68"/>
        <v>6.9999999999999965E-2</v>
      </c>
    </row>
    <row r="294" spans="2:14">
      <c r="B294" s="417"/>
      <c r="C294" s="417"/>
      <c r="D294" s="417" t="str">
        <f t="shared" ref="D294:F294" si="113">D193</f>
        <v>DME-006-23</v>
      </c>
      <c r="E294" s="417" t="str">
        <f t="shared" si="113"/>
        <v>HIDROBOQUERON, S.A.</v>
      </c>
      <c r="F294" s="417" t="str">
        <f t="shared" si="113"/>
        <v>H</v>
      </c>
      <c r="G294" s="842"/>
      <c r="H294" s="434">
        <f t="shared" si="111"/>
        <v>7.4500000000000011E-2</v>
      </c>
      <c r="I294" s="434">
        <f t="shared" si="111"/>
        <v>7.4499999999999997E-2</v>
      </c>
      <c r="J294" s="434">
        <f t="shared" si="111"/>
        <v>7.4499999999999969E-2</v>
      </c>
      <c r="K294" s="434" t="str">
        <f t="shared" si="111"/>
        <v/>
      </c>
      <c r="L294" s="434">
        <f t="shared" si="111"/>
        <v>7.4499999999999997E-2</v>
      </c>
      <c r="M294" s="434" t="str">
        <f t="shared" si="111"/>
        <v/>
      </c>
      <c r="N294" s="2187">
        <f t="shared" si="68"/>
        <v>7.4499999999999997E-2</v>
      </c>
    </row>
    <row r="295" spans="2:14">
      <c r="B295" s="417"/>
      <c r="C295" s="417"/>
      <c r="D295" s="417" t="str">
        <f t="shared" ref="D295:F295" si="114">D194</f>
        <v>DME-007-23</v>
      </c>
      <c r="E295" s="417" t="str">
        <f t="shared" si="114"/>
        <v>HIDROIBERICA</v>
      </c>
      <c r="F295" s="417" t="str">
        <f t="shared" si="114"/>
        <v>H</v>
      </c>
      <c r="G295" s="842"/>
      <c r="H295" s="434">
        <f t="shared" si="111"/>
        <v>7.5988981632626088E-2</v>
      </c>
      <c r="I295" s="434">
        <f t="shared" si="111"/>
        <v>7.5999999999999984E-2</v>
      </c>
      <c r="J295" s="434">
        <f t="shared" si="111"/>
        <v>7.6000000000000026E-2</v>
      </c>
      <c r="K295" s="434" t="str">
        <f t="shared" si="111"/>
        <v/>
      </c>
      <c r="L295" s="434">
        <f t="shared" si="111"/>
        <v>7.5995327908331314E-2</v>
      </c>
      <c r="M295" s="434" t="str">
        <f t="shared" si="111"/>
        <v/>
      </c>
      <c r="N295" s="2187">
        <f t="shared" si="68"/>
        <v>7.599607738523935E-2</v>
      </c>
    </row>
    <row r="296" spans="2:14">
      <c r="B296" s="417"/>
      <c r="C296" s="417"/>
      <c r="D296" s="417" t="str">
        <f t="shared" ref="D296:F296" si="115">D196</f>
        <v>DME-009-23</v>
      </c>
      <c r="E296" s="417" t="str">
        <f t="shared" si="115"/>
        <v>IDEAL PANAMA</v>
      </c>
      <c r="F296" s="417" t="str">
        <f t="shared" si="115"/>
        <v>H</v>
      </c>
      <c r="G296" s="842"/>
      <c r="H296" s="434">
        <f t="shared" si="111"/>
        <v>7.0313000924328975E-2</v>
      </c>
      <c r="I296" s="434">
        <f t="shared" si="111"/>
        <v>7.009165532407742E-2</v>
      </c>
      <c r="J296" s="434">
        <f t="shared" si="111"/>
        <v>7.1483357172610063E-2</v>
      </c>
      <c r="K296" s="434" t="str">
        <f t="shared" si="111"/>
        <v/>
      </c>
      <c r="L296" s="434">
        <f t="shared" si="111"/>
        <v>7.0000000000000007E-2</v>
      </c>
      <c r="M296" s="434" t="str">
        <f t="shared" si="111"/>
        <v/>
      </c>
      <c r="N296" s="2187">
        <f t="shared" si="68"/>
        <v>7.0472003355254109E-2</v>
      </c>
    </row>
    <row r="297" spans="2:14">
      <c r="B297" s="417"/>
      <c r="C297" s="417"/>
      <c r="D297" s="417" t="str">
        <f t="shared" ref="D297:F297" si="116">D198</f>
        <v>DME-011-23</v>
      </c>
      <c r="E297" s="417" t="str">
        <f t="shared" si="116"/>
        <v>LAS PERLAS NORTE</v>
      </c>
      <c r="F297" s="417" t="str">
        <f t="shared" si="116"/>
        <v>H</v>
      </c>
      <c r="G297" s="842"/>
      <c r="H297" s="434" t="str">
        <f t="shared" si="111"/>
        <v/>
      </c>
      <c r="I297" s="434">
        <f t="shared" si="111"/>
        <v>8.0999999999999975E-2</v>
      </c>
      <c r="J297" s="434" t="str">
        <f t="shared" si="111"/>
        <v/>
      </c>
      <c r="K297" s="434" t="str">
        <f t="shared" si="111"/>
        <v/>
      </c>
      <c r="L297" s="434" t="str">
        <f t="shared" si="111"/>
        <v/>
      </c>
      <c r="M297" s="434" t="str">
        <f t="shared" si="111"/>
        <v/>
      </c>
      <c r="N297" s="2187">
        <f t="shared" si="68"/>
        <v>8.0999999999999975E-2</v>
      </c>
    </row>
    <row r="298" spans="2:14">
      <c r="B298" s="417"/>
      <c r="C298" s="417"/>
      <c r="D298" s="417" t="str">
        <f t="shared" ref="D298:F298" si="117">D199</f>
        <v>DME-012-23</v>
      </c>
      <c r="E298" s="417" t="str">
        <f t="shared" si="117"/>
        <v>LAS PERLAS SUR</v>
      </c>
      <c r="F298" s="417" t="str">
        <f t="shared" si="117"/>
        <v>H</v>
      </c>
      <c r="G298" s="842"/>
      <c r="H298" s="434" t="str">
        <f t="shared" si="111"/>
        <v/>
      </c>
      <c r="I298" s="434">
        <f t="shared" si="111"/>
        <v>7.7000000000000027E-2</v>
      </c>
      <c r="J298" s="434" t="str">
        <f t="shared" si="111"/>
        <v/>
      </c>
      <c r="K298" s="434" t="str">
        <f t="shared" si="111"/>
        <v/>
      </c>
      <c r="L298" s="434" t="str">
        <f t="shared" si="111"/>
        <v/>
      </c>
      <c r="M298" s="434" t="str">
        <f t="shared" si="111"/>
        <v/>
      </c>
      <c r="N298" s="2187">
        <f t="shared" si="68"/>
        <v>7.7000000000000027E-2</v>
      </c>
    </row>
    <row r="299" spans="2:14">
      <c r="B299" s="417"/>
      <c r="C299" s="417"/>
      <c r="D299" s="417" t="str">
        <f t="shared" ref="D299:F299" si="118">D200</f>
        <v>DME-013-23</v>
      </c>
      <c r="E299" s="417" t="str">
        <f t="shared" si="118"/>
        <v>SOLAR BOQUERON, S.A.</v>
      </c>
      <c r="F299" s="417" t="str">
        <f t="shared" si="118"/>
        <v>S</v>
      </c>
      <c r="G299" s="842"/>
      <c r="H299" s="434">
        <f t="shared" si="111"/>
        <v>7.85E-2</v>
      </c>
      <c r="I299" s="434">
        <f t="shared" si="111"/>
        <v>7.85E-2</v>
      </c>
      <c r="J299" s="434">
        <f t="shared" si="111"/>
        <v>7.8499999999999973E-2</v>
      </c>
      <c r="K299" s="434" t="str">
        <f t="shared" si="111"/>
        <v/>
      </c>
      <c r="L299" s="434">
        <f t="shared" si="111"/>
        <v>7.8500000000000014E-2</v>
      </c>
      <c r="M299" s="434" t="str">
        <f t="shared" si="111"/>
        <v/>
      </c>
      <c r="N299" s="2187">
        <f t="shared" si="68"/>
        <v>7.85E-2</v>
      </c>
    </row>
    <row r="300" spans="2:14">
      <c r="B300" s="417"/>
      <c r="C300" s="417"/>
      <c r="D300" s="417" t="str">
        <f t="shared" ref="D300:F300" si="119">D201</f>
        <v>DME-023-23</v>
      </c>
      <c r="E300" s="417" t="str">
        <f t="shared" si="119"/>
        <v>CALDERA ENERGY CORP</v>
      </c>
      <c r="F300" s="417" t="str">
        <f t="shared" si="119"/>
        <v>H</v>
      </c>
      <c r="G300" s="842"/>
      <c r="H300" s="434">
        <f t="shared" si="111"/>
        <v>8.0000000000000016E-2</v>
      </c>
      <c r="I300" s="434">
        <f t="shared" si="111"/>
        <v>8.0000000000000016E-2</v>
      </c>
      <c r="J300" s="434" t="str">
        <f t="shared" si="111"/>
        <v/>
      </c>
      <c r="K300" s="434" t="str">
        <f t="shared" si="111"/>
        <v/>
      </c>
      <c r="L300" s="434" t="str">
        <f t="shared" si="111"/>
        <v/>
      </c>
      <c r="M300" s="434">
        <f t="shared" si="111"/>
        <v>8.500000000000002E-2</v>
      </c>
      <c r="N300" s="2187">
        <f t="shared" ref="N300:N308" si="120">AVERAGE(H300:M300)</f>
        <v>8.1666666666666679E-2</v>
      </c>
    </row>
    <row r="301" spans="2:14">
      <c r="B301" s="417"/>
      <c r="C301" s="417"/>
      <c r="D301" s="417" t="str">
        <f t="shared" ref="D301:F301" si="121">D202</f>
        <v>DME-024-23</v>
      </c>
      <c r="E301" s="417" t="str">
        <f t="shared" si="121"/>
        <v>ELECTRON INVESTMENT, S.A.</v>
      </c>
      <c r="F301" s="417" t="str">
        <f t="shared" si="121"/>
        <v>H</v>
      </c>
      <c r="G301" s="842"/>
      <c r="H301" s="434" t="str">
        <f t="shared" si="111"/>
        <v/>
      </c>
      <c r="I301" s="434" t="str">
        <f t="shared" si="111"/>
        <v/>
      </c>
      <c r="J301" s="434">
        <f t="shared" si="111"/>
        <v>9.2000000000000012E-2</v>
      </c>
      <c r="K301" s="434">
        <f t="shared" si="111"/>
        <v>9.0000000000000011E-2</v>
      </c>
      <c r="L301" s="434">
        <f t="shared" si="111"/>
        <v>8.6999999999999994E-2</v>
      </c>
      <c r="M301" s="434">
        <f t="shared" si="111"/>
        <v>8.7000000000000022E-2</v>
      </c>
      <c r="N301" s="2187">
        <f t="shared" si="120"/>
        <v>8.900000000000001E-2</v>
      </c>
    </row>
    <row r="302" spans="2:14">
      <c r="B302" s="417"/>
      <c r="C302" s="417"/>
      <c r="D302" s="417" t="str">
        <f t="shared" ref="D302:F302" si="122">D203</f>
        <v>DME-027-23</v>
      </c>
      <c r="E302" s="417" t="str">
        <f t="shared" si="122"/>
        <v>GENERADORA DEL ISTMO</v>
      </c>
      <c r="F302" s="417" t="str">
        <f t="shared" si="122"/>
        <v>H</v>
      </c>
      <c r="G302" s="842"/>
      <c r="H302" s="434" t="str">
        <f t="shared" ref="H302:M311" si="123">IF(SUMIF($D$147:$D$243,$D302,H$147:H$243)=0,"",SUMIF($D$335:$D$436,$D302,H$335:H$436)/SUMIF($D$147:$D$243,$D302,H$147:H$243)/1000)</f>
        <v/>
      </c>
      <c r="I302" s="434">
        <f t="shared" si="123"/>
        <v>9.0000000000000011E-2</v>
      </c>
      <c r="J302" s="434">
        <f t="shared" si="123"/>
        <v>9.0000000000000052E-2</v>
      </c>
      <c r="K302" s="434">
        <f t="shared" si="123"/>
        <v>8.9999999999999983E-2</v>
      </c>
      <c r="L302" s="434">
        <f t="shared" si="123"/>
        <v>0.09</v>
      </c>
      <c r="M302" s="434">
        <f t="shared" si="123"/>
        <v>8.9999999999999983E-2</v>
      </c>
      <c r="N302" s="2187">
        <f t="shared" si="120"/>
        <v>0.09</v>
      </c>
    </row>
    <row r="303" spans="2:14">
      <c r="B303" s="417"/>
      <c r="C303" s="417"/>
      <c r="D303" s="417" t="str">
        <f t="shared" ref="D303:F303" si="124">D204</f>
        <v>DME-028-23</v>
      </c>
      <c r="E303" s="417" t="str">
        <f t="shared" si="124"/>
        <v>GENA SOLAR</v>
      </c>
      <c r="F303" s="417" t="str">
        <f t="shared" si="124"/>
        <v>S</v>
      </c>
      <c r="G303" s="842"/>
      <c r="H303" s="434">
        <f t="shared" si="123"/>
        <v>8.2000000000000017E-2</v>
      </c>
      <c r="I303" s="434">
        <f t="shared" si="123"/>
        <v>8.2000000000000017E-2</v>
      </c>
      <c r="J303" s="434">
        <f t="shared" si="123"/>
        <v>8.2000000000000031E-2</v>
      </c>
      <c r="K303" s="434">
        <f t="shared" si="123"/>
        <v>8.2000000000000003E-2</v>
      </c>
      <c r="L303" s="434">
        <f t="shared" si="123"/>
        <v>8.2000000000000017E-2</v>
      </c>
      <c r="M303" s="434">
        <f t="shared" si="123"/>
        <v>8.2000000000000017E-2</v>
      </c>
      <c r="N303" s="2187">
        <f t="shared" si="120"/>
        <v>8.2000000000000017E-2</v>
      </c>
    </row>
    <row r="304" spans="2:14">
      <c r="B304" s="417"/>
      <c r="C304" s="417"/>
      <c r="D304" s="417" t="str">
        <f t="shared" ref="D304:F304" si="125">D205</f>
        <v>DME-029-23</v>
      </c>
      <c r="E304" s="417" t="str">
        <f t="shared" si="125"/>
        <v>HYDRO CAISAN, S.A.</v>
      </c>
      <c r="F304" s="417" t="str">
        <f t="shared" si="125"/>
        <v>H</v>
      </c>
      <c r="G304" s="842"/>
      <c r="H304" s="434" t="str">
        <f t="shared" si="123"/>
        <v/>
      </c>
      <c r="I304" s="434" t="str">
        <f t="shared" si="123"/>
        <v/>
      </c>
      <c r="J304" s="434">
        <f t="shared" si="123"/>
        <v>8.4700000000000039E-2</v>
      </c>
      <c r="K304" s="434">
        <f t="shared" si="123"/>
        <v>8.4699999999999942E-2</v>
      </c>
      <c r="L304" s="434">
        <f t="shared" si="123"/>
        <v>8.4699999999999998E-2</v>
      </c>
      <c r="M304" s="434" t="str">
        <f t="shared" si="123"/>
        <v/>
      </c>
      <c r="N304" s="2187">
        <f t="shared" si="120"/>
        <v>8.4699999999999998E-2</v>
      </c>
    </row>
    <row r="305" spans="2:14">
      <c r="B305" s="417"/>
      <c r="C305" s="417"/>
      <c r="D305" s="417" t="str">
        <f t="shared" ref="D305:F305" si="126">D206</f>
        <v>DME-030-23</v>
      </c>
      <c r="E305" s="417" t="str">
        <f t="shared" si="126"/>
        <v>HIDRO PIEDRA</v>
      </c>
      <c r="F305" s="417" t="str">
        <f t="shared" si="126"/>
        <v>H</v>
      </c>
      <c r="G305" s="842"/>
      <c r="H305" s="434">
        <f t="shared" si="123"/>
        <v>0.10766000000000002</v>
      </c>
      <c r="I305" s="434">
        <f t="shared" si="123"/>
        <v>9.2670000000000016E-2</v>
      </c>
      <c r="J305" s="434">
        <f t="shared" si="123"/>
        <v>8.6470000000000005E-2</v>
      </c>
      <c r="K305" s="434">
        <f t="shared" si="123"/>
        <v>7.9030000000000017E-2</v>
      </c>
      <c r="L305" s="434">
        <f t="shared" si="123"/>
        <v>8.0309999999999993E-2</v>
      </c>
      <c r="M305" s="434">
        <f t="shared" si="123"/>
        <v>8.1520000000000023E-2</v>
      </c>
      <c r="N305" s="2187">
        <f t="shared" si="120"/>
        <v>8.7943333333333359E-2</v>
      </c>
    </row>
    <row r="306" spans="2:14">
      <c r="B306" s="417"/>
      <c r="C306" s="417"/>
      <c r="D306" s="417" t="str">
        <f t="shared" ref="D306:F306" si="127">D207</f>
        <v>DME-031-23</v>
      </c>
      <c r="E306" s="417" t="str">
        <f t="shared" si="127"/>
        <v>ISTMUS HYDRO POWER</v>
      </c>
      <c r="F306" s="417" t="str">
        <f t="shared" si="127"/>
        <v>H</v>
      </c>
      <c r="G306" s="842"/>
      <c r="H306" s="434">
        <f t="shared" si="123"/>
        <v>0.10000000000000003</v>
      </c>
      <c r="I306" s="434">
        <f t="shared" si="123"/>
        <v>9.9999999999999992E-2</v>
      </c>
      <c r="J306" s="434">
        <f t="shared" si="123"/>
        <v>0.10000000000000002</v>
      </c>
      <c r="K306" s="434">
        <f t="shared" si="123"/>
        <v>0.10000000000000002</v>
      </c>
      <c r="L306" s="434" t="str">
        <f t="shared" si="123"/>
        <v/>
      </c>
      <c r="M306" s="434">
        <f t="shared" si="123"/>
        <v>0.10000000000000002</v>
      </c>
      <c r="N306" s="2187">
        <f t="shared" si="120"/>
        <v>0.10000000000000002</v>
      </c>
    </row>
    <row r="307" spans="2:14">
      <c r="B307" s="417"/>
      <c r="C307" s="417"/>
      <c r="D307" s="417" t="str">
        <f t="shared" ref="D307:F307" si="128">D208</f>
        <v>DME-032-23</v>
      </c>
      <c r="E307" s="417" t="str">
        <f t="shared" si="128"/>
        <v>LAS PERLAS NORTE</v>
      </c>
      <c r="F307" s="417" t="str">
        <f t="shared" si="128"/>
        <v>H</v>
      </c>
      <c r="G307" s="842"/>
      <c r="H307" s="434">
        <f t="shared" si="123"/>
        <v>0.1</v>
      </c>
      <c r="I307" s="434">
        <f t="shared" si="123"/>
        <v>0.10000000000000002</v>
      </c>
      <c r="J307" s="434">
        <f t="shared" si="123"/>
        <v>0.10000000000000002</v>
      </c>
      <c r="K307" s="434" t="str">
        <f t="shared" si="123"/>
        <v/>
      </c>
      <c r="L307" s="434" t="str">
        <f t="shared" si="123"/>
        <v/>
      </c>
      <c r="M307" s="434">
        <f t="shared" si="123"/>
        <v>0.10000000000000005</v>
      </c>
      <c r="N307" s="2187">
        <f t="shared" si="120"/>
        <v>0.10000000000000002</v>
      </c>
    </row>
    <row r="308" spans="2:14">
      <c r="B308" s="417"/>
      <c r="C308" s="417"/>
      <c r="D308" s="417" t="str">
        <f t="shared" ref="D308:F308" si="129">D209</f>
        <v>DME-033-23</v>
      </c>
      <c r="E308" s="417" t="str">
        <f t="shared" si="129"/>
        <v>LAS PERLAS SUR</v>
      </c>
      <c r="F308" s="417" t="str">
        <f t="shared" si="129"/>
        <v>H</v>
      </c>
      <c r="G308" s="842"/>
      <c r="H308" s="434">
        <f t="shared" si="123"/>
        <v>0.10000000000000002</v>
      </c>
      <c r="I308" s="434">
        <f t="shared" si="123"/>
        <v>0.1</v>
      </c>
      <c r="J308" s="434">
        <f t="shared" si="123"/>
        <v>0.10000000000000003</v>
      </c>
      <c r="K308" s="434">
        <f t="shared" si="123"/>
        <v>0.1</v>
      </c>
      <c r="L308" s="434" t="str">
        <f t="shared" si="123"/>
        <v/>
      </c>
      <c r="M308" s="434">
        <f t="shared" si="123"/>
        <v>9.9999999999999964E-2</v>
      </c>
      <c r="N308" s="2187">
        <f t="shared" si="120"/>
        <v>0.1</v>
      </c>
    </row>
    <row r="309" spans="2:14">
      <c r="B309" s="417"/>
      <c r="C309" s="417"/>
      <c r="D309" s="417" t="str">
        <f t="shared" ref="D309:F309" si="130">D211</f>
        <v>DME-035-23</v>
      </c>
      <c r="E309" s="417" t="str">
        <f t="shared" si="130"/>
        <v>SPARKLE POWER</v>
      </c>
      <c r="F309" s="417" t="str">
        <f t="shared" si="130"/>
        <v>T</v>
      </c>
      <c r="G309" s="842"/>
      <c r="H309" s="434">
        <f t="shared" si="123"/>
        <v>0.11249599976073413</v>
      </c>
      <c r="I309" s="434">
        <f t="shared" si="123"/>
        <v>0.10457000002675834</v>
      </c>
      <c r="J309" s="434">
        <f t="shared" si="123"/>
        <v>0.10490999969625356</v>
      </c>
      <c r="K309" s="434">
        <f t="shared" si="123"/>
        <v>0.10288000025237584</v>
      </c>
      <c r="L309" s="434">
        <f t="shared" si="123"/>
        <v>9.7850000324951503E-2</v>
      </c>
      <c r="M309" s="434">
        <f t="shared" si="123"/>
        <v>8.97100003057614E-2</v>
      </c>
      <c r="N309" s="2187">
        <f t="shared" ref="N309:N310" si="131">AVERAGE(H309:M309)</f>
        <v>0.10206933339447245</v>
      </c>
    </row>
    <row r="310" spans="2:14">
      <c r="B310" s="417"/>
      <c r="C310" s="417"/>
      <c r="D310" s="417" t="str">
        <f t="shared" ref="D310:F310" si="132">D214</f>
        <v>DME-006-25</v>
      </c>
      <c r="E310" s="417" t="str">
        <f t="shared" si="132"/>
        <v>HIDROECOLÓGICA DEL TERIBE, S.A.</v>
      </c>
      <c r="F310" s="417" t="str">
        <f t="shared" si="132"/>
        <v>H</v>
      </c>
      <c r="G310" s="842"/>
      <c r="H310" s="434">
        <f t="shared" si="123"/>
        <v>6.7550000000000013E-2</v>
      </c>
      <c r="I310" s="434">
        <f t="shared" si="123"/>
        <v>6.5101400790787842E-2</v>
      </c>
      <c r="J310" s="434">
        <f t="shared" si="123"/>
        <v>5.758000000000002E-2</v>
      </c>
      <c r="K310" s="434">
        <f t="shared" si="123"/>
        <v>5.7579999999999999E-2</v>
      </c>
      <c r="L310" s="434">
        <f t="shared" si="123"/>
        <v>5.7580000000000027E-2</v>
      </c>
      <c r="M310" s="434">
        <f t="shared" si="123"/>
        <v>7.2549998587611839E-2</v>
      </c>
      <c r="N310" s="2187">
        <f t="shared" si="131"/>
        <v>6.2990233229733295E-2</v>
      </c>
    </row>
    <row r="311" spans="2:14">
      <c r="B311" s="417"/>
      <c r="C311" s="417"/>
      <c r="D311" s="417" t="str">
        <f t="shared" ref="D311:F311" si="133">D215</f>
        <v>DME-007-25</v>
      </c>
      <c r="E311" s="417" t="str">
        <f t="shared" si="133"/>
        <v>SOCIEDAD SUPER SERVICIOS, S.A.</v>
      </c>
      <c r="F311" s="417" t="str">
        <f t="shared" si="133"/>
        <v>S</v>
      </c>
      <c r="G311" s="842"/>
      <c r="H311" s="434">
        <f t="shared" si="123"/>
        <v>6.9690000000000016E-2</v>
      </c>
      <c r="I311" s="434">
        <f t="shared" si="123"/>
        <v>5.9589999999999997E-2</v>
      </c>
      <c r="J311" s="434">
        <f t="shared" si="123"/>
        <v>5.9589999999999983E-2</v>
      </c>
      <c r="K311" s="434">
        <f t="shared" si="123"/>
        <v>5.958999999999999E-2</v>
      </c>
      <c r="L311" s="434">
        <f t="shared" si="123"/>
        <v>5.958999999999999E-2</v>
      </c>
      <c r="M311" s="434">
        <f t="shared" si="123"/>
        <v>7.4740000000000015E-2</v>
      </c>
      <c r="N311" s="2187">
        <f t="shared" ref="N311:N314" si="134">AVERAGE(H311:M311)</f>
        <v>6.3798333333333332E-2</v>
      </c>
    </row>
    <row r="312" spans="2:14">
      <c r="B312" s="417"/>
      <c r="C312" s="417"/>
      <c r="D312" s="417" t="str">
        <f t="shared" ref="D312:F312" si="135">D216</f>
        <v>DME-008-25</v>
      </c>
      <c r="E312" s="417" t="str">
        <f t="shared" si="135"/>
        <v>CORPORACION DE ENERGIA DEL ISTMO, S.A.</v>
      </c>
      <c r="F312" s="417" t="str">
        <f t="shared" si="135"/>
        <v>H</v>
      </c>
      <c r="G312" s="842"/>
      <c r="H312" s="434">
        <f t="shared" ref="H312:M322" si="136">IF(SUMIF($D$147:$D$243,$D312,H$147:H$243)=0,"",SUMIF($D$335:$D$436,$D312,H$335:H$436)/SUMIF($D$147:$D$243,$D312,H$147:H$243)/1000)</f>
        <v>7.4909069014979415E-2</v>
      </c>
      <c r="I312" s="434">
        <f t="shared" si="136"/>
        <v>6.837652725795651E-2</v>
      </c>
      <c r="J312" s="434">
        <f t="shared" si="136"/>
        <v>7.1226354983858334E-2</v>
      </c>
      <c r="K312" s="434">
        <f t="shared" si="136"/>
        <v>6.5390118076936773E-2</v>
      </c>
      <c r="L312" s="434">
        <f t="shared" si="136"/>
        <v>6.3774293452273284E-2</v>
      </c>
      <c r="M312" s="434">
        <f t="shared" si="136"/>
        <v>8.2748419505437029E-2</v>
      </c>
      <c r="N312" s="2187">
        <f t="shared" si="134"/>
        <v>7.1070797048573567E-2</v>
      </c>
    </row>
    <row r="313" spans="2:14">
      <c r="B313" s="417"/>
      <c r="C313" s="417"/>
      <c r="D313" s="417" t="str">
        <f t="shared" ref="D313:F313" si="137">D217</f>
        <v>DME-014-25</v>
      </c>
      <c r="E313" s="417" t="str">
        <f t="shared" si="137"/>
        <v>HIDRO PANAMÁ, S.A.</v>
      </c>
      <c r="F313" s="417" t="str">
        <f t="shared" si="137"/>
        <v>H</v>
      </c>
      <c r="G313" s="842"/>
      <c r="H313" s="434">
        <f t="shared" si="136"/>
        <v>6.9599999999999995E-2</v>
      </c>
      <c r="I313" s="434">
        <f t="shared" si="136"/>
        <v>5.9600000000000007E-2</v>
      </c>
      <c r="J313" s="434">
        <f t="shared" si="136"/>
        <v>5.9600000000000007E-2</v>
      </c>
      <c r="K313" s="434">
        <f t="shared" si="136"/>
        <v>5.96E-2</v>
      </c>
      <c r="L313" s="434">
        <f t="shared" si="136"/>
        <v>5.9600000000000021E-2</v>
      </c>
      <c r="M313" s="434">
        <f t="shared" si="136"/>
        <v>7.4600000000000014E-2</v>
      </c>
      <c r="N313" s="2187">
        <f t="shared" si="134"/>
        <v>6.376666666666668E-2</v>
      </c>
    </row>
    <row r="314" spans="2:14">
      <c r="B314" s="417"/>
      <c r="C314" s="417"/>
      <c r="D314" s="417" t="str">
        <f t="shared" ref="D314:F314" si="138">D218</f>
        <v>DME-015-25</v>
      </c>
      <c r="E314" s="417" t="str">
        <f t="shared" si="138"/>
        <v>AES PANAMÁ, S.R.L.</v>
      </c>
      <c r="F314" s="417" t="str">
        <f t="shared" si="138"/>
        <v>H</v>
      </c>
      <c r="G314" s="842"/>
      <c r="H314" s="434">
        <f t="shared" si="136"/>
        <v>6.9129999646459786E-2</v>
      </c>
      <c r="I314" s="434">
        <f t="shared" si="136"/>
        <v>6.2890253700620888E-2</v>
      </c>
      <c r="J314" s="434">
        <f t="shared" si="136"/>
        <v>5.8639999902241509E-2</v>
      </c>
      <c r="K314" s="434">
        <f t="shared" si="136"/>
        <v>6.2829165658214142E-2</v>
      </c>
      <c r="L314" s="434">
        <f t="shared" si="136"/>
        <v>5.700000000000003E-2</v>
      </c>
      <c r="M314" s="434">
        <f t="shared" si="136"/>
        <v>7.3787957354811765E-2</v>
      </c>
      <c r="N314" s="2187">
        <f t="shared" si="134"/>
        <v>6.404622937705802E-2</v>
      </c>
    </row>
    <row r="315" spans="2:14">
      <c r="B315" s="417"/>
      <c r="C315" s="417"/>
      <c r="D315" s="417" t="str">
        <f t="shared" ref="D315:F315" si="139">D219</f>
        <v>DME-025-23</v>
      </c>
      <c r="E315" s="417" t="str">
        <f t="shared" si="139"/>
        <v>EMPRESA NACIONAL DE ENERGIA</v>
      </c>
      <c r="F315" s="417" t="str">
        <f t="shared" si="139"/>
        <v>H</v>
      </c>
      <c r="G315" s="842"/>
      <c r="H315" s="434">
        <f t="shared" si="136"/>
        <v>9.148000000000002E-2</v>
      </c>
      <c r="I315" s="434">
        <f t="shared" si="136"/>
        <v>8.5000000000000006E-2</v>
      </c>
      <c r="J315" s="434">
        <f t="shared" si="136"/>
        <v>8.4999999999999992E-2</v>
      </c>
      <c r="K315" s="434">
        <f t="shared" si="136"/>
        <v>8.5000000000000062E-2</v>
      </c>
      <c r="L315" s="434">
        <f t="shared" si="136"/>
        <v>8.5000000000000075E-2</v>
      </c>
      <c r="M315" s="434">
        <f t="shared" si="136"/>
        <v>8.5000000000000062E-2</v>
      </c>
      <c r="N315" s="2187">
        <f t="shared" ref="N315:N318" si="140">AVERAGE(H315:M315)</f>
        <v>8.6080000000000045E-2</v>
      </c>
    </row>
    <row r="316" spans="2:14">
      <c r="B316" s="417"/>
      <c r="C316" s="417"/>
      <c r="D316" s="417" t="str">
        <f t="shared" ref="D316:F316" si="141">D221</f>
        <v>DME-002-25</v>
      </c>
      <c r="E316" s="417" t="str">
        <f t="shared" si="141"/>
        <v>EMPRESA NACIONAL DE ENERGÍA, S.A.</v>
      </c>
      <c r="F316" s="417" t="str">
        <f t="shared" si="141"/>
        <v>H</v>
      </c>
      <c r="G316" s="842"/>
      <c r="H316" s="434">
        <f t="shared" si="136"/>
        <v>6.5000000000000016E-2</v>
      </c>
      <c r="I316" s="434">
        <f t="shared" si="136"/>
        <v>5.5000000000000007E-2</v>
      </c>
      <c r="J316" s="434">
        <f t="shared" si="136"/>
        <v>5.5000000000000035E-2</v>
      </c>
      <c r="K316" s="434">
        <f t="shared" si="136"/>
        <v>5.5000000000000007E-2</v>
      </c>
      <c r="L316" s="434">
        <f t="shared" si="136"/>
        <v>5.5000000000000014E-2</v>
      </c>
      <c r="M316" s="434" t="str">
        <f t="shared" si="136"/>
        <v/>
      </c>
      <c r="N316" s="2187">
        <f t="shared" si="140"/>
        <v>5.7000000000000009E-2</v>
      </c>
    </row>
    <row r="317" spans="2:14">
      <c r="B317" s="417"/>
      <c r="C317" s="417"/>
      <c r="D317" s="417" t="str">
        <f t="shared" ref="D317:F317" si="142">D222</f>
        <v>DME-003-25</v>
      </c>
      <c r="E317" s="417" t="str">
        <f t="shared" si="142"/>
        <v>EMPRESA NACIONAL DE ENERGÍA, S.A.</v>
      </c>
      <c r="F317" s="417" t="str">
        <f t="shared" si="142"/>
        <v>H</v>
      </c>
      <c r="G317" s="842"/>
      <c r="H317" s="434">
        <f t="shared" si="136"/>
        <v>6.550000000000003E-2</v>
      </c>
      <c r="I317" s="434">
        <f t="shared" si="136"/>
        <v>5.5500000000000015E-2</v>
      </c>
      <c r="J317" s="434">
        <f t="shared" si="136"/>
        <v>5.5500000000000035E-2</v>
      </c>
      <c r="K317" s="434">
        <f t="shared" si="136"/>
        <v>5.5500000000000001E-2</v>
      </c>
      <c r="L317" s="434">
        <f t="shared" si="136"/>
        <v>5.5500000000000008E-2</v>
      </c>
      <c r="M317" s="434" t="str">
        <f t="shared" si="136"/>
        <v/>
      </c>
      <c r="N317" s="2187">
        <f t="shared" si="140"/>
        <v>5.7500000000000016E-2</v>
      </c>
    </row>
    <row r="318" spans="2:14">
      <c r="B318" s="417"/>
      <c r="C318" s="417"/>
      <c r="D318" s="417" t="str">
        <f t="shared" ref="D318:F318" si="143">D223</f>
        <v>DME-004-25</v>
      </c>
      <c r="E318" s="417" t="str">
        <f t="shared" si="143"/>
        <v>ARRENDADORA ISTMO ENERGY, S.A.</v>
      </c>
      <c r="F318" s="417" t="str">
        <f t="shared" si="143"/>
        <v>S</v>
      </c>
      <c r="G318" s="842"/>
      <c r="H318" s="434">
        <f t="shared" si="136"/>
        <v>6.6000000000000045E-2</v>
      </c>
      <c r="I318" s="434">
        <f t="shared" si="136"/>
        <v>5.6000000000000036E-2</v>
      </c>
      <c r="J318" s="434">
        <f t="shared" si="136"/>
        <v>5.5999999999999966E-2</v>
      </c>
      <c r="K318" s="434">
        <f t="shared" si="136"/>
        <v>5.6000000000000015E-2</v>
      </c>
      <c r="L318" s="434">
        <f t="shared" si="136"/>
        <v>5.6000000000000008E-2</v>
      </c>
      <c r="M318" s="434">
        <f t="shared" si="136"/>
        <v>7.4950000000000003E-2</v>
      </c>
      <c r="N318" s="2187">
        <f t="shared" si="140"/>
        <v>6.0825000000000018E-2</v>
      </c>
    </row>
    <row r="319" spans="2:14">
      <c r="B319" s="417"/>
      <c r="C319" s="417"/>
      <c r="D319" s="417" t="str">
        <f t="shared" ref="D319:F319" si="144">D224</f>
        <v>DME-005-25</v>
      </c>
      <c r="E319" s="417" t="str">
        <f t="shared" si="144"/>
        <v>ARRENDADORA ISTMO ENERGY, S.A.</v>
      </c>
      <c r="F319" s="417" t="str">
        <f t="shared" si="144"/>
        <v>S</v>
      </c>
      <c r="G319" s="842"/>
      <c r="H319" s="434">
        <f t="shared" si="136"/>
        <v>6.8000000000000047E-2</v>
      </c>
      <c r="I319" s="434">
        <f t="shared" si="136"/>
        <v>5.8000000000000017E-2</v>
      </c>
      <c r="J319" s="434">
        <f t="shared" si="136"/>
        <v>5.7999999999999968E-2</v>
      </c>
      <c r="K319" s="434">
        <f t="shared" si="136"/>
        <v>5.8000000000000017E-2</v>
      </c>
      <c r="L319" s="434">
        <f t="shared" si="136"/>
        <v>5.8000000000000003E-2</v>
      </c>
      <c r="M319" s="434">
        <f t="shared" si="136"/>
        <v>7.4950000000000003E-2</v>
      </c>
      <c r="N319" s="2187">
        <f t="shared" ref="N319" si="145">AVERAGE(H319:M319)</f>
        <v>6.2491666666666675E-2</v>
      </c>
    </row>
    <row r="320" spans="2:14">
      <c r="B320" s="417"/>
      <c r="C320" s="417"/>
      <c r="D320" s="417" t="str">
        <f t="shared" ref="D320:F320" si="146">D225</f>
        <v>DME-010-25</v>
      </c>
      <c r="E320" s="417" t="str">
        <f t="shared" si="146"/>
        <v>PEDREGALITO SOLAR POWER, S.A.</v>
      </c>
      <c r="F320" s="417" t="str">
        <f t="shared" si="146"/>
        <v>S</v>
      </c>
      <c r="G320" s="842"/>
      <c r="H320" s="434">
        <f t="shared" si="136"/>
        <v>6.9950000000000026E-2</v>
      </c>
      <c r="I320" s="434">
        <f t="shared" si="136"/>
        <v>5.9950000000000017E-2</v>
      </c>
      <c r="J320" s="434">
        <f t="shared" si="136"/>
        <v>5.995000000000001E-2</v>
      </c>
      <c r="K320" s="434">
        <f t="shared" si="136"/>
        <v>5.9950000000000017E-2</v>
      </c>
      <c r="L320" s="434">
        <f t="shared" si="136"/>
        <v>5.9950000000000031E-2</v>
      </c>
      <c r="M320" s="434">
        <f t="shared" si="136"/>
        <v>7.495000000000003E-2</v>
      </c>
      <c r="N320" s="2187">
        <f t="shared" ref="N320:N322" si="147">AVERAGE(H320:M320)</f>
        <v>6.4116666666666683E-2</v>
      </c>
    </row>
    <row r="321" spans="2:16">
      <c r="B321" s="417"/>
      <c r="C321" s="417"/>
      <c r="D321" s="417" t="str">
        <f t="shared" ref="D321:F321" si="148">D226</f>
        <v>DME-026-23</v>
      </c>
      <c r="E321" s="417" t="str">
        <f t="shared" si="148"/>
        <v>FOUNTAIN HYDRO POWER</v>
      </c>
      <c r="F321" s="417" t="str">
        <f t="shared" si="148"/>
        <v>H</v>
      </c>
      <c r="G321" s="842"/>
      <c r="H321" s="434">
        <f t="shared" si="136"/>
        <v>0.13603300000000004</v>
      </c>
      <c r="I321" s="434">
        <f t="shared" si="136"/>
        <v>0.13531300000000004</v>
      </c>
      <c r="J321" s="434" t="str">
        <f t="shared" si="136"/>
        <v/>
      </c>
      <c r="K321" s="434" t="str">
        <f t="shared" si="136"/>
        <v/>
      </c>
      <c r="L321" s="434" t="str">
        <f t="shared" si="136"/>
        <v/>
      </c>
      <c r="M321" s="434" t="str">
        <f t="shared" si="136"/>
        <v/>
      </c>
      <c r="N321" s="2187">
        <f t="shared" si="147"/>
        <v>0.13567300000000004</v>
      </c>
    </row>
    <row r="322" spans="2:16">
      <c r="B322" s="417"/>
      <c r="C322" s="417"/>
      <c r="D322" s="417" t="str">
        <f t="shared" ref="D322:F322" si="149">D227</f>
        <v>DME-001-24</v>
      </c>
      <c r="E322" s="417" t="str">
        <f t="shared" si="149"/>
        <v>ORO SOLAR</v>
      </c>
      <c r="F322" s="417" t="str">
        <f t="shared" si="149"/>
        <v>S</v>
      </c>
      <c r="G322" s="842"/>
      <c r="H322" s="434">
        <f t="shared" si="136"/>
        <v>9.1600000000000001E-2</v>
      </c>
      <c r="I322" s="434">
        <f t="shared" si="136"/>
        <v>9.1599999999999918E-2</v>
      </c>
      <c r="J322" s="434">
        <f t="shared" si="136"/>
        <v>9.1600000000000001E-2</v>
      </c>
      <c r="K322" s="434">
        <f t="shared" si="136"/>
        <v>9.1599999999999931E-2</v>
      </c>
      <c r="L322" s="434">
        <f t="shared" si="136"/>
        <v>9.1600000000000015E-2</v>
      </c>
      <c r="M322" s="434">
        <f t="shared" si="136"/>
        <v>9.1600000000000001E-2</v>
      </c>
      <c r="N322" s="2187">
        <f t="shared" si="147"/>
        <v>9.1599999999999973E-2</v>
      </c>
    </row>
    <row r="323" spans="2:16">
      <c r="B323" s="417"/>
      <c r="C323" s="417"/>
      <c r="D323" s="417"/>
      <c r="E323" s="417"/>
      <c r="F323" s="417"/>
      <c r="G323" s="842"/>
      <c r="H323" s="434"/>
      <c r="I323" s="434"/>
      <c r="J323" s="434"/>
      <c r="K323" s="434"/>
      <c r="L323" s="434"/>
      <c r="M323" s="434"/>
      <c r="N323" s="2187"/>
    </row>
    <row r="324" spans="2:16">
      <c r="B324" s="413"/>
      <c r="C324" s="413"/>
      <c r="D324" s="413"/>
      <c r="E324" s="413" t="str">
        <f>E229</f>
        <v>Sub-Total Contratos - SIN</v>
      </c>
      <c r="F324" s="397"/>
      <c r="G324" s="831"/>
      <c r="H324" s="435">
        <f t="shared" ref="H324:N324" si="150">H417/H229/1000</f>
        <v>7.5475615678033431E-2</v>
      </c>
      <c r="I324" s="435">
        <f t="shared" si="150"/>
        <v>7.3801915052764178E-2</v>
      </c>
      <c r="J324" s="435">
        <f t="shared" si="150"/>
        <v>7.2940341152615898E-2</v>
      </c>
      <c r="K324" s="435">
        <f t="shared" si="150"/>
        <v>7.4288376847059634E-2</v>
      </c>
      <c r="L324" s="435">
        <f t="shared" si="150"/>
        <v>7.6157785386787816E-2</v>
      </c>
      <c r="M324" s="435">
        <f t="shared" si="150"/>
        <v>7.8786335292271178E-2</v>
      </c>
      <c r="N324" s="435">
        <f t="shared" si="150"/>
        <v>7.5243628867421836E-2</v>
      </c>
    </row>
    <row r="325" spans="2:16">
      <c r="B325" s="417"/>
      <c r="C325" s="417"/>
      <c r="D325" s="417" t="str">
        <f>D230</f>
        <v>DME-041-16</v>
      </c>
      <c r="E325" s="417" t="str">
        <f>E230</f>
        <v>Costas Colón - SENECA</v>
      </c>
      <c r="F325" s="417" t="str">
        <f>F230</f>
        <v>SA</v>
      </c>
      <c r="G325" s="842"/>
      <c r="H325" s="434">
        <f t="shared" ref="H325:M326" si="151">IF(SUMIF($D$147:$D$243,$D325,H$147:H$243)=0,0,SUMIF($D$335:$D$436,$D325,H$335:H$436)/SUMIF($D$147:$D$243,$D325,H$147:H$243)/1000)</f>
        <v>0.46415006516940954</v>
      </c>
      <c r="I325" s="434">
        <f t="shared" si="151"/>
        <v>0.46023599999999998</v>
      </c>
      <c r="J325" s="434">
        <f t="shared" si="151"/>
        <v>0.45768575999999989</v>
      </c>
      <c r="K325" s="434">
        <f t="shared" si="151"/>
        <v>1.9449820998471654</v>
      </c>
      <c r="L325" s="434">
        <f t="shared" si="151"/>
        <v>0.46242300611510462</v>
      </c>
      <c r="M325" s="434">
        <f t="shared" si="151"/>
        <v>0.45337691629358295</v>
      </c>
      <c r="N325" s="2187">
        <f>AVERAGE(H325:M325)</f>
        <v>0.7071423079042104</v>
      </c>
    </row>
    <row r="326" spans="2:16">
      <c r="B326" s="417"/>
      <c r="C326" s="417"/>
      <c r="D326" s="417" t="str">
        <f>D231</f>
        <v>DME-001-18</v>
      </c>
      <c r="E326" s="417" t="str">
        <f>E231</f>
        <v>Sistemas Aislados - PI Energía</v>
      </c>
      <c r="F326" s="417" t="str">
        <f>F231</f>
        <v>SA</v>
      </c>
      <c r="G326" s="842"/>
      <c r="H326" s="434">
        <f t="shared" si="151"/>
        <v>0.19638989291654149</v>
      </c>
      <c r="I326" s="434">
        <f t="shared" si="151"/>
        <v>0.19365968838352188</v>
      </c>
      <c r="J326" s="434">
        <f t="shared" si="151"/>
        <v>0.19187667881957204</v>
      </c>
      <c r="K326" s="434">
        <f t="shared" si="151"/>
        <v>0.23118484956011451</v>
      </c>
      <c r="L326" s="434">
        <f t="shared" si="151"/>
        <v>0.19889620868555238</v>
      </c>
      <c r="M326" s="434">
        <f t="shared" si="151"/>
        <v>0.19245886178119592</v>
      </c>
      <c r="N326" s="2187">
        <f>AVERAGE(H326:M326)</f>
        <v>0.20074436335774973</v>
      </c>
    </row>
    <row r="327" spans="2:16">
      <c r="B327" s="417"/>
      <c r="C327" s="417"/>
      <c r="D327" s="417"/>
      <c r="E327" s="417"/>
      <c r="F327" s="417"/>
      <c r="G327" s="842"/>
      <c r="H327" s="434"/>
      <c r="I327" s="434"/>
      <c r="J327" s="434"/>
      <c r="K327" s="434"/>
      <c r="L327" s="434"/>
      <c r="M327" s="434"/>
      <c r="N327" s="2187"/>
    </row>
    <row r="328" spans="2:16">
      <c r="B328" s="413"/>
      <c r="C328" s="413"/>
      <c r="D328" s="413"/>
      <c r="E328" s="413" t="str">
        <f>E235</f>
        <v>Sub-Total Contratos</v>
      </c>
      <c r="F328" s="397"/>
      <c r="G328" s="831"/>
      <c r="H328" s="435">
        <f t="shared" ref="H328:N328" si="152">H424/H235/1000</f>
        <v>7.8691089172432963E-2</v>
      </c>
      <c r="I328" s="435">
        <f t="shared" si="152"/>
        <v>7.7031688138060009E-2</v>
      </c>
      <c r="J328" s="435">
        <f t="shared" si="152"/>
        <v>7.6107791982930217E-2</v>
      </c>
      <c r="K328" s="435">
        <f t="shared" si="152"/>
        <v>7.785796136599657E-2</v>
      </c>
      <c r="L328" s="435">
        <f t="shared" si="152"/>
        <v>7.972980167183237E-2</v>
      </c>
      <c r="M328" s="435">
        <f t="shared" si="152"/>
        <v>8.1884585466587043E-2</v>
      </c>
      <c r="N328" s="435">
        <f t="shared" si="152"/>
        <v>7.8551039314723403E-2</v>
      </c>
    </row>
    <row r="329" spans="2:16">
      <c r="B329" s="417"/>
      <c r="C329" s="417"/>
      <c r="D329" s="417" t="str">
        <f>D236</f>
        <v>SPOT</v>
      </c>
      <c r="E329" s="417" t="str">
        <f>E236</f>
        <v>Compra Mercado Ocasional</v>
      </c>
      <c r="F329" s="417" t="str">
        <f>F236</f>
        <v>SP</v>
      </c>
      <c r="G329" s="842"/>
      <c r="H329" s="434">
        <f t="shared" ref="H329:M329" si="153">IF(SUMIF($D$147:$D$243,$D329,H$147:H$243)=0,0,SUMIF($D$335:$D$436,$D329,H$335:H$436)/SUMIF($D$147:$D$243,$D329,H$147:H$243)/1000)</f>
        <v>5.5375961076421933E-2</v>
      </c>
      <c r="I329" s="434">
        <f t="shared" si="153"/>
        <v>7.4782146139637767E-2</v>
      </c>
      <c r="J329" s="434">
        <f t="shared" si="153"/>
        <v>8.6592784530739875E-2</v>
      </c>
      <c r="K329" s="434">
        <f t="shared" si="153"/>
        <v>5.7733728991661667E-2</v>
      </c>
      <c r="L329" s="434">
        <f t="shared" si="153"/>
        <v>5.169707728321226E-2</v>
      </c>
      <c r="M329" s="434">
        <f t="shared" si="153"/>
        <v>6.2793908971659554E-2</v>
      </c>
      <c r="N329" s="2187">
        <f>AVERAGE(H329:M329)</f>
        <v>6.4829267832222176E-2</v>
      </c>
    </row>
    <row r="330" spans="2:16">
      <c r="B330" s="417"/>
      <c r="C330" s="417"/>
      <c r="D330" s="417"/>
      <c r="E330" s="417"/>
      <c r="F330" s="417"/>
      <c r="G330" s="842"/>
      <c r="H330" s="434"/>
      <c r="I330" s="434"/>
      <c r="J330" s="434"/>
      <c r="K330" s="434"/>
      <c r="L330" s="434"/>
      <c r="M330" s="434"/>
      <c r="N330" s="2187"/>
    </row>
    <row r="331" spans="2:16">
      <c r="B331" s="413"/>
      <c r="C331" s="413"/>
      <c r="D331" s="413"/>
      <c r="E331" s="413" t="s">
        <v>359</v>
      </c>
      <c r="F331" s="397"/>
      <c r="G331" s="831"/>
      <c r="H331" s="435">
        <f t="shared" ref="H331:N331" si="154">H434/H243/1000</f>
        <v>7.6663212529161348E-2</v>
      </c>
      <c r="I331" s="435">
        <f t="shared" si="154"/>
        <v>7.7916601937578545E-2</v>
      </c>
      <c r="J331" s="435">
        <f t="shared" si="154"/>
        <v>7.886297402723598E-2</v>
      </c>
      <c r="K331" s="435">
        <f t="shared" si="154"/>
        <v>7.5472651431240018E-2</v>
      </c>
      <c r="L331" s="435">
        <f t="shared" si="154"/>
        <v>7.6936581605580381E-2</v>
      </c>
      <c r="M331" s="435">
        <f t="shared" si="154"/>
        <v>8.0116524647956919E-2</v>
      </c>
      <c r="N331" s="435">
        <f t="shared" si="154"/>
        <v>7.7654500323531009E-2</v>
      </c>
    </row>
    <row r="333" spans="2:16" ht="45">
      <c r="B333" s="436"/>
      <c r="C333" s="436"/>
      <c r="D333" s="436"/>
      <c r="E333" s="437" t="s">
        <v>500</v>
      </c>
      <c r="F333" s="436"/>
      <c r="G333" s="827"/>
      <c r="H333" s="395"/>
      <c r="I333" s="395"/>
      <c r="J333" s="395"/>
      <c r="K333" s="395"/>
      <c r="L333" s="395"/>
      <c r="M333" s="395"/>
      <c r="N333" s="414"/>
    </row>
    <row r="334" spans="2:16" ht="15.75">
      <c r="B334" s="398"/>
      <c r="C334" s="398"/>
      <c r="D334" s="398" t="s">
        <v>477</v>
      </c>
      <c r="E334" s="398" t="s">
        <v>153</v>
      </c>
      <c r="F334" s="409"/>
      <c r="G334" s="833"/>
      <c r="H334" s="398">
        <f t="shared" ref="H334:M334" si="155">H$4</f>
        <v>45839</v>
      </c>
      <c r="I334" s="398">
        <f t="shared" si="155"/>
        <v>45870</v>
      </c>
      <c r="J334" s="398">
        <f t="shared" si="155"/>
        <v>45901</v>
      </c>
      <c r="K334" s="398">
        <f t="shared" si="155"/>
        <v>45931</v>
      </c>
      <c r="L334" s="398">
        <f t="shared" si="155"/>
        <v>45962</v>
      </c>
      <c r="M334" s="398">
        <f t="shared" si="155"/>
        <v>45992</v>
      </c>
      <c r="N334" s="416" t="s">
        <v>111</v>
      </c>
    </row>
    <row r="335" spans="2:16">
      <c r="B335" s="400"/>
      <c r="C335" s="400"/>
      <c r="D335" s="400" t="s">
        <v>448</v>
      </c>
      <c r="E335" s="400" t="s">
        <v>817</v>
      </c>
      <c r="F335" s="400" t="s">
        <v>386</v>
      </c>
      <c r="G335" s="829" t="s">
        <v>1114</v>
      </c>
      <c r="H335" s="417">
        <v>68620.278211276091</v>
      </c>
      <c r="I335" s="417">
        <v>66650.691519416403</v>
      </c>
      <c r="J335" s="417">
        <v>64971.521823595336</v>
      </c>
      <c r="K335" s="417">
        <v>65471.805013394456</v>
      </c>
      <c r="L335" s="417">
        <v>63636.523041794717</v>
      </c>
      <c r="M335" s="417">
        <v>65184.270154479549</v>
      </c>
      <c r="N335" s="418">
        <f>SUM(H335:M335)</f>
        <v>394535.08976395655</v>
      </c>
      <c r="O335" s="65"/>
      <c r="P335" s="1535"/>
    </row>
    <row r="336" spans="2:16">
      <c r="B336" s="400"/>
      <c r="C336" s="400"/>
      <c r="D336" s="400" t="s">
        <v>545</v>
      </c>
      <c r="E336" s="400" t="s">
        <v>818</v>
      </c>
      <c r="F336" s="400" t="s">
        <v>386</v>
      </c>
      <c r="G336" s="829" t="s">
        <v>1115</v>
      </c>
      <c r="H336" s="417">
        <v>140794.37015223788</v>
      </c>
      <c r="I336" s="417">
        <v>136753.19274857291</v>
      </c>
      <c r="J336" s="417">
        <v>133307.88990421622</v>
      </c>
      <c r="K336" s="417">
        <v>134334.3657280046</v>
      </c>
      <c r="L336" s="417">
        <v>130568.75334666811</v>
      </c>
      <c r="M336" s="417">
        <v>133744.40470754518</v>
      </c>
      <c r="N336" s="418">
        <f t="shared" ref="N336:N399" si="156">SUM(H336:M336)</f>
        <v>809502.97658724489</v>
      </c>
      <c r="O336" s="65"/>
      <c r="P336" s="1535"/>
    </row>
    <row r="337" spans="2:16">
      <c r="B337" s="400"/>
      <c r="C337" s="400"/>
      <c r="D337" s="400" t="s">
        <v>547</v>
      </c>
      <c r="E337" s="400" t="s">
        <v>821</v>
      </c>
      <c r="F337" s="400" t="s">
        <v>386</v>
      </c>
      <c r="G337" s="829" t="s">
        <v>1116</v>
      </c>
      <c r="H337" s="417">
        <v>346028.8763842741</v>
      </c>
      <c r="I337" s="417">
        <v>336096.91621606768</v>
      </c>
      <c r="J337" s="417">
        <v>327629.43082764448</v>
      </c>
      <c r="K337" s="417">
        <v>330152.18990925507</v>
      </c>
      <c r="L337" s="417">
        <v>320897.48306406138</v>
      </c>
      <c r="M337" s="417">
        <v>328702.24877311871</v>
      </c>
      <c r="N337" s="418">
        <f t="shared" si="156"/>
        <v>1989507.1451744216</v>
      </c>
      <c r="O337" s="65"/>
      <c r="P337" s="1535"/>
    </row>
    <row r="338" spans="2:16">
      <c r="B338" s="400"/>
      <c r="C338" s="400"/>
      <c r="D338" s="400" t="s">
        <v>558</v>
      </c>
      <c r="E338" s="400" t="s">
        <v>952</v>
      </c>
      <c r="F338" s="400" t="s">
        <v>386</v>
      </c>
      <c r="G338" s="829" t="s">
        <v>1116</v>
      </c>
      <c r="H338" s="417">
        <v>122856.27779638278</v>
      </c>
      <c r="I338" s="417">
        <v>119329.97192781478</v>
      </c>
      <c r="J338" s="417">
        <v>116323.62243471169</v>
      </c>
      <c r="K338" s="417">
        <v>117219.3187528406</v>
      </c>
      <c r="L338" s="417">
        <v>113933.4691816202</v>
      </c>
      <c r="M338" s="417">
        <v>116704.52249401119</v>
      </c>
      <c r="N338" s="418">
        <f t="shared" si="156"/>
        <v>706367.18258738122</v>
      </c>
      <c r="O338" s="65"/>
      <c r="P338" s="1535"/>
    </row>
    <row r="339" spans="2:16">
      <c r="B339" s="400"/>
      <c r="C339" s="400"/>
      <c r="D339" s="400" t="s">
        <v>559</v>
      </c>
      <c r="E339" s="400" t="s">
        <v>551</v>
      </c>
      <c r="F339" s="400" t="s">
        <v>386</v>
      </c>
      <c r="G339" s="829" t="s">
        <v>1116</v>
      </c>
      <c r="H339" s="417">
        <v>58571.83201659609</v>
      </c>
      <c r="I339" s="417">
        <v>56890.662778218226</v>
      </c>
      <c r="J339" s="417">
        <v>55457.383171741298</v>
      </c>
      <c r="K339" s="417">
        <v>55884.407131968102</v>
      </c>
      <c r="L339" s="417">
        <v>54317.875632159041</v>
      </c>
      <c r="M339" s="417">
        <v>55638.97758993927</v>
      </c>
      <c r="N339" s="418">
        <f t="shared" si="156"/>
        <v>336761.13832062203</v>
      </c>
      <c r="O339" s="65"/>
      <c r="P339" s="1535"/>
    </row>
    <row r="340" spans="2:16">
      <c r="B340" s="400"/>
      <c r="C340" s="400"/>
      <c r="D340" s="400" t="s">
        <v>560</v>
      </c>
      <c r="E340" s="400" t="s">
        <v>552</v>
      </c>
      <c r="F340" s="400" t="s">
        <v>386</v>
      </c>
      <c r="G340" s="829" t="s">
        <v>1116</v>
      </c>
      <c r="H340" s="417">
        <v>25069.101281288818</v>
      </c>
      <c r="I340" s="417">
        <v>24349.550595287739</v>
      </c>
      <c r="J340" s="417">
        <v>23736.098183401529</v>
      </c>
      <c r="K340" s="417">
        <v>23918.867042422855</v>
      </c>
      <c r="L340" s="417">
        <v>23248.382007604159</v>
      </c>
      <c r="M340" s="417">
        <v>23813.821701775196</v>
      </c>
      <c r="N340" s="418">
        <f t="shared" si="156"/>
        <v>144135.82081178032</v>
      </c>
      <c r="O340" s="65"/>
      <c r="P340" s="1535"/>
    </row>
    <row r="341" spans="2:16">
      <c r="B341" s="400"/>
      <c r="C341" s="400"/>
      <c r="D341" s="400" t="s">
        <v>561</v>
      </c>
      <c r="E341" s="400" t="s">
        <v>553</v>
      </c>
      <c r="F341" s="400" t="s">
        <v>386</v>
      </c>
      <c r="G341" s="829" t="s">
        <v>1116</v>
      </c>
      <c r="H341" s="417">
        <v>22651.32</v>
      </c>
      <c r="I341" s="417">
        <v>21664.208096646322</v>
      </c>
      <c r="J341" s="417">
        <v>21583.599082554269</v>
      </c>
      <c r="K341" s="417">
        <v>21281.021635912461</v>
      </c>
      <c r="L341" s="417">
        <v>20682.64</v>
      </c>
      <c r="M341" s="417">
        <v>21931.651014926138</v>
      </c>
      <c r="N341" s="418">
        <f t="shared" si="156"/>
        <v>129794.43983003919</v>
      </c>
      <c r="O341" s="65"/>
      <c r="P341" s="1535"/>
    </row>
    <row r="342" spans="2:16">
      <c r="B342" s="400"/>
      <c r="C342" s="400"/>
      <c r="D342" s="400" t="s">
        <v>562</v>
      </c>
      <c r="E342" s="400" t="s">
        <v>955</v>
      </c>
      <c r="F342" s="400" t="s">
        <v>386</v>
      </c>
      <c r="G342" s="829" t="s">
        <v>1116</v>
      </c>
      <c r="H342" s="417">
        <v>15373.81862896094</v>
      </c>
      <c r="I342" s="417">
        <v>14932.548652155599</v>
      </c>
      <c r="J342" s="417">
        <v>14556.344255675032</v>
      </c>
      <c r="K342" s="417">
        <v>14668.428660220989</v>
      </c>
      <c r="L342" s="417">
        <v>14257.248570313723</v>
      </c>
      <c r="M342" s="417">
        <v>14604.008799420488</v>
      </c>
      <c r="N342" s="418">
        <f t="shared" si="156"/>
        <v>88392.397566746775</v>
      </c>
      <c r="O342" s="65"/>
      <c r="P342" s="1535"/>
    </row>
    <row r="343" spans="2:16">
      <c r="B343" s="400"/>
      <c r="C343" s="400"/>
      <c r="D343" s="400" t="s">
        <v>563</v>
      </c>
      <c r="E343" s="400" t="s">
        <v>956</v>
      </c>
      <c r="F343" s="400" t="s">
        <v>386</v>
      </c>
      <c r="G343" s="829" t="s">
        <v>1116</v>
      </c>
      <c r="H343" s="417">
        <v>14629.092599238571</v>
      </c>
      <c r="I343" s="417">
        <v>14209.198264086948</v>
      </c>
      <c r="J343" s="417">
        <v>13851.217655288339</v>
      </c>
      <c r="K343" s="417">
        <v>13957.87</v>
      </c>
      <c r="L343" s="417">
        <v>13566.61052008116</v>
      </c>
      <c r="M343" s="417">
        <v>13896.573271936459</v>
      </c>
      <c r="N343" s="418">
        <f t="shared" si="156"/>
        <v>84110.562310631489</v>
      </c>
      <c r="O343" s="65"/>
      <c r="P343" s="1535"/>
    </row>
    <row r="344" spans="2:16">
      <c r="B344" s="400"/>
      <c r="C344" s="400"/>
      <c r="D344" s="400" t="s">
        <v>564</v>
      </c>
      <c r="E344" s="400" t="s">
        <v>556</v>
      </c>
      <c r="F344" s="400" t="s">
        <v>386</v>
      </c>
      <c r="G344" s="829" t="s">
        <v>1116</v>
      </c>
      <c r="H344" s="417">
        <v>21569.083155911001</v>
      </c>
      <c r="I344" s="417">
        <v>20949.992411208725</v>
      </c>
      <c r="J344" s="417">
        <v>20422.187048914238</v>
      </c>
      <c r="K344" s="417">
        <v>20579.43866612652</v>
      </c>
      <c r="L344" s="417">
        <v>20002.563280426439</v>
      </c>
      <c r="M344" s="417">
        <v>20489.059212066841</v>
      </c>
      <c r="N344" s="418">
        <f t="shared" si="156"/>
        <v>124012.32377465378</v>
      </c>
      <c r="O344" s="65"/>
      <c r="P344" s="1535"/>
    </row>
    <row r="345" spans="2:16">
      <c r="B345" s="400"/>
      <c r="C345" s="400"/>
      <c r="D345" s="400" t="s">
        <v>565</v>
      </c>
      <c r="E345" s="400" t="s">
        <v>957</v>
      </c>
      <c r="F345" s="400" t="s">
        <v>386</v>
      </c>
      <c r="G345" s="829" t="s">
        <v>1116</v>
      </c>
      <c r="H345" s="417">
        <v>14012.560790389671</v>
      </c>
      <c r="I345" s="417">
        <v>13610.362577688589</v>
      </c>
      <c r="J345" s="417">
        <v>13267.468785162288</v>
      </c>
      <c r="K345" s="417">
        <v>13369.62879955172</v>
      </c>
      <c r="L345" s="417">
        <v>12994.856197852752</v>
      </c>
      <c r="M345" s="417">
        <v>13310.912924377082</v>
      </c>
      <c r="N345" s="418">
        <f t="shared" si="156"/>
        <v>80565.790075022116</v>
      </c>
      <c r="O345" s="65"/>
      <c r="P345" s="1535"/>
    </row>
    <row r="346" spans="2:16">
      <c r="B346" s="400"/>
      <c r="C346" s="400"/>
      <c r="D346" s="400" t="s">
        <v>566</v>
      </c>
      <c r="E346" s="400" t="s">
        <v>953</v>
      </c>
      <c r="F346" s="400" t="s">
        <v>386</v>
      </c>
      <c r="G346" s="829" t="s">
        <v>1116</v>
      </c>
      <c r="H346" s="417">
        <v>9289.1</v>
      </c>
      <c r="I346" s="417">
        <v>9026.8887579801885</v>
      </c>
      <c r="J346" s="417">
        <v>8649.35</v>
      </c>
      <c r="K346" s="417">
        <v>8867.225338058357</v>
      </c>
      <c r="L346" s="417">
        <v>8618.02</v>
      </c>
      <c r="M346" s="417">
        <v>8828.2828285915202</v>
      </c>
      <c r="N346" s="418">
        <f t="shared" si="156"/>
        <v>53278.866924630056</v>
      </c>
      <c r="O346" s="65"/>
      <c r="P346" s="1535"/>
    </row>
    <row r="347" spans="2:16">
      <c r="B347" s="400"/>
      <c r="C347" s="400"/>
      <c r="D347" s="400" t="s">
        <v>576</v>
      </c>
      <c r="E347" s="400" t="s">
        <v>952</v>
      </c>
      <c r="F347" s="400" t="s">
        <v>386</v>
      </c>
      <c r="G347" s="829" t="s">
        <v>1843</v>
      </c>
      <c r="H347" s="417">
        <v>0</v>
      </c>
      <c r="I347" s="417">
        <v>0</v>
      </c>
      <c r="J347" s="417">
        <v>0</v>
      </c>
      <c r="K347" s="417">
        <v>0</v>
      </c>
      <c r="L347" s="417">
        <v>0</v>
      </c>
      <c r="M347" s="417">
        <v>0</v>
      </c>
      <c r="N347" s="418">
        <f t="shared" si="156"/>
        <v>0</v>
      </c>
      <c r="O347" s="65"/>
      <c r="P347" s="1535"/>
    </row>
    <row r="348" spans="2:16">
      <c r="B348" s="400"/>
      <c r="C348" s="400"/>
      <c r="D348" s="400" t="s">
        <v>568</v>
      </c>
      <c r="E348" s="400" t="s">
        <v>845</v>
      </c>
      <c r="F348" s="400" t="s">
        <v>775</v>
      </c>
      <c r="G348" s="829" t="s">
        <v>1123</v>
      </c>
      <c r="H348" s="417">
        <v>216301.19533447002</v>
      </c>
      <c r="I348" s="417">
        <v>122732.17780893299</v>
      </c>
      <c r="J348" s="417">
        <v>32022.219240712013</v>
      </c>
      <c r="K348" s="417">
        <v>39370.537898936993</v>
      </c>
      <c r="L348" s="2297">
        <f>169317.08-9822.2</f>
        <v>159494.87999999998</v>
      </c>
      <c r="M348" s="417">
        <v>243209.10196660299</v>
      </c>
      <c r="N348" s="418">
        <f t="shared" si="156"/>
        <v>813130.11224965495</v>
      </c>
      <c r="O348" s="65"/>
      <c r="P348" s="1535"/>
    </row>
    <row r="349" spans="2:16">
      <c r="B349" s="400"/>
      <c r="C349" s="400"/>
      <c r="D349" s="400" t="s">
        <v>571</v>
      </c>
      <c r="E349" s="400" t="s">
        <v>845</v>
      </c>
      <c r="F349" s="400" t="s">
        <v>775</v>
      </c>
      <c r="G349" s="829" t="s">
        <v>1123</v>
      </c>
      <c r="H349" s="417">
        <v>208262.37825422981</v>
      </c>
      <c r="I349" s="417">
        <v>119854.496575728</v>
      </c>
      <c r="J349" s="417">
        <v>33038.311732503003</v>
      </c>
      <c r="K349" s="417">
        <v>34685.997547519997</v>
      </c>
      <c r="L349" s="417">
        <v>112905.26172524098</v>
      </c>
      <c r="M349" s="417">
        <v>227592.67346432008</v>
      </c>
      <c r="N349" s="418">
        <f t="shared" si="156"/>
        <v>736339.11929954193</v>
      </c>
      <c r="O349" s="65"/>
      <c r="P349" s="1535"/>
    </row>
    <row r="350" spans="2:16">
      <c r="B350" s="400"/>
      <c r="C350" s="400"/>
      <c r="D350" s="400" t="s">
        <v>573</v>
      </c>
      <c r="E350" s="400" t="s">
        <v>845</v>
      </c>
      <c r="F350" s="400" t="s">
        <v>775</v>
      </c>
      <c r="G350" s="829" t="s">
        <v>1123</v>
      </c>
      <c r="H350" s="417">
        <v>119336.5006080301</v>
      </c>
      <c r="I350" s="417">
        <v>65919.856558847969</v>
      </c>
      <c r="J350" s="417">
        <v>19045.525754573991</v>
      </c>
      <c r="K350" s="417">
        <v>25034.706033645009</v>
      </c>
      <c r="L350" s="417">
        <v>55465.18119651603</v>
      </c>
      <c r="M350" s="417">
        <v>140896.22459813999</v>
      </c>
      <c r="N350" s="418">
        <f t="shared" si="156"/>
        <v>425697.9947497531</v>
      </c>
      <c r="O350" s="65"/>
      <c r="P350" s="1535"/>
    </row>
    <row r="351" spans="2:16">
      <c r="B351" s="400"/>
      <c r="C351" s="400"/>
      <c r="D351" s="400" t="s">
        <v>575</v>
      </c>
      <c r="E351" s="400" t="s">
        <v>845</v>
      </c>
      <c r="F351" s="400" t="s">
        <v>775</v>
      </c>
      <c r="G351" s="829" t="s">
        <v>1123</v>
      </c>
      <c r="H351" s="417">
        <v>73187.458598479963</v>
      </c>
      <c r="I351" s="417">
        <v>48234.645908343991</v>
      </c>
      <c r="J351" s="417">
        <v>13437.721383624999</v>
      </c>
      <c r="K351" s="417">
        <v>12839.274472275989</v>
      </c>
      <c r="L351" s="417">
        <v>45470.603186946006</v>
      </c>
      <c r="M351" s="417">
        <v>80254.678220303991</v>
      </c>
      <c r="N351" s="418">
        <f t="shared" si="156"/>
        <v>273424.38176997495</v>
      </c>
      <c r="O351" s="65"/>
      <c r="P351" s="1535"/>
    </row>
    <row r="352" spans="2:16" s="38" customFormat="1">
      <c r="B352" s="400"/>
      <c r="C352" s="400"/>
      <c r="D352" s="400" t="s">
        <v>831</v>
      </c>
      <c r="E352" s="400" t="s">
        <v>924</v>
      </c>
      <c r="F352" s="400" t="s">
        <v>386</v>
      </c>
      <c r="G352" s="829" t="s">
        <v>1118</v>
      </c>
      <c r="H352" s="417">
        <v>4605567.4747788683</v>
      </c>
      <c r="I352" s="417">
        <v>4471213.4360420536</v>
      </c>
      <c r="J352" s="417">
        <v>4358567.5514428988</v>
      </c>
      <c r="K352" s="417">
        <v>4392128.6874050656</v>
      </c>
      <c r="L352" s="417">
        <v>4269010.1236921661</v>
      </c>
      <c r="M352" s="417">
        <v>4372839.6193518676</v>
      </c>
      <c r="N352" s="418">
        <f t="shared" si="156"/>
        <v>26469326.892712921</v>
      </c>
      <c r="O352" s="65"/>
      <c r="P352" s="1535"/>
    </row>
    <row r="353" spans="2:16" s="38" customFormat="1">
      <c r="B353" s="400"/>
      <c r="C353" s="400"/>
      <c r="D353" s="400" t="s">
        <v>687</v>
      </c>
      <c r="E353" s="400" t="s">
        <v>753</v>
      </c>
      <c r="F353" s="400" t="s">
        <v>386</v>
      </c>
      <c r="G353" s="829" t="s">
        <v>1118</v>
      </c>
      <c r="H353" s="417">
        <v>23361.200000000001</v>
      </c>
      <c r="I353" s="417">
        <v>22690.68</v>
      </c>
      <c r="J353" s="417">
        <v>22119.02</v>
      </c>
      <c r="K353" s="417">
        <v>22289.33614140674</v>
      </c>
      <c r="L353" s="417">
        <v>21664.52952776778</v>
      </c>
      <c r="M353" s="417">
        <v>22191.4472696792</v>
      </c>
      <c r="N353" s="418">
        <f t="shared" si="156"/>
        <v>134316.21293885374</v>
      </c>
      <c r="O353" s="65"/>
      <c r="P353" s="1535"/>
    </row>
    <row r="354" spans="2:16" s="38" customFormat="1">
      <c r="B354" s="400"/>
      <c r="C354" s="400"/>
      <c r="D354" s="400" t="s">
        <v>688</v>
      </c>
      <c r="E354" s="400" t="s">
        <v>754</v>
      </c>
      <c r="F354" s="400" t="s">
        <v>386</v>
      </c>
      <c r="G354" s="829" t="s">
        <v>1118</v>
      </c>
      <c r="H354" s="417">
        <v>128036.1189689087</v>
      </c>
      <c r="I354" s="417">
        <v>124361.13771596049</v>
      </c>
      <c r="J354" s="417">
        <v>121228.03513247659</v>
      </c>
      <c r="K354" s="417">
        <v>122161.5</v>
      </c>
      <c r="L354" s="417">
        <v>118737.10872842302</v>
      </c>
      <c r="M354" s="417">
        <v>121624.99462190999</v>
      </c>
      <c r="N354" s="418">
        <f t="shared" si="156"/>
        <v>736148.89516767883</v>
      </c>
      <c r="O354" s="65"/>
      <c r="P354" s="1535"/>
    </row>
    <row r="355" spans="2:16" s="38" customFormat="1">
      <c r="B355" s="400"/>
      <c r="C355" s="400"/>
      <c r="D355" s="400" t="s">
        <v>800</v>
      </c>
      <c r="E355" s="400" t="s">
        <v>826</v>
      </c>
      <c r="F355" s="400" t="s">
        <v>386</v>
      </c>
      <c r="G355" s="829" t="s">
        <v>1118</v>
      </c>
      <c r="H355" s="417">
        <v>13865.713187150959</v>
      </c>
      <c r="I355" s="417">
        <v>13467.729895936791</v>
      </c>
      <c r="J355" s="417">
        <v>13128.42953164615</v>
      </c>
      <c r="K355" s="417">
        <v>13229.51893849392</v>
      </c>
      <c r="L355" s="417">
        <v>12858.673845773679</v>
      </c>
      <c r="M355" s="417">
        <v>13171.418388788379</v>
      </c>
      <c r="N355" s="418">
        <f t="shared" si="156"/>
        <v>79721.483787789883</v>
      </c>
      <c r="O355" s="65"/>
      <c r="P355" s="1535"/>
    </row>
    <row r="356" spans="2:16" s="38" customFormat="1">
      <c r="B356" s="400"/>
      <c r="C356" s="400"/>
      <c r="D356" s="400" t="s">
        <v>690</v>
      </c>
      <c r="E356" s="400" t="s">
        <v>958</v>
      </c>
      <c r="F356" s="400" t="s">
        <v>386</v>
      </c>
      <c r="G356" s="829" t="s">
        <v>1124</v>
      </c>
      <c r="H356" s="417">
        <v>50293.071447343522</v>
      </c>
      <c r="I356" s="417">
        <v>42799.429007354433</v>
      </c>
      <c r="J356" s="417">
        <v>41420.933848999732</v>
      </c>
      <c r="K356" s="417">
        <v>39995.25263514043</v>
      </c>
      <c r="L356" s="417">
        <v>42559.614165622748</v>
      </c>
      <c r="M356" s="417">
        <v>41601.747205934043</v>
      </c>
      <c r="N356" s="418">
        <f t="shared" si="156"/>
        <v>258670.04831039492</v>
      </c>
      <c r="O356" s="65"/>
      <c r="P356" s="1535"/>
    </row>
    <row r="357" spans="2:16" s="38" customFormat="1">
      <c r="B357" s="400"/>
      <c r="C357" s="400"/>
      <c r="D357" s="400" t="s">
        <v>579</v>
      </c>
      <c r="E357" s="400" t="s">
        <v>1015</v>
      </c>
      <c r="F357" s="400" t="s">
        <v>386</v>
      </c>
      <c r="G357" s="829" t="s">
        <v>1124</v>
      </c>
      <c r="H357" s="417">
        <v>56670.291086301513</v>
      </c>
      <c r="I357" s="417">
        <v>94191.869143819538</v>
      </c>
      <c r="J357" s="417">
        <v>103264.3382920033</v>
      </c>
      <c r="K357" s="417">
        <v>149701.95665021997</v>
      </c>
      <c r="L357" s="417">
        <v>103836.1</v>
      </c>
      <c r="M357" s="417">
        <v>30275.373593500157</v>
      </c>
      <c r="N357" s="418">
        <f t="shared" si="156"/>
        <v>537939.92876584444</v>
      </c>
      <c r="O357" s="65"/>
      <c r="P357" s="1535"/>
    </row>
    <row r="358" spans="2:16" s="38" customFormat="1">
      <c r="B358" s="400"/>
      <c r="C358" s="400"/>
      <c r="D358" s="400" t="s">
        <v>581</v>
      </c>
      <c r="E358" s="400" t="s">
        <v>842</v>
      </c>
      <c r="F358" s="400" t="s">
        <v>386</v>
      </c>
      <c r="G358" s="829" t="s">
        <v>1124</v>
      </c>
      <c r="H358" s="417">
        <v>18992.04633348533</v>
      </c>
      <c r="I358" s="417">
        <v>29408.138884780685</v>
      </c>
      <c r="J358" s="417">
        <v>41405.93</v>
      </c>
      <c r="K358" s="417">
        <v>51998.36646493771</v>
      </c>
      <c r="L358" s="417">
        <v>39816.239999999998</v>
      </c>
      <c r="M358" s="417">
        <v>15034.21815507477</v>
      </c>
      <c r="N358" s="418">
        <f t="shared" si="156"/>
        <v>196654.93983827849</v>
      </c>
      <c r="O358" s="65"/>
      <c r="P358" s="1535"/>
    </row>
    <row r="359" spans="2:16" s="38" customFormat="1">
      <c r="B359" s="400"/>
      <c r="C359" s="400"/>
      <c r="D359" s="400" t="s">
        <v>582</v>
      </c>
      <c r="E359" s="400" t="s">
        <v>824</v>
      </c>
      <c r="F359" s="400" t="s">
        <v>386</v>
      </c>
      <c r="G359" s="829" t="s">
        <v>1124</v>
      </c>
      <c r="H359" s="417">
        <v>270978.4504984027</v>
      </c>
      <c r="I359" s="417">
        <v>279182.3919092234</v>
      </c>
      <c r="J359" s="417">
        <v>377129.42212135508</v>
      </c>
      <c r="K359" s="417">
        <v>540722.26235593576</v>
      </c>
      <c r="L359" s="417">
        <v>384372.86486474</v>
      </c>
      <c r="M359" s="417">
        <v>210649.6121310349</v>
      </c>
      <c r="N359" s="418">
        <f t="shared" si="156"/>
        <v>2063035.0038806919</v>
      </c>
      <c r="O359" s="65"/>
      <c r="P359" s="1535"/>
    </row>
    <row r="360" spans="2:16" s="38" customFormat="1">
      <c r="B360" s="400"/>
      <c r="C360" s="400"/>
      <c r="D360" s="400" t="s">
        <v>482</v>
      </c>
      <c r="E360" s="400" t="s">
        <v>959</v>
      </c>
      <c r="F360" s="400" t="s">
        <v>386</v>
      </c>
      <c r="G360" s="829" t="s">
        <v>1124</v>
      </c>
      <c r="H360" s="417">
        <f>3735.06+4762.69</f>
        <v>8497.75</v>
      </c>
      <c r="I360" s="417">
        <v>5589.8990392191099</v>
      </c>
      <c r="J360" s="417">
        <v>6304.62</v>
      </c>
      <c r="K360" s="417">
        <v>8402.9360207339305</v>
      </c>
      <c r="L360" s="417">
        <v>8203.5300000000007</v>
      </c>
      <c r="M360" s="417">
        <v>7447.3503052978404</v>
      </c>
      <c r="N360" s="418">
        <f t="shared" si="156"/>
        <v>44446.085365250881</v>
      </c>
      <c r="O360" s="65"/>
      <c r="P360" s="1535"/>
    </row>
    <row r="361" spans="2:16" s="38" customFormat="1">
      <c r="B361" s="400"/>
      <c r="C361" s="400"/>
      <c r="D361" s="400" t="s">
        <v>584</v>
      </c>
      <c r="E361" s="400" t="s">
        <v>952</v>
      </c>
      <c r="F361" s="400" t="s">
        <v>386</v>
      </c>
      <c r="G361" s="829" t="s">
        <v>1124</v>
      </c>
      <c r="H361" s="417">
        <v>68877.82136944012</v>
      </c>
      <c r="I361" s="417">
        <v>67855.050213282782</v>
      </c>
      <c r="J361" s="417">
        <v>71453.362571118225</v>
      </c>
      <c r="K361" s="417">
        <v>125720.49491967149</v>
      </c>
      <c r="L361" s="417">
        <v>93313.571362673567</v>
      </c>
      <c r="M361" s="417">
        <v>97201.364375239558</v>
      </c>
      <c r="N361" s="418">
        <f t="shared" si="156"/>
        <v>524421.66481142573</v>
      </c>
      <c r="O361" s="65"/>
      <c r="P361" s="1535"/>
    </row>
    <row r="362" spans="2:16" s="38" customFormat="1">
      <c r="B362" s="400"/>
      <c r="C362" s="400"/>
      <c r="D362" s="400" t="s">
        <v>1273</v>
      </c>
      <c r="E362" s="400" t="s">
        <v>1507</v>
      </c>
      <c r="F362" s="400" t="s">
        <v>780</v>
      </c>
      <c r="G362" s="829" t="s">
        <v>1315</v>
      </c>
      <c r="H362" s="417">
        <v>5803352.8080756785</v>
      </c>
      <c r="I362" s="417">
        <v>5454044.1252725627</v>
      </c>
      <c r="J362" s="417">
        <v>5353331.2896527546</v>
      </c>
      <c r="K362" s="417">
        <v>5531029.4663591543</v>
      </c>
      <c r="L362" s="417">
        <v>5738653.9453773629</v>
      </c>
      <c r="M362" s="417">
        <v>6170733.4028545488</v>
      </c>
      <c r="N362" s="418">
        <f t="shared" si="156"/>
        <v>34051145.037592061</v>
      </c>
      <c r="O362" s="65"/>
      <c r="P362" s="1535"/>
    </row>
    <row r="363" spans="2:16" s="38" customFormat="1">
      <c r="B363" s="400"/>
      <c r="C363" s="400"/>
      <c r="D363" s="400" t="s">
        <v>586</v>
      </c>
      <c r="E363" s="400" t="s">
        <v>1016</v>
      </c>
      <c r="F363" s="400" t="s">
        <v>386</v>
      </c>
      <c r="G363" s="829" t="s">
        <v>1124</v>
      </c>
      <c r="H363" s="417">
        <v>55456.350078925047</v>
      </c>
      <c r="I363" s="417">
        <v>67879.262859999959</v>
      </c>
      <c r="J363" s="417">
        <v>62959.128413568309</v>
      </c>
      <c r="K363" s="417">
        <v>71866.191770946491</v>
      </c>
      <c r="L363" s="417">
        <v>51261.77898049631</v>
      </c>
      <c r="M363" s="417">
        <v>33910.333215860337</v>
      </c>
      <c r="N363" s="418">
        <f t="shared" si="156"/>
        <v>343333.04531979648</v>
      </c>
      <c r="O363" s="65"/>
      <c r="P363" s="1535"/>
    </row>
    <row r="364" spans="2:16" s="38" customFormat="1">
      <c r="B364" s="400"/>
      <c r="C364" s="400"/>
      <c r="D364" s="400" t="s">
        <v>483</v>
      </c>
      <c r="E364" s="400" t="s">
        <v>925</v>
      </c>
      <c r="F364" s="400" t="s">
        <v>386</v>
      </c>
      <c r="G364" s="829" t="s">
        <v>1124</v>
      </c>
      <c r="H364" s="417">
        <v>2982.5682075965851</v>
      </c>
      <c r="I364" s="417">
        <v>2951.1655533655116</v>
      </c>
      <c r="J364" s="417">
        <v>1986.5502557587447</v>
      </c>
      <c r="K364" s="417">
        <v>2866.6962050132597</v>
      </c>
      <c r="L364" s="417">
        <v>4590.4003929167357</v>
      </c>
      <c r="M364" s="417">
        <v>3356.386327009142</v>
      </c>
      <c r="N364" s="418">
        <f t="shared" si="156"/>
        <v>18733.766941659978</v>
      </c>
      <c r="O364" s="65"/>
      <c r="P364" s="1535"/>
    </row>
    <row r="365" spans="2:16" s="38" customFormat="1">
      <c r="B365" s="400"/>
      <c r="C365" s="400"/>
      <c r="D365" s="400" t="s">
        <v>490</v>
      </c>
      <c r="E365" s="400" t="s">
        <v>815</v>
      </c>
      <c r="F365" s="400" t="s">
        <v>386</v>
      </c>
      <c r="G365" s="829" t="s">
        <v>1124</v>
      </c>
      <c r="H365" s="417">
        <v>24798.725692998429</v>
      </c>
      <c r="I365" s="417">
        <v>39235.162574519003</v>
      </c>
      <c r="J365" s="417">
        <v>27379.822711403172</v>
      </c>
      <c r="K365" s="417">
        <v>28903.213214131876</v>
      </c>
      <c r="L365" s="417">
        <v>40866.345315528022</v>
      </c>
      <c r="M365" s="417">
        <v>26621.39077155399</v>
      </c>
      <c r="N365" s="418">
        <f t="shared" si="156"/>
        <v>187804.6602801345</v>
      </c>
      <c r="O365" s="65"/>
      <c r="P365" s="1535"/>
    </row>
    <row r="366" spans="2:16" s="38" customFormat="1">
      <c r="B366" s="400"/>
      <c r="C366" s="400"/>
      <c r="D366" s="400" t="s">
        <v>484</v>
      </c>
      <c r="E366" s="400" t="s">
        <v>960</v>
      </c>
      <c r="F366" s="400" t="s">
        <v>386</v>
      </c>
      <c r="G366" s="829" t="s">
        <v>1124</v>
      </c>
      <c r="H366" s="417">
        <v>149640.22632082811</v>
      </c>
      <c r="I366" s="417">
        <v>166585.7593043432</v>
      </c>
      <c r="J366" s="417">
        <v>124890.86559577822</v>
      </c>
      <c r="K366" s="417">
        <v>150018.12352587961</v>
      </c>
      <c r="L366" s="417">
        <v>177675.6218139391</v>
      </c>
      <c r="M366" s="417">
        <v>127365.60902599788</v>
      </c>
      <c r="N366" s="418">
        <f t="shared" si="156"/>
        <v>896176.20558676613</v>
      </c>
      <c r="O366" s="65"/>
      <c r="P366" s="1535"/>
    </row>
    <row r="367" spans="2:16" s="38" customFormat="1">
      <c r="B367" s="400"/>
      <c r="C367" s="400"/>
      <c r="D367" s="400" t="s">
        <v>692</v>
      </c>
      <c r="E367" s="400" t="s">
        <v>826</v>
      </c>
      <c r="F367" s="400" t="s">
        <v>386</v>
      </c>
      <c r="G367" s="829" t="s">
        <v>1124</v>
      </c>
      <c r="H367" s="417">
        <v>9693.5404486109092</v>
      </c>
      <c r="I367" s="417">
        <v>9005.9484520752303</v>
      </c>
      <c r="J367" s="417">
        <v>6283.6760881607124</v>
      </c>
      <c r="K367" s="417">
        <v>6632.3107562549703</v>
      </c>
      <c r="L367" s="417">
        <v>9380.3663649242208</v>
      </c>
      <c r="M367" s="417">
        <v>9208.1579356201928</v>
      </c>
      <c r="N367" s="418">
        <f t="shared" si="156"/>
        <v>50204.000045646237</v>
      </c>
      <c r="O367" s="65"/>
      <c r="P367" s="1535"/>
    </row>
    <row r="368" spans="2:16" s="38" customFormat="1">
      <c r="B368" s="400"/>
      <c r="C368" s="400"/>
      <c r="D368" s="400" t="s">
        <v>587</v>
      </c>
      <c r="E368" s="400" t="s">
        <v>695</v>
      </c>
      <c r="F368" s="400" t="s">
        <v>386</v>
      </c>
      <c r="G368" s="829" t="s">
        <v>1124</v>
      </c>
      <c r="H368" s="417">
        <v>137868.6768896149</v>
      </c>
      <c r="I368" s="417">
        <v>209473.7036700208</v>
      </c>
      <c r="J368" s="417">
        <v>229752.62758312363</v>
      </c>
      <c r="K368" s="2297">
        <f>53198.83</f>
        <v>53198.83</v>
      </c>
      <c r="L368" s="417">
        <v>234730.93745304004</v>
      </c>
      <c r="M368" s="417">
        <v>70461.403331192763</v>
      </c>
      <c r="N368" s="418">
        <f t="shared" si="156"/>
        <v>935486.17892699211</v>
      </c>
      <c r="O368" s="65"/>
      <c r="P368" s="1535"/>
    </row>
    <row r="369" spans="2:16" s="38" customFormat="1">
      <c r="B369" s="400"/>
      <c r="C369" s="400"/>
      <c r="D369" s="400" t="s">
        <v>1274</v>
      </c>
      <c r="E369" s="400" t="s">
        <v>1508</v>
      </c>
      <c r="F369" s="400" t="s">
        <v>386</v>
      </c>
      <c r="G369" s="829" t="s">
        <v>1278</v>
      </c>
      <c r="H369" s="417">
        <v>37314.251450200078</v>
      </c>
      <c r="I369" s="417">
        <v>33487.8070127764</v>
      </c>
      <c r="J369" s="417">
        <v>6302.1940843779339</v>
      </c>
      <c r="K369" s="417">
        <v>0</v>
      </c>
      <c r="L369" s="417">
        <v>41853.881272963881</v>
      </c>
      <c r="M369" s="417">
        <v>41085.511374188325</v>
      </c>
      <c r="N369" s="418">
        <f t="shared" si="156"/>
        <v>160043.64519450662</v>
      </c>
      <c r="O369" s="65"/>
      <c r="P369" s="1535"/>
    </row>
    <row r="370" spans="2:16" s="38" customFormat="1">
      <c r="B370" s="400"/>
      <c r="C370" s="400"/>
      <c r="D370" s="400" t="s">
        <v>588</v>
      </c>
      <c r="E370" s="400" t="s">
        <v>1017</v>
      </c>
      <c r="F370" s="400" t="s">
        <v>386</v>
      </c>
      <c r="G370" s="829" t="s">
        <v>1124</v>
      </c>
      <c r="H370" s="417">
        <v>62746.417685264416</v>
      </c>
      <c r="I370" s="417">
        <v>74836.170030459296</v>
      </c>
      <c r="J370" s="417">
        <v>69507.395390147882</v>
      </c>
      <c r="K370" s="417">
        <v>87085.89213268047</v>
      </c>
      <c r="L370" s="417">
        <v>71060.414392922408</v>
      </c>
      <c r="M370" s="417">
        <v>43679.673654913633</v>
      </c>
      <c r="N370" s="418">
        <f t="shared" si="156"/>
        <v>408915.96328638808</v>
      </c>
      <c r="O370" s="65"/>
      <c r="P370" s="1535"/>
    </row>
    <row r="371" spans="2:16" s="38" customFormat="1">
      <c r="B371" s="400"/>
      <c r="C371" s="400"/>
      <c r="D371" s="400" t="s">
        <v>589</v>
      </c>
      <c r="E371" s="400" t="s">
        <v>1018</v>
      </c>
      <c r="F371" s="400" t="s">
        <v>386</v>
      </c>
      <c r="G371" s="829" t="s">
        <v>1124</v>
      </c>
      <c r="H371" s="417">
        <v>38689.329945117694</v>
      </c>
      <c r="I371" s="417">
        <v>46121.074768453676</v>
      </c>
      <c r="J371" s="417">
        <v>42817.332778170443</v>
      </c>
      <c r="K371" s="417">
        <v>53631.571085210082</v>
      </c>
      <c r="L371" s="417">
        <f>43727.9+48.28</f>
        <v>43776.18</v>
      </c>
      <c r="M371" s="417">
        <v>26957.242801254721</v>
      </c>
      <c r="N371" s="418">
        <f t="shared" si="156"/>
        <v>251992.7313782066</v>
      </c>
      <c r="O371" s="65"/>
      <c r="P371" s="1535"/>
    </row>
    <row r="372" spans="2:16" s="38" customFormat="1">
      <c r="B372" s="400"/>
      <c r="C372" s="400"/>
      <c r="D372" s="400" t="s">
        <v>945</v>
      </c>
      <c r="E372" s="400" t="s">
        <v>1317</v>
      </c>
      <c r="F372" s="400" t="s">
        <v>775</v>
      </c>
      <c r="G372" s="829" t="s">
        <v>1125</v>
      </c>
      <c r="H372" s="417">
        <v>634915.28033239185</v>
      </c>
      <c r="I372" s="417">
        <v>426935.76615800691</v>
      </c>
      <c r="J372" s="417">
        <v>161954.3056628441</v>
      </c>
      <c r="K372" s="417">
        <v>201036.212920522</v>
      </c>
      <c r="L372" s="417">
        <v>564289.86</v>
      </c>
      <c r="M372" s="417">
        <v>789804.65</v>
      </c>
      <c r="N372" s="418">
        <f t="shared" si="156"/>
        <v>2778936.0750737647</v>
      </c>
      <c r="O372" s="65"/>
      <c r="P372" s="1535"/>
    </row>
    <row r="373" spans="2:16" s="38" customFormat="1">
      <c r="B373" s="400"/>
      <c r="C373" s="400"/>
      <c r="D373" s="400" t="s">
        <v>759</v>
      </c>
      <c r="E373" s="400" t="s">
        <v>827</v>
      </c>
      <c r="F373" s="400" t="s">
        <v>801</v>
      </c>
      <c r="G373" s="829" t="s">
        <v>1126</v>
      </c>
      <c r="H373" s="417">
        <v>67938.11</v>
      </c>
      <c r="I373" s="417">
        <v>72217.319243377089</v>
      </c>
      <c r="J373" s="417">
        <v>63283.684435055184</v>
      </c>
      <c r="K373" s="417">
        <v>64330.603138446975</v>
      </c>
      <c r="L373" s="417">
        <v>63205.924375603186</v>
      </c>
      <c r="M373" s="417">
        <v>78602.600183467468</v>
      </c>
      <c r="N373" s="418">
        <f t="shared" si="156"/>
        <v>409578.24137594993</v>
      </c>
      <c r="O373" s="65"/>
      <c r="P373" s="1535"/>
    </row>
    <row r="374" spans="2:16" s="38" customFormat="1">
      <c r="B374" s="400"/>
      <c r="C374" s="400"/>
      <c r="D374" s="400" t="s">
        <v>760</v>
      </c>
      <c r="E374" s="400" t="s">
        <v>1067</v>
      </c>
      <c r="F374" s="400" t="s">
        <v>801</v>
      </c>
      <c r="G374" s="829" t="s">
        <v>1126</v>
      </c>
      <c r="H374" s="417">
        <v>7046.39</v>
      </c>
      <c r="I374" s="417">
        <v>6909.7</v>
      </c>
      <c r="J374" s="417">
        <v>6533.8</v>
      </c>
      <c r="K374" s="417">
        <v>2050.2314359799998</v>
      </c>
      <c r="L374" s="417">
        <v>0</v>
      </c>
      <c r="M374" s="417">
        <v>3201.45</v>
      </c>
      <c r="N374" s="418">
        <f t="shared" si="156"/>
        <v>25741.57143598</v>
      </c>
      <c r="O374" s="65"/>
      <c r="P374" s="1535"/>
    </row>
    <row r="375" spans="2:16" s="38" customFormat="1">
      <c r="B375" s="400"/>
      <c r="C375" s="400"/>
      <c r="D375" s="400" t="s">
        <v>792</v>
      </c>
      <c r="E375" s="400" t="s">
        <v>961</v>
      </c>
      <c r="F375" s="400" t="s">
        <v>780</v>
      </c>
      <c r="G375" s="829" t="s">
        <v>1121</v>
      </c>
      <c r="H375" s="417">
        <v>1676347.0072245449</v>
      </c>
      <c r="I375" s="417">
        <v>1496183.4453182619</v>
      </c>
      <c r="J375" s="417">
        <v>1471098.64</v>
      </c>
      <c r="K375" s="417">
        <v>1555488.588680594</v>
      </c>
      <c r="L375" s="417">
        <v>1786165.8430138242</v>
      </c>
      <c r="M375" s="417">
        <v>1985106.6607508741</v>
      </c>
      <c r="N375" s="418">
        <f t="shared" si="156"/>
        <v>9970390.1849880982</v>
      </c>
      <c r="O375" s="65"/>
      <c r="P375" s="1535"/>
    </row>
    <row r="376" spans="2:16" s="38" customFormat="1">
      <c r="B376" s="400"/>
      <c r="C376" s="400"/>
      <c r="D376" s="400" t="s">
        <v>1362</v>
      </c>
      <c r="E376" s="400" t="s">
        <v>1718</v>
      </c>
      <c r="F376" s="400" t="s">
        <v>1325</v>
      </c>
      <c r="G376" s="829" t="s">
        <v>1322</v>
      </c>
      <c r="H376" s="417">
        <v>113120.3713220956</v>
      </c>
      <c r="I376" s="417">
        <v>99130.2919774482</v>
      </c>
      <c r="J376" s="417">
        <v>93423.103275757909</v>
      </c>
      <c r="K376" s="417">
        <v>100807.58769718969</v>
      </c>
      <c r="L376" s="417">
        <v>91825.87</v>
      </c>
      <c r="M376" s="417">
        <v>104270.17479401239</v>
      </c>
      <c r="N376" s="418">
        <f t="shared" si="156"/>
        <v>602577.39906650386</v>
      </c>
      <c r="O376" s="65"/>
      <c r="P376" s="1535"/>
    </row>
    <row r="377" spans="2:16" s="38" customFormat="1">
      <c r="B377" s="400"/>
      <c r="C377" s="400"/>
      <c r="D377" s="400" t="s">
        <v>1144</v>
      </c>
      <c r="E377" s="400" t="s">
        <v>578</v>
      </c>
      <c r="F377" s="400" t="s">
        <v>386</v>
      </c>
      <c r="G377" s="829" t="s">
        <v>1143</v>
      </c>
      <c r="H377" s="417">
        <v>0</v>
      </c>
      <c r="I377" s="417">
        <v>0</v>
      </c>
      <c r="J377" s="417">
        <v>0</v>
      </c>
      <c r="K377" s="417">
        <v>0</v>
      </c>
      <c r="L377" s="417">
        <v>0</v>
      </c>
      <c r="M377" s="417">
        <v>141.24</v>
      </c>
      <c r="N377" s="418">
        <f t="shared" si="156"/>
        <v>141.24</v>
      </c>
      <c r="O377" s="65"/>
      <c r="P377" s="1535"/>
    </row>
    <row r="378" spans="2:16" s="38" customFormat="1">
      <c r="B378" s="400"/>
      <c r="C378" s="400"/>
      <c r="D378" s="400" t="s">
        <v>1145</v>
      </c>
      <c r="E378" s="400" t="s">
        <v>903</v>
      </c>
      <c r="F378" s="400" t="s">
        <v>386</v>
      </c>
      <c r="G378" s="829" t="s">
        <v>1143</v>
      </c>
      <c r="H378" s="417">
        <v>0</v>
      </c>
      <c r="I378" s="417">
        <v>18863.98436100113</v>
      </c>
      <c r="J378" s="417">
        <v>0</v>
      </c>
      <c r="K378" s="417">
        <v>0</v>
      </c>
      <c r="L378" s="417">
        <v>0</v>
      </c>
      <c r="M378" s="417">
        <v>0</v>
      </c>
      <c r="N378" s="418">
        <f t="shared" si="156"/>
        <v>18863.98436100113</v>
      </c>
      <c r="O378" s="65"/>
      <c r="P378" s="1535"/>
    </row>
    <row r="379" spans="2:16" s="38" customFormat="1">
      <c r="B379" s="400"/>
      <c r="C379" s="400"/>
      <c r="D379" s="400" t="s">
        <v>1146</v>
      </c>
      <c r="E379" s="400" t="s">
        <v>1127</v>
      </c>
      <c r="F379" s="400" t="s">
        <v>386</v>
      </c>
      <c r="G379" s="829" t="s">
        <v>1143</v>
      </c>
      <c r="H379" s="417">
        <v>0</v>
      </c>
      <c r="I379" s="417">
        <v>0</v>
      </c>
      <c r="J379" s="417">
        <v>0</v>
      </c>
      <c r="K379" s="417">
        <v>0</v>
      </c>
      <c r="L379" s="417">
        <v>0</v>
      </c>
      <c r="M379" s="417">
        <v>0</v>
      </c>
      <c r="N379" s="418">
        <f t="shared" si="156"/>
        <v>0</v>
      </c>
      <c r="O379" s="65"/>
      <c r="P379" s="1535"/>
    </row>
    <row r="380" spans="2:16" s="38" customFormat="1">
      <c r="B380" s="400"/>
      <c r="C380" s="400"/>
      <c r="D380" s="400" t="s">
        <v>1148</v>
      </c>
      <c r="E380" s="400" t="s">
        <v>1128</v>
      </c>
      <c r="F380" s="400" t="s">
        <v>386</v>
      </c>
      <c r="G380" s="829" t="s">
        <v>1143</v>
      </c>
      <c r="H380" s="417">
        <v>0</v>
      </c>
      <c r="I380" s="417">
        <v>0</v>
      </c>
      <c r="J380" s="417">
        <v>0</v>
      </c>
      <c r="K380" s="417">
        <v>0</v>
      </c>
      <c r="L380" s="417">
        <v>0</v>
      </c>
      <c r="M380" s="417">
        <v>0</v>
      </c>
      <c r="N380" s="418">
        <f t="shared" si="156"/>
        <v>0</v>
      </c>
      <c r="O380" s="65"/>
      <c r="P380" s="1535"/>
    </row>
    <row r="381" spans="2:16" s="38" customFormat="1">
      <c r="B381" s="400"/>
      <c r="C381" s="400"/>
      <c r="D381" s="400" t="s">
        <v>1151</v>
      </c>
      <c r="E381" s="400" t="s">
        <v>1267</v>
      </c>
      <c r="F381" s="400" t="s">
        <v>386</v>
      </c>
      <c r="G381" s="829" t="s">
        <v>1143</v>
      </c>
      <c r="H381" s="417">
        <v>320407.22788357921</v>
      </c>
      <c r="I381" s="417">
        <v>390825.82456116052</v>
      </c>
      <c r="J381" s="417">
        <v>398065.19844176003</v>
      </c>
      <c r="K381" s="417">
        <v>0</v>
      </c>
      <c r="L381" s="417">
        <v>342846.50953054131</v>
      </c>
      <c r="M381" s="417">
        <v>0</v>
      </c>
      <c r="N381" s="418">
        <f t="shared" si="156"/>
        <v>1452144.7604170411</v>
      </c>
      <c r="O381" s="65"/>
      <c r="P381" s="1535"/>
    </row>
    <row r="382" spans="2:16" s="38" customFormat="1">
      <c r="B382" s="400"/>
      <c r="C382" s="400"/>
      <c r="D382" s="400" t="s">
        <v>1152</v>
      </c>
      <c r="E382" s="400" t="s">
        <v>1266</v>
      </c>
      <c r="F382" s="400" t="s">
        <v>386</v>
      </c>
      <c r="G382" s="829" t="s">
        <v>1143</v>
      </c>
      <c r="H382" s="417">
        <v>59134.26</v>
      </c>
      <c r="I382" s="417">
        <v>66514.152204041573</v>
      </c>
      <c r="J382" s="417">
        <v>81314.226830144951</v>
      </c>
      <c r="K382" s="417">
        <v>0</v>
      </c>
      <c r="L382" s="417">
        <v>70851.88</v>
      </c>
      <c r="M382" s="417">
        <v>0</v>
      </c>
      <c r="N382" s="418">
        <f t="shared" si="156"/>
        <v>277814.51903418655</v>
      </c>
      <c r="O382" s="65"/>
      <c r="P382" s="1535"/>
    </row>
    <row r="383" spans="2:16" s="38" customFormat="1">
      <c r="B383" s="400"/>
      <c r="C383" s="400"/>
      <c r="D383" s="400" t="s">
        <v>1153</v>
      </c>
      <c r="E383" s="400" t="s">
        <v>814</v>
      </c>
      <c r="F383" s="400" t="s">
        <v>386</v>
      </c>
      <c r="G383" s="829" t="s">
        <v>1143</v>
      </c>
      <c r="H383" s="417">
        <v>0</v>
      </c>
      <c r="I383" s="417">
        <v>0</v>
      </c>
      <c r="J383" s="417">
        <v>0</v>
      </c>
      <c r="K383" s="417">
        <v>0</v>
      </c>
      <c r="L383" s="417">
        <v>0</v>
      </c>
      <c r="M383" s="417">
        <v>0</v>
      </c>
      <c r="N383" s="418">
        <f t="shared" si="156"/>
        <v>0</v>
      </c>
      <c r="O383" s="65"/>
      <c r="P383" s="1535"/>
    </row>
    <row r="384" spans="2:16" s="38" customFormat="1">
      <c r="B384" s="400"/>
      <c r="C384" s="400"/>
      <c r="D384" s="400" t="s">
        <v>1154</v>
      </c>
      <c r="E384" s="400" t="s">
        <v>1268</v>
      </c>
      <c r="F384" s="400" t="s">
        <v>386</v>
      </c>
      <c r="G384" s="829" t="s">
        <v>1143</v>
      </c>
      <c r="H384" s="417">
        <v>176145.9024537348</v>
      </c>
      <c r="I384" s="417">
        <v>599640.76638098795</v>
      </c>
      <c r="J384" s="417">
        <v>273126.45020862139</v>
      </c>
      <c r="K384" s="417">
        <v>0</v>
      </c>
      <c r="L384" s="417">
        <v>200040.9686087314</v>
      </c>
      <c r="M384" s="417">
        <v>2266.1799999999998</v>
      </c>
      <c r="N384" s="418">
        <f t="shared" si="156"/>
        <v>1251220.2676520755</v>
      </c>
      <c r="O384" s="65"/>
      <c r="P384" s="1535"/>
    </row>
    <row r="385" spans="2:16" s="38" customFormat="1">
      <c r="B385" s="400"/>
      <c r="C385" s="400"/>
      <c r="D385" s="400" t="s">
        <v>1156</v>
      </c>
      <c r="E385" s="400" t="s">
        <v>958</v>
      </c>
      <c r="F385" s="400" t="s">
        <v>386</v>
      </c>
      <c r="G385" s="829" t="s">
        <v>1143</v>
      </c>
      <c r="H385" s="417">
        <v>0</v>
      </c>
      <c r="I385" s="417">
        <v>0</v>
      </c>
      <c r="J385" s="417">
        <v>0</v>
      </c>
      <c r="K385" s="417">
        <v>0</v>
      </c>
      <c r="L385" s="417">
        <v>0</v>
      </c>
      <c r="M385" s="417">
        <v>0</v>
      </c>
      <c r="N385" s="418">
        <f t="shared" si="156"/>
        <v>0</v>
      </c>
      <c r="O385" s="65"/>
      <c r="P385" s="1535"/>
    </row>
    <row r="386" spans="2:16" s="38" customFormat="1">
      <c r="B386" s="400"/>
      <c r="C386" s="400"/>
      <c r="D386" s="400" t="s">
        <v>1157</v>
      </c>
      <c r="E386" s="400" t="s">
        <v>1360</v>
      </c>
      <c r="F386" s="400" t="s">
        <v>386</v>
      </c>
      <c r="G386" s="829" t="s">
        <v>1143</v>
      </c>
      <c r="H386" s="417">
        <v>0</v>
      </c>
      <c r="I386" s="417">
        <v>18363.511306525586</v>
      </c>
      <c r="J386" s="417">
        <v>0</v>
      </c>
      <c r="K386" s="417">
        <v>0</v>
      </c>
      <c r="L386" s="417">
        <v>0</v>
      </c>
      <c r="M386" s="417">
        <v>0</v>
      </c>
      <c r="N386" s="418">
        <f t="shared" si="156"/>
        <v>18363.511306525586</v>
      </c>
      <c r="O386" s="65"/>
      <c r="P386" s="1535"/>
    </row>
    <row r="387" spans="2:16" s="38" customFormat="1">
      <c r="B387" s="400"/>
      <c r="C387" s="400"/>
      <c r="D387" s="400" t="s">
        <v>1158</v>
      </c>
      <c r="E387" s="400" t="s">
        <v>1359</v>
      </c>
      <c r="F387" s="400" t="s">
        <v>386</v>
      </c>
      <c r="G387" s="829" t="s">
        <v>1143</v>
      </c>
      <c r="H387" s="417">
        <v>0</v>
      </c>
      <c r="I387" s="417">
        <v>230559.80885668061</v>
      </c>
      <c r="J387" s="417">
        <v>0</v>
      </c>
      <c r="K387" s="417">
        <v>0</v>
      </c>
      <c r="L387" s="417">
        <v>0</v>
      </c>
      <c r="M387" s="417">
        <v>0</v>
      </c>
      <c r="N387" s="418">
        <f t="shared" si="156"/>
        <v>230559.80885668061</v>
      </c>
      <c r="O387" s="65"/>
      <c r="P387" s="1535"/>
    </row>
    <row r="388" spans="2:16" s="38" customFormat="1">
      <c r="B388" s="400"/>
      <c r="C388" s="400"/>
      <c r="D388" s="400" t="s">
        <v>1159</v>
      </c>
      <c r="E388" s="400" t="s">
        <v>1265</v>
      </c>
      <c r="F388" s="400" t="s">
        <v>801</v>
      </c>
      <c r="G388" s="829" t="s">
        <v>1143</v>
      </c>
      <c r="H388" s="417">
        <v>5188.0227277499989</v>
      </c>
      <c r="I388" s="417">
        <v>5676.5061456999974</v>
      </c>
      <c r="J388" s="417">
        <v>5139.8777279000005</v>
      </c>
      <c r="K388" s="417">
        <v>0</v>
      </c>
      <c r="L388" s="417">
        <v>5031.9301171000016</v>
      </c>
      <c r="M388" s="417">
        <v>0</v>
      </c>
      <c r="N388" s="418">
        <f t="shared" si="156"/>
        <v>21036.336718449998</v>
      </c>
      <c r="O388" s="65"/>
      <c r="P388" s="1535"/>
    </row>
    <row r="389" spans="2:16" s="38" customFormat="1">
      <c r="B389" s="400"/>
      <c r="C389" s="400"/>
      <c r="D389" s="400" t="s">
        <v>1313</v>
      </c>
      <c r="E389" s="400" t="s">
        <v>578</v>
      </c>
      <c r="F389" s="400" t="s">
        <v>386</v>
      </c>
      <c r="G389" s="829" t="s">
        <v>1293</v>
      </c>
      <c r="H389" s="417">
        <v>41023.449216000023</v>
      </c>
      <c r="I389" s="417">
        <v>41191.981216</v>
      </c>
      <c r="J389" s="417">
        <v>0</v>
      </c>
      <c r="K389" s="417">
        <v>0</v>
      </c>
      <c r="L389" s="417">
        <v>0</v>
      </c>
      <c r="M389" s="417">
        <v>43916.407122000019</v>
      </c>
      <c r="N389" s="418">
        <f t="shared" si="156"/>
        <v>126131.83755400004</v>
      </c>
      <c r="O389" s="65"/>
      <c r="P389" s="1535"/>
    </row>
    <row r="390" spans="2:16" s="38" customFormat="1">
      <c r="B390" s="400"/>
      <c r="C390" s="400"/>
      <c r="D390" s="400" t="s">
        <v>1312</v>
      </c>
      <c r="E390" s="400" t="s">
        <v>822</v>
      </c>
      <c r="F390" s="400" t="s">
        <v>386</v>
      </c>
      <c r="G390" s="829" t="s">
        <v>1293</v>
      </c>
      <c r="H390" s="417">
        <v>0</v>
      </c>
      <c r="I390" s="417">
        <v>0</v>
      </c>
      <c r="J390" s="417">
        <v>75807.689242400054</v>
      </c>
      <c r="K390" s="417">
        <v>89649.531297000081</v>
      </c>
      <c r="L390" s="417">
        <v>75809.649420900038</v>
      </c>
      <c r="M390" s="417">
        <v>375305.98284660012</v>
      </c>
      <c r="N390" s="418">
        <f t="shared" si="156"/>
        <v>616572.85280690028</v>
      </c>
      <c r="O390" s="65"/>
      <c r="P390" s="1535"/>
    </row>
    <row r="391" spans="2:16" s="38" customFormat="1">
      <c r="B391" s="400"/>
      <c r="C391" s="400"/>
      <c r="D391" s="400" t="s">
        <v>1309</v>
      </c>
      <c r="E391" s="400" t="s">
        <v>1319</v>
      </c>
      <c r="F391" s="400" t="s">
        <v>386</v>
      </c>
      <c r="G391" s="829" t="s">
        <v>1293</v>
      </c>
      <c r="H391" s="417">
        <v>0</v>
      </c>
      <c r="I391" s="417">
        <v>384979.27267349261</v>
      </c>
      <c r="J391" s="417">
        <v>375280.26560461224</v>
      </c>
      <c r="K391" s="417">
        <v>378169.93792681932</v>
      </c>
      <c r="L391" s="417">
        <v>223114.51346038419</v>
      </c>
      <c r="M391" s="417">
        <v>376509.11553578533</v>
      </c>
      <c r="N391" s="418">
        <f t="shared" si="156"/>
        <v>1738053.1052010939</v>
      </c>
      <c r="O391" s="65"/>
      <c r="P391" s="1535"/>
    </row>
    <row r="392" spans="2:16" s="38" customFormat="1">
      <c r="B392" s="400"/>
      <c r="C392" s="400"/>
      <c r="D392" s="400" t="s">
        <v>1308</v>
      </c>
      <c r="E392" s="400" t="s">
        <v>1715</v>
      </c>
      <c r="F392" s="400" t="s">
        <v>801</v>
      </c>
      <c r="G392" s="829" t="s">
        <v>1293</v>
      </c>
      <c r="H392" s="417">
        <v>58077.818281200001</v>
      </c>
      <c r="I392" s="417">
        <v>60056.121687800012</v>
      </c>
      <c r="J392" s="417">
        <v>54812.904157400022</v>
      </c>
      <c r="K392" s="417">
        <v>59570.181094199979</v>
      </c>
      <c r="L392" s="417">
        <v>55879.21047659999</v>
      </c>
      <c r="M392" s="417">
        <v>68773.694134000019</v>
      </c>
      <c r="N392" s="418">
        <f t="shared" si="156"/>
        <v>357169.92983120005</v>
      </c>
      <c r="O392" s="65"/>
      <c r="P392" s="1535"/>
    </row>
    <row r="393" spans="2:16" s="38" customFormat="1">
      <c r="B393" s="400"/>
      <c r="C393" s="400"/>
      <c r="D393" s="400" t="s">
        <v>1307</v>
      </c>
      <c r="E393" s="400" t="s">
        <v>1509</v>
      </c>
      <c r="F393" s="400" t="s">
        <v>386</v>
      </c>
      <c r="G393" s="829" t="s">
        <v>1293</v>
      </c>
      <c r="H393" s="417">
        <v>0</v>
      </c>
      <c r="I393" s="417">
        <v>0</v>
      </c>
      <c r="J393" s="417">
        <v>385673.02709342272</v>
      </c>
      <c r="K393" s="417">
        <v>1458477.915070687</v>
      </c>
      <c r="L393" s="417">
        <v>537219.15243486769</v>
      </c>
      <c r="M393" s="417">
        <v>0</v>
      </c>
      <c r="N393" s="418">
        <f t="shared" si="156"/>
        <v>2381370.0945989774</v>
      </c>
      <c r="O393" s="65"/>
      <c r="P393" s="1535"/>
    </row>
    <row r="394" spans="2:16" s="38" customFormat="1">
      <c r="B394" s="400"/>
      <c r="C394" s="400"/>
      <c r="D394" s="400" t="s">
        <v>1290</v>
      </c>
      <c r="E394" s="400" t="s">
        <v>689</v>
      </c>
      <c r="F394" s="400" t="s">
        <v>386</v>
      </c>
      <c r="G394" s="829" t="s">
        <v>1293</v>
      </c>
      <c r="H394" s="417">
        <v>237064.7777696267</v>
      </c>
      <c r="I394" s="417">
        <v>198200.16221473651</v>
      </c>
      <c r="J394" s="417">
        <v>180280.46981572668</v>
      </c>
      <c r="K394" s="417">
        <v>166037.61219086967</v>
      </c>
      <c r="L394" s="417">
        <v>163997.13139303902</v>
      </c>
      <c r="M394" s="417">
        <v>170516.7949915402</v>
      </c>
      <c r="N394" s="418">
        <f t="shared" si="156"/>
        <v>1116096.9483755387</v>
      </c>
      <c r="O394" s="65"/>
      <c r="P394" s="1535"/>
    </row>
    <row r="395" spans="2:16" s="38" customFormat="1">
      <c r="B395" s="400"/>
      <c r="C395" s="400"/>
      <c r="D395" s="400" t="s">
        <v>1306</v>
      </c>
      <c r="E395" s="400" t="s">
        <v>958</v>
      </c>
      <c r="F395" s="400" t="s">
        <v>386</v>
      </c>
      <c r="G395" s="829" t="s">
        <v>1293</v>
      </c>
      <c r="H395" s="417">
        <v>276127.83886597789</v>
      </c>
      <c r="I395" s="417">
        <v>281462.6237990646</v>
      </c>
      <c r="J395" s="417">
        <v>283962.06764082343</v>
      </c>
      <c r="K395" s="417">
        <v>299174.43978210626</v>
      </c>
      <c r="L395" s="417">
        <v>0</v>
      </c>
      <c r="M395" s="417">
        <v>256862.88548774723</v>
      </c>
      <c r="N395" s="418">
        <f t="shared" si="156"/>
        <v>1397589.8555757194</v>
      </c>
      <c r="O395" s="65"/>
      <c r="P395" s="1535"/>
    </row>
    <row r="396" spans="2:16" s="38" customFormat="1">
      <c r="B396" s="400"/>
      <c r="C396" s="400"/>
      <c r="D396" s="400" t="s">
        <v>1305</v>
      </c>
      <c r="E396" s="400" t="s">
        <v>1360</v>
      </c>
      <c r="F396" s="400" t="s">
        <v>386</v>
      </c>
      <c r="G396" s="829" t="s">
        <v>1293</v>
      </c>
      <c r="H396" s="417">
        <v>69142.058535819073</v>
      </c>
      <c r="I396" s="417">
        <v>69296.269081228602</v>
      </c>
      <c r="J396" s="417">
        <v>112584.07968138362</v>
      </c>
      <c r="K396" s="417">
        <v>0</v>
      </c>
      <c r="L396" s="417">
        <v>0</v>
      </c>
      <c r="M396" s="417">
        <v>22590.546932147139</v>
      </c>
      <c r="N396" s="418">
        <f t="shared" si="156"/>
        <v>273612.95423057844</v>
      </c>
      <c r="O396" s="65"/>
      <c r="P396" s="1535"/>
    </row>
    <row r="397" spans="2:16" s="38" customFormat="1">
      <c r="B397" s="400"/>
      <c r="C397" s="400"/>
      <c r="D397" s="400" t="s">
        <v>1304</v>
      </c>
      <c r="E397" s="400" t="s">
        <v>1359</v>
      </c>
      <c r="F397" s="400" t="s">
        <v>386</v>
      </c>
      <c r="G397" s="829" t="s">
        <v>1293</v>
      </c>
      <c r="H397" s="417">
        <v>424541.04731547466</v>
      </c>
      <c r="I397" s="417">
        <v>164685.5777547718</v>
      </c>
      <c r="J397" s="417">
        <v>404051.75263429951</v>
      </c>
      <c r="K397" s="417">
        <v>56305.301869104282</v>
      </c>
      <c r="L397" s="417">
        <v>0</v>
      </c>
      <c r="M397" s="417">
        <v>396589.60169769399</v>
      </c>
      <c r="N397" s="418">
        <f t="shared" si="156"/>
        <v>1446173.2812713443</v>
      </c>
      <c r="O397" s="65"/>
      <c r="P397" s="1535"/>
    </row>
    <row r="398" spans="2:16" s="38" customFormat="1">
      <c r="B398" s="400"/>
      <c r="C398" s="400"/>
      <c r="D398" s="400" t="s">
        <v>1291</v>
      </c>
      <c r="E398" s="400" t="s">
        <v>1358</v>
      </c>
      <c r="F398" s="400" t="s">
        <v>387</v>
      </c>
      <c r="G398" s="829" t="s">
        <v>1293</v>
      </c>
      <c r="H398" s="417">
        <v>0</v>
      </c>
      <c r="I398" s="417">
        <v>0</v>
      </c>
      <c r="J398" s="417">
        <v>0</v>
      </c>
      <c r="K398" s="417">
        <v>0</v>
      </c>
      <c r="L398" s="417">
        <v>0</v>
      </c>
      <c r="M398" s="417">
        <v>0</v>
      </c>
      <c r="N398" s="418">
        <f t="shared" si="156"/>
        <v>0</v>
      </c>
      <c r="O398" s="65"/>
      <c r="P398" s="1535"/>
    </row>
    <row r="399" spans="2:16" s="38" customFormat="1">
      <c r="B399" s="400"/>
      <c r="C399" s="400"/>
      <c r="D399" s="400" t="s">
        <v>1303</v>
      </c>
      <c r="E399" s="400" t="s">
        <v>1510</v>
      </c>
      <c r="F399" s="400" t="s">
        <v>387</v>
      </c>
      <c r="G399" s="829" t="s">
        <v>1293</v>
      </c>
      <c r="H399" s="417">
        <v>1238567.6752391979</v>
      </c>
      <c r="I399" s="417">
        <v>1118257.8487157919</v>
      </c>
      <c r="J399" s="417">
        <v>1093629.2375163841</v>
      </c>
      <c r="K399" s="417">
        <v>1296870.7769784047</v>
      </c>
      <c r="L399" s="417">
        <v>1198888.26</v>
      </c>
      <c r="M399" s="417">
        <v>1313535.7227158938</v>
      </c>
      <c r="N399" s="418">
        <f t="shared" si="156"/>
        <v>7259749.5211656727</v>
      </c>
      <c r="O399" s="65"/>
      <c r="P399" s="1535"/>
    </row>
    <row r="400" spans="2:16" s="38" customFormat="1">
      <c r="B400" s="400"/>
      <c r="C400" s="400"/>
      <c r="D400" s="400" t="s">
        <v>1302</v>
      </c>
      <c r="E400" s="400" t="s">
        <v>1320</v>
      </c>
      <c r="F400" s="400" t="s">
        <v>801</v>
      </c>
      <c r="G400" s="829" t="s">
        <v>1293</v>
      </c>
      <c r="H400" s="417">
        <v>0</v>
      </c>
      <c r="I400" s="417">
        <v>0</v>
      </c>
      <c r="J400" s="417">
        <v>0</v>
      </c>
      <c r="K400" s="417">
        <v>0</v>
      </c>
      <c r="L400" s="417">
        <v>0</v>
      </c>
      <c r="M400" s="417">
        <v>0</v>
      </c>
      <c r="N400" s="418">
        <f t="shared" ref="N400:N415" si="157">SUM(H400:M400)</f>
        <v>0</v>
      </c>
      <c r="O400" s="65"/>
      <c r="P400" s="1535"/>
    </row>
    <row r="401" spans="2:16" s="38" customFormat="1">
      <c r="B401" s="400"/>
      <c r="C401" s="400"/>
      <c r="D401" s="400" t="s">
        <v>1292</v>
      </c>
      <c r="E401" s="400" t="s">
        <v>1361</v>
      </c>
      <c r="F401" s="400" t="s">
        <v>386</v>
      </c>
      <c r="G401" s="829" t="s">
        <v>1293</v>
      </c>
      <c r="H401" s="417">
        <v>0</v>
      </c>
      <c r="I401" s="417">
        <v>0</v>
      </c>
      <c r="J401" s="417">
        <v>0</v>
      </c>
      <c r="K401" s="417">
        <v>0</v>
      </c>
      <c r="L401" s="417">
        <v>0</v>
      </c>
      <c r="M401" s="417">
        <v>0</v>
      </c>
      <c r="N401" s="418">
        <f t="shared" si="157"/>
        <v>0</v>
      </c>
      <c r="O401" s="65"/>
      <c r="P401" s="1535"/>
    </row>
    <row r="402" spans="2:16" s="38" customFormat="1">
      <c r="B402" s="400"/>
      <c r="C402" s="400"/>
      <c r="D402" s="400" t="s">
        <v>1593</v>
      </c>
      <c r="E402" s="400" t="s">
        <v>838</v>
      </c>
      <c r="F402" s="400" t="s">
        <v>386</v>
      </c>
      <c r="G402" s="829" t="s">
        <v>1585</v>
      </c>
      <c r="H402" s="417">
        <v>146601.59843680309</v>
      </c>
      <c r="I402" s="417">
        <v>127875.4134914648</v>
      </c>
      <c r="J402" s="417">
        <v>110252.07143179369</v>
      </c>
      <c r="K402" s="417">
        <v>115165.68791436999</v>
      </c>
      <c r="L402" s="417">
        <v>113254.31562730302</v>
      </c>
      <c r="M402" s="417">
        <v>141070.6</v>
      </c>
      <c r="N402" s="418">
        <f t="shared" si="157"/>
        <v>754219.68690173456</v>
      </c>
      <c r="O402" s="65"/>
      <c r="P402" s="1535"/>
    </row>
    <row r="403" spans="2:16" s="38" customFormat="1">
      <c r="B403" s="400"/>
      <c r="C403" s="400"/>
      <c r="D403" s="400" t="s">
        <v>1594</v>
      </c>
      <c r="E403" s="400" t="s">
        <v>1595</v>
      </c>
      <c r="F403" s="400" t="s">
        <v>801</v>
      </c>
      <c r="G403" s="829" t="s">
        <v>1585</v>
      </c>
      <c r="H403" s="417">
        <v>39958.151432205028</v>
      </c>
      <c r="I403" s="417">
        <v>39961.883689447001</v>
      </c>
      <c r="J403" s="417">
        <v>71606.280189988043</v>
      </c>
      <c r="K403" s="417">
        <v>77375.532216278996</v>
      </c>
      <c r="L403" s="417">
        <v>73804.196218524987</v>
      </c>
      <c r="M403" s="417">
        <v>43205.206782984023</v>
      </c>
      <c r="N403" s="418">
        <f t="shared" si="157"/>
        <v>345911.25052942813</v>
      </c>
      <c r="O403" s="65"/>
      <c r="P403" s="1535"/>
    </row>
    <row r="404" spans="2:16" s="38" customFormat="1">
      <c r="B404" s="400"/>
      <c r="C404" s="400"/>
      <c r="D404" s="400" t="s">
        <v>1596</v>
      </c>
      <c r="E404" s="400" t="s">
        <v>1597</v>
      </c>
      <c r="F404" s="400" t="s">
        <v>386</v>
      </c>
      <c r="G404" s="829" t="s">
        <v>1585</v>
      </c>
      <c r="H404" s="417">
        <v>72577.120486205764</v>
      </c>
      <c r="I404" s="417">
        <v>95934.7</v>
      </c>
      <c r="J404" s="417">
        <v>170477.014100092</v>
      </c>
      <c r="K404" s="417">
        <v>175160.75300045981</v>
      </c>
      <c r="L404" s="417">
        <v>167997.18</v>
      </c>
      <c r="M404" s="417">
        <v>71830.815053278522</v>
      </c>
      <c r="N404" s="418">
        <f t="shared" si="157"/>
        <v>753977.58264003601</v>
      </c>
      <c r="O404" s="65"/>
      <c r="P404" s="1535"/>
    </row>
    <row r="405" spans="2:16" s="38" customFormat="1">
      <c r="B405" s="400"/>
      <c r="C405" s="400"/>
      <c r="D405" s="400" t="s">
        <v>1605</v>
      </c>
      <c r="E405" s="400" t="s">
        <v>1717</v>
      </c>
      <c r="F405" s="400" t="s">
        <v>386</v>
      </c>
      <c r="G405" s="829" t="s">
        <v>1585</v>
      </c>
      <c r="H405" s="417">
        <v>26973.32994396078</v>
      </c>
      <c r="I405" s="417">
        <v>20905.230015665471</v>
      </c>
      <c r="J405" s="417">
        <v>20378.552378476241</v>
      </c>
      <c r="K405" s="417">
        <v>21286.765617080771</v>
      </c>
      <c r="L405" s="417">
        <v>20933.475200302859</v>
      </c>
      <c r="M405" s="417">
        <v>25902.990461938618</v>
      </c>
      <c r="N405" s="418">
        <f t="shared" si="157"/>
        <v>136380.34361742472</v>
      </c>
      <c r="O405" s="65"/>
      <c r="P405" s="1535"/>
    </row>
    <row r="406" spans="2:16" s="38" customFormat="1">
      <c r="B406" s="400"/>
      <c r="C406" s="400"/>
      <c r="D406" s="400" t="s">
        <v>1607</v>
      </c>
      <c r="E406" s="400" t="s">
        <v>1608</v>
      </c>
      <c r="F406" s="400" t="s">
        <v>386</v>
      </c>
      <c r="G406" s="829" t="s">
        <v>1585</v>
      </c>
      <c r="H406" s="417">
        <v>1055304.6715949031</v>
      </c>
      <c r="I406" s="417">
        <v>299786.10119186144</v>
      </c>
      <c r="J406" s="417">
        <v>385767.91064475372</v>
      </c>
      <c r="K406" s="417">
        <v>317527.35879960528</v>
      </c>
      <c r="L406" s="417">
        <v>488294.38301538688</v>
      </c>
      <c r="M406" s="417">
        <v>894430.11872474162</v>
      </c>
      <c r="N406" s="418">
        <f t="shared" si="157"/>
        <v>3441110.5439712517</v>
      </c>
      <c r="O406" s="65"/>
      <c r="P406" s="1535"/>
    </row>
    <row r="407" spans="2:16" s="38" customFormat="1">
      <c r="B407" s="400"/>
      <c r="C407" s="400"/>
      <c r="D407" s="400" t="s">
        <v>1311</v>
      </c>
      <c r="E407" s="400" t="s">
        <v>1716</v>
      </c>
      <c r="F407" s="400" t="s">
        <v>386</v>
      </c>
      <c r="G407" s="829" t="s">
        <v>1293</v>
      </c>
      <c r="H407" s="417">
        <v>83394.835132187378</v>
      </c>
      <c r="I407" s="417">
        <v>79626.546231300701</v>
      </c>
      <c r="J407" s="417">
        <v>95342.036367216147</v>
      </c>
      <c r="K407" s="417">
        <v>142864.19877235408</v>
      </c>
      <c r="L407" s="417">
        <v>126014.97918396762</v>
      </c>
      <c r="M407" s="417">
        <v>89253.577555066528</v>
      </c>
      <c r="N407" s="418">
        <f t="shared" si="157"/>
        <v>616496.17324209248</v>
      </c>
      <c r="O407" s="65"/>
      <c r="P407" s="1535"/>
    </row>
    <row r="408" spans="2:16" s="38" customFormat="1">
      <c r="B408" s="400"/>
      <c r="C408" s="400"/>
      <c r="D408" s="400" t="s">
        <v>1149</v>
      </c>
      <c r="E408" s="400" t="s">
        <v>1715</v>
      </c>
      <c r="F408" s="400" t="s">
        <v>801</v>
      </c>
      <c r="G408" s="829" t="s">
        <v>1143</v>
      </c>
      <c r="H408" s="417">
        <v>0</v>
      </c>
      <c r="I408" s="417">
        <v>0</v>
      </c>
      <c r="J408" s="417">
        <v>0</v>
      </c>
      <c r="K408" s="417">
        <v>0</v>
      </c>
      <c r="L408" s="417">
        <v>0</v>
      </c>
      <c r="M408" s="417">
        <v>0</v>
      </c>
      <c r="N408" s="418">
        <f t="shared" si="157"/>
        <v>0</v>
      </c>
      <c r="O408" s="65"/>
      <c r="P408" s="1535"/>
    </row>
    <row r="409" spans="2:16" s="38" customFormat="1">
      <c r="B409" s="400"/>
      <c r="C409" s="400"/>
      <c r="D409" s="400" t="s">
        <v>1588</v>
      </c>
      <c r="E409" s="400" t="s">
        <v>815</v>
      </c>
      <c r="F409" s="400" t="s">
        <v>386</v>
      </c>
      <c r="G409" s="829" t="s">
        <v>1585</v>
      </c>
      <c r="H409" s="417">
        <v>8312.9012525000016</v>
      </c>
      <c r="I409" s="417">
        <v>6366.2739799999954</v>
      </c>
      <c r="J409" s="417">
        <v>6205.8846464999979</v>
      </c>
      <c r="K409" s="417">
        <v>11982.734621000001</v>
      </c>
      <c r="L409" s="417">
        <v>6374.8754080000017</v>
      </c>
      <c r="M409" s="417">
        <v>0</v>
      </c>
      <c r="N409" s="418">
        <f t="shared" si="157"/>
        <v>39242.669907999996</v>
      </c>
      <c r="O409" s="65"/>
      <c r="P409" s="1535"/>
    </row>
    <row r="410" spans="2:16" s="38" customFormat="1">
      <c r="B410" s="400"/>
      <c r="C410" s="400"/>
      <c r="D410" s="400" t="s">
        <v>1589</v>
      </c>
      <c r="E410" s="400" t="s">
        <v>815</v>
      </c>
      <c r="F410" s="400" t="s">
        <v>386</v>
      </c>
      <c r="G410" s="829" t="s">
        <v>1585</v>
      </c>
      <c r="H410" s="417">
        <v>8376.8466467500039</v>
      </c>
      <c r="I410" s="417">
        <v>6424.1491979999955</v>
      </c>
      <c r="J410" s="417">
        <v>6262.3017796499971</v>
      </c>
      <c r="K410" s="417">
        <v>12091.668572099999</v>
      </c>
      <c r="L410" s="417">
        <v>6432.8288208000013</v>
      </c>
      <c r="M410" s="417">
        <v>0</v>
      </c>
      <c r="N410" s="418">
        <f t="shared" si="157"/>
        <v>39587.795017299999</v>
      </c>
      <c r="O410" s="65"/>
      <c r="P410" s="1535"/>
    </row>
    <row r="411" spans="2:16" s="38" customFormat="1">
      <c r="B411" s="400"/>
      <c r="C411" s="400"/>
      <c r="D411" s="400" t="s">
        <v>1590</v>
      </c>
      <c r="E411" s="400" t="s">
        <v>1591</v>
      </c>
      <c r="F411" s="400" t="s">
        <v>801</v>
      </c>
      <c r="G411" s="829" t="s">
        <v>1585</v>
      </c>
      <c r="H411" s="417">
        <v>19344.86693700001</v>
      </c>
      <c r="I411" s="417">
        <v>2080.4622272000001</v>
      </c>
      <c r="J411" s="417">
        <v>12733.508306399997</v>
      </c>
      <c r="K411" s="417">
        <v>17350.875908800012</v>
      </c>
      <c r="L411" s="417">
        <v>7728.946092000001</v>
      </c>
      <c r="M411" s="417">
        <v>2801.3324516650018</v>
      </c>
      <c r="N411" s="418">
        <f t="shared" si="157"/>
        <v>62039.991923065027</v>
      </c>
      <c r="O411" s="65"/>
      <c r="P411" s="1535"/>
    </row>
    <row r="412" spans="2:16" s="38" customFormat="1">
      <c r="B412" s="400"/>
      <c r="C412" s="400"/>
      <c r="D412" s="400" t="s">
        <v>1592</v>
      </c>
      <c r="E412" s="400" t="s">
        <v>1591</v>
      </c>
      <c r="F412" s="400" t="s">
        <v>801</v>
      </c>
      <c r="G412" s="829" t="s">
        <v>1585</v>
      </c>
      <c r="H412" s="417">
        <v>19931.07502600001</v>
      </c>
      <c r="I412" s="417">
        <v>2154.7644495999994</v>
      </c>
      <c r="J412" s="417">
        <v>13188.276460200001</v>
      </c>
      <c r="K412" s="417">
        <v>17970.550048400011</v>
      </c>
      <c r="L412" s="417">
        <v>8004.9798810000002</v>
      </c>
      <c r="M412" s="417">
        <v>2801.3324516650018</v>
      </c>
      <c r="N412" s="418">
        <f t="shared" si="157"/>
        <v>64050.978316865025</v>
      </c>
      <c r="O412" s="65"/>
      <c r="P412" s="1535"/>
    </row>
    <row r="413" spans="2:16" s="38" customFormat="1">
      <c r="B413" s="400"/>
      <c r="C413" s="400"/>
      <c r="D413" s="400" t="s">
        <v>1599</v>
      </c>
      <c r="E413" s="400" t="s">
        <v>1600</v>
      </c>
      <c r="F413" s="400" t="s">
        <v>801</v>
      </c>
      <c r="G413" s="829" t="s">
        <v>1585</v>
      </c>
      <c r="H413" s="417">
        <v>268378.81980015541</v>
      </c>
      <c r="I413" s="417">
        <v>208177.1566281</v>
      </c>
      <c r="J413" s="417">
        <v>202932.42836619489</v>
      </c>
      <c r="K413" s="417">
        <v>211976.54079596509</v>
      </c>
      <c r="L413" s="417">
        <v>208458.42614135024</v>
      </c>
      <c r="M413" s="417">
        <v>257642.74046375009</v>
      </c>
      <c r="N413" s="418">
        <f t="shared" si="157"/>
        <v>1357566.112195516</v>
      </c>
      <c r="O413" s="65"/>
      <c r="P413" s="1535"/>
    </row>
    <row r="414" spans="2:16" s="38" customFormat="1">
      <c r="B414" s="400"/>
      <c r="C414" s="400"/>
      <c r="D414" s="400" t="s">
        <v>1310</v>
      </c>
      <c r="E414" s="400" t="s">
        <v>1147</v>
      </c>
      <c r="F414" s="400" t="s">
        <v>386</v>
      </c>
      <c r="G414" s="829" t="s">
        <v>1293</v>
      </c>
      <c r="H414" s="417">
        <v>475671.82860825735</v>
      </c>
      <c r="I414" s="417">
        <v>518032.96432583488</v>
      </c>
      <c r="J414" s="417">
        <v>601.05999999999995</v>
      </c>
      <c r="K414" s="417">
        <v>0</v>
      </c>
      <c r="L414" s="417">
        <v>0</v>
      </c>
      <c r="M414" s="417">
        <v>0</v>
      </c>
      <c r="N414" s="418">
        <f t="shared" si="157"/>
        <v>994305.85293409228</v>
      </c>
      <c r="O414" s="65"/>
      <c r="P414" s="1535"/>
    </row>
    <row r="415" spans="2:16" s="38" customFormat="1">
      <c r="B415" s="400"/>
      <c r="C415" s="400"/>
      <c r="D415" s="400" t="s">
        <v>1743</v>
      </c>
      <c r="E415" s="400" t="s">
        <v>1841</v>
      </c>
      <c r="F415" s="400" t="s">
        <v>801</v>
      </c>
      <c r="G415" s="829" t="s">
        <v>1746</v>
      </c>
      <c r="H415" s="417">
        <v>110274.93328299999</v>
      </c>
      <c r="I415" s="417">
        <v>108990.50458116</v>
      </c>
      <c r="J415" s="417">
        <v>104205.65311663999</v>
      </c>
      <c r="K415" s="417">
        <v>106211.4572374799</v>
      </c>
      <c r="L415" s="417">
        <v>108996.38178372</v>
      </c>
      <c r="M415" s="417">
        <v>125667.79760247999</v>
      </c>
      <c r="N415" s="418">
        <f t="shared" si="157"/>
        <v>664346.72760447999</v>
      </c>
      <c r="O415" s="65"/>
      <c r="P415" s="1535"/>
    </row>
    <row r="416" spans="2:16" s="38" customFormat="1">
      <c r="B416" s="400"/>
      <c r="C416" s="400"/>
      <c r="D416" s="400"/>
      <c r="E416" s="400"/>
      <c r="F416" s="403"/>
      <c r="G416" s="832"/>
      <c r="H416" s="417"/>
      <c r="I416" s="417"/>
      <c r="J416" s="417"/>
      <c r="K416" s="417"/>
      <c r="L416" s="417"/>
      <c r="M416" s="417"/>
      <c r="N416" s="418"/>
      <c r="O416" s="65"/>
      <c r="P416" s="1535"/>
    </row>
    <row r="417" spans="2:16" s="38" customFormat="1">
      <c r="B417" s="405"/>
      <c r="C417" s="405"/>
      <c r="D417" s="405"/>
      <c r="E417" s="405" t="s">
        <v>401</v>
      </c>
      <c r="F417" s="397"/>
      <c r="G417" s="831"/>
      <c r="H417" s="419">
        <f t="shared" ref="H417:N417" si="158">SUM(H335:H416)</f>
        <v>20784124.29202383</v>
      </c>
      <c r="I417" s="419">
        <f t="shared" si="158"/>
        <v>19711852.386412911</v>
      </c>
      <c r="J417" s="419">
        <f t="shared" si="158"/>
        <v>18712506.174534503</v>
      </c>
      <c r="K417" s="419">
        <f t="shared" si="158"/>
        <v>19338150.732796829</v>
      </c>
      <c r="L417" s="419">
        <f t="shared" si="158"/>
        <v>19393744.24870649</v>
      </c>
      <c r="M417" s="419">
        <f t="shared" si="158"/>
        <v>20636817.887151346</v>
      </c>
      <c r="N417" s="419">
        <f t="shared" si="158"/>
        <v>118577195.72162591</v>
      </c>
      <c r="O417" s="65"/>
      <c r="P417" s="1535"/>
    </row>
    <row r="418" spans="2:16" s="38" customFormat="1">
      <c r="B418" s="400"/>
      <c r="C418" s="400"/>
      <c r="D418" s="400" t="s">
        <v>825</v>
      </c>
      <c r="E418" s="400" t="s">
        <v>896</v>
      </c>
      <c r="F418" s="403" t="s">
        <v>1056</v>
      </c>
      <c r="G418" s="832"/>
      <c r="H418" s="417">
        <v>15342.944554239999</v>
      </c>
      <c r="I418" s="417">
        <v>22430.982167999999</v>
      </c>
      <c r="J418" s="417">
        <v>5150.7955430399988</v>
      </c>
      <c r="K418" s="417">
        <v>21888.828551679999</v>
      </c>
      <c r="L418" s="417">
        <v>99969.38</v>
      </c>
      <c r="M418" s="417">
        <v>26734.73</v>
      </c>
      <c r="N418" s="418">
        <f t="shared" ref="N418:N421" si="159">SUM(H418:M418)</f>
        <v>191517.66081696001</v>
      </c>
      <c r="O418" s="65"/>
      <c r="P418" s="1535"/>
    </row>
    <row r="419" spans="2:16" s="38" customFormat="1">
      <c r="B419" s="400"/>
      <c r="C419" s="400"/>
      <c r="D419" s="400" t="s">
        <v>897</v>
      </c>
      <c r="E419" s="400" t="s">
        <v>1068</v>
      </c>
      <c r="F419" s="403" t="s">
        <v>1056</v>
      </c>
      <c r="G419" s="832"/>
      <c r="H419" s="417">
        <v>1406596.26</v>
      </c>
      <c r="I419" s="417">
        <v>1353296.42</v>
      </c>
      <c r="J419" s="417">
        <v>1292292.31</v>
      </c>
      <c r="K419" s="417">
        <f>49269.37+458482.47+81698.79+736397.95</f>
        <v>1325848.58</v>
      </c>
      <c r="L419" s="417">
        <v>1331596.99</v>
      </c>
      <c r="M419" s="417">
        <v>1323960.5</v>
      </c>
      <c r="N419" s="418">
        <f t="shared" si="159"/>
        <v>8033591.0600000005</v>
      </c>
      <c r="O419" s="65"/>
      <c r="P419" s="1535"/>
    </row>
    <row r="420" spans="2:16" s="38" customFormat="1">
      <c r="B420" s="400"/>
      <c r="C420" s="400"/>
      <c r="D420" s="400" t="s">
        <v>391</v>
      </c>
      <c r="E420" s="400" t="s">
        <v>390</v>
      </c>
      <c r="F420" s="403" t="s">
        <v>1511</v>
      </c>
      <c r="G420" s="832"/>
      <c r="H420" s="417">
        <v>0</v>
      </c>
      <c r="I420" s="417">
        <v>0</v>
      </c>
      <c r="J420" s="417">
        <v>0</v>
      </c>
      <c r="K420" s="417">
        <v>0</v>
      </c>
      <c r="L420" s="417">
        <v>0</v>
      </c>
      <c r="M420" s="417">
        <v>0</v>
      </c>
      <c r="N420" s="418">
        <f t="shared" si="159"/>
        <v>0</v>
      </c>
      <c r="O420" s="65"/>
      <c r="P420" s="1535"/>
    </row>
    <row r="421" spans="2:16" s="38" customFormat="1">
      <c r="B421" s="400"/>
      <c r="C421" s="400"/>
      <c r="D421" s="400" t="s">
        <v>393</v>
      </c>
      <c r="E421" s="400" t="s">
        <v>392</v>
      </c>
      <c r="F421" s="403" t="s">
        <v>1511</v>
      </c>
      <c r="G421" s="832"/>
      <c r="H421" s="417">
        <v>0</v>
      </c>
      <c r="I421" s="417">
        <v>0</v>
      </c>
      <c r="J421" s="417">
        <v>0</v>
      </c>
      <c r="K421" s="417">
        <v>0</v>
      </c>
      <c r="L421" s="417">
        <v>0</v>
      </c>
      <c r="M421" s="417">
        <v>0</v>
      </c>
      <c r="N421" s="418">
        <f t="shared" si="159"/>
        <v>0</v>
      </c>
      <c r="O421" s="65"/>
      <c r="P421" s="1535"/>
    </row>
    <row r="422" spans="2:16" s="38" customFormat="1">
      <c r="B422" s="402"/>
      <c r="C422" s="402"/>
      <c r="D422" s="400" t="s">
        <v>1069</v>
      </c>
      <c r="E422" s="400" t="s">
        <v>1069</v>
      </c>
      <c r="F422" s="403" t="s">
        <v>387</v>
      </c>
      <c r="G422" s="832"/>
      <c r="H422" s="417">
        <v>27279.598333333386</v>
      </c>
      <c r="I422" s="417">
        <v>27279.598333333386</v>
      </c>
      <c r="J422" s="417">
        <v>27279.598333333386</v>
      </c>
      <c r="K422" s="417">
        <v>27279.598333333386</v>
      </c>
      <c r="L422" s="417">
        <v>27279.598333333386</v>
      </c>
      <c r="M422" s="417">
        <v>27279.598333333386</v>
      </c>
      <c r="N422" s="418">
        <f>SUM(H422:M422)</f>
        <v>163677.59000000032</v>
      </c>
      <c r="O422" s="65"/>
      <c r="P422" s="1535"/>
    </row>
    <row r="423" spans="2:16" s="38" customFormat="1">
      <c r="B423" s="400"/>
      <c r="C423" s="400"/>
      <c r="D423" s="400"/>
      <c r="E423" s="400"/>
      <c r="F423" s="403"/>
      <c r="G423" s="832"/>
      <c r="H423" s="417"/>
      <c r="I423" s="417"/>
      <c r="J423" s="417"/>
      <c r="K423" s="417"/>
      <c r="L423" s="417"/>
      <c r="M423" s="417"/>
      <c r="N423" s="418"/>
      <c r="O423" s="65"/>
      <c r="P423" s="1535"/>
    </row>
    <row r="424" spans="2:16" s="38" customFormat="1">
      <c r="B424" s="405"/>
      <c r="C424" s="405"/>
      <c r="D424" s="405"/>
      <c r="E424" s="405" t="s">
        <v>182</v>
      </c>
      <c r="F424" s="397"/>
      <c r="G424" s="831"/>
      <c r="H424" s="419">
        <f t="shared" ref="H424:N424" si="160">SUM(H417:H423)</f>
        <v>22233343.094911404</v>
      </c>
      <c r="I424" s="419">
        <f t="shared" si="160"/>
        <v>21114859.386914242</v>
      </c>
      <c r="J424" s="419">
        <f t="shared" si="160"/>
        <v>20037228.878410876</v>
      </c>
      <c r="K424" s="419">
        <f t="shared" si="160"/>
        <v>20713167.739681844</v>
      </c>
      <c r="L424" s="419">
        <f t="shared" si="160"/>
        <v>20852590.21703982</v>
      </c>
      <c r="M424" s="419">
        <f t="shared" si="160"/>
        <v>22014792.715484679</v>
      </c>
      <c r="N424" s="419">
        <f t="shared" si="160"/>
        <v>126965982.03244287</v>
      </c>
      <c r="O424" s="65"/>
      <c r="P424" s="1535"/>
    </row>
    <row r="425" spans="2:16" s="38" customFormat="1">
      <c r="B425" s="400"/>
      <c r="C425" s="400"/>
      <c r="D425" s="400" t="s">
        <v>389</v>
      </c>
      <c r="E425" s="400" t="s">
        <v>450</v>
      </c>
      <c r="F425" s="403" t="s">
        <v>1065</v>
      </c>
      <c r="G425" s="832"/>
      <c r="H425" s="417">
        <v>2726762.3100000005</v>
      </c>
      <c r="I425" s="417">
        <v>3772796.88</v>
      </c>
      <c r="J425" s="417">
        <v>4326562.2300000004</v>
      </c>
      <c r="K425" s="417">
        <v>3112380.92</v>
      </c>
      <c r="L425" s="417">
        <v>1891536.82</v>
      </c>
      <c r="M425" s="417">
        <v>2944742.96</v>
      </c>
      <c r="N425" s="418">
        <f t="shared" ref="N425" si="161">SUM(H425:M425)</f>
        <v>18774782.120000001</v>
      </c>
      <c r="O425" s="65"/>
      <c r="P425" s="1535"/>
    </row>
    <row r="426" spans="2:16" s="38" customFormat="1">
      <c r="B426" s="400"/>
      <c r="C426" s="400"/>
      <c r="D426" s="400" t="s">
        <v>449</v>
      </c>
      <c r="E426" s="400" t="s">
        <v>398</v>
      </c>
      <c r="F426" s="403" t="s">
        <v>1065</v>
      </c>
      <c r="G426" s="832"/>
      <c r="H426" s="417">
        <v>0</v>
      </c>
      <c r="I426" s="417">
        <v>0</v>
      </c>
      <c r="J426" s="417">
        <v>0</v>
      </c>
      <c r="K426" s="417">
        <v>0</v>
      </c>
      <c r="L426" s="417">
        <v>0</v>
      </c>
      <c r="M426" s="417">
        <v>0</v>
      </c>
      <c r="N426" s="418">
        <f t="shared" ref="N426:N431" si="162">SUM(H426:M426)</f>
        <v>0</v>
      </c>
      <c r="O426" s="65"/>
      <c r="P426" s="1535"/>
    </row>
    <row r="427" spans="2:16" s="38" customFormat="1">
      <c r="B427" s="400"/>
      <c r="C427" s="400"/>
      <c r="D427" s="400" t="s">
        <v>456</v>
      </c>
      <c r="E427" s="400" t="s">
        <v>394</v>
      </c>
      <c r="F427" s="403" t="s">
        <v>776</v>
      </c>
      <c r="G427" s="832"/>
      <c r="H427" s="417">
        <v>155793.54</v>
      </c>
      <c r="I427" s="417">
        <v>189259.36</v>
      </c>
      <c r="J427" s="417">
        <v>213691.98</v>
      </c>
      <c r="K427" s="417">
        <v>142704.32999999999</v>
      </c>
      <c r="L427" s="417">
        <v>118577.06</v>
      </c>
      <c r="M427" s="417">
        <v>150832.95000000001</v>
      </c>
      <c r="N427" s="418">
        <f t="shared" si="162"/>
        <v>970859.22</v>
      </c>
      <c r="O427" s="65"/>
      <c r="P427" s="1535"/>
    </row>
    <row r="428" spans="2:16" s="38" customFormat="1">
      <c r="B428" s="400"/>
      <c r="C428" s="400"/>
      <c r="D428" s="400" t="s">
        <v>466</v>
      </c>
      <c r="E428" s="400" t="s">
        <v>591</v>
      </c>
      <c r="F428" s="403" t="s">
        <v>1357</v>
      </c>
      <c r="G428" s="832"/>
      <c r="H428" s="417">
        <v>324516.83</v>
      </c>
      <c r="I428" s="417">
        <v>217022.55</v>
      </c>
      <c r="J428" s="417">
        <v>129956.87000000001</v>
      </c>
      <c r="K428" s="417">
        <v>182241.85</v>
      </c>
      <c r="L428" s="417">
        <v>78234.31</v>
      </c>
      <c r="M428" s="417">
        <v>190895.32</v>
      </c>
      <c r="N428" s="418">
        <f t="shared" si="162"/>
        <v>1122867.73</v>
      </c>
      <c r="O428" s="65"/>
      <c r="P428" s="1535"/>
    </row>
    <row r="429" spans="2:16" s="38" customFormat="1">
      <c r="B429" s="400"/>
      <c r="C429" s="400"/>
      <c r="D429" s="400" t="s">
        <v>592</v>
      </c>
      <c r="E429" s="400" t="s">
        <v>481</v>
      </c>
      <c r="F429" s="403" t="s">
        <v>776</v>
      </c>
      <c r="G429" s="832"/>
      <c r="H429" s="417">
        <v>0</v>
      </c>
      <c r="I429" s="417">
        <v>0</v>
      </c>
      <c r="J429" s="417">
        <v>0</v>
      </c>
      <c r="K429" s="417">
        <v>0</v>
      </c>
      <c r="L429" s="417">
        <v>0</v>
      </c>
      <c r="M429" s="417">
        <v>0</v>
      </c>
      <c r="N429" s="418">
        <f t="shared" si="162"/>
        <v>0</v>
      </c>
      <c r="O429" s="65"/>
      <c r="P429" s="1535"/>
    </row>
    <row r="430" spans="2:16" s="38" customFormat="1">
      <c r="B430" s="400"/>
      <c r="C430" s="400"/>
      <c r="D430" s="400" t="s">
        <v>462</v>
      </c>
      <c r="E430" s="400" t="s">
        <v>396</v>
      </c>
      <c r="F430" s="403" t="s">
        <v>776</v>
      </c>
      <c r="G430" s="832"/>
      <c r="H430" s="417">
        <v>0</v>
      </c>
      <c r="I430" s="417">
        <v>0</v>
      </c>
      <c r="J430" s="417">
        <v>0</v>
      </c>
      <c r="K430" s="417">
        <v>0</v>
      </c>
      <c r="L430" s="417">
        <v>0</v>
      </c>
      <c r="M430" s="417">
        <v>0</v>
      </c>
      <c r="N430" s="418">
        <f t="shared" si="162"/>
        <v>0</v>
      </c>
      <c r="O430" s="65"/>
      <c r="P430" s="1535"/>
    </row>
    <row r="431" spans="2:16" s="38" customFormat="1">
      <c r="B431" s="400"/>
      <c r="C431" s="400"/>
      <c r="D431" s="400" t="s">
        <v>1364</v>
      </c>
      <c r="E431" s="400" t="s">
        <v>846</v>
      </c>
      <c r="F431" s="403">
        <v>0</v>
      </c>
      <c r="G431" s="832"/>
      <c r="H431" s="417">
        <v>0</v>
      </c>
      <c r="I431" s="417">
        <v>0</v>
      </c>
      <c r="J431" s="417">
        <v>0</v>
      </c>
      <c r="K431" s="417">
        <v>0</v>
      </c>
      <c r="L431" s="417">
        <v>0</v>
      </c>
      <c r="M431" s="417">
        <v>0</v>
      </c>
      <c r="N431" s="418">
        <f t="shared" si="162"/>
        <v>0</v>
      </c>
      <c r="O431" s="65"/>
      <c r="P431" s="1535"/>
    </row>
    <row r="432" spans="2:16" s="38" customFormat="1">
      <c r="B432" s="400"/>
      <c r="C432" s="400"/>
      <c r="D432" s="400" t="s">
        <v>761</v>
      </c>
      <c r="E432" s="400" t="s">
        <v>761</v>
      </c>
      <c r="F432" s="403" t="s">
        <v>776</v>
      </c>
      <c r="G432" s="832"/>
      <c r="H432" s="417">
        <f>G522Fia!E97</f>
        <v>22358.851906770837</v>
      </c>
      <c r="I432" s="417">
        <f>G522Fia!F97</f>
        <v>22282.641906770838</v>
      </c>
      <c r="J432" s="417">
        <f>G522Fia!G97</f>
        <v>23711.904406770842</v>
      </c>
      <c r="K432" s="417">
        <f>G522Fia!H97</f>
        <v>23757.871906770841</v>
      </c>
      <c r="L432" s="417">
        <f>G522Fia!I97</f>
        <v>23651.199166666673</v>
      </c>
      <c r="M432" s="417">
        <f>G522Fia!J97</f>
        <v>23932.482500000006</v>
      </c>
      <c r="N432" s="418">
        <f t="shared" ref="N432" si="163">SUM(H432:M432)</f>
        <v>139694.95179375005</v>
      </c>
      <c r="O432" s="65"/>
      <c r="P432" s="1535"/>
    </row>
    <row r="433" spans="2:16" s="38" customFormat="1">
      <c r="B433" s="402"/>
      <c r="C433" s="402"/>
      <c r="D433" s="402"/>
      <c r="E433" s="400"/>
      <c r="F433" s="403"/>
      <c r="G433" s="837"/>
      <c r="H433" s="417"/>
      <c r="I433" s="417"/>
      <c r="J433" s="417"/>
      <c r="K433" s="417"/>
      <c r="L433" s="417"/>
      <c r="M433" s="417"/>
      <c r="N433" s="418"/>
      <c r="O433" s="65"/>
      <c r="P433" s="1535"/>
    </row>
    <row r="434" spans="2:16" s="38" customFormat="1">
      <c r="B434" s="405"/>
      <c r="C434" s="405"/>
      <c r="D434" s="405"/>
      <c r="E434" s="405" t="s">
        <v>246</v>
      </c>
      <c r="F434" s="397"/>
      <c r="G434" s="831"/>
      <c r="H434" s="419">
        <f t="shared" ref="H434:N434" si="164">SUM(H424:H433)</f>
        <v>25462774.626818173</v>
      </c>
      <c r="I434" s="419">
        <f t="shared" si="164"/>
        <v>25316220.818821013</v>
      </c>
      <c r="J434" s="419">
        <f t="shared" si="164"/>
        <v>24731151.862817649</v>
      </c>
      <c r="K434" s="419">
        <f t="shared" si="164"/>
        <v>24174252.711588614</v>
      </c>
      <c r="L434" s="419">
        <f t="shared" si="164"/>
        <v>22964589.606206484</v>
      </c>
      <c r="M434" s="419">
        <f t="shared" si="164"/>
        <v>25325196.427984681</v>
      </c>
      <c r="N434" s="419">
        <f t="shared" si="164"/>
        <v>147974186.05423662</v>
      </c>
      <c r="O434" s="65"/>
      <c r="P434" s="1535"/>
    </row>
    <row r="435" spans="2:16" s="38" customFormat="1">
      <c r="B435" s="410"/>
      <c r="C435" s="410"/>
      <c r="D435" s="410"/>
      <c r="E435" s="400" t="s">
        <v>320</v>
      </c>
      <c r="F435" s="411"/>
      <c r="G435" s="834"/>
      <c r="H435" s="420"/>
      <c r="I435" s="420"/>
      <c r="J435" s="420"/>
      <c r="K435" s="420"/>
      <c r="L435" s="420"/>
      <c r="M435" s="420"/>
      <c r="N435" s="420"/>
      <c r="O435" s="65"/>
      <c r="P435" s="1535"/>
    </row>
    <row r="436" spans="2:16" s="38" customFormat="1">
      <c r="B436" s="405"/>
      <c r="C436" s="405"/>
      <c r="D436" s="405"/>
      <c r="E436" s="405" t="s">
        <v>926</v>
      </c>
      <c r="F436" s="397"/>
      <c r="G436" s="831"/>
      <c r="H436" s="419">
        <f t="shared" ref="H436:N436" si="165">H434+H435</f>
        <v>25462774.626818173</v>
      </c>
      <c r="I436" s="419">
        <f t="shared" si="165"/>
        <v>25316220.818821013</v>
      </c>
      <c r="J436" s="419">
        <f t="shared" si="165"/>
        <v>24731151.862817649</v>
      </c>
      <c r="K436" s="419">
        <f t="shared" si="165"/>
        <v>24174252.711588614</v>
      </c>
      <c r="L436" s="419">
        <f t="shared" si="165"/>
        <v>22964589.606206484</v>
      </c>
      <c r="M436" s="419">
        <f t="shared" si="165"/>
        <v>25325196.427984681</v>
      </c>
      <c r="N436" s="419">
        <f t="shared" si="165"/>
        <v>147974186.05423662</v>
      </c>
      <c r="O436" s="65"/>
      <c r="P436" s="1535"/>
    </row>
    <row r="437" spans="2:16" s="38" customFormat="1" ht="15.75">
      <c r="B437" s="412"/>
      <c r="C437" s="412"/>
      <c r="D437" s="412"/>
      <c r="E437" s="412"/>
      <c r="F437" s="835"/>
      <c r="G437" s="836"/>
      <c r="H437" s="422"/>
      <c r="I437" s="412"/>
      <c r="J437" s="412"/>
      <c r="K437" s="412"/>
      <c r="L437" s="412"/>
      <c r="M437" s="412"/>
      <c r="N437" s="412"/>
      <c r="O437" s="65"/>
      <c r="P437" s="1535"/>
    </row>
    <row r="438" spans="2:16" s="38" customFormat="1" ht="28.5">
      <c r="B438" s="436"/>
      <c r="C438" s="436"/>
      <c r="D438" s="436"/>
      <c r="E438" s="436" t="s">
        <v>502</v>
      </c>
      <c r="F438" s="436"/>
      <c r="G438" s="827"/>
      <c r="H438" s="395" t="s">
        <v>501</v>
      </c>
      <c r="I438" s="395"/>
      <c r="J438" s="395"/>
      <c r="K438" s="395"/>
      <c r="L438" s="395"/>
      <c r="M438" s="395"/>
      <c r="N438" s="414"/>
      <c r="O438" s="65"/>
      <c r="P438" s="1535"/>
    </row>
    <row r="439" spans="2:16" s="38" customFormat="1" ht="15.75">
      <c r="B439" s="415"/>
      <c r="C439" s="415"/>
      <c r="D439" s="415"/>
      <c r="E439" s="398" t="s">
        <v>153</v>
      </c>
      <c r="F439" s="415"/>
      <c r="G439" s="838"/>
      <c r="H439" s="398">
        <f t="shared" ref="H439:M439" si="166">H$4</f>
        <v>45839</v>
      </c>
      <c r="I439" s="398">
        <f t="shared" si="166"/>
        <v>45870</v>
      </c>
      <c r="J439" s="398">
        <f t="shared" si="166"/>
        <v>45901</v>
      </c>
      <c r="K439" s="398">
        <f t="shared" si="166"/>
        <v>45931</v>
      </c>
      <c r="L439" s="398">
        <f t="shared" si="166"/>
        <v>45962</v>
      </c>
      <c r="M439" s="398">
        <f t="shared" si="166"/>
        <v>45992</v>
      </c>
      <c r="N439" s="416" t="s">
        <v>111</v>
      </c>
      <c r="O439" s="65"/>
      <c r="P439" s="1535"/>
    </row>
    <row r="440" spans="2:16" s="38" customFormat="1">
      <c r="B440" s="402"/>
      <c r="C440" s="402"/>
      <c r="D440" s="402"/>
      <c r="E440" s="400" t="s">
        <v>704</v>
      </c>
      <c r="F440" s="403"/>
      <c r="G440" s="837"/>
      <c r="H440" s="417"/>
      <c r="I440" s="417"/>
      <c r="J440" s="417"/>
      <c r="K440" s="417"/>
      <c r="L440" s="417"/>
      <c r="M440" s="417"/>
      <c r="N440" s="418">
        <v>0</v>
      </c>
      <c r="O440" s="65"/>
      <c r="P440" s="1535"/>
    </row>
    <row r="441" spans="2:16" s="38" customFormat="1">
      <c r="B441" s="402"/>
      <c r="C441" s="402"/>
      <c r="D441" s="402"/>
      <c r="E441" s="400"/>
      <c r="F441" s="403"/>
      <c r="G441" s="837"/>
      <c r="H441" s="417"/>
      <c r="I441" s="417"/>
      <c r="J441" s="417"/>
      <c r="K441" s="417"/>
      <c r="L441" s="417"/>
      <c r="M441" s="417"/>
      <c r="N441" s="418"/>
      <c r="O441" s="65"/>
      <c r="P441" s="1535"/>
    </row>
    <row r="442" spans="2:16" s="38" customFormat="1" ht="40.5">
      <c r="B442" s="438"/>
      <c r="C442" s="438"/>
      <c r="D442" s="438"/>
      <c r="E442" s="439" t="s">
        <v>503</v>
      </c>
      <c r="F442" s="397"/>
      <c r="G442" s="831"/>
      <c r="H442" s="419">
        <v>0</v>
      </c>
      <c r="I442" s="419">
        <v>0</v>
      </c>
      <c r="J442" s="419">
        <v>0</v>
      </c>
      <c r="K442" s="419">
        <v>0</v>
      </c>
      <c r="L442" s="419">
        <v>0</v>
      </c>
      <c r="M442" s="419">
        <v>0</v>
      </c>
      <c r="N442" s="419">
        <v>0</v>
      </c>
      <c r="O442" s="65"/>
      <c r="P442" s="1535"/>
    </row>
    <row r="443" spans="2:16" s="38" customFormat="1">
      <c r="B443" s="402"/>
      <c r="C443" s="402"/>
      <c r="D443" s="402" t="s">
        <v>466</v>
      </c>
      <c r="E443" s="440" t="s">
        <v>481</v>
      </c>
      <c r="F443" s="403"/>
      <c r="G443" s="837"/>
      <c r="H443" s="417"/>
      <c r="I443" s="417"/>
      <c r="J443" s="417"/>
      <c r="K443" s="417"/>
      <c r="L443" s="417"/>
      <c r="M443" s="417"/>
      <c r="N443" s="418">
        <f>SUM(H443:M443)</f>
        <v>0</v>
      </c>
      <c r="O443" s="65"/>
      <c r="P443" s="1535"/>
    </row>
    <row r="444" spans="2:16" s="38" customFormat="1" ht="19.5">
      <c r="B444" s="402"/>
      <c r="C444" s="402"/>
      <c r="D444" s="402" t="s">
        <v>466</v>
      </c>
      <c r="E444" s="440" t="s">
        <v>505</v>
      </c>
      <c r="F444" s="403"/>
      <c r="G444" s="837"/>
      <c r="H444" s="417"/>
      <c r="I444" s="417"/>
      <c r="J444" s="417"/>
      <c r="K444" s="417"/>
      <c r="L444" s="417"/>
      <c r="M444" s="417"/>
      <c r="N444" s="418">
        <f>SUM(H444:M444)</f>
        <v>0</v>
      </c>
      <c r="O444" s="65"/>
      <c r="P444" s="1535"/>
    </row>
    <row r="445" spans="2:16" s="38" customFormat="1" ht="19.5">
      <c r="B445" s="402"/>
      <c r="C445" s="402"/>
      <c r="D445" s="402" t="s">
        <v>389</v>
      </c>
      <c r="E445" s="440" t="s">
        <v>506</v>
      </c>
      <c r="F445" s="403"/>
      <c r="G445" s="837"/>
      <c r="H445" s="417"/>
      <c r="I445" s="417"/>
      <c r="J445" s="417"/>
      <c r="K445" s="417"/>
      <c r="L445" s="417"/>
      <c r="M445" s="417"/>
      <c r="N445" s="418">
        <f>SUM(H445:M445)</f>
        <v>0</v>
      </c>
      <c r="O445" s="65"/>
      <c r="P445" s="1535"/>
    </row>
    <row r="446" spans="2:16" s="38" customFormat="1">
      <c r="B446" s="402"/>
      <c r="C446" s="402"/>
      <c r="D446" s="402"/>
      <c r="E446" s="440" t="s">
        <v>1105</v>
      </c>
      <c r="F446" s="403"/>
      <c r="G446" s="837"/>
      <c r="H446" s="417"/>
      <c r="I446" s="417"/>
      <c r="J446" s="417"/>
      <c r="K446" s="417"/>
      <c r="L446" s="417"/>
      <c r="M446" s="417"/>
      <c r="N446" s="418">
        <f>SUM(H446:M446)</f>
        <v>0</v>
      </c>
      <c r="O446" s="65"/>
      <c r="P446" s="1535"/>
    </row>
    <row r="447" spans="2:16" s="38" customFormat="1">
      <c r="B447" s="402"/>
      <c r="C447" s="402"/>
      <c r="D447" s="402"/>
      <c r="E447" s="441"/>
      <c r="F447" s="403"/>
      <c r="G447" s="837"/>
      <c r="H447" s="417"/>
      <c r="I447" s="417"/>
      <c r="J447" s="417"/>
      <c r="K447" s="417"/>
      <c r="L447" s="417"/>
      <c r="M447" s="417"/>
      <c r="N447" s="418">
        <f>SUM(H447:M447)</f>
        <v>0</v>
      </c>
      <c r="O447" s="65"/>
      <c r="P447" s="1535"/>
    </row>
    <row r="448" spans="2:16" s="38" customFormat="1">
      <c r="B448" s="405"/>
      <c r="C448" s="405"/>
      <c r="D448" s="405"/>
      <c r="E448" s="405" t="s">
        <v>504</v>
      </c>
      <c r="F448" s="397"/>
      <c r="G448" s="831"/>
      <c r="H448" s="419">
        <f>SUM(H442:H447)</f>
        <v>0</v>
      </c>
      <c r="I448" s="419">
        <f t="shared" ref="I448:N448" si="167">SUM(I442:I447)</f>
        <v>0</v>
      </c>
      <c r="J448" s="419">
        <f t="shared" si="167"/>
        <v>0</v>
      </c>
      <c r="K448" s="419">
        <f t="shared" si="167"/>
        <v>0</v>
      </c>
      <c r="L448" s="419">
        <f t="shared" si="167"/>
        <v>0</v>
      </c>
      <c r="M448" s="419">
        <f t="shared" si="167"/>
        <v>0</v>
      </c>
      <c r="N448" s="419">
        <f t="shared" si="167"/>
        <v>0</v>
      </c>
      <c r="O448" s="65"/>
      <c r="P448" s="1535"/>
    </row>
    <row r="449" spans="2:16" s="38" customFormat="1" ht="15.75">
      <c r="B449" s="412"/>
      <c r="C449" s="412"/>
      <c r="D449" s="412"/>
      <c r="E449" s="412"/>
      <c r="F449" s="412"/>
      <c r="G449" s="836"/>
      <c r="H449" s="313"/>
      <c r="I449" s="313"/>
      <c r="J449" s="313"/>
      <c r="K449" s="313"/>
      <c r="L449" s="313"/>
      <c r="M449" s="313"/>
      <c r="N449" s="313"/>
      <c r="O449" s="65"/>
      <c r="P449" s="1535"/>
    </row>
    <row r="450" spans="2:16" s="38" customFormat="1">
      <c r="B450" s="286"/>
      <c r="C450" s="286"/>
      <c r="D450" s="286"/>
      <c r="E450" s="286" t="s">
        <v>507</v>
      </c>
      <c r="F450" s="279"/>
      <c r="G450" s="843"/>
      <c r="H450" s="298">
        <f>H436+H448</f>
        <v>25462774.626818173</v>
      </c>
      <c r="I450" s="298">
        <f t="shared" ref="I450:N450" si="168">I436+I448</f>
        <v>25316220.818821013</v>
      </c>
      <c r="J450" s="298">
        <f t="shared" si="168"/>
        <v>24731151.862817649</v>
      </c>
      <c r="K450" s="298">
        <f t="shared" si="168"/>
        <v>24174252.711588614</v>
      </c>
      <c r="L450" s="298">
        <f t="shared" si="168"/>
        <v>22964589.606206484</v>
      </c>
      <c r="M450" s="298">
        <f t="shared" si="168"/>
        <v>25325196.427984681</v>
      </c>
      <c r="N450" s="298">
        <f t="shared" si="168"/>
        <v>147974186.05423662</v>
      </c>
      <c r="O450" s="65"/>
      <c r="P450" s="1535"/>
    </row>
    <row r="451" spans="2:16" s="38" customFormat="1">
      <c r="B451" s="286"/>
      <c r="C451" s="286"/>
      <c r="D451" s="286"/>
      <c r="E451" s="286" t="s">
        <v>508</v>
      </c>
      <c r="F451" s="279"/>
      <c r="G451" s="843"/>
      <c r="H451" s="298">
        <f t="shared" ref="H451:N451" si="169">H450+H143</f>
        <v>41801438.940734275</v>
      </c>
      <c r="I451" s="298">
        <f t="shared" si="169"/>
        <v>41905780.1894449</v>
      </c>
      <c r="J451" s="298">
        <f t="shared" si="169"/>
        <v>41217846.040012844</v>
      </c>
      <c r="K451" s="298">
        <f t="shared" si="169"/>
        <v>40907137.856718026</v>
      </c>
      <c r="L451" s="298">
        <f t="shared" si="169"/>
        <v>39559283.837440327</v>
      </c>
      <c r="M451" s="298">
        <f t="shared" si="169"/>
        <v>41088699.43078468</v>
      </c>
      <c r="N451" s="298">
        <f t="shared" si="169"/>
        <v>246480186.29513508</v>
      </c>
      <c r="O451" s="65"/>
      <c r="P451" s="1535"/>
    </row>
    <row r="452" spans="2:16" s="38" customFormat="1">
      <c r="B452" s="422"/>
      <c r="C452" s="422"/>
      <c r="D452" s="422"/>
      <c r="E452" s="143"/>
      <c r="F452" s="314"/>
      <c r="G452" s="844"/>
      <c r="H452" s="66"/>
      <c r="I452" s="66"/>
      <c r="J452" s="66"/>
      <c r="K452" s="66"/>
      <c r="L452" s="66"/>
      <c r="M452" s="66"/>
      <c r="N452" s="66"/>
    </row>
    <row r="453" spans="2:16" s="38" customFormat="1">
      <c r="B453" s="52"/>
      <c r="C453" s="52"/>
      <c r="D453" s="52"/>
      <c r="E453" s="52"/>
      <c r="F453" s="442"/>
      <c r="G453" s="845"/>
      <c r="H453" s="66"/>
      <c r="I453" s="66"/>
      <c r="J453" s="66"/>
      <c r="K453" s="66"/>
      <c r="L453" s="66"/>
      <c r="M453" s="66"/>
      <c r="N453" s="66"/>
    </row>
    <row r="454" spans="2:16" s="38" customFormat="1">
      <c r="B454" s="143"/>
      <c r="C454" s="143"/>
      <c r="D454" s="143"/>
      <c r="E454" s="143"/>
      <c r="F454" s="314"/>
      <c r="G454" s="844"/>
      <c r="H454" s="314"/>
      <c r="I454" s="143"/>
      <c r="J454" s="143"/>
      <c r="K454" s="143"/>
      <c r="L454" s="143"/>
      <c r="M454" s="143"/>
      <c r="N454" s="65"/>
    </row>
    <row r="455" spans="2:16" s="38" customFormat="1">
      <c r="B455" s="443"/>
      <c r="C455" s="443"/>
      <c r="D455" s="443"/>
      <c r="E455" s="315" t="s">
        <v>474</v>
      </c>
      <c r="F455" s="444"/>
      <c r="G455" s="846"/>
      <c r="H455" s="317">
        <f>H451</f>
        <v>41801438.940734275</v>
      </c>
      <c r="I455" s="317">
        <f t="shared" ref="I455:N455" si="170">I451</f>
        <v>41905780.1894449</v>
      </c>
      <c r="J455" s="317">
        <f t="shared" si="170"/>
        <v>41217846.040012844</v>
      </c>
      <c r="K455" s="317">
        <f t="shared" si="170"/>
        <v>40907137.856718026</v>
      </c>
      <c r="L455" s="317">
        <f t="shared" si="170"/>
        <v>39559283.837440327</v>
      </c>
      <c r="M455" s="317">
        <f t="shared" si="170"/>
        <v>41088699.43078468</v>
      </c>
      <c r="N455" s="317">
        <f t="shared" si="170"/>
        <v>246480186.29513508</v>
      </c>
    </row>
    <row r="456" spans="2:16" s="38" customFormat="1">
      <c r="B456" s="443"/>
      <c r="C456" s="443"/>
      <c r="D456" s="443"/>
      <c r="E456" s="315" t="s">
        <v>476</v>
      </c>
      <c r="F456" s="444"/>
      <c r="G456" s="846"/>
      <c r="H456" s="317">
        <f t="shared" ref="H456:N456" si="171">H243</f>
        <v>332138.11144598958</v>
      </c>
      <c r="I456" s="317">
        <f t="shared" si="171"/>
        <v>324914.3339066896</v>
      </c>
      <c r="J456" s="317">
        <f t="shared" si="171"/>
        <v>313596.49021448952</v>
      </c>
      <c r="K456" s="317">
        <f t="shared" si="171"/>
        <v>320304.80250998953</v>
      </c>
      <c r="L456" s="317">
        <f t="shared" si="171"/>
        <v>298487.26219648949</v>
      </c>
      <c r="M456" s="317">
        <f t="shared" si="171"/>
        <v>316104.53073528956</v>
      </c>
      <c r="N456" s="317">
        <f t="shared" si="171"/>
        <v>1905545.5310089376</v>
      </c>
    </row>
    <row r="457" spans="2:16" s="38" customFormat="1">
      <c r="B457" s="443"/>
      <c r="C457" s="443"/>
      <c r="D457" s="443"/>
      <c r="E457" s="315" t="s">
        <v>475</v>
      </c>
      <c r="F457" s="444"/>
      <c r="G457" s="846"/>
      <c r="H457" s="445">
        <f>H455/H456</f>
        <v>125.85559290003908</v>
      </c>
      <c r="I457" s="445">
        <f t="shared" ref="I457:N457" si="172">I455/I456</f>
        <v>128.97485834367527</v>
      </c>
      <c r="J457" s="445">
        <f t="shared" si="172"/>
        <v>131.43592905590626</v>
      </c>
      <c r="K457" s="445">
        <f t="shared" si="172"/>
        <v>127.71315801748626</v>
      </c>
      <c r="L457" s="445">
        <f t="shared" si="172"/>
        <v>132.53256955199336</v>
      </c>
      <c r="M457" s="445">
        <f t="shared" si="172"/>
        <v>129.98453181043755</v>
      </c>
      <c r="N457" s="445">
        <f t="shared" si="172"/>
        <v>129.34888318550443</v>
      </c>
    </row>
  </sheetData>
  <sortState xmlns:xlrd2="http://schemas.microsoft.com/office/spreadsheetml/2017/richdata2" ref="B147:N201">
    <sortCondition ref="B147:B201"/>
    <sortCondition ref="C147:C201"/>
  </sortState>
  <phoneticPr fontId="0" type="noConversion"/>
  <printOptions horizontalCentered="1" verticalCentered="1"/>
  <pageMargins left="0.59055118110236227" right="0.59055118110236227" top="0.78740157480314965" bottom="0.59055118110236227" header="0.59055118110236227" footer="0.47244094488188981"/>
  <pageSetup scale="29" orientation="portrait" r:id="rId1"/>
  <headerFooter>
    <oddHeader>&amp;L&amp;"Times New Roman,Negrita"&amp;14Nombre de la Distribuidora: &amp;K06-048ENSA&amp;RASEP FORM: &amp;A</oddHeader>
    <oddFooter>&amp;R&amp;A</oddFooter>
  </headerFooter>
  <rowBreaks count="2" manualBreakCount="2">
    <brk id="144" max="13" man="1"/>
    <brk id="332" max="1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Hoja94">
    <tabColor theme="5" tint="0.39997558519241921"/>
  </sheetPr>
  <dimension ref="A1:G1227"/>
  <sheetViews>
    <sheetView zoomScale="70" zoomScaleNormal="70" workbookViewId="0">
      <pane ySplit="3" topLeftCell="A4" activePane="bottomLeft" state="frozen"/>
      <selection pane="bottomLeft" activeCell="E3" sqref="E3"/>
    </sheetView>
  </sheetViews>
  <sheetFormatPr baseColWidth="10" defaultColWidth="6.875" defaultRowHeight="15.75"/>
  <cols>
    <col min="1" max="1" width="5.75" style="1046" customWidth="1"/>
    <col min="2" max="2" width="10.25" style="1047" customWidth="1"/>
    <col min="3" max="3" width="6.25" style="1047" bestFit="1" customWidth="1"/>
    <col min="4" max="4" width="26" style="1047" customWidth="1"/>
    <col min="5" max="5" width="16.375" style="1047" customWidth="1"/>
    <col min="6" max="6" width="22" style="1047" customWidth="1"/>
    <col min="7" max="7" width="18.875" style="1047" customWidth="1"/>
    <col min="8" max="16384" width="6.875" style="1047"/>
  </cols>
  <sheetData>
    <row r="1" spans="1:7">
      <c r="A1" s="1047"/>
    </row>
    <row r="2" spans="1:7" ht="49.9" customHeight="1">
      <c r="B2" s="2027" t="s">
        <v>762</v>
      </c>
      <c r="C2" s="2028" t="s">
        <v>1883</v>
      </c>
      <c r="D2" s="2029" t="s">
        <v>1332</v>
      </c>
      <c r="E2" s="2029" t="s">
        <v>1884</v>
      </c>
      <c r="F2" s="2029" t="s">
        <v>1333</v>
      </c>
      <c r="G2" s="2029" t="s">
        <v>2151</v>
      </c>
    </row>
    <row r="3" spans="1:7" s="1063" customFormat="1" ht="25.9" customHeight="1">
      <c r="A3" s="1062"/>
      <c r="B3" s="2024"/>
      <c r="C3" s="2025"/>
      <c r="D3" s="2106"/>
      <c r="E3" s="2474">
        <f>G3/F3</f>
        <v>7.6267739335334997E-2</v>
      </c>
      <c r="F3" s="2026">
        <f>SUM(F4:F2000)</f>
        <v>2146092.0623376621</v>
      </c>
      <c r="G3" s="2432">
        <f>SUM(G4:G2000)</f>
        <v>163677.59000000032</v>
      </c>
    </row>
    <row r="4" spans="1:7">
      <c r="B4" s="1042">
        <v>21146001</v>
      </c>
      <c r="C4" s="1043" t="s">
        <v>274</v>
      </c>
      <c r="D4" s="1045" t="s">
        <v>1481</v>
      </c>
      <c r="E4" s="2023">
        <f>G4/F4</f>
        <v>7.6339945361681913E-2</v>
      </c>
      <c r="F4" s="1044">
        <v>84190</v>
      </c>
      <c r="G4" s="2433">
        <v>6427.06</v>
      </c>
    </row>
    <row r="5" spans="1:7">
      <c r="B5" s="1042">
        <v>21382043</v>
      </c>
      <c r="C5" s="1043" t="s">
        <v>274</v>
      </c>
      <c r="D5" s="1045" t="s">
        <v>1481</v>
      </c>
      <c r="E5" s="2023">
        <f t="shared" ref="E5:E68" si="0">G5/F5</f>
        <v>7.634010011123471E-2</v>
      </c>
      <c r="F5" s="1044">
        <v>35960</v>
      </c>
      <c r="G5" s="2433">
        <v>2745.19</v>
      </c>
    </row>
    <row r="6" spans="1:7">
      <c r="B6" s="1042">
        <v>21438789</v>
      </c>
      <c r="C6" s="1043" t="s">
        <v>273</v>
      </c>
      <c r="D6" s="1045" t="s">
        <v>1481</v>
      </c>
      <c r="E6" s="2023">
        <f t="shared" si="0"/>
        <v>7.6339763478573672E-2</v>
      </c>
      <c r="F6" s="1044">
        <v>5559.75</v>
      </c>
      <c r="G6" s="2433">
        <v>424.43</v>
      </c>
    </row>
    <row r="7" spans="1:7">
      <c r="B7" s="1042">
        <v>21377073</v>
      </c>
      <c r="C7" s="1043" t="s">
        <v>273</v>
      </c>
      <c r="D7" s="1045" t="s">
        <v>1481</v>
      </c>
      <c r="E7" s="2023">
        <f t="shared" si="0"/>
        <v>7.6340476190476195E-2</v>
      </c>
      <c r="F7" s="1044">
        <v>4200</v>
      </c>
      <c r="G7" s="2433">
        <v>320.63</v>
      </c>
    </row>
    <row r="8" spans="1:7">
      <c r="B8" s="1042">
        <v>21001600</v>
      </c>
      <c r="C8" s="1043" t="s">
        <v>274</v>
      </c>
      <c r="D8" s="1045" t="s">
        <v>1481</v>
      </c>
      <c r="E8" s="2023">
        <f t="shared" si="0"/>
        <v>7.6340163934426233E-2</v>
      </c>
      <c r="F8" s="1044">
        <v>4880</v>
      </c>
      <c r="G8" s="2433">
        <v>372.54</v>
      </c>
    </row>
    <row r="9" spans="1:7">
      <c r="B9" s="1042">
        <v>21146098</v>
      </c>
      <c r="C9" s="1043" t="s">
        <v>273</v>
      </c>
      <c r="D9" s="1045" t="s">
        <v>1481</v>
      </c>
      <c r="E9" s="2023">
        <f t="shared" si="0"/>
        <v>7.6339840493306693E-2</v>
      </c>
      <c r="F9" s="1044">
        <v>15892.75</v>
      </c>
      <c r="G9" s="2433">
        <v>1213.25</v>
      </c>
    </row>
    <row r="10" spans="1:7">
      <c r="B10" s="1042">
        <v>222941</v>
      </c>
      <c r="C10" s="1043" t="s">
        <v>274</v>
      </c>
      <c r="D10" s="1045" t="s">
        <v>1481</v>
      </c>
      <c r="E10" s="2023">
        <f t="shared" si="0"/>
        <v>7.6340109890109892E-2</v>
      </c>
      <c r="F10" s="1044">
        <v>18200</v>
      </c>
      <c r="G10" s="2433">
        <v>1389.39</v>
      </c>
    </row>
    <row r="11" spans="1:7">
      <c r="B11" s="1042">
        <v>21146095</v>
      </c>
      <c r="C11" s="1043" t="s">
        <v>274</v>
      </c>
      <c r="D11" s="1045" t="s">
        <v>1481</v>
      </c>
      <c r="E11" s="2023">
        <f t="shared" si="0"/>
        <v>7.6339910138698966E-2</v>
      </c>
      <c r="F11" s="1044">
        <v>19196.25</v>
      </c>
      <c r="G11" s="2433">
        <v>1465.44</v>
      </c>
    </row>
    <row r="12" spans="1:7">
      <c r="B12" s="1042">
        <v>21024793</v>
      </c>
      <c r="C12" s="1043" t="s">
        <v>274</v>
      </c>
      <c r="D12" s="1045" t="s">
        <v>1481</v>
      </c>
      <c r="E12" s="2023">
        <f t="shared" si="0"/>
        <v>7.6340183158364966E-2</v>
      </c>
      <c r="F12" s="1044">
        <v>8954</v>
      </c>
      <c r="G12" s="2433">
        <v>683.55</v>
      </c>
    </row>
    <row r="13" spans="1:7">
      <c r="B13" s="1042">
        <v>21178110</v>
      </c>
      <c r="C13" s="1043" t="s">
        <v>274</v>
      </c>
      <c r="D13" s="1045" t="s">
        <v>1481</v>
      </c>
      <c r="E13" s="2023">
        <f t="shared" si="0"/>
        <v>7.6340388007054671E-2</v>
      </c>
      <c r="F13" s="1044">
        <v>11340</v>
      </c>
      <c r="G13" s="2433">
        <v>865.7</v>
      </c>
    </row>
    <row r="14" spans="1:7">
      <c r="B14" s="1042">
        <v>250667</v>
      </c>
      <c r="C14" s="1043" t="s">
        <v>273</v>
      </c>
      <c r="D14" s="1045" t="s">
        <v>1614</v>
      </c>
      <c r="E14" s="2023">
        <f t="shared" si="0"/>
        <v>7.6338851022395335E-2</v>
      </c>
      <c r="F14" s="1044">
        <v>1027</v>
      </c>
      <c r="G14" s="2433">
        <v>78.400000000000006</v>
      </c>
    </row>
    <row r="15" spans="1:7">
      <c r="B15" s="1042">
        <v>21050117</v>
      </c>
      <c r="C15" s="1043" t="s">
        <v>274</v>
      </c>
      <c r="D15" s="1045" t="s">
        <v>1481</v>
      </c>
      <c r="E15" s="2023">
        <f t="shared" si="0"/>
        <v>7.6340430402930398E-2</v>
      </c>
      <c r="F15" s="1044">
        <v>8736</v>
      </c>
      <c r="G15" s="2433">
        <v>666.91</v>
      </c>
    </row>
    <row r="16" spans="1:7">
      <c r="B16" s="1042">
        <v>21054894</v>
      </c>
      <c r="C16" s="1043" t="s">
        <v>273</v>
      </c>
      <c r="D16" s="1045" t="s">
        <v>1481</v>
      </c>
      <c r="E16" s="2023">
        <f t="shared" si="0"/>
        <v>7.6336489439184266E-2</v>
      </c>
      <c r="F16" s="1044">
        <v>1373</v>
      </c>
      <c r="G16" s="2433">
        <v>104.81</v>
      </c>
    </row>
    <row r="17" spans="2:7">
      <c r="B17" s="1042">
        <v>344281</v>
      </c>
      <c r="C17" s="1043" t="s">
        <v>273</v>
      </c>
      <c r="D17" s="1045" t="s">
        <v>1481</v>
      </c>
      <c r="E17" s="2023">
        <f t="shared" si="0"/>
        <v>7.6340832934418387E-2</v>
      </c>
      <c r="F17" s="1044">
        <v>5222.5</v>
      </c>
      <c r="G17" s="2433">
        <v>398.69</v>
      </c>
    </row>
    <row r="18" spans="2:7">
      <c r="B18" s="1042">
        <v>21311750</v>
      </c>
      <c r="C18" s="1043" t="s">
        <v>274</v>
      </c>
      <c r="D18" s="1045" t="s">
        <v>1481</v>
      </c>
      <c r="E18" s="2023">
        <f t="shared" si="0"/>
        <v>7.5259835146906526E-2</v>
      </c>
      <c r="F18" s="1044">
        <v>17621.75</v>
      </c>
      <c r="G18" s="2433">
        <v>1326.21</v>
      </c>
    </row>
    <row r="19" spans="2:7">
      <c r="B19" s="1042">
        <v>21385711</v>
      </c>
      <c r="C19" s="1043" t="s">
        <v>274</v>
      </c>
      <c r="D19" s="1045" t="s">
        <v>1481</v>
      </c>
      <c r="E19" s="2023">
        <f t="shared" si="0"/>
        <v>7.6340127555097129E-2</v>
      </c>
      <c r="F19" s="1044">
        <v>17208.25</v>
      </c>
      <c r="G19" s="2433">
        <v>1313.68</v>
      </c>
    </row>
    <row r="20" spans="2:7">
      <c r="B20" s="1042">
        <v>21146092</v>
      </c>
      <c r="C20" s="1043" t="s">
        <v>274</v>
      </c>
      <c r="D20" s="1045" t="s">
        <v>1481</v>
      </c>
      <c r="E20" s="2023">
        <f t="shared" si="0"/>
        <v>7.6340183196679123E-2</v>
      </c>
      <c r="F20" s="1044">
        <v>14574.5</v>
      </c>
      <c r="G20" s="2433">
        <v>1112.6199999999999</v>
      </c>
    </row>
    <row r="21" spans="2:7">
      <c r="B21" s="1042">
        <v>766462</v>
      </c>
      <c r="C21" s="1043" t="s">
        <v>276</v>
      </c>
      <c r="D21" s="1045" t="s">
        <v>1614</v>
      </c>
      <c r="E21" s="2023">
        <f t="shared" si="0"/>
        <v>7.6340206185567014E-2</v>
      </c>
      <c r="F21" s="1044">
        <v>20370</v>
      </c>
      <c r="G21" s="2433">
        <v>1555.05</v>
      </c>
    </row>
    <row r="22" spans="2:7">
      <c r="B22" s="1042">
        <v>21492890</v>
      </c>
      <c r="C22" s="1043" t="s">
        <v>274</v>
      </c>
      <c r="D22" s="1045" t="s">
        <v>1481</v>
      </c>
      <c r="E22" s="2023">
        <f t="shared" si="0"/>
        <v>7.5258928571428574E-2</v>
      </c>
      <c r="F22" s="1044">
        <v>3360</v>
      </c>
      <c r="G22" s="2433">
        <v>252.87</v>
      </c>
    </row>
    <row r="23" spans="2:7">
      <c r="B23" s="1042">
        <v>21310156</v>
      </c>
      <c r="C23" s="1043" t="s">
        <v>274</v>
      </c>
      <c r="D23" s="1045" t="s">
        <v>1614</v>
      </c>
      <c r="E23" s="2023">
        <f t="shared" si="0"/>
        <v>7.6340277777777785E-2</v>
      </c>
      <c r="F23" s="1044">
        <v>17280</v>
      </c>
      <c r="G23" s="2433">
        <v>1319.16</v>
      </c>
    </row>
    <row r="24" spans="2:7">
      <c r="B24" s="1042">
        <v>21181741</v>
      </c>
      <c r="C24" s="1043" t="s">
        <v>276</v>
      </c>
      <c r="D24" s="1045" t="s">
        <v>1614</v>
      </c>
      <c r="E24" s="2023">
        <f t="shared" si="0"/>
        <v>7.6340136054421776E-2</v>
      </c>
      <c r="F24" s="1044">
        <v>16170</v>
      </c>
      <c r="G24" s="2433">
        <v>1234.42</v>
      </c>
    </row>
    <row r="25" spans="2:7">
      <c r="B25" s="1042">
        <v>21036286</v>
      </c>
      <c r="C25" s="1043" t="s">
        <v>273</v>
      </c>
      <c r="D25" s="1045" t="s">
        <v>1481</v>
      </c>
      <c r="E25" s="2023">
        <f t="shared" si="0"/>
        <v>7.6340788745751995E-2</v>
      </c>
      <c r="F25" s="1044">
        <v>6326.5</v>
      </c>
      <c r="G25" s="2433">
        <v>482.97</v>
      </c>
    </row>
    <row r="26" spans="2:7">
      <c r="B26" s="1042">
        <v>21492877</v>
      </c>
      <c r="C26" s="1043" t="s">
        <v>274</v>
      </c>
      <c r="D26" s="1045" t="s">
        <v>1614</v>
      </c>
      <c r="E26" s="2023">
        <f t="shared" si="0"/>
        <v>7.5259976525821601E-2</v>
      </c>
      <c r="F26" s="1044">
        <v>34080</v>
      </c>
      <c r="G26" s="2433">
        <v>2564.86</v>
      </c>
    </row>
    <row r="27" spans="2:7">
      <c r="B27" s="1042">
        <v>21395558</v>
      </c>
      <c r="C27" s="1043" t="s">
        <v>273</v>
      </c>
      <c r="D27" s="1045" t="s">
        <v>1481</v>
      </c>
      <c r="E27" s="2023">
        <f t="shared" si="0"/>
        <v>7.6340466926070036E-2</v>
      </c>
      <c r="F27" s="1044">
        <v>5140</v>
      </c>
      <c r="G27" s="2433">
        <v>392.39</v>
      </c>
    </row>
    <row r="28" spans="2:7">
      <c r="B28" s="1042">
        <v>21364051</v>
      </c>
      <c r="C28" s="1043" t="s">
        <v>273</v>
      </c>
      <c r="D28" s="1045" t="s">
        <v>1481</v>
      </c>
      <c r="E28" s="2023">
        <f t="shared" si="0"/>
        <v>7.6339768339768341E-2</v>
      </c>
      <c r="F28" s="1044">
        <v>12950</v>
      </c>
      <c r="G28" s="2433">
        <v>988.6</v>
      </c>
    </row>
    <row r="29" spans="2:7">
      <c r="B29" s="1042">
        <v>807269</v>
      </c>
      <c r="C29" s="1043" t="s">
        <v>273</v>
      </c>
      <c r="D29" s="1045" t="s">
        <v>1481</v>
      </c>
      <c r="E29" s="2023">
        <f t="shared" si="0"/>
        <v>7.6339895621335155E-2</v>
      </c>
      <c r="F29" s="1044">
        <v>12406.75</v>
      </c>
      <c r="G29" s="2433">
        <v>947.13</v>
      </c>
    </row>
    <row r="30" spans="2:7">
      <c r="B30" s="1042">
        <v>779133</v>
      </c>
      <c r="C30" s="1043" t="s">
        <v>273</v>
      </c>
      <c r="D30" s="1045" t="s">
        <v>1481</v>
      </c>
      <c r="E30" s="2023">
        <f t="shared" si="0"/>
        <v>7.6339777387229052E-2</v>
      </c>
      <c r="F30" s="1044">
        <v>2133.75</v>
      </c>
      <c r="G30" s="2433">
        <v>162.88999999999999</v>
      </c>
    </row>
    <row r="31" spans="2:7">
      <c r="B31" s="1042">
        <v>845454</v>
      </c>
      <c r="C31" s="1043" t="s">
        <v>274</v>
      </c>
      <c r="D31" s="1045" t="s">
        <v>1614</v>
      </c>
      <c r="E31" s="2023">
        <f t="shared" si="0"/>
        <v>7.6340277777777785E-2</v>
      </c>
      <c r="F31" s="1044">
        <v>12960</v>
      </c>
      <c r="G31" s="2433">
        <v>989.37</v>
      </c>
    </row>
    <row r="32" spans="2:7">
      <c r="B32" s="1042">
        <v>954277</v>
      </c>
      <c r="C32" s="1043" t="s">
        <v>273</v>
      </c>
      <c r="D32" s="1045" t="s">
        <v>1481</v>
      </c>
      <c r="E32" s="2023">
        <f t="shared" si="0"/>
        <v>7.6339956758982808E-2</v>
      </c>
      <c r="F32" s="1044">
        <v>9713</v>
      </c>
      <c r="G32" s="2433">
        <v>741.49</v>
      </c>
    </row>
    <row r="33" spans="2:7">
      <c r="B33" s="1042">
        <v>21419333</v>
      </c>
      <c r="C33" s="1043" t="s">
        <v>274</v>
      </c>
      <c r="D33" s="1045" t="s">
        <v>1614</v>
      </c>
      <c r="E33" s="2023">
        <f t="shared" si="0"/>
        <v>7.6340361445783128E-2</v>
      </c>
      <c r="F33" s="1044">
        <v>12616</v>
      </c>
      <c r="G33" s="2433">
        <v>963.11</v>
      </c>
    </row>
    <row r="34" spans="2:7">
      <c r="B34" s="1042">
        <v>308386</v>
      </c>
      <c r="C34" s="1043" t="s">
        <v>276</v>
      </c>
      <c r="D34" s="1045" t="s">
        <v>1614</v>
      </c>
      <c r="E34" s="2023">
        <f t="shared" si="0"/>
        <v>7.6340016708437763E-2</v>
      </c>
      <c r="F34" s="1044">
        <v>11970</v>
      </c>
      <c r="G34" s="2433">
        <v>913.79</v>
      </c>
    </row>
    <row r="35" spans="2:7">
      <c r="B35" s="1042">
        <v>21030918</v>
      </c>
      <c r="C35" s="1043" t="s">
        <v>276</v>
      </c>
      <c r="D35" s="1045" t="s">
        <v>1614</v>
      </c>
      <c r="E35" s="2023">
        <f t="shared" si="0"/>
        <v>7.6340259740259736E-2</v>
      </c>
      <c r="F35" s="1044">
        <v>11550</v>
      </c>
      <c r="G35" s="2433">
        <v>881.73</v>
      </c>
    </row>
    <row r="36" spans="2:7">
      <c r="B36" s="1042">
        <v>485592</v>
      </c>
      <c r="C36" s="1043" t="s">
        <v>273</v>
      </c>
      <c r="D36" s="1045" t="s">
        <v>1481</v>
      </c>
      <c r="E36" s="2023">
        <f t="shared" si="0"/>
        <v>7.6340422759990881E-2</v>
      </c>
      <c r="F36" s="1044">
        <v>7675.75</v>
      </c>
      <c r="G36" s="2433">
        <v>585.97</v>
      </c>
    </row>
    <row r="37" spans="2:7">
      <c r="B37" s="1042">
        <v>810123</v>
      </c>
      <c r="C37" s="1043" t="s">
        <v>273</v>
      </c>
      <c r="D37" s="1045" t="s">
        <v>1481</v>
      </c>
      <c r="E37" s="2023">
        <f t="shared" si="0"/>
        <v>7.6340194670496242E-2</v>
      </c>
      <c r="F37" s="1044">
        <v>7833.75</v>
      </c>
      <c r="G37" s="2433">
        <v>598.03</v>
      </c>
    </row>
    <row r="38" spans="2:7">
      <c r="B38" s="1042">
        <v>21430193</v>
      </c>
      <c r="C38" s="1043" t="s">
        <v>274</v>
      </c>
      <c r="D38" s="1045" t="s">
        <v>1614</v>
      </c>
      <c r="E38" s="2023">
        <f t="shared" si="0"/>
        <v>7.6340384615384616E-2</v>
      </c>
      <c r="F38" s="1044">
        <v>10400</v>
      </c>
      <c r="G38" s="2433">
        <v>793.94</v>
      </c>
    </row>
    <row r="39" spans="2:7">
      <c r="B39" s="1042">
        <v>21174175</v>
      </c>
      <c r="C39" s="1043" t="s">
        <v>273</v>
      </c>
      <c r="D39" s="1045" t="s">
        <v>1481</v>
      </c>
      <c r="E39" s="2023">
        <f t="shared" si="0"/>
        <v>7.6340449126698087E-2</v>
      </c>
      <c r="F39" s="1044">
        <v>5410.5</v>
      </c>
      <c r="G39" s="2433">
        <v>413.04</v>
      </c>
    </row>
    <row r="40" spans="2:7">
      <c r="B40" s="1042">
        <v>21146068</v>
      </c>
      <c r="C40" s="1043" t="s">
        <v>274</v>
      </c>
      <c r="D40" s="1045" t="s">
        <v>1481</v>
      </c>
      <c r="E40" s="2023">
        <f t="shared" si="0"/>
        <v>7.6340654352456447E-2</v>
      </c>
      <c r="F40" s="1044">
        <v>7159.75</v>
      </c>
      <c r="G40" s="2433">
        <v>546.58000000000004</v>
      </c>
    </row>
    <row r="41" spans="2:7">
      <c r="B41" s="1042">
        <v>21491634</v>
      </c>
      <c r="C41" s="1043" t="s">
        <v>273</v>
      </c>
      <c r="D41" s="1045" t="s">
        <v>1481</v>
      </c>
      <c r="E41" s="2023">
        <f t="shared" si="0"/>
        <v>7.6342082980524972E-2</v>
      </c>
      <c r="F41" s="1044">
        <v>590.5</v>
      </c>
      <c r="G41" s="2433">
        <v>45.08</v>
      </c>
    </row>
    <row r="42" spans="2:7">
      <c r="B42" s="1042">
        <v>205645</v>
      </c>
      <c r="C42" s="1043" t="s">
        <v>273</v>
      </c>
      <c r="D42" s="1045" t="s">
        <v>1481</v>
      </c>
      <c r="E42" s="2023">
        <f t="shared" si="0"/>
        <v>7.6341150390852888E-2</v>
      </c>
      <c r="F42" s="1044">
        <v>2142.75</v>
      </c>
      <c r="G42" s="2433">
        <v>163.58000000000001</v>
      </c>
    </row>
    <row r="43" spans="2:7">
      <c r="B43" s="1042">
        <v>879576</v>
      </c>
      <c r="C43" s="1043" t="s">
        <v>273</v>
      </c>
      <c r="D43" s="1045" t="s">
        <v>1481</v>
      </c>
      <c r="E43" s="2023">
        <f t="shared" si="0"/>
        <v>7.6339111400343135E-2</v>
      </c>
      <c r="F43" s="1044">
        <v>4225.75</v>
      </c>
      <c r="G43" s="2433">
        <v>322.58999999999997</v>
      </c>
    </row>
    <row r="44" spans="2:7">
      <c r="B44" s="1042">
        <v>551845</v>
      </c>
      <c r="C44" s="1043" t="s">
        <v>273</v>
      </c>
      <c r="D44" s="1045" t="s">
        <v>1481</v>
      </c>
      <c r="E44" s="2023">
        <f t="shared" si="0"/>
        <v>7.6338832487309646E-2</v>
      </c>
      <c r="F44" s="1044">
        <v>1576</v>
      </c>
      <c r="G44" s="2433">
        <v>120.31</v>
      </c>
    </row>
    <row r="45" spans="2:7">
      <c r="B45" s="1042">
        <v>648236</v>
      </c>
      <c r="C45" s="1043" t="s">
        <v>273</v>
      </c>
      <c r="D45" s="1045" t="s">
        <v>1481</v>
      </c>
      <c r="E45" s="2023">
        <f t="shared" si="0"/>
        <v>7.6340579710144935E-2</v>
      </c>
      <c r="F45" s="1044">
        <v>3312</v>
      </c>
      <c r="G45" s="2433">
        <v>252.84</v>
      </c>
    </row>
    <row r="46" spans="2:7">
      <c r="B46" s="1042">
        <v>21378375</v>
      </c>
      <c r="C46" s="1043" t="s">
        <v>274</v>
      </c>
      <c r="D46" s="1045" t="s">
        <v>1614</v>
      </c>
      <c r="E46" s="2023">
        <f t="shared" si="0"/>
        <v>7.6340517241379316E-2</v>
      </c>
      <c r="F46" s="1044">
        <v>9280</v>
      </c>
      <c r="G46" s="2433">
        <v>708.44</v>
      </c>
    </row>
    <row r="47" spans="2:7">
      <c r="B47" s="1042">
        <v>21048019</v>
      </c>
      <c r="C47" s="1043" t="s">
        <v>273</v>
      </c>
      <c r="D47" s="1045" t="s">
        <v>1481</v>
      </c>
      <c r="E47" s="2023">
        <f t="shared" si="0"/>
        <v>7.6339372897906044E-2</v>
      </c>
      <c r="F47" s="1044">
        <v>4608.5</v>
      </c>
      <c r="G47" s="2433">
        <v>351.81</v>
      </c>
    </row>
    <row r="48" spans="2:7">
      <c r="B48" s="1042">
        <v>21492083</v>
      </c>
      <c r="C48" s="1043" t="s">
        <v>273</v>
      </c>
      <c r="D48" s="1045" t="s">
        <v>1481</v>
      </c>
      <c r="E48" s="2023">
        <f t="shared" si="0"/>
        <v>7.634093637454982E-2</v>
      </c>
      <c r="F48" s="1044">
        <v>1041.25</v>
      </c>
      <c r="G48" s="2433">
        <v>79.489999999999995</v>
      </c>
    </row>
    <row r="49" spans="2:7">
      <c r="B49" s="1042">
        <v>21490576</v>
      </c>
      <c r="C49" s="1043" t="s">
        <v>273</v>
      </c>
      <c r="D49" s="1045" t="s">
        <v>1614</v>
      </c>
      <c r="E49" s="2023">
        <f t="shared" si="0"/>
        <v>7.6338028169014083E-2</v>
      </c>
      <c r="F49" s="1044">
        <v>355</v>
      </c>
      <c r="G49" s="2433">
        <v>27.1</v>
      </c>
    </row>
    <row r="50" spans="2:7">
      <c r="B50" s="1042">
        <v>21313031</v>
      </c>
      <c r="C50" s="1043" t="s">
        <v>273</v>
      </c>
      <c r="D50" s="1045" t="s">
        <v>1481</v>
      </c>
      <c r="E50" s="2023">
        <f t="shared" si="0"/>
        <v>7.6342714974343029E-2</v>
      </c>
      <c r="F50" s="1044">
        <v>1607.75</v>
      </c>
      <c r="G50" s="2433">
        <v>122.74</v>
      </c>
    </row>
    <row r="51" spans="2:7">
      <c r="B51" s="1042">
        <v>21423312</v>
      </c>
      <c r="C51" s="1043" t="s">
        <v>273</v>
      </c>
      <c r="D51" s="1045" t="s">
        <v>1481</v>
      </c>
      <c r="E51" s="2023">
        <f t="shared" si="0"/>
        <v>7.634230503795722E-2</v>
      </c>
      <c r="F51" s="1044">
        <v>724.5</v>
      </c>
      <c r="G51" s="2433">
        <v>55.31</v>
      </c>
    </row>
    <row r="52" spans="2:7">
      <c r="B52" s="1042">
        <v>21351556</v>
      </c>
      <c r="C52" s="1043" t="s">
        <v>273</v>
      </c>
      <c r="D52" s="1045" t="s">
        <v>1481</v>
      </c>
      <c r="E52" s="2023">
        <f t="shared" si="0"/>
        <v>7.6342238437095436E-2</v>
      </c>
      <c r="F52" s="1044">
        <v>2124.25</v>
      </c>
      <c r="G52" s="2433">
        <v>162.16999999999999</v>
      </c>
    </row>
    <row r="53" spans="2:7">
      <c r="B53" s="1042">
        <v>855813</v>
      </c>
      <c r="C53" s="1043" t="s">
        <v>273</v>
      </c>
      <c r="D53" s="1045" t="s">
        <v>1481</v>
      </c>
      <c r="E53" s="2023">
        <f t="shared" si="0"/>
        <v>7.6339449032758716E-2</v>
      </c>
      <c r="F53" s="1044">
        <v>4510.25</v>
      </c>
      <c r="G53" s="2433">
        <v>344.31</v>
      </c>
    </row>
    <row r="54" spans="2:7">
      <c r="B54" s="1042">
        <v>21360418</v>
      </c>
      <c r="C54" s="1043" t="s">
        <v>273</v>
      </c>
      <c r="D54" s="1045" t="s">
        <v>1481</v>
      </c>
      <c r="E54" s="2023">
        <f t="shared" si="0"/>
        <v>7.6339832869080776E-2</v>
      </c>
      <c r="F54" s="1044">
        <v>1795</v>
      </c>
      <c r="G54" s="2433">
        <v>137.03</v>
      </c>
    </row>
    <row r="55" spans="2:7">
      <c r="B55" s="1042">
        <v>21321831</v>
      </c>
      <c r="C55" s="1043" t="s">
        <v>273</v>
      </c>
      <c r="D55" s="1045" t="s">
        <v>1614</v>
      </c>
      <c r="E55" s="2023">
        <f t="shared" si="0"/>
        <v>7.6340470248259545E-2</v>
      </c>
      <c r="F55" s="1044">
        <v>7613</v>
      </c>
      <c r="G55" s="2433">
        <v>581.17999999999995</v>
      </c>
    </row>
    <row r="56" spans="2:7">
      <c r="B56" s="1042">
        <v>842622</v>
      </c>
      <c r="C56" s="1043" t="s">
        <v>273</v>
      </c>
      <c r="D56" s="1045" t="s">
        <v>1481</v>
      </c>
      <c r="E56" s="2023">
        <f t="shared" si="0"/>
        <v>7.6337081933693582E-2</v>
      </c>
      <c r="F56" s="1044">
        <v>1711.75</v>
      </c>
      <c r="G56" s="2433">
        <v>130.66999999999999</v>
      </c>
    </row>
    <row r="57" spans="2:7">
      <c r="B57" s="1042">
        <v>338390</v>
      </c>
      <c r="C57" s="1043" t="s">
        <v>273</v>
      </c>
      <c r="D57" s="1045" t="s">
        <v>1614</v>
      </c>
      <c r="E57" s="2023">
        <f t="shared" si="0"/>
        <v>7.6340053763440857E-2</v>
      </c>
      <c r="F57" s="1044">
        <v>7440</v>
      </c>
      <c r="G57" s="2433">
        <v>567.97</v>
      </c>
    </row>
    <row r="58" spans="2:7">
      <c r="B58" s="1042">
        <v>21111185</v>
      </c>
      <c r="C58" s="1043" t="s">
        <v>273</v>
      </c>
      <c r="D58" s="1045" t="s">
        <v>1481</v>
      </c>
      <c r="E58" s="2023">
        <f t="shared" si="0"/>
        <v>7.6337670580768013E-2</v>
      </c>
      <c r="F58" s="1044">
        <v>1575.5</v>
      </c>
      <c r="G58" s="2433">
        <v>120.27</v>
      </c>
    </row>
    <row r="59" spans="2:7">
      <c r="B59" s="1042">
        <v>787094</v>
      </c>
      <c r="C59" s="1043" t="s">
        <v>273</v>
      </c>
      <c r="D59" s="1045" t="s">
        <v>1481</v>
      </c>
      <c r="E59" s="2023">
        <f t="shared" si="0"/>
        <v>7.6339490933855447E-2</v>
      </c>
      <c r="F59" s="1044">
        <v>2936.75</v>
      </c>
      <c r="G59" s="2433">
        <v>224.19</v>
      </c>
    </row>
    <row r="60" spans="2:7">
      <c r="B60" s="1042">
        <v>21408776</v>
      </c>
      <c r="C60" s="1043" t="s">
        <v>273</v>
      </c>
      <c r="D60" s="1045" t="s">
        <v>1481</v>
      </c>
      <c r="E60" s="2023">
        <f t="shared" si="0"/>
        <v>7.6410256410256408E-2</v>
      </c>
      <c r="F60" s="1044">
        <v>39</v>
      </c>
      <c r="G60" s="2433">
        <v>2.98</v>
      </c>
    </row>
    <row r="61" spans="2:7">
      <c r="B61" s="1042">
        <v>809631</v>
      </c>
      <c r="C61" s="1043" t="s">
        <v>273</v>
      </c>
      <c r="D61" s="1045" t="s">
        <v>1481</v>
      </c>
      <c r="E61" s="2023">
        <f t="shared" si="0"/>
        <v>7.6341278849791902E-2</v>
      </c>
      <c r="F61" s="1044">
        <v>2643</v>
      </c>
      <c r="G61" s="2433">
        <v>201.77</v>
      </c>
    </row>
    <row r="62" spans="2:7">
      <c r="B62" s="1042">
        <v>21382413</v>
      </c>
      <c r="C62" s="1043" t="s">
        <v>273</v>
      </c>
      <c r="D62" s="1045" t="s">
        <v>1481</v>
      </c>
      <c r="E62" s="2023">
        <f t="shared" si="0"/>
        <v>7.6339969372128641E-2</v>
      </c>
      <c r="F62" s="1044">
        <v>1306</v>
      </c>
      <c r="G62" s="2433">
        <v>99.7</v>
      </c>
    </row>
    <row r="63" spans="2:7">
      <c r="B63" s="1042">
        <v>358931</v>
      </c>
      <c r="C63" s="1043" t="s">
        <v>273</v>
      </c>
      <c r="D63" s="1045" t="s">
        <v>1481</v>
      </c>
      <c r="E63" s="2023">
        <f t="shared" si="0"/>
        <v>7.634623749456286E-2</v>
      </c>
      <c r="F63" s="1044">
        <v>574.75</v>
      </c>
      <c r="G63" s="2433">
        <v>43.88</v>
      </c>
    </row>
    <row r="64" spans="2:7">
      <c r="B64" s="1042">
        <v>345214</v>
      </c>
      <c r="C64" s="1043" t="s">
        <v>273</v>
      </c>
      <c r="D64" s="1045" t="s">
        <v>1481</v>
      </c>
      <c r="E64" s="2023">
        <f t="shared" si="0"/>
        <v>7.5260102447353441E-2</v>
      </c>
      <c r="F64" s="1044">
        <v>2196.25</v>
      </c>
      <c r="G64" s="2433">
        <v>165.29</v>
      </c>
    </row>
    <row r="65" spans="2:7">
      <c r="B65" s="1042">
        <v>21409116</v>
      </c>
      <c r="C65" s="1043" t="s">
        <v>273</v>
      </c>
      <c r="D65" s="1045" t="s">
        <v>1614</v>
      </c>
      <c r="E65" s="2023">
        <f t="shared" si="0"/>
        <v>7.6346153846153841E-2</v>
      </c>
      <c r="F65" s="1044">
        <v>312</v>
      </c>
      <c r="G65" s="2433">
        <v>23.82</v>
      </c>
    </row>
    <row r="66" spans="2:7">
      <c r="B66" s="1042">
        <v>879978</v>
      </c>
      <c r="C66" s="1043" t="s">
        <v>273</v>
      </c>
      <c r="D66" s="1045" t="s">
        <v>1614</v>
      </c>
      <c r="E66" s="2023">
        <f t="shared" si="0"/>
        <v>7.6339859284184769E-2</v>
      </c>
      <c r="F66" s="1044">
        <v>6538</v>
      </c>
      <c r="G66" s="2433">
        <v>499.11</v>
      </c>
    </row>
    <row r="67" spans="2:7">
      <c r="B67" s="1042">
        <v>21014094</v>
      </c>
      <c r="C67" s="1043" t="s">
        <v>273</v>
      </c>
      <c r="D67" s="1045" t="s">
        <v>1481</v>
      </c>
      <c r="E67" s="2023">
        <f t="shared" si="0"/>
        <v>7.6340807174887892E-2</v>
      </c>
      <c r="F67" s="1044">
        <v>2230</v>
      </c>
      <c r="G67" s="2433">
        <v>170.24</v>
      </c>
    </row>
    <row r="68" spans="2:7">
      <c r="B68" s="1042">
        <v>21198874</v>
      </c>
      <c r="C68" s="1043" t="s">
        <v>273</v>
      </c>
      <c r="D68" s="1045" t="s">
        <v>1481</v>
      </c>
      <c r="E68" s="2023">
        <f t="shared" si="0"/>
        <v>7.6338151554971534E-2</v>
      </c>
      <c r="F68" s="1044">
        <v>2283</v>
      </c>
      <c r="G68" s="2433">
        <v>174.28</v>
      </c>
    </row>
    <row r="69" spans="2:7">
      <c r="B69" s="1042">
        <v>695528</v>
      </c>
      <c r="C69" s="1043" t="s">
        <v>273</v>
      </c>
      <c r="D69" s="1045" t="s">
        <v>1481</v>
      </c>
      <c r="E69" s="2023">
        <f t="shared" ref="E69:E132" si="1">G69/F69</f>
        <v>7.6340759075907594E-2</v>
      </c>
      <c r="F69" s="1044">
        <v>2424</v>
      </c>
      <c r="G69" s="2433">
        <v>185.05</v>
      </c>
    </row>
    <row r="70" spans="2:7">
      <c r="B70" s="1042">
        <v>21416859</v>
      </c>
      <c r="C70" s="1043" t="s">
        <v>273</v>
      </c>
      <c r="D70" s="1045" t="s">
        <v>1481</v>
      </c>
      <c r="E70" s="2023">
        <f t="shared" si="1"/>
        <v>7.6342812006319108E-2</v>
      </c>
      <c r="F70" s="1044">
        <v>1772.4</v>
      </c>
      <c r="G70" s="2433">
        <v>135.31</v>
      </c>
    </row>
    <row r="71" spans="2:7">
      <c r="B71" s="1042">
        <v>354674</v>
      </c>
      <c r="C71" s="1043" t="s">
        <v>273</v>
      </c>
      <c r="D71" s="1045" t="s">
        <v>1481</v>
      </c>
      <c r="E71" s="2023">
        <f t="shared" si="1"/>
        <v>7.6340686274509809E-2</v>
      </c>
      <c r="F71" s="1044">
        <v>4080</v>
      </c>
      <c r="G71" s="2433">
        <v>311.47000000000003</v>
      </c>
    </row>
    <row r="72" spans="2:7">
      <c r="B72" s="1042">
        <v>565309</v>
      </c>
      <c r="C72" s="1043" t="s">
        <v>273</v>
      </c>
      <c r="D72" s="1045" t="s">
        <v>1481</v>
      </c>
      <c r="E72" s="2023">
        <f t="shared" si="1"/>
        <v>7.6340736958556726E-2</v>
      </c>
      <c r="F72" s="1044">
        <v>2937.75</v>
      </c>
      <c r="G72" s="2433">
        <v>224.27</v>
      </c>
    </row>
    <row r="73" spans="2:7">
      <c r="B73" s="1042">
        <v>227671</v>
      </c>
      <c r="C73" s="1043" t="s">
        <v>273</v>
      </c>
      <c r="D73" s="1045" t="s">
        <v>1481</v>
      </c>
      <c r="E73" s="2023">
        <f t="shared" si="1"/>
        <v>7.6337608112138383E-2</v>
      </c>
      <c r="F73" s="1044">
        <v>1676.5</v>
      </c>
      <c r="G73" s="2433">
        <v>127.98</v>
      </c>
    </row>
    <row r="74" spans="2:7">
      <c r="B74" s="1042">
        <v>582496</v>
      </c>
      <c r="C74" s="1043" t="s">
        <v>273</v>
      </c>
      <c r="D74" s="1045" t="s">
        <v>1481</v>
      </c>
      <c r="E74" s="2023">
        <f t="shared" si="1"/>
        <v>7.6339945320225699E-2</v>
      </c>
      <c r="F74" s="1044">
        <v>4297.75</v>
      </c>
      <c r="G74" s="2433">
        <v>328.09</v>
      </c>
    </row>
    <row r="75" spans="2:7">
      <c r="B75" s="1042">
        <v>599332</v>
      </c>
      <c r="C75" s="1043" t="s">
        <v>273</v>
      </c>
      <c r="D75" s="1045" t="s">
        <v>1481</v>
      </c>
      <c r="E75" s="2023">
        <f t="shared" si="1"/>
        <v>7.6340376927470019E-2</v>
      </c>
      <c r="F75" s="1044">
        <v>4377.5</v>
      </c>
      <c r="G75" s="2433">
        <v>334.18</v>
      </c>
    </row>
    <row r="76" spans="2:7">
      <c r="B76" s="1042">
        <v>21201009</v>
      </c>
      <c r="C76" s="1043" t="s">
        <v>273</v>
      </c>
      <c r="D76" s="1045" t="s">
        <v>1481</v>
      </c>
      <c r="E76" s="2023">
        <f t="shared" si="1"/>
        <v>7.6338456341834143E-2</v>
      </c>
      <c r="F76" s="1044">
        <v>2960.5</v>
      </c>
      <c r="G76" s="2433">
        <v>226</v>
      </c>
    </row>
    <row r="77" spans="2:7">
      <c r="B77" s="1042">
        <v>21319612</v>
      </c>
      <c r="C77" s="1043" t="s">
        <v>273</v>
      </c>
      <c r="D77" s="1045" t="s">
        <v>1481</v>
      </c>
      <c r="E77" s="2023">
        <f t="shared" si="1"/>
        <v>7.6342321219226267E-2</v>
      </c>
      <c r="F77" s="1044">
        <v>1066.25</v>
      </c>
      <c r="G77" s="2433">
        <v>81.400000000000006</v>
      </c>
    </row>
    <row r="78" spans="2:7">
      <c r="B78" s="1042">
        <v>808108</v>
      </c>
      <c r="C78" s="1043" t="s">
        <v>273</v>
      </c>
      <c r="D78" s="1045" t="s">
        <v>1614</v>
      </c>
      <c r="E78" s="2023">
        <f t="shared" si="1"/>
        <v>7.5249999999999997E-2</v>
      </c>
      <c r="F78" s="1044">
        <v>240</v>
      </c>
      <c r="G78" s="2433">
        <v>18.059999999999999</v>
      </c>
    </row>
    <row r="79" spans="2:7">
      <c r="B79" s="1042">
        <v>614861</v>
      </c>
      <c r="C79" s="1043" t="s">
        <v>273</v>
      </c>
      <c r="D79" s="1045" t="s">
        <v>1481</v>
      </c>
      <c r="E79" s="2023">
        <f t="shared" si="1"/>
        <v>7.6344383057090237E-2</v>
      </c>
      <c r="F79" s="1044">
        <v>1086</v>
      </c>
      <c r="G79" s="2433">
        <v>82.91</v>
      </c>
    </row>
    <row r="80" spans="2:7">
      <c r="B80" s="1042">
        <v>21419935</v>
      </c>
      <c r="C80" s="1043" t="s">
        <v>273</v>
      </c>
      <c r="D80" s="1045" t="s">
        <v>1481</v>
      </c>
      <c r="E80" s="2023">
        <f t="shared" si="1"/>
        <v>7.6339984844657746E-2</v>
      </c>
      <c r="F80" s="1044">
        <v>3959</v>
      </c>
      <c r="G80" s="2433">
        <v>302.23</v>
      </c>
    </row>
    <row r="81" spans="2:7">
      <c r="B81" s="1042">
        <v>21086385</v>
      </c>
      <c r="C81" s="1043" t="s">
        <v>276</v>
      </c>
      <c r="D81" s="1045" t="s">
        <v>1614</v>
      </c>
      <c r="E81" s="2023">
        <f t="shared" si="1"/>
        <v>7.6340051020408167E-2</v>
      </c>
      <c r="F81" s="1044">
        <v>39200</v>
      </c>
      <c r="G81" s="2433">
        <v>2992.53</v>
      </c>
    </row>
    <row r="82" spans="2:7">
      <c r="B82" s="1042">
        <v>760626</v>
      </c>
      <c r="C82" s="1043" t="s">
        <v>273</v>
      </c>
      <c r="D82" s="1045" t="s">
        <v>1614</v>
      </c>
      <c r="E82" s="2023">
        <f t="shared" si="1"/>
        <v>7.6339301862904677E-2</v>
      </c>
      <c r="F82" s="1044">
        <v>5529</v>
      </c>
      <c r="G82" s="2433">
        <v>422.08</v>
      </c>
    </row>
    <row r="83" spans="2:7">
      <c r="B83" s="1042">
        <v>21495319</v>
      </c>
      <c r="C83" s="1043" t="s">
        <v>273</v>
      </c>
      <c r="D83" s="1045" t="s">
        <v>1614</v>
      </c>
      <c r="E83" s="2023">
        <f t="shared" si="1"/>
        <v>7.6340131578947368E-2</v>
      </c>
      <c r="F83" s="1044">
        <v>15200</v>
      </c>
      <c r="G83" s="2433">
        <v>1160.3699999999999</v>
      </c>
    </row>
    <row r="84" spans="2:7">
      <c r="B84" s="1042">
        <v>779494</v>
      </c>
      <c r="C84" s="1043" t="s">
        <v>273</v>
      </c>
      <c r="D84" s="1045" t="s">
        <v>1481</v>
      </c>
      <c r="E84" s="2023">
        <f t="shared" si="1"/>
        <v>7.6339588918677398E-2</v>
      </c>
      <c r="F84" s="1044">
        <v>2797.5</v>
      </c>
      <c r="G84" s="2433">
        <v>213.56</v>
      </c>
    </row>
    <row r="85" spans="2:7">
      <c r="B85" s="1042">
        <v>21397985</v>
      </c>
      <c r="C85" s="1043" t="s">
        <v>273</v>
      </c>
      <c r="D85" s="1045" t="s">
        <v>1481</v>
      </c>
      <c r="E85" s="2023">
        <f t="shared" si="1"/>
        <v>7.6336351875808547E-2</v>
      </c>
      <c r="F85" s="1044">
        <v>966.25</v>
      </c>
      <c r="G85" s="2433">
        <v>73.760000000000005</v>
      </c>
    </row>
    <row r="86" spans="2:7">
      <c r="B86" s="1042">
        <v>21383533</v>
      </c>
      <c r="C86" s="1043" t="s">
        <v>273</v>
      </c>
      <c r="D86" s="1045" t="s">
        <v>1481</v>
      </c>
      <c r="E86" s="2023">
        <f t="shared" si="1"/>
        <v>7.6338259441707718E-2</v>
      </c>
      <c r="F86" s="1044">
        <v>1218</v>
      </c>
      <c r="G86" s="2433">
        <v>92.98</v>
      </c>
    </row>
    <row r="87" spans="2:7">
      <c r="B87" s="1042">
        <v>21388867</v>
      </c>
      <c r="C87" s="1043" t="s">
        <v>273</v>
      </c>
      <c r="D87" s="1045" t="s">
        <v>1481</v>
      </c>
      <c r="E87" s="2023">
        <f t="shared" si="1"/>
        <v>7.6339869281045747E-2</v>
      </c>
      <c r="F87" s="1044">
        <v>3366</v>
      </c>
      <c r="G87" s="2433">
        <v>256.95999999999998</v>
      </c>
    </row>
    <row r="88" spans="2:7">
      <c r="B88" s="1042">
        <v>177532</v>
      </c>
      <c r="C88" s="1043" t="s">
        <v>273</v>
      </c>
      <c r="D88" s="1045" t="s">
        <v>1481</v>
      </c>
      <c r="E88" s="2023">
        <f t="shared" si="1"/>
        <v>7.6339869281045761E-2</v>
      </c>
      <c r="F88" s="1044">
        <v>1721.25</v>
      </c>
      <c r="G88" s="2433">
        <v>131.4</v>
      </c>
    </row>
    <row r="89" spans="2:7">
      <c r="B89" s="1042">
        <v>21080208</v>
      </c>
      <c r="C89" s="1043" t="s">
        <v>273</v>
      </c>
      <c r="D89" s="1045" t="s">
        <v>1481</v>
      </c>
      <c r="E89" s="2023">
        <f t="shared" si="1"/>
        <v>7.6340365015406489E-2</v>
      </c>
      <c r="F89" s="1044">
        <v>4219</v>
      </c>
      <c r="G89" s="2433">
        <v>322.08</v>
      </c>
    </row>
    <row r="90" spans="2:7">
      <c r="B90" s="1042">
        <v>912362</v>
      </c>
      <c r="C90" s="1043" t="s">
        <v>273</v>
      </c>
      <c r="D90" s="1045" t="s">
        <v>1481</v>
      </c>
      <c r="E90" s="2023">
        <f t="shared" si="1"/>
        <v>7.6341522743857942E-2</v>
      </c>
      <c r="F90" s="1044">
        <v>2055.5</v>
      </c>
      <c r="G90" s="2433">
        <v>156.91999999999999</v>
      </c>
    </row>
    <row r="91" spans="2:7">
      <c r="B91" s="1042">
        <v>681129</v>
      </c>
      <c r="C91" s="1043" t="s">
        <v>273</v>
      </c>
      <c r="D91" s="1045" t="s">
        <v>1481</v>
      </c>
      <c r="E91" s="2023">
        <f t="shared" si="1"/>
        <v>7.6340694006309148E-2</v>
      </c>
      <c r="F91" s="1044">
        <v>1268</v>
      </c>
      <c r="G91" s="2433">
        <v>96.8</v>
      </c>
    </row>
    <row r="92" spans="2:7">
      <c r="B92" s="1042">
        <v>514588</v>
      </c>
      <c r="C92" s="1043" t="s">
        <v>273</v>
      </c>
      <c r="D92" s="1045" t="s">
        <v>1481</v>
      </c>
      <c r="E92" s="2023">
        <f t="shared" si="1"/>
        <v>7.525828605553897E-2</v>
      </c>
      <c r="F92" s="1044">
        <v>2511.75</v>
      </c>
      <c r="G92" s="2433">
        <v>189.03</v>
      </c>
    </row>
    <row r="93" spans="2:7">
      <c r="B93" s="1042">
        <v>21483355</v>
      </c>
      <c r="C93" s="1043" t="s">
        <v>274</v>
      </c>
      <c r="D93" s="1045" t="s">
        <v>1614</v>
      </c>
      <c r="E93" s="2023">
        <f t="shared" si="1"/>
        <v>7.6339506172839508E-2</v>
      </c>
      <c r="F93" s="1044">
        <v>3240</v>
      </c>
      <c r="G93" s="2433">
        <v>247.34</v>
      </c>
    </row>
    <row r="94" spans="2:7">
      <c r="B94" s="1042">
        <v>654594</v>
      </c>
      <c r="C94" s="1043" t="s">
        <v>273</v>
      </c>
      <c r="D94" s="1045" t="s">
        <v>1614</v>
      </c>
      <c r="E94" s="2023">
        <f t="shared" si="1"/>
        <v>7.6340216724596191E-2</v>
      </c>
      <c r="F94" s="1044">
        <v>4891</v>
      </c>
      <c r="G94" s="2433">
        <v>373.38</v>
      </c>
    </row>
    <row r="95" spans="2:7">
      <c r="B95" s="1042">
        <v>861286</v>
      </c>
      <c r="C95" s="1043" t="s">
        <v>273</v>
      </c>
      <c r="D95" s="1045" t="s">
        <v>1481</v>
      </c>
      <c r="E95" s="2023">
        <f t="shared" si="1"/>
        <v>7.6340857544011237E-2</v>
      </c>
      <c r="F95" s="1044">
        <v>2314.75</v>
      </c>
      <c r="G95" s="2433">
        <v>176.71</v>
      </c>
    </row>
    <row r="96" spans="2:7">
      <c r="B96" s="1042">
        <v>512013</v>
      </c>
      <c r="C96" s="1043" t="s">
        <v>273</v>
      </c>
      <c r="D96" s="1045" t="s">
        <v>1481</v>
      </c>
      <c r="E96" s="2023">
        <f t="shared" si="1"/>
        <v>7.6337067705796388E-2</v>
      </c>
      <c r="F96" s="1044">
        <v>1026.5</v>
      </c>
      <c r="G96" s="2433">
        <v>78.36</v>
      </c>
    </row>
    <row r="97" spans="2:7">
      <c r="B97" s="1042">
        <v>606738</v>
      </c>
      <c r="C97" s="1043" t="s">
        <v>274</v>
      </c>
      <c r="D97" s="1045" t="s">
        <v>1614</v>
      </c>
      <c r="E97" s="2023">
        <f t="shared" si="1"/>
        <v>7.6339583333333336E-2</v>
      </c>
      <c r="F97" s="1044">
        <v>4800</v>
      </c>
      <c r="G97" s="2433">
        <v>366.43</v>
      </c>
    </row>
    <row r="98" spans="2:7">
      <c r="B98" s="1042">
        <v>21392420</v>
      </c>
      <c r="C98" s="1043" t="s">
        <v>273</v>
      </c>
      <c r="D98" s="1045" t="s">
        <v>1481</v>
      </c>
      <c r="E98" s="2023">
        <f t="shared" si="1"/>
        <v>7.634075837442611E-2</v>
      </c>
      <c r="F98" s="1044">
        <v>2940.5</v>
      </c>
      <c r="G98" s="2433">
        <v>224.48</v>
      </c>
    </row>
    <row r="99" spans="2:7">
      <c r="B99" s="1042">
        <v>563532</v>
      </c>
      <c r="C99" s="1043" t="s">
        <v>273</v>
      </c>
      <c r="D99" s="1045" t="s">
        <v>1481</v>
      </c>
      <c r="E99" s="2023">
        <f t="shared" si="1"/>
        <v>7.6338639652677273E-2</v>
      </c>
      <c r="F99" s="1044">
        <v>3455</v>
      </c>
      <c r="G99" s="2433">
        <v>263.75</v>
      </c>
    </row>
    <row r="100" spans="2:7">
      <c r="B100" s="1042">
        <v>648563</v>
      </c>
      <c r="C100" s="1043" t="s">
        <v>273</v>
      </c>
      <c r="D100" s="1045" t="s">
        <v>1481</v>
      </c>
      <c r="E100" s="2023">
        <f t="shared" si="1"/>
        <v>7.6339909895914243E-2</v>
      </c>
      <c r="F100" s="1044">
        <v>3218.5</v>
      </c>
      <c r="G100" s="2433">
        <v>245.7</v>
      </c>
    </row>
    <row r="101" spans="2:7">
      <c r="B101" s="1042">
        <v>227555</v>
      </c>
      <c r="C101" s="1043" t="s">
        <v>273</v>
      </c>
      <c r="D101" s="1045" t="s">
        <v>1481</v>
      </c>
      <c r="E101" s="2023">
        <f t="shared" si="1"/>
        <v>7.6340533672172806E-2</v>
      </c>
      <c r="F101" s="1044">
        <v>1574</v>
      </c>
      <c r="G101" s="2433">
        <v>120.16</v>
      </c>
    </row>
    <row r="102" spans="2:7">
      <c r="B102" s="1042">
        <v>21441908</v>
      </c>
      <c r="C102" s="1043" t="s">
        <v>273</v>
      </c>
      <c r="D102" s="1045" t="s">
        <v>1614</v>
      </c>
      <c r="E102" s="2023">
        <f t="shared" si="1"/>
        <v>7.6339090728608297E-2</v>
      </c>
      <c r="F102" s="1044">
        <v>1259.25</v>
      </c>
      <c r="G102" s="2433">
        <v>96.13</v>
      </c>
    </row>
    <row r="103" spans="2:7">
      <c r="B103" s="1042">
        <v>361154</v>
      </c>
      <c r="C103" s="1043" t="s">
        <v>273</v>
      </c>
      <c r="D103" s="1045" t="s">
        <v>1481</v>
      </c>
      <c r="E103" s="2023">
        <f t="shared" si="1"/>
        <v>7.6339149066421794E-2</v>
      </c>
      <c r="F103" s="1044">
        <v>4083.75</v>
      </c>
      <c r="G103" s="2433">
        <v>311.75</v>
      </c>
    </row>
    <row r="104" spans="2:7">
      <c r="B104" s="1042">
        <v>21138524</v>
      </c>
      <c r="C104" s="1043" t="s">
        <v>273</v>
      </c>
      <c r="D104" s="1045" t="s">
        <v>1481</v>
      </c>
      <c r="E104" s="2023">
        <f t="shared" si="1"/>
        <v>7.6340425531914891E-2</v>
      </c>
      <c r="F104" s="1044">
        <v>3877.5</v>
      </c>
      <c r="G104" s="2433">
        <v>296.01</v>
      </c>
    </row>
    <row r="105" spans="2:7">
      <c r="B105" s="1042">
        <v>678666</v>
      </c>
      <c r="C105" s="1043" t="s">
        <v>273</v>
      </c>
      <c r="D105" s="1045" t="s">
        <v>1481</v>
      </c>
      <c r="E105" s="2023">
        <f t="shared" si="1"/>
        <v>7.6339509263895836E-2</v>
      </c>
      <c r="F105" s="1044">
        <v>1997</v>
      </c>
      <c r="G105" s="2433">
        <v>152.44999999999999</v>
      </c>
    </row>
    <row r="106" spans="2:7">
      <c r="B106" s="1042">
        <v>21449179</v>
      </c>
      <c r="C106" s="1043" t="s">
        <v>273</v>
      </c>
      <c r="D106" s="1045" t="s">
        <v>1614</v>
      </c>
      <c r="E106" s="2023">
        <f t="shared" si="1"/>
        <v>7.6329113924050632E-2</v>
      </c>
      <c r="F106" s="1044">
        <v>158</v>
      </c>
      <c r="G106" s="2433">
        <v>12.06</v>
      </c>
    </row>
    <row r="107" spans="2:7">
      <c r="B107" s="1042">
        <v>21470188</v>
      </c>
      <c r="C107" s="1043" t="s">
        <v>273</v>
      </c>
      <c r="D107" s="1045" t="s">
        <v>1614</v>
      </c>
      <c r="E107" s="2023">
        <f t="shared" si="1"/>
        <v>7.6352941176470596E-2</v>
      </c>
      <c r="F107" s="1044">
        <v>340</v>
      </c>
      <c r="G107" s="2433">
        <v>25.96</v>
      </c>
    </row>
    <row r="108" spans="2:7">
      <c r="B108" s="1042">
        <v>21442797</v>
      </c>
      <c r="C108" s="1043" t="s">
        <v>273</v>
      </c>
      <c r="D108" s="1045" t="s">
        <v>1614</v>
      </c>
      <c r="E108" s="2023">
        <f t="shared" si="1"/>
        <v>7.6369863013698636E-2</v>
      </c>
      <c r="F108" s="1044">
        <v>146</v>
      </c>
      <c r="G108" s="2433">
        <v>11.15</v>
      </c>
    </row>
    <row r="109" spans="2:7">
      <c r="B109" s="1042">
        <v>711279</v>
      </c>
      <c r="C109" s="1043" t="s">
        <v>273</v>
      </c>
      <c r="D109" s="1045" t="s">
        <v>1481</v>
      </c>
      <c r="E109" s="2023">
        <f t="shared" si="1"/>
        <v>7.6341998120889445E-2</v>
      </c>
      <c r="F109" s="1044">
        <v>2394.75</v>
      </c>
      <c r="G109" s="2433">
        <v>182.82</v>
      </c>
    </row>
    <row r="110" spans="2:7">
      <c r="B110" s="1042">
        <v>21301252</v>
      </c>
      <c r="C110" s="1043" t="s">
        <v>273</v>
      </c>
      <c r="D110" s="1045" t="s">
        <v>1614</v>
      </c>
      <c r="E110" s="2023">
        <f t="shared" si="1"/>
        <v>7.6339370829361292E-2</v>
      </c>
      <c r="F110" s="1044">
        <v>4196</v>
      </c>
      <c r="G110" s="2433">
        <v>320.32</v>
      </c>
    </row>
    <row r="111" spans="2:7">
      <c r="B111" s="1042">
        <v>496042</v>
      </c>
      <c r="C111" s="1043" t="s">
        <v>273</v>
      </c>
      <c r="D111" s="1045" t="s">
        <v>1481</v>
      </c>
      <c r="E111" s="2023">
        <f t="shared" si="1"/>
        <v>7.6339627012625963E-2</v>
      </c>
      <c r="F111" s="1044">
        <v>2158.25</v>
      </c>
      <c r="G111" s="2433">
        <v>164.76</v>
      </c>
    </row>
    <row r="112" spans="2:7">
      <c r="B112" s="1042">
        <v>807380</v>
      </c>
      <c r="C112" s="1043" t="s">
        <v>274</v>
      </c>
      <c r="D112" s="1045" t="s">
        <v>1614</v>
      </c>
      <c r="E112" s="2023">
        <f t="shared" si="1"/>
        <v>7.6339178477059816E-2</v>
      </c>
      <c r="F112" s="1044">
        <v>4163</v>
      </c>
      <c r="G112" s="2433">
        <v>317.8</v>
      </c>
    </row>
    <row r="113" spans="2:7">
      <c r="B113" s="1042">
        <v>459167</v>
      </c>
      <c r="C113" s="1043" t="s">
        <v>274</v>
      </c>
      <c r="D113" s="1045" t="s">
        <v>1614</v>
      </c>
      <c r="E113" s="2023">
        <f t="shared" si="1"/>
        <v>7.525970873786407E-2</v>
      </c>
      <c r="F113" s="1044">
        <v>4120</v>
      </c>
      <c r="G113" s="2433">
        <v>310.07</v>
      </c>
    </row>
    <row r="114" spans="2:7">
      <c r="B114" s="1042">
        <v>901080</v>
      </c>
      <c r="C114" s="1043" t="s">
        <v>273</v>
      </c>
      <c r="D114" s="1045" t="s">
        <v>1481</v>
      </c>
      <c r="E114" s="2023">
        <f t="shared" si="1"/>
        <v>7.6341351309943309E-2</v>
      </c>
      <c r="F114" s="1044">
        <v>1631.75</v>
      </c>
      <c r="G114" s="2433">
        <v>124.57</v>
      </c>
    </row>
    <row r="115" spans="2:7">
      <c r="B115" s="1042">
        <v>510036</v>
      </c>
      <c r="C115" s="1043" t="s">
        <v>273</v>
      </c>
      <c r="D115" s="1045" t="s">
        <v>1481</v>
      </c>
      <c r="E115" s="2023">
        <f t="shared" si="1"/>
        <v>7.6337495270525912E-2</v>
      </c>
      <c r="F115" s="1044">
        <v>1982.25</v>
      </c>
      <c r="G115" s="2433">
        <v>151.32</v>
      </c>
    </row>
    <row r="116" spans="2:7">
      <c r="B116" s="1042">
        <v>21038352</v>
      </c>
      <c r="C116" s="1043" t="s">
        <v>273</v>
      </c>
      <c r="D116" s="1045" t="s">
        <v>1481</v>
      </c>
      <c r="E116" s="2023">
        <f t="shared" si="1"/>
        <v>7.6338598622924261E-2</v>
      </c>
      <c r="F116" s="1044">
        <v>3086.25</v>
      </c>
      <c r="G116" s="2433">
        <v>235.6</v>
      </c>
    </row>
    <row r="117" spans="2:7">
      <c r="B117" s="1042">
        <v>225141</v>
      </c>
      <c r="C117" s="1043" t="s">
        <v>273</v>
      </c>
      <c r="D117" s="1045" t="s">
        <v>1614</v>
      </c>
      <c r="E117" s="2023">
        <f t="shared" si="1"/>
        <v>7.6338797814207646E-2</v>
      </c>
      <c r="F117" s="1044">
        <v>549</v>
      </c>
      <c r="G117" s="2433">
        <v>41.91</v>
      </c>
    </row>
    <row r="118" spans="2:7">
      <c r="B118" s="1042">
        <v>21264985</v>
      </c>
      <c r="C118" s="1043" t="s">
        <v>274</v>
      </c>
      <c r="D118" s="1045" t="s">
        <v>1614</v>
      </c>
      <c r="E118" s="2023">
        <f t="shared" si="1"/>
        <v>7.6340686274509809E-2</v>
      </c>
      <c r="F118" s="1044">
        <v>4080</v>
      </c>
      <c r="G118" s="2433">
        <v>311.47000000000003</v>
      </c>
    </row>
    <row r="119" spans="2:7">
      <c r="B119" s="1042">
        <v>21148439</v>
      </c>
      <c r="C119" s="1043" t="s">
        <v>273</v>
      </c>
      <c r="D119" s="1045" t="s">
        <v>1481</v>
      </c>
      <c r="E119" s="2023">
        <f t="shared" si="1"/>
        <v>7.6337625178826904E-2</v>
      </c>
      <c r="F119" s="1044">
        <v>1048.5</v>
      </c>
      <c r="G119" s="2433">
        <v>80.040000000000006</v>
      </c>
    </row>
    <row r="120" spans="2:7">
      <c r="B120" s="1042">
        <v>21351651</v>
      </c>
      <c r="C120" s="1043" t="s">
        <v>273</v>
      </c>
      <c r="D120" s="1045" t="s">
        <v>1481</v>
      </c>
      <c r="E120" s="2023">
        <f t="shared" si="1"/>
        <v>7.6340393533024187E-2</v>
      </c>
      <c r="F120" s="1044">
        <v>1994.75</v>
      </c>
      <c r="G120" s="2433">
        <v>152.28</v>
      </c>
    </row>
    <row r="121" spans="2:7">
      <c r="B121" s="1042">
        <v>652644</v>
      </c>
      <c r="C121" s="1043" t="s">
        <v>273</v>
      </c>
      <c r="D121" s="1045" t="s">
        <v>1481</v>
      </c>
      <c r="E121" s="2023">
        <f t="shared" si="1"/>
        <v>7.6339739615623056E-2</v>
      </c>
      <c r="F121" s="1044">
        <v>2016.25</v>
      </c>
      <c r="G121" s="2433">
        <v>153.91999999999999</v>
      </c>
    </row>
    <row r="122" spans="2:7">
      <c r="B122" s="1042">
        <v>21024388</v>
      </c>
      <c r="C122" s="1043" t="s">
        <v>273</v>
      </c>
      <c r="D122" s="1045" t="s">
        <v>1481</v>
      </c>
      <c r="E122" s="2023">
        <f t="shared" si="1"/>
        <v>7.6339563862928339E-2</v>
      </c>
      <c r="F122" s="1044">
        <v>2568</v>
      </c>
      <c r="G122" s="2433">
        <v>196.04</v>
      </c>
    </row>
    <row r="123" spans="2:7">
      <c r="B123" s="1042">
        <v>21471917</v>
      </c>
      <c r="C123" s="1043" t="s">
        <v>273</v>
      </c>
      <c r="D123" s="1045" t="s">
        <v>1614</v>
      </c>
      <c r="E123" s="2023">
        <f t="shared" si="1"/>
        <v>7.6356589147286824E-2</v>
      </c>
      <c r="F123" s="1044">
        <v>129</v>
      </c>
      <c r="G123" s="2433">
        <v>9.85</v>
      </c>
    </row>
    <row r="124" spans="2:7">
      <c r="B124" s="1042">
        <v>747098</v>
      </c>
      <c r="C124" s="1043" t="s">
        <v>273</v>
      </c>
      <c r="D124" s="1045" t="s">
        <v>1614</v>
      </c>
      <c r="E124" s="2023">
        <f t="shared" si="1"/>
        <v>7.6340909090909098E-2</v>
      </c>
      <c r="F124" s="1044">
        <v>3960</v>
      </c>
      <c r="G124" s="2433">
        <v>302.31</v>
      </c>
    </row>
    <row r="125" spans="2:7">
      <c r="B125" s="1042">
        <v>21165068</v>
      </c>
      <c r="C125" s="1043" t="s">
        <v>274</v>
      </c>
      <c r="D125" s="1045" t="s">
        <v>1614</v>
      </c>
      <c r="E125" s="2023">
        <f t="shared" si="1"/>
        <v>7.6340909090909098E-2</v>
      </c>
      <c r="F125" s="1044">
        <v>3960</v>
      </c>
      <c r="G125" s="2433">
        <v>302.31</v>
      </c>
    </row>
    <row r="126" spans="2:7">
      <c r="B126" s="1042">
        <v>216757</v>
      </c>
      <c r="C126" s="1043" t="s">
        <v>274</v>
      </c>
      <c r="D126" s="1045" t="s">
        <v>1614</v>
      </c>
      <c r="E126" s="2023">
        <f t="shared" si="1"/>
        <v>7.6340909090909098E-2</v>
      </c>
      <c r="F126" s="1044">
        <v>3960</v>
      </c>
      <c r="G126" s="2433">
        <v>302.31</v>
      </c>
    </row>
    <row r="127" spans="2:7">
      <c r="B127" s="1042">
        <v>744143</v>
      </c>
      <c r="C127" s="1043" t="s">
        <v>273</v>
      </c>
      <c r="D127" s="1045" t="s">
        <v>1481</v>
      </c>
      <c r="E127" s="2023">
        <f t="shared" si="1"/>
        <v>7.6339518992429828E-2</v>
      </c>
      <c r="F127" s="1044">
        <v>3731.75</v>
      </c>
      <c r="G127" s="2433">
        <v>284.88</v>
      </c>
    </row>
    <row r="128" spans="2:7">
      <c r="B128" s="1042">
        <v>581335</v>
      </c>
      <c r="C128" s="1043" t="s">
        <v>273</v>
      </c>
      <c r="D128" s="1045" t="s">
        <v>1481</v>
      </c>
      <c r="E128" s="2023">
        <f t="shared" si="1"/>
        <v>7.6340005198856253E-2</v>
      </c>
      <c r="F128" s="1044">
        <v>1923.5</v>
      </c>
      <c r="G128" s="2433">
        <v>146.84</v>
      </c>
    </row>
    <row r="129" spans="2:7">
      <c r="B129" s="1042">
        <v>21255060</v>
      </c>
      <c r="C129" s="1043" t="s">
        <v>273</v>
      </c>
      <c r="D129" s="1045" t="s">
        <v>1481</v>
      </c>
      <c r="E129" s="2023">
        <f t="shared" si="1"/>
        <v>7.6340288924558589E-2</v>
      </c>
      <c r="F129" s="1044">
        <v>1246</v>
      </c>
      <c r="G129" s="2433">
        <v>95.12</v>
      </c>
    </row>
    <row r="130" spans="2:7">
      <c r="B130" s="1042">
        <v>943456</v>
      </c>
      <c r="C130" s="1043" t="s">
        <v>273</v>
      </c>
      <c r="D130" s="1045" t="s">
        <v>1481</v>
      </c>
      <c r="E130" s="2023">
        <f t="shared" si="1"/>
        <v>7.6340236340236345E-2</v>
      </c>
      <c r="F130" s="1044">
        <v>2136.75</v>
      </c>
      <c r="G130" s="2433">
        <v>163.12</v>
      </c>
    </row>
    <row r="131" spans="2:7">
      <c r="B131" s="1042">
        <v>21360244</v>
      </c>
      <c r="C131" s="1043" t="s">
        <v>273</v>
      </c>
      <c r="D131" s="1045" t="s">
        <v>1481</v>
      </c>
      <c r="E131" s="2023">
        <f t="shared" si="1"/>
        <v>7.6340627471658318E-2</v>
      </c>
      <c r="F131" s="1044">
        <v>1896.5</v>
      </c>
      <c r="G131" s="2433">
        <v>144.78</v>
      </c>
    </row>
    <row r="132" spans="2:7">
      <c r="B132" s="1042">
        <v>21031560</v>
      </c>
      <c r="C132" s="1043" t="s">
        <v>273</v>
      </c>
      <c r="D132" s="1045" t="s">
        <v>1481</v>
      </c>
      <c r="E132" s="2023">
        <f t="shared" si="1"/>
        <v>7.6340904355073971E-2</v>
      </c>
      <c r="F132" s="1044">
        <v>2399.5</v>
      </c>
      <c r="G132" s="2433">
        <v>183.18</v>
      </c>
    </row>
    <row r="133" spans="2:7">
      <c r="B133" s="1042">
        <v>227816</v>
      </c>
      <c r="C133" s="1043" t="s">
        <v>273</v>
      </c>
      <c r="D133" s="1045" t="s">
        <v>1481</v>
      </c>
      <c r="E133" s="2023">
        <f t="shared" ref="E133:E196" si="2">G133/F133</f>
        <v>7.6341615459969717E-2</v>
      </c>
      <c r="F133" s="1044">
        <v>2807.25</v>
      </c>
      <c r="G133" s="2433">
        <v>214.31</v>
      </c>
    </row>
    <row r="134" spans="2:7">
      <c r="B134" s="1042">
        <v>21407267</v>
      </c>
      <c r="C134" s="1043" t="s">
        <v>273</v>
      </c>
      <c r="D134" s="1045" t="s">
        <v>1481</v>
      </c>
      <c r="E134" s="2023">
        <f t="shared" si="2"/>
        <v>7.6338514680483596E-2</v>
      </c>
      <c r="F134" s="1044">
        <v>3329.25</v>
      </c>
      <c r="G134" s="2433">
        <v>254.15</v>
      </c>
    </row>
    <row r="135" spans="2:7">
      <c r="B135" s="1042">
        <v>21111778</v>
      </c>
      <c r="C135" s="1043" t="s">
        <v>273</v>
      </c>
      <c r="D135" s="1045" t="s">
        <v>1481</v>
      </c>
      <c r="E135" s="2023">
        <f t="shared" si="2"/>
        <v>7.6341719077568135E-2</v>
      </c>
      <c r="F135" s="1044">
        <v>2862</v>
      </c>
      <c r="G135" s="2433">
        <v>218.49</v>
      </c>
    </row>
    <row r="136" spans="2:7">
      <c r="B136" s="1042">
        <v>21417853</v>
      </c>
      <c r="C136" s="1043" t="s">
        <v>273</v>
      </c>
      <c r="D136" s="1045" t="s">
        <v>1481</v>
      </c>
      <c r="E136" s="2023">
        <f t="shared" si="2"/>
        <v>7.6339893323524005E-2</v>
      </c>
      <c r="F136" s="1044">
        <v>2718.5</v>
      </c>
      <c r="G136" s="2433">
        <v>207.53</v>
      </c>
    </row>
    <row r="137" spans="2:7">
      <c r="B137" s="1042">
        <v>505556</v>
      </c>
      <c r="C137" s="1043" t="s">
        <v>273</v>
      </c>
      <c r="D137" s="1045" t="s">
        <v>1614</v>
      </c>
      <c r="E137" s="2023">
        <f t="shared" si="2"/>
        <v>7.6338739696889132E-2</v>
      </c>
      <c r="F137" s="1044">
        <v>3761</v>
      </c>
      <c r="G137" s="2433">
        <v>287.11</v>
      </c>
    </row>
    <row r="138" spans="2:7">
      <c r="B138" s="1042">
        <v>21372395</v>
      </c>
      <c r="C138" s="1043" t="s">
        <v>273</v>
      </c>
      <c r="D138" s="1045" t="s">
        <v>1481</v>
      </c>
      <c r="E138" s="2023">
        <f t="shared" si="2"/>
        <v>7.6340760951947861E-2</v>
      </c>
      <c r="F138" s="1044">
        <v>3298.5</v>
      </c>
      <c r="G138" s="2433">
        <v>251.81</v>
      </c>
    </row>
    <row r="139" spans="2:7">
      <c r="B139" s="1042">
        <v>21397817</v>
      </c>
      <c r="C139" s="1043" t="s">
        <v>274</v>
      </c>
      <c r="D139" s="1045" t="s">
        <v>1614</v>
      </c>
      <c r="E139" s="2023">
        <f t="shared" si="2"/>
        <v>7.5260752688172047E-2</v>
      </c>
      <c r="F139" s="1044">
        <v>3720</v>
      </c>
      <c r="G139" s="2433">
        <v>279.97000000000003</v>
      </c>
    </row>
    <row r="140" spans="2:7">
      <c r="B140" s="1042">
        <v>876080</v>
      </c>
      <c r="C140" s="1043" t="s">
        <v>273</v>
      </c>
      <c r="D140" s="1045" t="s">
        <v>1481</v>
      </c>
      <c r="E140" s="2023">
        <f t="shared" si="2"/>
        <v>7.6340869565217392E-2</v>
      </c>
      <c r="F140" s="1044">
        <v>2875</v>
      </c>
      <c r="G140" s="2433">
        <v>219.48</v>
      </c>
    </row>
    <row r="141" spans="2:7">
      <c r="B141" s="1042">
        <v>255552</v>
      </c>
      <c r="C141" s="1043" t="s">
        <v>273</v>
      </c>
      <c r="D141" s="1045" t="s">
        <v>1481</v>
      </c>
      <c r="E141" s="2023">
        <f t="shared" si="2"/>
        <v>7.6339557099435518E-2</v>
      </c>
      <c r="F141" s="1044">
        <v>2303</v>
      </c>
      <c r="G141" s="2433">
        <v>175.81</v>
      </c>
    </row>
    <row r="142" spans="2:7">
      <c r="B142" s="1042">
        <v>21429583</v>
      </c>
      <c r="C142" s="1043" t="s">
        <v>273</v>
      </c>
      <c r="D142" s="1045" t="s">
        <v>1614</v>
      </c>
      <c r="E142" s="2023">
        <f t="shared" si="2"/>
        <v>7.6341330425299891E-2</v>
      </c>
      <c r="F142" s="1044">
        <v>3668</v>
      </c>
      <c r="G142" s="2433">
        <v>280.02</v>
      </c>
    </row>
    <row r="143" spans="2:7">
      <c r="B143" s="1042">
        <v>21300391</v>
      </c>
      <c r="C143" s="1043" t="s">
        <v>273</v>
      </c>
      <c r="D143" s="1045" t="s">
        <v>1481</v>
      </c>
      <c r="E143" s="2023">
        <f t="shared" si="2"/>
        <v>7.6331877729257647E-2</v>
      </c>
      <c r="F143" s="1044">
        <v>400.75</v>
      </c>
      <c r="G143" s="2433">
        <v>30.59</v>
      </c>
    </row>
    <row r="144" spans="2:7">
      <c r="B144" s="1042">
        <v>788226</v>
      </c>
      <c r="C144" s="1043" t="s">
        <v>273</v>
      </c>
      <c r="D144" s="1045" t="s">
        <v>1481</v>
      </c>
      <c r="E144" s="2023">
        <f t="shared" si="2"/>
        <v>7.6339024765420704E-2</v>
      </c>
      <c r="F144" s="1044">
        <v>3250.5</v>
      </c>
      <c r="G144" s="2433">
        <v>248.14</v>
      </c>
    </row>
    <row r="145" spans="2:7">
      <c r="B145" s="1042">
        <v>21116996</v>
      </c>
      <c r="C145" s="1043" t="s">
        <v>273</v>
      </c>
      <c r="D145" s="1045" t="s">
        <v>1614</v>
      </c>
      <c r="E145" s="2023">
        <f t="shared" si="2"/>
        <v>7.6340659340659339E-2</v>
      </c>
      <c r="F145" s="1044">
        <v>3640</v>
      </c>
      <c r="G145" s="2433">
        <v>277.88</v>
      </c>
    </row>
    <row r="146" spans="2:7">
      <c r="B146" s="1042">
        <v>21479451</v>
      </c>
      <c r="C146" s="1043" t="s">
        <v>274</v>
      </c>
      <c r="D146" s="1045" t="s">
        <v>1614</v>
      </c>
      <c r="E146" s="2023">
        <f t="shared" si="2"/>
        <v>7.6340000000000005E-2</v>
      </c>
      <c r="F146" s="1044">
        <v>2000</v>
      </c>
      <c r="G146" s="2433">
        <v>152.68</v>
      </c>
    </row>
    <row r="147" spans="2:7">
      <c r="B147" s="1042">
        <v>827464</v>
      </c>
      <c r="C147" s="1043" t="s">
        <v>273</v>
      </c>
      <c r="D147" s="1045" t="s">
        <v>1481</v>
      </c>
      <c r="E147" s="2023">
        <f t="shared" si="2"/>
        <v>7.634041935717914E-2</v>
      </c>
      <c r="F147" s="1044">
        <v>3445.75</v>
      </c>
      <c r="G147" s="2433">
        <v>263.05</v>
      </c>
    </row>
    <row r="148" spans="2:7">
      <c r="B148" s="1042">
        <v>700684</v>
      </c>
      <c r="C148" s="1043" t="s">
        <v>273</v>
      </c>
      <c r="D148" s="1045" t="s">
        <v>1614</v>
      </c>
      <c r="E148" s="2023">
        <f t="shared" si="2"/>
        <v>7.6340990866316086E-2</v>
      </c>
      <c r="F148" s="1044">
        <v>3613</v>
      </c>
      <c r="G148" s="2433">
        <v>275.82</v>
      </c>
    </row>
    <row r="149" spans="2:7">
      <c r="B149" s="1042">
        <v>731245</v>
      </c>
      <c r="C149" s="1043" t="s">
        <v>273</v>
      </c>
      <c r="D149" s="1045" t="s">
        <v>1614</v>
      </c>
      <c r="E149" s="2023">
        <f t="shared" si="2"/>
        <v>7.6339360222531294E-2</v>
      </c>
      <c r="F149" s="1044">
        <v>3595</v>
      </c>
      <c r="G149" s="2433">
        <v>274.44</v>
      </c>
    </row>
    <row r="150" spans="2:7">
      <c r="B150" s="1042">
        <v>729889</v>
      </c>
      <c r="C150" s="1043" t="s">
        <v>273</v>
      </c>
      <c r="D150" s="1045" t="s">
        <v>1481</v>
      </c>
      <c r="E150" s="2023">
        <f t="shared" si="2"/>
        <v>7.6341171781586281E-2</v>
      </c>
      <c r="F150" s="1044">
        <v>2509</v>
      </c>
      <c r="G150" s="2433">
        <v>191.54</v>
      </c>
    </row>
    <row r="151" spans="2:7">
      <c r="B151" s="1042">
        <v>21423951</v>
      </c>
      <c r="C151" s="1043" t="s">
        <v>273</v>
      </c>
      <c r="D151" s="1045" t="s">
        <v>1481</v>
      </c>
      <c r="E151" s="2023">
        <f t="shared" si="2"/>
        <v>7.6350877192982461E-2</v>
      </c>
      <c r="F151" s="1044">
        <v>71.25</v>
      </c>
      <c r="G151" s="2433">
        <v>5.44</v>
      </c>
    </row>
    <row r="152" spans="2:7">
      <c r="B152" s="1042">
        <v>21127816</v>
      </c>
      <c r="C152" s="1043" t="s">
        <v>276</v>
      </c>
      <c r="D152" s="1045" t="s">
        <v>1614</v>
      </c>
      <c r="E152" s="2023">
        <f t="shared" si="2"/>
        <v>7.6338935574229688E-2</v>
      </c>
      <c r="F152" s="1044">
        <v>3570</v>
      </c>
      <c r="G152" s="2433">
        <v>272.52999999999997</v>
      </c>
    </row>
    <row r="153" spans="2:7">
      <c r="B153" s="1042">
        <v>21416657</v>
      </c>
      <c r="C153" s="1043" t="s">
        <v>273</v>
      </c>
      <c r="D153" s="1045" t="s">
        <v>1481</v>
      </c>
      <c r="E153" s="2023">
        <f t="shared" si="2"/>
        <v>7.5258620689655178E-2</v>
      </c>
      <c r="F153" s="1044">
        <v>1624</v>
      </c>
      <c r="G153" s="2433">
        <v>122.22</v>
      </c>
    </row>
    <row r="154" spans="2:7">
      <c r="B154" s="1042">
        <v>217922</v>
      </c>
      <c r="C154" s="1043" t="s">
        <v>273</v>
      </c>
      <c r="D154" s="1045" t="s">
        <v>1481</v>
      </c>
      <c r="E154" s="2023">
        <f t="shared" si="2"/>
        <v>7.6338418862690702E-2</v>
      </c>
      <c r="F154" s="1044">
        <v>1442</v>
      </c>
      <c r="G154" s="2433">
        <v>110.08</v>
      </c>
    </row>
    <row r="155" spans="2:7">
      <c r="B155" s="1042">
        <v>21277595</v>
      </c>
      <c r="C155" s="1043" t="s">
        <v>273</v>
      </c>
      <c r="D155" s="1045" t="s">
        <v>1481</v>
      </c>
      <c r="E155" s="2023">
        <f t="shared" si="2"/>
        <v>7.6336206896551725E-2</v>
      </c>
      <c r="F155" s="1044">
        <v>949.09090909090912</v>
      </c>
      <c r="G155" s="2433">
        <v>72.45</v>
      </c>
    </row>
    <row r="156" spans="2:7">
      <c r="B156" s="1042">
        <v>21087952</v>
      </c>
      <c r="C156" s="1043" t="s">
        <v>273</v>
      </c>
      <c r="D156" s="1045" t="s">
        <v>1481</v>
      </c>
      <c r="E156" s="2023">
        <f t="shared" si="2"/>
        <v>7.634240136732659E-2</v>
      </c>
      <c r="F156" s="1044">
        <v>1755.25</v>
      </c>
      <c r="G156" s="2433">
        <v>134</v>
      </c>
    </row>
    <row r="157" spans="2:7">
      <c r="B157" s="1042">
        <v>21157213</v>
      </c>
      <c r="C157" s="1043" t="s">
        <v>273</v>
      </c>
      <c r="D157" s="1045" t="s">
        <v>1481</v>
      </c>
      <c r="E157" s="2023">
        <f t="shared" si="2"/>
        <v>7.6338028169014083E-2</v>
      </c>
      <c r="F157" s="1044">
        <v>1810.5</v>
      </c>
      <c r="G157" s="2433">
        <v>138.21</v>
      </c>
    </row>
    <row r="158" spans="2:7">
      <c r="B158" s="1042">
        <v>21298925</v>
      </c>
      <c r="C158" s="1043" t="s">
        <v>273</v>
      </c>
      <c r="D158" s="1045" t="s">
        <v>1481</v>
      </c>
      <c r="E158" s="2023">
        <f t="shared" si="2"/>
        <v>7.6339547065167157E-2</v>
      </c>
      <c r="F158" s="1044">
        <v>1622.75</v>
      </c>
      <c r="G158" s="2433">
        <v>123.88</v>
      </c>
    </row>
    <row r="159" spans="2:7">
      <c r="B159" s="1042">
        <v>21245692</v>
      </c>
      <c r="C159" s="1043" t="s">
        <v>273</v>
      </c>
      <c r="D159" s="1045" t="s">
        <v>1481</v>
      </c>
      <c r="E159" s="2023">
        <f t="shared" si="2"/>
        <v>7.6339448557021766E-2</v>
      </c>
      <c r="F159" s="1044">
        <v>2330.25</v>
      </c>
      <c r="G159" s="2433">
        <v>177.89</v>
      </c>
    </row>
    <row r="160" spans="2:7">
      <c r="B160" s="1042">
        <v>227479</v>
      </c>
      <c r="C160" s="1043" t="s">
        <v>273</v>
      </c>
      <c r="D160" s="1045" t="s">
        <v>1614</v>
      </c>
      <c r="E160" s="2023">
        <f t="shared" si="2"/>
        <v>7.6341393206678168E-2</v>
      </c>
      <c r="F160" s="1044">
        <v>3474</v>
      </c>
      <c r="G160" s="2433">
        <v>265.20999999999998</v>
      </c>
    </row>
    <row r="161" spans="2:7">
      <c r="B161" s="1042">
        <v>884466</v>
      </c>
      <c r="C161" s="1043" t="s">
        <v>273</v>
      </c>
      <c r="D161" s="1045" t="s">
        <v>1481</v>
      </c>
      <c r="E161" s="2023">
        <f t="shared" si="2"/>
        <v>7.6338452273411628E-2</v>
      </c>
      <c r="F161" s="1044">
        <v>1660.5</v>
      </c>
      <c r="G161" s="2433">
        <v>126.76</v>
      </c>
    </row>
    <row r="162" spans="2:7">
      <c r="B162" s="1042">
        <v>747762</v>
      </c>
      <c r="C162" s="1043" t="s">
        <v>273</v>
      </c>
      <c r="D162" s="1045" t="s">
        <v>1614</v>
      </c>
      <c r="E162" s="2023">
        <f t="shared" si="2"/>
        <v>7.6341040462427748E-2</v>
      </c>
      <c r="F162" s="1044">
        <v>3460</v>
      </c>
      <c r="G162" s="2433">
        <v>264.14</v>
      </c>
    </row>
    <row r="163" spans="2:7">
      <c r="B163" s="1042">
        <v>251201</v>
      </c>
      <c r="C163" s="1043" t="s">
        <v>273</v>
      </c>
      <c r="D163" s="1045" t="s">
        <v>1481</v>
      </c>
      <c r="E163" s="2023">
        <f t="shared" si="2"/>
        <v>7.6338221814848756E-2</v>
      </c>
      <c r="F163" s="1044">
        <v>2182</v>
      </c>
      <c r="G163" s="2433">
        <v>166.57</v>
      </c>
    </row>
    <row r="164" spans="2:7">
      <c r="B164" s="1042">
        <v>21370604</v>
      </c>
      <c r="C164" s="1043" t="s">
        <v>273</v>
      </c>
      <c r="D164" s="1045" t="s">
        <v>1481</v>
      </c>
      <c r="E164" s="2023">
        <f t="shared" si="2"/>
        <v>7.6338767097620386E-2</v>
      </c>
      <c r="F164" s="1044">
        <v>2668.5</v>
      </c>
      <c r="G164" s="2433">
        <v>203.71</v>
      </c>
    </row>
    <row r="165" spans="2:7">
      <c r="B165" s="1042">
        <v>21058052</v>
      </c>
      <c r="C165" s="1043" t="s">
        <v>273</v>
      </c>
      <c r="D165" s="1045" t="s">
        <v>1614</v>
      </c>
      <c r="E165" s="2023">
        <f t="shared" si="2"/>
        <v>7.6338813857897828E-2</v>
      </c>
      <c r="F165" s="1044">
        <v>3406</v>
      </c>
      <c r="G165" s="2433">
        <v>260.01</v>
      </c>
    </row>
    <row r="166" spans="2:7">
      <c r="B166" s="1042">
        <v>21003105</v>
      </c>
      <c r="C166" s="1043" t="s">
        <v>273</v>
      </c>
      <c r="D166" s="1045" t="s">
        <v>1614</v>
      </c>
      <c r="E166" s="2023">
        <f t="shared" si="2"/>
        <v>7.6339334424440811E-2</v>
      </c>
      <c r="F166" s="1044">
        <v>1833</v>
      </c>
      <c r="G166" s="2433">
        <v>139.93</v>
      </c>
    </row>
    <row r="167" spans="2:7">
      <c r="B167" s="1042">
        <v>21310895</v>
      </c>
      <c r="C167" s="1043" t="s">
        <v>273</v>
      </c>
      <c r="D167" s="1045" t="s">
        <v>1481</v>
      </c>
      <c r="E167" s="2023">
        <f t="shared" si="2"/>
        <v>7.6338786498239802E-2</v>
      </c>
      <c r="F167" s="1044">
        <v>2414.5</v>
      </c>
      <c r="G167" s="2433">
        <v>184.32</v>
      </c>
    </row>
    <row r="168" spans="2:7">
      <c r="B168" s="1042">
        <v>248851</v>
      </c>
      <c r="C168" s="1043" t="s">
        <v>273</v>
      </c>
      <c r="D168" s="1045" t="s">
        <v>1481</v>
      </c>
      <c r="E168" s="2023">
        <f t="shared" si="2"/>
        <v>7.6337586747257671E-2</v>
      </c>
      <c r="F168" s="1044">
        <v>1116.75</v>
      </c>
      <c r="G168" s="2433">
        <v>85.25</v>
      </c>
    </row>
    <row r="169" spans="2:7">
      <c r="B169" s="1042">
        <v>915977</v>
      </c>
      <c r="C169" s="1043" t="s">
        <v>273</v>
      </c>
      <c r="D169" s="1045" t="s">
        <v>1481</v>
      </c>
      <c r="E169" s="2023">
        <f t="shared" si="2"/>
        <v>7.6339969372128641E-2</v>
      </c>
      <c r="F169" s="1044">
        <v>1959</v>
      </c>
      <c r="G169" s="2433">
        <v>149.55000000000001</v>
      </c>
    </row>
    <row r="170" spans="2:7">
      <c r="B170" s="1042">
        <v>834448</v>
      </c>
      <c r="C170" s="1043" t="s">
        <v>273</v>
      </c>
      <c r="D170" s="1045" t="s">
        <v>1481</v>
      </c>
      <c r="E170" s="2023">
        <f t="shared" si="2"/>
        <v>7.6340399634851397E-2</v>
      </c>
      <c r="F170" s="1044">
        <v>2464.75</v>
      </c>
      <c r="G170" s="2433">
        <v>188.16</v>
      </c>
    </row>
    <row r="171" spans="2:7">
      <c r="B171" s="1042">
        <v>250909</v>
      </c>
      <c r="C171" s="1043" t="s">
        <v>273</v>
      </c>
      <c r="D171" s="1045" t="s">
        <v>1481</v>
      </c>
      <c r="E171" s="2023">
        <f t="shared" si="2"/>
        <v>7.6341463414634145E-2</v>
      </c>
      <c r="F171" s="1044">
        <v>902</v>
      </c>
      <c r="G171" s="2433">
        <v>68.86</v>
      </c>
    </row>
    <row r="172" spans="2:7">
      <c r="B172" s="1042">
        <v>593780</v>
      </c>
      <c r="C172" s="1043" t="s">
        <v>273</v>
      </c>
      <c r="D172" s="1045" t="s">
        <v>1481</v>
      </c>
      <c r="E172" s="2023">
        <f t="shared" si="2"/>
        <v>7.5263967196309581E-2</v>
      </c>
      <c r="F172" s="1044">
        <v>975.5</v>
      </c>
      <c r="G172" s="2433">
        <v>73.42</v>
      </c>
    </row>
    <row r="173" spans="2:7">
      <c r="B173" s="1042">
        <v>229000</v>
      </c>
      <c r="C173" s="1043" t="s">
        <v>273</v>
      </c>
      <c r="D173" s="1045" t="s">
        <v>1614</v>
      </c>
      <c r="E173" s="2023">
        <f t="shared" si="2"/>
        <v>7.6339013998782707E-2</v>
      </c>
      <c r="F173" s="1044">
        <v>3286</v>
      </c>
      <c r="G173" s="2433">
        <v>250.85</v>
      </c>
    </row>
    <row r="174" spans="2:7">
      <c r="B174" s="1042">
        <v>21003373</v>
      </c>
      <c r="C174" s="1043" t="s">
        <v>273</v>
      </c>
      <c r="D174" s="1045" t="s">
        <v>1614</v>
      </c>
      <c r="E174" s="2023">
        <f t="shared" si="2"/>
        <v>7.6341463414634145E-2</v>
      </c>
      <c r="F174" s="1044">
        <v>3280</v>
      </c>
      <c r="G174" s="2433">
        <v>250.4</v>
      </c>
    </row>
    <row r="175" spans="2:7">
      <c r="B175" s="1042">
        <v>21030001</v>
      </c>
      <c r="C175" s="1043" t="s">
        <v>273</v>
      </c>
      <c r="D175" s="1045" t="s">
        <v>1481</v>
      </c>
      <c r="E175" s="2023">
        <f t="shared" si="2"/>
        <v>7.6339869281045747E-2</v>
      </c>
      <c r="F175" s="1044">
        <v>1262.25</v>
      </c>
      <c r="G175" s="2433">
        <v>96.36</v>
      </c>
    </row>
    <row r="176" spans="2:7">
      <c r="B176" s="1042">
        <v>770304</v>
      </c>
      <c r="C176" s="1043" t="s">
        <v>273</v>
      </c>
      <c r="D176" s="1045" t="s">
        <v>1481</v>
      </c>
      <c r="E176" s="2023">
        <f t="shared" si="2"/>
        <v>7.6342166689551003E-2</v>
      </c>
      <c r="F176" s="1044">
        <v>1820.75</v>
      </c>
      <c r="G176" s="2433">
        <v>139</v>
      </c>
    </row>
    <row r="177" spans="2:7">
      <c r="B177" s="1042">
        <v>21310783</v>
      </c>
      <c r="C177" s="1043" t="s">
        <v>273</v>
      </c>
      <c r="D177" s="1045" t="s">
        <v>1481</v>
      </c>
      <c r="E177" s="2023">
        <f t="shared" si="2"/>
        <v>7.6338939197930139E-2</v>
      </c>
      <c r="F177" s="1044">
        <v>2319</v>
      </c>
      <c r="G177" s="2433">
        <v>177.03</v>
      </c>
    </row>
    <row r="178" spans="2:7">
      <c r="B178" s="1042">
        <v>21446529</v>
      </c>
      <c r="C178" s="1043" t="s">
        <v>273</v>
      </c>
      <c r="D178" s="1045" t="s">
        <v>1614</v>
      </c>
      <c r="E178" s="2023">
        <f t="shared" si="2"/>
        <v>7.6327160493827165E-2</v>
      </c>
      <c r="F178" s="1044">
        <v>324</v>
      </c>
      <c r="G178" s="2433">
        <v>24.73</v>
      </c>
    </row>
    <row r="179" spans="2:7">
      <c r="B179" s="1042">
        <v>21191175</v>
      </c>
      <c r="C179" s="1043" t="s">
        <v>273</v>
      </c>
      <c r="D179" s="1045" t="s">
        <v>1614</v>
      </c>
      <c r="E179" s="2023">
        <f t="shared" si="2"/>
        <v>7.6341463414634145E-2</v>
      </c>
      <c r="F179" s="1044">
        <v>3198</v>
      </c>
      <c r="G179" s="2433">
        <v>244.14</v>
      </c>
    </row>
    <row r="180" spans="2:7">
      <c r="B180" s="1042">
        <v>714416</v>
      </c>
      <c r="C180" s="1043" t="s">
        <v>273</v>
      </c>
      <c r="D180" s="1045" t="s">
        <v>1481</v>
      </c>
      <c r="E180" s="2023">
        <f t="shared" si="2"/>
        <v>7.6338823529411765E-2</v>
      </c>
      <c r="F180" s="1044">
        <v>1062.5</v>
      </c>
      <c r="G180" s="2433">
        <v>81.11</v>
      </c>
    </row>
    <row r="181" spans="2:7">
      <c r="B181" s="1042">
        <v>21346847</v>
      </c>
      <c r="C181" s="1043" t="s">
        <v>273</v>
      </c>
      <c r="D181" s="1045" t="s">
        <v>1614</v>
      </c>
      <c r="E181" s="2023">
        <f t="shared" si="2"/>
        <v>7.6339848675914257E-2</v>
      </c>
      <c r="F181" s="1044">
        <v>3172</v>
      </c>
      <c r="G181" s="2433">
        <v>242.15</v>
      </c>
    </row>
    <row r="182" spans="2:7">
      <c r="B182" s="1042">
        <v>21069188</v>
      </c>
      <c r="C182" s="1043" t="s">
        <v>273</v>
      </c>
      <c r="D182" s="1045" t="s">
        <v>1614</v>
      </c>
      <c r="E182" s="2023">
        <f t="shared" si="2"/>
        <v>7.63386075949367E-2</v>
      </c>
      <c r="F182" s="1044">
        <v>3160</v>
      </c>
      <c r="G182" s="2433">
        <v>241.23</v>
      </c>
    </row>
    <row r="183" spans="2:7">
      <c r="B183" s="1042">
        <v>21460779</v>
      </c>
      <c r="C183" s="1043" t="s">
        <v>273</v>
      </c>
      <c r="D183" s="1045" t="s">
        <v>1481</v>
      </c>
      <c r="E183" s="2023">
        <f t="shared" si="2"/>
        <v>7.6340621403912554E-2</v>
      </c>
      <c r="F183" s="1044">
        <v>434.5</v>
      </c>
      <c r="G183" s="2433">
        <v>33.17</v>
      </c>
    </row>
    <row r="184" spans="2:7">
      <c r="B184" s="1042">
        <v>873383</v>
      </c>
      <c r="C184" s="1043" t="s">
        <v>273</v>
      </c>
      <c r="D184" s="1045" t="s">
        <v>1481</v>
      </c>
      <c r="E184" s="2023">
        <f t="shared" si="2"/>
        <v>7.6341541413495362E-2</v>
      </c>
      <c r="F184" s="1044">
        <v>2345.25</v>
      </c>
      <c r="G184" s="2433">
        <v>179.04</v>
      </c>
    </row>
    <row r="185" spans="2:7">
      <c r="B185" s="1042">
        <v>339917</v>
      </c>
      <c r="C185" s="1043" t="s">
        <v>273</v>
      </c>
      <c r="D185" s="1045" t="s">
        <v>1614</v>
      </c>
      <c r="E185" s="2023">
        <f t="shared" si="2"/>
        <v>7.6339827531140214E-2</v>
      </c>
      <c r="F185" s="1044">
        <v>3131</v>
      </c>
      <c r="G185" s="2433">
        <v>239.02</v>
      </c>
    </row>
    <row r="186" spans="2:7">
      <c r="B186" s="1042">
        <v>21470919</v>
      </c>
      <c r="C186" s="1043" t="s">
        <v>273</v>
      </c>
      <c r="D186" s="1045" t="s">
        <v>1614</v>
      </c>
      <c r="E186" s="2023">
        <f t="shared" si="2"/>
        <v>7.6335616438356166E-2</v>
      </c>
      <c r="F186" s="1044">
        <v>292</v>
      </c>
      <c r="G186" s="2433">
        <v>22.29</v>
      </c>
    </row>
    <row r="187" spans="2:7">
      <c r="B187" s="1042">
        <v>810895</v>
      </c>
      <c r="C187" s="1043" t="s">
        <v>273</v>
      </c>
      <c r="D187" s="1045" t="s">
        <v>1481</v>
      </c>
      <c r="E187" s="2023">
        <f t="shared" si="2"/>
        <v>7.6339386477890639E-2</v>
      </c>
      <c r="F187" s="1044">
        <v>2436.75</v>
      </c>
      <c r="G187" s="2433">
        <v>186.02</v>
      </c>
    </row>
    <row r="188" spans="2:7">
      <c r="B188" s="1042">
        <v>260193</v>
      </c>
      <c r="C188" s="1043" t="s">
        <v>273</v>
      </c>
      <c r="D188" s="1045" t="s">
        <v>1481</v>
      </c>
      <c r="E188" s="2023">
        <f t="shared" si="2"/>
        <v>7.6341156267887816E-2</v>
      </c>
      <c r="F188" s="1044">
        <v>2183.75</v>
      </c>
      <c r="G188" s="2433">
        <v>166.71</v>
      </c>
    </row>
    <row r="189" spans="2:7">
      <c r="B189" s="1042">
        <v>21022457</v>
      </c>
      <c r="C189" s="1043" t="s">
        <v>273</v>
      </c>
      <c r="D189" s="1045" t="s">
        <v>1481</v>
      </c>
      <c r="E189" s="2023">
        <f t="shared" si="2"/>
        <v>7.6339513522707944E-2</v>
      </c>
      <c r="F189" s="1044">
        <v>1469.75</v>
      </c>
      <c r="G189" s="2433">
        <v>112.2</v>
      </c>
    </row>
    <row r="190" spans="2:7">
      <c r="B190" s="1042">
        <v>21467059</v>
      </c>
      <c r="C190" s="1043" t="s">
        <v>273</v>
      </c>
      <c r="D190" s="1045" t="s">
        <v>1481</v>
      </c>
      <c r="E190" s="2023">
        <f t="shared" si="2"/>
        <v>7.6334841628959274E-2</v>
      </c>
      <c r="F190" s="1044">
        <v>663</v>
      </c>
      <c r="G190" s="2433">
        <v>50.61</v>
      </c>
    </row>
    <row r="191" spans="2:7">
      <c r="B191" s="1042">
        <v>751562</v>
      </c>
      <c r="C191" s="1043" t="s">
        <v>273</v>
      </c>
      <c r="D191" s="1045" t="s">
        <v>1481</v>
      </c>
      <c r="E191" s="2023">
        <f t="shared" si="2"/>
        <v>7.6336189310485511E-2</v>
      </c>
      <c r="F191" s="1044">
        <v>1225.5</v>
      </c>
      <c r="G191" s="2433">
        <v>93.55</v>
      </c>
    </row>
    <row r="192" spans="2:7">
      <c r="B192" s="1042">
        <v>21036186</v>
      </c>
      <c r="C192" s="1043" t="s">
        <v>273</v>
      </c>
      <c r="D192" s="1045" t="s">
        <v>1481</v>
      </c>
      <c r="E192" s="2023">
        <f t="shared" si="2"/>
        <v>7.6340043888941889E-2</v>
      </c>
      <c r="F192" s="1044">
        <v>2620.25</v>
      </c>
      <c r="G192" s="2433">
        <v>200.03</v>
      </c>
    </row>
    <row r="193" spans="2:7">
      <c r="B193" s="1042">
        <v>21385534</v>
      </c>
      <c r="C193" s="1043" t="s">
        <v>273</v>
      </c>
      <c r="D193" s="1045" t="s">
        <v>1481</v>
      </c>
      <c r="E193" s="2023">
        <f t="shared" si="2"/>
        <v>7.6339155749636095E-2</v>
      </c>
      <c r="F193" s="1044">
        <v>1374</v>
      </c>
      <c r="G193" s="2433">
        <v>104.89</v>
      </c>
    </row>
    <row r="194" spans="2:7">
      <c r="B194" s="1042">
        <v>21287484</v>
      </c>
      <c r="C194" s="1043" t="s">
        <v>273</v>
      </c>
      <c r="D194" s="1045" t="s">
        <v>1481</v>
      </c>
      <c r="E194" s="2023">
        <f t="shared" si="2"/>
        <v>7.5256343863283268E-2</v>
      </c>
      <c r="F194" s="1044">
        <v>482.75</v>
      </c>
      <c r="G194" s="2433">
        <v>36.33</v>
      </c>
    </row>
    <row r="195" spans="2:7">
      <c r="B195" s="1042">
        <v>21318090</v>
      </c>
      <c r="C195" s="1043" t="s">
        <v>273</v>
      </c>
      <c r="D195" s="1045" t="s">
        <v>1481</v>
      </c>
      <c r="E195" s="2023">
        <f t="shared" si="2"/>
        <v>7.6342219466831993E-2</v>
      </c>
      <c r="F195" s="1044">
        <v>1613</v>
      </c>
      <c r="G195" s="2433">
        <v>123.14</v>
      </c>
    </row>
    <row r="196" spans="2:7">
      <c r="B196" s="1042">
        <v>490149</v>
      </c>
      <c r="C196" s="1043" t="s">
        <v>273</v>
      </c>
      <c r="D196" s="1045" t="s">
        <v>1614</v>
      </c>
      <c r="E196" s="2023">
        <f t="shared" si="2"/>
        <v>7.6340411413404113E-2</v>
      </c>
      <c r="F196" s="1044">
        <v>3014</v>
      </c>
      <c r="G196" s="2433">
        <v>230.09</v>
      </c>
    </row>
    <row r="197" spans="2:7">
      <c r="B197" s="1042">
        <v>21341173</v>
      </c>
      <c r="C197" s="1043" t="s">
        <v>273</v>
      </c>
      <c r="D197" s="1045" t="s">
        <v>1481</v>
      </c>
      <c r="E197" s="2023">
        <f t="shared" ref="E197:E260" si="3">G197/F197</f>
        <v>7.6341019417475731E-2</v>
      </c>
      <c r="F197" s="1044">
        <v>1648</v>
      </c>
      <c r="G197" s="2433">
        <v>125.81</v>
      </c>
    </row>
    <row r="198" spans="2:7">
      <c r="B198" s="1042">
        <v>490467</v>
      </c>
      <c r="C198" s="1043" t="s">
        <v>273</v>
      </c>
      <c r="D198" s="1045" t="s">
        <v>1614</v>
      </c>
      <c r="E198" s="2023">
        <f t="shared" si="3"/>
        <v>7.6340086350049824E-2</v>
      </c>
      <c r="F198" s="1044">
        <v>3011</v>
      </c>
      <c r="G198" s="2433">
        <v>229.86</v>
      </c>
    </row>
    <row r="199" spans="2:7">
      <c r="B199" s="1042">
        <v>21446333</v>
      </c>
      <c r="C199" s="1043" t="s">
        <v>273</v>
      </c>
      <c r="D199" s="1045" t="s">
        <v>1614</v>
      </c>
      <c r="E199" s="2023">
        <f t="shared" si="3"/>
        <v>7.6340288924558589E-2</v>
      </c>
      <c r="F199" s="1044">
        <v>623</v>
      </c>
      <c r="G199" s="2433">
        <v>47.56</v>
      </c>
    </row>
    <row r="200" spans="2:7">
      <c r="B200" s="1042">
        <v>884483</v>
      </c>
      <c r="C200" s="1043" t="s">
        <v>273</v>
      </c>
      <c r="D200" s="1045" t="s">
        <v>1614</v>
      </c>
      <c r="E200" s="2023">
        <f t="shared" si="3"/>
        <v>7.6339165545087476E-2</v>
      </c>
      <c r="F200" s="1044">
        <v>2972</v>
      </c>
      <c r="G200" s="2433">
        <v>226.88</v>
      </c>
    </row>
    <row r="201" spans="2:7">
      <c r="B201" s="1042">
        <v>21467740</v>
      </c>
      <c r="C201" s="1043" t="s">
        <v>273</v>
      </c>
      <c r="D201" s="1045" t="s">
        <v>1481</v>
      </c>
      <c r="E201" s="2023">
        <f t="shared" si="3"/>
        <v>7.6424581005586592E-2</v>
      </c>
      <c r="F201" s="1044">
        <v>44.75</v>
      </c>
      <c r="G201" s="2433">
        <v>3.42</v>
      </c>
    </row>
    <row r="202" spans="2:7">
      <c r="B202" s="1042">
        <v>259965</v>
      </c>
      <c r="C202" s="1043" t="s">
        <v>273</v>
      </c>
      <c r="D202" s="1045" t="s">
        <v>1481</v>
      </c>
      <c r="E202" s="2023">
        <f t="shared" si="3"/>
        <v>7.6338877876411276E-2</v>
      </c>
      <c r="F202" s="1044">
        <v>2900.75</v>
      </c>
      <c r="G202" s="2433">
        <v>221.44</v>
      </c>
    </row>
    <row r="203" spans="2:7">
      <c r="B203" s="1042">
        <v>760023</v>
      </c>
      <c r="C203" s="1043" t="s">
        <v>273</v>
      </c>
      <c r="D203" s="1045" t="s">
        <v>1481</v>
      </c>
      <c r="E203" s="2023">
        <f t="shared" si="3"/>
        <v>7.6339548577036315E-2</v>
      </c>
      <c r="F203" s="1044">
        <v>2038</v>
      </c>
      <c r="G203" s="2433">
        <v>155.58000000000001</v>
      </c>
    </row>
    <row r="204" spans="2:7">
      <c r="B204" s="1042">
        <v>21363229</v>
      </c>
      <c r="C204" s="1043" t="s">
        <v>273</v>
      </c>
      <c r="D204" s="1045" t="s">
        <v>1481</v>
      </c>
      <c r="E204" s="2023">
        <f t="shared" si="3"/>
        <v>7.6344647519582254E-2</v>
      </c>
      <c r="F204" s="1044">
        <v>861.75</v>
      </c>
      <c r="G204" s="2433">
        <v>65.790000000000006</v>
      </c>
    </row>
    <row r="205" spans="2:7">
      <c r="B205" s="1042">
        <v>637381</v>
      </c>
      <c r="C205" s="1043" t="s">
        <v>273</v>
      </c>
      <c r="D205" s="1045" t="s">
        <v>1614</v>
      </c>
      <c r="E205" s="2023">
        <f t="shared" si="3"/>
        <v>7.6341216216216215E-2</v>
      </c>
      <c r="F205" s="1044">
        <v>2960</v>
      </c>
      <c r="G205" s="2433">
        <v>225.97</v>
      </c>
    </row>
    <row r="206" spans="2:7">
      <c r="B206" s="1042">
        <v>705263</v>
      </c>
      <c r="C206" s="1043" t="s">
        <v>273</v>
      </c>
      <c r="D206" s="1045" t="s">
        <v>1481</v>
      </c>
      <c r="E206" s="2023">
        <f t="shared" si="3"/>
        <v>7.6341591987348439E-2</v>
      </c>
      <c r="F206" s="1044">
        <v>948.5</v>
      </c>
      <c r="G206" s="2433">
        <v>72.41</v>
      </c>
    </row>
    <row r="207" spans="2:7">
      <c r="B207" s="1042">
        <v>21312505</v>
      </c>
      <c r="C207" s="1043" t="s">
        <v>273</v>
      </c>
      <c r="D207" s="1045" t="s">
        <v>1481</v>
      </c>
      <c r="E207" s="2023">
        <f t="shared" si="3"/>
        <v>7.6344287949921749E-2</v>
      </c>
      <c r="F207" s="1044">
        <v>798.75</v>
      </c>
      <c r="G207" s="2433">
        <v>60.98</v>
      </c>
    </row>
    <row r="208" spans="2:7">
      <c r="B208" s="1042">
        <v>917298</v>
      </c>
      <c r="C208" s="1043" t="s">
        <v>273</v>
      </c>
      <c r="D208" s="1045" t="s">
        <v>1481</v>
      </c>
      <c r="E208" s="2023">
        <f t="shared" si="3"/>
        <v>7.5255386105059302E-2</v>
      </c>
      <c r="F208" s="1044">
        <v>1032.75</v>
      </c>
      <c r="G208" s="2433">
        <v>77.72</v>
      </c>
    </row>
    <row r="209" spans="2:7">
      <c r="B209" s="1042">
        <v>221512</v>
      </c>
      <c r="C209" s="1043" t="s">
        <v>273</v>
      </c>
      <c r="D209" s="1045" t="s">
        <v>1614</v>
      </c>
      <c r="E209" s="2023">
        <f t="shared" si="3"/>
        <v>7.6341042457714878E-2</v>
      </c>
      <c r="F209" s="1044">
        <v>2897</v>
      </c>
      <c r="G209" s="2433">
        <v>221.16</v>
      </c>
    </row>
    <row r="210" spans="2:7">
      <c r="B210" s="1042">
        <v>603636</v>
      </c>
      <c r="C210" s="1043" t="s">
        <v>273</v>
      </c>
      <c r="D210" s="1045" t="s">
        <v>1614</v>
      </c>
      <c r="E210" s="2023">
        <f t="shared" si="3"/>
        <v>7.6340869565217392E-2</v>
      </c>
      <c r="F210" s="1044">
        <v>2875</v>
      </c>
      <c r="G210" s="2433">
        <v>219.48</v>
      </c>
    </row>
    <row r="211" spans="2:7">
      <c r="B211" s="1042">
        <v>433336</v>
      </c>
      <c r="C211" s="1043" t="s">
        <v>273</v>
      </c>
      <c r="D211" s="1045" t="s">
        <v>1481</v>
      </c>
      <c r="E211" s="2023">
        <f t="shared" si="3"/>
        <v>7.6337741607324511E-2</v>
      </c>
      <c r="F211" s="1044">
        <v>1228.75</v>
      </c>
      <c r="G211" s="2433">
        <v>93.8</v>
      </c>
    </row>
    <row r="212" spans="2:7">
      <c r="B212" s="1042">
        <v>21325245</v>
      </c>
      <c r="C212" s="1043" t="s">
        <v>273</v>
      </c>
      <c r="D212" s="1045" t="s">
        <v>1481</v>
      </c>
      <c r="E212" s="2023">
        <f t="shared" si="3"/>
        <v>7.6342025469981811E-2</v>
      </c>
      <c r="F212" s="1044">
        <v>2061.25</v>
      </c>
      <c r="G212" s="2433">
        <v>157.36000000000001</v>
      </c>
    </row>
    <row r="213" spans="2:7">
      <c r="B213" s="1042">
        <v>21371731</v>
      </c>
      <c r="C213" s="1043" t="s">
        <v>273</v>
      </c>
      <c r="D213" s="1045" t="s">
        <v>1481</v>
      </c>
      <c r="E213" s="2023">
        <f t="shared" si="3"/>
        <v>7.6337165974661988E-2</v>
      </c>
      <c r="F213" s="1044">
        <v>1707.8181818181818</v>
      </c>
      <c r="G213" s="2433">
        <v>130.37</v>
      </c>
    </row>
    <row r="214" spans="2:7">
      <c r="B214" s="1042">
        <v>21352580</v>
      </c>
      <c r="C214" s="1043" t="s">
        <v>273</v>
      </c>
      <c r="D214" s="1045" t="s">
        <v>1481</v>
      </c>
      <c r="E214" s="2023">
        <f t="shared" si="3"/>
        <v>7.6335642802155504E-2</v>
      </c>
      <c r="F214" s="1044">
        <v>649.5</v>
      </c>
      <c r="G214" s="2433">
        <v>49.58</v>
      </c>
    </row>
    <row r="215" spans="2:7">
      <c r="B215" s="1042">
        <v>21467251</v>
      </c>
      <c r="C215" s="1043" t="s">
        <v>273</v>
      </c>
      <c r="D215" s="1045" t="s">
        <v>1481</v>
      </c>
      <c r="E215" s="2023">
        <f t="shared" si="3"/>
        <v>7.6341463414634145E-2</v>
      </c>
      <c r="F215" s="1044">
        <v>1107</v>
      </c>
      <c r="G215" s="2433">
        <v>84.51</v>
      </c>
    </row>
    <row r="216" spans="2:7">
      <c r="B216" s="1042">
        <v>21353424</v>
      </c>
      <c r="C216" s="1043" t="s">
        <v>273</v>
      </c>
      <c r="D216" s="1045" t="s">
        <v>1481</v>
      </c>
      <c r="E216" s="2023">
        <f t="shared" si="3"/>
        <v>7.6340965767399682E-2</v>
      </c>
      <c r="F216" s="1044">
        <v>2205.5</v>
      </c>
      <c r="G216" s="2433">
        <v>168.37</v>
      </c>
    </row>
    <row r="217" spans="2:7">
      <c r="B217" s="1042">
        <v>178444</v>
      </c>
      <c r="C217" s="1043" t="s">
        <v>273</v>
      </c>
      <c r="D217" s="1045" t="s">
        <v>1614</v>
      </c>
      <c r="E217" s="2023">
        <f t="shared" si="3"/>
        <v>7.6340057636887601E-2</v>
      </c>
      <c r="F217" s="1044">
        <v>2776</v>
      </c>
      <c r="G217" s="2433">
        <v>211.92</v>
      </c>
    </row>
    <row r="218" spans="2:7">
      <c r="B218" s="1042">
        <v>21259586</v>
      </c>
      <c r="C218" s="1043" t="s">
        <v>273</v>
      </c>
      <c r="D218" s="1045" t="s">
        <v>1481</v>
      </c>
      <c r="E218" s="2023">
        <f t="shared" si="3"/>
        <v>7.6336933045356367E-2</v>
      </c>
      <c r="F218" s="1044">
        <v>1157.5</v>
      </c>
      <c r="G218" s="2433">
        <v>88.36</v>
      </c>
    </row>
    <row r="219" spans="2:7">
      <c r="B219" s="1042">
        <v>21223991</v>
      </c>
      <c r="C219" s="1043" t="s">
        <v>273</v>
      </c>
      <c r="D219" s="1045" t="s">
        <v>1481</v>
      </c>
      <c r="E219" s="2023">
        <f t="shared" si="3"/>
        <v>7.6341602835257802E-2</v>
      </c>
      <c r="F219" s="1044">
        <v>2186.75</v>
      </c>
      <c r="G219" s="2433">
        <v>166.94</v>
      </c>
    </row>
    <row r="220" spans="2:7">
      <c r="B220" s="1042">
        <v>21387977</v>
      </c>
      <c r="C220" s="1043" t="s">
        <v>273</v>
      </c>
      <c r="D220" s="1045" t="s">
        <v>1614</v>
      </c>
      <c r="E220" s="2023">
        <f t="shared" si="3"/>
        <v>7.6338283230713511E-2</v>
      </c>
      <c r="F220" s="1044">
        <v>2761</v>
      </c>
      <c r="G220" s="2433">
        <v>210.77</v>
      </c>
    </row>
    <row r="221" spans="2:7">
      <c r="B221" s="1042">
        <v>21142503</v>
      </c>
      <c r="C221" s="1043" t="s">
        <v>273</v>
      </c>
      <c r="D221" s="1045" t="s">
        <v>1481</v>
      </c>
      <c r="E221" s="2023">
        <f t="shared" si="3"/>
        <v>7.6338851022395321E-2</v>
      </c>
      <c r="F221" s="1044">
        <v>770.25</v>
      </c>
      <c r="G221" s="2433">
        <v>58.8</v>
      </c>
    </row>
    <row r="222" spans="2:7">
      <c r="B222" s="1042">
        <v>273747</v>
      </c>
      <c r="C222" s="1043" t="s">
        <v>273</v>
      </c>
      <c r="D222" s="1045" t="s">
        <v>1481</v>
      </c>
      <c r="E222" s="2023">
        <f t="shared" si="3"/>
        <v>7.6337364535888172E-2</v>
      </c>
      <c r="F222" s="1044">
        <v>1591.75</v>
      </c>
      <c r="G222" s="2433">
        <v>121.51</v>
      </c>
    </row>
    <row r="223" spans="2:7">
      <c r="B223" s="1042">
        <v>21155092</v>
      </c>
      <c r="C223" s="1043" t="s">
        <v>273</v>
      </c>
      <c r="D223" s="1045" t="s">
        <v>1614</v>
      </c>
      <c r="E223" s="2023">
        <f t="shared" si="3"/>
        <v>7.6340843023255819E-2</v>
      </c>
      <c r="F223" s="1044">
        <v>2752</v>
      </c>
      <c r="G223" s="2433">
        <v>210.09</v>
      </c>
    </row>
    <row r="224" spans="2:7">
      <c r="B224" s="1042">
        <v>814100</v>
      </c>
      <c r="C224" s="1043" t="s">
        <v>273</v>
      </c>
      <c r="D224" s="1045" t="s">
        <v>1614</v>
      </c>
      <c r="E224" s="2023">
        <f t="shared" si="3"/>
        <v>7.6337500000000003E-2</v>
      </c>
      <c r="F224" s="1044">
        <v>1600</v>
      </c>
      <c r="G224" s="2433">
        <v>122.14</v>
      </c>
    </row>
    <row r="225" spans="2:7">
      <c r="B225" s="1042">
        <v>21345405</v>
      </c>
      <c r="C225" s="1043" t="s">
        <v>273</v>
      </c>
      <c r="D225" s="1045" t="s">
        <v>1481</v>
      </c>
      <c r="E225" s="2023">
        <f t="shared" si="3"/>
        <v>7.6340119760479053E-2</v>
      </c>
      <c r="F225" s="1044">
        <v>1043.75</v>
      </c>
      <c r="G225" s="2433">
        <v>79.680000000000007</v>
      </c>
    </row>
    <row r="226" spans="2:7">
      <c r="B226" s="1042">
        <v>21311295</v>
      </c>
      <c r="C226" s="1043" t="s">
        <v>273</v>
      </c>
      <c r="D226" s="1045" t="s">
        <v>1481</v>
      </c>
      <c r="E226" s="2023">
        <f t="shared" si="3"/>
        <v>7.6337089350896684E-2</v>
      </c>
      <c r="F226" s="1044">
        <v>1575.25</v>
      </c>
      <c r="G226" s="2433">
        <v>120.25</v>
      </c>
    </row>
    <row r="227" spans="2:7">
      <c r="B227" s="1042">
        <v>21334504</v>
      </c>
      <c r="C227" s="1043" t="s">
        <v>273</v>
      </c>
      <c r="D227" s="1045" t="s">
        <v>1481</v>
      </c>
      <c r="E227" s="2023">
        <f t="shared" si="3"/>
        <v>7.6343792633015009E-2</v>
      </c>
      <c r="F227" s="1044">
        <v>916.25</v>
      </c>
      <c r="G227" s="2433">
        <v>69.95</v>
      </c>
    </row>
    <row r="228" spans="2:7">
      <c r="B228" s="1042">
        <v>21382144</v>
      </c>
      <c r="C228" s="1043" t="s">
        <v>273</v>
      </c>
      <c r="D228" s="1045" t="s">
        <v>1481</v>
      </c>
      <c r="E228" s="2023">
        <f t="shared" si="3"/>
        <v>7.6340033500837526E-2</v>
      </c>
      <c r="F228" s="1044">
        <v>2388</v>
      </c>
      <c r="G228" s="2433">
        <v>182.3</v>
      </c>
    </row>
    <row r="229" spans="2:7">
      <c r="B229" s="1042">
        <v>185193</v>
      </c>
      <c r="C229" s="1043" t="s">
        <v>273</v>
      </c>
      <c r="D229" s="1045" t="s">
        <v>1481</v>
      </c>
      <c r="E229" s="2023">
        <f t="shared" si="3"/>
        <v>7.6338724168912853E-2</v>
      </c>
      <c r="F229" s="1044">
        <v>2226</v>
      </c>
      <c r="G229" s="2433">
        <v>169.93</v>
      </c>
    </row>
    <row r="230" spans="2:7">
      <c r="B230" s="1042">
        <v>236993</v>
      </c>
      <c r="C230" s="1043" t="s">
        <v>273</v>
      </c>
      <c r="D230" s="1045" t="s">
        <v>1614</v>
      </c>
      <c r="E230" s="2023">
        <f t="shared" si="3"/>
        <v>7.6340925789860403E-2</v>
      </c>
      <c r="F230" s="1044">
        <v>2722</v>
      </c>
      <c r="G230" s="2433">
        <v>207.8</v>
      </c>
    </row>
    <row r="231" spans="2:7">
      <c r="B231" s="1042">
        <v>650188</v>
      </c>
      <c r="C231" s="1043" t="s">
        <v>273</v>
      </c>
      <c r="D231" s="1045" t="s">
        <v>1481</v>
      </c>
      <c r="E231" s="2023">
        <f t="shared" si="3"/>
        <v>7.5262917238225882E-2</v>
      </c>
      <c r="F231" s="1044">
        <v>546.75</v>
      </c>
      <c r="G231" s="2433">
        <v>41.15</v>
      </c>
    </row>
    <row r="232" spans="2:7">
      <c r="B232" s="1042">
        <v>694283</v>
      </c>
      <c r="C232" s="1043" t="s">
        <v>273</v>
      </c>
      <c r="D232" s="1045" t="s">
        <v>1481</v>
      </c>
      <c r="E232" s="2023">
        <f t="shared" si="3"/>
        <v>7.6340365015406489E-2</v>
      </c>
      <c r="F232" s="1044">
        <v>2109.5</v>
      </c>
      <c r="G232" s="2433">
        <v>161.04</v>
      </c>
    </row>
    <row r="233" spans="2:7">
      <c r="B233" s="1042">
        <v>21080277</v>
      </c>
      <c r="C233" s="1043" t="s">
        <v>273</v>
      </c>
      <c r="D233" s="1045" t="s">
        <v>1614</v>
      </c>
      <c r="E233" s="2023">
        <f t="shared" si="3"/>
        <v>7.6338818249813006E-2</v>
      </c>
      <c r="F233" s="1044">
        <v>2674</v>
      </c>
      <c r="G233" s="2433">
        <v>204.13</v>
      </c>
    </row>
    <row r="234" spans="2:7">
      <c r="B234" s="1042">
        <v>21160321</v>
      </c>
      <c r="C234" s="1043" t="s">
        <v>273</v>
      </c>
      <c r="D234" s="1045" t="s">
        <v>1614</v>
      </c>
      <c r="E234" s="2023">
        <f t="shared" si="3"/>
        <v>7.6350364963503656E-2</v>
      </c>
      <c r="F234" s="1044">
        <v>274</v>
      </c>
      <c r="G234" s="2433">
        <v>20.92</v>
      </c>
    </row>
    <row r="235" spans="2:7">
      <c r="B235" s="1042">
        <v>251013</v>
      </c>
      <c r="C235" s="1043" t="s">
        <v>273</v>
      </c>
      <c r="D235" s="1045" t="s">
        <v>1481</v>
      </c>
      <c r="E235" s="2023">
        <f t="shared" si="3"/>
        <v>7.6338132152085639E-2</v>
      </c>
      <c r="F235" s="1044">
        <v>677.25</v>
      </c>
      <c r="G235" s="2433">
        <v>51.7</v>
      </c>
    </row>
    <row r="236" spans="2:7">
      <c r="B236" s="1042">
        <v>21059394</v>
      </c>
      <c r="C236" s="1043" t="s">
        <v>273</v>
      </c>
      <c r="D236" s="1045" t="s">
        <v>1614</v>
      </c>
      <c r="E236" s="2023">
        <f t="shared" si="3"/>
        <v>7.6338880484114982E-2</v>
      </c>
      <c r="F236" s="1044">
        <v>2644</v>
      </c>
      <c r="G236" s="2433">
        <v>201.84</v>
      </c>
    </row>
    <row r="237" spans="2:7">
      <c r="B237" s="1042">
        <v>21341962</v>
      </c>
      <c r="C237" s="1043" t="s">
        <v>273</v>
      </c>
      <c r="D237" s="1045" t="s">
        <v>1481</v>
      </c>
      <c r="E237" s="2023">
        <f t="shared" si="3"/>
        <v>7.6339765267555204E-2</v>
      </c>
      <c r="F237" s="1044">
        <v>1256.75</v>
      </c>
      <c r="G237" s="2433">
        <v>95.94</v>
      </c>
    </row>
    <row r="238" spans="2:7">
      <c r="B238" s="1042">
        <v>21016624</v>
      </c>
      <c r="C238" s="1043" t="s">
        <v>273</v>
      </c>
      <c r="D238" s="1045" t="s">
        <v>1614</v>
      </c>
      <c r="E238" s="2023">
        <f t="shared" si="3"/>
        <v>7.6340621403912554E-2</v>
      </c>
      <c r="F238" s="1044">
        <v>2607</v>
      </c>
      <c r="G238" s="2433">
        <v>199.02</v>
      </c>
    </row>
    <row r="239" spans="2:7">
      <c r="B239" s="1042">
        <v>708673</v>
      </c>
      <c r="C239" s="1043" t="s">
        <v>273</v>
      </c>
      <c r="D239" s="1045" t="s">
        <v>1614</v>
      </c>
      <c r="E239" s="2023">
        <f t="shared" si="3"/>
        <v>7.6340245775729648E-2</v>
      </c>
      <c r="F239" s="1044">
        <v>2604</v>
      </c>
      <c r="G239" s="2433">
        <v>198.79</v>
      </c>
    </row>
    <row r="240" spans="2:7">
      <c r="B240" s="1042">
        <v>21222891</v>
      </c>
      <c r="C240" s="1043" t="s">
        <v>273</v>
      </c>
      <c r="D240" s="1045" t="s">
        <v>1481</v>
      </c>
      <c r="E240" s="2023">
        <f t="shared" si="3"/>
        <v>7.6339510409517281E-2</v>
      </c>
      <c r="F240" s="1044">
        <v>2185.5</v>
      </c>
      <c r="G240" s="2433">
        <v>166.84</v>
      </c>
    </row>
    <row r="241" spans="2:7">
      <c r="B241" s="1042">
        <v>255273</v>
      </c>
      <c r="C241" s="1043" t="s">
        <v>273</v>
      </c>
      <c r="D241" s="1045" t="s">
        <v>1614</v>
      </c>
      <c r="E241" s="2023">
        <f t="shared" si="3"/>
        <v>7.6339768339768341E-2</v>
      </c>
      <c r="F241" s="1044">
        <v>2590</v>
      </c>
      <c r="G241" s="2433">
        <v>197.72</v>
      </c>
    </row>
    <row r="242" spans="2:7">
      <c r="B242" s="1042">
        <v>256156</v>
      </c>
      <c r="C242" s="1043" t="s">
        <v>273</v>
      </c>
      <c r="D242" s="1045" t="s">
        <v>1481</v>
      </c>
      <c r="E242" s="2023">
        <f t="shared" si="3"/>
        <v>7.6338162712943802E-2</v>
      </c>
      <c r="F242" s="1044">
        <v>1570.25</v>
      </c>
      <c r="G242" s="2433">
        <v>119.87</v>
      </c>
    </row>
    <row r="243" spans="2:7">
      <c r="B243" s="1042">
        <v>547599</v>
      </c>
      <c r="C243" s="1043" t="s">
        <v>273</v>
      </c>
      <c r="D243" s="1045" t="s">
        <v>1481</v>
      </c>
      <c r="E243" s="2023">
        <f t="shared" si="3"/>
        <v>7.6342182890855453E-2</v>
      </c>
      <c r="F243" s="1044">
        <v>2203.5</v>
      </c>
      <c r="G243" s="2433">
        <v>168.22</v>
      </c>
    </row>
    <row r="244" spans="2:7">
      <c r="B244" s="1042">
        <v>340630</v>
      </c>
      <c r="C244" s="1043" t="s">
        <v>273</v>
      </c>
      <c r="D244" s="1045" t="s">
        <v>1481</v>
      </c>
      <c r="E244" s="2023">
        <f t="shared" si="3"/>
        <v>7.6343720491029277E-2</v>
      </c>
      <c r="F244" s="1044">
        <v>1323.75</v>
      </c>
      <c r="G244" s="2433">
        <v>101.06</v>
      </c>
    </row>
    <row r="245" spans="2:7">
      <c r="B245" s="1042">
        <v>21116552</v>
      </c>
      <c r="C245" s="1043" t="s">
        <v>273</v>
      </c>
      <c r="D245" s="1045" t="s">
        <v>1481</v>
      </c>
      <c r="E245" s="2023">
        <f t="shared" si="3"/>
        <v>7.6337197877775598E-2</v>
      </c>
      <c r="F245" s="1044">
        <v>1272.25</v>
      </c>
      <c r="G245" s="2433">
        <v>97.12</v>
      </c>
    </row>
    <row r="246" spans="2:7">
      <c r="B246" s="1042">
        <v>21460504</v>
      </c>
      <c r="C246" s="1043" t="s">
        <v>273</v>
      </c>
      <c r="D246" s="1045" t="s">
        <v>1614</v>
      </c>
      <c r="E246" s="2023">
        <f t="shared" si="3"/>
        <v>7.636363636363637E-2</v>
      </c>
      <c r="F246" s="1044">
        <v>55</v>
      </c>
      <c r="G246" s="2433">
        <v>4.2</v>
      </c>
    </row>
    <row r="247" spans="2:7">
      <c r="B247" s="1042">
        <v>611467</v>
      </c>
      <c r="C247" s="1043" t="s">
        <v>273</v>
      </c>
      <c r="D247" s="1045" t="s">
        <v>1481</v>
      </c>
      <c r="E247" s="2023">
        <f t="shared" si="3"/>
        <v>7.6339928057553963E-2</v>
      </c>
      <c r="F247" s="1044">
        <v>2224</v>
      </c>
      <c r="G247" s="2433">
        <v>169.78</v>
      </c>
    </row>
    <row r="248" spans="2:7">
      <c r="B248" s="1042">
        <v>854386</v>
      </c>
      <c r="C248" s="1043" t="s">
        <v>273</v>
      </c>
      <c r="D248" s="1045" t="s">
        <v>1614</v>
      </c>
      <c r="E248" s="2023">
        <f t="shared" si="3"/>
        <v>7.6340023612750885E-2</v>
      </c>
      <c r="F248" s="1044">
        <v>2541</v>
      </c>
      <c r="G248" s="2433">
        <v>193.98</v>
      </c>
    </row>
    <row r="249" spans="2:7">
      <c r="B249" s="1042">
        <v>561015</v>
      </c>
      <c r="C249" s="1043" t="s">
        <v>273</v>
      </c>
      <c r="D249" s="1045" t="s">
        <v>1481</v>
      </c>
      <c r="E249" s="2023">
        <f t="shared" si="3"/>
        <v>7.633596392333708E-2</v>
      </c>
      <c r="F249" s="1044">
        <v>887</v>
      </c>
      <c r="G249" s="2433">
        <v>67.709999999999994</v>
      </c>
    </row>
    <row r="250" spans="2:7">
      <c r="B250" s="1042">
        <v>252124</v>
      </c>
      <c r="C250" s="1043" t="s">
        <v>273</v>
      </c>
      <c r="D250" s="1045" t="s">
        <v>1481</v>
      </c>
      <c r="E250" s="2023">
        <f t="shared" si="3"/>
        <v>7.6338412554014107E-2</v>
      </c>
      <c r="F250" s="1044">
        <v>2198.5</v>
      </c>
      <c r="G250" s="2433">
        <v>167.83</v>
      </c>
    </row>
    <row r="251" spans="2:7">
      <c r="B251" s="1042">
        <v>21347915</v>
      </c>
      <c r="C251" s="1043" t="s">
        <v>273</v>
      </c>
      <c r="D251" s="1045" t="s">
        <v>1481</v>
      </c>
      <c r="E251" s="2023">
        <f t="shared" si="3"/>
        <v>7.6342927505002309E-2</v>
      </c>
      <c r="F251" s="1044">
        <v>1624.25</v>
      </c>
      <c r="G251" s="2433">
        <v>124</v>
      </c>
    </row>
    <row r="252" spans="2:7">
      <c r="B252" s="1042">
        <v>252150</v>
      </c>
      <c r="C252" s="1043" t="s">
        <v>273</v>
      </c>
      <c r="D252" s="1045" t="s">
        <v>1481</v>
      </c>
      <c r="E252" s="2023">
        <f t="shared" si="3"/>
        <v>7.6343612334801761E-2</v>
      </c>
      <c r="F252" s="1044">
        <v>1362</v>
      </c>
      <c r="G252" s="2433">
        <v>103.98</v>
      </c>
    </row>
    <row r="253" spans="2:7">
      <c r="B253" s="1042">
        <v>21336725</v>
      </c>
      <c r="C253" s="1043" t="s">
        <v>273</v>
      </c>
      <c r="D253" s="1045" t="s">
        <v>1614</v>
      </c>
      <c r="E253" s="2023">
        <f t="shared" si="3"/>
        <v>7.6341072858286618E-2</v>
      </c>
      <c r="F253" s="1044">
        <v>2498</v>
      </c>
      <c r="G253" s="2433">
        <v>190.7</v>
      </c>
    </row>
    <row r="254" spans="2:7">
      <c r="B254" s="1042">
        <v>21461763</v>
      </c>
      <c r="C254" s="1043" t="s">
        <v>273</v>
      </c>
      <c r="D254" s="1045" t="s">
        <v>1614</v>
      </c>
      <c r="E254" s="2023">
        <f t="shared" si="3"/>
        <v>7.6315789473684198E-2</v>
      </c>
      <c r="F254" s="1044">
        <v>57</v>
      </c>
      <c r="G254" s="2433">
        <v>4.3499999999999996</v>
      </c>
    </row>
    <row r="255" spans="2:7">
      <c r="B255" s="1042">
        <v>895715</v>
      </c>
      <c r="C255" s="1043" t="s">
        <v>273</v>
      </c>
      <c r="D255" s="1045" t="s">
        <v>1614</v>
      </c>
      <c r="E255" s="2023">
        <f t="shared" si="3"/>
        <v>7.6339501206757851E-2</v>
      </c>
      <c r="F255" s="1044">
        <v>2486</v>
      </c>
      <c r="G255" s="2433">
        <v>189.78</v>
      </c>
    </row>
    <row r="256" spans="2:7">
      <c r="B256" s="1042">
        <v>252619</v>
      </c>
      <c r="C256" s="1043" t="s">
        <v>273</v>
      </c>
      <c r="D256" s="1045" t="s">
        <v>1614</v>
      </c>
      <c r="E256" s="2023">
        <f t="shared" si="3"/>
        <v>7.6339105920257763E-2</v>
      </c>
      <c r="F256" s="1044">
        <v>2483</v>
      </c>
      <c r="G256" s="2433">
        <v>189.55</v>
      </c>
    </row>
    <row r="257" spans="2:7">
      <c r="B257" s="1042">
        <v>21292239</v>
      </c>
      <c r="C257" s="1043" t="s">
        <v>273</v>
      </c>
      <c r="D257" s="1045" t="s">
        <v>1614</v>
      </c>
      <c r="E257" s="2023">
        <f t="shared" si="3"/>
        <v>7.6339683826509935E-2</v>
      </c>
      <c r="F257" s="1044">
        <v>2467</v>
      </c>
      <c r="G257" s="2433">
        <v>188.33</v>
      </c>
    </row>
    <row r="258" spans="2:7">
      <c r="B258" s="1042">
        <v>255363</v>
      </c>
      <c r="C258" s="1043" t="s">
        <v>273</v>
      </c>
      <c r="D258" s="1045" t="s">
        <v>1481</v>
      </c>
      <c r="E258" s="2023">
        <f t="shared" si="3"/>
        <v>7.6339434276206333E-2</v>
      </c>
      <c r="F258" s="1044">
        <v>1051.75</v>
      </c>
      <c r="G258" s="2433">
        <v>80.290000000000006</v>
      </c>
    </row>
    <row r="259" spans="2:7">
      <c r="B259" s="1042">
        <v>551033</v>
      </c>
      <c r="C259" s="1043" t="s">
        <v>273</v>
      </c>
      <c r="D259" s="1045" t="s">
        <v>1481</v>
      </c>
      <c r="E259" s="2023">
        <f t="shared" si="3"/>
        <v>7.6340917128374403E-2</v>
      </c>
      <c r="F259" s="1044">
        <v>2120.75</v>
      </c>
      <c r="G259" s="2433">
        <v>161.9</v>
      </c>
    </row>
    <row r="260" spans="2:7">
      <c r="B260" s="1042">
        <v>21328888</v>
      </c>
      <c r="C260" s="1043" t="s">
        <v>273</v>
      </c>
      <c r="D260" s="1045" t="s">
        <v>1481</v>
      </c>
      <c r="E260" s="2023">
        <f t="shared" si="3"/>
        <v>7.6341772151898732E-2</v>
      </c>
      <c r="F260" s="1044">
        <v>1580</v>
      </c>
      <c r="G260" s="2433">
        <v>120.62</v>
      </c>
    </row>
    <row r="261" spans="2:7">
      <c r="B261" s="1042">
        <v>649673</v>
      </c>
      <c r="C261" s="1043" t="s">
        <v>273</v>
      </c>
      <c r="D261" s="1045" t="s">
        <v>1614</v>
      </c>
      <c r="E261" s="2023">
        <f t="shared" ref="E261:E324" si="4">G261/F261</f>
        <v>7.6339468302658489E-2</v>
      </c>
      <c r="F261" s="1044">
        <v>1467</v>
      </c>
      <c r="G261" s="2433">
        <v>111.99</v>
      </c>
    </row>
    <row r="262" spans="2:7">
      <c r="B262" s="1042">
        <v>626898</v>
      </c>
      <c r="C262" s="1043" t="s">
        <v>273</v>
      </c>
      <c r="D262" s="1045" t="s">
        <v>1481</v>
      </c>
      <c r="E262" s="2023">
        <f t="shared" si="4"/>
        <v>7.6340050961315728E-2</v>
      </c>
      <c r="F262" s="1044">
        <v>2158.5</v>
      </c>
      <c r="G262" s="2433">
        <v>164.78</v>
      </c>
    </row>
    <row r="263" spans="2:7">
      <c r="B263" s="1042">
        <v>499321</v>
      </c>
      <c r="C263" s="1043" t="s">
        <v>273</v>
      </c>
      <c r="D263" s="1045" t="s">
        <v>1614</v>
      </c>
      <c r="E263" s="2023">
        <f t="shared" si="4"/>
        <v>7.6341563786008232E-2</v>
      </c>
      <c r="F263" s="1044">
        <v>2430</v>
      </c>
      <c r="G263" s="2433">
        <v>185.51</v>
      </c>
    </row>
    <row r="264" spans="2:7">
      <c r="B264" s="1042">
        <v>21245741</v>
      </c>
      <c r="C264" s="1043" t="s">
        <v>273</v>
      </c>
      <c r="D264" s="1045" t="s">
        <v>1481</v>
      </c>
      <c r="E264" s="2023">
        <f t="shared" si="4"/>
        <v>7.6341716898773643E-2</v>
      </c>
      <c r="F264" s="1044">
        <v>1202.75</v>
      </c>
      <c r="G264" s="2433">
        <v>91.82</v>
      </c>
    </row>
    <row r="265" spans="2:7">
      <c r="B265" s="1042">
        <v>861816</v>
      </c>
      <c r="C265" s="1043" t="s">
        <v>273</v>
      </c>
      <c r="D265" s="1045" t="s">
        <v>1614</v>
      </c>
      <c r="E265" s="2023">
        <f t="shared" si="4"/>
        <v>7.6338436077782373E-2</v>
      </c>
      <c r="F265" s="1044">
        <v>2417</v>
      </c>
      <c r="G265" s="2433">
        <v>184.51</v>
      </c>
    </row>
    <row r="266" spans="2:7">
      <c r="B266" s="1042">
        <v>257720</v>
      </c>
      <c r="C266" s="1043" t="s">
        <v>273</v>
      </c>
      <c r="D266" s="1045" t="s">
        <v>1481</v>
      </c>
      <c r="E266" s="2023">
        <f t="shared" si="4"/>
        <v>7.633807217622246E-2</v>
      </c>
      <c r="F266" s="1044">
        <v>1600.25</v>
      </c>
      <c r="G266" s="2433">
        <v>122.16</v>
      </c>
    </row>
    <row r="267" spans="2:7">
      <c r="B267" s="1042">
        <v>21028814</v>
      </c>
      <c r="C267" s="1043" t="s">
        <v>273</v>
      </c>
      <c r="D267" s="1045" t="s">
        <v>1614</v>
      </c>
      <c r="E267" s="2023">
        <f t="shared" si="4"/>
        <v>7.6338729763387306E-2</v>
      </c>
      <c r="F267" s="1044">
        <v>2409</v>
      </c>
      <c r="G267" s="2433">
        <v>183.9</v>
      </c>
    </row>
    <row r="268" spans="2:7">
      <c r="B268" s="1042">
        <v>249307</v>
      </c>
      <c r="C268" s="1043" t="s">
        <v>273</v>
      </c>
      <c r="D268" s="1045" t="s">
        <v>1481</v>
      </c>
      <c r="E268" s="2023">
        <f t="shared" si="4"/>
        <v>7.5260528194147039E-2</v>
      </c>
      <c r="F268" s="1044">
        <v>1751.25</v>
      </c>
      <c r="G268" s="2433">
        <v>131.80000000000001</v>
      </c>
    </row>
    <row r="269" spans="2:7">
      <c r="B269" s="1042">
        <v>21133225</v>
      </c>
      <c r="C269" s="1043" t="s">
        <v>273</v>
      </c>
      <c r="D269" s="1045" t="s">
        <v>1481</v>
      </c>
      <c r="E269" s="2023">
        <f t="shared" si="4"/>
        <v>7.6338548724898356E-2</v>
      </c>
      <c r="F269" s="1044">
        <v>2029.25</v>
      </c>
      <c r="G269" s="2433">
        <v>154.91</v>
      </c>
    </row>
    <row r="270" spans="2:7">
      <c r="B270" s="1042">
        <v>21176903</v>
      </c>
      <c r="C270" s="1043" t="s">
        <v>273</v>
      </c>
      <c r="D270" s="1045" t="s">
        <v>1481</v>
      </c>
      <c r="E270" s="2023">
        <f t="shared" si="4"/>
        <v>7.5263288009888754E-2</v>
      </c>
      <c r="F270" s="1044">
        <v>1011.25</v>
      </c>
      <c r="G270" s="2433">
        <v>76.11</v>
      </c>
    </row>
    <row r="271" spans="2:7">
      <c r="B271" s="1042">
        <v>272675</v>
      </c>
      <c r="C271" s="1043" t="s">
        <v>273</v>
      </c>
      <c r="D271" s="1045" t="s">
        <v>1481</v>
      </c>
      <c r="E271" s="2023">
        <f t="shared" si="4"/>
        <v>7.634245777518929E-2</v>
      </c>
      <c r="F271" s="1044">
        <v>858.5</v>
      </c>
      <c r="G271" s="2433">
        <v>65.540000000000006</v>
      </c>
    </row>
    <row r="272" spans="2:7">
      <c r="B272" s="1042">
        <v>282720</v>
      </c>
      <c r="C272" s="1043" t="s">
        <v>273</v>
      </c>
      <c r="D272" s="1045" t="s">
        <v>1481</v>
      </c>
      <c r="E272" s="2023">
        <f t="shared" si="4"/>
        <v>7.6338575720091895E-2</v>
      </c>
      <c r="F272" s="1044">
        <v>1414.75</v>
      </c>
      <c r="G272" s="2433">
        <v>108</v>
      </c>
    </row>
    <row r="273" spans="2:7">
      <c r="B273" s="1042">
        <v>21236962</v>
      </c>
      <c r="C273" s="1043" t="s">
        <v>273</v>
      </c>
      <c r="D273" s="1045" t="s">
        <v>1614</v>
      </c>
      <c r="E273" s="2023">
        <f t="shared" si="4"/>
        <v>7.6341151385927508E-2</v>
      </c>
      <c r="F273" s="1044">
        <v>2345</v>
      </c>
      <c r="G273" s="2433">
        <v>179.02</v>
      </c>
    </row>
    <row r="274" spans="2:7">
      <c r="B274" s="1042">
        <v>579628</v>
      </c>
      <c r="C274" s="1043" t="s">
        <v>273</v>
      </c>
      <c r="D274" s="1045" t="s">
        <v>1614</v>
      </c>
      <c r="E274" s="2023">
        <f t="shared" si="4"/>
        <v>7.6339055793991417E-2</v>
      </c>
      <c r="F274" s="1044">
        <v>2330</v>
      </c>
      <c r="G274" s="2433">
        <v>177.87</v>
      </c>
    </row>
    <row r="275" spans="2:7">
      <c r="B275" s="1042">
        <v>493364</v>
      </c>
      <c r="C275" s="1043" t="s">
        <v>273</v>
      </c>
      <c r="D275" s="1045" t="s">
        <v>1614</v>
      </c>
      <c r="E275" s="2023">
        <f t="shared" si="4"/>
        <v>7.6337966985230224E-2</v>
      </c>
      <c r="F275" s="1044">
        <v>2302</v>
      </c>
      <c r="G275" s="2433">
        <v>175.73</v>
      </c>
    </row>
    <row r="276" spans="2:7">
      <c r="B276" s="1042">
        <v>21418964</v>
      </c>
      <c r="C276" s="1043" t="s">
        <v>273</v>
      </c>
      <c r="D276" s="1045" t="s">
        <v>1481</v>
      </c>
      <c r="E276" s="2023">
        <f t="shared" si="4"/>
        <v>7.6342919153553998E-2</v>
      </c>
      <c r="F276" s="1044">
        <v>1105.8</v>
      </c>
      <c r="G276" s="2433">
        <v>84.42</v>
      </c>
    </row>
    <row r="277" spans="2:7">
      <c r="B277" s="1042">
        <v>21315566</v>
      </c>
      <c r="C277" s="1043" t="s">
        <v>273</v>
      </c>
      <c r="D277" s="1045" t="s">
        <v>1481</v>
      </c>
      <c r="E277" s="2023">
        <f t="shared" si="4"/>
        <v>7.6343513014962089E-2</v>
      </c>
      <c r="F277" s="1044">
        <v>1219.75</v>
      </c>
      <c r="G277" s="2433">
        <v>93.12</v>
      </c>
    </row>
    <row r="278" spans="2:7">
      <c r="B278" s="1042">
        <v>21214203</v>
      </c>
      <c r="C278" s="1043" t="s">
        <v>273</v>
      </c>
      <c r="D278" s="1045" t="s">
        <v>1481</v>
      </c>
      <c r="E278" s="2023">
        <f t="shared" si="4"/>
        <v>7.6339965610415131E-2</v>
      </c>
      <c r="F278" s="1044">
        <v>2035.5</v>
      </c>
      <c r="G278" s="2433">
        <v>155.38999999999999</v>
      </c>
    </row>
    <row r="279" spans="2:7">
      <c r="B279" s="1042">
        <v>21129744</v>
      </c>
      <c r="C279" s="1043" t="s">
        <v>273</v>
      </c>
      <c r="D279" s="1045" t="s">
        <v>1481</v>
      </c>
      <c r="E279" s="2023">
        <f t="shared" si="4"/>
        <v>7.5262406849532268E-2</v>
      </c>
      <c r="F279" s="1044">
        <v>1576.75</v>
      </c>
      <c r="G279" s="2433">
        <v>118.67</v>
      </c>
    </row>
    <row r="280" spans="2:7">
      <c r="B280" s="1042">
        <v>21295107</v>
      </c>
      <c r="C280" s="1043" t="s">
        <v>273</v>
      </c>
      <c r="D280" s="1045" t="s">
        <v>1481</v>
      </c>
      <c r="E280" s="2023">
        <f t="shared" si="4"/>
        <v>7.6339772164437839E-2</v>
      </c>
      <c r="F280" s="1044">
        <v>2019</v>
      </c>
      <c r="G280" s="2433">
        <v>154.13</v>
      </c>
    </row>
    <row r="281" spans="2:7">
      <c r="B281" s="1042">
        <v>21201002</v>
      </c>
      <c r="C281" s="1043" t="s">
        <v>273</v>
      </c>
      <c r="D281" s="1045" t="s">
        <v>1614</v>
      </c>
      <c r="E281" s="2023">
        <f t="shared" si="4"/>
        <v>7.6337903582485628E-2</v>
      </c>
      <c r="F281" s="1044">
        <v>2261</v>
      </c>
      <c r="G281" s="2433">
        <v>172.6</v>
      </c>
    </row>
    <row r="282" spans="2:7">
      <c r="B282" s="1042">
        <v>21389115</v>
      </c>
      <c r="C282" s="1043" t="s">
        <v>273</v>
      </c>
      <c r="D282" s="1045" t="s">
        <v>1481</v>
      </c>
      <c r="E282" s="2023">
        <f t="shared" si="4"/>
        <v>7.6342082980524986E-2</v>
      </c>
      <c r="F282" s="1044">
        <v>2066.75</v>
      </c>
      <c r="G282" s="2433">
        <v>157.78</v>
      </c>
    </row>
    <row r="283" spans="2:7">
      <c r="B283" s="1042">
        <v>21076317</v>
      </c>
      <c r="C283" s="1043" t="s">
        <v>273</v>
      </c>
      <c r="D283" s="1045" t="s">
        <v>1614</v>
      </c>
      <c r="E283" s="2023">
        <f t="shared" si="4"/>
        <v>7.6338846669646854E-2</v>
      </c>
      <c r="F283" s="1044">
        <v>2237</v>
      </c>
      <c r="G283" s="2433">
        <v>170.77</v>
      </c>
    </row>
    <row r="284" spans="2:7">
      <c r="B284" s="1042">
        <v>21442440</v>
      </c>
      <c r="C284" s="1043" t="s">
        <v>273</v>
      </c>
      <c r="D284" s="1045" t="s">
        <v>1481</v>
      </c>
      <c r="E284" s="2023">
        <f t="shared" si="4"/>
        <v>7.5250387196695911E-2</v>
      </c>
      <c r="F284" s="1044">
        <v>484.25</v>
      </c>
      <c r="G284" s="2433">
        <v>36.44</v>
      </c>
    </row>
    <row r="285" spans="2:7">
      <c r="B285" s="1042">
        <v>21222668</v>
      </c>
      <c r="C285" s="1043" t="s">
        <v>273</v>
      </c>
      <c r="D285" s="1045" t="s">
        <v>1481</v>
      </c>
      <c r="E285" s="2023">
        <f t="shared" si="4"/>
        <v>7.6345314074571721E-2</v>
      </c>
      <c r="F285" s="1044">
        <v>744.25</v>
      </c>
      <c r="G285" s="2433">
        <v>56.82</v>
      </c>
    </row>
    <row r="286" spans="2:7">
      <c r="B286" s="1042">
        <v>21022209</v>
      </c>
      <c r="C286" s="1043" t="s">
        <v>273</v>
      </c>
      <c r="D286" s="1045" t="s">
        <v>1481</v>
      </c>
      <c r="E286" s="2023">
        <f t="shared" si="4"/>
        <v>7.6337699390481129E-2</v>
      </c>
      <c r="F286" s="1044">
        <v>1927.75</v>
      </c>
      <c r="G286" s="2433">
        <v>147.16</v>
      </c>
    </row>
    <row r="287" spans="2:7">
      <c r="B287" s="1042">
        <v>21215442</v>
      </c>
      <c r="C287" s="1043" t="s">
        <v>273</v>
      </c>
      <c r="D287" s="1045" t="s">
        <v>1614</v>
      </c>
      <c r="E287" s="2023">
        <f t="shared" si="4"/>
        <v>7.6338028169014083E-2</v>
      </c>
      <c r="F287" s="1044">
        <v>2201</v>
      </c>
      <c r="G287" s="2433">
        <v>168.02</v>
      </c>
    </row>
    <row r="288" spans="2:7">
      <c r="B288" s="1042">
        <v>790291</v>
      </c>
      <c r="C288" s="1043" t="s">
        <v>273</v>
      </c>
      <c r="D288" s="1045" t="s">
        <v>1614</v>
      </c>
      <c r="E288" s="2023">
        <f t="shared" si="4"/>
        <v>7.6338998621956825E-2</v>
      </c>
      <c r="F288" s="1044">
        <v>2177</v>
      </c>
      <c r="G288" s="2433">
        <v>166.19</v>
      </c>
    </row>
    <row r="289" spans="2:7">
      <c r="B289" s="1042">
        <v>778631</v>
      </c>
      <c r="C289" s="1043" t="s">
        <v>273</v>
      </c>
      <c r="D289" s="1045" t="s">
        <v>1614</v>
      </c>
      <c r="E289" s="2023">
        <f t="shared" si="4"/>
        <v>7.6340229885057467E-2</v>
      </c>
      <c r="F289" s="1044">
        <v>2175</v>
      </c>
      <c r="G289" s="2433">
        <v>166.04</v>
      </c>
    </row>
    <row r="290" spans="2:7">
      <c r="B290" s="1042">
        <v>850201</v>
      </c>
      <c r="C290" s="1043" t="s">
        <v>273</v>
      </c>
      <c r="D290" s="1045" t="s">
        <v>1481</v>
      </c>
      <c r="E290" s="2023">
        <f t="shared" si="4"/>
        <v>7.6337993920972638E-2</v>
      </c>
      <c r="F290" s="1044">
        <v>2056.25</v>
      </c>
      <c r="G290" s="2433">
        <v>156.97</v>
      </c>
    </row>
    <row r="291" spans="2:7">
      <c r="B291" s="1042">
        <v>21456705</v>
      </c>
      <c r="C291" s="1043" t="s">
        <v>273</v>
      </c>
      <c r="D291" s="1045" t="s">
        <v>1614</v>
      </c>
      <c r="E291" s="2023">
        <f t="shared" si="4"/>
        <v>7.6343001261034049E-2</v>
      </c>
      <c r="F291" s="1044">
        <v>793</v>
      </c>
      <c r="G291" s="2433">
        <v>60.54</v>
      </c>
    </row>
    <row r="292" spans="2:7">
      <c r="B292" s="1042">
        <v>21402988</v>
      </c>
      <c r="C292" s="1043" t="s">
        <v>273</v>
      </c>
      <c r="D292" s="1045" t="s">
        <v>1481</v>
      </c>
      <c r="E292" s="2023">
        <f t="shared" si="4"/>
        <v>7.6336862106406084E-2</v>
      </c>
      <c r="F292" s="1044">
        <v>1052.5714285714284</v>
      </c>
      <c r="G292" s="2433">
        <v>80.349999999999994</v>
      </c>
    </row>
    <row r="293" spans="2:7">
      <c r="B293" s="1042">
        <v>894786</v>
      </c>
      <c r="C293" s="1043" t="s">
        <v>273</v>
      </c>
      <c r="D293" s="1045" t="s">
        <v>1481</v>
      </c>
      <c r="E293" s="2023">
        <f t="shared" si="4"/>
        <v>7.6337648327939586E-2</v>
      </c>
      <c r="F293" s="1044">
        <v>1854</v>
      </c>
      <c r="G293" s="2433">
        <v>141.53</v>
      </c>
    </row>
    <row r="294" spans="2:7">
      <c r="B294" s="1042">
        <v>277330</v>
      </c>
      <c r="C294" s="1043" t="s">
        <v>273</v>
      </c>
      <c r="D294" s="1045" t="s">
        <v>1614</v>
      </c>
      <c r="E294" s="2023">
        <f t="shared" si="4"/>
        <v>7.6340768865685804E-2</v>
      </c>
      <c r="F294" s="1044">
        <v>2107</v>
      </c>
      <c r="G294" s="2433">
        <v>160.85</v>
      </c>
    </row>
    <row r="295" spans="2:7">
      <c r="B295" s="1042">
        <v>310345</v>
      </c>
      <c r="C295" s="1043" t="s">
        <v>273</v>
      </c>
      <c r="D295" s="1045" t="s">
        <v>1614</v>
      </c>
      <c r="E295" s="2023">
        <f t="shared" si="4"/>
        <v>7.6337824831568812E-2</v>
      </c>
      <c r="F295" s="1044">
        <v>2078</v>
      </c>
      <c r="G295" s="2433">
        <v>158.63</v>
      </c>
    </row>
    <row r="296" spans="2:7">
      <c r="B296" s="1042">
        <v>21332959</v>
      </c>
      <c r="C296" s="1043" t="s">
        <v>273</v>
      </c>
      <c r="D296" s="1045" t="s">
        <v>1614</v>
      </c>
      <c r="E296" s="2023">
        <f t="shared" si="4"/>
        <v>7.6338164251207735E-2</v>
      </c>
      <c r="F296" s="1044">
        <v>2070</v>
      </c>
      <c r="G296" s="2433">
        <v>158.02000000000001</v>
      </c>
    </row>
    <row r="297" spans="2:7">
      <c r="B297" s="1042">
        <v>226955</v>
      </c>
      <c r="C297" s="1043" t="s">
        <v>273</v>
      </c>
      <c r="D297" s="1045" t="s">
        <v>1614</v>
      </c>
      <c r="E297" s="2023">
        <f t="shared" si="4"/>
        <v>7.6338506304558684E-2</v>
      </c>
      <c r="F297" s="1044">
        <v>2062</v>
      </c>
      <c r="G297" s="2433">
        <v>157.41</v>
      </c>
    </row>
    <row r="298" spans="2:7">
      <c r="B298" s="1042">
        <v>257086</v>
      </c>
      <c r="C298" s="1043" t="s">
        <v>273</v>
      </c>
      <c r="D298" s="1045" t="s">
        <v>1614</v>
      </c>
      <c r="E298" s="2023">
        <f t="shared" si="4"/>
        <v>7.6341581756428925E-2</v>
      </c>
      <c r="F298" s="1044">
        <v>2061</v>
      </c>
      <c r="G298" s="2433">
        <v>157.34</v>
      </c>
    </row>
    <row r="299" spans="2:7">
      <c r="B299" s="1042">
        <v>693101</v>
      </c>
      <c r="C299" s="1043" t="s">
        <v>273</v>
      </c>
      <c r="D299" s="1045" t="s">
        <v>1614</v>
      </c>
      <c r="E299" s="2023">
        <f t="shared" si="4"/>
        <v>7.6339805825242718E-2</v>
      </c>
      <c r="F299" s="1044">
        <v>2060</v>
      </c>
      <c r="G299" s="2433">
        <v>157.26</v>
      </c>
    </row>
    <row r="300" spans="2:7">
      <c r="B300" s="1042">
        <v>708655</v>
      </c>
      <c r="C300" s="1043" t="s">
        <v>273</v>
      </c>
      <c r="D300" s="1045" t="s">
        <v>1614</v>
      </c>
      <c r="E300" s="2023">
        <f t="shared" si="4"/>
        <v>7.6341107871720118E-2</v>
      </c>
      <c r="F300" s="1044">
        <v>2058</v>
      </c>
      <c r="G300" s="2433">
        <v>157.11000000000001</v>
      </c>
    </row>
    <row r="301" spans="2:7">
      <c r="B301" s="1042">
        <v>772517</v>
      </c>
      <c r="C301" s="1043" t="s">
        <v>273</v>
      </c>
      <c r="D301" s="1045" t="s">
        <v>1614</v>
      </c>
      <c r="E301" s="2023">
        <f t="shared" si="4"/>
        <v>7.6337890625000002E-2</v>
      </c>
      <c r="F301" s="1044">
        <v>2048</v>
      </c>
      <c r="G301" s="2433">
        <v>156.34</v>
      </c>
    </row>
    <row r="302" spans="2:7">
      <c r="B302" s="1042">
        <v>21369193</v>
      </c>
      <c r="C302" s="1043" t="s">
        <v>274</v>
      </c>
      <c r="D302" s="1045" t="s">
        <v>1614</v>
      </c>
      <c r="E302" s="2023">
        <f t="shared" si="4"/>
        <v>7.6340029397354237E-2</v>
      </c>
      <c r="F302" s="1044">
        <v>2041</v>
      </c>
      <c r="G302" s="2433">
        <v>155.81</v>
      </c>
    </row>
    <row r="303" spans="2:7">
      <c r="B303" s="1042">
        <v>21439084</v>
      </c>
      <c r="C303" s="1043" t="s">
        <v>273</v>
      </c>
      <c r="D303" s="1045" t="s">
        <v>1481</v>
      </c>
      <c r="E303" s="2023">
        <f t="shared" si="4"/>
        <v>7.6343310494049757E-2</v>
      </c>
      <c r="F303" s="1044">
        <v>1386.5</v>
      </c>
      <c r="G303" s="2433">
        <v>105.85</v>
      </c>
    </row>
    <row r="304" spans="2:7">
      <c r="B304" s="1042">
        <v>21327519</v>
      </c>
      <c r="C304" s="1043" t="s">
        <v>273</v>
      </c>
      <c r="D304" s="1045" t="s">
        <v>1614</v>
      </c>
      <c r="E304" s="2023">
        <f t="shared" si="4"/>
        <v>7.6338235294117637E-2</v>
      </c>
      <c r="F304" s="1044">
        <v>2040</v>
      </c>
      <c r="G304" s="2433">
        <v>155.72999999999999</v>
      </c>
    </row>
    <row r="305" spans="2:7">
      <c r="B305" s="1042">
        <v>507672</v>
      </c>
      <c r="C305" s="1043" t="s">
        <v>273</v>
      </c>
      <c r="D305" s="1045" t="s">
        <v>1481</v>
      </c>
      <c r="E305" s="2023">
        <f t="shared" si="4"/>
        <v>7.6337883080092719E-2</v>
      </c>
      <c r="F305" s="1044">
        <v>1941.5</v>
      </c>
      <c r="G305" s="2433">
        <v>148.21</v>
      </c>
    </row>
    <row r="306" spans="2:7">
      <c r="B306" s="1042">
        <v>782545</v>
      </c>
      <c r="C306" s="1043" t="s">
        <v>273</v>
      </c>
      <c r="D306" s="1045" t="s">
        <v>1481</v>
      </c>
      <c r="E306" s="2023">
        <f t="shared" si="4"/>
        <v>7.6338892595063365E-2</v>
      </c>
      <c r="F306" s="1044">
        <v>1873.75</v>
      </c>
      <c r="G306" s="2433">
        <v>143.04</v>
      </c>
    </row>
    <row r="307" spans="2:7">
      <c r="B307" s="1042">
        <v>21057872</v>
      </c>
      <c r="C307" s="1043" t="s">
        <v>273</v>
      </c>
      <c r="D307" s="1045" t="s">
        <v>1614</v>
      </c>
      <c r="E307" s="2023">
        <f t="shared" si="4"/>
        <v>7.6338797814207646E-2</v>
      </c>
      <c r="F307" s="1044">
        <v>2013</v>
      </c>
      <c r="G307" s="2433">
        <v>153.66999999999999</v>
      </c>
    </row>
    <row r="308" spans="2:7">
      <c r="B308" s="1042">
        <v>242314</v>
      </c>
      <c r="C308" s="1043" t="s">
        <v>273</v>
      </c>
      <c r="D308" s="1045" t="s">
        <v>1481</v>
      </c>
      <c r="E308" s="2023">
        <f t="shared" si="4"/>
        <v>7.6341066942515148E-2</v>
      </c>
      <c r="F308" s="1044">
        <v>1691.75</v>
      </c>
      <c r="G308" s="2433">
        <v>129.15</v>
      </c>
    </row>
    <row r="309" spans="2:7">
      <c r="B309" s="1042">
        <v>255608</v>
      </c>
      <c r="C309" s="1043" t="s">
        <v>273</v>
      </c>
      <c r="D309" s="1045" t="s">
        <v>1614</v>
      </c>
      <c r="E309" s="2023">
        <f t="shared" si="4"/>
        <v>7.6340489266100847E-2</v>
      </c>
      <c r="F309" s="1044">
        <v>2003</v>
      </c>
      <c r="G309" s="2433">
        <v>152.91</v>
      </c>
    </row>
    <row r="310" spans="2:7">
      <c r="B310" s="1042">
        <v>666350</v>
      </c>
      <c r="C310" s="1043" t="s">
        <v>273</v>
      </c>
      <c r="D310" s="1045" t="s">
        <v>1481</v>
      </c>
      <c r="E310" s="2023">
        <f t="shared" si="4"/>
        <v>7.6333638863428047E-2</v>
      </c>
      <c r="F310" s="1044">
        <v>272.75</v>
      </c>
      <c r="G310" s="2433">
        <v>20.82</v>
      </c>
    </row>
    <row r="311" spans="2:7">
      <c r="B311" s="1042">
        <v>249390</v>
      </c>
      <c r="C311" s="1043" t="s">
        <v>273</v>
      </c>
      <c r="D311" s="1045" t="s">
        <v>1614</v>
      </c>
      <c r="E311" s="2023">
        <f t="shared" si="4"/>
        <v>7.6337675350701406E-2</v>
      </c>
      <c r="F311" s="1044">
        <v>1996</v>
      </c>
      <c r="G311" s="2433">
        <v>152.37</v>
      </c>
    </row>
    <row r="312" spans="2:7">
      <c r="B312" s="1042">
        <v>21375354</v>
      </c>
      <c r="C312" s="1043" t="s">
        <v>273</v>
      </c>
      <c r="D312" s="1045" t="s">
        <v>1614</v>
      </c>
      <c r="E312" s="2023">
        <f t="shared" si="4"/>
        <v>7.6339869281045747E-2</v>
      </c>
      <c r="F312" s="1044">
        <v>1989</v>
      </c>
      <c r="G312" s="2433">
        <v>151.84</v>
      </c>
    </row>
    <row r="313" spans="2:7">
      <c r="B313" s="1042">
        <v>574481</v>
      </c>
      <c r="C313" s="1043" t="s">
        <v>273</v>
      </c>
      <c r="D313" s="1045" t="s">
        <v>1614</v>
      </c>
      <c r="E313" s="2023">
        <f t="shared" si="4"/>
        <v>7.6338383838383844E-2</v>
      </c>
      <c r="F313" s="1044">
        <v>1980</v>
      </c>
      <c r="G313" s="2433">
        <v>151.15</v>
      </c>
    </row>
    <row r="314" spans="2:7">
      <c r="B314" s="1042">
        <v>814476</v>
      </c>
      <c r="C314" s="1043" t="s">
        <v>273</v>
      </c>
      <c r="D314" s="1045" t="s">
        <v>1481</v>
      </c>
      <c r="E314" s="2023">
        <f t="shared" si="4"/>
        <v>7.6339044183949503E-2</v>
      </c>
      <c r="F314" s="1044">
        <v>1109</v>
      </c>
      <c r="G314" s="2433">
        <v>84.66</v>
      </c>
    </row>
    <row r="315" spans="2:7">
      <c r="B315" s="1042">
        <v>21156765</v>
      </c>
      <c r="C315" s="1043" t="s">
        <v>273</v>
      </c>
      <c r="D315" s="1045" t="s">
        <v>1614</v>
      </c>
      <c r="E315" s="2023">
        <f t="shared" si="4"/>
        <v>7.633924050632912E-2</v>
      </c>
      <c r="F315" s="1044">
        <v>1975</v>
      </c>
      <c r="G315" s="2433">
        <v>150.77000000000001</v>
      </c>
    </row>
    <row r="316" spans="2:7">
      <c r="B316" s="1042">
        <v>178410</v>
      </c>
      <c r="C316" s="1043" t="s">
        <v>273</v>
      </c>
      <c r="D316" s="1045" t="s">
        <v>1614</v>
      </c>
      <c r="E316" s="2023">
        <f t="shared" si="4"/>
        <v>7.5258358662613989E-2</v>
      </c>
      <c r="F316" s="1044">
        <v>1974</v>
      </c>
      <c r="G316" s="2433">
        <v>148.56</v>
      </c>
    </row>
    <row r="317" spans="2:7">
      <c r="B317" s="1042">
        <v>21200779</v>
      </c>
      <c r="C317" s="1043" t="s">
        <v>273</v>
      </c>
      <c r="D317" s="1045" t="s">
        <v>1481</v>
      </c>
      <c r="E317" s="2023">
        <f t="shared" si="4"/>
        <v>7.6342392684785376E-2</v>
      </c>
      <c r="F317" s="1044">
        <v>984.25</v>
      </c>
      <c r="G317" s="2433">
        <v>75.14</v>
      </c>
    </row>
    <row r="318" spans="2:7">
      <c r="B318" s="1042">
        <v>21007938</v>
      </c>
      <c r="C318" s="1043" t="s">
        <v>273</v>
      </c>
      <c r="D318" s="1045" t="s">
        <v>1614</v>
      </c>
      <c r="E318" s="2023">
        <f t="shared" si="4"/>
        <v>7.6339468302658489E-2</v>
      </c>
      <c r="F318" s="1044">
        <v>1956</v>
      </c>
      <c r="G318" s="2433">
        <v>149.32</v>
      </c>
    </row>
    <row r="319" spans="2:7">
      <c r="B319" s="1042">
        <v>846348</v>
      </c>
      <c r="C319" s="1043" t="s">
        <v>273</v>
      </c>
      <c r="D319" s="1045" t="s">
        <v>1481</v>
      </c>
      <c r="E319" s="2023">
        <f t="shared" si="4"/>
        <v>7.525996533795494E-2</v>
      </c>
      <c r="F319" s="1044">
        <v>1154</v>
      </c>
      <c r="G319" s="2433">
        <v>86.85</v>
      </c>
    </row>
    <row r="320" spans="2:7">
      <c r="B320" s="1042">
        <v>21070567</v>
      </c>
      <c r="C320" s="1043" t="s">
        <v>273</v>
      </c>
      <c r="D320" s="1045" t="s">
        <v>1614</v>
      </c>
      <c r="E320" s="2023">
        <f t="shared" si="4"/>
        <v>7.6338825952626158E-2</v>
      </c>
      <c r="F320" s="1044">
        <v>1942</v>
      </c>
      <c r="G320" s="2433">
        <v>148.25</v>
      </c>
    </row>
    <row r="321" spans="2:7">
      <c r="B321" s="1042">
        <v>610230</v>
      </c>
      <c r="C321" s="1043" t="s">
        <v>273</v>
      </c>
      <c r="D321" s="1045" t="s">
        <v>1614</v>
      </c>
      <c r="E321" s="2023">
        <f t="shared" si="4"/>
        <v>7.6340956340956334E-2</v>
      </c>
      <c r="F321" s="1044">
        <v>1924</v>
      </c>
      <c r="G321" s="2433">
        <v>146.88</v>
      </c>
    </row>
    <row r="322" spans="2:7">
      <c r="B322" s="1042">
        <v>21443556</v>
      </c>
      <c r="C322" s="1043" t="s">
        <v>273</v>
      </c>
      <c r="D322" s="1045" t="s">
        <v>1614</v>
      </c>
      <c r="E322" s="2023">
        <f t="shared" si="4"/>
        <v>7.6342592592592587E-2</v>
      </c>
      <c r="F322" s="1044">
        <v>864</v>
      </c>
      <c r="G322" s="2433">
        <v>65.959999999999994</v>
      </c>
    </row>
    <row r="323" spans="2:7">
      <c r="B323" s="1042">
        <v>21182745</v>
      </c>
      <c r="C323" s="1043" t="s">
        <v>273</v>
      </c>
      <c r="D323" s="1045" t="s">
        <v>1481</v>
      </c>
      <c r="E323" s="2023">
        <f t="shared" si="4"/>
        <v>7.6334231805929909E-2</v>
      </c>
      <c r="F323" s="1044">
        <v>556.5</v>
      </c>
      <c r="G323" s="2433">
        <v>42.48</v>
      </c>
    </row>
    <row r="324" spans="2:7">
      <c r="B324" s="1042">
        <v>21174020</v>
      </c>
      <c r="C324" s="1043" t="s">
        <v>273</v>
      </c>
      <c r="D324" s="1045" t="s">
        <v>1481</v>
      </c>
      <c r="E324" s="2023">
        <f t="shared" si="4"/>
        <v>7.6336779911373706E-2</v>
      </c>
      <c r="F324" s="1044">
        <v>1354</v>
      </c>
      <c r="G324" s="2433">
        <v>103.36</v>
      </c>
    </row>
    <row r="325" spans="2:7">
      <c r="B325" s="1042">
        <v>228414</v>
      </c>
      <c r="C325" s="1043" t="s">
        <v>273</v>
      </c>
      <c r="D325" s="1045" t="s">
        <v>1481</v>
      </c>
      <c r="E325" s="2023">
        <f t="shared" ref="E325:E388" si="5">G325/F325</f>
        <v>7.6337935568704801E-2</v>
      </c>
      <c r="F325" s="1044">
        <v>1521</v>
      </c>
      <c r="G325" s="2433">
        <v>116.11</v>
      </c>
    </row>
    <row r="326" spans="2:7">
      <c r="B326" s="1042">
        <v>21352303</v>
      </c>
      <c r="C326" s="1043" t="s">
        <v>273</v>
      </c>
      <c r="D326" s="1045" t="s">
        <v>1481</v>
      </c>
      <c r="E326" s="2023">
        <f t="shared" si="5"/>
        <v>7.6339031339031346E-2</v>
      </c>
      <c r="F326" s="1044">
        <v>1404</v>
      </c>
      <c r="G326" s="2433">
        <v>107.18</v>
      </c>
    </row>
    <row r="327" spans="2:7">
      <c r="B327" s="1042">
        <v>21382210</v>
      </c>
      <c r="C327" s="1043" t="s">
        <v>273</v>
      </c>
      <c r="D327" s="1045" t="s">
        <v>1481</v>
      </c>
      <c r="E327" s="2023">
        <f t="shared" si="5"/>
        <v>7.5262642740619903E-2</v>
      </c>
      <c r="F327" s="1044">
        <v>1532.5</v>
      </c>
      <c r="G327" s="2433">
        <v>115.34</v>
      </c>
    </row>
    <row r="328" spans="2:7">
      <c r="B328" s="1042">
        <v>225347</v>
      </c>
      <c r="C328" s="1043" t="s">
        <v>273</v>
      </c>
      <c r="D328" s="1045" t="s">
        <v>1614</v>
      </c>
      <c r="E328" s="2023">
        <f t="shared" si="5"/>
        <v>7.6337426588360915E-2</v>
      </c>
      <c r="F328" s="1044">
        <v>1873</v>
      </c>
      <c r="G328" s="2433">
        <v>142.97999999999999</v>
      </c>
    </row>
    <row r="329" spans="2:7">
      <c r="B329" s="1042">
        <v>498228</v>
      </c>
      <c r="C329" s="1043" t="s">
        <v>273</v>
      </c>
      <c r="D329" s="1045" t="s">
        <v>1614</v>
      </c>
      <c r="E329" s="2023">
        <f t="shared" si="5"/>
        <v>7.6340677055346584E-2</v>
      </c>
      <c r="F329" s="1044">
        <v>1861</v>
      </c>
      <c r="G329" s="2433">
        <v>142.07</v>
      </c>
    </row>
    <row r="330" spans="2:7">
      <c r="B330" s="1042">
        <v>21453399</v>
      </c>
      <c r="C330" s="1043" t="s">
        <v>273</v>
      </c>
      <c r="D330" s="1045" t="s">
        <v>1481</v>
      </c>
      <c r="E330" s="2023">
        <f t="shared" si="5"/>
        <v>7.6333789329685361E-2</v>
      </c>
      <c r="F330" s="1044">
        <v>182.75</v>
      </c>
      <c r="G330" s="2433">
        <v>13.95</v>
      </c>
    </row>
    <row r="331" spans="2:7">
      <c r="B331" s="1042">
        <v>21199807</v>
      </c>
      <c r="C331" s="1043" t="s">
        <v>273</v>
      </c>
      <c r="D331" s="1045" t="s">
        <v>1481</v>
      </c>
      <c r="E331" s="2023">
        <f t="shared" si="5"/>
        <v>7.6344420267329807E-2</v>
      </c>
      <c r="F331" s="1044">
        <v>804.25</v>
      </c>
      <c r="G331" s="2433">
        <v>61.4</v>
      </c>
    </row>
    <row r="332" spans="2:7">
      <c r="B332" s="1042">
        <v>21428189</v>
      </c>
      <c r="C332" s="1043" t="s">
        <v>273</v>
      </c>
      <c r="D332" s="1045" t="s">
        <v>1614</v>
      </c>
      <c r="E332" s="2023">
        <f t="shared" si="5"/>
        <v>7.634199134199135E-2</v>
      </c>
      <c r="F332" s="1044">
        <v>1848</v>
      </c>
      <c r="G332" s="2433">
        <v>141.08000000000001</v>
      </c>
    </row>
    <row r="333" spans="2:7">
      <c r="B333" s="1042">
        <v>629948</v>
      </c>
      <c r="C333" s="1043" t="s">
        <v>273</v>
      </c>
      <c r="D333" s="1045" t="s">
        <v>1481</v>
      </c>
      <c r="E333" s="2023">
        <f t="shared" si="5"/>
        <v>7.6337414053328861E-2</v>
      </c>
      <c r="F333" s="1044">
        <v>1490.75</v>
      </c>
      <c r="G333" s="2433">
        <v>113.8</v>
      </c>
    </row>
    <row r="334" spans="2:7">
      <c r="B334" s="1042">
        <v>21259853</v>
      </c>
      <c r="C334" s="1043" t="s">
        <v>273</v>
      </c>
      <c r="D334" s="1045" t="s">
        <v>1614</v>
      </c>
      <c r="E334" s="2023">
        <f t="shared" si="5"/>
        <v>7.6340262582056895E-2</v>
      </c>
      <c r="F334" s="1044">
        <v>1828</v>
      </c>
      <c r="G334" s="2433">
        <v>139.55000000000001</v>
      </c>
    </row>
    <row r="335" spans="2:7">
      <c r="B335" s="1042">
        <v>21454491</v>
      </c>
      <c r="C335" s="1043" t="s">
        <v>273</v>
      </c>
      <c r="D335" s="1045" t="s">
        <v>1614</v>
      </c>
      <c r="E335" s="2023">
        <f t="shared" si="5"/>
        <v>7.6341107871720118E-2</v>
      </c>
      <c r="F335" s="1044">
        <v>686</v>
      </c>
      <c r="G335" s="2433">
        <v>52.37</v>
      </c>
    </row>
    <row r="336" spans="2:7">
      <c r="B336" s="1042">
        <v>758389</v>
      </c>
      <c r="C336" s="1043" t="s">
        <v>273</v>
      </c>
      <c r="D336" s="1045" t="s">
        <v>1481</v>
      </c>
      <c r="E336" s="2023">
        <f t="shared" si="5"/>
        <v>7.6336665591744596E-2</v>
      </c>
      <c r="F336" s="1044">
        <v>775.25</v>
      </c>
      <c r="G336" s="2433">
        <v>59.18</v>
      </c>
    </row>
    <row r="337" spans="2:7">
      <c r="B337" s="1042">
        <v>21354584</v>
      </c>
      <c r="C337" s="1043" t="s">
        <v>273</v>
      </c>
      <c r="D337" s="1045" t="s">
        <v>1614</v>
      </c>
      <c r="E337" s="2023">
        <f t="shared" si="5"/>
        <v>7.6337402885682581E-2</v>
      </c>
      <c r="F337" s="1044">
        <v>1802</v>
      </c>
      <c r="G337" s="2433">
        <v>137.56</v>
      </c>
    </row>
    <row r="338" spans="2:7">
      <c r="B338" s="1042">
        <v>697230</v>
      </c>
      <c r="C338" s="1043" t="s">
        <v>273</v>
      </c>
      <c r="D338" s="1045" t="s">
        <v>1614</v>
      </c>
      <c r="E338" s="2023">
        <f t="shared" si="5"/>
        <v>7.6341189674522997E-2</v>
      </c>
      <c r="F338" s="1044">
        <v>1782</v>
      </c>
      <c r="G338" s="2433">
        <v>136.04</v>
      </c>
    </row>
    <row r="339" spans="2:7">
      <c r="B339" s="1042">
        <v>197768</v>
      </c>
      <c r="C339" s="1043" t="s">
        <v>273</v>
      </c>
      <c r="D339" s="1045" t="s">
        <v>1481</v>
      </c>
      <c r="E339" s="2023">
        <f t="shared" si="5"/>
        <v>7.6335784313725494E-2</v>
      </c>
      <c r="F339" s="1044">
        <v>816</v>
      </c>
      <c r="G339" s="2433">
        <v>62.29</v>
      </c>
    </row>
    <row r="340" spans="2:7">
      <c r="B340" s="1042">
        <v>21486663</v>
      </c>
      <c r="C340" s="1043" t="s">
        <v>273</v>
      </c>
      <c r="D340" s="1045" t="s">
        <v>1614</v>
      </c>
      <c r="E340" s="2023">
        <f t="shared" si="5"/>
        <v>7.6371681415929205E-2</v>
      </c>
      <c r="F340" s="1044">
        <v>113</v>
      </c>
      <c r="G340" s="2433">
        <v>8.6300000000000008</v>
      </c>
    </row>
    <row r="341" spans="2:7">
      <c r="B341" s="1042">
        <v>253447</v>
      </c>
      <c r="C341" s="1043" t="s">
        <v>273</v>
      </c>
      <c r="D341" s="1045" t="s">
        <v>1481</v>
      </c>
      <c r="E341" s="2023">
        <f t="shared" si="5"/>
        <v>7.6342105263157906E-2</v>
      </c>
      <c r="F341" s="1044">
        <v>1520</v>
      </c>
      <c r="G341" s="2433">
        <v>116.04</v>
      </c>
    </row>
    <row r="342" spans="2:7">
      <c r="B342" s="1042">
        <v>236754</v>
      </c>
      <c r="C342" s="1043" t="s">
        <v>273</v>
      </c>
      <c r="D342" s="1045" t="s">
        <v>1481</v>
      </c>
      <c r="E342" s="2023">
        <f t="shared" si="5"/>
        <v>7.6339483394833943E-2</v>
      </c>
      <c r="F342" s="1044">
        <v>1355</v>
      </c>
      <c r="G342" s="2433">
        <v>103.44</v>
      </c>
    </row>
    <row r="343" spans="2:7">
      <c r="B343" s="1042">
        <v>249492</v>
      </c>
      <c r="C343" s="1043" t="s">
        <v>273</v>
      </c>
      <c r="D343" s="1045" t="s">
        <v>1481</v>
      </c>
      <c r="E343" s="2023">
        <f t="shared" si="5"/>
        <v>7.6342722312343306E-2</v>
      </c>
      <c r="F343" s="1044">
        <v>1695.25</v>
      </c>
      <c r="G343" s="2433">
        <v>129.41999999999999</v>
      </c>
    </row>
    <row r="344" spans="2:7">
      <c r="B344" s="1042">
        <v>21435372</v>
      </c>
      <c r="C344" s="1043" t="s">
        <v>273</v>
      </c>
      <c r="D344" s="1045" t="s">
        <v>1614</v>
      </c>
      <c r="E344" s="2023">
        <f t="shared" si="5"/>
        <v>7.6342119419042495E-2</v>
      </c>
      <c r="F344" s="1044">
        <v>1859</v>
      </c>
      <c r="G344" s="2433">
        <v>141.91999999999999</v>
      </c>
    </row>
    <row r="345" spans="2:7">
      <c r="B345" s="1042">
        <v>256583</v>
      </c>
      <c r="C345" s="1043" t="s">
        <v>273</v>
      </c>
      <c r="D345" s="1045" t="s">
        <v>1614</v>
      </c>
      <c r="E345" s="2023">
        <f t="shared" si="5"/>
        <v>7.6341463414634145E-2</v>
      </c>
      <c r="F345" s="1044">
        <v>1722</v>
      </c>
      <c r="G345" s="2433">
        <v>131.46</v>
      </c>
    </row>
    <row r="346" spans="2:7">
      <c r="B346" s="1042">
        <v>21453468</v>
      </c>
      <c r="C346" s="1043" t="s">
        <v>273</v>
      </c>
      <c r="D346" s="1045" t="s">
        <v>1614</v>
      </c>
      <c r="E346" s="2023">
        <f t="shared" si="5"/>
        <v>7.6330749354005162E-2</v>
      </c>
      <c r="F346" s="1044">
        <v>387</v>
      </c>
      <c r="G346" s="2433">
        <v>29.54</v>
      </c>
    </row>
    <row r="347" spans="2:7">
      <c r="B347" s="1042">
        <v>794271</v>
      </c>
      <c r="C347" s="1043" t="s">
        <v>273</v>
      </c>
      <c r="D347" s="1045" t="s">
        <v>1614</v>
      </c>
      <c r="E347" s="2023">
        <f t="shared" si="5"/>
        <v>7.6337616822429899E-2</v>
      </c>
      <c r="F347" s="1044">
        <v>1712</v>
      </c>
      <c r="G347" s="2433">
        <v>130.69</v>
      </c>
    </row>
    <row r="348" spans="2:7">
      <c r="B348" s="1042">
        <v>645268</v>
      </c>
      <c r="C348" s="1043" t="s">
        <v>273</v>
      </c>
      <c r="D348" s="1045" t="s">
        <v>1481</v>
      </c>
      <c r="E348" s="2023">
        <f t="shared" si="5"/>
        <v>7.5263432446531039E-2</v>
      </c>
      <c r="F348" s="1044">
        <v>479.25</v>
      </c>
      <c r="G348" s="2433">
        <v>36.07</v>
      </c>
    </row>
    <row r="349" spans="2:7">
      <c r="B349" s="1042">
        <v>21368194</v>
      </c>
      <c r="C349" s="1043" t="s">
        <v>273</v>
      </c>
      <c r="D349" s="1045" t="s">
        <v>1614</v>
      </c>
      <c r="E349" s="2023">
        <f t="shared" si="5"/>
        <v>7.5266666666666662E-2</v>
      </c>
      <c r="F349" s="1044">
        <v>450</v>
      </c>
      <c r="G349" s="2433">
        <v>33.869999999999997</v>
      </c>
    </row>
    <row r="350" spans="2:7">
      <c r="B350" s="1042">
        <v>274434</v>
      </c>
      <c r="C350" s="1043" t="s">
        <v>273</v>
      </c>
      <c r="D350" s="1045" t="s">
        <v>1481</v>
      </c>
      <c r="E350" s="2023">
        <f t="shared" si="5"/>
        <v>7.6339434276206319E-2</v>
      </c>
      <c r="F350" s="1044">
        <v>450.75</v>
      </c>
      <c r="G350" s="2433">
        <v>34.409999999999997</v>
      </c>
    </row>
    <row r="351" spans="2:7">
      <c r="B351" s="1042">
        <v>227883</v>
      </c>
      <c r="C351" s="1043" t="s">
        <v>274</v>
      </c>
      <c r="D351" s="1045" t="s">
        <v>1614</v>
      </c>
      <c r="E351" s="2023">
        <f t="shared" si="5"/>
        <v>7.6339285714285721E-2</v>
      </c>
      <c r="F351" s="1044">
        <v>1680</v>
      </c>
      <c r="G351" s="2433">
        <v>128.25</v>
      </c>
    </row>
    <row r="352" spans="2:7">
      <c r="B352" s="1042">
        <v>21336697</v>
      </c>
      <c r="C352" s="1043" t="s">
        <v>273</v>
      </c>
      <c r="D352" s="1045" t="s">
        <v>1614</v>
      </c>
      <c r="E352" s="2023">
        <f t="shared" si="5"/>
        <v>7.6337349397590362E-2</v>
      </c>
      <c r="F352" s="1044">
        <v>1660</v>
      </c>
      <c r="G352" s="2433">
        <v>126.72</v>
      </c>
    </row>
    <row r="353" spans="2:7">
      <c r="B353" s="1042">
        <v>21380695</v>
      </c>
      <c r="C353" s="1043" t="s">
        <v>273</v>
      </c>
      <c r="D353" s="1045" t="s">
        <v>1614</v>
      </c>
      <c r="E353" s="2023">
        <f t="shared" si="5"/>
        <v>7.6338962605548843E-2</v>
      </c>
      <c r="F353" s="1044">
        <v>1658</v>
      </c>
      <c r="G353" s="2433">
        <v>126.57</v>
      </c>
    </row>
    <row r="354" spans="2:7">
      <c r="B354" s="1042">
        <v>21338271</v>
      </c>
      <c r="C354" s="1043" t="s">
        <v>273</v>
      </c>
      <c r="D354" s="1045" t="s">
        <v>1481</v>
      </c>
      <c r="E354" s="2023">
        <f t="shared" si="5"/>
        <v>7.6339648173207042E-2</v>
      </c>
      <c r="F354" s="1044">
        <v>1478</v>
      </c>
      <c r="G354" s="2433">
        <v>112.83</v>
      </c>
    </row>
    <row r="355" spans="2:7">
      <c r="B355" s="1042">
        <v>21005955</v>
      </c>
      <c r="C355" s="1043" t="s">
        <v>273</v>
      </c>
      <c r="D355" s="1045" t="s">
        <v>1614</v>
      </c>
      <c r="E355" s="2023">
        <f t="shared" si="5"/>
        <v>7.6339393939393929E-2</v>
      </c>
      <c r="F355" s="1044">
        <v>1650</v>
      </c>
      <c r="G355" s="2433">
        <v>125.96</v>
      </c>
    </row>
    <row r="356" spans="2:7">
      <c r="B356" s="1042">
        <v>606224</v>
      </c>
      <c r="C356" s="1043" t="s">
        <v>273</v>
      </c>
      <c r="D356" s="1045" t="s">
        <v>1481</v>
      </c>
      <c r="E356" s="2023">
        <f t="shared" si="5"/>
        <v>7.5261209378856442E-2</v>
      </c>
      <c r="F356" s="1044">
        <v>1215.5</v>
      </c>
      <c r="G356" s="2433">
        <v>91.48</v>
      </c>
    </row>
    <row r="357" spans="2:7">
      <c r="B357" s="1042">
        <v>21343172</v>
      </c>
      <c r="C357" s="1043" t="s">
        <v>273</v>
      </c>
      <c r="D357" s="1045" t="s">
        <v>1481</v>
      </c>
      <c r="E357" s="2023">
        <f t="shared" si="5"/>
        <v>7.6342505554606047E-2</v>
      </c>
      <c r="F357" s="1044">
        <v>1462.75</v>
      </c>
      <c r="G357" s="2433">
        <v>111.67</v>
      </c>
    </row>
    <row r="358" spans="2:7">
      <c r="B358" s="1042">
        <v>21460550</v>
      </c>
      <c r="C358" s="1043" t="s">
        <v>273</v>
      </c>
      <c r="D358" s="1045" t="s">
        <v>1481</v>
      </c>
      <c r="E358" s="2023">
        <f t="shared" si="5"/>
        <v>7.6340529247910863E-2</v>
      </c>
      <c r="F358" s="1044">
        <v>2872</v>
      </c>
      <c r="G358" s="2433">
        <v>219.25</v>
      </c>
    </row>
    <row r="359" spans="2:7">
      <c r="B359" s="1042">
        <v>778902</v>
      </c>
      <c r="C359" s="1043" t="s">
        <v>273</v>
      </c>
      <c r="D359" s="1045" t="s">
        <v>1481</v>
      </c>
      <c r="E359" s="2023">
        <f t="shared" si="5"/>
        <v>7.5263043948906691E-2</v>
      </c>
      <c r="F359" s="1044">
        <v>1154.75</v>
      </c>
      <c r="G359" s="2433">
        <v>86.91</v>
      </c>
    </row>
    <row r="360" spans="2:7">
      <c r="B360" s="1042">
        <v>21014162</v>
      </c>
      <c r="C360" s="1043" t="s">
        <v>273</v>
      </c>
      <c r="D360" s="1045" t="s">
        <v>1481</v>
      </c>
      <c r="E360" s="2023">
        <f t="shared" si="5"/>
        <v>7.5263544986516301E-2</v>
      </c>
      <c r="F360" s="1044">
        <v>1019.75</v>
      </c>
      <c r="G360" s="2433">
        <v>76.75</v>
      </c>
    </row>
    <row r="361" spans="2:7">
      <c r="B361" s="1042">
        <v>791918</v>
      </c>
      <c r="C361" s="1043" t="s">
        <v>273</v>
      </c>
      <c r="D361" s="1045" t="s">
        <v>1614</v>
      </c>
      <c r="E361" s="2023">
        <f t="shared" si="5"/>
        <v>7.6339066339066342E-2</v>
      </c>
      <c r="F361" s="1044">
        <v>1628</v>
      </c>
      <c r="G361" s="2433">
        <v>124.28</v>
      </c>
    </row>
    <row r="362" spans="2:7">
      <c r="B362" s="1042">
        <v>21460750</v>
      </c>
      <c r="C362" s="1043" t="s">
        <v>274</v>
      </c>
      <c r="D362" s="1045" t="s">
        <v>1614</v>
      </c>
      <c r="E362" s="2023">
        <f t="shared" si="5"/>
        <v>7.6343750000000002E-2</v>
      </c>
      <c r="F362" s="1044">
        <v>1280</v>
      </c>
      <c r="G362" s="2433">
        <v>97.72</v>
      </c>
    </row>
    <row r="363" spans="2:7">
      <c r="B363" s="1042">
        <v>21317268</v>
      </c>
      <c r="C363" s="1043" t="s">
        <v>273</v>
      </c>
      <c r="D363" s="1045" t="s">
        <v>1614</v>
      </c>
      <c r="E363" s="2023">
        <f t="shared" si="5"/>
        <v>7.6337854500616517E-2</v>
      </c>
      <c r="F363" s="1044">
        <v>1622</v>
      </c>
      <c r="G363" s="2433">
        <v>123.82</v>
      </c>
    </row>
    <row r="364" spans="2:7">
      <c r="B364" s="1042">
        <v>21462486</v>
      </c>
      <c r="C364" s="1043" t="s">
        <v>273</v>
      </c>
      <c r="D364" s="1045" t="s">
        <v>1614</v>
      </c>
      <c r="E364" s="2023">
        <f t="shared" si="5"/>
        <v>7.6342105263157906E-2</v>
      </c>
      <c r="F364" s="1044">
        <v>760</v>
      </c>
      <c r="G364" s="2433">
        <v>58.02</v>
      </c>
    </row>
    <row r="365" spans="2:7">
      <c r="B365" s="1042">
        <v>21458152</v>
      </c>
      <c r="C365" s="1043" t="s">
        <v>273</v>
      </c>
      <c r="D365" s="1045" t="s">
        <v>1614</v>
      </c>
      <c r="E365" s="2023">
        <f t="shared" si="5"/>
        <v>7.6355932203389834E-2</v>
      </c>
      <c r="F365" s="1044">
        <v>236</v>
      </c>
      <c r="G365" s="2433">
        <v>18.02</v>
      </c>
    </row>
    <row r="366" spans="2:7">
      <c r="B366" s="1042">
        <v>21430005</v>
      </c>
      <c r="C366" s="1043" t="s">
        <v>273</v>
      </c>
      <c r="D366" s="1045" t="s">
        <v>1481</v>
      </c>
      <c r="E366" s="2023">
        <f t="shared" si="5"/>
        <v>7.6341120180129465E-2</v>
      </c>
      <c r="F366" s="1044">
        <v>888.25</v>
      </c>
      <c r="G366" s="2433">
        <v>67.81</v>
      </c>
    </row>
    <row r="367" spans="2:7">
      <c r="B367" s="1042">
        <v>21293429</v>
      </c>
      <c r="C367" s="1043" t="s">
        <v>273</v>
      </c>
      <c r="D367" s="1045" t="s">
        <v>1614</v>
      </c>
      <c r="E367" s="2023">
        <f t="shared" si="5"/>
        <v>7.6339622641509425E-2</v>
      </c>
      <c r="F367" s="1044">
        <v>1590</v>
      </c>
      <c r="G367" s="2433">
        <v>121.38</v>
      </c>
    </row>
    <row r="368" spans="2:7">
      <c r="B368" s="1042">
        <v>21351545</v>
      </c>
      <c r="C368" s="1043" t="s">
        <v>273</v>
      </c>
      <c r="D368" s="1045" t="s">
        <v>1614</v>
      </c>
      <c r="E368" s="2023">
        <f t="shared" si="5"/>
        <v>7.633900441083806E-2</v>
      </c>
      <c r="F368" s="1044">
        <v>1587</v>
      </c>
      <c r="G368" s="2433">
        <v>121.15</v>
      </c>
    </row>
    <row r="369" spans="2:7">
      <c r="B369" s="1042">
        <v>21327817</v>
      </c>
      <c r="C369" s="1043" t="s">
        <v>273</v>
      </c>
      <c r="D369" s="1045" t="s">
        <v>1481</v>
      </c>
      <c r="E369" s="2023">
        <f t="shared" si="5"/>
        <v>7.5262561390253113E-2</v>
      </c>
      <c r="F369" s="1044">
        <v>1323.5</v>
      </c>
      <c r="G369" s="2433">
        <v>99.61</v>
      </c>
    </row>
    <row r="370" spans="2:7">
      <c r="B370" s="1042">
        <v>21335370</v>
      </c>
      <c r="C370" s="1043" t="s">
        <v>273</v>
      </c>
      <c r="D370" s="1045" t="s">
        <v>1614</v>
      </c>
      <c r="E370" s="2023">
        <f t="shared" si="5"/>
        <v>7.6340860973888494E-2</v>
      </c>
      <c r="F370" s="1044">
        <v>2834</v>
      </c>
      <c r="G370" s="2433">
        <v>216.35</v>
      </c>
    </row>
    <row r="371" spans="2:7">
      <c r="B371" s="1042">
        <v>709455</v>
      </c>
      <c r="C371" s="1043" t="s">
        <v>273</v>
      </c>
      <c r="D371" s="1045" t="s">
        <v>1614</v>
      </c>
      <c r="E371" s="2023">
        <f t="shared" si="5"/>
        <v>7.6338832487309646E-2</v>
      </c>
      <c r="F371" s="1044">
        <v>1576</v>
      </c>
      <c r="G371" s="2433">
        <v>120.31</v>
      </c>
    </row>
    <row r="372" spans="2:7">
      <c r="B372" s="1042">
        <v>723397</v>
      </c>
      <c r="C372" s="1043" t="s">
        <v>273</v>
      </c>
      <c r="D372" s="1045" t="s">
        <v>1614</v>
      </c>
      <c r="E372" s="2023">
        <f t="shared" si="5"/>
        <v>7.6340533672172806E-2</v>
      </c>
      <c r="F372" s="1044">
        <v>1574</v>
      </c>
      <c r="G372" s="2433">
        <v>120.16</v>
      </c>
    </row>
    <row r="373" spans="2:7">
      <c r="B373" s="1042">
        <v>21427087</v>
      </c>
      <c r="C373" s="1043" t="s">
        <v>273</v>
      </c>
      <c r="D373" s="1045" t="s">
        <v>1614</v>
      </c>
      <c r="E373" s="2023">
        <f t="shared" si="5"/>
        <v>7.6338658146964861E-2</v>
      </c>
      <c r="F373" s="1044">
        <v>1565</v>
      </c>
      <c r="G373" s="2433">
        <v>119.47</v>
      </c>
    </row>
    <row r="374" spans="2:7">
      <c r="B374" s="1042">
        <v>21383196</v>
      </c>
      <c r="C374" s="1043" t="s">
        <v>273</v>
      </c>
      <c r="D374" s="1045" t="s">
        <v>1614</v>
      </c>
      <c r="E374" s="2023">
        <f t="shared" si="5"/>
        <v>7.6338658146964861E-2</v>
      </c>
      <c r="F374" s="1044">
        <v>1565</v>
      </c>
      <c r="G374" s="2433">
        <v>119.47</v>
      </c>
    </row>
    <row r="375" spans="2:7">
      <c r="B375" s="1042">
        <v>21436107</v>
      </c>
      <c r="C375" s="1043" t="s">
        <v>273</v>
      </c>
      <c r="D375" s="1045" t="s">
        <v>1481</v>
      </c>
      <c r="E375" s="2023">
        <f t="shared" si="5"/>
        <v>7.5261958997722089E-2</v>
      </c>
      <c r="F375" s="1044">
        <v>548.75</v>
      </c>
      <c r="G375" s="2433">
        <v>41.3</v>
      </c>
    </row>
    <row r="376" spans="2:7">
      <c r="B376" s="1042">
        <v>21406607</v>
      </c>
      <c r="C376" s="1043" t="s">
        <v>273</v>
      </c>
      <c r="D376" s="1045" t="s">
        <v>1481</v>
      </c>
      <c r="E376" s="2023">
        <f t="shared" si="5"/>
        <v>7.634385201305767E-2</v>
      </c>
      <c r="F376" s="1044">
        <v>689.25</v>
      </c>
      <c r="G376" s="2433">
        <v>52.62</v>
      </c>
    </row>
    <row r="377" spans="2:7">
      <c r="B377" s="1042">
        <v>21336925</v>
      </c>
      <c r="C377" s="1043" t="s">
        <v>273</v>
      </c>
      <c r="D377" s="1045" t="s">
        <v>1614</v>
      </c>
      <c r="E377" s="2023">
        <f t="shared" si="5"/>
        <v>7.6342412451361863E-2</v>
      </c>
      <c r="F377" s="1044">
        <v>1542</v>
      </c>
      <c r="G377" s="2433">
        <v>117.72</v>
      </c>
    </row>
    <row r="378" spans="2:7">
      <c r="B378" s="1042">
        <v>259137</v>
      </c>
      <c r="C378" s="1043" t="s">
        <v>273</v>
      </c>
      <c r="D378" s="1045" t="s">
        <v>1614</v>
      </c>
      <c r="E378" s="2023">
        <f t="shared" si="5"/>
        <v>7.6339869281045747E-2</v>
      </c>
      <c r="F378" s="1044">
        <v>1530</v>
      </c>
      <c r="G378" s="2433">
        <v>116.8</v>
      </c>
    </row>
    <row r="379" spans="2:7">
      <c r="B379" s="1042">
        <v>256026</v>
      </c>
      <c r="C379" s="1043" t="s">
        <v>273</v>
      </c>
      <c r="D379" s="1045" t="s">
        <v>1481</v>
      </c>
      <c r="E379" s="2023">
        <f t="shared" si="5"/>
        <v>7.5260347129506008E-2</v>
      </c>
      <c r="F379" s="1044">
        <v>749</v>
      </c>
      <c r="G379" s="2433">
        <v>56.37</v>
      </c>
    </row>
    <row r="380" spans="2:7">
      <c r="B380" s="1042">
        <v>21053310</v>
      </c>
      <c r="C380" s="1043" t="s">
        <v>273</v>
      </c>
      <c r="D380" s="1045" t="s">
        <v>1614</v>
      </c>
      <c r="E380" s="2023">
        <f t="shared" si="5"/>
        <v>7.6339869281045747E-2</v>
      </c>
      <c r="F380" s="1044">
        <v>1530</v>
      </c>
      <c r="G380" s="2433">
        <v>116.8</v>
      </c>
    </row>
    <row r="381" spans="2:7">
      <c r="B381" s="1042">
        <v>257033</v>
      </c>
      <c r="C381" s="1043" t="s">
        <v>273</v>
      </c>
      <c r="D381" s="1045" t="s">
        <v>1614</v>
      </c>
      <c r="E381" s="2023">
        <f t="shared" si="5"/>
        <v>7.6337475474166125E-2</v>
      </c>
      <c r="F381" s="1044">
        <v>1529</v>
      </c>
      <c r="G381" s="2433">
        <v>116.72</v>
      </c>
    </row>
    <row r="382" spans="2:7">
      <c r="B382" s="1042">
        <v>21006247</v>
      </c>
      <c r="C382" s="1043" t="s">
        <v>273</v>
      </c>
      <c r="D382" s="1045" t="s">
        <v>1614</v>
      </c>
      <c r="E382" s="2023">
        <f t="shared" si="5"/>
        <v>7.6337935568704801E-2</v>
      </c>
      <c r="F382" s="1044">
        <v>1521</v>
      </c>
      <c r="G382" s="2433">
        <v>116.11</v>
      </c>
    </row>
    <row r="383" spans="2:7">
      <c r="B383" s="1042">
        <v>21227745</v>
      </c>
      <c r="C383" s="1043" t="s">
        <v>273</v>
      </c>
      <c r="D383" s="1045" t="s">
        <v>1614</v>
      </c>
      <c r="E383" s="2023">
        <f t="shared" si="5"/>
        <v>7.6342105263157906E-2</v>
      </c>
      <c r="F383" s="1044">
        <v>1520</v>
      </c>
      <c r="G383" s="2433">
        <v>116.04</v>
      </c>
    </row>
    <row r="384" spans="2:7">
      <c r="B384" s="1042">
        <v>641649</v>
      </c>
      <c r="C384" s="1043" t="s">
        <v>273</v>
      </c>
      <c r="D384" s="1045" t="s">
        <v>1614</v>
      </c>
      <c r="E384" s="2023">
        <f t="shared" si="5"/>
        <v>7.6337285902503285E-2</v>
      </c>
      <c r="F384" s="1044">
        <v>1518</v>
      </c>
      <c r="G384" s="2433">
        <v>115.88</v>
      </c>
    </row>
    <row r="385" spans="2:7">
      <c r="B385" s="1042">
        <v>21429831</v>
      </c>
      <c r="C385" s="1043" t="s">
        <v>273</v>
      </c>
      <c r="D385" s="1045" t="s">
        <v>1614</v>
      </c>
      <c r="E385" s="2023">
        <f t="shared" si="5"/>
        <v>7.6342592592592601E-2</v>
      </c>
      <c r="F385" s="1044">
        <v>1512</v>
      </c>
      <c r="G385" s="2433">
        <v>115.43</v>
      </c>
    </row>
    <row r="386" spans="2:7">
      <c r="B386" s="1042">
        <v>553751</v>
      </c>
      <c r="C386" s="1043" t="s">
        <v>273</v>
      </c>
      <c r="D386" s="1045" t="s">
        <v>1614</v>
      </c>
      <c r="E386" s="2023">
        <f t="shared" si="5"/>
        <v>7.6343085106382977E-2</v>
      </c>
      <c r="F386" s="1044">
        <v>1504</v>
      </c>
      <c r="G386" s="2433">
        <v>114.82</v>
      </c>
    </row>
    <row r="387" spans="2:7">
      <c r="B387" s="1042">
        <v>513958</v>
      </c>
      <c r="C387" s="1043" t="s">
        <v>273</v>
      </c>
      <c r="D387" s="1045" t="s">
        <v>1614</v>
      </c>
      <c r="E387" s="2023">
        <f t="shared" si="5"/>
        <v>7.6338503034389743E-2</v>
      </c>
      <c r="F387" s="1044">
        <v>1483</v>
      </c>
      <c r="G387" s="2433">
        <v>113.21</v>
      </c>
    </row>
    <row r="388" spans="2:7">
      <c r="B388" s="1042">
        <v>525424</v>
      </c>
      <c r="C388" s="1043" t="s">
        <v>273</v>
      </c>
      <c r="D388" s="1045" t="s">
        <v>1481</v>
      </c>
      <c r="E388" s="2023">
        <f t="shared" si="5"/>
        <v>7.5257234726688105E-2</v>
      </c>
      <c r="F388" s="1044">
        <v>622</v>
      </c>
      <c r="G388" s="2433">
        <v>46.81</v>
      </c>
    </row>
    <row r="389" spans="2:7">
      <c r="B389" s="1042">
        <v>21437849</v>
      </c>
      <c r="C389" s="1043" t="s">
        <v>273</v>
      </c>
      <c r="D389" s="1045" t="s">
        <v>1614</v>
      </c>
      <c r="E389" s="2023">
        <f t="shared" ref="E389:E452" si="6">G389/F389</f>
        <v>7.6340474811812387E-2</v>
      </c>
      <c r="F389" s="1044">
        <v>1727</v>
      </c>
      <c r="G389" s="2433">
        <v>131.84</v>
      </c>
    </row>
    <row r="390" spans="2:7">
      <c r="B390" s="1042">
        <v>21452202</v>
      </c>
      <c r="C390" s="1043" t="s">
        <v>273</v>
      </c>
      <c r="D390" s="1045" t="s">
        <v>1614</v>
      </c>
      <c r="E390" s="2023">
        <f t="shared" si="6"/>
        <v>7.6347305389221562E-2</v>
      </c>
      <c r="F390" s="1044">
        <v>501</v>
      </c>
      <c r="G390" s="2433">
        <v>38.25</v>
      </c>
    </row>
    <row r="391" spans="2:7">
      <c r="B391" s="1042">
        <v>830938</v>
      </c>
      <c r="C391" s="1043" t="s">
        <v>273</v>
      </c>
      <c r="D391" s="1045" t="s">
        <v>1614</v>
      </c>
      <c r="E391" s="2023">
        <f t="shared" si="6"/>
        <v>7.5261348005502063E-2</v>
      </c>
      <c r="F391" s="1044">
        <v>1454</v>
      </c>
      <c r="G391" s="2433">
        <v>109.43</v>
      </c>
    </row>
    <row r="392" spans="2:7">
      <c r="B392" s="1042">
        <v>21151936</v>
      </c>
      <c r="C392" s="1043" t="s">
        <v>273</v>
      </c>
      <c r="D392" s="1045" t="s">
        <v>1614</v>
      </c>
      <c r="E392" s="2023">
        <f t="shared" si="6"/>
        <v>7.5261707988980714E-2</v>
      </c>
      <c r="F392" s="1044">
        <v>1452</v>
      </c>
      <c r="G392" s="2433">
        <v>109.28</v>
      </c>
    </row>
    <row r="393" spans="2:7">
      <c r="B393" s="1042">
        <v>252172</v>
      </c>
      <c r="C393" s="1043" t="s">
        <v>273</v>
      </c>
      <c r="D393" s="1045" t="s">
        <v>1614</v>
      </c>
      <c r="E393" s="2023">
        <f t="shared" si="6"/>
        <v>7.5262430939226521E-2</v>
      </c>
      <c r="F393" s="1044">
        <v>1448</v>
      </c>
      <c r="G393" s="2433">
        <v>108.98</v>
      </c>
    </row>
    <row r="394" spans="2:7">
      <c r="B394" s="1042">
        <v>868132</v>
      </c>
      <c r="C394" s="1043" t="s">
        <v>274</v>
      </c>
      <c r="D394" s="1045" t="s">
        <v>1614</v>
      </c>
      <c r="E394" s="2023">
        <f t="shared" si="6"/>
        <v>7.6340277777777785E-2</v>
      </c>
      <c r="F394" s="1044">
        <v>1440</v>
      </c>
      <c r="G394" s="2433">
        <v>109.93</v>
      </c>
    </row>
    <row r="395" spans="2:7">
      <c r="B395" s="1042">
        <v>576525</v>
      </c>
      <c r="C395" s="1043" t="s">
        <v>273</v>
      </c>
      <c r="D395" s="1045" t="s">
        <v>1614</v>
      </c>
      <c r="E395" s="2023">
        <f t="shared" si="6"/>
        <v>7.6343335659455697E-2</v>
      </c>
      <c r="F395" s="1044">
        <v>1433</v>
      </c>
      <c r="G395" s="2433">
        <v>109.4</v>
      </c>
    </row>
    <row r="396" spans="2:7">
      <c r="B396" s="1042">
        <v>790785</v>
      </c>
      <c r="C396" s="1043" t="s">
        <v>273</v>
      </c>
      <c r="D396" s="1045" t="s">
        <v>1614</v>
      </c>
      <c r="E396" s="2023">
        <f t="shared" si="6"/>
        <v>7.6342657342657341E-2</v>
      </c>
      <c r="F396" s="1044">
        <v>1430</v>
      </c>
      <c r="G396" s="2433">
        <v>109.17</v>
      </c>
    </row>
    <row r="397" spans="2:7">
      <c r="B397" s="1042">
        <v>21401333</v>
      </c>
      <c r="C397" s="1043" t="s">
        <v>273</v>
      </c>
      <c r="D397" s="1045" t="s">
        <v>1481</v>
      </c>
      <c r="E397" s="2023">
        <f t="shared" si="6"/>
        <v>7.5268048606147248E-2</v>
      </c>
      <c r="F397" s="1044">
        <v>419.7</v>
      </c>
      <c r="G397" s="2433">
        <v>31.59</v>
      </c>
    </row>
    <row r="398" spans="2:7">
      <c r="B398" s="1042">
        <v>236666</v>
      </c>
      <c r="C398" s="1043" t="s">
        <v>273</v>
      </c>
      <c r="D398" s="1045" t="s">
        <v>1481</v>
      </c>
      <c r="E398" s="2023">
        <f t="shared" si="6"/>
        <v>7.525587828492393E-2</v>
      </c>
      <c r="F398" s="1044">
        <v>723</v>
      </c>
      <c r="G398" s="2433">
        <v>54.41</v>
      </c>
    </row>
    <row r="399" spans="2:7">
      <c r="B399" s="1042">
        <v>621846</v>
      </c>
      <c r="C399" s="1043" t="s">
        <v>273</v>
      </c>
      <c r="D399" s="1045" t="s">
        <v>1614</v>
      </c>
      <c r="E399" s="2023">
        <f t="shared" si="6"/>
        <v>7.6339915373765874E-2</v>
      </c>
      <c r="F399" s="1044">
        <v>1418</v>
      </c>
      <c r="G399" s="2433">
        <v>108.25</v>
      </c>
    </row>
    <row r="400" spans="2:7">
      <c r="B400" s="1042">
        <v>21135340</v>
      </c>
      <c r="C400" s="1043" t="s">
        <v>273</v>
      </c>
      <c r="D400" s="1045" t="s">
        <v>1481</v>
      </c>
      <c r="E400" s="2023">
        <f t="shared" si="6"/>
        <v>7.6338744377078036E-2</v>
      </c>
      <c r="F400" s="1044">
        <v>1278.25</v>
      </c>
      <c r="G400" s="2433">
        <v>97.58</v>
      </c>
    </row>
    <row r="401" spans="2:7">
      <c r="B401" s="1042">
        <v>21319620</v>
      </c>
      <c r="C401" s="1043" t="s">
        <v>273</v>
      </c>
      <c r="D401" s="1045" t="s">
        <v>1614</v>
      </c>
      <c r="E401" s="2023">
        <f t="shared" si="6"/>
        <v>7.6339031339031346E-2</v>
      </c>
      <c r="F401" s="1044">
        <v>1404</v>
      </c>
      <c r="G401" s="2433">
        <v>107.18</v>
      </c>
    </row>
    <row r="402" spans="2:7">
      <c r="B402" s="1042">
        <v>262555</v>
      </c>
      <c r="C402" s="1043" t="s">
        <v>273</v>
      </c>
      <c r="D402" s="1045" t="s">
        <v>1614</v>
      </c>
      <c r="E402" s="2023">
        <f t="shared" si="6"/>
        <v>7.6342857142857143E-2</v>
      </c>
      <c r="F402" s="1044">
        <v>1400</v>
      </c>
      <c r="G402" s="2433">
        <v>106.88</v>
      </c>
    </row>
    <row r="403" spans="2:7">
      <c r="B403" s="1042">
        <v>817363</v>
      </c>
      <c r="C403" s="1043" t="s">
        <v>273</v>
      </c>
      <c r="D403" s="1045" t="s">
        <v>1614</v>
      </c>
      <c r="E403" s="2023">
        <f t="shared" si="6"/>
        <v>7.6342161775232648E-2</v>
      </c>
      <c r="F403" s="1044">
        <v>1397</v>
      </c>
      <c r="G403" s="2433">
        <v>106.65</v>
      </c>
    </row>
    <row r="404" spans="2:7">
      <c r="B404" s="1042">
        <v>543961</v>
      </c>
      <c r="C404" s="1043" t="s">
        <v>273</v>
      </c>
      <c r="D404" s="1045" t="s">
        <v>1614</v>
      </c>
      <c r="E404" s="2023">
        <f t="shared" si="6"/>
        <v>7.6341287057122204E-2</v>
      </c>
      <c r="F404" s="1044">
        <v>1383</v>
      </c>
      <c r="G404" s="2433">
        <v>105.58</v>
      </c>
    </row>
    <row r="405" spans="2:7">
      <c r="B405" s="1042">
        <v>21420564</v>
      </c>
      <c r="C405" s="1043" t="s">
        <v>273</v>
      </c>
      <c r="D405" s="1045" t="s">
        <v>1481</v>
      </c>
      <c r="E405" s="2023">
        <f t="shared" si="6"/>
        <v>7.63387690689111E-2</v>
      </c>
      <c r="F405" s="1044">
        <v>950.5</v>
      </c>
      <c r="G405" s="2433">
        <v>72.56</v>
      </c>
    </row>
    <row r="406" spans="2:7">
      <c r="B406" s="1042">
        <v>21085982</v>
      </c>
      <c r="C406" s="1043" t="s">
        <v>273</v>
      </c>
      <c r="D406" s="1045" t="s">
        <v>1481</v>
      </c>
      <c r="E406" s="2023">
        <f t="shared" si="6"/>
        <v>7.6337135614702151E-2</v>
      </c>
      <c r="F406" s="1044">
        <v>789</v>
      </c>
      <c r="G406" s="2433">
        <v>60.23</v>
      </c>
    </row>
    <row r="407" spans="2:7">
      <c r="B407" s="1042">
        <v>21033557</v>
      </c>
      <c r="C407" s="1043" t="s">
        <v>273</v>
      </c>
      <c r="D407" s="1045" t="s">
        <v>1614</v>
      </c>
      <c r="E407" s="2023">
        <f t="shared" si="6"/>
        <v>7.6341818181818177E-2</v>
      </c>
      <c r="F407" s="1044">
        <v>1375</v>
      </c>
      <c r="G407" s="2433">
        <v>104.97</v>
      </c>
    </row>
    <row r="408" spans="2:7">
      <c r="B408" s="1042">
        <v>21341311</v>
      </c>
      <c r="C408" s="1043" t="s">
        <v>273</v>
      </c>
      <c r="D408" s="1045" t="s">
        <v>1614</v>
      </c>
      <c r="E408" s="2023">
        <f t="shared" si="6"/>
        <v>7.634039444850256E-2</v>
      </c>
      <c r="F408" s="1044">
        <v>1369</v>
      </c>
      <c r="G408" s="2433">
        <v>104.51</v>
      </c>
    </row>
    <row r="409" spans="2:7">
      <c r="B409" s="1042">
        <v>496923</v>
      </c>
      <c r="C409" s="1043" t="s">
        <v>273</v>
      </c>
      <c r="D409" s="1045" t="s">
        <v>1614</v>
      </c>
      <c r="E409" s="2023">
        <f t="shared" si="6"/>
        <v>7.6337719298245621E-2</v>
      </c>
      <c r="F409" s="1044">
        <v>1368</v>
      </c>
      <c r="G409" s="2433">
        <v>104.43</v>
      </c>
    </row>
    <row r="410" spans="2:7">
      <c r="B410" s="1042">
        <v>21432208</v>
      </c>
      <c r="C410" s="1043" t="s">
        <v>273</v>
      </c>
      <c r="D410" s="1045" t="s">
        <v>1481</v>
      </c>
      <c r="E410" s="2023">
        <f t="shared" si="6"/>
        <v>7.6339897260273973E-2</v>
      </c>
      <c r="F410" s="1044">
        <v>2336</v>
      </c>
      <c r="G410" s="2433">
        <v>178.33</v>
      </c>
    </row>
    <row r="411" spans="2:7">
      <c r="B411" s="1042">
        <v>236824</v>
      </c>
      <c r="C411" s="1043" t="s">
        <v>273</v>
      </c>
      <c r="D411" s="1045" t="s">
        <v>1614</v>
      </c>
      <c r="E411" s="2023">
        <f t="shared" si="6"/>
        <v>7.6342899190581306E-2</v>
      </c>
      <c r="F411" s="1044">
        <v>1359</v>
      </c>
      <c r="G411" s="2433">
        <v>103.75</v>
      </c>
    </row>
    <row r="412" spans="2:7">
      <c r="B412" s="1042">
        <v>21221064</v>
      </c>
      <c r="C412" s="1043" t="s">
        <v>273</v>
      </c>
      <c r="D412" s="1045" t="s">
        <v>1614</v>
      </c>
      <c r="E412" s="2023">
        <f t="shared" si="6"/>
        <v>7.6343449296817176E-2</v>
      </c>
      <c r="F412" s="1044">
        <v>1351</v>
      </c>
      <c r="G412" s="2433">
        <v>103.14</v>
      </c>
    </row>
    <row r="413" spans="2:7">
      <c r="B413" s="1042">
        <v>307632</v>
      </c>
      <c r="C413" s="1043" t="s">
        <v>274</v>
      </c>
      <c r="D413" s="1045" t="s">
        <v>1614</v>
      </c>
      <c r="E413" s="2023">
        <f t="shared" si="6"/>
        <v>7.6342729970326401E-2</v>
      </c>
      <c r="F413" s="1044">
        <v>1348</v>
      </c>
      <c r="G413" s="2433">
        <v>102.91</v>
      </c>
    </row>
    <row r="414" spans="2:7">
      <c r="B414" s="1042">
        <v>21439799</v>
      </c>
      <c r="C414" s="1043" t="s">
        <v>273</v>
      </c>
      <c r="D414" s="1045" t="s">
        <v>1481</v>
      </c>
      <c r="E414" s="2023">
        <f t="shared" si="6"/>
        <v>7.5258004763164854E-2</v>
      </c>
      <c r="F414" s="1044">
        <v>944.75</v>
      </c>
      <c r="G414" s="2433">
        <v>71.099999999999994</v>
      </c>
    </row>
    <row r="415" spans="2:7">
      <c r="B415" s="1042">
        <v>21429225</v>
      </c>
      <c r="C415" s="1043" t="s">
        <v>273</v>
      </c>
      <c r="D415" s="1045" t="s">
        <v>1481</v>
      </c>
      <c r="E415" s="2023">
        <f t="shared" si="6"/>
        <v>7.6455696202531648E-2</v>
      </c>
      <c r="F415" s="1044">
        <v>39.5</v>
      </c>
      <c r="G415" s="2433">
        <v>3.02</v>
      </c>
    </row>
    <row r="416" spans="2:7">
      <c r="B416" s="1042">
        <v>21273521</v>
      </c>
      <c r="C416" s="1043" t="s">
        <v>273</v>
      </c>
      <c r="D416" s="1045" t="s">
        <v>1614</v>
      </c>
      <c r="E416" s="2023">
        <f t="shared" si="6"/>
        <v>7.634255796559461E-2</v>
      </c>
      <c r="F416" s="1044">
        <v>1337</v>
      </c>
      <c r="G416" s="2433">
        <v>102.07</v>
      </c>
    </row>
    <row r="417" spans="2:7">
      <c r="B417" s="1042">
        <v>658817</v>
      </c>
      <c r="C417" s="1043" t="s">
        <v>273</v>
      </c>
      <c r="D417" s="1045" t="s">
        <v>1614</v>
      </c>
      <c r="E417" s="2023">
        <f t="shared" si="6"/>
        <v>7.634182908545728E-2</v>
      </c>
      <c r="F417" s="1044">
        <v>1334</v>
      </c>
      <c r="G417" s="2433">
        <v>101.84</v>
      </c>
    </row>
    <row r="418" spans="2:7">
      <c r="B418" s="1042">
        <v>21347465</v>
      </c>
      <c r="C418" s="1043" t="s">
        <v>273</v>
      </c>
      <c r="D418" s="1045" t="s">
        <v>1614</v>
      </c>
      <c r="E418" s="2023">
        <f t="shared" si="6"/>
        <v>7.6336336336336338E-2</v>
      </c>
      <c r="F418" s="1044">
        <v>1332</v>
      </c>
      <c r="G418" s="2433">
        <v>101.68</v>
      </c>
    </row>
    <row r="419" spans="2:7">
      <c r="B419" s="1042">
        <v>216428</v>
      </c>
      <c r="C419" s="1043" t="s">
        <v>273</v>
      </c>
      <c r="D419" s="1045" t="s">
        <v>1481</v>
      </c>
      <c r="E419" s="2023">
        <f t="shared" si="6"/>
        <v>7.6339660339660331E-2</v>
      </c>
      <c r="F419" s="1044">
        <v>1251.25</v>
      </c>
      <c r="G419" s="2433">
        <v>95.52</v>
      </c>
    </row>
    <row r="420" spans="2:7">
      <c r="B420" s="1042">
        <v>21446640</v>
      </c>
      <c r="C420" s="1043" t="s">
        <v>273</v>
      </c>
      <c r="D420" s="1045" t="s">
        <v>1481</v>
      </c>
      <c r="E420" s="2023">
        <f t="shared" si="6"/>
        <v>7.6341301460823366E-2</v>
      </c>
      <c r="F420" s="1044">
        <v>1506</v>
      </c>
      <c r="G420" s="2433">
        <v>114.97</v>
      </c>
    </row>
    <row r="421" spans="2:7">
      <c r="B421" s="1042">
        <v>21376116</v>
      </c>
      <c r="C421" s="1043" t="s">
        <v>273</v>
      </c>
      <c r="D421" s="1045" t="s">
        <v>1481</v>
      </c>
      <c r="E421" s="2023">
        <f t="shared" si="6"/>
        <v>7.6341621621621614E-2</v>
      </c>
      <c r="F421" s="1044">
        <v>1156.25</v>
      </c>
      <c r="G421" s="2433">
        <v>88.27</v>
      </c>
    </row>
    <row r="422" spans="2:7">
      <c r="B422" s="1042">
        <v>923680</v>
      </c>
      <c r="C422" s="1043" t="s">
        <v>273</v>
      </c>
      <c r="D422" s="1045" t="s">
        <v>1614</v>
      </c>
      <c r="E422" s="2023">
        <f t="shared" si="6"/>
        <v>7.6342943854324732E-2</v>
      </c>
      <c r="F422" s="1044">
        <v>1318</v>
      </c>
      <c r="G422" s="2433">
        <v>100.62</v>
      </c>
    </row>
    <row r="423" spans="2:7">
      <c r="B423" s="1042">
        <v>21271172</v>
      </c>
      <c r="C423" s="1043" t="s">
        <v>273</v>
      </c>
      <c r="D423" s="1045" t="s">
        <v>1614</v>
      </c>
      <c r="E423" s="2023">
        <f t="shared" si="6"/>
        <v>7.6342205323193912E-2</v>
      </c>
      <c r="F423" s="1044">
        <v>1315</v>
      </c>
      <c r="G423" s="2433">
        <v>100.39</v>
      </c>
    </row>
    <row r="424" spans="2:7">
      <c r="B424" s="1042">
        <v>21419613</v>
      </c>
      <c r="C424" s="1043" t="s">
        <v>273</v>
      </c>
      <c r="D424" s="1045" t="s">
        <v>1614</v>
      </c>
      <c r="E424" s="2023">
        <f t="shared" si="6"/>
        <v>7.6451612903225816E-2</v>
      </c>
      <c r="F424" s="1044">
        <v>31</v>
      </c>
      <c r="G424" s="2433">
        <v>2.37</v>
      </c>
    </row>
    <row r="425" spans="2:7">
      <c r="B425" s="1042">
        <v>21132013</v>
      </c>
      <c r="C425" s="1043" t="s">
        <v>273</v>
      </c>
      <c r="D425" s="1045" t="s">
        <v>1614</v>
      </c>
      <c r="E425" s="2023">
        <f t="shared" si="6"/>
        <v>7.6342769701606736E-2</v>
      </c>
      <c r="F425" s="1044">
        <v>1307</v>
      </c>
      <c r="G425" s="2433">
        <v>99.78</v>
      </c>
    </row>
    <row r="426" spans="2:7">
      <c r="B426" s="1042">
        <v>21246967</v>
      </c>
      <c r="C426" s="1043" t="s">
        <v>273</v>
      </c>
      <c r="D426" s="1045" t="s">
        <v>1614</v>
      </c>
      <c r="E426" s="2023">
        <f t="shared" si="6"/>
        <v>7.633748055987559E-2</v>
      </c>
      <c r="F426" s="1044">
        <v>1286</v>
      </c>
      <c r="G426" s="2433">
        <v>98.17</v>
      </c>
    </row>
    <row r="427" spans="2:7">
      <c r="B427" s="1042">
        <v>555807</v>
      </c>
      <c r="C427" s="1043" t="s">
        <v>273</v>
      </c>
      <c r="D427" s="1045" t="s">
        <v>1614</v>
      </c>
      <c r="E427" s="2023">
        <f t="shared" si="6"/>
        <v>7.6343750000000002E-2</v>
      </c>
      <c r="F427" s="1044">
        <v>1280</v>
      </c>
      <c r="G427" s="2433">
        <v>97.72</v>
      </c>
    </row>
    <row r="428" spans="2:7">
      <c r="B428" s="1042">
        <v>21034978</v>
      </c>
      <c r="C428" s="1043" t="s">
        <v>274</v>
      </c>
      <c r="D428" s="1045" t="s">
        <v>1614</v>
      </c>
      <c r="E428" s="2023">
        <f t="shared" si="6"/>
        <v>7.6343750000000002E-2</v>
      </c>
      <c r="F428" s="1044">
        <v>1280</v>
      </c>
      <c r="G428" s="2433">
        <v>97.72</v>
      </c>
    </row>
    <row r="429" spans="2:7">
      <c r="B429" s="1042">
        <v>21117482</v>
      </c>
      <c r="C429" s="1043" t="s">
        <v>273</v>
      </c>
      <c r="D429" s="1045" t="s">
        <v>1614</v>
      </c>
      <c r="E429" s="2023">
        <f t="shared" si="6"/>
        <v>7.6343750000000002E-2</v>
      </c>
      <c r="F429" s="1044">
        <v>1280</v>
      </c>
      <c r="G429" s="2433">
        <v>97.72</v>
      </c>
    </row>
    <row r="430" spans="2:7">
      <c r="B430" s="1042">
        <v>939608</v>
      </c>
      <c r="C430" s="1043" t="s">
        <v>273</v>
      </c>
      <c r="D430" s="1045" t="s">
        <v>1614</v>
      </c>
      <c r="E430" s="2023">
        <f t="shared" si="6"/>
        <v>7.6342991386061071E-2</v>
      </c>
      <c r="F430" s="1044">
        <v>1277</v>
      </c>
      <c r="G430" s="2433">
        <v>97.49</v>
      </c>
    </row>
    <row r="431" spans="2:7">
      <c r="B431" s="1042">
        <v>21387496</v>
      </c>
      <c r="C431" s="1043" t="s">
        <v>273</v>
      </c>
      <c r="D431" s="1045" t="s">
        <v>1614</v>
      </c>
      <c r="E431" s="2023">
        <f t="shared" si="6"/>
        <v>7.6342991386061071E-2</v>
      </c>
      <c r="F431" s="1044">
        <v>1277</v>
      </c>
      <c r="G431" s="2433">
        <v>97.49</v>
      </c>
    </row>
    <row r="432" spans="2:7">
      <c r="B432" s="1042">
        <v>21417988</v>
      </c>
      <c r="C432" s="1043" t="s">
        <v>273</v>
      </c>
      <c r="D432" s="1045" t="s">
        <v>1614</v>
      </c>
      <c r="E432" s="2023">
        <f t="shared" si="6"/>
        <v>7.6336898395721928E-2</v>
      </c>
      <c r="F432" s="1044">
        <v>1122</v>
      </c>
      <c r="G432" s="2433">
        <v>85.65</v>
      </c>
    </row>
    <row r="433" spans="2:7">
      <c r="B433" s="1042">
        <v>21116066</v>
      </c>
      <c r="C433" s="1043" t="s">
        <v>273</v>
      </c>
      <c r="D433" s="1045" t="s">
        <v>1614</v>
      </c>
      <c r="E433" s="2023">
        <f t="shared" si="6"/>
        <v>7.6342042755344425E-2</v>
      </c>
      <c r="F433" s="1044">
        <v>1263</v>
      </c>
      <c r="G433" s="2433">
        <v>96.42</v>
      </c>
    </row>
    <row r="434" spans="2:7">
      <c r="B434" s="1042">
        <v>21448016</v>
      </c>
      <c r="C434" s="1043" t="s">
        <v>273</v>
      </c>
      <c r="D434" s="1045" t="s">
        <v>1614</v>
      </c>
      <c r="E434" s="2023">
        <f t="shared" si="6"/>
        <v>7.6111111111111115E-2</v>
      </c>
      <c r="F434" s="1044">
        <v>18</v>
      </c>
      <c r="G434" s="2433">
        <v>1.37</v>
      </c>
    </row>
    <row r="435" spans="2:7">
      <c r="B435" s="1042">
        <v>953653</v>
      </c>
      <c r="C435" s="1043" t="s">
        <v>273</v>
      </c>
      <c r="D435" s="1045" t="s">
        <v>1614</v>
      </c>
      <c r="E435" s="2023">
        <f t="shared" si="6"/>
        <v>7.6341269841269835E-2</v>
      </c>
      <c r="F435" s="1044">
        <v>1260</v>
      </c>
      <c r="G435" s="2433">
        <v>96.19</v>
      </c>
    </row>
    <row r="436" spans="2:7">
      <c r="B436" s="1042">
        <v>21197090</v>
      </c>
      <c r="C436" s="1043" t="s">
        <v>273</v>
      </c>
      <c r="D436" s="1045" t="s">
        <v>1614</v>
      </c>
      <c r="E436" s="2023">
        <f t="shared" si="6"/>
        <v>7.6339712918660291E-2</v>
      </c>
      <c r="F436" s="1044">
        <v>1254</v>
      </c>
      <c r="G436" s="2433">
        <v>95.73</v>
      </c>
    </row>
    <row r="437" spans="2:7">
      <c r="B437" s="1042">
        <v>208133</v>
      </c>
      <c r="C437" s="1043" t="s">
        <v>273</v>
      </c>
      <c r="D437" s="1045" t="s">
        <v>1614</v>
      </c>
      <c r="E437" s="2023">
        <f t="shared" si="6"/>
        <v>7.6341072858286618E-2</v>
      </c>
      <c r="F437" s="1044">
        <v>1249</v>
      </c>
      <c r="G437" s="2433">
        <v>95.35</v>
      </c>
    </row>
    <row r="438" spans="2:7">
      <c r="B438" s="1042">
        <v>21001265</v>
      </c>
      <c r="C438" s="1043" t="s">
        <v>273</v>
      </c>
      <c r="D438" s="1045" t="s">
        <v>1481</v>
      </c>
      <c r="E438" s="2023">
        <f t="shared" si="6"/>
        <v>7.5263157894736851E-2</v>
      </c>
      <c r="F438" s="1044">
        <v>1083</v>
      </c>
      <c r="G438" s="2433">
        <v>81.510000000000005</v>
      </c>
    </row>
    <row r="439" spans="2:7">
      <c r="B439" s="1042">
        <v>21451667</v>
      </c>
      <c r="C439" s="1043" t="s">
        <v>273</v>
      </c>
      <c r="D439" s="1045" t="s">
        <v>1481</v>
      </c>
      <c r="E439" s="2023">
        <f t="shared" si="6"/>
        <v>7.6339972047519217E-2</v>
      </c>
      <c r="F439" s="1044">
        <v>5724</v>
      </c>
      <c r="G439" s="2433">
        <v>436.97</v>
      </c>
    </row>
    <row r="440" spans="2:7">
      <c r="B440" s="1042">
        <v>941009</v>
      </c>
      <c r="C440" s="1043" t="s">
        <v>273</v>
      </c>
      <c r="D440" s="1045" t="s">
        <v>1614</v>
      </c>
      <c r="E440" s="2023">
        <f t="shared" si="6"/>
        <v>7.5258064516129028E-2</v>
      </c>
      <c r="F440" s="1044">
        <v>1240</v>
      </c>
      <c r="G440" s="2433">
        <v>93.32</v>
      </c>
    </row>
    <row r="441" spans="2:7">
      <c r="B441" s="1042">
        <v>21030304</v>
      </c>
      <c r="C441" s="1043" t="s">
        <v>273</v>
      </c>
      <c r="D441" s="1045" t="s">
        <v>1481</v>
      </c>
      <c r="E441" s="2023">
        <f t="shared" si="6"/>
        <v>7.6341463414634145E-2</v>
      </c>
      <c r="F441" s="1044">
        <v>1107</v>
      </c>
      <c r="G441" s="2433">
        <v>84.51</v>
      </c>
    </row>
    <row r="442" spans="2:7">
      <c r="B442" s="1042">
        <v>21107991</v>
      </c>
      <c r="C442" s="1043" t="s">
        <v>273</v>
      </c>
      <c r="D442" s="1045" t="s">
        <v>1481</v>
      </c>
      <c r="E442" s="2023">
        <f t="shared" si="6"/>
        <v>7.633609467455621E-2</v>
      </c>
      <c r="F442" s="1044">
        <v>1056.25</v>
      </c>
      <c r="G442" s="2433">
        <v>80.63</v>
      </c>
    </row>
    <row r="443" spans="2:7">
      <c r="B443" s="1042">
        <v>705984</v>
      </c>
      <c r="C443" s="1043" t="s">
        <v>273</v>
      </c>
      <c r="D443" s="1045" t="s">
        <v>1614</v>
      </c>
      <c r="E443" s="2023">
        <f t="shared" si="6"/>
        <v>7.6342254663422537E-2</v>
      </c>
      <c r="F443" s="1044">
        <v>1233</v>
      </c>
      <c r="G443" s="2433">
        <v>94.13</v>
      </c>
    </row>
    <row r="444" spans="2:7">
      <c r="B444" s="1042">
        <v>21212667</v>
      </c>
      <c r="C444" s="1043" t="s">
        <v>273</v>
      </c>
      <c r="D444" s="1045" t="s">
        <v>1614</v>
      </c>
      <c r="E444" s="2023">
        <f t="shared" si="6"/>
        <v>7.6339285714285707E-2</v>
      </c>
      <c r="F444" s="1044">
        <v>1232</v>
      </c>
      <c r="G444" s="2433">
        <v>94.05</v>
      </c>
    </row>
    <row r="445" spans="2:7">
      <c r="B445" s="1042">
        <v>21133220</v>
      </c>
      <c r="C445" s="1043" t="s">
        <v>273</v>
      </c>
      <c r="D445" s="1045" t="s">
        <v>1614</v>
      </c>
      <c r="E445" s="2023">
        <f t="shared" si="6"/>
        <v>7.6341463414634145E-2</v>
      </c>
      <c r="F445" s="1044">
        <v>1230</v>
      </c>
      <c r="G445" s="2433">
        <v>93.9</v>
      </c>
    </row>
    <row r="446" spans="2:7">
      <c r="B446" s="1042">
        <v>21032010</v>
      </c>
      <c r="C446" s="1043" t="s">
        <v>273</v>
      </c>
      <c r="D446" s="1045" t="s">
        <v>1614</v>
      </c>
      <c r="E446" s="2023">
        <f t="shared" si="6"/>
        <v>7.6341866226259297E-2</v>
      </c>
      <c r="F446" s="1044">
        <v>1211</v>
      </c>
      <c r="G446" s="2433">
        <v>92.45</v>
      </c>
    </row>
    <row r="447" spans="2:7">
      <c r="B447" s="1042">
        <v>235440</v>
      </c>
      <c r="C447" s="1043" t="s">
        <v>273</v>
      </c>
      <c r="D447" s="1045" t="s">
        <v>1481</v>
      </c>
      <c r="E447" s="2023">
        <f t="shared" si="6"/>
        <v>7.6343692870201096E-2</v>
      </c>
      <c r="F447" s="1044">
        <v>957.25</v>
      </c>
      <c r="G447" s="2433">
        <v>73.08</v>
      </c>
    </row>
    <row r="448" spans="2:7">
      <c r="B448" s="1042">
        <v>21219540</v>
      </c>
      <c r="C448" s="1043" t="s">
        <v>273</v>
      </c>
      <c r="D448" s="1045" t="s">
        <v>1614</v>
      </c>
      <c r="E448" s="2023">
        <f t="shared" si="6"/>
        <v>7.6336386344712751E-2</v>
      </c>
      <c r="F448" s="1044">
        <v>1201</v>
      </c>
      <c r="G448" s="2433">
        <v>91.68</v>
      </c>
    </row>
    <row r="449" spans="2:7">
      <c r="B449" s="1042">
        <v>21024002</v>
      </c>
      <c r="C449" s="1043" t="s">
        <v>273</v>
      </c>
      <c r="D449" s="1045" t="s">
        <v>1614</v>
      </c>
      <c r="E449" s="2023">
        <f t="shared" si="6"/>
        <v>7.6340326340326337E-2</v>
      </c>
      <c r="F449" s="1044">
        <v>858</v>
      </c>
      <c r="G449" s="2433">
        <v>65.5</v>
      </c>
    </row>
    <row r="450" spans="2:7">
      <c r="B450" s="1042">
        <v>713320</v>
      </c>
      <c r="C450" s="1043" t="s">
        <v>273</v>
      </c>
      <c r="D450" s="1045" t="s">
        <v>1614</v>
      </c>
      <c r="E450" s="2023">
        <f t="shared" si="6"/>
        <v>7.6341256366723259E-2</v>
      </c>
      <c r="F450" s="1044">
        <v>1178</v>
      </c>
      <c r="G450" s="2433">
        <v>89.93</v>
      </c>
    </row>
    <row r="451" spans="2:7">
      <c r="B451" s="1042">
        <v>577390</v>
      </c>
      <c r="C451" s="1043" t="s">
        <v>273</v>
      </c>
      <c r="D451" s="1045" t="s">
        <v>1614</v>
      </c>
      <c r="E451" s="2023">
        <f t="shared" si="6"/>
        <v>7.6337308347529817E-2</v>
      </c>
      <c r="F451" s="1044">
        <v>1174</v>
      </c>
      <c r="G451" s="2433">
        <v>89.62</v>
      </c>
    </row>
    <row r="452" spans="2:7">
      <c r="B452" s="1042">
        <v>474431</v>
      </c>
      <c r="C452" s="1043" t="s">
        <v>273</v>
      </c>
      <c r="D452" s="1045" t="s">
        <v>1614</v>
      </c>
      <c r="E452" s="2023">
        <f t="shared" si="6"/>
        <v>7.6336805555555554E-2</v>
      </c>
      <c r="F452" s="1044">
        <v>1152</v>
      </c>
      <c r="G452" s="2433">
        <v>87.94</v>
      </c>
    </row>
    <row r="453" spans="2:7">
      <c r="B453" s="1042">
        <v>21394741</v>
      </c>
      <c r="C453" s="1043" t="s">
        <v>273</v>
      </c>
      <c r="D453" s="1045" t="s">
        <v>1614</v>
      </c>
      <c r="E453" s="2023">
        <f t="shared" ref="E453:E516" si="7">G453/F453</f>
        <v>7.5261780104712045E-2</v>
      </c>
      <c r="F453" s="1044">
        <v>1146</v>
      </c>
      <c r="G453" s="2433">
        <v>86.25</v>
      </c>
    </row>
    <row r="454" spans="2:7">
      <c r="B454" s="1042">
        <v>936921</v>
      </c>
      <c r="C454" s="1043" t="s">
        <v>273</v>
      </c>
      <c r="D454" s="1045" t="s">
        <v>1614</v>
      </c>
      <c r="E454" s="2023">
        <f t="shared" si="7"/>
        <v>7.6336283185840709E-2</v>
      </c>
      <c r="F454" s="1044">
        <v>1130</v>
      </c>
      <c r="G454" s="2433">
        <v>86.26</v>
      </c>
    </row>
    <row r="455" spans="2:7">
      <c r="B455" s="1042">
        <v>21117061</v>
      </c>
      <c r="C455" s="1043" t="s">
        <v>273</v>
      </c>
      <c r="D455" s="1045" t="s">
        <v>1614</v>
      </c>
      <c r="E455" s="2023">
        <f t="shared" si="7"/>
        <v>7.6338652482269509E-2</v>
      </c>
      <c r="F455" s="1044">
        <v>1128</v>
      </c>
      <c r="G455" s="2433">
        <v>86.11</v>
      </c>
    </row>
    <row r="456" spans="2:7">
      <c r="B456" s="1042">
        <v>21388918</v>
      </c>
      <c r="C456" s="1043" t="s">
        <v>273</v>
      </c>
      <c r="D456" s="1045" t="s">
        <v>1614</v>
      </c>
      <c r="E456" s="2023">
        <f t="shared" si="7"/>
        <v>7.6342364532019702E-2</v>
      </c>
      <c r="F456" s="1044">
        <v>1624</v>
      </c>
      <c r="G456" s="2433">
        <v>123.98</v>
      </c>
    </row>
    <row r="457" spans="2:7">
      <c r="B457" s="1042">
        <v>21433853</v>
      </c>
      <c r="C457" s="1043" t="s">
        <v>273</v>
      </c>
      <c r="D457" s="1045" t="s">
        <v>1614</v>
      </c>
      <c r="E457" s="2023">
        <f t="shared" si="7"/>
        <v>7.6333754740834384E-2</v>
      </c>
      <c r="F457" s="1044">
        <v>791</v>
      </c>
      <c r="G457" s="2433">
        <v>60.38</v>
      </c>
    </row>
    <row r="458" spans="2:7">
      <c r="B458" s="1042">
        <v>259556</v>
      </c>
      <c r="C458" s="1043" t="s">
        <v>273</v>
      </c>
      <c r="D458" s="1045" t="s">
        <v>1614</v>
      </c>
      <c r="E458" s="2023">
        <f t="shared" si="7"/>
        <v>7.6249999999999998E-2</v>
      </c>
      <c r="F458" s="1044">
        <v>16</v>
      </c>
      <c r="G458" s="2433">
        <v>1.22</v>
      </c>
    </row>
    <row r="459" spans="2:7">
      <c r="B459" s="1042">
        <v>550696</v>
      </c>
      <c r="C459" s="1043" t="s">
        <v>273</v>
      </c>
      <c r="D459" s="1045" t="s">
        <v>1614</v>
      </c>
      <c r="E459" s="2023">
        <f t="shared" si="7"/>
        <v>7.6336014298480789E-2</v>
      </c>
      <c r="F459" s="1044">
        <v>1119</v>
      </c>
      <c r="G459" s="2433">
        <v>85.42</v>
      </c>
    </row>
    <row r="460" spans="2:7">
      <c r="B460" s="1042">
        <v>21313317</v>
      </c>
      <c r="C460" s="1043" t="s">
        <v>273</v>
      </c>
      <c r="D460" s="1045" t="s">
        <v>1481</v>
      </c>
      <c r="E460" s="2023">
        <f t="shared" si="7"/>
        <v>7.6340064821740217E-2</v>
      </c>
      <c r="F460" s="1044">
        <v>1002.75</v>
      </c>
      <c r="G460" s="2433">
        <v>76.55</v>
      </c>
    </row>
    <row r="461" spans="2:7">
      <c r="B461" s="1042">
        <v>21359579</v>
      </c>
      <c r="C461" s="1043" t="s">
        <v>273</v>
      </c>
      <c r="D461" s="1045" t="s">
        <v>1614</v>
      </c>
      <c r="E461" s="2023">
        <f t="shared" si="7"/>
        <v>7.6340807174887892E-2</v>
      </c>
      <c r="F461" s="1044">
        <v>1115</v>
      </c>
      <c r="G461" s="2433">
        <v>85.12</v>
      </c>
    </row>
    <row r="462" spans="2:7">
      <c r="B462" s="1042">
        <v>896652</v>
      </c>
      <c r="C462" s="1043" t="s">
        <v>273</v>
      </c>
      <c r="D462" s="1045" t="s">
        <v>1614</v>
      </c>
      <c r="E462" s="2023">
        <f t="shared" si="7"/>
        <v>7.6336633663366335E-2</v>
      </c>
      <c r="F462" s="1044">
        <v>1111</v>
      </c>
      <c r="G462" s="2433">
        <v>84.81</v>
      </c>
    </row>
    <row r="463" spans="2:7">
      <c r="B463" s="1042">
        <v>21431741</v>
      </c>
      <c r="C463" s="1043" t="s">
        <v>273</v>
      </c>
      <c r="D463" s="1045" t="s">
        <v>1614</v>
      </c>
      <c r="E463" s="2023">
        <f t="shared" si="7"/>
        <v>7.6339044183949503E-2</v>
      </c>
      <c r="F463" s="1044">
        <v>1109</v>
      </c>
      <c r="G463" s="2433">
        <v>84.66</v>
      </c>
    </row>
    <row r="464" spans="2:7">
      <c r="B464" s="1042">
        <v>258966</v>
      </c>
      <c r="C464" s="1043" t="s">
        <v>273</v>
      </c>
      <c r="D464" s="1045" t="s">
        <v>1481</v>
      </c>
      <c r="E464" s="2023">
        <f t="shared" si="7"/>
        <v>7.526535863621743E-2</v>
      </c>
      <c r="F464" s="1044">
        <v>777.25</v>
      </c>
      <c r="G464" s="2433">
        <v>58.5</v>
      </c>
    </row>
    <row r="465" spans="2:7">
      <c r="B465" s="1042">
        <v>633471</v>
      </c>
      <c r="C465" s="1043" t="s">
        <v>273</v>
      </c>
      <c r="D465" s="1045" t="s">
        <v>1614</v>
      </c>
      <c r="E465" s="2023">
        <f t="shared" si="7"/>
        <v>7.6343891402714928E-2</v>
      </c>
      <c r="F465" s="1044">
        <v>1105</v>
      </c>
      <c r="G465" s="2433">
        <v>84.36</v>
      </c>
    </row>
    <row r="466" spans="2:7">
      <c r="B466" s="1042">
        <v>792814</v>
      </c>
      <c r="C466" s="1043" t="s">
        <v>273</v>
      </c>
      <c r="D466" s="1045" t="s">
        <v>1614</v>
      </c>
      <c r="E466" s="2023">
        <f t="shared" si="7"/>
        <v>7.6337262012692655E-2</v>
      </c>
      <c r="F466" s="1044">
        <v>1103</v>
      </c>
      <c r="G466" s="2433">
        <v>84.2</v>
      </c>
    </row>
    <row r="467" spans="2:7">
      <c r="B467" s="1042">
        <v>21280449</v>
      </c>
      <c r="C467" s="1043" t="s">
        <v>273</v>
      </c>
      <c r="D467" s="1045" t="s">
        <v>1614</v>
      </c>
      <c r="E467" s="2023">
        <f t="shared" si="7"/>
        <v>7.6339691189827433E-2</v>
      </c>
      <c r="F467" s="1044">
        <v>1101</v>
      </c>
      <c r="G467" s="2433">
        <v>84.05</v>
      </c>
    </row>
    <row r="468" spans="2:7">
      <c r="B468" s="1042">
        <v>289450</v>
      </c>
      <c r="C468" s="1043" t="s">
        <v>273</v>
      </c>
      <c r="D468" s="1045" t="s">
        <v>1614</v>
      </c>
      <c r="E468" s="2023">
        <f t="shared" si="7"/>
        <v>7.6335460346399264E-2</v>
      </c>
      <c r="F468" s="1044">
        <v>1097</v>
      </c>
      <c r="G468" s="2433">
        <v>83.74</v>
      </c>
    </row>
    <row r="469" spans="2:7">
      <c r="B469" s="1042">
        <v>453509</v>
      </c>
      <c r="C469" s="1043" t="s">
        <v>273</v>
      </c>
      <c r="D469" s="1045" t="s">
        <v>1614</v>
      </c>
      <c r="E469" s="2023">
        <f t="shared" si="7"/>
        <v>7.6336996336996338E-2</v>
      </c>
      <c r="F469" s="1044">
        <v>1092</v>
      </c>
      <c r="G469" s="2433">
        <v>83.36</v>
      </c>
    </row>
    <row r="470" spans="2:7">
      <c r="B470" s="1042">
        <v>626116</v>
      </c>
      <c r="C470" s="1043" t="s">
        <v>273</v>
      </c>
      <c r="D470" s="1045" t="s">
        <v>1614</v>
      </c>
      <c r="E470" s="2023">
        <f t="shared" si="7"/>
        <v>7.6336996336996338E-2</v>
      </c>
      <c r="F470" s="1044">
        <v>1092</v>
      </c>
      <c r="G470" s="2433">
        <v>83.36</v>
      </c>
    </row>
    <row r="471" spans="2:7">
      <c r="B471" s="1042">
        <v>21010363</v>
      </c>
      <c r="C471" s="1043" t="s">
        <v>273</v>
      </c>
      <c r="D471" s="1045" t="s">
        <v>1614</v>
      </c>
      <c r="E471" s="2023">
        <f t="shared" si="7"/>
        <v>7.5262672811059902E-2</v>
      </c>
      <c r="F471" s="1044">
        <v>1085</v>
      </c>
      <c r="G471" s="2433">
        <v>81.66</v>
      </c>
    </row>
    <row r="472" spans="2:7">
      <c r="B472" s="1042">
        <v>21356083</v>
      </c>
      <c r="C472" s="1043" t="s">
        <v>273</v>
      </c>
      <c r="D472" s="1045" t="s">
        <v>1614</v>
      </c>
      <c r="E472" s="2023">
        <f t="shared" si="7"/>
        <v>7.6343490304709147E-2</v>
      </c>
      <c r="F472" s="1044">
        <v>1083</v>
      </c>
      <c r="G472" s="2433">
        <v>82.68</v>
      </c>
    </row>
    <row r="473" spans="2:7">
      <c r="B473" s="1042">
        <v>21447678</v>
      </c>
      <c r="C473" s="1043" t="s">
        <v>273</v>
      </c>
      <c r="D473" s="1045" t="s">
        <v>1481</v>
      </c>
      <c r="E473" s="2023">
        <f t="shared" si="7"/>
        <v>7.6341094647716962E-2</v>
      </c>
      <c r="F473" s="1044">
        <v>3307</v>
      </c>
      <c r="G473" s="2433">
        <v>252.46</v>
      </c>
    </row>
    <row r="474" spans="2:7">
      <c r="B474" s="1042">
        <v>692930</v>
      </c>
      <c r="C474" s="1043" t="s">
        <v>273</v>
      </c>
      <c r="D474" s="1045" t="s">
        <v>1614</v>
      </c>
      <c r="E474" s="2023">
        <f t="shared" si="7"/>
        <v>7.6342592592592601E-2</v>
      </c>
      <c r="F474" s="1044">
        <v>1080</v>
      </c>
      <c r="G474" s="2433">
        <v>82.45</v>
      </c>
    </row>
    <row r="475" spans="2:7">
      <c r="B475" s="1042">
        <v>227144</v>
      </c>
      <c r="C475" s="1043" t="s">
        <v>273</v>
      </c>
      <c r="D475" s="1045" t="s">
        <v>1614</v>
      </c>
      <c r="E475" s="2023">
        <f t="shared" si="7"/>
        <v>7.6343283582089555E-2</v>
      </c>
      <c r="F475" s="1044">
        <v>1072</v>
      </c>
      <c r="G475" s="2433">
        <v>81.84</v>
      </c>
    </row>
    <row r="476" spans="2:7">
      <c r="B476" s="1042">
        <v>21320567</v>
      </c>
      <c r="C476" s="1043" t="s">
        <v>273</v>
      </c>
      <c r="D476" s="1045" t="s">
        <v>1481</v>
      </c>
      <c r="E476" s="2023">
        <f t="shared" si="7"/>
        <v>7.6335877862595422E-2</v>
      </c>
      <c r="F476" s="1044">
        <v>655</v>
      </c>
      <c r="G476" s="2433">
        <v>50</v>
      </c>
    </row>
    <row r="477" spans="2:7">
      <c r="B477" s="1042">
        <v>249621</v>
      </c>
      <c r="C477" s="1043" t="s">
        <v>273</v>
      </c>
      <c r="D477" s="1045" t="s">
        <v>1614</v>
      </c>
      <c r="E477" s="2023">
        <f t="shared" si="7"/>
        <v>7.6342155009451795E-2</v>
      </c>
      <c r="F477" s="1044">
        <v>1058</v>
      </c>
      <c r="G477" s="2433">
        <v>80.77</v>
      </c>
    </row>
    <row r="478" spans="2:7">
      <c r="B478" s="1042">
        <v>21415002</v>
      </c>
      <c r="C478" s="1043" t="s">
        <v>273</v>
      </c>
      <c r="D478" s="1045" t="s">
        <v>1614</v>
      </c>
      <c r="E478" s="2023">
        <f t="shared" si="7"/>
        <v>7.6315789473684198E-2</v>
      </c>
      <c r="F478" s="1044">
        <v>114</v>
      </c>
      <c r="G478" s="2433">
        <v>8.6999999999999993</v>
      </c>
    </row>
    <row r="479" spans="2:7">
      <c r="B479" s="1042">
        <v>898401</v>
      </c>
      <c r="C479" s="1043" t="s">
        <v>273</v>
      </c>
      <c r="D479" s="1045" t="s">
        <v>1614</v>
      </c>
      <c r="E479" s="2023">
        <f t="shared" si="7"/>
        <v>7.6338432122370931E-2</v>
      </c>
      <c r="F479" s="1044">
        <v>1046</v>
      </c>
      <c r="G479" s="2433">
        <v>79.849999999999994</v>
      </c>
    </row>
    <row r="480" spans="2:7">
      <c r="B480" s="1042">
        <v>21364871</v>
      </c>
      <c r="C480" s="1043" t="s">
        <v>273</v>
      </c>
      <c r="D480" s="1045" t="s">
        <v>1614</v>
      </c>
      <c r="E480" s="2023">
        <f t="shared" si="7"/>
        <v>7.6344497607655507E-2</v>
      </c>
      <c r="F480" s="1044">
        <v>1045</v>
      </c>
      <c r="G480" s="2433">
        <v>79.78</v>
      </c>
    </row>
    <row r="481" spans="2:7">
      <c r="B481" s="1042">
        <v>255480</v>
      </c>
      <c r="C481" s="1043" t="s">
        <v>273</v>
      </c>
      <c r="D481" s="1045" t="s">
        <v>1481</v>
      </c>
      <c r="E481" s="2023">
        <f t="shared" si="7"/>
        <v>7.5259345117357296E-2</v>
      </c>
      <c r="F481" s="1044">
        <v>862.75</v>
      </c>
      <c r="G481" s="2433">
        <v>64.930000000000007</v>
      </c>
    </row>
    <row r="482" spans="2:7">
      <c r="B482" s="1042">
        <v>21384626</v>
      </c>
      <c r="C482" s="1043" t="s">
        <v>273</v>
      </c>
      <c r="D482" s="1045" t="s">
        <v>1614</v>
      </c>
      <c r="E482" s="2023">
        <f t="shared" si="7"/>
        <v>7.6340057636887601E-2</v>
      </c>
      <c r="F482" s="1044">
        <v>1041</v>
      </c>
      <c r="G482" s="2433">
        <v>79.47</v>
      </c>
    </row>
    <row r="483" spans="2:7">
      <c r="B483" s="1042">
        <v>630152</v>
      </c>
      <c r="C483" s="1043" t="s">
        <v>273</v>
      </c>
      <c r="D483" s="1045" t="s">
        <v>1614</v>
      </c>
      <c r="E483" s="2023">
        <f t="shared" si="7"/>
        <v>7.5255544840887187E-2</v>
      </c>
      <c r="F483" s="1044">
        <v>1037</v>
      </c>
      <c r="G483" s="2433">
        <v>78.040000000000006</v>
      </c>
    </row>
    <row r="484" spans="2:7">
      <c r="B484" s="1042">
        <v>21339875</v>
      </c>
      <c r="C484" s="1043" t="s">
        <v>273</v>
      </c>
      <c r="D484" s="1045" t="s">
        <v>1614</v>
      </c>
      <c r="E484" s="2023">
        <f t="shared" si="7"/>
        <v>7.5261121856866536E-2</v>
      </c>
      <c r="F484" s="1044">
        <v>1034</v>
      </c>
      <c r="G484" s="2433">
        <v>77.819999999999993</v>
      </c>
    </row>
    <row r="485" spans="2:7">
      <c r="B485" s="1042">
        <v>893325</v>
      </c>
      <c r="C485" s="1043" t="s">
        <v>273</v>
      </c>
      <c r="D485" s="1045" t="s">
        <v>1614</v>
      </c>
      <c r="E485" s="2023">
        <f t="shared" si="7"/>
        <v>7.6339805825242718E-2</v>
      </c>
      <c r="F485" s="1044">
        <v>1030</v>
      </c>
      <c r="G485" s="2433">
        <v>78.63</v>
      </c>
    </row>
    <row r="486" spans="2:7">
      <c r="B486" s="1042">
        <v>21363917</v>
      </c>
      <c r="C486" s="1043" t="s">
        <v>273</v>
      </c>
      <c r="D486" s="1045" t="s">
        <v>1614</v>
      </c>
      <c r="E486" s="2023">
        <f t="shared" si="7"/>
        <v>7.6341463414634145E-2</v>
      </c>
      <c r="F486" s="1044">
        <v>1025</v>
      </c>
      <c r="G486" s="2433">
        <v>78.25</v>
      </c>
    </row>
    <row r="487" spans="2:7">
      <c r="B487" s="1042">
        <v>21242737</v>
      </c>
      <c r="C487" s="1043" t="s">
        <v>273</v>
      </c>
      <c r="D487" s="1045" t="s">
        <v>1614</v>
      </c>
      <c r="E487" s="2023">
        <f t="shared" si="7"/>
        <v>7.5255905511811022E-2</v>
      </c>
      <c r="F487" s="1044">
        <v>1016</v>
      </c>
      <c r="G487" s="2433">
        <v>76.459999999999994</v>
      </c>
    </row>
    <row r="488" spans="2:7">
      <c r="B488" s="1042">
        <v>597041</v>
      </c>
      <c r="C488" s="1043" t="s">
        <v>273</v>
      </c>
      <c r="D488" s="1045" t="s">
        <v>1614</v>
      </c>
      <c r="E488" s="2023">
        <f t="shared" si="7"/>
        <v>7.6338582677165354E-2</v>
      </c>
      <c r="F488" s="1044">
        <v>1016</v>
      </c>
      <c r="G488" s="2433">
        <v>77.56</v>
      </c>
    </row>
    <row r="489" spans="2:7">
      <c r="B489" s="1042">
        <v>847005</v>
      </c>
      <c r="C489" s="1043" t="s">
        <v>273</v>
      </c>
      <c r="D489" s="1045" t="s">
        <v>1614</v>
      </c>
      <c r="E489" s="2023">
        <f t="shared" si="7"/>
        <v>7.6337325349301391E-2</v>
      </c>
      <c r="F489" s="1044">
        <v>1002</v>
      </c>
      <c r="G489" s="2433">
        <v>76.489999999999995</v>
      </c>
    </row>
    <row r="490" spans="2:7">
      <c r="B490" s="1042">
        <v>21050340</v>
      </c>
      <c r="C490" s="1043" t="s">
        <v>273</v>
      </c>
      <c r="D490" s="1045" t="s">
        <v>1614</v>
      </c>
      <c r="E490" s="2023">
        <f t="shared" si="7"/>
        <v>7.6337325349301391E-2</v>
      </c>
      <c r="F490" s="1044">
        <v>1002</v>
      </c>
      <c r="G490" s="2433">
        <v>76.489999999999995</v>
      </c>
    </row>
    <row r="491" spans="2:7">
      <c r="B491" s="1042">
        <v>217264</v>
      </c>
      <c r="C491" s="1043" t="s">
        <v>273</v>
      </c>
      <c r="D491" s="1045" t="s">
        <v>1614</v>
      </c>
      <c r="E491" s="2023">
        <f t="shared" si="7"/>
        <v>7.6340000000000005E-2</v>
      </c>
      <c r="F491" s="1044">
        <v>1000</v>
      </c>
      <c r="G491" s="2433">
        <v>76.34</v>
      </c>
    </row>
    <row r="492" spans="2:7">
      <c r="B492" s="1042">
        <v>21383878</v>
      </c>
      <c r="C492" s="1043" t="s">
        <v>273</v>
      </c>
      <c r="D492" s="1045" t="s">
        <v>1614</v>
      </c>
      <c r="E492" s="2023">
        <f t="shared" si="7"/>
        <v>7.6342451874366765E-2</v>
      </c>
      <c r="F492" s="1044">
        <v>987</v>
      </c>
      <c r="G492" s="2433">
        <v>75.349999999999994</v>
      </c>
    </row>
    <row r="493" spans="2:7">
      <c r="B493" s="1042">
        <v>366855</v>
      </c>
      <c r="C493" s="1043" t="s">
        <v>273</v>
      </c>
      <c r="D493" s="1045" t="s">
        <v>1614</v>
      </c>
      <c r="E493" s="2023">
        <f t="shared" si="7"/>
        <v>7.6344195519348262E-2</v>
      </c>
      <c r="F493" s="1044">
        <v>982</v>
      </c>
      <c r="G493" s="2433">
        <v>74.97</v>
      </c>
    </row>
    <row r="494" spans="2:7">
      <c r="B494" s="1042">
        <v>21003435</v>
      </c>
      <c r="C494" s="1043" t="s">
        <v>273</v>
      </c>
      <c r="D494" s="1045" t="s">
        <v>1614</v>
      </c>
      <c r="E494" s="2023">
        <f t="shared" si="7"/>
        <v>7.6342213114754101E-2</v>
      </c>
      <c r="F494" s="1044">
        <v>976</v>
      </c>
      <c r="G494" s="2433">
        <v>74.510000000000005</v>
      </c>
    </row>
    <row r="495" spans="2:7">
      <c r="B495" s="1042">
        <v>208209</v>
      </c>
      <c r="C495" s="1043" t="s">
        <v>273</v>
      </c>
      <c r="D495" s="1045" t="s">
        <v>1614</v>
      </c>
      <c r="E495" s="2023">
        <f t="shared" si="7"/>
        <v>7.6344969199178644E-2</v>
      </c>
      <c r="F495" s="1044">
        <v>974</v>
      </c>
      <c r="G495" s="2433">
        <v>74.36</v>
      </c>
    </row>
    <row r="496" spans="2:7">
      <c r="B496" s="1042">
        <v>208349</v>
      </c>
      <c r="C496" s="1043" t="s">
        <v>273</v>
      </c>
      <c r="D496" s="1045" t="s">
        <v>1614</v>
      </c>
      <c r="E496" s="2023">
        <f t="shared" si="7"/>
        <v>7.5257731958762883E-2</v>
      </c>
      <c r="F496" s="1044">
        <v>970</v>
      </c>
      <c r="G496" s="2433">
        <v>73</v>
      </c>
    </row>
    <row r="497" spans="2:7">
      <c r="B497" s="1042">
        <v>258556</v>
      </c>
      <c r="C497" s="1043" t="s">
        <v>273</v>
      </c>
      <c r="D497" s="1045" t="s">
        <v>1481</v>
      </c>
      <c r="E497" s="2023">
        <f t="shared" si="7"/>
        <v>7.5265045834994021E-2</v>
      </c>
      <c r="F497" s="1044">
        <v>627.25</v>
      </c>
      <c r="G497" s="2433">
        <v>47.21</v>
      </c>
    </row>
    <row r="498" spans="2:7">
      <c r="B498" s="1042">
        <v>780066</v>
      </c>
      <c r="C498" s="1043" t="s">
        <v>273</v>
      </c>
      <c r="D498" s="1045" t="s">
        <v>1481</v>
      </c>
      <c r="E498" s="2023">
        <f t="shared" si="7"/>
        <v>7.5258064516129028E-2</v>
      </c>
      <c r="F498" s="1044">
        <v>310</v>
      </c>
      <c r="G498" s="2433">
        <v>23.33</v>
      </c>
    </row>
    <row r="499" spans="2:7">
      <c r="B499" s="1042">
        <v>307475</v>
      </c>
      <c r="C499" s="1043" t="s">
        <v>274</v>
      </c>
      <c r="D499" s="1045" t="s">
        <v>1614</v>
      </c>
      <c r="E499" s="2023">
        <f t="shared" si="7"/>
        <v>7.6343750000000002E-2</v>
      </c>
      <c r="F499" s="1044">
        <v>960</v>
      </c>
      <c r="G499" s="2433">
        <v>73.290000000000006</v>
      </c>
    </row>
    <row r="500" spans="2:7">
      <c r="B500" s="1042">
        <v>223601</v>
      </c>
      <c r="C500" s="1043" t="s">
        <v>274</v>
      </c>
      <c r="D500" s="1045" t="s">
        <v>1614</v>
      </c>
      <c r="E500" s="2023">
        <f t="shared" si="7"/>
        <v>7.6343750000000002E-2</v>
      </c>
      <c r="F500" s="1044">
        <v>960</v>
      </c>
      <c r="G500" s="2433">
        <v>73.290000000000006</v>
      </c>
    </row>
    <row r="501" spans="2:7">
      <c r="B501" s="1042">
        <v>205826</v>
      </c>
      <c r="C501" s="1043" t="s">
        <v>274</v>
      </c>
      <c r="D501" s="1045" t="s">
        <v>1614</v>
      </c>
      <c r="E501" s="2023">
        <f t="shared" si="7"/>
        <v>7.6343750000000002E-2</v>
      </c>
      <c r="F501" s="1044">
        <v>960</v>
      </c>
      <c r="G501" s="2433">
        <v>73.290000000000006</v>
      </c>
    </row>
    <row r="502" spans="2:7">
      <c r="B502" s="1042">
        <v>225162</v>
      </c>
      <c r="C502" s="1043" t="s">
        <v>273</v>
      </c>
      <c r="D502" s="1045" t="s">
        <v>1614</v>
      </c>
      <c r="E502" s="2023">
        <f t="shared" si="7"/>
        <v>7.6336116910229637E-2</v>
      </c>
      <c r="F502" s="1044">
        <v>958</v>
      </c>
      <c r="G502" s="2433">
        <v>73.13</v>
      </c>
    </row>
    <row r="503" spans="2:7">
      <c r="B503" s="1042">
        <v>21433762</v>
      </c>
      <c r="C503" s="1043" t="s">
        <v>273</v>
      </c>
      <c r="D503" s="1045" t="s">
        <v>1481</v>
      </c>
      <c r="E503" s="2023">
        <f t="shared" si="7"/>
        <v>7.6338686131386849E-2</v>
      </c>
      <c r="F503" s="1044">
        <v>3425</v>
      </c>
      <c r="G503" s="2433">
        <v>261.45999999999998</v>
      </c>
    </row>
    <row r="504" spans="2:7">
      <c r="B504" s="1042">
        <v>205765</v>
      </c>
      <c r="C504" s="1043" t="s">
        <v>273</v>
      </c>
      <c r="D504" s="1045" t="s">
        <v>1614</v>
      </c>
      <c r="E504" s="2023">
        <f t="shared" si="7"/>
        <v>7.6335797254487858E-2</v>
      </c>
      <c r="F504" s="1044">
        <v>947</v>
      </c>
      <c r="G504" s="2433">
        <v>72.290000000000006</v>
      </c>
    </row>
    <row r="505" spans="2:7">
      <c r="B505" s="1042">
        <v>250302</v>
      </c>
      <c r="C505" s="1043" t="s">
        <v>273</v>
      </c>
      <c r="D505" s="1045" t="s">
        <v>1481</v>
      </c>
      <c r="E505" s="2023">
        <f t="shared" si="7"/>
        <v>7.6339345357381433E-2</v>
      </c>
      <c r="F505" s="1044">
        <v>748.5</v>
      </c>
      <c r="G505" s="2433">
        <v>57.14</v>
      </c>
    </row>
    <row r="506" spans="2:7">
      <c r="B506" s="1042">
        <v>623084</v>
      </c>
      <c r="C506" s="1043" t="s">
        <v>273</v>
      </c>
      <c r="D506" s="1045" t="s">
        <v>1614</v>
      </c>
      <c r="E506" s="2023">
        <f t="shared" si="7"/>
        <v>7.6341201716738208E-2</v>
      </c>
      <c r="F506" s="1044">
        <v>932</v>
      </c>
      <c r="G506" s="2433">
        <v>71.150000000000006</v>
      </c>
    </row>
    <row r="507" spans="2:7">
      <c r="B507" s="1042">
        <v>21374908</v>
      </c>
      <c r="C507" s="1043" t="s">
        <v>273</v>
      </c>
      <c r="D507" s="1045" t="s">
        <v>1614</v>
      </c>
      <c r="E507" s="2023">
        <f t="shared" si="7"/>
        <v>7.6337271750805583E-2</v>
      </c>
      <c r="F507" s="1044">
        <v>931</v>
      </c>
      <c r="G507" s="2433">
        <v>71.069999999999993</v>
      </c>
    </row>
    <row r="508" spans="2:7">
      <c r="B508" s="1042">
        <v>21092584</v>
      </c>
      <c r="C508" s="1043" t="s">
        <v>273</v>
      </c>
      <c r="D508" s="1045" t="s">
        <v>1614</v>
      </c>
      <c r="E508" s="2023">
        <f t="shared" si="7"/>
        <v>7.5263724434876209E-2</v>
      </c>
      <c r="F508" s="1044">
        <v>929</v>
      </c>
      <c r="G508" s="2433">
        <v>69.92</v>
      </c>
    </row>
    <row r="509" spans="2:7">
      <c r="B509" s="1042">
        <v>544776</v>
      </c>
      <c r="C509" s="1043" t="s">
        <v>273</v>
      </c>
      <c r="D509" s="1045" t="s">
        <v>1614</v>
      </c>
      <c r="E509" s="2023">
        <f t="shared" si="7"/>
        <v>7.6342794759825333E-2</v>
      </c>
      <c r="F509" s="1044">
        <v>916</v>
      </c>
      <c r="G509" s="2433">
        <v>69.930000000000007</v>
      </c>
    </row>
    <row r="510" spans="2:7">
      <c r="B510" s="1042">
        <v>21235243</v>
      </c>
      <c r="C510" s="1043" t="s">
        <v>273</v>
      </c>
      <c r="D510" s="1045" t="s">
        <v>1614</v>
      </c>
      <c r="E510" s="2023">
        <f t="shared" si="7"/>
        <v>7.6341730558598025E-2</v>
      </c>
      <c r="F510" s="1044">
        <v>913</v>
      </c>
      <c r="G510" s="2433">
        <v>69.7</v>
      </c>
    </row>
    <row r="511" spans="2:7">
      <c r="B511" s="1042">
        <v>21005959</v>
      </c>
      <c r="C511" s="1043" t="s">
        <v>273</v>
      </c>
      <c r="D511" s="1045" t="s">
        <v>1614</v>
      </c>
      <c r="E511" s="2023">
        <f t="shared" si="7"/>
        <v>7.6343612334801761E-2</v>
      </c>
      <c r="F511" s="1044">
        <v>908</v>
      </c>
      <c r="G511" s="2433">
        <v>69.319999999999993</v>
      </c>
    </row>
    <row r="512" spans="2:7">
      <c r="B512" s="1042">
        <v>661926</v>
      </c>
      <c r="C512" s="1043" t="s">
        <v>273</v>
      </c>
      <c r="D512" s="1045" t="s">
        <v>1614</v>
      </c>
      <c r="E512" s="2023">
        <f t="shared" si="7"/>
        <v>7.6342541436464087E-2</v>
      </c>
      <c r="F512" s="1044">
        <v>905</v>
      </c>
      <c r="G512" s="2433">
        <v>69.09</v>
      </c>
    </row>
    <row r="513" spans="2:7">
      <c r="B513" s="1042">
        <v>21121095</v>
      </c>
      <c r="C513" s="1043" t="s">
        <v>273</v>
      </c>
      <c r="D513" s="1045" t="s">
        <v>1481</v>
      </c>
      <c r="E513" s="2023">
        <f t="shared" si="7"/>
        <v>7.6338289962825281E-2</v>
      </c>
      <c r="F513" s="1044">
        <v>538</v>
      </c>
      <c r="G513" s="2433">
        <v>41.07</v>
      </c>
    </row>
    <row r="514" spans="2:7">
      <c r="B514" s="1042">
        <v>242223</v>
      </c>
      <c r="C514" s="1043" t="s">
        <v>273</v>
      </c>
      <c r="D514" s="1045" t="s">
        <v>1614</v>
      </c>
      <c r="E514" s="2023">
        <f t="shared" si="7"/>
        <v>7.6338983050847464E-2</v>
      </c>
      <c r="F514" s="1044">
        <v>885</v>
      </c>
      <c r="G514" s="2433">
        <v>67.56</v>
      </c>
    </row>
    <row r="515" spans="2:7">
      <c r="B515" s="1042">
        <v>826579</v>
      </c>
      <c r="C515" s="1043" t="s">
        <v>273</v>
      </c>
      <c r="D515" s="1045" t="s">
        <v>1614</v>
      </c>
      <c r="E515" s="2023">
        <f t="shared" si="7"/>
        <v>7.6340909090909098E-2</v>
      </c>
      <c r="F515" s="1044">
        <v>880</v>
      </c>
      <c r="G515" s="2433">
        <v>67.180000000000007</v>
      </c>
    </row>
    <row r="516" spans="2:7">
      <c r="B516" s="1042">
        <v>21202506</v>
      </c>
      <c r="C516" s="1043" t="s">
        <v>273</v>
      </c>
      <c r="D516" s="1045" t="s">
        <v>1614</v>
      </c>
      <c r="E516" s="2023">
        <f t="shared" si="7"/>
        <v>7.5257731958762897E-2</v>
      </c>
      <c r="F516" s="1044">
        <v>873</v>
      </c>
      <c r="G516" s="2433">
        <v>65.7</v>
      </c>
    </row>
    <row r="517" spans="2:7">
      <c r="B517" s="1042">
        <v>509423</v>
      </c>
      <c r="C517" s="1043" t="s">
        <v>273</v>
      </c>
      <c r="D517" s="1045" t="s">
        <v>1614</v>
      </c>
      <c r="E517" s="2023">
        <f t="shared" ref="E517:E580" si="8">G517/F517</f>
        <v>7.6344827586206893E-2</v>
      </c>
      <c r="F517" s="1044">
        <v>870</v>
      </c>
      <c r="G517" s="2433">
        <v>66.42</v>
      </c>
    </row>
    <row r="518" spans="2:7">
      <c r="B518" s="1042">
        <v>21437772</v>
      </c>
      <c r="C518" s="1043" t="s">
        <v>273</v>
      </c>
      <c r="D518" s="1045" t="s">
        <v>1481</v>
      </c>
      <c r="E518" s="2023">
        <f t="shared" si="8"/>
        <v>7.633572666501609E-2</v>
      </c>
      <c r="F518" s="1044">
        <v>1009.75</v>
      </c>
      <c r="G518" s="2433">
        <v>77.08</v>
      </c>
    </row>
    <row r="519" spans="2:7">
      <c r="B519" s="1042">
        <v>249380</v>
      </c>
      <c r="C519" s="1043" t="s">
        <v>273</v>
      </c>
      <c r="D519" s="1045" t="s">
        <v>1614</v>
      </c>
      <c r="E519" s="2023">
        <f t="shared" si="8"/>
        <v>7.6342592592592587E-2</v>
      </c>
      <c r="F519" s="1044">
        <v>864</v>
      </c>
      <c r="G519" s="2433">
        <v>65.959999999999994</v>
      </c>
    </row>
    <row r="520" spans="2:7">
      <c r="B520" s="1042">
        <v>21441273</v>
      </c>
      <c r="C520" s="1043" t="s">
        <v>273</v>
      </c>
      <c r="D520" s="1045" t="s">
        <v>1614</v>
      </c>
      <c r="E520" s="2023">
        <f t="shared" si="8"/>
        <v>7.5255813953488376E-2</v>
      </c>
      <c r="F520" s="1044">
        <v>860</v>
      </c>
      <c r="G520" s="2433">
        <v>64.72</v>
      </c>
    </row>
    <row r="521" spans="2:7">
      <c r="B521" s="1042">
        <v>21351139</v>
      </c>
      <c r="C521" s="1043" t="s">
        <v>273</v>
      </c>
      <c r="D521" s="1045" t="s">
        <v>1614</v>
      </c>
      <c r="E521" s="2023">
        <f t="shared" si="8"/>
        <v>7.6336056009334893E-2</v>
      </c>
      <c r="F521" s="1044">
        <v>857</v>
      </c>
      <c r="G521" s="2433">
        <v>65.42</v>
      </c>
    </row>
    <row r="522" spans="2:7">
      <c r="B522" s="1042">
        <v>21306313</v>
      </c>
      <c r="C522" s="1043" t="s">
        <v>273</v>
      </c>
      <c r="D522" s="1045" t="s">
        <v>1614</v>
      </c>
      <c r="E522" s="2023">
        <f t="shared" si="8"/>
        <v>7.6334894613583129E-2</v>
      </c>
      <c r="F522" s="1044">
        <v>854</v>
      </c>
      <c r="G522" s="2433">
        <v>65.19</v>
      </c>
    </row>
    <row r="523" spans="2:7">
      <c r="B523" s="1042">
        <v>21065750</v>
      </c>
      <c r="C523" s="1043" t="s">
        <v>273</v>
      </c>
      <c r="D523" s="1045" t="s">
        <v>1614</v>
      </c>
      <c r="E523" s="2023">
        <f t="shared" si="8"/>
        <v>7.6336866902237926E-2</v>
      </c>
      <c r="F523" s="1044">
        <v>849</v>
      </c>
      <c r="G523" s="2433">
        <v>64.81</v>
      </c>
    </row>
    <row r="524" spans="2:7">
      <c r="B524" s="1042">
        <v>437122</v>
      </c>
      <c r="C524" s="1043" t="s">
        <v>273</v>
      </c>
      <c r="D524" s="1045" t="s">
        <v>1614</v>
      </c>
      <c r="E524" s="2023">
        <f t="shared" si="8"/>
        <v>7.526564344746163E-2</v>
      </c>
      <c r="F524" s="1044">
        <v>847</v>
      </c>
      <c r="G524" s="2433">
        <v>63.75</v>
      </c>
    </row>
    <row r="525" spans="2:7">
      <c r="B525" s="1042">
        <v>21229216</v>
      </c>
      <c r="C525" s="1043" t="s">
        <v>273</v>
      </c>
      <c r="D525" s="1045" t="s">
        <v>1481</v>
      </c>
      <c r="E525" s="2023">
        <f t="shared" si="8"/>
        <v>7.526132404181185E-2</v>
      </c>
      <c r="F525" s="1044">
        <v>574</v>
      </c>
      <c r="G525" s="2433">
        <v>43.2</v>
      </c>
    </row>
    <row r="526" spans="2:7">
      <c r="B526" s="1042">
        <v>339982</v>
      </c>
      <c r="C526" s="1043" t="s">
        <v>273</v>
      </c>
      <c r="D526" s="1045" t="s">
        <v>1614</v>
      </c>
      <c r="E526" s="2023">
        <f t="shared" si="8"/>
        <v>7.6338862559241716E-2</v>
      </c>
      <c r="F526" s="1044">
        <v>844</v>
      </c>
      <c r="G526" s="2433">
        <v>64.430000000000007</v>
      </c>
    </row>
    <row r="527" spans="2:7">
      <c r="B527" s="1042">
        <v>21202259</v>
      </c>
      <c r="C527" s="1043" t="s">
        <v>273</v>
      </c>
      <c r="D527" s="1045" t="s">
        <v>1614</v>
      </c>
      <c r="E527" s="2023">
        <f t="shared" si="8"/>
        <v>7.6342042755344425E-2</v>
      </c>
      <c r="F527" s="1044">
        <v>842</v>
      </c>
      <c r="G527" s="2433">
        <v>64.28</v>
      </c>
    </row>
    <row r="528" spans="2:7">
      <c r="B528" s="1042">
        <v>734627</v>
      </c>
      <c r="C528" s="1043" t="s">
        <v>273</v>
      </c>
      <c r="D528" s="1045" t="s">
        <v>1614</v>
      </c>
      <c r="E528" s="2023">
        <f t="shared" si="8"/>
        <v>7.6342648845686506E-2</v>
      </c>
      <c r="F528" s="1044">
        <v>823</v>
      </c>
      <c r="G528" s="2433">
        <v>62.83</v>
      </c>
    </row>
    <row r="529" spans="2:7">
      <c r="B529" s="1042">
        <v>21362018</v>
      </c>
      <c r="C529" s="1043" t="s">
        <v>273</v>
      </c>
      <c r="D529" s="1045" t="s">
        <v>1481</v>
      </c>
      <c r="E529" s="2023">
        <f t="shared" si="8"/>
        <v>7.6340361445783128E-2</v>
      </c>
      <c r="F529" s="1044">
        <v>664</v>
      </c>
      <c r="G529" s="2433">
        <v>50.69</v>
      </c>
    </row>
    <row r="530" spans="2:7">
      <c r="B530" s="1042">
        <v>21113113</v>
      </c>
      <c r="C530" s="1043" t="s">
        <v>273</v>
      </c>
      <c r="D530" s="1045" t="s">
        <v>1614</v>
      </c>
      <c r="E530" s="2023">
        <f t="shared" si="8"/>
        <v>7.6336633663366335E-2</v>
      </c>
      <c r="F530" s="1044">
        <v>808</v>
      </c>
      <c r="G530" s="2433">
        <v>61.68</v>
      </c>
    </row>
    <row r="531" spans="2:7">
      <c r="B531" s="1042">
        <v>21478167</v>
      </c>
      <c r="C531" s="1043" t="s">
        <v>273</v>
      </c>
      <c r="D531" s="1045" t="s">
        <v>1481</v>
      </c>
      <c r="E531" s="2023">
        <f t="shared" si="8"/>
        <v>7.6340852130325806E-2</v>
      </c>
      <c r="F531" s="1044">
        <v>1795.5</v>
      </c>
      <c r="G531" s="2433">
        <v>137.07</v>
      </c>
    </row>
    <row r="532" spans="2:7">
      <c r="B532" s="1042">
        <v>602006</v>
      </c>
      <c r="C532" s="1043" t="s">
        <v>274</v>
      </c>
      <c r="D532" s="1045" t="s">
        <v>1614</v>
      </c>
      <c r="E532" s="2023">
        <f t="shared" si="8"/>
        <v>7.6337500000000003E-2</v>
      </c>
      <c r="F532" s="1044">
        <v>800</v>
      </c>
      <c r="G532" s="2433">
        <v>61.07</v>
      </c>
    </row>
    <row r="533" spans="2:7">
      <c r="B533" s="1042">
        <v>21069350</v>
      </c>
      <c r="C533" s="1043" t="s">
        <v>273</v>
      </c>
      <c r="D533" s="1045" t="s">
        <v>1481</v>
      </c>
      <c r="E533" s="2023">
        <f t="shared" si="8"/>
        <v>7.6340746957616445E-2</v>
      </c>
      <c r="F533" s="1044">
        <v>595.75</v>
      </c>
      <c r="G533" s="2433">
        <v>45.48</v>
      </c>
    </row>
    <row r="534" spans="2:7">
      <c r="B534" s="1042">
        <v>798273</v>
      </c>
      <c r="C534" s="1043" t="s">
        <v>273</v>
      </c>
      <c r="D534" s="1045" t="s">
        <v>1614</v>
      </c>
      <c r="E534" s="2023">
        <f t="shared" si="8"/>
        <v>7.6335012594458435E-2</v>
      </c>
      <c r="F534" s="1044">
        <v>794</v>
      </c>
      <c r="G534" s="2433">
        <v>60.61</v>
      </c>
    </row>
    <row r="535" spans="2:7">
      <c r="B535" s="1042">
        <v>21439105</v>
      </c>
      <c r="C535" s="1043" t="s">
        <v>273</v>
      </c>
      <c r="D535" s="1045" t="s">
        <v>1614</v>
      </c>
      <c r="E535" s="2023">
        <f t="shared" si="8"/>
        <v>7.634372367312553E-2</v>
      </c>
      <c r="F535" s="1044">
        <v>1187</v>
      </c>
      <c r="G535" s="2433">
        <v>90.62</v>
      </c>
    </row>
    <row r="536" spans="2:7">
      <c r="B536" s="1042">
        <v>21357480</v>
      </c>
      <c r="C536" s="1043" t="s">
        <v>273</v>
      </c>
      <c r="D536" s="1045" t="s">
        <v>1614</v>
      </c>
      <c r="E536" s="2023">
        <f t="shared" si="8"/>
        <v>7.5259822560202791E-2</v>
      </c>
      <c r="F536" s="1044">
        <v>789</v>
      </c>
      <c r="G536" s="2433">
        <v>59.38</v>
      </c>
    </row>
    <row r="537" spans="2:7">
      <c r="B537" s="1042">
        <v>21010520</v>
      </c>
      <c r="C537" s="1043" t="s">
        <v>273</v>
      </c>
      <c r="D537" s="1045" t="s">
        <v>1614</v>
      </c>
      <c r="E537" s="2023">
        <f t="shared" si="8"/>
        <v>7.6339285714285721E-2</v>
      </c>
      <c r="F537" s="1044">
        <v>784</v>
      </c>
      <c r="G537" s="2433">
        <v>59.85</v>
      </c>
    </row>
    <row r="538" spans="2:7">
      <c r="B538" s="1042">
        <v>550425</v>
      </c>
      <c r="C538" s="1043" t="s">
        <v>273</v>
      </c>
      <c r="D538" s="1045" t="s">
        <v>1614</v>
      </c>
      <c r="E538" s="2023">
        <f t="shared" si="8"/>
        <v>7.6342105263157906E-2</v>
      </c>
      <c r="F538" s="1044">
        <v>760</v>
      </c>
      <c r="G538" s="2433">
        <v>58.02</v>
      </c>
    </row>
    <row r="539" spans="2:7">
      <c r="B539" s="1042">
        <v>725921</v>
      </c>
      <c r="C539" s="1043" t="s">
        <v>273</v>
      </c>
      <c r="D539" s="1045" t="s">
        <v>1614</v>
      </c>
      <c r="E539" s="2023">
        <f t="shared" si="8"/>
        <v>7.633597883597884E-2</v>
      </c>
      <c r="F539" s="1044">
        <v>756</v>
      </c>
      <c r="G539" s="2433">
        <v>57.71</v>
      </c>
    </row>
    <row r="540" spans="2:7">
      <c r="B540" s="1042">
        <v>404240</v>
      </c>
      <c r="C540" s="1043" t="s">
        <v>273</v>
      </c>
      <c r="D540" s="1045" t="s">
        <v>1614</v>
      </c>
      <c r="E540" s="2023">
        <f t="shared" si="8"/>
        <v>7.6345381526104414E-2</v>
      </c>
      <c r="F540" s="1044">
        <v>747</v>
      </c>
      <c r="G540" s="2433">
        <v>57.03</v>
      </c>
    </row>
    <row r="541" spans="2:7">
      <c r="B541" s="1042">
        <v>249626</v>
      </c>
      <c r="C541" s="1043" t="s">
        <v>273</v>
      </c>
      <c r="D541" s="1045" t="s">
        <v>1614</v>
      </c>
      <c r="E541" s="2023">
        <f t="shared" si="8"/>
        <v>7.5257452574525749E-2</v>
      </c>
      <c r="F541" s="1044">
        <v>738</v>
      </c>
      <c r="G541" s="2433">
        <v>55.54</v>
      </c>
    </row>
    <row r="542" spans="2:7">
      <c r="B542" s="1042">
        <v>21216114</v>
      </c>
      <c r="C542" s="1043" t="s">
        <v>273</v>
      </c>
      <c r="D542" s="1045" t="s">
        <v>1614</v>
      </c>
      <c r="E542" s="2023">
        <f t="shared" si="8"/>
        <v>7.6335149863760221E-2</v>
      </c>
      <c r="F542" s="1044">
        <v>734</v>
      </c>
      <c r="G542" s="2433">
        <v>56.03</v>
      </c>
    </row>
    <row r="543" spans="2:7">
      <c r="B543" s="1042">
        <v>21287975</v>
      </c>
      <c r="C543" s="1043" t="s">
        <v>273</v>
      </c>
      <c r="D543" s="1045" t="s">
        <v>1614</v>
      </c>
      <c r="E543" s="2023">
        <f t="shared" si="8"/>
        <v>7.6336088154269968E-2</v>
      </c>
      <c r="F543" s="1044">
        <v>726</v>
      </c>
      <c r="G543" s="2433">
        <v>55.42</v>
      </c>
    </row>
    <row r="544" spans="2:7">
      <c r="B544" s="1042">
        <v>21383026</v>
      </c>
      <c r="C544" s="1043" t="s">
        <v>273</v>
      </c>
      <c r="D544" s="1045" t="s">
        <v>1614</v>
      </c>
      <c r="E544" s="2023">
        <f t="shared" si="8"/>
        <v>7.6336088154269968E-2</v>
      </c>
      <c r="F544" s="1044">
        <v>726</v>
      </c>
      <c r="G544" s="2433">
        <v>55.42</v>
      </c>
    </row>
    <row r="545" spans="2:7">
      <c r="B545" s="1042">
        <v>21218098</v>
      </c>
      <c r="C545" s="1043" t="s">
        <v>273</v>
      </c>
      <c r="D545" s="1045" t="s">
        <v>1614</v>
      </c>
      <c r="E545" s="2023">
        <f t="shared" si="8"/>
        <v>7.6339779005524869E-2</v>
      </c>
      <c r="F545" s="1044">
        <v>724</v>
      </c>
      <c r="G545" s="2433">
        <v>55.27</v>
      </c>
    </row>
    <row r="546" spans="2:7">
      <c r="B546" s="1042">
        <v>21171015</v>
      </c>
      <c r="C546" s="1043" t="s">
        <v>274</v>
      </c>
      <c r="D546" s="1045" t="s">
        <v>1614</v>
      </c>
      <c r="E546" s="2023">
        <f t="shared" si="8"/>
        <v>7.6333333333333336E-2</v>
      </c>
      <c r="F546" s="1044">
        <v>720</v>
      </c>
      <c r="G546" s="2433">
        <v>54.96</v>
      </c>
    </row>
    <row r="547" spans="2:7">
      <c r="B547" s="1042">
        <v>21078592</v>
      </c>
      <c r="C547" s="1043" t="s">
        <v>273</v>
      </c>
      <c r="D547" s="1045" t="s">
        <v>1614</v>
      </c>
      <c r="E547" s="2023">
        <f t="shared" si="8"/>
        <v>7.6342141863699586E-2</v>
      </c>
      <c r="F547" s="1044">
        <v>719</v>
      </c>
      <c r="G547" s="2433">
        <v>54.89</v>
      </c>
    </row>
    <row r="548" spans="2:7">
      <c r="B548" s="1042">
        <v>21431828</v>
      </c>
      <c r="C548" s="1043" t="s">
        <v>273</v>
      </c>
      <c r="D548" s="1045" t="s">
        <v>1614</v>
      </c>
      <c r="E548" s="2023">
        <f t="shared" si="8"/>
        <v>7.6340977068793614E-2</v>
      </c>
      <c r="F548" s="1044">
        <v>1003</v>
      </c>
      <c r="G548" s="2433">
        <v>76.569999999999993</v>
      </c>
    </row>
    <row r="549" spans="2:7">
      <c r="B549" s="1042">
        <v>679452</v>
      </c>
      <c r="C549" s="1043" t="s">
        <v>273</v>
      </c>
      <c r="D549" s="1045" t="s">
        <v>1614</v>
      </c>
      <c r="E549" s="2023">
        <f t="shared" si="8"/>
        <v>7.6334269662921353E-2</v>
      </c>
      <c r="F549" s="1044">
        <v>712</v>
      </c>
      <c r="G549" s="2433">
        <v>54.35</v>
      </c>
    </row>
    <row r="550" spans="2:7">
      <c r="B550" s="1042">
        <v>634946</v>
      </c>
      <c r="C550" s="1043" t="s">
        <v>273</v>
      </c>
      <c r="D550" s="1045" t="s">
        <v>1614</v>
      </c>
      <c r="E550" s="2023">
        <f t="shared" si="8"/>
        <v>7.52542372881356E-2</v>
      </c>
      <c r="F550" s="1044">
        <v>708</v>
      </c>
      <c r="G550" s="2433">
        <v>53.28</v>
      </c>
    </row>
    <row r="551" spans="2:7">
      <c r="B551" s="1042">
        <v>21366245</v>
      </c>
      <c r="C551" s="1043" t="s">
        <v>273</v>
      </c>
      <c r="D551" s="1045" t="s">
        <v>1614</v>
      </c>
      <c r="E551" s="2023">
        <f t="shared" si="8"/>
        <v>7.6335227272727277E-2</v>
      </c>
      <c r="F551" s="1044">
        <v>704</v>
      </c>
      <c r="G551" s="2433">
        <v>53.74</v>
      </c>
    </row>
    <row r="552" spans="2:7">
      <c r="B552" s="1042">
        <v>21062657</v>
      </c>
      <c r="C552" s="1043" t="s">
        <v>273</v>
      </c>
      <c r="D552" s="1045" t="s">
        <v>1614</v>
      </c>
      <c r="E552" s="2023">
        <f t="shared" si="8"/>
        <v>7.5263157894736837E-2</v>
      </c>
      <c r="F552" s="1044">
        <v>703</v>
      </c>
      <c r="G552" s="2433">
        <v>52.91</v>
      </c>
    </row>
    <row r="553" spans="2:7">
      <c r="B553" s="1042">
        <v>21034492</v>
      </c>
      <c r="C553" s="1043" t="s">
        <v>273</v>
      </c>
      <c r="D553" s="1045" t="s">
        <v>1481</v>
      </c>
      <c r="E553" s="2023">
        <f t="shared" si="8"/>
        <v>7.5264116575591983E-2</v>
      </c>
      <c r="F553" s="1044">
        <v>549</v>
      </c>
      <c r="G553" s="2433">
        <v>41.32</v>
      </c>
    </row>
    <row r="554" spans="2:7">
      <c r="B554" s="1042">
        <v>879971</v>
      </c>
      <c r="C554" s="1043" t="s">
        <v>273</v>
      </c>
      <c r="D554" s="1045" t="s">
        <v>1614</v>
      </c>
      <c r="E554" s="2023">
        <f t="shared" si="8"/>
        <v>7.633762517882689E-2</v>
      </c>
      <c r="F554" s="1044">
        <v>699</v>
      </c>
      <c r="G554" s="2433">
        <v>53.36</v>
      </c>
    </row>
    <row r="555" spans="2:7">
      <c r="B555" s="1042">
        <v>462260</v>
      </c>
      <c r="C555" s="1043" t="s">
        <v>273</v>
      </c>
      <c r="D555" s="1045" t="s">
        <v>1481</v>
      </c>
      <c r="E555" s="2023">
        <f t="shared" si="8"/>
        <v>7.5261121856866536E-2</v>
      </c>
      <c r="F555" s="1044">
        <v>517</v>
      </c>
      <c r="G555" s="2433">
        <v>38.909999999999997</v>
      </c>
    </row>
    <row r="556" spans="2:7">
      <c r="B556" s="1042">
        <v>227147</v>
      </c>
      <c r="C556" s="1043" t="s">
        <v>273</v>
      </c>
      <c r="D556" s="1045" t="s">
        <v>1614</v>
      </c>
      <c r="E556" s="2023">
        <f t="shared" si="8"/>
        <v>7.5266187050359715E-2</v>
      </c>
      <c r="F556" s="1044">
        <v>695</v>
      </c>
      <c r="G556" s="2433">
        <v>52.31</v>
      </c>
    </row>
    <row r="557" spans="2:7">
      <c r="B557" s="1042">
        <v>21390786</v>
      </c>
      <c r="C557" s="1043" t="s">
        <v>273</v>
      </c>
      <c r="D557" s="1045" t="s">
        <v>1614</v>
      </c>
      <c r="E557" s="2023">
        <f t="shared" si="8"/>
        <v>7.5253256150506515E-2</v>
      </c>
      <c r="F557" s="1044">
        <v>691</v>
      </c>
      <c r="G557" s="2433">
        <v>52</v>
      </c>
    </row>
    <row r="558" spans="2:7">
      <c r="B558" s="1042">
        <v>21415435</v>
      </c>
      <c r="C558" s="1043" t="s">
        <v>273</v>
      </c>
      <c r="D558" s="1045" t="s">
        <v>1614</v>
      </c>
      <c r="E558" s="2023">
        <f t="shared" si="8"/>
        <v>7.6333333333333336E-2</v>
      </c>
      <c r="F558" s="1044">
        <v>420</v>
      </c>
      <c r="G558" s="2433">
        <v>32.06</v>
      </c>
    </row>
    <row r="559" spans="2:7">
      <c r="B559" s="1042">
        <v>21427644</v>
      </c>
      <c r="C559" s="1043" t="s">
        <v>274</v>
      </c>
      <c r="D559" s="1045" t="s">
        <v>1481</v>
      </c>
      <c r="E559" s="2023">
        <f t="shared" si="8"/>
        <v>7.6340719993409675E-2</v>
      </c>
      <c r="F559" s="1044">
        <v>6069.5</v>
      </c>
      <c r="G559" s="2433">
        <v>463.35</v>
      </c>
    </row>
    <row r="560" spans="2:7">
      <c r="B560" s="1042">
        <v>21078780</v>
      </c>
      <c r="C560" s="1043" t="s">
        <v>273</v>
      </c>
      <c r="D560" s="1045" t="s">
        <v>1614</v>
      </c>
      <c r="E560" s="2023">
        <f t="shared" si="8"/>
        <v>7.6343612334801761E-2</v>
      </c>
      <c r="F560" s="1044">
        <v>681</v>
      </c>
      <c r="G560" s="2433">
        <v>51.99</v>
      </c>
    </row>
    <row r="561" spans="2:7">
      <c r="B561" s="1042">
        <v>515787</v>
      </c>
      <c r="C561" s="1043" t="s">
        <v>273</v>
      </c>
      <c r="D561" s="1045" t="s">
        <v>1614</v>
      </c>
      <c r="E561" s="2023">
        <f t="shared" si="8"/>
        <v>7.6342182890855453E-2</v>
      </c>
      <c r="F561" s="1044">
        <v>678</v>
      </c>
      <c r="G561" s="2433">
        <v>51.76</v>
      </c>
    </row>
    <row r="562" spans="2:7">
      <c r="B562" s="1042">
        <v>458737</v>
      </c>
      <c r="C562" s="1043" t="s">
        <v>273</v>
      </c>
      <c r="D562" s="1045" t="s">
        <v>1481</v>
      </c>
      <c r="E562" s="2023">
        <f t="shared" si="8"/>
        <v>7.6359743040685213E-2</v>
      </c>
      <c r="F562" s="1044">
        <v>233.5</v>
      </c>
      <c r="G562" s="2433">
        <v>17.829999999999998</v>
      </c>
    </row>
    <row r="563" spans="2:7">
      <c r="B563" s="1042">
        <v>21246064</v>
      </c>
      <c r="C563" s="1043" t="s">
        <v>273</v>
      </c>
      <c r="D563" s="1045" t="s">
        <v>1614</v>
      </c>
      <c r="E563" s="2023">
        <f t="shared" si="8"/>
        <v>7.6333830104321904E-2</v>
      </c>
      <c r="F563" s="1044">
        <v>671</v>
      </c>
      <c r="G563" s="2433">
        <v>51.22</v>
      </c>
    </row>
    <row r="564" spans="2:7">
      <c r="B564" s="1042">
        <v>21026221</v>
      </c>
      <c r="C564" s="1043" t="s">
        <v>273</v>
      </c>
      <c r="D564" s="1045" t="s">
        <v>1614</v>
      </c>
      <c r="E564" s="2023">
        <f t="shared" si="8"/>
        <v>7.6343283582089555E-2</v>
      </c>
      <c r="F564" s="1044">
        <v>670</v>
      </c>
      <c r="G564" s="2433">
        <v>51.15</v>
      </c>
    </row>
    <row r="565" spans="2:7">
      <c r="B565" s="1042">
        <v>21005284</v>
      </c>
      <c r="C565" s="1043" t="s">
        <v>273</v>
      </c>
      <c r="D565" s="1045" t="s">
        <v>1614</v>
      </c>
      <c r="E565" s="2023">
        <f t="shared" si="8"/>
        <v>7.6337817638266067E-2</v>
      </c>
      <c r="F565" s="1044">
        <v>669</v>
      </c>
      <c r="G565" s="2433">
        <v>51.07</v>
      </c>
    </row>
    <row r="566" spans="2:7">
      <c r="B566" s="1042">
        <v>21340637</v>
      </c>
      <c r="C566" s="1043" t="s">
        <v>273</v>
      </c>
      <c r="D566" s="1045" t="s">
        <v>1614</v>
      </c>
      <c r="E566" s="2023">
        <f t="shared" si="8"/>
        <v>7.6337817638266067E-2</v>
      </c>
      <c r="F566" s="1044">
        <v>669</v>
      </c>
      <c r="G566" s="2433">
        <v>51.07</v>
      </c>
    </row>
    <row r="567" spans="2:7">
      <c r="B567" s="1042">
        <v>620865</v>
      </c>
      <c r="C567" s="1043" t="s">
        <v>273</v>
      </c>
      <c r="D567" s="1045" t="s">
        <v>1614</v>
      </c>
      <c r="E567" s="2023">
        <f t="shared" si="8"/>
        <v>7.5255255255255254E-2</v>
      </c>
      <c r="F567" s="1044">
        <v>666</v>
      </c>
      <c r="G567" s="2433">
        <v>50.12</v>
      </c>
    </row>
    <row r="568" spans="2:7">
      <c r="B568" s="1042">
        <v>21228229</v>
      </c>
      <c r="C568" s="1043" t="s">
        <v>273</v>
      </c>
      <c r="D568" s="1045" t="s">
        <v>1614</v>
      </c>
      <c r="E568" s="2023">
        <f t="shared" si="8"/>
        <v>7.6338880484114982E-2</v>
      </c>
      <c r="F568" s="1044">
        <v>661</v>
      </c>
      <c r="G568" s="2433">
        <v>50.46</v>
      </c>
    </row>
    <row r="569" spans="2:7">
      <c r="B569" s="1042">
        <v>754465</v>
      </c>
      <c r="C569" s="1043" t="s">
        <v>273</v>
      </c>
      <c r="D569" s="1045" t="s">
        <v>1614</v>
      </c>
      <c r="E569" s="2023">
        <f t="shared" si="8"/>
        <v>7.6347031963470313E-2</v>
      </c>
      <c r="F569" s="1044">
        <v>657</v>
      </c>
      <c r="G569" s="2433">
        <v>50.16</v>
      </c>
    </row>
    <row r="570" spans="2:7">
      <c r="B570" s="1042">
        <v>787125</v>
      </c>
      <c r="C570" s="1043" t="s">
        <v>273</v>
      </c>
      <c r="D570" s="1045" t="s">
        <v>1614</v>
      </c>
      <c r="E570" s="2023">
        <f t="shared" si="8"/>
        <v>7.6344086021505386E-2</v>
      </c>
      <c r="F570" s="1044">
        <v>651</v>
      </c>
      <c r="G570" s="2433">
        <v>49.7</v>
      </c>
    </row>
    <row r="571" spans="2:7">
      <c r="B571" s="1042">
        <v>307110</v>
      </c>
      <c r="C571" s="1043" t="s">
        <v>273</v>
      </c>
      <c r="D571" s="1045" t="s">
        <v>1614</v>
      </c>
      <c r="E571" s="2023">
        <f t="shared" si="8"/>
        <v>7.6338028169014083E-2</v>
      </c>
      <c r="F571" s="1044">
        <v>639</v>
      </c>
      <c r="G571" s="2433">
        <v>48.78</v>
      </c>
    </row>
    <row r="572" spans="2:7">
      <c r="B572" s="1042">
        <v>810670</v>
      </c>
      <c r="C572" s="1043" t="s">
        <v>273</v>
      </c>
      <c r="D572" s="1045" t="s">
        <v>1614</v>
      </c>
      <c r="E572" s="2023">
        <f t="shared" si="8"/>
        <v>7.5259842519685038E-2</v>
      </c>
      <c r="F572" s="1044">
        <v>635</v>
      </c>
      <c r="G572" s="2433">
        <v>47.79</v>
      </c>
    </row>
    <row r="573" spans="2:7">
      <c r="B573" s="1042">
        <v>21203458</v>
      </c>
      <c r="C573" s="1043" t="s">
        <v>273</v>
      </c>
      <c r="D573" s="1045" t="s">
        <v>1614</v>
      </c>
      <c r="E573" s="2023">
        <f t="shared" si="8"/>
        <v>7.633914421553091E-2</v>
      </c>
      <c r="F573" s="1044">
        <v>631</v>
      </c>
      <c r="G573" s="2433">
        <v>48.17</v>
      </c>
    </row>
    <row r="574" spans="2:7">
      <c r="B574" s="1042">
        <v>21448414</v>
      </c>
      <c r="C574" s="1043" t="s">
        <v>273</v>
      </c>
      <c r="D574" s="1045" t="s">
        <v>1481</v>
      </c>
      <c r="E574" s="2023">
        <f t="shared" si="8"/>
        <v>7.5258735072976563E-2</v>
      </c>
      <c r="F574" s="1044">
        <v>565.25</v>
      </c>
      <c r="G574" s="2433">
        <v>42.54</v>
      </c>
    </row>
    <row r="575" spans="2:7">
      <c r="B575" s="1042">
        <v>21460835</v>
      </c>
      <c r="C575" s="1043" t="s">
        <v>273</v>
      </c>
      <c r="D575" s="1045" t="s">
        <v>1481</v>
      </c>
      <c r="E575" s="2023">
        <f t="shared" si="8"/>
        <v>7.6337823079723324E-2</v>
      </c>
      <c r="F575" s="1044">
        <v>1373.5</v>
      </c>
      <c r="G575" s="2433">
        <v>104.85</v>
      </c>
    </row>
    <row r="576" spans="2:7">
      <c r="B576" s="1042">
        <v>21431280</v>
      </c>
      <c r="C576" s="1043" t="s">
        <v>273</v>
      </c>
      <c r="D576" s="1045" t="s">
        <v>1614</v>
      </c>
      <c r="E576" s="2023">
        <f t="shared" si="8"/>
        <v>7.6341296928327654E-2</v>
      </c>
      <c r="F576" s="1044">
        <v>1465</v>
      </c>
      <c r="G576" s="2433">
        <v>111.84</v>
      </c>
    </row>
    <row r="577" spans="2:7">
      <c r="B577" s="1042">
        <v>21064069</v>
      </c>
      <c r="C577" s="1043" t="s">
        <v>273</v>
      </c>
      <c r="D577" s="1045" t="s">
        <v>1614</v>
      </c>
      <c r="E577" s="2023">
        <f t="shared" si="8"/>
        <v>7.6337115072933545E-2</v>
      </c>
      <c r="F577" s="1044">
        <v>617</v>
      </c>
      <c r="G577" s="2433">
        <v>47.1</v>
      </c>
    </row>
    <row r="578" spans="2:7">
      <c r="B578" s="1042">
        <v>21298139</v>
      </c>
      <c r="C578" s="1043" t="s">
        <v>273</v>
      </c>
      <c r="D578" s="1045" t="s">
        <v>1614</v>
      </c>
      <c r="E578" s="2023">
        <f t="shared" si="8"/>
        <v>7.6347402597402594E-2</v>
      </c>
      <c r="F578" s="1044">
        <v>616</v>
      </c>
      <c r="G578" s="2433">
        <v>47.03</v>
      </c>
    </row>
    <row r="579" spans="2:7">
      <c r="B579" s="1042">
        <v>370358</v>
      </c>
      <c r="C579" s="1043" t="s">
        <v>273</v>
      </c>
      <c r="D579" s="1045" t="s">
        <v>1481</v>
      </c>
      <c r="E579" s="2023">
        <f t="shared" si="8"/>
        <v>7.5264797507788167E-2</v>
      </c>
      <c r="F579" s="1044">
        <v>481.5</v>
      </c>
      <c r="G579" s="2433">
        <v>36.24</v>
      </c>
    </row>
    <row r="580" spans="2:7">
      <c r="B580" s="1042">
        <v>873109</v>
      </c>
      <c r="C580" s="1043" t="s">
        <v>273</v>
      </c>
      <c r="D580" s="1045" t="s">
        <v>1614</v>
      </c>
      <c r="E580" s="2023">
        <f t="shared" si="8"/>
        <v>7.5261437908496737E-2</v>
      </c>
      <c r="F580" s="1044">
        <v>612</v>
      </c>
      <c r="G580" s="2433">
        <v>46.06</v>
      </c>
    </row>
    <row r="581" spans="2:7">
      <c r="B581" s="1042">
        <v>402794</v>
      </c>
      <c r="C581" s="1043" t="s">
        <v>273</v>
      </c>
      <c r="D581" s="1045" t="s">
        <v>1614</v>
      </c>
      <c r="E581" s="2023">
        <f t="shared" ref="E581:E644" si="9">G581/F581</f>
        <v>7.6338259441707718E-2</v>
      </c>
      <c r="F581" s="1044">
        <v>609</v>
      </c>
      <c r="G581" s="2433">
        <v>46.49</v>
      </c>
    </row>
    <row r="582" spans="2:7">
      <c r="B582" s="1042">
        <v>252960</v>
      </c>
      <c r="C582" s="1043" t="s">
        <v>273</v>
      </c>
      <c r="D582" s="1045" t="s">
        <v>1614</v>
      </c>
      <c r="E582" s="2023">
        <f t="shared" si="9"/>
        <v>7.634390651085142E-2</v>
      </c>
      <c r="F582" s="1044">
        <v>599</v>
      </c>
      <c r="G582" s="2433">
        <v>45.73</v>
      </c>
    </row>
    <row r="583" spans="2:7">
      <c r="B583" s="1042">
        <v>227475</v>
      </c>
      <c r="C583" s="1043" t="s">
        <v>273</v>
      </c>
      <c r="D583" s="1045" t="s">
        <v>1614</v>
      </c>
      <c r="E583" s="2023">
        <f t="shared" si="9"/>
        <v>7.634390651085142E-2</v>
      </c>
      <c r="F583" s="1044">
        <v>599</v>
      </c>
      <c r="G583" s="2433">
        <v>45.73</v>
      </c>
    </row>
    <row r="584" spans="2:7">
      <c r="B584" s="1042">
        <v>177533</v>
      </c>
      <c r="C584" s="1043" t="s">
        <v>273</v>
      </c>
      <c r="D584" s="1045" t="s">
        <v>1614</v>
      </c>
      <c r="E584" s="2023">
        <f t="shared" si="9"/>
        <v>7.6340640809443513E-2</v>
      </c>
      <c r="F584" s="1044">
        <v>593</v>
      </c>
      <c r="G584" s="2433">
        <v>45.27</v>
      </c>
    </row>
    <row r="585" spans="2:7">
      <c r="B585" s="1042">
        <v>309407</v>
      </c>
      <c r="C585" s="1043" t="s">
        <v>273</v>
      </c>
      <c r="D585" s="1045" t="s">
        <v>1614</v>
      </c>
      <c r="E585" s="2023">
        <f t="shared" si="9"/>
        <v>7.6332179930795843E-2</v>
      </c>
      <c r="F585" s="1044">
        <v>578</v>
      </c>
      <c r="G585" s="2433">
        <v>44.12</v>
      </c>
    </row>
    <row r="586" spans="2:7">
      <c r="B586" s="1042">
        <v>21193026</v>
      </c>
      <c r="C586" s="1043" t="s">
        <v>273</v>
      </c>
      <c r="D586" s="1045" t="s">
        <v>1614</v>
      </c>
      <c r="E586" s="2023">
        <f t="shared" si="9"/>
        <v>7.6343154246100511E-2</v>
      </c>
      <c r="F586" s="1044">
        <v>577</v>
      </c>
      <c r="G586" s="2433">
        <v>44.05</v>
      </c>
    </row>
    <row r="587" spans="2:7">
      <c r="B587" s="1042">
        <v>177493</v>
      </c>
      <c r="C587" s="1043" t="s">
        <v>273</v>
      </c>
      <c r="D587" s="1045" t="s">
        <v>1614</v>
      </c>
      <c r="E587" s="2023">
        <f t="shared" si="9"/>
        <v>7.6331569664902996E-2</v>
      </c>
      <c r="F587" s="1044">
        <v>567</v>
      </c>
      <c r="G587" s="2433">
        <v>43.28</v>
      </c>
    </row>
    <row r="588" spans="2:7">
      <c r="B588" s="1042">
        <v>223602</v>
      </c>
      <c r="C588" s="1043" t="s">
        <v>274</v>
      </c>
      <c r="D588" s="1045" t="s">
        <v>1614</v>
      </c>
      <c r="E588" s="2023">
        <f t="shared" si="9"/>
        <v>7.6339285714285721E-2</v>
      </c>
      <c r="F588" s="1044">
        <v>560</v>
      </c>
      <c r="G588" s="2433">
        <v>42.75</v>
      </c>
    </row>
    <row r="589" spans="2:7">
      <c r="B589" s="1042">
        <v>687681</v>
      </c>
      <c r="C589" s="1043" t="s">
        <v>273</v>
      </c>
      <c r="D589" s="1045" t="s">
        <v>1614</v>
      </c>
      <c r="E589" s="2023">
        <f t="shared" si="9"/>
        <v>7.6348920863309355E-2</v>
      </c>
      <c r="F589" s="1044">
        <v>556</v>
      </c>
      <c r="G589" s="2433">
        <v>42.45</v>
      </c>
    </row>
    <row r="590" spans="2:7">
      <c r="B590" s="1042">
        <v>519918</v>
      </c>
      <c r="C590" s="1043" t="s">
        <v>273</v>
      </c>
      <c r="D590" s="1045" t="s">
        <v>1614</v>
      </c>
      <c r="E590" s="2023">
        <f t="shared" si="9"/>
        <v>7.6342342342342343E-2</v>
      </c>
      <c r="F590" s="1044">
        <v>555</v>
      </c>
      <c r="G590" s="2433">
        <v>42.37</v>
      </c>
    </row>
    <row r="591" spans="2:7">
      <c r="B591" s="1042">
        <v>21108045</v>
      </c>
      <c r="C591" s="1043" t="s">
        <v>273</v>
      </c>
      <c r="D591" s="1045" t="s">
        <v>1614</v>
      </c>
      <c r="E591" s="2023">
        <f t="shared" si="9"/>
        <v>7.634545454545455E-2</v>
      </c>
      <c r="F591" s="1044">
        <v>550</v>
      </c>
      <c r="G591" s="2433">
        <v>41.99</v>
      </c>
    </row>
    <row r="592" spans="2:7">
      <c r="B592" s="1042">
        <v>597771</v>
      </c>
      <c r="C592" s="1043" t="s">
        <v>273</v>
      </c>
      <c r="D592" s="1045" t="s">
        <v>1614</v>
      </c>
      <c r="E592" s="2023">
        <f t="shared" si="9"/>
        <v>7.6338797814207646E-2</v>
      </c>
      <c r="F592" s="1044">
        <v>549</v>
      </c>
      <c r="G592" s="2433">
        <v>41.91</v>
      </c>
    </row>
    <row r="593" spans="2:7">
      <c r="B593" s="1042">
        <v>227043</v>
      </c>
      <c r="C593" s="1043" t="s">
        <v>273</v>
      </c>
      <c r="D593" s="1045" t="s">
        <v>1614</v>
      </c>
      <c r="E593" s="2023">
        <f t="shared" si="9"/>
        <v>7.6348623853211006E-2</v>
      </c>
      <c r="F593" s="1044">
        <v>545</v>
      </c>
      <c r="G593" s="2433">
        <v>41.61</v>
      </c>
    </row>
    <row r="594" spans="2:7">
      <c r="B594" s="1042">
        <v>251719</v>
      </c>
      <c r="C594" s="1043" t="s">
        <v>273</v>
      </c>
      <c r="D594" s="1045" t="s">
        <v>1614</v>
      </c>
      <c r="E594" s="2023">
        <f t="shared" si="9"/>
        <v>7.6335174953959486E-2</v>
      </c>
      <c r="F594" s="1044">
        <v>543</v>
      </c>
      <c r="G594" s="2433">
        <v>41.45</v>
      </c>
    </row>
    <row r="595" spans="2:7">
      <c r="B595" s="1042">
        <v>21415567</v>
      </c>
      <c r="C595" s="1043" t="s">
        <v>273</v>
      </c>
      <c r="D595" s="1045" t="s">
        <v>1614</v>
      </c>
      <c r="E595" s="2023">
        <f t="shared" si="9"/>
        <v>7.526901669758812E-2</v>
      </c>
      <c r="F595" s="1044">
        <v>539</v>
      </c>
      <c r="G595" s="2433">
        <v>40.57</v>
      </c>
    </row>
    <row r="596" spans="2:7">
      <c r="B596" s="1042">
        <v>289996</v>
      </c>
      <c r="C596" s="1043" t="s">
        <v>273</v>
      </c>
      <c r="D596" s="1045" t="s">
        <v>1614</v>
      </c>
      <c r="E596" s="2023">
        <f t="shared" si="9"/>
        <v>7.6343283582089555E-2</v>
      </c>
      <c r="F596" s="1044">
        <v>536</v>
      </c>
      <c r="G596" s="2433">
        <v>40.92</v>
      </c>
    </row>
    <row r="597" spans="2:7">
      <c r="B597" s="1042">
        <v>21000433</v>
      </c>
      <c r="C597" s="1043" t="s">
        <v>273</v>
      </c>
      <c r="D597" s="1045" t="s">
        <v>1614</v>
      </c>
      <c r="E597" s="2023">
        <f t="shared" si="9"/>
        <v>7.6343283582089555E-2</v>
      </c>
      <c r="F597" s="1044">
        <v>536</v>
      </c>
      <c r="G597" s="2433">
        <v>40.92</v>
      </c>
    </row>
    <row r="598" spans="2:7">
      <c r="B598" s="1042">
        <v>892717</v>
      </c>
      <c r="C598" s="1043" t="s">
        <v>274</v>
      </c>
      <c r="D598" s="1045" t="s">
        <v>1614</v>
      </c>
      <c r="E598" s="2023">
        <f t="shared" si="9"/>
        <v>7.6341463414634145E-2</v>
      </c>
      <c r="F598" s="1044">
        <v>533</v>
      </c>
      <c r="G598" s="2433">
        <v>40.69</v>
      </c>
    </row>
    <row r="599" spans="2:7">
      <c r="B599" s="1042">
        <v>178789</v>
      </c>
      <c r="C599" s="1043" t="s">
        <v>273</v>
      </c>
      <c r="D599" s="1045" t="s">
        <v>1614</v>
      </c>
      <c r="E599" s="2023">
        <f t="shared" si="9"/>
        <v>7.6335282651072117E-2</v>
      </c>
      <c r="F599" s="1044">
        <v>513</v>
      </c>
      <c r="G599" s="2433">
        <v>39.159999999999997</v>
      </c>
    </row>
    <row r="600" spans="2:7">
      <c r="B600" s="1042">
        <v>21273561</v>
      </c>
      <c r="C600" s="1043" t="s">
        <v>273</v>
      </c>
      <c r="D600" s="1045" t="s">
        <v>1614</v>
      </c>
      <c r="E600" s="2023">
        <f t="shared" si="9"/>
        <v>7.6347656250000007E-2</v>
      </c>
      <c r="F600" s="1044">
        <v>512</v>
      </c>
      <c r="G600" s="2433">
        <v>39.090000000000003</v>
      </c>
    </row>
    <row r="601" spans="2:7">
      <c r="B601" s="1042">
        <v>21129532</v>
      </c>
      <c r="C601" s="1043" t="s">
        <v>273</v>
      </c>
      <c r="D601" s="1045" t="s">
        <v>1614</v>
      </c>
      <c r="E601" s="2023">
        <f t="shared" si="9"/>
        <v>7.6349206349206347E-2</v>
      </c>
      <c r="F601" s="1044">
        <v>504</v>
      </c>
      <c r="G601" s="2433">
        <v>38.479999999999997</v>
      </c>
    </row>
    <row r="602" spans="2:7">
      <c r="B602" s="1042">
        <v>333651</v>
      </c>
      <c r="C602" s="1043" t="s">
        <v>273</v>
      </c>
      <c r="D602" s="1045" t="s">
        <v>1614</v>
      </c>
      <c r="E602" s="2023">
        <f t="shared" si="9"/>
        <v>7.5268389662027826E-2</v>
      </c>
      <c r="F602" s="1044">
        <v>503</v>
      </c>
      <c r="G602" s="2433">
        <v>37.86</v>
      </c>
    </row>
    <row r="603" spans="2:7">
      <c r="B603" s="1042">
        <v>533055</v>
      </c>
      <c r="C603" s="1043" t="s">
        <v>273</v>
      </c>
      <c r="D603" s="1045" t="s">
        <v>1481</v>
      </c>
      <c r="E603" s="2023">
        <f t="shared" si="9"/>
        <v>7.526132404181185E-2</v>
      </c>
      <c r="F603" s="1044">
        <v>430.5</v>
      </c>
      <c r="G603" s="2433">
        <v>32.4</v>
      </c>
    </row>
    <row r="604" spans="2:7">
      <c r="B604" s="1042">
        <v>870721</v>
      </c>
      <c r="C604" s="1043" t="s">
        <v>273</v>
      </c>
      <c r="D604" s="1045" t="s">
        <v>1614</v>
      </c>
      <c r="E604" s="2023">
        <f t="shared" si="9"/>
        <v>7.6347305389221562E-2</v>
      </c>
      <c r="F604" s="1044">
        <v>501</v>
      </c>
      <c r="G604" s="2433">
        <v>38.25</v>
      </c>
    </row>
    <row r="605" spans="2:7">
      <c r="B605" s="1042">
        <v>803662</v>
      </c>
      <c r="C605" s="1043" t="s">
        <v>273</v>
      </c>
      <c r="D605" s="1045" t="s">
        <v>1614</v>
      </c>
      <c r="E605" s="2023">
        <f t="shared" si="9"/>
        <v>7.6332665330661326E-2</v>
      </c>
      <c r="F605" s="1044">
        <v>499</v>
      </c>
      <c r="G605" s="2433">
        <v>38.090000000000003</v>
      </c>
    </row>
    <row r="606" spans="2:7">
      <c r="B606" s="1042">
        <v>21227415</v>
      </c>
      <c r="C606" s="1043" t="s">
        <v>273</v>
      </c>
      <c r="D606" s="1045" t="s">
        <v>1614</v>
      </c>
      <c r="E606" s="2023">
        <f t="shared" si="9"/>
        <v>7.6345381526104428E-2</v>
      </c>
      <c r="F606" s="1044">
        <v>498</v>
      </c>
      <c r="G606" s="2433">
        <v>38.020000000000003</v>
      </c>
    </row>
    <row r="607" spans="2:7">
      <c r="B607" s="1042">
        <v>623779</v>
      </c>
      <c r="C607" s="1043" t="s">
        <v>273</v>
      </c>
      <c r="D607" s="1045" t="s">
        <v>1614</v>
      </c>
      <c r="E607" s="2023">
        <f t="shared" si="9"/>
        <v>7.6345381526104428E-2</v>
      </c>
      <c r="F607" s="1044">
        <v>498</v>
      </c>
      <c r="G607" s="2433">
        <v>38.020000000000003</v>
      </c>
    </row>
    <row r="608" spans="2:7">
      <c r="B608" s="1042">
        <v>562696</v>
      </c>
      <c r="C608" s="1043" t="s">
        <v>273</v>
      </c>
      <c r="D608" s="1045" t="s">
        <v>1614</v>
      </c>
      <c r="E608" s="2023">
        <f t="shared" si="9"/>
        <v>7.6346938775510201E-2</v>
      </c>
      <c r="F608" s="1044">
        <v>490</v>
      </c>
      <c r="G608" s="2433">
        <v>37.409999999999997</v>
      </c>
    </row>
    <row r="609" spans="2:7">
      <c r="B609" s="1042">
        <v>21227610</v>
      </c>
      <c r="C609" s="1043" t="s">
        <v>273</v>
      </c>
      <c r="D609" s="1045" t="s">
        <v>1614</v>
      </c>
      <c r="E609" s="2023">
        <f t="shared" si="9"/>
        <v>7.5266393442622939E-2</v>
      </c>
      <c r="F609" s="1044">
        <v>488</v>
      </c>
      <c r="G609" s="2433">
        <v>36.729999999999997</v>
      </c>
    </row>
    <row r="610" spans="2:7">
      <c r="B610" s="1042">
        <v>21140355</v>
      </c>
      <c r="C610" s="1043" t="s">
        <v>274</v>
      </c>
      <c r="D610" s="1045" t="s">
        <v>1614</v>
      </c>
      <c r="E610" s="2023">
        <f t="shared" si="9"/>
        <v>7.6344537815126054E-2</v>
      </c>
      <c r="F610" s="1044">
        <v>476</v>
      </c>
      <c r="G610" s="2433">
        <v>36.340000000000003</v>
      </c>
    </row>
    <row r="611" spans="2:7">
      <c r="B611" s="1042">
        <v>258740</v>
      </c>
      <c r="C611" s="1043" t="s">
        <v>273</v>
      </c>
      <c r="D611" s="1045" t="s">
        <v>1614</v>
      </c>
      <c r="E611" s="2023">
        <f t="shared" si="9"/>
        <v>7.6330472103004296E-2</v>
      </c>
      <c r="F611" s="1044">
        <v>466</v>
      </c>
      <c r="G611" s="2433">
        <v>35.57</v>
      </c>
    </row>
    <row r="612" spans="2:7">
      <c r="B612" s="1042">
        <v>259454</v>
      </c>
      <c r="C612" s="1043" t="s">
        <v>273</v>
      </c>
      <c r="D612" s="1045" t="s">
        <v>1614</v>
      </c>
      <c r="E612" s="2023">
        <f t="shared" si="9"/>
        <v>7.634199134199135E-2</v>
      </c>
      <c r="F612" s="1044">
        <v>462</v>
      </c>
      <c r="G612" s="2433">
        <v>35.270000000000003</v>
      </c>
    </row>
    <row r="613" spans="2:7">
      <c r="B613" s="1042">
        <v>659031</v>
      </c>
      <c r="C613" s="1043" t="s">
        <v>273</v>
      </c>
      <c r="D613" s="1045" t="s">
        <v>1614</v>
      </c>
      <c r="E613" s="2023">
        <f t="shared" si="9"/>
        <v>7.6337719298245621E-2</v>
      </c>
      <c r="F613" s="1044">
        <v>456</v>
      </c>
      <c r="G613" s="2433">
        <v>34.81</v>
      </c>
    </row>
    <row r="614" spans="2:7">
      <c r="B614" s="1042">
        <v>888320</v>
      </c>
      <c r="C614" s="1043" t="s">
        <v>273</v>
      </c>
      <c r="D614" s="1045" t="s">
        <v>1614</v>
      </c>
      <c r="E614" s="2023">
        <f t="shared" si="9"/>
        <v>7.6329670329670321E-2</v>
      </c>
      <c r="F614" s="1044">
        <v>455</v>
      </c>
      <c r="G614" s="2433">
        <v>34.729999999999997</v>
      </c>
    </row>
    <row r="615" spans="2:7">
      <c r="B615" s="1042">
        <v>235302</v>
      </c>
      <c r="C615" s="1043" t="s">
        <v>273</v>
      </c>
      <c r="D615" s="1045" t="s">
        <v>1614</v>
      </c>
      <c r="E615" s="2023">
        <f t="shared" si="9"/>
        <v>7.6343612334801761E-2</v>
      </c>
      <c r="F615" s="1044">
        <v>454</v>
      </c>
      <c r="G615" s="2433">
        <v>34.659999999999997</v>
      </c>
    </row>
    <row r="616" spans="2:7">
      <c r="B616" s="1042">
        <v>748805</v>
      </c>
      <c r="C616" s="1043" t="s">
        <v>273</v>
      </c>
      <c r="D616" s="1045" t="s">
        <v>1614</v>
      </c>
      <c r="E616" s="2023">
        <f t="shared" si="9"/>
        <v>7.6343612334801761E-2</v>
      </c>
      <c r="F616" s="1044">
        <v>454</v>
      </c>
      <c r="G616" s="2433">
        <v>34.659999999999997</v>
      </c>
    </row>
    <row r="617" spans="2:7">
      <c r="B617" s="1042">
        <v>785653</v>
      </c>
      <c r="C617" s="1043" t="s">
        <v>273</v>
      </c>
      <c r="D617" s="1045" t="s">
        <v>1614</v>
      </c>
      <c r="E617" s="2023">
        <f t="shared" si="9"/>
        <v>7.6347438752783964E-2</v>
      </c>
      <c r="F617" s="1044">
        <v>449</v>
      </c>
      <c r="G617" s="2433">
        <v>34.28</v>
      </c>
    </row>
    <row r="618" spans="2:7">
      <c r="B618" s="1042">
        <v>250597</v>
      </c>
      <c r="C618" s="1043" t="s">
        <v>273</v>
      </c>
      <c r="D618" s="1045" t="s">
        <v>1614</v>
      </c>
      <c r="E618" s="2023">
        <f t="shared" si="9"/>
        <v>7.6339285714285721E-2</v>
      </c>
      <c r="F618" s="1044">
        <v>448</v>
      </c>
      <c r="G618" s="2433">
        <v>34.200000000000003</v>
      </c>
    </row>
    <row r="619" spans="2:7">
      <c r="B619" s="1042">
        <v>21435448</v>
      </c>
      <c r="C619" s="1043" t="s">
        <v>273</v>
      </c>
      <c r="D619" s="1045" t="s">
        <v>1481</v>
      </c>
      <c r="E619" s="2023">
        <f t="shared" si="9"/>
        <v>7.6342157077225983E-2</v>
      </c>
      <c r="F619" s="1044">
        <v>2285.5</v>
      </c>
      <c r="G619" s="2433">
        <v>174.48</v>
      </c>
    </row>
    <row r="620" spans="2:7">
      <c r="B620" s="1042">
        <v>21289231</v>
      </c>
      <c r="C620" s="1043" t="s">
        <v>273</v>
      </c>
      <c r="D620" s="1045" t="s">
        <v>1614</v>
      </c>
      <c r="E620" s="2023">
        <f t="shared" si="9"/>
        <v>7.6328828828828826E-2</v>
      </c>
      <c r="F620" s="1044">
        <v>444</v>
      </c>
      <c r="G620" s="2433">
        <v>33.89</v>
      </c>
    </row>
    <row r="621" spans="2:7">
      <c r="B621" s="1042">
        <v>21112260</v>
      </c>
      <c r="C621" s="1043" t="s">
        <v>273</v>
      </c>
      <c r="D621" s="1045" t="s">
        <v>1614</v>
      </c>
      <c r="E621" s="2023">
        <f t="shared" si="9"/>
        <v>7.6343115124153496E-2</v>
      </c>
      <c r="F621" s="1044">
        <v>443</v>
      </c>
      <c r="G621" s="2433">
        <v>33.82</v>
      </c>
    </row>
    <row r="622" spans="2:7">
      <c r="B622" s="1042">
        <v>21415690</v>
      </c>
      <c r="C622" s="1043" t="s">
        <v>273</v>
      </c>
      <c r="D622" s="1045" t="s">
        <v>1614</v>
      </c>
      <c r="E622" s="2023">
        <f t="shared" si="9"/>
        <v>7.6346153846153841E-2</v>
      </c>
      <c r="F622" s="1044">
        <v>780</v>
      </c>
      <c r="G622" s="2433">
        <v>59.55</v>
      </c>
    </row>
    <row r="623" spans="2:7">
      <c r="B623" s="1042">
        <v>21179937</v>
      </c>
      <c r="C623" s="1043" t="s">
        <v>273</v>
      </c>
      <c r="D623" s="1045" t="s">
        <v>1614</v>
      </c>
      <c r="E623" s="2023">
        <f t="shared" si="9"/>
        <v>7.6343115124153496E-2</v>
      </c>
      <c r="F623" s="1044">
        <v>443</v>
      </c>
      <c r="G623" s="2433">
        <v>33.82</v>
      </c>
    </row>
    <row r="624" spans="2:7">
      <c r="B624" s="1042">
        <v>21415705</v>
      </c>
      <c r="C624" s="1043" t="s">
        <v>273</v>
      </c>
      <c r="D624" s="1045" t="s">
        <v>1614</v>
      </c>
      <c r="E624" s="2023">
        <f t="shared" si="9"/>
        <v>7.6340540540540541E-2</v>
      </c>
      <c r="F624" s="1044">
        <v>1850</v>
      </c>
      <c r="G624" s="2433">
        <v>141.22999999999999</v>
      </c>
    </row>
    <row r="625" spans="2:7">
      <c r="B625" s="1042">
        <v>21290638</v>
      </c>
      <c r="C625" s="1043" t="s">
        <v>273</v>
      </c>
      <c r="D625" s="1045" t="s">
        <v>1614</v>
      </c>
      <c r="E625" s="2023">
        <f t="shared" si="9"/>
        <v>7.6351039260969977E-2</v>
      </c>
      <c r="F625" s="1044">
        <v>433</v>
      </c>
      <c r="G625" s="2433">
        <v>33.06</v>
      </c>
    </row>
    <row r="626" spans="2:7">
      <c r="B626" s="1042">
        <v>21022167</v>
      </c>
      <c r="C626" s="1043" t="s">
        <v>273</v>
      </c>
      <c r="D626" s="1045" t="s">
        <v>1614</v>
      </c>
      <c r="E626" s="2023">
        <f t="shared" si="9"/>
        <v>7.6338028169014097E-2</v>
      </c>
      <c r="F626" s="1044">
        <v>426</v>
      </c>
      <c r="G626" s="2433">
        <v>32.520000000000003</v>
      </c>
    </row>
    <row r="627" spans="2:7">
      <c r="B627" s="1042">
        <v>21208110</v>
      </c>
      <c r="C627" s="1043" t="s">
        <v>273</v>
      </c>
      <c r="D627" s="1045" t="s">
        <v>1614</v>
      </c>
      <c r="E627" s="2023">
        <f t="shared" si="9"/>
        <v>7.6348448687350828E-2</v>
      </c>
      <c r="F627" s="1044">
        <v>419</v>
      </c>
      <c r="G627" s="2433">
        <v>31.99</v>
      </c>
    </row>
    <row r="628" spans="2:7">
      <c r="B628" s="1042">
        <v>21206927</v>
      </c>
      <c r="C628" s="1043" t="s">
        <v>273</v>
      </c>
      <c r="D628" s="1045" t="s">
        <v>1614</v>
      </c>
      <c r="E628" s="2023">
        <f t="shared" si="9"/>
        <v>7.5253012048192777E-2</v>
      </c>
      <c r="F628" s="1044">
        <v>415</v>
      </c>
      <c r="G628" s="2433">
        <v>31.23</v>
      </c>
    </row>
    <row r="629" spans="2:7">
      <c r="B629" s="1042">
        <v>724178</v>
      </c>
      <c r="C629" s="1043" t="s">
        <v>273</v>
      </c>
      <c r="D629" s="1045" t="s">
        <v>1614</v>
      </c>
      <c r="E629" s="2023">
        <f t="shared" si="9"/>
        <v>7.6341463414634145E-2</v>
      </c>
      <c r="F629" s="1044">
        <v>410</v>
      </c>
      <c r="G629" s="2433">
        <v>31.3</v>
      </c>
    </row>
    <row r="630" spans="2:7">
      <c r="B630" s="1042">
        <v>21245734</v>
      </c>
      <c r="C630" s="1043" t="s">
        <v>273</v>
      </c>
      <c r="D630" s="1045" t="s">
        <v>1614</v>
      </c>
      <c r="E630" s="2023">
        <f t="shared" si="9"/>
        <v>7.6332518337408312E-2</v>
      </c>
      <c r="F630" s="1044">
        <v>409</v>
      </c>
      <c r="G630" s="2433">
        <v>31.22</v>
      </c>
    </row>
    <row r="631" spans="2:7">
      <c r="B631" s="1042">
        <v>703228</v>
      </c>
      <c r="C631" s="1043" t="s">
        <v>273</v>
      </c>
      <c r="D631" s="1045" t="s">
        <v>1614</v>
      </c>
      <c r="E631" s="2023">
        <f t="shared" si="9"/>
        <v>7.5270935960591132E-2</v>
      </c>
      <c r="F631" s="1044">
        <v>406</v>
      </c>
      <c r="G631" s="2433">
        <v>30.56</v>
      </c>
    </row>
    <row r="632" spans="2:7">
      <c r="B632" s="1042">
        <v>457580</v>
      </c>
      <c r="C632" s="1043" t="s">
        <v>273</v>
      </c>
      <c r="D632" s="1045" t="s">
        <v>1614</v>
      </c>
      <c r="E632" s="2023">
        <f t="shared" si="9"/>
        <v>7.6336633663366335E-2</v>
      </c>
      <c r="F632" s="1044">
        <v>404</v>
      </c>
      <c r="G632" s="2433">
        <v>30.84</v>
      </c>
    </row>
    <row r="633" spans="2:7">
      <c r="B633" s="1042">
        <v>345574</v>
      </c>
      <c r="C633" s="1043" t="s">
        <v>273</v>
      </c>
      <c r="D633" s="1045" t="s">
        <v>1614</v>
      </c>
      <c r="E633" s="2023">
        <f t="shared" si="9"/>
        <v>7.6352357320099248E-2</v>
      </c>
      <c r="F633" s="1044">
        <v>403</v>
      </c>
      <c r="G633" s="2433">
        <v>30.77</v>
      </c>
    </row>
    <row r="634" spans="2:7">
      <c r="B634" s="1042">
        <v>306268</v>
      </c>
      <c r="C634" s="1043" t="s">
        <v>274</v>
      </c>
      <c r="D634" s="1045" t="s">
        <v>1614</v>
      </c>
      <c r="E634" s="2023">
        <f t="shared" si="9"/>
        <v>7.5249999999999997E-2</v>
      </c>
      <c r="F634" s="1044">
        <v>400</v>
      </c>
      <c r="G634" s="2433">
        <v>30.1</v>
      </c>
    </row>
    <row r="635" spans="2:7">
      <c r="B635" s="1042">
        <v>21044045</v>
      </c>
      <c r="C635" s="1043" t="s">
        <v>273</v>
      </c>
      <c r="D635" s="1045" t="s">
        <v>1614</v>
      </c>
      <c r="E635" s="2023">
        <f t="shared" si="9"/>
        <v>7.6331658291457286E-2</v>
      </c>
      <c r="F635" s="1044">
        <v>398</v>
      </c>
      <c r="G635" s="2433">
        <v>30.38</v>
      </c>
    </row>
    <row r="636" spans="2:7">
      <c r="B636" s="1042">
        <v>21433696</v>
      </c>
      <c r="C636" s="1043" t="s">
        <v>273</v>
      </c>
      <c r="D636" s="1045" t="s">
        <v>1614</v>
      </c>
      <c r="E636" s="2023">
        <f t="shared" si="9"/>
        <v>7.6343511450381679E-2</v>
      </c>
      <c r="F636" s="1044">
        <v>1310</v>
      </c>
      <c r="G636" s="2433">
        <v>100.01</v>
      </c>
    </row>
    <row r="637" spans="2:7">
      <c r="B637" s="1042">
        <v>21440627</v>
      </c>
      <c r="C637" s="1043" t="s">
        <v>273</v>
      </c>
      <c r="D637" s="1045" t="s">
        <v>1481</v>
      </c>
      <c r="E637" s="2023">
        <f t="shared" si="9"/>
        <v>7.6339894019682053E-2</v>
      </c>
      <c r="F637" s="1044">
        <v>2642</v>
      </c>
      <c r="G637" s="2433">
        <v>201.69</v>
      </c>
    </row>
    <row r="638" spans="2:7">
      <c r="B638" s="1042">
        <v>21159275</v>
      </c>
      <c r="C638" s="1043" t="s">
        <v>273</v>
      </c>
      <c r="D638" s="1045" t="s">
        <v>1614</v>
      </c>
      <c r="E638" s="2023">
        <f t="shared" si="9"/>
        <v>7.5250659630606856E-2</v>
      </c>
      <c r="F638" s="1044">
        <v>379</v>
      </c>
      <c r="G638" s="2433">
        <v>28.52</v>
      </c>
    </row>
    <row r="639" spans="2:7">
      <c r="B639" s="1042">
        <v>21408445</v>
      </c>
      <c r="C639" s="1043" t="s">
        <v>273</v>
      </c>
      <c r="D639" s="1045" t="s">
        <v>1481</v>
      </c>
      <c r="E639" s="2023">
        <f t="shared" si="9"/>
        <v>7.6342213114754101E-2</v>
      </c>
      <c r="F639" s="1044">
        <v>976</v>
      </c>
      <c r="G639" s="2433">
        <v>74.510000000000005</v>
      </c>
    </row>
    <row r="640" spans="2:7">
      <c r="B640" s="1042">
        <v>21415581</v>
      </c>
      <c r="C640" s="1043" t="s">
        <v>273</v>
      </c>
      <c r="D640" s="1045" t="s">
        <v>1614</v>
      </c>
      <c r="E640" s="2023">
        <f t="shared" si="9"/>
        <v>7.633879781420766E-2</v>
      </c>
      <c r="F640" s="1044">
        <v>366</v>
      </c>
      <c r="G640" s="2433">
        <v>27.94</v>
      </c>
    </row>
    <row r="641" spans="2:7">
      <c r="B641" s="1042">
        <v>817270</v>
      </c>
      <c r="C641" s="1043" t="s">
        <v>273</v>
      </c>
      <c r="D641" s="1045" t="s">
        <v>1614</v>
      </c>
      <c r="E641" s="2023">
        <f t="shared" si="9"/>
        <v>7.633879781420766E-2</v>
      </c>
      <c r="F641" s="1044">
        <v>366</v>
      </c>
      <c r="G641" s="2433">
        <v>27.94</v>
      </c>
    </row>
    <row r="642" spans="2:7">
      <c r="B642" s="1042">
        <v>21421525</v>
      </c>
      <c r="C642" s="1043" t="s">
        <v>273</v>
      </c>
      <c r="D642" s="1045" t="s">
        <v>1614</v>
      </c>
      <c r="E642" s="2023">
        <f t="shared" si="9"/>
        <v>7.5247252747252746E-2</v>
      </c>
      <c r="F642" s="1044">
        <v>364</v>
      </c>
      <c r="G642" s="2433">
        <v>27.39</v>
      </c>
    </row>
    <row r="643" spans="2:7">
      <c r="B643" s="1042">
        <v>848330</v>
      </c>
      <c r="C643" s="1043" t="s">
        <v>273</v>
      </c>
      <c r="D643" s="1045" t="s">
        <v>1614</v>
      </c>
      <c r="E643" s="2023">
        <f t="shared" si="9"/>
        <v>7.6343490304709133E-2</v>
      </c>
      <c r="F643" s="1044">
        <v>361</v>
      </c>
      <c r="G643" s="2433">
        <v>27.56</v>
      </c>
    </row>
    <row r="644" spans="2:7">
      <c r="B644" s="1042">
        <v>710959</v>
      </c>
      <c r="C644" s="1043" t="s">
        <v>274</v>
      </c>
      <c r="D644" s="1045" t="s">
        <v>1614</v>
      </c>
      <c r="E644" s="2023">
        <f t="shared" si="9"/>
        <v>7.6333333333333336E-2</v>
      </c>
      <c r="F644" s="1044">
        <v>360</v>
      </c>
      <c r="G644" s="2433">
        <v>27.48</v>
      </c>
    </row>
    <row r="645" spans="2:7">
      <c r="B645" s="1042">
        <v>458302</v>
      </c>
      <c r="C645" s="1043" t="s">
        <v>273</v>
      </c>
      <c r="D645" s="1045" t="s">
        <v>1614</v>
      </c>
      <c r="E645" s="2023">
        <f t="shared" ref="E645:E708" si="10">G645/F645</f>
        <v>7.633053221288516E-2</v>
      </c>
      <c r="F645" s="1044">
        <v>357</v>
      </c>
      <c r="G645" s="2433">
        <v>27.25</v>
      </c>
    </row>
    <row r="646" spans="2:7">
      <c r="B646" s="1042">
        <v>21018791</v>
      </c>
      <c r="C646" s="1043" t="s">
        <v>273</v>
      </c>
      <c r="D646" s="1045" t="s">
        <v>1614</v>
      </c>
      <c r="E646" s="2023">
        <f t="shared" si="10"/>
        <v>7.5273775216138331E-2</v>
      </c>
      <c r="F646" s="1044">
        <v>347</v>
      </c>
      <c r="G646" s="2433">
        <v>26.12</v>
      </c>
    </row>
    <row r="647" spans="2:7">
      <c r="B647" s="1042">
        <v>21402972</v>
      </c>
      <c r="C647" s="1043" t="s">
        <v>273</v>
      </c>
      <c r="D647" s="1045" t="s">
        <v>1614</v>
      </c>
      <c r="E647" s="2023">
        <f t="shared" si="10"/>
        <v>7.6329479768786124E-2</v>
      </c>
      <c r="F647" s="1044">
        <v>346</v>
      </c>
      <c r="G647" s="2433">
        <v>26.41</v>
      </c>
    </row>
    <row r="648" spans="2:7">
      <c r="B648" s="1042">
        <v>256527</v>
      </c>
      <c r="C648" s="1043" t="s">
        <v>273</v>
      </c>
      <c r="D648" s="1045" t="s">
        <v>1614</v>
      </c>
      <c r="E648" s="2023">
        <f t="shared" si="10"/>
        <v>7.6347826086956519E-2</v>
      </c>
      <c r="F648" s="1044">
        <v>345</v>
      </c>
      <c r="G648" s="2433">
        <v>26.34</v>
      </c>
    </row>
    <row r="649" spans="2:7">
      <c r="B649" s="1042">
        <v>601303</v>
      </c>
      <c r="C649" s="1043" t="s">
        <v>273</v>
      </c>
      <c r="D649" s="1045" t="s">
        <v>1614</v>
      </c>
      <c r="E649" s="2023">
        <f t="shared" si="10"/>
        <v>7.6345029239766077E-2</v>
      </c>
      <c r="F649" s="1044">
        <v>342</v>
      </c>
      <c r="G649" s="2433">
        <v>26.11</v>
      </c>
    </row>
    <row r="650" spans="2:7">
      <c r="B650" s="1042">
        <v>21439506</v>
      </c>
      <c r="C650" s="1043" t="s">
        <v>273</v>
      </c>
      <c r="D650" s="1045" t="s">
        <v>1614</v>
      </c>
      <c r="E650" s="2023">
        <f t="shared" si="10"/>
        <v>7.6342465753424654E-2</v>
      </c>
      <c r="F650" s="1044">
        <v>1460</v>
      </c>
      <c r="G650" s="2433">
        <v>111.46</v>
      </c>
    </row>
    <row r="651" spans="2:7">
      <c r="B651" s="1042">
        <v>21436027</v>
      </c>
      <c r="C651" s="1043" t="s">
        <v>273</v>
      </c>
      <c r="D651" s="1045" t="s">
        <v>1614</v>
      </c>
      <c r="E651" s="2023">
        <f t="shared" si="10"/>
        <v>7.6337579617834397E-2</v>
      </c>
      <c r="F651" s="1044">
        <v>1570</v>
      </c>
      <c r="G651" s="2433">
        <v>119.85</v>
      </c>
    </row>
    <row r="652" spans="2:7">
      <c r="B652" s="1042">
        <v>21391251</v>
      </c>
      <c r="C652" s="1043" t="s">
        <v>273</v>
      </c>
      <c r="D652" s="1045" t="s">
        <v>1614</v>
      </c>
      <c r="E652" s="2023">
        <f t="shared" si="10"/>
        <v>7.6328358208955227E-2</v>
      </c>
      <c r="F652" s="1044">
        <v>335</v>
      </c>
      <c r="G652" s="2433">
        <v>25.57</v>
      </c>
    </row>
    <row r="653" spans="2:7">
      <c r="B653" s="1042">
        <v>554873</v>
      </c>
      <c r="C653" s="1043" t="s">
        <v>273</v>
      </c>
      <c r="D653" s="1045" t="s">
        <v>1614</v>
      </c>
      <c r="E653" s="2023">
        <f t="shared" si="10"/>
        <v>7.6344410876132932E-2</v>
      </c>
      <c r="F653" s="1044">
        <v>331</v>
      </c>
      <c r="G653" s="2433">
        <v>25.27</v>
      </c>
    </row>
    <row r="654" spans="2:7">
      <c r="B654" s="1042">
        <v>773511</v>
      </c>
      <c r="C654" s="1043" t="s">
        <v>273</v>
      </c>
      <c r="D654" s="1045" t="s">
        <v>1614</v>
      </c>
      <c r="E654" s="2023">
        <f t="shared" si="10"/>
        <v>7.6344410876132932E-2</v>
      </c>
      <c r="F654" s="1044">
        <v>331</v>
      </c>
      <c r="G654" s="2433">
        <v>25.27</v>
      </c>
    </row>
    <row r="655" spans="2:7">
      <c r="B655" s="1042">
        <v>457859</v>
      </c>
      <c r="C655" s="1043" t="s">
        <v>273</v>
      </c>
      <c r="D655" s="1045" t="s">
        <v>1614</v>
      </c>
      <c r="E655" s="2023">
        <f t="shared" si="10"/>
        <v>7.6333333333333336E-2</v>
      </c>
      <c r="F655" s="1044">
        <v>330</v>
      </c>
      <c r="G655" s="2433">
        <v>25.19</v>
      </c>
    </row>
    <row r="656" spans="2:7">
      <c r="B656" s="1042">
        <v>794156</v>
      </c>
      <c r="C656" s="1043" t="s">
        <v>273</v>
      </c>
      <c r="D656" s="1045" t="s">
        <v>1481</v>
      </c>
      <c r="E656" s="2023">
        <f t="shared" si="10"/>
        <v>7.6343223736968724E-2</v>
      </c>
      <c r="F656" s="1044">
        <v>311.75</v>
      </c>
      <c r="G656" s="2433">
        <v>23.8</v>
      </c>
    </row>
    <row r="657" spans="2:7">
      <c r="B657" s="1042">
        <v>21364721</v>
      </c>
      <c r="C657" s="1043" t="s">
        <v>273</v>
      </c>
      <c r="D657" s="1045" t="s">
        <v>1614</v>
      </c>
      <c r="E657" s="2023">
        <f t="shared" si="10"/>
        <v>7.6327160493827165E-2</v>
      </c>
      <c r="F657" s="1044">
        <v>324</v>
      </c>
      <c r="G657" s="2433">
        <v>24.73</v>
      </c>
    </row>
    <row r="658" spans="2:7">
      <c r="B658" s="1042">
        <v>21414228</v>
      </c>
      <c r="C658" s="1043" t="s">
        <v>273</v>
      </c>
      <c r="D658" s="1045" t="s">
        <v>1481</v>
      </c>
      <c r="E658" s="2023">
        <f t="shared" si="10"/>
        <v>7.6338740884060119E-2</v>
      </c>
      <c r="F658" s="1044">
        <v>1679.75</v>
      </c>
      <c r="G658" s="2433">
        <v>128.22999999999999</v>
      </c>
    </row>
    <row r="659" spans="2:7">
      <c r="B659" s="1042">
        <v>21187749</v>
      </c>
      <c r="C659" s="1043" t="s">
        <v>273</v>
      </c>
      <c r="D659" s="1045" t="s">
        <v>1614</v>
      </c>
      <c r="E659" s="2023">
        <f t="shared" si="10"/>
        <v>7.6355140186915887E-2</v>
      </c>
      <c r="F659" s="1044">
        <v>321</v>
      </c>
      <c r="G659" s="2433">
        <v>24.51</v>
      </c>
    </row>
    <row r="660" spans="2:7">
      <c r="B660" s="1042">
        <v>507761</v>
      </c>
      <c r="C660" s="1043" t="s">
        <v>274</v>
      </c>
      <c r="D660" s="1045" t="s">
        <v>1614</v>
      </c>
      <c r="E660" s="2023">
        <f t="shared" si="10"/>
        <v>7.6343750000000002E-2</v>
      </c>
      <c r="F660" s="1044">
        <v>320</v>
      </c>
      <c r="G660" s="2433">
        <v>24.43</v>
      </c>
    </row>
    <row r="661" spans="2:7">
      <c r="B661" s="1042">
        <v>21309010</v>
      </c>
      <c r="C661" s="1043" t="s">
        <v>273</v>
      </c>
      <c r="D661" s="1045" t="s">
        <v>1614</v>
      </c>
      <c r="E661" s="2023">
        <f t="shared" si="10"/>
        <v>7.6329113924050632E-2</v>
      </c>
      <c r="F661" s="1044">
        <v>316</v>
      </c>
      <c r="G661" s="2433">
        <v>24.12</v>
      </c>
    </row>
    <row r="662" spans="2:7">
      <c r="B662" s="1042">
        <v>937392</v>
      </c>
      <c r="C662" s="1043" t="s">
        <v>273</v>
      </c>
      <c r="D662" s="1045" t="s">
        <v>1614</v>
      </c>
      <c r="E662" s="2023">
        <f t="shared" si="10"/>
        <v>7.6349206349206347E-2</v>
      </c>
      <c r="F662" s="1044">
        <v>315</v>
      </c>
      <c r="G662" s="2433">
        <v>24.05</v>
      </c>
    </row>
    <row r="663" spans="2:7">
      <c r="B663" s="1042">
        <v>21424711</v>
      </c>
      <c r="C663" s="1043" t="s">
        <v>273</v>
      </c>
      <c r="D663" s="1045" t="s">
        <v>1614</v>
      </c>
      <c r="E663" s="2023">
        <f t="shared" si="10"/>
        <v>7.6339522546419097E-2</v>
      </c>
      <c r="F663" s="1044">
        <v>1131</v>
      </c>
      <c r="G663" s="2433">
        <v>86.34</v>
      </c>
    </row>
    <row r="664" spans="2:7">
      <c r="B664" s="1042">
        <v>730302</v>
      </c>
      <c r="C664" s="1043" t="s">
        <v>274</v>
      </c>
      <c r="D664" s="1045" t="s">
        <v>1614</v>
      </c>
      <c r="E664" s="2023">
        <f t="shared" si="10"/>
        <v>7.6333333333333322E-2</v>
      </c>
      <c r="F664" s="1044">
        <v>300</v>
      </c>
      <c r="G664" s="2433">
        <v>22.9</v>
      </c>
    </row>
    <row r="665" spans="2:7">
      <c r="B665" s="1042">
        <v>260317</v>
      </c>
      <c r="C665" s="1043" t="s">
        <v>273</v>
      </c>
      <c r="D665" s="1045" t="s">
        <v>1614</v>
      </c>
      <c r="E665" s="2023">
        <f t="shared" si="10"/>
        <v>7.6351351351351363E-2</v>
      </c>
      <c r="F665" s="1044">
        <v>296</v>
      </c>
      <c r="G665" s="2433">
        <v>22.6</v>
      </c>
    </row>
    <row r="666" spans="2:7">
      <c r="B666" s="1042">
        <v>349534</v>
      </c>
      <c r="C666" s="1043" t="s">
        <v>273</v>
      </c>
      <c r="D666" s="1045" t="s">
        <v>1614</v>
      </c>
      <c r="E666" s="2023">
        <f t="shared" si="10"/>
        <v>7.6326530612244897E-2</v>
      </c>
      <c r="F666" s="1044">
        <v>294</v>
      </c>
      <c r="G666" s="2433">
        <v>22.44</v>
      </c>
    </row>
    <row r="667" spans="2:7">
      <c r="B667" s="1042">
        <v>960855</v>
      </c>
      <c r="C667" s="1043" t="s">
        <v>273</v>
      </c>
      <c r="D667" s="1045" t="s">
        <v>1614</v>
      </c>
      <c r="E667" s="2023">
        <f t="shared" si="10"/>
        <v>7.6323024054982827E-2</v>
      </c>
      <c r="F667" s="1044">
        <v>291</v>
      </c>
      <c r="G667" s="2433">
        <v>22.21</v>
      </c>
    </row>
    <row r="668" spans="2:7">
      <c r="B668" s="1042">
        <v>21409429</v>
      </c>
      <c r="C668" s="1043" t="s">
        <v>273</v>
      </c>
      <c r="D668" s="1045" t="s">
        <v>1481</v>
      </c>
      <c r="E668" s="2023">
        <f t="shared" si="10"/>
        <v>7.6339285714285707E-2</v>
      </c>
      <c r="F668" s="1044">
        <v>336</v>
      </c>
      <c r="G668" s="2433">
        <v>25.65</v>
      </c>
    </row>
    <row r="669" spans="2:7">
      <c r="B669" s="1042">
        <v>913298</v>
      </c>
      <c r="C669" s="1043" t="s">
        <v>274</v>
      </c>
      <c r="D669" s="1045" t="s">
        <v>1614</v>
      </c>
      <c r="E669" s="2023">
        <f t="shared" si="10"/>
        <v>7.635714285714286E-2</v>
      </c>
      <c r="F669" s="1044">
        <v>280</v>
      </c>
      <c r="G669" s="2433">
        <v>21.38</v>
      </c>
    </row>
    <row r="670" spans="2:7">
      <c r="B670" s="1042">
        <v>574352</v>
      </c>
      <c r="C670" s="1043" t="s">
        <v>273</v>
      </c>
      <c r="D670" s="1045" t="s">
        <v>1614</v>
      </c>
      <c r="E670" s="2023">
        <f t="shared" si="10"/>
        <v>7.6330935251798557E-2</v>
      </c>
      <c r="F670" s="1044">
        <v>278</v>
      </c>
      <c r="G670" s="2433">
        <v>21.22</v>
      </c>
    </row>
    <row r="671" spans="2:7">
      <c r="B671" s="1042">
        <v>21300712</v>
      </c>
      <c r="C671" s="1043" t="s">
        <v>273</v>
      </c>
      <c r="D671" s="1045" t="s">
        <v>1614</v>
      </c>
      <c r="E671" s="2023">
        <f t="shared" si="10"/>
        <v>7.6327272727272716E-2</v>
      </c>
      <c r="F671" s="1044">
        <v>275</v>
      </c>
      <c r="G671" s="2433">
        <v>20.99</v>
      </c>
    </row>
    <row r="672" spans="2:7">
      <c r="B672" s="1042">
        <v>21426816</v>
      </c>
      <c r="C672" s="1043" t="s">
        <v>273</v>
      </c>
      <c r="D672" s="1045" t="s">
        <v>1614</v>
      </c>
      <c r="E672" s="2023">
        <f t="shared" si="10"/>
        <v>7.525735294117647E-2</v>
      </c>
      <c r="F672" s="1044">
        <v>272</v>
      </c>
      <c r="G672" s="2433">
        <v>20.47</v>
      </c>
    </row>
    <row r="673" spans="2:7">
      <c r="B673" s="1042">
        <v>21350193</v>
      </c>
      <c r="C673" s="1043" t="s">
        <v>273</v>
      </c>
      <c r="D673" s="1045" t="s">
        <v>1614</v>
      </c>
      <c r="E673" s="2023">
        <f t="shared" si="10"/>
        <v>7.6356877323420072E-2</v>
      </c>
      <c r="F673" s="1044">
        <v>269</v>
      </c>
      <c r="G673" s="2433">
        <v>20.54</v>
      </c>
    </row>
    <row r="674" spans="2:7">
      <c r="B674" s="1042">
        <v>773773</v>
      </c>
      <c r="C674" s="1043" t="s">
        <v>273</v>
      </c>
      <c r="D674" s="1045" t="s">
        <v>1614</v>
      </c>
      <c r="E674" s="2023">
        <f t="shared" si="10"/>
        <v>7.526119402985075E-2</v>
      </c>
      <c r="F674" s="1044">
        <v>268</v>
      </c>
      <c r="G674" s="2433">
        <v>20.170000000000002</v>
      </c>
    </row>
    <row r="675" spans="2:7">
      <c r="B675" s="1042">
        <v>955132</v>
      </c>
      <c r="C675" s="1043" t="s">
        <v>273</v>
      </c>
      <c r="D675" s="1045" t="s">
        <v>1614</v>
      </c>
      <c r="E675" s="2023">
        <f t="shared" si="10"/>
        <v>7.6349809885931555E-2</v>
      </c>
      <c r="F675" s="1044">
        <v>263</v>
      </c>
      <c r="G675" s="2433">
        <v>20.079999999999998</v>
      </c>
    </row>
    <row r="676" spans="2:7">
      <c r="B676" s="1042">
        <v>21396881</v>
      </c>
      <c r="C676" s="1043" t="s">
        <v>273</v>
      </c>
      <c r="D676" s="1045" t="s">
        <v>1614</v>
      </c>
      <c r="E676" s="2023">
        <f t="shared" si="10"/>
        <v>7.6356589147286824E-2</v>
      </c>
      <c r="F676" s="1044">
        <v>258</v>
      </c>
      <c r="G676" s="2433">
        <v>19.7</v>
      </c>
    </row>
    <row r="677" spans="2:7">
      <c r="B677" s="1042">
        <v>21296125</v>
      </c>
      <c r="C677" s="1043" t="s">
        <v>273</v>
      </c>
      <c r="D677" s="1045" t="s">
        <v>1614</v>
      </c>
      <c r="E677" s="2023">
        <f t="shared" si="10"/>
        <v>7.6342412451361877E-2</v>
      </c>
      <c r="F677" s="1044">
        <v>257</v>
      </c>
      <c r="G677" s="2433">
        <v>19.62</v>
      </c>
    </row>
    <row r="678" spans="2:7">
      <c r="B678" s="1042">
        <v>555429</v>
      </c>
      <c r="C678" s="1043" t="s">
        <v>273</v>
      </c>
      <c r="D678" s="1045" t="s">
        <v>1614</v>
      </c>
      <c r="E678" s="2023">
        <f t="shared" si="10"/>
        <v>7.5254901960784312E-2</v>
      </c>
      <c r="F678" s="1044">
        <v>255</v>
      </c>
      <c r="G678" s="2433">
        <v>19.190000000000001</v>
      </c>
    </row>
    <row r="679" spans="2:7">
      <c r="B679" s="1042">
        <v>574554</v>
      </c>
      <c r="C679" s="1043" t="s">
        <v>273</v>
      </c>
      <c r="D679" s="1045" t="s">
        <v>1614</v>
      </c>
      <c r="E679" s="2023">
        <f t="shared" si="10"/>
        <v>7.6349206349206347E-2</v>
      </c>
      <c r="F679" s="1044">
        <v>252</v>
      </c>
      <c r="G679" s="2433">
        <v>19.239999999999998</v>
      </c>
    </row>
    <row r="680" spans="2:7">
      <c r="B680" s="1042">
        <v>21099666</v>
      </c>
      <c r="C680" s="1043" t="s">
        <v>273</v>
      </c>
      <c r="D680" s="1045" t="s">
        <v>1614</v>
      </c>
      <c r="E680" s="2023">
        <f t="shared" si="10"/>
        <v>7.6326530612244897E-2</v>
      </c>
      <c r="F680" s="1044">
        <v>245</v>
      </c>
      <c r="G680" s="2433">
        <v>18.7</v>
      </c>
    </row>
    <row r="681" spans="2:7">
      <c r="B681" s="1042">
        <v>21458085</v>
      </c>
      <c r="C681" s="1043" t="s">
        <v>273</v>
      </c>
      <c r="D681" s="1045" t="s">
        <v>1614</v>
      </c>
      <c r="E681" s="2023">
        <f t="shared" si="10"/>
        <v>7.6343283582089555E-2</v>
      </c>
      <c r="F681" s="1044">
        <v>1340</v>
      </c>
      <c r="G681" s="2433">
        <v>102.3</v>
      </c>
    </row>
    <row r="682" spans="2:7">
      <c r="B682" s="1042">
        <v>21415311</v>
      </c>
      <c r="C682" s="1043" t="s">
        <v>273</v>
      </c>
      <c r="D682" s="1045" t="s">
        <v>1614</v>
      </c>
      <c r="E682" s="2023">
        <f t="shared" si="10"/>
        <v>7.6324503311258285E-2</v>
      </c>
      <c r="F682" s="1044">
        <v>302</v>
      </c>
      <c r="G682" s="2433">
        <v>23.05</v>
      </c>
    </row>
    <row r="683" spans="2:7">
      <c r="B683" s="1042">
        <v>826163</v>
      </c>
      <c r="C683" s="1043" t="s">
        <v>273</v>
      </c>
      <c r="D683" s="1045" t="s">
        <v>1614</v>
      </c>
      <c r="E683" s="2023">
        <f t="shared" si="10"/>
        <v>7.6355932203389834E-2</v>
      </c>
      <c r="F683" s="1044">
        <v>236</v>
      </c>
      <c r="G683" s="2433">
        <v>18.02</v>
      </c>
    </row>
    <row r="684" spans="2:7">
      <c r="B684" s="1042">
        <v>21260772</v>
      </c>
      <c r="C684" s="1043" t="s">
        <v>273</v>
      </c>
      <c r="D684" s="1045" t="s">
        <v>1614</v>
      </c>
      <c r="E684" s="2023">
        <f t="shared" si="10"/>
        <v>7.6324786324786328E-2</v>
      </c>
      <c r="F684" s="1044">
        <v>234</v>
      </c>
      <c r="G684" s="2433">
        <v>17.86</v>
      </c>
    </row>
    <row r="685" spans="2:7">
      <c r="B685" s="1042">
        <v>667119</v>
      </c>
      <c r="C685" s="1043" t="s">
        <v>273</v>
      </c>
      <c r="D685" s="1045" t="s">
        <v>1614</v>
      </c>
      <c r="E685" s="2023">
        <f t="shared" si="10"/>
        <v>7.6351931330472106E-2</v>
      </c>
      <c r="F685" s="1044">
        <v>233</v>
      </c>
      <c r="G685" s="2433">
        <v>17.79</v>
      </c>
    </row>
    <row r="686" spans="2:7">
      <c r="B686" s="1042">
        <v>21184595</v>
      </c>
      <c r="C686" s="1043" t="s">
        <v>273</v>
      </c>
      <c r="D686" s="1045" t="s">
        <v>1614</v>
      </c>
      <c r="E686" s="2023">
        <f t="shared" si="10"/>
        <v>7.6320346320346316E-2</v>
      </c>
      <c r="F686" s="1044">
        <v>231</v>
      </c>
      <c r="G686" s="2433">
        <v>17.63</v>
      </c>
    </row>
    <row r="687" spans="2:7">
      <c r="B687" s="1042">
        <v>724886</v>
      </c>
      <c r="C687" s="1043" t="s">
        <v>273</v>
      </c>
      <c r="D687" s="1045" t="s">
        <v>1614</v>
      </c>
      <c r="E687" s="2023">
        <f t="shared" si="10"/>
        <v>7.4999999999999997E-2</v>
      </c>
      <c r="F687" s="1044">
        <v>12</v>
      </c>
      <c r="G687" s="2433">
        <v>0.9</v>
      </c>
    </row>
    <row r="688" spans="2:7">
      <c r="B688" s="1042">
        <v>21409009</v>
      </c>
      <c r="C688" s="1043" t="s">
        <v>273</v>
      </c>
      <c r="D688" s="1045" t="s">
        <v>1614</v>
      </c>
      <c r="E688" s="2023">
        <f t="shared" si="10"/>
        <v>7.6344537815126054E-2</v>
      </c>
      <c r="F688" s="1044">
        <v>714</v>
      </c>
      <c r="G688" s="2433">
        <v>54.51</v>
      </c>
    </row>
    <row r="689" spans="2:7">
      <c r="B689" s="1042">
        <v>461563</v>
      </c>
      <c r="C689" s="1043" t="s">
        <v>273</v>
      </c>
      <c r="D689" s="1045" t="s">
        <v>1614</v>
      </c>
      <c r="E689" s="2023">
        <f t="shared" si="10"/>
        <v>7.6355555555555552E-2</v>
      </c>
      <c r="F689" s="1044">
        <v>225</v>
      </c>
      <c r="G689" s="2433">
        <v>17.18</v>
      </c>
    </row>
    <row r="690" spans="2:7">
      <c r="B690" s="1042">
        <v>728599</v>
      </c>
      <c r="C690" s="1043" t="s">
        <v>273</v>
      </c>
      <c r="D690" s="1045" t="s">
        <v>1614</v>
      </c>
      <c r="E690" s="2023">
        <f t="shared" si="10"/>
        <v>7.6339285714285721E-2</v>
      </c>
      <c r="F690" s="1044">
        <v>224</v>
      </c>
      <c r="G690" s="2433">
        <v>17.100000000000001</v>
      </c>
    </row>
    <row r="691" spans="2:7">
      <c r="B691" s="1042">
        <v>227698</v>
      </c>
      <c r="C691" s="1043" t="s">
        <v>273</v>
      </c>
      <c r="D691" s="1045" t="s">
        <v>1614</v>
      </c>
      <c r="E691" s="2023">
        <f t="shared" si="10"/>
        <v>7.6339285714285721E-2</v>
      </c>
      <c r="F691" s="1044">
        <v>224</v>
      </c>
      <c r="G691" s="2433">
        <v>17.100000000000001</v>
      </c>
    </row>
    <row r="692" spans="2:7">
      <c r="B692" s="1042">
        <v>21144148</v>
      </c>
      <c r="C692" s="1043" t="s">
        <v>273</v>
      </c>
      <c r="D692" s="1045" t="s">
        <v>1614</v>
      </c>
      <c r="E692" s="2023">
        <f t="shared" si="10"/>
        <v>7.6318181818181813E-2</v>
      </c>
      <c r="F692" s="1044">
        <v>220</v>
      </c>
      <c r="G692" s="2433">
        <v>16.79</v>
      </c>
    </row>
    <row r="693" spans="2:7">
      <c r="B693" s="1042">
        <v>259410</v>
      </c>
      <c r="C693" s="1043" t="s">
        <v>273</v>
      </c>
      <c r="D693" s="1045" t="s">
        <v>1614</v>
      </c>
      <c r="E693" s="2023">
        <f t="shared" si="10"/>
        <v>7.5275229357798165E-2</v>
      </c>
      <c r="F693" s="1044">
        <v>218</v>
      </c>
      <c r="G693" s="2433">
        <v>16.41</v>
      </c>
    </row>
    <row r="694" spans="2:7">
      <c r="B694" s="1042">
        <v>21416648</v>
      </c>
      <c r="C694" s="1043" t="s">
        <v>273</v>
      </c>
      <c r="D694" s="1045" t="s">
        <v>1481</v>
      </c>
      <c r="E694" s="2023">
        <f t="shared" si="10"/>
        <v>7.6337262012692655E-2</v>
      </c>
      <c r="F694" s="1044">
        <v>275.75</v>
      </c>
      <c r="G694" s="2433">
        <v>21.05</v>
      </c>
    </row>
    <row r="695" spans="2:7">
      <c r="B695" s="1042">
        <v>284901</v>
      </c>
      <c r="C695" s="1043" t="s">
        <v>276</v>
      </c>
      <c r="D695" s="1045" t="s">
        <v>1614</v>
      </c>
      <c r="E695" s="2023">
        <f t="shared" si="10"/>
        <v>7.6333333333333336E-2</v>
      </c>
      <c r="F695" s="1044">
        <v>210</v>
      </c>
      <c r="G695" s="2433">
        <v>16.03</v>
      </c>
    </row>
    <row r="696" spans="2:7">
      <c r="B696" s="1042">
        <v>21368588</v>
      </c>
      <c r="C696" s="1043" t="s">
        <v>273</v>
      </c>
      <c r="D696" s="1045" t="s">
        <v>1614</v>
      </c>
      <c r="E696" s="2023">
        <f t="shared" si="10"/>
        <v>7.6333333333333336E-2</v>
      </c>
      <c r="F696" s="1044">
        <v>210</v>
      </c>
      <c r="G696" s="2433">
        <v>16.03</v>
      </c>
    </row>
    <row r="697" spans="2:7">
      <c r="B697" s="1042">
        <v>21405725</v>
      </c>
      <c r="C697" s="1043" t="s">
        <v>273</v>
      </c>
      <c r="D697" s="1045" t="s">
        <v>1614</v>
      </c>
      <c r="E697" s="2023">
        <f t="shared" si="10"/>
        <v>7.6347517730496459E-2</v>
      </c>
      <c r="F697" s="1044">
        <v>282</v>
      </c>
      <c r="G697" s="2433">
        <v>21.53</v>
      </c>
    </row>
    <row r="698" spans="2:7">
      <c r="B698" s="1042">
        <v>21002375</v>
      </c>
      <c r="C698" s="1043" t="s">
        <v>273</v>
      </c>
      <c r="D698" s="1045" t="s">
        <v>1614</v>
      </c>
      <c r="E698" s="2023">
        <f t="shared" si="10"/>
        <v>7.6350000000000001E-2</v>
      </c>
      <c r="F698" s="1044">
        <v>200</v>
      </c>
      <c r="G698" s="2433">
        <v>15.27</v>
      </c>
    </row>
    <row r="699" spans="2:7">
      <c r="B699" s="1042">
        <v>177901</v>
      </c>
      <c r="C699" s="1043" t="s">
        <v>273</v>
      </c>
      <c r="D699" s="1045" t="s">
        <v>1614</v>
      </c>
      <c r="E699" s="2023">
        <f t="shared" si="10"/>
        <v>7.5276381909547746E-2</v>
      </c>
      <c r="F699" s="1044">
        <v>199</v>
      </c>
      <c r="G699" s="2433">
        <v>14.98</v>
      </c>
    </row>
    <row r="700" spans="2:7">
      <c r="B700" s="1042">
        <v>21489312</v>
      </c>
      <c r="C700" s="1043" t="s">
        <v>273</v>
      </c>
      <c r="D700" s="1045" t="s">
        <v>1614</v>
      </c>
      <c r="E700" s="2023">
        <f t="shared" si="10"/>
        <v>7.6334661354581668E-2</v>
      </c>
      <c r="F700" s="1044">
        <v>251</v>
      </c>
      <c r="G700" s="2433">
        <v>19.16</v>
      </c>
    </row>
    <row r="701" spans="2:7">
      <c r="B701" s="1042">
        <v>604219</v>
      </c>
      <c r="C701" s="1043" t="s">
        <v>273</v>
      </c>
      <c r="D701" s="1045" t="s">
        <v>1614</v>
      </c>
      <c r="E701" s="2023">
        <f t="shared" si="10"/>
        <v>7.5240641711229947E-2</v>
      </c>
      <c r="F701" s="1044">
        <v>187</v>
      </c>
      <c r="G701" s="2433">
        <v>14.07</v>
      </c>
    </row>
    <row r="702" spans="2:7">
      <c r="B702" s="1042">
        <v>255770</v>
      </c>
      <c r="C702" s="1043" t="s">
        <v>273</v>
      </c>
      <c r="D702" s="1045" t="s">
        <v>1614</v>
      </c>
      <c r="E702" s="2023">
        <f t="shared" si="10"/>
        <v>7.633879781420766E-2</v>
      </c>
      <c r="F702" s="1044">
        <v>183</v>
      </c>
      <c r="G702" s="2433">
        <v>13.97</v>
      </c>
    </row>
    <row r="703" spans="2:7">
      <c r="B703" s="1042">
        <v>21414230</v>
      </c>
      <c r="C703" s="1043" t="s">
        <v>273</v>
      </c>
      <c r="D703" s="1045" t="s">
        <v>1614</v>
      </c>
      <c r="E703" s="2023">
        <f t="shared" si="10"/>
        <v>7.6320754716981132E-2</v>
      </c>
      <c r="F703" s="1044">
        <v>212</v>
      </c>
      <c r="G703" s="2433">
        <v>16.18</v>
      </c>
    </row>
    <row r="704" spans="2:7">
      <c r="B704" s="1042">
        <v>339732</v>
      </c>
      <c r="C704" s="1043" t="s">
        <v>273</v>
      </c>
      <c r="D704" s="1045" t="s">
        <v>1614</v>
      </c>
      <c r="E704" s="2023">
        <f t="shared" si="10"/>
        <v>7.5287356321839083E-2</v>
      </c>
      <c r="F704" s="1044">
        <v>174</v>
      </c>
      <c r="G704" s="2433">
        <v>13.1</v>
      </c>
    </row>
    <row r="705" spans="2:7">
      <c r="B705" s="1042">
        <v>21367845</v>
      </c>
      <c r="C705" s="1043" t="s">
        <v>273</v>
      </c>
      <c r="D705" s="1045" t="s">
        <v>1614</v>
      </c>
      <c r="E705" s="2023">
        <f t="shared" si="10"/>
        <v>7.6347305389221562E-2</v>
      </c>
      <c r="F705" s="1044">
        <v>167</v>
      </c>
      <c r="G705" s="2433">
        <v>12.75</v>
      </c>
    </row>
    <row r="706" spans="2:7">
      <c r="B706" s="1042">
        <v>432276</v>
      </c>
      <c r="C706" s="1043" t="s">
        <v>273</v>
      </c>
      <c r="D706" s="1045" t="s">
        <v>1614</v>
      </c>
      <c r="E706" s="2023">
        <f t="shared" si="10"/>
        <v>7.6347305389221562E-2</v>
      </c>
      <c r="F706" s="1044">
        <v>167</v>
      </c>
      <c r="G706" s="2433">
        <v>12.75</v>
      </c>
    </row>
    <row r="707" spans="2:7">
      <c r="B707" s="1042">
        <v>423435</v>
      </c>
      <c r="C707" s="1043" t="s">
        <v>273</v>
      </c>
      <c r="D707" s="1045" t="s">
        <v>1614</v>
      </c>
      <c r="E707" s="2023">
        <f t="shared" si="10"/>
        <v>7.5272727272727269E-2</v>
      </c>
      <c r="F707" s="1044">
        <v>165</v>
      </c>
      <c r="G707" s="2433">
        <v>12.42</v>
      </c>
    </row>
    <row r="708" spans="2:7">
      <c r="B708" s="1042">
        <v>503731</v>
      </c>
      <c r="C708" s="1043" t="s">
        <v>273</v>
      </c>
      <c r="D708" s="1045" t="s">
        <v>1614</v>
      </c>
      <c r="E708" s="2023">
        <f t="shared" si="10"/>
        <v>7.6363636363636356E-2</v>
      </c>
      <c r="F708" s="1044">
        <v>165</v>
      </c>
      <c r="G708" s="2433">
        <v>12.6</v>
      </c>
    </row>
    <row r="709" spans="2:7">
      <c r="B709" s="1042">
        <v>251181</v>
      </c>
      <c r="C709" s="1043" t="s">
        <v>273</v>
      </c>
      <c r="D709" s="1045" t="s">
        <v>1614</v>
      </c>
      <c r="E709" s="2023">
        <f t="shared" ref="E709:E772" si="11">G709/F709</f>
        <v>7.6319018404907971E-2</v>
      </c>
      <c r="F709" s="1044">
        <v>163</v>
      </c>
      <c r="G709" s="2433">
        <v>12.44</v>
      </c>
    </row>
    <row r="710" spans="2:7">
      <c r="B710" s="1042">
        <v>809934</v>
      </c>
      <c r="C710" s="1043" t="s">
        <v>273</v>
      </c>
      <c r="D710" s="1045" t="s">
        <v>1614</v>
      </c>
      <c r="E710" s="2023">
        <f t="shared" si="11"/>
        <v>7.6319018404907971E-2</v>
      </c>
      <c r="F710" s="1044">
        <v>163</v>
      </c>
      <c r="G710" s="2433">
        <v>12.44</v>
      </c>
    </row>
    <row r="711" spans="2:7">
      <c r="B711" s="1042">
        <v>205703</v>
      </c>
      <c r="C711" s="1043" t="s">
        <v>274</v>
      </c>
      <c r="D711" s="1045" t="s">
        <v>1614</v>
      </c>
      <c r="E711" s="2023">
        <f t="shared" si="11"/>
        <v>7.6312500000000005E-2</v>
      </c>
      <c r="F711" s="1044">
        <v>160</v>
      </c>
      <c r="G711" s="2433">
        <v>12.21</v>
      </c>
    </row>
    <row r="712" spans="2:7">
      <c r="B712" s="1042">
        <v>21413147</v>
      </c>
      <c r="C712" s="1043" t="s">
        <v>273</v>
      </c>
      <c r="D712" s="1045" t="s">
        <v>1481</v>
      </c>
      <c r="E712" s="2023">
        <f t="shared" si="11"/>
        <v>7.6338028169014083E-2</v>
      </c>
      <c r="F712" s="1044">
        <v>1313.5</v>
      </c>
      <c r="G712" s="2433">
        <v>100.27</v>
      </c>
    </row>
    <row r="713" spans="2:7">
      <c r="B713" s="1042">
        <v>177365</v>
      </c>
      <c r="C713" s="1043" t="s">
        <v>273</v>
      </c>
      <c r="D713" s="1045" t="s">
        <v>1614</v>
      </c>
      <c r="E713" s="2023">
        <f t="shared" si="11"/>
        <v>7.6369426751592362E-2</v>
      </c>
      <c r="F713" s="1044">
        <v>157</v>
      </c>
      <c r="G713" s="2433">
        <v>11.99</v>
      </c>
    </row>
    <row r="714" spans="2:7">
      <c r="B714" s="1042">
        <v>21418851</v>
      </c>
      <c r="C714" s="1043" t="s">
        <v>273</v>
      </c>
      <c r="D714" s="1045" t="s">
        <v>1614</v>
      </c>
      <c r="E714" s="2023">
        <f t="shared" si="11"/>
        <v>7.6428571428571429E-2</v>
      </c>
      <c r="F714" s="1044">
        <v>42</v>
      </c>
      <c r="G714" s="2433">
        <v>3.21</v>
      </c>
    </row>
    <row r="715" spans="2:7">
      <c r="B715" s="1042">
        <v>21232880</v>
      </c>
      <c r="C715" s="1043" t="s">
        <v>273</v>
      </c>
      <c r="D715" s="1045" t="s">
        <v>1614</v>
      </c>
      <c r="E715" s="2023">
        <f t="shared" si="11"/>
        <v>7.6315789473684212E-2</v>
      </c>
      <c r="F715" s="1044">
        <v>152</v>
      </c>
      <c r="G715" s="2433">
        <v>11.6</v>
      </c>
    </row>
    <row r="716" spans="2:7">
      <c r="B716" s="1042">
        <v>21356173</v>
      </c>
      <c r="C716" s="1043" t="s">
        <v>273</v>
      </c>
      <c r="D716" s="1045" t="s">
        <v>1614</v>
      </c>
      <c r="E716" s="2023">
        <f t="shared" si="11"/>
        <v>7.5263157894736837E-2</v>
      </c>
      <c r="F716" s="1044">
        <v>152</v>
      </c>
      <c r="G716" s="2433">
        <v>11.44</v>
      </c>
    </row>
    <row r="717" spans="2:7">
      <c r="B717" s="1042">
        <v>21427238</v>
      </c>
      <c r="C717" s="1043" t="s">
        <v>273</v>
      </c>
      <c r="D717" s="1045" t="s">
        <v>1614</v>
      </c>
      <c r="E717" s="2023">
        <f t="shared" si="11"/>
        <v>7.6343115124153496E-2</v>
      </c>
      <c r="F717" s="1044">
        <v>443</v>
      </c>
      <c r="G717" s="2433">
        <v>33.82</v>
      </c>
    </row>
    <row r="718" spans="2:7">
      <c r="B718" s="1042">
        <v>21242389</v>
      </c>
      <c r="C718" s="1043" t="s">
        <v>273</v>
      </c>
      <c r="D718" s="1045" t="s">
        <v>1614</v>
      </c>
      <c r="E718" s="2023">
        <f t="shared" si="11"/>
        <v>7.635714285714286E-2</v>
      </c>
      <c r="F718" s="1044">
        <v>140</v>
      </c>
      <c r="G718" s="2433">
        <v>10.69</v>
      </c>
    </row>
    <row r="719" spans="2:7">
      <c r="B719" s="1042">
        <v>21324853</v>
      </c>
      <c r="C719" s="1043" t="s">
        <v>273</v>
      </c>
      <c r="D719" s="1045" t="s">
        <v>1614</v>
      </c>
      <c r="E719" s="2023">
        <f t="shared" si="11"/>
        <v>7.5255474452554746E-2</v>
      </c>
      <c r="F719" s="1044">
        <v>137</v>
      </c>
      <c r="G719" s="2433">
        <v>10.31</v>
      </c>
    </row>
    <row r="720" spans="2:7">
      <c r="B720" s="1042">
        <v>729093</v>
      </c>
      <c r="C720" s="1043" t="s">
        <v>273</v>
      </c>
      <c r="D720" s="1045" t="s">
        <v>1614</v>
      </c>
      <c r="E720" s="2023">
        <f t="shared" si="11"/>
        <v>7.6315789473684212E-2</v>
      </c>
      <c r="F720" s="1044">
        <v>133</v>
      </c>
      <c r="G720" s="2433">
        <v>10.15</v>
      </c>
    </row>
    <row r="721" spans="2:7">
      <c r="B721" s="1042">
        <v>21421851</v>
      </c>
      <c r="C721" s="1043" t="s">
        <v>273</v>
      </c>
      <c r="D721" s="1045" t="s">
        <v>1614</v>
      </c>
      <c r="E721" s="2023">
        <f t="shared" si="11"/>
        <v>7.6340014847809945E-2</v>
      </c>
      <c r="F721" s="1044">
        <v>1347</v>
      </c>
      <c r="G721" s="2433">
        <v>102.83</v>
      </c>
    </row>
    <row r="722" spans="2:7">
      <c r="B722" s="1042">
        <v>21208295</v>
      </c>
      <c r="C722" s="1043" t="s">
        <v>273</v>
      </c>
      <c r="D722" s="1045" t="s">
        <v>1614</v>
      </c>
      <c r="E722" s="2023">
        <f t="shared" si="11"/>
        <v>7.5234375000000006E-2</v>
      </c>
      <c r="F722" s="1044">
        <v>128</v>
      </c>
      <c r="G722" s="2433">
        <v>9.6300000000000008</v>
      </c>
    </row>
    <row r="723" spans="2:7">
      <c r="B723" s="1042">
        <v>21021488</v>
      </c>
      <c r="C723" s="1043" t="s">
        <v>273</v>
      </c>
      <c r="D723" s="1045" t="s">
        <v>1614</v>
      </c>
      <c r="E723" s="2023">
        <f t="shared" si="11"/>
        <v>7.6377952755905504E-2</v>
      </c>
      <c r="F723" s="1044">
        <v>127</v>
      </c>
      <c r="G723" s="2433">
        <v>9.6999999999999993</v>
      </c>
    </row>
    <row r="724" spans="2:7">
      <c r="B724" s="1042">
        <v>560628</v>
      </c>
      <c r="C724" s="1043" t="s">
        <v>273</v>
      </c>
      <c r="D724" s="1045" t="s">
        <v>1614</v>
      </c>
      <c r="E724" s="2023">
        <f t="shared" si="11"/>
        <v>7.6319999999999999E-2</v>
      </c>
      <c r="F724" s="1044">
        <v>125</v>
      </c>
      <c r="G724" s="2433">
        <v>9.5399999999999991</v>
      </c>
    </row>
    <row r="725" spans="2:7">
      <c r="B725" s="1042">
        <v>21401825</v>
      </c>
      <c r="C725" s="1043" t="s">
        <v>273</v>
      </c>
      <c r="D725" s="1045" t="s">
        <v>1614</v>
      </c>
      <c r="E725" s="2023">
        <f t="shared" si="11"/>
        <v>7.6344537815126054E-2</v>
      </c>
      <c r="F725" s="1044">
        <v>952</v>
      </c>
      <c r="G725" s="2433">
        <v>72.680000000000007</v>
      </c>
    </row>
    <row r="726" spans="2:7">
      <c r="B726" s="1042">
        <v>941463</v>
      </c>
      <c r="C726" s="1043" t="s">
        <v>273</v>
      </c>
      <c r="D726" s="1045" t="s">
        <v>1614</v>
      </c>
      <c r="E726" s="2023">
        <f t="shared" si="11"/>
        <v>7.6333333333333336E-2</v>
      </c>
      <c r="F726" s="1044">
        <v>120</v>
      </c>
      <c r="G726" s="2433">
        <v>9.16</v>
      </c>
    </row>
    <row r="727" spans="2:7">
      <c r="B727" s="1042">
        <v>21078190</v>
      </c>
      <c r="C727" s="1043" t="s">
        <v>273</v>
      </c>
      <c r="D727" s="1045" t="s">
        <v>1614</v>
      </c>
      <c r="E727" s="2023">
        <f t="shared" si="11"/>
        <v>7.6302521008403359E-2</v>
      </c>
      <c r="F727" s="1044">
        <v>119</v>
      </c>
      <c r="G727" s="2433">
        <v>9.08</v>
      </c>
    </row>
    <row r="728" spans="2:7">
      <c r="B728" s="1042">
        <v>242235</v>
      </c>
      <c r="C728" s="1043" t="s">
        <v>273</v>
      </c>
      <c r="D728" s="1045" t="s">
        <v>1614</v>
      </c>
      <c r="E728" s="2023">
        <f t="shared" si="11"/>
        <v>7.6379310344827575E-2</v>
      </c>
      <c r="F728" s="1044">
        <v>116</v>
      </c>
      <c r="G728" s="2433">
        <v>8.86</v>
      </c>
    </row>
    <row r="729" spans="2:7">
      <c r="B729" s="1042">
        <v>250702</v>
      </c>
      <c r="C729" s="1043" t="s">
        <v>273</v>
      </c>
      <c r="D729" s="1045" t="s">
        <v>1614</v>
      </c>
      <c r="E729" s="2023">
        <f t="shared" si="11"/>
        <v>7.6315789473684198E-2</v>
      </c>
      <c r="F729" s="1044">
        <v>114</v>
      </c>
      <c r="G729" s="2433">
        <v>8.6999999999999993</v>
      </c>
    </row>
    <row r="730" spans="2:7">
      <c r="B730" s="1042">
        <v>21414355</v>
      </c>
      <c r="C730" s="1043" t="s">
        <v>273</v>
      </c>
      <c r="D730" s="1045" t="s">
        <v>1481</v>
      </c>
      <c r="E730" s="2023">
        <f t="shared" si="11"/>
        <v>7.6338255033557054E-2</v>
      </c>
      <c r="F730" s="1044">
        <v>2793.75</v>
      </c>
      <c r="G730" s="2433">
        <v>213.27</v>
      </c>
    </row>
    <row r="731" spans="2:7">
      <c r="B731" s="1042">
        <v>21399380</v>
      </c>
      <c r="C731" s="1043" t="s">
        <v>273</v>
      </c>
      <c r="D731" s="1045" t="s">
        <v>1614</v>
      </c>
      <c r="E731" s="2023">
        <f t="shared" si="11"/>
        <v>7.6340681362725454E-2</v>
      </c>
      <c r="F731" s="1044">
        <v>2495</v>
      </c>
      <c r="G731" s="2433">
        <v>190.47</v>
      </c>
    </row>
    <row r="732" spans="2:7">
      <c r="B732" s="1042">
        <v>259403</v>
      </c>
      <c r="C732" s="1043" t="s">
        <v>273</v>
      </c>
      <c r="D732" s="1045" t="s">
        <v>1614</v>
      </c>
      <c r="E732" s="2023">
        <f t="shared" si="11"/>
        <v>7.5221238938053103E-2</v>
      </c>
      <c r="F732" s="1044">
        <v>113</v>
      </c>
      <c r="G732" s="2433">
        <v>8.5</v>
      </c>
    </row>
    <row r="733" spans="2:7">
      <c r="B733" s="1042">
        <v>227186</v>
      </c>
      <c r="C733" s="1043" t="s">
        <v>273</v>
      </c>
      <c r="D733" s="1045" t="s">
        <v>1614</v>
      </c>
      <c r="E733" s="2023">
        <f t="shared" si="11"/>
        <v>7.6371681415929205E-2</v>
      </c>
      <c r="F733" s="1044">
        <v>113</v>
      </c>
      <c r="G733" s="2433">
        <v>8.6300000000000008</v>
      </c>
    </row>
    <row r="734" spans="2:7">
      <c r="B734" s="1042">
        <v>950218</v>
      </c>
      <c r="C734" s="1043" t="s">
        <v>273</v>
      </c>
      <c r="D734" s="1045" t="s">
        <v>1614</v>
      </c>
      <c r="E734" s="2023">
        <f t="shared" si="11"/>
        <v>7.636363636363637E-2</v>
      </c>
      <c r="F734" s="1044">
        <v>110</v>
      </c>
      <c r="G734" s="2433">
        <v>8.4</v>
      </c>
    </row>
    <row r="735" spans="2:7">
      <c r="B735" s="1042">
        <v>637193</v>
      </c>
      <c r="C735" s="1043" t="s">
        <v>273</v>
      </c>
      <c r="D735" s="1045" t="s">
        <v>1614</v>
      </c>
      <c r="E735" s="2023">
        <f t="shared" si="11"/>
        <v>7.6296296296296293E-2</v>
      </c>
      <c r="F735" s="1044">
        <v>108</v>
      </c>
      <c r="G735" s="2433">
        <v>8.24</v>
      </c>
    </row>
    <row r="736" spans="2:7">
      <c r="B736" s="1042">
        <v>257295</v>
      </c>
      <c r="C736" s="1043" t="s">
        <v>273</v>
      </c>
      <c r="D736" s="1045" t="s">
        <v>1614</v>
      </c>
      <c r="E736" s="2023">
        <f t="shared" si="11"/>
        <v>7.5238095238095243E-2</v>
      </c>
      <c r="F736" s="1044">
        <v>105</v>
      </c>
      <c r="G736" s="2433">
        <v>7.9</v>
      </c>
    </row>
    <row r="737" spans="2:7">
      <c r="B737" s="1042">
        <v>507112</v>
      </c>
      <c r="C737" s="1043" t="s">
        <v>273</v>
      </c>
      <c r="D737" s="1045" t="s">
        <v>1614</v>
      </c>
      <c r="E737" s="2023">
        <f t="shared" si="11"/>
        <v>7.528846153846154E-2</v>
      </c>
      <c r="F737" s="1044">
        <v>104</v>
      </c>
      <c r="G737" s="2433">
        <v>7.83</v>
      </c>
    </row>
    <row r="738" spans="2:7">
      <c r="B738" s="1042">
        <v>21410066</v>
      </c>
      <c r="C738" s="1043" t="s">
        <v>273</v>
      </c>
      <c r="D738" s="1045" t="s">
        <v>1614</v>
      </c>
      <c r="E738" s="2023">
        <f t="shared" si="11"/>
        <v>7.6331096196868009E-2</v>
      </c>
      <c r="F738" s="1044">
        <v>447</v>
      </c>
      <c r="G738" s="2433">
        <v>34.119999999999997</v>
      </c>
    </row>
    <row r="739" spans="2:7">
      <c r="B739" s="1042">
        <v>21157158</v>
      </c>
      <c r="C739" s="1043" t="s">
        <v>273</v>
      </c>
      <c r="D739" s="1045" t="s">
        <v>1614</v>
      </c>
      <c r="E739" s="2023">
        <f t="shared" si="11"/>
        <v>7.628865979381444E-2</v>
      </c>
      <c r="F739" s="1044">
        <v>97</v>
      </c>
      <c r="G739" s="2433">
        <v>7.4</v>
      </c>
    </row>
    <row r="740" spans="2:7">
      <c r="B740" s="1042">
        <v>21259139</v>
      </c>
      <c r="C740" s="1043" t="s">
        <v>273</v>
      </c>
      <c r="D740" s="1045" t="s">
        <v>1614</v>
      </c>
      <c r="E740" s="2023">
        <f t="shared" si="11"/>
        <v>7.6354166666666667E-2</v>
      </c>
      <c r="F740" s="1044">
        <v>96</v>
      </c>
      <c r="G740" s="2433">
        <v>7.33</v>
      </c>
    </row>
    <row r="741" spans="2:7">
      <c r="B741" s="1042">
        <v>21265928</v>
      </c>
      <c r="C741" s="1043" t="s">
        <v>273</v>
      </c>
      <c r="D741" s="1045" t="s">
        <v>1614</v>
      </c>
      <c r="E741" s="2023">
        <f t="shared" si="11"/>
        <v>7.6315789473684212E-2</v>
      </c>
      <c r="F741" s="1044">
        <v>95</v>
      </c>
      <c r="G741" s="2433">
        <v>7.25</v>
      </c>
    </row>
    <row r="742" spans="2:7">
      <c r="B742" s="1042">
        <v>21429456</v>
      </c>
      <c r="C742" s="1043" t="s">
        <v>273</v>
      </c>
      <c r="D742" s="1045" t="s">
        <v>1614</v>
      </c>
      <c r="E742" s="2023">
        <f t="shared" si="11"/>
        <v>7.6382978723404257E-2</v>
      </c>
      <c r="F742" s="1044">
        <v>94</v>
      </c>
      <c r="G742" s="2433">
        <v>7.18</v>
      </c>
    </row>
    <row r="743" spans="2:7">
      <c r="B743" s="1042">
        <v>21328539</v>
      </c>
      <c r="C743" s="1043" t="s">
        <v>273</v>
      </c>
      <c r="D743" s="1045" t="s">
        <v>1614</v>
      </c>
      <c r="E743" s="2023">
        <f t="shared" si="11"/>
        <v>7.6333333333333336E-2</v>
      </c>
      <c r="F743" s="1044">
        <v>90</v>
      </c>
      <c r="G743" s="2433">
        <v>6.87</v>
      </c>
    </row>
    <row r="744" spans="2:7">
      <c r="B744" s="1042">
        <v>919093</v>
      </c>
      <c r="C744" s="1043" t="s">
        <v>273</v>
      </c>
      <c r="D744" s="1045" t="s">
        <v>1614</v>
      </c>
      <c r="E744" s="2023">
        <f t="shared" si="11"/>
        <v>7.6321839080459766E-2</v>
      </c>
      <c r="F744" s="1044">
        <v>87</v>
      </c>
      <c r="G744" s="2433">
        <v>6.64</v>
      </c>
    </row>
    <row r="745" spans="2:7">
      <c r="B745" s="1042">
        <v>21474902</v>
      </c>
      <c r="C745" s="1043" t="s">
        <v>273</v>
      </c>
      <c r="D745" s="1045" t="s">
        <v>1481</v>
      </c>
      <c r="E745" s="2023">
        <f t="shared" si="11"/>
        <v>7.5257548845470687E-2</v>
      </c>
      <c r="F745" s="1044">
        <v>563</v>
      </c>
      <c r="G745" s="2433">
        <v>42.37</v>
      </c>
    </row>
    <row r="746" spans="2:7">
      <c r="B746" s="1042">
        <v>21035370</v>
      </c>
      <c r="C746" s="1043" t="s">
        <v>273</v>
      </c>
      <c r="D746" s="1045" t="s">
        <v>1614</v>
      </c>
      <c r="E746" s="2023">
        <f t="shared" si="11"/>
        <v>7.6309523809523813E-2</v>
      </c>
      <c r="F746" s="1044">
        <v>84</v>
      </c>
      <c r="G746" s="2433">
        <v>6.41</v>
      </c>
    </row>
    <row r="747" spans="2:7">
      <c r="B747" s="1042">
        <v>256148</v>
      </c>
      <c r="C747" s="1043" t="s">
        <v>273</v>
      </c>
      <c r="D747" s="1045" t="s">
        <v>1614</v>
      </c>
      <c r="E747" s="2023">
        <f t="shared" si="11"/>
        <v>7.6309523809523813E-2</v>
      </c>
      <c r="F747" s="1044">
        <v>84</v>
      </c>
      <c r="G747" s="2433">
        <v>6.41</v>
      </c>
    </row>
    <row r="748" spans="2:7">
      <c r="B748" s="1042">
        <v>570037</v>
      </c>
      <c r="C748" s="1043" t="s">
        <v>273</v>
      </c>
      <c r="D748" s="1045" t="s">
        <v>1614</v>
      </c>
      <c r="E748" s="2023">
        <f t="shared" si="11"/>
        <v>7.6341463414634145E-2</v>
      </c>
      <c r="F748" s="1044">
        <v>82</v>
      </c>
      <c r="G748" s="2433">
        <v>6.26</v>
      </c>
    </row>
    <row r="749" spans="2:7">
      <c r="B749" s="1042">
        <v>620097</v>
      </c>
      <c r="C749" s="1043" t="s">
        <v>274</v>
      </c>
      <c r="D749" s="1045" t="s">
        <v>1614</v>
      </c>
      <c r="E749" s="2023">
        <f t="shared" si="11"/>
        <v>7.6374999999999998E-2</v>
      </c>
      <c r="F749" s="1044">
        <v>80</v>
      </c>
      <c r="G749" s="2433">
        <v>6.11</v>
      </c>
    </row>
    <row r="750" spans="2:7">
      <c r="B750" s="1042">
        <v>21354281</v>
      </c>
      <c r="C750" s="1043" t="s">
        <v>273</v>
      </c>
      <c r="D750" s="1045" t="s">
        <v>1614</v>
      </c>
      <c r="E750" s="2023">
        <f t="shared" si="11"/>
        <v>7.6374999999999998E-2</v>
      </c>
      <c r="F750" s="1044">
        <v>80</v>
      </c>
      <c r="G750" s="2433">
        <v>6.11</v>
      </c>
    </row>
    <row r="751" spans="2:7">
      <c r="B751" s="1042">
        <v>21290861</v>
      </c>
      <c r="C751" s="1043" t="s">
        <v>273</v>
      </c>
      <c r="D751" s="1045" t="s">
        <v>1614</v>
      </c>
      <c r="E751" s="2023">
        <f t="shared" si="11"/>
        <v>7.6374999999999998E-2</v>
      </c>
      <c r="F751" s="1044">
        <v>80</v>
      </c>
      <c r="G751" s="2433">
        <v>6.11</v>
      </c>
    </row>
    <row r="752" spans="2:7">
      <c r="B752" s="1042">
        <v>21422253</v>
      </c>
      <c r="C752" s="1043" t="s">
        <v>273</v>
      </c>
      <c r="D752" s="1045" t="s">
        <v>1614</v>
      </c>
      <c r="E752" s="2023">
        <f t="shared" si="11"/>
        <v>7.6338089061824474E-2</v>
      </c>
      <c r="F752" s="1044">
        <v>2313</v>
      </c>
      <c r="G752" s="2433">
        <v>176.57</v>
      </c>
    </row>
    <row r="753" spans="2:7">
      <c r="B753" s="1042">
        <v>21487679</v>
      </c>
      <c r="C753" s="1043" t="s">
        <v>273</v>
      </c>
      <c r="D753" s="1045" t="s">
        <v>1481</v>
      </c>
      <c r="E753" s="2023">
        <f t="shared" si="11"/>
        <v>7.6339743589743589E-2</v>
      </c>
      <c r="F753" s="1044">
        <v>3120</v>
      </c>
      <c r="G753" s="2433">
        <v>238.18</v>
      </c>
    </row>
    <row r="754" spans="2:7">
      <c r="B754" s="1042">
        <v>866159</v>
      </c>
      <c r="C754" s="1043" t="s">
        <v>273</v>
      </c>
      <c r="D754" s="1045" t="s">
        <v>1614</v>
      </c>
      <c r="E754" s="2023">
        <f t="shared" si="11"/>
        <v>7.6341030195381882E-2</v>
      </c>
      <c r="F754" s="1044">
        <v>563</v>
      </c>
      <c r="G754" s="2433">
        <v>42.98</v>
      </c>
    </row>
    <row r="755" spans="2:7">
      <c r="B755" s="1042">
        <v>579659</v>
      </c>
      <c r="C755" s="1043" t="s">
        <v>273</v>
      </c>
      <c r="D755" s="1045" t="s">
        <v>1614</v>
      </c>
      <c r="E755" s="2023">
        <f t="shared" si="11"/>
        <v>7.6338028169014083E-2</v>
      </c>
      <c r="F755" s="1044">
        <v>71</v>
      </c>
      <c r="G755" s="2433">
        <v>5.42</v>
      </c>
    </row>
    <row r="756" spans="2:7">
      <c r="B756" s="1042">
        <v>21301523</v>
      </c>
      <c r="C756" s="1043" t="s">
        <v>273</v>
      </c>
      <c r="D756" s="1045" t="s">
        <v>1614</v>
      </c>
      <c r="E756" s="2023">
        <f t="shared" si="11"/>
        <v>7.6349206349206347E-2</v>
      </c>
      <c r="F756" s="1044">
        <v>63</v>
      </c>
      <c r="G756" s="2433">
        <v>4.8099999999999996</v>
      </c>
    </row>
    <row r="757" spans="2:7">
      <c r="B757" s="1042">
        <v>21463166</v>
      </c>
      <c r="C757" s="1043" t="s">
        <v>273</v>
      </c>
      <c r="D757" s="1045" t="s">
        <v>1614</v>
      </c>
      <c r="E757" s="2023">
        <f t="shared" si="11"/>
        <v>7.6342857142857143E-2</v>
      </c>
      <c r="F757" s="1044">
        <v>175</v>
      </c>
      <c r="G757" s="2433">
        <v>13.36</v>
      </c>
    </row>
    <row r="758" spans="2:7">
      <c r="B758" s="1042">
        <v>816453</v>
      </c>
      <c r="C758" s="1043" t="s">
        <v>273</v>
      </c>
      <c r="D758" s="1045" t="s">
        <v>1614</v>
      </c>
      <c r="E758" s="2023">
        <f t="shared" si="11"/>
        <v>7.636363636363637E-2</v>
      </c>
      <c r="F758" s="1044">
        <v>55</v>
      </c>
      <c r="G758" s="2433">
        <v>4.2</v>
      </c>
    </row>
    <row r="759" spans="2:7">
      <c r="B759" s="1042">
        <v>21318437</v>
      </c>
      <c r="C759" s="1043" t="s">
        <v>273</v>
      </c>
      <c r="D759" s="1045" t="s">
        <v>1614</v>
      </c>
      <c r="E759" s="2023">
        <f t="shared" si="11"/>
        <v>7.5185185185185174E-2</v>
      </c>
      <c r="F759" s="1044">
        <v>54</v>
      </c>
      <c r="G759" s="2433">
        <v>4.0599999999999996</v>
      </c>
    </row>
    <row r="760" spans="2:7">
      <c r="B760" s="1042">
        <v>21024749</v>
      </c>
      <c r="C760" s="1043" t="s">
        <v>273</v>
      </c>
      <c r="D760" s="1045" t="s">
        <v>1614</v>
      </c>
      <c r="E760" s="2023">
        <f t="shared" si="11"/>
        <v>7.6415094339622638E-2</v>
      </c>
      <c r="F760" s="1044">
        <v>53</v>
      </c>
      <c r="G760" s="2433">
        <v>4.05</v>
      </c>
    </row>
    <row r="761" spans="2:7">
      <c r="B761" s="1042">
        <v>784979</v>
      </c>
      <c r="C761" s="1043" t="s">
        <v>273</v>
      </c>
      <c r="D761" s="1045" t="s">
        <v>1614</v>
      </c>
      <c r="E761" s="2023">
        <f t="shared" si="11"/>
        <v>7.6346153846153855E-2</v>
      </c>
      <c r="F761" s="1044">
        <v>52</v>
      </c>
      <c r="G761" s="2433">
        <v>3.97</v>
      </c>
    </row>
    <row r="762" spans="2:7">
      <c r="B762" s="1042">
        <v>21247785</v>
      </c>
      <c r="C762" s="1043" t="s">
        <v>273</v>
      </c>
      <c r="D762" s="1045" t="s">
        <v>1614</v>
      </c>
      <c r="E762" s="2023">
        <f t="shared" si="11"/>
        <v>7.6274509803921572E-2</v>
      </c>
      <c r="F762" s="1044">
        <v>51</v>
      </c>
      <c r="G762" s="2433">
        <v>3.89</v>
      </c>
    </row>
    <row r="763" spans="2:7">
      <c r="B763" s="1042">
        <v>21027135</v>
      </c>
      <c r="C763" s="1043" t="s">
        <v>273</v>
      </c>
      <c r="D763" s="1045" t="s">
        <v>1614</v>
      </c>
      <c r="E763" s="2023">
        <f t="shared" si="11"/>
        <v>7.6249999999999998E-2</v>
      </c>
      <c r="F763" s="1044">
        <v>48</v>
      </c>
      <c r="G763" s="2433">
        <v>3.66</v>
      </c>
    </row>
    <row r="764" spans="2:7">
      <c r="B764" s="1042">
        <v>21196694</v>
      </c>
      <c r="C764" s="1043" t="s">
        <v>273</v>
      </c>
      <c r="D764" s="1045" t="s">
        <v>1614</v>
      </c>
      <c r="E764" s="2023">
        <f t="shared" si="11"/>
        <v>7.6279069767441851E-2</v>
      </c>
      <c r="F764" s="1044">
        <v>43</v>
      </c>
      <c r="G764" s="2433">
        <v>3.28</v>
      </c>
    </row>
    <row r="765" spans="2:7">
      <c r="B765" s="1042">
        <v>21211630</v>
      </c>
      <c r="C765" s="1043" t="s">
        <v>273</v>
      </c>
      <c r="D765" s="1045" t="s">
        <v>1614</v>
      </c>
      <c r="E765" s="2023">
        <f t="shared" si="11"/>
        <v>7.6428571428571429E-2</v>
      </c>
      <c r="F765" s="1044">
        <v>42</v>
      </c>
      <c r="G765" s="2433">
        <v>3.21</v>
      </c>
    </row>
    <row r="766" spans="2:7">
      <c r="B766" s="1042">
        <v>21146082</v>
      </c>
      <c r="C766" s="1043" t="s">
        <v>274</v>
      </c>
      <c r="D766" s="1045" t="s">
        <v>1481</v>
      </c>
      <c r="E766" s="2023">
        <f t="shared" si="11"/>
        <v>7.6339511740914245E-2</v>
      </c>
      <c r="F766" s="1044">
        <v>8591.75</v>
      </c>
      <c r="G766" s="2433">
        <v>655.89</v>
      </c>
    </row>
    <row r="767" spans="2:7">
      <c r="B767" s="1042">
        <v>184987</v>
      </c>
      <c r="C767" s="1043" t="s">
        <v>274</v>
      </c>
      <c r="D767" s="1045" t="s">
        <v>1614</v>
      </c>
      <c r="E767" s="2023">
        <f t="shared" si="11"/>
        <v>7.6249999999999998E-2</v>
      </c>
      <c r="F767" s="1044">
        <v>40</v>
      </c>
      <c r="G767" s="2433">
        <v>3.05</v>
      </c>
    </row>
    <row r="768" spans="2:7">
      <c r="B768" s="1042">
        <v>21045196</v>
      </c>
      <c r="C768" s="1043" t="s">
        <v>273</v>
      </c>
      <c r="D768" s="1045" t="s">
        <v>1614</v>
      </c>
      <c r="E768" s="2023">
        <f t="shared" si="11"/>
        <v>7.6410256410256408E-2</v>
      </c>
      <c r="F768" s="1044">
        <v>39</v>
      </c>
      <c r="G768" s="2433">
        <v>2.98</v>
      </c>
    </row>
    <row r="769" spans="2:7">
      <c r="B769" s="1042">
        <v>354866</v>
      </c>
      <c r="C769" s="1043" t="s">
        <v>273</v>
      </c>
      <c r="D769" s="1045" t="s">
        <v>1614</v>
      </c>
      <c r="E769" s="2023">
        <f t="shared" si="11"/>
        <v>7.5135135135135131E-2</v>
      </c>
      <c r="F769" s="1044">
        <v>37</v>
      </c>
      <c r="G769" s="2433">
        <v>2.78</v>
      </c>
    </row>
    <row r="770" spans="2:7">
      <c r="B770" s="1042">
        <v>21452905</v>
      </c>
      <c r="C770" s="1043" t="s">
        <v>273</v>
      </c>
      <c r="D770" s="1045" t="s">
        <v>1481</v>
      </c>
      <c r="E770" s="2023">
        <f t="shared" si="11"/>
        <v>7.6337824134434309E-2</v>
      </c>
      <c r="F770" s="1044">
        <v>1725.75</v>
      </c>
      <c r="G770" s="2433">
        <v>131.74</v>
      </c>
    </row>
    <row r="771" spans="2:7">
      <c r="B771" s="1042">
        <v>21410800</v>
      </c>
      <c r="C771" s="1043" t="s">
        <v>273</v>
      </c>
      <c r="D771" s="1045" t="s">
        <v>1481</v>
      </c>
      <c r="E771" s="2023">
        <f t="shared" si="11"/>
        <v>7.6342412451361863E-2</v>
      </c>
      <c r="F771" s="1044">
        <v>1799</v>
      </c>
      <c r="G771" s="2433">
        <v>137.34</v>
      </c>
    </row>
    <row r="772" spans="2:7">
      <c r="B772" s="1042">
        <v>250000</v>
      </c>
      <c r="C772" s="1043" t="s">
        <v>273</v>
      </c>
      <c r="D772" s="1045" t="s">
        <v>1614</v>
      </c>
      <c r="E772" s="2023">
        <f t="shared" si="11"/>
        <v>7.6206896551724135E-2</v>
      </c>
      <c r="F772" s="1044">
        <v>29</v>
      </c>
      <c r="G772" s="2433">
        <v>2.21</v>
      </c>
    </row>
    <row r="773" spans="2:7">
      <c r="B773" s="1042">
        <v>761524</v>
      </c>
      <c r="C773" s="1043" t="s">
        <v>273</v>
      </c>
      <c r="D773" s="1045" t="s">
        <v>1614</v>
      </c>
      <c r="E773" s="2023">
        <f t="shared" ref="E773:E836" si="12">G773/F773</f>
        <v>7.6296296296296293E-2</v>
      </c>
      <c r="F773" s="1044">
        <v>27</v>
      </c>
      <c r="G773" s="2433">
        <v>2.06</v>
      </c>
    </row>
    <row r="774" spans="2:7">
      <c r="B774" s="1042">
        <v>498961</v>
      </c>
      <c r="C774" s="1043" t="s">
        <v>273</v>
      </c>
      <c r="D774" s="1045" t="s">
        <v>1614</v>
      </c>
      <c r="E774" s="2023">
        <f t="shared" si="12"/>
        <v>7.6296296296296293E-2</v>
      </c>
      <c r="F774" s="1044">
        <v>27</v>
      </c>
      <c r="G774" s="2433">
        <v>2.06</v>
      </c>
    </row>
    <row r="775" spans="2:7">
      <c r="B775" s="1042">
        <v>21250301</v>
      </c>
      <c r="C775" s="1043" t="s">
        <v>273</v>
      </c>
      <c r="D775" s="1045" t="s">
        <v>1614</v>
      </c>
      <c r="E775" s="2023">
        <f t="shared" si="12"/>
        <v>7.6399999999999996E-2</v>
      </c>
      <c r="F775" s="1044">
        <v>25</v>
      </c>
      <c r="G775" s="2433">
        <v>1.91</v>
      </c>
    </row>
    <row r="776" spans="2:7">
      <c r="B776" s="1042">
        <v>351590</v>
      </c>
      <c r="C776" s="1043" t="s">
        <v>273</v>
      </c>
      <c r="D776" s="1045" t="s">
        <v>1614</v>
      </c>
      <c r="E776" s="2023">
        <f t="shared" si="12"/>
        <v>7.6399999999999996E-2</v>
      </c>
      <c r="F776" s="1044">
        <v>25</v>
      </c>
      <c r="G776" s="2433">
        <v>1.91</v>
      </c>
    </row>
    <row r="777" spans="2:7">
      <c r="B777" s="1042">
        <v>21095303</v>
      </c>
      <c r="C777" s="1043" t="s">
        <v>273</v>
      </c>
      <c r="D777" s="1045" t="s">
        <v>1614</v>
      </c>
      <c r="E777" s="2023">
        <f t="shared" si="12"/>
        <v>7.6399999999999996E-2</v>
      </c>
      <c r="F777" s="1044">
        <v>25</v>
      </c>
      <c r="G777" s="2433">
        <v>1.91</v>
      </c>
    </row>
    <row r="778" spans="2:7">
      <c r="B778" s="1042">
        <v>178764</v>
      </c>
      <c r="C778" s="1043" t="s">
        <v>273</v>
      </c>
      <c r="D778" s="1045" t="s">
        <v>1614</v>
      </c>
      <c r="E778" s="2023">
        <f t="shared" si="12"/>
        <v>7.6249999999999998E-2</v>
      </c>
      <c r="F778" s="1044">
        <v>24</v>
      </c>
      <c r="G778" s="2433">
        <v>1.83</v>
      </c>
    </row>
    <row r="779" spans="2:7">
      <c r="B779" s="1042">
        <v>250588</v>
      </c>
      <c r="C779" s="1043" t="s">
        <v>273</v>
      </c>
      <c r="D779" s="1045" t="s">
        <v>1614</v>
      </c>
      <c r="E779" s="2023">
        <f t="shared" si="12"/>
        <v>7.6315789473684212E-2</v>
      </c>
      <c r="F779" s="1044">
        <v>19</v>
      </c>
      <c r="G779" s="2433">
        <v>1.45</v>
      </c>
    </row>
    <row r="780" spans="2:7">
      <c r="B780" s="1042">
        <v>21455851</v>
      </c>
      <c r="C780" s="1043" t="s">
        <v>273</v>
      </c>
      <c r="D780" s="1045" t="s">
        <v>1481</v>
      </c>
      <c r="E780" s="2023">
        <f t="shared" si="12"/>
        <v>7.6340542396155162E-2</v>
      </c>
      <c r="F780" s="1044">
        <v>2913</v>
      </c>
      <c r="G780" s="2433">
        <v>222.38</v>
      </c>
    </row>
    <row r="781" spans="2:7">
      <c r="B781" s="1042">
        <v>21142838</v>
      </c>
      <c r="C781" s="1043" t="s">
        <v>273</v>
      </c>
      <c r="D781" s="1045" t="s">
        <v>1614</v>
      </c>
      <c r="E781" s="2023">
        <f t="shared" si="12"/>
        <v>7.6470588235294124E-2</v>
      </c>
      <c r="F781" s="1044">
        <v>17</v>
      </c>
      <c r="G781" s="2433">
        <v>1.3</v>
      </c>
    </row>
    <row r="782" spans="2:7">
      <c r="B782" s="1042">
        <v>259321</v>
      </c>
      <c r="C782" s="1043" t="s">
        <v>273</v>
      </c>
      <c r="D782" s="1045" t="s">
        <v>1614</v>
      </c>
      <c r="E782" s="2023">
        <f t="shared" si="12"/>
        <v>7.4999999999999997E-2</v>
      </c>
      <c r="F782" s="1044">
        <v>16</v>
      </c>
      <c r="G782" s="2433">
        <v>1.2</v>
      </c>
    </row>
    <row r="783" spans="2:7">
      <c r="B783" s="1042">
        <v>21456576</v>
      </c>
      <c r="C783" s="1043" t="s">
        <v>273</v>
      </c>
      <c r="D783" s="1045" t="s">
        <v>1614</v>
      </c>
      <c r="E783" s="2023">
        <f t="shared" si="12"/>
        <v>7.6359447004608297E-2</v>
      </c>
      <c r="F783" s="1044">
        <v>217</v>
      </c>
      <c r="G783" s="2433">
        <v>16.57</v>
      </c>
    </row>
    <row r="784" spans="2:7">
      <c r="B784" s="1042">
        <v>586150</v>
      </c>
      <c r="C784" s="1043" t="s">
        <v>273</v>
      </c>
      <c r="D784" s="1045" t="s">
        <v>1614</v>
      </c>
      <c r="E784" s="2023">
        <f t="shared" si="12"/>
        <v>7.5333333333333322E-2</v>
      </c>
      <c r="F784" s="1044">
        <v>15</v>
      </c>
      <c r="G784" s="2433">
        <v>1.1299999999999999</v>
      </c>
    </row>
    <row r="785" spans="2:7">
      <c r="B785" s="1042">
        <v>258302</v>
      </c>
      <c r="C785" s="1043" t="s">
        <v>273</v>
      </c>
      <c r="D785" s="1045" t="s">
        <v>1614</v>
      </c>
      <c r="E785" s="2023">
        <f t="shared" si="12"/>
        <v>7.6428571428571429E-2</v>
      </c>
      <c r="F785" s="1044">
        <v>14</v>
      </c>
      <c r="G785" s="2433">
        <v>1.07</v>
      </c>
    </row>
    <row r="786" spans="2:7">
      <c r="B786" s="1042">
        <v>236837</v>
      </c>
      <c r="C786" s="1043" t="s">
        <v>273</v>
      </c>
      <c r="D786" s="1045" t="s">
        <v>1614</v>
      </c>
      <c r="E786" s="2023">
        <f t="shared" si="12"/>
        <v>7.6153846153846155E-2</v>
      </c>
      <c r="F786" s="1044">
        <v>13</v>
      </c>
      <c r="G786" s="2433">
        <v>0.99</v>
      </c>
    </row>
    <row r="787" spans="2:7">
      <c r="B787" s="1042">
        <v>218610</v>
      </c>
      <c r="C787" s="1043" t="s">
        <v>273</v>
      </c>
      <c r="D787" s="1045" t="s">
        <v>1614</v>
      </c>
      <c r="E787" s="2023">
        <f t="shared" si="12"/>
        <v>7.6666666666666675E-2</v>
      </c>
      <c r="F787" s="1044">
        <v>12</v>
      </c>
      <c r="G787" s="2433">
        <v>0.92</v>
      </c>
    </row>
    <row r="788" spans="2:7">
      <c r="B788" s="1042">
        <v>178095</v>
      </c>
      <c r="C788" s="1043" t="s">
        <v>273</v>
      </c>
      <c r="D788" s="1045" t="s">
        <v>1614</v>
      </c>
      <c r="E788" s="2023">
        <f t="shared" si="12"/>
        <v>7.6666666666666675E-2</v>
      </c>
      <c r="F788" s="1044">
        <v>12</v>
      </c>
      <c r="G788" s="2433">
        <v>0.92</v>
      </c>
    </row>
    <row r="789" spans="2:7">
      <c r="B789" s="1042">
        <v>21401616</v>
      </c>
      <c r="C789" s="1043" t="s">
        <v>273</v>
      </c>
      <c r="D789" s="1045" t="s">
        <v>1614</v>
      </c>
      <c r="E789" s="2023">
        <f t="shared" si="12"/>
        <v>7.6359223300970877E-2</v>
      </c>
      <c r="F789" s="1044">
        <v>206</v>
      </c>
      <c r="G789" s="2433">
        <v>15.73</v>
      </c>
    </row>
    <row r="790" spans="2:7">
      <c r="B790" s="1042">
        <v>21481578</v>
      </c>
      <c r="C790" s="1043" t="s">
        <v>273</v>
      </c>
      <c r="D790" s="1045" t="s">
        <v>1481</v>
      </c>
      <c r="E790" s="2023">
        <f t="shared" si="12"/>
        <v>7.6338619402985072E-2</v>
      </c>
      <c r="F790" s="1044">
        <v>2144</v>
      </c>
      <c r="G790" s="2433">
        <v>163.66999999999999</v>
      </c>
    </row>
    <row r="791" spans="2:7">
      <c r="B791" s="1042">
        <v>573882</v>
      </c>
      <c r="C791" s="1043" t="s">
        <v>273</v>
      </c>
      <c r="D791" s="1045" t="s">
        <v>1614</v>
      </c>
      <c r="E791" s="2023">
        <f t="shared" si="12"/>
        <v>7.5999999999999998E-2</v>
      </c>
      <c r="F791" s="1044">
        <v>10</v>
      </c>
      <c r="G791" s="2433">
        <v>0.76</v>
      </c>
    </row>
    <row r="792" spans="2:7">
      <c r="B792" s="1042">
        <v>21066373</v>
      </c>
      <c r="C792" s="1043" t="s">
        <v>273</v>
      </c>
      <c r="D792" s="1045" t="s">
        <v>1614</v>
      </c>
      <c r="E792" s="2023">
        <f t="shared" si="12"/>
        <v>7.5999999999999998E-2</v>
      </c>
      <c r="F792" s="1044">
        <v>5</v>
      </c>
      <c r="G792" s="2433">
        <v>0.38</v>
      </c>
    </row>
    <row r="793" spans="2:7">
      <c r="B793" s="1042">
        <v>21388097</v>
      </c>
      <c r="C793" s="1043" t="s">
        <v>273</v>
      </c>
      <c r="D793" s="1045" t="s">
        <v>1614</v>
      </c>
      <c r="E793" s="2023">
        <f t="shared" si="12"/>
        <v>7.5999999999999998E-2</v>
      </c>
      <c r="F793" s="1044">
        <v>5</v>
      </c>
      <c r="G793" s="2433">
        <v>0.38</v>
      </c>
    </row>
    <row r="794" spans="2:7">
      <c r="B794" s="1042">
        <v>21360158</v>
      </c>
      <c r="C794" s="1043" t="s">
        <v>273</v>
      </c>
      <c r="D794" s="1045" t="s">
        <v>1614</v>
      </c>
      <c r="E794" s="2023">
        <f t="shared" si="12"/>
        <v>7.6666666666666675E-2</v>
      </c>
      <c r="F794" s="1044">
        <v>3</v>
      </c>
      <c r="G794" s="2433">
        <v>0.23</v>
      </c>
    </row>
    <row r="795" spans="2:7">
      <c r="B795" s="1042">
        <v>260059</v>
      </c>
      <c r="C795" s="1043" t="s">
        <v>273</v>
      </c>
      <c r="D795" s="1045" t="s">
        <v>1614</v>
      </c>
      <c r="E795" s="2023">
        <f t="shared" si="12"/>
        <v>7.6666666666666675E-2</v>
      </c>
      <c r="F795" s="1044">
        <v>3</v>
      </c>
      <c r="G795" s="2433">
        <v>0.23</v>
      </c>
    </row>
    <row r="796" spans="2:7">
      <c r="B796" s="1042">
        <v>21097866</v>
      </c>
      <c r="C796" s="1043" t="s">
        <v>273</v>
      </c>
      <c r="D796" s="1045" t="s">
        <v>1614</v>
      </c>
      <c r="E796" s="2023">
        <f t="shared" si="12"/>
        <v>7.6666666666666675E-2</v>
      </c>
      <c r="F796" s="1044">
        <v>3</v>
      </c>
      <c r="G796" s="2433">
        <v>0.23</v>
      </c>
    </row>
    <row r="797" spans="2:7">
      <c r="B797" s="1042">
        <v>273474</v>
      </c>
      <c r="C797" s="1043" t="s">
        <v>273</v>
      </c>
      <c r="D797" s="1045" t="s">
        <v>1614</v>
      </c>
      <c r="E797" s="2023">
        <f t="shared" si="12"/>
        <v>0.08</v>
      </c>
      <c r="F797" s="1044">
        <v>1</v>
      </c>
      <c r="G797" s="2433">
        <v>0.08</v>
      </c>
    </row>
    <row r="798" spans="2:7">
      <c r="B798" s="1042">
        <v>21419518</v>
      </c>
      <c r="C798" s="1043" t="s">
        <v>273</v>
      </c>
      <c r="D798" s="1045" t="s">
        <v>1614</v>
      </c>
      <c r="E798" s="2023">
        <f t="shared" si="12"/>
        <v>0.08</v>
      </c>
      <c r="F798" s="1044">
        <v>1</v>
      </c>
      <c r="G798" s="2433">
        <v>0.08</v>
      </c>
    </row>
    <row r="799" spans="2:7">
      <c r="B799" s="1042">
        <v>21162910</v>
      </c>
      <c r="C799" s="1043" t="s">
        <v>273</v>
      </c>
      <c r="D799" s="1045" t="s">
        <v>1614</v>
      </c>
      <c r="E799" s="2023">
        <f t="shared" si="12"/>
        <v>7.6338942307692309E-2</v>
      </c>
      <c r="F799" s="1044">
        <v>4160</v>
      </c>
      <c r="G799" s="2433">
        <v>317.57</v>
      </c>
    </row>
    <row r="800" spans="2:7">
      <c r="B800" s="1042">
        <v>21328291</v>
      </c>
      <c r="C800" s="1043" t="s">
        <v>273</v>
      </c>
      <c r="D800" s="1045" t="s">
        <v>1614</v>
      </c>
      <c r="E800" s="2023">
        <f t="shared" si="12"/>
        <v>7.6341301460823366E-2</v>
      </c>
      <c r="F800" s="1044">
        <v>1506</v>
      </c>
      <c r="G800" s="2433">
        <v>114.97</v>
      </c>
    </row>
    <row r="801" spans="2:7">
      <c r="B801" s="1042">
        <v>21416214</v>
      </c>
      <c r="C801" s="1043" t="s">
        <v>273</v>
      </c>
      <c r="D801" s="1045" t="s">
        <v>1614</v>
      </c>
      <c r="E801" s="2023">
        <f t="shared" si="12"/>
        <v>7.6327272727272716E-2</v>
      </c>
      <c r="F801" s="1044">
        <v>275</v>
      </c>
      <c r="G801" s="2433">
        <v>20.99</v>
      </c>
    </row>
    <row r="802" spans="2:7">
      <c r="B802" s="1042">
        <v>21444498</v>
      </c>
      <c r="C802" s="1043" t="s">
        <v>273</v>
      </c>
      <c r="D802" s="1045" t="s">
        <v>1481</v>
      </c>
      <c r="E802" s="2023">
        <f t="shared" si="12"/>
        <v>7.6342059336823725E-2</v>
      </c>
      <c r="F802" s="1044">
        <v>2148.75</v>
      </c>
      <c r="G802" s="2433">
        <v>164.04</v>
      </c>
    </row>
    <row r="803" spans="2:7">
      <c r="B803" s="1042">
        <v>919504</v>
      </c>
      <c r="C803" s="1043" t="s">
        <v>273</v>
      </c>
      <c r="D803" s="1045" t="s">
        <v>1614</v>
      </c>
      <c r="E803" s="2023">
        <f t="shared" si="12"/>
        <v>7.6344537815126054E-2</v>
      </c>
      <c r="F803" s="1044">
        <v>476</v>
      </c>
      <c r="G803" s="2433">
        <v>36.340000000000003</v>
      </c>
    </row>
    <row r="804" spans="2:7">
      <c r="B804" s="1042">
        <v>21101872</v>
      </c>
      <c r="C804" s="1043" t="s">
        <v>273</v>
      </c>
      <c r="D804" s="1045" t="s">
        <v>1614</v>
      </c>
      <c r="E804" s="2023">
        <f t="shared" si="12"/>
        <v>7.6339697169190257E-2</v>
      </c>
      <c r="F804" s="1044">
        <v>3038</v>
      </c>
      <c r="G804" s="2433">
        <v>231.92</v>
      </c>
    </row>
    <row r="805" spans="2:7">
      <c r="B805" s="1042">
        <v>208337</v>
      </c>
      <c r="C805" s="1043" t="s">
        <v>273</v>
      </c>
      <c r="D805" s="1045" t="s">
        <v>1614</v>
      </c>
      <c r="E805" s="2023">
        <f t="shared" si="12"/>
        <v>7.6348314606741574E-2</v>
      </c>
      <c r="F805" s="1044">
        <v>534</v>
      </c>
      <c r="G805" s="2433">
        <v>40.770000000000003</v>
      </c>
    </row>
    <row r="806" spans="2:7">
      <c r="B806" s="1042">
        <v>275004</v>
      </c>
      <c r="C806" s="1043" t="s">
        <v>273</v>
      </c>
      <c r="D806" s="1045" t="s">
        <v>1614</v>
      </c>
      <c r="E806" s="2023">
        <f t="shared" si="12"/>
        <v>7.6312056737588646E-2</v>
      </c>
      <c r="F806" s="1044">
        <v>141</v>
      </c>
      <c r="G806" s="2433">
        <v>10.76</v>
      </c>
    </row>
    <row r="807" spans="2:7">
      <c r="B807" s="1042">
        <v>882939</v>
      </c>
      <c r="C807" s="1043" t="s">
        <v>273</v>
      </c>
      <c r="D807" s="1045" t="s">
        <v>1614</v>
      </c>
      <c r="E807" s="2023">
        <f t="shared" si="12"/>
        <v>7.6338383838383844E-2</v>
      </c>
      <c r="F807" s="1044">
        <v>2772</v>
      </c>
      <c r="G807" s="2433">
        <v>211.61</v>
      </c>
    </row>
    <row r="808" spans="2:7">
      <c r="B808" s="1042">
        <v>21403077</v>
      </c>
      <c r="C808" s="1043" t="s">
        <v>273</v>
      </c>
      <c r="D808" s="1045" t="s">
        <v>1614</v>
      </c>
      <c r="E808" s="2023">
        <f t="shared" si="12"/>
        <v>7.6339622641509439E-2</v>
      </c>
      <c r="F808" s="1044">
        <v>530</v>
      </c>
      <c r="G808" s="2433">
        <v>40.46</v>
      </c>
    </row>
    <row r="809" spans="2:7">
      <c r="B809" s="1042">
        <v>21490351</v>
      </c>
      <c r="C809" s="1043" t="s">
        <v>273</v>
      </c>
      <c r="D809" s="1045" t="s">
        <v>1614</v>
      </c>
      <c r="E809" s="2023">
        <f t="shared" si="12"/>
        <v>7.6249999999999998E-2</v>
      </c>
      <c r="F809" s="1044">
        <v>16</v>
      </c>
      <c r="G809" s="2433">
        <v>1.22</v>
      </c>
    </row>
    <row r="810" spans="2:7">
      <c r="B810" s="1042">
        <v>21475585</v>
      </c>
      <c r="C810" s="1043" t="s">
        <v>273</v>
      </c>
      <c r="D810" s="1045" t="s">
        <v>1614</v>
      </c>
      <c r="E810" s="2023">
        <f t="shared" si="12"/>
        <v>7.6340694006309148E-2</v>
      </c>
      <c r="F810" s="1044">
        <v>1268</v>
      </c>
      <c r="G810" s="2433">
        <v>96.8</v>
      </c>
    </row>
    <row r="811" spans="2:7">
      <c r="B811" s="1042">
        <v>21394464</v>
      </c>
      <c r="C811" s="1043" t="s">
        <v>273</v>
      </c>
      <c r="D811" s="1045" t="s">
        <v>1614</v>
      </c>
      <c r="E811" s="2023">
        <f t="shared" si="12"/>
        <v>7.6341463414634145E-2</v>
      </c>
      <c r="F811" s="1044">
        <v>246</v>
      </c>
      <c r="G811" s="2433">
        <v>18.78</v>
      </c>
    </row>
    <row r="812" spans="2:7">
      <c r="B812" s="1042">
        <v>21167740</v>
      </c>
      <c r="C812" s="1043" t="s">
        <v>273</v>
      </c>
      <c r="D812" s="1045" t="s">
        <v>1614</v>
      </c>
      <c r="E812" s="2023">
        <f t="shared" si="12"/>
        <v>7.6341034103410352E-2</v>
      </c>
      <c r="F812" s="1044">
        <v>4545</v>
      </c>
      <c r="G812" s="2433">
        <v>346.97</v>
      </c>
    </row>
    <row r="813" spans="2:7">
      <c r="B813" s="1042">
        <v>883427</v>
      </c>
      <c r="C813" s="1043" t="s">
        <v>273</v>
      </c>
      <c r="D813" s="1045" t="s">
        <v>1481</v>
      </c>
      <c r="E813" s="2023">
        <f t="shared" si="12"/>
        <v>7.6342366933125363E-2</v>
      </c>
      <c r="F813" s="1044">
        <v>1282.25</v>
      </c>
      <c r="G813" s="2433">
        <v>97.89</v>
      </c>
    </row>
    <row r="814" spans="2:7">
      <c r="B814" s="1042">
        <v>21346394</v>
      </c>
      <c r="C814" s="1043" t="s">
        <v>273</v>
      </c>
      <c r="D814" s="1045" t="s">
        <v>1614</v>
      </c>
      <c r="E814" s="2023">
        <f t="shared" si="12"/>
        <v>7.636363636363637E-2</v>
      </c>
      <c r="F814" s="1044">
        <v>143</v>
      </c>
      <c r="G814" s="2433">
        <v>10.92</v>
      </c>
    </row>
    <row r="815" spans="2:7">
      <c r="B815" s="1042">
        <v>845650</v>
      </c>
      <c r="C815" s="1043" t="s">
        <v>274</v>
      </c>
      <c r="D815" s="1045" t="s">
        <v>1614</v>
      </c>
      <c r="E815" s="2023">
        <f t="shared" si="12"/>
        <v>7.6340909090909084E-2</v>
      </c>
      <c r="F815" s="1044">
        <v>1320</v>
      </c>
      <c r="G815" s="2433">
        <v>100.77</v>
      </c>
    </row>
    <row r="816" spans="2:7">
      <c r="B816" s="1042">
        <v>337407</v>
      </c>
      <c r="C816" s="1043" t="s">
        <v>273</v>
      </c>
      <c r="D816" s="1045" t="s">
        <v>1614</v>
      </c>
      <c r="E816" s="2023">
        <f t="shared" si="12"/>
        <v>7.6346604215456679E-2</v>
      </c>
      <c r="F816" s="1044">
        <v>427</v>
      </c>
      <c r="G816" s="2433">
        <v>32.6</v>
      </c>
    </row>
    <row r="817" spans="2:7">
      <c r="B817" s="1042">
        <v>556029</v>
      </c>
      <c r="C817" s="1043" t="s">
        <v>273</v>
      </c>
      <c r="D817" s="1045" t="s">
        <v>1614</v>
      </c>
      <c r="E817" s="2023">
        <f t="shared" si="12"/>
        <v>7.6340277777777785E-2</v>
      </c>
      <c r="F817" s="1044">
        <v>1440</v>
      </c>
      <c r="G817" s="2433">
        <v>109.93</v>
      </c>
    </row>
    <row r="818" spans="2:7">
      <c r="B818" s="1042">
        <v>536967</v>
      </c>
      <c r="C818" s="1043" t="s">
        <v>273</v>
      </c>
      <c r="D818" s="1045" t="s">
        <v>1614</v>
      </c>
      <c r="E818" s="2023">
        <f t="shared" si="12"/>
        <v>7.6333333333333336E-2</v>
      </c>
      <c r="F818" s="1044">
        <v>420</v>
      </c>
      <c r="G818" s="2433">
        <v>32.06</v>
      </c>
    </row>
    <row r="819" spans="2:7">
      <c r="B819" s="1042">
        <v>21318708</v>
      </c>
      <c r="C819" s="1043" t="s">
        <v>273</v>
      </c>
      <c r="D819" s="1045" t="s">
        <v>1481</v>
      </c>
      <c r="E819" s="2023">
        <f t="shared" si="12"/>
        <v>7.6341181011192596E-2</v>
      </c>
      <c r="F819" s="1044">
        <v>647.75</v>
      </c>
      <c r="G819" s="2433">
        <v>49.45</v>
      </c>
    </row>
    <row r="820" spans="2:7">
      <c r="B820" s="1042">
        <v>452551</v>
      </c>
      <c r="C820" s="1043" t="s">
        <v>273</v>
      </c>
      <c r="D820" s="1045" t="s">
        <v>1614</v>
      </c>
      <c r="E820" s="2023">
        <f t="shared" si="12"/>
        <v>7.52542372881356E-2</v>
      </c>
      <c r="F820" s="1044">
        <v>59</v>
      </c>
      <c r="G820" s="2433">
        <v>4.4400000000000004</v>
      </c>
    </row>
    <row r="821" spans="2:7">
      <c r="B821" s="1042">
        <v>21391144</v>
      </c>
      <c r="C821" s="1043" t="s">
        <v>273</v>
      </c>
      <c r="D821" s="1045" t="s">
        <v>1614</v>
      </c>
      <c r="E821" s="2023">
        <f t="shared" si="12"/>
        <v>7.6338917212915761E-2</v>
      </c>
      <c r="F821" s="1044">
        <v>4119</v>
      </c>
      <c r="G821" s="2433">
        <v>314.44</v>
      </c>
    </row>
    <row r="822" spans="2:7">
      <c r="B822" s="1042">
        <v>21452039</v>
      </c>
      <c r="C822" s="1043" t="s">
        <v>273</v>
      </c>
      <c r="D822" s="1045" t="s">
        <v>1614</v>
      </c>
      <c r="E822" s="2023">
        <f t="shared" si="12"/>
        <v>7.6249999999999998E-2</v>
      </c>
      <c r="F822" s="1044">
        <v>40</v>
      </c>
      <c r="G822" s="2433">
        <v>3.05</v>
      </c>
    </row>
    <row r="823" spans="2:7">
      <c r="B823" s="1042">
        <v>294225</v>
      </c>
      <c r="C823" s="1043" t="s">
        <v>273</v>
      </c>
      <c r="D823" s="1045" t="s">
        <v>1614</v>
      </c>
      <c r="E823" s="2023">
        <f t="shared" si="12"/>
        <v>7.5999999999999998E-2</v>
      </c>
      <c r="F823" s="1044">
        <v>5</v>
      </c>
      <c r="G823" s="2433">
        <v>0.38</v>
      </c>
    </row>
    <row r="824" spans="2:7">
      <c r="B824" s="1042">
        <v>21222545</v>
      </c>
      <c r="C824" s="1043" t="s">
        <v>273</v>
      </c>
      <c r="D824" s="1045" t="s">
        <v>1614</v>
      </c>
      <c r="E824" s="2023">
        <f t="shared" si="12"/>
        <v>7.6335697399527183E-2</v>
      </c>
      <c r="F824" s="1044">
        <v>423</v>
      </c>
      <c r="G824" s="2433">
        <v>32.29</v>
      </c>
    </row>
    <row r="825" spans="2:7">
      <c r="B825" s="1042">
        <v>521771</v>
      </c>
      <c r="C825" s="1043" t="s">
        <v>273</v>
      </c>
      <c r="D825" s="1045" t="s">
        <v>1614</v>
      </c>
      <c r="E825" s="2023">
        <f t="shared" si="12"/>
        <v>7.6340314136125659E-2</v>
      </c>
      <c r="F825" s="1044">
        <v>1910</v>
      </c>
      <c r="G825" s="2433">
        <v>145.81</v>
      </c>
    </row>
    <row r="826" spans="2:7">
      <c r="B826" s="1042">
        <v>214450</v>
      </c>
      <c r="C826" s="1043" t="s">
        <v>273</v>
      </c>
      <c r="D826" s="1045" t="s">
        <v>1614</v>
      </c>
      <c r="E826" s="2023">
        <f t="shared" si="12"/>
        <v>7.6339165545087476E-2</v>
      </c>
      <c r="F826" s="1044">
        <v>743</v>
      </c>
      <c r="G826" s="2433">
        <v>56.72</v>
      </c>
    </row>
    <row r="827" spans="2:7">
      <c r="B827" s="1042">
        <v>338313</v>
      </c>
      <c r="C827" s="1043" t="s">
        <v>273</v>
      </c>
      <c r="D827" s="1045" t="s">
        <v>1614</v>
      </c>
      <c r="E827" s="2023">
        <f t="shared" si="12"/>
        <v>7.7499999999999999E-2</v>
      </c>
      <c r="F827" s="1044">
        <v>4</v>
      </c>
      <c r="G827" s="2433">
        <v>0.31</v>
      </c>
    </row>
    <row r="828" spans="2:7">
      <c r="B828" s="1042">
        <v>21220809</v>
      </c>
      <c r="C828" s="1043" t="s">
        <v>273</v>
      </c>
      <c r="D828" s="1045" t="s">
        <v>1614</v>
      </c>
      <c r="E828" s="2023">
        <f t="shared" si="12"/>
        <v>7.5259938837920481E-2</v>
      </c>
      <c r="F828" s="1044">
        <v>327</v>
      </c>
      <c r="G828" s="2433">
        <v>24.61</v>
      </c>
    </row>
    <row r="829" spans="2:7">
      <c r="B829" s="1042">
        <v>21486616</v>
      </c>
      <c r="C829" s="1043" t="s">
        <v>273</v>
      </c>
      <c r="D829" s="1045" t="s">
        <v>1614</v>
      </c>
      <c r="E829" s="2023">
        <f t="shared" si="12"/>
        <v>7.6336822074215036E-2</v>
      </c>
      <c r="F829" s="1044">
        <v>1051</v>
      </c>
      <c r="G829" s="2433">
        <v>80.23</v>
      </c>
    </row>
    <row r="830" spans="2:7">
      <c r="B830" s="1042">
        <v>21411988</v>
      </c>
      <c r="C830" s="1043" t="s">
        <v>273</v>
      </c>
      <c r="D830" s="1045" t="s">
        <v>1614</v>
      </c>
      <c r="E830" s="2023">
        <f t="shared" si="12"/>
        <v>7.6428571428571429E-2</v>
      </c>
      <c r="F830" s="1044">
        <v>14</v>
      </c>
      <c r="G830" s="2433">
        <v>1.07</v>
      </c>
    </row>
    <row r="831" spans="2:7">
      <c r="B831" s="1042">
        <v>450257</v>
      </c>
      <c r="C831" s="1043" t="s">
        <v>273</v>
      </c>
      <c r="D831" s="1045" t="s">
        <v>1614</v>
      </c>
      <c r="E831" s="2023">
        <f t="shared" si="12"/>
        <v>7.5999999999999998E-2</v>
      </c>
      <c r="F831" s="1044">
        <v>10</v>
      </c>
      <c r="G831" s="2433">
        <v>0.76</v>
      </c>
    </row>
    <row r="832" spans="2:7">
      <c r="B832" s="1042">
        <v>680660</v>
      </c>
      <c r="C832" s="1043" t="s">
        <v>273</v>
      </c>
      <c r="D832" s="1045" t="s">
        <v>1614</v>
      </c>
      <c r="E832" s="2023">
        <f t="shared" si="12"/>
        <v>7.6339381003201714E-2</v>
      </c>
      <c r="F832" s="1044">
        <v>937</v>
      </c>
      <c r="G832" s="2433">
        <v>71.53</v>
      </c>
    </row>
    <row r="833" spans="2:7">
      <c r="B833" s="1042">
        <v>361432</v>
      </c>
      <c r="C833" s="1043" t="s">
        <v>273</v>
      </c>
      <c r="D833" s="1045" t="s">
        <v>1614</v>
      </c>
      <c r="E833" s="2023">
        <f t="shared" si="12"/>
        <v>7.5275862068965513E-2</v>
      </c>
      <c r="F833" s="1044">
        <v>290</v>
      </c>
      <c r="G833" s="2433">
        <v>21.83</v>
      </c>
    </row>
    <row r="834" spans="2:7">
      <c r="B834" s="1042">
        <v>524164</v>
      </c>
      <c r="C834" s="1043" t="s">
        <v>274</v>
      </c>
      <c r="D834" s="1045" t="s">
        <v>1614</v>
      </c>
      <c r="E834" s="2023">
        <f t="shared" si="12"/>
        <v>7.6339897260273973E-2</v>
      </c>
      <c r="F834" s="1044">
        <v>23360</v>
      </c>
      <c r="G834" s="2433">
        <v>1783.3</v>
      </c>
    </row>
    <row r="835" spans="2:7">
      <c r="B835" s="1042">
        <v>822749</v>
      </c>
      <c r="C835" s="1043" t="s">
        <v>273</v>
      </c>
      <c r="D835" s="1045" t="s">
        <v>1614</v>
      </c>
      <c r="E835" s="2023">
        <f t="shared" si="12"/>
        <v>7.6374999999999998E-2</v>
      </c>
      <c r="F835" s="1044">
        <v>80</v>
      </c>
      <c r="G835" s="2433">
        <v>6.11</v>
      </c>
    </row>
    <row r="836" spans="2:7">
      <c r="B836" s="1042">
        <v>930256</v>
      </c>
      <c r="C836" s="1043" t="s">
        <v>273</v>
      </c>
      <c r="D836" s="1045" t="s">
        <v>1614</v>
      </c>
      <c r="E836" s="2023">
        <f t="shared" si="12"/>
        <v>7.6351351351351363E-2</v>
      </c>
      <c r="F836" s="1044">
        <v>74</v>
      </c>
      <c r="G836" s="2433">
        <v>5.65</v>
      </c>
    </row>
    <row r="837" spans="2:7">
      <c r="B837" s="1042">
        <v>21331804</v>
      </c>
      <c r="C837" s="1043" t="s">
        <v>273</v>
      </c>
      <c r="D837" s="1045" t="s">
        <v>1614</v>
      </c>
      <c r="E837" s="2023">
        <f t="shared" ref="E837:E900" si="13">G837/F837</f>
        <v>7.6340725806451612E-2</v>
      </c>
      <c r="F837" s="1044">
        <v>992</v>
      </c>
      <c r="G837" s="2433">
        <v>75.73</v>
      </c>
    </row>
    <row r="838" spans="2:7">
      <c r="B838" s="1042">
        <v>626112</v>
      </c>
      <c r="C838" s="1043" t="s">
        <v>273</v>
      </c>
      <c r="D838" s="1045" t="s">
        <v>1614</v>
      </c>
      <c r="E838" s="2023">
        <f t="shared" si="13"/>
        <v>7.6342281879194632E-2</v>
      </c>
      <c r="F838" s="1044">
        <v>298</v>
      </c>
      <c r="G838" s="2433">
        <v>22.75</v>
      </c>
    </row>
    <row r="839" spans="2:7">
      <c r="B839" s="1042">
        <v>867422</v>
      </c>
      <c r="C839" s="1043" t="s">
        <v>273</v>
      </c>
      <c r="D839" s="1045" t="s">
        <v>1614</v>
      </c>
      <c r="E839" s="2023">
        <f t="shared" si="13"/>
        <v>7.6341030195381882E-2</v>
      </c>
      <c r="F839" s="1044">
        <v>563</v>
      </c>
      <c r="G839" s="2433">
        <v>42.98</v>
      </c>
    </row>
    <row r="840" spans="2:7">
      <c r="B840" s="1042">
        <v>21239321</v>
      </c>
      <c r="C840" s="1043" t="s">
        <v>273</v>
      </c>
      <c r="D840" s="1045" t="s">
        <v>1614</v>
      </c>
      <c r="E840" s="2023">
        <f t="shared" si="13"/>
        <v>7.636363636363637E-2</v>
      </c>
      <c r="F840" s="1044">
        <v>132</v>
      </c>
      <c r="G840" s="2433">
        <v>10.08</v>
      </c>
    </row>
    <row r="841" spans="2:7">
      <c r="B841" s="1042">
        <v>21030200</v>
      </c>
      <c r="C841" s="1043" t="s">
        <v>273</v>
      </c>
      <c r="D841" s="1045" t="s">
        <v>1614</v>
      </c>
      <c r="E841" s="2023">
        <f t="shared" si="13"/>
        <v>7.6399999999999996E-2</v>
      </c>
      <c r="F841" s="1044">
        <v>25</v>
      </c>
      <c r="G841" s="2433">
        <v>1.91</v>
      </c>
    </row>
    <row r="842" spans="2:7">
      <c r="B842" s="1042">
        <v>664802</v>
      </c>
      <c r="C842" s="1043" t="s">
        <v>273</v>
      </c>
      <c r="D842" s="1045" t="s">
        <v>1614</v>
      </c>
      <c r="E842" s="2023">
        <f t="shared" si="13"/>
        <v>7.5262515262515262E-2</v>
      </c>
      <c r="F842" s="1044">
        <v>1638</v>
      </c>
      <c r="G842" s="2433">
        <v>123.28</v>
      </c>
    </row>
    <row r="843" spans="2:7">
      <c r="B843" s="1042">
        <v>213469</v>
      </c>
      <c r="C843" s="1043" t="s">
        <v>273</v>
      </c>
      <c r="D843" s="1045" t="s">
        <v>1614</v>
      </c>
      <c r="E843" s="2023">
        <f t="shared" si="13"/>
        <v>7.6337706788362797E-2</v>
      </c>
      <c r="F843" s="1044">
        <v>1753</v>
      </c>
      <c r="G843" s="2433">
        <v>133.82</v>
      </c>
    </row>
    <row r="844" spans="2:7">
      <c r="B844" s="1042">
        <v>846601</v>
      </c>
      <c r="C844" s="1043" t="s">
        <v>273</v>
      </c>
      <c r="D844" s="1045" t="s">
        <v>1614</v>
      </c>
      <c r="E844" s="2023">
        <f t="shared" si="13"/>
        <v>7.6348448687350828E-2</v>
      </c>
      <c r="F844" s="1044">
        <v>419</v>
      </c>
      <c r="G844" s="2433">
        <v>31.99</v>
      </c>
    </row>
    <row r="845" spans="2:7">
      <c r="B845" s="1042">
        <v>21171735</v>
      </c>
      <c r="C845" s="1043" t="s">
        <v>273</v>
      </c>
      <c r="D845" s="1045" t="s">
        <v>1614</v>
      </c>
      <c r="E845" s="2023">
        <f t="shared" si="13"/>
        <v>7.6338724168912853E-2</v>
      </c>
      <c r="F845" s="1044">
        <v>2226</v>
      </c>
      <c r="G845" s="2433">
        <v>169.93</v>
      </c>
    </row>
    <row r="846" spans="2:7">
      <c r="B846" s="1042">
        <v>21225668</v>
      </c>
      <c r="C846" s="1043" t="s">
        <v>273</v>
      </c>
      <c r="D846" s="1045" t="s">
        <v>1614</v>
      </c>
      <c r="E846" s="2023">
        <f t="shared" si="13"/>
        <v>7.6338461538461536E-2</v>
      </c>
      <c r="F846" s="1044">
        <v>325</v>
      </c>
      <c r="G846" s="2433">
        <v>24.81</v>
      </c>
    </row>
    <row r="847" spans="2:7">
      <c r="B847" s="1042">
        <v>533526</v>
      </c>
      <c r="C847" s="1043" t="s">
        <v>273</v>
      </c>
      <c r="D847" s="1045" t="s">
        <v>1481</v>
      </c>
      <c r="E847" s="2023">
        <f t="shared" si="13"/>
        <v>7.633883388338833E-2</v>
      </c>
      <c r="F847" s="1044">
        <v>1136.25</v>
      </c>
      <c r="G847" s="2433">
        <v>86.74</v>
      </c>
    </row>
    <row r="848" spans="2:7">
      <c r="B848" s="1042">
        <v>522898</v>
      </c>
      <c r="C848" s="1043" t="s">
        <v>273</v>
      </c>
      <c r="D848" s="1045" t="s">
        <v>1614</v>
      </c>
      <c r="E848" s="2023">
        <f t="shared" si="13"/>
        <v>7.6345123258306544E-2</v>
      </c>
      <c r="F848" s="1044">
        <v>933</v>
      </c>
      <c r="G848" s="2433">
        <v>71.23</v>
      </c>
    </row>
    <row r="849" spans="2:7">
      <c r="B849" s="1042">
        <v>21233874</v>
      </c>
      <c r="C849" s="1043" t="s">
        <v>273</v>
      </c>
      <c r="D849" s="1045" t="s">
        <v>1614</v>
      </c>
      <c r="E849" s="2023">
        <f t="shared" si="13"/>
        <v>7.6340450771055751E-2</v>
      </c>
      <c r="F849" s="1044">
        <v>1686</v>
      </c>
      <c r="G849" s="2433">
        <v>128.71</v>
      </c>
    </row>
    <row r="850" spans="2:7">
      <c r="B850" s="1042">
        <v>720340</v>
      </c>
      <c r="C850" s="1043" t="s">
        <v>273</v>
      </c>
      <c r="D850" s="1045" t="s">
        <v>1614</v>
      </c>
      <c r="E850" s="2023">
        <f t="shared" si="13"/>
        <v>7.6344696969696979E-2</v>
      </c>
      <c r="F850" s="1044">
        <v>1056</v>
      </c>
      <c r="G850" s="2433">
        <v>80.62</v>
      </c>
    </row>
    <row r="851" spans="2:7">
      <c r="B851" s="1042">
        <v>21310903</v>
      </c>
      <c r="C851" s="1043" t="s">
        <v>273</v>
      </c>
      <c r="D851" s="1045" t="s">
        <v>1614</v>
      </c>
      <c r="E851" s="2023">
        <f t="shared" si="13"/>
        <v>7.6336725254394069E-2</v>
      </c>
      <c r="F851" s="1044">
        <v>1081</v>
      </c>
      <c r="G851" s="2433">
        <v>82.52</v>
      </c>
    </row>
    <row r="852" spans="2:7">
      <c r="B852" s="1042">
        <v>218589</v>
      </c>
      <c r="C852" s="1043" t="s">
        <v>273</v>
      </c>
      <c r="D852" s="1045" t="s">
        <v>1614</v>
      </c>
      <c r="E852" s="2023">
        <f t="shared" si="13"/>
        <v>7.5255591054313092E-2</v>
      </c>
      <c r="F852" s="1044">
        <v>626</v>
      </c>
      <c r="G852" s="2433">
        <v>47.11</v>
      </c>
    </row>
    <row r="853" spans="2:7">
      <c r="B853" s="1042">
        <v>692204</v>
      </c>
      <c r="C853" s="1043" t="s">
        <v>273</v>
      </c>
      <c r="D853" s="1045" t="s">
        <v>1614</v>
      </c>
      <c r="E853" s="2023">
        <f t="shared" si="13"/>
        <v>7.5265866209262441E-2</v>
      </c>
      <c r="F853" s="1044">
        <v>583</v>
      </c>
      <c r="G853" s="2433">
        <v>43.88</v>
      </c>
    </row>
    <row r="854" spans="2:7">
      <c r="B854" s="1042">
        <v>606402</v>
      </c>
      <c r="C854" s="1043" t="s">
        <v>273</v>
      </c>
      <c r="D854" s="1045" t="s">
        <v>1614</v>
      </c>
      <c r="E854" s="2023">
        <f t="shared" si="13"/>
        <v>7.63481228668942E-2</v>
      </c>
      <c r="F854" s="1044">
        <v>293</v>
      </c>
      <c r="G854" s="2433">
        <v>22.37</v>
      </c>
    </row>
    <row r="855" spans="2:7">
      <c r="B855" s="1042">
        <v>248882</v>
      </c>
      <c r="C855" s="1043" t="s">
        <v>273</v>
      </c>
      <c r="D855" s="1045" t="s">
        <v>1614</v>
      </c>
      <c r="E855" s="2023">
        <f t="shared" si="13"/>
        <v>7.6337448559670784E-2</v>
      </c>
      <c r="F855" s="1044">
        <v>243</v>
      </c>
      <c r="G855" s="2433">
        <v>18.55</v>
      </c>
    </row>
    <row r="856" spans="2:7">
      <c r="B856" s="1042">
        <v>21205950</v>
      </c>
      <c r="C856" s="1043" t="s">
        <v>273</v>
      </c>
      <c r="D856" s="1045" t="s">
        <v>1614</v>
      </c>
      <c r="E856" s="2023">
        <f t="shared" si="13"/>
        <v>7.634266886326195E-2</v>
      </c>
      <c r="F856" s="1044">
        <v>1214</v>
      </c>
      <c r="G856" s="2433">
        <v>92.68</v>
      </c>
    </row>
    <row r="857" spans="2:7">
      <c r="B857" s="1042">
        <v>311273</v>
      </c>
      <c r="C857" s="1043" t="s">
        <v>273</v>
      </c>
      <c r="D857" s="1045" t="s">
        <v>1481</v>
      </c>
      <c r="E857" s="2023">
        <f t="shared" si="13"/>
        <v>7.6341508390189938E-2</v>
      </c>
      <c r="F857" s="1044">
        <v>1355.75</v>
      </c>
      <c r="G857" s="2433">
        <v>103.5</v>
      </c>
    </row>
    <row r="858" spans="2:7">
      <c r="B858" s="1042">
        <v>21049023</v>
      </c>
      <c r="C858" s="1043" t="s">
        <v>273</v>
      </c>
      <c r="D858" s="1045" t="s">
        <v>1614</v>
      </c>
      <c r="E858" s="2023">
        <f t="shared" si="13"/>
        <v>7.6339147286821715E-2</v>
      </c>
      <c r="F858" s="1044">
        <v>5160</v>
      </c>
      <c r="G858" s="2433">
        <v>393.91</v>
      </c>
    </row>
    <row r="859" spans="2:7">
      <c r="B859" s="1042">
        <v>916103</v>
      </c>
      <c r="C859" s="1043" t="s">
        <v>273</v>
      </c>
      <c r="D859" s="1045" t="s">
        <v>1614</v>
      </c>
      <c r="E859" s="2023">
        <f t="shared" si="13"/>
        <v>7.6343750000000002E-2</v>
      </c>
      <c r="F859" s="1044">
        <v>320</v>
      </c>
      <c r="G859" s="2433">
        <v>24.43</v>
      </c>
    </row>
    <row r="860" spans="2:7">
      <c r="B860" s="1042">
        <v>21329359</v>
      </c>
      <c r="C860" s="1043" t="s">
        <v>273</v>
      </c>
      <c r="D860" s="1045" t="s">
        <v>1614</v>
      </c>
      <c r="E860" s="2023">
        <f t="shared" si="13"/>
        <v>7.6347305389221562E-2</v>
      </c>
      <c r="F860" s="1044">
        <v>167</v>
      </c>
      <c r="G860" s="2433">
        <v>12.75</v>
      </c>
    </row>
    <row r="861" spans="2:7">
      <c r="B861" s="1042">
        <v>275732</v>
      </c>
      <c r="C861" s="1043" t="s">
        <v>273</v>
      </c>
      <c r="D861" s="1045" t="s">
        <v>1614</v>
      </c>
      <c r="E861" s="2023">
        <f t="shared" si="13"/>
        <v>7.6369426751592362E-2</v>
      </c>
      <c r="F861" s="1044">
        <v>157</v>
      </c>
      <c r="G861" s="2433">
        <v>11.99</v>
      </c>
    </row>
    <row r="862" spans="2:7">
      <c r="B862" s="1042">
        <v>255877</v>
      </c>
      <c r="C862" s="1043" t="s">
        <v>273</v>
      </c>
      <c r="D862" s="1045" t="s">
        <v>1614</v>
      </c>
      <c r="E862" s="2023">
        <f t="shared" si="13"/>
        <v>7.63855421686747E-2</v>
      </c>
      <c r="F862" s="1044">
        <v>83</v>
      </c>
      <c r="G862" s="2433">
        <v>6.34</v>
      </c>
    </row>
    <row r="863" spans="2:7">
      <c r="B863" s="1042">
        <v>256946</v>
      </c>
      <c r="C863" s="1043" t="s">
        <v>273</v>
      </c>
      <c r="D863" s="1045" t="s">
        <v>1614</v>
      </c>
      <c r="E863" s="2023">
        <f t="shared" si="13"/>
        <v>7.6335282651072117E-2</v>
      </c>
      <c r="F863" s="1044">
        <v>1026</v>
      </c>
      <c r="G863" s="2433">
        <v>78.319999999999993</v>
      </c>
    </row>
    <row r="864" spans="2:7">
      <c r="B864" s="1042">
        <v>726528</v>
      </c>
      <c r="C864" s="1043" t="s">
        <v>273</v>
      </c>
      <c r="D864" s="1045" t="s">
        <v>1614</v>
      </c>
      <c r="E864" s="2023">
        <f t="shared" si="13"/>
        <v>7.5261958997722089E-2</v>
      </c>
      <c r="F864" s="1044">
        <v>439</v>
      </c>
      <c r="G864" s="2433">
        <v>33.04</v>
      </c>
    </row>
    <row r="865" spans="2:7">
      <c r="B865" s="1042">
        <v>684738</v>
      </c>
      <c r="C865" s="1043" t="s">
        <v>273</v>
      </c>
      <c r="D865" s="1045" t="s">
        <v>1614</v>
      </c>
      <c r="E865" s="2023">
        <f t="shared" si="13"/>
        <v>7.628571428571429E-2</v>
      </c>
      <c r="F865" s="1044">
        <v>35</v>
      </c>
      <c r="G865" s="2433">
        <v>2.67</v>
      </c>
    </row>
    <row r="866" spans="2:7">
      <c r="B866" s="1042">
        <v>506228</v>
      </c>
      <c r="C866" s="1043" t="s">
        <v>273</v>
      </c>
      <c r="D866" s="1045" t="s">
        <v>1614</v>
      </c>
      <c r="E866" s="2023">
        <f t="shared" si="13"/>
        <v>7.5251798561151079E-2</v>
      </c>
      <c r="F866" s="1044">
        <v>139</v>
      </c>
      <c r="G866" s="2433">
        <v>10.46</v>
      </c>
    </row>
    <row r="867" spans="2:7">
      <c r="B867" s="1042">
        <v>675266</v>
      </c>
      <c r="C867" s="1043" t="s">
        <v>273</v>
      </c>
      <c r="D867" s="1045" t="s">
        <v>1614</v>
      </c>
      <c r="E867" s="2023">
        <f t="shared" si="13"/>
        <v>7.6216216216216215E-2</v>
      </c>
      <c r="F867" s="1044">
        <v>37</v>
      </c>
      <c r="G867" s="2433">
        <v>2.82</v>
      </c>
    </row>
    <row r="868" spans="2:7">
      <c r="B868" s="1042">
        <v>636338</v>
      </c>
      <c r="C868" s="1043" t="s">
        <v>273</v>
      </c>
      <c r="D868" s="1045" t="s">
        <v>1614</v>
      </c>
      <c r="E868" s="2023">
        <f t="shared" si="13"/>
        <v>7.6341724692019289E-2</v>
      </c>
      <c r="F868" s="1044">
        <v>1867</v>
      </c>
      <c r="G868" s="2433">
        <v>142.53</v>
      </c>
    </row>
    <row r="869" spans="2:7">
      <c r="B869" s="1042">
        <v>21402023</v>
      </c>
      <c r="C869" s="1043" t="s">
        <v>273</v>
      </c>
      <c r="D869" s="1045" t="s">
        <v>1614</v>
      </c>
      <c r="E869" s="2023">
        <f t="shared" si="13"/>
        <v>7.6340425531914904E-2</v>
      </c>
      <c r="F869" s="1044">
        <v>470</v>
      </c>
      <c r="G869" s="2433">
        <v>35.880000000000003</v>
      </c>
    </row>
    <row r="870" spans="2:7">
      <c r="B870" s="1042">
        <v>736881</v>
      </c>
      <c r="C870" s="1043" t="s">
        <v>273</v>
      </c>
      <c r="D870" s="1045" t="s">
        <v>1614</v>
      </c>
      <c r="E870" s="2023">
        <f t="shared" si="13"/>
        <v>7.6352941176470596E-2</v>
      </c>
      <c r="F870" s="1044">
        <v>340</v>
      </c>
      <c r="G870" s="2433">
        <v>25.96</v>
      </c>
    </row>
    <row r="871" spans="2:7">
      <c r="B871" s="1042">
        <v>21197371</v>
      </c>
      <c r="C871" s="1043" t="s">
        <v>276</v>
      </c>
      <c r="D871" s="1045" t="s">
        <v>1614</v>
      </c>
      <c r="E871" s="2023">
        <f t="shared" si="13"/>
        <v>7.5260714285714278E-2</v>
      </c>
      <c r="F871" s="1044">
        <v>2800</v>
      </c>
      <c r="G871" s="2433">
        <v>210.73</v>
      </c>
    </row>
    <row r="872" spans="2:7">
      <c r="B872" s="1042">
        <v>21100135</v>
      </c>
      <c r="C872" s="1043" t="s">
        <v>273</v>
      </c>
      <c r="D872" s="1045" t="s">
        <v>1614</v>
      </c>
      <c r="E872" s="2023">
        <f t="shared" si="13"/>
        <v>7.6352941176470596E-2</v>
      </c>
      <c r="F872" s="1044">
        <v>340</v>
      </c>
      <c r="G872" s="2433">
        <v>25.96</v>
      </c>
    </row>
    <row r="873" spans="2:7">
      <c r="B873" s="1042">
        <v>21391294</v>
      </c>
      <c r="C873" s="1043" t="s">
        <v>273</v>
      </c>
      <c r="D873" s="1045" t="s">
        <v>1481</v>
      </c>
      <c r="E873" s="2023">
        <f t="shared" si="13"/>
        <v>7.63404140898091E-2</v>
      </c>
      <c r="F873" s="1044">
        <v>1014.2727272727273</v>
      </c>
      <c r="G873" s="2433">
        <v>77.430000000000007</v>
      </c>
    </row>
    <row r="874" spans="2:7">
      <c r="B874" s="1042">
        <v>21346207</v>
      </c>
      <c r="C874" s="1043" t="s">
        <v>273</v>
      </c>
      <c r="D874" s="1045" t="s">
        <v>1614</v>
      </c>
      <c r="E874" s="2023">
        <f t="shared" si="13"/>
        <v>7.636363636363637E-2</v>
      </c>
      <c r="F874" s="1044">
        <v>33</v>
      </c>
      <c r="G874" s="2433">
        <v>2.52</v>
      </c>
    </row>
    <row r="875" spans="2:7">
      <c r="B875" s="1042">
        <v>316180</v>
      </c>
      <c r="C875" s="1043" t="s">
        <v>273</v>
      </c>
      <c r="D875" s="1045" t="s">
        <v>1614</v>
      </c>
      <c r="E875" s="2023">
        <f t="shared" si="13"/>
        <v>7.6338120104438648E-2</v>
      </c>
      <c r="F875" s="1044">
        <v>1532</v>
      </c>
      <c r="G875" s="2433">
        <v>116.95</v>
      </c>
    </row>
    <row r="876" spans="2:7">
      <c r="B876" s="1042">
        <v>739800</v>
      </c>
      <c r="C876" s="1043" t="s">
        <v>273</v>
      </c>
      <c r="D876" s="1045" t="s">
        <v>1481</v>
      </c>
      <c r="E876" s="2023">
        <f t="shared" si="13"/>
        <v>7.6339920948616594E-2</v>
      </c>
      <c r="F876" s="1044">
        <v>1265</v>
      </c>
      <c r="G876" s="2433">
        <v>96.57</v>
      </c>
    </row>
    <row r="877" spans="2:7">
      <c r="B877" s="1042">
        <v>285962</v>
      </c>
      <c r="C877" s="1043" t="s">
        <v>273</v>
      </c>
      <c r="D877" s="1045" t="s">
        <v>1614</v>
      </c>
      <c r="E877" s="2023">
        <f t="shared" si="13"/>
        <v>7.6340057636887601E-2</v>
      </c>
      <c r="F877" s="1044">
        <v>1388</v>
      </c>
      <c r="G877" s="2433">
        <v>105.96</v>
      </c>
    </row>
    <row r="878" spans="2:7">
      <c r="B878" s="1042">
        <v>216146</v>
      </c>
      <c r="C878" s="1043" t="s">
        <v>273</v>
      </c>
      <c r="D878" s="1045" t="s">
        <v>1614</v>
      </c>
      <c r="E878" s="2023">
        <f t="shared" si="13"/>
        <v>7.6346153846153855E-2</v>
      </c>
      <c r="F878" s="1044">
        <v>520</v>
      </c>
      <c r="G878" s="2433">
        <v>39.700000000000003</v>
      </c>
    </row>
    <row r="879" spans="2:7">
      <c r="B879" s="1042">
        <v>249265</v>
      </c>
      <c r="C879" s="1043" t="s">
        <v>273</v>
      </c>
      <c r="D879" s="1045" t="s">
        <v>1614</v>
      </c>
      <c r="E879" s="2023">
        <f t="shared" si="13"/>
        <v>7.6311475409836071E-2</v>
      </c>
      <c r="F879" s="1044">
        <v>122</v>
      </c>
      <c r="G879" s="2433">
        <v>9.31</v>
      </c>
    </row>
    <row r="880" spans="2:7">
      <c r="B880" s="1042">
        <v>705233</v>
      </c>
      <c r="C880" s="1043" t="s">
        <v>273</v>
      </c>
      <c r="D880" s="1045" t="s">
        <v>1614</v>
      </c>
      <c r="E880" s="2023">
        <f t="shared" si="13"/>
        <v>7.6340740740740737E-2</v>
      </c>
      <c r="F880" s="1044">
        <v>675</v>
      </c>
      <c r="G880" s="2433">
        <v>51.53</v>
      </c>
    </row>
    <row r="881" spans="2:7">
      <c r="B881" s="1042">
        <v>822717</v>
      </c>
      <c r="C881" s="1043" t="s">
        <v>273</v>
      </c>
      <c r="D881" s="1045" t="s">
        <v>1614</v>
      </c>
      <c r="E881" s="2023">
        <f t="shared" si="13"/>
        <v>7.6341240875912417E-2</v>
      </c>
      <c r="F881" s="1044">
        <v>1096</v>
      </c>
      <c r="G881" s="2433">
        <v>83.67</v>
      </c>
    </row>
    <row r="882" spans="2:7">
      <c r="B882" s="1042">
        <v>870093</v>
      </c>
      <c r="C882" s="1043" t="s">
        <v>273</v>
      </c>
      <c r="D882" s="1045" t="s">
        <v>1614</v>
      </c>
      <c r="E882" s="2023">
        <f t="shared" si="13"/>
        <v>7.6336996336996338E-2</v>
      </c>
      <c r="F882" s="1044">
        <v>273</v>
      </c>
      <c r="G882" s="2433">
        <v>20.84</v>
      </c>
    </row>
    <row r="883" spans="2:7">
      <c r="B883" s="1042">
        <v>334843</v>
      </c>
      <c r="C883" s="1043" t="s">
        <v>273</v>
      </c>
      <c r="D883" s="1045" t="s">
        <v>1614</v>
      </c>
      <c r="E883" s="2023">
        <f t="shared" si="13"/>
        <v>7.6307692307692312E-2</v>
      </c>
      <c r="F883" s="1044">
        <v>130</v>
      </c>
      <c r="G883" s="2433">
        <v>9.92</v>
      </c>
    </row>
    <row r="884" spans="2:7">
      <c r="B884" s="1042">
        <v>21337586</v>
      </c>
      <c r="C884" s="1043" t="s">
        <v>273</v>
      </c>
      <c r="D884" s="1045" t="s">
        <v>1614</v>
      </c>
      <c r="E884" s="2023">
        <f t="shared" si="13"/>
        <v>7.6341463414634145E-2</v>
      </c>
      <c r="F884" s="1044">
        <v>492</v>
      </c>
      <c r="G884" s="2433">
        <v>37.56</v>
      </c>
    </row>
    <row r="885" spans="2:7">
      <c r="B885" s="1042">
        <v>769693</v>
      </c>
      <c r="C885" s="1043" t="s">
        <v>273</v>
      </c>
      <c r="D885" s="1045" t="s">
        <v>1614</v>
      </c>
      <c r="E885" s="2023">
        <f t="shared" si="13"/>
        <v>7.6341176470588232E-2</v>
      </c>
      <c r="F885" s="1044">
        <v>850</v>
      </c>
      <c r="G885" s="2433">
        <v>64.89</v>
      </c>
    </row>
    <row r="886" spans="2:7">
      <c r="B886" s="1042">
        <v>929922</v>
      </c>
      <c r="C886" s="1043" t="s">
        <v>273</v>
      </c>
      <c r="D886" s="1045" t="s">
        <v>1614</v>
      </c>
      <c r="E886" s="2023">
        <f t="shared" si="13"/>
        <v>7.6340909090909084E-2</v>
      </c>
      <c r="F886" s="1044">
        <v>1320</v>
      </c>
      <c r="G886" s="2433">
        <v>100.77</v>
      </c>
    </row>
    <row r="887" spans="2:7">
      <c r="B887" s="1042">
        <v>21261038</v>
      </c>
      <c r="C887" s="1043" t="s">
        <v>273</v>
      </c>
      <c r="D887" s="1045" t="s">
        <v>1614</v>
      </c>
      <c r="E887" s="2023">
        <f t="shared" si="13"/>
        <v>7.634175691937424E-2</v>
      </c>
      <c r="F887" s="1044">
        <v>1662</v>
      </c>
      <c r="G887" s="2433">
        <v>126.88</v>
      </c>
    </row>
    <row r="888" spans="2:7">
      <c r="B888" s="1042">
        <v>669741</v>
      </c>
      <c r="C888" s="1043" t="s">
        <v>273</v>
      </c>
      <c r="D888" s="1045" t="s">
        <v>1614</v>
      </c>
      <c r="E888" s="2023">
        <f t="shared" si="13"/>
        <v>7.6382978723404257E-2</v>
      </c>
      <c r="F888" s="1044">
        <v>94</v>
      </c>
      <c r="G888" s="2433">
        <v>7.18</v>
      </c>
    </row>
    <row r="889" spans="2:7">
      <c r="B889" s="1042">
        <v>21060331</v>
      </c>
      <c r="C889" s="1043" t="s">
        <v>273</v>
      </c>
      <c r="D889" s="1045" t="s">
        <v>1614</v>
      </c>
      <c r="E889" s="2023">
        <f t="shared" si="13"/>
        <v>7.6329113924050632E-2</v>
      </c>
      <c r="F889" s="1044">
        <v>316</v>
      </c>
      <c r="G889" s="2433">
        <v>24.12</v>
      </c>
    </row>
    <row r="890" spans="2:7">
      <c r="B890" s="1042">
        <v>949043</v>
      </c>
      <c r="C890" s="1043" t="s">
        <v>273</v>
      </c>
      <c r="D890" s="1045" t="s">
        <v>1614</v>
      </c>
      <c r="E890" s="2023">
        <f t="shared" si="13"/>
        <v>7.6337837837837846E-2</v>
      </c>
      <c r="F890" s="1044">
        <v>1480</v>
      </c>
      <c r="G890" s="2433">
        <v>112.98</v>
      </c>
    </row>
    <row r="891" spans="2:7">
      <c r="B891" s="1042">
        <v>260046</v>
      </c>
      <c r="C891" s="1043" t="s">
        <v>273</v>
      </c>
      <c r="D891" s="1045" t="s">
        <v>1614</v>
      </c>
      <c r="E891" s="2023">
        <f t="shared" si="13"/>
        <v>7.6376811594202898E-2</v>
      </c>
      <c r="F891" s="1044">
        <v>69</v>
      </c>
      <c r="G891" s="2433">
        <v>5.27</v>
      </c>
    </row>
    <row r="892" spans="2:7">
      <c r="B892" s="1042">
        <v>265567</v>
      </c>
      <c r="C892" s="1043" t="s">
        <v>274</v>
      </c>
      <c r="D892" s="1045" t="s">
        <v>1614</v>
      </c>
      <c r="E892" s="2023">
        <f t="shared" si="13"/>
        <v>7.6340101522842638E-2</v>
      </c>
      <c r="F892" s="1044">
        <v>7880</v>
      </c>
      <c r="G892" s="2433">
        <v>601.55999999999995</v>
      </c>
    </row>
    <row r="893" spans="2:7">
      <c r="B893" s="1042">
        <v>21324660</v>
      </c>
      <c r="C893" s="1043" t="s">
        <v>273</v>
      </c>
      <c r="D893" s="1045" t="s">
        <v>1614</v>
      </c>
      <c r="E893" s="2023">
        <f t="shared" si="13"/>
        <v>7.6335616438356166E-2</v>
      </c>
      <c r="F893" s="1044">
        <v>292</v>
      </c>
      <c r="G893" s="2433">
        <v>22.29</v>
      </c>
    </row>
    <row r="894" spans="2:7">
      <c r="B894" s="1042">
        <v>877351</v>
      </c>
      <c r="C894" s="1043" t="s">
        <v>273</v>
      </c>
      <c r="D894" s="1045" t="s">
        <v>1614</v>
      </c>
      <c r="E894" s="2023">
        <f t="shared" si="13"/>
        <v>7.5251396648044686E-2</v>
      </c>
      <c r="F894" s="1044">
        <v>537</v>
      </c>
      <c r="G894" s="2433">
        <v>40.409999999999997</v>
      </c>
    </row>
    <row r="895" spans="2:7">
      <c r="B895" s="1042">
        <v>21183827</v>
      </c>
      <c r="C895" s="1043" t="s">
        <v>273</v>
      </c>
      <c r="D895" s="1045" t="s">
        <v>1614</v>
      </c>
      <c r="E895" s="2023">
        <f t="shared" si="13"/>
        <v>7.6356589147286824E-2</v>
      </c>
      <c r="F895" s="1044">
        <v>129</v>
      </c>
      <c r="G895" s="2433">
        <v>9.85</v>
      </c>
    </row>
    <row r="896" spans="2:7">
      <c r="B896" s="1042">
        <v>236723</v>
      </c>
      <c r="C896" s="1043" t="s">
        <v>273</v>
      </c>
      <c r="D896" s="1045" t="s">
        <v>1614</v>
      </c>
      <c r="E896" s="2023">
        <f t="shared" si="13"/>
        <v>7.6344743276283628E-2</v>
      </c>
      <c r="F896" s="1044">
        <v>818</v>
      </c>
      <c r="G896" s="2433">
        <v>62.45</v>
      </c>
    </row>
    <row r="897" spans="2:7">
      <c r="B897" s="1042">
        <v>763092</v>
      </c>
      <c r="C897" s="1043" t="s">
        <v>273</v>
      </c>
      <c r="D897" s="1045" t="s">
        <v>1614</v>
      </c>
      <c r="E897" s="2023">
        <f t="shared" si="13"/>
        <v>7.63302752293578E-2</v>
      </c>
      <c r="F897" s="1044">
        <v>436</v>
      </c>
      <c r="G897" s="2433">
        <v>33.28</v>
      </c>
    </row>
    <row r="898" spans="2:7">
      <c r="B898" s="1042">
        <v>21172485</v>
      </c>
      <c r="C898" s="1043" t="s">
        <v>273</v>
      </c>
      <c r="D898" s="1045" t="s">
        <v>1614</v>
      </c>
      <c r="E898" s="2023">
        <f t="shared" si="13"/>
        <v>7.6350000000000001E-2</v>
      </c>
      <c r="F898" s="1044">
        <v>400</v>
      </c>
      <c r="G898" s="2433">
        <v>30.54</v>
      </c>
    </row>
    <row r="899" spans="2:7">
      <c r="B899" s="1042">
        <v>252322</v>
      </c>
      <c r="C899" s="1043" t="s">
        <v>273</v>
      </c>
      <c r="D899" s="1045" t="s">
        <v>1614</v>
      </c>
      <c r="E899" s="2023">
        <f t="shared" si="13"/>
        <v>7.6338141025641029E-2</v>
      </c>
      <c r="F899" s="1044">
        <v>1248</v>
      </c>
      <c r="G899" s="2433">
        <v>95.27</v>
      </c>
    </row>
    <row r="900" spans="2:7">
      <c r="B900" s="1042">
        <v>226511</v>
      </c>
      <c r="C900" s="1043" t="s">
        <v>273</v>
      </c>
      <c r="D900" s="1045" t="s">
        <v>1614</v>
      </c>
      <c r="E900" s="2023">
        <f t="shared" si="13"/>
        <v>7.6334951456310682E-2</v>
      </c>
      <c r="F900" s="1044">
        <v>412</v>
      </c>
      <c r="G900" s="2433">
        <v>31.45</v>
      </c>
    </row>
    <row r="901" spans="2:7">
      <c r="B901" s="1042">
        <v>21115699</v>
      </c>
      <c r="C901" s="1043" t="s">
        <v>273</v>
      </c>
      <c r="D901" s="1045" t="s">
        <v>1614</v>
      </c>
      <c r="E901" s="2023">
        <f t="shared" ref="E901:E964" si="14">G901/F901</f>
        <v>7.6349557522123884E-2</v>
      </c>
      <c r="F901" s="1044">
        <v>452</v>
      </c>
      <c r="G901" s="2433">
        <v>34.51</v>
      </c>
    </row>
    <row r="902" spans="2:7">
      <c r="B902" s="1042">
        <v>423447</v>
      </c>
      <c r="C902" s="1043" t="s">
        <v>273</v>
      </c>
      <c r="D902" s="1045" t="s">
        <v>1614</v>
      </c>
      <c r="E902" s="2023">
        <f t="shared" si="14"/>
        <v>7.6338028169014083E-2</v>
      </c>
      <c r="F902" s="1044">
        <v>355</v>
      </c>
      <c r="G902" s="2433">
        <v>27.1</v>
      </c>
    </row>
    <row r="903" spans="2:7">
      <c r="B903" s="1042">
        <v>21351140</v>
      </c>
      <c r="C903" s="1043" t="s">
        <v>273</v>
      </c>
      <c r="D903" s="1045" t="s">
        <v>1614</v>
      </c>
      <c r="E903" s="2023">
        <f t="shared" si="14"/>
        <v>7.6363636363636356E-2</v>
      </c>
      <c r="F903" s="1044">
        <v>176</v>
      </c>
      <c r="G903" s="2433">
        <v>13.44</v>
      </c>
    </row>
    <row r="904" spans="2:7">
      <c r="B904" s="1042">
        <v>21340208</v>
      </c>
      <c r="C904" s="1043" t="s">
        <v>273</v>
      </c>
      <c r="D904" s="1045" t="s">
        <v>1614</v>
      </c>
      <c r="E904" s="2023">
        <f t="shared" si="14"/>
        <v>7.6340118744698898E-2</v>
      </c>
      <c r="F904" s="1044">
        <v>2358</v>
      </c>
      <c r="G904" s="2433">
        <v>180.01</v>
      </c>
    </row>
    <row r="905" spans="2:7">
      <c r="B905" s="1042">
        <v>21217050</v>
      </c>
      <c r="C905" s="1043" t="s">
        <v>273</v>
      </c>
      <c r="D905" s="1045" t="s">
        <v>1614</v>
      </c>
      <c r="E905" s="2023">
        <f t="shared" si="14"/>
        <v>7.6333830104321904E-2</v>
      </c>
      <c r="F905" s="1044">
        <v>671</v>
      </c>
      <c r="G905" s="2433">
        <v>51.22</v>
      </c>
    </row>
    <row r="906" spans="2:7">
      <c r="B906" s="1042">
        <v>21351587</v>
      </c>
      <c r="C906" s="1043" t="s">
        <v>273</v>
      </c>
      <c r="D906" s="1045" t="s">
        <v>1614</v>
      </c>
      <c r="E906" s="2023">
        <f t="shared" si="14"/>
        <v>7.6338912133891212E-2</v>
      </c>
      <c r="F906" s="1044">
        <v>956</v>
      </c>
      <c r="G906" s="2433">
        <v>72.98</v>
      </c>
    </row>
    <row r="907" spans="2:7">
      <c r="B907" s="1042">
        <v>21284103</v>
      </c>
      <c r="C907" s="1043" t="s">
        <v>273</v>
      </c>
      <c r="D907" s="1045" t="s">
        <v>1481</v>
      </c>
      <c r="E907" s="2023">
        <f t="shared" si="14"/>
        <v>7.6337647286073007E-2</v>
      </c>
      <c r="F907" s="1044">
        <v>1294.25</v>
      </c>
      <c r="G907" s="2433">
        <v>98.8</v>
      </c>
    </row>
    <row r="908" spans="2:7">
      <c r="B908" s="1042">
        <v>21404063</v>
      </c>
      <c r="C908" s="1043" t="s">
        <v>273</v>
      </c>
      <c r="D908" s="1045" t="s">
        <v>1614</v>
      </c>
      <c r="E908" s="2023">
        <f t="shared" si="14"/>
        <v>7.6337500000000003E-2</v>
      </c>
      <c r="F908" s="1044">
        <v>800</v>
      </c>
      <c r="G908" s="2433">
        <v>61.07</v>
      </c>
    </row>
    <row r="909" spans="2:7">
      <c r="B909" s="1042">
        <v>21328097</v>
      </c>
      <c r="C909" s="1043" t="s">
        <v>273</v>
      </c>
      <c r="D909" s="1045" t="s">
        <v>1614</v>
      </c>
      <c r="E909" s="2023">
        <f t="shared" si="14"/>
        <v>7.6341632088520059E-2</v>
      </c>
      <c r="F909" s="1044">
        <v>1446</v>
      </c>
      <c r="G909" s="2433">
        <v>110.39</v>
      </c>
    </row>
    <row r="910" spans="2:7">
      <c r="B910" s="1042">
        <v>704043</v>
      </c>
      <c r="C910" s="1043" t="s">
        <v>273</v>
      </c>
      <c r="D910" s="1045" t="s">
        <v>1614</v>
      </c>
      <c r="E910" s="2023">
        <f t="shared" si="14"/>
        <v>7.634175691937424E-2</v>
      </c>
      <c r="F910" s="1044">
        <v>1662</v>
      </c>
      <c r="G910" s="2433">
        <v>126.88</v>
      </c>
    </row>
    <row r="911" spans="2:7">
      <c r="B911" s="1042">
        <v>780699</v>
      </c>
      <c r="C911" s="1043" t="s">
        <v>273</v>
      </c>
      <c r="D911" s="1045" t="s">
        <v>1614</v>
      </c>
      <c r="E911" s="2023">
        <f t="shared" si="14"/>
        <v>7.6332737030411449E-2</v>
      </c>
      <c r="F911" s="1044">
        <v>559</v>
      </c>
      <c r="G911" s="2433">
        <v>42.67</v>
      </c>
    </row>
    <row r="912" spans="2:7">
      <c r="B912" s="1042">
        <v>836913</v>
      </c>
      <c r="C912" s="1043" t="s">
        <v>273</v>
      </c>
      <c r="D912" s="1045" t="s">
        <v>1614</v>
      </c>
      <c r="E912" s="2023">
        <f t="shared" si="14"/>
        <v>7.635714285714286E-2</v>
      </c>
      <c r="F912" s="1044">
        <v>280</v>
      </c>
      <c r="G912" s="2433">
        <v>21.38</v>
      </c>
    </row>
    <row r="913" spans="2:7">
      <c r="B913" s="1042">
        <v>21199370</v>
      </c>
      <c r="C913" s="1043" t="s">
        <v>273</v>
      </c>
      <c r="D913" s="1045" t="s">
        <v>1614</v>
      </c>
      <c r="E913" s="2023">
        <f t="shared" si="14"/>
        <v>7.6371681415929205E-2</v>
      </c>
      <c r="F913" s="1044">
        <v>113</v>
      </c>
      <c r="G913" s="2433">
        <v>8.6300000000000008</v>
      </c>
    </row>
    <row r="914" spans="2:7">
      <c r="B914" s="1042">
        <v>640499</v>
      </c>
      <c r="C914" s="1043" t="s">
        <v>273</v>
      </c>
      <c r="D914" s="1045" t="s">
        <v>1614</v>
      </c>
      <c r="E914" s="2023">
        <f t="shared" si="14"/>
        <v>7.632558139534884E-2</v>
      </c>
      <c r="F914" s="1044">
        <v>215</v>
      </c>
      <c r="G914" s="2433">
        <v>16.41</v>
      </c>
    </row>
    <row r="915" spans="2:7">
      <c r="B915" s="1042">
        <v>359490</v>
      </c>
      <c r="C915" s="1043" t="s">
        <v>273</v>
      </c>
      <c r="D915" s="1045" t="s">
        <v>1614</v>
      </c>
      <c r="E915" s="2023">
        <f t="shared" si="14"/>
        <v>7.6348684210526319E-2</v>
      </c>
      <c r="F915" s="1044">
        <v>304</v>
      </c>
      <c r="G915" s="2433">
        <v>23.21</v>
      </c>
    </row>
    <row r="916" spans="2:7">
      <c r="B916" s="1042">
        <v>817691</v>
      </c>
      <c r="C916" s="1043" t="s">
        <v>273</v>
      </c>
      <c r="D916" s="1045" t="s">
        <v>1614</v>
      </c>
      <c r="E916" s="2023">
        <f t="shared" si="14"/>
        <v>7.6341013824884785E-2</v>
      </c>
      <c r="F916" s="1044">
        <v>1085</v>
      </c>
      <c r="G916" s="2433">
        <v>82.83</v>
      </c>
    </row>
    <row r="917" spans="2:7">
      <c r="B917" s="1042">
        <v>226689</v>
      </c>
      <c r="C917" s="1043" t="s">
        <v>273</v>
      </c>
      <c r="D917" s="1045" t="s">
        <v>1614</v>
      </c>
      <c r="E917" s="2023">
        <f t="shared" si="14"/>
        <v>7.6318181818181813E-2</v>
      </c>
      <c r="F917" s="1044">
        <v>220</v>
      </c>
      <c r="G917" s="2433">
        <v>16.79</v>
      </c>
    </row>
    <row r="918" spans="2:7">
      <c r="B918" s="1042">
        <v>963736</v>
      </c>
      <c r="C918" s="1043" t="s">
        <v>273</v>
      </c>
      <c r="D918" s="1045" t="s">
        <v>1614</v>
      </c>
      <c r="E918" s="2023">
        <f t="shared" si="14"/>
        <v>7.6339285714285721E-2</v>
      </c>
      <c r="F918" s="1044">
        <v>784</v>
      </c>
      <c r="G918" s="2433">
        <v>59.85</v>
      </c>
    </row>
    <row r="919" spans="2:7">
      <c r="B919" s="1042">
        <v>21378863</v>
      </c>
      <c r="C919" s="1043" t="s">
        <v>273</v>
      </c>
      <c r="D919" s="1045" t="s">
        <v>1614</v>
      </c>
      <c r="E919" s="2023">
        <f t="shared" si="14"/>
        <v>7.6338766006984873E-2</v>
      </c>
      <c r="F919" s="1044">
        <v>1718</v>
      </c>
      <c r="G919" s="2433">
        <v>131.15</v>
      </c>
    </row>
    <row r="920" spans="2:7">
      <c r="B920" s="1042">
        <v>847709</v>
      </c>
      <c r="C920" s="1043" t="s">
        <v>273</v>
      </c>
      <c r="D920" s="1045" t="s">
        <v>1614</v>
      </c>
      <c r="E920" s="2023">
        <f t="shared" si="14"/>
        <v>7.6345381526104428E-2</v>
      </c>
      <c r="F920" s="1044">
        <v>249</v>
      </c>
      <c r="G920" s="2433">
        <v>19.010000000000002</v>
      </c>
    </row>
    <row r="921" spans="2:7">
      <c r="B921" s="1042">
        <v>21161308</v>
      </c>
      <c r="C921" s="1043" t="s">
        <v>273</v>
      </c>
      <c r="D921" s="1045" t="s">
        <v>1614</v>
      </c>
      <c r="E921" s="2023">
        <f t="shared" si="14"/>
        <v>7.6339421613394215E-2</v>
      </c>
      <c r="F921" s="1044">
        <v>1314</v>
      </c>
      <c r="G921" s="2433">
        <v>100.31</v>
      </c>
    </row>
    <row r="922" spans="2:7">
      <c r="B922" s="1042">
        <v>21367978</v>
      </c>
      <c r="C922" s="1043" t="s">
        <v>273</v>
      </c>
      <c r="D922" s="1045" t="s">
        <v>1614</v>
      </c>
      <c r="E922" s="2023">
        <f t="shared" si="14"/>
        <v>7.634387351778657E-2</v>
      </c>
      <c r="F922" s="1044">
        <v>506</v>
      </c>
      <c r="G922" s="2433">
        <v>38.630000000000003</v>
      </c>
    </row>
    <row r="923" spans="2:7">
      <c r="B923" s="1042">
        <v>266007</v>
      </c>
      <c r="C923" s="1043" t="s">
        <v>273</v>
      </c>
      <c r="D923" s="1045" t="s">
        <v>1614</v>
      </c>
      <c r="E923" s="2023">
        <f t="shared" si="14"/>
        <v>7.634543178973717E-2</v>
      </c>
      <c r="F923" s="1044">
        <v>799</v>
      </c>
      <c r="G923" s="2433">
        <v>61</v>
      </c>
    </row>
    <row r="924" spans="2:7">
      <c r="B924" s="1042">
        <v>21252583</v>
      </c>
      <c r="C924" s="1043" t="s">
        <v>273</v>
      </c>
      <c r="D924" s="1045" t="s">
        <v>1614</v>
      </c>
      <c r="E924" s="2023">
        <f t="shared" si="14"/>
        <v>7.6349206349206347E-2</v>
      </c>
      <c r="F924" s="1044">
        <v>126</v>
      </c>
      <c r="G924" s="2433">
        <v>9.6199999999999992</v>
      </c>
    </row>
    <row r="925" spans="2:7">
      <c r="B925" s="1042">
        <v>21284092</v>
      </c>
      <c r="C925" s="1043" t="s">
        <v>273</v>
      </c>
      <c r="D925" s="1045" t="s">
        <v>1614</v>
      </c>
      <c r="E925" s="2023">
        <f t="shared" si="14"/>
        <v>7.6296296296296293E-2</v>
      </c>
      <c r="F925" s="1044">
        <v>27</v>
      </c>
      <c r="G925" s="2433">
        <v>2.06</v>
      </c>
    </row>
    <row r="926" spans="2:7">
      <c r="B926" s="1042">
        <v>21053379</v>
      </c>
      <c r="C926" s="1043" t="s">
        <v>274</v>
      </c>
      <c r="D926" s="1045" t="s">
        <v>1614</v>
      </c>
      <c r="E926" s="2023">
        <f t="shared" si="14"/>
        <v>7.6339403973509926E-2</v>
      </c>
      <c r="F926" s="1044">
        <v>6040</v>
      </c>
      <c r="G926" s="2433">
        <v>461.09</v>
      </c>
    </row>
    <row r="927" spans="2:7">
      <c r="B927" s="1042">
        <v>21123850</v>
      </c>
      <c r="C927" s="1043" t="s">
        <v>274</v>
      </c>
      <c r="D927" s="1045" t="s">
        <v>1614</v>
      </c>
      <c r="E927" s="2023">
        <f t="shared" si="14"/>
        <v>7.6339743589743589E-2</v>
      </c>
      <c r="F927" s="1044">
        <v>3120</v>
      </c>
      <c r="G927" s="2433">
        <v>238.18</v>
      </c>
    </row>
    <row r="928" spans="2:7">
      <c r="B928" s="1042">
        <v>954119</v>
      </c>
      <c r="C928" s="1043" t="s">
        <v>273</v>
      </c>
      <c r="D928" s="1045" t="s">
        <v>1614</v>
      </c>
      <c r="E928" s="2023">
        <f t="shared" si="14"/>
        <v>7.6331168831168833E-2</v>
      </c>
      <c r="F928" s="1044">
        <v>308</v>
      </c>
      <c r="G928" s="2433">
        <v>23.51</v>
      </c>
    </row>
    <row r="929" spans="2:7">
      <c r="B929" s="1042">
        <v>21187136</v>
      </c>
      <c r="C929" s="1043" t="s">
        <v>273</v>
      </c>
      <c r="D929" s="1045" t="s">
        <v>1614</v>
      </c>
      <c r="E929" s="2023">
        <f t="shared" si="14"/>
        <v>7.6343283582089555E-2</v>
      </c>
      <c r="F929" s="1044">
        <v>536</v>
      </c>
      <c r="G929" s="2433">
        <v>40.92</v>
      </c>
    </row>
    <row r="930" spans="2:7">
      <c r="B930" s="1042">
        <v>205755</v>
      </c>
      <c r="C930" s="1043" t="s">
        <v>273</v>
      </c>
      <c r="D930" s="1045" t="s">
        <v>1614</v>
      </c>
      <c r="E930" s="2023">
        <f t="shared" si="14"/>
        <v>7.6325878594249205E-2</v>
      </c>
      <c r="F930" s="1044">
        <v>313</v>
      </c>
      <c r="G930" s="2433">
        <v>23.89</v>
      </c>
    </row>
    <row r="931" spans="2:7">
      <c r="B931" s="1042">
        <v>21232481</v>
      </c>
      <c r="C931" s="1043" t="s">
        <v>273</v>
      </c>
      <c r="D931" s="1045" t="s">
        <v>1614</v>
      </c>
      <c r="E931" s="2023">
        <f t="shared" si="14"/>
        <v>7.6335520149953137E-2</v>
      </c>
      <c r="F931" s="1044">
        <v>1067</v>
      </c>
      <c r="G931" s="2433">
        <v>81.45</v>
      </c>
    </row>
    <row r="932" spans="2:7">
      <c r="B932" s="1042">
        <v>21019225</v>
      </c>
      <c r="C932" s="1043" t="s">
        <v>273</v>
      </c>
      <c r="D932" s="1045" t="s">
        <v>1614</v>
      </c>
      <c r="E932" s="2023">
        <f t="shared" si="14"/>
        <v>7.6337500000000003E-2</v>
      </c>
      <c r="F932" s="1044">
        <v>800</v>
      </c>
      <c r="G932" s="2433">
        <v>61.07</v>
      </c>
    </row>
    <row r="933" spans="2:7">
      <c r="B933" s="1042">
        <v>309144</v>
      </c>
      <c r="C933" s="1043" t="s">
        <v>273</v>
      </c>
      <c r="D933" s="1045" t="s">
        <v>1614</v>
      </c>
      <c r="E933" s="2023">
        <f t="shared" si="14"/>
        <v>7.6340956340956334E-2</v>
      </c>
      <c r="F933" s="1044">
        <v>962</v>
      </c>
      <c r="G933" s="2433">
        <v>73.44</v>
      </c>
    </row>
    <row r="934" spans="2:7">
      <c r="B934" s="1042">
        <v>598266</v>
      </c>
      <c r="C934" s="1043" t="s">
        <v>273</v>
      </c>
      <c r="D934" s="1045" t="s">
        <v>1614</v>
      </c>
      <c r="E934" s="2023">
        <f t="shared" si="14"/>
        <v>7.6301369863013696E-2</v>
      </c>
      <c r="F934" s="1044">
        <v>73</v>
      </c>
      <c r="G934" s="2433">
        <v>5.57</v>
      </c>
    </row>
    <row r="935" spans="2:7">
      <c r="B935" s="1042">
        <v>21471590</v>
      </c>
      <c r="C935" s="1043" t="s">
        <v>273</v>
      </c>
      <c r="D935" s="1045" t="s">
        <v>1614</v>
      </c>
      <c r="E935" s="2023">
        <f t="shared" si="14"/>
        <v>7.6350364963503656E-2</v>
      </c>
      <c r="F935" s="1044">
        <v>274</v>
      </c>
      <c r="G935" s="2433">
        <v>20.92</v>
      </c>
    </row>
    <row r="936" spans="2:7">
      <c r="B936" s="1042">
        <v>628833</v>
      </c>
      <c r="C936" s="1043" t="s">
        <v>273</v>
      </c>
      <c r="D936" s="1045" t="s">
        <v>1614</v>
      </c>
      <c r="E936" s="2023">
        <f t="shared" si="14"/>
        <v>7.5262295081967204E-2</v>
      </c>
      <c r="F936" s="1044">
        <v>610</v>
      </c>
      <c r="G936" s="2433">
        <v>45.91</v>
      </c>
    </row>
    <row r="937" spans="2:7">
      <c r="B937" s="1042">
        <v>21009365</v>
      </c>
      <c r="C937" s="1043" t="s">
        <v>273</v>
      </c>
      <c r="D937" s="1045" t="s">
        <v>1481</v>
      </c>
      <c r="E937" s="2023">
        <f t="shared" si="14"/>
        <v>7.634077750206783E-2</v>
      </c>
      <c r="F937" s="1044">
        <v>1511.25</v>
      </c>
      <c r="G937" s="2433">
        <v>115.37</v>
      </c>
    </row>
    <row r="938" spans="2:7">
      <c r="B938" s="1042">
        <v>877267</v>
      </c>
      <c r="C938" s="1043" t="s">
        <v>273</v>
      </c>
      <c r="D938" s="1045" t="s">
        <v>1614</v>
      </c>
      <c r="E938" s="2023">
        <f t="shared" si="14"/>
        <v>7.6339485941003968E-2</v>
      </c>
      <c r="F938" s="1044">
        <v>5797</v>
      </c>
      <c r="G938" s="2433">
        <v>442.54</v>
      </c>
    </row>
    <row r="939" spans="2:7">
      <c r="B939" s="1042">
        <v>681525</v>
      </c>
      <c r="C939" s="1043" t="s">
        <v>273</v>
      </c>
      <c r="D939" s="1045" t="s">
        <v>1614</v>
      </c>
      <c r="E939" s="2023">
        <f t="shared" si="14"/>
        <v>7.6340000000000005E-2</v>
      </c>
      <c r="F939" s="1044">
        <v>2000</v>
      </c>
      <c r="G939" s="2433">
        <v>152.68</v>
      </c>
    </row>
    <row r="940" spans="2:7">
      <c r="B940" s="1042">
        <v>719777</v>
      </c>
      <c r="C940" s="1043" t="s">
        <v>273</v>
      </c>
      <c r="D940" s="1045" t="s">
        <v>1614</v>
      </c>
      <c r="E940" s="2023">
        <f t="shared" si="14"/>
        <v>7.5267857142857136E-2</v>
      </c>
      <c r="F940" s="1044">
        <v>336</v>
      </c>
      <c r="G940" s="2433">
        <v>25.29</v>
      </c>
    </row>
    <row r="941" spans="2:7">
      <c r="B941" s="1042">
        <v>763456</v>
      </c>
      <c r="C941" s="1043" t="s">
        <v>273</v>
      </c>
      <c r="D941" s="1045" t="s">
        <v>1614</v>
      </c>
      <c r="E941" s="2023">
        <f t="shared" si="14"/>
        <v>7.6666666666666675E-2</v>
      </c>
      <c r="F941" s="1044">
        <v>3</v>
      </c>
      <c r="G941" s="2433">
        <v>0.23</v>
      </c>
    </row>
    <row r="942" spans="2:7">
      <c r="B942" s="1042">
        <v>757344</v>
      </c>
      <c r="C942" s="1043" t="s">
        <v>273</v>
      </c>
      <c r="D942" s="1045" t="s">
        <v>1614</v>
      </c>
      <c r="E942" s="2023">
        <f t="shared" si="14"/>
        <v>7.6380952380952383E-2</v>
      </c>
      <c r="F942" s="1044">
        <v>105</v>
      </c>
      <c r="G942" s="2433">
        <v>8.02</v>
      </c>
    </row>
    <row r="943" spans="2:7">
      <c r="B943" s="1042">
        <v>769095</v>
      </c>
      <c r="C943" s="1043" t="s">
        <v>273</v>
      </c>
      <c r="D943" s="1045" t="s">
        <v>1614</v>
      </c>
      <c r="E943" s="2023">
        <f t="shared" si="14"/>
        <v>7.6331877729257647E-2</v>
      </c>
      <c r="F943" s="1044">
        <v>458</v>
      </c>
      <c r="G943" s="2433">
        <v>34.96</v>
      </c>
    </row>
    <row r="944" spans="2:7">
      <c r="B944" s="1042">
        <v>21034573</v>
      </c>
      <c r="C944" s="1043" t="s">
        <v>273</v>
      </c>
      <c r="D944" s="1045" t="s">
        <v>1614</v>
      </c>
      <c r="E944" s="2023">
        <f t="shared" si="14"/>
        <v>7.6399999999999996E-2</v>
      </c>
      <c r="F944" s="1044">
        <v>50</v>
      </c>
      <c r="G944" s="2433">
        <v>3.82</v>
      </c>
    </row>
    <row r="945" spans="2:7">
      <c r="B945" s="1042">
        <v>21325308</v>
      </c>
      <c r="C945" s="1043" t="s">
        <v>273</v>
      </c>
      <c r="D945" s="1045" t="s">
        <v>1614</v>
      </c>
      <c r="E945" s="2023">
        <f t="shared" si="14"/>
        <v>7.5258019525801953E-2</v>
      </c>
      <c r="F945" s="1044">
        <v>717</v>
      </c>
      <c r="G945" s="2433">
        <v>53.96</v>
      </c>
    </row>
    <row r="946" spans="2:7">
      <c r="B946" s="1042">
        <v>795730</v>
      </c>
      <c r="C946" s="1043" t="s">
        <v>273</v>
      </c>
      <c r="D946" s="1045" t="s">
        <v>1614</v>
      </c>
      <c r="E946" s="2023">
        <f t="shared" si="14"/>
        <v>7.6340361445783128E-2</v>
      </c>
      <c r="F946" s="1044">
        <v>3984</v>
      </c>
      <c r="G946" s="2433">
        <v>304.14</v>
      </c>
    </row>
    <row r="947" spans="2:7">
      <c r="B947" s="1042">
        <v>21352655</v>
      </c>
      <c r="C947" s="1043" t="s">
        <v>273</v>
      </c>
      <c r="D947" s="1045" t="s">
        <v>1614</v>
      </c>
      <c r="E947" s="2023">
        <f t="shared" si="14"/>
        <v>7.634396355353075E-2</v>
      </c>
      <c r="F947" s="1044">
        <v>878</v>
      </c>
      <c r="G947" s="2433">
        <v>67.03</v>
      </c>
    </row>
    <row r="948" spans="2:7">
      <c r="B948" s="1042">
        <v>577009</v>
      </c>
      <c r="C948" s="1043" t="s">
        <v>273</v>
      </c>
      <c r="D948" s="1045" t="s">
        <v>1614</v>
      </c>
      <c r="E948" s="2023">
        <f t="shared" si="14"/>
        <v>7.6344086021505372E-2</v>
      </c>
      <c r="F948" s="1044">
        <v>372</v>
      </c>
      <c r="G948" s="2433">
        <v>28.4</v>
      </c>
    </row>
    <row r="949" spans="2:7">
      <c r="B949" s="1042">
        <v>829581</v>
      </c>
      <c r="C949" s="1043" t="s">
        <v>273</v>
      </c>
      <c r="D949" s="1045" t="s">
        <v>1614</v>
      </c>
      <c r="E949" s="2023">
        <f t="shared" si="14"/>
        <v>7.6340446013155774E-2</v>
      </c>
      <c r="F949" s="1044">
        <v>6233</v>
      </c>
      <c r="G949" s="2433">
        <v>475.83</v>
      </c>
    </row>
    <row r="950" spans="2:7">
      <c r="B950" s="1042">
        <v>739799</v>
      </c>
      <c r="C950" s="1043" t="s">
        <v>273</v>
      </c>
      <c r="D950" s="1045" t="s">
        <v>1614</v>
      </c>
      <c r="E950" s="2023">
        <f t="shared" si="14"/>
        <v>7.6342857142857143E-2</v>
      </c>
      <c r="F950" s="1044">
        <v>1050</v>
      </c>
      <c r="G950" s="2433">
        <v>80.16</v>
      </c>
    </row>
    <row r="951" spans="2:7">
      <c r="B951" s="1042">
        <v>21010361</v>
      </c>
      <c r="C951" s="1043" t="s">
        <v>273</v>
      </c>
      <c r="D951" s="1045" t="s">
        <v>1614</v>
      </c>
      <c r="E951" s="2023">
        <f t="shared" si="14"/>
        <v>7.6338582677165354E-2</v>
      </c>
      <c r="F951" s="1044">
        <v>254</v>
      </c>
      <c r="G951" s="2433">
        <v>19.39</v>
      </c>
    </row>
    <row r="952" spans="2:7">
      <c r="B952" s="1042">
        <v>21364981</v>
      </c>
      <c r="C952" s="1043" t="s">
        <v>273</v>
      </c>
      <c r="D952" s="1045" t="s">
        <v>1614</v>
      </c>
      <c r="E952" s="2023">
        <f t="shared" si="14"/>
        <v>7.6336000000000001E-2</v>
      </c>
      <c r="F952" s="1044">
        <v>625</v>
      </c>
      <c r="G952" s="2433">
        <v>47.71</v>
      </c>
    </row>
    <row r="953" spans="2:7">
      <c r="B953" s="1042">
        <v>527225</v>
      </c>
      <c r="C953" s="1043" t="s">
        <v>273</v>
      </c>
      <c r="D953" s="1045" t="s">
        <v>1614</v>
      </c>
      <c r="E953" s="2023">
        <f t="shared" si="14"/>
        <v>7.6336705202312144E-2</v>
      </c>
      <c r="F953" s="1044">
        <v>1384</v>
      </c>
      <c r="G953" s="2433">
        <v>105.65</v>
      </c>
    </row>
    <row r="954" spans="2:7">
      <c r="B954" s="1042">
        <v>574412</v>
      </c>
      <c r="C954" s="1043" t="s">
        <v>273</v>
      </c>
      <c r="D954" s="1045" t="s">
        <v>1614</v>
      </c>
      <c r="E954" s="2023">
        <f t="shared" si="14"/>
        <v>7.6338235294117637E-2</v>
      </c>
      <c r="F954" s="1044">
        <v>2040</v>
      </c>
      <c r="G954" s="2433">
        <v>155.72999999999999</v>
      </c>
    </row>
    <row r="955" spans="2:7">
      <c r="B955" s="1042">
        <v>21333168</v>
      </c>
      <c r="C955" s="1043" t="s">
        <v>273</v>
      </c>
      <c r="D955" s="1045" t="s">
        <v>1614</v>
      </c>
      <c r="E955" s="2023">
        <f t="shared" si="14"/>
        <v>7.6340797378481706E-2</v>
      </c>
      <c r="F955" s="1044">
        <v>1831</v>
      </c>
      <c r="G955" s="2433">
        <v>139.78</v>
      </c>
    </row>
    <row r="956" spans="2:7">
      <c r="B956" s="1042">
        <v>21309443</v>
      </c>
      <c r="C956" s="1043" t="s">
        <v>273</v>
      </c>
      <c r="D956" s="1045" t="s">
        <v>1614</v>
      </c>
      <c r="E956" s="2023">
        <f t="shared" si="14"/>
        <v>7.6344086021505372E-2</v>
      </c>
      <c r="F956" s="1044">
        <v>930</v>
      </c>
      <c r="G956" s="2433">
        <v>71</v>
      </c>
    </row>
    <row r="957" spans="2:7">
      <c r="B957" s="1042">
        <v>321731</v>
      </c>
      <c r="C957" s="1043" t="s">
        <v>273</v>
      </c>
      <c r="D957" s="1045" t="s">
        <v>1481</v>
      </c>
      <c r="E957" s="2023">
        <f t="shared" si="14"/>
        <v>7.6339355852317367E-2</v>
      </c>
      <c r="F957" s="1044">
        <v>1909.5</v>
      </c>
      <c r="G957" s="2433">
        <v>145.77000000000001</v>
      </c>
    </row>
    <row r="958" spans="2:7">
      <c r="B958" s="1042">
        <v>845178</v>
      </c>
      <c r="C958" s="1043" t="s">
        <v>273</v>
      </c>
      <c r="D958" s="1045" t="s">
        <v>1614</v>
      </c>
      <c r="E958" s="2023">
        <f t="shared" si="14"/>
        <v>7.6346153846153841E-2</v>
      </c>
      <c r="F958" s="1044">
        <v>780</v>
      </c>
      <c r="G958" s="2433">
        <v>59.55</v>
      </c>
    </row>
    <row r="959" spans="2:7">
      <c r="B959" s="1042">
        <v>21384581</v>
      </c>
      <c r="C959" s="1043" t="s">
        <v>276</v>
      </c>
      <c r="D959" s="1045" t="s">
        <v>1614</v>
      </c>
      <c r="E959" s="2023">
        <f t="shared" si="14"/>
        <v>7.6339947089947083E-2</v>
      </c>
      <c r="F959" s="1044">
        <v>15120</v>
      </c>
      <c r="G959" s="2433">
        <v>1154.26</v>
      </c>
    </row>
    <row r="960" spans="2:7">
      <c r="B960" s="1042">
        <v>760962</v>
      </c>
      <c r="C960" s="1043" t="s">
        <v>273</v>
      </c>
      <c r="D960" s="1045" t="s">
        <v>1614</v>
      </c>
      <c r="E960" s="2023">
        <f t="shared" si="14"/>
        <v>7.5283018867924531E-2</v>
      </c>
      <c r="F960" s="1044">
        <v>106</v>
      </c>
      <c r="G960" s="2433">
        <v>7.98</v>
      </c>
    </row>
    <row r="961" spans="2:7">
      <c r="B961" s="1042">
        <v>957168</v>
      </c>
      <c r="C961" s="1043" t="s">
        <v>273</v>
      </c>
      <c r="D961" s="1045" t="s">
        <v>1614</v>
      </c>
      <c r="E961" s="2023">
        <f t="shared" si="14"/>
        <v>7.6341463414634145E-2</v>
      </c>
      <c r="F961" s="1044">
        <v>779</v>
      </c>
      <c r="G961" s="2433">
        <v>59.47</v>
      </c>
    </row>
    <row r="962" spans="2:7">
      <c r="B962" s="1042">
        <v>21220050</v>
      </c>
      <c r="C962" s="1043" t="s">
        <v>273</v>
      </c>
      <c r="D962" s="1045" t="s">
        <v>1614</v>
      </c>
      <c r="E962" s="2023">
        <f t="shared" si="14"/>
        <v>7.6333333333333336E-2</v>
      </c>
      <c r="F962" s="1044">
        <v>90</v>
      </c>
      <c r="G962" s="2433">
        <v>6.87</v>
      </c>
    </row>
    <row r="963" spans="2:7">
      <c r="B963" s="1042">
        <v>21369669</v>
      </c>
      <c r="C963" s="1043" t="s">
        <v>274</v>
      </c>
      <c r="D963" s="1045" t="s">
        <v>1614</v>
      </c>
      <c r="E963" s="2023">
        <f t="shared" si="14"/>
        <v>7.6345029239766077E-2</v>
      </c>
      <c r="F963" s="1044">
        <v>342</v>
      </c>
      <c r="G963" s="2433">
        <v>26.11</v>
      </c>
    </row>
    <row r="964" spans="2:7">
      <c r="B964" s="1042">
        <v>21037824</v>
      </c>
      <c r="C964" s="1043" t="s">
        <v>273</v>
      </c>
      <c r="D964" s="1045" t="s">
        <v>1614</v>
      </c>
      <c r="E964" s="2023">
        <f t="shared" si="14"/>
        <v>7.6399999999999996E-2</v>
      </c>
      <c r="F964" s="1044">
        <v>25</v>
      </c>
      <c r="G964" s="2433">
        <v>1.91</v>
      </c>
    </row>
    <row r="965" spans="2:7">
      <c r="B965" s="1042">
        <v>21039518</v>
      </c>
      <c r="C965" s="1043" t="s">
        <v>273</v>
      </c>
      <c r="D965" s="1045" t="s">
        <v>1614</v>
      </c>
      <c r="E965" s="2023">
        <f t="shared" ref="E965:E1028" si="15">G965/F965</f>
        <v>7.5454545454545455E-2</v>
      </c>
      <c r="F965" s="1044">
        <v>11</v>
      </c>
      <c r="G965" s="2433">
        <v>0.83</v>
      </c>
    </row>
    <row r="966" spans="2:7">
      <c r="B966" s="1042">
        <v>21326199</v>
      </c>
      <c r="C966" s="1043" t="s">
        <v>273</v>
      </c>
      <c r="D966" s="1045" t="s">
        <v>1614</v>
      </c>
      <c r="E966" s="2023">
        <f t="shared" si="15"/>
        <v>7.6348884381338744E-2</v>
      </c>
      <c r="F966" s="1044">
        <v>493</v>
      </c>
      <c r="G966" s="2433">
        <v>37.64</v>
      </c>
    </row>
    <row r="967" spans="2:7">
      <c r="B967" s="1042">
        <v>21382011</v>
      </c>
      <c r="C967" s="1043" t="s">
        <v>273</v>
      </c>
      <c r="D967" s="1045" t="s">
        <v>1481</v>
      </c>
      <c r="E967" s="2023">
        <f t="shared" si="15"/>
        <v>7.633848133848134E-2</v>
      </c>
      <c r="F967" s="1044">
        <v>1554</v>
      </c>
      <c r="G967" s="2433">
        <v>118.63</v>
      </c>
    </row>
    <row r="968" spans="2:7">
      <c r="B968" s="1042">
        <v>769874</v>
      </c>
      <c r="C968" s="1043" t="s">
        <v>273</v>
      </c>
      <c r="D968" s="1045" t="s">
        <v>1614</v>
      </c>
      <c r="E968" s="2023">
        <f t="shared" si="15"/>
        <v>7.6340909090909084E-2</v>
      </c>
      <c r="F968" s="1044">
        <v>2200</v>
      </c>
      <c r="G968" s="2433">
        <v>167.95</v>
      </c>
    </row>
    <row r="969" spans="2:7">
      <c r="B969" s="1042">
        <v>21465153</v>
      </c>
      <c r="C969" s="1043" t="s">
        <v>273</v>
      </c>
      <c r="D969" s="1045" t="s">
        <v>1481</v>
      </c>
      <c r="E969" s="2023">
        <f t="shared" si="15"/>
        <v>7.6339559877175014E-2</v>
      </c>
      <c r="F969" s="1044">
        <v>7816</v>
      </c>
      <c r="G969" s="2433">
        <v>596.66999999999996</v>
      </c>
    </row>
    <row r="970" spans="2:7">
      <c r="B970" s="1042">
        <v>929632</v>
      </c>
      <c r="C970" s="1043" t="s">
        <v>273</v>
      </c>
      <c r="D970" s="1045" t="s">
        <v>1614</v>
      </c>
      <c r="E970" s="2023">
        <f t="shared" si="15"/>
        <v>7.6521739130434779E-2</v>
      </c>
      <c r="F970" s="1044">
        <v>23</v>
      </c>
      <c r="G970" s="2433">
        <v>1.76</v>
      </c>
    </row>
    <row r="971" spans="2:7">
      <c r="B971" s="1042">
        <v>21398752</v>
      </c>
      <c r="C971" s="1043" t="s">
        <v>273</v>
      </c>
      <c r="D971" s="1045" t="s">
        <v>1614</v>
      </c>
      <c r="E971" s="2023">
        <f t="shared" si="15"/>
        <v>7.6353591160221002E-2</v>
      </c>
      <c r="F971" s="1044">
        <v>181</v>
      </c>
      <c r="G971" s="2433">
        <v>13.82</v>
      </c>
    </row>
    <row r="972" spans="2:7">
      <c r="B972" s="1042">
        <v>21291458</v>
      </c>
      <c r="C972" s="1043" t="s">
        <v>273</v>
      </c>
      <c r="D972" s="1045" t="s">
        <v>1481</v>
      </c>
      <c r="E972" s="2023">
        <f t="shared" si="15"/>
        <v>7.6341419586702597E-2</v>
      </c>
      <c r="F972" s="1044">
        <v>1391.25</v>
      </c>
      <c r="G972" s="2433">
        <v>106.21</v>
      </c>
    </row>
    <row r="973" spans="2:7">
      <c r="B973" s="1042">
        <v>437484</v>
      </c>
      <c r="C973" s="1043" t="s">
        <v>273</v>
      </c>
      <c r="D973" s="1045" t="s">
        <v>1614</v>
      </c>
      <c r="E973" s="2023">
        <f t="shared" si="15"/>
        <v>7.6327160493827165E-2</v>
      </c>
      <c r="F973" s="1044">
        <v>324</v>
      </c>
      <c r="G973" s="2433">
        <v>24.73</v>
      </c>
    </row>
    <row r="974" spans="2:7">
      <c r="B974" s="1042">
        <v>21414345</v>
      </c>
      <c r="C974" s="1043" t="s">
        <v>273</v>
      </c>
      <c r="D974" s="1045" t="s">
        <v>1614</v>
      </c>
      <c r="E974" s="2023">
        <f t="shared" si="15"/>
        <v>7.6346153846153855E-2</v>
      </c>
      <c r="F974" s="1044">
        <v>520</v>
      </c>
      <c r="G974" s="2433">
        <v>39.700000000000003</v>
      </c>
    </row>
    <row r="975" spans="2:7">
      <c r="B975" s="1042">
        <v>21321272</v>
      </c>
      <c r="C975" s="1043" t="s">
        <v>273</v>
      </c>
      <c r="D975" s="1045" t="s">
        <v>1614</v>
      </c>
      <c r="E975" s="2023">
        <f t="shared" si="15"/>
        <v>7.6340909090909098E-2</v>
      </c>
      <c r="F975" s="1044">
        <v>440</v>
      </c>
      <c r="G975" s="2433">
        <v>33.590000000000003</v>
      </c>
    </row>
    <row r="976" spans="2:7">
      <c r="B976" s="1042">
        <v>21383350</v>
      </c>
      <c r="C976" s="1043" t="s">
        <v>273</v>
      </c>
      <c r="D976" s="1045" t="s">
        <v>1481</v>
      </c>
      <c r="E976" s="2023">
        <f t="shared" si="15"/>
        <v>7.6336766681594267E-2</v>
      </c>
      <c r="F976" s="1044">
        <v>1116.5</v>
      </c>
      <c r="G976" s="2433">
        <v>85.23</v>
      </c>
    </row>
    <row r="977" spans="2:7">
      <c r="B977" s="1042">
        <v>683410</v>
      </c>
      <c r="C977" s="1043" t="s">
        <v>273</v>
      </c>
      <c r="D977" s="1045" t="s">
        <v>1614</v>
      </c>
      <c r="E977" s="2023">
        <f t="shared" si="15"/>
        <v>7.6339677891654467E-2</v>
      </c>
      <c r="F977" s="1044">
        <v>1366</v>
      </c>
      <c r="G977" s="2433">
        <v>104.28</v>
      </c>
    </row>
    <row r="978" spans="2:7">
      <c r="B978" s="1042">
        <v>252906</v>
      </c>
      <c r="C978" s="1043" t="s">
        <v>273</v>
      </c>
      <c r="D978" s="1045" t="s">
        <v>1614</v>
      </c>
      <c r="E978" s="2023">
        <f t="shared" si="15"/>
        <v>7.6299999999999993E-2</v>
      </c>
      <c r="F978" s="1044">
        <v>100</v>
      </c>
      <c r="G978" s="2433">
        <v>7.63</v>
      </c>
    </row>
    <row r="979" spans="2:7">
      <c r="B979" s="1042">
        <v>21338141</v>
      </c>
      <c r="C979" s="1043" t="s">
        <v>273</v>
      </c>
      <c r="D979" s="1045" t="s">
        <v>1614</v>
      </c>
      <c r="E979" s="2023">
        <f t="shared" si="15"/>
        <v>7.636363636363637E-2</v>
      </c>
      <c r="F979" s="1044">
        <v>110</v>
      </c>
      <c r="G979" s="2433">
        <v>8.4</v>
      </c>
    </row>
    <row r="980" spans="2:7">
      <c r="B980" s="1042">
        <v>21192590</v>
      </c>
      <c r="C980" s="1043" t="s">
        <v>273</v>
      </c>
      <c r="D980" s="1045" t="s">
        <v>1614</v>
      </c>
      <c r="E980" s="2023">
        <f t="shared" si="15"/>
        <v>7.5263157894736837E-2</v>
      </c>
      <c r="F980" s="1044">
        <v>57</v>
      </c>
      <c r="G980" s="2433">
        <v>4.29</v>
      </c>
    </row>
    <row r="981" spans="2:7">
      <c r="B981" s="1042">
        <v>21392725</v>
      </c>
      <c r="C981" s="1043" t="s">
        <v>273</v>
      </c>
      <c r="D981" s="1045" t="s">
        <v>1614</v>
      </c>
      <c r="E981" s="2023">
        <f t="shared" si="15"/>
        <v>7.6333333333333336E-2</v>
      </c>
      <c r="F981" s="1044">
        <v>630</v>
      </c>
      <c r="G981" s="2433">
        <v>48.09</v>
      </c>
    </row>
    <row r="982" spans="2:7">
      <c r="B982" s="1042">
        <v>794642</v>
      </c>
      <c r="C982" s="1043" t="s">
        <v>273</v>
      </c>
      <c r="D982" s="1045" t="s">
        <v>1614</v>
      </c>
      <c r="E982" s="2023">
        <f t="shared" si="15"/>
        <v>7.6338144329896912E-2</v>
      </c>
      <c r="F982" s="1044">
        <v>2425</v>
      </c>
      <c r="G982" s="2433">
        <v>185.12</v>
      </c>
    </row>
    <row r="983" spans="2:7">
      <c r="B983" s="1042">
        <v>217675</v>
      </c>
      <c r="C983" s="1043" t="s">
        <v>273</v>
      </c>
      <c r="D983" s="1045" t="s">
        <v>1614</v>
      </c>
      <c r="E983" s="2023">
        <f t="shared" si="15"/>
        <v>7.633053221288516E-2</v>
      </c>
      <c r="F983" s="1044">
        <v>357</v>
      </c>
      <c r="G983" s="2433">
        <v>27.25</v>
      </c>
    </row>
    <row r="984" spans="2:7">
      <c r="B984" s="1042">
        <v>21490154</v>
      </c>
      <c r="C984" s="1043" t="s">
        <v>274</v>
      </c>
      <c r="D984" s="1045" t="s">
        <v>1614</v>
      </c>
      <c r="E984" s="2023">
        <f t="shared" si="15"/>
        <v>7.6340277777777785E-2</v>
      </c>
      <c r="F984" s="1044">
        <v>4320</v>
      </c>
      <c r="G984" s="2433">
        <v>329.79</v>
      </c>
    </row>
    <row r="985" spans="2:7">
      <c r="B985" s="1042">
        <v>549080</v>
      </c>
      <c r="C985" s="1043" t="s">
        <v>273</v>
      </c>
      <c r="D985" s="1045" t="s">
        <v>1614</v>
      </c>
      <c r="E985" s="2023">
        <f t="shared" si="15"/>
        <v>7.5999999999999998E-2</v>
      </c>
      <c r="F985" s="1044">
        <v>10</v>
      </c>
      <c r="G985" s="2433">
        <v>0.76</v>
      </c>
    </row>
    <row r="986" spans="2:7">
      <c r="B986" s="1042">
        <v>518246</v>
      </c>
      <c r="C986" s="1043" t="s">
        <v>273</v>
      </c>
      <c r="D986" s="1045" t="s">
        <v>1614</v>
      </c>
      <c r="E986" s="2023">
        <f t="shared" si="15"/>
        <v>0.08</v>
      </c>
      <c r="F986" s="1044">
        <v>1</v>
      </c>
      <c r="G986" s="2433">
        <v>0.08</v>
      </c>
    </row>
    <row r="987" spans="2:7">
      <c r="B987" s="1042">
        <v>21406663</v>
      </c>
      <c r="C987" s="1043" t="s">
        <v>273</v>
      </c>
      <c r="D987" s="1045" t="s">
        <v>1614</v>
      </c>
      <c r="E987" s="2023">
        <f t="shared" si="15"/>
        <v>7.6334776334776339E-2</v>
      </c>
      <c r="F987" s="1044">
        <v>693</v>
      </c>
      <c r="G987" s="2433">
        <v>52.9</v>
      </c>
    </row>
    <row r="988" spans="2:7">
      <c r="B988" s="1042">
        <v>21327625</v>
      </c>
      <c r="C988" s="1043" t="s">
        <v>273</v>
      </c>
      <c r="D988" s="1045" t="s">
        <v>1614</v>
      </c>
      <c r="E988" s="2023">
        <f t="shared" si="15"/>
        <v>7.6318181818181813E-2</v>
      </c>
      <c r="F988" s="1044">
        <v>220</v>
      </c>
      <c r="G988" s="2433">
        <v>16.79</v>
      </c>
    </row>
    <row r="989" spans="2:7">
      <c r="B989" s="1042">
        <v>21222148</v>
      </c>
      <c r="C989" s="1043" t="s">
        <v>273</v>
      </c>
      <c r="D989" s="1045" t="s">
        <v>1614</v>
      </c>
      <c r="E989" s="2023">
        <f t="shared" si="15"/>
        <v>7.6336760925449873E-2</v>
      </c>
      <c r="F989" s="1044">
        <v>778</v>
      </c>
      <c r="G989" s="2433">
        <v>59.39</v>
      </c>
    </row>
    <row r="990" spans="2:7">
      <c r="B990" s="1042">
        <v>831825</v>
      </c>
      <c r="C990" s="1043" t="s">
        <v>273</v>
      </c>
      <c r="D990" s="1045" t="s">
        <v>1614</v>
      </c>
      <c r="E990" s="2023">
        <f t="shared" si="15"/>
        <v>7.6338028169014083E-2</v>
      </c>
      <c r="F990" s="1044">
        <v>71</v>
      </c>
      <c r="G990" s="2433">
        <v>5.42</v>
      </c>
    </row>
    <row r="991" spans="2:7">
      <c r="B991" s="1042">
        <v>636766</v>
      </c>
      <c r="C991" s="1043" t="s">
        <v>273</v>
      </c>
      <c r="D991" s="1045" t="s">
        <v>1614</v>
      </c>
      <c r="E991" s="2023">
        <f t="shared" si="15"/>
        <v>7.6340909090909098E-2</v>
      </c>
      <c r="F991" s="1044">
        <v>3520</v>
      </c>
      <c r="G991" s="2433">
        <v>268.72000000000003</v>
      </c>
    </row>
    <row r="992" spans="2:7">
      <c r="B992" s="1042">
        <v>21059398</v>
      </c>
      <c r="C992" s="1043" t="s">
        <v>273</v>
      </c>
      <c r="D992" s="1045" t="s">
        <v>1481</v>
      </c>
      <c r="E992" s="2023">
        <f t="shared" si="15"/>
        <v>7.6345448482827608E-2</v>
      </c>
      <c r="F992" s="1044">
        <v>749.75</v>
      </c>
      <c r="G992" s="2433">
        <v>57.24</v>
      </c>
    </row>
    <row r="993" spans="2:7">
      <c r="B993" s="1042">
        <v>367595</v>
      </c>
      <c r="C993" s="1043" t="s">
        <v>273</v>
      </c>
      <c r="D993" s="1045" t="s">
        <v>1481</v>
      </c>
      <c r="E993" s="2023">
        <f t="shared" si="15"/>
        <v>7.6337436205343737E-2</v>
      </c>
      <c r="F993" s="1044">
        <v>1665.5</v>
      </c>
      <c r="G993" s="2433">
        <v>127.14</v>
      </c>
    </row>
    <row r="994" spans="2:7">
      <c r="B994" s="1042">
        <v>849958</v>
      </c>
      <c r="C994" s="1043" t="s">
        <v>273</v>
      </c>
      <c r="D994" s="1045" t="s">
        <v>1614</v>
      </c>
      <c r="E994" s="2023">
        <f t="shared" si="15"/>
        <v>7.6348314606741574E-2</v>
      </c>
      <c r="F994" s="1044">
        <v>534</v>
      </c>
      <c r="G994" s="2433">
        <v>40.770000000000003</v>
      </c>
    </row>
    <row r="995" spans="2:7">
      <c r="B995" s="1042">
        <v>899856</v>
      </c>
      <c r="C995" s="1043" t="s">
        <v>273</v>
      </c>
      <c r="D995" s="1045" t="s">
        <v>1614</v>
      </c>
      <c r="E995" s="2023">
        <f t="shared" si="15"/>
        <v>7.6347031963470313E-2</v>
      </c>
      <c r="F995" s="1044">
        <v>438</v>
      </c>
      <c r="G995" s="2433">
        <v>33.44</v>
      </c>
    </row>
    <row r="996" spans="2:7">
      <c r="B996" s="1042">
        <v>21378868</v>
      </c>
      <c r="C996" s="1043" t="s">
        <v>273</v>
      </c>
      <c r="D996" s="1045" t="s">
        <v>1614</v>
      </c>
      <c r="E996" s="2023">
        <f t="shared" si="15"/>
        <v>7.6341463414634145E-2</v>
      </c>
      <c r="F996" s="1044">
        <v>1148</v>
      </c>
      <c r="G996" s="2433">
        <v>87.64</v>
      </c>
    </row>
    <row r="997" spans="2:7">
      <c r="B997" s="1042">
        <v>21399220</v>
      </c>
      <c r="C997" s="1043" t="s">
        <v>273</v>
      </c>
      <c r="D997" s="1045" t="s">
        <v>1481</v>
      </c>
      <c r="E997" s="2023">
        <f t="shared" si="15"/>
        <v>7.6338605741066198E-2</v>
      </c>
      <c r="F997" s="1044">
        <v>1707</v>
      </c>
      <c r="G997" s="2433">
        <v>130.31</v>
      </c>
    </row>
    <row r="998" spans="2:7">
      <c r="B998" s="1042">
        <v>21317179</v>
      </c>
      <c r="C998" s="1043" t="s">
        <v>273</v>
      </c>
      <c r="D998" s="1045" t="s">
        <v>1614</v>
      </c>
      <c r="E998" s="2023">
        <f t="shared" si="15"/>
        <v>7.6340640809443513E-2</v>
      </c>
      <c r="F998" s="1044">
        <v>593</v>
      </c>
      <c r="G998" s="2433">
        <v>45.27</v>
      </c>
    </row>
    <row r="999" spans="2:7">
      <c r="B999" s="1042">
        <v>201399</v>
      </c>
      <c r="C999" s="1043" t="s">
        <v>273</v>
      </c>
      <c r="D999" s="1045" t="s">
        <v>1614</v>
      </c>
      <c r="E999" s="2023">
        <f t="shared" si="15"/>
        <v>7.4999999999999997E-2</v>
      </c>
      <c r="F999" s="1044">
        <v>4</v>
      </c>
      <c r="G999" s="2433">
        <v>0.3</v>
      </c>
    </row>
    <row r="1000" spans="2:7">
      <c r="B1000" s="1042">
        <v>21166460</v>
      </c>
      <c r="C1000" s="1043" t="s">
        <v>273</v>
      </c>
      <c r="D1000" s="1045" t="s">
        <v>1614</v>
      </c>
      <c r="E1000" s="2023">
        <f t="shared" si="15"/>
        <v>7.6341463414634145E-2</v>
      </c>
      <c r="F1000" s="1044">
        <v>82</v>
      </c>
      <c r="G1000" s="2433">
        <v>6.26</v>
      </c>
    </row>
    <row r="1001" spans="2:7">
      <c r="B1001" s="1042">
        <v>21355887</v>
      </c>
      <c r="C1001" s="1043" t="s">
        <v>273</v>
      </c>
      <c r="D1001" s="1045" t="s">
        <v>1614</v>
      </c>
      <c r="E1001" s="2023">
        <f t="shared" si="15"/>
        <v>7.6342412451361877E-2</v>
      </c>
      <c r="F1001" s="1044">
        <v>1028</v>
      </c>
      <c r="G1001" s="2433">
        <v>78.48</v>
      </c>
    </row>
    <row r="1002" spans="2:7">
      <c r="B1002" s="1042">
        <v>21226413</v>
      </c>
      <c r="C1002" s="1043" t="s">
        <v>273</v>
      </c>
      <c r="D1002" s="1045" t="s">
        <v>1614</v>
      </c>
      <c r="E1002" s="2023">
        <f t="shared" si="15"/>
        <v>7.6336154776299889E-2</v>
      </c>
      <c r="F1002" s="1044">
        <v>827</v>
      </c>
      <c r="G1002" s="2433">
        <v>63.13</v>
      </c>
    </row>
    <row r="1003" spans="2:7">
      <c r="B1003" s="1042">
        <v>21009567</v>
      </c>
      <c r="C1003" s="1043" t="s">
        <v>273</v>
      </c>
      <c r="D1003" s="1045" t="s">
        <v>1614</v>
      </c>
      <c r="E1003" s="2023">
        <f t="shared" si="15"/>
        <v>7.6335697399527183E-2</v>
      </c>
      <c r="F1003" s="1044">
        <v>423</v>
      </c>
      <c r="G1003" s="2433">
        <v>32.29</v>
      </c>
    </row>
    <row r="1004" spans="2:7">
      <c r="B1004" s="1042">
        <v>21388751</v>
      </c>
      <c r="C1004" s="1043" t="s">
        <v>273</v>
      </c>
      <c r="D1004" s="1045" t="s">
        <v>1614</v>
      </c>
      <c r="E1004" s="2023">
        <f t="shared" si="15"/>
        <v>7.6338862559241716E-2</v>
      </c>
      <c r="F1004" s="1044">
        <v>844</v>
      </c>
      <c r="G1004" s="2433">
        <v>64.430000000000007</v>
      </c>
    </row>
    <row r="1005" spans="2:7">
      <c r="B1005" s="1042">
        <v>21379883</v>
      </c>
      <c r="C1005" s="1043" t="s">
        <v>273</v>
      </c>
      <c r="D1005" s="1045" t="s">
        <v>1614</v>
      </c>
      <c r="E1005" s="2023">
        <f t="shared" si="15"/>
        <v>7.6335877862595422E-2</v>
      </c>
      <c r="F1005" s="1044">
        <v>917</v>
      </c>
      <c r="G1005" s="2433">
        <v>70</v>
      </c>
    </row>
    <row r="1006" spans="2:7">
      <c r="B1006" s="1042">
        <v>21287528</v>
      </c>
      <c r="C1006" s="1043" t="s">
        <v>273</v>
      </c>
      <c r="D1006" s="1045" t="s">
        <v>1614</v>
      </c>
      <c r="E1006" s="2023">
        <f t="shared" si="15"/>
        <v>7.6379310344827575E-2</v>
      </c>
      <c r="F1006" s="1044">
        <v>58</v>
      </c>
      <c r="G1006" s="2433">
        <v>4.43</v>
      </c>
    </row>
    <row r="1007" spans="2:7">
      <c r="B1007" s="1042">
        <v>878061</v>
      </c>
      <c r="C1007" s="1043" t="s">
        <v>273</v>
      </c>
      <c r="D1007" s="1045" t="s">
        <v>1614</v>
      </c>
      <c r="E1007" s="2023">
        <f t="shared" si="15"/>
        <v>7.6351931330472106E-2</v>
      </c>
      <c r="F1007" s="1044">
        <v>233</v>
      </c>
      <c r="G1007" s="2433">
        <v>17.79</v>
      </c>
    </row>
    <row r="1008" spans="2:7">
      <c r="B1008" s="1042">
        <v>875376</v>
      </c>
      <c r="C1008" s="1043" t="s">
        <v>273</v>
      </c>
      <c r="D1008" s="1045" t="s">
        <v>1614</v>
      </c>
      <c r="E1008" s="2023">
        <f t="shared" si="15"/>
        <v>7.6320754716981132E-2</v>
      </c>
      <c r="F1008" s="1044">
        <v>106</v>
      </c>
      <c r="G1008" s="2433">
        <v>8.09</v>
      </c>
    </row>
    <row r="1009" spans="2:7">
      <c r="B1009" s="1042">
        <v>951489</v>
      </c>
      <c r="C1009" s="1043" t="s">
        <v>273</v>
      </c>
      <c r="D1009" s="1045" t="s">
        <v>1614</v>
      </c>
      <c r="E1009" s="2023">
        <f t="shared" si="15"/>
        <v>7.6309523809523813E-2</v>
      </c>
      <c r="F1009" s="1044">
        <v>84</v>
      </c>
      <c r="G1009" s="2433">
        <v>6.41</v>
      </c>
    </row>
    <row r="1010" spans="2:7">
      <c r="B1010" s="1042">
        <v>21257082</v>
      </c>
      <c r="C1010" s="1043" t="s">
        <v>273</v>
      </c>
      <c r="D1010" s="1045" t="s">
        <v>1614</v>
      </c>
      <c r="E1010" s="2023">
        <f t="shared" si="15"/>
        <v>7.6339840283939656E-2</v>
      </c>
      <c r="F1010" s="1044">
        <v>2254</v>
      </c>
      <c r="G1010" s="2433">
        <v>172.07</v>
      </c>
    </row>
    <row r="1011" spans="2:7">
      <c r="B1011" s="1042">
        <v>276120</v>
      </c>
      <c r="C1011" s="1043" t="s">
        <v>273</v>
      </c>
      <c r="D1011" s="1045" t="s">
        <v>1614</v>
      </c>
      <c r="E1011" s="2023">
        <f t="shared" si="15"/>
        <v>7.6337448559670784E-2</v>
      </c>
      <c r="F1011" s="1044">
        <v>486</v>
      </c>
      <c r="G1011" s="2433">
        <v>37.1</v>
      </c>
    </row>
    <row r="1012" spans="2:7">
      <c r="B1012" s="1042">
        <v>21403673</v>
      </c>
      <c r="C1012" s="1043" t="s">
        <v>273</v>
      </c>
      <c r="D1012" s="1045" t="s">
        <v>1614</v>
      </c>
      <c r="E1012" s="2023">
        <f t="shared" si="15"/>
        <v>7.6339982653946217E-2</v>
      </c>
      <c r="F1012" s="1044">
        <v>1153</v>
      </c>
      <c r="G1012" s="2433">
        <v>88.02</v>
      </c>
    </row>
    <row r="1013" spans="2:7">
      <c r="B1013" s="1042">
        <v>21237001</v>
      </c>
      <c r="C1013" s="1043" t="s">
        <v>273</v>
      </c>
      <c r="D1013" s="1045" t="s">
        <v>1614</v>
      </c>
      <c r="E1013" s="2023">
        <f t="shared" si="15"/>
        <v>7.6341463414634145E-2</v>
      </c>
      <c r="F1013" s="1044">
        <v>533</v>
      </c>
      <c r="G1013" s="2433">
        <v>40.69</v>
      </c>
    </row>
    <row r="1014" spans="2:7">
      <c r="B1014" s="1042">
        <v>21102729</v>
      </c>
      <c r="C1014" s="1043" t="s">
        <v>274</v>
      </c>
      <c r="D1014" s="1045" t="s">
        <v>1614</v>
      </c>
      <c r="E1014" s="2023">
        <f t="shared" si="15"/>
        <v>7.633919843597263E-2</v>
      </c>
      <c r="F1014" s="1044">
        <v>4092</v>
      </c>
      <c r="G1014" s="2433">
        <v>312.38</v>
      </c>
    </row>
    <row r="1015" spans="2:7">
      <c r="B1015" s="1042">
        <v>251060</v>
      </c>
      <c r="C1015" s="1043" t="s">
        <v>273</v>
      </c>
      <c r="D1015" s="1045" t="s">
        <v>1614</v>
      </c>
      <c r="E1015" s="2023">
        <f t="shared" si="15"/>
        <v>7.6336405529953924E-2</v>
      </c>
      <c r="F1015" s="1044">
        <v>434</v>
      </c>
      <c r="G1015" s="2433">
        <v>33.130000000000003</v>
      </c>
    </row>
    <row r="1016" spans="2:7">
      <c r="B1016" s="1042">
        <v>21424856</v>
      </c>
      <c r="C1016" s="1043" t="s">
        <v>273</v>
      </c>
      <c r="D1016" s="1045" t="s">
        <v>1614</v>
      </c>
      <c r="E1016" s="2023">
        <f t="shared" si="15"/>
        <v>7.6337907375643235E-2</v>
      </c>
      <c r="F1016" s="1044">
        <v>1166</v>
      </c>
      <c r="G1016" s="2433">
        <v>89.01</v>
      </c>
    </row>
    <row r="1017" spans="2:7">
      <c r="B1017" s="1042">
        <v>21295436</v>
      </c>
      <c r="C1017" s="1043" t="s">
        <v>274</v>
      </c>
      <c r="D1017" s="1045" t="s">
        <v>1614</v>
      </c>
      <c r="E1017" s="2023">
        <f t="shared" si="15"/>
        <v>7.6333333333333336E-2</v>
      </c>
      <c r="F1017" s="1044">
        <v>240</v>
      </c>
      <c r="G1017" s="2433">
        <v>18.32</v>
      </c>
    </row>
    <row r="1018" spans="2:7">
      <c r="B1018" s="1042">
        <v>21189035</v>
      </c>
      <c r="C1018" s="1043" t="s">
        <v>273</v>
      </c>
      <c r="D1018" s="1045" t="s">
        <v>1614</v>
      </c>
      <c r="E1018" s="2023">
        <f t="shared" si="15"/>
        <v>7.6343750000000002E-2</v>
      </c>
      <c r="F1018" s="1044">
        <v>640</v>
      </c>
      <c r="G1018" s="2433">
        <v>48.86</v>
      </c>
    </row>
    <row r="1019" spans="2:7">
      <c r="B1019" s="1042">
        <v>21381439</v>
      </c>
      <c r="C1019" s="1043" t="s">
        <v>273</v>
      </c>
      <c r="D1019" s="1045" t="s">
        <v>1614</v>
      </c>
      <c r="E1019" s="2023">
        <f t="shared" si="15"/>
        <v>7.6342780026990548E-2</v>
      </c>
      <c r="F1019" s="1044">
        <v>741</v>
      </c>
      <c r="G1019" s="2433">
        <v>56.57</v>
      </c>
    </row>
    <row r="1020" spans="2:7">
      <c r="B1020" s="1042">
        <v>693051</v>
      </c>
      <c r="C1020" s="1043" t="s">
        <v>273</v>
      </c>
      <c r="D1020" s="1045" t="s">
        <v>1614</v>
      </c>
      <c r="E1020" s="2023">
        <f t="shared" si="15"/>
        <v>7.6336633663366335E-2</v>
      </c>
      <c r="F1020" s="1044">
        <v>404</v>
      </c>
      <c r="G1020" s="2433">
        <v>30.84</v>
      </c>
    </row>
    <row r="1021" spans="2:7">
      <c r="B1021" s="1042">
        <v>507496</v>
      </c>
      <c r="C1021" s="1043" t="s">
        <v>273</v>
      </c>
      <c r="D1021" s="1045" t="s">
        <v>1614</v>
      </c>
      <c r="E1021" s="2023">
        <f t="shared" si="15"/>
        <v>7.635245901639344E-2</v>
      </c>
      <c r="F1021" s="1044">
        <v>244</v>
      </c>
      <c r="G1021" s="2433">
        <v>18.63</v>
      </c>
    </row>
    <row r="1022" spans="2:7">
      <c r="B1022" s="1042">
        <v>949952</v>
      </c>
      <c r="C1022" s="1043" t="s">
        <v>273</v>
      </c>
      <c r="D1022" s="1045" t="s">
        <v>1614</v>
      </c>
      <c r="E1022" s="2023">
        <f t="shared" si="15"/>
        <v>7.6345903771131346E-2</v>
      </c>
      <c r="F1022" s="1044">
        <v>769</v>
      </c>
      <c r="G1022" s="2433">
        <v>58.71</v>
      </c>
    </row>
    <row r="1023" spans="2:7">
      <c r="B1023" s="1042">
        <v>21254019</v>
      </c>
      <c r="C1023" s="1043" t="s">
        <v>273</v>
      </c>
      <c r="D1023" s="1045" t="s">
        <v>1614</v>
      </c>
      <c r="E1023" s="2023">
        <f t="shared" si="15"/>
        <v>7.6393442622950822E-2</v>
      </c>
      <c r="F1023" s="1044">
        <v>61</v>
      </c>
      <c r="G1023" s="2433">
        <v>4.66</v>
      </c>
    </row>
    <row r="1024" spans="2:7">
      <c r="B1024" s="1042">
        <v>34971</v>
      </c>
      <c r="C1024" s="1043" t="s">
        <v>273</v>
      </c>
      <c r="D1024" s="1045" t="s">
        <v>1614</v>
      </c>
      <c r="E1024" s="2023">
        <f t="shared" si="15"/>
        <v>7.63481228668942E-2</v>
      </c>
      <c r="F1024" s="1044">
        <v>586</v>
      </c>
      <c r="G1024" s="2433">
        <v>44.74</v>
      </c>
    </row>
    <row r="1025" spans="2:7">
      <c r="B1025" s="1042">
        <v>817190</v>
      </c>
      <c r="C1025" s="1043" t="s">
        <v>273</v>
      </c>
      <c r="D1025" s="1045" t="s">
        <v>1614</v>
      </c>
      <c r="E1025" s="2023">
        <f t="shared" si="15"/>
        <v>7.6337448559670784E-2</v>
      </c>
      <c r="F1025" s="1044">
        <v>243</v>
      </c>
      <c r="G1025" s="2433">
        <v>18.55</v>
      </c>
    </row>
    <row r="1026" spans="2:7">
      <c r="B1026" s="1042">
        <v>478392</v>
      </c>
      <c r="C1026" s="1043" t="s">
        <v>273</v>
      </c>
      <c r="D1026" s="1045" t="s">
        <v>1614</v>
      </c>
      <c r="E1026" s="2023">
        <f t="shared" si="15"/>
        <v>7.6347107438016523E-2</v>
      </c>
      <c r="F1026" s="1044">
        <v>605</v>
      </c>
      <c r="G1026" s="2433">
        <v>46.19</v>
      </c>
    </row>
    <row r="1027" spans="2:7">
      <c r="B1027" s="1042">
        <v>21030269</v>
      </c>
      <c r="C1027" s="1043" t="s">
        <v>273</v>
      </c>
      <c r="D1027" s="1045" t="s">
        <v>1481</v>
      </c>
      <c r="E1027" s="2023">
        <f t="shared" si="15"/>
        <v>7.6339757316202711E-2</v>
      </c>
      <c r="F1027" s="1044">
        <v>1751.25</v>
      </c>
      <c r="G1027" s="2433">
        <v>133.69</v>
      </c>
    </row>
    <row r="1028" spans="2:7">
      <c r="B1028" s="1042">
        <v>21396663</v>
      </c>
      <c r="C1028" s="1043" t="s">
        <v>273</v>
      </c>
      <c r="D1028" s="1045" t="s">
        <v>1614</v>
      </c>
      <c r="E1028" s="2023">
        <f t="shared" si="15"/>
        <v>7.6312500000000005E-2</v>
      </c>
      <c r="F1028" s="1044">
        <v>160</v>
      </c>
      <c r="G1028" s="2433">
        <v>12.21</v>
      </c>
    </row>
    <row r="1029" spans="2:7">
      <c r="B1029" s="1042">
        <v>308100</v>
      </c>
      <c r="C1029" s="1043" t="s">
        <v>274</v>
      </c>
      <c r="D1029" s="1045" t="s">
        <v>1614</v>
      </c>
      <c r="E1029" s="2023">
        <f t="shared" ref="E1029:E1092" si="16">G1029/F1029</f>
        <v>7.5259803921568627E-2</v>
      </c>
      <c r="F1029" s="1044">
        <v>2040</v>
      </c>
      <c r="G1029" s="2433">
        <v>153.53</v>
      </c>
    </row>
    <row r="1030" spans="2:7">
      <c r="B1030" s="1042">
        <v>21374681</v>
      </c>
      <c r="C1030" s="1043" t="s">
        <v>273</v>
      </c>
      <c r="D1030" s="1045" t="s">
        <v>1614</v>
      </c>
      <c r="E1030" s="2023">
        <f t="shared" si="16"/>
        <v>7.6339474479009364E-2</v>
      </c>
      <c r="F1030" s="1044">
        <v>3311</v>
      </c>
      <c r="G1030" s="2433">
        <v>252.76</v>
      </c>
    </row>
    <row r="1031" spans="2:7">
      <c r="B1031" s="1042">
        <v>21191370</v>
      </c>
      <c r="C1031" s="1043" t="s">
        <v>273</v>
      </c>
      <c r="D1031" s="1045" t="s">
        <v>1614</v>
      </c>
      <c r="E1031" s="2023">
        <f t="shared" si="16"/>
        <v>7.5255731922398594E-2</v>
      </c>
      <c r="F1031" s="1044">
        <v>1134</v>
      </c>
      <c r="G1031" s="2433">
        <v>85.34</v>
      </c>
    </row>
    <row r="1032" spans="2:7">
      <c r="B1032" s="1042">
        <v>711706</v>
      </c>
      <c r="C1032" s="1043" t="s">
        <v>273</v>
      </c>
      <c r="D1032" s="1045" t="s">
        <v>1614</v>
      </c>
      <c r="E1032" s="2023">
        <f t="shared" si="16"/>
        <v>7.6338582677165354E-2</v>
      </c>
      <c r="F1032" s="1044">
        <v>254</v>
      </c>
      <c r="G1032" s="2433">
        <v>19.39</v>
      </c>
    </row>
    <row r="1033" spans="2:7">
      <c r="B1033" s="1042">
        <v>727143</v>
      </c>
      <c r="C1033" s="1043" t="s">
        <v>273</v>
      </c>
      <c r="D1033" s="1045" t="s">
        <v>1614</v>
      </c>
      <c r="E1033" s="2023">
        <f t="shared" si="16"/>
        <v>7.6344086021505372E-2</v>
      </c>
      <c r="F1033" s="1044">
        <v>186</v>
      </c>
      <c r="G1033" s="2433">
        <v>14.2</v>
      </c>
    </row>
    <row r="1034" spans="2:7">
      <c r="B1034" s="1042">
        <v>21411602</v>
      </c>
      <c r="C1034" s="1043" t="s">
        <v>273</v>
      </c>
      <c r="D1034" s="1045" t="s">
        <v>1614</v>
      </c>
      <c r="E1034" s="2023">
        <f t="shared" si="16"/>
        <v>0.08</v>
      </c>
      <c r="F1034" s="1044">
        <v>1</v>
      </c>
      <c r="G1034" s="2433">
        <v>0.08</v>
      </c>
    </row>
    <row r="1035" spans="2:7">
      <c r="B1035" s="1042">
        <v>585041</v>
      </c>
      <c r="C1035" s="1043" t="s">
        <v>273</v>
      </c>
      <c r="D1035" s="1045" t="s">
        <v>1614</v>
      </c>
      <c r="E1035" s="2023">
        <f t="shared" si="16"/>
        <v>7.6341275941583395E-2</v>
      </c>
      <c r="F1035" s="1044">
        <v>1301</v>
      </c>
      <c r="G1035" s="2433">
        <v>99.32</v>
      </c>
    </row>
    <row r="1036" spans="2:7">
      <c r="B1036" s="1042">
        <v>255439</v>
      </c>
      <c r="C1036" s="1043" t="s">
        <v>273</v>
      </c>
      <c r="D1036" s="1045" t="s">
        <v>1614</v>
      </c>
      <c r="E1036" s="2023">
        <f t="shared" si="16"/>
        <v>7.6363636363636356E-2</v>
      </c>
      <c r="F1036" s="1044">
        <v>77</v>
      </c>
      <c r="G1036" s="2433">
        <v>5.88</v>
      </c>
    </row>
    <row r="1037" spans="2:7">
      <c r="B1037" s="1042">
        <v>560291</v>
      </c>
      <c r="C1037" s="1043" t="s">
        <v>273</v>
      </c>
      <c r="D1037" s="1045" t="s">
        <v>1614</v>
      </c>
      <c r="E1037" s="2023">
        <f t="shared" si="16"/>
        <v>7.6359447004608297E-2</v>
      </c>
      <c r="F1037" s="1044">
        <v>217</v>
      </c>
      <c r="G1037" s="2433">
        <v>16.57</v>
      </c>
    </row>
    <row r="1038" spans="2:7">
      <c r="B1038" s="1042">
        <v>571939</v>
      </c>
      <c r="C1038" s="1043" t="s">
        <v>273</v>
      </c>
      <c r="D1038" s="1045" t="s">
        <v>1614</v>
      </c>
      <c r="E1038" s="2023">
        <f t="shared" si="16"/>
        <v>7.6344827586206893E-2</v>
      </c>
      <c r="F1038" s="1044">
        <v>1015</v>
      </c>
      <c r="G1038" s="2433">
        <v>77.489999999999995</v>
      </c>
    </row>
    <row r="1039" spans="2:7">
      <c r="B1039" s="1042">
        <v>21443795</v>
      </c>
      <c r="C1039" s="1043" t="s">
        <v>273</v>
      </c>
      <c r="D1039" s="1045" t="s">
        <v>1481</v>
      </c>
      <c r="E1039" s="2023">
        <f t="shared" si="16"/>
        <v>7.5254431103487715E-2</v>
      </c>
      <c r="F1039" s="1044">
        <v>874.5</v>
      </c>
      <c r="G1039" s="2433">
        <v>65.81</v>
      </c>
    </row>
    <row r="1040" spans="2:7">
      <c r="B1040" s="1042">
        <v>242030</v>
      </c>
      <c r="C1040" s="1043" t="s">
        <v>273</v>
      </c>
      <c r="D1040" s="1045" t="s">
        <v>1614</v>
      </c>
      <c r="E1040" s="2023">
        <f t="shared" si="16"/>
        <v>7.634182908545728E-2</v>
      </c>
      <c r="F1040" s="1044">
        <v>667</v>
      </c>
      <c r="G1040" s="2433">
        <v>50.92</v>
      </c>
    </row>
    <row r="1041" spans="2:7">
      <c r="B1041" s="1042">
        <v>870379</v>
      </c>
      <c r="C1041" s="1043" t="s">
        <v>273</v>
      </c>
      <c r="D1041" s="1045" t="s">
        <v>1614</v>
      </c>
      <c r="E1041" s="2023">
        <f t="shared" si="16"/>
        <v>7.6342219466831993E-2</v>
      </c>
      <c r="F1041" s="1044">
        <v>1613</v>
      </c>
      <c r="G1041" s="2433">
        <v>123.14</v>
      </c>
    </row>
    <row r="1042" spans="2:7">
      <c r="B1042" s="1042">
        <v>21143934</v>
      </c>
      <c r="C1042" s="1043" t="s">
        <v>273</v>
      </c>
      <c r="D1042" s="1045" t="s">
        <v>1614</v>
      </c>
      <c r="E1042" s="2023">
        <f t="shared" si="16"/>
        <v>7.6342566421707184E-2</v>
      </c>
      <c r="F1042" s="1044">
        <v>1769</v>
      </c>
      <c r="G1042" s="2433">
        <v>135.05000000000001</v>
      </c>
    </row>
    <row r="1043" spans="2:7">
      <c r="B1043" s="1042">
        <v>21199836</v>
      </c>
      <c r="C1043" s="1043" t="s">
        <v>273</v>
      </c>
      <c r="D1043" s="1045" t="s">
        <v>1614</v>
      </c>
      <c r="E1043" s="2023">
        <f t="shared" si="16"/>
        <v>7.6356589147286824E-2</v>
      </c>
      <c r="F1043" s="1044">
        <v>129</v>
      </c>
      <c r="G1043" s="2433">
        <v>9.85</v>
      </c>
    </row>
    <row r="1044" spans="2:7">
      <c r="B1044" s="1042">
        <v>769875</v>
      </c>
      <c r="C1044" s="1043" t="s">
        <v>273</v>
      </c>
      <c r="D1044" s="1045" t="s">
        <v>1614</v>
      </c>
      <c r="E1044" s="2023">
        <f t="shared" si="16"/>
        <v>7.6349206349206347E-2</v>
      </c>
      <c r="F1044" s="1044">
        <v>126</v>
      </c>
      <c r="G1044" s="2433">
        <v>9.6199999999999992</v>
      </c>
    </row>
    <row r="1045" spans="2:7">
      <c r="B1045" s="1042">
        <v>21394397</v>
      </c>
      <c r="C1045" s="1043" t="s">
        <v>274</v>
      </c>
      <c r="D1045" s="1045" t="s">
        <v>1481</v>
      </c>
      <c r="E1045" s="2023">
        <f t="shared" si="16"/>
        <v>7.6340021119324183E-2</v>
      </c>
      <c r="F1045" s="1044">
        <v>28410</v>
      </c>
      <c r="G1045" s="2433">
        <v>2168.8200000000002</v>
      </c>
    </row>
    <row r="1046" spans="2:7">
      <c r="B1046" s="1042">
        <v>759592</v>
      </c>
      <c r="C1046" s="1043" t="s">
        <v>273</v>
      </c>
      <c r="D1046" s="1045" t="s">
        <v>1614</v>
      </c>
      <c r="E1046" s="2023">
        <f t="shared" si="16"/>
        <v>7.6341600901916579E-2</v>
      </c>
      <c r="F1046" s="1044">
        <v>1774</v>
      </c>
      <c r="G1046" s="2433">
        <v>135.43</v>
      </c>
    </row>
    <row r="1047" spans="2:7">
      <c r="B1047" s="1042">
        <v>21322069</v>
      </c>
      <c r="C1047" s="1043" t="s">
        <v>273</v>
      </c>
      <c r="D1047" s="1045" t="s">
        <v>1614</v>
      </c>
      <c r="E1047" s="2023">
        <f t="shared" si="16"/>
        <v>7.6340579710144935E-2</v>
      </c>
      <c r="F1047" s="1044">
        <v>552</v>
      </c>
      <c r="G1047" s="2433">
        <v>42.14</v>
      </c>
    </row>
    <row r="1048" spans="2:7">
      <c r="B1048" s="1042">
        <v>21379309</v>
      </c>
      <c r="C1048" s="1043" t="s">
        <v>273</v>
      </c>
      <c r="D1048" s="1045" t="s">
        <v>1614</v>
      </c>
      <c r="E1048" s="2023">
        <f t="shared" si="16"/>
        <v>7.635714285714286E-2</v>
      </c>
      <c r="F1048" s="1044">
        <v>140</v>
      </c>
      <c r="G1048" s="2433">
        <v>10.69</v>
      </c>
    </row>
    <row r="1049" spans="2:7">
      <c r="B1049" s="1042">
        <v>214438</v>
      </c>
      <c r="C1049" s="1043" t="s">
        <v>273</v>
      </c>
      <c r="D1049" s="1045" t="s">
        <v>1614</v>
      </c>
      <c r="E1049" s="2023">
        <f t="shared" si="16"/>
        <v>7.6351351351351363E-2</v>
      </c>
      <c r="F1049" s="1044">
        <v>148</v>
      </c>
      <c r="G1049" s="2433">
        <v>11.3</v>
      </c>
    </row>
    <row r="1050" spans="2:7">
      <c r="B1050" s="1042">
        <v>21387653</v>
      </c>
      <c r="C1050" s="1043" t="s">
        <v>273</v>
      </c>
      <c r="D1050" s="1045" t="s">
        <v>1614</v>
      </c>
      <c r="E1050" s="2023">
        <f t="shared" si="16"/>
        <v>7.6328124999999997E-2</v>
      </c>
      <c r="F1050" s="1044">
        <v>128</v>
      </c>
      <c r="G1050" s="2433">
        <v>9.77</v>
      </c>
    </row>
    <row r="1051" spans="2:7">
      <c r="B1051" s="1042">
        <v>280019</v>
      </c>
      <c r="C1051" s="1043" t="s">
        <v>273</v>
      </c>
      <c r="D1051" s="1045" t="s">
        <v>1614</v>
      </c>
      <c r="E1051" s="2023">
        <f t="shared" si="16"/>
        <v>7.6336898395721928E-2</v>
      </c>
      <c r="F1051" s="1044">
        <v>374</v>
      </c>
      <c r="G1051" s="2433">
        <v>28.55</v>
      </c>
    </row>
    <row r="1052" spans="2:7">
      <c r="B1052" s="1042">
        <v>892261</v>
      </c>
      <c r="C1052" s="1043" t="s">
        <v>274</v>
      </c>
      <c r="D1052" s="1045" t="s">
        <v>1614</v>
      </c>
      <c r="E1052" s="2023">
        <f t="shared" si="16"/>
        <v>7.6337488015340363E-2</v>
      </c>
      <c r="F1052" s="1044">
        <v>1043</v>
      </c>
      <c r="G1052" s="2433">
        <v>79.62</v>
      </c>
    </row>
    <row r="1053" spans="2:7">
      <c r="B1053" s="1042">
        <v>21049716</v>
      </c>
      <c r="C1053" s="1043" t="s">
        <v>273</v>
      </c>
      <c r="D1053" s="1045" t="s">
        <v>1614</v>
      </c>
      <c r="E1053" s="2023">
        <f t="shared" si="16"/>
        <v>7.6347031963470313E-2</v>
      </c>
      <c r="F1053" s="1044">
        <v>438</v>
      </c>
      <c r="G1053" s="2433">
        <v>33.44</v>
      </c>
    </row>
    <row r="1054" spans="2:7">
      <c r="B1054" s="1042">
        <v>644198</v>
      </c>
      <c r="C1054" s="1043" t="s">
        <v>273</v>
      </c>
      <c r="D1054" s="1045" t="s">
        <v>1614</v>
      </c>
      <c r="E1054" s="2023">
        <f t="shared" si="16"/>
        <v>7.5172413793103451E-2</v>
      </c>
      <c r="F1054" s="1044">
        <v>29</v>
      </c>
      <c r="G1054" s="2433">
        <v>2.1800000000000002</v>
      </c>
    </row>
    <row r="1055" spans="2:7">
      <c r="B1055" s="1042">
        <v>21065903</v>
      </c>
      <c r="C1055" s="1043" t="s">
        <v>273</v>
      </c>
      <c r="D1055" s="1045" t="s">
        <v>1614</v>
      </c>
      <c r="E1055" s="2023">
        <f t="shared" si="16"/>
        <v>7.5263157894736837E-2</v>
      </c>
      <c r="F1055" s="1044">
        <v>418</v>
      </c>
      <c r="G1055" s="2433">
        <v>31.46</v>
      </c>
    </row>
    <row r="1056" spans="2:7">
      <c r="B1056" s="1042">
        <v>21068147</v>
      </c>
      <c r="C1056" s="1043" t="s">
        <v>273</v>
      </c>
      <c r="D1056" s="1045" t="s">
        <v>1614</v>
      </c>
      <c r="E1056" s="2023">
        <f t="shared" si="16"/>
        <v>7.6153846153846155E-2</v>
      </c>
      <c r="F1056" s="1044">
        <v>13</v>
      </c>
      <c r="G1056" s="2433">
        <v>0.99</v>
      </c>
    </row>
    <row r="1057" spans="2:7">
      <c r="B1057" s="1042">
        <v>749638</v>
      </c>
      <c r="C1057" s="1043" t="s">
        <v>273</v>
      </c>
      <c r="D1057" s="1045" t="s">
        <v>1614</v>
      </c>
      <c r="E1057" s="2023">
        <f t="shared" si="16"/>
        <v>7.6331521739130437E-2</v>
      </c>
      <c r="F1057" s="1044">
        <v>368</v>
      </c>
      <c r="G1057" s="2433">
        <v>28.09</v>
      </c>
    </row>
    <row r="1058" spans="2:7">
      <c r="B1058" s="1042">
        <v>242345</v>
      </c>
      <c r="C1058" s="1043" t="s">
        <v>273</v>
      </c>
      <c r="D1058" s="1045" t="s">
        <v>1614</v>
      </c>
      <c r="E1058" s="2023">
        <f t="shared" si="16"/>
        <v>7.6334231805929922E-2</v>
      </c>
      <c r="F1058" s="1044">
        <v>742</v>
      </c>
      <c r="G1058" s="2433">
        <v>56.64</v>
      </c>
    </row>
    <row r="1059" spans="2:7">
      <c r="B1059" s="1042">
        <v>954280</v>
      </c>
      <c r="C1059" s="1043" t="s">
        <v>273</v>
      </c>
      <c r="D1059" s="1045" t="s">
        <v>1614</v>
      </c>
      <c r="E1059" s="2023">
        <f t="shared" si="16"/>
        <v>7.6339237788513148E-2</v>
      </c>
      <c r="F1059" s="1044">
        <v>1863</v>
      </c>
      <c r="G1059" s="2433">
        <v>142.22</v>
      </c>
    </row>
    <row r="1060" spans="2:7">
      <c r="B1060" s="1042">
        <v>352478</v>
      </c>
      <c r="C1060" s="1043" t="s">
        <v>273</v>
      </c>
      <c r="D1060" s="1045" t="s">
        <v>1614</v>
      </c>
      <c r="E1060" s="2023">
        <f t="shared" si="16"/>
        <v>7.6341301460823366E-2</v>
      </c>
      <c r="F1060" s="1044">
        <v>1506</v>
      </c>
      <c r="G1060" s="2433">
        <v>114.97</v>
      </c>
    </row>
    <row r="1061" spans="2:7">
      <c r="B1061" s="1042">
        <v>697303</v>
      </c>
      <c r="C1061" s="1043" t="s">
        <v>273</v>
      </c>
      <c r="D1061" s="1045" t="s">
        <v>1614</v>
      </c>
      <c r="E1061" s="2023">
        <f t="shared" si="16"/>
        <v>7.6339712918660291E-2</v>
      </c>
      <c r="F1061" s="1044">
        <v>418</v>
      </c>
      <c r="G1061" s="2433">
        <v>31.91</v>
      </c>
    </row>
    <row r="1062" spans="2:7">
      <c r="B1062" s="1042">
        <v>498463</v>
      </c>
      <c r="C1062" s="1043" t="s">
        <v>273</v>
      </c>
      <c r="D1062" s="1045" t="s">
        <v>1614</v>
      </c>
      <c r="E1062" s="2023">
        <f t="shared" si="16"/>
        <v>7.6382978723404257E-2</v>
      </c>
      <c r="F1062" s="1044">
        <v>94</v>
      </c>
      <c r="G1062" s="2433">
        <v>7.18</v>
      </c>
    </row>
    <row r="1063" spans="2:7">
      <c r="B1063" s="1042">
        <v>762096</v>
      </c>
      <c r="C1063" s="1043" t="s">
        <v>273</v>
      </c>
      <c r="D1063" s="1045" t="s">
        <v>1481</v>
      </c>
      <c r="E1063" s="2023">
        <f t="shared" si="16"/>
        <v>7.6335374470089493E-2</v>
      </c>
      <c r="F1063" s="1044">
        <v>1061.5</v>
      </c>
      <c r="G1063" s="2433">
        <v>81.03</v>
      </c>
    </row>
    <row r="1064" spans="2:7">
      <c r="B1064" s="1042">
        <v>856513</v>
      </c>
      <c r="C1064" s="1043" t="s">
        <v>273</v>
      </c>
      <c r="D1064" s="1045" t="s">
        <v>1614</v>
      </c>
      <c r="E1064" s="2023">
        <f t="shared" si="16"/>
        <v>7.634266886326195E-2</v>
      </c>
      <c r="F1064" s="1044">
        <v>607</v>
      </c>
      <c r="G1064" s="2433">
        <v>46.34</v>
      </c>
    </row>
    <row r="1065" spans="2:7">
      <c r="B1065" s="1042">
        <v>21200712</v>
      </c>
      <c r="C1065" s="1043" t="s">
        <v>273</v>
      </c>
      <c r="D1065" s="1045" t="s">
        <v>1614</v>
      </c>
      <c r="E1065" s="2023">
        <f t="shared" si="16"/>
        <v>7.6339285714285721E-2</v>
      </c>
      <c r="F1065" s="1044">
        <v>560</v>
      </c>
      <c r="G1065" s="2433">
        <v>42.75</v>
      </c>
    </row>
    <row r="1066" spans="2:7">
      <c r="B1066" s="1042">
        <v>256377</v>
      </c>
      <c r="C1066" s="1043" t="s">
        <v>273</v>
      </c>
      <c r="D1066" s="1045" t="s">
        <v>1614</v>
      </c>
      <c r="E1066" s="2023">
        <f t="shared" si="16"/>
        <v>7.6338832487309646E-2</v>
      </c>
      <c r="F1066" s="1044">
        <v>1576</v>
      </c>
      <c r="G1066" s="2433">
        <v>120.31</v>
      </c>
    </row>
    <row r="1067" spans="2:7">
      <c r="B1067" s="1042">
        <v>593714</v>
      </c>
      <c r="C1067" s="1043" t="s">
        <v>273</v>
      </c>
      <c r="D1067" s="1045" t="s">
        <v>1614</v>
      </c>
      <c r="E1067" s="2023">
        <f t="shared" si="16"/>
        <v>7.6315789473684212E-2</v>
      </c>
      <c r="F1067" s="1044">
        <v>19</v>
      </c>
      <c r="G1067" s="2433">
        <v>1.45</v>
      </c>
    </row>
    <row r="1068" spans="2:7">
      <c r="B1068" s="1042">
        <v>21008066</v>
      </c>
      <c r="C1068" s="1043" t="s">
        <v>273</v>
      </c>
      <c r="D1068" s="1045" t="s">
        <v>1614</v>
      </c>
      <c r="E1068" s="2023">
        <f t="shared" si="16"/>
        <v>7.6282051282051289E-2</v>
      </c>
      <c r="F1068" s="1044">
        <v>78</v>
      </c>
      <c r="G1068" s="2433">
        <v>5.95</v>
      </c>
    </row>
    <row r="1069" spans="2:7">
      <c r="B1069" s="1042">
        <v>21281963</v>
      </c>
      <c r="C1069" s="1043" t="s">
        <v>273</v>
      </c>
      <c r="D1069" s="1045" t="s">
        <v>1614</v>
      </c>
      <c r="E1069" s="2023">
        <f t="shared" si="16"/>
        <v>7.6341212744090448E-2</v>
      </c>
      <c r="F1069" s="1044">
        <v>1946</v>
      </c>
      <c r="G1069" s="2433">
        <v>148.56</v>
      </c>
    </row>
    <row r="1070" spans="2:7">
      <c r="B1070" s="1042">
        <v>236569</v>
      </c>
      <c r="C1070" s="1043" t="s">
        <v>273</v>
      </c>
      <c r="D1070" s="1045" t="s">
        <v>1614</v>
      </c>
      <c r="E1070" s="2023">
        <f t="shared" si="16"/>
        <v>7.6342015855039635E-2</v>
      </c>
      <c r="F1070" s="1044">
        <v>883</v>
      </c>
      <c r="G1070" s="2433">
        <v>67.41</v>
      </c>
    </row>
    <row r="1071" spans="2:7">
      <c r="B1071" s="1042">
        <v>738588</v>
      </c>
      <c r="C1071" s="1043" t="s">
        <v>273</v>
      </c>
      <c r="D1071" s="1045" t="s">
        <v>1614</v>
      </c>
      <c r="E1071" s="2023">
        <f t="shared" si="16"/>
        <v>7.6358695652173916E-2</v>
      </c>
      <c r="F1071" s="1044">
        <v>184</v>
      </c>
      <c r="G1071" s="2433">
        <v>14.05</v>
      </c>
    </row>
    <row r="1072" spans="2:7">
      <c r="B1072" s="1042">
        <v>318491</v>
      </c>
      <c r="C1072" s="1043" t="s">
        <v>273</v>
      </c>
      <c r="D1072" s="1045" t="s">
        <v>1614</v>
      </c>
      <c r="E1072" s="2023">
        <f t="shared" si="16"/>
        <v>7.5248226950354602E-2</v>
      </c>
      <c r="F1072" s="1044">
        <v>141</v>
      </c>
      <c r="G1072" s="2433">
        <v>10.61</v>
      </c>
    </row>
    <row r="1073" spans="2:7">
      <c r="B1073" s="1042">
        <v>21319131</v>
      </c>
      <c r="C1073" s="1043" t="s">
        <v>273</v>
      </c>
      <c r="D1073" s="1045" t="s">
        <v>1614</v>
      </c>
      <c r="E1073" s="2023">
        <f t="shared" si="16"/>
        <v>7.6341229193341867E-2</v>
      </c>
      <c r="F1073" s="1044">
        <v>3124</v>
      </c>
      <c r="G1073" s="2433">
        <v>238.49</v>
      </c>
    </row>
    <row r="1074" spans="2:7">
      <c r="B1074" s="1042">
        <v>826052</v>
      </c>
      <c r="C1074" s="1043" t="s">
        <v>273</v>
      </c>
      <c r="D1074" s="1045" t="s">
        <v>1614</v>
      </c>
      <c r="E1074" s="2023">
        <f t="shared" si="16"/>
        <v>7.6338225017470299E-2</v>
      </c>
      <c r="F1074" s="1044">
        <v>1431</v>
      </c>
      <c r="G1074" s="2433">
        <v>109.24</v>
      </c>
    </row>
    <row r="1075" spans="2:7">
      <c r="B1075" s="1042">
        <v>21186520</v>
      </c>
      <c r="C1075" s="1043" t="s">
        <v>273</v>
      </c>
      <c r="D1075" s="1045" t="s">
        <v>1614</v>
      </c>
      <c r="E1075" s="2023">
        <f t="shared" si="16"/>
        <v>7.6341216216216215E-2</v>
      </c>
      <c r="F1075" s="1044">
        <v>2960</v>
      </c>
      <c r="G1075" s="2433">
        <v>225.97</v>
      </c>
    </row>
    <row r="1076" spans="2:7">
      <c r="B1076" s="1042">
        <v>791434</v>
      </c>
      <c r="C1076" s="1043" t="s">
        <v>273</v>
      </c>
      <c r="D1076" s="1045" t="s">
        <v>1614</v>
      </c>
      <c r="E1076" s="2023">
        <f t="shared" si="16"/>
        <v>7.6341463414634145E-2</v>
      </c>
      <c r="F1076" s="1044">
        <v>41</v>
      </c>
      <c r="G1076" s="2433">
        <v>3.13</v>
      </c>
    </row>
    <row r="1077" spans="2:7">
      <c r="B1077" s="1042">
        <v>508083</v>
      </c>
      <c r="C1077" s="1043" t="s">
        <v>273</v>
      </c>
      <c r="D1077" s="1045" t="s">
        <v>1614</v>
      </c>
      <c r="E1077" s="2023">
        <f t="shared" si="16"/>
        <v>7.6347826086956519E-2</v>
      </c>
      <c r="F1077" s="1044">
        <v>230</v>
      </c>
      <c r="G1077" s="2433">
        <v>17.559999999999999</v>
      </c>
    </row>
    <row r="1078" spans="2:7">
      <c r="B1078" s="1042">
        <v>21188912</v>
      </c>
      <c r="C1078" s="1043" t="s">
        <v>273</v>
      </c>
      <c r="D1078" s="1045" t="s">
        <v>1614</v>
      </c>
      <c r="E1078" s="2023">
        <f t="shared" si="16"/>
        <v>7.6350000000000001E-2</v>
      </c>
      <c r="F1078" s="1044">
        <v>200</v>
      </c>
      <c r="G1078" s="2433">
        <v>15.27</v>
      </c>
    </row>
    <row r="1079" spans="2:7">
      <c r="B1079" s="1042">
        <v>21187732</v>
      </c>
      <c r="C1079" s="1043" t="s">
        <v>273</v>
      </c>
      <c r="D1079" s="1045" t="s">
        <v>1614</v>
      </c>
      <c r="E1079" s="2023">
        <f t="shared" si="16"/>
        <v>7.6341296928327654E-2</v>
      </c>
      <c r="F1079" s="1044">
        <v>1465</v>
      </c>
      <c r="G1079" s="2433">
        <v>111.84</v>
      </c>
    </row>
    <row r="1080" spans="2:7">
      <c r="B1080" s="1042">
        <v>21039810</v>
      </c>
      <c r="C1080" s="1043" t="s">
        <v>273</v>
      </c>
      <c r="D1080" s="1045" t="s">
        <v>1614</v>
      </c>
      <c r="E1080" s="2023">
        <f t="shared" si="16"/>
        <v>7.6339468302658489E-2</v>
      </c>
      <c r="F1080" s="1044">
        <v>489</v>
      </c>
      <c r="G1080" s="2433">
        <v>37.33</v>
      </c>
    </row>
    <row r="1081" spans="2:7">
      <c r="B1081" s="1042">
        <v>445508</v>
      </c>
      <c r="C1081" s="1043" t="s">
        <v>273</v>
      </c>
      <c r="D1081" s="1045" t="s">
        <v>1614</v>
      </c>
      <c r="E1081" s="2023">
        <f t="shared" si="16"/>
        <v>7.6340445269016705E-2</v>
      </c>
      <c r="F1081" s="1044">
        <v>2156</v>
      </c>
      <c r="G1081" s="2433">
        <v>164.59</v>
      </c>
    </row>
    <row r="1082" spans="2:7">
      <c r="B1082" s="1042">
        <v>21373328</v>
      </c>
      <c r="C1082" s="1043" t="s">
        <v>273</v>
      </c>
      <c r="D1082" s="1045" t="s">
        <v>1614</v>
      </c>
      <c r="E1082" s="2023">
        <f t="shared" si="16"/>
        <v>7.6343167701863349E-2</v>
      </c>
      <c r="F1082" s="1044">
        <v>1288</v>
      </c>
      <c r="G1082" s="2433">
        <v>98.33</v>
      </c>
    </row>
    <row r="1083" spans="2:7">
      <c r="B1083" s="1042">
        <v>21234002</v>
      </c>
      <c r="C1083" s="1043" t="s">
        <v>273</v>
      </c>
      <c r="D1083" s="1045" t="s">
        <v>1614</v>
      </c>
      <c r="E1083" s="2023">
        <f t="shared" si="16"/>
        <v>7.6315789473684212E-2</v>
      </c>
      <c r="F1083" s="1044">
        <v>133</v>
      </c>
      <c r="G1083" s="2433">
        <v>10.15</v>
      </c>
    </row>
    <row r="1084" spans="2:7">
      <c r="B1084" s="1042">
        <v>682106</v>
      </c>
      <c r="C1084" s="1043" t="s">
        <v>273</v>
      </c>
      <c r="D1084" s="1045" t="s">
        <v>1614</v>
      </c>
      <c r="E1084" s="2023">
        <f t="shared" si="16"/>
        <v>7.6337579617834397E-2</v>
      </c>
      <c r="F1084" s="1044">
        <v>314</v>
      </c>
      <c r="G1084" s="2433">
        <v>23.97</v>
      </c>
    </row>
    <row r="1085" spans="2:7">
      <c r="B1085" s="1042">
        <v>21071658</v>
      </c>
      <c r="C1085" s="1043" t="s">
        <v>273</v>
      </c>
      <c r="D1085" s="1045" t="s">
        <v>1614</v>
      </c>
      <c r="E1085" s="2023">
        <f t="shared" si="16"/>
        <v>7.6344827586206893E-2</v>
      </c>
      <c r="F1085" s="1044">
        <v>145</v>
      </c>
      <c r="G1085" s="2433">
        <v>11.07</v>
      </c>
    </row>
    <row r="1086" spans="2:7">
      <c r="B1086" s="1042">
        <v>21387834</v>
      </c>
      <c r="C1086" s="1043" t="s">
        <v>273</v>
      </c>
      <c r="D1086" s="1045" t="s">
        <v>1614</v>
      </c>
      <c r="E1086" s="2023">
        <f t="shared" si="16"/>
        <v>7.6326530612244897E-2</v>
      </c>
      <c r="F1086" s="1044">
        <v>196</v>
      </c>
      <c r="G1086" s="2433">
        <v>14.96</v>
      </c>
    </row>
    <row r="1087" spans="2:7">
      <c r="B1087" s="1042">
        <v>21228949</v>
      </c>
      <c r="C1087" s="1043" t="s">
        <v>274</v>
      </c>
      <c r="D1087" s="1045" t="s">
        <v>1614</v>
      </c>
      <c r="E1087" s="2023">
        <f t="shared" si="16"/>
        <v>7.6341948310139171E-2</v>
      </c>
      <c r="F1087" s="1044">
        <v>1509</v>
      </c>
      <c r="G1087" s="2433">
        <v>115.2</v>
      </c>
    </row>
    <row r="1088" spans="2:7">
      <c r="B1088" s="1042">
        <v>872018</v>
      </c>
      <c r="C1088" s="1043" t="s">
        <v>273</v>
      </c>
      <c r="D1088" s="1045" t="s">
        <v>1614</v>
      </c>
      <c r="E1088" s="2023">
        <f t="shared" si="16"/>
        <v>7.634169427354473E-2</v>
      </c>
      <c r="F1088" s="1044">
        <v>2113</v>
      </c>
      <c r="G1088" s="2433">
        <v>161.31</v>
      </c>
    </row>
    <row r="1089" spans="2:7">
      <c r="B1089" s="1042">
        <v>21190515</v>
      </c>
      <c r="C1089" s="1043" t="s">
        <v>273</v>
      </c>
      <c r="D1089" s="1045" t="s">
        <v>1614</v>
      </c>
      <c r="E1089" s="2023">
        <f t="shared" si="16"/>
        <v>7.633810280869105E-2</v>
      </c>
      <c r="F1089" s="1044">
        <v>1887</v>
      </c>
      <c r="G1089" s="2433">
        <v>144.05000000000001</v>
      </c>
    </row>
    <row r="1090" spans="2:7">
      <c r="B1090" s="1042">
        <v>21288241</v>
      </c>
      <c r="C1090" s="1043" t="s">
        <v>273</v>
      </c>
      <c r="D1090" s="1045" t="s">
        <v>1614</v>
      </c>
      <c r="E1090" s="2023">
        <f t="shared" si="16"/>
        <v>7.6374999999999998E-2</v>
      </c>
      <c r="F1090" s="1044">
        <v>80</v>
      </c>
      <c r="G1090" s="2433">
        <v>6.11</v>
      </c>
    </row>
    <row r="1091" spans="2:7">
      <c r="B1091" s="1042">
        <v>21235561</v>
      </c>
      <c r="C1091" s="1043" t="s">
        <v>273</v>
      </c>
      <c r="D1091" s="1045" t="s">
        <v>1614</v>
      </c>
      <c r="E1091" s="2023">
        <f t="shared" si="16"/>
        <v>7.6339337594421838E-2</v>
      </c>
      <c r="F1091" s="1044">
        <v>1721</v>
      </c>
      <c r="G1091" s="2433">
        <v>131.38</v>
      </c>
    </row>
    <row r="1092" spans="2:7">
      <c r="B1092" s="1042">
        <v>21411320</v>
      </c>
      <c r="C1092" s="1043" t="s">
        <v>273</v>
      </c>
      <c r="D1092" s="1045" t="s">
        <v>1614</v>
      </c>
      <c r="E1092" s="2023">
        <f t="shared" si="16"/>
        <v>7.6406249999999995E-2</v>
      </c>
      <c r="F1092" s="1044">
        <v>64</v>
      </c>
      <c r="G1092" s="2433">
        <v>4.8899999999999997</v>
      </c>
    </row>
    <row r="1093" spans="2:7">
      <c r="B1093" s="1042">
        <v>493922</v>
      </c>
      <c r="C1093" s="1043" t="s">
        <v>273</v>
      </c>
      <c r="D1093" s="1045" t="s">
        <v>1614</v>
      </c>
      <c r="E1093" s="2023">
        <f t="shared" ref="E1093:E1156" si="17">G1093/F1093</f>
        <v>7.6340782122905029E-2</v>
      </c>
      <c r="F1093" s="1044">
        <v>1074</v>
      </c>
      <c r="G1093" s="2433">
        <v>81.99</v>
      </c>
    </row>
    <row r="1094" spans="2:7">
      <c r="B1094" s="1042">
        <v>609446</v>
      </c>
      <c r="C1094" s="1043" t="s">
        <v>273</v>
      </c>
      <c r="D1094" s="1045" t="s">
        <v>1614</v>
      </c>
      <c r="E1094" s="2023">
        <f t="shared" si="17"/>
        <v>7.63412610619469E-2</v>
      </c>
      <c r="F1094" s="1044">
        <v>3616</v>
      </c>
      <c r="G1094" s="2433">
        <v>276.05</v>
      </c>
    </row>
    <row r="1095" spans="2:7">
      <c r="B1095" s="1042">
        <v>21360425</v>
      </c>
      <c r="C1095" s="1043" t="s">
        <v>273</v>
      </c>
      <c r="D1095" s="1045" t="s">
        <v>1614</v>
      </c>
      <c r="E1095" s="2023">
        <f t="shared" si="17"/>
        <v>7.6332794830371573E-2</v>
      </c>
      <c r="F1095" s="1044">
        <v>619</v>
      </c>
      <c r="G1095" s="2433">
        <v>47.25</v>
      </c>
    </row>
    <row r="1096" spans="2:7">
      <c r="B1096" s="1042">
        <v>354914</v>
      </c>
      <c r="C1096" s="1043" t="s">
        <v>273</v>
      </c>
      <c r="D1096" s="1045" t="s">
        <v>1614</v>
      </c>
      <c r="E1096" s="2023">
        <f t="shared" si="17"/>
        <v>7.6410256410256408E-2</v>
      </c>
      <c r="F1096" s="1044">
        <v>39</v>
      </c>
      <c r="G1096" s="2433">
        <v>2.98</v>
      </c>
    </row>
    <row r="1097" spans="2:7">
      <c r="B1097" s="1042">
        <v>224963</v>
      </c>
      <c r="C1097" s="1043" t="s">
        <v>273</v>
      </c>
      <c r="D1097" s="1045" t="s">
        <v>1614</v>
      </c>
      <c r="E1097" s="2023">
        <f t="shared" si="17"/>
        <v>7.6345565749235469E-2</v>
      </c>
      <c r="F1097" s="1044">
        <v>654</v>
      </c>
      <c r="G1097" s="2433">
        <v>49.93</v>
      </c>
    </row>
    <row r="1098" spans="2:7">
      <c r="B1098" s="1042">
        <v>575567</v>
      </c>
      <c r="C1098" s="1043" t="s">
        <v>273</v>
      </c>
      <c r="D1098" s="1045" t="s">
        <v>1614</v>
      </c>
      <c r="E1098" s="2023">
        <f t="shared" si="17"/>
        <v>7.6340694006309148E-2</v>
      </c>
      <c r="F1098" s="1044">
        <v>1268</v>
      </c>
      <c r="G1098" s="2433">
        <v>96.8</v>
      </c>
    </row>
    <row r="1099" spans="2:7">
      <c r="B1099" s="1042">
        <v>21377270</v>
      </c>
      <c r="C1099" s="1043" t="s">
        <v>273</v>
      </c>
      <c r="D1099" s="1045" t="s">
        <v>1614</v>
      </c>
      <c r="E1099" s="2023">
        <f t="shared" si="17"/>
        <v>7.6329113924050632E-2</v>
      </c>
      <c r="F1099" s="1044">
        <v>237</v>
      </c>
      <c r="G1099" s="2433">
        <v>18.09</v>
      </c>
    </row>
    <row r="1100" spans="2:7">
      <c r="B1100" s="1042">
        <v>21312528</v>
      </c>
      <c r="C1100" s="1043" t="s">
        <v>273</v>
      </c>
      <c r="D1100" s="1045" t="s">
        <v>1614</v>
      </c>
      <c r="E1100" s="2023">
        <f t="shared" si="17"/>
        <v>7.6340621403912554E-2</v>
      </c>
      <c r="F1100" s="1044">
        <v>869</v>
      </c>
      <c r="G1100" s="2433">
        <v>66.34</v>
      </c>
    </row>
    <row r="1101" spans="2:7">
      <c r="B1101" s="1042">
        <v>615764</v>
      </c>
      <c r="C1101" s="1043" t="s">
        <v>273</v>
      </c>
      <c r="D1101" s="1045" t="s">
        <v>1614</v>
      </c>
      <c r="E1101" s="2023">
        <f t="shared" si="17"/>
        <v>7.6371681415929205E-2</v>
      </c>
      <c r="F1101" s="1044">
        <v>113</v>
      </c>
      <c r="G1101" s="2433">
        <v>8.6300000000000008</v>
      </c>
    </row>
    <row r="1102" spans="2:7">
      <c r="B1102" s="1042">
        <v>911315</v>
      </c>
      <c r="C1102" s="1043" t="s">
        <v>273</v>
      </c>
      <c r="D1102" s="1045" t="s">
        <v>1614</v>
      </c>
      <c r="E1102" s="2023">
        <f t="shared" si="17"/>
        <v>7.6344086021505372E-2</v>
      </c>
      <c r="F1102" s="1044">
        <v>837</v>
      </c>
      <c r="G1102" s="2433">
        <v>63.9</v>
      </c>
    </row>
    <row r="1103" spans="2:7">
      <c r="B1103" s="1042">
        <v>416922</v>
      </c>
      <c r="C1103" s="1043" t="s">
        <v>273</v>
      </c>
      <c r="D1103" s="1045" t="s">
        <v>1614</v>
      </c>
      <c r="E1103" s="2023">
        <f t="shared" si="17"/>
        <v>7.6339869281045747E-2</v>
      </c>
      <c r="F1103" s="1044">
        <v>1836</v>
      </c>
      <c r="G1103" s="2433">
        <v>140.16</v>
      </c>
    </row>
    <row r="1104" spans="2:7">
      <c r="B1104" s="1042">
        <v>691265</v>
      </c>
      <c r="C1104" s="1043" t="s">
        <v>273</v>
      </c>
      <c r="D1104" s="1045" t="s">
        <v>1614</v>
      </c>
      <c r="E1104" s="2023">
        <f t="shared" si="17"/>
        <v>7.6332288401253917E-2</v>
      </c>
      <c r="F1104" s="1044">
        <v>638</v>
      </c>
      <c r="G1104" s="2433">
        <v>48.7</v>
      </c>
    </row>
    <row r="1105" spans="2:7">
      <c r="B1105" s="1042">
        <v>650720</v>
      </c>
      <c r="C1105" s="1043" t="s">
        <v>273</v>
      </c>
      <c r="D1105" s="1045" t="s">
        <v>1614</v>
      </c>
      <c r="E1105" s="2023">
        <f t="shared" si="17"/>
        <v>7.6337616822429899E-2</v>
      </c>
      <c r="F1105" s="1044">
        <v>1712</v>
      </c>
      <c r="G1105" s="2433">
        <v>130.69</v>
      </c>
    </row>
    <row r="1106" spans="2:7">
      <c r="B1106" s="1042">
        <v>21290811</v>
      </c>
      <c r="C1106" s="1043" t="s">
        <v>273</v>
      </c>
      <c r="D1106" s="1045" t="s">
        <v>1614</v>
      </c>
      <c r="E1106" s="2023">
        <f t="shared" si="17"/>
        <v>7.6337395766517005E-2</v>
      </c>
      <c r="F1106" s="1044">
        <v>1559</v>
      </c>
      <c r="G1106" s="2433">
        <v>119.01</v>
      </c>
    </row>
    <row r="1107" spans="2:7">
      <c r="B1107" s="1042">
        <v>213607</v>
      </c>
      <c r="C1107" s="1043" t="s">
        <v>273</v>
      </c>
      <c r="D1107" s="1045" t="s">
        <v>1614</v>
      </c>
      <c r="E1107" s="2023">
        <f t="shared" si="17"/>
        <v>7.6326530612244897E-2</v>
      </c>
      <c r="F1107" s="1044">
        <v>49</v>
      </c>
      <c r="G1107" s="2433">
        <v>3.74</v>
      </c>
    </row>
    <row r="1108" spans="2:7">
      <c r="B1108" s="1042">
        <v>21397124</v>
      </c>
      <c r="C1108" s="1043" t="s">
        <v>273</v>
      </c>
      <c r="D1108" s="1045" t="s">
        <v>1481</v>
      </c>
      <c r="E1108" s="2023">
        <f t="shared" si="17"/>
        <v>7.6340846619021449E-2</v>
      </c>
      <c r="F1108" s="1044">
        <v>4960.909090909091</v>
      </c>
      <c r="G1108" s="2433">
        <v>378.72</v>
      </c>
    </row>
    <row r="1109" spans="2:7">
      <c r="B1109" s="1042">
        <v>21271780</v>
      </c>
      <c r="C1109" s="1043" t="s">
        <v>273</v>
      </c>
      <c r="D1109" s="1045" t="s">
        <v>1614</v>
      </c>
      <c r="E1109" s="2023">
        <f t="shared" si="17"/>
        <v>7.6341140079540432E-2</v>
      </c>
      <c r="F1109" s="1044">
        <v>2263</v>
      </c>
      <c r="G1109" s="2433">
        <v>172.76</v>
      </c>
    </row>
    <row r="1110" spans="2:7">
      <c r="B1110" s="1042">
        <v>814377</v>
      </c>
      <c r="C1110" s="1043" t="s">
        <v>273</v>
      </c>
      <c r="D1110" s="1045" t="s">
        <v>1614</v>
      </c>
      <c r="E1110" s="2023">
        <f t="shared" si="17"/>
        <v>7.6338672768878721E-2</v>
      </c>
      <c r="F1110" s="1044">
        <v>1311</v>
      </c>
      <c r="G1110" s="2433">
        <v>100.08</v>
      </c>
    </row>
    <row r="1111" spans="2:7">
      <c r="B1111" s="1042">
        <v>21137454</v>
      </c>
      <c r="C1111" s="1043" t="s">
        <v>273</v>
      </c>
      <c r="D1111" s="1045" t="s">
        <v>1614</v>
      </c>
      <c r="E1111" s="2023">
        <f t="shared" si="17"/>
        <v>7.6341611144760749E-2</v>
      </c>
      <c r="F1111" s="1044">
        <v>1651</v>
      </c>
      <c r="G1111" s="2433">
        <v>126.04</v>
      </c>
    </row>
    <row r="1112" spans="2:7">
      <c r="B1112" s="1042">
        <v>21264162</v>
      </c>
      <c r="C1112" s="1043" t="s">
        <v>273</v>
      </c>
      <c r="D1112" s="1045" t="s">
        <v>1614</v>
      </c>
      <c r="E1112" s="2023">
        <f t="shared" si="17"/>
        <v>7.6338729763387292E-2</v>
      </c>
      <c r="F1112" s="1044">
        <v>803</v>
      </c>
      <c r="G1112" s="2433">
        <v>61.3</v>
      </c>
    </row>
    <row r="1113" spans="2:7">
      <c r="B1113" s="1042">
        <v>248717</v>
      </c>
      <c r="C1113" s="1043" t="s">
        <v>274</v>
      </c>
      <c r="D1113" s="1045" t="s">
        <v>1614</v>
      </c>
      <c r="E1113" s="2023">
        <f t="shared" si="17"/>
        <v>7.6339285714285721E-2</v>
      </c>
      <c r="F1113" s="1044">
        <v>1680</v>
      </c>
      <c r="G1113" s="2433">
        <v>128.25</v>
      </c>
    </row>
    <row r="1114" spans="2:7">
      <c r="B1114" s="1042">
        <v>814601</v>
      </c>
      <c r="C1114" s="1043" t="s">
        <v>273</v>
      </c>
      <c r="D1114" s="1045" t="s">
        <v>1614</v>
      </c>
      <c r="E1114" s="2023">
        <f t="shared" si="17"/>
        <v>7.6340731853629273E-2</v>
      </c>
      <c r="F1114" s="1044">
        <v>1667</v>
      </c>
      <c r="G1114" s="2433">
        <v>127.26</v>
      </c>
    </row>
    <row r="1115" spans="2:7">
      <c r="B1115" s="1042">
        <v>21222334</v>
      </c>
      <c r="C1115" s="1043" t="s">
        <v>273</v>
      </c>
      <c r="D1115" s="1045" t="s">
        <v>1614</v>
      </c>
      <c r="E1115" s="2023">
        <f t="shared" si="17"/>
        <v>7.6336842105263147E-2</v>
      </c>
      <c r="F1115" s="1044">
        <v>475</v>
      </c>
      <c r="G1115" s="2433">
        <v>36.26</v>
      </c>
    </row>
    <row r="1116" spans="2:7">
      <c r="B1116" s="1042">
        <v>366146</v>
      </c>
      <c r="C1116" s="1043" t="s">
        <v>274</v>
      </c>
      <c r="D1116" s="1045" t="s">
        <v>1614</v>
      </c>
      <c r="E1116" s="2023">
        <f t="shared" si="17"/>
        <v>7.6338235294117637E-2</v>
      </c>
      <c r="F1116" s="1044">
        <v>2720</v>
      </c>
      <c r="G1116" s="2433">
        <v>207.64</v>
      </c>
    </row>
    <row r="1117" spans="2:7">
      <c r="B1117" s="1042">
        <v>528970</v>
      </c>
      <c r="C1117" s="1043" t="s">
        <v>273</v>
      </c>
      <c r="D1117" s="1045" t="s">
        <v>1614</v>
      </c>
      <c r="E1117" s="2023">
        <f t="shared" si="17"/>
        <v>7.6340243030736235E-2</v>
      </c>
      <c r="F1117" s="1044">
        <v>2798</v>
      </c>
      <c r="G1117" s="2433">
        <v>213.6</v>
      </c>
    </row>
    <row r="1118" spans="2:7">
      <c r="B1118" s="1042">
        <v>240085</v>
      </c>
      <c r="C1118" s="1043" t="s">
        <v>274</v>
      </c>
      <c r="D1118" s="1045" t="s">
        <v>1614</v>
      </c>
      <c r="E1118" s="2023">
        <f t="shared" si="17"/>
        <v>7.6342592592592601E-2</v>
      </c>
      <c r="F1118" s="1044">
        <v>1080</v>
      </c>
      <c r="G1118" s="2433">
        <v>82.45</v>
      </c>
    </row>
    <row r="1119" spans="2:7">
      <c r="B1119" s="1042">
        <v>354544</v>
      </c>
      <c r="C1119" s="1043" t="s">
        <v>273</v>
      </c>
      <c r="D1119" s="1045" t="s">
        <v>1614</v>
      </c>
      <c r="E1119" s="2023">
        <f t="shared" si="17"/>
        <v>7.637037037037038E-2</v>
      </c>
      <c r="F1119" s="1044">
        <v>135</v>
      </c>
      <c r="G1119" s="2433">
        <v>10.31</v>
      </c>
    </row>
    <row r="1120" spans="2:7">
      <c r="B1120" s="1042">
        <v>21032165</v>
      </c>
      <c r="C1120" s="1043" t="s">
        <v>273</v>
      </c>
      <c r="D1120" s="1045" t="s">
        <v>1614</v>
      </c>
      <c r="E1120" s="2023">
        <f t="shared" si="17"/>
        <v>7.6326530612244897E-2</v>
      </c>
      <c r="F1120" s="1044">
        <v>245</v>
      </c>
      <c r="G1120" s="2433">
        <v>18.7</v>
      </c>
    </row>
    <row r="1121" spans="2:7">
      <c r="B1121" s="1042">
        <v>21476913</v>
      </c>
      <c r="C1121" s="1043" t="s">
        <v>273</v>
      </c>
      <c r="D1121" s="1045" t="s">
        <v>1614</v>
      </c>
      <c r="E1121" s="2023">
        <f t="shared" si="17"/>
        <v>7.5248618784530388E-2</v>
      </c>
      <c r="F1121" s="1044">
        <v>181</v>
      </c>
      <c r="G1121" s="2433">
        <v>13.62</v>
      </c>
    </row>
    <row r="1122" spans="2:7">
      <c r="B1122" s="1042">
        <v>21160761</v>
      </c>
      <c r="C1122" s="1043" t="s">
        <v>273</v>
      </c>
      <c r="D1122" s="1045" t="s">
        <v>1481</v>
      </c>
      <c r="E1122" s="2023">
        <f t="shared" si="17"/>
        <v>7.633975481611209E-2</v>
      </c>
      <c r="F1122" s="1044">
        <v>1713</v>
      </c>
      <c r="G1122" s="2433">
        <v>130.77000000000001</v>
      </c>
    </row>
    <row r="1123" spans="2:7">
      <c r="B1123" s="1042">
        <v>21392907</v>
      </c>
      <c r="C1123" s="1043" t="s">
        <v>273</v>
      </c>
      <c r="D1123" s="1045" t="s">
        <v>1481</v>
      </c>
      <c r="E1123" s="2023">
        <f t="shared" si="17"/>
        <v>7.632958801498127E-2</v>
      </c>
      <c r="F1123" s="1044">
        <v>133.5</v>
      </c>
      <c r="G1123" s="2433">
        <v>10.19</v>
      </c>
    </row>
    <row r="1124" spans="2:7">
      <c r="B1124" s="1042">
        <v>21377191</v>
      </c>
      <c r="C1124" s="1043" t="s">
        <v>273</v>
      </c>
      <c r="D1124" s="1045" t="s">
        <v>1614</v>
      </c>
      <c r="E1124" s="2023">
        <f t="shared" si="17"/>
        <v>7.6337854500616517E-2</v>
      </c>
      <c r="F1124" s="1044">
        <v>811</v>
      </c>
      <c r="G1124" s="2433">
        <v>61.91</v>
      </c>
    </row>
    <row r="1125" spans="2:7">
      <c r="B1125" s="1042">
        <v>21145049</v>
      </c>
      <c r="C1125" s="1043" t="s">
        <v>273</v>
      </c>
      <c r="D1125" s="1045" t="s">
        <v>1481</v>
      </c>
      <c r="E1125" s="2023">
        <f t="shared" si="17"/>
        <v>7.6341463414634145E-2</v>
      </c>
      <c r="F1125" s="1044">
        <v>1558</v>
      </c>
      <c r="G1125" s="2433">
        <v>118.94</v>
      </c>
    </row>
    <row r="1126" spans="2:7">
      <c r="B1126" s="1042">
        <v>213216</v>
      </c>
      <c r="C1126" s="1043" t="s">
        <v>273</v>
      </c>
      <c r="D1126" s="1045" t="s">
        <v>1614</v>
      </c>
      <c r="E1126" s="2023">
        <f t="shared" si="17"/>
        <v>7.6339434276206319E-2</v>
      </c>
      <c r="F1126" s="1044">
        <v>1803</v>
      </c>
      <c r="G1126" s="2433">
        <v>137.63999999999999</v>
      </c>
    </row>
    <row r="1127" spans="2:7">
      <c r="B1127" s="1042">
        <v>21158401</v>
      </c>
      <c r="C1127" s="1043" t="s">
        <v>273</v>
      </c>
      <c r="D1127" s="1045" t="s">
        <v>1614</v>
      </c>
      <c r="E1127" s="2023">
        <f t="shared" si="17"/>
        <v>7.6333333333333322E-2</v>
      </c>
      <c r="F1127" s="1044">
        <v>150</v>
      </c>
      <c r="G1127" s="2433">
        <v>11.45</v>
      </c>
    </row>
    <row r="1128" spans="2:7">
      <c r="B1128" s="1042">
        <v>21173532</v>
      </c>
      <c r="C1128" s="1043" t="s">
        <v>273</v>
      </c>
      <c r="D1128" s="1045" t="s">
        <v>1614</v>
      </c>
      <c r="E1128" s="2023">
        <f t="shared" si="17"/>
        <v>7.6338557993730405E-2</v>
      </c>
      <c r="F1128" s="1044">
        <v>1595</v>
      </c>
      <c r="G1128" s="2433">
        <v>121.76</v>
      </c>
    </row>
    <row r="1129" spans="2:7">
      <c r="B1129" s="1042">
        <v>900345</v>
      </c>
      <c r="C1129" s="1043" t="s">
        <v>273</v>
      </c>
      <c r="D1129" s="1045" t="s">
        <v>1614</v>
      </c>
      <c r="E1129" s="2023">
        <f t="shared" si="17"/>
        <v>7.6342434584755411E-2</v>
      </c>
      <c r="F1129" s="1044">
        <v>1758</v>
      </c>
      <c r="G1129" s="2433">
        <v>134.21</v>
      </c>
    </row>
    <row r="1130" spans="2:7">
      <c r="B1130" s="1042">
        <v>248850</v>
      </c>
      <c r="C1130" s="1043" t="s">
        <v>273</v>
      </c>
      <c r="D1130" s="1045" t="s">
        <v>1614</v>
      </c>
      <c r="E1130" s="2023">
        <f t="shared" si="17"/>
        <v>7.6340621403912554E-2</v>
      </c>
      <c r="F1130" s="1044">
        <v>869</v>
      </c>
      <c r="G1130" s="2433">
        <v>66.34</v>
      </c>
    </row>
    <row r="1131" spans="2:7">
      <c r="B1131" s="1042">
        <v>276796</v>
      </c>
      <c r="C1131" s="1043" t="s">
        <v>273</v>
      </c>
      <c r="D1131" s="1045" t="s">
        <v>1614</v>
      </c>
      <c r="E1131" s="2023">
        <f t="shared" si="17"/>
        <v>7.6347150259067353E-2</v>
      </c>
      <c r="F1131" s="1044">
        <v>386</v>
      </c>
      <c r="G1131" s="2433">
        <v>29.47</v>
      </c>
    </row>
    <row r="1132" spans="2:7">
      <c r="B1132" s="1042">
        <v>21259805</v>
      </c>
      <c r="C1132" s="1043" t="s">
        <v>273</v>
      </c>
      <c r="D1132" s="1045" t="s">
        <v>1614</v>
      </c>
      <c r="E1132" s="2023">
        <f t="shared" si="17"/>
        <v>7.6341789052069425E-2</v>
      </c>
      <c r="F1132" s="1044">
        <v>1498</v>
      </c>
      <c r="G1132" s="2433">
        <v>114.36</v>
      </c>
    </row>
    <row r="1133" spans="2:7">
      <c r="B1133" s="1042">
        <v>512449</v>
      </c>
      <c r="C1133" s="1043" t="s">
        <v>273</v>
      </c>
      <c r="D1133" s="1045" t="s">
        <v>1614</v>
      </c>
      <c r="E1133" s="2023">
        <f t="shared" si="17"/>
        <v>7.6337448559670784E-2</v>
      </c>
      <c r="F1133" s="1044">
        <v>972</v>
      </c>
      <c r="G1133" s="2433">
        <v>74.2</v>
      </c>
    </row>
    <row r="1134" spans="2:7">
      <c r="B1134" s="1042">
        <v>21322795</v>
      </c>
      <c r="C1134" s="1043" t="s">
        <v>273</v>
      </c>
      <c r="D1134" s="1045" t="s">
        <v>1614</v>
      </c>
      <c r="E1134" s="2023">
        <f t="shared" si="17"/>
        <v>7.6341176470588232E-2</v>
      </c>
      <c r="F1134" s="1044">
        <v>850</v>
      </c>
      <c r="G1134" s="2433">
        <v>64.89</v>
      </c>
    </row>
    <row r="1135" spans="2:7">
      <c r="B1135" s="1042">
        <v>546613</v>
      </c>
      <c r="C1135" s="1043" t="s">
        <v>273</v>
      </c>
      <c r="D1135" s="1045" t="s">
        <v>1614</v>
      </c>
      <c r="E1135" s="2023">
        <f t="shared" si="17"/>
        <v>7.6339869281045747E-2</v>
      </c>
      <c r="F1135" s="1044">
        <v>153</v>
      </c>
      <c r="G1135" s="2433">
        <v>11.68</v>
      </c>
    </row>
    <row r="1136" spans="2:7">
      <c r="B1136" s="1042">
        <v>21154915</v>
      </c>
      <c r="C1136" s="1043" t="s">
        <v>273</v>
      </c>
      <c r="D1136" s="1045" t="s">
        <v>1614</v>
      </c>
      <c r="E1136" s="2023">
        <f t="shared" si="17"/>
        <v>7.6336065573770484E-2</v>
      </c>
      <c r="F1136" s="1044">
        <v>1220</v>
      </c>
      <c r="G1136" s="2433">
        <v>93.13</v>
      </c>
    </row>
    <row r="1137" spans="2:7">
      <c r="B1137" s="1042">
        <v>21051920</v>
      </c>
      <c r="C1137" s="1043" t="s">
        <v>273</v>
      </c>
      <c r="D1137" s="1045" t="s">
        <v>1614</v>
      </c>
      <c r="E1137" s="2023">
        <f t="shared" si="17"/>
        <v>7.5277777777777777E-2</v>
      </c>
      <c r="F1137" s="1044">
        <v>180</v>
      </c>
      <c r="G1137" s="2433">
        <v>13.55</v>
      </c>
    </row>
    <row r="1138" spans="2:7">
      <c r="B1138" s="1042">
        <v>21017124</v>
      </c>
      <c r="C1138" s="1043" t="s">
        <v>273</v>
      </c>
      <c r="D1138" s="1045" t="s">
        <v>1614</v>
      </c>
      <c r="E1138" s="2023">
        <f t="shared" si="17"/>
        <v>7.6359649122807016E-2</v>
      </c>
      <c r="F1138" s="1044">
        <v>228</v>
      </c>
      <c r="G1138" s="2433">
        <v>17.41</v>
      </c>
    </row>
    <row r="1139" spans="2:7">
      <c r="B1139" s="1042">
        <v>21174776</v>
      </c>
      <c r="C1139" s="1043" t="s">
        <v>273</v>
      </c>
      <c r="D1139" s="1045" t="s">
        <v>1614</v>
      </c>
      <c r="E1139" s="2023">
        <f t="shared" si="17"/>
        <v>7.6328124999999997E-2</v>
      </c>
      <c r="F1139" s="1044">
        <v>384</v>
      </c>
      <c r="G1139" s="2433">
        <v>29.31</v>
      </c>
    </row>
    <row r="1140" spans="2:7">
      <c r="B1140" s="1042">
        <v>249311</v>
      </c>
      <c r="C1140" s="1043" t="s">
        <v>273</v>
      </c>
      <c r="D1140" s="1045" t="s">
        <v>1614</v>
      </c>
      <c r="E1140" s="2023">
        <f t="shared" si="17"/>
        <v>7.6337319068596601E-2</v>
      </c>
      <c r="F1140" s="1044">
        <v>1589</v>
      </c>
      <c r="G1140" s="2433">
        <v>121.3</v>
      </c>
    </row>
    <row r="1141" spans="2:7">
      <c r="B1141" s="1042">
        <v>336912</v>
      </c>
      <c r="C1141" s="1043" t="s">
        <v>273</v>
      </c>
      <c r="D1141" s="1045" t="s">
        <v>1614</v>
      </c>
      <c r="E1141" s="2023">
        <f t="shared" si="17"/>
        <v>7.634387351778657E-2</v>
      </c>
      <c r="F1141" s="1044">
        <v>506</v>
      </c>
      <c r="G1141" s="2433">
        <v>38.630000000000003</v>
      </c>
    </row>
    <row r="1142" spans="2:7">
      <c r="B1142" s="1042">
        <v>950407</v>
      </c>
      <c r="C1142" s="1043" t="s">
        <v>273</v>
      </c>
      <c r="D1142" s="1045" t="s">
        <v>1614</v>
      </c>
      <c r="E1142" s="2023">
        <f t="shared" si="17"/>
        <v>7.6336633663366335E-2</v>
      </c>
      <c r="F1142" s="1044">
        <v>1414</v>
      </c>
      <c r="G1142" s="2433">
        <v>107.94</v>
      </c>
    </row>
    <row r="1143" spans="2:7">
      <c r="B1143" s="1042">
        <v>21405169</v>
      </c>
      <c r="C1143" s="1043" t="s">
        <v>273</v>
      </c>
      <c r="D1143" s="1045" t="s">
        <v>1614</v>
      </c>
      <c r="E1143" s="2023">
        <f t="shared" si="17"/>
        <v>7.6337868480725615E-2</v>
      </c>
      <c r="F1143" s="1044">
        <v>1764</v>
      </c>
      <c r="G1143" s="2433">
        <v>134.66</v>
      </c>
    </row>
    <row r="1144" spans="2:7">
      <c r="B1144" s="1042">
        <v>225065</v>
      </c>
      <c r="C1144" s="1043" t="s">
        <v>273</v>
      </c>
      <c r="D1144" s="1045" t="s">
        <v>1614</v>
      </c>
      <c r="E1144" s="2023">
        <f t="shared" si="17"/>
        <v>7.5242290748898669E-2</v>
      </c>
      <c r="F1144" s="1044">
        <v>227</v>
      </c>
      <c r="G1144" s="2433">
        <v>17.079999999999998</v>
      </c>
    </row>
    <row r="1145" spans="2:7">
      <c r="B1145" s="1042">
        <v>896225</v>
      </c>
      <c r="C1145" s="1043" t="s">
        <v>273</v>
      </c>
      <c r="D1145" s="1045" t="s">
        <v>1614</v>
      </c>
      <c r="E1145" s="2023">
        <f t="shared" si="17"/>
        <v>7.6339869281045747E-2</v>
      </c>
      <c r="F1145" s="1044">
        <v>153</v>
      </c>
      <c r="G1145" s="2433">
        <v>11.68</v>
      </c>
    </row>
    <row r="1146" spans="2:7">
      <c r="B1146" s="1042">
        <v>877686</v>
      </c>
      <c r="C1146" s="1043" t="s">
        <v>273</v>
      </c>
      <c r="D1146" s="1045" t="s">
        <v>1614</v>
      </c>
      <c r="E1146" s="2023">
        <f t="shared" si="17"/>
        <v>7.6335282651072117E-2</v>
      </c>
      <c r="F1146" s="1044">
        <v>1026</v>
      </c>
      <c r="G1146" s="2433">
        <v>78.319999999999993</v>
      </c>
    </row>
    <row r="1147" spans="2:7">
      <c r="B1147" s="1042">
        <v>952564</v>
      </c>
      <c r="C1147" s="1043" t="s">
        <v>273</v>
      </c>
      <c r="D1147" s="1045" t="s">
        <v>1614</v>
      </c>
      <c r="E1147" s="2023">
        <f t="shared" si="17"/>
        <v>7.6339869281045747E-2</v>
      </c>
      <c r="F1147" s="1044">
        <v>153</v>
      </c>
      <c r="G1147" s="2433">
        <v>11.68</v>
      </c>
    </row>
    <row r="1148" spans="2:7">
      <c r="B1148" s="1042">
        <v>21032536</v>
      </c>
      <c r="C1148" s="1043" t="s">
        <v>273</v>
      </c>
      <c r="D1148" s="1045" t="s">
        <v>1614</v>
      </c>
      <c r="E1148" s="2023">
        <f t="shared" si="17"/>
        <v>7.6339285714285721E-2</v>
      </c>
      <c r="F1148" s="1044">
        <v>224</v>
      </c>
      <c r="G1148" s="2433">
        <v>17.100000000000001</v>
      </c>
    </row>
    <row r="1149" spans="2:7">
      <c r="B1149" s="1042">
        <v>178773</v>
      </c>
      <c r="C1149" s="1043" t="s">
        <v>273</v>
      </c>
      <c r="D1149" s="1045" t="s">
        <v>1614</v>
      </c>
      <c r="E1149" s="2023">
        <f t="shared" si="17"/>
        <v>7.6338439095550686E-2</v>
      </c>
      <c r="F1149" s="1044">
        <v>1371</v>
      </c>
      <c r="G1149" s="2433">
        <v>104.66</v>
      </c>
    </row>
    <row r="1150" spans="2:7">
      <c r="B1150" s="1042">
        <v>21188152</v>
      </c>
      <c r="C1150" s="1043" t="s">
        <v>273</v>
      </c>
      <c r="D1150" s="1045" t="s">
        <v>1614</v>
      </c>
      <c r="E1150" s="2023">
        <f t="shared" si="17"/>
        <v>7.6359832635983269E-2</v>
      </c>
      <c r="F1150" s="1044">
        <v>239</v>
      </c>
      <c r="G1150" s="2433">
        <v>18.25</v>
      </c>
    </row>
    <row r="1151" spans="2:7">
      <c r="B1151" s="1042">
        <v>946914</v>
      </c>
      <c r="C1151" s="1043" t="s">
        <v>273</v>
      </c>
      <c r="D1151" s="1045" t="s">
        <v>1614</v>
      </c>
      <c r="E1151" s="2023">
        <f t="shared" si="17"/>
        <v>7.6344621513944222E-2</v>
      </c>
      <c r="F1151" s="1044">
        <v>1004</v>
      </c>
      <c r="G1151" s="2433">
        <v>76.650000000000006</v>
      </c>
    </row>
    <row r="1152" spans="2:7">
      <c r="B1152" s="1042">
        <v>561098</v>
      </c>
      <c r="C1152" s="1043" t="s">
        <v>273</v>
      </c>
      <c r="D1152" s="1045" t="s">
        <v>1614</v>
      </c>
      <c r="E1152" s="2023">
        <f t="shared" si="17"/>
        <v>7.6307692307692312E-2</v>
      </c>
      <c r="F1152" s="1044">
        <v>130</v>
      </c>
      <c r="G1152" s="2433">
        <v>9.92</v>
      </c>
    </row>
    <row r="1153" spans="2:7">
      <c r="B1153" s="1042">
        <v>625676</v>
      </c>
      <c r="C1153" s="1043" t="s">
        <v>273</v>
      </c>
      <c r="D1153" s="1045" t="s">
        <v>1614</v>
      </c>
      <c r="E1153" s="2023">
        <f t="shared" si="17"/>
        <v>7.6342857142857143E-2</v>
      </c>
      <c r="F1153" s="1044">
        <v>350</v>
      </c>
      <c r="G1153" s="2433">
        <v>26.72</v>
      </c>
    </row>
    <row r="1154" spans="2:7">
      <c r="B1154" s="1042">
        <v>626114</v>
      </c>
      <c r="C1154" s="1043" t="s">
        <v>273</v>
      </c>
      <c r="D1154" s="1045" t="s">
        <v>1481</v>
      </c>
      <c r="E1154" s="2023">
        <f t="shared" si="17"/>
        <v>7.6339165545087476E-2</v>
      </c>
      <c r="F1154" s="1044">
        <v>557.25</v>
      </c>
      <c r="G1154" s="2433">
        <v>42.54</v>
      </c>
    </row>
    <row r="1155" spans="2:7">
      <c r="B1155" s="1042">
        <v>21155233</v>
      </c>
      <c r="C1155" s="1043" t="s">
        <v>273</v>
      </c>
      <c r="D1155" s="1045" t="s">
        <v>1614</v>
      </c>
      <c r="E1155" s="2023">
        <f t="shared" si="17"/>
        <v>7.6338605741066198E-2</v>
      </c>
      <c r="F1155" s="1044">
        <v>1707</v>
      </c>
      <c r="G1155" s="2433">
        <v>130.31</v>
      </c>
    </row>
    <row r="1156" spans="2:7">
      <c r="B1156" s="1042">
        <v>843799</v>
      </c>
      <c r="C1156" s="1043" t="s">
        <v>273</v>
      </c>
      <c r="D1156" s="1045" t="s">
        <v>1614</v>
      </c>
      <c r="E1156" s="2023">
        <f t="shared" si="17"/>
        <v>7.5260273972602737E-2</v>
      </c>
      <c r="F1156" s="1044">
        <v>365</v>
      </c>
      <c r="G1156" s="2433">
        <v>27.47</v>
      </c>
    </row>
    <row r="1157" spans="2:7">
      <c r="B1157" s="1042">
        <v>637696</v>
      </c>
      <c r="C1157" s="1043" t="s">
        <v>273</v>
      </c>
      <c r="D1157" s="1045" t="s">
        <v>1614</v>
      </c>
      <c r="E1157" s="2023">
        <f t="shared" ref="E1157:E1220" si="18">G1157/F1157</f>
        <v>7.6341463414634145E-2</v>
      </c>
      <c r="F1157" s="1044">
        <v>3157</v>
      </c>
      <c r="G1157" s="2433">
        <v>241.01</v>
      </c>
    </row>
    <row r="1158" spans="2:7">
      <c r="B1158" s="1042">
        <v>640978</v>
      </c>
      <c r="C1158" s="1043" t="s">
        <v>273</v>
      </c>
      <c r="D1158" s="1045" t="s">
        <v>1614</v>
      </c>
      <c r="E1158" s="2023">
        <f t="shared" si="18"/>
        <v>7.6336805555555554E-2</v>
      </c>
      <c r="F1158" s="1044">
        <v>576</v>
      </c>
      <c r="G1158" s="2433">
        <v>43.97</v>
      </c>
    </row>
    <row r="1159" spans="2:7">
      <c r="B1159" s="1042">
        <v>893790</v>
      </c>
      <c r="C1159" s="1043" t="s">
        <v>273</v>
      </c>
      <c r="D1159" s="1045" t="s">
        <v>1614</v>
      </c>
      <c r="E1159" s="2023">
        <f t="shared" si="18"/>
        <v>7.6666666666666661E-2</v>
      </c>
      <c r="F1159" s="1044">
        <v>9</v>
      </c>
      <c r="G1159" s="2433">
        <v>0.69</v>
      </c>
    </row>
    <row r="1160" spans="2:7">
      <c r="B1160" s="1042">
        <v>780111</v>
      </c>
      <c r="C1160" s="1043" t="s">
        <v>273</v>
      </c>
      <c r="D1160" s="1045" t="s">
        <v>1614</v>
      </c>
      <c r="E1160" s="2023">
        <f t="shared" si="18"/>
        <v>7.6339743589743589E-2</v>
      </c>
      <c r="F1160" s="1044">
        <v>1560</v>
      </c>
      <c r="G1160" s="2433">
        <v>119.09</v>
      </c>
    </row>
    <row r="1161" spans="2:7">
      <c r="B1161" s="1042">
        <v>750399</v>
      </c>
      <c r="C1161" s="1043" t="s">
        <v>273</v>
      </c>
      <c r="D1161" s="1045" t="s">
        <v>1614</v>
      </c>
      <c r="E1161" s="2023">
        <f t="shared" si="18"/>
        <v>7.6337157987643414E-2</v>
      </c>
      <c r="F1161" s="1044">
        <v>1133</v>
      </c>
      <c r="G1161" s="2433">
        <v>86.49</v>
      </c>
    </row>
    <row r="1162" spans="2:7">
      <c r="B1162" s="1042">
        <v>21332127</v>
      </c>
      <c r="C1162" s="1043" t="s">
        <v>273</v>
      </c>
      <c r="D1162" s="1045" t="s">
        <v>1614</v>
      </c>
      <c r="E1162" s="2023">
        <f t="shared" si="18"/>
        <v>7.6337395766517005E-2</v>
      </c>
      <c r="F1162" s="1044">
        <v>1559</v>
      </c>
      <c r="G1162" s="2433">
        <v>119.01</v>
      </c>
    </row>
    <row r="1163" spans="2:7">
      <c r="B1163" s="1042">
        <v>767260</v>
      </c>
      <c r="C1163" s="1043" t="s">
        <v>273</v>
      </c>
      <c r="D1163" s="1045" t="s">
        <v>1614</v>
      </c>
      <c r="E1163" s="2023">
        <f t="shared" si="18"/>
        <v>7.6292134831460676E-2</v>
      </c>
      <c r="F1163" s="1044">
        <v>89</v>
      </c>
      <c r="G1163" s="2433">
        <v>6.79</v>
      </c>
    </row>
    <row r="1164" spans="2:7">
      <c r="B1164" s="1042">
        <v>767264</v>
      </c>
      <c r="C1164" s="1043" t="s">
        <v>273</v>
      </c>
      <c r="D1164" s="1045" t="s">
        <v>1614</v>
      </c>
      <c r="E1164" s="2023">
        <f t="shared" si="18"/>
        <v>7.6333333333333336E-2</v>
      </c>
      <c r="F1164" s="1044">
        <v>30</v>
      </c>
      <c r="G1164" s="2433">
        <v>2.29</v>
      </c>
    </row>
    <row r="1165" spans="2:7">
      <c r="B1165" s="1042">
        <v>942891</v>
      </c>
      <c r="C1165" s="1043" t="s">
        <v>273</v>
      </c>
      <c r="D1165" s="1045" t="s">
        <v>1614</v>
      </c>
      <c r="E1165" s="2023">
        <f t="shared" si="18"/>
        <v>7.6333333333333336E-2</v>
      </c>
      <c r="F1165" s="1044">
        <v>30</v>
      </c>
      <c r="G1165" s="2433">
        <v>2.29</v>
      </c>
    </row>
    <row r="1166" spans="2:7">
      <c r="B1166" s="1042">
        <v>21011851</v>
      </c>
      <c r="C1166" s="1043" t="s">
        <v>273</v>
      </c>
      <c r="D1166" s="1045" t="s">
        <v>1614</v>
      </c>
      <c r="E1166" s="2023">
        <f t="shared" si="18"/>
        <v>7.63323782234957E-2</v>
      </c>
      <c r="F1166" s="1044">
        <v>349</v>
      </c>
      <c r="G1166" s="2433">
        <v>26.64</v>
      </c>
    </row>
    <row r="1167" spans="2:7">
      <c r="B1167" s="1042">
        <v>177916</v>
      </c>
      <c r="C1167" s="1043" t="s">
        <v>273</v>
      </c>
      <c r="D1167" s="1045" t="s">
        <v>1614</v>
      </c>
      <c r="E1167" s="2023">
        <f t="shared" si="18"/>
        <v>7.6342149690489594E-2</v>
      </c>
      <c r="F1167" s="1044">
        <v>1777</v>
      </c>
      <c r="G1167" s="2433">
        <v>135.66</v>
      </c>
    </row>
    <row r="1168" spans="2:7">
      <c r="B1168" s="1042">
        <v>205738</v>
      </c>
      <c r="C1168" s="1043" t="s">
        <v>273</v>
      </c>
      <c r="D1168" s="1045" t="s">
        <v>1614</v>
      </c>
      <c r="E1168" s="2023">
        <f t="shared" si="18"/>
        <v>7.637362637362638E-2</v>
      </c>
      <c r="F1168" s="1044">
        <v>91</v>
      </c>
      <c r="G1168" s="2433">
        <v>6.95</v>
      </c>
    </row>
    <row r="1169" spans="2:7">
      <c r="B1169" s="1042">
        <v>21193146</v>
      </c>
      <c r="C1169" s="1043" t="s">
        <v>273</v>
      </c>
      <c r="D1169" s="1045" t="s">
        <v>1614</v>
      </c>
      <c r="E1169" s="2023">
        <f t="shared" si="18"/>
        <v>7.6666666666666675E-2</v>
      </c>
      <c r="F1169" s="1044">
        <v>12</v>
      </c>
      <c r="G1169" s="2433">
        <v>0.92</v>
      </c>
    </row>
    <row r="1170" spans="2:7">
      <c r="B1170" s="1042">
        <v>21052612</v>
      </c>
      <c r="C1170" s="1043" t="s">
        <v>273</v>
      </c>
      <c r="D1170" s="1045" t="s">
        <v>1614</v>
      </c>
      <c r="E1170" s="2023">
        <f t="shared" si="18"/>
        <v>7.6340361445783128E-2</v>
      </c>
      <c r="F1170" s="1044">
        <v>1328</v>
      </c>
      <c r="G1170" s="2433">
        <v>101.38</v>
      </c>
    </row>
    <row r="1171" spans="2:7">
      <c r="B1171" s="1042">
        <v>21203303</v>
      </c>
      <c r="C1171" s="1043" t="s">
        <v>273</v>
      </c>
      <c r="D1171" s="1045" t="s">
        <v>1481</v>
      </c>
      <c r="E1171" s="2023">
        <f t="shared" si="18"/>
        <v>7.6340598073998983E-2</v>
      </c>
      <c r="F1171" s="1044">
        <v>986.5</v>
      </c>
      <c r="G1171" s="2433">
        <v>75.31</v>
      </c>
    </row>
    <row r="1172" spans="2:7">
      <c r="B1172" s="1042">
        <v>567924</v>
      </c>
      <c r="C1172" s="1043" t="s">
        <v>273</v>
      </c>
      <c r="D1172" s="1045" t="s">
        <v>1614</v>
      </c>
      <c r="E1172" s="2023">
        <f t="shared" si="18"/>
        <v>7.6341463414634145E-2</v>
      </c>
      <c r="F1172" s="1044">
        <v>2665</v>
      </c>
      <c r="G1172" s="2433">
        <v>203.45</v>
      </c>
    </row>
    <row r="1173" spans="2:7">
      <c r="B1173" s="1042">
        <v>21001476</v>
      </c>
      <c r="C1173" s="1043" t="s">
        <v>273</v>
      </c>
      <c r="D1173" s="1045" t="s">
        <v>1614</v>
      </c>
      <c r="E1173" s="2023">
        <f t="shared" si="18"/>
        <v>7.6335766423357668E-2</v>
      </c>
      <c r="F1173" s="1044">
        <v>685</v>
      </c>
      <c r="G1173" s="2433">
        <v>52.29</v>
      </c>
    </row>
    <row r="1174" spans="2:7">
      <c r="B1174" s="1042">
        <v>21297558</v>
      </c>
      <c r="C1174" s="1043" t="s">
        <v>273</v>
      </c>
      <c r="D1174" s="1045" t="s">
        <v>1614</v>
      </c>
      <c r="E1174" s="2023">
        <f t="shared" si="18"/>
        <v>7.6341463414634145E-2</v>
      </c>
      <c r="F1174" s="1044">
        <v>615</v>
      </c>
      <c r="G1174" s="2433">
        <v>46.95</v>
      </c>
    </row>
    <row r="1175" spans="2:7">
      <c r="B1175" s="1042">
        <v>309409</v>
      </c>
      <c r="C1175" s="1043" t="s">
        <v>273</v>
      </c>
      <c r="D1175" s="1045" t="s">
        <v>1614</v>
      </c>
      <c r="E1175" s="2023">
        <f t="shared" si="18"/>
        <v>7.6344238975817921E-2</v>
      </c>
      <c r="F1175" s="1044">
        <v>703</v>
      </c>
      <c r="G1175" s="2433">
        <v>53.67</v>
      </c>
    </row>
    <row r="1176" spans="2:7">
      <c r="B1176" s="1042">
        <v>21248485</v>
      </c>
      <c r="C1176" s="1043" t="s">
        <v>273</v>
      </c>
      <c r="D1176" s="1045" t="s">
        <v>1614</v>
      </c>
      <c r="E1176" s="2023">
        <f t="shared" si="18"/>
        <v>7.6336336336336338E-2</v>
      </c>
      <c r="F1176" s="1044">
        <v>666</v>
      </c>
      <c r="G1176" s="2433">
        <v>50.84</v>
      </c>
    </row>
    <row r="1177" spans="2:7">
      <c r="B1177" s="1042">
        <v>21235523</v>
      </c>
      <c r="C1177" s="1043" t="s">
        <v>273</v>
      </c>
      <c r="D1177" s="1045" t="s">
        <v>1614</v>
      </c>
      <c r="E1177" s="2023">
        <f t="shared" si="18"/>
        <v>7.6374999999999998E-2</v>
      </c>
      <c r="F1177" s="1044">
        <v>80</v>
      </c>
      <c r="G1177" s="2433">
        <v>6.11</v>
      </c>
    </row>
    <row r="1178" spans="2:7">
      <c r="B1178" s="1042">
        <v>727968</v>
      </c>
      <c r="C1178" s="1043" t="s">
        <v>273</v>
      </c>
      <c r="D1178" s="1045" t="s">
        <v>1481</v>
      </c>
      <c r="E1178" s="2023">
        <f t="shared" si="18"/>
        <v>7.6340915319265554E-2</v>
      </c>
      <c r="F1178" s="1044">
        <v>4561.25</v>
      </c>
      <c r="G1178" s="2433">
        <v>348.21</v>
      </c>
    </row>
    <row r="1179" spans="2:7">
      <c r="B1179" s="1042">
        <v>284758</v>
      </c>
      <c r="C1179" s="1043" t="s">
        <v>273</v>
      </c>
      <c r="D1179" s="1045" t="s">
        <v>1614</v>
      </c>
      <c r="E1179" s="2023">
        <f t="shared" si="18"/>
        <v>7.6337500000000003E-2</v>
      </c>
      <c r="F1179" s="1044">
        <v>1600</v>
      </c>
      <c r="G1179" s="2433">
        <v>122.14</v>
      </c>
    </row>
    <row r="1180" spans="2:7">
      <c r="B1180" s="1042">
        <v>518842</v>
      </c>
      <c r="C1180" s="1043" t="s">
        <v>273</v>
      </c>
      <c r="D1180" s="1045" t="s">
        <v>1614</v>
      </c>
      <c r="E1180" s="2023">
        <f t="shared" si="18"/>
        <v>7.6341463414634145E-2</v>
      </c>
      <c r="F1180" s="1044">
        <v>1107</v>
      </c>
      <c r="G1180" s="2433">
        <v>84.51</v>
      </c>
    </row>
    <row r="1181" spans="2:7">
      <c r="B1181" s="1042">
        <v>893189</v>
      </c>
      <c r="C1181" s="1043" t="s">
        <v>273</v>
      </c>
      <c r="D1181" s="1045" t="s">
        <v>1614</v>
      </c>
      <c r="E1181" s="2023">
        <f t="shared" si="18"/>
        <v>7.6341463414634145E-2</v>
      </c>
      <c r="F1181" s="1044">
        <v>123</v>
      </c>
      <c r="G1181" s="2433">
        <v>9.39</v>
      </c>
    </row>
    <row r="1182" spans="2:7">
      <c r="B1182" s="1042">
        <v>458275</v>
      </c>
      <c r="C1182" s="1043" t="s">
        <v>273</v>
      </c>
      <c r="D1182" s="1045" t="s">
        <v>1614</v>
      </c>
      <c r="E1182" s="2023">
        <f t="shared" si="18"/>
        <v>7.6338089061824474E-2</v>
      </c>
      <c r="F1182" s="1044">
        <v>2313</v>
      </c>
      <c r="G1182" s="2433">
        <v>176.57</v>
      </c>
    </row>
    <row r="1183" spans="2:7">
      <c r="B1183" s="1042">
        <v>251848</v>
      </c>
      <c r="C1183" s="1043" t="s">
        <v>273</v>
      </c>
      <c r="D1183" s="1045" t="s">
        <v>1614</v>
      </c>
      <c r="E1183" s="2023">
        <f t="shared" si="18"/>
        <v>7.6359447004608297E-2</v>
      </c>
      <c r="F1183" s="1044">
        <v>217</v>
      </c>
      <c r="G1183" s="2433">
        <v>16.57</v>
      </c>
    </row>
    <row r="1184" spans="2:7">
      <c r="B1184" s="1042">
        <v>21136417</v>
      </c>
      <c r="C1184" s="1043" t="s">
        <v>273</v>
      </c>
      <c r="D1184" s="1045" t="s">
        <v>1614</v>
      </c>
      <c r="E1184" s="2023">
        <f t="shared" si="18"/>
        <v>7.6346153846153855E-2</v>
      </c>
      <c r="F1184" s="1044">
        <v>520</v>
      </c>
      <c r="G1184" s="2433">
        <v>39.700000000000003</v>
      </c>
    </row>
    <row r="1185" spans="2:7">
      <c r="B1185" s="1042">
        <v>771689</v>
      </c>
      <c r="C1185" s="1043" t="s">
        <v>273</v>
      </c>
      <c r="D1185" s="1045" t="s">
        <v>1614</v>
      </c>
      <c r="E1185" s="2023">
        <f t="shared" si="18"/>
        <v>7.6347031963470313E-2</v>
      </c>
      <c r="F1185" s="1044">
        <v>219</v>
      </c>
      <c r="G1185" s="2433">
        <v>16.72</v>
      </c>
    </row>
    <row r="1186" spans="2:7">
      <c r="B1186" s="1042">
        <v>945198</v>
      </c>
      <c r="C1186" s="1043" t="s">
        <v>273</v>
      </c>
      <c r="D1186" s="1045" t="s">
        <v>1614</v>
      </c>
      <c r="E1186" s="2023">
        <f t="shared" si="18"/>
        <v>7.6324324324324316E-2</v>
      </c>
      <c r="F1186" s="1044">
        <v>185</v>
      </c>
      <c r="G1186" s="2433">
        <v>14.12</v>
      </c>
    </row>
    <row r="1187" spans="2:7">
      <c r="B1187" s="1042">
        <v>595323</v>
      </c>
      <c r="C1187" s="1043" t="s">
        <v>273</v>
      </c>
      <c r="D1187" s="1045" t="s">
        <v>1614</v>
      </c>
      <c r="E1187" s="2023">
        <f t="shared" si="18"/>
        <v>7.6340909090909084E-2</v>
      </c>
      <c r="F1187" s="1044">
        <v>1320</v>
      </c>
      <c r="G1187" s="2433">
        <v>100.77</v>
      </c>
    </row>
    <row r="1188" spans="2:7">
      <c r="B1188" s="1042">
        <v>21416780</v>
      </c>
      <c r="C1188" s="1043" t="s">
        <v>274</v>
      </c>
      <c r="D1188" s="1045" t="s">
        <v>1614</v>
      </c>
      <c r="E1188" s="2023">
        <f t="shared" si="18"/>
        <v>7.6339712918660291E-2</v>
      </c>
      <c r="F1188" s="1044">
        <v>16720</v>
      </c>
      <c r="G1188" s="2433">
        <v>1276.4000000000001</v>
      </c>
    </row>
    <row r="1189" spans="2:7">
      <c r="B1189" s="1042">
        <v>509216</v>
      </c>
      <c r="C1189" s="1043" t="s">
        <v>273</v>
      </c>
      <c r="D1189" s="1045" t="s">
        <v>1614</v>
      </c>
      <c r="E1189" s="2023">
        <f t="shared" si="18"/>
        <v>7.6339712918660291E-2</v>
      </c>
      <c r="F1189" s="1044">
        <v>1672</v>
      </c>
      <c r="G1189" s="2433">
        <v>127.64</v>
      </c>
    </row>
    <row r="1190" spans="2:7">
      <c r="B1190" s="1042">
        <v>763501</v>
      </c>
      <c r="C1190" s="1043" t="s">
        <v>273</v>
      </c>
      <c r="D1190" s="1045" t="s">
        <v>1614</v>
      </c>
      <c r="E1190" s="2023">
        <f t="shared" si="18"/>
        <v>7.6338888888888887E-2</v>
      </c>
      <c r="F1190" s="1044">
        <v>1800</v>
      </c>
      <c r="G1190" s="2433">
        <v>137.41</v>
      </c>
    </row>
    <row r="1191" spans="2:7">
      <c r="B1191" s="1042">
        <v>279042</v>
      </c>
      <c r="C1191" s="1043" t="s">
        <v>273</v>
      </c>
      <c r="D1191" s="1045" t="s">
        <v>1614</v>
      </c>
      <c r="E1191" s="2023">
        <f t="shared" si="18"/>
        <v>7.6363636363636356E-2</v>
      </c>
      <c r="F1191" s="1044">
        <v>154</v>
      </c>
      <c r="G1191" s="2433">
        <v>11.76</v>
      </c>
    </row>
    <row r="1192" spans="2:7">
      <c r="B1192" s="1042">
        <v>597754</v>
      </c>
      <c r="C1192" s="1043" t="s">
        <v>273</v>
      </c>
      <c r="D1192" s="1045" t="s">
        <v>1614</v>
      </c>
      <c r="E1192" s="2023">
        <f t="shared" si="18"/>
        <v>7.6342541436464087E-2</v>
      </c>
      <c r="F1192" s="1044">
        <v>905</v>
      </c>
      <c r="G1192" s="2433">
        <v>69.09</v>
      </c>
    </row>
    <row r="1193" spans="2:7">
      <c r="B1193" s="1042">
        <v>891910</v>
      </c>
      <c r="C1193" s="1043" t="s">
        <v>273</v>
      </c>
      <c r="D1193" s="1045" t="s">
        <v>1614</v>
      </c>
      <c r="E1193" s="2023">
        <f t="shared" si="18"/>
        <v>7.6338400528750822E-2</v>
      </c>
      <c r="F1193" s="1044">
        <v>1513</v>
      </c>
      <c r="G1193" s="2433">
        <v>115.5</v>
      </c>
    </row>
    <row r="1194" spans="2:7">
      <c r="B1194" s="1042">
        <v>21382629</v>
      </c>
      <c r="C1194" s="1043" t="s">
        <v>273</v>
      </c>
      <c r="D1194" s="1045" t="s">
        <v>1614</v>
      </c>
      <c r="E1194" s="2023">
        <f t="shared" si="18"/>
        <v>7.6343993085566123E-2</v>
      </c>
      <c r="F1194" s="1044">
        <v>1157</v>
      </c>
      <c r="G1194" s="2433">
        <v>88.33</v>
      </c>
    </row>
    <row r="1195" spans="2:7">
      <c r="B1195" s="1042">
        <v>553781</v>
      </c>
      <c r="C1195" s="1043" t="s">
        <v>273</v>
      </c>
      <c r="D1195" s="1045" t="s">
        <v>1614</v>
      </c>
      <c r="E1195" s="2023">
        <f t="shared" si="18"/>
        <v>7.5243902439024402E-2</v>
      </c>
      <c r="F1195" s="1044">
        <v>246</v>
      </c>
      <c r="G1195" s="2433">
        <v>18.510000000000002</v>
      </c>
    </row>
    <row r="1196" spans="2:7">
      <c r="B1196" s="1042">
        <v>653848</v>
      </c>
      <c r="C1196" s="1043" t="s">
        <v>273</v>
      </c>
      <c r="D1196" s="1045" t="s">
        <v>1614</v>
      </c>
      <c r="E1196" s="2023">
        <f t="shared" si="18"/>
        <v>7.6339285714285721E-2</v>
      </c>
      <c r="F1196" s="1044">
        <v>224</v>
      </c>
      <c r="G1196" s="2433">
        <v>17.100000000000001</v>
      </c>
    </row>
    <row r="1197" spans="2:7">
      <c r="B1197" s="1042">
        <v>620442</v>
      </c>
      <c r="C1197" s="1043" t="s">
        <v>273</v>
      </c>
      <c r="D1197" s="1045" t="s">
        <v>1614</v>
      </c>
      <c r="E1197" s="2023">
        <f t="shared" si="18"/>
        <v>7.6343402225755169E-2</v>
      </c>
      <c r="F1197" s="1044">
        <v>629</v>
      </c>
      <c r="G1197" s="2433">
        <v>48.02</v>
      </c>
    </row>
    <row r="1198" spans="2:7">
      <c r="B1198" s="1042">
        <v>440513</v>
      </c>
      <c r="C1198" s="1043" t="s">
        <v>273</v>
      </c>
      <c r="D1198" s="1045" t="s">
        <v>1614</v>
      </c>
      <c r="E1198" s="2023">
        <f t="shared" si="18"/>
        <v>7.6334991708126035E-2</v>
      </c>
      <c r="F1198" s="1044">
        <v>603</v>
      </c>
      <c r="G1198" s="2433">
        <v>46.03</v>
      </c>
    </row>
    <row r="1199" spans="2:7">
      <c r="B1199" s="1042">
        <v>21039046</v>
      </c>
      <c r="C1199" s="1043" t="s">
        <v>273</v>
      </c>
      <c r="D1199" s="1045" t="s">
        <v>1614</v>
      </c>
      <c r="E1199" s="2023">
        <f t="shared" si="18"/>
        <v>7.6353591160221002E-2</v>
      </c>
      <c r="F1199" s="1044">
        <v>181</v>
      </c>
      <c r="G1199" s="2433">
        <v>13.82</v>
      </c>
    </row>
    <row r="1200" spans="2:7">
      <c r="B1200" s="1042">
        <v>783325</v>
      </c>
      <c r="C1200" s="1043" t="s">
        <v>273</v>
      </c>
      <c r="D1200" s="1045" t="s">
        <v>1614</v>
      </c>
      <c r="E1200" s="2023">
        <f t="shared" si="18"/>
        <v>7.6340819022457068E-2</v>
      </c>
      <c r="F1200" s="1044">
        <v>757</v>
      </c>
      <c r="G1200" s="2433">
        <v>57.79</v>
      </c>
    </row>
    <row r="1201" spans="2:7">
      <c r="B1201" s="1042">
        <v>774107</v>
      </c>
      <c r="C1201" s="1043" t="s">
        <v>273</v>
      </c>
      <c r="D1201" s="1045" t="s">
        <v>1614</v>
      </c>
      <c r="E1201" s="2023">
        <f t="shared" si="18"/>
        <v>7.6339441535776612E-2</v>
      </c>
      <c r="F1201" s="1044">
        <v>2292</v>
      </c>
      <c r="G1201" s="2433">
        <v>174.97</v>
      </c>
    </row>
    <row r="1202" spans="2:7">
      <c r="B1202" s="1042">
        <v>541958</v>
      </c>
      <c r="C1202" s="1043" t="s">
        <v>273</v>
      </c>
      <c r="D1202" s="1045" t="s">
        <v>1614</v>
      </c>
      <c r="E1202" s="2023">
        <f t="shared" si="18"/>
        <v>7.63481228668942E-2</v>
      </c>
      <c r="F1202" s="1044">
        <v>586</v>
      </c>
      <c r="G1202" s="2433">
        <v>44.74</v>
      </c>
    </row>
    <row r="1203" spans="2:7">
      <c r="B1203" s="1042">
        <v>820800</v>
      </c>
      <c r="C1203" s="1043" t="s">
        <v>273</v>
      </c>
      <c r="D1203" s="1045" t="s">
        <v>1614</v>
      </c>
      <c r="E1203" s="2023">
        <f t="shared" si="18"/>
        <v>7.6340262582056895E-2</v>
      </c>
      <c r="F1203" s="1044">
        <v>1828</v>
      </c>
      <c r="G1203" s="2433">
        <v>139.55000000000001</v>
      </c>
    </row>
    <row r="1204" spans="2:7">
      <c r="B1204" s="1042">
        <v>816543</v>
      </c>
      <c r="C1204" s="1043" t="s">
        <v>273</v>
      </c>
      <c r="D1204" s="1045" t="s">
        <v>1614</v>
      </c>
      <c r="E1204" s="2023">
        <f t="shared" si="18"/>
        <v>7.634157509157509E-2</v>
      </c>
      <c r="F1204" s="1044">
        <v>2184</v>
      </c>
      <c r="G1204" s="2433">
        <v>166.73</v>
      </c>
    </row>
    <row r="1205" spans="2:7">
      <c r="B1205" s="1042">
        <v>21404299</v>
      </c>
      <c r="C1205" s="1043" t="s">
        <v>273</v>
      </c>
      <c r="D1205" s="1045" t="s">
        <v>1614</v>
      </c>
      <c r="E1205" s="2023">
        <f t="shared" si="18"/>
        <v>7.6666666666666675E-2</v>
      </c>
      <c r="F1205" s="1044">
        <v>3</v>
      </c>
      <c r="G1205" s="2433">
        <v>0.23</v>
      </c>
    </row>
    <row r="1206" spans="2:7">
      <c r="B1206" s="1042">
        <v>248730</v>
      </c>
      <c r="C1206" s="1043" t="s">
        <v>274</v>
      </c>
      <c r="D1206" s="1045" t="s">
        <v>1481</v>
      </c>
      <c r="E1206" s="2023">
        <f t="shared" si="18"/>
        <v>7.6340043572984753E-2</v>
      </c>
      <c r="F1206" s="1044">
        <v>114750</v>
      </c>
      <c r="G1206" s="2433">
        <v>8760.02</v>
      </c>
    </row>
    <row r="1207" spans="2:7">
      <c r="B1207" s="1042">
        <v>615320</v>
      </c>
      <c r="C1207" s="1043" t="s">
        <v>273</v>
      </c>
      <c r="D1207" s="1045" t="s">
        <v>1614</v>
      </c>
      <c r="E1207" s="2023">
        <f t="shared" si="18"/>
        <v>7.5192307692307697E-2</v>
      </c>
      <c r="F1207" s="1044">
        <v>52</v>
      </c>
      <c r="G1207" s="2433">
        <v>3.91</v>
      </c>
    </row>
    <row r="1208" spans="2:7">
      <c r="B1208" s="1042">
        <v>21001417</v>
      </c>
      <c r="C1208" s="1043" t="s">
        <v>274</v>
      </c>
      <c r="D1208" s="1045" t="s">
        <v>1614</v>
      </c>
      <c r="E1208" s="2023">
        <f t="shared" si="18"/>
        <v>7.6312500000000005E-2</v>
      </c>
      <c r="F1208" s="1044">
        <v>160</v>
      </c>
      <c r="G1208" s="2433">
        <v>12.21</v>
      </c>
    </row>
    <row r="1209" spans="2:7">
      <c r="B1209" s="1042">
        <v>21358341</v>
      </c>
      <c r="C1209" s="1043" t="s">
        <v>273</v>
      </c>
      <c r="D1209" s="1045" t="s">
        <v>1614</v>
      </c>
      <c r="E1209" s="2023">
        <f t="shared" si="18"/>
        <v>7.6330049261083735E-2</v>
      </c>
      <c r="F1209" s="1044">
        <v>406</v>
      </c>
      <c r="G1209" s="2433">
        <v>30.99</v>
      </c>
    </row>
    <row r="1210" spans="2:7">
      <c r="B1210" s="1042">
        <v>177123</v>
      </c>
      <c r="C1210" s="1043" t="s">
        <v>273</v>
      </c>
      <c r="D1210" s="1045" t="s">
        <v>1614</v>
      </c>
      <c r="E1210" s="2023">
        <f t="shared" si="18"/>
        <v>7.6338495575221238E-2</v>
      </c>
      <c r="F1210" s="1044">
        <v>1808</v>
      </c>
      <c r="G1210" s="2433">
        <v>138.02000000000001</v>
      </c>
    </row>
    <row r="1211" spans="2:7">
      <c r="B1211" s="1042">
        <v>255944</v>
      </c>
      <c r="C1211" s="1043" t="s">
        <v>273</v>
      </c>
      <c r="D1211" s="1045" t="s">
        <v>1614</v>
      </c>
      <c r="E1211" s="2023">
        <f t="shared" si="18"/>
        <v>7.5245901639344262E-2</v>
      </c>
      <c r="F1211" s="1044">
        <v>122</v>
      </c>
      <c r="G1211" s="2433">
        <v>9.18</v>
      </c>
    </row>
    <row r="1212" spans="2:7">
      <c r="B1212" s="1042">
        <v>720317</v>
      </c>
      <c r="C1212" s="1043" t="s">
        <v>273</v>
      </c>
      <c r="D1212" s="1045" t="s">
        <v>1614</v>
      </c>
      <c r="E1212" s="2023">
        <f t="shared" si="18"/>
        <v>7.6355555555555552E-2</v>
      </c>
      <c r="F1212" s="1044">
        <v>225</v>
      </c>
      <c r="G1212" s="2433">
        <v>17.18</v>
      </c>
    </row>
    <row r="1213" spans="2:7">
      <c r="B1213" s="1042">
        <v>21482077</v>
      </c>
      <c r="C1213" s="1043" t="s">
        <v>273</v>
      </c>
      <c r="D1213" s="1045" t="s">
        <v>1614</v>
      </c>
      <c r="E1213" s="2023">
        <f t="shared" si="18"/>
        <v>7.5258928571428574E-2</v>
      </c>
      <c r="F1213" s="1044">
        <v>1120</v>
      </c>
      <c r="G1213" s="2433">
        <v>84.29</v>
      </c>
    </row>
    <row r="1214" spans="2:7">
      <c r="B1214" s="1042">
        <v>251476</v>
      </c>
      <c r="C1214" s="1043" t="s">
        <v>273</v>
      </c>
      <c r="D1214" s="1045" t="s">
        <v>1614</v>
      </c>
      <c r="E1214" s="2023">
        <f t="shared" si="18"/>
        <v>7.6395348837209304E-2</v>
      </c>
      <c r="F1214" s="1044">
        <v>86</v>
      </c>
      <c r="G1214" s="2433">
        <v>6.57</v>
      </c>
    </row>
    <row r="1215" spans="2:7">
      <c r="B1215" s="1042">
        <v>253955</v>
      </c>
      <c r="C1215" s="1043" t="s">
        <v>273</v>
      </c>
      <c r="D1215" s="1045" t="s">
        <v>1614</v>
      </c>
      <c r="E1215" s="2023">
        <f t="shared" si="18"/>
        <v>7.5260416666666663E-2</v>
      </c>
      <c r="F1215" s="1044">
        <v>192</v>
      </c>
      <c r="G1215" s="2433">
        <v>14.45</v>
      </c>
    </row>
    <row r="1216" spans="2:7">
      <c r="B1216" s="1042">
        <v>580125</v>
      </c>
      <c r="C1216" s="1043" t="s">
        <v>273</v>
      </c>
      <c r="D1216" s="1045" t="s">
        <v>1614</v>
      </c>
      <c r="E1216" s="2023">
        <f t="shared" si="18"/>
        <v>7.6341772151898732E-2</v>
      </c>
      <c r="F1216" s="1044">
        <v>790</v>
      </c>
      <c r="G1216" s="2433">
        <v>60.31</v>
      </c>
    </row>
    <row r="1217" spans="2:7">
      <c r="B1217" s="1042">
        <v>214177</v>
      </c>
      <c r="C1217" s="1043" t="s">
        <v>273</v>
      </c>
      <c r="D1217" s="1045" t="s">
        <v>1614</v>
      </c>
      <c r="E1217" s="2023">
        <f t="shared" si="18"/>
        <v>7.6393442622950822E-2</v>
      </c>
      <c r="F1217" s="1044">
        <v>61</v>
      </c>
      <c r="G1217" s="2433">
        <v>4.66</v>
      </c>
    </row>
    <row r="1218" spans="2:7">
      <c r="B1218" s="1042">
        <v>21155430</v>
      </c>
      <c r="C1218" s="1043" t="s">
        <v>273</v>
      </c>
      <c r="D1218" s="1045" t="s">
        <v>1614</v>
      </c>
      <c r="E1218" s="2023">
        <f t="shared" si="18"/>
        <v>7.6345514950166116E-2</v>
      </c>
      <c r="F1218" s="1044">
        <v>301</v>
      </c>
      <c r="G1218" s="2433">
        <v>22.98</v>
      </c>
    </row>
    <row r="1219" spans="2:7">
      <c r="B1219" s="1042">
        <v>770123</v>
      </c>
      <c r="C1219" s="1043" t="s">
        <v>273</v>
      </c>
      <c r="D1219" s="1045" t="s">
        <v>1481</v>
      </c>
      <c r="E1219" s="2023">
        <f t="shared" si="18"/>
        <v>7.6340701585776077E-2</v>
      </c>
      <c r="F1219" s="1044">
        <v>4162</v>
      </c>
      <c r="G1219" s="2433">
        <v>317.73</v>
      </c>
    </row>
    <row r="1220" spans="2:7">
      <c r="B1220" s="1042">
        <v>21054942</v>
      </c>
      <c r="C1220" s="1043" t="s">
        <v>273</v>
      </c>
      <c r="D1220" s="1045" t="s">
        <v>1614</v>
      </c>
      <c r="E1220" s="2023">
        <f t="shared" si="18"/>
        <v>7.6338962605548843E-2</v>
      </c>
      <c r="F1220" s="1044">
        <v>1658</v>
      </c>
      <c r="G1220" s="2433">
        <v>126.57</v>
      </c>
    </row>
    <row r="1221" spans="2:7">
      <c r="B1221" s="1042">
        <v>880910</v>
      </c>
      <c r="C1221" s="1043" t="s">
        <v>273</v>
      </c>
      <c r="D1221" s="1045" t="s">
        <v>1614</v>
      </c>
      <c r="E1221" s="2023">
        <f t="shared" ref="E1221:E1227" si="19">G1221/F1221</f>
        <v>7.6415094339622638E-2</v>
      </c>
      <c r="F1221" s="1044">
        <v>53</v>
      </c>
      <c r="G1221" s="2433">
        <v>4.05</v>
      </c>
    </row>
    <row r="1222" spans="2:7">
      <c r="B1222" s="1042">
        <v>823408</v>
      </c>
      <c r="C1222" s="1043" t="s">
        <v>273</v>
      </c>
      <c r="D1222" s="1045" t="s">
        <v>1614</v>
      </c>
      <c r="E1222" s="2023">
        <f t="shared" si="19"/>
        <v>7.5300000000000006E-2</v>
      </c>
      <c r="F1222" s="1044">
        <v>100</v>
      </c>
      <c r="G1222" s="2433">
        <v>7.53</v>
      </c>
    </row>
    <row r="1223" spans="2:7">
      <c r="B1223" s="1042">
        <v>744475</v>
      </c>
      <c r="C1223" s="1043" t="s">
        <v>273</v>
      </c>
      <c r="D1223" s="1045" t="s">
        <v>1481</v>
      </c>
      <c r="E1223" s="2023">
        <f t="shared" si="19"/>
        <v>7.6340493237867943E-2</v>
      </c>
      <c r="F1223" s="1044">
        <v>942.75</v>
      </c>
      <c r="G1223" s="2433">
        <v>71.97</v>
      </c>
    </row>
    <row r="1224" spans="2:7">
      <c r="B1224" s="1042">
        <v>537255</v>
      </c>
      <c r="C1224" s="1043" t="s">
        <v>273</v>
      </c>
      <c r="D1224" s="1045" t="s">
        <v>1614</v>
      </c>
      <c r="E1224" s="2023">
        <f t="shared" si="19"/>
        <v>7.6334231805929922E-2</v>
      </c>
      <c r="F1224" s="1044">
        <v>371</v>
      </c>
      <c r="G1224" s="2433">
        <v>28.32</v>
      </c>
    </row>
    <row r="1225" spans="2:7">
      <c r="B1225" s="1042">
        <v>938443</v>
      </c>
      <c r="C1225" s="1043" t="s">
        <v>273</v>
      </c>
      <c r="D1225" s="1045" t="s">
        <v>1614</v>
      </c>
      <c r="E1225" s="2023">
        <f t="shared" si="19"/>
        <v>7.6343366778149388E-2</v>
      </c>
      <c r="F1225" s="1044">
        <v>897</v>
      </c>
      <c r="G1225" s="2433">
        <v>68.48</v>
      </c>
    </row>
    <row r="1226" spans="2:7">
      <c r="B1226" s="1042">
        <v>437379</v>
      </c>
      <c r="C1226" s="1043" t="s">
        <v>273</v>
      </c>
      <c r="D1226" s="1045" t="s">
        <v>1614</v>
      </c>
      <c r="E1226" s="2023">
        <f t="shared" si="19"/>
        <v>7.6339677891654467E-2</v>
      </c>
      <c r="F1226" s="1044">
        <v>683</v>
      </c>
      <c r="G1226" s="2433">
        <v>52.14</v>
      </c>
    </row>
    <row r="1227" spans="2:7">
      <c r="B1227" s="1042">
        <v>897455</v>
      </c>
      <c r="C1227" s="1043" t="s">
        <v>273</v>
      </c>
      <c r="D1227" s="1045" t="s">
        <v>1614</v>
      </c>
      <c r="E1227" s="2023">
        <f t="shared" si="19"/>
        <v>7.634417808219178E-2</v>
      </c>
      <c r="F1227" s="1044">
        <v>1168</v>
      </c>
      <c r="G1227" s="2433">
        <v>89.17</v>
      </c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Hoja70">
    <tabColor theme="5" tint="0.39997558519241921"/>
    <pageSetUpPr fitToPage="1"/>
  </sheetPr>
  <dimension ref="A1:X109"/>
  <sheetViews>
    <sheetView zoomScale="85" zoomScaleNormal="85" zoomScaleSheetLayoutView="85" workbookViewId="0">
      <pane xSplit="4" ySplit="3" topLeftCell="E4" activePane="bottomRight" state="frozen"/>
      <selection activeCell="N253" sqref="N253"/>
      <selection pane="topRight" activeCell="N253" sqref="N253"/>
      <selection pane="bottomLeft" activeCell="N253" sqref="N253"/>
      <selection pane="bottomRight" activeCell="D4" sqref="D4"/>
    </sheetView>
  </sheetViews>
  <sheetFormatPr baseColWidth="10" defaultColWidth="8" defaultRowHeight="12"/>
  <cols>
    <col min="1" max="1" width="3.25" style="1184" customWidth="1"/>
    <col min="2" max="2" width="32" style="1184" customWidth="1"/>
    <col min="3" max="3" width="16" style="1184" bestFit="1" customWidth="1"/>
    <col min="4" max="4" width="9.625" style="1189" bestFit="1" customWidth="1"/>
    <col min="5" max="5" width="9.375" style="1189" bestFit="1" customWidth="1"/>
    <col min="6" max="6" width="10.125" style="1184" bestFit="1" customWidth="1"/>
    <col min="7" max="7" width="10.25" style="1184" bestFit="1" customWidth="1"/>
    <col min="8" max="8" width="9.875" style="1184" bestFit="1" customWidth="1"/>
    <col min="9" max="9" width="10.125" style="1184" bestFit="1" customWidth="1"/>
    <col min="10" max="10" width="9.75" style="1184" bestFit="1" customWidth="1"/>
    <col min="11" max="11" width="10.125" style="1184" bestFit="1" customWidth="1"/>
    <col min="12" max="12" width="33.75" style="1184" customWidth="1"/>
    <col min="13" max="14" width="8" style="1184"/>
    <col min="15" max="15" width="5.75" style="1568" hidden="1" customWidth="1"/>
    <col min="16" max="16" width="4.75" style="1568" hidden="1" customWidth="1"/>
    <col min="17" max="22" width="6.25" style="1568" hidden="1" customWidth="1"/>
    <col min="23" max="23" width="4.75" style="1568" hidden="1" customWidth="1"/>
    <col min="24" max="24" width="19.75" style="1568" hidden="1" customWidth="1"/>
    <col min="25" max="16384" width="8" style="1184"/>
  </cols>
  <sheetData>
    <row r="1" spans="2:24" s="1176" customFormat="1" ht="22.5" customHeight="1" thickBot="1">
      <c r="B1" s="1175" t="s">
        <v>402</v>
      </c>
      <c r="C1" s="1175"/>
      <c r="D1" s="1175"/>
      <c r="E1" s="1175"/>
      <c r="F1" s="1175"/>
      <c r="G1" s="1175"/>
      <c r="I1" s="446" t="s">
        <v>76</v>
      </c>
      <c r="K1" s="1177" t="s">
        <v>114</v>
      </c>
      <c r="O1" s="1567"/>
      <c r="P1" s="1567"/>
      <c r="Q1" s="1567"/>
      <c r="R1" s="1567"/>
      <c r="S1" s="1567"/>
      <c r="T1" s="1567"/>
      <c r="U1" s="1567"/>
      <c r="V1" s="1567"/>
      <c r="W1" s="1567"/>
      <c r="X1" s="1567"/>
    </row>
    <row r="2" spans="2:24" s="1176" customFormat="1">
      <c r="O2" s="1567"/>
      <c r="P2" s="1567"/>
      <c r="Q2" s="1567"/>
      <c r="R2" s="1567"/>
      <c r="S2" s="1567"/>
      <c r="T2" s="1567"/>
      <c r="U2" s="1567"/>
      <c r="V2" s="1567"/>
      <c r="W2" s="1567"/>
      <c r="X2" s="1567"/>
    </row>
    <row r="3" spans="2:24" s="1176" customFormat="1">
      <c r="B3" s="1178" t="s">
        <v>153</v>
      </c>
      <c r="C3" s="1178" t="s">
        <v>477</v>
      </c>
      <c r="D3" s="1179" t="s">
        <v>680</v>
      </c>
      <c r="E3" s="1179">
        <f>F821C!D4</f>
        <v>45839</v>
      </c>
      <c r="F3" s="1179">
        <f>F821C!E4</f>
        <v>45870</v>
      </c>
      <c r="G3" s="1179">
        <f>F821C!F4</f>
        <v>45901</v>
      </c>
      <c r="H3" s="1179">
        <f>F821C!G4</f>
        <v>45931</v>
      </c>
      <c r="I3" s="1179">
        <f>F821C!H4</f>
        <v>45962</v>
      </c>
      <c r="J3" s="1179">
        <f>F821C!I4</f>
        <v>45992</v>
      </c>
      <c r="K3" s="1179" t="s">
        <v>111</v>
      </c>
      <c r="L3" s="1179" t="s">
        <v>1770</v>
      </c>
      <c r="O3" s="1567" t="s">
        <v>477</v>
      </c>
      <c r="P3" s="1567" t="s">
        <v>680</v>
      </c>
      <c r="Q3" s="1567">
        <v>45682</v>
      </c>
      <c r="R3" s="1567">
        <v>45713</v>
      </c>
      <c r="S3" s="1567">
        <v>45741</v>
      </c>
      <c r="T3" s="1567">
        <v>45772</v>
      </c>
      <c r="U3" s="1567">
        <v>45802</v>
      </c>
      <c r="V3" s="1567">
        <v>45833</v>
      </c>
      <c r="W3" s="1567" t="s">
        <v>111</v>
      </c>
      <c r="X3" s="1567" t="s">
        <v>1770</v>
      </c>
    </row>
    <row r="4" spans="2:24">
      <c r="B4" s="1180"/>
      <c r="C4" s="1180"/>
      <c r="D4" s="1181"/>
      <c r="E4" s="1182"/>
      <c r="F4" s="1182"/>
      <c r="G4" s="1182"/>
      <c r="H4" s="1182"/>
      <c r="I4" s="1182"/>
      <c r="J4" s="1182"/>
      <c r="K4" s="1183"/>
      <c r="L4" s="1185"/>
      <c r="O4" s="1568" t="s">
        <v>690</v>
      </c>
      <c r="P4" s="1568">
        <v>219.12</v>
      </c>
      <c r="Q4" s="1568">
        <v>18.260000000000002</v>
      </c>
      <c r="R4" s="1568">
        <v>18.260000000000002</v>
      </c>
      <c r="S4" s="1568">
        <v>18.260000000000002</v>
      </c>
      <c r="T4" s="1568">
        <v>18.260000000000002</v>
      </c>
      <c r="U4" s="1568">
        <v>18.260000000000002</v>
      </c>
      <c r="V4" s="1568">
        <v>18.260000000000002</v>
      </c>
      <c r="W4" s="1568">
        <v>109.56000000000002</v>
      </c>
      <c r="X4" s="1568" t="s">
        <v>1774</v>
      </c>
    </row>
    <row r="5" spans="2:24">
      <c r="B5" s="1186" t="s">
        <v>1339</v>
      </c>
      <c r="C5" s="1186" t="s">
        <v>690</v>
      </c>
      <c r="D5" s="1182">
        <v>219.17</v>
      </c>
      <c r="E5" s="1182">
        <f>D5/12</f>
        <v>18.264166666666664</v>
      </c>
      <c r="F5" s="1182">
        <f>E5</f>
        <v>18.264166666666664</v>
      </c>
      <c r="G5" s="1182">
        <f t="shared" ref="G5:J5" si="0">F5</f>
        <v>18.264166666666664</v>
      </c>
      <c r="H5" s="1182">
        <f t="shared" si="0"/>
        <v>18.264166666666664</v>
      </c>
      <c r="I5" s="1182">
        <f t="shared" si="0"/>
        <v>18.264166666666664</v>
      </c>
      <c r="J5" s="1182">
        <f t="shared" si="0"/>
        <v>18.264166666666664</v>
      </c>
      <c r="K5" s="1183">
        <f t="shared" ref="K5:K69" si="1">SUM(E5:J5)</f>
        <v>109.58499999999999</v>
      </c>
      <c r="L5" s="2050" t="s">
        <v>1774</v>
      </c>
      <c r="O5" s="1568" t="s">
        <v>945</v>
      </c>
      <c r="P5" s="1568">
        <v>4371.72</v>
      </c>
      <c r="Q5" s="1568">
        <v>364.31</v>
      </c>
      <c r="R5" s="1568">
        <v>364.31</v>
      </c>
      <c r="S5" s="1568">
        <v>364.31</v>
      </c>
      <c r="T5" s="1568">
        <v>364.31</v>
      </c>
      <c r="U5" s="1568">
        <v>364.31</v>
      </c>
      <c r="V5" s="1568">
        <v>364.31</v>
      </c>
      <c r="W5" s="1568">
        <v>2185.86</v>
      </c>
      <c r="X5" s="1568" t="s">
        <v>1775</v>
      </c>
    </row>
    <row r="6" spans="2:24">
      <c r="B6" s="1186" t="s">
        <v>1040</v>
      </c>
      <c r="C6" s="1186" t="s">
        <v>897</v>
      </c>
      <c r="D6" s="1182">
        <v>5294.75</v>
      </c>
      <c r="E6" s="1182">
        <f t="shared" ref="E6:E13" si="2">D6/12</f>
        <v>441.22916666666669</v>
      </c>
      <c r="F6" s="1182">
        <f t="shared" ref="F6:J11" si="3">E6</f>
        <v>441.22916666666669</v>
      </c>
      <c r="G6" s="1182">
        <f t="shared" si="3"/>
        <v>441.22916666666669</v>
      </c>
      <c r="H6" s="1182">
        <f t="shared" si="3"/>
        <v>441.22916666666669</v>
      </c>
      <c r="I6" s="1182">
        <f t="shared" si="3"/>
        <v>441.22916666666669</v>
      </c>
      <c r="J6" s="1182">
        <f t="shared" si="3"/>
        <v>441.22916666666669</v>
      </c>
      <c r="K6" s="1183">
        <f t="shared" si="1"/>
        <v>2647.375</v>
      </c>
      <c r="L6" s="2050"/>
      <c r="O6" s="1568" t="s">
        <v>759</v>
      </c>
      <c r="P6" s="1568">
        <v>391.79999999999995</v>
      </c>
      <c r="Q6" s="1568">
        <v>32.65</v>
      </c>
      <c r="R6" s="1568">
        <v>32.65</v>
      </c>
      <c r="S6" s="1568">
        <v>32.65</v>
      </c>
      <c r="T6" s="1568">
        <v>32.65</v>
      </c>
      <c r="U6" s="1568">
        <v>32.65</v>
      </c>
      <c r="V6" s="1568">
        <v>32.65</v>
      </c>
      <c r="W6" s="1568">
        <v>195.9</v>
      </c>
      <c r="X6" s="1568" t="s">
        <v>1776</v>
      </c>
    </row>
    <row r="7" spans="2:24">
      <c r="B7" s="1186" t="s">
        <v>1744</v>
      </c>
      <c r="C7" s="1186" t="s">
        <v>1743</v>
      </c>
      <c r="D7" s="1182">
        <v>1448.59</v>
      </c>
      <c r="E7" s="1182">
        <f t="shared" si="2"/>
        <v>120.71583333333332</v>
      </c>
      <c r="F7" s="1182">
        <f t="shared" si="3"/>
        <v>120.71583333333332</v>
      </c>
      <c r="G7" s="1182">
        <f t="shared" si="3"/>
        <v>120.71583333333332</v>
      </c>
      <c r="H7" s="1182">
        <f t="shared" si="3"/>
        <v>120.71583333333332</v>
      </c>
      <c r="I7" s="1182">
        <f t="shared" si="3"/>
        <v>120.71583333333332</v>
      </c>
      <c r="J7" s="1182">
        <f t="shared" si="3"/>
        <v>120.71583333333332</v>
      </c>
      <c r="K7" s="1183">
        <f t="shared" si="1"/>
        <v>724.29499999999996</v>
      </c>
      <c r="L7" s="2050" t="s">
        <v>1925</v>
      </c>
      <c r="O7" s="1568" t="s">
        <v>1145</v>
      </c>
      <c r="P7" s="1568">
        <v>1160.6399999999999</v>
      </c>
      <c r="Q7" s="1568">
        <v>96.72</v>
      </c>
      <c r="R7" s="1568">
        <v>96.72</v>
      </c>
      <c r="S7" s="1568">
        <v>96.72</v>
      </c>
      <c r="T7" s="1568">
        <v>96.72</v>
      </c>
      <c r="U7" s="1568">
        <v>96.72</v>
      </c>
      <c r="V7" s="1568">
        <v>96.72</v>
      </c>
      <c r="W7" s="1568">
        <v>580.32000000000005</v>
      </c>
      <c r="X7" s="1568" t="s">
        <v>1777</v>
      </c>
    </row>
    <row r="8" spans="2:24">
      <c r="B8" s="1186" t="s">
        <v>1587</v>
      </c>
      <c r="C8" s="1186" t="s">
        <v>579</v>
      </c>
      <c r="D8" s="1182">
        <v>695.53</v>
      </c>
      <c r="E8" s="1182">
        <f t="shared" si="2"/>
        <v>57.960833333333333</v>
      </c>
      <c r="F8" s="1182">
        <f t="shared" si="3"/>
        <v>57.960833333333333</v>
      </c>
      <c r="G8" s="1182">
        <f t="shared" si="3"/>
        <v>57.960833333333333</v>
      </c>
      <c r="H8" s="1182">
        <f t="shared" si="3"/>
        <v>57.960833333333333</v>
      </c>
      <c r="I8" s="1182">
        <f t="shared" si="3"/>
        <v>57.960833333333333</v>
      </c>
      <c r="J8" s="1182">
        <f t="shared" si="3"/>
        <v>57.960833333333333</v>
      </c>
      <c r="K8" s="1183">
        <f t="shared" si="1"/>
        <v>347.76499999999999</v>
      </c>
      <c r="L8" s="2050"/>
      <c r="O8" s="1568" t="s">
        <v>1588</v>
      </c>
      <c r="P8" s="1568">
        <v>346.44</v>
      </c>
      <c r="V8" s="1568">
        <v>28.87</v>
      </c>
      <c r="W8" s="1568">
        <v>28.87</v>
      </c>
      <c r="X8" s="1568" t="s">
        <v>1778</v>
      </c>
    </row>
    <row r="9" spans="2:24">
      <c r="B9" s="1186" t="s">
        <v>1317</v>
      </c>
      <c r="C9" s="1186" t="s">
        <v>945</v>
      </c>
      <c r="D9" s="1182">
        <v>4371.6899999999996</v>
      </c>
      <c r="E9" s="1182">
        <f t="shared" si="2"/>
        <v>364.30749999999995</v>
      </c>
      <c r="F9" s="1182">
        <f t="shared" si="3"/>
        <v>364.30749999999995</v>
      </c>
      <c r="G9" s="1182">
        <f t="shared" si="3"/>
        <v>364.30749999999995</v>
      </c>
      <c r="H9" s="1182">
        <f t="shared" si="3"/>
        <v>364.30749999999995</v>
      </c>
      <c r="I9" s="1182">
        <f t="shared" si="3"/>
        <v>364.30749999999995</v>
      </c>
      <c r="J9" s="1182">
        <f t="shared" si="3"/>
        <v>364.30749999999995</v>
      </c>
      <c r="K9" s="1183">
        <f t="shared" si="1"/>
        <v>2185.8449999999998</v>
      </c>
      <c r="L9" s="2050" t="s">
        <v>1775</v>
      </c>
      <c r="O9" s="1568" t="s">
        <v>1146</v>
      </c>
      <c r="P9" s="1568">
        <v>4527.4800000000005</v>
      </c>
      <c r="Q9" s="1568">
        <v>377.29</v>
      </c>
      <c r="R9" s="1568">
        <v>377.29</v>
      </c>
      <c r="S9" s="1568">
        <v>377.29</v>
      </c>
      <c r="T9" s="1568">
        <v>377.29</v>
      </c>
      <c r="U9" s="1568">
        <v>377.29</v>
      </c>
      <c r="V9" s="1568">
        <v>377.29</v>
      </c>
      <c r="W9" s="1568">
        <v>2263.7400000000002</v>
      </c>
      <c r="X9" s="1568" t="s">
        <v>1779</v>
      </c>
    </row>
    <row r="10" spans="2:24">
      <c r="B10" s="1186" t="s">
        <v>1039</v>
      </c>
      <c r="C10" s="1186" t="s">
        <v>759</v>
      </c>
      <c r="D10" s="1182">
        <v>391.84</v>
      </c>
      <c r="E10" s="1182">
        <f t="shared" si="2"/>
        <v>32.653333333333329</v>
      </c>
      <c r="F10" s="1182">
        <f t="shared" si="3"/>
        <v>32.653333333333329</v>
      </c>
      <c r="G10" s="1182">
        <f t="shared" si="3"/>
        <v>32.653333333333329</v>
      </c>
      <c r="H10" s="1182">
        <f t="shared" si="3"/>
        <v>32.653333333333329</v>
      </c>
      <c r="I10" s="1182">
        <f t="shared" si="3"/>
        <v>32.653333333333329</v>
      </c>
      <c r="J10" s="1182">
        <f t="shared" si="3"/>
        <v>32.653333333333329</v>
      </c>
      <c r="K10" s="1183">
        <f t="shared" si="1"/>
        <v>195.92</v>
      </c>
      <c r="L10" s="2050" t="s">
        <v>1776</v>
      </c>
      <c r="O10" s="1568" t="s">
        <v>1589</v>
      </c>
      <c r="P10" s="1568">
        <v>348.84000000000003</v>
      </c>
      <c r="V10" s="1568">
        <v>29.07</v>
      </c>
      <c r="W10" s="1568">
        <v>29.07</v>
      </c>
      <c r="X10" s="1568" t="s">
        <v>1780</v>
      </c>
    </row>
    <row r="11" spans="2:24">
      <c r="B11" s="1186" t="s">
        <v>815</v>
      </c>
      <c r="C11" s="1186" t="s">
        <v>1145</v>
      </c>
      <c r="D11" s="1182">
        <v>1160.6300000000001</v>
      </c>
      <c r="E11" s="1182">
        <f t="shared" si="2"/>
        <v>96.71916666666668</v>
      </c>
      <c r="F11" s="1182">
        <f t="shared" si="3"/>
        <v>96.71916666666668</v>
      </c>
      <c r="G11" s="1182">
        <f t="shared" si="3"/>
        <v>96.71916666666668</v>
      </c>
      <c r="H11" s="1182">
        <f t="shared" si="3"/>
        <v>96.71916666666668</v>
      </c>
      <c r="I11" s="1182"/>
      <c r="J11" s="1182"/>
      <c r="K11" s="1183">
        <f t="shared" si="1"/>
        <v>386.87666666666672</v>
      </c>
      <c r="L11" s="2050" t="s">
        <v>1777</v>
      </c>
      <c r="O11" s="1568" t="s">
        <v>1590</v>
      </c>
      <c r="P11" s="1568">
        <v>322.92</v>
      </c>
      <c r="V11" s="1568">
        <v>26.91</v>
      </c>
      <c r="W11" s="1568">
        <v>26.91</v>
      </c>
      <c r="X11" s="1568" t="s">
        <v>1778</v>
      </c>
    </row>
    <row r="12" spans="2:24">
      <c r="B12" s="1186" t="s">
        <v>815</v>
      </c>
      <c r="C12" s="1186" t="s">
        <v>1588</v>
      </c>
      <c r="D12" s="1182">
        <v>346.48</v>
      </c>
      <c r="E12" s="1182">
        <v>0</v>
      </c>
      <c r="F12" s="1182">
        <v>0</v>
      </c>
      <c r="G12" s="1182">
        <v>0</v>
      </c>
      <c r="H12" s="1182">
        <v>0</v>
      </c>
      <c r="I12" s="1182">
        <v>0</v>
      </c>
      <c r="J12" s="1182">
        <f>D12/12</f>
        <v>28.873333333333335</v>
      </c>
      <c r="K12" s="1183">
        <f t="shared" si="1"/>
        <v>28.873333333333335</v>
      </c>
      <c r="L12" s="2050" t="s">
        <v>1778</v>
      </c>
      <c r="O12" s="1568" t="s">
        <v>482</v>
      </c>
      <c r="P12" s="1568">
        <v>66.960000000000008</v>
      </c>
      <c r="Q12" s="1568">
        <v>5.58</v>
      </c>
      <c r="R12" s="1568">
        <v>5.58</v>
      </c>
      <c r="S12" s="1568">
        <v>5.58</v>
      </c>
      <c r="T12" s="1568">
        <v>5.58</v>
      </c>
      <c r="U12" s="1568">
        <v>5.58</v>
      </c>
      <c r="V12" s="1568">
        <v>5.58</v>
      </c>
      <c r="W12" s="1568">
        <v>33.479999999999997</v>
      </c>
      <c r="X12" s="1568" t="s">
        <v>1781</v>
      </c>
    </row>
    <row r="13" spans="2:24">
      <c r="B13" s="1186" t="s">
        <v>842</v>
      </c>
      <c r="C13" s="1186" t="s">
        <v>581</v>
      </c>
      <c r="D13" s="1182">
        <v>245.67</v>
      </c>
      <c r="E13" s="1182">
        <f t="shared" si="2"/>
        <v>20.4725</v>
      </c>
      <c r="F13" s="1182">
        <f>E13</f>
        <v>20.4725</v>
      </c>
      <c r="G13" s="1182">
        <f t="shared" ref="G13:J14" si="4">F13</f>
        <v>20.4725</v>
      </c>
      <c r="H13" s="1182">
        <f t="shared" si="4"/>
        <v>20.4725</v>
      </c>
      <c r="I13" s="1182">
        <f t="shared" si="4"/>
        <v>20.4725</v>
      </c>
      <c r="J13" s="1182">
        <f t="shared" si="4"/>
        <v>20.4725</v>
      </c>
      <c r="K13" s="1183">
        <f t="shared" si="1"/>
        <v>122.83499999999999</v>
      </c>
      <c r="L13" s="2050"/>
      <c r="O13" s="1568" t="s">
        <v>1343</v>
      </c>
      <c r="P13" s="1568">
        <v>15091.32</v>
      </c>
      <c r="Q13" s="1568">
        <v>1257.6099999999999</v>
      </c>
      <c r="R13" s="1568">
        <v>1257.6099999999999</v>
      </c>
      <c r="S13" s="1568">
        <v>1257.6099999999999</v>
      </c>
      <c r="T13" s="1568">
        <v>1257.6099999999999</v>
      </c>
      <c r="U13" s="1568">
        <v>1257.6099999999999</v>
      </c>
      <c r="V13" s="1568">
        <v>1257.6099999999999</v>
      </c>
      <c r="W13" s="1568">
        <v>7545.6599999999989</v>
      </c>
      <c r="X13" s="1568" t="s">
        <v>1781</v>
      </c>
    </row>
    <row r="14" spans="2:24">
      <c r="B14" s="1186" t="s">
        <v>1067</v>
      </c>
      <c r="C14" s="1186" t="s">
        <v>760</v>
      </c>
      <c r="D14" s="1182">
        <v>78.75</v>
      </c>
      <c r="E14" s="1182">
        <f>D14/12</f>
        <v>6.5625</v>
      </c>
      <c r="F14" s="1182">
        <f>E14</f>
        <v>6.5625</v>
      </c>
      <c r="G14" s="1182">
        <f t="shared" si="4"/>
        <v>6.5625</v>
      </c>
      <c r="H14" s="1182">
        <f t="shared" si="4"/>
        <v>6.5625</v>
      </c>
      <c r="I14" s="1182">
        <f t="shared" si="4"/>
        <v>6.5625</v>
      </c>
      <c r="J14" s="1182">
        <f t="shared" si="4"/>
        <v>6.5625</v>
      </c>
      <c r="K14" s="1183">
        <f t="shared" si="1"/>
        <v>39.375</v>
      </c>
      <c r="L14" s="2050"/>
      <c r="O14" s="1568" t="s">
        <v>1149</v>
      </c>
      <c r="P14" s="1568">
        <v>385.56000000000006</v>
      </c>
      <c r="V14" s="1568">
        <v>32.130000000000003</v>
      </c>
      <c r="W14" s="1568">
        <v>32.130000000000003</v>
      </c>
      <c r="X14" s="1568" t="s">
        <v>1782</v>
      </c>
    </row>
    <row r="15" spans="2:24">
      <c r="B15" s="1186" t="s">
        <v>815</v>
      </c>
      <c r="C15" s="1186" t="s">
        <v>1589</v>
      </c>
      <c r="D15" s="1182">
        <v>348.79</v>
      </c>
      <c r="E15" s="1182">
        <v>0</v>
      </c>
      <c r="F15" s="1182">
        <v>0</v>
      </c>
      <c r="G15" s="1182">
        <v>0</v>
      </c>
      <c r="H15" s="1182">
        <v>0</v>
      </c>
      <c r="I15" s="1182">
        <v>0</v>
      </c>
      <c r="J15" s="1182">
        <v>29.07</v>
      </c>
      <c r="K15" s="1183">
        <f t="shared" si="1"/>
        <v>29.07</v>
      </c>
      <c r="L15" s="2050" t="s">
        <v>1780</v>
      </c>
      <c r="O15" s="1568" t="s">
        <v>1592</v>
      </c>
      <c r="P15" s="1568">
        <v>322.92</v>
      </c>
      <c r="V15" s="1568">
        <v>26.91</v>
      </c>
      <c r="W15" s="1568">
        <v>26.91</v>
      </c>
      <c r="X15" s="1568" t="s">
        <v>1778</v>
      </c>
    </row>
    <row r="16" spans="2:24">
      <c r="B16" s="1186" t="s">
        <v>948</v>
      </c>
      <c r="C16" s="1186" t="s">
        <v>582</v>
      </c>
      <c r="D16" s="1182">
        <v>3771.87</v>
      </c>
      <c r="E16" s="1182">
        <f>D16/12</f>
        <v>314.32249999999999</v>
      </c>
      <c r="F16" s="1182">
        <f>E16</f>
        <v>314.32249999999999</v>
      </c>
      <c r="G16" s="1182">
        <f t="shared" ref="G16:J17" si="5">F16</f>
        <v>314.32249999999999</v>
      </c>
      <c r="H16" s="1182">
        <f t="shared" si="5"/>
        <v>314.32249999999999</v>
      </c>
      <c r="I16" s="1182">
        <f t="shared" si="5"/>
        <v>314.32249999999999</v>
      </c>
      <c r="J16" s="1182">
        <f t="shared" si="5"/>
        <v>314.32249999999999</v>
      </c>
      <c r="K16" s="1183">
        <f t="shared" si="1"/>
        <v>1885.9349999999999</v>
      </c>
      <c r="L16" s="2050"/>
      <c r="O16" s="1568" t="s">
        <v>1151</v>
      </c>
      <c r="P16" s="1568">
        <v>1895.19</v>
      </c>
      <c r="Q16" s="1568">
        <v>157.9325</v>
      </c>
      <c r="R16" s="1568">
        <v>157.9325</v>
      </c>
      <c r="S16" s="1568">
        <v>157.9325</v>
      </c>
      <c r="T16" s="1568">
        <v>157.9325</v>
      </c>
      <c r="U16" s="1568">
        <v>157.9325</v>
      </c>
      <c r="V16" s="1568">
        <v>157.9325</v>
      </c>
      <c r="W16" s="1568">
        <v>947.59500000000003</v>
      </c>
      <c r="X16" s="1568" t="s">
        <v>1783</v>
      </c>
    </row>
    <row r="17" spans="2:24">
      <c r="B17" s="1186" t="s">
        <v>1037</v>
      </c>
      <c r="C17" s="1186" t="s">
        <v>792</v>
      </c>
      <c r="D17" s="1182">
        <v>25711.41</v>
      </c>
      <c r="E17" s="1182">
        <f>D17/12</f>
        <v>2142.6174999999998</v>
      </c>
      <c r="F17" s="1182">
        <f>E17</f>
        <v>2142.6174999999998</v>
      </c>
      <c r="G17" s="1182">
        <f t="shared" si="5"/>
        <v>2142.6174999999998</v>
      </c>
      <c r="H17" s="1182">
        <f t="shared" si="5"/>
        <v>2142.6174999999998</v>
      </c>
      <c r="I17" s="1182">
        <f t="shared" si="5"/>
        <v>2142.6174999999998</v>
      </c>
      <c r="J17" s="1182">
        <f t="shared" si="5"/>
        <v>2142.6174999999998</v>
      </c>
      <c r="K17" s="1183">
        <f t="shared" si="1"/>
        <v>12855.705</v>
      </c>
      <c r="L17" s="2050"/>
      <c r="O17" s="1568" t="s">
        <v>1593</v>
      </c>
      <c r="P17" s="1568">
        <v>1302.5999999999999</v>
      </c>
      <c r="U17" s="1568">
        <v>108.55</v>
      </c>
      <c r="V17" s="1568">
        <v>108.55</v>
      </c>
      <c r="W17" s="1568">
        <v>217.1</v>
      </c>
      <c r="X17" s="1568" t="s">
        <v>1784</v>
      </c>
    </row>
    <row r="18" spans="2:24">
      <c r="B18" s="1186" t="s">
        <v>1591</v>
      </c>
      <c r="C18" s="1186" t="s">
        <v>1590</v>
      </c>
      <c r="D18" s="1182">
        <v>322.95</v>
      </c>
      <c r="E18" s="1182">
        <v>0</v>
      </c>
      <c r="F18" s="1182">
        <v>0</v>
      </c>
      <c r="G18" s="1182">
        <v>0</v>
      </c>
      <c r="H18" s="1182">
        <v>0</v>
      </c>
      <c r="I18" s="1182">
        <v>0</v>
      </c>
      <c r="J18" s="1182">
        <v>26.91</v>
      </c>
      <c r="K18" s="1183">
        <f t="shared" si="1"/>
        <v>26.91</v>
      </c>
      <c r="L18" s="2050" t="s">
        <v>1778</v>
      </c>
      <c r="O18" s="1568" t="s">
        <v>584</v>
      </c>
      <c r="P18" s="1568">
        <v>594</v>
      </c>
      <c r="Q18" s="1568">
        <v>49.5</v>
      </c>
      <c r="R18" s="1568">
        <v>49.5</v>
      </c>
      <c r="S18" s="1568">
        <v>49.5</v>
      </c>
      <c r="T18" s="1568">
        <v>49.5</v>
      </c>
      <c r="U18" s="1568">
        <v>49.5</v>
      </c>
      <c r="V18" s="1568">
        <v>49.5</v>
      </c>
      <c r="W18" s="1568">
        <v>297</v>
      </c>
      <c r="X18" s="1568" t="s">
        <v>1785</v>
      </c>
    </row>
    <row r="19" spans="2:24">
      <c r="B19" s="1186" t="s">
        <v>843</v>
      </c>
      <c r="C19" s="1186" t="s">
        <v>482</v>
      </c>
      <c r="D19" s="1182">
        <v>66.900000000000006</v>
      </c>
      <c r="E19" s="1182">
        <f>D19/12</f>
        <v>5.5750000000000002</v>
      </c>
      <c r="F19" s="1182">
        <f>E19</f>
        <v>5.5750000000000002</v>
      </c>
      <c r="G19" s="1182">
        <f t="shared" ref="G19:J20" si="6">F19</f>
        <v>5.5750000000000002</v>
      </c>
      <c r="H19" s="1182">
        <f t="shared" si="6"/>
        <v>5.5750000000000002</v>
      </c>
      <c r="I19" s="1182">
        <f t="shared" si="6"/>
        <v>5.5750000000000002</v>
      </c>
      <c r="J19" s="1182">
        <f t="shared" si="6"/>
        <v>5.5750000000000002</v>
      </c>
      <c r="K19" s="1183">
        <f t="shared" si="1"/>
        <v>33.450000000000003</v>
      </c>
      <c r="L19" s="2050" t="s">
        <v>1781</v>
      </c>
      <c r="O19" s="1568" t="s">
        <v>1152</v>
      </c>
      <c r="P19" s="1568">
        <v>398.64</v>
      </c>
      <c r="Q19" s="1568">
        <v>33.22</v>
      </c>
      <c r="R19" s="1568">
        <v>33.22</v>
      </c>
      <c r="S19" s="1568">
        <v>33.22</v>
      </c>
      <c r="T19" s="1568">
        <v>33.22</v>
      </c>
      <c r="U19" s="1568">
        <v>33.22</v>
      </c>
      <c r="V19" s="1568">
        <v>33.22</v>
      </c>
      <c r="W19" s="1568">
        <v>199.32</v>
      </c>
      <c r="X19" s="1568" t="s">
        <v>1786</v>
      </c>
    </row>
    <row r="20" spans="2:24">
      <c r="B20" s="1186" t="s">
        <v>1342</v>
      </c>
      <c r="C20" s="1186" t="s">
        <v>1343</v>
      </c>
      <c r="D20" s="1182">
        <v>15091.28</v>
      </c>
      <c r="E20" s="1182">
        <f>D20/12</f>
        <v>1257.6066666666668</v>
      </c>
      <c r="F20" s="1182">
        <f>E20</f>
        <v>1257.6066666666668</v>
      </c>
      <c r="G20" s="1182">
        <f t="shared" si="6"/>
        <v>1257.6066666666668</v>
      </c>
      <c r="H20" s="1182">
        <f t="shared" si="6"/>
        <v>1257.6066666666668</v>
      </c>
      <c r="I20" s="1182">
        <f t="shared" si="6"/>
        <v>1257.6066666666668</v>
      </c>
      <c r="J20" s="1182">
        <f t="shared" si="6"/>
        <v>1257.6066666666668</v>
      </c>
      <c r="K20" s="1183">
        <f t="shared" si="1"/>
        <v>7545.64</v>
      </c>
      <c r="L20" s="2050" t="s">
        <v>1781</v>
      </c>
      <c r="O20" s="1568" t="s">
        <v>1594</v>
      </c>
      <c r="P20" s="1568">
        <v>1213.68</v>
      </c>
      <c r="S20" s="1568">
        <v>101.14</v>
      </c>
      <c r="T20" s="1568">
        <v>101.14</v>
      </c>
      <c r="U20" s="1568">
        <v>101.14</v>
      </c>
      <c r="V20" s="1568">
        <v>101.14</v>
      </c>
      <c r="W20" s="1568">
        <v>404.56</v>
      </c>
      <c r="X20" s="1568" t="s">
        <v>1787</v>
      </c>
    </row>
    <row r="21" spans="2:24">
      <c r="B21" s="1186" t="s">
        <v>1591</v>
      </c>
      <c r="C21" s="1186" t="s">
        <v>1592</v>
      </c>
      <c r="D21" s="1182">
        <v>322.95</v>
      </c>
      <c r="E21" s="1182">
        <v>0</v>
      </c>
      <c r="F21" s="1182">
        <v>0</v>
      </c>
      <c r="G21" s="1182">
        <v>0</v>
      </c>
      <c r="H21" s="1182">
        <v>0</v>
      </c>
      <c r="I21" s="1182">
        <v>0</v>
      </c>
      <c r="J21" s="1182">
        <v>26.91</v>
      </c>
      <c r="K21" s="1183">
        <f t="shared" si="1"/>
        <v>26.91</v>
      </c>
      <c r="L21" s="2050" t="s">
        <v>1778</v>
      </c>
      <c r="O21" s="1568" t="s">
        <v>1596</v>
      </c>
      <c r="P21" s="1568">
        <v>1014.1200000000001</v>
      </c>
      <c r="S21" s="1568">
        <v>84.51</v>
      </c>
      <c r="T21" s="1568">
        <v>84.51</v>
      </c>
      <c r="U21" s="1568">
        <v>84.51</v>
      </c>
      <c r="V21" s="1568">
        <v>84.51</v>
      </c>
      <c r="W21" s="1568">
        <v>338.04</v>
      </c>
      <c r="X21" s="1568" t="s">
        <v>1788</v>
      </c>
    </row>
    <row r="22" spans="2:24">
      <c r="B22" s="1186" t="s">
        <v>1603</v>
      </c>
      <c r="C22" s="1186" t="s">
        <v>1151</v>
      </c>
      <c r="D22" s="1182">
        <v>1261.72</v>
      </c>
      <c r="E22" s="1182">
        <f>D22/12</f>
        <v>105.14333333333333</v>
      </c>
      <c r="F22" s="1182">
        <v>105.14333333333333</v>
      </c>
      <c r="G22" s="1182">
        <v>105.14333333333333</v>
      </c>
      <c r="H22" s="1182">
        <v>105.14333333333333</v>
      </c>
      <c r="I22" s="1182">
        <v>105.14333333333333</v>
      </c>
      <c r="J22" s="1182">
        <v>105.14333333333333</v>
      </c>
      <c r="K22" s="1183">
        <f t="shared" si="1"/>
        <v>630.86</v>
      </c>
      <c r="L22" s="2050" t="s">
        <v>1783</v>
      </c>
      <c r="O22" s="1568" t="s">
        <v>1154</v>
      </c>
      <c r="P22" s="1568">
        <v>3573.42</v>
      </c>
      <c r="Q22" s="1568">
        <v>297.78500000000003</v>
      </c>
      <c r="R22" s="1568">
        <v>297.78500000000003</v>
      </c>
      <c r="S22" s="1568">
        <v>297.78500000000003</v>
      </c>
      <c r="T22" s="1568">
        <v>297.78500000000003</v>
      </c>
      <c r="U22" s="1568">
        <v>297.78500000000003</v>
      </c>
      <c r="V22" s="1568">
        <v>297.78500000000003</v>
      </c>
      <c r="W22" s="1568">
        <v>1786.7100000000003</v>
      </c>
      <c r="X22" s="1568" t="s">
        <v>1789</v>
      </c>
    </row>
    <row r="23" spans="2:24">
      <c r="B23" s="1186" t="s">
        <v>1758</v>
      </c>
      <c r="C23" s="1186" t="s">
        <v>1593</v>
      </c>
      <c r="D23" s="1182">
        <v>1302.55</v>
      </c>
      <c r="E23" s="1182">
        <v>0</v>
      </c>
      <c r="F23" s="1182">
        <v>0</v>
      </c>
      <c r="G23" s="1182">
        <v>0</v>
      </c>
      <c r="H23" s="1182">
        <v>0</v>
      </c>
      <c r="I23" s="1182">
        <v>108.55</v>
      </c>
      <c r="J23" s="1182">
        <v>108.55</v>
      </c>
      <c r="K23" s="1183">
        <f t="shared" si="1"/>
        <v>217.1</v>
      </c>
      <c r="L23" s="2050" t="s">
        <v>1784</v>
      </c>
      <c r="O23" s="1568" t="s">
        <v>1273</v>
      </c>
      <c r="P23" s="1568">
        <v>54579.479999999996</v>
      </c>
      <c r="Q23" s="1568">
        <v>4548.29</v>
      </c>
      <c r="R23" s="1568">
        <v>4548.29</v>
      </c>
      <c r="S23" s="1568">
        <v>4548.29</v>
      </c>
      <c r="T23" s="1568">
        <v>4548.29</v>
      </c>
      <c r="U23" s="1568">
        <v>4548.29</v>
      </c>
      <c r="V23" s="1568">
        <v>4548.29</v>
      </c>
      <c r="W23" s="1568">
        <v>27289.74</v>
      </c>
      <c r="X23" s="1568" t="s">
        <v>1790</v>
      </c>
    </row>
    <row r="24" spans="2:24">
      <c r="B24" s="1186" t="s">
        <v>838</v>
      </c>
      <c r="C24" s="1186" t="s">
        <v>584</v>
      </c>
      <c r="D24" s="1182">
        <v>593.97</v>
      </c>
      <c r="E24" s="1182">
        <f>D24/12</f>
        <v>49.497500000000002</v>
      </c>
      <c r="F24" s="1182">
        <v>105.14333333333333</v>
      </c>
      <c r="G24" s="1182">
        <v>105.14333333333333</v>
      </c>
      <c r="H24" s="1182">
        <v>105.14333333333333</v>
      </c>
      <c r="I24" s="1182">
        <v>105.14333333333333</v>
      </c>
      <c r="J24" s="1182">
        <v>105.14333333333333</v>
      </c>
      <c r="K24" s="1183">
        <f t="shared" si="1"/>
        <v>575.21416666666664</v>
      </c>
      <c r="L24" s="2050" t="s">
        <v>1785</v>
      </c>
      <c r="O24" s="1568" t="s">
        <v>1599</v>
      </c>
      <c r="P24" s="1568">
        <v>1486.44</v>
      </c>
      <c r="V24" s="1568">
        <v>123.87</v>
      </c>
      <c r="W24" s="1568">
        <v>123.87</v>
      </c>
      <c r="X24" s="1568" t="s">
        <v>1791</v>
      </c>
    </row>
    <row r="25" spans="2:24">
      <c r="B25" s="1186" t="s">
        <v>843</v>
      </c>
      <c r="C25" s="1186" t="s">
        <v>1152</v>
      </c>
      <c r="D25" s="1182">
        <v>398.66</v>
      </c>
      <c r="E25" s="1182">
        <f>D25/12</f>
        <v>33.221666666666671</v>
      </c>
      <c r="F25" s="1182">
        <v>105.14333333333333</v>
      </c>
      <c r="G25" s="1182">
        <v>105.14333333333333</v>
      </c>
      <c r="H25" s="1182">
        <v>105.14333333333333</v>
      </c>
      <c r="I25" s="1182">
        <v>105.14333333333333</v>
      </c>
      <c r="J25" s="1182">
        <v>105.14333333333333</v>
      </c>
      <c r="K25" s="1183">
        <f t="shared" si="1"/>
        <v>558.93833333333328</v>
      </c>
      <c r="L25" s="2050" t="s">
        <v>1786</v>
      </c>
      <c r="O25" s="1568" t="s">
        <v>545</v>
      </c>
      <c r="P25" s="1568">
        <v>9551.76</v>
      </c>
      <c r="Q25" s="1568">
        <v>795.98</v>
      </c>
      <c r="R25" s="1568">
        <v>795.98</v>
      </c>
      <c r="S25" s="1568">
        <v>795.98</v>
      </c>
      <c r="T25" s="1568">
        <v>795.98</v>
      </c>
      <c r="U25" s="1568">
        <v>795.98</v>
      </c>
      <c r="V25" s="1568">
        <v>795.98</v>
      </c>
      <c r="W25" s="1568">
        <v>4775.88</v>
      </c>
      <c r="X25" s="1568" t="s">
        <v>1792</v>
      </c>
    </row>
    <row r="26" spans="2:24">
      <c r="B26" s="1186" t="s">
        <v>1595</v>
      </c>
      <c r="C26" s="1186" t="s">
        <v>1594</v>
      </c>
      <c r="D26" s="1182">
        <v>1213.7</v>
      </c>
      <c r="E26" s="1182">
        <v>0</v>
      </c>
      <c r="F26" s="1182">
        <v>0</v>
      </c>
      <c r="G26" s="1182">
        <v>101.14</v>
      </c>
      <c r="H26" s="1182">
        <v>101.14</v>
      </c>
      <c r="I26" s="1182">
        <v>101.14</v>
      </c>
      <c r="J26" s="1182">
        <v>101.14</v>
      </c>
      <c r="K26" s="1183">
        <f t="shared" si="1"/>
        <v>404.56</v>
      </c>
      <c r="L26" s="2050" t="s">
        <v>1787</v>
      </c>
      <c r="O26" s="1568" t="s">
        <v>1157</v>
      </c>
      <c r="P26" s="1568">
        <v>343.76</v>
      </c>
      <c r="Q26" s="1568">
        <v>28.646666666666665</v>
      </c>
      <c r="R26" s="1568">
        <v>28.646666666666665</v>
      </c>
      <c r="S26" s="1568">
        <v>28.646666666666665</v>
      </c>
      <c r="T26" s="1568">
        <v>28.646666666666665</v>
      </c>
      <c r="U26" s="1568">
        <v>28.646666666666665</v>
      </c>
      <c r="V26" s="1568">
        <v>28.646666666666665</v>
      </c>
      <c r="W26" s="1568">
        <v>171.88</v>
      </c>
      <c r="X26" s="1568" t="s">
        <v>1793</v>
      </c>
    </row>
    <row r="27" spans="2:24">
      <c r="B27" s="1186" t="s">
        <v>1286</v>
      </c>
      <c r="C27" s="1186" t="s">
        <v>568</v>
      </c>
      <c r="D27" s="1182">
        <v>2253.88</v>
      </c>
      <c r="E27" s="1182">
        <f>D27/12</f>
        <v>187.82333333333335</v>
      </c>
      <c r="F27" s="1182">
        <v>105.14333333333333</v>
      </c>
      <c r="G27" s="1182">
        <v>105.14333333333333</v>
      </c>
      <c r="H27" s="1182">
        <v>105.14333333333333</v>
      </c>
      <c r="I27" s="1182">
        <v>105.14333333333333</v>
      </c>
      <c r="J27" s="1182">
        <v>105.14333333333333</v>
      </c>
      <c r="K27" s="1183">
        <f t="shared" si="1"/>
        <v>713.54</v>
      </c>
      <c r="L27" s="2050"/>
      <c r="O27" s="1568" t="s">
        <v>483</v>
      </c>
      <c r="P27" s="1568">
        <v>52.56</v>
      </c>
      <c r="Q27" s="1568">
        <v>4.38</v>
      </c>
      <c r="R27" s="1568">
        <v>4.38</v>
      </c>
      <c r="S27" s="1568">
        <v>4.38</v>
      </c>
      <c r="T27" s="1568">
        <v>4.38</v>
      </c>
      <c r="U27" s="1568">
        <v>4.38</v>
      </c>
      <c r="V27" s="1568">
        <v>4.38</v>
      </c>
      <c r="W27" s="1568">
        <v>26.279999999999998</v>
      </c>
      <c r="X27" s="1568" t="s">
        <v>1794</v>
      </c>
    </row>
    <row r="28" spans="2:24">
      <c r="B28" s="1186" t="s">
        <v>1597</v>
      </c>
      <c r="C28" s="1186" t="s">
        <v>1596</v>
      </c>
      <c r="D28" s="1182">
        <v>1014.08</v>
      </c>
      <c r="E28" s="1182">
        <v>0</v>
      </c>
      <c r="F28" s="1182">
        <v>0</v>
      </c>
      <c r="G28" s="1182">
        <v>84.51</v>
      </c>
      <c r="H28" s="1182">
        <v>84.51</v>
      </c>
      <c r="I28" s="1182">
        <v>84.51</v>
      </c>
      <c r="J28" s="1182">
        <v>84.51</v>
      </c>
      <c r="K28" s="1183">
        <f t="shared" si="1"/>
        <v>338.04</v>
      </c>
      <c r="L28" s="2050" t="s">
        <v>1788</v>
      </c>
      <c r="O28" s="1568" t="s">
        <v>1159</v>
      </c>
      <c r="P28" s="1568">
        <v>105</v>
      </c>
      <c r="Q28" s="1568">
        <v>8.75</v>
      </c>
      <c r="R28" s="1568">
        <v>8.75</v>
      </c>
      <c r="S28" s="1568">
        <v>8.75</v>
      </c>
      <c r="T28" s="1568">
        <v>8.75</v>
      </c>
      <c r="U28" s="1568">
        <v>8.75</v>
      </c>
      <c r="V28" s="1568">
        <v>8.75</v>
      </c>
      <c r="W28" s="1568">
        <v>52.5</v>
      </c>
      <c r="X28" s="1568" t="s">
        <v>1795</v>
      </c>
    </row>
    <row r="29" spans="2:24">
      <c r="B29" s="1186" t="s">
        <v>1286</v>
      </c>
      <c r="C29" s="1186" t="s">
        <v>571</v>
      </c>
      <c r="D29" s="1182">
        <v>1891.3</v>
      </c>
      <c r="E29" s="1182">
        <f>D29/12</f>
        <v>157.60833333333332</v>
      </c>
      <c r="F29" s="1182">
        <v>105.14333333333333</v>
      </c>
      <c r="G29" s="1182">
        <v>105.14333333333333</v>
      </c>
      <c r="H29" s="1182">
        <v>105.14333333333333</v>
      </c>
      <c r="I29" s="1182">
        <v>105.14333333333333</v>
      </c>
      <c r="J29" s="1182">
        <v>105.14333333333333</v>
      </c>
      <c r="K29" s="1183">
        <f t="shared" si="1"/>
        <v>683.32499999999993</v>
      </c>
      <c r="L29" s="2050"/>
      <c r="O29" s="1568" t="s">
        <v>1605</v>
      </c>
      <c r="P29" s="1568">
        <v>134.52000000000001</v>
      </c>
      <c r="S29" s="1568">
        <v>11.21</v>
      </c>
      <c r="T29" s="1568">
        <v>11.21</v>
      </c>
      <c r="U29" s="1568">
        <v>11.21</v>
      </c>
      <c r="V29" s="1568">
        <v>11.21</v>
      </c>
      <c r="W29" s="1568">
        <v>44.84</v>
      </c>
      <c r="X29" s="1568" t="s">
        <v>1788</v>
      </c>
    </row>
    <row r="30" spans="2:24">
      <c r="B30" s="1186" t="s">
        <v>1155</v>
      </c>
      <c r="C30" s="1186" t="s">
        <v>1154</v>
      </c>
      <c r="D30" s="1182">
        <v>2085.31</v>
      </c>
      <c r="E30" s="1182">
        <f>D30/12</f>
        <v>173.77583333333334</v>
      </c>
      <c r="F30" s="1182">
        <v>105.14333333333333</v>
      </c>
      <c r="G30" s="1182">
        <v>105.14333333333333</v>
      </c>
      <c r="H30" s="1182">
        <v>105.14333333333333</v>
      </c>
      <c r="I30" s="1182">
        <v>105.14333333333333</v>
      </c>
      <c r="J30" s="1182">
        <v>105.14333333333333</v>
      </c>
      <c r="K30" s="1183">
        <f t="shared" si="1"/>
        <v>699.49249999999995</v>
      </c>
      <c r="L30" s="2050" t="s">
        <v>1789</v>
      </c>
      <c r="O30" s="1568" t="s">
        <v>692</v>
      </c>
      <c r="P30" s="1568">
        <v>105</v>
      </c>
      <c r="Q30" s="1568">
        <v>8.75</v>
      </c>
      <c r="R30" s="1568">
        <v>8.75</v>
      </c>
      <c r="S30" s="1568">
        <v>8.75</v>
      </c>
      <c r="T30" s="1568">
        <v>8.75</v>
      </c>
      <c r="U30" s="1568">
        <v>8.75</v>
      </c>
      <c r="V30" s="1568">
        <v>8.75</v>
      </c>
      <c r="W30" s="1568">
        <v>52.5</v>
      </c>
      <c r="X30" s="1568" t="s">
        <v>1796</v>
      </c>
    </row>
    <row r="31" spans="2:24" ht="22.5">
      <c r="B31" s="1186" t="s">
        <v>837</v>
      </c>
      <c r="C31" s="1186" t="s">
        <v>448</v>
      </c>
      <c r="D31" s="1182">
        <v>937.98</v>
      </c>
      <c r="E31" s="1182">
        <f>D31/12</f>
        <v>78.165000000000006</v>
      </c>
      <c r="F31" s="1182">
        <f>E31</f>
        <v>78.165000000000006</v>
      </c>
      <c r="G31" s="1182">
        <f t="shared" ref="G31:J33" si="7">F31</f>
        <v>78.165000000000006</v>
      </c>
      <c r="H31" s="1182">
        <f t="shared" si="7"/>
        <v>78.165000000000006</v>
      </c>
      <c r="I31" s="1182">
        <f t="shared" si="7"/>
        <v>78.165000000000006</v>
      </c>
      <c r="J31" s="1182">
        <f t="shared" si="7"/>
        <v>78.165000000000006</v>
      </c>
      <c r="K31" s="1183">
        <f t="shared" si="1"/>
        <v>468.99000000000007</v>
      </c>
      <c r="L31" s="2050" t="s">
        <v>1771</v>
      </c>
      <c r="O31" s="1568" t="s">
        <v>1607</v>
      </c>
      <c r="P31" s="1568">
        <v>14788.800000000001</v>
      </c>
      <c r="S31" s="1568">
        <v>1232.4000000000001</v>
      </c>
      <c r="T31" s="1568">
        <v>1232.4000000000001</v>
      </c>
      <c r="U31" s="1568">
        <v>1232.4000000000001</v>
      </c>
      <c r="V31" s="1568">
        <v>1232.4000000000001</v>
      </c>
      <c r="W31" s="1568">
        <v>4929.6000000000004</v>
      </c>
      <c r="X31" s="1568" t="s">
        <v>1788</v>
      </c>
    </row>
    <row r="32" spans="2:24">
      <c r="B32" s="1186" t="s">
        <v>1286</v>
      </c>
      <c r="C32" s="1186" t="s">
        <v>573</v>
      </c>
      <c r="D32" s="1182">
        <v>1281.1400000000001</v>
      </c>
      <c r="E32" s="1182">
        <f>D32/12</f>
        <v>106.76166666666667</v>
      </c>
      <c r="F32" s="1182">
        <f>E32</f>
        <v>106.76166666666667</v>
      </c>
      <c r="G32" s="1182">
        <f t="shared" si="7"/>
        <v>106.76166666666667</v>
      </c>
      <c r="H32" s="1182">
        <f t="shared" si="7"/>
        <v>106.76166666666667</v>
      </c>
      <c r="I32" s="1182">
        <f t="shared" si="7"/>
        <v>106.76166666666667</v>
      </c>
      <c r="J32" s="1182">
        <f t="shared" si="7"/>
        <v>106.76166666666667</v>
      </c>
      <c r="K32" s="1183">
        <f t="shared" si="1"/>
        <v>640.57000000000005</v>
      </c>
      <c r="L32" s="2050"/>
      <c r="O32" s="1568" t="s">
        <v>1134</v>
      </c>
      <c r="P32" s="1568">
        <v>2767.68</v>
      </c>
      <c r="Q32" s="1568">
        <v>230.64</v>
      </c>
      <c r="R32" s="1568">
        <v>230.64</v>
      </c>
      <c r="S32" s="1568">
        <v>230.64</v>
      </c>
      <c r="T32" s="1568">
        <v>230.64</v>
      </c>
      <c r="U32" s="1568">
        <v>230.64</v>
      </c>
      <c r="V32" s="1568">
        <v>230.64</v>
      </c>
      <c r="W32" s="1568">
        <v>1383.8399999999997</v>
      </c>
      <c r="X32" s="1568" t="s">
        <v>1797</v>
      </c>
    </row>
    <row r="33" spans="2:24">
      <c r="B33" s="1186" t="s">
        <v>1754</v>
      </c>
      <c r="C33" s="1186" t="s">
        <v>1273</v>
      </c>
      <c r="D33" s="1182">
        <v>54579.43</v>
      </c>
      <c r="E33" s="1182">
        <f>D33/12</f>
        <v>4548.2858333333334</v>
      </c>
      <c r="F33" s="1182">
        <f>E33</f>
        <v>4548.2858333333334</v>
      </c>
      <c r="G33" s="1182">
        <f t="shared" si="7"/>
        <v>4548.2858333333334</v>
      </c>
      <c r="H33" s="1182">
        <f t="shared" si="7"/>
        <v>4548.2858333333334</v>
      </c>
      <c r="I33" s="1182">
        <f t="shared" si="7"/>
        <v>4548.2858333333334</v>
      </c>
      <c r="J33" s="1182">
        <f t="shared" si="7"/>
        <v>4548.2858333333334</v>
      </c>
      <c r="K33" s="1183">
        <f t="shared" si="1"/>
        <v>27289.715000000004</v>
      </c>
      <c r="L33" s="2050" t="s">
        <v>1790</v>
      </c>
      <c r="O33" s="1568" t="s">
        <v>1274</v>
      </c>
      <c r="P33" s="1568">
        <v>205.68</v>
      </c>
      <c r="Q33" s="1568">
        <v>17.14</v>
      </c>
      <c r="R33" s="1568">
        <v>17.14</v>
      </c>
      <c r="S33" s="1568">
        <v>17.14</v>
      </c>
      <c r="T33" s="1568">
        <v>17.14</v>
      </c>
      <c r="U33" s="1568">
        <v>17.14</v>
      </c>
      <c r="V33" s="1568">
        <v>17.14</v>
      </c>
      <c r="W33" s="1568">
        <v>102.84</v>
      </c>
      <c r="X33" s="1568" t="s">
        <v>1798</v>
      </c>
    </row>
    <row r="34" spans="2:24">
      <c r="B34" s="1186" t="s">
        <v>1600</v>
      </c>
      <c r="C34" s="1186" t="s">
        <v>1599</v>
      </c>
      <c r="D34" s="1182">
        <v>1486.39</v>
      </c>
      <c r="E34" s="1182">
        <v>0</v>
      </c>
      <c r="F34" s="1182">
        <v>0</v>
      </c>
      <c r="G34" s="1182">
        <v>0</v>
      </c>
      <c r="H34" s="1182">
        <v>0</v>
      </c>
      <c r="I34" s="1182">
        <v>0</v>
      </c>
      <c r="J34" s="1182">
        <v>123.87</v>
      </c>
      <c r="K34" s="1183">
        <f t="shared" si="1"/>
        <v>123.87</v>
      </c>
      <c r="L34" s="2050" t="s">
        <v>1791</v>
      </c>
      <c r="O34" s="1568" t="s">
        <v>1135</v>
      </c>
      <c r="P34" s="1568">
        <v>450</v>
      </c>
      <c r="Q34" s="1568">
        <v>37.5</v>
      </c>
      <c r="R34" s="1568">
        <v>37.5</v>
      </c>
      <c r="S34" s="1568">
        <v>37.5</v>
      </c>
      <c r="T34" s="1568">
        <v>37.5</v>
      </c>
      <c r="U34" s="1568">
        <v>37.5</v>
      </c>
      <c r="V34" s="1568">
        <v>37.5</v>
      </c>
      <c r="W34" s="1568">
        <v>225</v>
      </c>
      <c r="X34" s="1568" t="s">
        <v>1799</v>
      </c>
    </row>
    <row r="35" spans="2:24">
      <c r="B35" s="1186" t="s">
        <v>822</v>
      </c>
      <c r="C35" s="1186" t="s">
        <v>545</v>
      </c>
      <c r="D35" s="1182">
        <v>9551.7099999999991</v>
      </c>
      <c r="E35" s="1182">
        <f>D35/12</f>
        <v>795.9758333333333</v>
      </c>
      <c r="F35" s="1182">
        <f>E35</f>
        <v>795.9758333333333</v>
      </c>
      <c r="G35" s="1182">
        <f t="shared" ref="G35:J35" si="8">F35</f>
        <v>795.9758333333333</v>
      </c>
      <c r="H35" s="1182">
        <f t="shared" si="8"/>
        <v>795.9758333333333</v>
      </c>
      <c r="I35" s="1182">
        <f t="shared" si="8"/>
        <v>795.9758333333333</v>
      </c>
      <c r="J35" s="1182">
        <f t="shared" si="8"/>
        <v>795.9758333333333</v>
      </c>
      <c r="K35" s="1183">
        <f t="shared" si="1"/>
        <v>4775.8549999999996</v>
      </c>
      <c r="L35" s="2050" t="s">
        <v>1792</v>
      </c>
      <c r="O35" s="1568" t="s">
        <v>1136</v>
      </c>
      <c r="P35" s="1568">
        <v>1226.52</v>
      </c>
      <c r="Q35" s="1568">
        <v>102.21</v>
      </c>
      <c r="R35" s="1568">
        <v>102.21</v>
      </c>
      <c r="S35" s="1568">
        <v>102.21</v>
      </c>
      <c r="T35" s="1568">
        <v>102.21</v>
      </c>
      <c r="U35" s="1568">
        <v>102.21</v>
      </c>
      <c r="V35" s="1568">
        <v>102.21</v>
      </c>
      <c r="W35" s="1568">
        <v>613.26</v>
      </c>
      <c r="X35" s="1568" t="s">
        <v>1797</v>
      </c>
    </row>
    <row r="36" spans="2:24">
      <c r="B36" s="1186" t="s">
        <v>1286</v>
      </c>
      <c r="C36" s="1186" t="s">
        <v>575</v>
      </c>
      <c r="D36" s="1182">
        <v>679.32</v>
      </c>
      <c r="E36" s="1182">
        <f t="shared" ref="E36:E41" si="9">D36/12</f>
        <v>56.610000000000007</v>
      </c>
      <c r="F36" s="1182">
        <f t="shared" ref="F36:J44" si="10">E36</f>
        <v>56.610000000000007</v>
      </c>
      <c r="G36" s="1182">
        <f t="shared" si="10"/>
        <v>56.610000000000007</v>
      </c>
      <c r="H36" s="1182">
        <f t="shared" si="10"/>
        <v>56.610000000000007</v>
      </c>
      <c r="I36" s="1182">
        <f t="shared" si="10"/>
        <v>56.610000000000007</v>
      </c>
      <c r="J36" s="1182">
        <f t="shared" si="10"/>
        <v>56.610000000000007</v>
      </c>
      <c r="K36" s="1183">
        <f t="shared" si="1"/>
        <v>339.66</v>
      </c>
      <c r="L36" s="2050"/>
      <c r="O36" s="1568" t="s">
        <v>1572</v>
      </c>
      <c r="P36" s="1568">
        <v>713.52</v>
      </c>
      <c r="T36" s="1568">
        <v>59.46</v>
      </c>
      <c r="U36" s="1568">
        <v>59.46</v>
      </c>
      <c r="V36" s="1568">
        <v>59.46</v>
      </c>
      <c r="W36" s="1568">
        <v>178.38</v>
      </c>
      <c r="X36" s="1568" t="s">
        <v>1800</v>
      </c>
    </row>
    <row r="37" spans="2:24">
      <c r="B37" s="1186" t="s">
        <v>1285</v>
      </c>
      <c r="C37" s="1186" t="s">
        <v>586</v>
      </c>
      <c r="D37" s="1182">
        <v>331.85</v>
      </c>
      <c r="E37" s="1182">
        <f t="shared" si="9"/>
        <v>27.654166666666669</v>
      </c>
      <c r="F37" s="1182">
        <f t="shared" si="10"/>
        <v>27.654166666666669</v>
      </c>
      <c r="G37" s="1182">
        <f t="shared" si="10"/>
        <v>27.654166666666669</v>
      </c>
      <c r="H37" s="1182">
        <f t="shared" si="10"/>
        <v>27.654166666666669</v>
      </c>
      <c r="I37" s="1182">
        <f t="shared" si="10"/>
        <v>27.654166666666669</v>
      </c>
      <c r="J37" s="1182">
        <f t="shared" si="10"/>
        <v>27.654166666666669</v>
      </c>
      <c r="K37" s="1183">
        <f t="shared" si="1"/>
        <v>165.92500000000001</v>
      </c>
      <c r="L37" s="2050"/>
      <c r="O37" s="1568" t="s">
        <v>1576</v>
      </c>
      <c r="P37" s="1568">
        <v>547.79999999999995</v>
      </c>
      <c r="V37" s="1568">
        <v>45.65</v>
      </c>
      <c r="W37" s="1568">
        <v>45.65</v>
      </c>
      <c r="X37" s="1568" t="s">
        <v>1791</v>
      </c>
    </row>
    <row r="38" spans="2:24">
      <c r="B38" s="1186" t="s">
        <v>1340</v>
      </c>
      <c r="C38" s="1186" t="s">
        <v>1157</v>
      </c>
      <c r="D38" s="1182">
        <v>343.76</v>
      </c>
      <c r="E38" s="1182">
        <f t="shared" si="9"/>
        <v>28.646666666666665</v>
      </c>
      <c r="F38" s="1182">
        <f t="shared" si="10"/>
        <v>28.646666666666665</v>
      </c>
      <c r="G38" s="1182">
        <f t="shared" si="10"/>
        <v>28.646666666666665</v>
      </c>
      <c r="H38" s="1182">
        <f t="shared" si="10"/>
        <v>28.646666666666665</v>
      </c>
      <c r="I38" s="1182">
        <f t="shared" si="10"/>
        <v>28.646666666666665</v>
      </c>
      <c r="J38" s="1182">
        <f t="shared" si="10"/>
        <v>28.646666666666665</v>
      </c>
      <c r="K38" s="1183">
        <f t="shared" si="1"/>
        <v>171.88</v>
      </c>
      <c r="L38" s="2050" t="s">
        <v>1793</v>
      </c>
      <c r="O38" s="1568" t="s">
        <v>1139</v>
      </c>
      <c r="P38" s="1568">
        <v>934.92</v>
      </c>
      <c r="Q38" s="1568">
        <v>77.91</v>
      </c>
      <c r="R38" s="1568">
        <v>77.91</v>
      </c>
      <c r="S38" s="1568">
        <v>77.91</v>
      </c>
      <c r="T38" s="1568">
        <v>77.91</v>
      </c>
      <c r="U38" s="1568">
        <v>77.91</v>
      </c>
      <c r="V38" s="1568">
        <v>77.91</v>
      </c>
      <c r="W38" s="1568">
        <v>467.45999999999992</v>
      </c>
      <c r="X38" s="1568" t="s">
        <v>1797</v>
      </c>
    </row>
    <row r="39" spans="2:24">
      <c r="B39" s="1186" t="s">
        <v>844</v>
      </c>
      <c r="C39" s="1186" t="s">
        <v>483</v>
      </c>
      <c r="D39" s="1182">
        <v>52.5</v>
      </c>
      <c r="E39" s="1182">
        <f t="shared" si="9"/>
        <v>4.375</v>
      </c>
      <c r="F39" s="1182">
        <f t="shared" si="10"/>
        <v>4.375</v>
      </c>
      <c r="G39" s="1182">
        <f t="shared" si="10"/>
        <v>4.375</v>
      </c>
      <c r="H39" s="1182">
        <f t="shared" si="10"/>
        <v>4.375</v>
      </c>
      <c r="I39" s="1182">
        <f t="shared" si="10"/>
        <v>4.375</v>
      </c>
      <c r="J39" s="1182">
        <f t="shared" si="10"/>
        <v>4.375</v>
      </c>
      <c r="K39" s="1183">
        <f t="shared" si="1"/>
        <v>26.25</v>
      </c>
      <c r="L39" s="2050" t="s">
        <v>1794</v>
      </c>
      <c r="O39" s="1568" t="s">
        <v>562</v>
      </c>
      <c r="P39" s="1568">
        <v>146.39999999999998</v>
      </c>
      <c r="Q39" s="1568">
        <v>12.2</v>
      </c>
      <c r="R39" s="1568">
        <v>12.2</v>
      </c>
      <c r="S39" s="1568">
        <v>12.2</v>
      </c>
      <c r="T39" s="1568">
        <v>12.2</v>
      </c>
      <c r="U39" s="1568">
        <v>12.2</v>
      </c>
      <c r="V39" s="1568">
        <v>12.2</v>
      </c>
      <c r="W39" s="1568">
        <v>73.2</v>
      </c>
      <c r="X39" s="1568" t="s">
        <v>1801</v>
      </c>
    </row>
    <row r="40" spans="2:24">
      <c r="B40" s="1186" t="s">
        <v>1341</v>
      </c>
      <c r="C40" s="1186" t="s">
        <v>1158</v>
      </c>
      <c r="D40" s="1182">
        <v>2308.29</v>
      </c>
      <c r="E40" s="1182">
        <f t="shared" si="9"/>
        <v>192.35749999999999</v>
      </c>
      <c r="F40" s="1182">
        <f t="shared" si="10"/>
        <v>192.35749999999999</v>
      </c>
      <c r="G40" s="1182">
        <f t="shared" si="10"/>
        <v>192.35749999999999</v>
      </c>
      <c r="H40" s="1182">
        <f t="shared" si="10"/>
        <v>192.35749999999999</v>
      </c>
      <c r="I40" s="1182">
        <f t="shared" si="10"/>
        <v>192.35749999999999</v>
      </c>
      <c r="J40" s="1182">
        <f t="shared" si="10"/>
        <v>192.35749999999999</v>
      </c>
      <c r="K40" s="1183">
        <f t="shared" si="1"/>
        <v>1154.145</v>
      </c>
      <c r="L40" s="2050"/>
      <c r="O40" s="1568" t="s">
        <v>1312</v>
      </c>
      <c r="P40" s="1568">
        <v>1740.12</v>
      </c>
      <c r="Q40" s="1568">
        <v>145.01</v>
      </c>
      <c r="R40" s="1568">
        <v>145.01</v>
      </c>
      <c r="S40" s="1568">
        <v>145.01</v>
      </c>
      <c r="T40" s="1568">
        <v>145.01</v>
      </c>
      <c r="U40" s="1568">
        <v>145.01</v>
      </c>
      <c r="V40" s="1568">
        <v>145.01</v>
      </c>
      <c r="W40" s="1568">
        <v>870.06</v>
      </c>
      <c r="X40" s="1568" t="s">
        <v>1802</v>
      </c>
    </row>
    <row r="41" spans="2:24">
      <c r="B41" s="1186" t="s">
        <v>815</v>
      </c>
      <c r="C41" s="1186" t="s">
        <v>490</v>
      </c>
      <c r="D41" s="1182">
        <v>198.65</v>
      </c>
      <c r="E41" s="1182">
        <f t="shared" si="9"/>
        <v>16.554166666666667</v>
      </c>
      <c r="F41" s="1182">
        <f t="shared" si="10"/>
        <v>16.554166666666667</v>
      </c>
      <c r="G41" s="1182">
        <f t="shared" si="10"/>
        <v>16.554166666666667</v>
      </c>
      <c r="H41" s="1182">
        <f t="shared" si="10"/>
        <v>16.554166666666667</v>
      </c>
      <c r="I41" s="1182">
        <f t="shared" si="10"/>
        <v>16.554166666666667</v>
      </c>
      <c r="J41" s="1182">
        <f t="shared" si="10"/>
        <v>16.554166666666667</v>
      </c>
      <c r="K41" s="1183">
        <f t="shared" si="1"/>
        <v>99.325000000000017</v>
      </c>
      <c r="L41" s="2050"/>
      <c r="O41" s="1568" t="s">
        <v>1311</v>
      </c>
      <c r="P41" s="1568">
        <v>846.96</v>
      </c>
      <c r="U41" s="1568">
        <v>70.58</v>
      </c>
      <c r="V41" s="1568">
        <v>70.58</v>
      </c>
      <c r="W41" s="1568">
        <v>141.16</v>
      </c>
      <c r="X41" s="1568" t="s">
        <v>1803</v>
      </c>
    </row>
    <row r="42" spans="2:24">
      <c r="B42" s="1186" t="s">
        <v>1160</v>
      </c>
      <c r="C42" s="1186" t="s">
        <v>1159</v>
      </c>
      <c r="D42" s="1182">
        <v>77.959999999999994</v>
      </c>
      <c r="E42" s="1182">
        <f>D42/12</f>
        <v>6.4966666666666661</v>
      </c>
      <c r="F42" s="1182">
        <f>E42</f>
        <v>6.4966666666666661</v>
      </c>
      <c r="G42" s="1182">
        <f t="shared" si="10"/>
        <v>6.4966666666666661</v>
      </c>
      <c r="H42" s="1182">
        <f t="shared" si="10"/>
        <v>6.4966666666666661</v>
      </c>
      <c r="I42" s="1182">
        <f t="shared" si="10"/>
        <v>6.4966666666666661</v>
      </c>
      <c r="J42" s="1182">
        <f t="shared" si="10"/>
        <v>6.4966666666666661</v>
      </c>
      <c r="K42" s="1183">
        <f t="shared" si="1"/>
        <v>38.980000000000004</v>
      </c>
      <c r="L42" s="2050" t="s">
        <v>1795</v>
      </c>
      <c r="O42" s="1568" t="s">
        <v>1310</v>
      </c>
      <c r="P42" s="1568">
        <v>0</v>
      </c>
      <c r="W42" s="1568">
        <v>0</v>
      </c>
      <c r="X42" s="1568" t="s">
        <v>1804</v>
      </c>
    </row>
    <row r="43" spans="2:24">
      <c r="B43" s="1186" t="s">
        <v>839</v>
      </c>
      <c r="C43" s="1186" t="s">
        <v>484</v>
      </c>
      <c r="D43" s="1182">
        <v>1128.4100000000001</v>
      </c>
      <c r="E43" s="1182">
        <f>D43/12</f>
        <v>94.034166666666678</v>
      </c>
      <c r="F43" s="1182">
        <f>E43</f>
        <v>94.034166666666678</v>
      </c>
      <c r="G43" s="1182">
        <f t="shared" si="10"/>
        <v>94.034166666666678</v>
      </c>
      <c r="H43" s="1182">
        <f t="shared" si="10"/>
        <v>94.034166666666678</v>
      </c>
      <c r="I43" s="1182">
        <f t="shared" si="10"/>
        <v>94.034166666666678</v>
      </c>
      <c r="J43" s="1182">
        <f t="shared" si="10"/>
        <v>94.034166666666678</v>
      </c>
      <c r="K43" s="1183">
        <f t="shared" si="1"/>
        <v>564.20500000000004</v>
      </c>
      <c r="L43" s="2050"/>
      <c r="O43" s="1568" t="s">
        <v>1309</v>
      </c>
      <c r="P43" s="1568">
        <v>1872.48</v>
      </c>
      <c r="Q43" s="1568">
        <v>156.04</v>
      </c>
      <c r="R43" s="1568">
        <v>156.04</v>
      </c>
      <c r="S43" s="1568">
        <v>156.04</v>
      </c>
      <c r="T43" s="1568">
        <v>156.04</v>
      </c>
      <c r="U43" s="1568">
        <v>156.04</v>
      </c>
      <c r="V43" s="1568">
        <v>156.04</v>
      </c>
      <c r="W43" s="1568">
        <v>936.2399999999999</v>
      </c>
      <c r="X43" s="1568" t="s">
        <v>1805</v>
      </c>
    </row>
    <row r="44" spans="2:24">
      <c r="B44" s="1186" t="s">
        <v>1606</v>
      </c>
      <c r="C44" s="1186" t="s">
        <v>1605</v>
      </c>
      <c r="D44" s="1182">
        <v>134.54</v>
      </c>
      <c r="E44" s="1182">
        <v>0</v>
      </c>
      <c r="F44" s="1182">
        <v>0</v>
      </c>
      <c r="G44" s="1182">
        <f>D44/12</f>
        <v>11.211666666666666</v>
      </c>
      <c r="H44" s="1182">
        <f>G44</f>
        <v>11.211666666666666</v>
      </c>
      <c r="I44" s="1182">
        <f t="shared" si="10"/>
        <v>11.211666666666666</v>
      </c>
      <c r="J44" s="1182">
        <f t="shared" si="10"/>
        <v>11.211666666666666</v>
      </c>
      <c r="K44" s="1183">
        <f t="shared" si="1"/>
        <v>44.846666666666664</v>
      </c>
      <c r="L44" s="2050" t="s">
        <v>1788</v>
      </c>
      <c r="O44" s="1568" t="s">
        <v>1306</v>
      </c>
      <c r="P44" s="1568">
        <v>1946.5100000000002</v>
      </c>
      <c r="Q44" s="1568">
        <v>162.20916666666668</v>
      </c>
      <c r="R44" s="1568">
        <v>162.20916666666668</v>
      </c>
      <c r="S44" s="1568">
        <v>162.20916666666668</v>
      </c>
      <c r="T44" s="1568">
        <v>162.20916666666668</v>
      </c>
      <c r="U44" s="1568">
        <v>162.20916666666668</v>
      </c>
      <c r="V44" s="1568">
        <v>162.20916666666668</v>
      </c>
      <c r="W44" s="1568">
        <v>973.255</v>
      </c>
      <c r="X44" s="1568" t="s">
        <v>1806</v>
      </c>
    </row>
    <row r="45" spans="2:24">
      <c r="B45" s="1186" t="s">
        <v>826</v>
      </c>
      <c r="C45" s="1186" t="s">
        <v>692</v>
      </c>
      <c r="D45" s="1182">
        <v>105</v>
      </c>
      <c r="E45" s="1182">
        <f>D45/12</f>
        <v>8.75</v>
      </c>
      <c r="F45" s="1182">
        <f>E45</f>
        <v>8.75</v>
      </c>
      <c r="G45" s="1182">
        <f t="shared" ref="G45:J46" si="11">F45</f>
        <v>8.75</v>
      </c>
      <c r="H45" s="1182">
        <f t="shared" si="11"/>
        <v>8.75</v>
      </c>
      <c r="I45" s="1182">
        <f t="shared" si="11"/>
        <v>8.75</v>
      </c>
      <c r="J45" s="1182">
        <f t="shared" si="11"/>
        <v>8.75</v>
      </c>
      <c r="K45" s="1183">
        <f t="shared" si="1"/>
        <v>52.5</v>
      </c>
      <c r="L45" s="2050" t="s">
        <v>1796</v>
      </c>
      <c r="O45" s="1568" t="s">
        <v>1305</v>
      </c>
      <c r="P45" s="1568">
        <v>385.08000000000004</v>
      </c>
      <c r="Q45" s="1568">
        <v>32.090000000000003</v>
      </c>
      <c r="R45" s="1568">
        <v>32.090000000000003</v>
      </c>
      <c r="S45" s="1568">
        <v>32.090000000000003</v>
      </c>
      <c r="T45" s="1568">
        <v>32.090000000000003</v>
      </c>
      <c r="U45" s="1568">
        <v>32.090000000000003</v>
      </c>
      <c r="V45" s="1568">
        <v>32.090000000000003</v>
      </c>
      <c r="W45" s="1568">
        <v>192.54000000000002</v>
      </c>
      <c r="X45" s="1568" t="s">
        <v>1802</v>
      </c>
    </row>
    <row r="46" spans="2:24">
      <c r="B46" s="1186" t="s">
        <v>1608</v>
      </c>
      <c r="C46" s="1186" t="s">
        <v>1607</v>
      </c>
      <c r="D46" s="1182">
        <v>14788.81</v>
      </c>
      <c r="E46" s="1182">
        <v>0</v>
      </c>
      <c r="F46" s="1182">
        <v>0</v>
      </c>
      <c r="G46" s="1182">
        <f>D46/12</f>
        <v>1232.4008333333334</v>
      </c>
      <c r="H46" s="1182">
        <f>G46</f>
        <v>1232.4008333333334</v>
      </c>
      <c r="I46" s="1182">
        <f t="shared" si="11"/>
        <v>1232.4008333333334</v>
      </c>
      <c r="J46" s="1182">
        <f t="shared" si="11"/>
        <v>1232.4008333333334</v>
      </c>
      <c r="K46" s="1183">
        <f t="shared" si="1"/>
        <v>4929.6033333333335</v>
      </c>
      <c r="L46" s="2050" t="s">
        <v>1788</v>
      </c>
      <c r="O46" s="1568" t="s">
        <v>1757</v>
      </c>
      <c r="P46" s="1568">
        <v>780.24</v>
      </c>
      <c r="R46" s="1568">
        <v>65.02</v>
      </c>
      <c r="S46" s="1568">
        <v>65.02</v>
      </c>
      <c r="T46" s="1568">
        <v>65.02</v>
      </c>
      <c r="U46" s="1568">
        <v>65.02</v>
      </c>
      <c r="V46" s="1568">
        <v>65.02</v>
      </c>
      <c r="W46" s="1568">
        <v>325.09999999999997</v>
      </c>
      <c r="X46" s="1568" t="s">
        <v>1807</v>
      </c>
    </row>
    <row r="47" spans="2:24">
      <c r="B47" s="1186" t="s">
        <v>821</v>
      </c>
      <c r="C47" s="1186" t="s">
        <v>547</v>
      </c>
      <c r="D47" s="1182">
        <v>1420.2</v>
      </c>
      <c r="E47" s="1182">
        <f>D47/12</f>
        <v>118.35000000000001</v>
      </c>
      <c r="F47" s="1182">
        <f>E47</f>
        <v>118.35000000000001</v>
      </c>
      <c r="G47" s="1182">
        <f t="shared" ref="G47:J47" si="12">F47</f>
        <v>118.35000000000001</v>
      </c>
      <c r="H47" s="1182">
        <f t="shared" si="12"/>
        <v>118.35000000000001</v>
      </c>
      <c r="I47" s="1182">
        <f t="shared" si="12"/>
        <v>118.35000000000001</v>
      </c>
      <c r="J47" s="1182">
        <f t="shared" si="12"/>
        <v>118.35000000000001</v>
      </c>
      <c r="K47" s="1183">
        <f t="shared" si="1"/>
        <v>710.1</v>
      </c>
      <c r="L47" s="2050"/>
      <c r="O47" s="1568" t="s">
        <v>1292</v>
      </c>
      <c r="P47" s="1568">
        <v>7587.9600000000009</v>
      </c>
      <c r="Q47" s="1568">
        <v>632.33000000000004</v>
      </c>
      <c r="R47" s="1568">
        <v>632.33000000000004</v>
      </c>
      <c r="S47" s="1568">
        <v>632.33000000000004</v>
      </c>
      <c r="T47" s="1568">
        <v>632.33000000000004</v>
      </c>
      <c r="U47" s="1568">
        <v>632.33000000000004</v>
      </c>
      <c r="V47" s="1568">
        <v>632.33000000000004</v>
      </c>
      <c r="W47" s="1568">
        <v>3793.98</v>
      </c>
      <c r="X47" s="1568" t="s">
        <v>1808</v>
      </c>
    </row>
    <row r="48" spans="2:24">
      <c r="B48" s="1186" t="s">
        <v>837</v>
      </c>
      <c r="C48" s="1186" t="s">
        <v>587</v>
      </c>
      <c r="D48" s="1182">
        <v>1239.1500000000001</v>
      </c>
      <c r="E48" s="1182">
        <v>103.2625</v>
      </c>
      <c r="F48" s="1182">
        <v>103.2625</v>
      </c>
      <c r="G48" s="1182">
        <v>103.2625</v>
      </c>
      <c r="H48" s="1182">
        <v>103.2625</v>
      </c>
      <c r="I48" s="1182">
        <v>103.2625</v>
      </c>
      <c r="J48" s="1182">
        <v>103.2625</v>
      </c>
      <c r="K48" s="1183">
        <f t="shared" si="1"/>
        <v>619.57500000000005</v>
      </c>
      <c r="L48" s="2050"/>
      <c r="O48" s="1568" t="s">
        <v>825</v>
      </c>
      <c r="P48" s="1568">
        <v>815.87999999999988</v>
      </c>
      <c r="Q48" s="1568">
        <v>67.989999999999995</v>
      </c>
      <c r="R48" s="1568">
        <v>67.989999999999995</v>
      </c>
      <c r="S48" s="1568">
        <v>67.989999999999995</v>
      </c>
      <c r="T48" s="1568">
        <v>67.989999999999995</v>
      </c>
      <c r="U48" s="1568">
        <v>67.989999999999995</v>
      </c>
      <c r="V48" s="1568">
        <v>67.989999999999995</v>
      </c>
      <c r="W48" s="1568">
        <v>407.94</v>
      </c>
      <c r="X48" s="1568" t="s">
        <v>1809</v>
      </c>
    </row>
    <row r="49" spans="2:12">
      <c r="B49" s="1186" t="s">
        <v>1086</v>
      </c>
      <c r="C49" s="1186" t="s">
        <v>1134</v>
      </c>
      <c r="D49" s="1182">
        <v>2767.65</v>
      </c>
      <c r="E49" s="1182">
        <v>230.64</v>
      </c>
      <c r="F49" s="1182">
        <v>230.64</v>
      </c>
      <c r="G49" s="1182">
        <v>230.64</v>
      </c>
      <c r="H49" s="1182">
        <v>230.64</v>
      </c>
      <c r="I49" s="1182">
        <v>230.64</v>
      </c>
      <c r="J49" s="1182">
        <v>230.64</v>
      </c>
      <c r="K49" s="1183">
        <f t="shared" si="1"/>
        <v>1383.8399999999997</v>
      </c>
      <c r="L49" s="2050" t="s">
        <v>1797</v>
      </c>
    </row>
    <row r="50" spans="2:12">
      <c r="B50" s="1186" t="s">
        <v>836</v>
      </c>
      <c r="C50" s="1186" t="s">
        <v>1274</v>
      </c>
      <c r="D50" s="1182">
        <v>205.62</v>
      </c>
      <c r="E50" s="1182">
        <v>17.14</v>
      </c>
      <c r="F50" s="1182">
        <v>17.14</v>
      </c>
      <c r="G50" s="1182">
        <v>17.14</v>
      </c>
      <c r="H50" s="1182">
        <v>17.14</v>
      </c>
      <c r="I50" s="1182">
        <v>17.14</v>
      </c>
      <c r="J50" s="1182">
        <v>17.14</v>
      </c>
      <c r="K50" s="1183">
        <f t="shared" si="1"/>
        <v>102.84</v>
      </c>
      <c r="L50" s="2050" t="s">
        <v>1798</v>
      </c>
    </row>
    <row r="51" spans="2:12">
      <c r="B51" s="1186" t="s">
        <v>1086</v>
      </c>
      <c r="C51" s="1186" t="s">
        <v>1135</v>
      </c>
      <c r="D51" s="1182">
        <v>449.95</v>
      </c>
      <c r="E51" s="1182">
        <v>37.5</v>
      </c>
      <c r="F51" s="1182">
        <v>37.5</v>
      </c>
      <c r="G51" s="1182">
        <v>37.5</v>
      </c>
      <c r="H51" s="1182">
        <v>37.5</v>
      </c>
      <c r="I51" s="1182">
        <v>37.5</v>
      </c>
      <c r="J51" s="1182">
        <v>37.5</v>
      </c>
      <c r="K51" s="1183">
        <f t="shared" si="1"/>
        <v>225</v>
      </c>
      <c r="L51" s="2050" t="s">
        <v>1799</v>
      </c>
    </row>
    <row r="52" spans="2:12" ht="22.5">
      <c r="B52" s="1186" t="s">
        <v>838</v>
      </c>
      <c r="C52" s="1186" t="s">
        <v>558</v>
      </c>
      <c r="D52" s="1182">
        <v>577.83000000000004</v>
      </c>
      <c r="E52" s="1182">
        <v>48.160833333333329</v>
      </c>
      <c r="F52" s="1182">
        <v>48.160833333333329</v>
      </c>
      <c r="G52" s="1182">
        <v>48.160833333333329</v>
      </c>
      <c r="H52" s="1182">
        <v>48.160833333333329</v>
      </c>
      <c r="I52" s="1182">
        <v>48.160833333333329</v>
      </c>
      <c r="J52" s="1182">
        <v>48.160833333333329</v>
      </c>
      <c r="K52" s="1183">
        <f t="shared" si="1"/>
        <v>288.96499999999997</v>
      </c>
      <c r="L52" s="2050" t="s">
        <v>1772</v>
      </c>
    </row>
    <row r="53" spans="2:12">
      <c r="B53" s="1186" t="s">
        <v>840</v>
      </c>
      <c r="C53" s="1186" t="s">
        <v>588</v>
      </c>
      <c r="D53" s="1182">
        <v>453.52</v>
      </c>
      <c r="E53" s="1182">
        <v>37.793333333333329</v>
      </c>
      <c r="F53" s="1182">
        <v>37.793333333333329</v>
      </c>
      <c r="G53" s="1182">
        <v>37.793333333333329</v>
      </c>
      <c r="H53" s="1182">
        <v>37.793333333333329</v>
      </c>
      <c r="I53" s="1182">
        <v>37.793333333333329</v>
      </c>
      <c r="J53" s="1182">
        <v>37.793333333333329</v>
      </c>
      <c r="K53" s="1183">
        <f t="shared" si="1"/>
        <v>226.75999999999996</v>
      </c>
      <c r="L53" s="2050"/>
    </row>
    <row r="54" spans="2:12">
      <c r="B54" s="1186" t="s">
        <v>1755</v>
      </c>
      <c r="C54" s="1186" t="s">
        <v>1136</v>
      </c>
      <c r="D54" s="1182">
        <v>1226.56</v>
      </c>
      <c r="E54" s="1182">
        <v>102.21</v>
      </c>
      <c r="F54" s="1182">
        <v>102.21</v>
      </c>
      <c r="G54" s="1182">
        <v>102.21</v>
      </c>
      <c r="H54" s="1182">
        <v>102.21</v>
      </c>
      <c r="I54" s="1182">
        <v>102.21</v>
      </c>
      <c r="J54" s="1182">
        <v>102.21</v>
      </c>
      <c r="K54" s="1183">
        <f t="shared" si="1"/>
        <v>613.26</v>
      </c>
      <c r="L54" s="2050" t="s">
        <v>1797</v>
      </c>
    </row>
    <row r="55" spans="2:12">
      <c r="B55" s="1186" t="s">
        <v>823</v>
      </c>
      <c r="C55" s="1186" t="s">
        <v>1572</v>
      </c>
      <c r="D55" s="1182">
        <v>713.48</v>
      </c>
      <c r="E55" s="1182">
        <v>0</v>
      </c>
      <c r="F55" s="1182">
        <v>0</v>
      </c>
      <c r="G55" s="1182">
        <v>0</v>
      </c>
      <c r="H55" s="1182">
        <v>59.46</v>
      </c>
      <c r="I55" s="1182">
        <v>59.46</v>
      </c>
      <c r="J55" s="1182">
        <v>59.46</v>
      </c>
      <c r="K55" s="1183">
        <f t="shared" si="1"/>
        <v>178.38</v>
      </c>
      <c r="L55" s="2050" t="s">
        <v>1800</v>
      </c>
    </row>
    <row r="56" spans="2:12">
      <c r="B56" s="1186" t="s">
        <v>841</v>
      </c>
      <c r="C56" s="1186" t="s">
        <v>589</v>
      </c>
      <c r="D56" s="1182">
        <v>279.38</v>
      </c>
      <c r="E56" s="1182">
        <v>23.281666666666666</v>
      </c>
      <c r="F56" s="1182">
        <v>23.281666666666666</v>
      </c>
      <c r="G56" s="1182">
        <v>23.281666666666666</v>
      </c>
      <c r="H56" s="1182">
        <v>23.281666666666666</v>
      </c>
      <c r="I56" s="1182">
        <v>23.281666666666666</v>
      </c>
      <c r="J56" s="1182">
        <v>23.281666666666666</v>
      </c>
      <c r="K56" s="1183">
        <f t="shared" si="1"/>
        <v>139.69</v>
      </c>
      <c r="L56" s="2050"/>
    </row>
    <row r="57" spans="2:12">
      <c r="B57" s="1186" t="s">
        <v>839</v>
      </c>
      <c r="C57" s="1186" t="s">
        <v>559</v>
      </c>
      <c r="D57" s="1182">
        <v>369.76</v>
      </c>
      <c r="E57" s="1182">
        <v>30.813333333333333</v>
      </c>
      <c r="F57" s="1182">
        <v>30.813333333333333</v>
      </c>
      <c r="G57" s="1182">
        <v>30.813333333333333</v>
      </c>
      <c r="H57" s="1182">
        <v>30.813333333333333</v>
      </c>
      <c r="I57" s="1182">
        <v>30.813333333333333</v>
      </c>
      <c r="J57" s="1182">
        <v>30.813333333333333</v>
      </c>
      <c r="K57" s="1183">
        <f t="shared" si="1"/>
        <v>184.88</v>
      </c>
      <c r="L57" s="2050"/>
    </row>
    <row r="58" spans="2:12">
      <c r="B58" s="1186" t="s">
        <v>1133</v>
      </c>
      <c r="C58" s="1186" t="s">
        <v>1576</v>
      </c>
      <c r="D58" s="1182">
        <v>547.77</v>
      </c>
      <c r="E58" s="1182">
        <v>0</v>
      </c>
      <c r="F58" s="1182">
        <v>0</v>
      </c>
      <c r="G58" s="1182">
        <v>0</v>
      </c>
      <c r="H58" s="1182">
        <v>0</v>
      </c>
      <c r="I58" s="1182">
        <v>0</v>
      </c>
      <c r="J58" s="1182">
        <v>45.65</v>
      </c>
      <c r="K58" s="1183">
        <f t="shared" si="1"/>
        <v>45.65</v>
      </c>
      <c r="L58" s="2050" t="s">
        <v>1791</v>
      </c>
    </row>
    <row r="59" spans="2:12">
      <c r="B59" s="1186" t="s">
        <v>840</v>
      </c>
      <c r="C59" s="1186" t="s">
        <v>560</v>
      </c>
      <c r="D59" s="1182">
        <v>238.8</v>
      </c>
      <c r="E59" s="1182">
        <v>19.900000000000002</v>
      </c>
      <c r="F59" s="1182">
        <v>19.900000000000002</v>
      </c>
      <c r="G59" s="1182">
        <v>19.900000000000002</v>
      </c>
      <c r="H59" s="1182">
        <v>19.900000000000002</v>
      </c>
      <c r="I59" s="1182">
        <v>19.900000000000002</v>
      </c>
      <c r="J59" s="1182">
        <v>19.900000000000002</v>
      </c>
      <c r="K59" s="1183">
        <f t="shared" si="1"/>
        <v>119.40000000000002</v>
      </c>
      <c r="L59" s="2050"/>
    </row>
    <row r="60" spans="2:12">
      <c r="B60" s="1186" t="s">
        <v>1140</v>
      </c>
      <c r="C60" s="1186" t="s">
        <v>1139</v>
      </c>
      <c r="D60" s="1182">
        <v>934.96</v>
      </c>
      <c r="E60" s="1182">
        <v>77.91</v>
      </c>
      <c r="F60" s="1182">
        <v>77.91</v>
      </c>
      <c r="G60" s="1182">
        <v>77.91</v>
      </c>
      <c r="H60" s="1182">
        <v>77.91</v>
      </c>
      <c r="I60" s="1182">
        <v>77.91</v>
      </c>
      <c r="J60" s="1182">
        <v>77.91</v>
      </c>
      <c r="K60" s="1183">
        <f t="shared" si="1"/>
        <v>467.45999999999992</v>
      </c>
      <c r="L60" s="2050" t="s">
        <v>1797</v>
      </c>
    </row>
    <row r="61" spans="2:12">
      <c r="B61" s="1186" t="s">
        <v>1587</v>
      </c>
      <c r="C61" s="1186" t="s">
        <v>561</v>
      </c>
      <c r="D61" s="1182">
        <v>180.44</v>
      </c>
      <c r="E61" s="1182">
        <v>15.036666666666667</v>
      </c>
      <c r="F61" s="1182">
        <v>15.036666666666667</v>
      </c>
      <c r="G61" s="1182">
        <v>15.036666666666667</v>
      </c>
      <c r="H61" s="1182">
        <v>15.036666666666667</v>
      </c>
      <c r="I61" s="1182">
        <v>15.036666666666667</v>
      </c>
      <c r="J61" s="1182">
        <v>15.036666666666667</v>
      </c>
      <c r="K61" s="1183">
        <f t="shared" si="1"/>
        <v>90.22</v>
      </c>
      <c r="L61" s="2050"/>
    </row>
    <row r="62" spans="2:12">
      <c r="B62" s="1186" t="s">
        <v>1142</v>
      </c>
      <c r="C62" s="1186" t="s">
        <v>1141</v>
      </c>
      <c r="D62" s="1182">
        <v>94.69</v>
      </c>
      <c r="E62" s="1182">
        <v>7.8908333333333331</v>
      </c>
      <c r="F62" s="1182">
        <v>7.8908333333333331</v>
      </c>
      <c r="G62" s="1182">
        <v>7.8908333333333331</v>
      </c>
      <c r="H62" s="1182">
        <v>7.8908333333333331</v>
      </c>
      <c r="I62" s="1182">
        <v>7.8908333333333331</v>
      </c>
      <c r="J62" s="1182">
        <v>7.8908333333333331</v>
      </c>
      <c r="K62" s="1183">
        <f t="shared" si="1"/>
        <v>47.344999999999999</v>
      </c>
      <c r="L62" s="2050"/>
    </row>
    <row r="63" spans="2:12">
      <c r="B63" s="1186" t="s">
        <v>841</v>
      </c>
      <c r="C63" s="1186" t="s">
        <v>562</v>
      </c>
      <c r="D63" s="1182">
        <v>146.44</v>
      </c>
      <c r="E63" s="1182">
        <v>12.2</v>
      </c>
      <c r="F63" s="1182">
        <v>12.2</v>
      </c>
      <c r="G63" s="1182">
        <v>12.2</v>
      </c>
      <c r="H63" s="1182">
        <v>12.2</v>
      </c>
      <c r="I63" s="1182">
        <v>12.2</v>
      </c>
      <c r="J63" s="1182">
        <v>12.2</v>
      </c>
      <c r="K63" s="1183">
        <f t="shared" si="1"/>
        <v>73.2</v>
      </c>
      <c r="L63" s="2050" t="s">
        <v>1801</v>
      </c>
    </row>
    <row r="64" spans="2:12">
      <c r="B64" s="1186" t="s">
        <v>1587</v>
      </c>
      <c r="C64" s="1186" t="s">
        <v>1313</v>
      </c>
      <c r="D64" s="1182">
        <v>785.94</v>
      </c>
      <c r="E64" s="1182">
        <v>65.495000000000005</v>
      </c>
      <c r="F64" s="1182">
        <v>65.495000000000005</v>
      </c>
      <c r="G64" s="1182">
        <v>65.495000000000005</v>
      </c>
      <c r="H64" s="1182">
        <v>65.495000000000005</v>
      </c>
      <c r="I64" s="1182">
        <v>65.495000000000005</v>
      </c>
      <c r="J64" s="1182">
        <v>65.495000000000005</v>
      </c>
      <c r="K64" s="1183">
        <f t="shared" si="1"/>
        <v>392.97</v>
      </c>
      <c r="L64" s="2050"/>
    </row>
    <row r="65" spans="2:12">
      <c r="B65" s="1186" t="s">
        <v>1285</v>
      </c>
      <c r="C65" s="1186" t="s">
        <v>563</v>
      </c>
      <c r="D65" s="1182">
        <v>139.35</v>
      </c>
      <c r="E65" s="1182">
        <v>11.612499999999999</v>
      </c>
      <c r="F65" s="1182">
        <v>11.612499999999999</v>
      </c>
      <c r="G65" s="1182">
        <v>11.612499999999999</v>
      </c>
      <c r="H65" s="1182">
        <v>11.612499999999999</v>
      </c>
      <c r="I65" s="1182">
        <v>11.612499999999999</v>
      </c>
      <c r="J65" s="1182">
        <v>11.612499999999999</v>
      </c>
      <c r="K65" s="1183">
        <f t="shared" si="1"/>
        <v>69.674999999999997</v>
      </c>
      <c r="L65" s="2050"/>
    </row>
    <row r="66" spans="2:12">
      <c r="B66" s="1186" t="s">
        <v>822</v>
      </c>
      <c r="C66" s="1186" t="s">
        <v>1312</v>
      </c>
      <c r="D66" s="1182">
        <v>1740.1</v>
      </c>
      <c r="E66" s="1182">
        <v>145.01</v>
      </c>
      <c r="F66" s="1182">
        <v>145.01</v>
      </c>
      <c r="G66" s="1182">
        <v>145.01</v>
      </c>
      <c r="H66" s="1182">
        <v>145.01</v>
      </c>
      <c r="I66" s="1182">
        <v>145.01</v>
      </c>
      <c r="J66" s="1182">
        <v>145.01</v>
      </c>
      <c r="K66" s="1183">
        <f t="shared" si="1"/>
        <v>870.06</v>
      </c>
      <c r="L66" s="2050" t="s">
        <v>1802</v>
      </c>
    </row>
    <row r="67" spans="2:12">
      <c r="B67" s="1186" t="s">
        <v>1106</v>
      </c>
      <c r="C67" s="1186" t="s">
        <v>564</v>
      </c>
      <c r="D67" s="1182">
        <v>117.64</v>
      </c>
      <c r="E67" s="1182">
        <v>9.8033333333333328</v>
      </c>
      <c r="F67" s="1182">
        <v>9.8033333333333328</v>
      </c>
      <c r="G67" s="1182">
        <v>9.8033333333333328</v>
      </c>
      <c r="H67" s="1182">
        <v>9.8033333333333328</v>
      </c>
      <c r="I67" s="1182">
        <v>9.8033333333333328</v>
      </c>
      <c r="J67" s="1182">
        <v>9.8033333333333328</v>
      </c>
      <c r="K67" s="1183">
        <f t="shared" si="1"/>
        <v>58.82</v>
      </c>
      <c r="L67" s="2050"/>
    </row>
    <row r="68" spans="2:12">
      <c r="B68" s="1186" t="s">
        <v>815</v>
      </c>
      <c r="C68" s="1186" t="s">
        <v>1311</v>
      </c>
      <c r="D68" s="1182">
        <v>846.94</v>
      </c>
      <c r="E68" s="1182">
        <v>0</v>
      </c>
      <c r="F68" s="1182">
        <v>0</v>
      </c>
      <c r="G68" s="1182">
        <v>0</v>
      </c>
      <c r="H68" s="1182">
        <v>0</v>
      </c>
      <c r="I68" s="1182">
        <v>70.58</v>
      </c>
      <c r="J68" s="1182">
        <v>70.58</v>
      </c>
      <c r="K68" s="1183">
        <f t="shared" si="1"/>
        <v>141.16</v>
      </c>
      <c r="L68" s="2050" t="s">
        <v>1803</v>
      </c>
    </row>
    <row r="69" spans="2:12">
      <c r="B69" s="1186" t="s">
        <v>1038</v>
      </c>
      <c r="C69" s="1186" t="s">
        <v>565</v>
      </c>
      <c r="D69" s="1182">
        <v>82.84</v>
      </c>
      <c r="E69" s="1182">
        <v>6.9033333333333333</v>
      </c>
      <c r="F69" s="1182">
        <v>6.9033333333333333</v>
      </c>
      <c r="G69" s="1182">
        <v>6.9033333333333333</v>
      </c>
      <c r="H69" s="1182">
        <v>6.9033333333333333</v>
      </c>
      <c r="I69" s="1182">
        <v>6.9033333333333333</v>
      </c>
      <c r="J69" s="1182">
        <v>6.9033333333333333</v>
      </c>
      <c r="K69" s="1183">
        <f t="shared" si="1"/>
        <v>41.42</v>
      </c>
      <c r="L69" s="2050"/>
    </row>
    <row r="70" spans="2:12">
      <c r="B70" s="1186" t="s">
        <v>948</v>
      </c>
      <c r="C70" s="1186" t="s">
        <v>1310</v>
      </c>
      <c r="D70" s="1182">
        <v>2269.0100000000002</v>
      </c>
      <c r="E70" s="1182">
        <v>189.08357343750001</v>
      </c>
      <c r="F70" s="1182">
        <v>189.08357343750001</v>
      </c>
      <c r="G70" s="1182">
        <v>189.08357343750001</v>
      </c>
      <c r="H70" s="1182">
        <v>189.08357343750001</v>
      </c>
      <c r="I70" s="1182">
        <v>0</v>
      </c>
      <c r="J70" s="1182">
        <v>0</v>
      </c>
      <c r="K70" s="1183">
        <f t="shared" ref="K70:K93" si="13">SUM(E70:J70)</f>
        <v>756.33429375000003</v>
      </c>
      <c r="L70" s="2050" t="s">
        <v>1804</v>
      </c>
    </row>
    <row r="71" spans="2:12">
      <c r="B71" s="1186" t="s">
        <v>842</v>
      </c>
      <c r="C71" s="1186" t="s">
        <v>566</v>
      </c>
      <c r="D71" s="1182">
        <v>75.209999999999994</v>
      </c>
      <c r="E71" s="1182">
        <v>6.2674999999999992</v>
      </c>
      <c r="F71" s="1182">
        <v>6.2674999999999992</v>
      </c>
      <c r="G71" s="1182">
        <v>6.2674999999999992</v>
      </c>
      <c r="H71" s="1182">
        <v>6.2674999999999992</v>
      </c>
      <c r="I71" s="1182">
        <v>6.2674999999999992</v>
      </c>
      <c r="J71" s="1182">
        <v>6.2674999999999992</v>
      </c>
      <c r="K71" s="1183">
        <f t="shared" si="13"/>
        <v>37.604999999999997</v>
      </c>
      <c r="L71" s="2050"/>
    </row>
    <row r="72" spans="2:12">
      <c r="B72" s="1186" t="s">
        <v>1756</v>
      </c>
      <c r="C72" s="1186" t="s">
        <v>1309</v>
      </c>
      <c r="D72" s="1182">
        <v>1872.48</v>
      </c>
      <c r="E72" s="1182">
        <f>D72/12</f>
        <v>156.04</v>
      </c>
      <c r="F72" s="1182">
        <f>E72</f>
        <v>156.04</v>
      </c>
      <c r="G72" s="1182">
        <f t="shared" ref="G72:J72" si="14">F72</f>
        <v>156.04</v>
      </c>
      <c r="H72" s="1182">
        <f t="shared" si="14"/>
        <v>156.04</v>
      </c>
      <c r="I72" s="1182">
        <f t="shared" si="14"/>
        <v>156.04</v>
      </c>
      <c r="J72" s="1182">
        <f t="shared" si="14"/>
        <v>156.04</v>
      </c>
      <c r="K72" s="1183">
        <f t="shared" si="13"/>
        <v>936.2399999999999</v>
      </c>
      <c r="L72" s="2050" t="s">
        <v>1805</v>
      </c>
    </row>
    <row r="73" spans="2:12">
      <c r="B73" s="1186" t="s">
        <v>1150</v>
      </c>
      <c r="C73" s="1186" t="s">
        <v>1308</v>
      </c>
      <c r="D73" s="1182">
        <v>1701.32</v>
      </c>
      <c r="E73" s="1182">
        <v>141.77666666666667</v>
      </c>
      <c r="F73" s="1182">
        <v>141.77666666666667</v>
      </c>
      <c r="G73" s="1182">
        <v>141.77666666666667</v>
      </c>
      <c r="H73" s="1182">
        <v>141.77666666666667</v>
      </c>
      <c r="I73" s="1182">
        <v>141.77666666666667</v>
      </c>
      <c r="J73" s="1182">
        <v>141.77666666666667</v>
      </c>
      <c r="K73" s="1183">
        <f t="shared" si="13"/>
        <v>850.66</v>
      </c>
      <c r="L73" s="2050"/>
    </row>
    <row r="74" spans="2:12">
      <c r="B74" s="1186" t="s">
        <v>837</v>
      </c>
      <c r="C74" s="1186" t="s">
        <v>1307</v>
      </c>
      <c r="D74" s="1182">
        <v>11230.88</v>
      </c>
      <c r="E74" s="1182">
        <v>935.90500000000009</v>
      </c>
      <c r="F74" s="1182">
        <v>935.90500000000009</v>
      </c>
      <c r="G74" s="1182">
        <v>935.90500000000009</v>
      </c>
      <c r="H74" s="1182">
        <v>935.90500000000009</v>
      </c>
      <c r="I74" s="1182">
        <v>935.90500000000009</v>
      </c>
      <c r="J74" s="1182">
        <v>935.90500000000009</v>
      </c>
      <c r="K74" s="1183">
        <f t="shared" si="13"/>
        <v>5615.43</v>
      </c>
      <c r="L74" s="2050"/>
    </row>
    <row r="75" spans="2:12">
      <c r="B75" s="1186" t="s">
        <v>753</v>
      </c>
      <c r="C75" s="1186" t="s">
        <v>1290</v>
      </c>
      <c r="D75" s="1182">
        <v>1849.72</v>
      </c>
      <c r="E75" s="1182">
        <v>154.14333333333335</v>
      </c>
      <c r="F75" s="1182">
        <v>154.14333333333335</v>
      </c>
      <c r="G75" s="1182">
        <v>154.14333333333335</v>
      </c>
      <c r="H75" s="1182">
        <v>154.14333333333335</v>
      </c>
      <c r="I75" s="1182">
        <v>154.14333333333335</v>
      </c>
      <c r="J75" s="1182">
        <v>154.14333333333335</v>
      </c>
      <c r="K75" s="1183">
        <f t="shared" si="13"/>
        <v>924.86</v>
      </c>
      <c r="L75" s="2050"/>
    </row>
    <row r="76" spans="2:12">
      <c r="B76" s="1186" t="s">
        <v>1339</v>
      </c>
      <c r="C76" s="1186" t="s">
        <v>1306</v>
      </c>
      <c r="D76" s="1182">
        <v>1295.8</v>
      </c>
      <c r="E76" s="1182">
        <v>162.20916666666668</v>
      </c>
      <c r="F76" s="1182">
        <v>162.20916666666668</v>
      </c>
      <c r="G76" s="1182">
        <v>162.20916666666668</v>
      </c>
      <c r="H76" s="1182">
        <v>162.20916666666668</v>
      </c>
      <c r="I76" s="1182">
        <v>162.20916666666668</v>
      </c>
      <c r="J76" s="1182">
        <v>162.20916666666668</v>
      </c>
      <c r="K76" s="1183">
        <f t="shared" si="13"/>
        <v>973.255</v>
      </c>
      <c r="L76" s="2050" t="s">
        <v>1806</v>
      </c>
    </row>
    <row r="77" spans="2:12">
      <c r="B77" s="1186" t="s">
        <v>1340</v>
      </c>
      <c r="C77" s="1186" t="s">
        <v>1305</v>
      </c>
      <c r="D77" s="1182">
        <v>385.1</v>
      </c>
      <c r="E77" s="1182">
        <v>32.090000000000003</v>
      </c>
      <c r="F77" s="1182">
        <v>32.090000000000003</v>
      </c>
      <c r="G77" s="1182">
        <v>32.090000000000003</v>
      </c>
      <c r="H77" s="1182">
        <v>32.090000000000003</v>
      </c>
      <c r="I77" s="1182">
        <v>32.090000000000003</v>
      </c>
      <c r="J77" s="1182">
        <v>32.090000000000003</v>
      </c>
      <c r="K77" s="1183">
        <f t="shared" si="13"/>
        <v>192.54000000000002</v>
      </c>
      <c r="L77" s="2050" t="s">
        <v>1802</v>
      </c>
    </row>
    <row r="78" spans="2:12">
      <c r="B78" s="1186" t="s">
        <v>1341</v>
      </c>
      <c r="C78" s="1186" t="s">
        <v>1304</v>
      </c>
      <c r="D78" s="1182">
        <v>1763.66</v>
      </c>
      <c r="E78" s="1182">
        <v>154.465</v>
      </c>
      <c r="F78" s="1182">
        <v>154.465</v>
      </c>
      <c r="G78" s="1182">
        <v>154.465</v>
      </c>
      <c r="H78" s="1182">
        <v>154.465</v>
      </c>
      <c r="I78" s="1182">
        <v>154.465</v>
      </c>
      <c r="J78" s="1182">
        <v>154.465</v>
      </c>
      <c r="K78" s="1183">
        <f t="shared" si="13"/>
        <v>926.79000000000008</v>
      </c>
      <c r="L78" s="2050"/>
    </row>
    <row r="79" spans="2:12">
      <c r="B79" s="1186" t="s">
        <v>1140</v>
      </c>
      <c r="C79" s="1186" t="s">
        <v>1303</v>
      </c>
      <c r="D79" s="1182">
        <v>12794.43</v>
      </c>
      <c r="E79" s="1182">
        <v>1066.2025000000001</v>
      </c>
      <c r="F79" s="1182">
        <v>1066.2025000000001</v>
      </c>
      <c r="G79" s="1182">
        <v>1066.2025000000001</v>
      </c>
      <c r="H79" s="1182">
        <v>1066.2025000000001</v>
      </c>
      <c r="I79" s="1182">
        <v>1066.2025000000001</v>
      </c>
      <c r="J79" s="1182">
        <v>1066.2025000000001</v>
      </c>
      <c r="K79" s="1183">
        <f t="shared" si="13"/>
        <v>6397.2150000000011</v>
      </c>
      <c r="L79" s="2050"/>
    </row>
    <row r="80" spans="2:12">
      <c r="B80" s="1186" t="s">
        <v>1286</v>
      </c>
      <c r="C80" s="1186" t="s">
        <v>1292</v>
      </c>
      <c r="D80" s="1182">
        <v>7588.01</v>
      </c>
      <c r="E80" s="1182">
        <v>632.33000000000004</v>
      </c>
      <c r="F80" s="1182">
        <v>632.33000000000004</v>
      </c>
      <c r="G80" s="1182">
        <v>632.33000000000004</v>
      </c>
      <c r="H80" s="1182">
        <v>632.33000000000004</v>
      </c>
      <c r="I80" s="1182">
        <v>632.33000000000004</v>
      </c>
      <c r="J80" s="1182">
        <v>632.33000000000004</v>
      </c>
      <c r="K80" s="1183">
        <f t="shared" si="13"/>
        <v>3793.98</v>
      </c>
      <c r="L80" s="2050" t="s">
        <v>1808</v>
      </c>
    </row>
    <row r="81" spans="2:12">
      <c r="B81" s="1186" t="s">
        <v>1133</v>
      </c>
      <c r="C81" s="1186" t="s">
        <v>1294</v>
      </c>
      <c r="D81" s="1182">
        <v>2223.38</v>
      </c>
      <c r="E81" s="1182">
        <v>185.28166666666667</v>
      </c>
      <c r="F81" s="1182">
        <v>185.28166666666667</v>
      </c>
      <c r="G81" s="1182">
        <v>185.28166666666667</v>
      </c>
      <c r="H81" s="1182">
        <v>185.28166666666667</v>
      </c>
      <c r="I81" s="1182">
        <v>185.28166666666667</v>
      </c>
      <c r="J81" s="1182">
        <v>185.28166666666667</v>
      </c>
      <c r="K81" s="1183">
        <f t="shared" si="13"/>
        <v>1111.69</v>
      </c>
      <c r="L81" s="2050"/>
    </row>
    <row r="82" spans="2:12">
      <c r="B82" s="1186" t="s">
        <v>1086</v>
      </c>
      <c r="C82" s="1186" t="s">
        <v>1295</v>
      </c>
      <c r="D82" s="1182">
        <v>2846.63</v>
      </c>
      <c r="E82" s="1182">
        <v>237.21916666666667</v>
      </c>
      <c r="F82" s="1182">
        <v>237.21916666666667</v>
      </c>
      <c r="G82" s="1182">
        <v>237.21916666666667</v>
      </c>
      <c r="H82" s="1182">
        <v>237.21916666666667</v>
      </c>
      <c r="I82" s="1182">
        <v>237.21916666666667</v>
      </c>
      <c r="J82" s="1182">
        <v>237.21916666666667</v>
      </c>
      <c r="K82" s="1183">
        <f t="shared" si="13"/>
        <v>1423.3150000000001</v>
      </c>
      <c r="L82" s="2050"/>
    </row>
    <row r="83" spans="2:12">
      <c r="B83" s="1186" t="s">
        <v>1041</v>
      </c>
      <c r="C83" s="1186" t="s">
        <v>825</v>
      </c>
      <c r="D83" s="1182">
        <v>815.85</v>
      </c>
      <c r="E83" s="1182">
        <v>67.989999999999995</v>
      </c>
      <c r="F83" s="1182">
        <v>67.989999999999995</v>
      </c>
      <c r="G83" s="1182">
        <v>67.989999999999995</v>
      </c>
      <c r="H83" s="1182">
        <v>67.989999999999995</v>
      </c>
      <c r="I83" s="1182">
        <v>67.989999999999995</v>
      </c>
      <c r="J83" s="1182">
        <v>67.989999999999995</v>
      </c>
      <c r="K83" s="1183">
        <f t="shared" si="13"/>
        <v>407.94</v>
      </c>
      <c r="L83" s="2050" t="s">
        <v>1809</v>
      </c>
    </row>
    <row r="84" spans="2:12">
      <c r="B84" s="1186" t="s">
        <v>814</v>
      </c>
      <c r="C84" s="1186" t="s">
        <v>576</v>
      </c>
      <c r="D84" s="1182">
        <v>161.81</v>
      </c>
      <c r="E84" s="1182">
        <v>13.4925</v>
      </c>
      <c r="F84" s="1182">
        <v>13.4925</v>
      </c>
      <c r="G84" s="1182">
        <v>13.4925</v>
      </c>
      <c r="H84" s="1182"/>
      <c r="I84" s="1182"/>
      <c r="J84" s="1182"/>
      <c r="K84" s="1183">
        <f t="shared" si="13"/>
        <v>40.477499999999999</v>
      </c>
      <c r="L84" s="2050" t="s">
        <v>1773</v>
      </c>
    </row>
    <row r="85" spans="2:12">
      <c r="B85" s="1186" t="s">
        <v>1608</v>
      </c>
      <c r="C85" s="1186" t="s">
        <v>831</v>
      </c>
      <c r="D85" s="1182">
        <v>26293.09</v>
      </c>
      <c r="E85" s="1182">
        <v>2191.0908333333332</v>
      </c>
      <c r="F85" s="1182">
        <v>2191.0908333333332</v>
      </c>
      <c r="G85" s="1182">
        <v>2191.0908333333332</v>
      </c>
      <c r="H85" s="1182">
        <v>2191.0908333333332</v>
      </c>
      <c r="I85" s="1182">
        <v>2191.0908333333332</v>
      </c>
      <c r="J85" s="1182">
        <v>2191.0908333333332</v>
      </c>
      <c r="K85" s="1183">
        <f t="shared" si="13"/>
        <v>13146.545</v>
      </c>
      <c r="L85" s="2050"/>
    </row>
    <row r="86" spans="2:12">
      <c r="B86" s="1186" t="s">
        <v>753</v>
      </c>
      <c r="C86" s="1186" t="s">
        <v>687</v>
      </c>
      <c r="D86" s="1182">
        <v>138.9</v>
      </c>
      <c r="E86" s="1182">
        <v>11.575000000000001</v>
      </c>
      <c r="F86" s="1182">
        <v>11.575000000000001</v>
      </c>
      <c r="G86" s="1182">
        <v>11.575000000000001</v>
      </c>
      <c r="H86" s="1182">
        <v>11.575000000000001</v>
      </c>
      <c r="I86" s="1182">
        <v>11.575000000000001</v>
      </c>
      <c r="J86" s="1182">
        <v>11.575000000000001</v>
      </c>
      <c r="K86" s="1183">
        <f t="shared" si="13"/>
        <v>69.45</v>
      </c>
      <c r="L86" s="2050"/>
    </row>
    <row r="87" spans="2:12">
      <c r="B87" s="1186" t="s">
        <v>1597</v>
      </c>
      <c r="C87" s="1186" t="s">
        <v>688</v>
      </c>
      <c r="D87" s="1182">
        <v>677.69</v>
      </c>
      <c r="E87" s="1182">
        <v>56.474166666666669</v>
      </c>
      <c r="F87" s="1182">
        <v>56.474166666666669</v>
      </c>
      <c r="G87" s="1182">
        <v>56.474166666666669</v>
      </c>
      <c r="H87" s="1182">
        <v>56.474166666666669</v>
      </c>
      <c r="I87" s="1182">
        <v>56.474166666666669</v>
      </c>
      <c r="J87" s="1182">
        <v>56.474166666666669</v>
      </c>
      <c r="K87" s="1183">
        <f t="shared" si="13"/>
        <v>338.84500000000003</v>
      </c>
      <c r="L87" s="2050"/>
    </row>
    <row r="88" spans="2:12">
      <c r="B88" s="1186" t="s">
        <v>826</v>
      </c>
      <c r="C88" s="1186" t="s">
        <v>800</v>
      </c>
      <c r="D88" s="1182">
        <v>78.75</v>
      </c>
      <c r="E88" s="1182">
        <v>6.5625</v>
      </c>
      <c r="F88" s="1182">
        <v>6.5625</v>
      </c>
      <c r="G88" s="1182">
        <v>6.5625</v>
      </c>
      <c r="H88" s="1182">
        <v>6.5625</v>
      </c>
      <c r="I88" s="1182">
        <v>6.5625</v>
      </c>
      <c r="J88" s="1182">
        <v>6.5625</v>
      </c>
      <c r="K88" s="1183">
        <f t="shared" si="13"/>
        <v>39.375</v>
      </c>
      <c r="L88" s="2050"/>
    </row>
    <row r="89" spans="2:12">
      <c r="B89" s="1186" t="s">
        <v>1760</v>
      </c>
      <c r="C89" s="1186" t="s">
        <v>1647</v>
      </c>
      <c r="D89" s="1182">
        <v>1156.3900000000001</v>
      </c>
      <c r="E89" s="1182">
        <v>96.365833333333342</v>
      </c>
      <c r="F89" s="1182">
        <v>96.365833333333342</v>
      </c>
      <c r="G89" s="1182">
        <v>96.365833333333342</v>
      </c>
      <c r="H89" s="1182">
        <v>96.365833333333342</v>
      </c>
      <c r="I89" s="1182">
        <v>96.365833333333342</v>
      </c>
      <c r="J89" s="1182">
        <v>96.365833333333342</v>
      </c>
      <c r="K89" s="1183">
        <f t="shared" si="13"/>
        <v>578.19500000000005</v>
      </c>
      <c r="L89" s="2050"/>
    </row>
    <row r="90" spans="2:12">
      <c r="B90" s="1186" t="s">
        <v>1644</v>
      </c>
      <c r="C90" s="1186" t="s">
        <v>1647</v>
      </c>
      <c r="D90" s="1182">
        <v>139.1</v>
      </c>
      <c r="E90" s="1182">
        <v>11.591666666666667</v>
      </c>
      <c r="F90" s="1182">
        <v>11.591666666666667</v>
      </c>
      <c r="G90" s="1182">
        <v>11.591666666666667</v>
      </c>
      <c r="H90" s="1182">
        <v>11.591666666666667</v>
      </c>
      <c r="I90" s="1182">
        <v>11.591666666666667</v>
      </c>
      <c r="J90" s="1182">
        <v>11.591666666666667</v>
      </c>
      <c r="K90" s="1183">
        <f t="shared" si="13"/>
        <v>69.55</v>
      </c>
      <c r="L90" s="2050"/>
    </row>
    <row r="91" spans="2:12">
      <c r="B91" s="1186" t="s">
        <v>1646</v>
      </c>
      <c r="C91" s="1186" t="s">
        <v>489</v>
      </c>
      <c r="D91" s="1182">
        <v>22202.91</v>
      </c>
      <c r="E91" s="1182">
        <v>1850.2425000000001</v>
      </c>
      <c r="F91" s="1182">
        <v>1850.2425000000001</v>
      </c>
      <c r="G91" s="1182">
        <v>1850.2425000000001</v>
      </c>
      <c r="H91" s="1182">
        <v>1850.2425000000001</v>
      </c>
      <c r="I91" s="1182">
        <v>1850.2425000000001</v>
      </c>
      <c r="J91" s="1182">
        <v>1850.2425000000001</v>
      </c>
      <c r="K91" s="1183">
        <f t="shared" si="13"/>
        <v>11101.455</v>
      </c>
      <c r="L91" s="2050"/>
    </row>
    <row r="92" spans="2:12">
      <c r="B92" s="1186" t="s">
        <v>1645</v>
      </c>
      <c r="C92" s="1186" t="s">
        <v>489</v>
      </c>
      <c r="D92" s="1182">
        <v>9887.4</v>
      </c>
      <c r="E92" s="1182">
        <v>828.85416666666663</v>
      </c>
      <c r="F92" s="1182">
        <v>828.85416666666663</v>
      </c>
      <c r="G92" s="1182">
        <v>828.85416666666663</v>
      </c>
      <c r="H92" s="1182">
        <v>828.85416666666663</v>
      </c>
      <c r="I92" s="1182">
        <v>828.85416666666663</v>
      </c>
      <c r="J92" s="1182">
        <v>828.85416666666663</v>
      </c>
      <c r="K92" s="1183">
        <f t="shared" si="13"/>
        <v>4973.125</v>
      </c>
      <c r="L92" s="2050"/>
    </row>
    <row r="93" spans="2:12">
      <c r="B93" s="1186" t="s">
        <v>1759</v>
      </c>
      <c r="C93" s="1186" t="s">
        <v>10</v>
      </c>
      <c r="D93" s="1182">
        <v>5999.31</v>
      </c>
      <c r="E93" s="1182">
        <v>499.94250000000005</v>
      </c>
      <c r="F93" s="1182">
        <v>499.94250000000005</v>
      </c>
      <c r="G93" s="1182">
        <v>499.94250000000005</v>
      </c>
      <c r="H93" s="1182">
        <v>499.94250000000005</v>
      </c>
      <c r="I93" s="1182">
        <v>499.94250000000005</v>
      </c>
      <c r="J93" s="1182">
        <v>499.94250000000005</v>
      </c>
      <c r="K93" s="1183">
        <f t="shared" si="13"/>
        <v>2999.6550000000002</v>
      </c>
      <c r="L93" s="1566"/>
    </row>
    <row r="94" spans="2:12">
      <c r="B94" s="1186"/>
      <c r="C94" s="1186"/>
      <c r="D94" s="1183"/>
      <c r="E94" s="1182"/>
      <c r="F94" s="1182"/>
      <c r="G94" s="1182"/>
      <c r="H94" s="1182"/>
      <c r="I94" s="1182"/>
      <c r="J94" s="1182"/>
      <c r="K94" s="1183"/>
      <c r="L94" s="1566"/>
    </row>
    <row r="95" spans="2:12">
      <c r="B95" s="1186"/>
      <c r="C95" s="1186"/>
      <c r="D95" s="1183"/>
      <c r="E95" s="1182"/>
      <c r="F95" s="1182"/>
      <c r="G95" s="1182"/>
      <c r="H95" s="1182"/>
      <c r="I95" s="1182"/>
      <c r="J95" s="1182"/>
      <c r="K95" s="1183"/>
      <c r="L95" s="1566"/>
    </row>
    <row r="96" spans="2:12">
      <c r="B96" s="1186"/>
      <c r="C96" s="1186"/>
      <c r="D96" s="1182"/>
      <c r="E96" s="1182"/>
      <c r="F96" s="1182"/>
      <c r="G96" s="1182"/>
      <c r="H96" s="1182"/>
      <c r="I96" s="1182"/>
      <c r="J96" s="1182"/>
      <c r="K96" s="1183"/>
      <c r="L96" s="1566"/>
    </row>
    <row r="97" spans="1:12">
      <c r="B97" s="1187" t="s">
        <v>111</v>
      </c>
      <c r="C97" s="1178"/>
      <c r="D97" s="1188">
        <f t="shared" ref="D97:K97" si="15">SUM(D4:D96)</f>
        <v>290896.00000000012</v>
      </c>
      <c r="E97" s="1188">
        <f t="shared" si="15"/>
        <v>22358.851906770837</v>
      </c>
      <c r="F97" s="1188">
        <f t="shared" si="15"/>
        <v>22282.641906770838</v>
      </c>
      <c r="G97" s="1188">
        <f t="shared" si="15"/>
        <v>23711.904406770842</v>
      </c>
      <c r="H97" s="1188">
        <f t="shared" si="15"/>
        <v>23757.871906770841</v>
      </c>
      <c r="I97" s="1188">
        <f t="shared" si="15"/>
        <v>23651.199166666673</v>
      </c>
      <c r="J97" s="1188">
        <f t="shared" si="15"/>
        <v>23932.482500000006</v>
      </c>
      <c r="K97" s="1188">
        <f t="shared" si="15"/>
        <v>139694.95179374999</v>
      </c>
      <c r="L97" s="1566"/>
    </row>
    <row r="98" spans="1:12">
      <c r="B98" s="1186"/>
      <c r="C98" s="1186"/>
      <c r="D98" s="1182"/>
      <c r="E98" s="1182"/>
      <c r="F98" s="1182"/>
      <c r="G98" s="1182"/>
      <c r="H98" s="1182"/>
      <c r="I98" s="1182"/>
      <c r="J98" s="1182"/>
      <c r="K98" s="1183"/>
      <c r="L98" s="1566"/>
    </row>
    <row r="99" spans="1:12">
      <c r="D99" s="1184"/>
      <c r="E99" s="1184"/>
      <c r="K99" s="1185"/>
    </row>
    <row r="100" spans="1:12">
      <c r="K100" s="1185"/>
    </row>
    <row r="101" spans="1:12">
      <c r="B101" s="1190" t="str">
        <f>'PORTADA PORTADA PORTADA'!$B$23</f>
        <v>1 DE JULIO DE 2026</v>
      </c>
    </row>
    <row r="109" spans="1:12">
      <c r="A109" s="1176"/>
    </row>
  </sheetData>
  <printOptions horizontalCentered="1" verticalCentered="1"/>
  <pageMargins left="0.59055118110236227" right="0.39370078740157483" top="0.59055118110236227" bottom="0.39370078740157483" header="0.59055118110236227" footer="0.47244094488188981"/>
  <pageSetup scale="55" orientation="portrait" r:id="rId1"/>
  <headerFooter>
    <oddHeader>&amp;L&amp;"Times New Roman,Negrita"&amp;14Nombre de la Distribuidora: &amp;K06-048ENSA&amp;RASEP FORM: &amp;A</oddHeader>
    <oddFooter>&amp;R&amp;A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Hoja71">
    <tabColor theme="8" tint="0.39997558519241921"/>
  </sheetPr>
  <dimension ref="B1:O19"/>
  <sheetViews>
    <sheetView zoomScale="85" zoomScaleNormal="85" zoomScaleSheetLayoutView="85" workbookViewId="0">
      <selection activeCell="J16" sqref="J16"/>
    </sheetView>
  </sheetViews>
  <sheetFormatPr baseColWidth="10" defaultColWidth="10" defaultRowHeight="13.5"/>
  <cols>
    <col min="1" max="1" width="2.5" style="450" customWidth="1"/>
    <col min="2" max="2" width="5.375" style="450" customWidth="1"/>
    <col min="3" max="3" width="21.75" style="456" customWidth="1"/>
    <col min="4" max="4" width="7.625" style="450" customWidth="1"/>
    <col min="5" max="11" width="11.75" style="450" customWidth="1"/>
    <col min="12" max="12" width="3.625" style="450" customWidth="1"/>
    <col min="13" max="13" width="2.875" style="450" customWidth="1"/>
    <col min="14" max="14" width="12.25" style="450" customWidth="1"/>
    <col min="15" max="16384" width="10" style="450"/>
  </cols>
  <sheetData>
    <row r="1" spans="2:15" s="38" customFormat="1" ht="14.25" thickBot="1">
      <c r="C1" s="271" t="s">
        <v>151</v>
      </c>
    </row>
    <row r="2" spans="2:15" s="38" customFormat="1" ht="14.25" thickBot="1">
      <c r="C2" s="448"/>
      <c r="D2" s="272" t="s">
        <v>138</v>
      </c>
      <c r="G2" s="41" t="s">
        <v>76</v>
      </c>
      <c r="H2" s="447" t="s">
        <v>258</v>
      </c>
      <c r="I2" s="449"/>
    </row>
    <row r="3" spans="2:15" s="38" customFormat="1">
      <c r="C3" s="41"/>
    </row>
    <row r="4" spans="2:15">
      <c r="C4" s="271" t="s">
        <v>321</v>
      </c>
      <c r="D4" s="455"/>
    </row>
    <row r="5" spans="2:15">
      <c r="C5" s="1163"/>
      <c r="D5" s="455"/>
    </row>
    <row r="6" spans="2:15" ht="22.5" customHeight="1">
      <c r="B6" s="451"/>
      <c r="C6" s="452" t="s">
        <v>153</v>
      </c>
      <c r="D6" s="453" t="s">
        <v>317</v>
      </c>
      <c r="E6" s="454">
        <f>F801C!D4</f>
        <v>46204</v>
      </c>
      <c r="F6" s="454">
        <f>F801C!E4</f>
        <v>46235</v>
      </c>
      <c r="G6" s="454">
        <f>F801C!F4</f>
        <v>46266</v>
      </c>
      <c r="H6" s="454">
        <f>F801C!G4</f>
        <v>46296</v>
      </c>
      <c r="I6" s="454">
        <f>F801C!H4</f>
        <v>46327</v>
      </c>
      <c r="J6" s="454">
        <f>F801C!I4</f>
        <v>46357</v>
      </c>
      <c r="K6" s="454" t="s">
        <v>112</v>
      </c>
    </row>
    <row r="7" spans="2:15" ht="40.5">
      <c r="B7" s="1164">
        <v>1</v>
      </c>
      <c r="C7" s="1035" t="s">
        <v>293</v>
      </c>
      <c r="D7" s="1036" t="s">
        <v>514</v>
      </c>
      <c r="E7" s="1037">
        <f>F801ENE!D107</f>
        <v>283277659.15800005</v>
      </c>
      <c r="F7" s="1037">
        <f>F801ENE!E107</f>
        <v>283395883.08599997</v>
      </c>
      <c r="G7" s="1037">
        <f>F801ENE!F107</f>
        <v>278043298.54199994</v>
      </c>
      <c r="H7" s="1037">
        <f>F801ENE!G107</f>
        <v>282424442.68799996</v>
      </c>
      <c r="I7" s="1037">
        <f>F801ENE!H107</f>
        <v>270187056.48600006</v>
      </c>
      <c r="J7" s="1037">
        <f>F801ENE!I107</f>
        <v>271453117.91400003</v>
      </c>
      <c r="K7" s="1038">
        <f>SUM(E7:J7)</f>
        <v>1668781457.8740001</v>
      </c>
    </row>
    <row r="8" spans="2:15" ht="40.5">
      <c r="B8" s="1164">
        <v>2</v>
      </c>
      <c r="C8" s="1035" t="s">
        <v>294</v>
      </c>
      <c r="D8" s="1036" t="s">
        <v>514</v>
      </c>
      <c r="E8" s="1037">
        <f>F801ENE!D108</f>
        <v>6366423</v>
      </c>
      <c r="F8" s="1037">
        <f>F801ENE!E108</f>
        <v>6431729</v>
      </c>
      <c r="G8" s="1037">
        <f>F801ENE!F108</f>
        <v>6497035</v>
      </c>
      <c r="H8" s="1037">
        <f>F801ENE!G108</f>
        <v>6562341</v>
      </c>
      <c r="I8" s="1037">
        <f>F801ENE!H108</f>
        <v>6627647</v>
      </c>
      <c r="J8" s="1037">
        <f>F801ENE!I108</f>
        <v>6692953</v>
      </c>
      <c r="K8" s="1038">
        <f>SUM(E8:J8)</f>
        <v>39178128</v>
      </c>
    </row>
    <row r="9" spans="2:15" ht="24.75" customHeight="1">
      <c r="B9" s="1164"/>
      <c r="C9" s="1039" t="s">
        <v>455</v>
      </c>
      <c r="D9" s="1036"/>
      <c r="E9" s="1038">
        <f t="shared" ref="E9" si="0">E7+E8</f>
        <v>289644082.15800005</v>
      </c>
      <c r="F9" s="1038">
        <f t="shared" ref="F9:J9" si="1">F7+F8</f>
        <v>289827612.08599997</v>
      </c>
      <c r="G9" s="1038">
        <f t="shared" si="1"/>
        <v>284540333.54199994</v>
      </c>
      <c r="H9" s="1038">
        <f t="shared" si="1"/>
        <v>288986783.68799996</v>
      </c>
      <c r="I9" s="1038">
        <f t="shared" si="1"/>
        <v>276814703.48600006</v>
      </c>
      <c r="J9" s="1038">
        <f t="shared" si="1"/>
        <v>278146070.91400003</v>
      </c>
      <c r="K9" s="1038">
        <f>SUM(E9:J9)</f>
        <v>1707959585.8740001</v>
      </c>
    </row>
    <row r="10" spans="2:15" ht="30" customHeight="1">
      <c r="B10" s="1164">
        <v>3</v>
      </c>
      <c r="C10" s="1035" t="s">
        <v>318</v>
      </c>
      <c r="D10" s="1036" t="s">
        <v>319</v>
      </c>
      <c r="E10" s="1040">
        <f>ComEne26!G223</f>
        <v>0.14786151045452817</v>
      </c>
      <c r="F10" s="1040">
        <f>ComEne26!H223</f>
        <v>0.1289912027736729</v>
      </c>
      <c r="G10" s="1040">
        <f>ComEne26!I223</f>
        <v>0.11418377374490282</v>
      </c>
      <c r="H10" s="1040">
        <f>ComEne26!J223</f>
        <v>0.11946301763840333</v>
      </c>
      <c r="I10" s="1040">
        <f>ComEne26!K223</f>
        <v>9.5020390691915341E-2</v>
      </c>
      <c r="J10" s="1040">
        <f>ComEne26!L223</f>
        <v>0.14159847012076951</v>
      </c>
      <c r="K10" s="1041">
        <f>(K11-K9)/K11</f>
        <v>0.12500789177794006</v>
      </c>
    </row>
    <row r="11" spans="2:15" s="455" customFormat="1" ht="30" customHeight="1">
      <c r="B11" s="943">
        <v>4</v>
      </c>
      <c r="C11" s="1039" t="s">
        <v>106</v>
      </c>
      <c r="D11" s="1036" t="s">
        <v>514</v>
      </c>
      <c r="E11" s="1038">
        <f t="shared" ref="E11" si="2">E9/(1-E10)</f>
        <v>339902592.96055901</v>
      </c>
      <c r="F11" s="1038">
        <f t="shared" ref="F11:J11" si="3">F9/(1-F10)</f>
        <v>332749351.1075179</v>
      </c>
      <c r="G11" s="1038">
        <f t="shared" si="3"/>
        <v>321218244.94560349</v>
      </c>
      <c r="H11" s="1038">
        <f t="shared" si="3"/>
        <v>328193806.13967913</v>
      </c>
      <c r="I11" s="1038">
        <f t="shared" si="3"/>
        <v>305879492.35413468</v>
      </c>
      <c r="J11" s="1038">
        <f t="shared" si="3"/>
        <v>324027930.09133238</v>
      </c>
      <c r="K11" s="1038">
        <f>SUM(E11:J11)</f>
        <v>1951971417.5988264</v>
      </c>
      <c r="N11" s="450"/>
      <c r="O11" s="450"/>
    </row>
    <row r="12" spans="2:15" ht="30" customHeight="1">
      <c r="B12" s="1164">
        <v>5</v>
      </c>
      <c r="C12" s="1035" t="s">
        <v>320</v>
      </c>
      <c r="D12" s="1036" t="s">
        <v>514</v>
      </c>
      <c r="E12" s="1037"/>
      <c r="F12" s="1037"/>
      <c r="G12" s="1037"/>
      <c r="H12" s="1037"/>
      <c r="I12" s="1037"/>
      <c r="J12" s="1037"/>
      <c r="K12" s="1038"/>
    </row>
    <row r="13" spans="2:15" ht="30" customHeight="1">
      <c r="B13" s="1164">
        <v>6</v>
      </c>
      <c r="C13" s="1035" t="s">
        <v>107</v>
      </c>
      <c r="D13" s="1036" t="s">
        <v>514</v>
      </c>
      <c r="E13" s="1037">
        <f>ComEne26!G225*1000</f>
        <v>7267273.1999999993</v>
      </c>
      <c r="F13" s="1037">
        <f>ComEne26!H225*1000</f>
        <v>7107118.5099999998</v>
      </c>
      <c r="G13" s="1037">
        <f>ComEne26!I225*1000</f>
        <v>6813731.6900000004</v>
      </c>
      <c r="H13" s="1037">
        <f>ComEne26!J225*1000</f>
        <v>5803731.6900000004</v>
      </c>
      <c r="I13" s="1037">
        <f>ComEne26!K225*1000</f>
        <v>6980231.2000000002</v>
      </c>
      <c r="J13" s="1037">
        <f>ComEne26!L225*1000</f>
        <v>7007536.5500000007</v>
      </c>
      <c r="K13" s="1038">
        <f>SUM(E13:J13)</f>
        <v>40979622.840000004</v>
      </c>
    </row>
    <row r="14" spans="2:15" ht="30" customHeight="1">
      <c r="B14" s="1164">
        <v>7</v>
      </c>
      <c r="C14" s="1037" t="s">
        <v>700</v>
      </c>
      <c r="D14" s="1036"/>
      <c r="E14" s="1037">
        <f>ComEne26!G226*1000</f>
        <v>0</v>
      </c>
      <c r="F14" s="1037">
        <f>ComEne26!H226*1000</f>
        <v>0</v>
      </c>
      <c r="G14" s="1037">
        <f>ComEne26!I226*1000</f>
        <v>0</v>
      </c>
      <c r="H14" s="1037">
        <f>ComEne26!J226*1000</f>
        <v>0</v>
      </c>
      <c r="I14" s="1037">
        <f>ComEne26!K226*1000</f>
        <v>0</v>
      </c>
      <c r="J14" s="1037">
        <f>ComEne26!L226*1000</f>
        <v>0</v>
      </c>
      <c r="K14" s="1038">
        <f>SUM(E14:J14)</f>
        <v>0</v>
      </c>
    </row>
    <row r="15" spans="2:15" ht="19.5" customHeight="1">
      <c r="B15" s="1164">
        <v>8</v>
      </c>
      <c r="C15" s="1037" t="s">
        <v>1376</v>
      </c>
      <c r="D15" s="1036" t="s">
        <v>514</v>
      </c>
      <c r="E15" s="1037">
        <f>ComEne26!G227*1000</f>
        <v>-56000</v>
      </c>
      <c r="F15" s="1037">
        <f>ComEne26!H227*1000</f>
        <v>-56000</v>
      </c>
      <c r="G15" s="1037">
        <f>ComEne26!I227*1000</f>
        <v>-56000</v>
      </c>
      <c r="H15" s="1037">
        <f>ComEne26!J227*1000</f>
        <v>-56000</v>
      </c>
      <c r="I15" s="1037">
        <f>ComEne26!K227*1000</f>
        <v>-56000</v>
      </c>
      <c r="J15" s="1037">
        <f>ComEne26!L227*1000</f>
        <v>-56000</v>
      </c>
      <c r="K15" s="1038">
        <f>SUM(E15:J15)</f>
        <v>-336000</v>
      </c>
    </row>
    <row r="16" spans="2:15" s="455" customFormat="1" ht="30" customHeight="1">
      <c r="B16" s="943">
        <v>9</v>
      </c>
      <c r="C16" s="1039" t="s">
        <v>1475</v>
      </c>
      <c r="D16" s="1036" t="s">
        <v>514</v>
      </c>
      <c r="E16" s="1038">
        <f>E11-SUM(E12:E15)</f>
        <v>332691319.76055902</v>
      </c>
      <c r="F16" s="1038">
        <f t="shared" ref="F16:J16" si="4">F11-SUM(F12:F15)</f>
        <v>325698232.59751791</v>
      </c>
      <c r="G16" s="1038">
        <f t="shared" si="4"/>
        <v>314460513.25560349</v>
      </c>
      <c r="H16" s="1038">
        <f t="shared" si="4"/>
        <v>322446074.44967914</v>
      </c>
      <c r="I16" s="1038">
        <f t="shared" si="4"/>
        <v>298955261.15413469</v>
      </c>
      <c r="J16" s="1038">
        <f t="shared" si="4"/>
        <v>317076393.54133236</v>
      </c>
      <c r="K16" s="1038">
        <f t="shared" ref="K16" si="5">K11-SUM(K12:K15)</f>
        <v>1911327794.7588265</v>
      </c>
      <c r="N16" s="450"/>
      <c r="O16" s="450"/>
    </row>
    <row r="17" spans="2:11">
      <c r="E17" s="1165">
        <f>ComEne26!G228*1000-E16</f>
        <v>0</v>
      </c>
      <c r="F17" s="1165">
        <f>ComEne26!H228*1000-F16</f>
        <v>0</v>
      </c>
      <c r="G17" s="1165">
        <f>ComEne26!I228*1000-G16</f>
        <v>0</v>
      </c>
      <c r="H17" s="1165">
        <f>ComEne26!J228*1000-H16</f>
        <v>0</v>
      </c>
      <c r="I17" s="1165">
        <f>ComEne26!K228*1000-I16</f>
        <v>0</v>
      </c>
      <c r="J17" s="1165">
        <f>ComEne26!L228*1000-J16</f>
        <v>0</v>
      </c>
      <c r="K17" s="1165">
        <f>ComEne26!M228*1000-K16</f>
        <v>0</v>
      </c>
    </row>
    <row r="19" spans="2:11">
      <c r="B19" s="52" t="str">
        <f>'PORTADA PORTADA PORTADA'!$B$23</f>
        <v>1 DE JULIO DE 2026</v>
      </c>
    </row>
  </sheetData>
  <phoneticPr fontId="0" type="noConversion"/>
  <printOptions horizontalCentered="1" verticalCentered="1"/>
  <pageMargins left="0.59055118110236227" right="0.59055118110236227" top="0.78740157480314965" bottom="0.59055118110236227" header="0.59055118110236227" footer="0.47244094488188981"/>
  <pageSetup scale="89" orientation="landscape" r:id="rId1"/>
  <headerFooter>
    <oddHeader>&amp;L&amp;"Times New Roman,Negrita"&amp;14Nombre de la Distribuidora: &amp;K06-048ENSA&amp;RASEP FORM: &amp;A</oddHeader>
    <oddFooter>&amp;R&amp;A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Hoja72">
    <tabColor theme="0" tint="-0.14999847407452621"/>
    <pageSetUpPr fitToPage="1"/>
  </sheetPr>
  <dimension ref="B1:P78"/>
  <sheetViews>
    <sheetView view="pageBreakPreview" zoomScale="85" zoomScaleNormal="100" zoomScaleSheetLayoutView="85" workbookViewId="0">
      <selection activeCell="L1" sqref="L1"/>
    </sheetView>
  </sheetViews>
  <sheetFormatPr baseColWidth="10" defaultColWidth="10" defaultRowHeight="13.5"/>
  <cols>
    <col min="1" max="1" width="3" style="450" customWidth="1"/>
    <col min="2" max="2" width="2.875" style="450" customWidth="1"/>
    <col min="3" max="3" width="21.625" style="477" customWidth="1"/>
    <col min="4" max="4" width="4.375" style="477" customWidth="1"/>
    <col min="5" max="6" width="1.375" style="477" hidden="1" customWidth="1"/>
    <col min="7" max="7" width="13.75" style="450" bestFit="1" customWidth="1"/>
    <col min="8" max="13" width="10" style="450"/>
    <col min="14" max="15" width="6.75" style="450" bestFit="1" customWidth="1"/>
    <col min="16" max="16" width="6.375" style="450" customWidth="1"/>
    <col min="17" max="16384" width="10" style="450"/>
  </cols>
  <sheetData>
    <row r="1" spans="2:13" s="38" customFormat="1" ht="14.25" thickBot="1">
      <c r="C1" s="271" t="s">
        <v>151</v>
      </c>
      <c r="D1" s="271"/>
      <c r="E1" s="271"/>
      <c r="F1" s="271"/>
      <c r="H1" s="272" t="s">
        <v>138</v>
      </c>
      <c r="K1" s="273" t="s">
        <v>76</v>
      </c>
      <c r="L1" s="447" t="s">
        <v>258</v>
      </c>
    </row>
    <row r="2" spans="2:13" s="38" customFormat="1">
      <c r="C2" s="457"/>
      <c r="D2" s="457"/>
      <c r="E2" s="457"/>
      <c r="F2" s="457"/>
    </row>
    <row r="3" spans="2:13">
      <c r="C3" s="458" t="s">
        <v>404</v>
      </c>
      <c r="D3" s="458"/>
      <c r="E3" s="458"/>
      <c r="F3" s="458"/>
    </row>
    <row r="4" spans="2:13">
      <c r="C4" s="459"/>
      <c r="D4" s="459"/>
      <c r="E4" s="459"/>
      <c r="F4" s="459"/>
    </row>
    <row r="5" spans="2:13" ht="54">
      <c r="B5" s="460">
        <v>4</v>
      </c>
      <c r="C5" s="461" t="s">
        <v>299</v>
      </c>
      <c r="D5" s="461"/>
      <c r="E5" s="461"/>
      <c r="F5" s="461"/>
      <c r="G5" s="462" t="s">
        <v>300</v>
      </c>
      <c r="H5" s="462" t="s">
        <v>301</v>
      </c>
    </row>
    <row r="6" spans="2:13">
      <c r="B6" s="463"/>
      <c r="C6" s="463" t="s">
        <v>79</v>
      </c>
      <c r="D6" s="463">
        <f>'AP622'!D6</f>
        <v>250</v>
      </c>
      <c r="E6" s="463"/>
      <c r="F6" s="463"/>
      <c r="G6" s="463">
        <f>'AP622'!G6</f>
        <v>365</v>
      </c>
      <c r="H6" s="463">
        <f>ROUNDUP(D6*1.23/1000*G6,0)</f>
        <v>113</v>
      </c>
    </row>
    <row r="7" spans="2:13">
      <c r="B7" s="463"/>
      <c r="C7" s="463" t="s">
        <v>80</v>
      </c>
      <c r="D7" s="463">
        <f>'AP622'!D7</f>
        <v>200</v>
      </c>
      <c r="E7" s="463"/>
      <c r="F7" s="463"/>
      <c r="G7" s="463">
        <f>'AP622'!G7</f>
        <v>365</v>
      </c>
      <c r="H7" s="463">
        <f t="shared" ref="H7:H13" si="0">ROUNDUP(D7*1.2/1000*G7,0)</f>
        <v>88</v>
      </c>
    </row>
    <row r="8" spans="2:13">
      <c r="B8" s="463"/>
      <c r="C8" s="463" t="s">
        <v>403</v>
      </c>
      <c r="D8" s="463">
        <f>'AP622'!D8</f>
        <v>175</v>
      </c>
      <c r="E8" s="463"/>
      <c r="F8" s="463"/>
      <c r="G8" s="463">
        <f>'AP622'!G8</f>
        <v>365</v>
      </c>
      <c r="H8" s="463">
        <f t="shared" si="0"/>
        <v>77</v>
      </c>
    </row>
    <row r="9" spans="2:13">
      <c r="B9" s="463"/>
      <c r="C9" s="463" t="s">
        <v>81</v>
      </c>
      <c r="D9" s="463">
        <f>'AP622'!D9</f>
        <v>150</v>
      </c>
      <c r="E9" s="463"/>
      <c r="F9" s="463"/>
      <c r="G9" s="463">
        <f>'AP622'!G9</f>
        <v>365</v>
      </c>
      <c r="H9" s="463">
        <f>ROUNDUP(D9*1.15/1000*G9,0)</f>
        <v>63</v>
      </c>
    </row>
    <row r="10" spans="2:13">
      <c r="B10" s="463"/>
      <c r="C10" s="463" t="s">
        <v>82</v>
      </c>
      <c r="D10" s="463">
        <f>'AP622'!D10</f>
        <v>100</v>
      </c>
      <c r="E10" s="463"/>
      <c r="F10" s="463"/>
      <c r="G10" s="463">
        <f>'AP622'!G10</f>
        <v>365</v>
      </c>
      <c r="H10" s="463">
        <f>ROUNDUP(D10*1.33/1000*G10,0)</f>
        <v>49</v>
      </c>
    </row>
    <row r="11" spans="2:13">
      <c r="B11" s="463"/>
      <c r="C11" s="463" t="s">
        <v>83</v>
      </c>
      <c r="D11" s="463">
        <f>'AP622'!D11</f>
        <v>70</v>
      </c>
      <c r="E11" s="463"/>
      <c r="F11" s="463"/>
      <c r="G11" s="463">
        <f>'AP622'!G11</f>
        <v>365</v>
      </c>
      <c r="H11" s="463">
        <f>ROUNDUP(D11*1.26/1000*G11,0)</f>
        <v>33</v>
      </c>
    </row>
    <row r="12" spans="2:13">
      <c r="B12" s="463"/>
      <c r="C12" s="463" t="str">
        <f>'AP622'!C12</f>
        <v>LED equivalente 75 W</v>
      </c>
      <c r="D12" s="463">
        <f>'AP622'!D12</f>
        <v>75</v>
      </c>
      <c r="E12" s="463"/>
      <c r="F12" s="463"/>
      <c r="G12" s="463">
        <f>'AP622'!G12</f>
        <v>365</v>
      </c>
      <c r="H12" s="463">
        <f>ROUNDUP(D12*1.33/1000*G12,0)</f>
        <v>37</v>
      </c>
    </row>
    <row r="13" spans="2:13">
      <c r="B13" s="463"/>
      <c r="C13" s="463" t="str">
        <f>'AP622'!C13</f>
        <v>LED equivalente 189 W</v>
      </c>
      <c r="D13" s="463">
        <f>'AP622'!D13</f>
        <v>189</v>
      </c>
      <c r="E13" s="463"/>
      <c r="F13" s="463"/>
      <c r="G13" s="463">
        <f>'AP622'!G13</f>
        <v>365</v>
      </c>
      <c r="H13" s="463">
        <f t="shared" si="0"/>
        <v>83</v>
      </c>
    </row>
    <row r="14" spans="2:13" ht="24">
      <c r="B14" s="460">
        <v>5</v>
      </c>
      <c r="C14" s="461" t="s">
        <v>1466</v>
      </c>
      <c r="D14" s="461"/>
      <c r="E14" s="461"/>
      <c r="F14" s="461"/>
      <c r="G14" s="464">
        <f>F821C!D4+366</f>
        <v>46205</v>
      </c>
      <c r="H14" s="464">
        <f>F821C!E4+366</f>
        <v>46236</v>
      </c>
      <c r="I14" s="464">
        <f>F821C!F4+366</f>
        <v>46267</v>
      </c>
      <c r="J14" s="464">
        <f>F821C!G4+366</f>
        <v>46297</v>
      </c>
      <c r="K14" s="464">
        <f>F821C!H4+366</f>
        <v>46328</v>
      </c>
      <c r="L14" s="464">
        <f>F821C!I4+366</f>
        <v>46358</v>
      </c>
      <c r="M14" s="464"/>
    </row>
    <row r="15" spans="2:13">
      <c r="B15" s="465"/>
      <c r="C15" s="463" t="str">
        <f t="shared" ref="C15:C22" si="1">C6</f>
        <v>Sodio 250</v>
      </c>
      <c r="D15" s="466"/>
      <c r="E15" s="466"/>
      <c r="F15" s="466"/>
      <c r="G15" s="467">
        <f t="shared" ref="G15:L20" si="2">G48+G58-G68</f>
        <v>2100</v>
      </c>
      <c r="H15" s="467">
        <f t="shared" si="2"/>
        <v>1980</v>
      </c>
      <c r="I15" s="467">
        <f t="shared" si="2"/>
        <v>1860</v>
      </c>
      <c r="J15" s="467">
        <f t="shared" si="2"/>
        <v>1740</v>
      </c>
      <c r="K15" s="467">
        <f t="shared" si="2"/>
        <v>1620</v>
      </c>
      <c r="L15" s="467">
        <f t="shared" si="2"/>
        <v>1500</v>
      </c>
      <c r="M15" s="464"/>
    </row>
    <row r="16" spans="2:13">
      <c r="B16" s="465"/>
      <c r="C16" s="463" t="str">
        <f t="shared" si="1"/>
        <v>Sodio 200</v>
      </c>
      <c r="D16" s="466"/>
      <c r="E16" s="466"/>
      <c r="F16" s="466"/>
      <c r="G16" s="467">
        <f t="shared" si="2"/>
        <v>80</v>
      </c>
      <c r="H16" s="467">
        <f t="shared" si="2"/>
        <v>76</v>
      </c>
      <c r="I16" s="467">
        <f t="shared" si="2"/>
        <v>72</v>
      </c>
      <c r="J16" s="467">
        <f t="shared" si="2"/>
        <v>68</v>
      </c>
      <c r="K16" s="467">
        <f t="shared" si="2"/>
        <v>64</v>
      </c>
      <c r="L16" s="467">
        <f t="shared" si="2"/>
        <v>60</v>
      </c>
      <c r="M16" s="464"/>
    </row>
    <row r="17" spans="2:14">
      <c r="B17" s="465"/>
      <c r="C17" s="463" t="str">
        <f t="shared" si="1"/>
        <v>Sodio 175</v>
      </c>
      <c r="D17" s="466"/>
      <c r="E17" s="466"/>
      <c r="F17" s="466"/>
      <c r="G17" s="2007">
        <f>0</f>
        <v>0</v>
      </c>
      <c r="H17" s="2007">
        <f>0</f>
        <v>0</v>
      </c>
      <c r="I17" s="2007">
        <f>0</f>
        <v>0</v>
      </c>
      <c r="J17" s="2007">
        <f>0</f>
        <v>0</v>
      </c>
      <c r="K17" s="2007">
        <f>0</f>
        <v>0</v>
      </c>
      <c r="L17" s="2007">
        <f>0</f>
        <v>0</v>
      </c>
      <c r="M17" s="464"/>
    </row>
    <row r="18" spans="2:14">
      <c r="B18" s="465"/>
      <c r="C18" s="463" t="str">
        <f t="shared" si="1"/>
        <v>Sodio 150</v>
      </c>
      <c r="D18" s="466"/>
      <c r="E18" s="466"/>
      <c r="F18" s="466"/>
      <c r="G18" s="467">
        <f t="shared" si="2"/>
        <v>326</v>
      </c>
      <c r="H18" s="467">
        <f t="shared" si="2"/>
        <v>319</v>
      </c>
      <c r="I18" s="467">
        <f t="shared" si="2"/>
        <v>312</v>
      </c>
      <c r="J18" s="467">
        <f t="shared" si="2"/>
        <v>305</v>
      </c>
      <c r="K18" s="467">
        <f t="shared" si="2"/>
        <v>298</v>
      </c>
      <c r="L18" s="467">
        <f t="shared" si="2"/>
        <v>291</v>
      </c>
      <c r="M18" s="464"/>
    </row>
    <row r="19" spans="2:14">
      <c r="B19" s="465"/>
      <c r="C19" s="463" t="str">
        <f t="shared" si="1"/>
        <v>Sodio 100</v>
      </c>
      <c r="D19" s="466"/>
      <c r="E19" s="466"/>
      <c r="F19" s="466"/>
      <c r="G19" s="467">
        <f t="shared" si="2"/>
        <v>24881</v>
      </c>
      <c r="H19" s="467">
        <f t="shared" si="2"/>
        <v>23143</v>
      </c>
      <c r="I19" s="467">
        <f t="shared" si="2"/>
        <v>21405</v>
      </c>
      <c r="J19" s="467">
        <f t="shared" si="2"/>
        <v>19667</v>
      </c>
      <c r="K19" s="467">
        <f t="shared" si="2"/>
        <v>17929</v>
      </c>
      <c r="L19" s="467">
        <f t="shared" si="2"/>
        <v>16191</v>
      </c>
      <c r="M19" s="464"/>
    </row>
    <row r="20" spans="2:14">
      <c r="B20" s="465"/>
      <c r="C20" s="463" t="str">
        <f t="shared" si="1"/>
        <v>Sodio 70</v>
      </c>
      <c r="D20" s="466"/>
      <c r="E20" s="466"/>
      <c r="F20" s="466"/>
      <c r="G20" s="467">
        <f t="shared" si="2"/>
        <v>4267</v>
      </c>
      <c r="H20" s="467">
        <f t="shared" si="2"/>
        <v>4029</v>
      </c>
      <c r="I20" s="467">
        <f t="shared" si="2"/>
        <v>3791</v>
      </c>
      <c r="J20" s="467">
        <f t="shared" si="2"/>
        <v>3553</v>
      </c>
      <c r="K20" s="467">
        <f t="shared" si="2"/>
        <v>3315</v>
      </c>
      <c r="L20" s="467">
        <f t="shared" si="2"/>
        <v>3077</v>
      </c>
      <c r="M20" s="464"/>
    </row>
    <row r="21" spans="2:14">
      <c r="B21" s="468"/>
      <c r="C21" s="463" t="str">
        <f t="shared" si="1"/>
        <v>LED equivalente 75 W</v>
      </c>
      <c r="D21" s="469"/>
      <c r="E21" s="469"/>
      <c r="F21" s="469"/>
      <c r="G21" s="467">
        <f t="shared" ref="G21:L21" si="3">G54+G65-G74</f>
        <v>86785</v>
      </c>
      <c r="H21" s="467">
        <f t="shared" si="3"/>
        <v>86851</v>
      </c>
      <c r="I21" s="467">
        <f t="shared" si="3"/>
        <v>86917</v>
      </c>
      <c r="J21" s="467">
        <f t="shared" si="3"/>
        <v>86983</v>
      </c>
      <c r="K21" s="467">
        <f t="shared" si="3"/>
        <v>87049</v>
      </c>
      <c r="L21" s="467">
        <f t="shared" si="3"/>
        <v>87115</v>
      </c>
      <c r="M21" s="464"/>
    </row>
    <row r="22" spans="2:14">
      <c r="B22" s="465"/>
      <c r="C22" s="463" t="str">
        <f t="shared" si="1"/>
        <v>LED equivalente 189 W</v>
      </c>
      <c r="D22" s="466"/>
      <c r="E22" s="466"/>
      <c r="F22" s="466"/>
      <c r="G22" s="467">
        <f t="shared" ref="G22:L22" si="4">G55+G64-G75</f>
        <v>18440</v>
      </c>
      <c r="H22" s="467">
        <f t="shared" si="4"/>
        <v>20491</v>
      </c>
      <c r="I22" s="467">
        <f t="shared" si="4"/>
        <v>22542</v>
      </c>
      <c r="J22" s="467">
        <f t="shared" si="4"/>
        <v>24593</v>
      </c>
      <c r="K22" s="467">
        <f t="shared" si="4"/>
        <v>26644</v>
      </c>
      <c r="L22" s="467">
        <f t="shared" si="4"/>
        <v>28695</v>
      </c>
      <c r="M22" s="464"/>
    </row>
    <row r="23" spans="2:14">
      <c r="B23" s="470"/>
      <c r="C23" s="471" t="s">
        <v>112</v>
      </c>
      <c r="D23" s="471"/>
      <c r="E23" s="471"/>
      <c r="F23" s="471"/>
      <c r="G23" s="472">
        <f t="shared" ref="G23:L23" si="5">SUM(G15:G22)</f>
        <v>136879</v>
      </c>
      <c r="H23" s="472">
        <f t="shared" si="5"/>
        <v>136889</v>
      </c>
      <c r="I23" s="472">
        <f t="shared" si="5"/>
        <v>136899</v>
      </c>
      <c r="J23" s="472">
        <f t="shared" si="5"/>
        <v>136909</v>
      </c>
      <c r="K23" s="472">
        <f t="shared" si="5"/>
        <v>136919</v>
      </c>
      <c r="L23" s="472">
        <f t="shared" si="5"/>
        <v>136929</v>
      </c>
      <c r="M23" s="464"/>
      <c r="N23" s="258">
        <f>L23/'AP622'!L23-1</f>
        <v>1.4606323077259731E-5</v>
      </c>
    </row>
    <row r="24" spans="2:14" hidden="1">
      <c r="B24" s="2009"/>
      <c r="C24" s="2010"/>
      <c r="D24" s="2010"/>
      <c r="E24" s="2010"/>
      <c r="F24" s="2010"/>
      <c r="G24" s="2011"/>
      <c r="H24" s="2011"/>
      <c r="I24" s="2011"/>
      <c r="J24" s="2011"/>
      <c r="K24" s="2011"/>
      <c r="L24" s="2011"/>
      <c r="M24" s="2012"/>
    </row>
    <row r="25" spans="2:14" hidden="1">
      <c r="B25" s="2009"/>
      <c r="C25" s="2010"/>
      <c r="D25" s="2010"/>
      <c r="E25" s="2010"/>
      <c r="F25" s="2010"/>
      <c r="G25" s="2011"/>
      <c r="H25" s="2011"/>
      <c r="I25" s="2011"/>
      <c r="J25" s="2011"/>
      <c r="K25" s="2011"/>
      <c r="L25" s="2011"/>
      <c r="M25" s="2012"/>
    </row>
    <row r="26" spans="2:14" hidden="1">
      <c r="B26" s="2009"/>
      <c r="C26" s="2010"/>
      <c r="D26" s="2010"/>
      <c r="E26" s="2010"/>
      <c r="F26" s="2010"/>
      <c r="G26" s="2011"/>
      <c r="H26" s="2011"/>
      <c r="I26" s="2011"/>
      <c r="J26" s="2011"/>
      <c r="K26" s="2011"/>
      <c r="L26" s="2011"/>
      <c r="M26" s="2012"/>
    </row>
    <row r="27" spans="2:14" hidden="1">
      <c r="B27" s="2009"/>
      <c r="C27" s="2010"/>
      <c r="D27" s="2010"/>
      <c r="E27" s="2010"/>
      <c r="F27" s="2010"/>
      <c r="G27" s="2011"/>
      <c r="H27" s="2011"/>
      <c r="I27" s="2011"/>
      <c r="J27" s="2011"/>
      <c r="K27" s="2011"/>
      <c r="L27" s="2011"/>
      <c r="M27" s="2012"/>
    </row>
    <row r="28" spans="2:14" hidden="1">
      <c r="B28" s="2009"/>
      <c r="C28" s="2010"/>
      <c r="D28" s="2010"/>
      <c r="E28" s="2010"/>
      <c r="F28" s="2010"/>
      <c r="G28" s="2011"/>
      <c r="H28" s="2011"/>
      <c r="I28" s="2011"/>
      <c r="J28" s="2011"/>
      <c r="K28" s="2011"/>
      <c r="L28" s="2011"/>
      <c r="M28" s="2012"/>
    </row>
    <row r="29" spans="2:14" hidden="1">
      <c r="B29" s="2009"/>
      <c r="C29" s="2010"/>
      <c r="D29" s="2010"/>
      <c r="E29" s="2010"/>
      <c r="F29" s="2010"/>
      <c r="G29" s="2011"/>
      <c r="H29" s="2011"/>
      <c r="I29" s="2011"/>
      <c r="J29" s="2011"/>
      <c r="K29" s="2011"/>
      <c r="L29" s="2011"/>
      <c r="M29" s="2012"/>
    </row>
    <row r="30" spans="2:14" hidden="1">
      <c r="B30" s="2009"/>
      <c r="C30" s="2010"/>
      <c r="D30" s="2010"/>
      <c r="E30" s="2010"/>
      <c r="F30" s="2010"/>
      <c r="G30" s="2011"/>
      <c r="H30" s="2011"/>
      <c r="I30" s="2011"/>
      <c r="J30" s="2011"/>
      <c r="K30" s="2011"/>
      <c r="L30" s="2011"/>
      <c r="M30" s="2012"/>
    </row>
    <row r="31" spans="2:14" hidden="1">
      <c r="B31" s="2009"/>
      <c r="C31" s="2010"/>
      <c r="D31" s="2010"/>
      <c r="E31" s="2010"/>
      <c r="F31" s="2010"/>
      <c r="G31" s="2011"/>
      <c r="H31" s="2011"/>
      <c r="I31" s="2011"/>
      <c r="J31" s="2011"/>
      <c r="K31" s="2011"/>
      <c r="L31" s="2011"/>
      <c r="M31" s="2012"/>
    </row>
    <row r="32" spans="2:14" hidden="1">
      <c r="B32" s="2009"/>
      <c r="C32" s="2010"/>
      <c r="D32" s="2010"/>
      <c r="E32" s="2010"/>
      <c r="F32" s="2010"/>
      <c r="G32" s="2011"/>
      <c r="H32" s="2011"/>
      <c r="I32" s="2011"/>
      <c r="J32" s="2011"/>
      <c r="K32" s="2011"/>
      <c r="L32" s="2011"/>
      <c r="M32" s="2012"/>
    </row>
    <row r="33" spans="2:16" hidden="1">
      <c r="B33" s="2009"/>
      <c r="C33" s="2010"/>
      <c r="D33" s="2010"/>
      <c r="E33" s="2010"/>
      <c r="F33" s="2010"/>
      <c r="G33" s="2011"/>
      <c r="H33" s="2011"/>
      <c r="I33" s="2011"/>
      <c r="J33" s="2011"/>
      <c r="K33" s="2011"/>
      <c r="L33" s="2011"/>
      <c r="M33" s="2012"/>
    </row>
    <row r="34" spans="2:16" ht="24">
      <c r="B34" s="460">
        <v>6</v>
      </c>
      <c r="C34" s="461" t="s">
        <v>1467</v>
      </c>
      <c r="D34" s="461"/>
      <c r="E34" s="461"/>
      <c r="F34" s="461"/>
      <c r="G34" s="464">
        <f>G$14</f>
        <v>46205</v>
      </c>
      <c r="H34" s="464">
        <f>H14</f>
        <v>46236</v>
      </c>
      <c r="I34" s="464">
        <f>I14</f>
        <v>46267</v>
      </c>
      <c r="J34" s="464">
        <f>J14</f>
        <v>46297</v>
      </c>
      <c r="K34" s="464">
        <f>K14</f>
        <v>46328</v>
      </c>
      <c r="L34" s="464">
        <f>L14</f>
        <v>46358</v>
      </c>
      <c r="M34" s="473" t="s">
        <v>112</v>
      </c>
    </row>
    <row r="35" spans="2:16">
      <c r="B35" s="465"/>
      <c r="C35" s="466" t="str">
        <f t="shared" ref="C35:C42" si="6">C15</f>
        <v>Sodio 250</v>
      </c>
      <c r="D35" s="466"/>
      <c r="E35" s="466"/>
      <c r="F35" s="466"/>
      <c r="G35" s="467">
        <f t="shared" ref="G35:L42" si="7">G15*$H6</f>
        <v>237300</v>
      </c>
      <c r="H35" s="467">
        <f t="shared" si="7"/>
        <v>223740</v>
      </c>
      <c r="I35" s="467">
        <f t="shared" si="7"/>
        <v>210180</v>
      </c>
      <c r="J35" s="467">
        <f t="shared" si="7"/>
        <v>196620</v>
      </c>
      <c r="K35" s="467">
        <f t="shared" si="7"/>
        <v>183060</v>
      </c>
      <c r="L35" s="467">
        <f t="shared" si="7"/>
        <v>169500</v>
      </c>
      <c r="M35" s="474">
        <f t="shared" ref="M35:M42" si="8">SUM(G35:L35)</f>
        <v>1220400</v>
      </c>
      <c r="N35" s="258"/>
    </row>
    <row r="36" spans="2:16">
      <c r="B36" s="465"/>
      <c r="C36" s="466" t="str">
        <f t="shared" si="6"/>
        <v>Sodio 200</v>
      </c>
      <c r="D36" s="466"/>
      <c r="E36" s="466"/>
      <c r="F36" s="466"/>
      <c r="G36" s="467">
        <f t="shared" si="7"/>
        <v>7040</v>
      </c>
      <c r="H36" s="467">
        <f t="shared" si="7"/>
        <v>6688</v>
      </c>
      <c r="I36" s="467">
        <f t="shared" si="7"/>
        <v>6336</v>
      </c>
      <c r="J36" s="467">
        <f t="shared" si="7"/>
        <v>5984</v>
      </c>
      <c r="K36" s="467">
        <f t="shared" si="7"/>
        <v>5632</v>
      </c>
      <c r="L36" s="467">
        <f t="shared" si="7"/>
        <v>5280</v>
      </c>
      <c r="M36" s="474">
        <f t="shared" si="8"/>
        <v>36960</v>
      </c>
      <c r="N36" s="258"/>
    </row>
    <row r="37" spans="2:16">
      <c r="B37" s="465"/>
      <c r="C37" s="466" t="str">
        <f t="shared" si="6"/>
        <v>Sodio 175</v>
      </c>
      <c r="D37" s="466"/>
      <c r="E37" s="466"/>
      <c r="F37" s="466"/>
      <c r="G37" s="2007">
        <f t="shared" si="7"/>
        <v>0</v>
      </c>
      <c r="H37" s="2007">
        <f t="shared" si="7"/>
        <v>0</v>
      </c>
      <c r="I37" s="2007">
        <f t="shared" si="7"/>
        <v>0</v>
      </c>
      <c r="J37" s="2007">
        <f t="shared" si="7"/>
        <v>0</v>
      </c>
      <c r="K37" s="2007">
        <f t="shared" si="7"/>
        <v>0</v>
      </c>
      <c r="L37" s="2007">
        <f t="shared" si="7"/>
        <v>0</v>
      </c>
      <c r="M37" s="474">
        <f t="shared" si="8"/>
        <v>0</v>
      </c>
      <c r="N37" s="258"/>
    </row>
    <row r="38" spans="2:16">
      <c r="B38" s="465"/>
      <c r="C38" s="466" t="str">
        <f t="shared" si="6"/>
        <v>Sodio 150</v>
      </c>
      <c r="D38" s="466"/>
      <c r="E38" s="466"/>
      <c r="F38" s="466"/>
      <c r="G38" s="467">
        <f t="shared" si="7"/>
        <v>20538</v>
      </c>
      <c r="H38" s="467">
        <f t="shared" si="7"/>
        <v>20097</v>
      </c>
      <c r="I38" s="467">
        <f t="shared" si="7"/>
        <v>19656</v>
      </c>
      <c r="J38" s="467">
        <f t="shared" si="7"/>
        <v>19215</v>
      </c>
      <c r="K38" s="467">
        <f t="shared" si="7"/>
        <v>18774</v>
      </c>
      <c r="L38" s="467">
        <f t="shared" si="7"/>
        <v>18333</v>
      </c>
      <c r="M38" s="474">
        <f t="shared" si="8"/>
        <v>116613</v>
      </c>
      <c r="N38" s="258"/>
    </row>
    <row r="39" spans="2:16">
      <c r="B39" s="465"/>
      <c r="C39" s="466" t="str">
        <f t="shared" si="6"/>
        <v>Sodio 100</v>
      </c>
      <c r="D39" s="466"/>
      <c r="E39" s="466"/>
      <c r="F39" s="466"/>
      <c r="G39" s="467">
        <f t="shared" si="7"/>
        <v>1219169</v>
      </c>
      <c r="H39" s="467">
        <f t="shared" si="7"/>
        <v>1134007</v>
      </c>
      <c r="I39" s="467">
        <f t="shared" si="7"/>
        <v>1048845</v>
      </c>
      <c r="J39" s="467">
        <f t="shared" si="7"/>
        <v>963683</v>
      </c>
      <c r="K39" s="467">
        <f t="shared" si="7"/>
        <v>878521</v>
      </c>
      <c r="L39" s="467">
        <f t="shared" si="7"/>
        <v>793359</v>
      </c>
      <c r="M39" s="474">
        <f t="shared" si="8"/>
        <v>6037584</v>
      </c>
      <c r="N39" s="258"/>
    </row>
    <row r="40" spans="2:16">
      <c r="B40" s="465"/>
      <c r="C40" s="466" t="str">
        <f t="shared" si="6"/>
        <v>Sodio 70</v>
      </c>
      <c r="D40" s="475"/>
      <c r="E40" s="475"/>
      <c r="F40" s="475"/>
      <c r="G40" s="467">
        <f t="shared" si="7"/>
        <v>140811</v>
      </c>
      <c r="H40" s="467">
        <f t="shared" si="7"/>
        <v>132957</v>
      </c>
      <c r="I40" s="467">
        <f t="shared" si="7"/>
        <v>125103</v>
      </c>
      <c r="J40" s="467">
        <f t="shared" si="7"/>
        <v>117249</v>
      </c>
      <c r="K40" s="467">
        <f t="shared" si="7"/>
        <v>109395</v>
      </c>
      <c r="L40" s="467">
        <f t="shared" si="7"/>
        <v>101541</v>
      </c>
      <c r="M40" s="474">
        <f t="shared" si="8"/>
        <v>727056</v>
      </c>
      <c r="N40" s="258"/>
    </row>
    <row r="41" spans="2:16">
      <c r="B41" s="468"/>
      <c r="C41" s="466" t="str">
        <f t="shared" si="6"/>
        <v>LED equivalente 75 W</v>
      </c>
      <c r="D41" s="476"/>
      <c r="E41" s="476"/>
      <c r="F41" s="476"/>
      <c r="G41" s="467">
        <f t="shared" si="7"/>
        <v>3211045</v>
      </c>
      <c r="H41" s="467">
        <f t="shared" si="7"/>
        <v>3213487</v>
      </c>
      <c r="I41" s="467">
        <f t="shared" si="7"/>
        <v>3215929</v>
      </c>
      <c r="J41" s="467">
        <f t="shared" si="7"/>
        <v>3218371</v>
      </c>
      <c r="K41" s="467">
        <f t="shared" si="7"/>
        <v>3220813</v>
      </c>
      <c r="L41" s="467">
        <f t="shared" si="7"/>
        <v>3223255</v>
      </c>
      <c r="M41" s="474">
        <f>SUM(G41:L41)</f>
        <v>19302900</v>
      </c>
      <c r="N41" s="258"/>
    </row>
    <row r="42" spans="2:16">
      <c r="B42" s="465"/>
      <c r="C42" s="466" t="str">
        <f t="shared" si="6"/>
        <v>LED equivalente 189 W</v>
      </c>
      <c r="D42" s="475"/>
      <c r="E42" s="475"/>
      <c r="F42" s="475"/>
      <c r="G42" s="467">
        <f t="shared" si="7"/>
        <v>1530520</v>
      </c>
      <c r="H42" s="467">
        <f t="shared" si="7"/>
        <v>1700753</v>
      </c>
      <c r="I42" s="467">
        <f t="shared" si="7"/>
        <v>1870986</v>
      </c>
      <c r="J42" s="467">
        <f t="shared" si="7"/>
        <v>2041219</v>
      </c>
      <c r="K42" s="467">
        <f t="shared" si="7"/>
        <v>2211452</v>
      </c>
      <c r="L42" s="467">
        <f t="shared" si="7"/>
        <v>2381685</v>
      </c>
      <c r="M42" s="474">
        <f t="shared" si="8"/>
        <v>11736615</v>
      </c>
      <c r="N42" s="258"/>
    </row>
    <row r="43" spans="2:16">
      <c r="B43" s="470"/>
      <c r="C43" s="471" t="s">
        <v>112</v>
      </c>
      <c r="D43" s="471"/>
      <c r="E43" s="471"/>
      <c r="F43" s="471"/>
      <c r="G43" s="472">
        <f t="shared" ref="G43:M43" si="9">SUM(G35:G42)</f>
        <v>6366423</v>
      </c>
      <c r="H43" s="472">
        <f t="shared" si="9"/>
        <v>6431729</v>
      </c>
      <c r="I43" s="472">
        <f t="shared" si="9"/>
        <v>6497035</v>
      </c>
      <c r="J43" s="472">
        <f t="shared" si="9"/>
        <v>6562341</v>
      </c>
      <c r="K43" s="472">
        <f t="shared" si="9"/>
        <v>6627647</v>
      </c>
      <c r="L43" s="472">
        <f t="shared" si="9"/>
        <v>6692953</v>
      </c>
      <c r="M43" s="472">
        <f t="shared" si="9"/>
        <v>39178128</v>
      </c>
      <c r="N43" s="258">
        <f>L43/'AP622'!L43-1</f>
        <v>3.6012884233376896E-2</v>
      </c>
    </row>
    <row r="44" spans="2:16">
      <c r="G44" s="478"/>
      <c r="H44" s="478"/>
      <c r="I44" s="478"/>
      <c r="J44" s="478"/>
      <c r="K44" s="478"/>
      <c r="L44" s="478"/>
      <c r="M44" s="478"/>
    </row>
    <row r="45" spans="2:16" ht="15">
      <c r="C45" s="136" t="s">
        <v>297</v>
      </c>
      <c r="D45" s="136"/>
      <c r="E45" s="136"/>
      <c r="F45" s="136"/>
    </row>
    <row r="46" spans="2:16" s="455" customFormat="1" ht="22.5" customHeight="1">
      <c r="B46" s="479"/>
      <c r="C46" s="480" t="s">
        <v>227</v>
      </c>
      <c r="D46" s="480"/>
      <c r="E46" s="480"/>
      <c r="F46" s="480"/>
      <c r="G46" s="464">
        <f t="shared" ref="G46:L46" si="10">G$14</f>
        <v>46205</v>
      </c>
      <c r="H46" s="464">
        <f t="shared" si="10"/>
        <v>46236</v>
      </c>
      <c r="I46" s="464">
        <f t="shared" si="10"/>
        <v>46267</v>
      </c>
      <c r="J46" s="464">
        <f t="shared" si="10"/>
        <v>46297</v>
      </c>
      <c r="K46" s="464">
        <f t="shared" si="10"/>
        <v>46328</v>
      </c>
      <c r="L46" s="464">
        <f t="shared" si="10"/>
        <v>46358</v>
      </c>
      <c r="M46" s="481"/>
      <c r="P46" s="450"/>
    </row>
    <row r="47" spans="2:16" ht="15.75">
      <c r="B47" s="479">
        <v>1</v>
      </c>
      <c r="C47" s="482" t="s">
        <v>84</v>
      </c>
      <c r="D47" s="482"/>
      <c r="E47" s="482"/>
      <c r="F47" s="482"/>
      <c r="G47" s="483"/>
      <c r="H47" s="481"/>
      <c r="I47" s="481"/>
      <c r="J47" s="481"/>
      <c r="K47" s="481"/>
      <c r="L47" s="481"/>
      <c r="M47" s="481"/>
      <c r="O47" s="455"/>
    </row>
    <row r="48" spans="2:16">
      <c r="B48" s="463"/>
      <c r="C48" s="466" t="str">
        <f t="shared" ref="C48:C55" si="11">C35</f>
        <v>Sodio 250</v>
      </c>
      <c r="D48" s="466"/>
      <c r="E48" s="466"/>
      <c r="F48" s="466"/>
      <c r="G48" s="484">
        <f>'AP622'!L48+'AP622'!M58-'AP622'!M68</f>
        <v>2220</v>
      </c>
      <c r="H48" s="467">
        <f t="shared" ref="H48:L55" si="12">G15</f>
        <v>2100</v>
      </c>
      <c r="I48" s="467">
        <f t="shared" si="12"/>
        <v>1980</v>
      </c>
      <c r="J48" s="467">
        <f t="shared" si="12"/>
        <v>1860</v>
      </c>
      <c r="K48" s="467">
        <f t="shared" si="12"/>
        <v>1740</v>
      </c>
      <c r="L48" s="467">
        <f t="shared" si="12"/>
        <v>1620</v>
      </c>
      <c r="M48" s="481"/>
      <c r="N48" s="258"/>
      <c r="O48" s="485">
        <f>L48-G48</f>
        <v>-600</v>
      </c>
      <c r="P48" s="485">
        <f>G48-'AP622'!L48</f>
        <v>-719</v>
      </c>
    </row>
    <row r="49" spans="2:16">
      <c r="B49" s="463"/>
      <c r="C49" s="466" t="str">
        <f t="shared" si="11"/>
        <v>Sodio 200</v>
      </c>
      <c r="D49" s="466"/>
      <c r="E49" s="466"/>
      <c r="F49" s="466"/>
      <c r="G49" s="484">
        <f>'AP622'!L49+'AP622'!M59-'AP622'!M69</f>
        <v>84</v>
      </c>
      <c r="H49" s="467">
        <f t="shared" si="12"/>
        <v>80</v>
      </c>
      <c r="I49" s="467">
        <f t="shared" si="12"/>
        <v>76</v>
      </c>
      <c r="J49" s="467">
        <f t="shared" si="12"/>
        <v>72</v>
      </c>
      <c r="K49" s="467">
        <f t="shared" si="12"/>
        <v>68</v>
      </c>
      <c r="L49" s="467">
        <f t="shared" si="12"/>
        <v>64</v>
      </c>
      <c r="M49" s="481"/>
      <c r="N49" s="258"/>
      <c r="O49" s="485">
        <f t="shared" ref="O49:O56" si="13">L49-G49</f>
        <v>-20</v>
      </c>
      <c r="P49" s="485">
        <f>G49-'AP622'!L49</f>
        <v>-24</v>
      </c>
    </row>
    <row r="50" spans="2:16">
      <c r="B50" s="463"/>
      <c r="C50" s="466" t="str">
        <f t="shared" si="11"/>
        <v>Sodio 175</v>
      </c>
      <c r="D50" s="466"/>
      <c r="E50" s="466"/>
      <c r="F50" s="466"/>
      <c r="G50" s="2008">
        <f>0</f>
        <v>0</v>
      </c>
      <c r="H50" s="2008">
        <f>0</f>
        <v>0</v>
      </c>
      <c r="I50" s="2008">
        <f>0</f>
        <v>0</v>
      </c>
      <c r="J50" s="2008">
        <f>0</f>
        <v>0</v>
      </c>
      <c r="K50" s="2008">
        <f>0</f>
        <v>0</v>
      </c>
      <c r="L50" s="2008">
        <f>0</f>
        <v>0</v>
      </c>
      <c r="M50" s="481"/>
      <c r="N50" s="258"/>
      <c r="O50" s="485">
        <f t="shared" si="13"/>
        <v>0</v>
      </c>
      <c r="P50" s="485">
        <f>G50-'AP622'!L50</f>
        <v>-49</v>
      </c>
    </row>
    <row r="51" spans="2:16">
      <c r="B51" s="463"/>
      <c r="C51" s="466" t="str">
        <f t="shared" si="11"/>
        <v>Sodio 150</v>
      </c>
      <c r="D51" s="466"/>
      <c r="E51" s="466"/>
      <c r="F51" s="466"/>
      <c r="G51" s="484">
        <f>'AP622'!L51+'AP622'!M61-'AP622'!M71</f>
        <v>333</v>
      </c>
      <c r="H51" s="467">
        <f t="shared" si="12"/>
        <v>326</v>
      </c>
      <c r="I51" s="467">
        <f t="shared" si="12"/>
        <v>319</v>
      </c>
      <c r="J51" s="467">
        <f t="shared" si="12"/>
        <v>312</v>
      </c>
      <c r="K51" s="467">
        <f t="shared" si="12"/>
        <v>305</v>
      </c>
      <c r="L51" s="467">
        <f t="shared" si="12"/>
        <v>298</v>
      </c>
      <c r="M51" s="481"/>
      <c r="N51" s="258"/>
      <c r="O51" s="485">
        <f t="shared" si="13"/>
        <v>-35</v>
      </c>
      <c r="P51" s="485">
        <f>G51-'AP622'!L51</f>
        <v>-41</v>
      </c>
    </row>
    <row r="52" spans="2:16">
      <c r="B52" s="463"/>
      <c r="C52" s="466" t="str">
        <f t="shared" si="11"/>
        <v>Sodio 100</v>
      </c>
      <c r="D52" s="466"/>
      <c r="E52" s="466"/>
      <c r="F52" s="466"/>
      <c r="G52" s="484">
        <f>'AP622'!L52+'AP622'!M62-'AP622'!M72</f>
        <v>26619</v>
      </c>
      <c r="H52" s="467">
        <f t="shared" si="12"/>
        <v>24881</v>
      </c>
      <c r="I52" s="467">
        <f t="shared" si="12"/>
        <v>23143</v>
      </c>
      <c r="J52" s="467">
        <f t="shared" si="12"/>
        <v>21405</v>
      </c>
      <c r="K52" s="467">
        <f t="shared" si="12"/>
        <v>19667</v>
      </c>
      <c r="L52" s="467">
        <f t="shared" si="12"/>
        <v>17929</v>
      </c>
      <c r="M52" s="481"/>
      <c r="N52" s="258"/>
      <c r="O52" s="485">
        <f t="shared" si="13"/>
        <v>-8690</v>
      </c>
      <c r="P52" s="485">
        <f>G52-'AP622'!L52</f>
        <v>-10431</v>
      </c>
    </row>
    <row r="53" spans="2:16">
      <c r="B53" s="463"/>
      <c r="C53" s="466" t="str">
        <f t="shared" si="11"/>
        <v>Sodio 70</v>
      </c>
      <c r="D53" s="466"/>
      <c r="E53" s="466"/>
      <c r="F53" s="466"/>
      <c r="G53" s="484">
        <f>'AP622'!L53+'AP622'!M63-'AP622'!M73</f>
        <v>4505</v>
      </c>
      <c r="H53" s="467">
        <f t="shared" si="12"/>
        <v>4267</v>
      </c>
      <c r="I53" s="467">
        <f t="shared" si="12"/>
        <v>4029</v>
      </c>
      <c r="J53" s="467">
        <f t="shared" si="12"/>
        <v>3791</v>
      </c>
      <c r="K53" s="467">
        <f t="shared" si="12"/>
        <v>3553</v>
      </c>
      <c r="L53" s="467">
        <f t="shared" si="12"/>
        <v>3315</v>
      </c>
      <c r="M53" s="481"/>
      <c r="N53" s="258"/>
      <c r="O53" s="485">
        <f t="shared" si="13"/>
        <v>-1190</v>
      </c>
      <c r="P53" s="485">
        <f>G53-'AP622'!L53</f>
        <v>-1425</v>
      </c>
    </row>
    <row r="54" spans="2:16">
      <c r="B54" s="486"/>
      <c r="C54" s="466" t="str">
        <f t="shared" si="11"/>
        <v>LED equivalente 75 W</v>
      </c>
      <c r="D54" s="469"/>
      <c r="E54" s="469"/>
      <c r="F54" s="469"/>
      <c r="G54" s="484">
        <f>'AP622'!L54+'AP622'!M64-'AP622'!M74</f>
        <v>86719</v>
      </c>
      <c r="H54" s="467">
        <f t="shared" si="12"/>
        <v>86785</v>
      </c>
      <c r="I54" s="467">
        <f t="shared" si="12"/>
        <v>86851</v>
      </c>
      <c r="J54" s="467">
        <f t="shared" si="12"/>
        <v>86917</v>
      </c>
      <c r="K54" s="467">
        <f t="shared" si="12"/>
        <v>86983</v>
      </c>
      <c r="L54" s="467">
        <f t="shared" si="12"/>
        <v>87049</v>
      </c>
      <c r="M54" s="481"/>
      <c r="N54" s="258"/>
      <c r="O54" s="485">
        <f t="shared" si="13"/>
        <v>330</v>
      </c>
      <c r="P54" s="485">
        <f>G54-'AP622'!L54</f>
        <v>12303</v>
      </c>
    </row>
    <row r="55" spans="2:16">
      <c r="B55" s="463"/>
      <c r="C55" s="466" t="str">
        <f t="shared" si="11"/>
        <v>LED equivalente 189 W</v>
      </c>
      <c r="D55" s="466"/>
      <c r="E55" s="466"/>
      <c r="F55" s="466"/>
      <c r="G55" s="484">
        <f>'AP622'!L55+'AP622'!M65-'AP622'!M75</f>
        <v>16389</v>
      </c>
      <c r="H55" s="467">
        <f t="shared" si="12"/>
        <v>18440</v>
      </c>
      <c r="I55" s="467">
        <f t="shared" si="12"/>
        <v>20491</v>
      </c>
      <c r="J55" s="467">
        <f t="shared" si="12"/>
        <v>22542</v>
      </c>
      <c r="K55" s="467">
        <f t="shared" si="12"/>
        <v>24593</v>
      </c>
      <c r="L55" s="467">
        <f t="shared" si="12"/>
        <v>26644</v>
      </c>
      <c r="M55" s="481"/>
      <c r="N55" s="258"/>
      <c r="O55" s="485">
        <f t="shared" si="13"/>
        <v>10255</v>
      </c>
      <c r="P55" s="485">
        <f>G55-'AP622'!L55</f>
        <v>395</v>
      </c>
    </row>
    <row r="56" spans="2:16">
      <c r="B56" s="487"/>
      <c r="C56" s="471" t="s">
        <v>112</v>
      </c>
      <c r="D56" s="471"/>
      <c r="E56" s="471"/>
      <c r="F56" s="471"/>
      <c r="G56" s="472">
        <f t="shared" ref="G56:L56" si="14">SUM(G48:G55)</f>
        <v>136869</v>
      </c>
      <c r="H56" s="472">
        <f t="shared" si="14"/>
        <v>136879</v>
      </c>
      <c r="I56" s="472">
        <f t="shared" si="14"/>
        <v>136889</v>
      </c>
      <c r="J56" s="472">
        <f t="shared" si="14"/>
        <v>136899</v>
      </c>
      <c r="K56" s="472">
        <f t="shared" si="14"/>
        <v>136909</v>
      </c>
      <c r="L56" s="472">
        <f t="shared" si="14"/>
        <v>136919</v>
      </c>
      <c r="M56" s="481"/>
      <c r="N56" s="258">
        <f>L56/'AP622'!L56-1</f>
        <v>4.3109747186909075E-4</v>
      </c>
      <c r="O56" s="485">
        <f t="shared" si="13"/>
        <v>50</v>
      </c>
      <c r="P56" s="485">
        <f>G56-'AP622'!L56</f>
        <v>9</v>
      </c>
    </row>
    <row r="57" spans="2:16" ht="15.75">
      <c r="B57" s="479">
        <v>2</v>
      </c>
      <c r="C57" s="482" t="s">
        <v>85</v>
      </c>
      <c r="D57" s="482"/>
      <c r="E57" s="482"/>
      <c r="F57" s="482"/>
      <c r="G57" s="483"/>
      <c r="H57" s="481"/>
      <c r="I57" s="481"/>
      <c r="J57" s="481"/>
      <c r="K57" s="481"/>
      <c r="L57" s="481"/>
      <c r="M57" s="481"/>
      <c r="O57" s="455"/>
    </row>
    <row r="58" spans="2:16">
      <c r="B58" s="467"/>
      <c r="C58" s="466" t="str">
        <f t="shared" ref="C58:C63" si="15">C48</f>
        <v>Sodio 250</v>
      </c>
      <c r="D58" s="466"/>
      <c r="E58" s="466"/>
      <c r="F58" s="466"/>
      <c r="G58" s="2008">
        <f>'AP622'!N58</f>
        <v>0</v>
      </c>
      <c r="H58" s="2008">
        <f t="shared" ref="H58:H64" si="16">G58</f>
        <v>0</v>
      </c>
      <c r="I58" s="2008">
        <f t="shared" ref="I58:I64" si="17">H58</f>
        <v>0</v>
      </c>
      <c r="J58" s="2008">
        <f t="shared" ref="J58:J64" si="18">I58</f>
        <v>0</v>
      </c>
      <c r="K58" s="2008">
        <f t="shared" ref="K58:K64" si="19">J58</f>
        <v>0</v>
      </c>
      <c r="L58" s="2008">
        <f t="shared" ref="L58:L64" si="20">K58</f>
        <v>0</v>
      </c>
      <c r="M58" s="474">
        <f>SUM(G58:L58)</f>
        <v>0</v>
      </c>
      <c r="O58" s="455"/>
      <c r="P58" s="455"/>
    </row>
    <row r="59" spans="2:16">
      <c r="B59" s="467"/>
      <c r="C59" s="466" t="str">
        <f t="shared" si="15"/>
        <v>Sodio 200</v>
      </c>
      <c r="D59" s="466"/>
      <c r="E59" s="466"/>
      <c r="F59" s="466"/>
      <c r="G59" s="2008">
        <f>'AP622'!N59</f>
        <v>0</v>
      </c>
      <c r="H59" s="2008">
        <f t="shared" si="16"/>
        <v>0</v>
      </c>
      <c r="I59" s="2008">
        <f t="shared" si="17"/>
        <v>0</v>
      </c>
      <c r="J59" s="2008">
        <f t="shared" si="18"/>
        <v>0</v>
      </c>
      <c r="K59" s="2008">
        <f t="shared" si="19"/>
        <v>0</v>
      </c>
      <c r="L59" s="2008">
        <f t="shared" si="20"/>
        <v>0</v>
      </c>
      <c r="M59" s="474">
        <f t="shared" ref="M59:M65" si="21">SUM(G59:L59)</f>
        <v>0</v>
      </c>
    </row>
    <row r="60" spans="2:16">
      <c r="B60" s="467"/>
      <c r="C60" s="466" t="str">
        <f t="shared" si="15"/>
        <v>Sodio 175</v>
      </c>
      <c r="D60" s="466"/>
      <c r="E60" s="466"/>
      <c r="F60" s="466"/>
      <c r="G60" s="2008">
        <f>'AP622'!N60</f>
        <v>0</v>
      </c>
      <c r="H60" s="2008">
        <f t="shared" si="16"/>
        <v>0</v>
      </c>
      <c r="I60" s="2008">
        <f t="shared" si="17"/>
        <v>0</v>
      </c>
      <c r="J60" s="2008">
        <f t="shared" si="18"/>
        <v>0</v>
      </c>
      <c r="K60" s="2008">
        <f t="shared" si="19"/>
        <v>0</v>
      </c>
      <c r="L60" s="2008">
        <f t="shared" si="20"/>
        <v>0</v>
      </c>
      <c r="M60" s="474">
        <f t="shared" si="21"/>
        <v>0</v>
      </c>
    </row>
    <row r="61" spans="2:16">
      <c r="B61" s="467"/>
      <c r="C61" s="466" t="str">
        <f t="shared" si="15"/>
        <v>Sodio 150</v>
      </c>
      <c r="D61" s="466"/>
      <c r="E61" s="466"/>
      <c r="F61" s="466"/>
      <c r="G61" s="2008">
        <f>'AP622'!N61</f>
        <v>0</v>
      </c>
      <c r="H61" s="2008">
        <f t="shared" si="16"/>
        <v>0</v>
      </c>
      <c r="I61" s="2008">
        <f t="shared" si="17"/>
        <v>0</v>
      </c>
      <c r="J61" s="2008">
        <f t="shared" si="18"/>
        <v>0</v>
      </c>
      <c r="K61" s="2008">
        <f t="shared" si="19"/>
        <v>0</v>
      </c>
      <c r="L61" s="2008">
        <f t="shared" si="20"/>
        <v>0</v>
      </c>
      <c r="M61" s="474">
        <f t="shared" si="21"/>
        <v>0</v>
      </c>
    </row>
    <row r="62" spans="2:16">
      <c r="B62" s="467"/>
      <c r="C62" s="466" t="str">
        <f t="shared" si="15"/>
        <v>Sodio 100</v>
      </c>
      <c r="D62" s="466"/>
      <c r="E62" s="466"/>
      <c r="F62" s="466"/>
      <c r="G62" s="484">
        <f>'AP622'!N62</f>
        <v>1</v>
      </c>
      <c r="H62" s="484">
        <f t="shared" si="16"/>
        <v>1</v>
      </c>
      <c r="I62" s="484">
        <f t="shared" si="17"/>
        <v>1</v>
      </c>
      <c r="J62" s="484">
        <f t="shared" si="18"/>
        <v>1</v>
      </c>
      <c r="K62" s="484">
        <f t="shared" si="19"/>
        <v>1</v>
      </c>
      <c r="L62" s="484">
        <f t="shared" si="20"/>
        <v>1</v>
      </c>
      <c r="M62" s="474">
        <f t="shared" si="21"/>
        <v>6</v>
      </c>
    </row>
    <row r="63" spans="2:16">
      <c r="B63" s="467"/>
      <c r="C63" s="466" t="str">
        <f t="shared" si="15"/>
        <v>Sodio 70</v>
      </c>
      <c r="D63" s="466"/>
      <c r="E63" s="466"/>
      <c r="F63" s="466"/>
      <c r="G63" s="2008">
        <f>'AP622'!N63</f>
        <v>0</v>
      </c>
      <c r="H63" s="2008">
        <f t="shared" si="16"/>
        <v>0</v>
      </c>
      <c r="I63" s="2008">
        <f t="shared" si="17"/>
        <v>0</v>
      </c>
      <c r="J63" s="2008">
        <f t="shared" si="18"/>
        <v>0</v>
      </c>
      <c r="K63" s="2008">
        <f t="shared" si="19"/>
        <v>0</v>
      </c>
      <c r="L63" s="2008">
        <f t="shared" si="20"/>
        <v>0</v>
      </c>
      <c r="M63" s="474">
        <f t="shared" si="21"/>
        <v>0</v>
      </c>
    </row>
    <row r="64" spans="2:16">
      <c r="B64" s="467"/>
      <c r="C64" s="466" t="str">
        <f>C55</f>
        <v>LED equivalente 189 W</v>
      </c>
      <c r="D64" s="466"/>
      <c r="E64" s="466"/>
      <c r="F64" s="466"/>
      <c r="G64" s="484">
        <f>'AP622'!N64</f>
        <v>2051</v>
      </c>
      <c r="H64" s="484">
        <f t="shared" si="16"/>
        <v>2051</v>
      </c>
      <c r="I64" s="484">
        <f t="shared" si="17"/>
        <v>2051</v>
      </c>
      <c r="J64" s="484">
        <f t="shared" si="18"/>
        <v>2051</v>
      </c>
      <c r="K64" s="484">
        <f t="shared" si="19"/>
        <v>2051</v>
      </c>
      <c r="L64" s="484">
        <f t="shared" si="20"/>
        <v>2051</v>
      </c>
      <c r="M64" s="474">
        <f t="shared" si="21"/>
        <v>12306</v>
      </c>
    </row>
    <row r="65" spans="2:13">
      <c r="B65" s="488"/>
      <c r="C65" s="466" t="str">
        <f>C54</f>
        <v>LED equivalente 75 W</v>
      </c>
      <c r="D65" s="469"/>
      <c r="E65" s="469"/>
      <c r="F65" s="469"/>
      <c r="G65" s="484">
        <f>'AP622'!N65</f>
        <v>66</v>
      </c>
      <c r="H65" s="484">
        <f>G65</f>
        <v>66</v>
      </c>
      <c r="I65" s="484">
        <f>H65</f>
        <v>66</v>
      </c>
      <c r="J65" s="484">
        <f>I65</f>
        <v>66</v>
      </c>
      <c r="K65" s="484">
        <f>J65</f>
        <v>66</v>
      </c>
      <c r="L65" s="484">
        <f>K65</f>
        <v>66</v>
      </c>
      <c r="M65" s="474">
        <f t="shared" si="21"/>
        <v>396</v>
      </c>
    </row>
    <row r="66" spans="2:13">
      <c r="B66" s="487"/>
      <c r="C66" s="471" t="s">
        <v>112</v>
      </c>
      <c r="D66" s="471"/>
      <c r="E66" s="471"/>
      <c r="F66" s="471"/>
      <c r="G66" s="472">
        <f>SUM(G58:G65)</f>
        <v>2118</v>
      </c>
      <c r="H66" s="472">
        <f t="shared" ref="H66:M66" si="22">SUM(H58:H65)</f>
        <v>2118</v>
      </c>
      <c r="I66" s="472">
        <f t="shared" si="22"/>
        <v>2118</v>
      </c>
      <c r="J66" s="472">
        <f t="shared" si="22"/>
        <v>2118</v>
      </c>
      <c r="K66" s="472">
        <f t="shared" si="22"/>
        <v>2118</v>
      </c>
      <c r="L66" s="472">
        <f t="shared" si="22"/>
        <v>2118</v>
      </c>
      <c r="M66" s="472">
        <f t="shared" si="22"/>
        <v>12708</v>
      </c>
    </row>
    <row r="67" spans="2:13" ht="15.75">
      <c r="B67" s="479">
        <v>3</v>
      </c>
      <c r="C67" s="482" t="s">
        <v>86</v>
      </c>
      <c r="D67" s="482"/>
      <c r="E67" s="482"/>
      <c r="F67" s="482"/>
      <c r="G67" s="483"/>
      <c r="H67" s="481"/>
      <c r="I67" s="481"/>
      <c r="J67" s="481"/>
      <c r="K67" s="481"/>
      <c r="L67" s="481"/>
      <c r="M67" s="481"/>
    </row>
    <row r="68" spans="2:13">
      <c r="B68" s="467"/>
      <c r="C68" s="466" t="str">
        <f t="shared" ref="C68:C73" si="23">C58</f>
        <v>Sodio 250</v>
      </c>
      <c r="D68" s="466"/>
      <c r="E68" s="466"/>
      <c r="F68" s="466"/>
      <c r="G68" s="484">
        <f>'AP622'!N68</f>
        <v>120</v>
      </c>
      <c r="H68" s="484">
        <f t="shared" ref="H68:H74" si="24">G68</f>
        <v>120</v>
      </c>
      <c r="I68" s="484">
        <f t="shared" ref="I68:I75" si="25">H68</f>
        <v>120</v>
      </c>
      <c r="J68" s="484">
        <f t="shared" ref="J68:J75" si="26">I68</f>
        <v>120</v>
      </c>
      <c r="K68" s="484">
        <f t="shared" ref="K68:K75" si="27">J68</f>
        <v>120</v>
      </c>
      <c r="L68" s="484">
        <f t="shared" ref="L68:L75" si="28">K68</f>
        <v>120</v>
      </c>
      <c r="M68" s="474">
        <f t="shared" ref="M68:M75" si="29">SUM(G68:L68)</f>
        <v>720</v>
      </c>
    </row>
    <row r="69" spans="2:13">
      <c r="B69" s="467"/>
      <c r="C69" s="466" t="str">
        <f t="shared" si="23"/>
        <v>Sodio 200</v>
      </c>
      <c r="D69" s="466"/>
      <c r="E69" s="466"/>
      <c r="F69" s="466"/>
      <c r="G69" s="484">
        <f>'AP622'!N69</f>
        <v>4</v>
      </c>
      <c r="H69" s="484">
        <f t="shared" si="24"/>
        <v>4</v>
      </c>
      <c r="I69" s="484">
        <f t="shared" si="25"/>
        <v>4</v>
      </c>
      <c r="J69" s="484">
        <f t="shared" si="26"/>
        <v>4</v>
      </c>
      <c r="K69" s="484">
        <f t="shared" si="27"/>
        <v>4</v>
      </c>
      <c r="L69" s="484">
        <f t="shared" si="28"/>
        <v>4</v>
      </c>
      <c r="M69" s="474">
        <f t="shared" si="29"/>
        <v>24</v>
      </c>
    </row>
    <row r="70" spans="2:13">
      <c r="B70" s="467"/>
      <c r="C70" s="466" t="str">
        <f t="shared" si="23"/>
        <v>Sodio 175</v>
      </c>
      <c r="D70" s="466"/>
      <c r="E70" s="466"/>
      <c r="F70" s="466"/>
      <c r="G70" s="484">
        <f>'AP622'!N70</f>
        <v>9</v>
      </c>
      <c r="H70" s="484">
        <f t="shared" si="24"/>
        <v>9</v>
      </c>
      <c r="I70" s="484">
        <f t="shared" si="25"/>
        <v>9</v>
      </c>
      <c r="J70" s="484">
        <f t="shared" si="26"/>
        <v>9</v>
      </c>
      <c r="K70" s="484">
        <f t="shared" si="27"/>
        <v>9</v>
      </c>
      <c r="L70" s="484">
        <f t="shared" si="28"/>
        <v>9</v>
      </c>
      <c r="M70" s="474">
        <f t="shared" si="29"/>
        <v>54</v>
      </c>
    </row>
    <row r="71" spans="2:13">
      <c r="B71" s="467"/>
      <c r="C71" s="466" t="str">
        <f t="shared" si="23"/>
        <v>Sodio 150</v>
      </c>
      <c r="D71" s="466"/>
      <c r="E71" s="466"/>
      <c r="F71" s="466"/>
      <c r="G71" s="484">
        <f>'AP622'!N71</f>
        <v>7</v>
      </c>
      <c r="H71" s="484">
        <f t="shared" si="24"/>
        <v>7</v>
      </c>
      <c r="I71" s="484">
        <f t="shared" si="25"/>
        <v>7</v>
      </c>
      <c r="J71" s="484">
        <f t="shared" si="26"/>
        <v>7</v>
      </c>
      <c r="K71" s="484">
        <f t="shared" si="27"/>
        <v>7</v>
      </c>
      <c r="L71" s="484">
        <f t="shared" si="28"/>
        <v>7</v>
      </c>
      <c r="M71" s="474">
        <f t="shared" si="29"/>
        <v>42</v>
      </c>
    </row>
    <row r="72" spans="2:13">
      <c r="B72" s="467"/>
      <c r="C72" s="466" t="str">
        <f t="shared" si="23"/>
        <v>Sodio 100</v>
      </c>
      <c r="D72" s="466"/>
      <c r="E72" s="466"/>
      <c r="F72" s="466"/>
      <c r="G72" s="484">
        <f>'AP622'!N72</f>
        <v>1739</v>
      </c>
      <c r="H72" s="484">
        <f t="shared" si="24"/>
        <v>1739</v>
      </c>
      <c r="I72" s="484">
        <f t="shared" si="25"/>
        <v>1739</v>
      </c>
      <c r="J72" s="484">
        <f t="shared" si="26"/>
        <v>1739</v>
      </c>
      <c r="K72" s="484">
        <f t="shared" si="27"/>
        <v>1739</v>
      </c>
      <c r="L72" s="484">
        <f t="shared" si="28"/>
        <v>1739</v>
      </c>
      <c r="M72" s="474">
        <f t="shared" si="29"/>
        <v>10434</v>
      </c>
    </row>
    <row r="73" spans="2:13">
      <c r="B73" s="467"/>
      <c r="C73" s="466" t="str">
        <f t="shared" si="23"/>
        <v>Sodio 70</v>
      </c>
      <c r="D73" s="466"/>
      <c r="E73" s="466"/>
      <c r="F73" s="466"/>
      <c r="G73" s="484">
        <f>'AP622'!N73</f>
        <v>238</v>
      </c>
      <c r="H73" s="484">
        <f t="shared" si="24"/>
        <v>238</v>
      </c>
      <c r="I73" s="484">
        <f t="shared" si="25"/>
        <v>238</v>
      </c>
      <c r="J73" s="484">
        <f t="shared" si="26"/>
        <v>238</v>
      </c>
      <c r="K73" s="484">
        <f t="shared" si="27"/>
        <v>238</v>
      </c>
      <c r="L73" s="484">
        <f t="shared" si="28"/>
        <v>238</v>
      </c>
      <c r="M73" s="474">
        <f t="shared" si="29"/>
        <v>1428</v>
      </c>
    </row>
    <row r="74" spans="2:13">
      <c r="B74" s="488"/>
      <c r="C74" s="466" t="str">
        <f>C65</f>
        <v>LED equivalente 75 W</v>
      </c>
      <c r="D74" s="469"/>
      <c r="E74" s="469"/>
      <c r="F74" s="469"/>
      <c r="G74" s="484">
        <f>'AP622'!N74</f>
        <v>0</v>
      </c>
      <c r="H74" s="484">
        <f t="shared" si="24"/>
        <v>0</v>
      </c>
      <c r="I74" s="484">
        <f t="shared" si="25"/>
        <v>0</v>
      </c>
      <c r="J74" s="484">
        <f t="shared" si="26"/>
        <v>0</v>
      </c>
      <c r="K74" s="484">
        <f t="shared" si="27"/>
        <v>0</v>
      </c>
      <c r="L74" s="484">
        <f t="shared" si="28"/>
        <v>0</v>
      </c>
      <c r="M74" s="474">
        <f>SUM(G74:L74)</f>
        <v>0</v>
      </c>
    </row>
    <row r="75" spans="2:13">
      <c r="B75" s="467"/>
      <c r="C75" s="466" t="str">
        <f>C64</f>
        <v>LED equivalente 189 W</v>
      </c>
      <c r="D75" s="466"/>
      <c r="E75" s="466"/>
      <c r="F75" s="466"/>
      <c r="G75" s="484">
        <f>'AP622'!N75</f>
        <v>0</v>
      </c>
      <c r="H75" s="484">
        <f>G75</f>
        <v>0</v>
      </c>
      <c r="I75" s="484">
        <f t="shared" si="25"/>
        <v>0</v>
      </c>
      <c r="J75" s="484">
        <f t="shared" si="26"/>
        <v>0</v>
      </c>
      <c r="K75" s="484">
        <f t="shared" si="27"/>
        <v>0</v>
      </c>
      <c r="L75" s="484">
        <f t="shared" si="28"/>
        <v>0</v>
      </c>
      <c r="M75" s="474">
        <f t="shared" si="29"/>
        <v>0</v>
      </c>
    </row>
    <row r="76" spans="2:13">
      <c r="B76" s="487"/>
      <c r="C76" s="471" t="s">
        <v>112</v>
      </c>
      <c r="D76" s="471"/>
      <c r="E76" s="471"/>
      <c r="F76" s="471"/>
      <c r="G76" s="472">
        <f t="shared" ref="G76:M76" si="30">SUM(G68:G75)</f>
        <v>2117</v>
      </c>
      <c r="H76" s="472">
        <f t="shared" si="30"/>
        <v>2117</v>
      </c>
      <c r="I76" s="472">
        <f t="shared" si="30"/>
        <v>2117</v>
      </c>
      <c r="J76" s="472">
        <f t="shared" si="30"/>
        <v>2117</v>
      </c>
      <c r="K76" s="472">
        <f t="shared" si="30"/>
        <v>2117</v>
      </c>
      <c r="L76" s="472">
        <f t="shared" si="30"/>
        <v>2117</v>
      </c>
      <c r="M76" s="472">
        <f t="shared" si="30"/>
        <v>12702</v>
      </c>
    </row>
    <row r="77" spans="2:13" ht="15.75">
      <c r="I77" s="69"/>
    </row>
    <row r="78" spans="2:13">
      <c r="B78" s="52" t="str">
        <f>'PORTADA PORTADA PORTADA'!$B$23</f>
        <v>1 DE JULIO DE 2026</v>
      </c>
    </row>
  </sheetData>
  <phoneticPr fontId="29" type="noConversion"/>
  <printOptions horizontalCentered="1" verticalCentered="1"/>
  <pageMargins left="0.59055118110236227" right="0.59055118110236227" top="0.78740157480314965" bottom="0.59055118110236227" header="0.59055118110236227" footer="0.47244094488188981"/>
  <pageSetup scale="71" orientation="portrait" r:id="rId1"/>
  <headerFooter>
    <oddHeader>&amp;L&amp;"Times New Roman,Negrita"&amp;14Nombre de la Distribuidora: &amp;K06-048ENSA&amp;RASEP FORM: &amp;A</oddHeader>
    <oddFooter>&amp;R&amp;A</oddFooter>
  </headerFooter>
  <rowBreaks count="1" manualBreakCount="1">
    <brk id="19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Hoja73"/>
  <dimension ref="A1:K167"/>
  <sheetViews>
    <sheetView view="pageBreakPreview" zoomScale="85" zoomScaleNormal="85" zoomScaleSheetLayoutView="85" workbookViewId="0">
      <selection activeCell="A2" sqref="A2"/>
    </sheetView>
  </sheetViews>
  <sheetFormatPr baseColWidth="10" defaultColWidth="8" defaultRowHeight="15"/>
  <cols>
    <col min="1" max="1" width="2.375" style="63" customWidth="1"/>
    <col min="2" max="2" width="5.625" style="63" bestFit="1" customWidth="1"/>
    <col min="3" max="3" width="29.5" style="63" customWidth="1"/>
    <col min="4" max="9" width="10.625" style="63" customWidth="1"/>
    <col min="10" max="10" width="11.25" style="63" customWidth="1"/>
    <col min="11" max="16384" width="8" style="63"/>
  </cols>
  <sheetData>
    <row r="1" spans="3:10" s="69" customFormat="1" ht="15.75">
      <c r="C1" s="136" t="s">
        <v>151</v>
      </c>
    </row>
    <row r="2" spans="3:10" s="69" customFormat="1" ht="15.75">
      <c r="D2" s="137" t="s">
        <v>242</v>
      </c>
    </row>
    <row r="3" spans="3:10" s="69" customFormat="1" ht="15.75">
      <c r="D3" s="137"/>
    </row>
    <row r="4" spans="3:10" ht="15.75">
      <c r="C4" s="219" t="s">
        <v>1530</v>
      </c>
      <c r="D4" s="219"/>
      <c r="E4" s="219"/>
      <c r="F4" s="219"/>
      <c r="G4" s="219"/>
      <c r="H4" s="219"/>
      <c r="I4" s="219"/>
      <c r="J4" s="219"/>
    </row>
    <row r="5" spans="3:10">
      <c r="C5" s="139"/>
    </row>
    <row r="6" spans="3:10" s="143" customFormat="1" ht="36">
      <c r="C6" s="220" t="s">
        <v>336</v>
      </c>
      <c r="D6" s="489" t="s">
        <v>1468</v>
      </c>
      <c r="E6" s="63"/>
      <c r="F6" s="69"/>
    </row>
    <row r="7" spans="3:10" s="143" customFormat="1" ht="15.75">
      <c r="C7" s="2002" t="s">
        <v>266</v>
      </c>
      <c r="D7" s="2003">
        <f>RAT1000VAD!$H$66</f>
        <v>1.1199999999999999E-3</v>
      </c>
      <c r="E7" s="69"/>
      <c r="F7" s="69"/>
    </row>
    <row r="8" spans="3:10" s="143" customFormat="1" ht="15.75">
      <c r="C8" s="2004" t="s">
        <v>265</v>
      </c>
      <c r="D8" s="2003">
        <f>RAT1000VAD!$H$65</f>
        <v>1.1199999999999999E-3</v>
      </c>
      <c r="E8" s="69"/>
      <c r="F8" s="69"/>
    </row>
    <row r="9" spans="3:10" s="143" customFormat="1" ht="15.75">
      <c r="C9" s="2004" t="s">
        <v>264</v>
      </c>
      <c r="D9" s="2003">
        <f>RAT1000VAD!$H$64</f>
        <v>1.1199999999999999E-3</v>
      </c>
      <c r="E9" s="69"/>
      <c r="F9" s="69"/>
    </row>
    <row r="10" spans="3:10" s="143" customFormat="1" ht="15.75">
      <c r="C10" s="2004" t="s">
        <v>262</v>
      </c>
      <c r="D10" s="2003">
        <f>RAT1000VAD!$H$63</f>
        <v>1.1199999999999999E-3</v>
      </c>
      <c r="E10" s="69"/>
      <c r="F10" s="69"/>
    </row>
    <row r="11" spans="3:10" s="143" customFormat="1" ht="15.75">
      <c r="C11" s="2004" t="s">
        <v>263</v>
      </c>
      <c r="D11" s="2003">
        <f>RAT1000VAD!$H$62</f>
        <v>1.1199999999999999E-3</v>
      </c>
      <c r="E11" s="69"/>
      <c r="F11" s="69"/>
    </row>
    <row r="12" spans="3:10" s="143" customFormat="1" ht="15.75">
      <c r="C12" s="2004" t="s">
        <v>261</v>
      </c>
      <c r="D12" s="2003">
        <f>RAT1000VAD!$H$61</f>
        <v>1.1199999999999999E-3</v>
      </c>
      <c r="E12" s="69"/>
      <c r="F12" s="69"/>
    </row>
    <row r="13" spans="3:10" s="143" customFormat="1" ht="15.75">
      <c r="C13" s="2005" t="s">
        <v>1768</v>
      </c>
      <c r="D13" s="2006">
        <f>RAT1000VAD!$H$58</f>
        <v>1.15E-3</v>
      </c>
      <c r="E13" s="69"/>
      <c r="F13" s="69"/>
    </row>
    <row r="14" spans="3:10" s="143" customFormat="1" ht="15.75">
      <c r="C14" s="2005" t="s">
        <v>267</v>
      </c>
      <c r="D14" s="2006">
        <f>RAT1000VAD!$H$59</f>
        <v>1.15E-3</v>
      </c>
      <c r="E14" s="69"/>
      <c r="F14" s="69"/>
    </row>
    <row r="15" spans="3:10" s="143" customFormat="1" ht="15.75">
      <c r="C15" s="2005" t="s">
        <v>1178</v>
      </c>
      <c r="D15" s="2006">
        <f>RAT1000VAD!$H$60</f>
        <v>1.15E-3</v>
      </c>
      <c r="E15" s="69"/>
      <c r="F15" s="69"/>
    </row>
    <row r="16" spans="3:10" s="143" customFormat="1" ht="13.5">
      <c r="C16" s="147"/>
      <c r="I16" s="148"/>
      <c r="J16" s="148"/>
    </row>
    <row r="17" spans="2:11" s="143" customFormat="1" ht="36" customHeight="1">
      <c r="C17" s="138" t="s">
        <v>1469</v>
      </c>
      <c r="D17" s="138"/>
      <c r="E17" s="138"/>
      <c r="F17" s="138"/>
      <c r="G17" s="138"/>
      <c r="H17" s="138"/>
      <c r="I17" s="138"/>
      <c r="J17" s="138"/>
    </row>
    <row r="18" spans="2:11" s="37" customFormat="1" ht="15.75">
      <c r="C18" s="490" t="s">
        <v>310</v>
      </c>
      <c r="D18" s="491">
        <f>F801C!D4</f>
        <v>46204</v>
      </c>
      <c r="E18" s="491">
        <f>F801C!E4</f>
        <v>46235</v>
      </c>
      <c r="F18" s="491">
        <f>F801C!F4</f>
        <v>46266</v>
      </c>
      <c r="G18" s="491">
        <f>F801C!G4</f>
        <v>46296</v>
      </c>
      <c r="H18" s="491">
        <f>F801C!H4</f>
        <v>46327</v>
      </c>
      <c r="I18" s="491">
        <f>F801C!I4</f>
        <v>46357</v>
      </c>
      <c r="J18" s="491" t="s">
        <v>111</v>
      </c>
      <c r="K18" s="69"/>
    </row>
    <row r="19" spans="2:11" s="37" customFormat="1" ht="15.75">
      <c r="C19" s="1991" t="s">
        <v>446</v>
      </c>
      <c r="D19" s="1646">
        <f>SUBTOTAL(9,D20:D21)</f>
        <v>21419.809593696275</v>
      </c>
      <c r="E19" s="1646">
        <f t="shared" ref="E19:I19" si="0">SUBTOTAL(9,E20:E21)</f>
        <v>21428.748999771244</v>
      </c>
      <c r="F19" s="1646">
        <f t="shared" si="0"/>
        <v>21024.017676773779</v>
      </c>
      <c r="G19" s="1646">
        <f t="shared" si="0"/>
        <v>21355.294324882183</v>
      </c>
      <c r="H19" s="1646">
        <f t="shared" si="0"/>
        <v>20429.974329120832</v>
      </c>
      <c r="I19" s="1646">
        <f t="shared" si="0"/>
        <v>20525.706533355678</v>
      </c>
      <c r="J19" s="1646">
        <f>SUM(D19:I19)</f>
        <v>126183.55145759998</v>
      </c>
      <c r="K19" s="69"/>
    </row>
    <row r="20" spans="2:11" s="37" customFormat="1" ht="15.75">
      <c r="B20" s="48" t="s">
        <v>279</v>
      </c>
      <c r="C20" s="1992" t="s">
        <v>279</v>
      </c>
      <c r="D20" s="1993">
        <f>$D$7*F801ENE!D6</f>
        <v>21419.249593696273</v>
      </c>
      <c r="E20" s="1993">
        <f>$D$7*F801ENE!E6</f>
        <v>21428.188999771242</v>
      </c>
      <c r="F20" s="1993">
        <f>$D$7*F801ENE!F6</f>
        <v>21023.457676773778</v>
      </c>
      <c r="G20" s="1993">
        <f>$D$7*F801ENE!G6</f>
        <v>21354.734324882182</v>
      </c>
      <c r="H20" s="1993">
        <f>$D$7*F801ENE!H6</f>
        <v>20429.414329120831</v>
      </c>
      <c r="I20" s="1993">
        <f>$D$7*F801ENE!I6</f>
        <v>20525.146533355677</v>
      </c>
      <c r="J20" s="1646">
        <f t="shared" ref="J20:J83" si="1">SUM(D20:I20)</f>
        <v>126180.19145759998</v>
      </c>
      <c r="K20" s="69"/>
    </row>
    <row r="21" spans="2:11" s="37" customFormat="1" ht="15.75">
      <c r="B21" s="48" t="s">
        <v>278</v>
      </c>
      <c r="C21" s="1992" t="s">
        <v>278</v>
      </c>
      <c r="D21" s="1993">
        <f>$D$8*F801ENE!D7</f>
        <v>0.55999999999999994</v>
      </c>
      <c r="E21" s="1993">
        <f>$D$8*F801ENE!E7</f>
        <v>0.55999999999999994</v>
      </c>
      <c r="F21" s="1993">
        <f>$D$8*F801ENE!F7</f>
        <v>0.55999999999999994</v>
      </c>
      <c r="G21" s="1993">
        <f>$D$8*F801ENE!G7</f>
        <v>0.55999999999999994</v>
      </c>
      <c r="H21" s="1993">
        <f>$D$8*F801ENE!H7</f>
        <v>0.55999999999999994</v>
      </c>
      <c r="I21" s="1993">
        <f>$D$8*F801ENE!I7</f>
        <v>0.55999999999999994</v>
      </c>
      <c r="J21" s="1646">
        <f t="shared" si="1"/>
        <v>3.36</v>
      </c>
      <c r="K21" s="69"/>
    </row>
    <row r="22" spans="2:11" s="37" customFormat="1" ht="15.75">
      <c r="B22" s="48"/>
      <c r="C22" s="1994"/>
      <c r="D22" s="1993"/>
      <c r="E22" s="1993"/>
      <c r="F22" s="1993"/>
      <c r="G22" s="1993"/>
      <c r="H22" s="1993"/>
      <c r="I22" s="1993"/>
      <c r="J22" s="1646">
        <f t="shared" si="1"/>
        <v>0</v>
      </c>
      <c r="K22" s="69"/>
    </row>
    <row r="23" spans="2:11" s="37" customFormat="1" ht="15.75">
      <c r="B23" s="48"/>
      <c r="C23" s="1991" t="s">
        <v>630</v>
      </c>
      <c r="D23" s="1646">
        <f>SUBTOTAL(9,D24:D31)</f>
        <v>34289.826302759509</v>
      </c>
      <c r="E23" s="1646">
        <f t="shared" ref="E23:I23" si="2">SUBTOTAL(9,E24:E31)</f>
        <v>34304.136919304423</v>
      </c>
      <c r="F23" s="1646">
        <f t="shared" si="2"/>
        <v>33656.224214751099</v>
      </c>
      <c r="G23" s="1646">
        <f t="shared" si="2"/>
        <v>34186.547263240776</v>
      </c>
      <c r="H23" s="1646">
        <f t="shared" si="2"/>
        <v>32705.252026215676</v>
      </c>
      <c r="I23" s="1646">
        <f t="shared" si="2"/>
        <v>32858.504586208517</v>
      </c>
      <c r="J23" s="1646">
        <f t="shared" si="1"/>
        <v>202000.49131247998</v>
      </c>
      <c r="K23" s="69"/>
    </row>
    <row r="24" spans="2:11" s="37" customFormat="1" ht="15.75">
      <c r="B24" s="48" t="s">
        <v>277</v>
      </c>
      <c r="C24" s="1992" t="s">
        <v>277</v>
      </c>
      <c r="D24" s="1646">
        <f>SUBTOTAL(9,D25:D26)</f>
        <v>4905.3574450252081</v>
      </c>
      <c r="E24" s="1646">
        <f t="shared" ref="E24:I24" si="3">SUBTOTAL(9,E25:E26)</f>
        <v>4907.4046612692246</v>
      </c>
      <c r="F24" s="1646">
        <f t="shared" si="3"/>
        <v>4814.7170115580529</v>
      </c>
      <c r="G24" s="1646">
        <f t="shared" si="3"/>
        <v>4890.5827826823579</v>
      </c>
      <c r="H24" s="1646">
        <f t="shared" si="3"/>
        <v>4678.6749545392704</v>
      </c>
      <c r="I24" s="1646">
        <f t="shared" si="3"/>
        <v>4700.5986172458852</v>
      </c>
      <c r="J24" s="1646">
        <f t="shared" si="1"/>
        <v>28897.335472320003</v>
      </c>
      <c r="K24" s="69"/>
    </row>
    <row r="25" spans="2:11" s="37" customFormat="1" ht="15.75">
      <c r="B25" s="48"/>
      <c r="C25" s="1995" t="s">
        <v>304</v>
      </c>
      <c r="D25" s="1993">
        <f>$D$9*F801ENE!D11</f>
        <v>4276.8742500663875</v>
      </c>
      <c r="E25" s="1993">
        <f>$D$9*F801ENE!E11</f>
        <v>4278.6591732929774</v>
      </c>
      <c r="F25" s="1993">
        <f>$D$9*F801ENE!F11</f>
        <v>4197.8468315234886</v>
      </c>
      <c r="G25" s="1993">
        <f>$D$9*F801ENE!G11</f>
        <v>4263.992543965307</v>
      </c>
      <c r="H25" s="1993">
        <f>$D$9*F801ENE!H11</f>
        <v>4079.2347268786448</v>
      </c>
      <c r="I25" s="1993">
        <f>$D$9*F801ENE!I11</f>
        <v>4098.3494905931939</v>
      </c>
      <c r="J25" s="1646">
        <f t="shared" si="1"/>
        <v>25194.957016320001</v>
      </c>
      <c r="K25" s="69"/>
    </row>
    <row r="26" spans="2:11" s="37" customFormat="1" ht="15.75">
      <c r="B26" s="48"/>
      <c r="C26" s="1995" t="s">
        <v>305</v>
      </c>
      <c r="D26" s="1993">
        <f>($D$9*F801ENE!D12)*95%</f>
        <v>628.48319495882072</v>
      </c>
      <c r="E26" s="1993">
        <f>($D$9*F801ENE!E12)*95%</f>
        <v>628.74548797624709</v>
      </c>
      <c r="F26" s="1993">
        <f>($D$9*F801ENE!F12)*95%</f>
        <v>616.87018003456421</v>
      </c>
      <c r="G26" s="1993">
        <f>($D$9*F801ENE!G12)*95%</f>
        <v>626.59023871705085</v>
      </c>
      <c r="H26" s="1993">
        <f>($D$9*F801ENE!H12)*95%</f>
        <v>599.44022766062562</v>
      </c>
      <c r="I26" s="1993">
        <f>($D$9*F801ENE!I12)*95%</f>
        <v>602.24912665269119</v>
      </c>
      <c r="J26" s="1646">
        <f t="shared" si="1"/>
        <v>3702.3784559999999</v>
      </c>
      <c r="K26" s="69"/>
    </row>
    <row r="27" spans="2:11" s="37" customFormat="1" ht="15.75">
      <c r="B27" s="48" t="s">
        <v>276</v>
      </c>
      <c r="C27" s="1996" t="s">
        <v>626</v>
      </c>
      <c r="D27" s="1646">
        <f>SUBTOTAL(9,D28:D31)</f>
        <v>29384.468857734297</v>
      </c>
      <c r="E27" s="1646">
        <f t="shared" ref="E27:I27" si="4">SUBTOTAL(9,E28:E31)</f>
        <v>29396.732258035197</v>
      </c>
      <c r="F27" s="1646">
        <f t="shared" si="4"/>
        <v>28841.507203193039</v>
      </c>
      <c r="G27" s="1646">
        <f t="shared" si="4"/>
        <v>29295.964480558418</v>
      </c>
      <c r="H27" s="1646">
        <f t="shared" si="4"/>
        <v>28026.577071676405</v>
      </c>
      <c r="I27" s="1646">
        <f t="shared" si="4"/>
        <v>28157.905968962634</v>
      </c>
      <c r="J27" s="1646">
        <f t="shared" si="1"/>
        <v>173103.15584016001</v>
      </c>
      <c r="K27" s="69"/>
    </row>
    <row r="28" spans="2:11" s="37" customFormat="1" ht="15.75">
      <c r="B28" s="48"/>
      <c r="C28" s="1995" t="s">
        <v>304</v>
      </c>
      <c r="D28" s="1993">
        <f>($D$10*F801ENE!D15)*1</f>
        <v>29269.91498581105</v>
      </c>
      <c r="E28" s="1993">
        <f>($D$10*F801ENE!E15)*1</f>
        <v>29282.130577863511</v>
      </c>
      <c r="F28" s="1993">
        <f>($D$10*F801ENE!F15)*1</f>
        <v>28729.070039934315</v>
      </c>
      <c r="G28" s="1993">
        <f>($D$10*F801ENE!G15)*1</f>
        <v>29181.755638492159</v>
      </c>
      <c r="H28" s="1993">
        <f>($D$10*F801ENE!H15)*1</f>
        <v>27917.316872492276</v>
      </c>
      <c r="I28" s="1993">
        <f>($D$10*F801ENE!I15)*1</f>
        <v>28048.133790686679</v>
      </c>
      <c r="J28" s="1646">
        <f t="shared" si="1"/>
        <v>172428.32190528</v>
      </c>
      <c r="K28" s="69"/>
    </row>
    <row r="29" spans="2:11" s="37" customFormat="1" ht="15.75">
      <c r="B29" s="48"/>
      <c r="C29" s="1997" t="s">
        <v>306</v>
      </c>
      <c r="D29" s="1993">
        <f>($D$10*F801ENE!D16)*1</f>
        <v>0</v>
      </c>
      <c r="E29" s="1993">
        <f>($D$10*F801ENE!E16)*1</f>
        <v>0</v>
      </c>
      <c r="F29" s="1993">
        <f>($D$10*F801ENE!F16)*1</f>
        <v>0</v>
      </c>
      <c r="G29" s="1993">
        <f>($D$10*F801ENE!G16)*1</f>
        <v>0</v>
      </c>
      <c r="H29" s="1993">
        <f>($D$10*F801ENE!H16)*1</f>
        <v>0</v>
      </c>
      <c r="I29" s="1993">
        <f>($D$10*F801ENE!I16)*1</f>
        <v>0</v>
      </c>
      <c r="J29" s="1646">
        <f t="shared" si="1"/>
        <v>0</v>
      </c>
      <c r="K29" s="69"/>
    </row>
    <row r="30" spans="2:11" s="37" customFormat="1" ht="15.75">
      <c r="B30" s="48"/>
      <c r="C30" s="1995" t="s">
        <v>305</v>
      </c>
      <c r="D30" s="1993">
        <f>($D$10*F801ENE!D17)*0.95</f>
        <v>114.55387192324757</v>
      </c>
      <c r="E30" s="1993">
        <f>($D$10*F801ENE!E17)*0.95</f>
        <v>114.60168017168705</v>
      </c>
      <c r="F30" s="1993">
        <f>($D$10*F801ENE!F17)*0.95</f>
        <v>112.43716325872519</v>
      </c>
      <c r="G30" s="1993">
        <f>($D$10*F801ENE!G17)*0.95</f>
        <v>114.20884206625956</v>
      </c>
      <c r="H30" s="1993">
        <f>($D$10*F801ENE!H17)*0.95</f>
        <v>109.26019918412766</v>
      </c>
      <c r="I30" s="1993">
        <f>($D$10*F801ENE!I17)*0.95</f>
        <v>109.77217827595285</v>
      </c>
      <c r="J30" s="1646">
        <f t="shared" si="1"/>
        <v>674.83393488000002</v>
      </c>
      <c r="K30" s="69"/>
    </row>
    <row r="31" spans="2:11" s="37" customFormat="1" ht="15.75">
      <c r="B31" s="48"/>
      <c r="C31" s="1995" t="s">
        <v>307</v>
      </c>
      <c r="D31" s="1993">
        <f>($D$10*F801ENE!D18)*0.5</f>
        <v>0</v>
      </c>
      <c r="E31" s="1993">
        <f>($D$10*F801ENE!E18)*0.5</f>
        <v>0</v>
      </c>
      <c r="F31" s="1993">
        <f>($D$10*F801ENE!F18)*0.5</f>
        <v>0</v>
      </c>
      <c r="G31" s="1993">
        <f>($D$10*F801ENE!G18)*0.5</f>
        <v>0</v>
      </c>
      <c r="H31" s="1993">
        <f>($D$10*F801ENE!H18)*0.5</f>
        <v>0</v>
      </c>
      <c r="I31" s="1993">
        <f>($D$10*F801ENE!I18)*0.5</f>
        <v>0</v>
      </c>
      <c r="J31" s="1646">
        <f t="shared" si="1"/>
        <v>0</v>
      </c>
      <c r="K31" s="69"/>
    </row>
    <row r="32" spans="2:11" s="37" customFormat="1" ht="15.75">
      <c r="B32" s="48"/>
      <c r="C32" s="1994"/>
      <c r="D32" s="1994"/>
      <c r="E32" s="1994"/>
      <c r="F32" s="1994"/>
      <c r="G32" s="1994"/>
      <c r="H32" s="1994"/>
      <c r="I32" s="1994"/>
      <c r="J32" s="1646">
        <f t="shared" si="1"/>
        <v>0</v>
      </c>
      <c r="K32" s="69"/>
    </row>
    <row r="33" spans="2:11" s="37" customFormat="1" ht="15.75">
      <c r="B33" s="48"/>
      <c r="C33" s="1991" t="s">
        <v>443</v>
      </c>
      <c r="D33" s="1646">
        <f t="shared" ref="D33" si="5">SUBTOTAL(9,D34:D108)</f>
        <v>249653.24566133154</v>
      </c>
      <c r="E33" s="1646">
        <f t="shared" ref="E33:I33" si="6">SUBTOTAL(9,E34:E108)</f>
        <v>249757.43667811621</v>
      </c>
      <c r="F33" s="1646">
        <f t="shared" si="6"/>
        <v>245040.19173879336</v>
      </c>
      <c r="G33" s="1646">
        <f t="shared" si="6"/>
        <v>248901.30404468474</v>
      </c>
      <c r="H33" s="1646">
        <f t="shared" si="6"/>
        <v>238116.46773665628</v>
      </c>
      <c r="I33" s="1646">
        <f t="shared" si="6"/>
        <v>239232.25055428586</v>
      </c>
      <c r="J33" s="1646">
        <f t="shared" si="1"/>
        <v>1470700.8964138681</v>
      </c>
      <c r="K33" s="69"/>
    </row>
    <row r="34" spans="2:11" s="37" customFormat="1" ht="15.75">
      <c r="B34" s="48" t="s">
        <v>275</v>
      </c>
      <c r="C34" s="1992" t="s">
        <v>275</v>
      </c>
      <c r="D34" s="1646">
        <f>SUBTOTAL(9,D35:D37)</f>
        <v>3286.537236238793</v>
      </c>
      <c r="E34" s="1646">
        <f t="shared" ref="E34:I34" si="7">SUBTOTAL(9,E35:E37)</f>
        <v>3287.9088493153113</v>
      </c>
      <c r="F34" s="1646">
        <f t="shared" si="7"/>
        <v>3225.8091113188152</v>
      </c>
      <c r="G34" s="1646">
        <f t="shared" si="7"/>
        <v>3276.638369848969</v>
      </c>
      <c r="H34" s="1646">
        <f t="shared" si="7"/>
        <v>3134.6623822379033</v>
      </c>
      <c r="I34" s="1646">
        <f t="shared" si="7"/>
        <v>3149.3510027202087</v>
      </c>
      <c r="J34" s="1646">
        <f t="shared" si="1"/>
        <v>19360.906951680001</v>
      </c>
      <c r="K34" s="69"/>
    </row>
    <row r="35" spans="2:11" s="37" customFormat="1" ht="15.75">
      <c r="B35" s="48"/>
      <c r="C35" s="1995" t="s">
        <v>304</v>
      </c>
      <c r="D35" s="1993">
        <f>$D$11*F801ENE!D22</f>
        <v>3258.9635034579883</v>
      </c>
      <c r="E35" s="1993">
        <f>$D$11*F801ENE!E22</f>
        <v>3260.3236088321037</v>
      </c>
      <c r="F35" s="1993">
        <f>$D$11*F801ENE!F22</f>
        <v>3198.744881692382</v>
      </c>
      <c r="G35" s="1993">
        <f>$D$11*F801ENE!G22</f>
        <v>3249.147687609523</v>
      </c>
      <c r="H35" s="1993">
        <f>$D$11*F801ENE!H22</f>
        <v>3108.3628649426764</v>
      </c>
      <c r="I35" s="1993">
        <f>$D$11*F801ENE!I22</f>
        <v>3122.9282493053265</v>
      </c>
      <c r="J35" s="1646">
        <f t="shared" si="1"/>
        <v>19198.470795839999</v>
      </c>
      <c r="K35" s="69"/>
    </row>
    <row r="36" spans="2:11" s="37" customFormat="1" ht="15.75">
      <c r="B36" s="48"/>
      <c r="C36" s="1997" t="s">
        <v>306</v>
      </c>
      <c r="D36" s="1993">
        <f>$D$11*F801ENE!D23</f>
        <v>17.403849915010731</v>
      </c>
      <c r="E36" s="1993">
        <f>$D$11*F801ENE!E23</f>
        <v>17.411113288710553</v>
      </c>
      <c r="F36" s="1993">
        <f>$D$11*F801ENE!F23</f>
        <v>17.082264277679915</v>
      </c>
      <c r="G36" s="1993">
        <f>$D$11*F801ENE!G23</f>
        <v>17.351430492197679</v>
      </c>
      <c r="H36" s="1993">
        <f>$D$11*F801ENE!H23</f>
        <v>16.599596996239416</v>
      </c>
      <c r="I36" s="1993">
        <f>$D$11*F801ENE!I23</f>
        <v>16.677380550161708</v>
      </c>
      <c r="J36" s="1646">
        <f t="shared" si="1"/>
        <v>102.52563552000001</v>
      </c>
      <c r="K36" s="69"/>
    </row>
    <row r="37" spans="2:11" s="37" customFormat="1" ht="15.75">
      <c r="B37" s="48"/>
      <c r="C37" s="1995" t="s">
        <v>305</v>
      </c>
      <c r="D37" s="1993">
        <f>($D$11*F801ENE!D24)*95%</f>
        <v>10.16988286579392</v>
      </c>
      <c r="E37" s="1993">
        <f>($D$11*F801ENE!E24)*95%</f>
        <v>10.174127194496959</v>
      </c>
      <c r="F37" s="1993">
        <f>($D$11*F801ENE!F24)*95%</f>
        <v>9.9819653487533184</v>
      </c>
      <c r="G37" s="1993">
        <f>($D$11*F801ENE!G24)*95%</f>
        <v>10.139251747248046</v>
      </c>
      <c r="H37" s="1993">
        <f>($D$11*F801ENE!H24)*95%</f>
        <v>9.6999202989872124</v>
      </c>
      <c r="I37" s="1993">
        <f>($D$11*F801ENE!I24)*95%</f>
        <v>9.7453728647205331</v>
      </c>
      <c r="J37" s="1646">
        <f t="shared" si="1"/>
        <v>59.910520319999989</v>
      </c>
      <c r="K37" s="69"/>
    </row>
    <row r="38" spans="2:11" s="37" customFormat="1" ht="15.75">
      <c r="B38" s="48" t="s">
        <v>274</v>
      </c>
      <c r="C38" s="1996" t="s">
        <v>627</v>
      </c>
      <c r="D38" s="1646">
        <f t="shared" ref="D38" si="8">SUBTOTAL(9,D39:D44)</f>
        <v>39633.877063098953</v>
      </c>
      <c r="E38" s="1646">
        <f t="shared" ref="E38:I38" si="9">SUBTOTAL(9,E39:E44)</f>
        <v>39650.417981441053</v>
      </c>
      <c r="F38" s="1646">
        <f t="shared" si="9"/>
        <v>38901.528434636311</v>
      </c>
      <c r="G38" s="1646">
        <f t="shared" si="9"/>
        <v>39514.502041501066</v>
      </c>
      <c r="H38" s="1646">
        <f t="shared" si="9"/>
        <v>37802.347748270287</v>
      </c>
      <c r="I38" s="1646">
        <f t="shared" si="9"/>
        <v>37979.484636300331</v>
      </c>
      <c r="J38" s="1646">
        <f t="shared" si="1"/>
        <v>233482.15790524799</v>
      </c>
      <c r="K38" s="69"/>
    </row>
    <row r="39" spans="2:11" s="37" customFormat="1" ht="15.75">
      <c r="B39" s="48"/>
      <c r="C39" s="1995" t="s">
        <v>304</v>
      </c>
      <c r="D39" s="1993">
        <f>($D$12*F801ENE!D28)*1</f>
        <v>39562.572034230783</v>
      </c>
      <c r="E39" s="1993">
        <f>($D$12*F801ENE!E28)*1</f>
        <v>39579.083193923274</v>
      </c>
      <c r="F39" s="1993">
        <f>($D$12*F801ENE!F28)*1</f>
        <v>38831.540969023707</v>
      </c>
      <c r="G39" s="1993">
        <f>($D$12*F801ENE!G28)*1</f>
        <v>39443.411779392838</v>
      </c>
      <c r="H39" s="1993">
        <f>($D$12*F801ENE!H28)*1</f>
        <v>37734.337810883037</v>
      </c>
      <c r="I39" s="1993">
        <f>($D$12*F801ENE!I28)*1</f>
        <v>37911.156013186366</v>
      </c>
      <c r="J39" s="1646">
        <f t="shared" si="1"/>
        <v>233062.10180064</v>
      </c>
      <c r="K39" s="69"/>
    </row>
    <row r="40" spans="2:11" s="37" customFormat="1" ht="15.75">
      <c r="B40" s="48"/>
      <c r="C40" s="1998" t="s">
        <v>628</v>
      </c>
      <c r="D40" s="1993">
        <f>($D$12*F801ENE!D29)*0.75</f>
        <v>3.4233820065728731</v>
      </c>
      <c r="E40" s="1993">
        <f>($D$12*F801ENE!E29)*0.75</f>
        <v>3.424810730846664</v>
      </c>
      <c r="F40" s="1993">
        <f>($D$12*F801ENE!F29)*0.75</f>
        <v>3.3601252852274968</v>
      </c>
      <c r="G40" s="1993">
        <f>($D$12*F801ENE!G29)*0.75</f>
        <v>3.4130709713864369</v>
      </c>
      <c r="H40" s="1993">
        <f>($D$12*F801ENE!H29)*0.75</f>
        <v>3.2651833905022563</v>
      </c>
      <c r="I40" s="1993">
        <f>($D$12*F801ENE!I29)*0.75</f>
        <v>3.2804836154642745</v>
      </c>
      <c r="J40" s="1646">
        <f t="shared" si="1"/>
        <v>20.167056000000002</v>
      </c>
      <c r="K40" s="69"/>
    </row>
    <row r="41" spans="2:11" s="37" customFormat="1" ht="15.75">
      <c r="B41" s="48"/>
      <c r="C41" s="1997" t="s">
        <v>629</v>
      </c>
      <c r="D41" s="1993">
        <f>($D$12*F801ENE!D30)*1</f>
        <v>18.187814147741008</v>
      </c>
      <c r="E41" s="1993">
        <f>($D$12*F801ENE!E30)*1</f>
        <v>18.195404703369967</v>
      </c>
      <c r="F41" s="1993">
        <f>($D$12*F801ENE!F30)*1</f>
        <v>17.851742541003521</v>
      </c>
      <c r="G41" s="1993">
        <f>($D$12*F801ENE!G30)*1</f>
        <v>18.133033468494094</v>
      </c>
      <c r="H41" s="1993">
        <f>($D$12*F801ENE!H30)*1</f>
        <v>17.347333295181215</v>
      </c>
      <c r="I41" s="1993">
        <f>($D$12*F801ENE!I30)*1</f>
        <v>17.428620644210195</v>
      </c>
      <c r="J41" s="1646">
        <f t="shared" si="1"/>
        <v>107.1439488</v>
      </c>
      <c r="K41" s="69"/>
    </row>
    <row r="42" spans="2:11" s="37" customFormat="1" ht="15.75">
      <c r="B42" s="48"/>
      <c r="C42" s="1995" t="s">
        <v>305</v>
      </c>
      <c r="D42" s="1993">
        <f>($D$12*F801ENE!D31)*0.95</f>
        <v>45.535057535506809</v>
      </c>
      <c r="E42" s="1993">
        <f>($D$12*F801ENE!E31)*0.95</f>
        <v>45.554061269791944</v>
      </c>
      <c r="F42" s="1993">
        <f>($D$12*F801ENE!F31)*0.95</f>
        <v>44.693667810247142</v>
      </c>
      <c r="G42" s="1993">
        <f>($D$12*F801ENE!G31)*0.95</f>
        <v>45.397908488288728</v>
      </c>
      <c r="H42" s="1993">
        <f>($D$12*F801ENE!H31)*0.95</f>
        <v>43.430827545694903</v>
      </c>
      <c r="I42" s="1993">
        <f>($D$12*F801ENE!I31)*0.95</f>
        <v>43.63433875847047</v>
      </c>
      <c r="J42" s="1646">
        <f t="shared" si="1"/>
        <v>268.245861408</v>
      </c>
      <c r="K42" s="69"/>
    </row>
    <row r="43" spans="2:11" s="37" customFormat="1" ht="15.75">
      <c r="B43" s="48"/>
      <c r="C43" s="1995" t="s">
        <v>307</v>
      </c>
      <c r="D43" s="1993">
        <f>($D$12*F801ENE!D32)*0.5</f>
        <v>4.1587751783551932</v>
      </c>
      <c r="E43" s="1993">
        <f>($D$12*F801ENE!E32)*0.5</f>
        <v>4.1605108137692799</v>
      </c>
      <c r="F43" s="1993">
        <f>($D$12*F801ENE!F32)*0.5</f>
        <v>4.081929976128218</v>
      </c>
      <c r="G43" s="1993">
        <f>($D$12*F801ENE!G32)*0.5</f>
        <v>4.1462491800546335</v>
      </c>
      <c r="H43" s="1993">
        <f>($D$12*F801ENE!H32)*0.5</f>
        <v>3.9665931558694072</v>
      </c>
      <c r="I43" s="1993">
        <f>($D$12*F801ENE!I32)*0.5</f>
        <v>3.9851800958232655</v>
      </c>
      <c r="J43" s="1646">
        <f t="shared" si="1"/>
        <v>24.499238399999996</v>
      </c>
      <c r="K43" s="69"/>
    </row>
    <row r="44" spans="2:11" s="37" customFormat="1" ht="15.75">
      <c r="B44" s="48"/>
      <c r="C44" s="1995" t="s">
        <v>624</v>
      </c>
      <c r="D44" s="1993">
        <f>($D$12*F801ENE!D33)*0</f>
        <v>0</v>
      </c>
      <c r="E44" s="1993">
        <f>($D$12*F801ENE!E33)*0</f>
        <v>0</v>
      </c>
      <c r="F44" s="1993">
        <f>($D$12*F801ENE!F33)*0</f>
        <v>0</v>
      </c>
      <c r="G44" s="1993">
        <f>($D$12*F801ENE!G33)*0</f>
        <v>0</v>
      </c>
      <c r="H44" s="1993">
        <f>($D$12*F801ENE!H33)*0</f>
        <v>0</v>
      </c>
      <c r="I44" s="1993">
        <f>($D$12*F801ENE!I33)*0</f>
        <v>0</v>
      </c>
      <c r="J44" s="1646">
        <f t="shared" si="1"/>
        <v>0</v>
      </c>
      <c r="K44" s="69"/>
    </row>
    <row r="45" spans="2:11" s="37" customFormat="1" ht="15.75">
      <c r="B45" s="48" t="s">
        <v>274</v>
      </c>
      <c r="C45" s="1996" t="s">
        <v>631</v>
      </c>
      <c r="D45" s="1646">
        <f t="shared" ref="D45" si="10">SUBTOTAL(9,D46:D49)</f>
        <v>18092.474226777213</v>
      </c>
      <c r="E45" s="1646">
        <f t="shared" ref="E45:I45" si="11">SUBTOTAL(9,E46:E49)</f>
        <v>18100.024992964307</v>
      </c>
      <c r="F45" s="1646">
        <f t="shared" si="11"/>
        <v>17758.164296300783</v>
      </c>
      <c r="G45" s="1646">
        <f t="shared" si="11"/>
        <v>18037.98070604134</v>
      </c>
      <c r="H45" s="1646">
        <f t="shared" si="11"/>
        <v>17256.39914708291</v>
      </c>
      <c r="I45" s="1646">
        <f t="shared" si="11"/>
        <v>17337.260390513446</v>
      </c>
      <c r="J45" s="1646">
        <f t="shared" si="1"/>
        <v>106582.30375968</v>
      </c>
      <c r="K45" s="69"/>
    </row>
    <row r="46" spans="2:11" s="37" customFormat="1" ht="15.75">
      <c r="B46" s="48"/>
      <c r="C46" s="1995" t="s">
        <v>304</v>
      </c>
      <c r="D46" s="1993">
        <f>($D$12*F801ENE!D35)*1</f>
        <v>18079.754460743901</v>
      </c>
      <c r="E46" s="1993">
        <f>($D$12*F801ENE!E35)*1</f>
        <v>18087.299918426583</v>
      </c>
      <c r="F46" s="1993">
        <f>($D$12*F801ENE!F35)*1</f>
        <v>17745.679564129892</v>
      </c>
      <c r="G46" s="1993">
        <f>($D$12*F801ENE!G35)*1</f>
        <v>18025.2992512321</v>
      </c>
      <c r="H46" s="1993">
        <f>($D$12*F801ENE!H35)*1</f>
        <v>17244.26717679642</v>
      </c>
      <c r="I46" s="1993">
        <f>($D$12*F801ENE!I35)*1</f>
        <v>17325.071571391098</v>
      </c>
      <c r="J46" s="1646">
        <f t="shared" si="1"/>
        <v>106507.37194272</v>
      </c>
      <c r="K46" s="69"/>
    </row>
    <row r="47" spans="2:11" s="37" customFormat="1" ht="15.75">
      <c r="B47" s="48"/>
      <c r="C47" s="1997" t="s">
        <v>306</v>
      </c>
      <c r="D47" s="1993">
        <f>($D$12*F801ENE!D36)*1</f>
        <v>0</v>
      </c>
      <c r="E47" s="1993">
        <f>($D$12*F801ENE!E36)*1</f>
        <v>0</v>
      </c>
      <c r="F47" s="1993">
        <f>($D$12*F801ENE!F36)*1</f>
        <v>0</v>
      </c>
      <c r="G47" s="1993">
        <f>($D$12*F801ENE!G36)*1</f>
        <v>0</v>
      </c>
      <c r="H47" s="1993">
        <f>($D$12*F801ENE!H36)*1</f>
        <v>0</v>
      </c>
      <c r="I47" s="1993">
        <f>($D$12*F801ENE!I36)*1</f>
        <v>0</v>
      </c>
      <c r="J47" s="1646">
        <f t="shared" si="1"/>
        <v>0</v>
      </c>
      <c r="K47" s="69"/>
    </row>
    <row r="48" spans="2:11" s="37" customFormat="1" ht="15.75">
      <c r="B48" s="48"/>
      <c r="C48" s="1995" t="s">
        <v>305</v>
      </c>
      <c r="D48" s="1993">
        <f>($D$12*F801ENE!D37)*0.95</f>
        <v>12.719766033310764</v>
      </c>
      <c r="E48" s="1993">
        <f>($D$12*F801ENE!E37)*0.95</f>
        <v>12.725074537723602</v>
      </c>
      <c r="F48" s="1993">
        <f>($D$12*F801ENE!F37)*0.95</f>
        <v>12.484732170889719</v>
      </c>
      <c r="G48" s="1993">
        <f>($D$12*F801ENE!G37)*0.95</f>
        <v>12.681454809240272</v>
      </c>
      <c r="H48" s="1993">
        <f>($D$12*F801ENE!H37)*0.95</f>
        <v>12.131970286488382</v>
      </c>
      <c r="I48" s="1993">
        <f>($D$12*F801ENE!I37)*0.95</f>
        <v>12.188819122347256</v>
      </c>
      <c r="J48" s="1646">
        <f t="shared" si="1"/>
        <v>74.931816959999992</v>
      </c>
      <c r="K48" s="69"/>
    </row>
    <row r="49" spans="2:11" s="37" customFormat="1" ht="15.75">
      <c r="B49" s="48"/>
      <c r="C49" s="1995" t="s">
        <v>307</v>
      </c>
      <c r="D49" s="1993">
        <f>($D$12*F801ENE!D38)*0.5</f>
        <v>0</v>
      </c>
      <c r="E49" s="1993">
        <f>($D$12*F801ENE!E38)*0.5</f>
        <v>0</v>
      </c>
      <c r="F49" s="1993">
        <f>($D$12*F801ENE!F38)*0.5</f>
        <v>0</v>
      </c>
      <c r="G49" s="1993">
        <f>($D$12*F801ENE!G38)*0.5</f>
        <v>0</v>
      </c>
      <c r="H49" s="1993">
        <f>($D$12*F801ENE!H38)*0.5</f>
        <v>0</v>
      </c>
      <c r="I49" s="1993">
        <f>($D$12*F801ENE!I38)*0.5</f>
        <v>0</v>
      </c>
      <c r="J49" s="1646">
        <f t="shared" si="1"/>
        <v>0</v>
      </c>
      <c r="K49" s="69"/>
    </row>
    <row r="50" spans="2:11" s="37" customFormat="1" ht="15.75">
      <c r="B50" s="48" t="s">
        <v>274</v>
      </c>
      <c r="C50" s="1996" t="s">
        <v>632</v>
      </c>
      <c r="D50" s="1646">
        <f t="shared" ref="D50" si="12">SUBTOTAL(9,D51:D54)</f>
        <v>5090.1307338383194</v>
      </c>
      <c r="E50" s="1646">
        <f t="shared" ref="E50:I50" si="13">SUBTOTAL(9,E51:E54)</f>
        <v>5092.2550639078945</v>
      </c>
      <c r="F50" s="1646">
        <f t="shared" si="13"/>
        <v>4996.0760882206996</v>
      </c>
      <c r="G50" s="1646">
        <f t="shared" si="13"/>
        <v>5074.7995446811065</v>
      </c>
      <c r="H50" s="1646">
        <f t="shared" si="13"/>
        <v>4854.9096465726689</v>
      </c>
      <c r="I50" s="1646">
        <f t="shared" si="13"/>
        <v>4877.6591221393101</v>
      </c>
      <c r="J50" s="1646">
        <f t="shared" si="1"/>
        <v>29985.83019936</v>
      </c>
      <c r="K50" s="69"/>
    </row>
    <row r="51" spans="2:11" s="37" customFormat="1" ht="15.75">
      <c r="B51" s="48"/>
      <c r="C51" s="1995" t="s">
        <v>304</v>
      </c>
      <c r="D51" s="1993">
        <f>($D$12*F801ENE!D40)*1</f>
        <v>5090.1307338383194</v>
      </c>
      <c r="E51" s="1993">
        <f>($D$12*F801ENE!E40)*1</f>
        <v>5092.2550639078945</v>
      </c>
      <c r="F51" s="1993">
        <f>($D$12*F801ENE!F40)*1</f>
        <v>4996.0760882206996</v>
      </c>
      <c r="G51" s="1993">
        <f>($D$12*F801ENE!G40)*1</f>
        <v>5074.7995446811065</v>
      </c>
      <c r="H51" s="1993">
        <f>($D$12*F801ENE!H40)*1</f>
        <v>4854.9096465726689</v>
      </c>
      <c r="I51" s="1993">
        <f>($D$12*F801ENE!I40)*1</f>
        <v>4877.6591221393101</v>
      </c>
      <c r="J51" s="1646">
        <f t="shared" si="1"/>
        <v>29985.83019936</v>
      </c>
      <c r="K51" s="69"/>
    </row>
    <row r="52" spans="2:11" s="37" customFormat="1" ht="15.75">
      <c r="B52" s="48"/>
      <c r="C52" s="1997" t="s">
        <v>306</v>
      </c>
      <c r="D52" s="1993">
        <f>($D$12*F801ENE!D41)*1</f>
        <v>0</v>
      </c>
      <c r="E52" s="1993">
        <f>($D$12*F801ENE!E41)*1</f>
        <v>0</v>
      </c>
      <c r="F52" s="1993">
        <f>($D$12*F801ENE!F41)*1</f>
        <v>0</v>
      </c>
      <c r="G52" s="1993">
        <f>($D$12*F801ENE!G41)*1</f>
        <v>0</v>
      </c>
      <c r="H52" s="1993">
        <f>($D$12*F801ENE!H41)*1</f>
        <v>0</v>
      </c>
      <c r="I52" s="1993">
        <f>($D$12*F801ENE!I41)*1</f>
        <v>0</v>
      </c>
      <c r="J52" s="1646">
        <f t="shared" si="1"/>
        <v>0</v>
      </c>
      <c r="K52" s="69"/>
    </row>
    <row r="53" spans="2:11" s="37" customFormat="1" ht="15.75">
      <c r="B53" s="48"/>
      <c r="C53" s="1995" t="s">
        <v>305</v>
      </c>
      <c r="D53" s="1993">
        <f>($D$12*F801ENE!D42)*0.95</f>
        <v>0</v>
      </c>
      <c r="E53" s="1993">
        <f>($D$12*F801ENE!E42)*0.95</f>
        <v>0</v>
      </c>
      <c r="F53" s="1993">
        <f>($D$12*F801ENE!F42)*0.95</f>
        <v>0</v>
      </c>
      <c r="G53" s="1993">
        <f>($D$12*F801ENE!G42)*0.95</f>
        <v>0</v>
      </c>
      <c r="H53" s="1993">
        <f>($D$12*F801ENE!H42)*0.95</f>
        <v>0</v>
      </c>
      <c r="I53" s="1993">
        <f>($D$12*F801ENE!I42)*0.95</f>
        <v>0</v>
      </c>
      <c r="J53" s="1646">
        <f t="shared" si="1"/>
        <v>0</v>
      </c>
      <c r="K53" s="69"/>
    </row>
    <row r="54" spans="2:11" s="37" customFormat="1" ht="15.75">
      <c r="B54" s="48"/>
      <c r="C54" s="1995" t="s">
        <v>307</v>
      </c>
      <c r="D54" s="1993">
        <f>($D$12*F801ENE!D43)*0.5</f>
        <v>0</v>
      </c>
      <c r="E54" s="1993">
        <f>($D$12*F801ENE!E43)*0.5</f>
        <v>0</v>
      </c>
      <c r="F54" s="1993">
        <f>($D$12*F801ENE!F43)*0.5</f>
        <v>0</v>
      </c>
      <c r="G54" s="1993">
        <f>($D$12*F801ENE!G43)*0.5</f>
        <v>0</v>
      </c>
      <c r="H54" s="1993">
        <f>($D$12*F801ENE!H43)*0.5</f>
        <v>0</v>
      </c>
      <c r="I54" s="1993">
        <f>($D$12*F801ENE!I43)*0.5</f>
        <v>0</v>
      </c>
      <c r="J54" s="1646">
        <f t="shared" si="1"/>
        <v>0</v>
      </c>
      <c r="K54" s="69"/>
    </row>
    <row r="55" spans="2:11" s="37" customFormat="1" ht="15.75">
      <c r="B55" s="48" t="s">
        <v>274</v>
      </c>
      <c r="C55" s="1996" t="s">
        <v>633</v>
      </c>
      <c r="D55" s="1646">
        <f t="shared" ref="D55" si="14">SUBTOTAL(9,D56:D59)</f>
        <v>5144.623172802887</v>
      </c>
      <c r="E55" s="1646">
        <f t="shared" ref="E55:I55" si="15">SUBTOTAL(9,E56:E59)</f>
        <v>5146.7702449065491</v>
      </c>
      <c r="F55" s="1646">
        <f t="shared" si="15"/>
        <v>5049.5616243563136</v>
      </c>
      <c r="G55" s="1646">
        <f t="shared" si="15"/>
        <v>5129.1278554664414</v>
      </c>
      <c r="H55" s="1646">
        <f t="shared" si="15"/>
        <v>4906.8839241360392</v>
      </c>
      <c r="I55" s="1646">
        <f t="shared" si="15"/>
        <v>4929.876944411767</v>
      </c>
      <c r="J55" s="1646">
        <f t="shared" si="1"/>
        <v>30306.843766080001</v>
      </c>
      <c r="K55" s="69"/>
    </row>
    <row r="56" spans="2:11" s="37" customFormat="1" ht="15.75">
      <c r="B56" s="48"/>
      <c r="C56" s="1995" t="s">
        <v>304</v>
      </c>
      <c r="D56" s="1993">
        <f>($D$12*F801ENE!D45)*1</f>
        <v>5144.623172802887</v>
      </c>
      <c r="E56" s="1993">
        <f>($D$12*F801ENE!E45)*1</f>
        <v>5146.7702449065491</v>
      </c>
      <c r="F56" s="1993">
        <f>($D$12*F801ENE!F45)*1</f>
        <v>5049.5616243563136</v>
      </c>
      <c r="G56" s="1993">
        <f>($D$12*F801ENE!G45)*1</f>
        <v>5129.1278554664414</v>
      </c>
      <c r="H56" s="1993">
        <f>($D$12*F801ENE!H45)*1</f>
        <v>4906.8839241360392</v>
      </c>
      <c r="I56" s="1993">
        <f>($D$12*F801ENE!I45)*1</f>
        <v>4929.876944411767</v>
      </c>
      <c r="J56" s="1646">
        <f t="shared" si="1"/>
        <v>30306.843766080001</v>
      </c>
      <c r="K56" s="69"/>
    </row>
    <row r="57" spans="2:11" s="37" customFormat="1" ht="15.75">
      <c r="B57" s="48"/>
      <c r="C57" s="1997" t="s">
        <v>306</v>
      </c>
      <c r="D57" s="1993">
        <f>($D$12*F801ENE!D46)*1</f>
        <v>0</v>
      </c>
      <c r="E57" s="1993">
        <f>($D$12*F801ENE!E46)*1</f>
        <v>0</v>
      </c>
      <c r="F57" s="1993">
        <f>($D$12*F801ENE!F46)*1</f>
        <v>0</v>
      </c>
      <c r="G57" s="1993">
        <f>($D$12*F801ENE!G46)*1</f>
        <v>0</v>
      </c>
      <c r="H57" s="1993">
        <f>($D$12*F801ENE!H46)*1</f>
        <v>0</v>
      </c>
      <c r="I57" s="1993">
        <f>($D$12*F801ENE!I46)*1</f>
        <v>0</v>
      </c>
      <c r="J57" s="1646">
        <f t="shared" si="1"/>
        <v>0</v>
      </c>
      <c r="K57" s="69"/>
    </row>
    <row r="58" spans="2:11" s="37" customFormat="1" ht="15.75">
      <c r="B58" s="48"/>
      <c r="C58" s="1995" t="s">
        <v>305</v>
      </c>
      <c r="D58" s="1993">
        <f>($D$12*F801ENE!D47)*0.95</f>
        <v>0</v>
      </c>
      <c r="E58" s="1993">
        <f>($D$12*F801ENE!E47)*0.95</f>
        <v>0</v>
      </c>
      <c r="F58" s="1993">
        <f>($D$12*F801ENE!F47)*0.95</f>
        <v>0</v>
      </c>
      <c r="G58" s="1993">
        <f>($D$12*F801ENE!G47)*0.95</f>
        <v>0</v>
      </c>
      <c r="H58" s="1993">
        <f>($D$12*F801ENE!H47)*0.95</f>
        <v>0</v>
      </c>
      <c r="I58" s="1993">
        <f>($D$12*F801ENE!I47)*0.95</f>
        <v>0</v>
      </c>
      <c r="J58" s="1646">
        <f t="shared" si="1"/>
        <v>0</v>
      </c>
      <c r="K58" s="69"/>
    </row>
    <row r="59" spans="2:11" s="37" customFormat="1" ht="15.75">
      <c r="B59" s="48"/>
      <c r="C59" s="1995" t="s">
        <v>307</v>
      </c>
      <c r="D59" s="1993">
        <f>($D$12*F801ENE!D48)*0.5</f>
        <v>0</v>
      </c>
      <c r="E59" s="1993">
        <f>($D$12*F801ENE!E48)*0.5</f>
        <v>0</v>
      </c>
      <c r="F59" s="1993">
        <f>($D$12*F801ENE!F48)*0.5</f>
        <v>0</v>
      </c>
      <c r="G59" s="1993">
        <f>($D$12*F801ENE!G48)*0.5</f>
        <v>0</v>
      </c>
      <c r="H59" s="1993">
        <f>($D$12*F801ENE!H48)*0.5</f>
        <v>0</v>
      </c>
      <c r="I59" s="1993">
        <f>($D$12*F801ENE!I48)*0.5</f>
        <v>0</v>
      </c>
      <c r="J59" s="1646">
        <f t="shared" si="1"/>
        <v>0</v>
      </c>
      <c r="K59" s="69"/>
    </row>
    <row r="60" spans="2:11" s="37" customFormat="1" ht="15.75">
      <c r="B60" s="48"/>
      <c r="C60" s="1994"/>
      <c r="D60" s="1993"/>
      <c r="E60" s="1993"/>
      <c r="F60" s="1993"/>
      <c r="G60" s="1993"/>
      <c r="H60" s="1993"/>
      <c r="I60" s="1993"/>
      <c r="J60" s="1646">
        <f t="shared" si="1"/>
        <v>0</v>
      </c>
      <c r="K60" s="69"/>
    </row>
    <row r="61" spans="2:11" s="37" customFormat="1" ht="15.75">
      <c r="B61" s="48" t="s">
        <v>1176</v>
      </c>
      <c r="C61" s="1996" t="s">
        <v>1176</v>
      </c>
      <c r="D61" s="1646">
        <f t="shared" ref="D61" si="16">SUBTOTAL(9,D62:D67)</f>
        <v>1.1499999999999999</v>
      </c>
      <c r="E61" s="1646">
        <f t="shared" ref="E61:I61" si="17">SUBTOTAL(9,E62:E67)</f>
        <v>1.1499999999999999</v>
      </c>
      <c r="F61" s="1646">
        <f t="shared" si="17"/>
        <v>1.1499999999999999</v>
      </c>
      <c r="G61" s="1646">
        <f t="shared" si="17"/>
        <v>1.1499999999999999</v>
      </c>
      <c r="H61" s="1646">
        <f t="shared" si="17"/>
        <v>1.1499999999999999</v>
      </c>
      <c r="I61" s="1646">
        <f t="shared" si="17"/>
        <v>1.1499999999999999</v>
      </c>
      <c r="J61" s="1646">
        <f t="shared" si="1"/>
        <v>6.9</v>
      </c>
      <c r="K61" s="69"/>
    </row>
    <row r="62" spans="2:11" s="37" customFormat="1" ht="15.75">
      <c r="B62" s="48"/>
      <c r="C62" s="1995" t="s">
        <v>304</v>
      </c>
      <c r="D62" s="1993">
        <f>($D$15*F801ENE!D51)*1</f>
        <v>1.1499999999999999</v>
      </c>
      <c r="E62" s="1993">
        <f>($D$15*F801ENE!E51)*1</f>
        <v>1.1499999999999999</v>
      </c>
      <c r="F62" s="1993">
        <f>($D$15*F801ENE!F51)*1</f>
        <v>1.1499999999999999</v>
      </c>
      <c r="G62" s="1993">
        <f>($D$15*F801ENE!G51)*1</f>
        <v>1.1499999999999999</v>
      </c>
      <c r="H62" s="1993">
        <f>($D$15*F801ENE!H51)*1</f>
        <v>1.1499999999999999</v>
      </c>
      <c r="I62" s="1993">
        <f>($D$15*F801ENE!I51)*1</f>
        <v>1.1499999999999999</v>
      </c>
      <c r="J62" s="1646">
        <f t="shared" si="1"/>
        <v>6.9</v>
      </c>
      <c r="K62" s="69"/>
    </row>
    <row r="63" spans="2:11" s="37" customFormat="1" ht="15.75">
      <c r="B63" s="48"/>
      <c r="C63" s="1998" t="s">
        <v>642</v>
      </c>
      <c r="D63" s="1993">
        <f>($D$15*F801ENE!D52)*0.75</f>
        <v>0</v>
      </c>
      <c r="E63" s="1993">
        <f>($D$15*F801ENE!E52)*0.75</f>
        <v>0</v>
      </c>
      <c r="F63" s="1993">
        <f>($D$15*F801ENE!F52)*0.75</f>
        <v>0</v>
      </c>
      <c r="G63" s="1993">
        <f>($D$15*F801ENE!G52)*0.75</f>
        <v>0</v>
      </c>
      <c r="H63" s="1993">
        <f>($D$15*F801ENE!H52)*0.75</f>
        <v>0</v>
      </c>
      <c r="I63" s="1993">
        <f>($D$15*F801ENE!I52)*0.75</f>
        <v>0</v>
      </c>
      <c r="J63" s="1646">
        <f t="shared" si="1"/>
        <v>0</v>
      </c>
      <c r="K63" s="69"/>
    </row>
    <row r="64" spans="2:11" s="37" customFormat="1" ht="15.75">
      <c r="B64" s="48"/>
      <c r="C64" s="1998" t="s">
        <v>1177</v>
      </c>
      <c r="D64" s="1993">
        <f>($D$15*F801ENE!D53)*1</f>
        <v>0</v>
      </c>
      <c r="E64" s="1993">
        <f>($D$15*F801ENE!E53)*1</f>
        <v>0</v>
      </c>
      <c r="F64" s="1993">
        <f>($D$15*F801ENE!F53)*1</f>
        <v>0</v>
      </c>
      <c r="G64" s="1993">
        <f>($D$15*F801ENE!G53)*1</f>
        <v>0</v>
      </c>
      <c r="H64" s="1993">
        <f>($D$15*F801ENE!H53)*1</f>
        <v>0</v>
      </c>
      <c r="I64" s="1993">
        <f>($D$15*F801ENE!I53)*1</f>
        <v>0</v>
      </c>
      <c r="J64" s="1646">
        <f t="shared" si="1"/>
        <v>0</v>
      </c>
      <c r="K64" s="69"/>
    </row>
    <row r="65" spans="2:11" s="37" customFormat="1" ht="15.75">
      <c r="B65" s="48"/>
      <c r="C65" s="1995" t="s">
        <v>305</v>
      </c>
      <c r="D65" s="1993">
        <f>($D$15*F801ENE!D54)*0.95</f>
        <v>0</v>
      </c>
      <c r="E65" s="1993">
        <f>($D$15*F801ENE!E54)*0.95</f>
        <v>0</v>
      </c>
      <c r="F65" s="1993">
        <f>($D$15*F801ENE!F54)*0.95</f>
        <v>0</v>
      </c>
      <c r="G65" s="1993">
        <f>($D$15*F801ENE!G54)*0.95</f>
        <v>0</v>
      </c>
      <c r="H65" s="1993">
        <f>($D$15*F801ENE!H54)*0.95</f>
        <v>0</v>
      </c>
      <c r="I65" s="1993">
        <f>($D$15*F801ENE!I54)*0.95</f>
        <v>0</v>
      </c>
      <c r="J65" s="1646">
        <f t="shared" si="1"/>
        <v>0</v>
      </c>
      <c r="K65" s="69"/>
    </row>
    <row r="66" spans="2:11" s="37" customFormat="1" ht="15.75">
      <c r="B66" s="48"/>
      <c r="C66" s="1995" t="s">
        <v>307</v>
      </c>
      <c r="D66" s="1993">
        <f>($D$15*F801ENE!D55)*0.5</f>
        <v>0</v>
      </c>
      <c r="E66" s="1993">
        <f>($D$15*F801ENE!E55)*0.5</f>
        <v>0</v>
      </c>
      <c r="F66" s="1993">
        <f>($D$15*F801ENE!F55)*0.5</f>
        <v>0</v>
      </c>
      <c r="G66" s="1993">
        <f>($D$15*F801ENE!G55)*0.5</f>
        <v>0</v>
      </c>
      <c r="H66" s="1993">
        <f>($D$15*F801ENE!H55)*0.5</f>
        <v>0</v>
      </c>
      <c r="I66" s="1993">
        <f>($D$15*F801ENE!I55)*0.5</f>
        <v>0</v>
      </c>
      <c r="J66" s="1646">
        <f t="shared" si="1"/>
        <v>0</v>
      </c>
      <c r="K66" s="69"/>
    </row>
    <row r="67" spans="2:11" s="37" customFormat="1" ht="15.75">
      <c r="B67" s="48"/>
      <c r="C67" s="1995" t="s">
        <v>624</v>
      </c>
      <c r="D67" s="1993">
        <f>($D$15*F801ENE!D56)*0</f>
        <v>0</v>
      </c>
      <c r="E67" s="1993">
        <f>($D$15*F801ENE!E56)*0</f>
        <v>0</v>
      </c>
      <c r="F67" s="1993">
        <f>($D$15*F801ENE!F56)*0</f>
        <v>0</v>
      </c>
      <c r="G67" s="1993">
        <f>($D$15*F801ENE!G56)*0</f>
        <v>0</v>
      </c>
      <c r="H67" s="1993">
        <f>($D$15*F801ENE!H56)*0</f>
        <v>0</v>
      </c>
      <c r="I67" s="1993">
        <f>($D$15*F801ENE!I56)*0</f>
        <v>0</v>
      </c>
      <c r="J67" s="1646">
        <f t="shared" si="1"/>
        <v>0</v>
      </c>
      <c r="K67" s="69"/>
    </row>
    <row r="68" spans="2:11" s="37" customFormat="1" ht="15.75">
      <c r="B68" s="48" t="s">
        <v>751</v>
      </c>
      <c r="C68" s="1996" t="s">
        <v>634</v>
      </c>
      <c r="D68" s="1646">
        <f t="shared" ref="D68:I68" si="18">SUBTOTAL(9,D69:D73)</f>
        <v>92199.872155666526</v>
      </c>
      <c r="E68" s="1646">
        <f t="shared" si="18"/>
        <v>92238.351600311973</v>
      </c>
      <c r="F68" s="1646">
        <f t="shared" si="18"/>
        <v>90496.195979574652</v>
      </c>
      <c r="G68" s="1646">
        <f t="shared" si="18"/>
        <v>91922.167832325693</v>
      </c>
      <c r="H68" s="1646">
        <f t="shared" si="18"/>
        <v>87939.151594152339</v>
      </c>
      <c r="I68" s="1646">
        <f t="shared" si="18"/>
        <v>88351.228417013815</v>
      </c>
      <c r="J68" s="1646">
        <f t="shared" si="1"/>
        <v>543146.96757904498</v>
      </c>
      <c r="K68" s="69"/>
    </row>
    <row r="69" spans="2:11" s="37" customFormat="1" ht="15.75">
      <c r="B69" s="48"/>
      <c r="C69" s="1995" t="s">
        <v>304</v>
      </c>
      <c r="D69" s="1993">
        <f>($D$14*(F801ENE!D66))*1</f>
        <v>65157.650583792827</v>
      </c>
      <c r="E69" s="1993">
        <f>($D$14*(F801ENE!E66))*1</f>
        <v>65184.844148480159</v>
      </c>
      <c r="F69" s="1993">
        <f>($D$14*(F801ENE!F66))*1</f>
        <v>63953.656380454078</v>
      </c>
      <c r="G69" s="1993">
        <f>($D$14*(F801ENE!G66))*1</f>
        <v>64961.395919768911</v>
      </c>
      <c r="H69" s="1993">
        <f>($D$14*(F801ENE!H66))*1</f>
        <v>62146.583733121195</v>
      </c>
      <c r="I69" s="1993">
        <f>($D$14*(F801ENE!I66))*1</f>
        <v>62437.799935482828</v>
      </c>
      <c r="J69" s="1646">
        <f t="shared" si="1"/>
        <v>383841.93070109998</v>
      </c>
      <c r="K69" s="69"/>
    </row>
    <row r="70" spans="2:11" s="37" customFormat="1" ht="15.75">
      <c r="B70" s="48"/>
      <c r="C70" s="1998" t="s">
        <v>644</v>
      </c>
      <c r="D70" s="1993">
        <f>($D$14*(F801ENE!D67))*0.75</f>
        <v>27036.463390566725</v>
      </c>
      <c r="E70" s="1993">
        <f>($D$14*(F801ENE!E67))*0.75</f>
        <v>27047.746867388592</v>
      </c>
      <c r="F70" s="1993">
        <f>($D$14*(F801ENE!F67))*0.75</f>
        <v>26536.887816594004</v>
      </c>
      <c r="G70" s="1993">
        <f>($D$14*(F801ENE!G67))*0.75</f>
        <v>26955.031074569946</v>
      </c>
      <c r="H70" s="1993">
        <f>($D$14*(F801ENE!H67))*0.75</f>
        <v>25787.075772235068</v>
      </c>
      <c r="I70" s="1993">
        <f>($D$14*(F801ENE!I67))*0.75</f>
        <v>25907.910657520668</v>
      </c>
      <c r="J70" s="1646">
        <f t="shared" si="1"/>
        <v>159271.11557887497</v>
      </c>
      <c r="K70" s="69"/>
    </row>
    <row r="71" spans="2:11" s="37" customFormat="1" ht="15.75">
      <c r="B71" s="48"/>
      <c r="C71" s="1995" t="s">
        <v>305</v>
      </c>
      <c r="D71" s="1993">
        <f>($D$14*(F801ENE!D68))*0.95</f>
        <v>5.5567902712174364</v>
      </c>
      <c r="E71" s="1993">
        <f>($D$14*(F801ENE!E68))*0.95</f>
        <v>5.5591093583451983</v>
      </c>
      <c r="F71" s="1993">
        <f>($D$14*(F801ENE!F68))*0.95</f>
        <v>5.454112763102299</v>
      </c>
      <c r="G71" s="1993">
        <f>($D$14*(F801ENE!G68))*0.95</f>
        <v>5.5400535296267632</v>
      </c>
      <c r="H71" s="1993">
        <f>($D$14*(F801ENE!H68))*0.95</f>
        <v>5.300004283263581</v>
      </c>
      <c r="I71" s="1993">
        <f>($D$14*(F801ENE!I68))*0.95</f>
        <v>5.3248394144447184</v>
      </c>
      <c r="J71" s="1646">
        <f t="shared" si="1"/>
        <v>32.734909619999996</v>
      </c>
      <c r="K71" s="69"/>
    </row>
    <row r="72" spans="2:11" s="37" customFormat="1" ht="15.75">
      <c r="B72" s="48"/>
      <c r="C72" s="1995" t="s">
        <v>307</v>
      </c>
      <c r="D72" s="1993">
        <f>($D$14*(F801ENE!D69))*0.5</f>
        <v>0.2013910357524612</v>
      </c>
      <c r="E72" s="1993">
        <f>($D$14*(F801ENE!E69))*0.5</f>
        <v>0.20147508487720128</v>
      </c>
      <c r="F72" s="1993">
        <f>($D$14*(F801ENE!F69))*0.5</f>
        <v>0.19766976345343334</v>
      </c>
      <c r="G72" s="1993">
        <f>($D$14*(F801ENE!G69))*0.5</f>
        <v>0.20078445721349317</v>
      </c>
      <c r="H72" s="1993">
        <f>($D$14*(F801ENE!H69))*0.5</f>
        <v>0.19208451282165859</v>
      </c>
      <c r="I72" s="1993">
        <f>($D$14*(F801ENE!I69))*0.5</f>
        <v>0.19298459588175249</v>
      </c>
      <c r="J72" s="1646">
        <f t="shared" si="1"/>
        <v>1.1863894500000001</v>
      </c>
      <c r="K72" s="69"/>
    </row>
    <row r="73" spans="2:11" s="37" customFormat="1" ht="15.75">
      <c r="B73" s="48"/>
      <c r="C73" s="1995" t="s">
        <v>624</v>
      </c>
      <c r="D73" s="1993">
        <f>($D$14*(F801ENE!D70))*0</f>
        <v>0</v>
      </c>
      <c r="E73" s="1993">
        <f>($D$14*(F801ENE!E70))*0</f>
        <v>0</v>
      </c>
      <c r="F73" s="1993">
        <f>($D$14*(F801ENE!F70))*0</f>
        <v>0</v>
      </c>
      <c r="G73" s="1993">
        <f>($D$14*(F801ENE!G70))*0</f>
        <v>0</v>
      </c>
      <c r="H73" s="1993">
        <f>($D$14*(F801ENE!H70))*0</f>
        <v>0</v>
      </c>
      <c r="I73" s="1993">
        <f>($D$14*(F801ENE!I70))*0</f>
        <v>0</v>
      </c>
      <c r="J73" s="1646">
        <f t="shared" si="1"/>
        <v>0</v>
      </c>
      <c r="K73" s="69"/>
    </row>
    <row r="74" spans="2:11" s="37" customFormat="1" ht="15.75">
      <c r="B74" s="48" t="s">
        <v>750</v>
      </c>
      <c r="C74" s="1996" t="s">
        <v>635</v>
      </c>
      <c r="D74" s="1646">
        <f t="shared" ref="D74:I74" si="19">SUBTOTAL(9,D75:D80)</f>
        <v>34687.585017916797</v>
      </c>
      <c r="E74" s="1646">
        <f t="shared" si="19"/>
        <v>34702.061636248945</v>
      </c>
      <c r="F74" s="1646">
        <f t="shared" si="19"/>
        <v>34046.633206109203</v>
      </c>
      <c r="G74" s="1646">
        <f t="shared" si="19"/>
        <v>34583.107951388571</v>
      </c>
      <c r="H74" s="1646">
        <f t="shared" si="19"/>
        <v>33084.629830873615</v>
      </c>
      <c r="I74" s="1646">
        <f t="shared" si="19"/>
        <v>33239.660105947863</v>
      </c>
      <c r="J74" s="1646">
        <f t="shared" si="1"/>
        <v>204343.677748485</v>
      </c>
      <c r="K74" s="69"/>
    </row>
    <row r="75" spans="2:11" s="37" customFormat="1" ht="15.75">
      <c r="B75" s="48"/>
      <c r="C75" s="1995" t="s">
        <v>304</v>
      </c>
      <c r="D75" s="1993">
        <f>($D$14*(F801ENE!D72))*1</f>
        <v>24958.326968180496</v>
      </c>
      <c r="E75" s="1993">
        <f>($D$14*(F801ENE!E72))*1</f>
        <v>24968.743149460934</v>
      </c>
      <c r="F75" s="1993">
        <f>($D$14*(F801ENE!F72))*1</f>
        <v>24497.150876455493</v>
      </c>
      <c r="G75" s="1993">
        <f>($D$14*(F801ENE!G72))*1</f>
        <v>24883.153882889575</v>
      </c>
      <c r="H75" s="1993">
        <f>($D$14*(F801ENE!H72))*1</f>
        <v>23804.972543163582</v>
      </c>
      <c r="I75" s="1993">
        <f>($D$14*(F801ENE!I72))*1</f>
        <v>23916.519550349916</v>
      </c>
      <c r="J75" s="1646">
        <f t="shared" si="1"/>
        <v>147028.86697049998</v>
      </c>
      <c r="K75" s="69"/>
    </row>
    <row r="76" spans="2:11" s="37" customFormat="1" ht="15.75">
      <c r="B76" s="48"/>
      <c r="C76" s="1998" t="s">
        <v>642</v>
      </c>
      <c r="D76" s="1993">
        <f>($D$14*(F801ENE!D73))*0.75</f>
        <v>7854.3876927597194</v>
      </c>
      <c r="E76" s="1993">
        <f>($D$14*(F801ENE!E73))*0.75</f>
        <v>7857.6656659251057</v>
      </c>
      <c r="F76" s="1993">
        <f>($D$14*(F801ENE!F73))*0.75</f>
        <v>7709.2555361188552</v>
      </c>
      <c r="G76" s="1993">
        <f>($D$14*(F801ENE!G73))*0.75</f>
        <v>7830.7307162048201</v>
      </c>
      <c r="H76" s="1993">
        <f>($D$14*(F801ENE!H73))*0.75</f>
        <v>7491.4269537329392</v>
      </c>
      <c r="I76" s="1993">
        <f>($D$14*(F801ENE!I73))*0.75</f>
        <v>7526.5308067085625</v>
      </c>
      <c r="J76" s="1646">
        <f t="shared" si="1"/>
        <v>46269.997371450008</v>
      </c>
      <c r="K76" s="69"/>
    </row>
    <row r="77" spans="2:11" s="37" customFormat="1" ht="15.75">
      <c r="B77" s="48"/>
      <c r="C77" s="1998" t="s">
        <v>1177</v>
      </c>
      <c r="D77" s="1993">
        <f>($D$14*(F801ENE!D74))*1</f>
        <v>1869.1155104888535</v>
      </c>
      <c r="E77" s="1993">
        <f>($D$14*(F801ENE!E74))*1</f>
        <v>1869.8955726306851</v>
      </c>
      <c r="F77" s="1993">
        <f>($D$14*(F801ENE!F74))*1</f>
        <v>1834.5782842072686</v>
      </c>
      <c r="G77" s="1993">
        <f>($D$14*(F801ENE!G74))*1</f>
        <v>1863.4858390822849</v>
      </c>
      <c r="H77" s="1993">
        <f>($D$14*(F801ENE!H74))*1</f>
        <v>1782.7414258942229</v>
      </c>
      <c r="I77" s="1993">
        <f>($D$14*(F801ENE!I74))*1</f>
        <v>1791.0951204966859</v>
      </c>
      <c r="J77" s="1646">
        <f t="shared" si="1"/>
        <v>11010.911752800001</v>
      </c>
      <c r="K77" s="69"/>
    </row>
    <row r="78" spans="2:11" s="37" customFormat="1" ht="15.75">
      <c r="B78" s="48"/>
      <c r="C78" s="1995" t="s">
        <v>305</v>
      </c>
      <c r="D78" s="1993">
        <f>($D$14*(F801ENE!D75))*0.95</f>
        <v>5.4869593566325587</v>
      </c>
      <c r="E78" s="1993">
        <f>($D$14*(F801ENE!E75))*0.95</f>
        <v>5.4892493003218901</v>
      </c>
      <c r="F78" s="1993">
        <f>($D$14*(F801ENE!F75))*0.95</f>
        <v>5.3855721733180744</v>
      </c>
      <c r="G78" s="1993">
        <f>($D$14*(F801ENE!G75))*0.95</f>
        <v>5.4704329418520397</v>
      </c>
      <c r="H78" s="1993">
        <f>($D$14*(F801ENE!H75))*0.95</f>
        <v>5.2334003395586874</v>
      </c>
      <c r="I78" s="1993">
        <f>($D$14*(F801ENE!I75))*0.95</f>
        <v>5.257923373316749</v>
      </c>
      <c r="J78" s="1646">
        <f t="shared" si="1"/>
        <v>32.323537484999996</v>
      </c>
      <c r="K78" s="69"/>
    </row>
    <row r="79" spans="2:11" s="37" customFormat="1" ht="15.75">
      <c r="B79" s="48"/>
      <c r="C79" s="1995" t="s">
        <v>307</v>
      </c>
      <c r="D79" s="1993">
        <f>($D$14*(F801ENE!D76))*0.5</f>
        <v>0.26788713109787854</v>
      </c>
      <c r="E79" s="1993">
        <f>($D$14*(F801ENE!E76))*0.5</f>
        <v>0.2679989318978187</v>
      </c>
      <c r="F79" s="1993">
        <f>($D$14*(F801ENE!F76))*0.5</f>
        <v>0.26293715427047942</v>
      </c>
      <c r="G79" s="1993">
        <f>($D$14*(F801ENE!G76))*0.5</f>
        <v>0.26708027003783896</v>
      </c>
      <c r="H79" s="1993">
        <f>($D$14*(F801ENE!H76))*0.5</f>
        <v>0.25550774331075921</v>
      </c>
      <c r="I79" s="1993">
        <f>($D$14*(F801ENE!I76))*0.5</f>
        <v>0.25670501938522522</v>
      </c>
      <c r="J79" s="1646">
        <f t="shared" si="1"/>
        <v>1.5781162499999999</v>
      </c>
      <c r="K79" s="69"/>
    </row>
    <row r="80" spans="2:11" s="37" customFormat="1" ht="15.75">
      <c r="B80" s="48"/>
      <c r="C80" s="1995" t="s">
        <v>624</v>
      </c>
      <c r="D80" s="1993">
        <f>($D$14*(F801ENE!D77))*0</f>
        <v>0</v>
      </c>
      <c r="E80" s="1993">
        <f>($D$14*(F801ENE!E77))*0</f>
        <v>0</v>
      </c>
      <c r="F80" s="1993">
        <f>($D$14*(F801ENE!F77))*0</f>
        <v>0</v>
      </c>
      <c r="G80" s="1993">
        <f>($D$14*(F801ENE!G77))*0</f>
        <v>0</v>
      </c>
      <c r="H80" s="1993">
        <f>($D$14*(F801ENE!H77))*0</f>
        <v>0</v>
      </c>
      <c r="I80" s="1993">
        <f>($D$14*(F801ENE!I77))*0</f>
        <v>0</v>
      </c>
      <c r="J80" s="1646">
        <f t="shared" si="1"/>
        <v>0</v>
      </c>
      <c r="K80" s="69"/>
    </row>
    <row r="81" spans="2:11" s="37" customFormat="1" ht="15.75">
      <c r="B81" s="48" t="s">
        <v>749</v>
      </c>
      <c r="C81" s="1996" t="s">
        <v>636</v>
      </c>
      <c r="D81" s="1646">
        <f t="shared" ref="D81:I81" si="20">SUBTOTAL(9,D82:D87)</f>
        <v>34311.633209566782</v>
      </c>
      <c r="E81" s="1646">
        <f t="shared" si="20"/>
        <v>34325.952927070066</v>
      </c>
      <c r="F81" s="1646">
        <f t="shared" si="20"/>
        <v>33677.628176919221</v>
      </c>
      <c r="G81" s="1646">
        <f t="shared" si="20"/>
        <v>34208.288488864076</v>
      </c>
      <c r="H81" s="1646">
        <f t="shared" si="20"/>
        <v>32726.051209528738</v>
      </c>
      <c r="I81" s="1646">
        <f t="shared" si="20"/>
        <v>32879.401231791133</v>
      </c>
      <c r="J81" s="1646">
        <f t="shared" si="1"/>
        <v>202128.95524374</v>
      </c>
      <c r="K81" s="69"/>
    </row>
    <row r="82" spans="2:11" s="37" customFormat="1" ht="15.75">
      <c r="B82" s="48"/>
      <c r="C82" s="1995" t="s">
        <v>304</v>
      </c>
      <c r="D82" s="1993">
        <f>($D$14*(F801ENE!D79))*1</f>
        <v>31240.095325269111</v>
      </c>
      <c r="E82" s="1993">
        <f>($D$14*(F801ENE!E79))*1</f>
        <v>31253.133158155146</v>
      </c>
      <c r="F82" s="1993">
        <f>($D$14*(F801ENE!F79))*1</f>
        <v>30662.845692888226</v>
      </c>
      <c r="G82" s="1993">
        <f>($D$14*(F801ENE!G79))*1</f>
        <v>31146.001904929803</v>
      </c>
      <c r="H82" s="1993">
        <f>($D$14*(F801ENE!H79))*1</f>
        <v>29796.452799578776</v>
      </c>
      <c r="I82" s="1993">
        <f>($D$14*(F801ENE!I79))*1</f>
        <v>29936.075104478954</v>
      </c>
      <c r="J82" s="1646">
        <f t="shared" si="1"/>
        <v>184034.6039853</v>
      </c>
      <c r="K82" s="69"/>
    </row>
    <row r="83" spans="2:11" s="37" customFormat="1" ht="15.75">
      <c r="B83" s="48"/>
      <c r="C83" s="1998" t="s">
        <v>642</v>
      </c>
      <c r="D83" s="1993">
        <f>($D$14*(F801ENE!D80))*0.75</f>
        <v>0</v>
      </c>
      <c r="E83" s="1993">
        <f>($D$14*(F801ENE!E80))*0.75</f>
        <v>0</v>
      </c>
      <c r="F83" s="1993">
        <f>($D$14*(F801ENE!F80))*0.75</f>
        <v>0</v>
      </c>
      <c r="G83" s="1993">
        <f>($D$14*(F801ENE!G80))*0.75</f>
        <v>0</v>
      </c>
      <c r="H83" s="1993">
        <f>($D$14*(F801ENE!H80))*0.75</f>
        <v>0</v>
      </c>
      <c r="I83" s="1993">
        <f>($D$14*(F801ENE!I80))*0.75</f>
        <v>0</v>
      </c>
      <c r="J83" s="1646">
        <f t="shared" si="1"/>
        <v>0</v>
      </c>
      <c r="K83" s="69"/>
    </row>
    <row r="84" spans="2:11" s="37" customFormat="1" ht="15.75">
      <c r="B84" s="48"/>
      <c r="C84" s="1998" t="s">
        <v>1177</v>
      </c>
      <c r="D84" s="1993">
        <f>($D$14*(F801ENE!D81))*1</f>
        <v>3049.7945423932756</v>
      </c>
      <c r="E84" s="1993">
        <f>($D$14*(F801ENE!E81))*1</f>
        <v>3051.0673525805191</v>
      </c>
      <c r="F84" s="1993">
        <f>($D$14*(F801ENE!F81))*1</f>
        <v>2993.4409122233396</v>
      </c>
      <c r="G84" s="1993">
        <f>($D$14*(F801ENE!G81))*1</f>
        <v>3040.6087317599195</v>
      </c>
      <c r="H84" s="1993">
        <f>($D$14*(F801ENE!H81))*1</f>
        <v>2908.8598541288661</v>
      </c>
      <c r="I84" s="1993">
        <f>($D$14*(F801ENE!I81))*1</f>
        <v>2922.4903933140813</v>
      </c>
      <c r="J84" s="1646">
        <f t="shared" ref="J84:J110" si="21">SUM(D84:I84)</f>
        <v>17966.261786400002</v>
      </c>
      <c r="K84" s="69"/>
    </row>
    <row r="85" spans="2:11" s="37" customFormat="1" ht="15.75">
      <c r="B85" s="48"/>
      <c r="C85" s="1995" t="s">
        <v>305</v>
      </c>
      <c r="D85" s="1993">
        <f>($D$14*(F801ENE!D82))*0.95</f>
        <v>21.652911220517801</v>
      </c>
      <c r="E85" s="1993">
        <f>($D$14*(F801ENE!E82))*0.95</f>
        <v>21.661947909908463</v>
      </c>
      <c r="F85" s="1993">
        <f>($D$14*(F801ENE!F82))*0.95</f>
        <v>21.252812087916571</v>
      </c>
      <c r="G85" s="1993">
        <f>($D$14*(F801ENE!G82))*0.95</f>
        <v>21.587693862637529</v>
      </c>
      <c r="H85" s="1993">
        <f>($D$14*(F801ENE!H82))*0.95</f>
        <v>20.652304048309443</v>
      </c>
      <c r="I85" s="1993">
        <f>($D$14*(F801ENE!I82))*0.95</f>
        <v>20.749078060710179</v>
      </c>
      <c r="J85" s="1646">
        <f t="shared" si="21"/>
        <v>127.55674719</v>
      </c>
      <c r="K85" s="69"/>
    </row>
    <row r="86" spans="2:11" s="37" customFormat="1" ht="15.75">
      <c r="B86" s="48"/>
      <c r="C86" s="1995" t="s">
        <v>307</v>
      </c>
      <c r="D86" s="1993">
        <f>($D$14*(F801ENE!D83))*0.5</f>
        <v>9.0430683880891316E-2</v>
      </c>
      <c r="E86" s="1993">
        <f>($D$14*(F801ENE!E83))*0.5</f>
        <v>9.0468424487375812E-2</v>
      </c>
      <c r="F86" s="1993">
        <f>($D$14*(F801ENE!F83))*0.5</f>
        <v>8.8759719740651541E-2</v>
      </c>
      <c r="G86" s="1993">
        <f>($D$14*(F801ENE!G83))*0.5</f>
        <v>9.0158311717446191E-2</v>
      </c>
      <c r="H86" s="1993">
        <f>($D$14*(F801ENE!H83))*0.5</f>
        <v>8.6251772788641323E-2</v>
      </c>
      <c r="I86" s="1993">
        <f>($D$14*(F801ENE!I83))*0.5</f>
        <v>8.6655937384993775E-2</v>
      </c>
      <c r="J86" s="1646">
        <f t="shared" si="21"/>
        <v>0.53272484999999992</v>
      </c>
      <c r="K86" s="69"/>
    </row>
    <row r="87" spans="2:11" s="37" customFormat="1" ht="15.75">
      <c r="B87" s="48"/>
      <c r="C87" s="1995" t="s">
        <v>624</v>
      </c>
      <c r="D87" s="1993">
        <f>($D$14*(F801ENE!D84))*0</f>
        <v>0</v>
      </c>
      <c r="E87" s="1993">
        <f>($D$14*(F801ENE!E84))*0</f>
        <v>0</v>
      </c>
      <c r="F87" s="1993">
        <f>($D$14*(F801ENE!F84))*0</f>
        <v>0</v>
      </c>
      <c r="G87" s="1993">
        <f>($D$14*(F801ENE!G84))*0</f>
        <v>0</v>
      </c>
      <c r="H87" s="1993">
        <f>($D$14*(F801ENE!H84))*0</f>
        <v>0</v>
      </c>
      <c r="I87" s="1993">
        <f>($D$14*(F801ENE!I84))*0</f>
        <v>0</v>
      </c>
      <c r="J87" s="1646">
        <f t="shared" si="21"/>
        <v>0</v>
      </c>
      <c r="K87" s="69"/>
    </row>
    <row r="88" spans="2:11" s="37" customFormat="1" ht="15.75">
      <c r="B88" s="48"/>
      <c r="C88" s="1994"/>
      <c r="D88" s="1993"/>
      <c r="E88" s="1993"/>
      <c r="F88" s="1993"/>
      <c r="G88" s="1993"/>
      <c r="H88" s="1993"/>
      <c r="I88" s="1993"/>
      <c r="J88" s="1646">
        <f t="shared" si="21"/>
        <v>0</v>
      </c>
      <c r="K88" s="69"/>
    </row>
    <row r="89" spans="2:11" s="37" customFormat="1" ht="15.75">
      <c r="B89" s="48" t="s">
        <v>902</v>
      </c>
      <c r="C89" s="1996" t="s">
        <v>898</v>
      </c>
      <c r="D89" s="1646">
        <f t="shared" ref="D89" si="22">SUBTOTAL(9,D90:D94)</f>
        <v>15815.176148202641</v>
      </c>
      <c r="E89" s="1646">
        <f t="shared" ref="E89:I89" si="23">SUBTOTAL(9,E90:E94)</f>
        <v>15821.77650013936</v>
      </c>
      <c r="F89" s="1646">
        <f t="shared" si="23"/>
        <v>15522.945778143412</v>
      </c>
      <c r="G89" s="1646">
        <f t="shared" si="23"/>
        <v>15767.541721945005</v>
      </c>
      <c r="H89" s="1646">
        <f t="shared" si="23"/>
        <v>15084.337762432375</v>
      </c>
      <c r="I89" s="1646">
        <f t="shared" si="23"/>
        <v>15155.021008537207</v>
      </c>
      <c r="J89" s="1646">
        <f t="shared" si="21"/>
        <v>93166.798919399997</v>
      </c>
      <c r="K89" s="69"/>
    </row>
    <row r="90" spans="2:11" s="37" customFormat="1" ht="13.5">
      <c r="B90" s="48"/>
      <c r="C90" s="1995" t="s">
        <v>304</v>
      </c>
      <c r="D90" s="1993">
        <f>($D$13*(F801ENE!D87))*$K90</f>
        <v>15211.223559622895</v>
      </c>
      <c r="E90" s="1993">
        <f>($D$13*(F801ENE!E87))*$K90</f>
        <v>15217.571856217304</v>
      </c>
      <c r="F90" s="1993">
        <f>($D$13*(F801ENE!F87))*$K90</f>
        <v>14930.152931750852</v>
      </c>
      <c r="G90" s="1993">
        <f>($D$13*(F801ENE!G87))*$K90</f>
        <v>15165.408204792235</v>
      </c>
      <c r="H90" s="1993">
        <f>($D$13*(F801ENE!H87))*$K90</f>
        <v>14508.294552210678</v>
      </c>
      <c r="I90" s="1993">
        <f>($D$13*(F801ENE!I87))*$K90</f>
        <v>14576.278534706038</v>
      </c>
      <c r="J90" s="1646">
        <f t="shared" si="21"/>
        <v>89608.929639300011</v>
      </c>
      <c r="K90" s="492">
        <v>1</v>
      </c>
    </row>
    <row r="91" spans="2:11" s="37" customFormat="1" ht="13.5">
      <c r="B91" s="48"/>
      <c r="C91" s="1998" t="s">
        <v>644</v>
      </c>
      <c r="D91" s="1993">
        <f>($D$13*(F801ENE!D88))*$K91</f>
        <v>603.95258857974716</v>
      </c>
      <c r="E91" s="1993">
        <f>($D$13*(F801ENE!E88))*$K91</f>
        <v>604.20464392205656</v>
      </c>
      <c r="F91" s="1993">
        <f>($D$13*(F801ENE!F88))*$K91</f>
        <v>592.79284639256025</v>
      </c>
      <c r="G91" s="1993">
        <f>($D$13*(F801ENE!G88))*$K91</f>
        <v>602.13351715276985</v>
      </c>
      <c r="H91" s="1993">
        <f>($D$13*(F801ENE!H88))*$K91</f>
        <v>576.04321022169711</v>
      </c>
      <c r="I91" s="1993">
        <f>($D$13*(F801ENE!I88))*$K91</f>
        <v>578.74247383116904</v>
      </c>
      <c r="J91" s="1646">
        <f t="shared" si="21"/>
        <v>3557.8692801000007</v>
      </c>
      <c r="K91" s="492">
        <v>0.75</v>
      </c>
    </row>
    <row r="92" spans="2:11" s="37" customFormat="1" ht="13.5">
      <c r="B92" s="48"/>
      <c r="C92" s="1995" t="s">
        <v>305</v>
      </c>
      <c r="D92" s="1993">
        <f>($D$13*(F801ENE!D89))*$K92</f>
        <v>0</v>
      </c>
      <c r="E92" s="1993">
        <f>($D$13*(F801ENE!E89))*$K92</f>
        <v>0</v>
      </c>
      <c r="F92" s="1993">
        <f>($D$13*(F801ENE!F89))*$K92</f>
        <v>0</v>
      </c>
      <c r="G92" s="1993">
        <f>($D$13*(F801ENE!G89))*$K92</f>
        <v>0</v>
      </c>
      <c r="H92" s="1993">
        <f>($D$13*(F801ENE!H89))*$K92</f>
        <v>0</v>
      </c>
      <c r="I92" s="1993">
        <f>($D$13*(F801ENE!I89))*$K92</f>
        <v>0</v>
      </c>
      <c r="J92" s="1646">
        <f t="shared" si="21"/>
        <v>0</v>
      </c>
      <c r="K92" s="492">
        <v>0.95</v>
      </c>
    </row>
    <row r="93" spans="2:11" s="37" customFormat="1" ht="13.5">
      <c r="B93" s="48"/>
      <c r="C93" s="1995" t="s">
        <v>307</v>
      </c>
      <c r="D93" s="1993">
        <f>($D$13*(F801ENE!D90))*$K93</f>
        <v>0</v>
      </c>
      <c r="E93" s="1993">
        <f>($D$13*(F801ENE!E90))*$K93</f>
        <v>0</v>
      </c>
      <c r="F93" s="1993">
        <f>($D$13*(F801ENE!F90))*$K93</f>
        <v>0</v>
      </c>
      <c r="G93" s="1993">
        <f>($D$13*(F801ENE!G90))*$K93</f>
        <v>0</v>
      </c>
      <c r="H93" s="1993">
        <f>($D$13*(F801ENE!H90))*$K93</f>
        <v>0</v>
      </c>
      <c r="I93" s="1993">
        <f>($D$13*(F801ENE!I90))*$K93</f>
        <v>0</v>
      </c>
      <c r="J93" s="1646">
        <f t="shared" si="21"/>
        <v>0</v>
      </c>
      <c r="K93" s="492">
        <v>0.5</v>
      </c>
    </row>
    <row r="94" spans="2:11" s="37" customFormat="1" ht="13.5">
      <c r="B94" s="48"/>
      <c r="C94" s="1995" t="s">
        <v>624</v>
      </c>
      <c r="D94" s="1993">
        <f>($D$13*(F801ENE!D91))*$K94</f>
        <v>0</v>
      </c>
      <c r="E94" s="1993">
        <f>($D$13*(F801ENE!E91))*$K94</f>
        <v>0</v>
      </c>
      <c r="F94" s="1993">
        <f>($D$13*(F801ENE!F91))*$K94</f>
        <v>0</v>
      </c>
      <c r="G94" s="1993">
        <f>($D$13*(F801ENE!G91))*$K94</f>
        <v>0</v>
      </c>
      <c r="H94" s="1993">
        <f>($D$13*(F801ENE!H91))*$K94</f>
        <v>0</v>
      </c>
      <c r="I94" s="1993">
        <f>($D$13*(F801ENE!I91))*$K94</f>
        <v>0</v>
      </c>
      <c r="J94" s="1646">
        <f t="shared" si="21"/>
        <v>0</v>
      </c>
      <c r="K94" s="492">
        <v>0</v>
      </c>
    </row>
    <row r="95" spans="2:11" s="37" customFormat="1" ht="13.5">
      <c r="B95" s="48" t="s">
        <v>902</v>
      </c>
      <c r="C95" s="1996" t="s">
        <v>899</v>
      </c>
      <c r="D95" s="1646">
        <f t="shared" ref="D95" si="24">SUBTOTAL(9,D96:D101)</f>
        <v>1251.7606038488209</v>
      </c>
      <c r="E95" s="1646">
        <f t="shared" ref="E95:I95" si="25">SUBTOTAL(9,E96:E101)</f>
        <v>1252.2830172856677</v>
      </c>
      <c r="F95" s="1646">
        <f t="shared" si="25"/>
        <v>1228.6307657072534</v>
      </c>
      <c r="G95" s="1646">
        <f t="shared" si="25"/>
        <v>1247.9903709018406</v>
      </c>
      <c r="H95" s="1646">
        <f t="shared" si="25"/>
        <v>1193.9152349123735</v>
      </c>
      <c r="I95" s="1646">
        <f t="shared" si="25"/>
        <v>1199.5097665190438</v>
      </c>
      <c r="J95" s="1646">
        <f t="shared" si="21"/>
        <v>7374.0897591749999</v>
      </c>
      <c r="K95" s="492"/>
    </row>
    <row r="96" spans="2:11" s="37" customFormat="1" ht="13.5">
      <c r="B96" s="48"/>
      <c r="C96" s="1995" t="s">
        <v>304</v>
      </c>
      <c r="D96" s="1993">
        <f>($D$13*(F801ENE!D93))*$K96</f>
        <v>1137.0632014622549</v>
      </c>
      <c r="E96" s="1993">
        <f>($D$13*(F801ENE!E93))*$K96</f>
        <v>1137.5377467492385</v>
      </c>
      <c r="F96" s="1993">
        <f>($D$13*(F801ENE!F93))*$K96</f>
        <v>1116.0527241188327</v>
      </c>
      <c r="G96" s="1993">
        <f>($D$13*(F801ENE!G93))*$K96</f>
        <v>1133.638430677993</v>
      </c>
      <c r="H96" s="1993">
        <f>($D$13*(F801ENE!H93))*$K96</f>
        <v>1084.5181379809428</v>
      </c>
      <c r="I96" s="1993">
        <f>($D$13*(F801ENE!I93))*$K96</f>
        <v>1089.6000490107378</v>
      </c>
      <c r="J96" s="1646">
        <f t="shared" si="21"/>
        <v>6698.4102899999998</v>
      </c>
      <c r="K96" s="492">
        <v>1</v>
      </c>
    </row>
    <row r="97" spans="1:11" s="37" customFormat="1" ht="13.5">
      <c r="B97" s="48"/>
      <c r="C97" s="1998" t="s">
        <v>642</v>
      </c>
      <c r="D97" s="1993">
        <f>($D$13*(F801ENE!D94))*$K97</f>
        <v>104.00835534923374</v>
      </c>
      <c r="E97" s="1993">
        <f>($D$13*(F801ENE!E94))*$K97</f>
        <v>104.05176250089814</v>
      </c>
      <c r="F97" s="1993">
        <f>($D$13*(F801ENE!F94))*$K97</f>
        <v>102.08650510310716</v>
      </c>
      <c r="G97" s="1993">
        <f>($D$13*(F801ENE!G94))*$K97</f>
        <v>103.69508799851731</v>
      </c>
      <c r="H97" s="1993">
        <f>($D$13*(F801ENE!H94))*$K97</f>
        <v>99.202003664134565</v>
      </c>
      <c r="I97" s="1993">
        <f>($D$13*(F801ENE!I94))*$K97</f>
        <v>99.666851359109131</v>
      </c>
      <c r="J97" s="1646">
        <f t="shared" si="21"/>
        <v>612.71056597500001</v>
      </c>
      <c r="K97" s="492">
        <v>0.75</v>
      </c>
    </row>
    <row r="98" spans="1:11" s="37" customFormat="1" ht="13.5">
      <c r="B98" s="48"/>
      <c r="C98" s="1998" t="s">
        <v>1177</v>
      </c>
      <c r="D98" s="1993">
        <f>($D$13*(F801ENE!D95))*$K98</f>
        <v>10.689047037332022</v>
      </c>
      <c r="E98" s="1993">
        <f>($D$13*(F801ENE!E95))*$K98</f>
        <v>10.693508035531057</v>
      </c>
      <c r="F98" s="1993">
        <f>($D$13*(F801ENE!F95))*$K98</f>
        <v>10.491536485313604</v>
      </c>
      <c r="G98" s="1993">
        <f>($D$13*(F801ENE!G95))*$K98</f>
        <v>10.656852225330383</v>
      </c>
      <c r="H98" s="1993">
        <f>($D$13*(F801ENE!H95))*$K98</f>
        <v>10.195093267296148</v>
      </c>
      <c r="I98" s="1993">
        <f>($D$13*(F801ENE!I95))*$K98</f>
        <v>10.242866149196784</v>
      </c>
      <c r="J98" s="1646">
        <f t="shared" si="21"/>
        <v>62.9689032</v>
      </c>
      <c r="K98" s="492">
        <v>1</v>
      </c>
    </row>
    <row r="99" spans="1:11" s="37" customFormat="1" ht="13.5">
      <c r="B99" s="48"/>
      <c r="C99" s="1995" t="s">
        <v>305</v>
      </c>
      <c r="D99" s="1993">
        <f>($D$13*(F801ENE!D96))*$K99</f>
        <v>0</v>
      </c>
      <c r="E99" s="1993">
        <f>($D$13*(F801ENE!E96))*$K99</f>
        <v>0</v>
      </c>
      <c r="F99" s="1993">
        <f>($D$13*(F801ENE!F96))*$K99</f>
        <v>0</v>
      </c>
      <c r="G99" s="1993">
        <f>($D$13*(F801ENE!G96))*$K99</f>
        <v>0</v>
      </c>
      <c r="H99" s="1993">
        <f>($D$13*(F801ENE!H96))*$K99</f>
        <v>0</v>
      </c>
      <c r="I99" s="1993">
        <f>($D$13*(F801ENE!I96))*$K99</f>
        <v>0</v>
      </c>
      <c r="J99" s="1646">
        <f t="shared" si="21"/>
        <v>0</v>
      </c>
      <c r="K99" s="492">
        <v>0.95</v>
      </c>
    </row>
    <row r="100" spans="1:11" s="37" customFormat="1" ht="13.5">
      <c r="B100" s="48"/>
      <c r="C100" s="1995" t="s">
        <v>307</v>
      </c>
      <c r="D100" s="1993">
        <f>($D$13*(F801ENE!D97))*$K100</f>
        <v>0</v>
      </c>
      <c r="E100" s="1993">
        <f>($D$13*(F801ENE!E97))*$K100</f>
        <v>0</v>
      </c>
      <c r="F100" s="1993">
        <f>($D$13*(F801ENE!F97))*$K100</f>
        <v>0</v>
      </c>
      <c r="G100" s="1993">
        <f>($D$13*(F801ENE!G97))*$K100</f>
        <v>0</v>
      </c>
      <c r="H100" s="1993">
        <f>($D$13*(F801ENE!H97))*$K100</f>
        <v>0</v>
      </c>
      <c r="I100" s="1993">
        <f>($D$13*(F801ENE!I97))*$K100</f>
        <v>0</v>
      </c>
      <c r="J100" s="1646">
        <f t="shared" si="21"/>
        <v>0</v>
      </c>
      <c r="K100" s="492">
        <v>0.5</v>
      </c>
    </row>
    <row r="101" spans="1:11" s="37" customFormat="1" ht="13.5">
      <c r="B101" s="48"/>
      <c r="C101" s="1995" t="s">
        <v>624</v>
      </c>
      <c r="D101" s="1993">
        <f>($D$13*(F801ENE!D98))*$K101</f>
        <v>0</v>
      </c>
      <c r="E101" s="1993">
        <f>($D$13*(F801ENE!E98))*$K101</f>
        <v>0</v>
      </c>
      <c r="F101" s="1993">
        <f>($D$13*(F801ENE!F98))*$K101</f>
        <v>0</v>
      </c>
      <c r="G101" s="1993">
        <f>($D$13*(F801ENE!G98))*$K101</f>
        <v>0</v>
      </c>
      <c r="H101" s="1993">
        <f>($D$13*(F801ENE!H98))*$K101</f>
        <v>0</v>
      </c>
      <c r="I101" s="1993">
        <f>($D$13*(F801ENE!I98))*$K101</f>
        <v>0</v>
      </c>
      <c r="J101" s="1646">
        <f t="shared" si="21"/>
        <v>0</v>
      </c>
      <c r="K101" s="492">
        <v>0</v>
      </c>
    </row>
    <row r="102" spans="1:11" s="37" customFormat="1" ht="13.5">
      <c r="B102" s="48" t="s">
        <v>902</v>
      </c>
      <c r="C102" s="1996" t="s">
        <v>900</v>
      </c>
      <c r="D102" s="1646">
        <f t="shared" ref="D102" si="26">SUBTOTAL(9,D103:D108)</f>
        <v>138.42609337380154</v>
      </c>
      <c r="E102" s="1646">
        <f t="shared" ref="E102:I102" si="27">SUBTOTAL(9,E103:E108)</f>
        <v>138.4838645250635</v>
      </c>
      <c r="F102" s="1646">
        <f t="shared" si="27"/>
        <v>135.86827750672524</v>
      </c>
      <c r="G102" s="1646">
        <f t="shared" si="27"/>
        <v>138.00916172061247</v>
      </c>
      <c r="H102" s="1646">
        <f t="shared" si="27"/>
        <v>132.02925645704735</v>
      </c>
      <c r="I102" s="1646">
        <f t="shared" si="27"/>
        <v>132.64792839174993</v>
      </c>
      <c r="J102" s="1646">
        <f t="shared" si="21"/>
        <v>815.4645819750001</v>
      </c>
      <c r="K102" s="492"/>
    </row>
    <row r="103" spans="1:11" s="37" customFormat="1" ht="13.5">
      <c r="C103" s="1995" t="s">
        <v>304</v>
      </c>
      <c r="D103" s="1993">
        <f>($D$13*(F801ENE!D100))*$K103</f>
        <v>134.48154299501695</v>
      </c>
      <c r="E103" s="1993">
        <f>($D$13*(F801ENE!E100))*$K103</f>
        <v>134.53766791607015</v>
      </c>
      <c r="F103" s="1993">
        <f>($D$13*(F801ENE!F100))*$K103</f>
        <v>131.9966139175728</v>
      </c>
      <c r="G103" s="1993">
        <f>($D$13*(F801ENE!G100))*$K103</f>
        <v>134.07649210701044</v>
      </c>
      <c r="H103" s="1993">
        <f>($D$13*(F801ENE!H100))*$K103</f>
        <v>128.26698851409563</v>
      </c>
      <c r="I103" s="1993">
        <f>($D$13*(F801ENE!I100))*$K103</f>
        <v>128.86803095023407</v>
      </c>
      <c r="J103" s="1646">
        <f t="shared" si="21"/>
        <v>792.22733640000001</v>
      </c>
      <c r="K103" s="492">
        <v>1</v>
      </c>
    </row>
    <row r="104" spans="1:11" s="37" customFormat="1" ht="13.5">
      <c r="C104" s="1998" t="s">
        <v>642</v>
      </c>
      <c r="D104" s="1993">
        <f>($D$13*(F801ENE!D101))*$K104</f>
        <v>3.9445503787845935</v>
      </c>
      <c r="E104" s="1993">
        <f>($D$13*(F801ENE!E101))*$K104</f>
        <v>3.9461966089933584</v>
      </c>
      <c r="F104" s="1993">
        <f>($D$13*(F801ENE!F101))*$K104</f>
        <v>3.8716635891524405</v>
      </c>
      <c r="G104" s="1993">
        <f>($D$13*(F801ENE!G101))*$K104</f>
        <v>3.9326696136020258</v>
      </c>
      <c r="H104" s="1993">
        <f>($D$13*(F801ENE!H101))*$K104</f>
        <v>3.7622679429517145</v>
      </c>
      <c r="I104" s="1993">
        <f>($D$13*(F801ENE!I101))*$K104</f>
        <v>3.7798974415158662</v>
      </c>
      <c r="J104" s="1646">
        <f t="shared" si="21"/>
        <v>23.237245574999999</v>
      </c>
      <c r="K104" s="492">
        <v>0.75</v>
      </c>
    </row>
    <row r="105" spans="1:11" s="37" customFormat="1" ht="13.5">
      <c r="C105" s="1998" t="s">
        <v>1177</v>
      </c>
      <c r="D105" s="1993">
        <f>($D$13*(F801ENE!D102))*$K105</f>
        <v>0</v>
      </c>
      <c r="E105" s="1993">
        <f>($D$13*(F801ENE!E102))*$K105</f>
        <v>0</v>
      </c>
      <c r="F105" s="1993">
        <f>($D$13*(F801ENE!F102))*$K105</f>
        <v>0</v>
      </c>
      <c r="G105" s="1993">
        <f>($D$13*(F801ENE!G102))*$K105</f>
        <v>0</v>
      </c>
      <c r="H105" s="1993">
        <f>($D$13*(F801ENE!H102))*$K105</f>
        <v>0</v>
      </c>
      <c r="I105" s="1993">
        <f>($D$13*(F801ENE!I102))*$K105</f>
        <v>0</v>
      </c>
      <c r="J105" s="1646">
        <f t="shared" si="21"/>
        <v>0</v>
      </c>
      <c r="K105" s="492">
        <v>1</v>
      </c>
    </row>
    <row r="106" spans="1:11" s="37" customFormat="1" ht="13.5">
      <c r="C106" s="1995" t="s">
        <v>305</v>
      </c>
      <c r="D106" s="1993">
        <f>($D$13*(F801ENE!D103))*$K106</f>
        <v>0</v>
      </c>
      <c r="E106" s="1993">
        <f>($D$13*(F801ENE!E103))*$K106</f>
        <v>0</v>
      </c>
      <c r="F106" s="1993">
        <f>($D$13*(F801ENE!F103))*$K106</f>
        <v>0</v>
      </c>
      <c r="G106" s="1993">
        <f>($D$13*(F801ENE!G103))*$K106</f>
        <v>0</v>
      </c>
      <c r="H106" s="1993">
        <f>($D$13*(F801ENE!H103))*$K106</f>
        <v>0</v>
      </c>
      <c r="I106" s="1993">
        <f>($D$13*(F801ENE!I103))*$K106</f>
        <v>0</v>
      </c>
      <c r="J106" s="1646">
        <f t="shared" si="21"/>
        <v>0</v>
      </c>
      <c r="K106" s="492">
        <v>0.95</v>
      </c>
    </row>
    <row r="107" spans="1:11" s="37" customFormat="1" ht="13.5">
      <c r="C107" s="1995" t="s">
        <v>307</v>
      </c>
      <c r="D107" s="1993">
        <f>($D$13*(F801ENE!D104))*$K107</f>
        <v>0</v>
      </c>
      <c r="E107" s="1993">
        <f>($D$13*(F801ENE!E104))*$K107</f>
        <v>0</v>
      </c>
      <c r="F107" s="1993">
        <f>($D$13*(F801ENE!F104))*$K107</f>
        <v>0</v>
      </c>
      <c r="G107" s="1993">
        <f>($D$13*(F801ENE!G104))*$K107</f>
        <v>0</v>
      </c>
      <c r="H107" s="1993">
        <f>($D$13*(F801ENE!H104))*$K107</f>
        <v>0</v>
      </c>
      <c r="I107" s="1993">
        <f>($D$13*(F801ENE!I104))*$K107</f>
        <v>0</v>
      </c>
      <c r="J107" s="1646">
        <f t="shared" si="21"/>
        <v>0</v>
      </c>
      <c r="K107" s="492">
        <v>0.5</v>
      </c>
    </row>
    <row r="108" spans="1:11" s="37" customFormat="1" ht="13.5">
      <c r="C108" s="1995" t="s">
        <v>624</v>
      </c>
      <c r="D108" s="1993">
        <f>($D$13*(F801ENE!D105))*$K108</f>
        <v>0</v>
      </c>
      <c r="E108" s="1993">
        <f>($D$13*(F801ENE!E105))*$K108</f>
        <v>0</v>
      </c>
      <c r="F108" s="1993">
        <f>($D$13*(F801ENE!F105))*$K108</f>
        <v>0</v>
      </c>
      <c r="G108" s="1993">
        <f>($D$13*(F801ENE!G105))*$K108</f>
        <v>0</v>
      </c>
      <c r="H108" s="1993">
        <f>($D$13*(F801ENE!H105))*$K108</f>
        <v>0</v>
      </c>
      <c r="I108" s="1993">
        <f>($D$13*(F801ENE!I105))*$K108</f>
        <v>0</v>
      </c>
      <c r="J108" s="1646">
        <f t="shared" si="21"/>
        <v>0</v>
      </c>
      <c r="K108" s="492">
        <v>0</v>
      </c>
    </row>
    <row r="109" spans="1:11" s="37" customFormat="1" ht="15.75">
      <c r="C109" s="1994"/>
      <c r="D109" s="1993"/>
      <c r="E109" s="1993"/>
      <c r="F109" s="1993"/>
      <c r="G109" s="1993"/>
      <c r="H109" s="1993"/>
      <c r="I109" s="1993"/>
      <c r="J109" s="1646">
        <f t="shared" si="21"/>
        <v>0</v>
      </c>
      <c r="K109" s="69"/>
    </row>
    <row r="110" spans="1:11" s="37" customFormat="1" ht="15.75">
      <c r="C110" s="1999" t="s">
        <v>112</v>
      </c>
      <c r="D110" s="2000">
        <f>D19+D23+D33</f>
        <v>305362.8815577873</v>
      </c>
      <c r="E110" s="2000">
        <f t="shared" ref="E110:I110" si="28">E19+E23+E33</f>
        <v>305490.3225971919</v>
      </c>
      <c r="F110" s="2000">
        <f t="shared" si="28"/>
        <v>299720.43363031826</v>
      </c>
      <c r="G110" s="2000">
        <f t="shared" si="28"/>
        <v>304443.14563280769</v>
      </c>
      <c r="H110" s="2000">
        <f t="shared" si="28"/>
        <v>291251.6940919928</v>
      </c>
      <c r="I110" s="2000">
        <f t="shared" si="28"/>
        <v>292616.46167385008</v>
      </c>
      <c r="J110" s="2000">
        <f t="shared" si="21"/>
        <v>1798884.9391839481</v>
      </c>
      <c r="K110" s="69"/>
    </row>
    <row r="111" spans="1:11" s="37" customFormat="1" ht="15.75">
      <c r="K111" s="69"/>
    </row>
    <row r="112" spans="1:11" s="37" customFormat="1" ht="54" customHeight="1">
      <c r="A112" s="331"/>
      <c r="C112" s="138" t="s">
        <v>1470</v>
      </c>
      <c r="D112" s="138"/>
      <c r="E112" s="138"/>
      <c r="F112" s="138"/>
      <c r="G112" s="138"/>
      <c r="H112" s="138"/>
      <c r="I112" s="138"/>
      <c r="J112" s="138"/>
      <c r="K112" s="69"/>
    </row>
    <row r="113" spans="1:11" s="37" customFormat="1" ht="15.75">
      <c r="A113" s="332"/>
      <c r="C113" s="150" t="s">
        <v>310</v>
      </c>
      <c r="D113" s="151">
        <f t="shared" ref="D113:I113" si="29">D18</f>
        <v>46204</v>
      </c>
      <c r="E113" s="151">
        <f t="shared" si="29"/>
        <v>46235</v>
      </c>
      <c r="F113" s="151">
        <f t="shared" si="29"/>
        <v>46266</v>
      </c>
      <c r="G113" s="151">
        <f t="shared" si="29"/>
        <v>46296</v>
      </c>
      <c r="H113" s="151">
        <f t="shared" si="29"/>
        <v>46327</v>
      </c>
      <c r="I113" s="151">
        <f t="shared" si="29"/>
        <v>46357</v>
      </c>
      <c r="J113" s="151" t="s">
        <v>111</v>
      </c>
      <c r="K113" s="69"/>
    </row>
    <row r="114" spans="1:11" ht="15.75">
      <c r="A114" s="333"/>
      <c r="C114" s="1991" t="s">
        <v>230</v>
      </c>
      <c r="D114" s="1646">
        <f t="shared" ref="D114:I114" si="30">D115+D116+D119</f>
        <v>19340.532446770085</v>
      </c>
      <c r="E114" s="1646">
        <f t="shared" si="30"/>
        <v>18177.542901040324</v>
      </c>
      <c r="F114" s="1646">
        <f t="shared" si="30"/>
        <v>18464.034409714659</v>
      </c>
      <c r="G114" s="1646">
        <f t="shared" si="30"/>
        <v>21059.713664607745</v>
      </c>
      <c r="H114" s="1646">
        <f t="shared" si="30"/>
        <v>17236.589223698211</v>
      </c>
      <c r="I114" s="1646">
        <f t="shared" si="30"/>
        <v>19917.859201920091</v>
      </c>
      <c r="J114" s="1646">
        <f>SUM(D114:I114)</f>
        <v>114196.27184775112</v>
      </c>
      <c r="K114" s="69"/>
    </row>
    <row r="115" spans="1:11" ht="15.75">
      <c r="A115" s="333"/>
      <c r="B115" s="48" t="s">
        <v>870</v>
      </c>
      <c r="C115" s="1994" t="s">
        <v>192</v>
      </c>
      <c r="D115" s="1993">
        <f>$D$7*F801ENE!D116</f>
        <v>11183.449627455841</v>
      </c>
      <c r="E115" s="1993">
        <f>$D$7*F801ENE!E116</f>
        <v>10123.000149044157</v>
      </c>
      <c r="F115" s="1993">
        <f>$D$7*F801ENE!F116</f>
        <v>10232.041125239133</v>
      </c>
      <c r="G115" s="1993">
        <f>$D$7*F801ENE!G116</f>
        <v>11732.410004843805</v>
      </c>
      <c r="H115" s="1993">
        <f>$D$7*F801ENE!H116</f>
        <v>8151.0342992164788</v>
      </c>
      <c r="I115" s="1993">
        <f>$D$7*F801ENE!I116</f>
        <v>10510.511436748511</v>
      </c>
      <c r="J115" s="1646">
        <f>SUM(D115:I115)</f>
        <v>61932.446642547933</v>
      </c>
      <c r="K115" s="69"/>
    </row>
    <row r="116" spans="1:11" ht="15.75">
      <c r="A116" s="333"/>
      <c r="B116" s="48" t="s">
        <v>871</v>
      </c>
      <c r="C116" s="2001" t="s">
        <v>193</v>
      </c>
      <c r="D116" s="1646">
        <f t="shared" ref="D116:I116" si="31">SUM(D117:D118)</f>
        <v>5339.0383873142391</v>
      </c>
      <c r="E116" s="1646">
        <f t="shared" si="31"/>
        <v>5236.4983199961598</v>
      </c>
      <c r="F116" s="1646">
        <f t="shared" si="31"/>
        <v>5413.9488524755188</v>
      </c>
      <c r="G116" s="1646">
        <f t="shared" si="31"/>
        <v>6509.2592277639351</v>
      </c>
      <c r="H116" s="1646">
        <f t="shared" si="31"/>
        <v>6267.510492481726</v>
      </c>
      <c r="I116" s="1646">
        <f t="shared" si="31"/>
        <v>6589.3033331715751</v>
      </c>
      <c r="J116" s="1646">
        <f t="shared" ref="J116:J142" si="32">SUM(D116:I116)</f>
        <v>35355.558613203153</v>
      </c>
      <c r="K116" s="69"/>
    </row>
    <row r="117" spans="1:11" ht="15.75">
      <c r="A117" s="333"/>
      <c r="B117" s="48"/>
      <c r="C117" s="1994" t="s">
        <v>938</v>
      </c>
      <c r="D117" s="1993">
        <f>$D$8*F801ENE!D118</f>
        <v>0</v>
      </c>
      <c r="E117" s="1993">
        <f>$D$8*F801ENE!E118</f>
        <v>0</v>
      </c>
      <c r="F117" s="1993">
        <f>$D$8*F801ENE!F118</f>
        <v>0</v>
      </c>
      <c r="G117" s="1993">
        <f>$D$8*F801ENE!G118</f>
        <v>0</v>
      </c>
      <c r="H117" s="1993">
        <f>$D$8*F801ENE!H118</f>
        <v>0</v>
      </c>
      <c r="I117" s="1993">
        <f>$D$8*F801ENE!I118</f>
        <v>0</v>
      </c>
      <c r="J117" s="1646">
        <f t="shared" si="32"/>
        <v>0</v>
      </c>
      <c r="K117" s="69"/>
    </row>
    <row r="118" spans="1:11" ht="15.75">
      <c r="A118" s="333"/>
      <c r="B118" s="48"/>
      <c r="C118" s="1994" t="s">
        <v>939</v>
      </c>
      <c r="D118" s="1993">
        <f>$D$8*F801ENE!D119</f>
        <v>5339.0383873142391</v>
      </c>
      <c r="E118" s="1993">
        <f>$D$8*F801ENE!E119</f>
        <v>5236.4983199961598</v>
      </c>
      <c r="F118" s="1993">
        <f>$D$8*F801ENE!F119</f>
        <v>5413.9488524755188</v>
      </c>
      <c r="G118" s="1993">
        <f>$D$8*F801ENE!G119</f>
        <v>6509.2592277639351</v>
      </c>
      <c r="H118" s="1993">
        <f>$D$8*F801ENE!H119</f>
        <v>6267.510492481726</v>
      </c>
      <c r="I118" s="1993">
        <f>$D$8*F801ENE!I119</f>
        <v>6589.3033331715751</v>
      </c>
      <c r="J118" s="1646">
        <f t="shared" si="32"/>
        <v>35355.558613203153</v>
      </c>
      <c r="K118" s="69"/>
    </row>
    <row r="119" spans="1:11">
      <c r="A119" s="333"/>
      <c r="B119" s="48" t="s">
        <v>893</v>
      </c>
      <c r="C119" s="1991" t="s">
        <v>942</v>
      </c>
      <c r="D119" s="1646">
        <f>$D$8*F801ENE!D120</f>
        <v>2818.0444320000051</v>
      </c>
      <c r="E119" s="1646">
        <f>$D$8*F801ENE!E120</f>
        <v>2818.0444320000051</v>
      </c>
      <c r="F119" s="1646">
        <f>$D$8*F801ENE!F120</f>
        <v>2818.0444320000051</v>
      </c>
      <c r="G119" s="1646">
        <f>$D$8*F801ENE!G120</f>
        <v>2818.0444320000051</v>
      </c>
      <c r="H119" s="1646">
        <f>$D$8*F801ENE!H120</f>
        <v>2818.0444320000051</v>
      </c>
      <c r="I119" s="1646">
        <f>$D$8*F801ENE!I120</f>
        <v>2818.0444320000051</v>
      </c>
      <c r="J119" s="1646">
        <f t="shared" si="32"/>
        <v>16908.266592000033</v>
      </c>
    </row>
    <row r="120" spans="1:11">
      <c r="A120" s="333"/>
      <c r="B120" s="48"/>
      <c r="C120" s="1994"/>
      <c r="D120" s="1993"/>
      <c r="E120" s="1993"/>
      <c r="F120" s="1993"/>
      <c r="G120" s="1993"/>
      <c r="H120" s="1993"/>
      <c r="I120" s="1993"/>
      <c r="J120" s="1646">
        <f t="shared" si="32"/>
        <v>0</v>
      </c>
    </row>
    <row r="121" spans="1:11">
      <c r="A121" s="333"/>
      <c r="B121" s="48"/>
      <c r="C121" s="1991" t="s">
        <v>194</v>
      </c>
      <c r="D121" s="1646">
        <f t="shared" ref="D121:I121" si="33">SUM(D122:D126)</f>
        <v>60780.323035707508</v>
      </c>
      <c r="E121" s="1646">
        <f t="shared" si="33"/>
        <v>60394.209480436912</v>
      </c>
      <c r="F121" s="1646">
        <f t="shared" si="33"/>
        <v>58693.301517640204</v>
      </c>
      <c r="G121" s="1646">
        <f t="shared" si="33"/>
        <v>61423.766410118114</v>
      </c>
      <c r="H121" s="1646">
        <f t="shared" si="33"/>
        <v>56826.716978985394</v>
      </c>
      <c r="I121" s="1646">
        <f t="shared" si="33"/>
        <v>60036.680110751149</v>
      </c>
      <c r="J121" s="1646">
        <f t="shared" si="32"/>
        <v>358154.99753363925</v>
      </c>
    </row>
    <row r="122" spans="1:11">
      <c r="A122" s="333"/>
      <c r="B122" s="48" t="s">
        <v>872</v>
      </c>
      <c r="C122" s="1994" t="s">
        <v>940</v>
      </c>
      <c r="D122" s="1993">
        <f>$D$9*F801ENE!D124</f>
        <v>7805.0605253915992</v>
      </c>
      <c r="E122" s="1993">
        <f>$D$9*F801ENE!E124</f>
        <v>7783.5504731169049</v>
      </c>
      <c r="F122" s="1993">
        <f>$D$9*F801ENE!F124</f>
        <v>7417.1900919538793</v>
      </c>
      <c r="G122" s="1993">
        <f>$D$9*F801ENE!G124</f>
        <v>7688.69143938057</v>
      </c>
      <c r="H122" s="1993">
        <f>$D$9*F801ENE!H124</f>
        <v>7101.9344367855574</v>
      </c>
      <c r="I122" s="1993">
        <f>$D$9*F801ENE!I124</f>
        <v>7055.0233458117682</v>
      </c>
      <c r="J122" s="1646">
        <f t="shared" si="32"/>
        <v>44851.450312440276</v>
      </c>
    </row>
    <row r="123" spans="1:11">
      <c r="A123" s="333"/>
      <c r="B123" s="48" t="s">
        <v>872</v>
      </c>
      <c r="C123" s="1994" t="s">
        <v>983</v>
      </c>
      <c r="D123" s="1993">
        <f>$D$9*F801ENE!D125</f>
        <v>377.40531886790563</v>
      </c>
      <c r="E123" s="1993">
        <f>$D$9*F801ENE!E125</f>
        <v>384.63765963280821</v>
      </c>
      <c r="F123" s="1993">
        <f>$D$9*F801ENE!F125</f>
        <v>405.64243549988146</v>
      </c>
      <c r="G123" s="1993">
        <f>$D$9*F801ENE!G125</f>
        <v>437.03479404832984</v>
      </c>
      <c r="H123" s="1993">
        <f>$D$9*F801ENE!H125</f>
        <v>472.14272520764013</v>
      </c>
      <c r="I123" s="1993">
        <f>$D$9*F801ENE!I125</f>
        <v>263.42149508352685</v>
      </c>
      <c r="J123" s="1646">
        <f>SUM(D123:I123)</f>
        <v>2340.2844283400918</v>
      </c>
    </row>
    <row r="124" spans="1:11">
      <c r="A124" s="333"/>
      <c r="B124" s="48" t="s">
        <v>872</v>
      </c>
      <c r="C124" s="1994" t="s">
        <v>1033</v>
      </c>
      <c r="D124" s="1993">
        <f>$D$9*F801ENE!D126</f>
        <v>141.30370183507034</v>
      </c>
      <c r="E124" s="1993">
        <f>$D$9*F801ENE!E126</f>
        <v>138.09482048410976</v>
      </c>
      <c r="F124" s="1993">
        <f>$D$9*F801ENE!F126</f>
        <v>133.33405895075566</v>
      </c>
      <c r="G124" s="1993">
        <f>$D$9*F801ENE!G126</f>
        <v>142.95488790441277</v>
      </c>
      <c r="H124" s="1993">
        <f>$D$9*F801ENE!H126</f>
        <v>137.97071731178016</v>
      </c>
      <c r="I124" s="1993">
        <f>$D$9*F801ENE!I126</f>
        <v>132.23800345230853</v>
      </c>
      <c r="J124" s="1646">
        <f>SUM(D124:I124)</f>
        <v>825.89618993843715</v>
      </c>
    </row>
    <row r="125" spans="1:11">
      <c r="A125" s="333"/>
      <c r="B125" s="48" t="s">
        <v>872</v>
      </c>
      <c r="C125" s="1994" t="s">
        <v>1767</v>
      </c>
      <c r="D125" s="1993">
        <f>$D$9*F801ENE!D127</f>
        <v>3383.4635082134832</v>
      </c>
      <c r="E125" s="1993">
        <f>$D$9*F801ENE!E127</f>
        <v>3510.912300343457</v>
      </c>
      <c r="F125" s="1993">
        <f>$D$9*F801ENE!F127</f>
        <v>3539.2095610126016</v>
      </c>
      <c r="G125" s="1993">
        <f>$D$9*F801ENE!G127</f>
        <v>4052.212828695966</v>
      </c>
      <c r="H125" s="1993">
        <f>$D$9*F801ENE!H127</f>
        <v>3840.5994269891025</v>
      </c>
      <c r="I125" s="1993">
        <f>$D$9*F801ENE!I127</f>
        <v>4039.7237465183089</v>
      </c>
      <c r="J125" s="1646">
        <f>SUM(D125:I125)</f>
        <v>22366.121371772919</v>
      </c>
    </row>
    <row r="126" spans="1:11">
      <c r="A126" s="333"/>
      <c r="B126" s="48" t="s">
        <v>873</v>
      </c>
      <c r="C126" s="2001" t="s">
        <v>193</v>
      </c>
      <c r="D126" s="1646">
        <f t="shared" ref="D126:I126" si="34">SUM(D127:D132)</f>
        <v>49073.089981399455</v>
      </c>
      <c r="E126" s="1646">
        <f t="shared" si="34"/>
        <v>48577.014226859632</v>
      </c>
      <c r="F126" s="1646">
        <f t="shared" si="34"/>
        <v>47197.925370223085</v>
      </c>
      <c r="G126" s="1646">
        <f t="shared" si="34"/>
        <v>49102.872460088838</v>
      </c>
      <c r="H126" s="1646">
        <f t="shared" si="34"/>
        <v>45274.069672691316</v>
      </c>
      <c r="I126" s="1646">
        <f t="shared" si="34"/>
        <v>48546.273519885239</v>
      </c>
      <c r="J126" s="1646">
        <f t="shared" si="32"/>
        <v>287771.24523114756</v>
      </c>
    </row>
    <row r="127" spans="1:11">
      <c r="A127" s="333"/>
      <c r="B127" s="48"/>
      <c r="C127" s="1994" t="s">
        <v>938</v>
      </c>
      <c r="D127" s="1993">
        <f>$D$10*F801ENE!D129</f>
        <v>0</v>
      </c>
      <c r="E127" s="1993">
        <f>$D$10*F801ENE!E129</f>
        <v>0</v>
      </c>
      <c r="F127" s="1993">
        <f>$D$10*F801ENE!F129</f>
        <v>0</v>
      </c>
      <c r="G127" s="1993">
        <f>$D$10*F801ENE!G129</f>
        <v>0</v>
      </c>
      <c r="H127" s="1993">
        <f>$D$10*F801ENE!H129</f>
        <v>0</v>
      </c>
      <c r="I127" s="1993">
        <f>$D$10*F801ENE!I129</f>
        <v>0</v>
      </c>
      <c r="J127" s="1646">
        <f t="shared" si="32"/>
        <v>0</v>
      </c>
    </row>
    <row r="128" spans="1:11">
      <c r="A128" s="333"/>
      <c r="B128" s="48"/>
      <c r="C128" s="1994" t="s">
        <v>939</v>
      </c>
      <c r="D128" s="1993">
        <f>$D$10*F801ENE!D130</f>
        <v>31989.048321913309</v>
      </c>
      <c r="E128" s="1993">
        <f>$D$10*F801ENE!E130</f>
        <v>31909.607626071065</v>
      </c>
      <c r="F128" s="1993">
        <f>$D$10*F801ENE!F130</f>
        <v>29066.515959309294</v>
      </c>
      <c r="G128" s="1993">
        <f>$D$10*F801ENE!G130</f>
        <v>30131.367272719781</v>
      </c>
      <c r="H128" s="1993">
        <f>$D$10*F801ENE!H130</f>
        <v>27520.416855384759</v>
      </c>
      <c r="I128" s="1993">
        <f>$D$10*F801ENE!I130</f>
        <v>29148.575969130932</v>
      </c>
      <c r="J128" s="1646">
        <f t="shared" si="32"/>
        <v>179765.53200452914</v>
      </c>
    </row>
    <row r="129" spans="1:10">
      <c r="A129" s="333"/>
      <c r="B129" s="48"/>
      <c r="C129" s="1994" t="s">
        <v>1034</v>
      </c>
      <c r="D129" s="1993">
        <f>$D$10*F801ENE!D131</f>
        <v>2253.4830402618236</v>
      </c>
      <c r="E129" s="1993">
        <f>$D$10*F801ENE!E131</f>
        <v>1999.3676369909758</v>
      </c>
      <c r="F129" s="1993">
        <f>$D$10*F801ENE!F131</f>
        <v>2220.4623865556155</v>
      </c>
      <c r="G129" s="1993">
        <f>$D$10*F801ENE!G131</f>
        <v>1943.5012342220161</v>
      </c>
      <c r="H129" s="1993">
        <f>$D$10*F801ENE!H131</f>
        <v>1856.8406658896643</v>
      </c>
      <c r="I129" s="1993">
        <f>$D$10*F801ENE!I131</f>
        <v>2080.1891649178046</v>
      </c>
      <c r="J129" s="1646">
        <f>SUM(D129:I129)</f>
        <v>12353.8441288379</v>
      </c>
    </row>
    <row r="130" spans="1:10">
      <c r="A130" s="333"/>
      <c r="B130" s="48"/>
      <c r="C130" s="1994" t="s">
        <v>1035</v>
      </c>
      <c r="D130" s="1993">
        <f>$D$10*F801ENE!D132</f>
        <v>2126.4182022464638</v>
      </c>
      <c r="E130" s="1993">
        <f>$D$10*F801ENE!E132</f>
        <v>2196.6913926135358</v>
      </c>
      <c r="F130" s="1993">
        <f>$D$10*F801ENE!F132</f>
        <v>2107.5341673395524</v>
      </c>
      <c r="G130" s="1993">
        <f>$D$10*F801ENE!G132</f>
        <v>2207.7857265549123</v>
      </c>
      <c r="H130" s="1993">
        <f>$D$10*F801ENE!H132</f>
        <v>1953.6395075628479</v>
      </c>
      <c r="I130" s="1993">
        <f>$D$10*F801ENE!I132</f>
        <v>2208.2952690350485</v>
      </c>
      <c r="J130" s="1646">
        <f>SUM(D130:I130)</f>
        <v>12800.36426535236</v>
      </c>
    </row>
    <row r="131" spans="1:10">
      <c r="A131" s="333"/>
      <c r="B131" s="48"/>
      <c r="C131" s="1994" t="s">
        <v>1161</v>
      </c>
      <c r="D131" s="1993">
        <f>$D$10*F801ENE!D133</f>
        <v>12704.140416977856</v>
      </c>
      <c r="E131" s="1993">
        <f>$D$10*F801ENE!E133</f>
        <v>12471.347571184049</v>
      </c>
      <c r="F131" s="1993">
        <f>$D$10*F801ENE!F133</f>
        <v>13803.412857018622</v>
      </c>
      <c r="G131" s="1993">
        <f>$D$10*F801ENE!G133</f>
        <v>14820.218226592126</v>
      </c>
      <c r="H131" s="1993">
        <f>$D$10*F801ENE!H133</f>
        <v>13943.172643854045</v>
      </c>
      <c r="I131" s="1993">
        <f>$D$10*F801ENE!I133</f>
        <v>15109.213116801451</v>
      </c>
      <c r="J131" s="1646">
        <f>SUM(D131:I131)</f>
        <v>82851.504832428152</v>
      </c>
    </row>
    <row r="132" spans="1:10">
      <c r="A132" s="333"/>
      <c r="B132" s="48"/>
      <c r="C132" s="1994"/>
      <c r="D132" s="1993"/>
      <c r="E132" s="1993"/>
      <c r="F132" s="1993"/>
      <c r="G132" s="1993"/>
      <c r="H132" s="1993"/>
      <c r="I132" s="1993"/>
      <c r="J132" s="1646">
        <f t="shared" si="32"/>
        <v>0</v>
      </c>
    </row>
    <row r="133" spans="1:10">
      <c r="A133" s="333"/>
      <c r="B133" s="48"/>
      <c r="C133" s="1991" t="s">
        <v>308</v>
      </c>
      <c r="D133" s="1646">
        <f t="shared" ref="D133:I133" si="35">SUM(D134:D135)</f>
        <v>9850.5182252171544</v>
      </c>
      <c r="E133" s="1646">
        <f t="shared" si="35"/>
        <v>9670.8245646479045</v>
      </c>
      <c r="F133" s="1646">
        <f t="shared" si="35"/>
        <v>9802.3562245808625</v>
      </c>
      <c r="G133" s="1646">
        <f t="shared" si="35"/>
        <v>10325.469990376801</v>
      </c>
      <c r="H133" s="1646">
        <f t="shared" si="35"/>
        <v>9517.8324247534056</v>
      </c>
      <c r="I133" s="1646">
        <f t="shared" si="35"/>
        <v>10670.245835246364</v>
      </c>
      <c r="J133" s="1646">
        <f t="shared" si="32"/>
        <v>59837.247264822487</v>
      </c>
    </row>
    <row r="134" spans="1:10">
      <c r="A134" s="333"/>
      <c r="B134" s="48" t="s">
        <v>874</v>
      </c>
      <c r="C134" s="1994" t="s">
        <v>940</v>
      </c>
      <c r="D134" s="1993">
        <f>$D$11*(F801ENE!D137)</f>
        <v>318.88668705667192</v>
      </c>
      <c r="E134" s="1993">
        <f>$D$11*(F801ENE!E137)</f>
        <v>316.05297759100796</v>
      </c>
      <c r="F134" s="1993">
        <f>$D$11*(F801ENE!F137)</f>
        <v>302.70268885247998</v>
      </c>
      <c r="G134" s="1993">
        <f>$D$11*(F801ENE!G137)</f>
        <v>313.90801767359994</v>
      </c>
      <c r="H134" s="1993">
        <f>$D$11*(F801ENE!H137)</f>
        <v>303.994332942048</v>
      </c>
      <c r="I134" s="1993">
        <f>$D$11*(F801ENE!I137)</f>
        <v>314.96228930880034</v>
      </c>
      <c r="J134" s="1646">
        <f t="shared" si="32"/>
        <v>1870.506993424608</v>
      </c>
    </row>
    <row r="135" spans="1:10">
      <c r="A135" s="333"/>
      <c r="B135" s="48" t="s">
        <v>875</v>
      </c>
      <c r="C135" s="2001" t="s">
        <v>193</v>
      </c>
      <c r="D135" s="1646">
        <f t="shared" ref="D135:I135" si="36">SUM(D136:D141)</f>
        <v>9531.6315381604818</v>
      </c>
      <c r="E135" s="1646">
        <f t="shared" si="36"/>
        <v>9354.7715870568973</v>
      </c>
      <c r="F135" s="1646">
        <f t="shared" si="36"/>
        <v>9499.6535357283828</v>
      </c>
      <c r="G135" s="1646">
        <f t="shared" si="36"/>
        <v>10011.561972703201</v>
      </c>
      <c r="H135" s="1646">
        <f t="shared" si="36"/>
        <v>9213.838091811358</v>
      </c>
      <c r="I135" s="1646">
        <f t="shared" si="36"/>
        <v>10355.283545937564</v>
      </c>
      <c r="J135" s="1646">
        <f t="shared" si="32"/>
        <v>57966.740271397881</v>
      </c>
    </row>
    <row r="136" spans="1:10">
      <c r="A136" s="333"/>
      <c r="C136" s="1994" t="s">
        <v>938</v>
      </c>
      <c r="D136" s="1993">
        <f>$D$12*(F801ENE!D140)</f>
        <v>98.259942926880015</v>
      </c>
      <c r="E136" s="1993">
        <f>$D$12*(F801ENE!E140)</f>
        <v>95.680337102783994</v>
      </c>
      <c r="F136" s="1993">
        <f>$D$12*(F801ENE!F140)</f>
        <v>97.664856541055968</v>
      </c>
      <c r="G136" s="1993">
        <f>$D$12*(F801ENE!G140)</f>
        <v>102.229592215968</v>
      </c>
      <c r="H136" s="1993">
        <f>$D$12*(F801ENE!H140)</f>
        <v>94.234663474559994</v>
      </c>
      <c r="I136" s="1993">
        <f>$D$12*(F801ENE!I140)</f>
        <v>99.768518464607979</v>
      </c>
      <c r="J136" s="1646">
        <f t="shared" si="32"/>
        <v>587.83791072585598</v>
      </c>
    </row>
    <row r="137" spans="1:10">
      <c r="A137" s="333"/>
      <c r="C137" s="1994" t="s">
        <v>939</v>
      </c>
      <c r="D137" s="1993">
        <f>$D$12*(F801ENE!D141)</f>
        <v>6325.1731224138266</v>
      </c>
      <c r="E137" s="1993">
        <f>$D$12*(F801ENE!E141)</f>
        <v>6173.9232159810254</v>
      </c>
      <c r="F137" s="1993">
        <f>$D$12*(F801ENE!F141)</f>
        <v>6013.6310502011511</v>
      </c>
      <c r="G137" s="1993">
        <f>$D$12*(F801ENE!G141)</f>
        <v>6240.6551306090878</v>
      </c>
      <c r="H137" s="1993">
        <f>$D$12*(F801ENE!H141)</f>
        <v>5716.2061439098543</v>
      </c>
      <c r="I137" s="1993">
        <f>$D$12*(F801ENE!I141)</f>
        <v>6168.50615051976</v>
      </c>
      <c r="J137" s="1646">
        <f t="shared" si="32"/>
        <v>36638.094813634707</v>
      </c>
    </row>
    <row r="138" spans="1:10">
      <c r="A138" s="333"/>
      <c r="C138" s="1994" t="s">
        <v>1034</v>
      </c>
      <c r="D138" s="1993">
        <f>$D$12*(F801ENE!D142)</f>
        <v>124.26161539276801</v>
      </c>
      <c r="E138" s="1993">
        <f>$D$12*(F801ENE!E142)</f>
        <v>121.30035142377601</v>
      </c>
      <c r="F138" s="1993">
        <f>$D$12*(F801ENE!F142)</f>
        <v>119.21886579254397</v>
      </c>
      <c r="G138" s="1993">
        <f>$D$12*(F801ENE!G142)</f>
        <v>121.21799261443203</v>
      </c>
      <c r="H138" s="1993">
        <f>$D$12*(F801ENE!H142)</f>
        <v>104.747190031008</v>
      </c>
      <c r="I138" s="1993">
        <f>$D$12*(F801ENE!I142)</f>
        <v>117.33857333319722</v>
      </c>
      <c r="J138" s="1646">
        <f>SUM(D138:I138)</f>
        <v>708.08458858772519</v>
      </c>
    </row>
    <row r="139" spans="1:10">
      <c r="A139" s="333"/>
      <c r="C139" s="1994" t="s">
        <v>1035</v>
      </c>
      <c r="D139" s="1993">
        <f>$D$12*(F801ENE!D143)</f>
        <v>1281.2948918038078</v>
      </c>
      <c r="E139" s="1993">
        <f>$D$12*(F801ENE!E143)</f>
        <v>1233.269396856</v>
      </c>
      <c r="F139" s="1993">
        <f>$D$12*(F801ENE!F143)</f>
        <v>1215.9863769513599</v>
      </c>
      <c r="G139" s="1993">
        <f>$D$12*(F801ENE!G143)</f>
        <v>1269.5379634344959</v>
      </c>
      <c r="H139" s="1993">
        <f>$D$12*(F801ENE!H143)</f>
        <v>1122.7870827774718</v>
      </c>
      <c r="I139" s="1993">
        <f>$D$12*(F801ENE!I143)</f>
        <v>1139.7557493068946</v>
      </c>
      <c r="J139" s="1646">
        <f>SUM(D139:I139)</f>
        <v>7262.6314611300295</v>
      </c>
    </row>
    <row r="140" spans="1:10">
      <c r="A140" s="333"/>
      <c r="C140" s="1994" t="s">
        <v>1161</v>
      </c>
      <c r="D140" s="1993">
        <f>$D$12*(F801ENE!D144)</f>
        <v>1702.6419656231999</v>
      </c>
      <c r="E140" s="1993">
        <f>$D$12*(F801ENE!E144)</f>
        <v>1730.5982856933115</v>
      </c>
      <c r="F140" s="1993">
        <f>$D$12*(F801ENE!F144)</f>
        <v>2053.1523862422719</v>
      </c>
      <c r="G140" s="1993">
        <f>$D$12*(F801ENE!G144)</f>
        <v>2277.9212938292162</v>
      </c>
      <c r="H140" s="1993">
        <f>$D$12*(F801ENE!H144)</f>
        <v>2175.8630116184636</v>
      </c>
      <c r="I140" s="1993">
        <f>$D$12*(F801ENE!I144)</f>
        <v>2829.9145543131053</v>
      </c>
      <c r="J140" s="1646">
        <f>SUM(D140:I140)</f>
        <v>12770.091497319569</v>
      </c>
    </row>
    <row r="141" spans="1:10">
      <c r="A141" s="333"/>
      <c r="C141" s="1994"/>
      <c r="D141" s="1993"/>
      <c r="E141" s="1993"/>
      <c r="F141" s="1993"/>
      <c r="G141" s="1993"/>
      <c r="H141" s="1993"/>
      <c r="I141" s="1993"/>
      <c r="J141" s="1646">
        <f t="shared" si="32"/>
        <v>0</v>
      </c>
    </row>
    <row r="142" spans="1:10">
      <c r="A142" s="333"/>
      <c r="C142" s="153" t="s">
        <v>112</v>
      </c>
      <c r="D142" s="154">
        <f t="shared" ref="D142:I142" si="37">D114+D121+D133</f>
        <v>89971.373707694744</v>
      </c>
      <c r="E142" s="154">
        <f t="shared" si="37"/>
        <v>88242.576946125148</v>
      </c>
      <c r="F142" s="154">
        <f t="shared" si="37"/>
        <v>86959.692151935727</v>
      </c>
      <c r="G142" s="154">
        <f t="shared" si="37"/>
        <v>92808.950065102661</v>
      </c>
      <c r="H142" s="154">
        <f t="shared" si="37"/>
        <v>83581.138627437002</v>
      </c>
      <c r="I142" s="154">
        <f t="shared" si="37"/>
        <v>90624.785147917602</v>
      </c>
      <c r="J142" s="154">
        <f t="shared" si="32"/>
        <v>532188.5166462129</v>
      </c>
    </row>
    <row r="144" spans="1:10">
      <c r="C144" s="179" t="s">
        <v>111</v>
      </c>
      <c r="D144" s="180">
        <f t="shared" ref="D144:J144" si="38">D110+D142</f>
        <v>395334.25526548206</v>
      </c>
      <c r="E144" s="180">
        <f t="shared" si="38"/>
        <v>393732.89954331703</v>
      </c>
      <c r="F144" s="180">
        <f t="shared" si="38"/>
        <v>386680.12578225398</v>
      </c>
      <c r="G144" s="180">
        <f t="shared" si="38"/>
        <v>397252.09569791035</v>
      </c>
      <c r="H144" s="180">
        <f t="shared" si="38"/>
        <v>374832.8327194298</v>
      </c>
      <c r="I144" s="180">
        <f t="shared" si="38"/>
        <v>383241.24682176765</v>
      </c>
      <c r="J144" s="180">
        <f t="shared" si="38"/>
        <v>2331073.455830161</v>
      </c>
    </row>
    <row r="146" spans="2:10">
      <c r="C146" s="52" t="str">
        <f>'PORTADA PORTADA PORTADA'!$B$23</f>
        <v>1 DE JULIO DE 2026</v>
      </c>
    </row>
    <row r="148" spans="2:10">
      <c r="B148" s="48" t="s">
        <v>902</v>
      </c>
      <c r="D148" s="64">
        <f t="shared" ref="D148:J157" si="39">SUMIF($B$19:$B$144,$B148,D$19:D$144)</f>
        <v>17205.362845425261</v>
      </c>
      <c r="E148" s="64">
        <f t="shared" si="39"/>
        <v>17212.54338195009</v>
      </c>
      <c r="F148" s="64">
        <f t="shared" si="39"/>
        <v>16887.444821357389</v>
      </c>
      <c r="G148" s="64">
        <f t="shared" si="39"/>
        <v>17153.541254567459</v>
      </c>
      <c r="H148" s="64">
        <f t="shared" si="39"/>
        <v>16410.282253801797</v>
      </c>
      <c r="I148" s="64">
        <f t="shared" si="39"/>
        <v>16487.178703448</v>
      </c>
      <c r="J148" s="64">
        <f t="shared" si="39"/>
        <v>101356.35326054999</v>
      </c>
    </row>
    <row r="149" spans="2:10">
      <c r="B149" s="48" t="s">
        <v>751</v>
      </c>
      <c r="D149" s="64">
        <f t="shared" si="39"/>
        <v>92199.872155666526</v>
      </c>
      <c r="E149" s="64">
        <f t="shared" si="39"/>
        <v>92238.351600311973</v>
      </c>
      <c r="F149" s="64">
        <f t="shared" si="39"/>
        <v>90496.195979574652</v>
      </c>
      <c r="G149" s="64">
        <f t="shared" si="39"/>
        <v>91922.167832325693</v>
      </c>
      <c r="H149" s="64">
        <f t="shared" si="39"/>
        <v>87939.151594152339</v>
      </c>
      <c r="I149" s="64">
        <f t="shared" si="39"/>
        <v>88351.228417013815</v>
      </c>
      <c r="J149" s="64">
        <f t="shared" si="39"/>
        <v>543146.96757904498</v>
      </c>
    </row>
    <row r="150" spans="2:10">
      <c r="B150" s="48" t="s">
        <v>750</v>
      </c>
      <c r="D150" s="64">
        <f t="shared" si="39"/>
        <v>34687.585017916797</v>
      </c>
      <c r="E150" s="64">
        <f t="shared" si="39"/>
        <v>34702.061636248945</v>
      </c>
      <c r="F150" s="64">
        <f t="shared" si="39"/>
        <v>34046.633206109203</v>
      </c>
      <c r="G150" s="64">
        <f t="shared" si="39"/>
        <v>34583.107951388571</v>
      </c>
      <c r="H150" s="64">
        <f t="shared" si="39"/>
        <v>33084.629830873615</v>
      </c>
      <c r="I150" s="64">
        <f t="shared" si="39"/>
        <v>33239.660105947863</v>
      </c>
      <c r="J150" s="64">
        <f t="shared" si="39"/>
        <v>204343.677748485</v>
      </c>
    </row>
    <row r="151" spans="2:10">
      <c r="B151" s="48" t="s">
        <v>749</v>
      </c>
      <c r="D151" s="64">
        <f t="shared" si="39"/>
        <v>34311.633209566782</v>
      </c>
      <c r="E151" s="64">
        <f t="shared" si="39"/>
        <v>34325.952927070066</v>
      </c>
      <c r="F151" s="64">
        <f t="shared" si="39"/>
        <v>33677.628176919221</v>
      </c>
      <c r="G151" s="64">
        <f t="shared" si="39"/>
        <v>34208.288488864076</v>
      </c>
      <c r="H151" s="64">
        <f t="shared" si="39"/>
        <v>32726.051209528738</v>
      </c>
      <c r="I151" s="64">
        <f t="shared" si="39"/>
        <v>32879.401231791133</v>
      </c>
      <c r="J151" s="64">
        <f t="shared" si="39"/>
        <v>202128.95524374</v>
      </c>
    </row>
    <row r="152" spans="2:10">
      <c r="B152" s="48" t="s">
        <v>1176</v>
      </c>
      <c r="D152" s="64">
        <f t="shared" si="39"/>
        <v>1.1499999999999999</v>
      </c>
      <c r="E152" s="64">
        <f t="shared" si="39"/>
        <v>1.1499999999999999</v>
      </c>
      <c r="F152" s="64">
        <f t="shared" si="39"/>
        <v>1.1499999999999999</v>
      </c>
      <c r="G152" s="64">
        <f t="shared" si="39"/>
        <v>1.1499999999999999</v>
      </c>
      <c r="H152" s="64">
        <f t="shared" si="39"/>
        <v>1.1499999999999999</v>
      </c>
      <c r="I152" s="64">
        <f t="shared" si="39"/>
        <v>1.1499999999999999</v>
      </c>
      <c r="J152" s="64">
        <f t="shared" si="39"/>
        <v>6.9</v>
      </c>
    </row>
    <row r="153" spans="2:10">
      <c r="B153" s="48" t="s">
        <v>274</v>
      </c>
      <c r="D153" s="64">
        <f t="shared" si="39"/>
        <v>67961.105196517368</v>
      </c>
      <c r="E153" s="64">
        <f t="shared" si="39"/>
        <v>67989.468283219816</v>
      </c>
      <c r="F153" s="64">
        <f t="shared" si="39"/>
        <v>66705.330443514104</v>
      </c>
      <c r="G153" s="64">
        <f t="shared" si="39"/>
        <v>67756.410147689952</v>
      </c>
      <c r="H153" s="64">
        <f t="shared" si="39"/>
        <v>64820.540466061902</v>
      </c>
      <c r="I153" s="64">
        <f t="shared" si="39"/>
        <v>65124.281093364851</v>
      </c>
      <c r="J153" s="64">
        <f t="shared" si="39"/>
        <v>400357.13563036796</v>
      </c>
    </row>
    <row r="154" spans="2:10">
      <c r="B154" s="48" t="s">
        <v>275</v>
      </c>
      <c r="D154" s="64">
        <f t="shared" si="39"/>
        <v>3286.537236238793</v>
      </c>
      <c r="E154" s="64">
        <f t="shared" si="39"/>
        <v>3287.9088493153113</v>
      </c>
      <c r="F154" s="64">
        <f t="shared" si="39"/>
        <v>3225.8091113188152</v>
      </c>
      <c r="G154" s="64">
        <f t="shared" si="39"/>
        <v>3276.638369848969</v>
      </c>
      <c r="H154" s="64">
        <f t="shared" si="39"/>
        <v>3134.6623822379033</v>
      </c>
      <c r="I154" s="64">
        <f t="shared" si="39"/>
        <v>3149.3510027202087</v>
      </c>
      <c r="J154" s="64">
        <f t="shared" si="39"/>
        <v>19360.906951680001</v>
      </c>
    </row>
    <row r="155" spans="2:10">
      <c r="B155" s="48" t="s">
        <v>276</v>
      </c>
      <c r="D155" s="64">
        <f t="shared" si="39"/>
        <v>29384.468857734297</v>
      </c>
      <c r="E155" s="64">
        <f t="shared" si="39"/>
        <v>29396.732258035197</v>
      </c>
      <c r="F155" s="64">
        <f t="shared" si="39"/>
        <v>28841.507203193039</v>
      </c>
      <c r="G155" s="64">
        <f t="shared" si="39"/>
        <v>29295.964480558418</v>
      </c>
      <c r="H155" s="64">
        <f t="shared" si="39"/>
        <v>28026.577071676405</v>
      </c>
      <c r="I155" s="64">
        <f t="shared" si="39"/>
        <v>28157.905968962634</v>
      </c>
      <c r="J155" s="64">
        <f t="shared" si="39"/>
        <v>173103.15584016001</v>
      </c>
    </row>
    <row r="156" spans="2:10">
      <c r="B156" s="48" t="s">
        <v>277</v>
      </c>
      <c r="D156" s="64">
        <f t="shared" si="39"/>
        <v>4905.3574450252081</v>
      </c>
      <c r="E156" s="64">
        <f t="shared" si="39"/>
        <v>4907.4046612692246</v>
      </c>
      <c r="F156" s="64">
        <f t="shared" si="39"/>
        <v>4814.7170115580529</v>
      </c>
      <c r="G156" s="64">
        <f t="shared" si="39"/>
        <v>4890.5827826823579</v>
      </c>
      <c r="H156" s="64">
        <f t="shared" si="39"/>
        <v>4678.6749545392704</v>
      </c>
      <c r="I156" s="64">
        <f t="shared" si="39"/>
        <v>4700.5986172458852</v>
      </c>
      <c r="J156" s="64">
        <f t="shared" si="39"/>
        <v>28897.335472320003</v>
      </c>
    </row>
    <row r="157" spans="2:10">
      <c r="B157" s="48" t="s">
        <v>278</v>
      </c>
      <c r="D157" s="64">
        <f t="shared" si="39"/>
        <v>0.55999999999999994</v>
      </c>
      <c r="E157" s="64">
        <f t="shared" si="39"/>
        <v>0.55999999999999994</v>
      </c>
      <c r="F157" s="64">
        <f t="shared" si="39"/>
        <v>0.55999999999999994</v>
      </c>
      <c r="G157" s="64">
        <f t="shared" si="39"/>
        <v>0.55999999999999994</v>
      </c>
      <c r="H157" s="64">
        <f t="shared" si="39"/>
        <v>0.55999999999999994</v>
      </c>
      <c r="I157" s="64">
        <f t="shared" si="39"/>
        <v>0.55999999999999994</v>
      </c>
      <c r="J157" s="64">
        <f t="shared" si="39"/>
        <v>3.36</v>
      </c>
    </row>
    <row r="158" spans="2:10">
      <c r="B158" s="48" t="s">
        <v>279</v>
      </c>
      <c r="D158" s="64">
        <f t="shared" ref="D158:J165" si="40">SUMIF($B$19:$B$144,$B158,D$19:D$144)</f>
        <v>21419.249593696273</v>
      </c>
      <c r="E158" s="64">
        <f t="shared" si="40"/>
        <v>21428.188999771242</v>
      </c>
      <c r="F158" s="64">
        <f t="shared" si="40"/>
        <v>21023.457676773778</v>
      </c>
      <c r="G158" s="64">
        <f t="shared" si="40"/>
        <v>21354.734324882182</v>
      </c>
      <c r="H158" s="64">
        <f t="shared" si="40"/>
        <v>20429.414329120831</v>
      </c>
      <c r="I158" s="64">
        <f t="shared" si="40"/>
        <v>20525.146533355677</v>
      </c>
      <c r="J158" s="64">
        <f t="shared" si="40"/>
        <v>126180.19145759998</v>
      </c>
    </row>
    <row r="159" spans="2:10">
      <c r="B159" s="48" t="s">
        <v>875</v>
      </c>
      <c r="D159" s="64">
        <f t="shared" si="40"/>
        <v>9531.6315381604818</v>
      </c>
      <c r="E159" s="64">
        <f t="shared" si="40"/>
        <v>9354.7715870568973</v>
      </c>
      <c r="F159" s="64">
        <f t="shared" si="40"/>
        <v>9499.6535357283828</v>
      </c>
      <c r="G159" s="64">
        <f t="shared" si="40"/>
        <v>10011.561972703201</v>
      </c>
      <c r="H159" s="64">
        <f t="shared" si="40"/>
        <v>9213.838091811358</v>
      </c>
      <c r="I159" s="64">
        <f t="shared" si="40"/>
        <v>10355.283545937564</v>
      </c>
      <c r="J159" s="64">
        <f t="shared" si="40"/>
        <v>57966.740271397881</v>
      </c>
    </row>
    <row r="160" spans="2:10">
      <c r="B160" s="48" t="s">
        <v>874</v>
      </c>
      <c r="D160" s="64">
        <f t="shared" si="40"/>
        <v>318.88668705667192</v>
      </c>
      <c r="E160" s="64">
        <f t="shared" si="40"/>
        <v>316.05297759100796</v>
      </c>
      <c r="F160" s="64">
        <f t="shared" si="40"/>
        <v>302.70268885247998</v>
      </c>
      <c r="G160" s="64">
        <f t="shared" si="40"/>
        <v>313.90801767359994</v>
      </c>
      <c r="H160" s="64">
        <f t="shared" si="40"/>
        <v>303.994332942048</v>
      </c>
      <c r="I160" s="64">
        <f t="shared" si="40"/>
        <v>314.96228930880034</v>
      </c>
      <c r="J160" s="64">
        <f t="shared" si="40"/>
        <v>1870.506993424608</v>
      </c>
    </row>
    <row r="161" spans="2:10">
      <c r="B161" s="48" t="s">
        <v>873</v>
      </c>
      <c r="D161" s="64">
        <f t="shared" si="40"/>
        <v>49073.089981399455</v>
      </c>
      <c r="E161" s="64">
        <f t="shared" si="40"/>
        <v>48577.014226859632</v>
      </c>
      <c r="F161" s="64">
        <f t="shared" si="40"/>
        <v>47197.925370223085</v>
      </c>
      <c r="G161" s="64">
        <f t="shared" si="40"/>
        <v>49102.872460088838</v>
      </c>
      <c r="H161" s="64">
        <f t="shared" si="40"/>
        <v>45274.069672691316</v>
      </c>
      <c r="I161" s="64">
        <f t="shared" si="40"/>
        <v>48546.273519885239</v>
      </c>
      <c r="J161" s="64">
        <f t="shared" si="40"/>
        <v>287771.24523114756</v>
      </c>
    </row>
    <row r="162" spans="2:10">
      <c r="B162" s="48" t="s">
        <v>872</v>
      </c>
      <c r="D162" s="64">
        <f t="shared" si="40"/>
        <v>11707.233054308057</v>
      </c>
      <c r="E162" s="64">
        <f t="shared" si="40"/>
        <v>11817.19525357728</v>
      </c>
      <c r="F162" s="64">
        <f t="shared" si="40"/>
        <v>11495.376147417119</v>
      </c>
      <c r="G162" s="64">
        <f t="shared" si="40"/>
        <v>12320.89395002928</v>
      </c>
      <c r="H162" s="64">
        <f t="shared" si="40"/>
        <v>11552.64730629408</v>
      </c>
      <c r="I162" s="64">
        <f t="shared" si="40"/>
        <v>11490.406590865912</v>
      </c>
      <c r="J162" s="64">
        <f t="shared" si="40"/>
        <v>70383.752302491717</v>
      </c>
    </row>
    <row r="163" spans="2:10">
      <c r="B163" s="48" t="s">
        <v>871</v>
      </c>
      <c r="D163" s="64">
        <f t="shared" si="40"/>
        <v>5339.0383873142391</v>
      </c>
      <c r="E163" s="64">
        <f t="shared" si="40"/>
        <v>5236.4983199961598</v>
      </c>
      <c r="F163" s="64">
        <f t="shared" si="40"/>
        <v>5413.9488524755188</v>
      </c>
      <c r="G163" s="64">
        <f t="shared" si="40"/>
        <v>6509.2592277639351</v>
      </c>
      <c r="H163" s="64">
        <f t="shared" si="40"/>
        <v>6267.510492481726</v>
      </c>
      <c r="I163" s="64">
        <f t="shared" si="40"/>
        <v>6589.3033331715751</v>
      </c>
      <c r="J163" s="64">
        <f t="shared" si="40"/>
        <v>35355.558613203153</v>
      </c>
    </row>
    <row r="164" spans="2:10">
      <c r="B164" s="48" t="s">
        <v>870</v>
      </c>
      <c r="D164" s="64">
        <f t="shared" si="40"/>
        <v>11183.449627455841</v>
      </c>
      <c r="E164" s="64">
        <f t="shared" si="40"/>
        <v>10123.000149044157</v>
      </c>
      <c r="F164" s="64">
        <f t="shared" si="40"/>
        <v>10232.041125239133</v>
      </c>
      <c r="G164" s="64">
        <f t="shared" si="40"/>
        <v>11732.410004843805</v>
      </c>
      <c r="H164" s="64">
        <f t="shared" si="40"/>
        <v>8151.0342992164788</v>
      </c>
      <c r="I164" s="64">
        <f t="shared" si="40"/>
        <v>10510.511436748511</v>
      </c>
      <c r="J164" s="64">
        <f t="shared" si="40"/>
        <v>61932.446642547933</v>
      </c>
    </row>
    <row r="165" spans="2:10">
      <c r="B165" s="48" t="s">
        <v>890</v>
      </c>
      <c r="D165" s="64">
        <f t="shared" si="40"/>
        <v>2818.0444320000051</v>
      </c>
      <c r="E165" s="64">
        <f t="shared" si="40"/>
        <v>2818.0444320000051</v>
      </c>
      <c r="F165" s="64">
        <f t="shared" si="40"/>
        <v>2818.0444320000051</v>
      </c>
      <c r="G165" s="64">
        <f t="shared" si="40"/>
        <v>2818.0444320000051</v>
      </c>
      <c r="H165" s="64">
        <f t="shared" si="40"/>
        <v>2818.0444320000051</v>
      </c>
      <c r="I165" s="64">
        <f t="shared" si="40"/>
        <v>2818.0444320000051</v>
      </c>
      <c r="J165" s="64">
        <f t="shared" si="40"/>
        <v>16908.266592000033</v>
      </c>
    </row>
    <row r="166" spans="2:10">
      <c r="B166" s="48" t="s">
        <v>111</v>
      </c>
      <c r="D166" s="65">
        <f>SUM(D148:D165)</f>
        <v>395334.25526548218</v>
      </c>
      <c r="E166" s="65">
        <f t="shared" ref="E166:J166" si="41">SUM(E148:E165)</f>
        <v>393732.89954331698</v>
      </c>
      <c r="F166" s="65">
        <f t="shared" si="41"/>
        <v>386680.12578225398</v>
      </c>
      <c r="G166" s="65">
        <f t="shared" si="41"/>
        <v>397252.09569791029</v>
      </c>
      <c r="H166" s="65">
        <f t="shared" si="41"/>
        <v>374832.8327194298</v>
      </c>
      <c r="I166" s="65">
        <f t="shared" si="41"/>
        <v>383241.24682176771</v>
      </c>
      <c r="J166" s="65">
        <f t="shared" si="41"/>
        <v>2331073.4558301605</v>
      </c>
    </row>
    <row r="167" spans="2:10">
      <c r="B167" s="48"/>
      <c r="D167" s="66">
        <f>D166-D144</f>
        <v>0</v>
      </c>
      <c r="E167" s="66">
        <f t="shared" ref="E167:J167" si="42">E166-E144</f>
        <v>0</v>
      </c>
      <c r="F167" s="66">
        <f t="shared" si="42"/>
        <v>0</v>
      </c>
      <c r="G167" s="66">
        <f t="shared" si="42"/>
        <v>0</v>
      </c>
      <c r="H167" s="66">
        <f t="shared" si="42"/>
        <v>0</v>
      </c>
      <c r="I167" s="66">
        <f t="shared" si="42"/>
        <v>0</v>
      </c>
      <c r="J167" s="66">
        <f t="shared" si="42"/>
        <v>0</v>
      </c>
    </row>
  </sheetData>
  <printOptions horizontalCentered="1" verticalCentered="1"/>
  <pageMargins left="0.51181102362204722" right="0.31496062992125984" top="0.78740157480314965" bottom="0.82677165354330717" header="0.31496062992125984" footer="0.23622047244094491"/>
  <pageSetup scale="31" orientation="portrait" horizontalDpi="300" r:id="rId1"/>
  <headerFooter alignWithMargins="0">
    <oddHeader>&amp;L
NOMBRE DE LA DISTRIBUIDORA: &amp;UELEKTRA NORESTE, S.A.&amp;R&amp;9&amp;A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Hoja75"/>
  <dimension ref="A1:K167"/>
  <sheetViews>
    <sheetView view="pageBreakPreview" topLeftCell="A18" zoomScale="85" zoomScaleNormal="85" zoomScaleSheetLayoutView="85" workbookViewId="0"/>
  </sheetViews>
  <sheetFormatPr baseColWidth="10" defaultColWidth="8" defaultRowHeight="15"/>
  <cols>
    <col min="1" max="1" width="2.375" style="63" customWidth="1"/>
    <col min="2" max="2" width="5.625" style="63" bestFit="1" customWidth="1"/>
    <col min="3" max="3" width="29.5" style="63" customWidth="1"/>
    <col min="4" max="9" width="10.625" style="63" customWidth="1"/>
    <col min="10" max="10" width="11.25" style="63" customWidth="1"/>
    <col min="11" max="16384" width="8" style="63"/>
  </cols>
  <sheetData>
    <row r="1" spans="3:10" s="69" customFormat="1" ht="15.75">
      <c r="C1" s="136" t="s">
        <v>151</v>
      </c>
    </row>
    <row r="2" spans="3:10" s="69" customFormat="1" ht="15.75">
      <c r="D2" s="137" t="s">
        <v>242</v>
      </c>
    </row>
    <row r="3" spans="3:10" s="69" customFormat="1" ht="15.75">
      <c r="D3" s="137"/>
    </row>
    <row r="4" spans="3:10" ht="15.75">
      <c r="C4" s="219" t="s">
        <v>1529</v>
      </c>
      <c r="D4" s="219"/>
      <c r="E4" s="219"/>
      <c r="F4" s="219"/>
      <c r="G4" s="219"/>
      <c r="H4" s="219"/>
      <c r="I4" s="219"/>
      <c r="J4" s="219"/>
    </row>
    <row r="5" spans="3:10">
      <c r="C5" s="139"/>
    </row>
    <row r="6" spans="3:10" s="143" customFormat="1" ht="30">
      <c r="C6" s="220" t="s">
        <v>243</v>
      </c>
      <c r="D6" s="489" t="s">
        <v>1471</v>
      </c>
      <c r="E6" s="63"/>
      <c r="F6" s="69"/>
    </row>
    <row r="7" spans="3:10" s="143" customFormat="1" ht="15.75">
      <c r="C7" s="2002" t="s">
        <v>266</v>
      </c>
      <c r="D7" s="2003">
        <f>RAT1000VAD!$N$66</f>
        <v>2.33E-3</v>
      </c>
      <c r="E7" s="69"/>
      <c r="F7" s="69"/>
    </row>
    <row r="8" spans="3:10" s="143" customFormat="1" ht="15.75">
      <c r="C8" s="2004" t="s">
        <v>265</v>
      </c>
      <c r="D8" s="2003">
        <f>RAT1000VAD!$N$65</f>
        <v>2.33E-3</v>
      </c>
      <c r="E8" s="69"/>
      <c r="F8" s="69"/>
    </row>
    <row r="9" spans="3:10" s="143" customFormat="1" ht="15.75">
      <c r="C9" s="2004" t="s">
        <v>264</v>
      </c>
      <c r="D9" s="2003">
        <f>RAT1000VAD!$N$64</f>
        <v>2.33E-3</v>
      </c>
      <c r="E9" s="69"/>
      <c r="F9" s="69"/>
    </row>
    <row r="10" spans="3:10" s="143" customFormat="1" ht="15.75">
      <c r="C10" s="2004" t="s">
        <v>262</v>
      </c>
      <c r="D10" s="2003">
        <f>RAT1000VAD!$N$63</f>
        <v>2.33E-3</v>
      </c>
      <c r="E10" s="69"/>
      <c r="F10" s="69"/>
    </row>
    <row r="11" spans="3:10" s="143" customFormat="1" ht="15.75">
      <c r="C11" s="2004" t="s">
        <v>263</v>
      </c>
      <c r="D11" s="2003">
        <f>RAT1000VAD!$N$62</f>
        <v>2.33E-3</v>
      </c>
      <c r="E11" s="69"/>
      <c r="F11" s="69"/>
    </row>
    <row r="12" spans="3:10" s="143" customFormat="1" ht="15.75">
      <c r="C12" s="2004" t="s">
        <v>261</v>
      </c>
      <c r="D12" s="2003">
        <f>RAT1000VAD!$N$61</f>
        <v>2.33E-3</v>
      </c>
      <c r="E12" s="69"/>
      <c r="F12" s="69"/>
    </row>
    <row r="13" spans="3:10" s="143" customFormat="1" ht="15.75">
      <c r="C13" s="2005" t="s">
        <v>1768</v>
      </c>
      <c r="D13" s="2006">
        <f>RAT1000VAD!$N$58</f>
        <v>2.47E-3</v>
      </c>
      <c r="E13" s="69"/>
      <c r="F13" s="69"/>
    </row>
    <row r="14" spans="3:10" s="143" customFormat="1" ht="15.75">
      <c r="C14" s="2005" t="s">
        <v>267</v>
      </c>
      <c r="D14" s="2006">
        <f>RAT1000VAD!$N$59</f>
        <v>2.5300000000000001E-3</v>
      </c>
      <c r="E14" s="69"/>
      <c r="F14" s="69"/>
    </row>
    <row r="15" spans="3:10" s="143" customFormat="1" ht="15.75">
      <c r="C15" s="2005" t="s">
        <v>1178</v>
      </c>
      <c r="D15" s="2006">
        <f>RAT1000VAD!$N$60</f>
        <v>2.47E-3</v>
      </c>
      <c r="E15" s="69"/>
      <c r="F15" s="69"/>
    </row>
    <row r="16" spans="3:10" s="143" customFormat="1" ht="13.5">
      <c r="C16" s="147"/>
      <c r="I16" s="148"/>
      <c r="J16" s="148"/>
    </row>
    <row r="17" spans="2:11" s="143" customFormat="1" ht="36" customHeight="1">
      <c r="C17" s="138" t="s">
        <v>1472</v>
      </c>
      <c r="D17" s="138"/>
      <c r="E17" s="138"/>
      <c r="F17" s="138"/>
      <c r="G17" s="138"/>
      <c r="H17" s="138"/>
      <c r="I17" s="138"/>
      <c r="J17" s="138"/>
    </row>
    <row r="18" spans="2:11" s="37" customFormat="1" ht="15.75">
      <c r="C18" s="490" t="s">
        <v>310</v>
      </c>
      <c r="D18" s="491">
        <f>F801C!D4</f>
        <v>46204</v>
      </c>
      <c r="E18" s="491">
        <f>F801C!E4</f>
        <v>46235</v>
      </c>
      <c r="F18" s="491">
        <f>F801C!F4</f>
        <v>46266</v>
      </c>
      <c r="G18" s="491">
        <f>F801C!G4</f>
        <v>46296</v>
      </c>
      <c r="H18" s="491">
        <f>F801C!H4</f>
        <v>46327</v>
      </c>
      <c r="I18" s="491">
        <f>F801C!I4</f>
        <v>46357</v>
      </c>
      <c r="J18" s="491" t="s">
        <v>111</v>
      </c>
      <c r="K18" s="69"/>
    </row>
    <row r="19" spans="2:11" s="37" customFormat="1" ht="15.75">
      <c r="C19" s="1991" t="s">
        <v>446</v>
      </c>
      <c r="D19" s="1646">
        <f>SUBTOTAL(9,D20:D21)</f>
        <v>44560.853886886005</v>
      </c>
      <c r="E19" s="1646">
        <f t="shared" ref="E19:I19" si="0">SUBTOTAL(9,E20:E21)</f>
        <v>44579.45104416697</v>
      </c>
      <c r="F19" s="1646">
        <f t="shared" si="0"/>
        <v>43737.46534543117</v>
      </c>
      <c r="G19" s="1646">
        <f t="shared" si="0"/>
        <v>44426.639086585259</v>
      </c>
      <c r="H19" s="1646">
        <f t="shared" si="0"/>
        <v>42501.64302397459</v>
      </c>
      <c r="I19" s="1646">
        <f t="shared" si="0"/>
        <v>42700.800198856014</v>
      </c>
      <c r="J19" s="1646">
        <f>SUM(D19:I19)</f>
        <v>262506.85258589999</v>
      </c>
      <c r="K19" s="69"/>
    </row>
    <row r="20" spans="2:11" s="37" customFormat="1" ht="15.75">
      <c r="B20" s="48" t="s">
        <v>279</v>
      </c>
      <c r="C20" s="1992" t="s">
        <v>279</v>
      </c>
      <c r="D20" s="1993">
        <f>$D$7*F801ENE!D6</f>
        <v>44559.688886886004</v>
      </c>
      <c r="E20" s="1993">
        <f>$D$7*F801ENE!E6</f>
        <v>44578.286044166969</v>
      </c>
      <c r="F20" s="1993">
        <f>$D$7*F801ENE!F6</f>
        <v>43736.300345431169</v>
      </c>
      <c r="G20" s="1993">
        <f>$D$7*F801ENE!G6</f>
        <v>44425.474086585258</v>
      </c>
      <c r="H20" s="1993">
        <f>$D$7*F801ENE!H6</f>
        <v>42500.478023974589</v>
      </c>
      <c r="I20" s="1993">
        <f>$D$7*F801ENE!I6</f>
        <v>42699.635198856013</v>
      </c>
      <c r="J20" s="1646">
        <f t="shared" ref="J20:J83" si="1">SUM(D20:I20)</f>
        <v>262499.8625859</v>
      </c>
      <c r="K20" s="69"/>
    </row>
    <row r="21" spans="2:11" s="37" customFormat="1" ht="15.75">
      <c r="B21" s="48" t="s">
        <v>278</v>
      </c>
      <c r="C21" s="1992" t="s">
        <v>278</v>
      </c>
      <c r="D21" s="1993">
        <f>$D$8*F801ENE!D7</f>
        <v>1.165</v>
      </c>
      <c r="E21" s="1993">
        <f>$D$8*F801ENE!E7</f>
        <v>1.165</v>
      </c>
      <c r="F21" s="1993">
        <f>$D$8*F801ENE!F7</f>
        <v>1.165</v>
      </c>
      <c r="G21" s="1993">
        <f>$D$8*F801ENE!G7</f>
        <v>1.165</v>
      </c>
      <c r="H21" s="1993">
        <f>$D$8*F801ENE!H7</f>
        <v>1.165</v>
      </c>
      <c r="I21" s="1993">
        <f>$D$8*F801ENE!I7</f>
        <v>1.165</v>
      </c>
      <c r="J21" s="1646">
        <f t="shared" si="1"/>
        <v>6.99</v>
      </c>
      <c r="K21" s="69"/>
    </row>
    <row r="22" spans="2:11" s="37" customFormat="1" ht="15.75">
      <c r="B22" s="48"/>
      <c r="C22" s="1994"/>
      <c r="D22" s="1993"/>
      <c r="E22" s="1993"/>
      <c r="F22" s="1993"/>
      <c r="G22" s="1993"/>
      <c r="H22" s="1993"/>
      <c r="I22" s="1993"/>
      <c r="J22" s="1646">
        <f t="shared" si="1"/>
        <v>0</v>
      </c>
      <c r="K22" s="69"/>
    </row>
    <row r="23" spans="2:11" s="37" customFormat="1" ht="15.75">
      <c r="B23" s="48"/>
      <c r="C23" s="1991" t="s">
        <v>630</v>
      </c>
      <c r="D23" s="1646">
        <f>SUBTOTAL(9,D24:D31)</f>
        <v>71335.085076276475</v>
      </c>
      <c r="E23" s="1646">
        <f t="shared" ref="E23:I23" si="2">SUBTOTAL(9,E24:E31)</f>
        <v>71364.85626962439</v>
      </c>
      <c r="F23" s="1646">
        <f t="shared" si="2"/>
        <v>70016.966446758976</v>
      </c>
      <c r="G23" s="1646">
        <f t="shared" si="2"/>
        <v>71120.227788706266</v>
      </c>
      <c r="H23" s="1646">
        <f t="shared" si="2"/>
        <v>68038.604661680831</v>
      </c>
      <c r="I23" s="1646">
        <f t="shared" si="2"/>
        <v>68357.424719523086</v>
      </c>
      <c r="J23" s="1646">
        <f t="shared" si="1"/>
        <v>420233.16496257007</v>
      </c>
      <c r="K23" s="69"/>
    </row>
    <row r="24" spans="2:11" s="37" customFormat="1" ht="15.75">
      <c r="B24" s="48" t="s">
        <v>277</v>
      </c>
      <c r="C24" s="1992" t="s">
        <v>277</v>
      </c>
      <c r="D24" s="1646">
        <f>SUBTOTAL(9,D25:D26)</f>
        <v>10204.89539902566</v>
      </c>
      <c r="E24" s="1646">
        <f t="shared" ref="E24:I24" si="3">SUBTOTAL(9,E25:E26)</f>
        <v>10209.154339961869</v>
      </c>
      <c r="F24" s="1646">
        <f t="shared" si="3"/>
        <v>10016.330925830593</v>
      </c>
      <c r="G24" s="1646">
        <f t="shared" si="3"/>
        <v>10174.158824687407</v>
      </c>
      <c r="H24" s="1646">
        <f t="shared" si="3"/>
        <v>9733.3148607825915</v>
      </c>
      <c r="I24" s="1646">
        <f t="shared" si="3"/>
        <v>9778.9239090918873</v>
      </c>
      <c r="J24" s="1646">
        <f t="shared" si="1"/>
        <v>60116.778259380008</v>
      </c>
      <c r="K24" s="69"/>
    </row>
    <row r="25" spans="2:11" s="37" customFormat="1" ht="15.75">
      <c r="B25" s="48"/>
      <c r="C25" s="1995" t="s">
        <v>304</v>
      </c>
      <c r="D25" s="1993">
        <f>$D$9*F801ENE!D11</f>
        <v>8897.4258952273976</v>
      </c>
      <c r="E25" s="1993">
        <f>$D$9*F801ENE!E11</f>
        <v>8901.1391730112846</v>
      </c>
      <c r="F25" s="1993">
        <f>$D$9*F801ENE!F11</f>
        <v>8733.0206405801146</v>
      </c>
      <c r="G25" s="1993">
        <f>$D$9*F801ENE!G11</f>
        <v>8870.6273459278273</v>
      </c>
      <c r="H25" s="1993">
        <f>$D$9*F801ENE!H11</f>
        <v>8486.2651014528965</v>
      </c>
      <c r="I25" s="1993">
        <f>$D$9*F801ENE!I11</f>
        <v>8526.0306366804853</v>
      </c>
      <c r="J25" s="1646">
        <f t="shared" si="1"/>
        <v>52414.508792880006</v>
      </c>
      <c r="K25" s="69"/>
    </row>
    <row r="26" spans="2:11" s="37" customFormat="1" ht="15.75">
      <c r="B26" s="48"/>
      <c r="C26" s="1995" t="s">
        <v>305</v>
      </c>
      <c r="D26" s="1993">
        <f>($D$9*F801ENE!D12)*95%</f>
        <v>1307.469503798261</v>
      </c>
      <c r="E26" s="1993">
        <f>($D$9*F801ENE!E12)*95%</f>
        <v>1308.0151669505856</v>
      </c>
      <c r="F26" s="1993">
        <f>($D$9*F801ENE!F12)*95%</f>
        <v>1283.3102852504776</v>
      </c>
      <c r="G26" s="1993">
        <f>($D$9*F801ENE!G12)*95%</f>
        <v>1303.5314787595792</v>
      </c>
      <c r="H26" s="1993">
        <f>($D$9*F801ENE!H12)*95%</f>
        <v>1247.0497593296948</v>
      </c>
      <c r="I26" s="1993">
        <f>($D$9*F801ENE!I12)*95%</f>
        <v>1252.8932724114024</v>
      </c>
      <c r="J26" s="1646">
        <f t="shared" si="1"/>
        <v>7702.2694665000017</v>
      </c>
      <c r="K26" s="69"/>
    </row>
    <row r="27" spans="2:11" s="37" customFormat="1" ht="15.75">
      <c r="B27" s="48" t="s">
        <v>276</v>
      </c>
      <c r="C27" s="1996" t="s">
        <v>626</v>
      </c>
      <c r="D27" s="1646">
        <f>SUBTOTAL(9,D28:D31)</f>
        <v>61130.189677250826</v>
      </c>
      <c r="E27" s="1646">
        <f t="shared" ref="E27:I27" si="4">SUBTOTAL(9,E28:E31)</f>
        <v>61155.701929662515</v>
      </c>
      <c r="F27" s="1646">
        <f t="shared" si="4"/>
        <v>60000.635520928387</v>
      </c>
      <c r="G27" s="1646">
        <f t="shared" si="4"/>
        <v>60946.068964018858</v>
      </c>
      <c r="H27" s="1646">
        <f t="shared" si="4"/>
        <v>58305.289800898237</v>
      </c>
      <c r="I27" s="1646">
        <f t="shared" si="4"/>
        <v>58578.5008104312</v>
      </c>
      <c r="J27" s="1646">
        <f t="shared" si="1"/>
        <v>360116.38670319004</v>
      </c>
      <c r="K27" s="69"/>
    </row>
    <row r="28" spans="2:11" s="37" customFormat="1" ht="15.75">
      <c r="B28" s="48"/>
      <c r="C28" s="1995" t="s">
        <v>304</v>
      </c>
      <c r="D28" s="1993">
        <f>($D$10*F801ENE!D15)*1</f>
        <v>60891.876711553356</v>
      </c>
      <c r="E28" s="1993">
        <f>($D$10*F801ENE!E15)*1</f>
        <v>60917.289505733919</v>
      </c>
      <c r="F28" s="1993">
        <f>($D$10*F801ENE!F15)*1</f>
        <v>59766.7260652205</v>
      </c>
      <c r="G28" s="1993">
        <f>($D$10*F801ENE!G15)*1</f>
        <v>60708.473783648871</v>
      </c>
      <c r="H28" s="1993">
        <f>($D$10*F801ENE!H15)*1</f>
        <v>58077.989565095544</v>
      </c>
      <c r="I28" s="1993">
        <f>($D$10*F801ENE!I15)*1</f>
        <v>58350.135475267831</v>
      </c>
      <c r="J28" s="1646">
        <f t="shared" si="1"/>
        <v>358712.49110652</v>
      </c>
      <c r="K28" s="69"/>
    </row>
    <row r="29" spans="2:11" s="37" customFormat="1" ht="15.75">
      <c r="B29" s="48"/>
      <c r="C29" s="1997" t="s">
        <v>306</v>
      </c>
      <c r="D29" s="1993">
        <f>($D$10*F801ENE!D16)*1</f>
        <v>0</v>
      </c>
      <c r="E29" s="1993">
        <f>($D$10*F801ENE!E16)*1</f>
        <v>0</v>
      </c>
      <c r="F29" s="1993">
        <f>($D$10*F801ENE!F16)*1</f>
        <v>0</v>
      </c>
      <c r="G29" s="1993">
        <f>($D$10*F801ENE!G16)*1</f>
        <v>0</v>
      </c>
      <c r="H29" s="1993">
        <f>($D$10*F801ENE!H16)*1</f>
        <v>0</v>
      </c>
      <c r="I29" s="1993">
        <f>($D$10*F801ENE!I16)*1</f>
        <v>0</v>
      </c>
      <c r="J29" s="1646">
        <f t="shared" si="1"/>
        <v>0</v>
      </c>
      <c r="K29" s="69"/>
    </row>
    <row r="30" spans="2:11" s="37" customFormat="1" ht="15.75">
      <c r="B30" s="48"/>
      <c r="C30" s="1995" t="s">
        <v>305</v>
      </c>
      <c r="D30" s="1993">
        <f>($D$10*F801ENE!D17)*0.95</f>
        <v>238.31296569747042</v>
      </c>
      <c r="E30" s="1993">
        <f>($D$10*F801ENE!E17)*0.95</f>
        <v>238.41242392859897</v>
      </c>
      <c r="F30" s="1993">
        <f>($D$10*F801ENE!F17)*0.95</f>
        <v>233.90945570788369</v>
      </c>
      <c r="G30" s="1993">
        <f>($D$10*F801ENE!G17)*0.95</f>
        <v>237.59518036998645</v>
      </c>
      <c r="H30" s="1993">
        <f>($D$10*F801ENE!H17)*0.95</f>
        <v>227.30023580269417</v>
      </c>
      <c r="I30" s="1993">
        <f>($D$10*F801ENE!I17)*0.95</f>
        <v>228.36533516336621</v>
      </c>
      <c r="J30" s="1646">
        <f t="shared" si="1"/>
        <v>1403.8955966699998</v>
      </c>
      <c r="K30" s="69"/>
    </row>
    <row r="31" spans="2:11" s="37" customFormat="1" ht="15.75">
      <c r="B31" s="48"/>
      <c r="C31" s="1995" t="s">
        <v>307</v>
      </c>
      <c r="D31" s="1993">
        <f>($D$10*F801ENE!D18)*0.5</f>
        <v>0</v>
      </c>
      <c r="E31" s="1993">
        <f>($D$10*F801ENE!E18)*0.5</f>
        <v>0</v>
      </c>
      <c r="F31" s="1993">
        <f>($D$10*F801ENE!F18)*0.5</f>
        <v>0</v>
      </c>
      <c r="G31" s="1993">
        <f>($D$10*F801ENE!G18)*0.5</f>
        <v>0</v>
      </c>
      <c r="H31" s="1993">
        <f>($D$10*F801ENE!H18)*0.5</f>
        <v>0</v>
      </c>
      <c r="I31" s="1993">
        <f>($D$10*F801ENE!I18)*0.5</f>
        <v>0</v>
      </c>
      <c r="J31" s="1646">
        <f t="shared" si="1"/>
        <v>0</v>
      </c>
      <c r="K31" s="69"/>
    </row>
    <row r="32" spans="2:11" s="37" customFormat="1" ht="15.75">
      <c r="B32" s="48"/>
      <c r="C32" s="1994"/>
      <c r="D32" s="1994"/>
      <c r="E32" s="1994"/>
      <c r="F32" s="1994"/>
      <c r="G32" s="1994"/>
      <c r="H32" s="1994"/>
      <c r="I32" s="1994"/>
      <c r="J32" s="1646">
        <f t="shared" si="1"/>
        <v>0</v>
      </c>
      <c r="K32" s="69"/>
    </row>
    <row r="33" spans="2:11" s="37" customFormat="1" ht="15.75">
      <c r="B33" s="48"/>
      <c r="C33" s="1991" t="s">
        <v>443</v>
      </c>
      <c r="D33" s="1646">
        <f t="shared" ref="D33:I33" si="5">SUBTOTAL(9,D34:D108)</f>
        <v>539815.13784460316</v>
      </c>
      <c r="E33" s="1646">
        <f t="shared" si="5"/>
        <v>540040.42590040306</v>
      </c>
      <c r="F33" s="1646">
        <f t="shared" si="5"/>
        <v>529840.5164081133</v>
      </c>
      <c r="G33" s="1646">
        <f t="shared" si="5"/>
        <v>538189.24465229735</v>
      </c>
      <c r="H33" s="1646">
        <f t="shared" si="5"/>
        <v>514869.62575482199</v>
      </c>
      <c r="I33" s="1646">
        <f t="shared" si="5"/>
        <v>517282.23817992705</v>
      </c>
      <c r="J33" s="1646">
        <f t="shared" si="1"/>
        <v>3180037.1887401664</v>
      </c>
      <c r="K33" s="69"/>
    </row>
    <row r="34" spans="2:11" s="37" customFormat="1" ht="15.75">
      <c r="B34" s="48" t="s">
        <v>275</v>
      </c>
      <c r="C34" s="1992" t="s">
        <v>275</v>
      </c>
      <c r="D34" s="1646">
        <f>SUBTOTAL(9,D35:D37)</f>
        <v>6837.1712146753462</v>
      </c>
      <c r="E34" s="1646">
        <f t="shared" ref="E34:I34" si="6">SUBTOTAL(9,E35:E37)</f>
        <v>6840.0246597363184</v>
      </c>
      <c r="F34" s="1646">
        <f t="shared" si="6"/>
        <v>6710.8350262257509</v>
      </c>
      <c r="G34" s="1646">
        <f t="shared" si="6"/>
        <v>6816.5780372750878</v>
      </c>
      <c r="H34" s="1646">
        <f t="shared" si="6"/>
        <v>6521.2172773342099</v>
      </c>
      <c r="I34" s="1646">
        <f t="shared" si="6"/>
        <v>6551.7748538732922</v>
      </c>
      <c r="J34" s="1646">
        <f t="shared" si="1"/>
        <v>40277.601069120006</v>
      </c>
      <c r="K34" s="69"/>
    </row>
    <row r="35" spans="2:11" s="37" customFormat="1" ht="15.75">
      <c r="B35" s="48"/>
      <c r="C35" s="1995" t="s">
        <v>304</v>
      </c>
      <c r="D35" s="1993">
        <f>$D$11*F801ENE!D22</f>
        <v>6779.8080027295655</v>
      </c>
      <c r="E35" s="1993">
        <f>$D$11*F801ENE!E22</f>
        <v>6782.6375076596451</v>
      </c>
      <c r="F35" s="1993">
        <f>$D$11*F801ENE!F22</f>
        <v>6654.531762806474</v>
      </c>
      <c r="G35" s="1993">
        <f>$D$11*F801ENE!G22</f>
        <v>6759.3876001162407</v>
      </c>
      <c r="H35" s="1993">
        <f>$D$11*F801ENE!H22</f>
        <v>6466.5048886753902</v>
      </c>
      <c r="I35" s="1993">
        <f>$D$11*F801ENE!I22</f>
        <v>6496.8060900726887</v>
      </c>
      <c r="J35" s="1646">
        <f t="shared" si="1"/>
        <v>39939.675852059998</v>
      </c>
      <c r="K35" s="69"/>
    </row>
    <row r="36" spans="2:11" s="37" customFormat="1" ht="15.75">
      <c r="B36" s="48"/>
      <c r="C36" s="1997" t="s">
        <v>306</v>
      </c>
      <c r="D36" s="1993">
        <f>$D$11*F801ENE!D23</f>
        <v>36.206223483906257</v>
      </c>
      <c r="E36" s="1993">
        <f>$D$11*F801ENE!E23</f>
        <v>36.221333895263925</v>
      </c>
      <c r="F36" s="1993">
        <f>$D$11*F801ENE!F23</f>
        <v>35.537210506244826</v>
      </c>
      <c r="G36" s="1993">
        <f>$D$11*F801ENE!G23</f>
        <v>36.097172363232673</v>
      </c>
      <c r="H36" s="1993">
        <f>$D$11*F801ENE!H23</f>
        <v>34.533090179676648</v>
      </c>
      <c r="I36" s="1993">
        <f>$D$11*F801ENE!I23</f>
        <v>34.6949077516757</v>
      </c>
      <c r="J36" s="1646">
        <f t="shared" si="1"/>
        <v>213.28993818000004</v>
      </c>
      <c r="K36" s="69"/>
    </row>
    <row r="37" spans="2:11" s="37" customFormat="1" ht="15.75">
      <c r="B37" s="48"/>
      <c r="C37" s="1995" t="s">
        <v>305</v>
      </c>
      <c r="D37" s="1993">
        <f>($D$11*F801ENE!D24)*95%</f>
        <v>21.15698846187485</v>
      </c>
      <c r="E37" s="1993">
        <f>($D$11*F801ENE!E24)*95%</f>
        <v>21.165818181408856</v>
      </c>
      <c r="F37" s="1993">
        <f>($D$11*F801ENE!F24)*95%</f>
        <v>20.766052913031459</v>
      </c>
      <c r="G37" s="1993">
        <f>($D$11*F801ENE!G24)*95%</f>
        <v>21.093264795614243</v>
      </c>
      <c r="H37" s="1993">
        <f>($D$11*F801ENE!H24)*95%</f>
        <v>20.179298479143043</v>
      </c>
      <c r="I37" s="1993">
        <f>($D$11*F801ENE!I24)*95%</f>
        <v>20.273856048927541</v>
      </c>
      <c r="J37" s="1646">
        <f t="shared" si="1"/>
        <v>124.63527887999999</v>
      </c>
      <c r="K37" s="69"/>
    </row>
    <row r="38" spans="2:11" s="37" customFormat="1" ht="15.75">
      <c r="B38" s="48" t="s">
        <v>274</v>
      </c>
      <c r="C38" s="1996" t="s">
        <v>627</v>
      </c>
      <c r="D38" s="1646">
        <f t="shared" ref="D38:I38" si="7">SUBTOTAL(9,D39:D44)</f>
        <v>82452.619247339826</v>
      </c>
      <c r="E38" s="1646">
        <f t="shared" si="7"/>
        <v>82487.030264962188</v>
      </c>
      <c r="F38" s="1646">
        <f t="shared" si="7"/>
        <v>80929.072547055897</v>
      </c>
      <c r="G38" s="1646">
        <f t="shared" si="7"/>
        <v>82204.276568479894</v>
      </c>
      <c r="H38" s="1646">
        <f t="shared" si="7"/>
        <v>78642.384154883708</v>
      </c>
      <c r="I38" s="1646">
        <f t="shared" si="7"/>
        <v>79010.892145160513</v>
      </c>
      <c r="J38" s="1646">
        <f t="shared" si="1"/>
        <v>485726.27492788207</v>
      </c>
      <c r="K38" s="69"/>
    </row>
    <row r="39" spans="2:11" s="37" customFormat="1" ht="15.75">
      <c r="B39" s="48"/>
      <c r="C39" s="1995" t="s">
        <v>304</v>
      </c>
      <c r="D39" s="1993">
        <f>($D$12*F801ENE!D28)*1</f>
        <v>82304.279321212263</v>
      </c>
      <c r="E39" s="1993">
        <f>($D$12*F801ENE!E28)*1</f>
        <v>82338.62843021538</v>
      </c>
      <c r="F39" s="1993">
        <f>($D$12*F801ENE!F28)*1</f>
        <v>80783.473623058249</v>
      </c>
      <c r="G39" s="1993">
        <f>($D$12*F801ENE!G28)*1</f>
        <v>82056.383433915456</v>
      </c>
      <c r="H39" s="1993">
        <f>($D$12*F801ENE!H28)*1</f>
        <v>78500.899195854901</v>
      </c>
      <c r="I39" s="1993">
        <f>($D$12*F801ENE!I28)*1</f>
        <v>78868.744206003787</v>
      </c>
      <c r="J39" s="1646">
        <f t="shared" si="1"/>
        <v>484852.40821026004</v>
      </c>
      <c r="K39" s="69"/>
    </row>
    <row r="40" spans="2:11" s="37" customFormat="1" ht="15.75">
      <c r="B40" s="48"/>
      <c r="C40" s="1998" t="s">
        <v>628</v>
      </c>
      <c r="D40" s="1993">
        <f>($D$12*F801ENE!D29)*0.75</f>
        <v>7.1218572101024957</v>
      </c>
      <c r="E40" s="1993">
        <f>($D$12*F801ENE!E29)*0.75</f>
        <v>7.1248294668506507</v>
      </c>
      <c r="F40" s="1993">
        <f>($D$12*F801ENE!F29)*0.75</f>
        <v>6.9902606380179177</v>
      </c>
      <c r="G40" s="1993">
        <f>($D$12*F801ENE!G29)*0.75</f>
        <v>7.1004065744021414</v>
      </c>
      <c r="H40" s="1993">
        <f>($D$12*F801ENE!H29)*0.75</f>
        <v>6.7927475891698723</v>
      </c>
      <c r="I40" s="1993">
        <f>($D$12*F801ENE!I29)*0.75</f>
        <v>6.8245775214569271</v>
      </c>
      <c r="J40" s="1646">
        <f t="shared" si="1"/>
        <v>41.954678999999999</v>
      </c>
      <c r="K40" s="69"/>
    </row>
    <row r="41" spans="2:11" s="37" customFormat="1" ht="15.75">
      <c r="B41" s="48"/>
      <c r="C41" s="1997" t="s">
        <v>629</v>
      </c>
      <c r="D41" s="1993">
        <f>($D$12*F801ENE!D30)*1</f>
        <v>37.837149075211208</v>
      </c>
      <c r="E41" s="1993">
        <f>($D$12*F801ENE!E30)*1</f>
        <v>37.852940141832171</v>
      </c>
      <c r="F41" s="1993">
        <f>($D$12*F801ENE!F30)*1</f>
        <v>37.138000107623398</v>
      </c>
      <c r="G41" s="1993">
        <f>($D$12*F801ENE!G30)*1</f>
        <v>37.723185697849324</v>
      </c>
      <c r="H41" s="1993">
        <f>($D$12*F801ENE!H30)*1</f>
        <v>36.088648730153785</v>
      </c>
      <c r="I41" s="1993">
        <f>($D$12*F801ENE!I30)*1</f>
        <v>36.25775544733014</v>
      </c>
      <c r="J41" s="1646">
        <f t="shared" si="1"/>
        <v>222.89767920000003</v>
      </c>
      <c r="K41" s="69"/>
    </row>
    <row r="42" spans="2:11" s="37" customFormat="1" ht="15.75">
      <c r="B42" s="48"/>
      <c r="C42" s="1995" t="s">
        <v>305</v>
      </c>
      <c r="D42" s="1993">
        <f>($D$12*F801ENE!D31)*0.95</f>
        <v>94.729182194402568</v>
      </c>
      <c r="E42" s="1993">
        <f>($D$12*F801ENE!E31)*0.95</f>
        <v>94.768716748763623</v>
      </c>
      <c r="F42" s="1993">
        <f>($D$12*F801ENE!F31)*0.95</f>
        <v>92.978791069532008</v>
      </c>
      <c r="G42" s="1993">
        <f>($D$12*F801ENE!G31)*0.95</f>
        <v>94.443863194386367</v>
      </c>
      <c r="H42" s="1993">
        <f>($D$12*F801ENE!H31)*0.95</f>
        <v>90.351632304883154</v>
      </c>
      <c r="I42" s="1993">
        <f>($D$12*F801ENE!I31)*0.95</f>
        <v>90.77500831003232</v>
      </c>
      <c r="J42" s="1646">
        <f t="shared" si="1"/>
        <v>558.04719382200005</v>
      </c>
      <c r="K42" s="69"/>
    </row>
    <row r="43" spans="2:11" s="37" customFormat="1" ht="15.75">
      <c r="B43" s="48"/>
      <c r="C43" s="1995" t="s">
        <v>307</v>
      </c>
      <c r="D43" s="1993">
        <f>($D$12*F801ENE!D32)*0.5</f>
        <v>8.6517376478282166</v>
      </c>
      <c r="E43" s="1993">
        <f>($D$12*F801ENE!E32)*0.5</f>
        <v>8.6553483893593057</v>
      </c>
      <c r="F43" s="1993">
        <f>($D$12*F801ENE!F32)*0.5</f>
        <v>8.4918721824810248</v>
      </c>
      <c r="G43" s="1993">
        <f>($D$12*F801ENE!G32)*0.5</f>
        <v>8.6256790977922293</v>
      </c>
      <c r="H43" s="1993">
        <f>($D$12*F801ENE!H32)*0.5</f>
        <v>8.251930404621179</v>
      </c>
      <c r="I43" s="1993">
        <f>($D$12*F801ENE!I32)*0.5</f>
        <v>8.290597877918044</v>
      </c>
      <c r="J43" s="1646">
        <f t="shared" si="1"/>
        <v>50.967165600000001</v>
      </c>
      <c r="K43" s="69"/>
    </row>
    <row r="44" spans="2:11" s="37" customFormat="1" ht="15.75">
      <c r="B44" s="48"/>
      <c r="C44" s="1995" t="s">
        <v>624</v>
      </c>
      <c r="D44" s="1993">
        <f>($D$12*F801ENE!D33)*0</f>
        <v>0</v>
      </c>
      <c r="E44" s="1993">
        <f>($D$12*F801ENE!E33)*0</f>
        <v>0</v>
      </c>
      <c r="F44" s="1993">
        <f>($D$12*F801ENE!F33)*0</f>
        <v>0</v>
      </c>
      <c r="G44" s="1993">
        <f>($D$12*F801ENE!G33)*0</f>
        <v>0</v>
      </c>
      <c r="H44" s="1993">
        <f>($D$12*F801ENE!H33)*0</f>
        <v>0</v>
      </c>
      <c r="I44" s="1993">
        <f>($D$12*F801ENE!I33)*0</f>
        <v>0</v>
      </c>
      <c r="J44" s="1646">
        <f t="shared" si="1"/>
        <v>0</v>
      </c>
      <c r="K44" s="69"/>
    </row>
    <row r="45" spans="2:11" s="37" customFormat="1" ht="15.75">
      <c r="B45" s="48" t="s">
        <v>274</v>
      </c>
      <c r="C45" s="1996" t="s">
        <v>631</v>
      </c>
      <c r="D45" s="1646">
        <f t="shared" ref="D45:I45" si="8">SUBTOTAL(9,D46:D49)</f>
        <v>37638.807989634741</v>
      </c>
      <c r="E45" s="1646">
        <f t="shared" si="8"/>
        <v>37654.516280006101</v>
      </c>
      <c r="F45" s="1646">
        <f t="shared" si="8"/>
        <v>36943.323937840018</v>
      </c>
      <c r="G45" s="1646">
        <f t="shared" si="8"/>
        <v>37525.44200453243</v>
      </c>
      <c r="H45" s="1646">
        <f t="shared" si="8"/>
        <v>35899.473225627844</v>
      </c>
      <c r="I45" s="1646">
        <f t="shared" si="8"/>
        <v>36067.693490978869</v>
      </c>
      <c r="J45" s="1646">
        <f t="shared" si="1"/>
        <v>221729.25692861999</v>
      </c>
      <c r="K45" s="69"/>
    </row>
    <row r="46" spans="2:11" s="37" customFormat="1" ht="15.75">
      <c r="B46" s="48"/>
      <c r="C46" s="1995" t="s">
        <v>304</v>
      </c>
      <c r="D46" s="1993">
        <f>($D$12*F801ENE!D35)*1</f>
        <v>37612.346333511872</v>
      </c>
      <c r="E46" s="1993">
        <f>($D$12*F801ENE!E35)*1</f>
        <v>37628.043580298159</v>
      </c>
      <c r="F46" s="1993">
        <f>($D$12*F801ENE!F35)*1</f>
        <v>36917.35123609165</v>
      </c>
      <c r="G46" s="1993">
        <f>($D$12*F801ENE!G35)*1</f>
        <v>37499.060049438209</v>
      </c>
      <c r="H46" s="1993">
        <f>($D$12*F801ENE!H35)*1</f>
        <v>35874.234394585415</v>
      </c>
      <c r="I46" s="1993">
        <f>($D$12*F801ENE!I35)*1</f>
        <v>36042.336394054699</v>
      </c>
      <c r="J46" s="1646">
        <f t="shared" si="1"/>
        <v>221573.37198798003</v>
      </c>
      <c r="K46" s="69"/>
    </row>
    <row r="47" spans="2:11" s="37" customFormat="1" ht="15.75">
      <c r="B47" s="48"/>
      <c r="C47" s="1997" t="s">
        <v>306</v>
      </c>
      <c r="D47" s="1993">
        <f>($D$12*F801ENE!D36)*1</f>
        <v>0</v>
      </c>
      <c r="E47" s="1993">
        <f>($D$12*F801ENE!E36)*1</f>
        <v>0</v>
      </c>
      <c r="F47" s="1993">
        <f>($D$12*F801ENE!F36)*1</f>
        <v>0</v>
      </c>
      <c r="G47" s="1993">
        <f>($D$12*F801ENE!G36)*1</f>
        <v>0</v>
      </c>
      <c r="H47" s="1993">
        <f>($D$12*F801ENE!H36)*1</f>
        <v>0</v>
      </c>
      <c r="I47" s="1993">
        <f>($D$12*F801ENE!I36)*1</f>
        <v>0</v>
      </c>
      <c r="J47" s="1646">
        <f t="shared" si="1"/>
        <v>0</v>
      </c>
      <c r="K47" s="69"/>
    </row>
    <row r="48" spans="2:11" s="37" customFormat="1" ht="15.75">
      <c r="B48" s="48"/>
      <c r="C48" s="1995" t="s">
        <v>305</v>
      </c>
      <c r="D48" s="1993">
        <f>($D$12*F801ENE!D37)*0.95</f>
        <v>26.461656122869716</v>
      </c>
      <c r="E48" s="1993">
        <f>($D$12*F801ENE!E37)*0.95</f>
        <v>26.472699707942855</v>
      </c>
      <c r="F48" s="1993">
        <f>($D$12*F801ENE!F37)*0.95</f>
        <v>25.972701748368795</v>
      </c>
      <c r="G48" s="1993">
        <f>($D$12*F801ENE!G37)*0.95</f>
        <v>26.381955094223063</v>
      </c>
      <c r="H48" s="1993">
        <f>($D$12*F801ENE!H37)*0.95</f>
        <v>25.238831042426725</v>
      </c>
      <c r="I48" s="1993">
        <f>($D$12*F801ENE!I37)*0.95</f>
        <v>25.357096924168854</v>
      </c>
      <c r="J48" s="1646">
        <f t="shared" si="1"/>
        <v>155.88494064</v>
      </c>
      <c r="K48" s="69"/>
    </row>
    <row r="49" spans="2:11" s="37" customFormat="1" ht="15.75">
      <c r="B49" s="48"/>
      <c r="C49" s="1995" t="s">
        <v>307</v>
      </c>
      <c r="D49" s="1993">
        <f>($D$12*F801ENE!D38)*0.5</f>
        <v>0</v>
      </c>
      <c r="E49" s="1993">
        <f>($D$12*F801ENE!E38)*0.5</f>
        <v>0</v>
      </c>
      <c r="F49" s="1993">
        <f>($D$12*F801ENE!F38)*0.5</f>
        <v>0</v>
      </c>
      <c r="G49" s="1993">
        <f>($D$12*F801ENE!G38)*0.5</f>
        <v>0</v>
      </c>
      <c r="H49" s="1993">
        <f>($D$12*F801ENE!H38)*0.5</f>
        <v>0</v>
      </c>
      <c r="I49" s="1993">
        <f>($D$12*F801ENE!I38)*0.5</f>
        <v>0</v>
      </c>
      <c r="J49" s="1646">
        <f t="shared" si="1"/>
        <v>0</v>
      </c>
      <c r="K49" s="69"/>
    </row>
    <row r="50" spans="2:11" s="37" customFormat="1" ht="15.75">
      <c r="B50" s="48" t="s">
        <v>274</v>
      </c>
      <c r="C50" s="1996" t="s">
        <v>632</v>
      </c>
      <c r="D50" s="1646">
        <f t="shared" ref="D50:I50" si="9">SUBTOTAL(9,D51:D54)</f>
        <v>10589.28983021722</v>
      </c>
      <c r="E50" s="1646">
        <f t="shared" si="9"/>
        <v>10593.709195451247</v>
      </c>
      <c r="F50" s="1646">
        <f t="shared" si="9"/>
        <v>10393.622576387706</v>
      </c>
      <c r="G50" s="1646">
        <f t="shared" si="9"/>
        <v>10557.395481345517</v>
      </c>
      <c r="H50" s="1646">
        <f t="shared" si="9"/>
        <v>10099.945961173498</v>
      </c>
      <c r="I50" s="1646">
        <f t="shared" si="9"/>
        <v>10147.272995164816</v>
      </c>
      <c r="J50" s="1646">
        <f t="shared" si="1"/>
        <v>62381.236039740004</v>
      </c>
      <c r="K50" s="69"/>
    </row>
    <row r="51" spans="2:11" s="37" customFormat="1" ht="15.75">
      <c r="B51" s="48"/>
      <c r="C51" s="1995" t="s">
        <v>304</v>
      </c>
      <c r="D51" s="1993">
        <f>($D$12*F801ENE!D40)*1</f>
        <v>10589.28983021722</v>
      </c>
      <c r="E51" s="1993">
        <f>($D$12*F801ENE!E40)*1</f>
        <v>10593.709195451247</v>
      </c>
      <c r="F51" s="1993">
        <f>($D$12*F801ENE!F40)*1</f>
        <v>10393.622576387706</v>
      </c>
      <c r="G51" s="1993">
        <f>($D$12*F801ENE!G40)*1</f>
        <v>10557.395481345517</v>
      </c>
      <c r="H51" s="1993">
        <f>($D$12*F801ENE!H40)*1</f>
        <v>10099.945961173498</v>
      </c>
      <c r="I51" s="1993">
        <f>($D$12*F801ENE!I40)*1</f>
        <v>10147.272995164816</v>
      </c>
      <c r="J51" s="1646">
        <f t="shared" si="1"/>
        <v>62381.236039740004</v>
      </c>
      <c r="K51" s="69"/>
    </row>
    <row r="52" spans="2:11" s="37" customFormat="1" ht="15.75">
      <c r="B52" s="48"/>
      <c r="C52" s="1997" t="s">
        <v>306</v>
      </c>
      <c r="D52" s="1993">
        <f>($D$12*F801ENE!D41)*1</f>
        <v>0</v>
      </c>
      <c r="E52" s="1993">
        <f>($D$12*F801ENE!E41)*1</f>
        <v>0</v>
      </c>
      <c r="F52" s="1993">
        <f>($D$12*F801ENE!F41)*1</f>
        <v>0</v>
      </c>
      <c r="G52" s="1993">
        <f>($D$12*F801ENE!G41)*1</f>
        <v>0</v>
      </c>
      <c r="H52" s="1993">
        <f>($D$12*F801ENE!H41)*1</f>
        <v>0</v>
      </c>
      <c r="I52" s="1993">
        <f>($D$12*F801ENE!I41)*1</f>
        <v>0</v>
      </c>
      <c r="J52" s="1646">
        <f t="shared" si="1"/>
        <v>0</v>
      </c>
      <c r="K52" s="69"/>
    </row>
    <row r="53" spans="2:11" s="37" customFormat="1" ht="15.75">
      <c r="B53" s="48"/>
      <c r="C53" s="1995" t="s">
        <v>305</v>
      </c>
      <c r="D53" s="1993">
        <f>($D$12*F801ENE!D42)*0.95</f>
        <v>0</v>
      </c>
      <c r="E53" s="1993">
        <f>($D$12*F801ENE!E42)*0.95</f>
        <v>0</v>
      </c>
      <c r="F53" s="1993">
        <f>($D$12*F801ENE!F42)*0.95</f>
        <v>0</v>
      </c>
      <c r="G53" s="1993">
        <f>($D$12*F801ENE!G42)*0.95</f>
        <v>0</v>
      </c>
      <c r="H53" s="1993">
        <f>($D$12*F801ENE!H42)*0.95</f>
        <v>0</v>
      </c>
      <c r="I53" s="1993">
        <f>($D$12*F801ENE!I42)*0.95</f>
        <v>0</v>
      </c>
      <c r="J53" s="1646">
        <f t="shared" si="1"/>
        <v>0</v>
      </c>
      <c r="K53" s="69"/>
    </row>
    <row r="54" spans="2:11" s="37" customFormat="1" ht="15.75">
      <c r="B54" s="48"/>
      <c r="C54" s="1995" t="s">
        <v>307</v>
      </c>
      <c r="D54" s="1993">
        <f>($D$12*F801ENE!D43)*0.5</f>
        <v>0</v>
      </c>
      <c r="E54" s="1993">
        <f>($D$12*F801ENE!E43)*0.5</f>
        <v>0</v>
      </c>
      <c r="F54" s="1993">
        <f>($D$12*F801ENE!F43)*0.5</f>
        <v>0</v>
      </c>
      <c r="G54" s="1993">
        <f>($D$12*F801ENE!G43)*0.5</f>
        <v>0</v>
      </c>
      <c r="H54" s="1993">
        <f>($D$12*F801ENE!H43)*0.5</f>
        <v>0</v>
      </c>
      <c r="I54" s="1993">
        <f>($D$12*F801ENE!I43)*0.5</f>
        <v>0</v>
      </c>
      <c r="J54" s="1646">
        <f t="shared" si="1"/>
        <v>0</v>
      </c>
      <c r="K54" s="69"/>
    </row>
    <row r="55" spans="2:11" s="37" customFormat="1" ht="15.75">
      <c r="B55" s="48" t="s">
        <v>274</v>
      </c>
      <c r="C55" s="1996" t="s">
        <v>633</v>
      </c>
      <c r="D55" s="1646">
        <f t="shared" ref="D55:I55" si="10">SUBTOTAL(9,D56:D59)</f>
        <v>10702.653564848864</v>
      </c>
      <c r="E55" s="1646">
        <f t="shared" si="10"/>
        <v>10707.120241635947</v>
      </c>
      <c r="F55" s="1646">
        <f t="shared" si="10"/>
        <v>10504.891593526974</v>
      </c>
      <c r="G55" s="1646">
        <f t="shared" si="10"/>
        <v>10670.417770747152</v>
      </c>
      <c r="H55" s="1646">
        <f t="shared" si="10"/>
        <v>10208.071020747297</v>
      </c>
      <c r="I55" s="1646">
        <f t="shared" si="10"/>
        <v>10255.904714713768</v>
      </c>
      <c r="J55" s="1646">
        <f t="shared" si="1"/>
        <v>63049.058906220002</v>
      </c>
      <c r="K55" s="69"/>
    </row>
    <row r="56" spans="2:11" s="37" customFormat="1" ht="15.75">
      <c r="B56" s="48"/>
      <c r="C56" s="1995" t="s">
        <v>304</v>
      </c>
      <c r="D56" s="1993">
        <f>($D$12*F801ENE!D45)*1</f>
        <v>10702.653564848864</v>
      </c>
      <c r="E56" s="1993">
        <f>($D$12*F801ENE!E45)*1</f>
        <v>10707.120241635947</v>
      </c>
      <c r="F56" s="1993">
        <f>($D$12*F801ENE!F45)*1</f>
        <v>10504.891593526974</v>
      </c>
      <c r="G56" s="1993">
        <f>($D$12*F801ENE!G45)*1</f>
        <v>10670.417770747152</v>
      </c>
      <c r="H56" s="1993">
        <f>($D$12*F801ENE!H45)*1</f>
        <v>10208.071020747297</v>
      </c>
      <c r="I56" s="1993">
        <f>($D$12*F801ENE!I45)*1</f>
        <v>10255.904714713768</v>
      </c>
      <c r="J56" s="1646">
        <f t="shared" si="1"/>
        <v>63049.058906220002</v>
      </c>
      <c r="K56" s="69"/>
    </row>
    <row r="57" spans="2:11" s="37" customFormat="1" ht="15.75">
      <c r="B57" s="48"/>
      <c r="C57" s="1997" t="s">
        <v>306</v>
      </c>
      <c r="D57" s="1993">
        <f>($D$12*F801ENE!D46)*1</f>
        <v>0</v>
      </c>
      <c r="E57" s="1993">
        <f>($D$12*F801ENE!E46)*1</f>
        <v>0</v>
      </c>
      <c r="F57" s="1993">
        <f>($D$12*F801ENE!F46)*1</f>
        <v>0</v>
      </c>
      <c r="G57" s="1993">
        <f>($D$12*F801ENE!G46)*1</f>
        <v>0</v>
      </c>
      <c r="H57" s="1993">
        <f>($D$12*F801ENE!H46)*1</f>
        <v>0</v>
      </c>
      <c r="I57" s="1993">
        <f>($D$12*F801ENE!I46)*1</f>
        <v>0</v>
      </c>
      <c r="J57" s="1646">
        <f t="shared" si="1"/>
        <v>0</v>
      </c>
      <c r="K57" s="69"/>
    </row>
    <row r="58" spans="2:11" s="37" customFormat="1" ht="15.75">
      <c r="B58" s="48"/>
      <c r="C58" s="1995" t="s">
        <v>305</v>
      </c>
      <c r="D58" s="1993">
        <f>($D$12*F801ENE!D47)*0.95</f>
        <v>0</v>
      </c>
      <c r="E58" s="1993">
        <f>($D$12*F801ENE!E47)*0.95</f>
        <v>0</v>
      </c>
      <c r="F58" s="1993">
        <f>($D$12*F801ENE!F47)*0.95</f>
        <v>0</v>
      </c>
      <c r="G58" s="1993">
        <f>($D$12*F801ENE!G47)*0.95</f>
        <v>0</v>
      </c>
      <c r="H58" s="1993">
        <f>($D$12*F801ENE!H47)*0.95</f>
        <v>0</v>
      </c>
      <c r="I58" s="1993">
        <f>($D$12*F801ENE!I47)*0.95</f>
        <v>0</v>
      </c>
      <c r="J58" s="1646">
        <f t="shared" si="1"/>
        <v>0</v>
      </c>
      <c r="K58" s="69"/>
    </row>
    <row r="59" spans="2:11" s="37" customFormat="1" ht="15.75">
      <c r="B59" s="48"/>
      <c r="C59" s="1995" t="s">
        <v>307</v>
      </c>
      <c r="D59" s="1993">
        <f>($D$12*F801ENE!D48)*0.5</f>
        <v>0</v>
      </c>
      <c r="E59" s="1993">
        <f>($D$12*F801ENE!E48)*0.5</f>
        <v>0</v>
      </c>
      <c r="F59" s="1993">
        <f>($D$12*F801ENE!F48)*0.5</f>
        <v>0</v>
      </c>
      <c r="G59" s="1993">
        <f>($D$12*F801ENE!G48)*0.5</f>
        <v>0</v>
      </c>
      <c r="H59" s="1993">
        <f>($D$12*F801ENE!H48)*0.5</f>
        <v>0</v>
      </c>
      <c r="I59" s="1993">
        <f>($D$12*F801ENE!I48)*0.5</f>
        <v>0</v>
      </c>
      <c r="J59" s="1646">
        <f t="shared" si="1"/>
        <v>0</v>
      </c>
      <c r="K59" s="69"/>
    </row>
    <row r="60" spans="2:11" s="37" customFormat="1" ht="15.75">
      <c r="B60" s="48"/>
      <c r="C60" s="1994"/>
      <c r="D60" s="1993"/>
      <c r="E60" s="1993"/>
      <c r="F60" s="1993"/>
      <c r="G60" s="1993"/>
      <c r="H60" s="1993"/>
      <c r="I60" s="1993"/>
      <c r="J60" s="1646">
        <f t="shared" si="1"/>
        <v>0</v>
      </c>
      <c r="K60" s="69"/>
    </row>
    <row r="61" spans="2:11" s="37" customFormat="1" ht="15.75">
      <c r="B61" s="48" t="s">
        <v>1176</v>
      </c>
      <c r="C61" s="1996" t="s">
        <v>1176</v>
      </c>
      <c r="D61" s="1646">
        <f t="shared" ref="D61:I61" si="11">SUBTOTAL(9,D62:D67)</f>
        <v>2.4699999999999998</v>
      </c>
      <c r="E61" s="1646">
        <f t="shared" si="11"/>
        <v>2.4699999999999998</v>
      </c>
      <c r="F61" s="1646">
        <f t="shared" si="11"/>
        <v>2.4699999999999998</v>
      </c>
      <c r="G61" s="1646">
        <f t="shared" si="11"/>
        <v>2.4699999999999998</v>
      </c>
      <c r="H61" s="1646">
        <f t="shared" si="11"/>
        <v>2.4699999999999998</v>
      </c>
      <c r="I61" s="1646">
        <f t="shared" si="11"/>
        <v>2.4699999999999998</v>
      </c>
      <c r="J61" s="1646">
        <f t="shared" si="1"/>
        <v>14.819999999999997</v>
      </c>
      <c r="K61" s="69"/>
    </row>
    <row r="62" spans="2:11" s="37" customFormat="1" ht="15.75">
      <c r="B62" s="48"/>
      <c r="C62" s="1995" t="s">
        <v>304</v>
      </c>
      <c r="D62" s="1993">
        <f>($D$15*F801ENE!D51)*1</f>
        <v>2.4699999999999998</v>
      </c>
      <c r="E62" s="1993">
        <f>($D$15*F801ENE!E51)*1</f>
        <v>2.4699999999999998</v>
      </c>
      <c r="F62" s="1993">
        <f>($D$15*F801ENE!F51)*1</f>
        <v>2.4699999999999998</v>
      </c>
      <c r="G62" s="1993">
        <f>($D$15*F801ENE!G51)*1</f>
        <v>2.4699999999999998</v>
      </c>
      <c r="H62" s="1993">
        <f>($D$15*F801ENE!H51)*1</f>
        <v>2.4699999999999998</v>
      </c>
      <c r="I62" s="1993">
        <f>($D$15*F801ENE!I51)*1</f>
        <v>2.4699999999999998</v>
      </c>
      <c r="J62" s="1646">
        <f t="shared" si="1"/>
        <v>14.819999999999997</v>
      </c>
      <c r="K62" s="69"/>
    </row>
    <row r="63" spans="2:11" s="37" customFormat="1" ht="15.75">
      <c r="B63" s="48"/>
      <c r="C63" s="1998" t="s">
        <v>642</v>
      </c>
      <c r="D63" s="1993">
        <f>($D$15*F801ENE!D52)*0.75</f>
        <v>0</v>
      </c>
      <c r="E63" s="1993">
        <f>($D$15*F801ENE!E52)*0.75</f>
        <v>0</v>
      </c>
      <c r="F63" s="1993">
        <f>($D$15*F801ENE!F52)*0.75</f>
        <v>0</v>
      </c>
      <c r="G63" s="1993">
        <f>($D$15*F801ENE!G52)*0.75</f>
        <v>0</v>
      </c>
      <c r="H63" s="1993">
        <f>($D$15*F801ENE!H52)*0.75</f>
        <v>0</v>
      </c>
      <c r="I63" s="1993">
        <f>($D$15*F801ENE!I52)*0.75</f>
        <v>0</v>
      </c>
      <c r="J63" s="1646">
        <f t="shared" si="1"/>
        <v>0</v>
      </c>
      <c r="K63" s="69"/>
    </row>
    <row r="64" spans="2:11" s="37" customFormat="1" ht="15.75">
      <c r="B64" s="48"/>
      <c r="C64" s="1998" t="s">
        <v>1177</v>
      </c>
      <c r="D64" s="1993">
        <f>($D$15*F801ENE!D53)*1</f>
        <v>0</v>
      </c>
      <c r="E64" s="1993">
        <f>($D$15*F801ENE!E53)*1</f>
        <v>0</v>
      </c>
      <c r="F64" s="1993">
        <f>($D$15*F801ENE!F53)*1</f>
        <v>0</v>
      </c>
      <c r="G64" s="1993">
        <f>($D$15*F801ENE!G53)*1</f>
        <v>0</v>
      </c>
      <c r="H64" s="1993">
        <f>($D$15*F801ENE!H53)*1</f>
        <v>0</v>
      </c>
      <c r="I64" s="1993">
        <f>($D$15*F801ENE!I53)*1</f>
        <v>0</v>
      </c>
      <c r="J64" s="1646">
        <f t="shared" si="1"/>
        <v>0</v>
      </c>
      <c r="K64" s="69"/>
    </row>
    <row r="65" spans="2:11" s="37" customFormat="1" ht="15.75">
      <c r="B65" s="48"/>
      <c r="C65" s="1995" t="s">
        <v>305</v>
      </c>
      <c r="D65" s="1993">
        <f>($D$15*F801ENE!D54)*0.95</f>
        <v>0</v>
      </c>
      <c r="E65" s="1993">
        <f>($D$15*F801ENE!E54)*0.95</f>
        <v>0</v>
      </c>
      <c r="F65" s="1993">
        <f>($D$15*F801ENE!F54)*0.95</f>
        <v>0</v>
      </c>
      <c r="G65" s="1993">
        <f>($D$15*F801ENE!G54)*0.95</f>
        <v>0</v>
      </c>
      <c r="H65" s="1993">
        <f>($D$15*F801ENE!H54)*0.95</f>
        <v>0</v>
      </c>
      <c r="I65" s="1993">
        <f>($D$15*F801ENE!I54)*0.95</f>
        <v>0</v>
      </c>
      <c r="J65" s="1646">
        <f t="shared" si="1"/>
        <v>0</v>
      </c>
      <c r="K65" s="69"/>
    </row>
    <row r="66" spans="2:11" s="37" customFormat="1" ht="15.75">
      <c r="B66" s="48"/>
      <c r="C66" s="1995" t="s">
        <v>307</v>
      </c>
      <c r="D66" s="1993">
        <f>($D$15*F801ENE!D55)*0.5</f>
        <v>0</v>
      </c>
      <c r="E66" s="1993">
        <f>($D$15*F801ENE!E55)*0.5</f>
        <v>0</v>
      </c>
      <c r="F66" s="1993">
        <f>($D$15*F801ENE!F55)*0.5</f>
        <v>0</v>
      </c>
      <c r="G66" s="1993">
        <f>($D$15*F801ENE!G55)*0.5</f>
        <v>0</v>
      </c>
      <c r="H66" s="1993">
        <f>($D$15*F801ENE!H55)*0.5</f>
        <v>0</v>
      </c>
      <c r="I66" s="1993">
        <f>($D$15*F801ENE!I55)*0.5</f>
        <v>0</v>
      </c>
      <c r="J66" s="1646">
        <f t="shared" si="1"/>
        <v>0</v>
      </c>
      <c r="K66" s="69"/>
    </row>
    <row r="67" spans="2:11" s="37" customFormat="1" ht="15.75">
      <c r="B67" s="48"/>
      <c r="C67" s="1995" t="s">
        <v>624</v>
      </c>
      <c r="D67" s="1993">
        <f>($D$15*F801ENE!D56)*0</f>
        <v>0</v>
      </c>
      <c r="E67" s="1993">
        <f>($D$15*F801ENE!E56)*0</f>
        <v>0</v>
      </c>
      <c r="F67" s="1993">
        <f>($D$15*F801ENE!F56)*0</f>
        <v>0</v>
      </c>
      <c r="G67" s="1993">
        <f>($D$15*F801ENE!G56)*0</f>
        <v>0</v>
      </c>
      <c r="H67" s="1993">
        <f>($D$15*F801ENE!H56)*0</f>
        <v>0</v>
      </c>
      <c r="I67" s="1993">
        <f>($D$15*F801ENE!I56)*0</f>
        <v>0</v>
      </c>
      <c r="J67" s="1646">
        <f t="shared" si="1"/>
        <v>0</v>
      </c>
      <c r="K67" s="69"/>
    </row>
    <row r="68" spans="2:11" s="37" customFormat="1" ht="15.75">
      <c r="B68" s="48" t="s">
        <v>751</v>
      </c>
      <c r="C68" s="1996" t="s">
        <v>634</v>
      </c>
      <c r="D68" s="1646">
        <f t="shared" ref="D68:I68" si="12">SUBTOTAL(9,D69:D73)</f>
        <v>202839.71874246639</v>
      </c>
      <c r="E68" s="1646">
        <f t="shared" si="12"/>
        <v>202924.37352068635</v>
      </c>
      <c r="F68" s="1646">
        <f t="shared" si="12"/>
        <v>199091.63115506421</v>
      </c>
      <c r="G68" s="1646">
        <f t="shared" si="12"/>
        <v>202228.76923111657</v>
      </c>
      <c r="H68" s="1646">
        <f t="shared" si="12"/>
        <v>193466.13350713515</v>
      </c>
      <c r="I68" s="1646">
        <f t="shared" si="12"/>
        <v>194372.70251743041</v>
      </c>
      <c r="J68" s="1646">
        <f t="shared" si="1"/>
        <v>1194923.3286738992</v>
      </c>
      <c r="K68" s="69"/>
    </row>
    <row r="69" spans="2:11" s="37" customFormat="1" ht="15.75">
      <c r="B69" s="48"/>
      <c r="C69" s="1995" t="s">
        <v>304</v>
      </c>
      <c r="D69" s="1993">
        <f>($D$14*(F801ENE!D66))*1</f>
        <v>143346.83128434423</v>
      </c>
      <c r="E69" s="1993">
        <f>($D$14*(F801ENE!E66))*1</f>
        <v>143406.65712665636</v>
      </c>
      <c r="F69" s="1993">
        <f>($D$14*(F801ENE!F66))*1</f>
        <v>140698.044036999</v>
      </c>
      <c r="G69" s="1993">
        <f>($D$14*(F801ENE!G66))*1</f>
        <v>142915.07102349162</v>
      </c>
      <c r="H69" s="1993">
        <f>($D$14*(F801ENE!H66))*1</f>
        <v>136722.48421286664</v>
      </c>
      <c r="I69" s="1993">
        <f>($D$14*(F801ENE!I66))*1</f>
        <v>137363.15985806222</v>
      </c>
      <c r="J69" s="1646">
        <f t="shared" si="1"/>
        <v>844452.24754242017</v>
      </c>
      <c r="K69" s="69"/>
    </row>
    <row r="70" spans="2:11" s="37" customFormat="1" ht="15.75">
      <c r="B70" s="48"/>
      <c r="C70" s="1998" t="s">
        <v>644</v>
      </c>
      <c r="D70" s="1993">
        <f>($D$14*(F801ENE!D67))*0.75</f>
        <v>59480.2194592468</v>
      </c>
      <c r="E70" s="1993">
        <f>($D$14*(F801ENE!E67))*0.75</f>
        <v>59505.043108254904</v>
      </c>
      <c r="F70" s="1993">
        <f>($D$14*(F801ENE!F67))*0.75</f>
        <v>58381.153196506806</v>
      </c>
      <c r="G70" s="1993">
        <f>($D$14*(F801ENE!G67))*0.75</f>
        <v>59301.068364053892</v>
      </c>
      <c r="H70" s="1993">
        <f>($D$14*(F801ENE!H67))*0.75</f>
        <v>56731.566698917144</v>
      </c>
      <c r="I70" s="1993">
        <f>($D$14*(F801ENE!I67))*0.75</f>
        <v>56997.403446545475</v>
      </c>
      <c r="J70" s="1646">
        <f t="shared" si="1"/>
        <v>350396.45427352499</v>
      </c>
      <c r="K70" s="69"/>
    </row>
    <row r="71" spans="2:11" s="37" customFormat="1" ht="15.75">
      <c r="B71" s="48"/>
      <c r="C71" s="1995" t="s">
        <v>305</v>
      </c>
      <c r="D71" s="1993">
        <f>($D$14*(F801ENE!D68))*0.95</f>
        <v>12.224938596678362</v>
      </c>
      <c r="E71" s="1993">
        <f>($D$14*(F801ENE!E68))*0.95</f>
        <v>12.230040588359437</v>
      </c>
      <c r="F71" s="1993">
        <f>($D$14*(F801ENE!F68))*0.95</f>
        <v>11.999048078825059</v>
      </c>
      <c r="G71" s="1993">
        <f>($D$14*(F801ENE!G68))*0.95</f>
        <v>12.188117765178879</v>
      </c>
      <c r="H71" s="1993">
        <f>($D$14*(F801ENE!H68))*0.95</f>
        <v>11.660009423179879</v>
      </c>
      <c r="I71" s="1993">
        <f>($D$14*(F801ENE!I68))*0.95</f>
        <v>11.714646711778382</v>
      </c>
      <c r="J71" s="1646">
        <f t="shared" si="1"/>
        <v>72.016801164</v>
      </c>
      <c r="K71" s="69"/>
    </row>
    <row r="72" spans="2:11" s="37" customFormat="1" ht="15.75">
      <c r="B72" s="48"/>
      <c r="C72" s="1995" t="s">
        <v>307</v>
      </c>
      <c r="D72" s="1993">
        <f>($D$14*(F801ENE!D69))*0.5</f>
        <v>0.4430602786554147</v>
      </c>
      <c r="E72" s="1993">
        <f>($D$14*(F801ENE!E69))*0.5</f>
        <v>0.44324518672984287</v>
      </c>
      <c r="F72" s="1993">
        <f>($D$14*(F801ENE!F69))*0.5</f>
        <v>0.43487347959755335</v>
      </c>
      <c r="G72" s="1993">
        <f>($D$14*(F801ENE!G69))*0.5</f>
        <v>0.44172580586968496</v>
      </c>
      <c r="H72" s="1993">
        <f>($D$14*(F801ENE!H69))*0.5</f>
        <v>0.42258592820764895</v>
      </c>
      <c r="I72" s="1993">
        <f>($D$14*(F801ENE!I69))*0.5</f>
        <v>0.42456611093985547</v>
      </c>
      <c r="J72" s="1646">
        <f t="shared" si="1"/>
        <v>2.6100567900000002</v>
      </c>
      <c r="K72" s="69"/>
    </row>
    <row r="73" spans="2:11" s="37" customFormat="1" ht="15.75">
      <c r="B73" s="48"/>
      <c r="C73" s="1995" t="s">
        <v>624</v>
      </c>
      <c r="D73" s="1993">
        <f>($D$14*(F801ENE!D70))*0</f>
        <v>0</v>
      </c>
      <c r="E73" s="1993">
        <f>($D$14*(F801ENE!E70))*0</f>
        <v>0</v>
      </c>
      <c r="F73" s="1993">
        <f>($D$14*(F801ENE!F70))*0</f>
        <v>0</v>
      </c>
      <c r="G73" s="1993">
        <f>($D$14*(F801ENE!G70))*0</f>
        <v>0</v>
      </c>
      <c r="H73" s="1993">
        <f>($D$14*(F801ENE!H70))*0</f>
        <v>0</v>
      </c>
      <c r="I73" s="1993">
        <f>($D$14*(F801ENE!I70))*0</f>
        <v>0</v>
      </c>
      <c r="J73" s="1646">
        <f t="shared" si="1"/>
        <v>0</v>
      </c>
      <c r="K73" s="69"/>
    </row>
    <row r="74" spans="2:11" s="37" customFormat="1" ht="15.75">
      <c r="B74" s="48" t="s">
        <v>750</v>
      </c>
      <c r="C74" s="1996" t="s">
        <v>635</v>
      </c>
      <c r="D74" s="1646">
        <f t="shared" ref="D74:I74" si="13">SUBTOTAL(9,D75:D80)</f>
        <v>76312.687039416953</v>
      </c>
      <c r="E74" s="1646">
        <f t="shared" si="13"/>
        <v>76344.535599747673</v>
      </c>
      <c r="F74" s="1646">
        <f t="shared" si="13"/>
        <v>74902.593053440258</v>
      </c>
      <c r="G74" s="1646">
        <f t="shared" si="13"/>
        <v>76082.837493054874</v>
      </c>
      <c r="H74" s="1646">
        <f t="shared" si="13"/>
        <v>72786.18562792195</v>
      </c>
      <c r="I74" s="1646">
        <f t="shared" si="13"/>
        <v>73127.25223308531</v>
      </c>
      <c r="J74" s="1646">
        <f t="shared" si="1"/>
        <v>449556.09104666696</v>
      </c>
      <c r="K74" s="69"/>
    </row>
    <row r="75" spans="2:11" s="37" customFormat="1" ht="15.75">
      <c r="B75" s="48"/>
      <c r="C75" s="1995" t="s">
        <v>304</v>
      </c>
      <c r="D75" s="1993">
        <f>($D$14*(F801ENE!D72))*1</f>
        <v>54908.319329997095</v>
      </c>
      <c r="E75" s="1993">
        <f>($D$14*(F801ENE!E72))*1</f>
        <v>54931.234928814054</v>
      </c>
      <c r="F75" s="1993">
        <f>($D$14*(F801ENE!F72))*1</f>
        <v>53893.731928202084</v>
      </c>
      <c r="G75" s="1993">
        <f>($D$14*(F801ENE!G72))*1</f>
        <v>54742.938542357071</v>
      </c>
      <c r="H75" s="1993">
        <f>($D$14*(F801ENE!H72))*1</f>
        <v>52370.939594959884</v>
      </c>
      <c r="I75" s="1993">
        <f>($D$14*(F801ENE!I72))*1</f>
        <v>52616.343010769822</v>
      </c>
      <c r="J75" s="1646">
        <f t="shared" si="1"/>
        <v>323463.50733509997</v>
      </c>
      <c r="K75" s="69"/>
    </row>
    <row r="76" spans="2:11" s="37" customFormat="1" ht="15.75">
      <c r="B76" s="48"/>
      <c r="C76" s="1998" t="s">
        <v>642</v>
      </c>
      <c r="D76" s="1993">
        <f>($D$14*(F801ENE!D73))*0.75</f>
        <v>17279.652924071386</v>
      </c>
      <c r="E76" s="1993">
        <f>($D$14*(F801ENE!E73))*0.75</f>
        <v>17286.864465035233</v>
      </c>
      <c r="F76" s="1993">
        <f>($D$14*(F801ENE!F73))*0.75</f>
        <v>16960.362179461481</v>
      </c>
      <c r="G76" s="1993">
        <f>($D$14*(F801ENE!G73))*0.75</f>
        <v>17227.607575650603</v>
      </c>
      <c r="H76" s="1993">
        <f>($D$14*(F801ENE!H73))*0.75</f>
        <v>16481.139298212467</v>
      </c>
      <c r="I76" s="1993">
        <f>($D$14*(F801ENE!I73))*0.75</f>
        <v>16558.367774758837</v>
      </c>
      <c r="J76" s="1646">
        <f t="shared" si="1"/>
        <v>101793.99421719</v>
      </c>
      <c r="K76" s="69"/>
    </row>
    <row r="77" spans="2:11" s="37" customFormat="1" ht="15.75">
      <c r="B77" s="48"/>
      <c r="C77" s="1998" t="s">
        <v>1177</v>
      </c>
      <c r="D77" s="1993">
        <f>($D$14*(F801ENE!D74))*1</f>
        <v>4112.0541230754779</v>
      </c>
      <c r="E77" s="1993">
        <f>($D$14*(F801ENE!E74))*1</f>
        <v>4113.7702597875077</v>
      </c>
      <c r="F77" s="1993">
        <f>($D$14*(F801ENE!F74))*1</f>
        <v>4036.0722252559908</v>
      </c>
      <c r="G77" s="1993">
        <f>($D$14*(F801ENE!G74))*1</f>
        <v>4099.6688459810275</v>
      </c>
      <c r="H77" s="1993">
        <f>($D$14*(F801ENE!H74))*1</f>
        <v>3922.0311369672904</v>
      </c>
      <c r="I77" s="1993">
        <f>($D$14*(F801ENE!I74))*1</f>
        <v>3940.4092650927091</v>
      </c>
      <c r="J77" s="1646">
        <f t="shared" si="1"/>
        <v>24224.005856160002</v>
      </c>
      <c r="K77" s="69"/>
    </row>
    <row r="78" spans="2:11" s="37" customFormat="1" ht="15.75">
      <c r="B78" s="48"/>
      <c r="C78" s="1995" t="s">
        <v>305</v>
      </c>
      <c r="D78" s="1993">
        <f>($D$14*(F801ENE!D75))*0.95</f>
        <v>12.071310584591631</v>
      </c>
      <c r="E78" s="1993">
        <f>($D$14*(F801ENE!E75))*0.95</f>
        <v>12.076348460708159</v>
      </c>
      <c r="F78" s="1993">
        <f>($D$14*(F801ENE!F75))*0.95</f>
        <v>11.848258781299764</v>
      </c>
      <c r="G78" s="1993">
        <f>($D$14*(F801ENE!G75))*0.95</f>
        <v>12.034952472074488</v>
      </c>
      <c r="H78" s="1993">
        <f>($D$14*(F801ENE!H75))*0.95</f>
        <v>11.513480747029112</v>
      </c>
      <c r="I78" s="1993">
        <f>($D$14*(F801ENE!I75))*0.95</f>
        <v>11.567431421296849</v>
      </c>
      <c r="J78" s="1646">
        <f t="shared" si="1"/>
        <v>71.111782466999998</v>
      </c>
      <c r="K78" s="69"/>
    </row>
    <row r="79" spans="2:11" s="37" customFormat="1" ht="15.75">
      <c r="B79" s="48"/>
      <c r="C79" s="1995" t="s">
        <v>307</v>
      </c>
      <c r="D79" s="1993">
        <f>($D$14*(F801ENE!D76))*0.5</f>
        <v>0.58935168841533281</v>
      </c>
      <c r="E79" s="1993">
        <f>($D$14*(F801ENE!E76))*0.5</f>
        <v>0.58959765017520127</v>
      </c>
      <c r="F79" s="1993">
        <f>($D$14*(F801ENE!F76))*0.5</f>
        <v>0.57846173939505474</v>
      </c>
      <c r="G79" s="1993">
        <f>($D$14*(F801ENE!G76))*0.5</f>
        <v>0.58757659408324581</v>
      </c>
      <c r="H79" s="1993">
        <f>($D$14*(F801ENE!H76))*0.5</f>
        <v>0.5621170352836703</v>
      </c>
      <c r="I79" s="1993">
        <f>($D$14*(F801ENE!I76))*0.5</f>
        <v>0.56475104264749554</v>
      </c>
      <c r="J79" s="1646">
        <f t="shared" si="1"/>
        <v>3.4718557500000009</v>
      </c>
      <c r="K79" s="69"/>
    </row>
    <row r="80" spans="2:11" s="37" customFormat="1" ht="15.75">
      <c r="B80" s="48"/>
      <c r="C80" s="1995" t="s">
        <v>624</v>
      </c>
      <c r="D80" s="1993">
        <f>($D$14*(F801ENE!D77))*0</f>
        <v>0</v>
      </c>
      <c r="E80" s="1993">
        <f>($D$14*(F801ENE!E77))*0</f>
        <v>0</v>
      </c>
      <c r="F80" s="1993">
        <f>($D$14*(F801ENE!F77))*0</f>
        <v>0</v>
      </c>
      <c r="G80" s="1993">
        <f>($D$14*(F801ENE!G77))*0</f>
        <v>0</v>
      </c>
      <c r="H80" s="1993">
        <f>($D$14*(F801ENE!H77))*0</f>
        <v>0</v>
      </c>
      <c r="I80" s="1993">
        <f>($D$14*(F801ENE!I77))*0</f>
        <v>0</v>
      </c>
      <c r="J80" s="1646">
        <f t="shared" si="1"/>
        <v>0</v>
      </c>
      <c r="K80" s="69"/>
    </row>
    <row r="81" spans="2:11" s="37" customFormat="1" ht="15.75">
      <c r="B81" s="48" t="s">
        <v>749</v>
      </c>
      <c r="C81" s="1996" t="s">
        <v>636</v>
      </c>
      <c r="D81" s="1646">
        <f t="shared" ref="D81:I81" si="14">SUBTOTAL(9,D82:D87)</f>
        <v>75485.593061046937</v>
      </c>
      <c r="E81" s="1646">
        <f t="shared" si="14"/>
        <v>75517.096439554123</v>
      </c>
      <c r="F81" s="1646">
        <f t="shared" si="14"/>
        <v>74090.781989222291</v>
      </c>
      <c r="G81" s="1646">
        <f t="shared" si="14"/>
        <v>75258.234675500964</v>
      </c>
      <c r="H81" s="1646">
        <f t="shared" si="14"/>
        <v>71997.312660963245</v>
      </c>
      <c r="I81" s="1646">
        <f t="shared" si="14"/>
        <v>72334.682709940491</v>
      </c>
      <c r="J81" s="1646">
        <f t="shared" si="1"/>
        <v>444683.70153622807</v>
      </c>
      <c r="K81" s="69"/>
    </row>
    <row r="82" spans="2:11" s="37" customFormat="1" ht="15.75">
      <c r="B82" s="48"/>
      <c r="C82" s="1995" t="s">
        <v>304</v>
      </c>
      <c r="D82" s="1993">
        <f>($D$14*(F801ENE!D79))*1</f>
        <v>68728.209715592049</v>
      </c>
      <c r="E82" s="1993">
        <f>($D$14*(F801ENE!E79))*1</f>
        <v>68756.89294794132</v>
      </c>
      <c r="F82" s="1993">
        <f>($D$14*(F801ENE!F79))*1</f>
        <v>67458.260524354104</v>
      </c>
      <c r="G82" s="1993">
        <f>($D$14*(F801ENE!G79))*1</f>
        <v>68521.204190845572</v>
      </c>
      <c r="H82" s="1993">
        <f>($D$14*(F801ENE!H79))*1</f>
        <v>65552.196159073312</v>
      </c>
      <c r="I82" s="1993">
        <f>($D$14*(F801ENE!I79))*1</f>
        <v>65859.365229853705</v>
      </c>
      <c r="J82" s="1646">
        <f t="shared" si="1"/>
        <v>404876.12876766012</v>
      </c>
      <c r="K82" s="69"/>
    </row>
    <row r="83" spans="2:11" s="37" customFormat="1" ht="15.75">
      <c r="B83" s="48"/>
      <c r="C83" s="1998" t="s">
        <v>642</v>
      </c>
      <c r="D83" s="1993">
        <f>($D$14*(F801ENE!D80))*0.75</f>
        <v>0</v>
      </c>
      <c r="E83" s="1993">
        <f>($D$14*(F801ENE!E80))*0.75</f>
        <v>0</v>
      </c>
      <c r="F83" s="1993">
        <f>($D$14*(F801ENE!F80))*0.75</f>
        <v>0</v>
      </c>
      <c r="G83" s="1993">
        <f>($D$14*(F801ENE!G80))*0.75</f>
        <v>0</v>
      </c>
      <c r="H83" s="1993">
        <f>($D$14*(F801ENE!H80))*0.75</f>
        <v>0</v>
      </c>
      <c r="I83" s="1993">
        <f>($D$14*(F801ENE!I80))*0.75</f>
        <v>0</v>
      </c>
      <c r="J83" s="1646">
        <f t="shared" si="1"/>
        <v>0</v>
      </c>
      <c r="K83" s="69"/>
    </row>
    <row r="84" spans="2:11" s="37" customFormat="1" ht="15.75">
      <c r="B84" s="48"/>
      <c r="C84" s="1998" t="s">
        <v>1177</v>
      </c>
      <c r="D84" s="1993">
        <f>($D$14*(F801ENE!D81))*1</f>
        <v>6709.547993265207</v>
      </c>
      <c r="E84" s="1993">
        <f>($D$14*(F801ENE!E81))*1</f>
        <v>6712.3481756771425</v>
      </c>
      <c r="F84" s="1993">
        <f>($D$14*(F801ENE!F81))*1</f>
        <v>6585.5700068913475</v>
      </c>
      <c r="G84" s="1993">
        <f>($D$14*(F801ENE!G81))*1</f>
        <v>6689.3392098718232</v>
      </c>
      <c r="H84" s="1993">
        <f>($D$14*(F801ENE!H81))*1</f>
        <v>6399.4916790835059</v>
      </c>
      <c r="I84" s="1993">
        <f>($D$14*(F801ENE!I81))*1</f>
        <v>6429.4788652909792</v>
      </c>
      <c r="J84" s="1646">
        <f t="shared" ref="J84:J110" si="15">SUM(D84:I84)</f>
        <v>39525.775930080003</v>
      </c>
      <c r="K84" s="69"/>
    </row>
    <row r="85" spans="2:11" s="37" customFormat="1" ht="15.75">
      <c r="B85" s="48"/>
      <c r="C85" s="1995" t="s">
        <v>305</v>
      </c>
      <c r="D85" s="1993">
        <f>($D$14*(F801ENE!D82))*0.95</f>
        <v>47.636404685139162</v>
      </c>
      <c r="E85" s="1993">
        <f>($D$14*(F801ENE!E82))*0.95</f>
        <v>47.65628540179862</v>
      </c>
      <c r="F85" s="1993">
        <f>($D$14*(F801ENE!F82))*0.95</f>
        <v>46.756186593416459</v>
      </c>
      <c r="G85" s="1993">
        <f>($D$14*(F801ENE!G82))*0.95</f>
        <v>47.492926497802564</v>
      </c>
      <c r="H85" s="1993">
        <f>($D$14*(F801ENE!H82))*0.95</f>
        <v>45.435068906280783</v>
      </c>
      <c r="I85" s="1993">
        <f>($D$14*(F801ENE!I82))*0.95</f>
        <v>45.647971733562393</v>
      </c>
      <c r="J85" s="1646">
        <f t="shared" si="15"/>
        <v>280.62484381799993</v>
      </c>
      <c r="K85" s="69"/>
    </row>
    <row r="86" spans="2:11" s="37" customFormat="1" ht="15.75">
      <c r="B86" s="48"/>
      <c r="C86" s="1995" t="s">
        <v>307</v>
      </c>
      <c r="D86" s="1993">
        <f>($D$14*(F801ENE!D83))*0.5</f>
        <v>0.19894750453796092</v>
      </c>
      <c r="E86" s="1993">
        <f>($D$14*(F801ENE!E83))*0.5</f>
        <v>0.1990305338722268</v>
      </c>
      <c r="F86" s="1993">
        <f>($D$14*(F801ENE!F83))*0.5</f>
        <v>0.19527138342943343</v>
      </c>
      <c r="G86" s="1993">
        <f>($D$14*(F801ENE!G83))*0.5</f>
        <v>0.19834828577838165</v>
      </c>
      <c r="H86" s="1993">
        <f>($D$14*(F801ENE!H83))*0.5</f>
        <v>0.18975390013501092</v>
      </c>
      <c r="I86" s="1993">
        <f>($D$14*(F801ENE!I83))*0.5</f>
        <v>0.19064306224698632</v>
      </c>
      <c r="J86" s="1646">
        <f t="shared" si="15"/>
        <v>1.1719946699999999</v>
      </c>
      <c r="K86" s="69"/>
    </row>
    <row r="87" spans="2:11" s="37" customFormat="1" ht="15.75">
      <c r="B87" s="48"/>
      <c r="C87" s="1995" t="s">
        <v>624</v>
      </c>
      <c r="D87" s="1993">
        <f>($D$14*(F801ENE!D84))*0</f>
        <v>0</v>
      </c>
      <c r="E87" s="1993">
        <f>($D$14*(F801ENE!E84))*0</f>
        <v>0</v>
      </c>
      <c r="F87" s="1993">
        <f>($D$14*(F801ENE!F84))*0</f>
        <v>0</v>
      </c>
      <c r="G87" s="1993">
        <f>($D$14*(F801ENE!G84))*0</f>
        <v>0</v>
      </c>
      <c r="H87" s="1993">
        <f>($D$14*(F801ENE!H84))*0</f>
        <v>0</v>
      </c>
      <c r="I87" s="1993">
        <f>($D$14*(F801ENE!I84))*0</f>
        <v>0</v>
      </c>
      <c r="J87" s="1646">
        <f t="shared" si="15"/>
        <v>0</v>
      </c>
      <c r="K87" s="69"/>
    </row>
    <row r="88" spans="2:11" s="37" customFormat="1" ht="15.75">
      <c r="B88" s="48"/>
      <c r="C88" s="1994"/>
      <c r="D88" s="1993"/>
      <c r="E88" s="1993"/>
      <c r="F88" s="1993"/>
      <c r="G88" s="1993"/>
      <c r="H88" s="1993"/>
      <c r="I88" s="1993"/>
      <c r="J88" s="1646">
        <f t="shared" si="15"/>
        <v>0</v>
      </c>
      <c r="K88" s="69"/>
    </row>
    <row r="89" spans="2:11" s="37" customFormat="1" ht="15.75">
      <c r="B89" s="48" t="s">
        <v>902</v>
      </c>
      <c r="C89" s="1996" t="s">
        <v>898</v>
      </c>
      <c r="D89" s="1646">
        <f t="shared" ref="D89:I89" si="16">SUBTOTAL(9,D90:D94)</f>
        <v>33968.247900922193</v>
      </c>
      <c r="E89" s="1646">
        <f t="shared" si="16"/>
        <v>33982.424308994974</v>
      </c>
      <c r="F89" s="1646">
        <f t="shared" si="16"/>
        <v>33340.587888708025</v>
      </c>
      <c r="G89" s="1646">
        <f t="shared" si="16"/>
        <v>33865.937437568842</v>
      </c>
      <c r="H89" s="1646">
        <f t="shared" si="16"/>
        <v>32398.534150615626</v>
      </c>
      <c r="I89" s="1646">
        <f t="shared" si="16"/>
        <v>32550.349470510348</v>
      </c>
      <c r="J89" s="1646">
        <f t="shared" si="15"/>
        <v>200106.08115732</v>
      </c>
      <c r="K89" s="69"/>
    </row>
    <row r="90" spans="2:11" s="37" customFormat="1" ht="13.5">
      <c r="B90" s="48"/>
      <c r="C90" s="1995" t="s">
        <v>304</v>
      </c>
      <c r="D90" s="1993">
        <f>($D$13*(F801ENE!D87))*$K90</f>
        <v>32671.062775885694</v>
      </c>
      <c r="E90" s="1993">
        <f>($D$13*(F801ENE!E87))*$K90</f>
        <v>32684.697812918905</v>
      </c>
      <c r="F90" s="1993">
        <f>($D$13*(F801ENE!F87))*$K90</f>
        <v>32067.371949064873</v>
      </c>
      <c r="G90" s="1993">
        <f>($D$13*(F801ENE!G87))*$K90</f>
        <v>32572.659361597238</v>
      </c>
      <c r="H90" s="1993">
        <f>($D$13*(F801ENE!H87))*$K90</f>
        <v>31161.293516487283</v>
      </c>
      <c r="I90" s="1993">
        <f>($D$13*(F801ENE!I87))*$K90</f>
        <v>31307.31128758601</v>
      </c>
      <c r="J90" s="1646">
        <f t="shared" si="15"/>
        <v>192464.39670354</v>
      </c>
      <c r="K90" s="492">
        <v>1</v>
      </c>
    </row>
    <row r="91" spans="2:11" s="37" customFormat="1" ht="13.5">
      <c r="B91" s="48"/>
      <c r="C91" s="1998" t="s">
        <v>644</v>
      </c>
      <c r="D91" s="1993">
        <f>($D$13*(F801ENE!D88))*$K91</f>
        <v>1297.1851250365003</v>
      </c>
      <c r="E91" s="1993">
        <f>($D$13*(F801ENE!E88))*$K91</f>
        <v>1297.7264960760695</v>
      </c>
      <c r="F91" s="1993">
        <f>($D$13*(F801ENE!F88))*$K91</f>
        <v>1273.2159396431512</v>
      </c>
      <c r="G91" s="1993">
        <f>($D$13*(F801ENE!G88))*$K91</f>
        <v>1293.2780759716011</v>
      </c>
      <c r="H91" s="1993">
        <f>($D$13*(F801ENE!H88))*$K91</f>
        <v>1237.2406341283408</v>
      </c>
      <c r="I91" s="1993">
        <f>($D$13*(F801ENE!I88))*$K91</f>
        <v>1243.038182924337</v>
      </c>
      <c r="J91" s="1646">
        <f t="shared" si="15"/>
        <v>7641.6844537799998</v>
      </c>
      <c r="K91" s="492">
        <v>0.75</v>
      </c>
    </row>
    <row r="92" spans="2:11" s="37" customFormat="1" ht="13.5">
      <c r="B92" s="48"/>
      <c r="C92" s="1995" t="s">
        <v>305</v>
      </c>
      <c r="D92" s="1993">
        <f>($D$13*(F801ENE!D89))*$K92</f>
        <v>0</v>
      </c>
      <c r="E92" s="1993">
        <f>($D$13*(F801ENE!E89))*$K92</f>
        <v>0</v>
      </c>
      <c r="F92" s="1993">
        <f>($D$13*(F801ENE!F89))*$K92</f>
        <v>0</v>
      </c>
      <c r="G92" s="1993">
        <f>($D$13*(F801ENE!G89))*$K92</f>
        <v>0</v>
      </c>
      <c r="H92" s="1993">
        <f>($D$13*(F801ENE!H89))*$K92</f>
        <v>0</v>
      </c>
      <c r="I92" s="1993">
        <f>($D$13*(F801ENE!I89))*$K92</f>
        <v>0</v>
      </c>
      <c r="J92" s="1646">
        <f t="shared" si="15"/>
        <v>0</v>
      </c>
      <c r="K92" s="492">
        <v>0.95</v>
      </c>
    </row>
    <row r="93" spans="2:11" s="37" customFormat="1" ht="13.5">
      <c r="B93" s="48"/>
      <c r="C93" s="1995" t="s">
        <v>307</v>
      </c>
      <c r="D93" s="1993">
        <f>($D$13*(F801ENE!D90))*$K93</f>
        <v>0</v>
      </c>
      <c r="E93" s="1993">
        <f>($D$13*(F801ENE!E90))*$K93</f>
        <v>0</v>
      </c>
      <c r="F93" s="1993">
        <f>($D$13*(F801ENE!F90))*$K93</f>
        <v>0</v>
      </c>
      <c r="G93" s="1993">
        <f>($D$13*(F801ENE!G90))*$K93</f>
        <v>0</v>
      </c>
      <c r="H93" s="1993">
        <f>($D$13*(F801ENE!H90))*$K93</f>
        <v>0</v>
      </c>
      <c r="I93" s="1993">
        <f>($D$13*(F801ENE!I90))*$K93</f>
        <v>0</v>
      </c>
      <c r="J93" s="1646">
        <f t="shared" si="15"/>
        <v>0</v>
      </c>
      <c r="K93" s="492">
        <v>0.5</v>
      </c>
    </row>
    <row r="94" spans="2:11" s="37" customFormat="1" ht="13.5">
      <c r="B94" s="48"/>
      <c r="C94" s="1995" t="s">
        <v>624</v>
      </c>
      <c r="D94" s="1993">
        <f>($D$13*(F801ENE!D91))*$K94</f>
        <v>0</v>
      </c>
      <c r="E94" s="1993">
        <f>($D$13*(F801ENE!E91))*$K94</f>
        <v>0</v>
      </c>
      <c r="F94" s="1993">
        <f>($D$13*(F801ENE!F91))*$K94</f>
        <v>0</v>
      </c>
      <c r="G94" s="1993">
        <f>($D$13*(F801ENE!G91))*$K94</f>
        <v>0</v>
      </c>
      <c r="H94" s="1993">
        <f>($D$13*(F801ENE!H91))*$K94</f>
        <v>0</v>
      </c>
      <c r="I94" s="1993">
        <f>($D$13*(F801ENE!I91))*$K94</f>
        <v>0</v>
      </c>
      <c r="J94" s="1646">
        <f t="shared" si="15"/>
        <v>0</v>
      </c>
      <c r="K94" s="492">
        <v>0</v>
      </c>
    </row>
    <row r="95" spans="2:11" s="37" customFormat="1" ht="13.5">
      <c r="B95" s="48" t="s">
        <v>902</v>
      </c>
      <c r="C95" s="1996" t="s">
        <v>899</v>
      </c>
      <c r="D95" s="1646">
        <f t="shared" ref="D95:I95" si="17">SUBTOTAL(9,D96:D101)</f>
        <v>2688.5640795709455</v>
      </c>
      <c r="E95" s="1646">
        <f t="shared" si="17"/>
        <v>2689.6861327787824</v>
      </c>
      <c r="F95" s="1646">
        <f t="shared" si="17"/>
        <v>2638.8852098234056</v>
      </c>
      <c r="G95" s="1646">
        <f t="shared" si="17"/>
        <v>2680.4662748935184</v>
      </c>
      <c r="H95" s="1646">
        <f t="shared" si="17"/>
        <v>2564.3222871596195</v>
      </c>
      <c r="I95" s="1646">
        <f t="shared" si="17"/>
        <v>2576.3383680887291</v>
      </c>
      <c r="J95" s="1646">
        <f t="shared" si="15"/>
        <v>15838.262352315</v>
      </c>
      <c r="K95" s="492"/>
    </row>
    <row r="96" spans="2:11" s="37" customFormat="1" ht="13.5">
      <c r="B96" s="48"/>
      <c r="C96" s="1995" t="s">
        <v>304</v>
      </c>
      <c r="D96" s="1993">
        <f>($D$13*(F801ENE!D93))*$K96</f>
        <v>2442.2140066189304</v>
      </c>
      <c r="E96" s="1993">
        <f>($D$13*(F801ENE!E93))*$K96</f>
        <v>2443.2332473657561</v>
      </c>
      <c r="F96" s="1993">
        <f>($D$13*(F801ENE!F93))*$K96</f>
        <v>2397.0871552813192</v>
      </c>
      <c r="G96" s="1993">
        <f>($D$13*(F801ENE!G93))*$K96</f>
        <v>2434.8581945866458</v>
      </c>
      <c r="H96" s="1993">
        <f>($D$13*(F801ENE!H93))*$K96</f>
        <v>2329.3563485329814</v>
      </c>
      <c r="I96" s="1993">
        <f>($D$13*(F801ENE!I93))*$K96</f>
        <v>2340.2714096143677</v>
      </c>
      <c r="J96" s="1646">
        <f t="shared" si="15"/>
        <v>14387.020362000001</v>
      </c>
      <c r="K96" s="492">
        <v>1</v>
      </c>
    </row>
    <row r="97" spans="1:11" s="37" customFormat="1" ht="13.5">
      <c r="B97" s="48"/>
      <c r="C97" s="1998" t="s">
        <v>642</v>
      </c>
      <c r="D97" s="1993">
        <f>($D$13*(F801ENE!D94))*$K97</f>
        <v>223.39185888052813</v>
      </c>
      <c r="E97" s="1993">
        <f>($D$13*(F801ENE!E94))*$K97</f>
        <v>223.48508989323341</v>
      </c>
      <c r="F97" s="1993">
        <f>($D$13*(F801ENE!F94))*$K97</f>
        <v>219.26405878667364</v>
      </c>
      <c r="G97" s="1993">
        <f>($D$13*(F801ENE!G94))*$K97</f>
        <v>222.7190150924676</v>
      </c>
      <c r="H97" s="1993">
        <f>($D$13*(F801ENE!H94))*$K97</f>
        <v>213.06865134818463</v>
      </c>
      <c r="I97" s="1993">
        <f>($D$13*(F801ENE!I94))*$K97</f>
        <v>214.0670633539126</v>
      </c>
      <c r="J97" s="1646">
        <f t="shared" si="15"/>
        <v>1315.9957373550001</v>
      </c>
      <c r="K97" s="492">
        <v>0.75</v>
      </c>
    </row>
    <row r="98" spans="1:11" s="37" customFormat="1" ht="13.5">
      <c r="B98" s="48"/>
      <c r="C98" s="1998" t="s">
        <v>1177</v>
      </c>
      <c r="D98" s="1993">
        <f>($D$13*(F801ENE!D95))*$K98</f>
        <v>22.958214071487038</v>
      </c>
      <c r="E98" s="1993">
        <f>($D$13*(F801ENE!E95))*$K98</f>
        <v>22.967795519792794</v>
      </c>
      <c r="F98" s="1993">
        <f>($D$13*(F801ENE!F95))*$K98</f>
        <v>22.533995755412697</v>
      </c>
      <c r="G98" s="1993">
        <f>($D$13*(F801ENE!G95))*$K98</f>
        <v>22.889065214405257</v>
      </c>
      <c r="H98" s="1993">
        <f>($D$13*(F801ENE!H95))*$K98</f>
        <v>21.897287278453465</v>
      </c>
      <c r="I98" s="1993">
        <f>($D$13*(F801ENE!I95))*$K98</f>
        <v>21.999895120448745</v>
      </c>
      <c r="J98" s="1646">
        <f t="shared" si="15"/>
        <v>135.24625295999999</v>
      </c>
      <c r="K98" s="492">
        <v>1</v>
      </c>
    </row>
    <row r="99" spans="1:11" s="37" customFormat="1" ht="13.5">
      <c r="B99" s="48"/>
      <c r="C99" s="1995" t="s">
        <v>305</v>
      </c>
      <c r="D99" s="1993">
        <f>($D$13*(F801ENE!D96))*$K99</f>
        <v>0</v>
      </c>
      <c r="E99" s="1993">
        <f>($D$13*(F801ENE!E96))*$K99</f>
        <v>0</v>
      </c>
      <c r="F99" s="1993">
        <f>($D$13*(F801ENE!F96))*$K99</f>
        <v>0</v>
      </c>
      <c r="G99" s="1993">
        <f>($D$13*(F801ENE!G96))*$K99</f>
        <v>0</v>
      </c>
      <c r="H99" s="1993">
        <f>($D$13*(F801ENE!H96))*$K99</f>
        <v>0</v>
      </c>
      <c r="I99" s="1993">
        <f>($D$13*(F801ENE!I96))*$K99</f>
        <v>0</v>
      </c>
      <c r="J99" s="1646">
        <f t="shared" si="15"/>
        <v>0</v>
      </c>
      <c r="K99" s="492">
        <v>0.95</v>
      </c>
    </row>
    <row r="100" spans="1:11" s="37" customFormat="1" ht="13.5">
      <c r="B100" s="48"/>
      <c r="C100" s="1995" t="s">
        <v>307</v>
      </c>
      <c r="D100" s="1993">
        <f>($D$13*(F801ENE!D97))*$K100</f>
        <v>0</v>
      </c>
      <c r="E100" s="1993">
        <f>($D$13*(F801ENE!E97))*$K100</f>
        <v>0</v>
      </c>
      <c r="F100" s="1993">
        <f>($D$13*(F801ENE!F97))*$K100</f>
        <v>0</v>
      </c>
      <c r="G100" s="1993">
        <f>($D$13*(F801ENE!G97))*$K100</f>
        <v>0</v>
      </c>
      <c r="H100" s="1993">
        <f>($D$13*(F801ENE!H97))*$K100</f>
        <v>0</v>
      </c>
      <c r="I100" s="1993">
        <f>($D$13*(F801ENE!I97))*$K100</f>
        <v>0</v>
      </c>
      <c r="J100" s="1646">
        <f t="shared" si="15"/>
        <v>0</v>
      </c>
      <c r="K100" s="492">
        <v>0.5</v>
      </c>
    </row>
    <row r="101" spans="1:11" s="37" customFormat="1" ht="13.5">
      <c r="B101" s="48"/>
      <c r="C101" s="1995" t="s">
        <v>624</v>
      </c>
      <c r="D101" s="1993">
        <f>($D$13*(F801ENE!D98))*$K101</f>
        <v>0</v>
      </c>
      <c r="E101" s="1993">
        <f>($D$13*(F801ENE!E98))*$K101</f>
        <v>0</v>
      </c>
      <c r="F101" s="1993">
        <f>($D$13*(F801ENE!F98))*$K101</f>
        <v>0</v>
      </c>
      <c r="G101" s="1993">
        <f>($D$13*(F801ENE!G98))*$K101</f>
        <v>0</v>
      </c>
      <c r="H101" s="1993">
        <f>($D$13*(F801ENE!H98))*$K101</f>
        <v>0</v>
      </c>
      <c r="I101" s="1993">
        <f>($D$13*(F801ENE!I98))*$K101</f>
        <v>0</v>
      </c>
      <c r="J101" s="1646">
        <f t="shared" si="15"/>
        <v>0</v>
      </c>
      <c r="K101" s="492">
        <v>0</v>
      </c>
    </row>
    <row r="102" spans="1:11" s="37" customFormat="1" ht="13.5">
      <c r="B102" s="48" t="s">
        <v>902</v>
      </c>
      <c r="C102" s="1996" t="s">
        <v>900</v>
      </c>
      <c r="D102" s="1646">
        <f t="shared" ref="D102:I102" si="18">SUBTOTAL(9,D103:D108)</f>
        <v>297.31517446373033</v>
      </c>
      <c r="E102" s="1646">
        <f t="shared" si="18"/>
        <v>297.43925684948425</v>
      </c>
      <c r="F102" s="1646">
        <f t="shared" si="18"/>
        <v>291.82143081879252</v>
      </c>
      <c r="G102" s="1646">
        <f t="shared" si="18"/>
        <v>296.41967778253286</v>
      </c>
      <c r="H102" s="1646">
        <f t="shared" si="18"/>
        <v>283.57588125991913</v>
      </c>
      <c r="I102" s="1646">
        <f t="shared" si="18"/>
        <v>284.90468098054117</v>
      </c>
      <c r="J102" s="1646">
        <f t="shared" si="15"/>
        <v>1751.4761021550005</v>
      </c>
      <c r="K102" s="492"/>
    </row>
    <row r="103" spans="1:11" s="37" customFormat="1" ht="13.5">
      <c r="C103" s="1995" t="s">
        <v>304</v>
      </c>
      <c r="D103" s="1993">
        <f>($D$13*(F801ENE!D100))*$K103</f>
        <v>288.84296625886253</v>
      </c>
      <c r="E103" s="1993">
        <f>($D$13*(F801ENE!E100))*$K103</f>
        <v>288.96351282842897</v>
      </c>
      <c r="F103" s="1993">
        <f>($D$13*(F801ENE!F100))*$K103</f>
        <v>283.50577076209117</v>
      </c>
      <c r="G103" s="1993">
        <f>($D$13*(F801ENE!G100))*$K103</f>
        <v>287.9729873950572</v>
      </c>
      <c r="H103" s="1993">
        <f>($D$13*(F801ENE!H100))*$K103</f>
        <v>275.49518402592719</v>
      </c>
      <c r="I103" s="1993">
        <f>($D$13*(F801ENE!I100))*$K103</f>
        <v>276.78611864963318</v>
      </c>
      <c r="J103" s="1646">
        <f t="shared" si="15"/>
        <v>1701.5665399200004</v>
      </c>
      <c r="K103" s="492">
        <v>1</v>
      </c>
    </row>
    <row r="104" spans="1:11" s="37" customFormat="1" ht="13.5">
      <c r="C104" s="1998" t="s">
        <v>642</v>
      </c>
      <c r="D104" s="1993">
        <f>($D$13*(F801ENE!D101))*$K104</f>
        <v>8.4722082048677798</v>
      </c>
      <c r="E104" s="1993">
        <f>($D$13*(F801ENE!E101))*$K104</f>
        <v>8.4757440210552986</v>
      </c>
      <c r="F104" s="1993">
        <f>($D$13*(F801ENE!F101))*$K104</f>
        <v>8.3156600567013292</v>
      </c>
      <c r="G104" s="1993">
        <f>($D$13*(F801ENE!G101))*$K104</f>
        <v>8.4466903874756554</v>
      </c>
      <c r="H104" s="1993">
        <f>($D$13*(F801ENE!H101))*$K104</f>
        <v>8.0806972339919447</v>
      </c>
      <c r="I104" s="1993">
        <f>($D$13*(F801ENE!I101))*$K104</f>
        <v>8.1185623309079915</v>
      </c>
      <c r="J104" s="1646">
        <f t="shared" si="15"/>
        <v>49.909562234999996</v>
      </c>
      <c r="K104" s="492">
        <v>0.75</v>
      </c>
    </row>
    <row r="105" spans="1:11" s="37" customFormat="1" ht="13.5">
      <c r="C105" s="1998" t="s">
        <v>1177</v>
      </c>
      <c r="D105" s="1993">
        <f>($D$13*(F801ENE!D102))*$K105</f>
        <v>0</v>
      </c>
      <c r="E105" s="1993">
        <f>($D$13*(F801ENE!E102))*$K105</f>
        <v>0</v>
      </c>
      <c r="F105" s="1993">
        <f>($D$13*(F801ENE!F102))*$K105</f>
        <v>0</v>
      </c>
      <c r="G105" s="1993">
        <f>($D$13*(F801ENE!G102))*$K105</f>
        <v>0</v>
      </c>
      <c r="H105" s="1993">
        <f>($D$13*(F801ENE!H102))*$K105</f>
        <v>0</v>
      </c>
      <c r="I105" s="1993">
        <f>($D$13*(F801ENE!I102))*$K105</f>
        <v>0</v>
      </c>
      <c r="J105" s="1646">
        <f t="shared" si="15"/>
        <v>0</v>
      </c>
      <c r="K105" s="492">
        <v>1</v>
      </c>
    </row>
    <row r="106" spans="1:11" s="37" customFormat="1" ht="13.5">
      <c r="C106" s="1995" t="s">
        <v>305</v>
      </c>
      <c r="D106" s="1993">
        <f>($D$13*(F801ENE!D103))*$K106</f>
        <v>0</v>
      </c>
      <c r="E106" s="1993">
        <f>($D$13*(F801ENE!E103))*$K106</f>
        <v>0</v>
      </c>
      <c r="F106" s="1993">
        <f>($D$13*(F801ENE!F103))*$K106</f>
        <v>0</v>
      </c>
      <c r="G106" s="1993">
        <f>($D$13*(F801ENE!G103))*$K106</f>
        <v>0</v>
      </c>
      <c r="H106" s="1993">
        <f>($D$13*(F801ENE!H103))*$K106</f>
        <v>0</v>
      </c>
      <c r="I106" s="1993">
        <f>($D$13*(F801ENE!I103))*$K106</f>
        <v>0</v>
      </c>
      <c r="J106" s="1646">
        <f t="shared" si="15"/>
        <v>0</v>
      </c>
      <c r="K106" s="492">
        <v>0.95</v>
      </c>
    </row>
    <row r="107" spans="1:11" s="37" customFormat="1" ht="13.5">
      <c r="C107" s="1995" t="s">
        <v>307</v>
      </c>
      <c r="D107" s="1993">
        <f>($D$13*(F801ENE!D104))*$K107</f>
        <v>0</v>
      </c>
      <c r="E107" s="1993">
        <f>($D$13*(F801ENE!E104))*$K107</f>
        <v>0</v>
      </c>
      <c r="F107" s="1993">
        <f>($D$13*(F801ENE!F104))*$K107</f>
        <v>0</v>
      </c>
      <c r="G107" s="1993">
        <f>($D$13*(F801ENE!G104))*$K107</f>
        <v>0</v>
      </c>
      <c r="H107" s="1993">
        <f>($D$13*(F801ENE!H104))*$K107</f>
        <v>0</v>
      </c>
      <c r="I107" s="1993">
        <f>($D$13*(F801ENE!I104))*$K107</f>
        <v>0</v>
      </c>
      <c r="J107" s="1646">
        <f t="shared" si="15"/>
        <v>0</v>
      </c>
      <c r="K107" s="492">
        <v>0.5</v>
      </c>
    </row>
    <row r="108" spans="1:11" s="37" customFormat="1" ht="13.5">
      <c r="C108" s="1995" t="s">
        <v>624</v>
      </c>
      <c r="D108" s="1993">
        <f>($D$13*(F801ENE!D105))*$K108</f>
        <v>0</v>
      </c>
      <c r="E108" s="1993">
        <f>($D$13*(F801ENE!E105))*$K108</f>
        <v>0</v>
      </c>
      <c r="F108" s="1993">
        <f>($D$13*(F801ENE!F105))*$K108</f>
        <v>0</v>
      </c>
      <c r="G108" s="1993">
        <f>($D$13*(F801ENE!G105))*$K108</f>
        <v>0</v>
      </c>
      <c r="H108" s="1993">
        <f>($D$13*(F801ENE!H105))*$K108</f>
        <v>0</v>
      </c>
      <c r="I108" s="1993">
        <f>($D$13*(F801ENE!I105))*$K108</f>
        <v>0</v>
      </c>
      <c r="J108" s="1646">
        <f t="shared" si="15"/>
        <v>0</v>
      </c>
      <c r="K108" s="492">
        <v>0</v>
      </c>
    </row>
    <row r="109" spans="1:11" s="37" customFormat="1" ht="15.75">
      <c r="C109" s="1994"/>
      <c r="D109" s="1993"/>
      <c r="E109" s="1993"/>
      <c r="F109" s="1993"/>
      <c r="G109" s="1993"/>
      <c r="H109" s="1993"/>
      <c r="I109" s="1993"/>
      <c r="J109" s="1646">
        <f t="shared" si="15"/>
        <v>0</v>
      </c>
      <c r="K109" s="69"/>
    </row>
    <row r="110" spans="1:11" s="37" customFormat="1" ht="15.75">
      <c r="C110" s="1999" t="s">
        <v>112</v>
      </c>
      <c r="D110" s="2000">
        <f>D19+D23+D33</f>
        <v>655711.07680776564</v>
      </c>
      <c r="E110" s="2000">
        <f t="shared" ref="E110:I110" si="19">E19+E23+E33</f>
        <v>655984.73321419442</v>
      </c>
      <c r="F110" s="2000">
        <f t="shared" si="19"/>
        <v>643594.94820030348</v>
      </c>
      <c r="G110" s="2000">
        <f t="shared" si="19"/>
        <v>653736.11152758892</v>
      </c>
      <c r="H110" s="2000">
        <f t="shared" si="19"/>
        <v>625409.87344047741</v>
      </c>
      <c r="I110" s="2000">
        <f t="shared" si="19"/>
        <v>628340.46309830621</v>
      </c>
      <c r="J110" s="2000">
        <f t="shared" si="15"/>
        <v>3862777.2062886362</v>
      </c>
      <c r="K110" s="69"/>
    </row>
    <row r="111" spans="1:11" s="37" customFormat="1" ht="15.75">
      <c r="K111" s="69"/>
    </row>
    <row r="112" spans="1:11" s="37" customFormat="1" ht="54" customHeight="1">
      <c r="A112" s="331"/>
      <c r="C112" s="138" t="s">
        <v>1473</v>
      </c>
      <c r="D112" s="138"/>
      <c r="E112" s="138"/>
      <c r="F112" s="138"/>
      <c r="G112" s="138"/>
      <c r="H112" s="138"/>
      <c r="I112" s="138"/>
      <c r="J112" s="138"/>
      <c r="K112" s="69"/>
    </row>
    <row r="113" spans="1:11" s="37" customFormat="1" ht="15.75">
      <c r="A113" s="332"/>
      <c r="C113" s="150" t="s">
        <v>310</v>
      </c>
      <c r="D113" s="151">
        <f t="shared" ref="D113:I113" si="20">D18</f>
        <v>46204</v>
      </c>
      <c r="E113" s="151">
        <f t="shared" si="20"/>
        <v>46235</v>
      </c>
      <c r="F113" s="151">
        <f t="shared" si="20"/>
        <v>46266</v>
      </c>
      <c r="G113" s="151">
        <f t="shared" si="20"/>
        <v>46296</v>
      </c>
      <c r="H113" s="151">
        <f t="shared" si="20"/>
        <v>46327</v>
      </c>
      <c r="I113" s="151">
        <f t="shared" si="20"/>
        <v>46357</v>
      </c>
      <c r="J113" s="151" t="s">
        <v>111</v>
      </c>
      <c r="K113" s="69"/>
    </row>
    <row r="114" spans="1:11" ht="15.75">
      <c r="A114" s="333">
        <v>1</v>
      </c>
      <c r="C114" s="1991" t="s">
        <v>230</v>
      </c>
      <c r="D114" s="1646">
        <f t="shared" ref="D114:I114" si="21">D115+D116+D119</f>
        <v>40235.214822298483</v>
      </c>
      <c r="E114" s="1646">
        <f t="shared" si="21"/>
        <v>37815.781213771385</v>
      </c>
      <c r="F114" s="1646">
        <f t="shared" si="21"/>
        <v>38411.785870209962</v>
      </c>
      <c r="G114" s="1646">
        <f t="shared" si="21"/>
        <v>43811.725748692901</v>
      </c>
      <c r="H114" s="1646">
        <f t="shared" si="21"/>
        <v>35858.261510015029</v>
      </c>
      <c r="I114" s="1646">
        <f t="shared" si="21"/>
        <v>41436.260661137334</v>
      </c>
      <c r="J114" s="1646">
        <f>SUM(D114:I114)</f>
        <v>237569.02982612507</v>
      </c>
      <c r="K114" s="69"/>
    </row>
    <row r="115" spans="1:11" ht="15.75">
      <c r="A115" s="333">
        <v>2</v>
      </c>
      <c r="B115" s="48" t="s">
        <v>870</v>
      </c>
      <c r="C115" s="1994" t="s">
        <v>192</v>
      </c>
      <c r="D115" s="1993">
        <f>$D$7*F801ENE!D116</f>
        <v>23265.569314260811</v>
      </c>
      <c r="E115" s="1993">
        <f>$D$7*F801ENE!E116</f>
        <v>21059.455667207938</v>
      </c>
      <c r="F115" s="1993">
        <f>$D$7*F801ENE!F116</f>
        <v>21286.299840899272</v>
      </c>
      <c r="G115" s="1993">
        <f>$D$7*F801ENE!G116</f>
        <v>24407.60295650542</v>
      </c>
      <c r="H115" s="1993">
        <f>$D$7*F801ENE!H116</f>
        <v>16957.062426048571</v>
      </c>
      <c r="I115" s="1993">
        <f>$D$7*F801ENE!I116</f>
        <v>21865.617542521457</v>
      </c>
      <c r="J115" s="1646">
        <f>SUM(D115:I115)</f>
        <v>128841.60774744347</v>
      </c>
      <c r="K115" s="69"/>
    </row>
    <row r="116" spans="1:11" ht="15.75">
      <c r="A116" s="333">
        <v>3</v>
      </c>
      <c r="B116" s="48" t="s">
        <v>871</v>
      </c>
      <c r="C116" s="2001" t="s">
        <v>193</v>
      </c>
      <c r="D116" s="1646">
        <f t="shared" ref="D116:I116" si="22">SUM(D117:D118)</f>
        <v>11107.10664503766</v>
      </c>
      <c r="E116" s="1646">
        <f t="shared" si="22"/>
        <v>10893.78668356344</v>
      </c>
      <c r="F116" s="1646">
        <f t="shared" si="22"/>
        <v>11262.947166310678</v>
      </c>
      <c r="G116" s="1646">
        <f t="shared" si="22"/>
        <v>13541.583929187474</v>
      </c>
      <c r="H116" s="1646">
        <f t="shared" si="22"/>
        <v>13038.660220966449</v>
      </c>
      <c r="I116" s="1646">
        <f t="shared" si="22"/>
        <v>13708.104255615866</v>
      </c>
      <c r="J116" s="1646">
        <f t="shared" ref="J116:J142" si="23">SUM(D116:I116)</f>
        <v>73552.188900681576</v>
      </c>
      <c r="K116" s="69"/>
    </row>
    <row r="117" spans="1:11" ht="15.75">
      <c r="A117" s="333">
        <v>4</v>
      </c>
      <c r="B117" s="48"/>
      <c r="C117" s="1994" t="s">
        <v>938</v>
      </c>
      <c r="D117" s="1993">
        <f>$D$8*F801ENE!D118</f>
        <v>0</v>
      </c>
      <c r="E117" s="1993">
        <f>$D$8*F801ENE!E118</f>
        <v>0</v>
      </c>
      <c r="F117" s="1993">
        <f>$D$8*F801ENE!F118</f>
        <v>0</v>
      </c>
      <c r="G117" s="1993">
        <f>$D$8*F801ENE!G118</f>
        <v>0</v>
      </c>
      <c r="H117" s="1993">
        <f>$D$8*F801ENE!H118</f>
        <v>0</v>
      </c>
      <c r="I117" s="1993">
        <f>$D$8*F801ENE!I118</f>
        <v>0</v>
      </c>
      <c r="J117" s="1646">
        <f t="shared" si="23"/>
        <v>0</v>
      </c>
      <c r="K117" s="69"/>
    </row>
    <row r="118" spans="1:11" ht="15.75">
      <c r="A118" s="333">
        <v>5</v>
      </c>
      <c r="B118" s="48"/>
      <c r="C118" s="1994" t="s">
        <v>939</v>
      </c>
      <c r="D118" s="1993">
        <f>$D$8*F801ENE!D119</f>
        <v>11107.10664503766</v>
      </c>
      <c r="E118" s="1993">
        <f>$D$8*F801ENE!E119</f>
        <v>10893.78668356344</v>
      </c>
      <c r="F118" s="1993">
        <f>$D$8*F801ENE!F119</f>
        <v>11262.947166310678</v>
      </c>
      <c r="G118" s="1993">
        <f>$D$8*F801ENE!G119</f>
        <v>13541.583929187474</v>
      </c>
      <c r="H118" s="1993">
        <f>$D$8*F801ENE!H119</f>
        <v>13038.660220966449</v>
      </c>
      <c r="I118" s="1993">
        <f>$D$8*F801ENE!I119</f>
        <v>13708.104255615866</v>
      </c>
      <c r="J118" s="1646">
        <f t="shared" si="23"/>
        <v>73552.188900681576</v>
      </c>
      <c r="K118" s="69"/>
    </row>
    <row r="119" spans="1:11">
      <c r="A119" s="333">
        <v>6</v>
      </c>
      <c r="B119" s="48" t="s">
        <v>893</v>
      </c>
      <c r="C119" s="1991" t="s">
        <v>942</v>
      </c>
      <c r="D119" s="1646">
        <f>$D$8*F801ENE!D120</f>
        <v>5862.5388630000116</v>
      </c>
      <c r="E119" s="1646">
        <f>$D$8*F801ENE!E120</f>
        <v>5862.5388630000116</v>
      </c>
      <c r="F119" s="1646">
        <f>$D$8*F801ENE!F120</f>
        <v>5862.5388630000116</v>
      </c>
      <c r="G119" s="1646">
        <f>$D$8*F801ENE!G120</f>
        <v>5862.5388630000116</v>
      </c>
      <c r="H119" s="1646">
        <f>$D$8*F801ENE!H120</f>
        <v>5862.5388630000116</v>
      </c>
      <c r="I119" s="1646">
        <f>$D$8*F801ENE!I120</f>
        <v>5862.5388630000116</v>
      </c>
      <c r="J119" s="1646">
        <f t="shared" si="23"/>
        <v>35175.233178000068</v>
      </c>
    </row>
    <row r="120" spans="1:11">
      <c r="A120" s="333">
        <v>7</v>
      </c>
      <c r="B120" s="48"/>
      <c r="C120" s="1994"/>
      <c r="D120" s="1993"/>
      <c r="E120" s="1993"/>
      <c r="F120" s="1993"/>
      <c r="G120" s="1993"/>
      <c r="H120" s="1993"/>
      <c r="I120" s="1993"/>
      <c r="J120" s="1646">
        <f t="shared" si="23"/>
        <v>0</v>
      </c>
    </row>
    <row r="121" spans="1:11">
      <c r="A121" s="333">
        <v>8</v>
      </c>
      <c r="B121" s="48"/>
      <c r="C121" s="1991" t="s">
        <v>194</v>
      </c>
      <c r="D121" s="1646">
        <f t="shared" ref="D121:I121" si="24">SUM(D122:D126)</f>
        <v>126444.77917249867</v>
      </c>
      <c r="E121" s="1646">
        <f t="shared" si="24"/>
        <v>125641.52507983751</v>
      </c>
      <c r="F121" s="1646">
        <f t="shared" si="24"/>
        <v>122103.0290500908</v>
      </c>
      <c r="G121" s="1646">
        <f t="shared" si="24"/>
        <v>127783.37119247788</v>
      </c>
      <c r="H121" s="1646">
        <f t="shared" si="24"/>
        <v>118219.86657235355</v>
      </c>
      <c r="I121" s="1646">
        <f t="shared" si="24"/>
        <v>124897.73630183053</v>
      </c>
      <c r="J121" s="1646">
        <f t="shared" si="23"/>
        <v>745090.30736908887</v>
      </c>
    </row>
    <row r="122" spans="1:11">
      <c r="A122" s="333">
        <v>9</v>
      </c>
      <c r="B122" s="48" t="s">
        <v>872</v>
      </c>
      <c r="C122" s="1994" t="s">
        <v>940</v>
      </c>
      <c r="D122" s="1993">
        <f>$D$9*F801ENE!D124</f>
        <v>16237.313414430741</v>
      </c>
      <c r="E122" s="1993">
        <f>$D$9*F801ENE!E124</f>
        <v>16192.564823537848</v>
      </c>
      <c r="F122" s="1993">
        <f>$D$9*F801ENE!F124</f>
        <v>15430.404387725483</v>
      </c>
      <c r="G122" s="1993">
        <f>$D$9*F801ENE!G124</f>
        <v>15995.224155139938</v>
      </c>
      <c r="H122" s="1993">
        <f>$D$9*F801ENE!H124</f>
        <v>14774.560033669955</v>
      </c>
      <c r="I122" s="1993">
        <f>$D$9*F801ENE!I124</f>
        <v>14676.968210483412</v>
      </c>
      <c r="J122" s="1646">
        <f t="shared" si="23"/>
        <v>93307.035024987374</v>
      </c>
    </row>
    <row r="123" spans="1:11">
      <c r="A123" s="333"/>
      <c r="B123" s="48" t="s">
        <v>872</v>
      </c>
      <c r="C123" s="1994" t="s">
        <v>983</v>
      </c>
      <c r="D123" s="1993">
        <f>$D$9*F801ENE!D125</f>
        <v>785.13785085912514</v>
      </c>
      <c r="E123" s="1993">
        <f>$D$9*F801ENE!E125</f>
        <v>800.18370262896713</v>
      </c>
      <c r="F123" s="1993">
        <f>$D$9*F801ENE!F125</f>
        <v>843.8811381381463</v>
      </c>
      <c r="G123" s="1993">
        <f>$D$9*F801ENE!G125</f>
        <v>909.18845547554338</v>
      </c>
      <c r="H123" s="1993">
        <f>$D$9*F801ENE!H125</f>
        <v>982.22549083375145</v>
      </c>
      <c r="I123" s="1993">
        <f>$D$9*F801ENE!I125</f>
        <v>548.01078887912286</v>
      </c>
      <c r="J123" s="1646">
        <f>SUM(D123:I123)</f>
        <v>4868.6274268146562</v>
      </c>
    </row>
    <row r="124" spans="1:11">
      <c r="A124" s="333"/>
      <c r="B124" s="48" t="s">
        <v>872</v>
      </c>
      <c r="C124" s="1994" t="s">
        <v>1033</v>
      </c>
      <c r="D124" s="1993">
        <f>$D$9*F801ENE!D126</f>
        <v>293.96216542474457</v>
      </c>
      <c r="E124" s="1993">
        <f>$D$9*F801ENE!E126</f>
        <v>287.28654618569266</v>
      </c>
      <c r="F124" s="1993">
        <f>$D$9*F801ENE!F126</f>
        <v>277.38246192433991</v>
      </c>
      <c r="G124" s="1993">
        <f>$D$9*F801ENE!G126</f>
        <v>297.39722215828732</v>
      </c>
      <c r="H124" s="1993">
        <f>$D$9*F801ENE!H126</f>
        <v>287.02836726468558</v>
      </c>
      <c r="I124" s="1993">
        <f>$D$9*F801ENE!I126</f>
        <v>275.10227503917758</v>
      </c>
      <c r="J124" s="1646">
        <f>SUM(D124:I124)</f>
        <v>1718.1590379969277</v>
      </c>
    </row>
    <row r="125" spans="1:11">
      <c r="A125" s="333"/>
      <c r="B125" s="48" t="s">
        <v>872</v>
      </c>
      <c r="C125" s="1994" t="s">
        <v>1767</v>
      </c>
      <c r="D125" s="1993">
        <f>$D$9*F801ENE!D127</f>
        <v>7038.8124769084079</v>
      </c>
      <c r="E125" s="1993">
        <f>$D$9*F801ENE!E127</f>
        <v>7303.9514819645146</v>
      </c>
      <c r="F125" s="1993">
        <f>$D$9*F801ENE!F127</f>
        <v>7362.8198903208604</v>
      </c>
      <c r="G125" s="1993">
        <f>$D$9*F801ENE!G127</f>
        <v>8430.0499025550016</v>
      </c>
      <c r="H125" s="1993">
        <f>$D$9*F801ENE!H127</f>
        <v>7989.8184507898304</v>
      </c>
      <c r="I125" s="1993">
        <f>$D$9*F801ENE!I127</f>
        <v>8404.068151238982</v>
      </c>
      <c r="J125" s="1646">
        <f>SUM(D125:I125)</f>
        <v>46529.520353777596</v>
      </c>
    </row>
    <row r="126" spans="1:11">
      <c r="A126" s="333">
        <v>10</v>
      </c>
      <c r="B126" s="48" t="s">
        <v>873</v>
      </c>
      <c r="C126" s="2001" t="s">
        <v>193</v>
      </c>
      <c r="D126" s="1646">
        <f t="shared" ref="D126:I126" si="25">SUM(D127:D132)</f>
        <v>102089.55326487565</v>
      </c>
      <c r="E126" s="1646">
        <f t="shared" si="25"/>
        <v>101057.53852552047</v>
      </c>
      <c r="F126" s="1646">
        <f t="shared" si="25"/>
        <v>98188.541171981968</v>
      </c>
      <c r="G126" s="1646">
        <f t="shared" si="25"/>
        <v>102151.5114571491</v>
      </c>
      <c r="H126" s="1646">
        <f t="shared" si="25"/>
        <v>94186.234229795329</v>
      </c>
      <c r="I126" s="1646">
        <f t="shared" si="25"/>
        <v>100993.58687618983</v>
      </c>
      <c r="J126" s="1646">
        <f t="shared" si="23"/>
        <v>598666.96552551235</v>
      </c>
    </row>
    <row r="127" spans="1:11">
      <c r="A127" s="333">
        <v>11</v>
      </c>
      <c r="B127" s="48"/>
      <c r="C127" s="1994" t="s">
        <v>938</v>
      </c>
      <c r="D127" s="1993">
        <f>$D$10*F801ENE!D129</f>
        <v>0</v>
      </c>
      <c r="E127" s="1993">
        <f>$D$10*F801ENE!E129</f>
        <v>0</v>
      </c>
      <c r="F127" s="1993">
        <f>$D$10*F801ENE!F129</f>
        <v>0</v>
      </c>
      <c r="G127" s="1993">
        <f>$D$10*F801ENE!G129</f>
        <v>0</v>
      </c>
      <c r="H127" s="1993">
        <f>$D$10*F801ENE!H129</f>
        <v>0</v>
      </c>
      <c r="I127" s="1993">
        <f>$D$10*F801ENE!I129</f>
        <v>0</v>
      </c>
      <c r="J127" s="1646">
        <f t="shared" si="23"/>
        <v>0</v>
      </c>
    </row>
    <row r="128" spans="1:11">
      <c r="A128" s="333">
        <v>12</v>
      </c>
      <c r="B128" s="48"/>
      <c r="C128" s="1994" t="s">
        <v>939</v>
      </c>
      <c r="D128" s="1993">
        <f>$D$10*F801ENE!D130</f>
        <v>66548.645169694661</v>
      </c>
      <c r="E128" s="1993">
        <f>$D$10*F801ENE!E130</f>
        <v>66383.380150665704</v>
      </c>
      <c r="F128" s="1993">
        <f>$D$10*F801ENE!F130</f>
        <v>60468.734093920233</v>
      </c>
      <c r="G128" s="1993">
        <f>$D$10*F801ENE!G130</f>
        <v>62684.005129854551</v>
      </c>
      <c r="H128" s="1993">
        <f>$D$10*F801ENE!H130</f>
        <v>57252.295779505796</v>
      </c>
      <c r="I128" s="1993">
        <f>$D$10*F801ENE!I130</f>
        <v>60639.448221495601</v>
      </c>
      <c r="J128" s="1646">
        <f t="shared" si="23"/>
        <v>373976.50854513654</v>
      </c>
    </row>
    <row r="129" spans="1:10">
      <c r="A129" s="333"/>
      <c r="B129" s="48"/>
      <c r="C129" s="1994" t="s">
        <v>1034</v>
      </c>
      <c r="D129" s="1993">
        <f>$D$10*F801ENE!D131</f>
        <v>4688.0495391161157</v>
      </c>
      <c r="E129" s="1993">
        <f>$D$10*F801ENE!E131</f>
        <v>4159.398744811584</v>
      </c>
      <c r="F129" s="1993">
        <f>$D$10*F801ENE!F131</f>
        <v>4619.3547863165941</v>
      </c>
      <c r="G129" s="1993">
        <f>$D$10*F801ENE!G131</f>
        <v>4043.1766747654447</v>
      </c>
      <c r="H129" s="1993">
        <f>$D$10*F801ENE!H131</f>
        <v>3862.8917424311771</v>
      </c>
      <c r="I129" s="1993">
        <f>$D$10*F801ENE!I131</f>
        <v>4327.5363877307909</v>
      </c>
      <c r="J129" s="1646">
        <f>SUM(D129:I129)</f>
        <v>25700.407875171706</v>
      </c>
    </row>
    <row r="130" spans="1:10">
      <c r="A130" s="333"/>
      <c r="B130" s="48"/>
      <c r="C130" s="1994" t="s">
        <v>1035</v>
      </c>
      <c r="D130" s="1993">
        <f>$D$10*F801ENE!D132</f>
        <v>4423.7092957448758</v>
      </c>
      <c r="E130" s="1993">
        <f>$D$10*F801ENE!E132</f>
        <v>4569.9026292763747</v>
      </c>
      <c r="F130" s="1993">
        <f>$D$10*F801ENE!F132</f>
        <v>4384.4237588403184</v>
      </c>
      <c r="G130" s="1993">
        <f>$D$10*F801ENE!G132</f>
        <v>4592.9828061365588</v>
      </c>
      <c r="H130" s="1993">
        <f>$D$10*F801ENE!H132</f>
        <v>4064.2679041262827</v>
      </c>
      <c r="I130" s="1993">
        <f>$D$10*F801ENE!I132</f>
        <v>4594.0428364746995</v>
      </c>
      <c r="J130" s="1646">
        <f>SUM(D130:I130)</f>
        <v>26629.329230599109</v>
      </c>
    </row>
    <row r="131" spans="1:10">
      <c r="A131" s="333"/>
      <c r="B131" s="48"/>
      <c r="C131" s="1994" t="s">
        <v>1161</v>
      </c>
      <c r="D131" s="1993">
        <f>$D$10*F801ENE!D133</f>
        <v>26429.149260320006</v>
      </c>
      <c r="E131" s="1993">
        <f>$D$10*F801ENE!E133</f>
        <v>25944.85700076682</v>
      </c>
      <c r="F131" s="1993">
        <f>$D$10*F801ENE!F133</f>
        <v>28716.028532904817</v>
      </c>
      <c r="G131" s="1993">
        <f>$D$10*F801ENE!G133</f>
        <v>30831.346846392549</v>
      </c>
      <c r="H131" s="1993">
        <f>$D$10*F801ENE!H133</f>
        <v>29006.778803732075</v>
      </c>
      <c r="I131" s="1993">
        <f>$D$10*F801ENE!I133</f>
        <v>31432.559430488738</v>
      </c>
      <c r="J131" s="1646">
        <f>SUM(D131:I131)</f>
        <v>172360.71987460501</v>
      </c>
    </row>
    <row r="132" spans="1:10">
      <c r="A132" s="333">
        <v>13</v>
      </c>
      <c r="B132" s="48"/>
      <c r="C132" s="1994"/>
      <c r="D132" s="1993"/>
      <c r="E132" s="1993"/>
      <c r="F132" s="1993"/>
      <c r="G132" s="1993"/>
      <c r="H132" s="1993"/>
      <c r="I132" s="1993"/>
      <c r="J132" s="1646">
        <f t="shared" si="23"/>
        <v>0</v>
      </c>
    </row>
    <row r="133" spans="1:10">
      <c r="A133" s="333">
        <v>14</v>
      </c>
      <c r="B133" s="48"/>
      <c r="C133" s="1991" t="s">
        <v>308</v>
      </c>
      <c r="D133" s="1646">
        <f t="shared" ref="D133:I133" si="26">SUM(D134:D135)</f>
        <v>20492.595950674975</v>
      </c>
      <c r="E133" s="1646">
        <f t="shared" si="26"/>
        <v>20118.76896038359</v>
      </c>
      <c r="F133" s="1646">
        <f t="shared" si="26"/>
        <v>20392.401788636973</v>
      </c>
      <c r="G133" s="1646">
        <f t="shared" si="26"/>
        <v>21480.665247837453</v>
      </c>
      <c r="H133" s="1646">
        <f t="shared" si="26"/>
        <v>19800.490669353068</v>
      </c>
      <c r="I133" s="1646">
        <f t="shared" si="26"/>
        <v>22197.922139396462</v>
      </c>
      <c r="J133" s="1646">
        <f t="shared" si="23"/>
        <v>124482.84475628252</v>
      </c>
    </row>
    <row r="134" spans="1:10">
      <c r="A134" s="333">
        <v>15</v>
      </c>
      <c r="B134" s="48" t="s">
        <v>874</v>
      </c>
      <c r="C134" s="1994" t="s">
        <v>940</v>
      </c>
      <c r="D134" s="1993">
        <f>$D$11*(F801ENE!D137)</f>
        <v>663.39819718039791</v>
      </c>
      <c r="E134" s="1993">
        <f>$D$11*(F801ENE!E137)</f>
        <v>657.503069452722</v>
      </c>
      <c r="F134" s="1993">
        <f>$D$11*(F801ENE!F137)</f>
        <v>629.72970091631998</v>
      </c>
      <c r="G134" s="1993">
        <f>$D$11*(F801ENE!G137)</f>
        <v>653.04078676739994</v>
      </c>
      <c r="H134" s="1993">
        <f>$D$11*(F801ENE!H137)</f>
        <v>632.4167819240821</v>
      </c>
      <c r="I134" s="1993">
        <f>$D$11*(F801ENE!I137)</f>
        <v>655.23404829420076</v>
      </c>
      <c r="J134" s="1646">
        <f t="shared" si="23"/>
        <v>3891.3225845351226</v>
      </c>
    </row>
    <row r="135" spans="1:10">
      <c r="A135" s="333">
        <v>16</v>
      </c>
      <c r="B135" s="48" t="s">
        <v>875</v>
      </c>
      <c r="C135" s="2001" t="s">
        <v>193</v>
      </c>
      <c r="D135" s="1646">
        <f t="shared" ref="D135:I135" si="27">SUM(D136:D141)</f>
        <v>19829.197753494576</v>
      </c>
      <c r="E135" s="1646">
        <f t="shared" si="27"/>
        <v>19461.265890930867</v>
      </c>
      <c r="F135" s="1646">
        <f t="shared" si="27"/>
        <v>19762.672087720654</v>
      </c>
      <c r="G135" s="1646">
        <f t="shared" si="27"/>
        <v>20827.624461070052</v>
      </c>
      <c r="H135" s="1646">
        <f t="shared" si="27"/>
        <v>19168.073887428985</v>
      </c>
      <c r="I135" s="1646">
        <f t="shared" si="27"/>
        <v>21542.68809110226</v>
      </c>
      <c r="J135" s="1646">
        <f t="shared" si="23"/>
        <v>120591.52217174739</v>
      </c>
    </row>
    <row r="136" spans="1:10">
      <c r="A136" s="333">
        <v>17</v>
      </c>
      <c r="C136" s="1994" t="s">
        <v>938</v>
      </c>
      <c r="D136" s="1993">
        <f>$D$12*(F801ENE!D140)</f>
        <v>204.41577412467007</v>
      </c>
      <c r="E136" s="1993">
        <f>$D$12*(F801ENE!E140)</f>
        <v>199.04927272275603</v>
      </c>
      <c r="F136" s="1993">
        <f>$D$12*(F801ENE!F140)</f>
        <v>203.17778191130398</v>
      </c>
      <c r="G136" s="1993">
        <f>$D$12*(F801ENE!G140)</f>
        <v>212.67406237786201</v>
      </c>
      <c r="H136" s="1993">
        <f>$D$12*(F801ENE!H140)</f>
        <v>196.04175526404001</v>
      </c>
      <c r="I136" s="1993">
        <f>$D$12*(F801ENE!I140)</f>
        <v>207.55415002012199</v>
      </c>
      <c r="J136" s="1646">
        <f t="shared" si="23"/>
        <v>1222.9127964207541</v>
      </c>
    </row>
    <row r="137" spans="1:10">
      <c r="A137" s="333">
        <v>18</v>
      </c>
      <c r="C137" s="1994" t="s">
        <v>939</v>
      </c>
      <c r="D137" s="1993">
        <f>$D$12*(F801ENE!D141)</f>
        <v>13158.619085021623</v>
      </c>
      <c r="E137" s="1993">
        <f>$D$12*(F801ENE!E141)</f>
        <v>12843.96526181767</v>
      </c>
      <c r="F137" s="1993">
        <f>$D$12*(F801ENE!F141)</f>
        <v>12510.500309793468</v>
      </c>
      <c r="G137" s="1993">
        <f>$D$12*(F801ENE!G141)</f>
        <v>12982.791477070692</v>
      </c>
      <c r="H137" s="1993">
        <f>$D$12*(F801ENE!H141)</f>
        <v>11891.750281526751</v>
      </c>
      <c r="I137" s="1993">
        <f>$D$12*(F801ENE!I141)</f>
        <v>12832.695830992001</v>
      </c>
      <c r="J137" s="1646">
        <f t="shared" si="23"/>
        <v>76220.322246222204</v>
      </c>
    </row>
    <row r="138" spans="1:10">
      <c r="A138" s="333"/>
      <c r="C138" s="1994" t="s">
        <v>1034</v>
      </c>
      <c r="D138" s="1993">
        <f>$D$12*(F801ENE!D142)</f>
        <v>258.50853916531207</v>
      </c>
      <c r="E138" s="1993">
        <f>$D$12*(F801ENE!E142)</f>
        <v>252.34805251553405</v>
      </c>
      <c r="F138" s="1993">
        <f>$D$12*(F801ENE!F142)</f>
        <v>248.01781901484594</v>
      </c>
      <c r="G138" s="1993">
        <f>$D$12*(F801ENE!G142)</f>
        <v>252.17671677823807</v>
      </c>
      <c r="H138" s="1993">
        <f>$D$12*(F801ENE!H142)</f>
        <v>217.91156497522201</v>
      </c>
      <c r="I138" s="1993">
        <f>$D$12*(F801ENE!I142)</f>
        <v>244.10613916638351</v>
      </c>
      <c r="J138" s="1646">
        <f>SUM(D138:I138)</f>
        <v>1473.0688316155356</v>
      </c>
    </row>
    <row r="139" spans="1:10">
      <c r="A139" s="333"/>
      <c r="C139" s="1994" t="s">
        <v>1035</v>
      </c>
      <c r="D139" s="1993">
        <f>$D$12*(F801ENE!D143)</f>
        <v>2665.5509802704219</v>
      </c>
      <c r="E139" s="1993">
        <f>$D$12*(F801ENE!E143)</f>
        <v>2565.6407988165001</v>
      </c>
      <c r="F139" s="1993">
        <f>$D$12*(F801ENE!F143)</f>
        <v>2529.6859449077401</v>
      </c>
      <c r="G139" s="1993">
        <f>$D$12*(F801ENE!G143)</f>
        <v>2641.0923703592644</v>
      </c>
      <c r="H139" s="1993">
        <f>$D$12*(F801ENE!H143)</f>
        <v>2335.7981275638476</v>
      </c>
      <c r="I139" s="1993">
        <f>$D$12*(F801ENE!I143)</f>
        <v>2371.0990141830935</v>
      </c>
      <c r="J139" s="1646">
        <f>SUM(D139:I139)</f>
        <v>15108.867236100867</v>
      </c>
    </row>
    <row r="140" spans="1:10">
      <c r="A140" s="333"/>
      <c r="C140" s="1994" t="s">
        <v>1161</v>
      </c>
      <c r="D140" s="1993">
        <f>$D$12*(F801ENE!D144)</f>
        <v>3542.10337491255</v>
      </c>
      <c r="E140" s="1993">
        <f>$D$12*(F801ENE!E144)</f>
        <v>3600.262505058407</v>
      </c>
      <c r="F140" s="1993">
        <f>$D$12*(F801ENE!F144)</f>
        <v>4271.2902320932981</v>
      </c>
      <c r="G140" s="1993">
        <f>$D$12*(F801ENE!G144)</f>
        <v>4738.8898344839945</v>
      </c>
      <c r="H140" s="1993">
        <f>$D$12*(F801ENE!H144)</f>
        <v>4526.5721580991258</v>
      </c>
      <c r="I140" s="1993">
        <f>$D$12*(F801ENE!I144)</f>
        <v>5887.2329567406578</v>
      </c>
      <c r="J140" s="1646">
        <f>SUM(D140:I140)</f>
        <v>26566.351061388035</v>
      </c>
    </row>
    <row r="141" spans="1:10">
      <c r="A141" s="333">
        <v>19</v>
      </c>
      <c r="C141" s="1994"/>
      <c r="D141" s="1993"/>
      <c r="E141" s="1993"/>
      <c r="F141" s="1993"/>
      <c r="G141" s="1993"/>
      <c r="H141" s="1993"/>
      <c r="I141" s="1993"/>
      <c r="J141" s="1646">
        <f t="shared" si="23"/>
        <v>0</v>
      </c>
    </row>
    <row r="142" spans="1:10">
      <c r="A142" s="333">
        <v>20</v>
      </c>
      <c r="C142" s="153" t="s">
        <v>112</v>
      </c>
      <c r="D142" s="154">
        <f t="shared" ref="D142:I142" si="28">D114+D121+D133</f>
        <v>187172.58994547214</v>
      </c>
      <c r="E142" s="154">
        <f t="shared" si="28"/>
        <v>183576.07525399246</v>
      </c>
      <c r="F142" s="154">
        <f t="shared" si="28"/>
        <v>180907.21670893775</v>
      </c>
      <c r="G142" s="154">
        <f t="shared" si="28"/>
        <v>193075.76218900824</v>
      </c>
      <c r="H142" s="154">
        <f t="shared" si="28"/>
        <v>173878.61875172166</v>
      </c>
      <c r="I142" s="154">
        <f t="shared" si="28"/>
        <v>188531.91910236431</v>
      </c>
      <c r="J142" s="154">
        <f t="shared" si="23"/>
        <v>1107142.1819514965</v>
      </c>
    </row>
    <row r="144" spans="1:10">
      <c r="C144" s="179" t="s">
        <v>111</v>
      </c>
      <c r="D144" s="180">
        <f t="shared" ref="D144:J144" si="29">D110+D142</f>
        <v>842883.66675323783</v>
      </c>
      <c r="E144" s="180">
        <f t="shared" si="29"/>
        <v>839560.80846818688</v>
      </c>
      <c r="F144" s="180">
        <f t="shared" si="29"/>
        <v>824502.16490924126</v>
      </c>
      <c r="G144" s="180">
        <f t="shared" si="29"/>
        <v>846811.87371659721</v>
      </c>
      <c r="H144" s="180">
        <f t="shared" si="29"/>
        <v>799288.4921921991</v>
      </c>
      <c r="I144" s="180">
        <f t="shared" si="29"/>
        <v>816872.38220067054</v>
      </c>
      <c r="J144" s="180">
        <f t="shared" si="29"/>
        <v>4969919.3882401325</v>
      </c>
    </row>
    <row r="146" spans="2:10">
      <c r="C146" s="52" t="str">
        <f>'PORTADA PORTADA PORTADA'!$B$23</f>
        <v>1 DE JULIO DE 2026</v>
      </c>
    </row>
    <row r="148" spans="2:10">
      <c r="B148" s="48" t="s">
        <v>902</v>
      </c>
      <c r="D148" s="64">
        <f t="shared" ref="D148:J157" si="30">SUMIF($B$19:$B$144,$B148,D$19:D$144)</f>
        <v>36954.12715495687</v>
      </c>
      <c r="E148" s="64">
        <f t="shared" si="30"/>
        <v>36969.549698623247</v>
      </c>
      <c r="F148" s="64">
        <f t="shared" si="30"/>
        <v>36271.29452935022</v>
      </c>
      <c r="G148" s="64">
        <f t="shared" si="30"/>
        <v>36842.823390244892</v>
      </c>
      <c r="H148" s="64">
        <f t="shared" si="30"/>
        <v>35246.432319035164</v>
      </c>
      <c r="I148" s="64">
        <f t="shared" si="30"/>
        <v>35411.592519579623</v>
      </c>
      <c r="J148" s="64">
        <f t="shared" si="30"/>
        <v>217695.81961179001</v>
      </c>
    </row>
    <row r="149" spans="2:10">
      <c r="B149" s="48" t="s">
        <v>751</v>
      </c>
      <c r="D149" s="64">
        <f t="shared" si="30"/>
        <v>202839.71874246639</v>
      </c>
      <c r="E149" s="64">
        <f t="shared" si="30"/>
        <v>202924.37352068635</v>
      </c>
      <c r="F149" s="64">
        <f t="shared" si="30"/>
        <v>199091.63115506421</v>
      </c>
      <c r="G149" s="64">
        <f t="shared" si="30"/>
        <v>202228.76923111657</v>
      </c>
      <c r="H149" s="64">
        <f t="shared" si="30"/>
        <v>193466.13350713515</v>
      </c>
      <c r="I149" s="64">
        <f t="shared" si="30"/>
        <v>194372.70251743041</v>
      </c>
      <c r="J149" s="64">
        <f t="shared" si="30"/>
        <v>1194923.3286738992</v>
      </c>
    </row>
    <row r="150" spans="2:10">
      <c r="B150" s="48" t="s">
        <v>750</v>
      </c>
      <c r="D150" s="64">
        <f t="shared" si="30"/>
        <v>76312.687039416953</v>
      </c>
      <c r="E150" s="64">
        <f t="shared" si="30"/>
        <v>76344.535599747673</v>
      </c>
      <c r="F150" s="64">
        <f t="shared" si="30"/>
        <v>74902.593053440258</v>
      </c>
      <c r="G150" s="64">
        <f t="shared" si="30"/>
        <v>76082.837493054874</v>
      </c>
      <c r="H150" s="64">
        <f t="shared" si="30"/>
        <v>72786.18562792195</v>
      </c>
      <c r="I150" s="64">
        <f t="shared" si="30"/>
        <v>73127.25223308531</v>
      </c>
      <c r="J150" s="64">
        <f t="shared" si="30"/>
        <v>449556.09104666696</v>
      </c>
    </row>
    <row r="151" spans="2:10">
      <c r="B151" s="48" t="s">
        <v>749</v>
      </c>
      <c r="D151" s="64">
        <f t="shared" si="30"/>
        <v>75485.593061046937</v>
      </c>
      <c r="E151" s="64">
        <f t="shared" si="30"/>
        <v>75517.096439554123</v>
      </c>
      <c r="F151" s="64">
        <f t="shared" si="30"/>
        <v>74090.781989222291</v>
      </c>
      <c r="G151" s="64">
        <f t="shared" si="30"/>
        <v>75258.234675500964</v>
      </c>
      <c r="H151" s="64">
        <f t="shared" si="30"/>
        <v>71997.312660963245</v>
      </c>
      <c r="I151" s="64">
        <f t="shared" si="30"/>
        <v>72334.682709940491</v>
      </c>
      <c r="J151" s="64">
        <f t="shared" si="30"/>
        <v>444683.70153622807</v>
      </c>
    </row>
    <row r="152" spans="2:10">
      <c r="B152" s="48" t="s">
        <v>1176</v>
      </c>
      <c r="D152" s="64">
        <f t="shared" si="30"/>
        <v>2.4699999999999998</v>
      </c>
      <c r="E152" s="64">
        <f t="shared" si="30"/>
        <v>2.4699999999999998</v>
      </c>
      <c r="F152" s="64">
        <f t="shared" si="30"/>
        <v>2.4699999999999998</v>
      </c>
      <c r="G152" s="64">
        <f t="shared" si="30"/>
        <v>2.4699999999999998</v>
      </c>
      <c r="H152" s="64">
        <f t="shared" si="30"/>
        <v>2.4699999999999998</v>
      </c>
      <c r="I152" s="64">
        <f t="shared" si="30"/>
        <v>2.4699999999999998</v>
      </c>
      <c r="J152" s="64">
        <f t="shared" si="30"/>
        <v>14.819999999999997</v>
      </c>
    </row>
    <row r="153" spans="2:10">
      <c r="B153" s="48" t="s">
        <v>274</v>
      </c>
      <c r="D153" s="64">
        <f t="shared" si="30"/>
        <v>141383.37063204066</v>
      </c>
      <c r="E153" s="64">
        <f t="shared" si="30"/>
        <v>141442.3759820555</v>
      </c>
      <c r="F153" s="64">
        <f t="shared" si="30"/>
        <v>138770.91065481058</v>
      </c>
      <c r="G153" s="64">
        <f t="shared" si="30"/>
        <v>140957.53182510499</v>
      </c>
      <c r="H153" s="64">
        <f t="shared" si="30"/>
        <v>134849.87436243234</v>
      </c>
      <c r="I153" s="64">
        <f t="shared" si="30"/>
        <v>135481.76334601798</v>
      </c>
      <c r="J153" s="64">
        <f t="shared" si="30"/>
        <v>832885.82680246211</v>
      </c>
    </row>
    <row r="154" spans="2:10">
      <c r="B154" s="48" t="s">
        <v>275</v>
      </c>
      <c r="D154" s="64">
        <f t="shared" si="30"/>
        <v>6837.1712146753462</v>
      </c>
      <c r="E154" s="64">
        <f t="shared" si="30"/>
        <v>6840.0246597363184</v>
      </c>
      <c r="F154" s="64">
        <f t="shared" si="30"/>
        <v>6710.8350262257509</v>
      </c>
      <c r="G154" s="64">
        <f t="shared" si="30"/>
        <v>6816.5780372750878</v>
      </c>
      <c r="H154" s="64">
        <f t="shared" si="30"/>
        <v>6521.2172773342099</v>
      </c>
      <c r="I154" s="64">
        <f t="shared" si="30"/>
        <v>6551.7748538732922</v>
      </c>
      <c r="J154" s="64">
        <f t="shared" si="30"/>
        <v>40277.601069120006</v>
      </c>
    </row>
    <row r="155" spans="2:10">
      <c r="B155" s="48" t="s">
        <v>276</v>
      </c>
      <c r="D155" s="64">
        <f t="shared" si="30"/>
        <v>61130.189677250826</v>
      </c>
      <c r="E155" s="64">
        <f t="shared" si="30"/>
        <v>61155.701929662515</v>
      </c>
      <c r="F155" s="64">
        <f t="shared" si="30"/>
        <v>60000.635520928387</v>
      </c>
      <c r="G155" s="64">
        <f t="shared" si="30"/>
        <v>60946.068964018858</v>
      </c>
      <c r="H155" s="64">
        <f t="shared" si="30"/>
        <v>58305.289800898237</v>
      </c>
      <c r="I155" s="64">
        <f t="shared" si="30"/>
        <v>58578.5008104312</v>
      </c>
      <c r="J155" s="64">
        <f t="shared" si="30"/>
        <v>360116.38670319004</v>
      </c>
    </row>
    <row r="156" spans="2:10">
      <c r="B156" s="48" t="s">
        <v>277</v>
      </c>
      <c r="D156" s="64">
        <f t="shared" si="30"/>
        <v>10204.89539902566</v>
      </c>
      <c r="E156" s="64">
        <f t="shared" si="30"/>
        <v>10209.154339961869</v>
      </c>
      <c r="F156" s="64">
        <f t="shared" si="30"/>
        <v>10016.330925830593</v>
      </c>
      <c r="G156" s="64">
        <f t="shared" si="30"/>
        <v>10174.158824687407</v>
      </c>
      <c r="H156" s="64">
        <f t="shared" si="30"/>
        <v>9733.3148607825915</v>
      </c>
      <c r="I156" s="64">
        <f t="shared" si="30"/>
        <v>9778.9239090918873</v>
      </c>
      <c r="J156" s="64">
        <f t="shared" si="30"/>
        <v>60116.778259380008</v>
      </c>
    </row>
    <row r="157" spans="2:10">
      <c r="B157" s="48" t="s">
        <v>278</v>
      </c>
      <c r="D157" s="64">
        <f t="shared" si="30"/>
        <v>1.165</v>
      </c>
      <c r="E157" s="64">
        <f t="shared" si="30"/>
        <v>1.165</v>
      </c>
      <c r="F157" s="64">
        <f t="shared" si="30"/>
        <v>1.165</v>
      </c>
      <c r="G157" s="64">
        <f t="shared" si="30"/>
        <v>1.165</v>
      </c>
      <c r="H157" s="64">
        <f t="shared" si="30"/>
        <v>1.165</v>
      </c>
      <c r="I157" s="64">
        <f t="shared" si="30"/>
        <v>1.165</v>
      </c>
      <c r="J157" s="64">
        <f t="shared" si="30"/>
        <v>6.99</v>
      </c>
    </row>
    <row r="158" spans="2:10">
      <c r="B158" s="48" t="s">
        <v>279</v>
      </c>
      <c r="D158" s="64">
        <f t="shared" ref="D158:J165" si="31">SUMIF($B$19:$B$144,$B158,D$19:D$144)</f>
        <v>44559.688886886004</v>
      </c>
      <c r="E158" s="64">
        <f t="shared" si="31"/>
        <v>44578.286044166969</v>
      </c>
      <c r="F158" s="64">
        <f t="shared" si="31"/>
        <v>43736.300345431169</v>
      </c>
      <c r="G158" s="64">
        <f t="shared" si="31"/>
        <v>44425.474086585258</v>
      </c>
      <c r="H158" s="64">
        <f t="shared" si="31"/>
        <v>42500.478023974589</v>
      </c>
      <c r="I158" s="64">
        <f t="shared" si="31"/>
        <v>42699.635198856013</v>
      </c>
      <c r="J158" s="64">
        <f t="shared" si="31"/>
        <v>262499.8625859</v>
      </c>
    </row>
    <row r="159" spans="2:10">
      <c r="B159" s="48" t="s">
        <v>875</v>
      </c>
      <c r="D159" s="64">
        <f t="shared" si="31"/>
        <v>19829.197753494576</v>
      </c>
      <c r="E159" s="64">
        <f t="shared" si="31"/>
        <v>19461.265890930867</v>
      </c>
      <c r="F159" s="64">
        <f t="shared" si="31"/>
        <v>19762.672087720654</v>
      </c>
      <c r="G159" s="64">
        <f t="shared" si="31"/>
        <v>20827.624461070052</v>
      </c>
      <c r="H159" s="64">
        <f t="shared" si="31"/>
        <v>19168.073887428985</v>
      </c>
      <c r="I159" s="64">
        <f t="shared" si="31"/>
        <v>21542.68809110226</v>
      </c>
      <c r="J159" s="64">
        <f t="shared" si="31"/>
        <v>120591.52217174739</v>
      </c>
    </row>
    <row r="160" spans="2:10">
      <c r="B160" s="48" t="s">
        <v>874</v>
      </c>
      <c r="D160" s="64">
        <f t="shared" si="31"/>
        <v>663.39819718039791</v>
      </c>
      <c r="E160" s="64">
        <f t="shared" si="31"/>
        <v>657.503069452722</v>
      </c>
      <c r="F160" s="64">
        <f t="shared" si="31"/>
        <v>629.72970091631998</v>
      </c>
      <c r="G160" s="64">
        <f t="shared" si="31"/>
        <v>653.04078676739994</v>
      </c>
      <c r="H160" s="64">
        <f t="shared" si="31"/>
        <v>632.4167819240821</v>
      </c>
      <c r="I160" s="64">
        <f t="shared" si="31"/>
        <v>655.23404829420076</v>
      </c>
      <c r="J160" s="64">
        <f t="shared" si="31"/>
        <v>3891.3225845351226</v>
      </c>
    </row>
    <row r="161" spans="2:10">
      <c r="B161" s="48" t="s">
        <v>873</v>
      </c>
      <c r="D161" s="64">
        <f t="shared" si="31"/>
        <v>102089.55326487565</v>
      </c>
      <c r="E161" s="64">
        <f t="shared" si="31"/>
        <v>101057.53852552047</v>
      </c>
      <c r="F161" s="64">
        <f t="shared" si="31"/>
        <v>98188.541171981968</v>
      </c>
      <c r="G161" s="64">
        <f t="shared" si="31"/>
        <v>102151.5114571491</v>
      </c>
      <c r="H161" s="64">
        <f t="shared" si="31"/>
        <v>94186.234229795329</v>
      </c>
      <c r="I161" s="64">
        <f t="shared" si="31"/>
        <v>100993.58687618983</v>
      </c>
      <c r="J161" s="64">
        <f t="shared" si="31"/>
        <v>598666.96552551235</v>
      </c>
    </row>
    <row r="162" spans="2:10">
      <c r="B162" s="48" t="s">
        <v>872</v>
      </c>
      <c r="D162" s="64">
        <f t="shared" si="31"/>
        <v>24355.225907623018</v>
      </c>
      <c r="E162" s="64">
        <f t="shared" si="31"/>
        <v>24583.986554317024</v>
      </c>
      <c r="F162" s="64">
        <f t="shared" si="31"/>
        <v>23914.48787810883</v>
      </c>
      <c r="G162" s="64">
        <f t="shared" si="31"/>
        <v>25631.85973532877</v>
      </c>
      <c r="H162" s="64">
        <f t="shared" si="31"/>
        <v>24033.632342558223</v>
      </c>
      <c r="I162" s="64">
        <f t="shared" si="31"/>
        <v>23904.149425640695</v>
      </c>
      <c r="J162" s="64">
        <f t="shared" si="31"/>
        <v>146423.34184357655</v>
      </c>
    </row>
    <row r="163" spans="2:10">
      <c r="B163" s="48" t="s">
        <v>871</v>
      </c>
      <c r="D163" s="64">
        <f t="shared" si="31"/>
        <v>11107.10664503766</v>
      </c>
      <c r="E163" s="64">
        <f t="shared" si="31"/>
        <v>10893.78668356344</v>
      </c>
      <c r="F163" s="64">
        <f t="shared" si="31"/>
        <v>11262.947166310678</v>
      </c>
      <c r="G163" s="64">
        <f t="shared" si="31"/>
        <v>13541.583929187474</v>
      </c>
      <c r="H163" s="64">
        <f t="shared" si="31"/>
        <v>13038.660220966449</v>
      </c>
      <c r="I163" s="64">
        <f t="shared" si="31"/>
        <v>13708.104255615866</v>
      </c>
      <c r="J163" s="64">
        <f t="shared" si="31"/>
        <v>73552.188900681576</v>
      </c>
    </row>
    <row r="164" spans="2:10">
      <c r="B164" s="48" t="s">
        <v>870</v>
      </c>
      <c r="D164" s="64">
        <f t="shared" si="31"/>
        <v>23265.569314260811</v>
      </c>
      <c r="E164" s="64">
        <f t="shared" si="31"/>
        <v>21059.455667207938</v>
      </c>
      <c r="F164" s="64">
        <f t="shared" si="31"/>
        <v>21286.299840899272</v>
      </c>
      <c r="G164" s="64">
        <f t="shared" si="31"/>
        <v>24407.60295650542</v>
      </c>
      <c r="H164" s="64">
        <f t="shared" si="31"/>
        <v>16957.062426048571</v>
      </c>
      <c r="I164" s="64">
        <f t="shared" si="31"/>
        <v>21865.617542521457</v>
      </c>
      <c r="J164" s="64">
        <f t="shared" si="31"/>
        <v>128841.60774744347</v>
      </c>
    </row>
    <row r="165" spans="2:10">
      <c r="B165" s="48" t="s">
        <v>890</v>
      </c>
      <c r="D165" s="64">
        <f t="shared" si="31"/>
        <v>5862.5388630000116</v>
      </c>
      <c r="E165" s="64">
        <f t="shared" si="31"/>
        <v>5862.5388630000116</v>
      </c>
      <c r="F165" s="64">
        <f t="shared" si="31"/>
        <v>5862.5388630000116</v>
      </c>
      <c r="G165" s="64">
        <f t="shared" si="31"/>
        <v>5862.5388630000116</v>
      </c>
      <c r="H165" s="64">
        <f t="shared" si="31"/>
        <v>5862.5388630000116</v>
      </c>
      <c r="I165" s="64">
        <f t="shared" si="31"/>
        <v>5862.5388630000116</v>
      </c>
      <c r="J165" s="64">
        <f t="shared" si="31"/>
        <v>35175.233178000068</v>
      </c>
    </row>
    <row r="166" spans="2:10">
      <c r="B166" s="48" t="s">
        <v>111</v>
      </c>
      <c r="D166" s="65">
        <f>SUM(D148:D165)</f>
        <v>842883.66675323772</v>
      </c>
      <c r="E166" s="65">
        <f t="shared" ref="E166:J166" si="32">SUM(E148:E165)</f>
        <v>839560.80846818711</v>
      </c>
      <c r="F166" s="65">
        <f t="shared" si="32"/>
        <v>824502.16490924126</v>
      </c>
      <c r="G166" s="65">
        <f t="shared" si="32"/>
        <v>846811.87371659698</v>
      </c>
      <c r="H166" s="65">
        <f t="shared" si="32"/>
        <v>799288.49219219899</v>
      </c>
      <c r="I166" s="65">
        <f t="shared" si="32"/>
        <v>816872.38220067054</v>
      </c>
      <c r="J166" s="65">
        <f t="shared" si="32"/>
        <v>4969919.3882401315</v>
      </c>
    </row>
    <row r="167" spans="2:10">
      <c r="B167" s="48"/>
      <c r="D167" s="66">
        <f>D166-D144</f>
        <v>0</v>
      </c>
      <c r="E167" s="66">
        <f t="shared" ref="E167:J167" si="33">E166-E144</f>
        <v>0</v>
      </c>
      <c r="F167" s="66">
        <f t="shared" si="33"/>
        <v>0</v>
      </c>
      <c r="G167" s="66">
        <f t="shared" si="33"/>
        <v>0</v>
      </c>
      <c r="H167" s="66">
        <f t="shared" si="33"/>
        <v>0</v>
      </c>
      <c r="I167" s="66">
        <f t="shared" si="33"/>
        <v>0</v>
      </c>
      <c r="J167" s="66">
        <f t="shared" si="33"/>
        <v>0</v>
      </c>
    </row>
  </sheetData>
  <printOptions horizontalCentered="1" verticalCentered="1"/>
  <pageMargins left="0.51181102362204722" right="0.31496062992125984" top="0.78740157480314965" bottom="0.82677165354330717" header="0.31496062992125984" footer="0.23622047244094491"/>
  <pageSetup scale="57" orientation="portrait" horizontalDpi="300" r:id="rId1"/>
  <headerFooter alignWithMargins="0">
    <oddHeader>&amp;L
NOMBRE DE LA DISTRIBUIDORA: &amp;UELEKTRA NORESTE, S.A.&amp;R&amp;9&amp;A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Hoja76">
    <tabColor theme="0" tint="-0.14999847407452621"/>
    <pageSetUpPr fitToPage="1"/>
  </sheetPr>
  <dimension ref="B1:S78"/>
  <sheetViews>
    <sheetView view="pageBreakPreview" topLeftCell="A5" zoomScale="85" zoomScaleNormal="100" zoomScaleSheetLayoutView="85" workbookViewId="0">
      <selection activeCell="L39" sqref="L39"/>
    </sheetView>
  </sheetViews>
  <sheetFormatPr baseColWidth="10" defaultColWidth="10" defaultRowHeight="13.5"/>
  <cols>
    <col min="1" max="1" width="2.75" style="450" customWidth="1"/>
    <col min="2" max="2" width="2.875" style="450" customWidth="1"/>
    <col min="3" max="3" width="18.125" style="477" customWidth="1"/>
    <col min="4" max="4" width="4" style="477" customWidth="1"/>
    <col min="5" max="6" width="1.625" style="477" hidden="1" customWidth="1"/>
    <col min="7" max="7" width="12.75" style="450" customWidth="1"/>
    <col min="8" max="13" width="10" style="450"/>
    <col min="14" max="14" width="5.75" style="493" customWidth="1"/>
    <col min="15" max="19" width="8.75" style="450" customWidth="1"/>
    <col min="20" max="21" width="4.25" style="450" bestFit="1" customWidth="1"/>
    <col min="22" max="22" width="8.125" style="450" bestFit="1" customWidth="1"/>
    <col min="23" max="16384" width="10" style="450"/>
  </cols>
  <sheetData>
    <row r="1" spans="2:19" s="38" customFormat="1" ht="14.25" thickBot="1">
      <c r="C1" s="271" t="s">
        <v>151</v>
      </c>
      <c r="D1" s="271"/>
      <c r="E1" s="271"/>
      <c r="F1" s="271"/>
      <c r="H1" s="272" t="s">
        <v>138</v>
      </c>
      <c r="K1" s="273" t="s">
        <v>76</v>
      </c>
      <c r="L1" s="447" t="s">
        <v>114</v>
      </c>
    </row>
    <row r="2" spans="2:19" s="38" customFormat="1">
      <c r="C2" s="457"/>
      <c r="D2" s="457"/>
      <c r="E2" s="457"/>
      <c r="F2" s="457"/>
    </row>
    <row r="3" spans="2:19">
      <c r="C3" s="458" t="s">
        <v>298</v>
      </c>
      <c r="D3" s="458"/>
      <c r="E3" s="458"/>
      <c r="F3" s="458"/>
    </row>
    <row r="4" spans="2:19">
      <c r="C4" s="459"/>
      <c r="D4" s="459"/>
      <c r="E4" s="459"/>
      <c r="F4" s="459"/>
    </row>
    <row r="5" spans="2:19" ht="54">
      <c r="B5" s="460">
        <v>4</v>
      </c>
      <c r="C5" s="461" t="s">
        <v>299</v>
      </c>
      <c r="D5" s="461"/>
      <c r="E5" s="461"/>
      <c r="F5" s="461"/>
      <c r="G5" s="462" t="s">
        <v>300</v>
      </c>
      <c r="H5" s="462" t="s">
        <v>301</v>
      </c>
    </row>
    <row r="6" spans="2:19">
      <c r="B6" s="463"/>
      <c r="C6" s="463" t="s">
        <v>79</v>
      </c>
      <c r="D6" s="463">
        <v>250</v>
      </c>
      <c r="E6" s="463"/>
      <c r="F6" s="463"/>
      <c r="G6" s="463">
        <f t="shared" ref="G6:G13" si="0">24*365/12/2</f>
        <v>365</v>
      </c>
      <c r="H6" s="463">
        <f>ROUNDUP(D6*1.23/1000*G6,0)</f>
        <v>113</v>
      </c>
    </row>
    <row r="7" spans="2:19">
      <c r="B7" s="463"/>
      <c r="C7" s="463" t="s">
        <v>80</v>
      </c>
      <c r="D7" s="463">
        <v>200</v>
      </c>
      <c r="E7" s="463"/>
      <c r="F7" s="463"/>
      <c r="G7" s="463">
        <f t="shared" si="0"/>
        <v>365</v>
      </c>
      <c r="H7" s="463">
        <f t="shared" ref="H7:H13" si="1">ROUNDUP(D7*1.2/1000*G7,0)</f>
        <v>88</v>
      </c>
    </row>
    <row r="8" spans="2:19">
      <c r="B8" s="463"/>
      <c r="C8" s="463" t="s">
        <v>403</v>
      </c>
      <c r="D8" s="463">
        <v>175</v>
      </c>
      <c r="E8" s="463"/>
      <c r="F8" s="463"/>
      <c r="G8" s="463">
        <f t="shared" si="0"/>
        <v>365</v>
      </c>
      <c r="H8" s="463">
        <f t="shared" si="1"/>
        <v>77</v>
      </c>
    </row>
    <row r="9" spans="2:19">
      <c r="B9" s="463"/>
      <c r="C9" s="463" t="s">
        <v>81</v>
      </c>
      <c r="D9" s="463">
        <v>150</v>
      </c>
      <c r="E9" s="463"/>
      <c r="F9" s="463"/>
      <c r="G9" s="463">
        <f t="shared" si="0"/>
        <v>365</v>
      </c>
      <c r="H9" s="463">
        <f>ROUNDUP(D9*1.15/1000*G9,0)</f>
        <v>63</v>
      </c>
    </row>
    <row r="10" spans="2:19">
      <c r="B10" s="463"/>
      <c r="C10" s="463" t="s">
        <v>82</v>
      </c>
      <c r="D10" s="463">
        <v>100</v>
      </c>
      <c r="E10" s="463"/>
      <c r="F10" s="463"/>
      <c r="G10" s="463">
        <f t="shared" si="0"/>
        <v>365</v>
      </c>
      <c r="H10" s="463">
        <f>ROUNDUP(D10*1.33/1000*G10,0)</f>
        <v>49</v>
      </c>
    </row>
    <row r="11" spans="2:19">
      <c r="B11" s="463"/>
      <c r="C11" s="463" t="s">
        <v>83</v>
      </c>
      <c r="D11" s="463">
        <v>70</v>
      </c>
      <c r="E11" s="463"/>
      <c r="F11" s="463"/>
      <c r="G11" s="463">
        <f t="shared" si="0"/>
        <v>365</v>
      </c>
      <c r="H11" s="463">
        <f>ROUNDUP(D11*1.26/1000*G11,0)</f>
        <v>33</v>
      </c>
    </row>
    <row r="12" spans="2:19">
      <c r="B12" s="463"/>
      <c r="C12" s="463" t="s">
        <v>1337</v>
      </c>
      <c r="D12" s="463">
        <v>75</v>
      </c>
      <c r="E12" s="463"/>
      <c r="F12" s="463"/>
      <c r="G12" s="463">
        <v>365</v>
      </c>
      <c r="H12" s="463">
        <f>ROUNDUP(D12*1.33/1000*G12,0)</f>
        <v>37</v>
      </c>
    </row>
    <row r="13" spans="2:19">
      <c r="B13" s="463"/>
      <c r="C13" s="463" t="s">
        <v>1338</v>
      </c>
      <c r="D13" s="463">
        <v>189</v>
      </c>
      <c r="E13" s="463"/>
      <c r="F13" s="463"/>
      <c r="G13" s="463">
        <f t="shared" si="0"/>
        <v>365</v>
      </c>
      <c r="H13" s="463">
        <f t="shared" si="1"/>
        <v>83</v>
      </c>
    </row>
    <row r="14" spans="2:19" ht="24">
      <c r="B14" s="460">
        <v>5</v>
      </c>
      <c r="C14" s="461" t="s">
        <v>1466</v>
      </c>
      <c r="D14" s="461"/>
      <c r="E14" s="461"/>
      <c r="F14" s="461"/>
      <c r="G14" s="494">
        <v>45839</v>
      </c>
      <c r="H14" s="494">
        <v>45870</v>
      </c>
      <c r="I14" s="494">
        <v>45901</v>
      </c>
      <c r="J14" s="494">
        <v>45931</v>
      </c>
      <c r="K14" s="494">
        <v>45962</v>
      </c>
      <c r="L14" s="494">
        <v>45992</v>
      </c>
      <c r="M14" s="481"/>
    </row>
    <row r="15" spans="2:19">
      <c r="B15" s="465"/>
      <c r="C15" s="463" t="str">
        <f t="shared" ref="C15:C22" si="2">C6</f>
        <v>Sodio 250</v>
      </c>
      <c r="D15" s="466"/>
      <c r="E15" s="466"/>
      <c r="F15" s="466"/>
      <c r="G15" s="467">
        <f>G48+G58-G68</f>
        <v>3480</v>
      </c>
      <c r="H15" s="467">
        <f t="shared" ref="H15:L22" si="3">H48+H58-H68</f>
        <v>3104</v>
      </c>
      <c r="I15" s="467">
        <f t="shared" si="3"/>
        <v>3008</v>
      </c>
      <c r="J15" s="467">
        <f t="shared" si="3"/>
        <v>2940</v>
      </c>
      <c r="K15" s="467">
        <f t="shared" si="3"/>
        <v>2939</v>
      </c>
      <c r="L15" s="467">
        <f t="shared" si="3"/>
        <v>2937</v>
      </c>
      <c r="M15" s="481"/>
      <c r="O15" s="485"/>
      <c r="P15" s="485"/>
      <c r="Q15" s="485"/>
      <c r="R15" s="485"/>
      <c r="S15" s="485"/>
    </row>
    <row r="16" spans="2:19">
      <c r="B16" s="465"/>
      <c r="C16" s="463" t="str">
        <f t="shared" si="2"/>
        <v>Sodio 200</v>
      </c>
      <c r="D16" s="466"/>
      <c r="E16" s="466"/>
      <c r="F16" s="466"/>
      <c r="G16" s="467">
        <f t="shared" ref="G16:G22" si="4">G49+G59-G69</f>
        <v>124</v>
      </c>
      <c r="H16" s="467">
        <f t="shared" si="3"/>
        <v>114</v>
      </c>
      <c r="I16" s="467">
        <f t="shared" si="3"/>
        <v>110</v>
      </c>
      <c r="J16" s="467">
        <f t="shared" si="3"/>
        <v>108</v>
      </c>
      <c r="K16" s="467">
        <f t="shared" si="3"/>
        <v>108</v>
      </c>
      <c r="L16" s="467">
        <f t="shared" si="3"/>
        <v>108</v>
      </c>
      <c r="M16" s="481"/>
      <c r="O16" s="485"/>
      <c r="P16" s="485"/>
      <c r="Q16" s="485"/>
      <c r="R16" s="485"/>
      <c r="S16" s="485"/>
    </row>
    <row r="17" spans="2:19">
      <c r="B17" s="465"/>
      <c r="C17" s="463" t="str">
        <f t="shared" si="2"/>
        <v>Sodio 175</v>
      </c>
      <c r="D17" s="466"/>
      <c r="E17" s="466"/>
      <c r="F17" s="466"/>
      <c r="G17" s="467">
        <f t="shared" si="4"/>
        <v>101</v>
      </c>
      <c r="H17" s="467">
        <f t="shared" si="3"/>
        <v>67</v>
      </c>
      <c r="I17" s="467">
        <f t="shared" si="3"/>
        <v>56</v>
      </c>
      <c r="J17" s="467">
        <f t="shared" si="3"/>
        <v>49</v>
      </c>
      <c r="K17" s="467">
        <f t="shared" si="3"/>
        <v>49</v>
      </c>
      <c r="L17" s="467">
        <f t="shared" si="3"/>
        <v>49</v>
      </c>
      <c r="M17" s="481"/>
      <c r="O17" s="485"/>
      <c r="P17" s="485"/>
      <c r="Q17" s="485"/>
      <c r="R17" s="485"/>
      <c r="S17" s="485"/>
    </row>
    <row r="18" spans="2:19">
      <c r="B18" s="465"/>
      <c r="C18" s="463" t="str">
        <f t="shared" si="2"/>
        <v>Sodio 150</v>
      </c>
      <c r="D18" s="466"/>
      <c r="E18" s="466"/>
      <c r="F18" s="466"/>
      <c r="G18" s="467">
        <f t="shared" si="4"/>
        <v>390</v>
      </c>
      <c r="H18" s="467">
        <f t="shared" si="3"/>
        <v>377</v>
      </c>
      <c r="I18" s="467">
        <f t="shared" si="3"/>
        <v>374</v>
      </c>
      <c r="J18" s="467">
        <f t="shared" si="3"/>
        <v>374</v>
      </c>
      <c r="K18" s="467">
        <f t="shared" si="3"/>
        <v>374</v>
      </c>
      <c r="L18" s="467">
        <f t="shared" si="3"/>
        <v>374</v>
      </c>
      <c r="M18" s="481"/>
      <c r="O18" s="485"/>
      <c r="P18" s="485"/>
      <c r="Q18" s="485"/>
      <c r="R18" s="485"/>
      <c r="S18" s="485"/>
    </row>
    <row r="19" spans="2:19">
      <c r="B19" s="465"/>
      <c r="C19" s="463" t="str">
        <f t="shared" si="2"/>
        <v>Sodio 100</v>
      </c>
      <c r="D19" s="466"/>
      <c r="E19" s="466"/>
      <c r="F19" s="466"/>
      <c r="G19" s="467">
        <f t="shared" si="4"/>
        <v>43419</v>
      </c>
      <c r="H19" s="467">
        <f t="shared" si="3"/>
        <v>39920</v>
      </c>
      <c r="I19" s="467">
        <f t="shared" si="3"/>
        <v>38602</v>
      </c>
      <c r="J19" s="467">
        <f t="shared" si="3"/>
        <v>37055</v>
      </c>
      <c r="K19" s="467">
        <f t="shared" si="3"/>
        <v>37050</v>
      </c>
      <c r="L19" s="467">
        <f t="shared" si="3"/>
        <v>37053</v>
      </c>
      <c r="M19" s="481"/>
      <c r="O19" s="485"/>
      <c r="P19" s="485"/>
      <c r="Q19" s="485"/>
      <c r="R19" s="485"/>
      <c r="S19" s="485"/>
    </row>
    <row r="20" spans="2:19">
      <c r="B20" s="465"/>
      <c r="C20" s="463" t="str">
        <f t="shared" si="2"/>
        <v>Sodio 70</v>
      </c>
      <c r="D20" s="466"/>
      <c r="E20" s="466"/>
      <c r="F20" s="466"/>
      <c r="G20" s="467">
        <f t="shared" si="4"/>
        <v>6833</v>
      </c>
      <c r="H20" s="467">
        <f t="shared" si="3"/>
        <v>6465</v>
      </c>
      <c r="I20" s="467">
        <f t="shared" si="3"/>
        <v>6156</v>
      </c>
      <c r="J20" s="467">
        <f t="shared" si="3"/>
        <v>5931</v>
      </c>
      <c r="K20" s="467">
        <f t="shared" si="3"/>
        <v>5930</v>
      </c>
      <c r="L20" s="467">
        <f t="shared" si="3"/>
        <v>5930</v>
      </c>
      <c r="M20" s="481"/>
      <c r="O20" s="485"/>
      <c r="P20" s="485"/>
      <c r="Q20" s="485"/>
      <c r="R20" s="485"/>
      <c r="S20" s="485"/>
    </row>
    <row r="21" spans="2:19">
      <c r="B21" s="468"/>
      <c r="C21" s="463" t="str">
        <f t="shared" si="2"/>
        <v>LED equivalente 75 W</v>
      </c>
      <c r="D21" s="469"/>
      <c r="E21" s="469"/>
      <c r="F21" s="469"/>
      <c r="G21" s="467">
        <f t="shared" si="4"/>
        <v>66536</v>
      </c>
      <c r="H21" s="467">
        <f t="shared" si="3"/>
        <v>70263</v>
      </c>
      <c r="I21" s="467">
        <f t="shared" si="3"/>
        <v>72312</v>
      </c>
      <c r="J21" s="467">
        <f t="shared" si="3"/>
        <v>74337</v>
      </c>
      <c r="K21" s="467">
        <f t="shared" si="3"/>
        <v>74416</v>
      </c>
      <c r="L21" s="467">
        <f t="shared" si="3"/>
        <v>74481</v>
      </c>
      <c r="M21" s="481"/>
      <c r="O21" s="485"/>
      <c r="P21" s="485"/>
      <c r="Q21" s="485"/>
      <c r="R21" s="485"/>
      <c r="S21" s="485"/>
    </row>
    <row r="22" spans="2:19">
      <c r="B22" s="465"/>
      <c r="C22" s="463" t="str">
        <f t="shared" si="2"/>
        <v>LED equivalente 189 W</v>
      </c>
      <c r="D22" s="466"/>
      <c r="E22" s="466"/>
      <c r="F22" s="466"/>
      <c r="G22" s="467">
        <f t="shared" si="4"/>
        <v>15884</v>
      </c>
      <c r="H22" s="467">
        <f t="shared" si="3"/>
        <v>15886</v>
      </c>
      <c r="I22" s="467">
        <f t="shared" si="3"/>
        <v>15988</v>
      </c>
      <c r="J22" s="467">
        <f t="shared" si="3"/>
        <v>15986</v>
      </c>
      <c r="K22" s="467">
        <f t="shared" si="3"/>
        <v>15994</v>
      </c>
      <c r="L22" s="467">
        <f t="shared" si="3"/>
        <v>15995</v>
      </c>
      <c r="M22" s="481"/>
      <c r="O22" s="485"/>
      <c r="P22" s="485"/>
      <c r="Q22" s="485"/>
      <c r="R22" s="485"/>
      <c r="S22" s="485"/>
    </row>
    <row r="23" spans="2:19">
      <c r="B23" s="470"/>
      <c r="C23" s="471" t="s">
        <v>112</v>
      </c>
      <c r="D23" s="471"/>
      <c r="E23" s="471"/>
      <c r="F23" s="471"/>
      <c r="G23" s="472">
        <f t="shared" ref="G23:L23" si="5">SUM(G15:G22)</f>
        <v>136767</v>
      </c>
      <c r="H23" s="472">
        <f t="shared" si="5"/>
        <v>136196</v>
      </c>
      <c r="I23" s="472">
        <f t="shared" si="5"/>
        <v>136606</v>
      </c>
      <c r="J23" s="472">
        <f t="shared" si="5"/>
        <v>136780</v>
      </c>
      <c r="K23" s="472">
        <f t="shared" si="5"/>
        <v>136860</v>
      </c>
      <c r="L23" s="472">
        <f t="shared" si="5"/>
        <v>136927</v>
      </c>
      <c r="M23" s="481"/>
      <c r="O23" s="485"/>
      <c r="P23" s="485"/>
      <c r="Q23" s="485"/>
      <c r="R23" s="485"/>
      <c r="S23" s="485"/>
    </row>
    <row r="24" spans="2:19" ht="36">
      <c r="B24" s="460">
        <v>6</v>
      </c>
      <c r="C24" s="461" t="s">
        <v>698</v>
      </c>
      <c r="D24" s="461"/>
      <c r="E24" s="461"/>
      <c r="F24" s="461"/>
      <c r="G24" s="494">
        <f t="shared" ref="G24:L24" si="6">G$14</f>
        <v>45839</v>
      </c>
      <c r="H24" s="494">
        <f t="shared" si="6"/>
        <v>45870</v>
      </c>
      <c r="I24" s="494">
        <f t="shared" si="6"/>
        <v>45901</v>
      </c>
      <c r="J24" s="494">
        <f t="shared" si="6"/>
        <v>45931</v>
      </c>
      <c r="K24" s="494">
        <f t="shared" si="6"/>
        <v>45962</v>
      </c>
      <c r="L24" s="494">
        <f t="shared" si="6"/>
        <v>45992</v>
      </c>
      <c r="M24" s="497" t="s">
        <v>112</v>
      </c>
    </row>
    <row r="25" spans="2:19">
      <c r="B25" s="465"/>
      <c r="C25" s="466" t="s">
        <v>79</v>
      </c>
      <c r="D25" s="466"/>
      <c r="E25" s="466"/>
      <c r="F25" s="466"/>
      <c r="G25" s="467">
        <v>-229</v>
      </c>
      <c r="H25" s="467">
        <v>-77</v>
      </c>
      <c r="I25" s="467">
        <v>-70</v>
      </c>
      <c r="J25" s="467">
        <v>-122</v>
      </c>
      <c r="K25" s="467">
        <v>-22</v>
      </c>
      <c r="L25" s="467">
        <v>-41</v>
      </c>
      <c r="M25" s="474">
        <f t="shared" ref="M25:M32" si="7">SUM(G25:L25)</f>
        <v>-561</v>
      </c>
    </row>
    <row r="26" spans="2:19">
      <c r="B26" s="465"/>
      <c r="C26" s="466" t="s">
        <v>80</v>
      </c>
      <c r="D26" s="466"/>
      <c r="E26" s="466"/>
      <c r="F26" s="466"/>
      <c r="G26" s="467">
        <v>-6</v>
      </c>
      <c r="H26" s="467">
        <v>0</v>
      </c>
      <c r="I26" s="467">
        <v>0</v>
      </c>
      <c r="J26" s="467">
        <v>0</v>
      </c>
      <c r="K26" s="467">
        <v>0</v>
      </c>
      <c r="L26" s="467">
        <v>0</v>
      </c>
      <c r="M26" s="474">
        <f t="shared" si="7"/>
        <v>-6</v>
      </c>
    </row>
    <row r="27" spans="2:19">
      <c r="B27" s="465"/>
      <c r="C27" s="466" t="s">
        <v>403</v>
      </c>
      <c r="D27" s="466"/>
      <c r="E27" s="466"/>
      <c r="F27" s="466"/>
      <c r="G27" s="467"/>
      <c r="H27" s="467"/>
      <c r="I27" s="467"/>
      <c r="J27" s="467"/>
      <c r="K27" s="467"/>
      <c r="L27" s="467"/>
      <c r="M27" s="474">
        <f t="shared" si="7"/>
        <v>0</v>
      </c>
    </row>
    <row r="28" spans="2:19">
      <c r="B28" s="465"/>
      <c r="C28" s="466" t="s">
        <v>81</v>
      </c>
      <c r="D28" s="466"/>
      <c r="E28" s="466"/>
      <c r="F28" s="466"/>
      <c r="G28" s="467"/>
      <c r="H28" s="467"/>
      <c r="I28" s="467"/>
      <c r="J28" s="467"/>
      <c r="K28" s="467"/>
      <c r="L28" s="467"/>
      <c r="M28" s="474">
        <f t="shared" si="7"/>
        <v>0</v>
      </c>
    </row>
    <row r="29" spans="2:19">
      <c r="B29" s="465"/>
      <c r="C29" s="466" t="s">
        <v>82</v>
      </c>
      <c r="D29" s="475"/>
      <c r="E29" s="475"/>
      <c r="F29" s="475"/>
      <c r="G29" s="467">
        <v>-3838</v>
      </c>
      <c r="H29" s="467">
        <v>-1748</v>
      </c>
      <c r="I29" s="467">
        <v>-2424</v>
      </c>
      <c r="J29" s="467">
        <v>-3203</v>
      </c>
      <c r="K29" s="467">
        <v>-3620</v>
      </c>
      <c r="L29" s="467">
        <v>-1657</v>
      </c>
      <c r="M29" s="474">
        <f t="shared" si="7"/>
        <v>-16490</v>
      </c>
    </row>
    <row r="30" spans="2:19">
      <c r="B30" s="465"/>
      <c r="C30" s="466" t="s">
        <v>83</v>
      </c>
      <c r="D30" s="475"/>
      <c r="E30" s="475"/>
      <c r="F30" s="475"/>
      <c r="G30" s="467">
        <v>-25</v>
      </c>
      <c r="H30" s="467">
        <v>0</v>
      </c>
      <c r="I30" s="467">
        <v>0</v>
      </c>
      <c r="J30" s="467">
        <v>0</v>
      </c>
      <c r="K30" s="467">
        <v>0</v>
      </c>
      <c r="L30" s="467">
        <v>0</v>
      </c>
      <c r="M30" s="474">
        <f t="shared" si="7"/>
        <v>-25</v>
      </c>
    </row>
    <row r="31" spans="2:19">
      <c r="B31" s="468"/>
      <c r="C31" s="498" t="str">
        <f>C12</f>
        <v>LED equivalente 75 W</v>
      </c>
      <c r="D31" s="476"/>
      <c r="E31" s="476"/>
      <c r="F31" s="476"/>
      <c r="G31" s="488">
        <v>-1261</v>
      </c>
      <c r="H31" s="488">
        <v>-930</v>
      </c>
      <c r="I31" s="488">
        <v>-1012</v>
      </c>
      <c r="J31" s="488">
        <v>-1764</v>
      </c>
      <c r="K31" s="488">
        <v>-966</v>
      </c>
      <c r="L31" s="488">
        <v>-897</v>
      </c>
      <c r="M31" s="474">
        <f t="shared" si="7"/>
        <v>-6830</v>
      </c>
    </row>
    <row r="32" spans="2:19">
      <c r="B32" s="468"/>
      <c r="C32" s="498" t="str">
        <f>C13</f>
        <v>LED equivalente 189 W</v>
      </c>
      <c r="D32" s="476"/>
      <c r="E32" s="476"/>
      <c r="F32" s="476"/>
      <c r="G32" s="488">
        <v>-944</v>
      </c>
      <c r="H32" s="488">
        <v>-822</v>
      </c>
      <c r="I32" s="488">
        <v>-446</v>
      </c>
      <c r="J32" s="488">
        <v>-1241</v>
      </c>
      <c r="K32" s="488">
        <v>-631</v>
      </c>
      <c r="L32" s="488">
        <v>-495</v>
      </c>
      <c r="M32" s="474">
        <f t="shared" si="7"/>
        <v>-4579</v>
      </c>
    </row>
    <row r="33" spans="2:14">
      <c r="B33" s="470"/>
      <c r="C33" s="471" t="s">
        <v>112</v>
      </c>
      <c r="D33" s="471"/>
      <c r="E33" s="471"/>
      <c r="F33" s="471"/>
      <c r="G33" s="472">
        <f t="shared" ref="G33:M33" si="8">SUM(G25:G32)</f>
        <v>-6303</v>
      </c>
      <c r="H33" s="472">
        <f t="shared" si="8"/>
        <v>-3577</v>
      </c>
      <c r="I33" s="472">
        <f t="shared" si="8"/>
        <v>-3952</v>
      </c>
      <c r="J33" s="472">
        <f t="shared" si="8"/>
        <v>-6330</v>
      </c>
      <c r="K33" s="472">
        <f t="shared" si="8"/>
        <v>-5239</v>
      </c>
      <c r="L33" s="472">
        <f t="shared" si="8"/>
        <v>-3090</v>
      </c>
      <c r="M33" s="472">
        <f t="shared" si="8"/>
        <v>-28491</v>
      </c>
      <c r="N33" s="499"/>
    </row>
    <row r="34" spans="2:14" ht="24">
      <c r="B34" s="460">
        <v>7</v>
      </c>
      <c r="C34" s="461" t="s">
        <v>1474</v>
      </c>
      <c r="D34" s="461"/>
      <c r="E34" s="461"/>
      <c r="F34" s="461"/>
      <c r="G34" s="494">
        <f t="shared" ref="G34:L34" si="9">G$14</f>
        <v>45839</v>
      </c>
      <c r="H34" s="494">
        <f t="shared" si="9"/>
        <v>45870</v>
      </c>
      <c r="I34" s="494">
        <f t="shared" si="9"/>
        <v>45901</v>
      </c>
      <c r="J34" s="494">
        <f t="shared" si="9"/>
        <v>45931</v>
      </c>
      <c r="K34" s="494">
        <f t="shared" si="9"/>
        <v>45962</v>
      </c>
      <c r="L34" s="494">
        <f t="shared" si="9"/>
        <v>45992</v>
      </c>
      <c r="M34" s="497" t="s">
        <v>112</v>
      </c>
      <c r="N34" s="495"/>
    </row>
    <row r="35" spans="2:14">
      <c r="B35" s="465"/>
      <c r="C35" s="466" t="str">
        <f t="shared" ref="C35:C40" si="10">C15</f>
        <v>Sodio 250</v>
      </c>
      <c r="D35" s="466"/>
      <c r="E35" s="466"/>
      <c r="F35" s="466"/>
      <c r="G35" s="467">
        <f>(G15*$H6)+G25</f>
        <v>393011</v>
      </c>
      <c r="H35" s="467">
        <f t="shared" ref="H35:L35" si="11">(H15*$H6)+H25</f>
        <v>350675</v>
      </c>
      <c r="I35" s="467">
        <f t="shared" si="11"/>
        <v>339834</v>
      </c>
      <c r="J35" s="467">
        <f t="shared" si="11"/>
        <v>332098</v>
      </c>
      <c r="K35" s="467">
        <f t="shared" si="11"/>
        <v>332085</v>
      </c>
      <c r="L35" s="467">
        <f t="shared" si="11"/>
        <v>331840</v>
      </c>
      <c r="M35" s="474">
        <f t="shared" ref="M35:M42" si="12">SUM(G35:L35)</f>
        <v>2079543</v>
      </c>
      <c r="N35" s="496"/>
    </row>
    <row r="36" spans="2:14">
      <c r="B36" s="465"/>
      <c r="C36" s="466" t="str">
        <f t="shared" si="10"/>
        <v>Sodio 200</v>
      </c>
      <c r="D36" s="466"/>
      <c r="E36" s="466"/>
      <c r="F36" s="466"/>
      <c r="G36" s="467">
        <f t="shared" ref="G36:L36" si="13">(G16*$H7)+G26</f>
        <v>10906</v>
      </c>
      <c r="H36" s="467">
        <f t="shared" si="13"/>
        <v>10032</v>
      </c>
      <c r="I36" s="467">
        <f t="shared" si="13"/>
        <v>9680</v>
      </c>
      <c r="J36" s="467">
        <f t="shared" si="13"/>
        <v>9504</v>
      </c>
      <c r="K36" s="467">
        <f t="shared" si="13"/>
        <v>9504</v>
      </c>
      <c r="L36" s="467">
        <f t="shared" si="13"/>
        <v>9504</v>
      </c>
      <c r="M36" s="474">
        <f t="shared" si="12"/>
        <v>59130</v>
      </c>
      <c r="N36" s="496"/>
    </row>
    <row r="37" spans="2:14">
      <c r="B37" s="465"/>
      <c r="C37" s="466" t="str">
        <f t="shared" si="10"/>
        <v>Sodio 175</v>
      </c>
      <c r="D37" s="466"/>
      <c r="E37" s="466"/>
      <c r="F37" s="466"/>
      <c r="G37" s="467">
        <f t="shared" ref="G37:L37" si="14">(G17*$H8)+G27</f>
        <v>7777</v>
      </c>
      <c r="H37" s="467">
        <f t="shared" si="14"/>
        <v>5159</v>
      </c>
      <c r="I37" s="467">
        <f t="shared" si="14"/>
        <v>4312</v>
      </c>
      <c r="J37" s="467">
        <f t="shared" si="14"/>
        <v>3773</v>
      </c>
      <c r="K37" s="467">
        <f t="shared" si="14"/>
        <v>3773</v>
      </c>
      <c r="L37" s="467">
        <f t="shared" si="14"/>
        <v>3773</v>
      </c>
      <c r="M37" s="474">
        <f t="shared" si="12"/>
        <v>28567</v>
      </c>
      <c r="N37" s="496"/>
    </row>
    <row r="38" spans="2:14">
      <c r="B38" s="465"/>
      <c r="C38" s="466" t="str">
        <f t="shared" si="10"/>
        <v>Sodio 150</v>
      </c>
      <c r="D38" s="466"/>
      <c r="E38" s="466"/>
      <c r="F38" s="466"/>
      <c r="G38" s="467">
        <f t="shared" ref="G38:L38" si="15">(G18*$H9)+G28</f>
        <v>24570</v>
      </c>
      <c r="H38" s="467">
        <f t="shared" si="15"/>
        <v>23751</v>
      </c>
      <c r="I38" s="467">
        <f t="shared" si="15"/>
        <v>23562</v>
      </c>
      <c r="J38" s="467">
        <f t="shared" si="15"/>
        <v>23562</v>
      </c>
      <c r="K38" s="467">
        <f t="shared" si="15"/>
        <v>23562</v>
      </c>
      <c r="L38" s="467">
        <f t="shared" si="15"/>
        <v>23562</v>
      </c>
      <c r="M38" s="474">
        <f t="shared" si="12"/>
        <v>142569</v>
      </c>
      <c r="N38" s="496"/>
    </row>
    <row r="39" spans="2:14">
      <c r="B39" s="465"/>
      <c r="C39" s="466" t="str">
        <f t="shared" si="10"/>
        <v>Sodio 100</v>
      </c>
      <c r="D39" s="466"/>
      <c r="E39" s="466"/>
      <c r="F39" s="466"/>
      <c r="G39" s="467">
        <f t="shared" ref="G39:L39" si="16">(G19*$H10)+G29</f>
        <v>2123693</v>
      </c>
      <c r="H39" s="467">
        <f t="shared" si="16"/>
        <v>1954332</v>
      </c>
      <c r="I39" s="467">
        <f t="shared" si="16"/>
        <v>1889074</v>
      </c>
      <c r="J39" s="467">
        <f t="shared" si="16"/>
        <v>1812492</v>
      </c>
      <c r="K39" s="467">
        <f t="shared" si="16"/>
        <v>1811830</v>
      </c>
      <c r="L39" s="467">
        <f t="shared" si="16"/>
        <v>1813940</v>
      </c>
      <c r="M39" s="474">
        <f t="shared" si="12"/>
        <v>11405361</v>
      </c>
      <c r="N39" s="496"/>
    </row>
    <row r="40" spans="2:14">
      <c r="B40" s="465"/>
      <c r="C40" s="466" t="str">
        <f t="shared" si="10"/>
        <v>Sodio 70</v>
      </c>
      <c r="D40" s="475"/>
      <c r="E40" s="475"/>
      <c r="F40" s="475"/>
      <c r="G40" s="467">
        <f t="shared" ref="G40:L40" si="17">(G20*$H11)+G30</f>
        <v>225464</v>
      </c>
      <c r="H40" s="467">
        <f t="shared" si="17"/>
        <v>213345</v>
      </c>
      <c r="I40" s="467">
        <f t="shared" si="17"/>
        <v>203148</v>
      </c>
      <c r="J40" s="467">
        <f t="shared" si="17"/>
        <v>195723</v>
      </c>
      <c r="K40" s="467">
        <f t="shared" si="17"/>
        <v>195690</v>
      </c>
      <c r="L40" s="467">
        <f t="shared" si="17"/>
        <v>195690</v>
      </c>
      <c r="M40" s="474">
        <f t="shared" si="12"/>
        <v>1229060</v>
      </c>
      <c r="N40" s="496"/>
    </row>
    <row r="41" spans="2:14">
      <c r="B41" s="468"/>
      <c r="C41" s="500" t="str">
        <f>C12</f>
        <v>LED equivalente 75 W</v>
      </c>
      <c r="D41" s="476"/>
      <c r="E41" s="476"/>
      <c r="F41" s="476"/>
      <c r="G41" s="467">
        <f t="shared" ref="G41:L41" si="18">(G21*$H12)+G31</f>
        <v>2460571</v>
      </c>
      <c r="H41" s="467">
        <f t="shared" si="18"/>
        <v>2598801</v>
      </c>
      <c r="I41" s="467">
        <f t="shared" si="18"/>
        <v>2674532</v>
      </c>
      <c r="J41" s="467">
        <f t="shared" si="18"/>
        <v>2748705</v>
      </c>
      <c r="K41" s="467">
        <f t="shared" si="18"/>
        <v>2752426</v>
      </c>
      <c r="L41" s="467">
        <f t="shared" si="18"/>
        <v>2754900</v>
      </c>
      <c r="M41" s="474">
        <f>SUM(G41:L41)</f>
        <v>15989935</v>
      </c>
      <c r="N41" s="496"/>
    </row>
    <row r="42" spans="2:14">
      <c r="B42" s="465"/>
      <c r="C42" s="500" t="str">
        <f>C13</f>
        <v>LED equivalente 189 W</v>
      </c>
      <c r="D42" s="475"/>
      <c r="E42" s="475"/>
      <c r="F42" s="475"/>
      <c r="G42" s="467">
        <f t="shared" ref="G42:L42" si="19">(G22*$H13)+G32</f>
        <v>1317428</v>
      </c>
      <c r="H42" s="467">
        <f t="shared" si="19"/>
        <v>1317716</v>
      </c>
      <c r="I42" s="467">
        <f t="shared" si="19"/>
        <v>1326558</v>
      </c>
      <c r="J42" s="467">
        <f t="shared" si="19"/>
        <v>1325597</v>
      </c>
      <c r="K42" s="467">
        <f t="shared" si="19"/>
        <v>1326871</v>
      </c>
      <c r="L42" s="467">
        <f t="shared" si="19"/>
        <v>1327090</v>
      </c>
      <c r="M42" s="474">
        <f t="shared" si="12"/>
        <v>7941260</v>
      </c>
      <c r="N42" s="496"/>
    </row>
    <row r="43" spans="2:14">
      <c r="B43" s="470"/>
      <c r="C43" s="471" t="s">
        <v>112</v>
      </c>
      <c r="D43" s="471"/>
      <c r="E43" s="471"/>
      <c r="F43" s="471"/>
      <c r="G43" s="472">
        <f t="shared" ref="G43:M43" si="20">SUM(G35:G42)</f>
        <v>6563420</v>
      </c>
      <c r="H43" s="472">
        <f t="shared" si="20"/>
        <v>6473811</v>
      </c>
      <c r="I43" s="472">
        <f t="shared" si="20"/>
        <v>6470700</v>
      </c>
      <c r="J43" s="472">
        <f t="shared" si="20"/>
        <v>6451454</v>
      </c>
      <c r="K43" s="472">
        <f t="shared" si="20"/>
        <v>6455741</v>
      </c>
      <c r="L43" s="472">
        <f t="shared" si="20"/>
        <v>6460299</v>
      </c>
      <c r="M43" s="472">
        <f t="shared" si="20"/>
        <v>38875425</v>
      </c>
      <c r="N43" s="496"/>
    </row>
    <row r="45" spans="2:14" ht="18.75">
      <c r="C45" s="501" t="s">
        <v>297</v>
      </c>
      <c r="D45" s="136"/>
      <c r="E45" s="136"/>
      <c r="F45" s="136"/>
    </row>
    <row r="46" spans="2:14" ht="15.75">
      <c r="B46" s="479">
        <v>1</v>
      </c>
      <c r="C46" s="482" t="s">
        <v>84</v>
      </c>
      <c r="D46" s="482"/>
      <c r="E46" s="482"/>
      <c r="F46" s="482"/>
      <c r="G46" s="483"/>
      <c r="H46" s="481"/>
      <c r="I46" s="481"/>
      <c r="J46" s="481"/>
      <c r="K46" s="481"/>
      <c r="L46" s="481"/>
      <c r="M46" s="481"/>
    </row>
    <row r="47" spans="2:14" s="455" customFormat="1" ht="15">
      <c r="B47" s="502"/>
      <c r="C47" s="480" t="s">
        <v>227</v>
      </c>
      <c r="D47" s="480"/>
      <c r="E47" s="480"/>
      <c r="F47" s="480"/>
      <c r="G47" s="464">
        <f t="shared" ref="G47:L47" si="21">G$14</f>
        <v>45839</v>
      </c>
      <c r="H47" s="464">
        <f t="shared" si="21"/>
        <v>45870</v>
      </c>
      <c r="I47" s="464">
        <f t="shared" si="21"/>
        <v>45901</v>
      </c>
      <c r="J47" s="464">
        <f t="shared" si="21"/>
        <v>45931</v>
      </c>
      <c r="K47" s="464">
        <f t="shared" si="21"/>
        <v>45962</v>
      </c>
      <c r="L47" s="464">
        <f t="shared" si="21"/>
        <v>45992</v>
      </c>
      <c r="M47" s="481"/>
      <c r="N47" s="495"/>
    </row>
    <row r="48" spans="2:14">
      <c r="B48" s="463"/>
      <c r="C48" s="466" t="str">
        <f t="shared" ref="C48:C55" si="22">C35</f>
        <v>Sodio 250</v>
      </c>
      <c r="D48" s="466"/>
      <c r="E48" s="466"/>
      <c r="F48" s="466"/>
      <c r="G48" s="467">
        <v>3656</v>
      </c>
      <c r="H48" s="467">
        <f>G15</f>
        <v>3480</v>
      </c>
      <c r="I48" s="467">
        <f t="shared" ref="I48:L48" si="23">H15</f>
        <v>3104</v>
      </c>
      <c r="J48" s="467">
        <f t="shared" si="23"/>
        <v>3008</v>
      </c>
      <c r="K48" s="467">
        <f t="shared" si="23"/>
        <v>2940</v>
      </c>
      <c r="L48" s="467">
        <f t="shared" si="23"/>
        <v>2939</v>
      </c>
      <c r="M48" s="481"/>
      <c r="N48" s="496">
        <f t="shared" ref="N48:N56" si="24">L48-G48</f>
        <v>-717</v>
      </c>
    </row>
    <row r="49" spans="2:14">
      <c r="B49" s="463"/>
      <c r="C49" s="466" t="str">
        <f t="shared" si="22"/>
        <v>Sodio 200</v>
      </c>
      <c r="D49" s="466"/>
      <c r="E49" s="466"/>
      <c r="F49" s="466"/>
      <c r="G49" s="467">
        <v>132</v>
      </c>
      <c r="H49" s="467">
        <f t="shared" ref="H49:L55" si="25">G16</f>
        <v>124</v>
      </c>
      <c r="I49" s="467">
        <f t="shared" si="25"/>
        <v>114</v>
      </c>
      <c r="J49" s="467">
        <f t="shared" si="25"/>
        <v>110</v>
      </c>
      <c r="K49" s="467">
        <f t="shared" si="25"/>
        <v>108</v>
      </c>
      <c r="L49" s="467">
        <f t="shared" si="25"/>
        <v>108</v>
      </c>
      <c r="M49" s="481"/>
      <c r="N49" s="496">
        <f t="shared" si="24"/>
        <v>-24</v>
      </c>
    </row>
    <row r="50" spans="2:14">
      <c r="B50" s="463"/>
      <c r="C50" s="466" t="str">
        <f t="shared" si="22"/>
        <v>Sodio 175</v>
      </c>
      <c r="D50" s="466"/>
      <c r="E50" s="466"/>
      <c r="F50" s="466"/>
      <c r="G50" s="467">
        <v>105</v>
      </c>
      <c r="H50" s="467">
        <f t="shared" si="25"/>
        <v>101</v>
      </c>
      <c r="I50" s="467">
        <f t="shared" si="25"/>
        <v>67</v>
      </c>
      <c r="J50" s="467">
        <f t="shared" si="25"/>
        <v>56</v>
      </c>
      <c r="K50" s="467">
        <f t="shared" si="25"/>
        <v>49</v>
      </c>
      <c r="L50" s="467">
        <f t="shared" si="25"/>
        <v>49</v>
      </c>
      <c r="M50" s="481"/>
      <c r="N50" s="496">
        <f t="shared" si="24"/>
        <v>-56</v>
      </c>
    </row>
    <row r="51" spans="2:14">
      <c r="B51" s="463"/>
      <c r="C51" s="466" t="str">
        <f t="shared" si="22"/>
        <v>Sodio 150</v>
      </c>
      <c r="D51" s="466"/>
      <c r="E51" s="466"/>
      <c r="F51" s="466"/>
      <c r="G51" s="467">
        <v>415</v>
      </c>
      <c r="H51" s="467">
        <f t="shared" si="25"/>
        <v>390</v>
      </c>
      <c r="I51" s="467">
        <f t="shared" si="25"/>
        <v>377</v>
      </c>
      <c r="J51" s="467">
        <f t="shared" si="25"/>
        <v>374</v>
      </c>
      <c r="K51" s="467">
        <f t="shared" si="25"/>
        <v>374</v>
      </c>
      <c r="L51" s="467">
        <f t="shared" si="25"/>
        <v>374</v>
      </c>
      <c r="M51" s="481"/>
      <c r="N51" s="496">
        <f t="shared" si="24"/>
        <v>-41</v>
      </c>
    </row>
    <row r="52" spans="2:14">
      <c r="B52" s="463"/>
      <c r="C52" s="466" t="str">
        <f t="shared" si="22"/>
        <v>Sodio 100</v>
      </c>
      <c r="D52" s="466"/>
      <c r="E52" s="466"/>
      <c r="F52" s="466"/>
      <c r="G52" s="467">
        <v>47484</v>
      </c>
      <c r="H52" s="467">
        <f t="shared" si="25"/>
        <v>43419</v>
      </c>
      <c r="I52" s="467">
        <f t="shared" si="25"/>
        <v>39920</v>
      </c>
      <c r="J52" s="467">
        <f t="shared" si="25"/>
        <v>38602</v>
      </c>
      <c r="K52" s="467">
        <f t="shared" si="25"/>
        <v>37055</v>
      </c>
      <c r="L52" s="467">
        <f t="shared" si="25"/>
        <v>37050</v>
      </c>
      <c r="M52" s="481"/>
      <c r="N52" s="496">
        <f t="shared" si="24"/>
        <v>-10434</v>
      </c>
    </row>
    <row r="53" spans="2:14">
      <c r="B53" s="463"/>
      <c r="C53" s="466" t="str">
        <f t="shared" si="22"/>
        <v>Sodio 70</v>
      </c>
      <c r="D53" s="466"/>
      <c r="E53" s="466"/>
      <c r="F53" s="466"/>
      <c r="G53" s="467">
        <v>7355</v>
      </c>
      <c r="H53" s="467">
        <f t="shared" si="25"/>
        <v>6833</v>
      </c>
      <c r="I53" s="467">
        <f t="shared" si="25"/>
        <v>6465</v>
      </c>
      <c r="J53" s="467">
        <f t="shared" si="25"/>
        <v>6156</v>
      </c>
      <c r="K53" s="467">
        <f t="shared" si="25"/>
        <v>5931</v>
      </c>
      <c r="L53" s="467">
        <f t="shared" si="25"/>
        <v>5930</v>
      </c>
      <c r="M53" s="481"/>
      <c r="N53" s="496">
        <f t="shared" si="24"/>
        <v>-1425</v>
      </c>
    </row>
    <row r="54" spans="2:14">
      <c r="B54" s="486"/>
      <c r="C54" s="466" t="str">
        <f t="shared" si="22"/>
        <v>LED equivalente 75 W</v>
      </c>
      <c r="D54" s="469"/>
      <c r="E54" s="469"/>
      <c r="F54" s="469"/>
      <c r="G54" s="467">
        <v>62178</v>
      </c>
      <c r="H54" s="467">
        <f t="shared" si="25"/>
        <v>66536</v>
      </c>
      <c r="I54" s="467">
        <f t="shared" si="25"/>
        <v>70263</v>
      </c>
      <c r="J54" s="467">
        <f t="shared" si="25"/>
        <v>72312</v>
      </c>
      <c r="K54" s="467">
        <f t="shared" si="25"/>
        <v>74337</v>
      </c>
      <c r="L54" s="467">
        <f t="shared" si="25"/>
        <v>74416</v>
      </c>
      <c r="M54" s="481"/>
      <c r="N54" s="496">
        <f t="shared" si="24"/>
        <v>12238</v>
      </c>
    </row>
    <row r="55" spans="2:14">
      <c r="B55" s="463"/>
      <c r="C55" s="466" t="str">
        <f t="shared" si="22"/>
        <v>LED equivalente 189 W</v>
      </c>
      <c r="D55" s="466"/>
      <c r="E55" s="466"/>
      <c r="F55" s="466"/>
      <c r="G55" s="467">
        <v>15600</v>
      </c>
      <c r="H55" s="467">
        <f t="shared" si="25"/>
        <v>15884</v>
      </c>
      <c r="I55" s="467">
        <f t="shared" si="25"/>
        <v>15886</v>
      </c>
      <c r="J55" s="467">
        <f t="shared" si="25"/>
        <v>15988</v>
      </c>
      <c r="K55" s="467">
        <f t="shared" si="25"/>
        <v>15986</v>
      </c>
      <c r="L55" s="467">
        <f t="shared" si="25"/>
        <v>15994</v>
      </c>
      <c r="M55" s="481"/>
      <c r="N55" s="496">
        <f t="shared" si="24"/>
        <v>394</v>
      </c>
    </row>
    <row r="56" spans="2:14">
      <c r="B56" s="487"/>
      <c r="C56" s="471" t="s">
        <v>112</v>
      </c>
      <c r="D56" s="471"/>
      <c r="E56" s="471"/>
      <c r="F56" s="471"/>
      <c r="G56" s="472">
        <f t="shared" ref="G56:L56" si="26">SUM(G48:G55)</f>
        <v>136925</v>
      </c>
      <c r="H56" s="472">
        <f t="shared" si="26"/>
        <v>136767</v>
      </c>
      <c r="I56" s="472">
        <f t="shared" si="26"/>
        <v>136196</v>
      </c>
      <c r="J56" s="472">
        <f t="shared" si="26"/>
        <v>136606</v>
      </c>
      <c r="K56" s="472">
        <f t="shared" si="26"/>
        <v>136780</v>
      </c>
      <c r="L56" s="472">
        <f t="shared" si="26"/>
        <v>136860</v>
      </c>
      <c r="M56" s="481"/>
      <c r="N56" s="496">
        <f t="shared" si="24"/>
        <v>-65</v>
      </c>
    </row>
    <row r="57" spans="2:14" ht="15.75">
      <c r="B57" s="479">
        <v>2</v>
      </c>
      <c r="C57" s="482" t="s">
        <v>85</v>
      </c>
      <c r="D57" s="482"/>
      <c r="E57" s="482"/>
      <c r="F57" s="482"/>
      <c r="G57" s="483"/>
      <c r="H57" s="481"/>
      <c r="I57" s="481"/>
      <c r="J57" s="481"/>
      <c r="K57" s="481"/>
      <c r="L57" s="481"/>
      <c r="M57" s="481"/>
    </row>
    <row r="58" spans="2:14">
      <c r="B58" s="467"/>
      <c r="C58" s="466" t="str">
        <f t="shared" ref="C58:C65" si="27">C48</f>
        <v>Sodio 250</v>
      </c>
      <c r="D58" s="466"/>
      <c r="E58" s="466"/>
      <c r="F58" s="466"/>
      <c r="G58" s="467">
        <v>0</v>
      </c>
      <c r="H58" s="467">
        <v>0</v>
      </c>
      <c r="I58" s="467">
        <v>0</v>
      </c>
      <c r="J58" s="467">
        <v>0</v>
      </c>
      <c r="K58" s="467">
        <v>0</v>
      </c>
      <c r="L58" s="467">
        <v>0</v>
      </c>
      <c r="M58" s="474">
        <f t="shared" ref="M58:M65" si="28">SUM(G58:L58)</f>
        <v>0</v>
      </c>
      <c r="N58" s="496">
        <f t="shared" ref="N58:N66" si="29">ROUND(AVERAGE(G58:L58),0)</f>
        <v>0</v>
      </c>
    </row>
    <row r="59" spans="2:14">
      <c r="B59" s="467"/>
      <c r="C59" s="466" t="str">
        <f t="shared" si="27"/>
        <v>Sodio 200</v>
      </c>
      <c r="D59" s="466"/>
      <c r="E59" s="466"/>
      <c r="F59" s="466"/>
      <c r="G59" s="467">
        <v>0</v>
      </c>
      <c r="H59" s="467">
        <v>0</v>
      </c>
      <c r="I59" s="467">
        <v>0</v>
      </c>
      <c r="J59" s="467">
        <v>0</v>
      </c>
      <c r="K59" s="467">
        <v>0</v>
      </c>
      <c r="L59" s="467">
        <v>0</v>
      </c>
      <c r="M59" s="474">
        <f t="shared" si="28"/>
        <v>0</v>
      </c>
      <c r="N59" s="496">
        <f t="shared" si="29"/>
        <v>0</v>
      </c>
    </row>
    <row r="60" spans="2:14">
      <c r="B60" s="467"/>
      <c r="C60" s="466" t="str">
        <f t="shared" si="27"/>
        <v>Sodio 175</v>
      </c>
      <c r="D60" s="466"/>
      <c r="E60" s="466"/>
      <c r="F60" s="466"/>
      <c r="G60" s="467">
        <v>0</v>
      </c>
      <c r="H60" s="467">
        <v>0</v>
      </c>
      <c r="I60" s="467">
        <v>0</v>
      </c>
      <c r="J60" s="467">
        <v>0</v>
      </c>
      <c r="K60" s="467">
        <v>0</v>
      </c>
      <c r="L60" s="467">
        <v>0</v>
      </c>
      <c r="M60" s="474">
        <f t="shared" si="28"/>
        <v>0</v>
      </c>
      <c r="N60" s="496">
        <f t="shared" si="29"/>
        <v>0</v>
      </c>
    </row>
    <row r="61" spans="2:14">
      <c r="B61" s="467"/>
      <c r="C61" s="466" t="str">
        <f t="shared" si="27"/>
        <v>Sodio 150</v>
      </c>
      <c r="D61" s="466"/>
      <c r="E61" s="466"/>
      <c r="F61" s="466"/>
      <c r="G61" s="467">
        <v>0</v>
      </c>
      <c r="H61" s="467">
        <v>0</v>
      </c>
      <c r="I61" s="467">
        <v>0</v>
      </c>
      <c r="J61" s="467">
        <v>0</v>
      </c>
      <c r="K61" s="467">
        <v>0</v>
      </c>
      <c r="L61" s="467">
        <v>0</v>
      </c>
      <c r="M61" s="474">
        <f t="shared" si="28"/>
        <v>0</v>
      </c>
      <c r="N61" s="496">
        <f t="shared" si="29"/>
        <v>0</v>
      </c>
    </row>
    <row r="62" spans="2:14">
      <c r="B62" s="467"/>
      <c r="C62" s="466" t="str">
        <f t="shared" si="27"/>
        <v>Sodio 100</v>
      </c>
      <c r="D62" s="466"/>
      <c r="E62" s="466"/>
      <c r="F62" s="466"/>
      <c r="G62" s="467">
        <v>0</v>
      </c>
      <c r="H62" s="467">
        <v>0</v>
      </c>
      <c r="I62" s="467">
        <v>0</v>
      </c>
      <c r="J62" s="467">
        <v>0</v>
      </c>
      <c r="K62" s="467">
        <v>0</v>
      </c>
      <c r="L62" s="467">
        <v>3</v>
      </c>
      <c r="M62" s="474">
        <f t="shared" si="28"/>
        <v>3</v>
      </c>
      <c r="N62" s="496">
        <f t="shared" si="29"/>
        <v>1</v>
      </c>
    </row>
    <row r="63" spans="2:14">
      <c r="B63" s="467"/>
      <c r="C63" s="466" t="str">
        <f t="shared" si="27"/>
        <v>Sodio 70</v>
      </c>
      <c r="D63" s="466"/>
      <c r="E63" s="466"/>
      <c r="F63" s="466"/>
      <c r="G63" s="467">
        <v>0</v>
      </c>
      <c r="H63" s="467">
        <v>0</v>
      </c>
      <c r="I63" s="467">
        <v>0</v>
      </c>
      <c r="J63" s="467">
        <v>0</v>
      </c>
      <c r="K63" s="467">
        <v>0</v>
      </c>
      <c r="L63" s="467">
        <v>0</v>
      </c>
      <c r="M63" s="474">
        <f t="shared" si="28"/>
        <v>0</v>
      </c>
      <c r="N63" s="496">
        <f t="shared" si="29"/>
        <v>0</v>
      </c>
    </row>
    <row r="64" spans="2:14">
      <c r="B64" s="488"/>
      <c r="C64" s="466" t="str">
        <f t="shared" si="27"/>
        <v>LED equivalente 75 W</v>
      </c>
      <c r="D64" s="469"/>
      <c r="E64" s="469"/>
      <c r="F64" s="469"/>
      <c r="G64" s="467">
        <v>4358</v>
      </c>
      <c r="H64" s="467">
        <v>3727</v>
      </c>
      <c r="I64" s="467">
        <v>2049</v>
      </c>
      <c r="J64" s="467">
        <v>2025</v>
      </c>
      <c r="K64" s="467">
        <v>79</v>
      </c>
      <c r="L64" s="467">
        <v>65</v>
      </c>
      <c r="M64" s="474">
        <f>SUM(G64:L64)</f>
        <v>12303</v>
      </c>
      <c r="N64" s="496">
        <f t="shared" si="29"/>
        <v>2051</v>
      </c>
    </row>
    <row r="65" spans="2:14">
      <c r="B65" s="467"/>
      <c r="C65" s="466" t="str">
        <f t="shared" si="27"/>
        <v>LED equivalente 189 W</v>
      </c>
      <c r="D65" s="466"/>
      <c r="E65" s="466"/>
      <c r="F65" s="466"/>
      <c r="G65" s="467">
        <v>284</v>
      </c>
      <c r="H65" s="467">
        <v>2</v>
      </c>
      <c r="I65" s="467">
        <v>102</v>
      </c>
      <c r="J65" s="467">
        <v>0</v>
      </c>
      <c r="K65" s="467">
        <v>8</v>
      </c>
      <c r="L65" s="467">
        <v>1</v>
      </c>
      <c r="M65" s="474">
        <f t="shared" si="28"/>
        <v>397</v>
      </c>
      <c r="N65" s="496">
        <f t="shared" si="29"/>
        <v>66</v>
      </c>
    </row>
    <row r="66" spans="2:14">
      <c r="B66" s="487"/>
      <c r="C66" s="471" t="s">
        <v>112</v>
      </c>
      <c r="D66" s="471"/>
      <c r="E66" s="471"/>
      <c r="F66" s="471"/>
      <c r="G66" s="472">
        <f t="shared" ref="G66:M66" si="30">SUM(G58:G65)</f>
        <v>4642</v>
      </c>
      <c r="H66" s="472">
        <f t="shared" si="30"/>
        <v>3729</v>
      </c>
      <c r="I66" s="472">
        <f t="shared" si="30"/>
        <v>2151</v>
      </c>
      <c r="J66" s="472">
        <f t="shared" si="30"/>
        <v>2025</v>
      </c>
      <c r="K66" s="472">
        <f t="shared" si="30"/>
        <v>87</v>
      </c>
      <c r="L66" s="472">
        <f t="shared" si="30"/>
        <v>69</v>
      </c>
      <c r="M66" s="472">
        <f t="shared" si="30"/>
        <v>12703</v>
      </c>
      <c r="N66" s="496">
        <f t="shared" si="29"/>
        <v>2117</v>
      </c>
    </row>
    <row r="67" spans="2:14" ht="15.75">
      <c r="B67" s="479">
        <v>3</v>
      </c>
      <c r="C67" s="482" t="s">
        <v>86</v>
      </c>
      <c r="D67" s="482"/>
      <c r="E67" s="482"/>
      <c r="F67" s="482"/>
      <c r="G67" s="483"/>
      <c r="H67" s="481"/>
      <c r="I67" s="481"/>
      <c r="J67" s="481"/>
      <c r="K67" s="481"/>
      <c r="L67" s="481"/>
      <c r="M67" s="481"/>
    </row>
    <row r="68" spans="2:14">
      <c r="B68" s="467"/>
      <c r="C68" s="466" t="str">
        <f t="shared" ref="C68:C75" si="31">C58</f>
        <v>Sodio 250</v>
      </c>
      <c r="D68" s="466"/>
      <c r="E68" s="466"/>
      <c r="F68" s="466"/>
      <c r="G68" s="467">
        <v>176</v>
      </c>
      <c r="H68" s="467">
        <v>376</v>
      </c>
      <c r="I68" s="467">
        <v>96</v>
      </c>
      <c r="J68" s="467">
        <v>68</v>
      </c>
      <c r="K68" s="467">
        <v>1</v>
      </c>
      <c r="L68" s="467">
        <v>2</v>
      </c>
      <c r="M68" s="474">
        <f t="shared" ref="M68:M75" si="32">SUM(G68:L68)</f>
        <v>719</v>
      </c>
      <c r="N68" s="496">
        <f>ROUND(AVERAGE(G68:L68),0)</f>
        <v>120</v>
      </c>
    </row>
    <row r="69" spans="2:14" ht="12.95" customHeight="1">
      <c r="B69" s="467"/>
      <c r="C69" s="466" t="str">
        <f t="shared" si="31"/>
        <v>Sodio 200</v>
      </c>
      <c r="D69" s="466"/>
      <c r="E69" s="466"/>
      <c r="F69" s="466"/>
      <c r="G69" s="467">
        <v>8</v>
      </c>
      <c r="H69" s="467">
        <v>10</v>
      </c>
      <c r="I69" s="467">
        <v>4</v>
      </c>
      <c r="J69" s="467">
        <v>2</v>
      </c>
      <c r="K69" s="467">
        <v>0</v>
      </c>
      <c r="L69" s="467">
        <v>0</v>
      </c>
      <c r="M69" s="474">
        <f t="shared" si="32"/>
        <v>24</v>
      </c>
      <c r="N69" s="496">
        <f t="shared" ref="N69:N76" si="33">ROUND(AVERAGE(G69:L69),0)</f>
        <v>4</v>
      </c>
    </row>
    <row r="70" spans="2:14" ht="12.95" customHeight="1">
      <c r="B70" s="467"/>
      <c r="C70" s="466" t="str">
        <f t="shared" si="31"/>
        <v>Sodio 175</v>
      </c>
      <c r="D70" s="466"/>
      <c r="E70" s="466"/>
      <c r="F70" s="466"/>
      <c r="G70" s="467">
        <v>4</v>
      </c>
      <c r="H70" s="467">
        <v>34</v>
      </c>
      <c r="I70" s="467">
        <v>11</v>
      </c>
      <c r="J70" s="467">
        <v>7</v>
      </c>
      <c r="K70" s="467">
        <v>0</v>
      </c>
      <c r="L70" s="467">
        <v>0</v>
      </c>
      <c r="M70" s="474">
        <f t="shared" si="32"/>
        <v>56</v>
      </c>
      <c r="N70" s="496">
        <f t="shared" si="33"/>
        <v>9</v>
      </c>
    </row>
    <row r="71" spans="2:14" ht="12.95" customHeight="1">
      <c r="B71" s="467"/>
      <c r="C71" s="466" t="str">
        <f t="shared" si="31"/>
        <v>Sodio 150</v>
      </c>
      <c r="D71" s="466"/>
      <c r="E71" s="466"/>
      <c r="F71" s="466"/>
      <c r="G71" s="467">
        <v>25</v>
      </c>
      <c r="H71" s="467">
        <v>13</v>
      </c>
      <c r="I71" s="467">
        <v>3</v>
      </c>
      <c r="J71" s="467">
        <v>0</v>
      </c>
      <c r="K71" s="467">
        <v>0</v>
      </c>
      <c r="L71" s="467">
        <v>0</v>
      </c>
      <c r="M71" s="474">
        <f t="shared" si="32"/>
        <v>41</v>
      </c>
      <c r="N71" s="496">
        <f t="shared" si="33"/>
        <v>7</v>
      </c>
    </row>
    <row r="72" spans="2:14" ht="12.95" customHeight="1">
      <c r="B72" s="467"/>
      <c r="C72" s="466" t="str">
        <f t="shared" si="31"/>
        <v>Sodio 100</v>
      </c>
      <c r="D72" s="466"/>
      <c r="E72" s="466"/>
      <c r="F72" s="466"/>
      <c r="G72" s="467">
        <v>4065</v>
      </c>
      <c r="H72" s="467">
        <v>3499</v>
      </c>
      <c r="I72" s="467">
        <v>1318</v>
      </c>
      <c r="J72" s="467">
        <v>1547</v>
      </c>
      <c r="K72" s="467">
        <v>5</v>
      </c>
      <c r="L72" s="467">
        <v>0</v>
      </c>
      <c r="M72" s="474">
        <f t="shared" si="32"/>
        <v>10434</v>
      </c>
      <c r="N72" s="496">
        <f t="shared" si="33"/>
        <v>1739</v>
      </c>
    </row>
    <row r="73" spans="2:14" ht="12.95" customHeight="1">
      <c r="B73" s="467"/>
      <c r="C73" s="466" t="str">
        <f t="shared" si="31"/>
        <v>Sodio 70</v>
      </c>
      <c r="D73" s="466"/>
      <c r="E73" s="466"/>
      <c r="F73" s="466"/>
      <c r="G73" s="467">
        <v>522</v>
      </c>
      <c r="H73" s="467">
        <v>368</v>
      </c>
      <c r="I73" s="467">
        <v>309</v>
      </c>
      <c r="J73" s="467">
        <v>225</v>
      </c>
      <c r="K73" s="467">
        <v>1</v>
      </c>
      <c r="L73" s="467">
        <v>0</v>
      </c>
      <c r="M73" s="474">
        <f t="shared" si="32"/>
        <v>1425</v>
      </c>
      <c r="N73" s="496">
        <f t="shared" si="33"/>
        <v>238</v>
      </c>
    </row>
    <row r="74" spans="2:14">
      <c r="B74" s="488"/>
      <c r="C74" s="466" t="str">
        <f t="shared" si="31"/>
        <v>LED equivalente 75 W</v>
      </c>
      <c r="D74" s="469"/>
      <c r="E74" s="469"/>
      <c r="F74" s="469"/>
      <c r="G74" s="467">
        <v>0</v>
      </c>
      <c r="H74" s="467">
        <v>0</v>
      </c>
      <c r="I74" s="467">
        <v>0</v>
      </c>
      <c r="J74" s="467">
        <v>0</v>
      </c>
      <c r="K74" s="467">
        <v>0</v>
      </c>
      <c r="L74" s="467">
        <v>0</v>
      </c>
      <c r="M74" s="474">
        <f>SUM(G74:L74)</f>
        <v>0</v>
      </c>
      <c r="N74" s="496">
        <f t="shared" si="33"/>
        <v>0</v>
      </c>
    </row>
    <row r="75" spans="2:14">
      <c r="B75" s="467"/>
      <c r="C75" s="466" t="str">
        <f t="shared" si="31"/>
        <v>LED equivalente 189 W</v>
      </c>
      <c r="D75" s="466"/>
      <c r="E75" s="466"/>
      <c r="F75" s="466"/>
      <c r="G75" s="467">
        <v>0</v>
      </c>
      <c r="H75" s="467">
        <v>0</v>
      </c>
      <c r="I75" s="467">
        <v>0</v>
      </c>
      <c r="J75" s="467">
        <v>2</v>
      </c>
      <c r="K75" s="467">
        <v>0</v>
      </c>
      <c r="L75" s="467">
        <v>0</v>
      </c>
      <c r="M75" s="474">
        <f t="shared" si="32"/>
        <v>2</v>
      </c>
      <c r="N75" s="496">
        <f t="shared" si="33"/>
        <v>0</v>
      </c>
    </row>
    <row r="76" spans="2:14">
      <c r="B76" s="487"/>
      <c r="C76" s="471" t="s">
        <v>112</v>
      </c>
      <c r="D76" s="471"/>
      <c r="E76" s="471"/>
      <c r="F76" s="471"/>
      <c r="G76" s="472">
        <f t="shared" ref="G76:M76" si="34">SUM(G68:G75)</f>
        <v>4800</v>
      </c>
      <c r="H76" s="472">
        <f t="shared" si="34"/>
        <v>4300</v>
      </c>
      <c r="I76" s="472">
        <f t="shared" si="34"/>
        <v>1741</v>
      </c>
      <c r="J76" s="472">
        <f t="shared" si="34"/>
        <v>1851</v>
      </c>
      <c r="K76" s="472">
        <f t="shared" si="34"/>
        <v>7</v>
      </c>
      <c r="L76" s="472">
        <f t="shared" si="34"/>
        <v>2</v>
      </c>
      <c r="M76" s="472">
        <f t="shared" si="34"/>
        <v>12701</v>
      </c>
      <c r="N76" s="496">
        <f t="shared" si="33"/>
        <v>2117</v>
      </c>
    </row>
    <row r="77" spans="2:14" ht="15.75">
      <c r="I77" s="69"/>
    </row>
    <row r="78" spans="2:14">
      <c r="B78" s="52" t="s">
        <v>1299</v>
      </c>
    </row>
  </sheetData>
  <phoneticPr fontId="29" type="noConversion"/>
  <printOptions horizontalCentered="1" verticalCentered="1"/>
  <pageMargins left="0.59055118110236227" right="0.59055118110236227" top="0.78740157480314965" bottom="0.59055118110236227" header="0.59055118110236227" footer="0.47244094488188981"/>
  <pageSetup scale="62" orientation="portrait" r:id="rId1"/>
  <headerFooter>
    <oddHeader>&amp;L&amp;"Times New Roman,Negrita"&amp;14Nombre de la Distribuidora: &amp;K06-048ENSA&amp;RASEP FORM: &amp;A</oddHeader>
    <oddFooter>&amp;R&amp;A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Hoja77">
    <pageSetUpPr fitToPage="1"/>
  </sheetPr>
  <dimension ref="B2:D26"/>
  <sheetViews>
    <sheetView zoomScale="85" zoomScaleNormal="85" zoomScaleSheetLayoutView="100" workbookViewId="0">
      <selection activeCell="C18" sqref="C18"/>
    </sheetView>
  </sheetViews>
  <sheetFormatPr baseColWidth="10" defaultColWidth="10" defaultRowHeight="15"/>
  <cols>
    <col min="1" max="1" width="2.5" style="167" customWidth="1"/>
    <col min="2" max="2" width="16.375" style="167" customWidth="1"/>
    <col min="3" max="4" width="22.75" style="167" customWidth="1"/>
    <col min="5" max="5" width="2.125" style="167" customWidth="1"/>
    <col min="6" max="16384" width="10" style="167"/>
  </cols>
  <sheetData>
    <row r="2" spans="2:4">
      <c r="B2" s="136" t="s">
        <v>151</v>
      </c>
    </row>
    <row r="3" spans="2:4" s="73" customFormat="1">
      <c r="B3" s="168" t="s">
        <v>166</v>
      </c>
    </row>
    <row r="4" spans="2:4" s="73" customFormat="1">
      <c r="B4" s="168" t="s">
        <v>165</v>
      </c>
    </row>
    <row r="5" spans="2:4" s="73" customFormat="1">
      <c r="B5" s="168" t="s">
        <v>167</v>
      </c>
    </row>
    <row r="6" spans="2:4" s="73" customFormat="1"/>
    <row r="7" spans="2:4">
      <c r="B7" s="136" t="s">
        <v>156</v>
      </c>
    </row>
    <row r="8" spans="2:4">
      <c r="B8" s="136" t="s">
        <v>164</v>
      </c>
    </row>
    <row r="10" spans="2:4" ht="45">
      <c r="B10" s="503" t="s">
        <v>136</v>
      </c>
      <c r="C10" s="503" t="s">
        <v>998</v>
      </c>
      <c r="D10" s="503" t="s">
        <v>999</v>
      </c>
    </row>
    <row r="11" spans="2:4" ht="19.5" customHeight="1">
      <c r="B11" s="504">
        <v>45839</v>
      </c>
      <c r="C11" s="505">
        <v>7.46</v>
      </c>
      <c r="D11" s="505">
        <v>4.18</v>
      </c>
    </row>
    <row r="12" spans="2:4" ht="19.5" customHeight="1">
      <c r="B12" s="504">
        <f>B11+31</f>
        <v>45870</v>
      </c>
      <c r="C12" s="505">
        <v>7.47</v>
      </c>
      <c r="D12" s="505">
        <v>4.1900000000000004</v>
      </c>
    </row>
    <row r="13" spans="2:4" ht="19.5" customHeight="1">
      <c r="B13" s="504">
        <f>B12+31</f>
        <v>45901</v>
      </c>
      <c r="C13" s="505">
        <v>7.45</v>
      </c>
      <c r="D13" s="505">
        <v>4.17</v>
      </c>
    </row>
    <row r="14" spans="2:4" ht="19.5" customHeight="1">
      <c r="B14" s="504">
        <f>B13+31</f>
        <v>45932</v>
      </c>
      <c r="C14" s="505">
        <v>7.46</v>
      </c>
      <c r="D14" s="505">
        <v>4.12</v>
      </c>
    </row>
    <row r="15" spans="2:4" ht="19.5" customHeight="1">
      <c r="B15" s="504">
        <f>B14+31</f>
        <v>45963</v>
      </c>
      <c r="C15" s="505">
        <v>7.47</v>
      </c>
      <c r="D15" s="505">
        <v>4.07</v>
      </c>
    </row>
    <row r="16" spans="2:4" ht="19.5" customHeight="1">
      <c r="B16" s="504">
        <f>B15+31</f>
        <v>45994</v>
      </c>
      <c r="C16" s="505">
        <v>7.51</v>
      </c>
      <c r="D16" s="505">
        <v>3.93</v>
      </c>
    </row>
    <row r="17" spans="2:4" ht="5.25" customHeight="1">
      <c r="B17" s="506"/>
      <c r="C17" s="505"/>
      <c r="D17" s="507"/>
    </row>
    <row r="18" spans="2:4" ht="20.25" customHeight="1">
      <c r="B18" s="508" t="s">
        <v>176</v>
      </c>
      <c r="C18" s="509">
        <f>ROUND(AVERAGE(C11:C17),2)</f>
        <v>7.47</v>
      </c>
      <c r="D18" s="509">
        <f>ROUND(AVERAGE(D11:D17),2)</f>
        <v>4.1100000000000003</v>
      </c>
    </row>
    <row r="19" spans="2:4" ht="19.5" customHeight="1">
      <c r="B19" s="136"/>
    </row>
    <row r="20" spans="2:4">
      <c r="B20" s="167" t="s">
        <v>213</v>
      </c>
    </row>
    <row r="21" spans="2:4">
      <c r="B21" s="167" t="s">
        <v>361</v>
      </c>
    </row>
    <row r="22" spans="2:4">
      <c r="B22" s="167" t="s">
        <v>997</v>
      </c>
    </row>
    <row r="23" spans="2:4">
      <c r="B23" s="167" t="s">
        <v>1004</v>
      </c>
    </row>
    <row r="26" spans="2:4">
      <c r="B26" s="52" t="str">
        <f>'PORTADA PORTADA PORTADA'!$B$23</f>
        <v>1 DE JULIO DE 2026</v>
      </c>
    </row>
  </sheetData>
  <phoneticPr fontId="0" type="noConversion"/>
  <printOptions horizontalCentered="1" verticalCentered="1"/>
  <pageMargins left="0.59055118110236204" right="0.59055118110236204" top="0.78740157480314998" bottom="0.59055118110236204" header="0.59055118110236204" footer="0.47244094488188998"/>
  <pageSetup orientation="landscape" r:id="rId1"/>
  <headerFooter>
    <oddHeader>&amp;L&amp;"Times New Roman,Negrita"&amp;14Nombre de la Distribuidora: &amp;K06-048ENSA&amp;RASEP FORM: &amp;A</oddHeader>
    <oddFooter>&amp;R&amp;A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3">
    <tabColor theme="4" tint="0.39997558519241921"/>
  </sheetPr>
  <dimension ref="B1:F68"/>
  <sheetViews>
    <sheetView zoomScale="85" zoomScaleNormal="85" zoomScaleSheetLayoutView="100" workbookViewId="0">
      <selection activeCell="E4" sqref="E4"/>
    </sheetView>
  </sheetViews>
  <sheetFormatPr baseColWidth="10" defaultColWidth="11" defaultRowHeight="12"/>
  <cols>
    <col min="1" max="1" width="3.625" style="1070" customWidth="1"/>
    <col min="2" max="2" width="7.875" style="1074" customWidth="1"/>
    <col min="3" max="3" width="50.25" style="1070" customWidth="1"/>
    <col min="4" max="5" width="15.875" style="1070" customWidth="1"/>
    <col min="6" max="6" width="10.25" style="1070" bestFit="1" customWidth="1"/>
    <col min="7" max="7" width="15.5" style="1070" bestFit="1" customWidth="1"/>
    <col min="8" max="8" width="11.125" style="1070" bestFit="1" customWidth="1"/>
    <col min="9" max="16384" width="11" style="1070"/>
  </cols>
  <sheetData>
    <row r="1" spans="2:6">
      <c r="C1" s="458" t="s">
        <v>311</v>
      </c>
      <c r="D1" s="1073"/>
    </row>
    <row r="2" spans="2:6">
      <c r="C2" s="1075" t="s">
        <v>326</v>
      </c>
    </row>
    <row r="3" spans="2:6" s="337" customFormat="1">
      <c r="B3" s="692"/>
      <c r="D3" s="458"/>
    </row>
    <row r="4" spans="2:6" ht="24">
      <c r="B4" s="1076"/>
      <c r="C4" s="1077" t="s">
        <v>227</v>
      </c>
      <c r="D4" s="1078" t="s">
        <v>493</v>
      </c>
      <c r="E4" s="1078" t="s">
        <v>494</v>
      </c>
      <c r="F4" s="337"/>
    </row>
    <row r="5" spans="2:6">
      <c r="B5" s="1079"/>
      <c r="C5" s="1080"/>
      <c r="D5" s="1081">
        <f>D6-'G502'!M376</f>
        <v>0</v>
      </c>
      <c r="E5" s="1081">
        <f>E6-'G522'!N451</f>
        <v>0</v>
      </c>
    </row>
    <row r="6" spans="2:6">
      <c r="B6" s="1082">
        <v>1</v>
      </c>
      <c r="C6" s="1083" t="s">
        <v>1329</v>
      </c>
      <c r="D6" s="1084">
        <f>D7+D14+D19+D26</f>
        <v>240781755.00726137</v>
      </c>
      <c r="E6" s="1084">
        <f>E7+E14+E19+E26</f>
        <v>246480186.29513508</v>
      </c>
    </row>
    <row r="7" spans="2:6">
      <c r="B7" s="1082">
        <v>2</v>
      </c>
      <c r="C7" s="1083" t="s">
        <v>1328</v>
      </c>
      <c r="D7" s="1084">
        <f>SUM(D8:D13)</f>
        <v>97844225.375402674</v>
      </c>
      <c r="E7" s="1084">
        <f>SUM(E8:E13)</f>
        <v>98506000.24089846</v>
      </c>
    </row>
    <row r="8" spans="2:6" ht="24">
      <c r="B8" s="1085"/>
      <c r="C8" s="1080" t="s">
        <v>1631</v>
      </c>
      <c r="D8" s="1086">
        <f>'G502'!M121</f>
        <v>96916692.345402673</v>
      </c>
      <c r="E8" s="1086">
        <f>'G522'!N135</f>
        <v>96535670.540898457</v>
      </c>
    </row>
    <row r="9" spans="2:6">
      <c r="B9" s="1085"/>
      <c r="C9" s="1080" t="s">
        <v>1381</v>
      </c>
      <c r="D9" s="1086">
        <f>'G502'!M122</f>
        <v>0</v>
      </c>
      <c r="E9" s="1086">
        <f>'G522'!N136</f>
        <v>1042796.6699999999</v>
      </c>
    </row>
    <row r="10" spans="2:6">
      <c r="B10" s="1085"/>
      <c r="C10" s="1170" t="str">
        <f>'G522'!E137</f>
        <v>Incumplimiento SAERLP</v>
      </c>
      <c r="D10" s="1086"/>
      <c r="E10" s="1086">
        <f>'G522'!N137</f>
        <v>0</v>
      </c>
    </row>
    <row r="11" spans="2:6" ht="24">
      <c r="B11" s="1085"/>
      <c r="C11" s="1080" t="s">
        <v>1632</v>
      </c>
      <c r="D11" s="1086">
        <f>'G502'!M124</f>
        <v>0</v>
      </c>
      <c r="E11" s="1086">
        <f>'G522'!N139</f>
        <v>0</v>
      </c>
    </row>
    <row r="12" spans="2:6">
      <c r="B12" s="1085"/>
      <c r="C12" s="1080" t="s">
        <v>1382</v>
      </c>
      <c r="D12" s="1086">
        <f>'G502'!M123</f>
        <v>927533.03</v>
      </c>
      <c r="E12" s="1086">
        <f>'G522'!N138</f>
        <v>927533.03</v>
      </c>
    </row>
    <row r="13" spans="2:6">
      <c r="B13" s="1085"/>
      <c r="C13" s="1080"/>
      <c r="D13" s="1086"/>
      <c r="E13" s="1086"/>
    </row>
    <row r="14" spans="2:6">
      <c r="B14" s="1082">
        <v>3</v>
      </c>
      <c r="C14" s="1083" t="s">
        <v>1327</v>
      </c>
      <c r="D14" s="1084">
        <f>SUM(D15:D18)</f>
        <v>140702652.72506493</v>
      </c>
      <c r="E14" s="1084">
        <f>SUM(E15:E18)</f>
        <v>145740764.15244287</v>
      </c>
    </row>
    <row r="15" spans="2:6" ht="24">
      <c r="B15" s="1085"/>
      <c r="C15" s="1080" t="s">
        <v>1633</v>
      </c>
      <c r="D15" s="1086">
        <f>'G502'!M346-D17</f>
        <v>124805842.20001633</v>
      </c>
      <c r="E15" s="1086">
        <f>'G522'!N424-E17</f>
        <v>126802304.44244286</v>
      </c>
    </row>
    <row r="16" spans="2:6" ht="36">
      <c r="B16" s="1085"/>
      <c r="C16" s="1080" t="s">
        <v>1634</v>
      </c>
      <c r="D16" s="1086">
        <f>'G502'!M347</f>
        <v>15896810.525048589</v>
      </c>
      <c r="E16" s="1086">
        <f>'G522'!N425+'G522'!N426</f>
        <v>18774782.120000001</v>
      </c>
    </row>
    <row r="17" spans="2:6" ht="24">
      <c r="B17" s="1085"/>
      <c r="C17" s="1080" t="s">
        <v>794</v>
      </c>
      <c r="D17" s="1086"/>
      <c r="E17" s="1086">
        <f>'G522'!N422</f>
        <v>163677.59000000032</v>
      </c>
    </row>
    <row r="18" spans="2:6">
      <c r="B18" s="1085"/>
      <c r="C18" s="1080"/>
      <c r="D18" s="1086"/>
      <c r="E18" s="1086"/>
    </row>
    <row r="19" spans="2:6">
      <c r="B19" s="1082">
        <v>4</v>
      </c>
      <c r="C19" s="1083" t="s">
        <v>1326</v>
      </c>
      <c r="D19" s="1084">
        <f>SUM(D20:D25)</f>
        <v>2234876.9067937499</v>
      </c>
      <c r="E19" s="1084">
        <f>SUM(E20:E25)</f>
        <v>2233421.90179375</v>
      </c>
    </row>
    <row r="20" spans="2:6">
      <c r="B20" s="1085"/>
      <c r="C20" s="1080" t="s">
        <v>1635</v>
      </c>
      <c r="D20" s="1086">
        <f>'G502'!M349</f>
        <v>970859.22</v>
      </c>
      <c r="E20" s="1086">
        <f>'G522'!N427</f>
        <v>970859.22</v>
      </c>
    </row>
    <row r="21" spans="2:6" ht="24">
      <c r="B21" s="1085"/>
      <c r="C21" s="1080" t="s">
        <v>1636</v>
      </c>
      <c r="D21" s="1086"/>
      <c r="E21" s="1086"/>
    </row>
    <row r="22" spans="2:6">
      <c r="B22" s="1085"/>
      <c r="C22" s="1080" t="s">
        <v>1637</v>
      </c>
      <c r="D22" s="1086">
        <f>'G502'!M350</f>
        <v>1122867.73</v>
      </c>
      <c r="E22" s="1086">
        <f>'G522'!N428</f>
        <v>1122867.73</v>
      </c>
    </row>
    <row r="23" spans="2:6">
      <c r="B23" s="1085"/>
      <c r="C23" s="1080" t="s">
        <v>846</v>
      </c>
      <c r="D23" s="1086"/>
      <c r="E23" s="1086"/>
    </row>
    <row r="24" spans="2:6" ht="24">
      <c r="B24" s="1085"/>
      <c r="C24" s="1080" t="s">
        <v>1638</v>
      </c>
      <c r="D24" s="1086">
        <f>'G502'!M354</f>
        <v>141149.95679375003</v>
      </c>
      <c r="E24" s="1086">
        <f>'G522'!N432</f>
        <v>139694.95179375005</v>
      </c>
    </row>
    <row r="25" spans="2:6">
      <c r="B25" s="1085"/>
      <c r="C25" s="1080"/>
      <c r="D25" s="1086"/>
      <c r="E25" s="1086"/>
    </row>
    <row r="26" spans="2:6" ht="24">
      <c r="B26" s="1082">
        <v>5</v>
      </c>
      <c r="C26" s="1083" t="s">
        <v>866</v>
      </c>
      <c r="D26" s="1084">
        <f>AjGen500Extra!E5</f>
        <v>0</v>
      </c>
      <c r="E26" s="1084">
        <f>AjGen500Extra!F5</f>
        <v>0</v>
      </c>
    </row>
    <row r="27" spans="2:6" ht="36">
      <c r="B27" s="1079">
        <v>6</v>
      </c>
      <c r="C27" s="1080" t="s">
        <v>867</v>
      </c>
      <c r="D27" s="1086">
        <f>G504P!J375</f>
        <v>72415935.377808362</v>
      </c>
      <c r="E27" s="1086">
        <f>G506P!J375</f>
        <v>68572074.206029519</v>
      </c>
    </row>
    <row r="28" spans="2:6" ht="36">
      <c r="B28" s="1079">
        <v>7</v>
      </c>
      <c r="C28" s="1080" t="s">
        <v>1639</v>
      </c>
      <c r="D28" s="1086">
        <f>'G502'!M204*1000</f>
        <v>1951971417.5988266</v>
      </c>
      <c r="E28" s="1086">
        <f>'G522'!N243*1000</f>
        <v>1905545531.0089376</v>
      </c>
      <c r="F28" s="1087"/>
    </row>
    <row r="29" spans="2:6">
      <c r="B29" s="1088">
        <v>8</v>
      </c>
      <c r="C29" s="1083" t="s">
        <v>1330</v>
      </c>
      <c r="D29" s="1089">
        <f>(D6-D26-D27)/D28</f>
        <v>8.6254244355977505E-2</v>
      </c>
      <c r="E29" s="1089">
        <f>(E6-E26-E27)/E28</f>
        <v>9.3363348812194352E-2</v>
      </c>
    </row>
    <row r="30" spans="2:6" ht="24">
      <c r="B30" s="1090">
        <v>9</v>
      </c>
      <c r="C30" s="1091" t="s">
        <v>1640</v>
      </c>
      <c r="D30" s="1092">
        <f>F801ENE!J109</f>
        <v>1707959585.8740001</v>
      </c>
      <c r="E30" s="1092">
        <f>F821EVE!J109</f>
        <v>1666411048</v>
      </c>
    </row>
    <row r="31" spans="2:6">
      <c r="B31" s="1093">
        <v>10</v>
      </c>
      <c r="C31" s="1094" t="s">
        <v>1331</v>
      </c>
      <c r="D31" s="1095">
        <f>D29*D30</f>
        <v>147318763.47011015</v>
      </c>
      <c r="E31" s="1095">
        <f>E29*E30</f>
        <v>155581715.93891835</v>
      </c>
    </row>
    <row r="32" spans="2:6">
      <c r="B32" s="1071"/>
      <c r="C32" s="1096" t="s">
        <v>1081</v>
      </c>
      <c r="D32" s="1097">
        <f>(D6-D26-D27)</f>
        <v>168365819.629453</v>
      </c>
      <c r="E32" s="1097">
        <f>(E6-E26-E27)</f>
        <v>177908112.08910555</v>
      </c>
      <c r="F32" s="1087"/>
    </row>
    <row r="33" spans="2:6">
      <c r="B33" s="1072"/>
      <c r="C33" s="1096" t="s">
        <v>422</v>
      </c>
      <c r="D33" s="1096">
        <f>(D28-D30)/D28</f>
        <v>0.12500789177794017</v>
      </c>
      <c r="E33" s="1096">
        <f>(E28-E30)/E28</f>
        <v>0.12549397488409633</v>
      </c>
    </row>
    <row r="34" spans="2:6">
      <c r="B34" s="1098"/>
      <c r="C34" s="1099" t="s">
        <v>153</v>
      </c>
      <c r="D34" s="1100"/>
      <c r="E34" s="1101" t="s">
        <v>158</v>
      </c>
    </row>
    <row r="35" spans="2:6" s="1106" customFormat="1" ht="24">
      <c r="B35" s="1102">
        <v>11</v>
      </c>
      <c r="C35" s="1103" t="s">
        <v>868</v>
      </c>
      <c r="D35" s="1104"/>
      <c r="E35" s="1105">
        <f>D31</f>
        <v>147318763.47011015</v>
      </c>
    </row>
    <row r="36" spans="2:6" s="1106" customFormat="1" ht="60">
      <c r="B36" s="1107">
        <v>12</v>
      </c>
      <c r="C36" s="1103" t="s">
        <v>869</v>
      </c>
      <c r="D36" s="1108"/>
      <c r="E36" s="1109">
        <f>G503E!J375</f>
        <v>152191675.94726148</v>
      </c>
    </row>
    <row r="37" spans="2:6" s="1106" customFormat="1" ht="24">
      <c r="B37" s="1102">
        <v>13</v>
      </c>
      <c r="C37" s="1103" t="s">
        <v>876</v>
      </c>
      <c r="D37" s="1110"/>
      <c r="E37" s="1105">
        <f>E31</f>
        <v>155581715.93891835</v>
      </c>
    </row>
    <row r="38" spans="2:6" s="1106" customFormat="1" ht="60">
      <c r="B38" s="1107">
        <v>14</v>
      </c>
      <c r="C38" s="1103" t="s">
        <v>923</v>
      </c>
      <c r="D38" s="1108"/>
      <c r="E38" s="1109">
        <f>G506E!J376</f>
        <v>140912028.36540282</v>
      </c>
    </row>
    <row r="39" spans="2:6" s="1106" customFormat="1" ht="24">
      <c r="B39" s="1111">
        <v>14.1</v>
      </c>
      <c r="C39" s="1103" t="s">
        <v>965</v>
      </c>
      <c r="D39" s="1112"/>
      <c r="E39" s="1109">
        <f>GEN506CVC!P116</f>
        <v>11198881.746667</v>
      </c>
      <c r="F39" s="1113"/>
    </row>
    <row r="40" spans="2:6" s="1106" customFormat="1" ht="24">
      <c r="B40" s="1102">
        <v>15</v>
      </c>
      <c r="C40" s="1103" t="s">
        <v>877</v>
      </c>
      <c r="D40" s="1112"/>
      <c r="E40" s="1109">
        <f>G507EP!J375</f>
        <v>51917768.041025147</v>
      </c>
    </row>
    <row r="41" spans="2:6" s="1106" customFormat="1" ht="24">
      <c r="B41" s="1107">
        <v>16</v>
      </c>
      <c r="C41" s="1103" t="s">
        <v>878</v>
      </c>
      <c r="D41" s="1112"/>
      <c r="E41" s="1109">
        <f>G508EP!J376</f>
        <v>50417087.956190251</v>
      </c>
    </row>
    <row r="42" spans="2:6" s="1106" customFormat="1" ht="48">
      <c r="B42" s="1102">
        <v>17</v>
      </c>
      <c r="C42" s="1103" t="s">
        <v>879</v>
      </c>
      <c r="D42" s="1114" t="s">
        <v>1641</v>
      </c>
      <c r="E42" s="1115">
        <f>E40-E41</f>
        <v>1500680.084834896</v>
      </c>
    </row>
    <row r="43" spans="2:6" s="1106" customFormat="1" ht="84">
      <c r="B43" s="1107">
        <v>18</v>
      </c>
      <c r="C43" s="1103" t="s">
        <v>880</v>
      </c>
      <c r="D43" s="1114" t="s">
        <v>1642</v>
      </c>
      <c r="E43" s="1109">
        <f>SUM(E37:E37)-SUM(E38:E39)+E42</f>
        <v>4971485.9116834328</v>
      </c>
    </row>
    <row r="44" spans="2:6" s="1106" customFormat="1">
      <c r="B44" s="1102">
        <v>19</v>
      </c>
      <c r="C44" s="1116" t="s">
        <v>881</v>
      </c>
      <c r="D44" s="1117" t="s">
        <v>228</v>
      </c>
      <c r="E44" s="1116">
        <f>AjTran300!E48</f>
        <v>7.47</v>
      </c>
    </row>
    <row r="45" spans="2:6" s="1106" customFormat="1">
      <c r="B45" s="1107">
        <v>20</v>
      </c>
      <c r="C45" s="1116" t="s">
        <v>882</v>
      </c>
      <c r="D45" s="1117" t="s">
        <v>133</v>
      </c>
      <c r="E45" s="1116">
        <f>AjTran300!E49</f>
        <v>1.0747</v>
      </c>
    </row>
    <row r="46" spans="2:6" s="1106" customFormat="1" ht="36">
      <c r="B46" s="1107">
        <v>21</v>
      </c>
      <c r="C46" s="1103" t="s">
        <v>883</v>
      </c>
      <c r="D46" s="337"/>
      <c r="E46" s="1109">
        <f>Int509CVC!$K$20+Int509FET!$N$25</f>
        <v>3733578.5402498017</v>
      </c>
    </row>
    <row r="47" spans="2:6" s="1106" customFormat="1" ht="24">
      <c r="B47" s="1107">
        <v>22</v>
      </c>
      <c r="C47" s="1118" t="s">
        <v>884</v>
      </c>
      <c r="D47" s="1108"/>
      <c r="E47" s="1109">
        <f>E43*E45+SUM(E46:E46)</f>
        <v>9076434.4495359864</v>
      </c>
    </row>
    <row r="48" spans="2:6" s="1106" customFormat="1">
      <c r="B48" s="1102">
        <v>23</v>
      </c>
      <c r="C48" s="1119" t="s">
        <v>885</v>
      </c>
      <c r="D48" s="337"/>
      <c r="E48" s="1120">
        <f>E35/E36</f>
        <v>0.96798174113780089</v>
      </c>
    </row>
    <row r="49" spans="2:6" s="1106" customFormat="1">
      <c r="B49" s="1107">
        <v>24</v>
      </c>
      <c r="C49" s="1121" t="s">
        <v>886</v>
      </c>
      <c r="D49" s="1122"/>
      <c r="E49" s="1123">
        <f>E47/E36</f>
        <v>5.9638179243661237E-2</v>
      </c>
      <c r="F49" s="1124"/>
    </row>
    <row r="50" spans="2:6">
      <c r="B50" s="1125"/>
    </row>
    <row r="51" spans="2:6">
      <c r="F51" s="1073"/>
    </row>
    <row r="52" spans="2:6">
      <c r="C52" s="1126" t="s">
        <v>623</v>
      </c>
      <c r="D52" s="1127"/>
      <c r="E52" s="1127">
        <f>E6</f>
        <v>246480186.29513508</v>
      </c>
    </row>
    <row r="53" spans="2:6">
      <c r="D53" s="688"/>
      <c r="E53" s="688"/>
      <c r="F53" s="1127"/>
    </row>
    <row r="54" spans="2:6">
      <c r="D54" s="1073"/>
      <c r="E54" s="1073" t="s">
        <v>11</v>
      </c>
      <c r="F54" s="1073" t="s">
        <v>979</v>
      </c>
    </row>
    <row r="55" spans="2:6">
      <c r="C55" s="1128" t="s">
        <v>519</v>
      </c>
      <c r="D55" s="1129"/>
      <c r="E55" s="1129">
        <f>E37</f>
        <v>155581715.93891835</v>
      </c>
      <c r="F55" s="1129">
        <f>AjGen500PD!D4</f>
        <v>155581715.93891835</v>
      </c>
    </row>
    <row r="56" spans="2:6">
      <c r="C56" s="1126" t="s">
        <v>520</v>
      </c>
      <c r="D56" s="1127"/>
      <c r="E56" s="1127">
        <f>SUM(E55:E55)</f>
        <v>155581715.93891835</v>
      </c>
      <c r="F56" s="1127">
        <f>SUM(F55:F55)</f>
        <v>155581715.93891835</v>
      </c>
    </row>
    <row r="57" spans="2:6">
      <c r="C57" s="1130"/>
      <c r="D57" s="1131"/>
      <c r="E57" s="1131"/>
      <c r="F57" s="1131"/>
    </row>
    <row r="58" spans="2:6">
      <c r="C58" s="1132" t="s">
        <v>887</v>
      </c>
      <c r="D58" s="1133"/>
      <c r="E58" s="1133">
        <f>E38</f>
        <v>140912028.36540282</v>
      </c>
      <c r="F58" s="1133">
        <f>AjGen500PD!D5</f>
        <v>140912028.36540282</v>
      </c>
    </row>
    <row r="59" spans="2:6">
      <c r="C59" s="1132" t="s">
        <v>1080</v>
      </c>
      <c r="D59" s="1133"/>
      <c r="E59" s="1133">
        <f>E39</f>
        <v>11198881.746667</v>
      </c>
      <c r="F59" s="1134"/>
    </row>
    <row r="60" spans="2:6">
      <c r="C60" s="1132" t="s">
        <v>518</v>
      </c>
      <c r="D60" s="1133"/>
      <c r="E60" s="1133">
        <f>-E42</f>
        <v>-1500680.084834896</v>
      </c>
      <c r="F60" s="1133">
        <f>-AjGen500PD!D6</f>
        <v>-1500680.084834896</v>
      </c>
    </row>
    <row r="61" spans="2:6">
      <c r="C61" s="1135" t="s">
        <v>521</v>
      </c>
      <c r="D61" s="1134"/>
      <c r="E61" s="1134">
        <f>SUM(E58:E60)</f>
        <v>150610230.02723491</v>
      </c>
      <c r="F61" s="1134">
        <f>SUM(F58:F60)</f>
        <v>139411348.28056791</v>
      </c>
    </row>
    <row r="62" spans="2:6">
      <c r="C62" s="1130"/>
      <c r="D62" s="1131"/>
      <c r="E62" s="1131"/>
      <c r="F62" s="1131"/>
    </row>
    <row r="63" spans="2:6">
      <c r="C63" s="1136" t="s">
        <v>625</v>
      </c>
      <c r="D63" s="1137"/>
      <c r="E63" s="1138">
        <f>E56-E61</f>
        <v>4971485.9116834402</v>
      </c>
      <c r="F63" s="1138">
        <f>F56-F61</f>
        <v>16170367.658350438</v>
      </c>
    </row>
    <row r="64" spans="2:6">
      <c r="C64" s="1137" t="s">
        <v>516</v>
      </c>
      <c r="D64" s="1137"/>
      <c r="E64" s="1139">
        <f>E46</f>
        <v>3733578.5402498017</v>
      </c>
      <c r="F64" s="1139"/>
    </row>
    <row r="65" spans="3:6">
      <c r="C65" s="1137" t="s">
        <v>978</v>
      </c>
      <c r="D65" s="1137"/>
      <c r="E65" s="1139">
        <f>E63*$E$44/100</f>
        <v>371369.99760275299</v>
      </c>
      <c r="F65" s="1139">
        <f>F63*$E$44/100</f>
        <v>1207926.4640787777</v>
      </c>
    </row>
    <row r="66" spans="3:6">
      <c r="C66" s="1136" t="s">
        <v>517</v>
      </c>
      <c r="D66" s="1138"/>
      <c r="E66" s="1138">
        <f>E47</f>
        <v>9076434.4495359864</v>
      </c>
      <c r="F66" s="1138">
        <f>AjGen500PD!D10</f>
        <v>17378294.122429207</v>
      </c>
    </row>
    <row r="67" spans="3:6">
      <c r="C67" s="1127" t="s">
        <v>752</v>
      </c>
      <c r="D67" s="1129"/>
      <c r="E67" s="1127">
        <f>SUM(E63:E65)-E66</f>
        <v>0</v>
      </c>
      <c r="F67" s="1127">
        <f>SUM(F63:F65)-F66</f>
        <v>0</v>
      </c>
    </row>
    <row r="68" spans="3:6">
      <c r="E68" s="1551">
        <f>E65/E63</f>
        <v>7.4700000000000003E-2</v>
      </c>
      <c r="F68" s="1551">
        <f>F65/F63</f>
        <v>7.4700000000000003E-2</v>
      </c>
    </row>
  </sheetData>
  <dataConsolidate/>
  <phoneticPr fontId="0" type="noConversion"/>
  <printOptions horizontalCentered="1" verticalCentered="1"/>
  <pageMargins left="0.59055118110236227" right="0.59055118110236227" top="0.78740157480314965" bottom="0.59055118110236227" header="0.59055118110236227" footer="0.47244094488188981"/>
  <pageSetup scale="48" orientation="portrait" r:id="rId1"/>
  <headerFooter>
    <oddHeader>&amp;L&amp;"Times New Roman,Negrita"&amp;14Nombre de la Distribuidora: &amp;K06-048ENSA&amp;RASEP FORM: &amp;A</oddHeader>
    <oddFooter>&amp;R&amp;A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Hoja95">
    <tabColor theme="4" tint="-0.249977111117893"/>
    <pageSetUpPr fitToPage="1"/>
  </sheetPr>
  <dimension ref="B1:S164"/>
  <sheetViews>
    <sheetView view="pageBreakPreview" topLeftCell="A130" zoomScale="70" zoomScaleNormal="100" zoomScaleSheetLayoutView="70" workbookViewId="0">
      <selection activeCell="S153" sqref="S153:S162"/>
    </sheetView>
  </sheetViews>
  <sheetFormatPr baseColWidth="10" defaultColWidth="8" defaultRowHeight="13.5"/>
  <cols>
    <col min="1" max="1" width="1.875" style="37" customWidth="1"/>
    <col min="2" max="2" width="28.75" style="37" customWidth="1"/>
    <col min="3" max="14" width="10.375" style="37" customWidth="1"/>
    <col min="15" max="15" width="9" style="37" customWidth="1"/>
    <col min="16" max="16" width="8.875" style="51" customWidth="1"/>
    <col min="17" max="17" width="6.75" style="37" bestFit="1" customWidth="1"/>
    <col min="18" max="18" width="6.625" style="37" customWidth="1"/>
    <col min="19" max="19" width="7.125" style="37" bestFit="1" customWidth="1"/>
    <col min="20" max="23" width="2" style="37" customWidth="1"/>
    <col min="24" max="16384" width="8" style="37"/>
  </cols>
  <sheetData>
    <row r="1" spans="2:16" s="387" customFormat="1">
      <c r="P1" s="2428"/>
    </row>
    <row r="2" spans="2:16" s="387" customFormat="1">
      <c r="B2" s="510" t="s">
        <v>41</v>
      </c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P2" s="2428"/>
    </row>
    <row r="3" spans="2:16" s="387" customFormat="1">
      <c r="B3" s="510" t="s">
        <v>38</v>
      </c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P3" s="2428"/>
    </row>
    <row r="4" spans="2:16" s="387" customFormat="1">
      <c r="B4" s="512"/>
      <c r="P4" s="2428"/>
    </row>
    <row r="5" spans="2:16">
      <c r="B5" s="490" t="s">
        <v>310</v>
      </c>
      <c r="C5" s="982">
        <v>45658</v>
      </c>
      <c r="D5" s="982">
        <v>45689</v>
      </c>
      <c r="E5" s="982">
        <v>45717</v>
      </c>
      <c r="F5" s="982">
        <v>45748</v>
      </c>
      <c r="G5" s="982">
        <v>45778</v>
      </c>
      <c r="H5" s="982">
        <v>45809</v>
      </c>
      <c r="I5" s="982">
        <v>45839</v>
      </c>
      <c r="J5" s="982">
        <v>45870</v>
      </c>
      <c r="K5" s="982">
        <v>45901</v>
      </c>
      <c r="L5" s="982">
        <v>45931</v>
      </c>
      <c r="M5" s="982">
        <v>45962</v>
      </c>
      <c r="N5" s="982">
        <v>45992</v>
      </c>
      <c r="O5" s="983" t="s">
        <v>154</v>
      </c>
    </row>
    <row r="6" spans="2:16">
      <c r="B6" s="978" t="s">
        <v>308</v>
      </c>
      <c r="C6" s="545"/>
      <c r="D6" s="545"/>
      <c r="E6" s="545"/>
      <c r="F6" s="545"/>
      <c r="G6" s="545"/>
      <c r="H6" s="545"/>
      <c r="I6" s="545"/>
      <c r="J6" s="545"/>
      <c r="K6" s="545"/>
      <c r="L6" s="545"/>
      <c r="M6" s="545"/>
      <c r="N6" s="545"/>
      <c r="O6" s="979"/>
    </row>
    <row r="7" spans="2:16">
      <c r="B7" s="980" t="s">
        <v>212</v>
      </c>
      <c r="C7" s="545"/>
      <c r="D7" s="545"/>
      <c r="E7" s="545"/>
      <c r="F7" s="545"/>
      <c r="G7" s="545"/>
      <c r="H7" s="545"/>
      <c r="I7" s="545"/>
      <c r="J7" s="545"/>
      <c r="K7" s="545"/>
      <c r="L7" s="545"/>
      <c r="M7" s="545"/>
      <c r="N7" s="545"/>
      <c r="O7" s="979"/>
    </row>
    <row r="8" spans="2:16">
      <c r="B8" s="984" t="s">
        <v>304</v>
      </c>
      <c r="C8" s="985">
        <f t="shared" ref="C8:N8" si="0">SUM(C9:C29)</f>
        <v>385454</v>
      </c>
      <c r="D8" s="985">
        <f t="shared" si="0"/>
        <v>384488</v>
      </c>
      <c r="E8" s="985">
        <f t="shared" si="0"/>
        <v>386099</v>
      </c>
      <c r="F8" s="985">
        <f t="shared" si="0"/>
        <v>387204</v>
      </c>
      <c r="G8" s="985">
        <f t="shared" si="0"/>
        <v>387992</v>
      </c>
      <c r="H8" s="985">
        <f t="shared" si="0"/>
        <v>387367</v>
      </c>
      <c r="I8" s="985">
        <f t="shared" si="0"/>
        <v>387535</v>
      </c>
      <c r="J8" s="985">
        <f t="shared" si="0"/>
        <v>388328</v>
      </c>
      <c r="K8" s="985">
        <f t="shared" si="0"/>
        <v>387697</v>
      </c>
      <c r="L8" s="985">
        <f t="shared" si="0"/>
        <v>387720</v>
      </c>
      <c r="M8" s="985">
        <f t="shared" si="0"/>
        <v>385973</v>
      </c>
      <c r="N8" s="985">
        <f t="shared" si="0"/>
        <v>387265</v>
      </c>
      <c r="O8" s="985">
        <f>SUM(O9:O29)</f>
        <v>386926.83333333331</v>
      </c>
    </row>
    <row r="9" spans="2:16">
      <c r="B9" s="981" t="s">
        <v>717</v>
      </c>
      <c r="C9" s="545">
        <v>68283</v>
      </c>
      <c r="D9" s="545">
        <v>70170</v>
      </c>
      <c r="E9" s="545">
        <v>66455</v>
      </c>
      <c r="F9" s="545">
        <v>64581</v>
      </c>
      <c r="G9" s="545">
        <v>62923</v>
      </c>
      <c r="H9" s="545">
        <v>64204</v>
      </c>
      <c r="I9" s="545">
        <v>62464</v>
      </c>
      <c r="J9" s="545">
        <v>62198</v>
      </c>
      <c r="K9" s="545">
        <v>62324</v>
      </c>
      <c r="L9" s="545">
        <v>61292</v>
      </c>
      <c r="M9" s="545">
        <v>61244</v>
      </c>
      <c r="N9" s="545">
        <v>60069</v>
      </c>
      <c r="O9" s="979">
        <f t="shared" ref="O9:O29" si="1">AVERAGE(C9:N9)</f>
        <v>63850.583333333336</v>
      </c>
    </row>
    <row r="10" spans="2:16">
      <c r="B10" s="981" t="s">
        <v>718</v>
      </c>
      <c r="C10" s="545">
        <v>49556</v>
      </c>
      <c r="D10" s="545">
        <v>50909</v>
      </c>
      <c r="E10" s="545">
        <v>49633</v>
      </c>
      <c r="F10" s="545">
        <v>47619</v>
      </c>
      <c r="G10" s="545">
        <v>47315</v>
      </c>
      <c r="H10" s="545">
        <v>48546</v>
      </c>
      <c r="I10" s="545">
        <v>48584</v>
      </c>
      <c r="J10" s="545">
        <v>49615</v>
      </c>
      <c r="K10" s="545">
        <v>50896</v>
      </c>
      <c r="L10" s="545">
        <v>50628</v>
      </c>
      <c r="M10" s="545">
        <v>52335</v>
      </c>
      <c r="N10" s="545">
        <v>53207</v>
      </c>
      <c r="O10" s="979">
        <f t="shared" si="1"/>
        <v>49903.583333333336</v>
      </c>
    </row>
    <row r="11" spans="2:16">
      <c r="B11" s="981" t="s">
        <v>719</v>
      </c>
      <c r="C11" s="545">
        <v>50632</v>
      </c>
      <c r="D11" s="545">
        <v>51160</v>
      </c>
      <c r="E11" s="545">
        <v>50796</v>
      </c>
      <c r="F11" s="545">
        <v>49466</v>
      </c>
      <c r="G11" s="545">
        <v>49125</v>
      </c>
      <c r="H11" s="545">
        <v>49552</v>
      </c>
      <c r="I11" s="545">
        <v>50022</v>
      </c>
      <c r="J11" s="545">
        <v>50344</v>
      </c>
      <c r="K11" s="545">
        <v>50915</v>
      </c>
      <c r="L11" s="545">
        <v>51334</v>
      </c>
      <c r="M11" s="545">
        <v>52539</v>
      </c>
      <c r="N11" s="545">
        <v>53300</v>
      </c>
      <c r="O11" s="979">
        <f t="shared" si="1"/>
        <v>50765.416666666664</v>
      </c>
    </row>
    <row r="12" spans="2:16">
      <c r="B12" s="981" t="s">
        <v>720</v>
      </c>
      <c r="C12" s="545">
        <v>52719</v>
      </c>
      <c r="D12" s="545">
        <v>51805</v>
      </c>
      <c r="E12" s="545">
        <v>52532</v>
      </c>
      <c r="F12" s="545">
        <v>52039</v>
      </c>
      <c r="G12" s="545">
        <v>52997</v>
      </c>
      <c r="H12" s="545">
        <v>53843</v>
      </c>
      <c r="I12" s="545">
        <v>54097</v>
      </c>
      <c r="J12" s="545">
        <v>53639</v>
      </c>
      <c r="K12" s="545">
        <v>54591</v>
      </c>
      <c r="L12" s="545">
        <v>54692</v>
      </c>
      <c r="M12" s="545">
        <v>55504</v>
      </c>
      <c r="N12" s="545">
        <v>56073</v>
      </c>
      <c r="O12" s="979">
        <f t="shared" si="1"/>
        <v>53710.916666666664</v>
      </c>
    </row>
    <row r="13" spans="2:16">
      <c r="B13" s="981" t="s">
        <v>721</v>
      </c>
      <c r="C13" s="545">
        <v>38944</v>
      </c>
      <c r="D13" s="545">
        <v>37051</v>
      </c>
      <c r="E13" s="545">
        <v>38969</v>
      </c>
      <c r="F13" s="545">
        <v>37924</v>
      </c>
      <c r="G13" s="545">
        <v>39801</v>
      </c>
      <c r="H13" s="545">
        <v>40340</v>
      </c>
      <c r="I13" s="545">
        <v>40610</v>
      </c>
      <c r="J13" s="545">
        <v>40580</v>
      </c>
      <c r="K13" s="545">
        <v>40336</v>
      </c>
      <c r="L13" s="545">
        <v>40686</v>
      </c>
      <c r="M13" s="545">
        <v>40952</v>
      </c>
      <c r="N13" s="545">
        <v>41180</v>
      </c>
      <c r="O13" s="979">
        <f t="shared" si="1"/>
        <v>39781.083333333336</v>
      </c>
    </row>
    <row r="14" spans="2:16">
      <c r="B14" s="981" t="s">
        <v>722</v>
      </c>
      <c r="C14" s="545">
        <v>30275</v>
      </c>
      <c r="D14" s="545">
        <v>29547</v>
      </c>
      <c r="E14" s="545">
        <v>29963</v>
      </c>
      <c r="F14" s="545">
        <v>30247</v>
      </c>
      <c r="G14" s="545">
        <v>31918</v>
      </c>
      <c r="H14" s="545">
        <v>32131</v>
      </c>
      <c r="I14" s="545">
        <v>31679</v>
      </c>
      <c r="J14" s="545">
        <v>31612</v>
      </c>
      <c r="K14" s="545">
        <v>32173</v>
      </c>
      <c r="L14" s="545">
        <v>31758</v>
      </c>
      <c r="M14" s="545">
        <v>31565</v>
      </c>
      <c r="N14" s="545">
        <v>30467</v>
      </c>
      <c r="O14" s="979">
        <f t="shared" si="1"/>
        <v>31111.25</v>
      </c>
    </row>
    <row r="15" spans="2:16">
      <c r="B15" s="981" t="s">
        <v>723</v>
      </c>
      <c r="C15" s="545">
        <v>19590</v>
      </c>
      <c r="D15" s="545">
        <v>18005</v>
      </c>
      <c r="E15" s="545">
        <v>19083</v>
      </c>
      <c r="F15" s="545">
        <v>21958</v>
      </c>
      <c r="G15" s="545">
        <v>20690</v>
      </c>
      <c r="H15" s="545">
        <v>19590</v>
      </c>
      <c r="I15" s="545">
        <v>20175</v>
      </c>
      <c r="J15" s="545">
        <v>20225</v>
      </c>
      <c r="K15" s="545">
        <v>18806</v>
      </c>
      <c r="L15" s="545">
        <v>19594</v>
      </c>
      <c r="M15" s="545">
        <v>18004</v>
      </c>
      <c r="N15" s="545">
        <v>18599</v>
      </c>
      <c r="O15" s="979">
        <f t="shared" si="1"/>
        <v>19526.583333333332</v>
      </c>
    </row>
    <row r="16" spans="2:16">
      <c r="B16" s="981" t="s">
        <v>724</v>
      </c>
      <c r="C16" s="545">
        <v>13883</v>
      </c>
      <c r="D16" s="545">
        <v>13702</v>
      </c>
      <c r="E16" s="545">
        <v>13957</v>
      </c>
      <c r="F16" s="545">
        <v>13381</v>
      </c>
      <c r="G16" s="545">
        <v>16153</v>
      </c>
      <c r="H16" s="545">
        <v>14339</v>
      </c>
      <c r="I16" s="545">
        <v>14595</v>
      </c>
      <c r="J16" s="545">
        <v>14735</v>
      </c>
      <c r="K16" s="545">
        <v>14173</v>
      </c>
      <c r="L16" s="545">
        <v>14118</v>
      </c>
      <c r="M16" s="545">
        <v>13634</v>
      </c>
      <c r="N16" s="545">
        <v>13934</v>
      </c>
      <c r="O16" s="979">
        <f t="shared" si="1"/>
        <v>14217</v>
      </c>
    </row>
    <row r="17" spans="2:15">
      <c r="B17" s="981" t="s">
        <v>725</v>
      </c>
      <c r="C17" s="545">
        <v>9525</v>
      </c>
      <c r="D17" s="545">
        <v>9107</v>
      </c>
      <c r="E17" s="545">
        <v>9830</v>
      </c>
      <c r="F17" s="545">
        <v>10171</v>
      </c>
      <c r="G17" s="545">
        <v>10383</v>
      </c>
      <c r="H17" s="545">
        <v>10356</v>
      </c>
      <c r="I17" s="545">
        <v>10041</v>
      </c>
      <c r="J17" s="545">
        <v>10082</v>
      </c>
      <c r="K17" s="545">
        <v>9720</v>
      </c>
      <c r="L17" s="545">
        <v>9720</v>
      </c>
      <c r="M17" s="545">
        <v>9394</v>
      </c>
      <c r="N17" s="545">
        <v>9220</v>
      </c>
      <c r="O17" s="979">
        <f t="shared" si="1"/>
        <v>9795.75</v>
      </c>
    </row>
    <row r="18" spans="2:15">
      <c r="B18" s="981" t="s">
        <v>726</v>
      </c>
      <c r="C18" s="545">
        <v>7396</v>
      </c>
      <c r="D18" s="545">
        <v>7321</v>
      </c>
      <c r="E18" s="545">
        <v>7720</v>
      </c>
      <c r="F18" s="545">
        <v>7707</v>
      </c>
      <c r="G18" s="545">
        <v>7614</v>
      </c>
      <c r="H18" s="545">
        <v>7762</v>
      </c>
      <c r="I18" s="545">
        <v>7772</v>
      </c>
      <c r="J18" s="545">
        <v>7813</v>
      </c>
      <c r="K18" s="545">
        <v>7683</v>
      </c>
      <c r="L18" s="545">
        <v>7532</v>
      </c>
      <c r="M18" s="545">
        <v>7188</v>
      </c>
      <c r="N18" s="545">
        <v>7270</v>
      </c>
      <c r="O18" s="979">
        <f t="shared" si="1"/>
        <v>7564.833333333333</v>
      </c>
    </row>
    <row r="19" spans="2:15">
      <c r="B19" s="981" t="s">
        <v>727</v>
      </c>
      <c r="C19" s="545">
        <v>5703</v>
      </c>
      <c r="D19" s="545">
        <v>5474</v>
      </c>
      <c r="E19" s="545">
        <v>5992</v>
      </c>
      <c r="F19" s="545">
        <v>6461</v>
      </c>
      <c r="G19" s="545">
        <v>6365</v>
      </c>
      <c r="H19" s="545">
        <v>5868</v>
      </c>
      <c r="I19" s="545">
        <v>6139</v>
      </c>
      <c r="J19" s="545">
        <v>6188</v>
      </c>
      <c r="K19" s="545">
        <v>5803</v>
      </c>
      <c r="L19" s="545">
        <v>6034</v>
      </c>
      <c r="M19" s="545">
        <v>5679</v>
      </c>
      <c r="N19" s="545">
        <v>5636</v>
      </c>
      <c r="O19" s="979">
        <f t="shared" si="1"/>
        <v>5945.166666666667</v>
      </c>
    </row>
    <row r="20" spans="2:15">
      <c r="B20" s="981" t="s">
        <v>728</v>
      </c>
      <c r="C20" s="545">
        <v>4857</v>
      </c>
      <c r="D20" s="545">
        <v>4920</v>
      </c>
      <c r="E20" s="545">
        <v>4695</v>
      </c>
      <c r="F20" s="545">
        <v>5006</v>
      </c>
      <c r="G20" s="545">
        <v>4926</v>
      </c>
      <c r="H20" s="545">
        <v>4803</v>
      </c>
      <c r="I20" s="545">
        <v>4778</v>
      </c>
      <c r="J20" s="545">
        <v>4825</v>
      </c>
      <c r="K20" s="545">
        <v>4757</v>
      </c>
      <c r="L20" s="545">
        <v>4706</v>
      </c>
      <c r="M20" s="545">
        <v>4552</v>
      </c>
      <c r="N20" s="545">
        <v>4297</v>
      </c>
      <c r="O20" s="979">
        <f t="shared" si="1"/>
        <v>4760.166666666667</v>
      </c>
    </row>
    <row r="21" spans="2:15">
      <c r="B21" s="981" t="s">
        <v>729</v>
      </c>
      <c r="C21" s="545">
        <v>3862</v>
      </c>
      <c r="D21" s="545">
        <v>3879</v>
      </c>
      <c r="E21" s="545">
        <v>4032</v>
      </c>
      <c r="F21" s="545">
        <v>4307</v>
      </c>
      <c r="G21" s="545">
        <v>4340</v>
      </c>
      <c r="H21" s="545">
        <v>4113</v>
      </c>
      <c r="I21" s="545">
        <v>4018</v>
      </c>
      <c r="J21" s="545">
        <v>4016</v>
      </c>
      <c r="K21" s="545">
        <v>4032</v>
      </c>
      <c r="L21" s="545">
        <v>3890</v>
      </c>
      <c r="M21" s="545">
        <v>3737</v>
      </c>
      <c r="N21" s="545">
        <v>3751</v>
      </c>
      <c r="O21" s="979">
        <f t="shared" si="1"/>
        <v>3998.0833333333335</v>
      </c>
    </row>
    <row r="22" spans="2:15">
      <c r="B22" s="981" t="s">
        <v>730</v>
      </c>
      <c r="C22" s="545">
        <v>3011</v>
      </c>
      <c r="D22" s="545">
        <v>3263</v>
      </c>
      <c r="E22" s="545">
        <v>3244</v>
      </c>
      <c r="F22" s="545">
        <v>3605</v>
      </c>
      <c r="G22" s="545">
        <v>3545</v>
      </c>
      <c r="H22" s="545">
        <v>3200</v>
      </c>
      <c r="I22" s="545">
        <v>3359</v>
      </c>
      <c r="J22" s="545">
        <v>3462</v>
      </c>
      <c r="K22" s="545">
        <v>3245</v>
      </c>
      <c r="L22" s="545">
        <v>3241</v>
      </c>
      <c r="M22" s="545">
        <v>3103</v>
      </c>
      <c r="N22" s="545">
        <v>3019</v>
      </c>
      <c r="O22" s="979">
        <f t="shared" si="1"/>
        <v>3274.75</v>
      </c>
    </row>
    <row r="23" spans="2:15">
      <c r="B23" s="981" t="s">
        <v>731</v>
      </c>
      <c r="C23" s="545">
        <v>2666</v>
      </c>
      <c r="D23" s="545">
        <v>2699</v>
      </c>
      <c r="E23" s="545">
        <v>2821</v>
      </c>
      <c r="F23" s="545">
        <v>3126</v>
      </c>
      <c r="G23" s="545">
        <v>2932</v>
      </c>
      <c r="H23" s="545">
        <v>2889</v>
      </c>
      <c r="I23" s="545">
        <v>2871</v>
      </c>
      <c r="J23" s="545">
        <v>2875</v>
      </c>
      <c r="K23" s="545">
        <v>2785</v>
      </c>
      <c r="L23" s="545">
        <v>2786</v>
      </c>
      <c r="M23" s="545">
        <v>2651</v>
      </c>
      <c r="N23" s="545">
        <v>2646</v>
      </c>
      <c r="O23" s="979">
        <f t="shared" si="1"/>
        <v>2812.25</v>
      </c>
    </row>
    <row r="24" spans="2:15">
      <c r="B24" s="981" t="s">
        <v>732</v>
      </c>
      <c r="C24" s="545">
        <v>8448</v>
      </c>
      <c r="D24" s="545">
        <v>8629</v>
      </c>
      <c r="E24" s="545">
        <v>8938</v>
      </c>
      <c r="F24" s="545">
        <v>10073</v>
      </c>
      <c r="G24" s="545">
        <v>9152</v>
      </c>
      <c r="H24" s="545">
        <v>8518</v>
      </c>
      <c r="I24" s="545">
        <v>8739</v>
      </c>
      <c r="J24" s="545">
        <v>8637</v>
      </c>
      <c r="K24" s="545">
        <v>8341</v>
      </c>
      <c r="L24" s="545">
        <v>8366</v>
      </c>
      <c r="M24" s="545">
        <v>7792</v>
      </c>
      <c r="N24" s="545">
        <v>7901</v>
      </c>
      <c r="O24" s="979">
        <f t="shared" si="1"/>
        <v>8627.8333333333339</v>
      </c>
    </row>
    <row r="25" spans="2:15">
      <c r="B25" s="981" t="s">
        <v>733</v>
      </c>
      <c r="C25" s="545">
        <v>7028</v>
      </c>
      <c r="D25" s="545">
        <v>7357</v>
      </c>
      <c r="E25" s="545">
        <v>7619</v>
      </c>
      <c r="F25" s="545">
        <v>8610</v>
      </c>
      <c r="G25" s="545">
        <v>7703</v>
      </c>
      <c r="H25" s="545">
        <v>7427</v>
      </c>
      <c r="I25" s="545">
        <v>7471</v>
      </c>
      <c r="J25" s="545">
        <v>7342</v>
      </c>
      <c r="K25" s="545">
        <v>7182</v>
      </c>
      <c r="L25" s="545">
        <v>7234</v>
      </c>
      <c r="M25" s="545">
        <v>6836</v>
      </c>
      <c r="N25" s="545">
        <v>7015</v>
      </c>
      <c r="O25" s="979">
        <f t="shared" si="1"/>
        <v>7402</v>
      </c>
    </row>
    <row r="26" spans="2:15">
      <c r="B26" s="981" t="s">
        <v>734</v>
      </c>
      <c r="C26" s="545">
        <v>3209</v>
      </c>
      <c r="D26" s="545">
        <v>3330</v>
      </c>
      <c r="E26" s="545">
        <v>3511</v>
      </c>
      <c r="F26" s="545">
        <v>3950</v>
      </c>
      <c r="G26" s="545">
        <v>3547</v>
      </c>
      <c r="H26" s="545">
        <v>3458</v>
      </c>
      <c r="I26" s="545">
        <v>3524</v>
      </c>
      <c r="J26" s="545">
        <v>3526</v>
      </c>
      <c r="K26" s="545">
        <v>3466</v>
      </c>
      <c r="L26" s="545">
        <v>3545</v>
      </c>
      <c r="M26" s="545">
        <v>3181</v>
      </c>
      <c r="N26" s="545">
        <v>3339</v>
      </c>
      <c r="O26" s="979">
        <f t="shared" si="1"/>
        <v>3465.5</v>
      </c>
    </row>
    <row r="27" spans="2:15">
      <c r="B27" s="981" t="s">
        <v>735</v>
      </c>
      <c r="C27" s="545">
        <v>1882</v>
      </c>
      <c r="D27" s="545">
        <v>2015</v>
      </c>
      <c r="E27" s="545">
        <v>2035</v>
      </c>
      <c r="F27" s="545">
        <v>2221</v>
      </c>
      <c r="G27" s="545">
        <v>2107</v>
      </c>
      <c r="H27" s="545">
        <v>2023</v>
      </c>
      <c r="I27" s="545">
        <v>2071</v>
      </c>
      <c r="J27" s="545">
        <v>2078</v>
      </c>
      <c r="K27" s="545">
        <v>2003</v>
      </c>
      <c r="L27" s="545">
        <v>2014</v>
      </c>
      <c r="M27" s="545">
        <v>1885</v>
      </c>
      <c r="N27" s="545">
        <v>1934</v>
      </c>
      <c r="O27" s="979">
        <f t="shared" si="1"/>
        <v>2022.3333333333333</v>
      </c>
    </row>
    <row r="28" spans="2:15">
      <c r="B28" s="981" t="s">
        <v>736</v>
      </c>
      <c r="C28" s="545">
        <v>1148</v>
      </c>
      <c r="D28" s="545">
        <v>1208</v>
      </c>
      <c r="E28" s="545">
        <v>1229</v>
      </c>
      <c r="F28" s="545">
        <v>1402</v>
      </c>
      <c r="G28" s="545">
        <v>1229</v>
      </c>
      <c r="H28" s="545">
        <v>1255</v>
      </c>
      <c r="I28" s="545">
        <v>1283</v>
      </c>
      <c r="J28" s="545">
        <v>1243</v>
      </c>
      <c r="K28" s="545">
        <v>1228</v>
      </c>
      <c r="L28" s="545">
        <v>1260</v>
      </c>
      <c r="M28" s="545">
        <v>1122</v>
      </c>
      <c r="N28" s="545">
        <v>1192</v>
      </c>
      <c r="O28" s="979">
        <f t="shared" si="1"/>
        <v>1233.25</v>
      </c>
    </row>
    <row r="29" spans="2:15">
      <c r="B29" s="981" t="s">
        <v>737</v>
      </c>
      <c r="C29" s="545">
        <v>2837</v>
      </c>
      <c r="D29" s="545">
        <v>2937</v>
      </c>
      <c r="E29" s="545">
        <v>3045</v>
      </c>
      <c r="F29" s="545">
        <v>3350</v>
      </c>
      <c r="G29" s="545">
        <v>3227</v>
      </c>
      <c r="H29" s="545">
        <v>3150</v>
      </c>
      <c r="I29" s="545">
        <v>3243</v>
      </c>
      <c r="J29" s="545">
        <v>3293</v>
      </c>
      <c r="K29" s="545">
        <v>3238</v>
      </c>
      <c r="L29" s="545">
        <v>3290</v>
      </c>
      <c r="M29" s="545">
        <v>3076</v>
      </c>
      <c r="N29" s="545">
        <v>3216</v>
      </c>
      <c r="O29" s="979">
        <f t="shared" si="1"/>
        <v>3158.5</v>
      </c>
    </row>
    <row r="30" spans="2:15">
      <c r="B30" s="984" t="s">
        <v>738</v>
      </c>
      <c r="C30" s="985">
        <f t="shared" ref="C30:N30" si="2">SUM(C31:C51)</f>
        <v>140976</v>
      </c>
      <c r="D30" s="985">
        <f t="shared" si="2"/>
        <v>141199</v>
      </c>
      <c r="E30" s="985">
        <f t="shared" si="2"/>
        <v>141674</v>
      </c>
      <c r="F30" s="985">
        <f t="shared" si="2"/>
        <v>142143</v>
      </c>
      <c r="G30" s="985">
        <f t="shared" si="2"/>
        <v>142560</v>
      </c>
      <c r="H30" s="985">
        <f t="shared" si="2"/>
        <v>143104</v>
      </c>
      <c r="I30" s="985">
        <f t="shared" si="2"/>
        <v>143586</v>
      </c>
      <c r="J30" s="985">
        <f t="shared" si="2"/>
        <v>143807</v>
      </c>
      <c r="K30" s="985">
        <f t="shared" si="2"/>
        <v>144238</v>
      </c>
      <c r="L30" s="985">
        <f t="shared" si="2"/>
        <v>144418</v>
      </c>
      <c r="M30" s="985">
        <f t="shared" si="2"/>
        <v>144684</v>
      </c>
      <c r="N30" s="985">
        <f t="shared" si="2"/>
        <v>145147</v>
      </c>
      <c r="O30" s="985">
        <f>SUM(O31:O51)</f>
        <v>143128</v>
      </c>
    </row>
    <row r="31" spans="2:15">
      <c r="B31" s="981" t="s">
        <v>717</v>
      </c>
      <c r="C31" s="545">
        <v>5380</v>
      </c>
      <c r="D31" s="545">
        <v>5293</v>
      </c>
      <c r="E31" s="545">
        <v>5202</v>
      </c>
      <c r="F31" s="545">
        <v>5034</v>
      </c>
      <c r="G31" s="545">
        <v>5075</v>
      </c>
      <c r="H31" s="545">
        <v>5163</v>
      </c>
      <c r="I31" s="545">
        <v>5181</v>
      </c>
      <c r="J31" s="545">
        <v>5109</v>
      </c>
      <c r="K31" s="545">
        <v>5168</v>
      </c>
      <c r="L31" s="545">
        <v>5223</v>
      </c>
      <c r="M31" s="545">
        <v>5227</v>
      </c>
      <c r="N31" s="545">
        <v>5383</v>
      </c>
      <c r="O31" s="979">
        <f t="shared" ref="O31:O51" si="3">AVERAGE(C31:N31)</f>
        <v>5203.166666666667</v>
      </c>
    </row>
    <row r="32" spans="2:15">
      <c r="B32" s="981" t="s">
        <v>718</v>
      </c>
      <c r="C32" s="545">
        <v>10777</v>
      </c>
      <c r="D32" s="545">
        <v>11210</v>
      </c>
      <c r="E32" s="545">
        <v>10795</v>
      </c>
      <c r="F32" s="545">
        <v>10425</v>
      </c>
      <c r="G32" s="545">
        <v>10232</v>
      </c>
      <c r="H32" s="545">
        <v>10471</v>
      </c>
      <c r="I32" s="545">
        <v>10719</v>
      </c>
      <c r="J32" s="545">
        <v>10895</v>
      </c>
      <c r="K32" s="545">
        <v>11240</v>
      </c>
      <c r="L32" s="545">
        <v>11044</v>
      </c>
      <c r="M32" s="545">
        <v>11568</v>
      </c>
      <c r="N32" s="545">
        <v>11951</v>
      </c>
      <c r="O32" s="979">
        <f t="shared" si="3"/>
        <v>10943.916666666666</v>
      </c>
    </row>
    <row r="33" spans="2:15">
      <c r="B33" s="981" t="s">
        <v>719</v>
      </c>
      <c r="C33" s="545">
        <v>16776</v>
      </c>
      <c r="D33" s="545">
        <v>17148</v>
      </c>
      <c r="E33" s="545">
        <v>16872</v>
      </c>
      <c r="F33" s="545">
        <v>16522</v>
      </c>
      <c r="G33" s="545">
        <v>16346</v>
      </c>
      <c r="H33" s="545">
        <v>16517</v>
      </c>
      <c r="I33" s="545">
        <v>16414</v>
      </c>
      <c r="J33" s="545">
        <v>16513</v>
      </c>
      <c r="K33" s="545">
        <v>16840</v>
      </c>
      <c r="L33" s="545">
        <v>16861</v>
      </c>
      <c r="M33" s="545">
        <v>17727</v>
      </c>
      <c r="N33" s="545">
        <v>18159</v>
      </c>
      <c r="O33" s="979">
        <f t="shared" si="3"/>
        <v>16891.25</v>
      </c>
    </row>
    <row r="34" spans="2:15">
      <c r="B34" s="981" t="s">
        <v>720</v>
      </c>
      <c r="C34" s="545">
        <v>19579</v>
      </c>
      <c r="D34" s="545">
        <v>19668</v>
      </c>
      <c r="E34" s="545">
        <v>19656</v>
      </c>
      <c r="F34" s="545">
        <v>18714</v>
      </c>
      <c r="G34" s="545">
        <v>19068</v>
      </c>
      <c r="H34" s="545">
        <v>19589</v>
      </c>
      <c r="I34" s="545">
        <v>20279</v>
      </c>
      <c r="J34" s="545">
        <v>20078</v>
      </c>
      <c r="K34" s="545">
        <v>20549</v>
      </c>
      <c r="L34" s="545">
        <v>20514</v>
      </c>
      <c r="M34" s="545">
        <v>21142</v>
      </c>
      <c r="N34" s="545">
        <v>21359</v>
      </c>
      <c r="O34" s="979">
        <f t="shared" si="3"/>
        <v>20016.25</v>
      </c>
    </row>
    <row r="35" spans="2:15">
      <c r="B35" s="981" t="s">
        <v>721</v>
      </c>
      <c r="C35" s="545">
        <v>18490</v>
      </c>
      <c r="D35" s="545">
        <v>18391</v>
      </c>
      <c r="E35" s="545">
        <v>18447</v>
      </c>
      <c r="F35" s="545">
        <v>17716</v>
      </c>
      <c r="G35" s="545">
        <v>18445</v>
      </c>
      <c r="H35" s="545">
        <v>18790</v>
      </c>
      <c r="I35" s="545">
        <v>18571</v>
      </c>
      <c r="J35" s="545">
        <v>18700</v>
      </c>
      <c r="K35" s="545">
        <v>18755</v>
      </c>
      <c r="L35" s="545">
        <v>18862</v>
      </c>
      <c r="M35" s="545">
        <v>19242</v>
      </c>
      <c r="N35" s="545">
        <v>19250</v>
      </c>
      <c r="O35" s="979">
        <f t="shared" si="3"/>
        <v>18638.25</v>
      </c>
    </row>
    <row r="36" spans="2:15">
      <c r="B36" s="981" t="s">
        <v>722</v>
      </c>
      <c r="C36" s="545">
        <v>16024</v>
      </c>
      <c r="D36" s="545">
        <v>15878</v>
      </c>
      <c r="E36" s="545">
        <v>16202</v>
      </c>
      <c r="F36" s="545">
        <v>15984</v>
      </c>
      <c r="G36" s="545">
        <v>16562</v>
      </c>
      <c r="H36" s="545">
        <v>16779</v>
      </c>
      <c r="I36" s="545">
        <v>16862</v>
      </c>
      <c r="J36" s="545">
        <v>16872</v>
      </c>
      <c r="K36" s="545">
        <v>17113</v>
      </c>
      <c r="L36" s="545">
        <v>16989</v>
      </c>
      <c r="M36" s="545">
        <v>17078</v>
      </c>
      <c r="N36" s="545">
        <v>16696</v>
      </c>
      <c r="O36" s="979">
        <f t="shared" si="3"/>
        <v>16586.583333333332</v>
      </c>
    </row>
    <row r="37" spans="2:15">
      <c r="B37" s="981" t="s">
        <v>723</v>
      </c>
      <c r="C37" s="545">
        <v>12127</v>
      </c>
      <c r="D37" s="545">
        <v>11645</v>
      </c>
      <c r="E37" s="545">
        <v>11693</v>
      </c>
      <c r="F37" s="545">
        <v>11479</v>
      </c>
      <c r="G37" s="545">
        <v>11984</v>
      </c>
      <c r="H37" s="545">
        <v>12289</v>
      </c>
      <c r="I37" s="545">
        <v>11733</v>
      </c>
      <c r="J37" s="545">
        <v>11703</v>
      </c>
      <c r="K37" s="545">
        <v>11506</v>
      </c>
      <c r="L37" s="545">
        <v>11741</v>
      </c>
      <c r="M37" s="545">
        <v>11448</v>
      </c>
      <c r="N37" s="545">
        <v>11427</v>
      </c>
      <c r="O37" s="979">
        <f t="shared" si="3"/>
        <v>11731.25</v>
      </c>
    </row>
    <row r="38" spans="2:15">
      <c r="B38" s="981" t="s">
        <v>724</v>
      </c>
      <c r="C38" s="545">
        <v>8557</v>
      </c>
      <c r="D38" s="545">
        <v>8315</v>
      </c>
      <c r="E38" s="545">
        <v>8364</v>
      </c>
      <c r="F38" s="545">
        <v>8354</v>
      </c>
      <c r="G38" s="545">
        <v>8716</v>
      </c>
      <c r="H38" s="545">
        <v>8727</v>
      </c>
      <c r="I38" s="545">
        <v>9029</v>
      </c>
      <c r="J38" s="545">
        <v>8984</v>
      </c>
      <c r="K38" s="545">
        <v>9081</v>
      </c>
      <c r="L38" s="545">
        <v>9026</v>
      </c>
      <c r="M38" s="545">
        <v>8867</v>
      </c>
      <c r="N38" s="545">
        <v>8682</v>
      </c>
      <c r="O38" s="979">
        <f t="shared" si="3"/>
        <v>8725.1666666666661</v>
      </c>
    </row>
    <row r="39" spans="2:15">
      <c r="B39" s="981" t="s">
        <v>725</v>
      </c>
      <c r="C39" s="545">
        <v>6493</v>
      </c>
      <c r="D39" s="545">
        <v>6441</v>
      </c>
      <c r="E39" s="545">
        <v>6296</v>
      </c>
      <c r="F39" s="545">
        <v>6510</v>
      </c>
      <c r="G39" s="545">
        <v>6764</v>
      </c>
      <c r="H39" s="545">
        <v>6717</v>
      </c>
      <c r="I39" s="545">
        <v>6594</v>
      </c>
      <c r="J39" s="545">
        <v>6684</v>
      </c>
      <c r="K39" s="545">
        <v>6624</v>
      </c>
      <c r="L39" s="545">
        <v>6690</v>
      </c>
      <c r="M39" s="545">
        <v>6599</v>
      </c>
      <c r="N39" s="545">
        <v>6496</v>
      </c>
      <c r="O39" s="979">
        <f t="shared" si="3"/>
        <v>6575.666666666667</v>
      </c>
    </row>
    <row r="40" spans="2:15">
      <c r="B40" s="981" t="s">
        <v>726</v>
      </c>
      <c r="C40" s="545">
        <v>5110</v>
      </c>
      <c r="D40" s="545">
        <v>5076</v>
      </c>
      <c r="E40" s="545">
        <v>5176</v>
      </c>
      <c r="F40" s="545">
        <v>5160</v>
      </c>
      <c r="G40" s="545">
        <v>5382</v>
      </c>
      <c r="H40" s="545">
        <v>5443</v>
      </c>
      <c r="I40" s="545">
        <v>5326</v>
      </c>
      <c r="J40" s="545">
        <v>5401</v>
      </c>
      <c r="K40" s="545">
        <v>5225</v>
      </c>
      <c r="L40" s="545">
        <v>5276</v>
      </c>
      <c r="M40" s="545">
        <v>5086</v>
      </c>
      <c r="N40" s="545">
        <v>5099</v>
      </c>
      <c r="O40" s="979">
        <f t="shared" si="3"/>
        <v>5230</v>
      </c>
    </row>
    <row r="41" spans="2:15">
      <c r="B41" s="981" t="s">
        <v>727</v>
      </c>
      <c r="C41" s="545">
        <v>4068</v>
      </c>
      <c r="D41" s="545">
        <v>4165</v>
      </c>
      <c r="E41" s="545">
        <v>4214</v>
      </c>
      <c r="F41" s="545">
        <v>4301</v>
      </c>
      <c r="G41" s="545">
        <v>4324</v>
      </c>
      <c r="H41" s="545">
        <v>4268</v>
      </c>
      <c r="I41" s="545">
        <v>4308</v>
      </c>
      <c r="J41" s="545">
        <v>4355</v>
      </c>
      <c r="K41" s="545">
        <v>4233</v>
      </c>
      <c r="L41" s="545">
        <v>4262</v>
      </c>
      <c r="M41" s="545">
        <v>4203</v>
      </c>
      <c r="N41" s="545">
        <v>4011</v>
      </c>
      <c r="O41" s="979">
        <f t="shared" si="3"/>
        <v>4226</v>
      </c>
    </row>
    <row r="42" spans="2:15">
      <c r="B42" s="981" t="s">
        <v>728</v>
      </c>
      <c r="C42" s="545">
        <v>3309</v>
      </c>
      <c r="D42" s="545">
        <v>3236</v>
      </c>
      <c r="E42" s="545">
        <v>3237</v>
      </c>
      <c r="F42" s="545">
        <v>3537</v>
      </c>
      <c r="G42" s="545">
        <v>3610</v>
      </c>
      <c r="H42" s="545">
        <v>3523</v>
      </c>
      <c r="I42" s="545">
        <v>3512</v>
      </c>
      <c r="J42" s="545">
        <v>3573</v>
      </c>
      <c r="K42" s="545">
        <v>3448</v>
      </c>
      <c r="L42" s="545">
        <v>3494</v>
      </c>
      <c r="M42" s="545">
        <v>3338</v>
      </c>
      <c r="N42" s="545">
        <v>3187</v>
      </c>
      <c r="O42" s="979">
        <f t="shared" si="3"/>
        <v>3417</v>
      </c>
    </row>
    <row r="43" spans="2:15">
      <c r="B43" s="981" t="s">
        <v>729</v>
      </c>
      <c r="C43" s="545">
        <v>2721</v>
      </c>
      <c r="D43" s="545">
        <v>2822</v>
      </c>
      <c r="E43" s="545">
        <v>2836</v>
      </c>
      <c r="F43" s="545">
        <v>2941</v>
      </c>
      <c r="G43" s="545">
        <v>2972</v>
      </c>
      <c r="H43" s="545">
        <v>2869</v>
      </c>
      <c r="I43" s="545">
        <v>2825</v>
      </c>
      <c r="J43" s="545">
        <v>2858</v>
      </c>
      <c r="K43" s="545">
        <v>2875</v>
      </c>
      <c r="L43" s="545">
        <v>2745</v>
      </c>
      <c r="M43" s="545">
        <v>2618</v>
      </c>
      <c r="N43" s="545">
        <v>2609</v>
      </c>
      <c r="O43" s="979">
        <f t="shared" si="3"/>
        <v>2807.5833333333335</v>
      </c>
    </row>
    <row r="44" spans="2:15">
      <c r="B44" s="981" t="s">
        <v>730</v>
      </c>
      <c r="C44" s="545">
        <v>2261</v>
      </c>
      <c r="D44" s="545">
        <v>2245</v>
      </c>
      <c r="E44" s="545">
        <v>2292</v>
      </c>
      <c r="F44" s="545">
        <v>2585</v>
      </c>
      <c r="G44" s="545">
        <v>2424</v>
      </c>
      <c r="H44" s="545">
        <v>2304</v>
      </c>
      <c r="I44" s="545">
        <v>2301</v>
      </c>
      <c r="J44" s="545">
        <v>2319</v>
      </c>
      <c r="K44" s="545">
        <v>2269</v>
      </c>
      <c r="L44" s="545">
        <v>2283</v>
      </c>
      <c r="M44" s="545">
        <v>2091</v>
      </c>
      <c r="N44" s="545">
        <v>2171</v>
      </c>
      <c r="O44" s="979">
        <f t="shared" si="3"/>
        <v>2295.4166666666665</v>
      </c>
    </row>
    <row r="45" spans="2:15">
      <c r="B45" s="981" t="s">
        <v>731</v>
      </c>
      <c r="C45" s="545">
        <v>1685</v>
      </c>
      <c r="D45" s="545">
        <v>1751</v>
      </c>
      <c r="E45" s="545">
        <v>1873</v>
      </c>
      <c r="F45" s="545">
        <v>2114</v>
      </c>
      <c r="G45" s="545">
        <v>2009</v>
      </c>
      <c r="H45" s="545">
        <v>1824</v>
      </c>
      <c r="I45" s="545">
        <v>1853</v>
      </c>
      <c r="J45" s="545">
        <v>1864</v>
      </c>
      <c r="K45" s="545">
        <v>1788</v>
      </c>
      <c r="L45" s="545">
        <v>1790</v>
      </c>
      <c r="M45" s="545">
        <v>1695</v>
      </c>
      <c r="N45" s="545">
        <v>1625</v>
      </c>
      <c r="O45" s="979">
        <f t="shared" si="3"/>
        <v>1822.5833333333333</v>
      </c>
    </row>
    <row r="46" spans="2:15">
      <c r="B46" s="981" t="s">
        <v>732</v>
      </c>
      <c r="C46" s="545">
        <v>4543</v>
      </c>
      <c r="D46" s="545">
        <v>4752</v>
      </c>
      <c r="E46" s="545">
        <v>5067</v>
      </c>
      <c r="F46" s="545">
        <v>6201</v>
      </c>
      <c r="G46" s="545">
        <v>5124</v>
      </c>
      <c r="H46" s="545">
        <v>4711</v>
      </c>
      <c r="I46" s="545">
        <v>4815</v>
      </c>
      <c r="J46" s="545">
        <v>4742</v>
      </c>
      <c r="K46" s="545">
        <v>4515</v>
      </c>
      <c r="L46" s="545">
        <v>4602</v>
      </c>
      <c r="M46" s="545">
        <v>4110</v>
      </c>
      <c r="N46" s="545">
        <v>4138</v>
      </c>
      <c r="O46" s="979">
        <f t="shared" si="3"/>
        <v>4776.666666666667</v>
      </c>
    </row>
    <row r="47" spans="2:15">
      <c r="B47" s="981" t="s">
        <v>733</v>
      </c>
      <c r="C47" s="545">
        <v>2232</v>
      </c>
      <c r="D47" s="545">
        <v>2342</v>
      </c>
      <c r="E47" s="545">
        <v>2563</v>
      </c>
      <c r="F47" s="545">
        <v>3413</v>
      </c>
      <c r="G47" s="545">
        <v>2641</v>
      </c>
      <c r="H47" s="545">
        <v>2331</v>
      </c>
      <c r="I47" s="545">
        <v>2410</v>
      </c>
      <c r="J47" s="545">
        <v>2342</v>
      </c>
      <c r="K47" s="545">
        <v>2245</v>
      </c>
      <c r="L47" s="545">
        <v>2231</v>
      </c>
      <c r="M47" s="545">
        <v>1941</v>
      </c>
      <c r="N47" s="545">
        <v>2093</v>
      </c>
      <c r="O47" s="979">
        <f t="shared" si="3"/>
        <v>2398.6666666666665</v>
      </c>
    </row>
    <row r="48" spans="2:15">
      <c r="B48" s="981" t="s">
        <v>734</v>
      </c>
      <c r="C48" s="545">
        <v>507</v>
      </c>
      <c r="D48" s="545">
        <v>469</v>
      </c>
      <c r="E48" s="545">
        <v>522</v>
      </c>
      <c r="F48" s="545">
        <v>707</v>
      </c>
      <c r="G48" s="545">
        <v>545</v>
      </c>
      <c r="H48" s="545">
        <v>473</v>
      </c>
      <c r="I48" s="545">
        <v>516</v>
      </c>
      <c r="J48" s="545">
        <v>465</v>
      </c>
      <c r="K48" s="545">
        <v>443</v>
      </c>
      <c r="L48" s="545">
        <v>448</v>
      </c>
      <c r="M48" s="545">
        <v>396</v>
      </c>
      <c r="N48" s="545">
        <v>436</v>
      </c>
      <c r="O48" s="979">
        <f t="shared" si="3"/>
        <v>493.91666666666669</v>
      </c>
    </row>
    <row r="49" spans="2:16">
      <c r="B49" s="981" t="s">
        <v>735</v>
      </c>
      <c r="C49" s="545">
        <v>155</v>
      </c>
      <c r="D49" s="545">
        <v>158</v>
      </c>
      <c r="E49" s="545">
        <v>170</v>
      </c>
      <c r="F49" s="545">
        <v>219</v>
      </c>
      <c r="G49" s="545">
        <v>159</v>
      </c>
      <c r="H49" s="545">
        <v>147</v>
      </c>
      <c r="I49" s="545">
        <v>162</v>
      </c>
      <c r="J49" s="545">
        <v>166</v>
      </c>
      <c r="K49" s="545">
        <v>152</v>
      </c>
      <c r="L49" s="545">
        <v>155</v>
      </c>
      <c r="M49" s="545">
        <v>159</v>
      </c>
      <c r="N49" s="545">
        <v>185</v>
      </c>
      <c r="O49" s="979">
        <f t="shared" si="3"/>
        <v>165.58333333333334</v>
      </c>
    </row>
    <row r="50" spans="2:16">
      <c r="B50" s="981" t="s">
        <v>736</v>
      </c>
      <c r="C50" s="545">
        <v>78</v>
      </c>
      <c r="D50" s="545">
        <v>85</v>
      </c>
      <c r="E50" s="545">
        <v>84</v>
      </c>
      <c r="F50" s="545">
        <v>93</v>
      </c>
      <c r="G50" s="545">
        <v>69</v>
      </c>
      <c r="H50" s="545">
        <v>67</v>
      </c>
      <c r="I50" s="545">
        <v>74</v>
      </c>
      <c r="J50" s="545">
        <v>87</v>
      </c>
      <c r="K50" s="545">
        <v>71</v>
      </c>
      <c r="L50" s="545">
        <v>76</v>
      </c>
      <c r="M50" s="545">
        <v>65</v>
      </c>
      <c r="N50" s="545">
        <v>84</v>
      </c>
      <c r="O50" s="979">
        <f t="shared" si="3"/>
        <v>77.75</v>
      </c>
    </row>
    <row r="51" spans="2:16">
      <c r="B51" s="981" t="s">
        <v>737</v>
      </c>
      <c r="C51" s="545">
        <v>104</v>
      </c>
      <c r="D51" s="545">
        <v>109</v>
      </c>
      <c r="E51" s="545">
        <v>113</v>
      </c>
      <c r="F51" s="545">
        <v>134</v>
      </c>
      <c r="G51" s="545">
        <v>109</v>
      </c>
      <c r="H51" s="545">
        <v>102</v>
      </c>
      <c r="I51" s="545">
        <v>102</v>
      </c>
      <c r="J51" s="545">
        <v>97</v>
      </c>
      <c r="K51" s="545">
        <v>98</v>
      </c>
      <c r="L51" s="545">
        <v>106</v>
      </c>
      <c r="M51" s="545">
        <v>84</v>
      </c>
      <c r="N51" s="545">
        <v>106</v>
      </c>
      <c r="O51" s="979">
        <f t="shared" si="3"/>
        <v>105.33333333333333</v>
      </c>
    </row>
    <row r="52" spans="2:16">
      <c r="B52" s="984" t="s">
        <v>307</v>
      </c>
      <c r="C52" s="985">
        <f t="shared" ref="C52:N52" si="4">SUM(C53:C73)</f>
        <v>2</v>
      </c>
      <c r="D52" s="985">
        <f t="shared" si="4"/>
        <v>2</v>
      </c>
      <c r="E52" s="985">
        <f t="shared" si="4"/>
        <v>2</v>
      </c>
      <c r="F52" s="985">
        <f t="shared" si="4"/>
        <v>2</v>
      </c>
      <c r="G52" s="985">
        <f t="shared" si="4"/>
        <v>2</v>
      </c>
      <c r="H52" s="985">
        <f t="shared" si="4"/>
        <v>1</v>
      </c>
      <c r="I52" s="985">
        <f t="shared" si="4"/>
        <v>1</v>
      </c>
      <c r="J52" s="985">
        <f t="shared" si="4"/>
        <v>1</v>
      </c>
      <c r="K52" s="985">
        <f t="shared" si="4"/>
        <v>1</v>
      </c>
      <c r="L52" s="985">
        <f t="shared" si="4"/>
        <v>2</v>
      </c>
      <c r="M52" s="985">
        <f t="shared" si="4"/>
        <v>2</v>
      </c>
      <c r="N52" s="985">
        <f t="shared" si="4"/>
        <v>2</v>
      </c>
      <c r="O52" s="985">
        <f>SUM(O53:O73)</f>
        <v>1.6666666666666667</v>
      </c>
    </row>
    <row r="53" spans="2:16">
      <c r="B53" s="981" t="s">
        <v>717</v>
      </c>
      <c r="C53" s="545">
        <v>0</v>
      </c>
      <c r="D53" s="545">
        <v>0</v>
      </c>
      <c r="E53" s="545">
        <v>0</v>
      </c>
      <c r="F53" s="545">
        <v>0</v>
      </c>
      <c r="G53" s="545">
        <v>0</v>
      </c>
      <c r="H53" s="545">
        <v>0</v>
      </c>
      <c r="I53" s="545">
        <v>0</v>
      </c>
      <c r="J53" s="545">
        <v>0</v>
      </c>
      <c r="K53" s="545">
        <v>0</v>
      </c>
      <c r="L53" s="545">
        <v>0</v>
      </c>
      <c r="M53" s="545">
        <v>0</v>
      </c>
      <c r="N53" s="545">
        <v>0</v>
      </c>
      <c r="O53" s="979">
        <f>AVERAGE(C53:N53)</f>
        <v>0</v>
      </c>
      <c r="P53" s="2429">
        <f>AVERAGE(C53:N53)</f>
        <v>0</v>
      </c>
    </row>
    <row r="54" spans="2:16">
      <c r="B54" s="981" t="s">
        <v>718</v>
      </c>
      <c r="C54" s="545">
        <v>0</v>
      </c>
      <c r="D54" s="545">
        <v>0</v>
      </c>
      <c r="E54" s="545">
        <v>0</v>
      </c>
      <c r="F54" s="545">
        <v>0</v>
      </c>
      <c r="G54" s="545">
        <v>0</v>
      </c>
      <c r="H54" s="545">
        <v>0</v>
      </c>
      <c r="I54" s="545">
        <v>0</v>
      </c>
      <c r="J54" s="545">
        <v>0</v>
      </c>
      <c r="K54" s="545">
        <v>0</v>
      </c>
      <c r="L54" s="545">
        <v>0</v>
      </c>
      <c r="M54" s="545">
        <v>1</v>
      </c>
      <c r="N54" s="545">
        <v>1</v>
      </c>
      <c r="O54" s="979">
        <f t="shared" ref="O54:O73" si="5">AVERAGE(C54:N54)</f>
        <v>0.16666666666666666</v>
      </c>
      <c r="P54" s="2429">
        <f t="shared" ref="P54:P117" si="6">AVERAGE(C54:N54)</f>
        <v>0.16666666666666666</v>
      </c>
    </row>
    <row r="55" spans="2:16">
      <c r="B55" s="981" t="s">
        <v>719</v>
      </c>
      <c r="C55" s="545">
        <v>0</v>
      </c>
      <c r="D55" s="545">
        <v>0</v>
      </c>
      <c r="E55" s="545">
        <v>0</v>
      </c>
      <c r="F55" s="545">
        <v>0</v>
      </c>
      <c r="G55" s="545">
        <v>0</v>
      </c>
      <c r="H55" s="545">
        <v>0</v>
      </c>
      <c r="I55" s="545">
        <v>0</v>
      </c>
      <c r="J55" s="545">
        <v>0</v>
      </c>
      <c r="K55" s="545">
        <v>0</v>
      </c>
      <c r="L55" s="545">
        <v>1</v>
      </c>
      <c r="M55" s="545">
        <v>0</v>
      </c>
      <c r="N55" s="545">
        <v>0</v>
      </c>
      <c r="O55" s="979">
        <f t="shared" si="5"/>
        <v>8.3333333333333329E-2</v>
      </c>
      <c r="P55" s="2429">
        <f t="shared" si="6"/>
        <v>8.3333333333333329E-2</v>
      </c>
    </row>
    <row r="56" spans="2:16">
      <c r="B56" s="981" t="s">
        <v>720</v>
      </c>
      <c r="C56" s="545">
        <v>0</v>
      </c>
      <c r="D56" s="545">
        <v>0</v>
      </c>
      <c r="E56" s="545">
        <v>0</v>
      </c>
      <c r="F56" s="545">
        <v>0</v>
      </c>
      <c r="G56" s="545">
        <v>0</v>
      </c>
      <c r="H56" s="545">
        <v>0</v>
      </c>
      <c r="I56" s="545">
        <v>0</v>
      </c>
      <c r="J56" s="545">
        <v>0</v>
      </c>
      <c r="K56" s="545">
        <v>0</v>
      </c>
      <c r="L56" s="545">
        <v>0</v>
      </c>
      <c r="M56" s="545">
        <v>0</v>
      </c>
      <c r="N56" s="545">
        <v>0</v>
      </c>
      <c r="O56" s="979">
        <f t="shared" si="5"/>
        <v>0</v>
      </c>
      <c r="P56" s="2429">
        <f t="shared" si="6"/>
        <v>0</v>
      </c>
    </row>
    <row r="57" spans="2:16">
      <c r="B57" s="981" t="s">
        <v>721</v>
      </c>
      <c r="C57" s="545">
        <v>0</v>
      </c>
      <c r="D57" s="545">
        <v>0</v>
      </c>
      <c r="E57" s="545">
        <v>0</v>
      </c>
      <c r="F57" s="545">
        <v>0</v>
      </c>
      <c r="G57" s="545">
        <v>0</v>
      </c>
      <c r="H57" s="545">
        <v>0</v>
      </c>
      <c r="I57" s="545">
        <v>0</v>
      </c>
      <c r="J57" s="545">
        <v>0</v>
      </c>
      <c r="K57" s="545">
        <v>0</v>
      </c>
      <c r="L57" s="545">
        <v>0</v>
      </c>
      <c r="M57" s="545">
        <v>0</v>
      </c>
      <c r="N57" s="545">
        <v>0</v>
      </c>
      <c r="O57" s="979">
        <f t="shared" si="5"/>
        <v>0</v>
      </c>
      <c r="P57" s="2429">
        <f t="shared" si="6"/>
        <v>0</v>
      </c>
    </row>
    <row r="58" spans="2:16">
      <c r="B58" s="981" t="s">
        <v>722</v>
      </c>
      <c r="C58" s="545">
        <v>0</v>
      </c>
      <c r="D58" s="545">
        <v>0</v>
      </c>
      <c r="E58" s="545">
        <v>0</v>
      </c>
      <c r="F58" s="545">
        <v>0</v>
      </c>
      <c r="G58" s="545">
        <v>1</v>
      </c>
      <c r="H58" s="545">
        <v>0</v>
      </c>
      <c r="I58" s="545">
        <v>0</v>
      </c>
      <c r="J58" s="545">
        <v>0</v>
      </c>
      <c r="K58" s="545">
        <v>0</v>
      </c>
      <c r="L58" s="545">
        <v>0</v>
      </c>
      <c r="M58" s="545">
        <v>0</v>
      </c>
      <c r="N58" s="545">
        <v>0</v>
      </c>
      <c r="O58" s="979">
        <f t="shared" si="5"/>
        <v>8.3333333333333329E-2</v>
      </c>
      <c r="P58" s="2429">
        <f t="shared" si="6"/>
        <v>8.3333333333333329E-2</v>
      </c>
    </row>
    <row r="59" spans="2:16">
      <c r="B59" s="981" t="s">
        <v>723</v>
      </c>
      <c r="C59" s="545">
        <v>0</v>
      </c>
      <c r="D59" s="545">
        <v>0</v>
      </c>
      <c r="E59" s="545">
        <v>0</v>
      </c>
      <c r="F59" s="545">
        <v>0</v>
      </c>
      <c r="G59" s="545">
        <v>0</v>
      </c>
      <c r="H59" s="545">
        <v>0</v>
      </c>
      <c r="I59" s="545">
        <v>0</v>
      </c>
      <c r="J59" s="545">
        <v>0</v>
      </c>
      <c r="K59" s="545">
        <v>0</v>
      </c>
      <c r="L59" s="545">
        <v>0</v>
      </c>
      <c r="M59" s="545">
        <v>0</v>
      </c>
      <c r="N59" s="545">
        <v>0</v>
      </c>
      <c r="O59" s="979">
        <f t="shared" si="5"/>
        <v>0</v>
      </c>
      <c r="P59" s="2429">
        <f t="shared" si="6"/>
        <v>0</v>
      </c>
    </row>
    <row r="60" spans="2:16">
      <c r="B60" s="981" t="s">
        <v>724</v>
      </c>
      <c r="C60" s="545">
        <v>0</v>
      </c>
      <c r="D60" s="545">
        <v>0</v>
      </c>
      <c r="E60" s="545">
        <v>1</v>
      </c>
      <c r="F60" s="545">
        <v>0</v>
      </c>
      <c r="G60" s="545">
        <v>0</v>
      </c>
      <c r="H60" s="545">
        <v>0</v>
      </c>
      <c r="I60" s="545">
        <v>0</v>
      </c>
      <c r="J60" s="545">
        <v>0</v>
      </c>
      <c r="K60" s="545">
        <v>0</v>
      </c>
      <c r="L60" s="545">
        <v>0</v>
      </c>
      <c r="M60" s="545">
        <v>0</v>
      </c>
      <c r="N60" s="545">
        <v>0</v>
      </c>
      <c r="O60" s="979">
        <f t="shared" si="5"/>
        <v>8.3333333333333329E-2</v>
      </c>
      <c r="P60" s="2429">
        <f t="shared" si="6"/>
        <v>8.3333333333333329E-2</v>
      </c>
    </row>
    <row r="61" spans="2:16">
      <c r="B61" s="981" t="s">
        <v>725</v>
      </c>
      <c r="C61" s="545">
        <v>0</v>
      </c>
      <c r="D61" s="545">
        <v>1</v>
      </c>
      <c r="E61" s="545">
        <v>0</v>
      </c>
      <c r="F61" s="545">
        <v>0</v>
      </c>
      <c r="G61" s="545">
        <v>0</v>
      </c>
      <c r="H61" s="545">
        <v>0</v>
      </c>
      <c r="I61" s="545">
        <v>0</v>
      </c>
      <c r="J61" s="545">
        <v>0</v>
      </c>
      <c r="K61" s="545">
        <v>0</v>
      </c>
      <c r="L61" s="545">
        <v>0</v>
      </c>
      <c r="M61" s="545">
        <v>0</v>
      </c>
      <c r="N61" s="545">
        <v>0</v>
      </c>
      <c r="O61" s="979">
        <f t="shared" si="5"/>
        <v>8.3333333333333329E-2</v>
      </c>
      <c r="P61" s="2429">
        <f t="shared" si="6"/>
        <v>8.3333333333333329E-2</v>
      </c>
    </row>
    <row r="62" spans="2:16">
      <c r="B62" s="981" t="s">
        <v>726</v>
      </c>
      <c r="C62" s="545">
        <v>0</v>
      </c>
      <c r="D62" s="545">
        <v>0</v>
      </c>
      <c r="E62" s="545">
        <v>0</v>
      </c>
      <c r="F62" s="545">
        <v>0</v>
      </c>
      <c r="G62" s="545">
        <v>0</v>
      </c>
      <c r="H62" s="545">
        <v>0</v>
      </c>
      <c r="I62" s="545">
        <v>0</v>
      </c>
      <c r="J62" s="545">
        <v>0</v>
      </c>
      <c r="K62" s="545">
        <v>0</v>
      </c>
      <c r="L62" s="545">
        <v>0</v>
      </c>
      <c r="M62" s="545">
        <v>0</v>
      </c>
      <c r="N62" s="545">
        <v>0</v>
      </c>
      <c r="O62" s="979">
        <f t="shared" si="5"/>
        <v>0</v>
      </c>
      <c r="P62" s="2429">
        <f t="shared" si="6"/>
        <v>0</v>
      </c>
    </row>
    <row r="63" spans="2:16">
      <c r="B63" s="981" t="s">
        <v>727</v>
      </c>
      <c r="C63" s="545">
        <v>0</v>
      </c>
      <c r="D63" s="545">
        <v>0</v>
      </c>
      <c r="E63" s="545">
        <v>0</v>
      </c>
      <c r="F63" s="545">
        <v>1</v>
      </c>
      <c r="G63" s="545">
        <v>0</v>
      </c>
      <c r="H63" s="545">
        <v>0</v>
      </c>
      <c r="I63" s="545">
        <v>0</v>
      </c>
      <c r="J63" s="545">
        <v>0</v>
      </c>
      <c r="K63" s="545">
        <v>0</v>
      </c>
      <c r="L63" s="545">
        <v>0</v>
      </c>
      <c r="M63" s="545">
        <v>0</v>
      </c>
      <c r="N63" s="545">
        <v>0</v>
      </c>
      <c r="O63" s="979">
        <f t="shared" si="5"/>
        <v>8.3333333333333329E-2</v>
      </c>
      <c r="P63" s="2429">
        <f t="shared" si="6"/>
        <v>8.3333333333333329E-2</v>
      </c>
    </row>
    <row r="64" spans="2:16">
      <c r="B64" s="981" t="s">
        <v>728</v>
      </c>
      <c r="C64" s="545">
        <v>1</v>
      </c>
      <c r="D64" s="545">
        <v>0</v>
      </c>
      <c r="E64" s="545">
        <v>0</v>
      </c>
      <c r="F64" s="545">
        <v>0</v>
      </c>
      <c r="G64" s="545">
        <v>0</v>
      </c>
      <c r="H64" s="545">
        <v>0</v>
      </c>
      <c r="I64" s="545">
        <v>0</v>
      </c>
      <c r="J64" s="545">
        <v>0</v>
      </c>
      <c r="K64" s="545">
        <v>0</v>
      </c>
      <c r="L64" s="545">
        <v>0</v>
      </c>
      <c r="M64" s="545">
        <v>0</v>
      </c>
      <c r="N64" s="545">
        <v>0</v>
      </c>
      <c r="O64" s="979">
        <f t="shared" si="5"/>
        <v>8.3333333333333329E-2</v>
      </c>
      <c r="P64" s="2429">
        <f t="shared" si="6"/>
        <v>8.3333333333333329E-2</v>
      </c>
    </row>
    <row r="65" spans="2:16">
      <c r="B65" s="981" t="s">
        <v>729</v>
      </c>
      <c r="C65" s="545">
        <v>0</v>
      </c>
      <c r="D65" s="545">
        <v>0</v>
      </c>
      <c r="E65" s="545">
        <v>0</v>
      </c>
      <c r="F65" s="545">
        <v>0</v>
      </c>
      <c r="G65" s="545">
        <v>0</v>
      </c>
      <c r="H65" s="545">
        <v>0</v>
      </c>
      <c r="I65" s="545">
        <v>0</v>
      </c>
      <c r="J65" s="545">
        <v>0</v>
      </c>
      <c r="K65" s="545">
        <v>0</v>
      </c>
      <c r="L65" s="545">
        <v>0</v>
      </c>
      <c r="M65" s="545">
        <v>0</v>
      </c>
      <c r="N65" s="545">
        <v>0</v>
      </c>
      <c r="O65" s="979">
        <f t="shared" si="5"/>
        <v>0</v>
      </c>
      <c r="P65" s="2429">
        <f t="shared" si="6"/>
        <v>0</v>
      </c>
    </row>
    <row r="66" spans="2:16">
      <c r="B66" s="981" t="s">
        <v>730</v>
      </c>
      <c r="C66" s="545">
        <v>0</v>
      </c>
      <c r="D66" s="545">
        <v>0</v>
      </c>
      <c r="E66" s="545">
        <v>0</v>
      </c>
      <c r="F66" s="545">
        <v>0</v>
      </c>
      <c r="G66" s="545">
        <v>0</v>
      </c>
      <c r="H66" s="545">
        <v>0</v>
      </c>
      <c r="I66" s="545">
        <v>0</v>
      </c>
      <c r="J66" s="545">
        <v>0</v>
      </c>
      <c r="K66" s="545">
        <v>0</v>
      </c>
      <c r="L66" s="545">
        <v>0</v>
      </c>
      <c r="M66" s="545">
        <v>0</v>
      </c>
      <c r="N66" s="545">
        <v>0</v>
      </c>
      <c r="O66" s="979">
        <f t="shared" si="5"/>
        <v>0</v>
      </c>
      <c r="P66" s="2429">
        <f t="shared" si="6"/>
        <v>0</v>
      </c>
    </row>
    <row r="67" spans="2:16">
      <c r="B67" s="981" t="s">
        <v>731</v>
      </c>
      <c r="C67" s="545">
        <v>0</v>
      </c>
      <c r="D67" s="545">
        <v>0</v>
      </c>
      <c r="E67" s="545">
        <v>0</v>
      </c>
      <c r="F67" s="545">
        <v>0</v>
      </c>
      <c r="G67" s="545">
        <v>0</v>
      </c>
      <c r="H67" s="545">
        <v>0</v>
      </c>
      <c r="I67" s="545">
        <v>0</v>
      </c>
      <c r="J67" s="545">
        <v>0</v>
      </c>
      <c r="K67" s="545">
        <v>0</v>
      </c>
      <c r="L67" s="545">
        <v>0</v>
      </c>
      <c r="M67" s="545">
        <v>1</v>
      </c>
      <c r="N67" s="545">
        <v>0</v>
      </c>
      <c r="O67" s="979">
        <f t="shared" si="5"/>
        <v>8.3333333333333329E-2</v>
      </c>
      <c r="P67" s="2429">
        <f t="shared" si="6"/>
        <v>8.3333333333333329E-2</v>
      </c>
    </row>
    <row r="68" spans="2:16">
      <c r="B68" s="981" t="s">
        <v>732</v>
      </c>
      <c r="C68" s="545">
        <v>0</v>
      </c>
      <c r="D68" s="545">
        <v>0</v>
      </c>
      <c r="E68" s="545">
        <v>0</v>
      </c>
      <c r="F68" s="545">
        <v>0</v>
      </c>
      <c r="G68" s="545">
        <v>0</v>
      </c>
      <c r="H68" s="545">
        <v>0</v>
      </c>
      <c r="I68" s="545">
        <v>1</v>
      </c>
      <c r="J68" s="545">
        <v>1</v>
      </c>
      <c r="K68" s="545">
        <v>1</v>
      </c>
      <c r="L68" s="545">
        <v>1</v>
      </c>
      <c r="M68" s="545">
        <v>0</v>
      </c>
      <c r="N68" s="545">
        <v>1</v>
      </c>
      <c r="O68" s="979">
        <f t="shared" si="5"/>
        <v>0.41666666666666669</v>
      </c>
      <c r="P68" s="2429">
        <f t="shared" si="6"/>
        <v>0.41666666666666669</v>
      </c>
    </row>
    <row r="69" spans="2:16">
      <c r="B69" s="981" t="s">
        <v>733</v>
      </c>
      <c r="C69" s="545">
        <v>1</v>
      </c>
      <c r="D69" s="545">
        <v>1</v>
      </c>
      <c r="E69" s="545">
        <v>1</v>
      </c>
      <c r="F69" s="545">
        <v>1</v>
      </c>
      <c r="G69" s="545">
        <v>1</v>
      </c>
      <c r="H69" s="545">
        <v>1</v>
      </c>
      <c r="I69" s="545">
        <v>0</v>
      </c>
      <c r="J69" s="545">
        <v>0</v>
      </c>
      <c r="K69" s="545">
        <v>0</v>
      </c>
      <c r="L69" s="545">
        <v>0</v>
      </c>
      <c r="M69" s="545">
        <v>0</v>
      </c>
      <c r="N69" s="545">
        <v>0</v>
      </c>
      <c r="O69" s="979">
        <f t="shared" si="5"/>
        <v>0.5</v>
      </c>
      <c r="P69" s="2429">
        <f t="shared" si="6"/>
        <v>0.5</v>
      </c>
    </row>
    <row r="70" spans="2:16">
      <c r="B70" s="981" t="s">
        <v>734</v>
      </c>
      <c r="C70" s="545">
        <v>0</v>
      </c>
      <c r="D70" s="545">
        <v>0</v>
      </c>
      <c r="E70" s="545">
        <v>0</v>
      </c>
      <c r="F70" s="545">
        <v>0</v>
      </c>
      <c r="G70" s="545">
        <v>0</v>
      </c>
      <c r="H70" s="545">
        <v>0</v>
      </c>
      <c r="I70" s="545">
        <v>0</v>
      </c>
      <c r="J70" s="545">
        <v>0</v>
      </c>
      <c r="K70" s="545">
        <v>0</v>
      </c>
      <c r="L70" s="545">
        <v>0</v>
      </c>
      <c r="M70" s="545">
        <v>0</v>
      </c>
      <c r="N70" s="545">
        <v>0</v>
      </c>
      <c r="O70" s="979">
        <f t="shared" si="5"/>
        <v>0</v>
      </c>
      <c r="P70" s="2429">
        <f t="shared" si="6"/>
        <v>0</v>
      </c>
    </row>
    <row r="71" spans="2:16">
      <c r="B71" s="981" t="s">
        <v>735</v>
      </c>
      <c r="C71" s="545">
        <v>0</v>
      </c>
      <c r="D71" s="545">
        <v>0</v>
      </c>
      <c r="E71" s="545">
        <v>0</v>
      </c>
      <c r="F71" s="545">
        <v>0</v>
      </c>
      <c r="G71" s="545">
        <v>0</v>
      </c>
      <c r="H71" s="545">
        <v>0</v>
      </c>
      <c r="I71" s="545">
        <v>0</v>
      </c>
      <c r="J71" s="545">
        <v>0</v>
      </c>
      <c r="K71" s="545">
        <v>0</v>
      </c>
      <c r="L71" s="545">
        <v>0</v>
      </c>
      <c r="M71" s="545">
        <v>0</v>
      </c>
      <c r="N71" s="545">
        <v>0</v>
      </c>
      <c r="O71" s="979">
        <f t="shared" si="5"/>
        <v>0</v>
      </c>
      <c r="P71" s="2429">
        <f t="shared" si="6"/>
        <v>0</v>
      </c>
    </row>
    <row r="72" spans="2:16">
      <c r="B72" s="981" t="s">
        <v>736</v>
      </c>
      <c r="C72" s="545">
        <v>0</v>
      </c>
      <c r="D72" s="545">
        <v>0</v>
      </c>
      <c r="E72" s="545">
        <v>0</v>
      </c>
      <c r="F72" s="545">
        <v>0</v>
      </c>
      <c r="G72" s="545">
        <v>0</v>
      </c>
      <c r="H72" s="545">
        <v>0</v>
      </c>
      <c r="I72" s="545">
        <v>0</v>
      </c>
      <c r="J72" s="545">
        <v>0</v>
      </c>
      <c r="K72" s="545">
        <v>0</v>
      </c>
      <c r="L72" s="545">
        <v>0</v>
      </c>
      <c r="M72" s="545">
        <v>0</v>
      </c>
      <c r="N72" s="545">
        <v>0</v>
      </c>
      <c r="O72" s="979">
        <f t="shared" si="5"/>
        <v>0</v>
      </c>
      <c r="P72" s="2429">
        <f t="shared" si="6"/>
        <v>0</v>
      </c>
    </row>
    <row r="73" spans="2:16">
      <c r="B73" s="981" t="s">
        <v>737</v>
      </c>
      <c r="C73" s="545">
        <v>0</v>
      </c>
      <c r="D73" s="545">
        <v>0</v>
      </c>
      <c r="E73" s="545">
        <v>0</v>
      </c>
      <c r="F73" s="545">
        <v>0</v>
      </c>
      <c r="G73" s="545">
        <v>0</v>
      </c>
      <c r="H73" s="545">
        <v>0</v>
      </c>
      <c r="I73" s="545">
        <v>0</v>
      </c>
      <c r="J73" s="545">
        <v>0</v>
      </c>
      <c r="K73" s="545">
        <v>0</v>
      </c>
      <c r="L73" s="545">
        <v>0</v>
      </c>
      <c r="M73" s="545">
        <v>0</v>
      </c>
      <c r="N73" s="545">
        <v>0</v>
      </c>
      <c r="O73" s="979">
        <f t="shared" si="5"/>
        <v>0</v>
      </c>
      <c r="P73" s="2429">
        <f t="shared" si="6"/>
        <v>0</v>
      </c>
    </row>
    <row r="74" spans="2:16">
      <c r="B74" s="984" t="s">
        <v>305</v>
      </c>
      <c r="C74" s="985">
        <f t="shared" ref="C74:N74" si="7">SUM(C75:C95)</f>
        <v>19</v>
      </c>
      <c r="D74" s="985">
        <f t="shared" si="7"/>
        <v>18</v>
      </c>
      <c r="E74" s="985">
        <f t="shared" si="7"/>
        <v>18</v>
      </c>
      <c r="F74" s="985">
        <f t="shared" si="7"/>
        <v>21</v>
      </c>
      <c r="G74" s="985">
        <f t="shared" si="7"/>
        <v>20</v>
      </c>
      <c r="H74" s="985">
        <f t="shared" si="7"/>
        <v>20</v>
      </c>
      <c r="I74" s="985">
        <f t="shared" si="7"/>
        <v>21</v>
      </c>
      <c r="J74" s="985">
        <f t="shared" si="7"/>
        <v>21</v>
      </c>
      <c r="K74" s="985">
        <f t="shared" si="7"/>
        <v>20</v>
      </c>
      <c r="L74" s="985">
        <f t="shared" si="7"/>
        <v>20</v>
      </c>
      <c r="M74" s="985">
        <f t="shared" si="7"/>
        <v>20</v>
      </c>
      <c r="N74" s="985">
        <f t="shared" si="7"/>
        <v>19</v>
      </c>
      <c r="O74" s="985">
        <f>SUM(O75:O95)</f>
        <v>19.75</v>
      </c>
      <c r="P74" s="2429">
        <f t="shared" si="6"/>
        <v>19.75</v>
      </c>
    </row>
    <row r="75" spans="2:16">
      <c r="B75" s="981" t="s">
        <v>717</v>
      </c>
      <c r="C75" s="545">
        <v>2</v>
      </c>
      <c r="D75" s="545">
        <v>1</v>
      </c>
      <c r="E75" s="545">
        <v>1</v>
      </c>
      <c r="F75" s="545">
        <v>2</v>
      </c>
      <c r="G75" s="545">
        <v>1</v>
      </c>
      <c r="H75" s="545">
        <v>2</v>
      </c>
      <c r="I75" s="545">
        <v>2</v>
      </c>
      <c r="J75" s="545">
        <v>3</v>
      </c>
      <c r="K75" s="545">
        <v>2</v>
      </c>
      <c r="L75" s="545">
        <v>3</v>
      </c>
      <c r="M75" s="545">
        <v>3</v>
      </c>
      <c r="N75" s="545">
        <v>2</v>
      </c>
      <c r="O75" s="979">
        <f t="shared" ref="O75:O95" si="8">AVERAGE(C75:N75)</f>
        <v>2</v>
      </c>
      <c r="P75" s="2429">
        <f t="shared" si="6"/>
        <v>2</v>
      </c>
    </row>
    <row r="76" spans="2:16">
      <c r="B76" s="981" t="s">
        <v>718</v>
      </c>
      <c r="C76" s="545">
        <v>1</v>
      </c>
      <c r="D76" s="545">
        <v>0</v>
      </c>
      <c r="E76" s="545">
        <v>0</v>
      </c>
      <c r="F76" s="545">
        <v>1</v>
      </c>
      <c r="G76" s="545">
        <v>1</v>
      </c>
      <c r="H76" s="545">
        <v>0</v>
      </c>
      <c r="I76" s="545">
        <v>0</v>
      </c>
      <c r="J76" s="545">
        <v>0</v>
      </c>
      <c r="K76" s="545">
        <v>0</v>
      </c>
      <c r="L76" s="545">
        <v>1</v>
      </c>
      <c r="M76" s="545">
        <v>0</v>
      </c>
      <c r="N76" s="545">
        <v>0</v>
      </c>
      <c r="O76" s="979">
        <f t="shared" si="8"/>
        <v>0.33333333333333331</v>
      </c>
      <c r="P76" s="2429">
        <f t="shared" si="6"/>
        <v>0.33333333333333331</v>
      </c>
    </row>
    <row r="77" spans="2:16">
      <c r="B77" s="981" t="s">
        <v>719</v>
      </c>
      <c r="C77" s="545">
        <v>0</v>
      </c>
      <c r="D77" s="545">
        <v>1</v>
      </c>
      <c r="E77" s="545">
        <v>1</v>
      </c>
      <c r="F77" s="545">
        <v>0</v>
      </c>
      <c r="G77" s="545">
        <v>0</v>
      </c>
      <c r="H77" s="545">
        <v>1</v>
      </c>
      <c r="I77" s="545">
        <v>1</v>
      </c>
      <c r="J77" s="545">
        <v>0</v>
      </c>
      <c r="K77" s="545">
        <v>0</v>
      </c>
      <c r="L77" s="545">
        <v>0</v>
      </c>
      <c r="M77" s="545">
        <v>0</v>
      </c>
      <c r="N77" s="545">
        <v>0</v>
      </c>
      <c r="O77" s="979">
        <f t="shared" si="8"/>
        <v>0.33333333333333331</v>
      </c>
      <c r="P77" s="2429">
        <f t="shared" si="6"/>
        <v>0.33333333333333331</v>
      </c>
    </row>
    <row r="78" spans="2:16">
      <c r="B78" s="981" t="s">
        <v>720</v>
      </c>
      <c r="C78" s="545">
        <v>1</v>
      </c>
      <c r="D78" s="545">
        <v>0</v>
      </c>
      <c r="E78" s="545">
        <v>0</v>
      </c>
      <c r="F78" s="545">
        <v>0</v>
      </c>
      <c r="G78" s="545">
        <v>0</v>
      </c>
      <c r="H78" s="545">
        <v>1</v>
      </c>
      <c r="I78" s="545">
        <v>1</v>
      </c>
      <c r="J78" s="545">
        <v>2</v>
      </c>
      <c r="K78" s="545">
        <v>1</v>
      </c>
      <c r="L78" s="545">
        <v>0</v>
      </c>
      <c r="M78" s="545">
        <v>0</v>
      </c>
      <c r="N78" s="545">
        <v>1</v>
      </c>
      <c r="O78" s="979">
        <f t="shared" si="8"/>
        <v>0.58333333333333337</v>
      </c>
      <c r="P78" s="2429">
        <f t="shared" si="6"/>
        <v>0.58333333333333337</v>
      </c>
    </row>
    <row r="79" spans="2:16">
      <c r="B79" s="981" t="s">
        <v>721</v>
      </c>
      <c r="C79" s="545">
        <v>2</v>
      </c>
      <c r="D79" s="545">
        <v>4</v>
      </c>
      <c r="E79" s="545">
        <v>3</v>
      </c>
      <c r="F79" s="545">
        <v>2</v>
      </c>
      <c r="G79" s="545">
        <v>2</v>
      </c>
      <c r="H79" s="545">
        <v>1</v>
      </c>
      <c r="I79" s="545">
        <v>2</v>
      </c>
      <c r="J79" s="545">
        <v>1</v>
      </c>
      <c r="K79" s="545">
        <v>1</v>
      </c>
      <c r="L79" s="545">
        <v>2</v>
      </c>
      <c r="M79" s="545">
        <v>5</v>
      </c>
      <c r="N79" s="545">
        <v>4</v>
      </c>
      <c r="O79" s="979">
        <f t="shared" si="8"/>
        <v>2.4166666666666665</v>
      </c>
      <c r="P79" s="2429">
        <f t="shared" si="6"/>
        <v>2.4166666666666665</v>
      </c>
    </row>
    <row r="80" spans="2:16">
      <c r="B80" s="981" t="s">
        <v>722</v>
      </c>
      <c r="C80" s="545">
        <v>1</v>
      </c>
      <c r="D80" s="545">
        <v>0</v>
      </c>
      <c r="E80" s="545">
        <v>1</v>
      </c>
      <c r="F80" s="545">
        <v>1</v>
      </c>
      <c r="G80" s="545">
        <v>2</v>
      </c>
      <c r="H80" s="545">
        <v>1</v>
      </c>
      <c r="I80" s="545">
        <v>1</v>
      </c>
      <c r="J80" s="545">
        <v>1</v>
      </c>
      <c r="K80" s="545">
        <v>2</v>
      </c>
      <c r="L80" s="545">
        <v>2</v>
      </c>
      <c r="M80" s="545">
        <v>0</v>
      </c>
      <c r="N80" s="545">
        <v>2</v>
      </c>
      <c r="O80" s="979">
        <f t="shared" si="8"/>
        <v>1.1666666666666667</v>
      </c>
      <c r="P80" s="2429">
        <f t="shared" si="6"/>
        <v>1.1666666666666667</v>
      </c>
    </row>
    <row r="81" spans="2:16">
      <c r="B81" s="981" t="s">
        <v>723</v>
      </c>
      <c r="C81" s="545">
        <v>0</v>
      </c>
      <c r="D81" s="545">
        <v>1</v>
      </c>
      <c r="E81" s="545">
        <v>1</v>
      </c>
      <c r="F81" s="545">
        <v>1</v>
      </c>
      <c r="G81" s="545">
        <v>0</v>
      </c>
      <c r="H81" s="545">
        <v>0</v>
      </c>
      <c r="I81" s="545">
        <v>1</v>
      </c>
      <c r="J81" s="545">
        <v>0</v>
      </c>
      <c r="K81" s="545">
        <v>0</v>
      </c>
      <c r="L81" s="545">
        <v>0</v>
      </c>
      <c r="M81" s="545">
        <v>0</v>
      </c>
      <c r="N81" s="545">
        <v>0</v>
      </c>
      <c r="O81" s="979">
        <f t="shared" si="8"/>
        <v>0.33333333333333331</v>
      </c>
      <c r="P81" s="2429">
        <f t="shared" si="6"/>
        <v>0.33333333333333331</v>
      </c>
    </row>
    <row r="82" spans="2:16">
      <c r="B82" s="981" t="s">
        <v>724</v>
      </c>
      <c r="C82" s="545">
        <v>0</v>
      </c>
      <c r="D82" s="545">
        <v>0</v>
      </c>
      <c r="E82" s="545">
        <v>1</v>
      </c>
      <c r="F82" s="545">
        <v>1</v>
      </c>
      <c r="G82" s="545">
        <v>1</v>
      </c>
      <c r="H82" s="545">
        <v>1</v>
      </c>
      <c r="I82" s="545">
        <v>0</v>
      </c>
      <c r="J82" s="545">
        <v>1</v>
      </c>
      <c r="K82" s="545">
        <v>0</v>
      </c>
      <c r="L82" s="545">
        <v>0</v>
      </c>
      <c r="M82" s="545">
        <v>0</v>
      </c>
      <c r="N82" s="545">
        <v>0</v>
      </c>
      <c r="O82" s="979">
        <f t="shared" si="8"/>
        <v>0.41666666666666669</v>
      </c>
      <c r="P82" s="2429">
        <f t="shared" si="6"/>
        <v>0.41666666666666669</v>
      </c>
    </row>
    <row r="83" spans="2:16">
      <c r="B83" s="981" t="s">
        <v>725</v>
      </c>
      <c r="C83" s="545">
        <v>1</v>
      </c>
      <c r="D83" s="545">
        <v>1</v>
      </c>
      <c r="E83" s="545">
        <v>0</v>
      </c>
      <c r="F83" s="545">
        <v>1</v>
      </c>
      <c r="G83" s="545">
        <v>0</v>
      </c>
      <c r="H83" s="545">
        <v>0</v>
      </c>
      <c r="I83" s="545">
        <v>0</v>
      </c>
      <c r="J83" s="545">
        <v>0</v>
      </c>
      <c r="K83" s="545">
        <v>1</v>
      </c>
      <c r="L83" s="545">
        <v>1</v>
      </c>
      <c r="M83" s="545">
        <v>2</v>
      </c>
      <c r="N83" s="545">
        <v>2</v>
      </c>
      <c r="O83" s="979">
        <f t="shared" si="8"/>
        <v>0.75</v>
      </c>
      <c r="P83" s="2429">
        <f t="shared" si="6"/>
        <v>0.75</v>
      </c>
    </row>
    <row r="84" spans="2:16">
      <c r="B84" s="981" t="s">
        <v>726</v>
      </c>
      <c r="C84" s="545">
        <v>1</v>
      </c>
      <c r="D84" s="545">
        <v>1</v>
      </c>
      <c r="E84" s="545">
        <v>0</v>
      </c>
      <c r="F84" s="545">
        <v>0</v>
      </c>
      <c r="G84" s="545">
        <v>0</v>
      </c>
      <c r="H84" s="545">
        <v>0</v>
      </c>
      <c r="I84" s="545">
        <v>1</v>
      </c>
      <c r="J84" s="545">
        <v>1</v>
      </c>
      <c r="K84" s="545">
        <v>1</v>
      </c>
      <c r="L84" s="545">
        <v>2</v>
      </c>
      <c r="M84" s="545">
        <v>1</v>
      </c>
      <c r="N84" s="545">
        <v>1</v>
      </c>
      <c r="O84" s="979">
        <f t="shared" si="8"/>
        <v>0.75</v>
      </c>
      <c r="P84" s="2429">
        <f t="shared" si="6"/>
        <v>0.75</v>
      </c>
    </row>
    <row r="85" spans="2:16">
      <c r="B85" s="981" t="s">
        <v>727</v>
      </c>
      <c r="C85" s="545">
        <v>0</v>
      </c>
      <c r="D85" s="545">
        <v>0</v>
      </c>
      <c r="E85" s="545">
        <v>0</v>
      </c>
      <c r="F85" s="545">
        <v>1</v>
      </c>
      <c r="G85" s="545">
        <v>0</v>
      </c>
      <c r="H85" s="545">
        <v>0</v>
      </c>
      <c r="I85" s="545">
        <v>0</v>
      </c>
      <c r="J85" s="545">
        <v>0</v>
      </c>
      <c r="K85" s="545">
        <v>1</v>
      </c>
      <c r="L85" s="545">
        <v>0</v>
      </c>
      <c r="M85" s="545">
        <v>0</v>
      </c>
      <c r="N85" s="545">
        <v>0</v>
      </c>
      <c r="O85" s="979">
        <f t="shared" si="8"/>
        <v>0.16666666666666666</v>
      </c>
      <c r="P85" s="2429">
        <f t="shared" si="6"/>
        <v>0.16666666666666666</v>
      </c>
    </row>
    <row r="86" spans="2:16">
      <c r="B86" s="981" t="s">
        <v>728</v>
      </c>
      <c r="C86" s="545">
        <v>1</v>
      </c>
      <c r="D86" s="545">
        <v>0</v>
      </c>
      <c r="E86" s="545">
        <v>0</v>
      </c>
      <c r="F86" s="545">
        <v>1</v>
      </c>
      <c r="G86" s="545">
        <v>2</v>
      </c>
      <c r="H86" s="545">
        <v>0</v>
      </c>
      <c r="I86" s="545">
        <v>1</v>
      </c>
      <c r="J86" s="545">
        <v>1</v>
      </c>
      <c r="K86" s="545">
        <v>0</v>
      </c>
      <c r="L86" s="545">
        <v>0</v>
      </c>
      <c r="M86" s="545">
        <v>0</v>
      </c>
      <c r="N86" s="545">
        <v>1</v>
      </c>
      <c r="O86" s="979">
        <f t="shared" si="8"/>
        <v>0.58333333333333337</v>
      </c>
      <c r="P86" s="2429">
        <f t="shared" si="6"/>
        <v>0.58333333333333337</v>
      </c>
    </row>
    <row r="87" spans="2:16">
      <c r="B87" s="981" t="s">
        <v>729</v>
      </c>
      <c r="C87" s="545">
        <v>1</v>
      </c>
      <c r="D87" s="545">
        <v>1</v>
      </c>
      <c r="E87" s="545">
        <v>2</v>
      </c>
      <c r="F87" s="545">
        <v>1</v>
      </c>
      <c r="G87" s="545">
        <v>0</v>
      </c>
      <c r="H87" s="545">
        <v>1</v>
      </c>
      <c r="I87" s="545">
        <v>0</v>
      </c>
      <c r="J87" s="545">
        <v>0</v>
      </c>
      <c r="K87" s="545">
        <v>0</v>
      </c>
      <c r="L87" s="545">
        <v>0</v>
      </c>
      <c r="M87" s="545">
        <v>1</v>
      </c>
      <c r="N87" s="545">
        <v>0</v>
      </c>
      <c r="O87" s="979">
        <f t="shared" si="8"/>
        <v>0.58333333333333337</v>
      </c>
      <c r="P87" s="2429">
        <f t="shared" si="6"/>
        <v>0.58333333333333337</v>
      </c>
    </row>
    <row r="88" spans="2:16">
      <c r="B88" s="981" t="s">
        <v>730</v>
      </c>
      <c r="C88" s="545">
        <v>0</v>
      </c>
      <c r="D88" s="545">
        <v>0</v>
      </c>
      <c r="E88" s="545">
        <v>0</v>
      </c>
      <c r="F88" s="545">
        <v>0</v>
      </c>
      <c r="G88" s="545">
        <v>0</v>
      </c>
      <c r="H88" s="545">
        <v>0</v>
      </c>
      <c r="I88" s="545">
        <v>0</v>
      </c>
      <c r="J88" s="545">
        <v>0</v>
      </c>
      <c r="K88" s="545">
        <v>0</v>
      </c>
      <c r="L88" s="545">
        <v>0</v>
      </c>
      <c r="M88" s="545">
        <v>0</v>
      </c>
      <c r="N88" s="545">
        <v>0</v>
      </c>
      <c r="O88" s="979">
        <f t="shared" si="8"/>
        <v>0</v>
      </c>
      <c r="P88" s="2429">
        <f t="shared" si="6"/>
        <v>0</v>
      </c>
    </row>
    <row r="89" spans="2:16">
      <c r="B89" s="981" t="s">
        <v>731</v>
      </c>
      <c r="C89" s="545">
        <v>0</v>
      </c>
      <c r="D89" s="545">
        <v>0</v>
      </c>
      <c r="E89" s="545">
        <v>0</v>
      </c>
      <c r="F89" s="545">
        <v>0</v>
      </c>
      <c r="G89" s="545">
        <v>1</v>
      </c>
      <c r="H89" s="545">
        <v>2</v>
      </c>
      <c r="I89" s="545">
        <v>0</v>
      </c>
      <c r="J89" s="545">
        <v>0</v>
      </c>
      <c r="K89" s="545">
        <v>1</v>
      </c>
      <c r="L89" s="545">
        <v>0</v>
      </c>
      <c r="M89" s="545">
        <v>1</v>
      </c>
      <c r="N89" s="545">
        <v>1</v>
      </c>
      <c r="O89" s="979">
        <f t="shared" si="8"/>
        <v>0.5</v>
      </c>
      <c r="P89" s="2429">
        <f t="shared" si="6"/>
        <v>0.5</v>
      </c>
    </row>
    <row r="90" spans="2:16">
      <c r="B90" s="981" t="s">
        <v>732</v>
      </c>
      <c r="C90" s="545">
        <v>0</v>
      </c>
      <c r="D90" s="545">
        <v>0</v>
      </c>
      <c r="E90" s="545">
        <v>1</v>
      </c>
      <c r="F90" s="545">
        <v>1</v>
      </c>
      <c r="G90" s="545">
        <v>1</v>
      </c>
      <c r="H90" s="545">
        <v>1</v>
      </c>
      <c r="I90" s="545">
        <v>2</v>
      </c>
      <c r="J90" s="545">
        <v>2</v>
      </c>
      <c r="K90" s="545">
        <v>1</v>
      </c>
      <c r="L90" s="545">
        <v>3</v>
      </c>
      <c r="M90" s="545">
        <v>1</v>
      </c>
      <c r="N90" s="545">
        <v>1</v>
      </c>
      <c r="O90" s="979">
        <f t="shared" si="8"/>
        <v>1.1666666666666667</v>
      </c>
      <c r="P90" s="2429">
        <f t="shared" si="6"/>
        <v>1.1666666666666667</v>
      </c>
    </row>
    <row r="91" spans="2:16">
      <c r="B91" s="981" t="s">
        <v>733</v>
      </c>
      <c r="C91" s="545">
        <v>5</v>
      </c>
      <c r="D91" s="545">
        <v>4</v>
      </c>
      <c r="E91" s="545">
        <v>3</v>
      </c>
      <c r="F91" s="545">
        <v>4</v>
      </c>
      <c r="G91" s="545">
        <v>3</v>
      </c>
      <c r="H91" s="545">
        <v>3</v>
      </c>
      <c r="I91" s="545">
        <v>3</v>
      </c>
      <c r="J91" s="545">
        <v>3</v>
      </c>
      <c r="K91" s="545">
        <v>3</v>
      </c>
      <c r="L91" s="545">
        <v>2</v>
      </c>
      <c r="M91" s="545">
        <v>2</v>
      </c>
      <c r="N91" s="545">
        <v>1</v>
      </c>
      <c r="O91" s="979">
        <f t="shared" si="8"/>
        <v>3</v>
      </c>
      <c r="P91" s="2429">
        <f t="shared" si="6"/>
        <v>3</v>
      </c>
    </row>
    <row r="92" spans="2:16">
      <c r="B92" s="981" t="s">
        <v>734</v>
      </c>
      <c r="C92" s="545">
        <v>0</v>
      </c>
      <c r="D92" s="545">
        <v>1</v>
      </c>
      <c r="E92" s="545">
        <v>1</v>
      </c>
      <c r="F92" s="545">
        <v>0</v>
      </c>
      <c r="G92" s="545">
        <v>1</v>
      </c>
      <c r="H92" s="545">
        <v>0</v>
      </c>
      <c r="I92" s="545">
        <v>1</v>
      </c>
      <c r="J92" s="545">
        <v>0</v>
      </c>
      <c r="K92" s="545">
        <v>0</v>
      </c>
      <c r="L92" s="545">
        <v>0</v>
      </c>
      <c r="M92" s="545">
        <v>0</v>
      </c>
      <c r="N92" s="545">
        <v>0</v>
      </c>
      <c r="O92" s="979">
        <f t="shared" si="8"/>
        <v>0.33333333333333331</v>
      </c>
      <c r="P92" s="2429">
        <f t="shared" si="6"/>
        <v>0.33333333333333331</v>
      </c>
    </row>
    <row r="93" spans="2:16">
      <c r="B93" s="981" t="s">
        <v>735</v>
      </c>
      <c r="C93" s="545">
        <v>0</v>
      </c>
      <c r="D93" s="545">
        <v>0</v>
      </c>
      <c r="E93" s="545">
        <v>0</v>
      </c>
      <c r="F93" s="545">
        <v>0</v>
      </c>
      <c r="G93" s="545">
        <v>0</v>
      </c>
      <c r="H93" s="545">
        <v>0</v>
      </c>
      <c r="I93" s="545">
        <v>1</v>
      </c>
      <c r="J93" s="545">
        <v>0</v>
      </c>
      <c r="K93" s="545">
        <v>1</v>
      </c>
      <c r="L93" s="545">
        <v>0</v>
      </c>
      <c r="M93" s="545">
        <v>1</v>
      </c>
      <c r="N93" s="545">
        <v>1</v>
      </c>
      <c r="O93" s="979">
        <f t="shared" si="8"/>
        <v>0.33333333333333331</v>
      </c>
      <c r="P93" s="2429">
        <f t="shared" si="6"/>
        <v>0.33333333333333331</v>
      </c>
    </row>
    <row r="94" spans="2:16">
      <c r="B94" s="981" t="s">
        <v>736</v>
      </c>
      <c r="C94" s="545">
        <v>0</v>
      </c>
      <c r="D94" s="545">
        <v>0</v>
      </c>
      <c r="E94" s="545">
        <v>1</v>
      </c>
      <c r="F94" s="545">
        <v>0</v>
      </c>
      <c r="G94" s="545">
        <v>1</v>
      </c>
      <c r="H94" s="545">
        <v>1</v>
      </c>
      <c r="I94" s="545">
        <v>0</v>
      </c>
      <c r="J94" s="545">
        <v>0</v>
      </c>
      <c r="K94" s="545">
        <v>0</v>
      </c>
      <c r="L94" s="545">
        <v>0</v>
      </c>
      <c r="M94" s="545">
        <v>1</v>
      </c>
      <c r="N94" s="545">
        <v>1</v>
      </c>
      <c r="O94" s="979">
        <f t="shared" si="8"/>
        <v>0.41666666666666669</v>
      </c>
      <c r="P94" s="2429">
        <f t="shared" si="6"/>
        <v>0.41666666666666669</v>
      </c>
    </row>
    <row r="95" spans="2:16">
      <c r="B95" s="981" t="s">
        <v>737</v>
      </c>
      <c r="C95" s="545">
        <v>3</v>
      </c>
      <c r="D95" s="545">
        <v>3</v>
      </c>
      <c r="E95" s="545">
        <v>2</v>
      </c>
      <c r="F95" s="545">
        <v>4</v>
      </c>
      <c r="G95" s="545">
        <v>4</v>
      </c>
      <c r="H95" s="545">
        <v>5</v>
      </c>
      <c r="I95" s="545">
        <v>4</v>
      </c>
      <c r="J95" s="545">
        <v>6</v>
      </c>
      <c r="K95" s="545">
        <v>5</v>
      </c>
      <c r="L95" s="545">
        <v>4</v>
      </c>
      <c r="M95" s="545">
        <v>2</v>
      </c>
      <c r="N95" s="545">
        <v>1</v>
      </c>
      <c r="O95" s="979">
        <f t="shared" si="8"/>
        <v>3.5833333333333335</v>
      </c>
      <c r="P95" s="2429">
        <f t="shared" si="6"/>
        <v>3.5833333333333335</v>
      </c>
    </row>
    <row r="96" spans="2:16">
      <c r="B96" s="984" t="s">
        <v>624</v>
      </c>
      <c r="C96" s="985">
        <f t="shared" ref="C96:N96" si="9">SUM(C97:C117)</f>
        <v>10</v>
      </c>
      <c r="D96" s="985">
        <f t="shared" si="9"/>
        <v>10</v>
      </c>
      <c r="E96" s="985">
        <f t="shared" si="9"/>
        <v>10</v>
      </c>
      <c r="F96" s="985">
        <f t="shared" si="9"/>
        <v>10</v>
      </c>
      <c r="G96" s="985">
        <f t="shared" si="9"/>
        <v>10</v>
      </c>
      <c r="H96" s="985">
        <f t="shared" si="9"/>
        <v>10</v>
      </c>
      <c r="I96" s="985">
        <f t="shared" si="9"/>
        <v>10</v>
      </c>
      <c r="J96" s="985">
        <f t="shared" si="9"/>
        <v>11</v>
      </c>
      <c r="K96" s="985">
        <f t="shared" si="9"/>
        <v>11</v>
      </c>
      <c r="L96" s="985">
        <f t="shared" si="9"/>
        <v>11</v>
      </c>
      <c r="M96" s="985">
        <f t="shared" si="9"/>
        <v>11</v>
      </c>
      <c r="N96" s="985">
        <f t="shared" si="9"/>
        <v>11</v>
      </c>
      <c r="O96" s="985">
        <f>SUM(O97:O117)</f>
        <v>10.416666666666666</v>
      </c>
      <c r="P96" s="2429">
        <f t="shared" si="6"/>
        <v>10.416666666666666</v>
      </c>
    </row>
    <row r="97" spans="2:16">
      <c r="B97" s="981" t="s">
        <v>717</v>
      </c>
      <c r="C97" s="545">
        <v>1</v>
      </c>
      <c r="D97" s="545">
        <v>2</v>
      </c>
      <c r="E97" s="545">
        <v>1</v>
      </c>
      <c r="F97" s="545">
        <v>1</v>
      </c>
      <c r="G97" s="545">
        <v>1</v>
      </c>
      <c r="H97" s="545">
        <v>2</v>
      </c>
      <c r="I97" s="545">
        <v>1</v>
      </c>
      <c r="J97" s="545">
        <v>2</v>
      </c>
      <c r="K97" s="545">
        <v>2</v>
      </c>
      <c r="L97" s="545">
        <v>1</v>
      </c>
      <c r="M97" s="545">
        <v>1</v>
      </c>
      <c r="N97" s="545">
        <v>2</v>
      </c>
      <c r="O97" s="979">
        <f t="shared" ref="O97:O117" si="10">AVERAGE(C97:N97)</f>
        <v>1.4166666666666667</v>
      </c>
      <c r="P97" s="2429">
        <f t="shared" si="6"/>
        <v>1.4166666666666667</v>
      </c>
    </row>
    <row r="98" spans="2:16">
      <c r="B98" s="981" t="s">
        <v>718</v>
      </c>
      <c r="C98" s="545">
        <v>2</v>
      </c>
      <c r="D98" s="545">
        <v>1</v>
      </c>
      <c r="E98" s="545">
        <v>1</v>
      </c>
      <c r="F98" s="545">
        <v>3</v>
      </c>
      <c r="G98" s="545">
        <v>3</v>
      </c>
      <c r="H98" s="545">
        <v>2</v>
      </c>
      <c r="I98" s="545">
        <v>3</v>
      </c>
      <c r="J98" s="545">
        <v>3</v>
      </c>
      <c r="K98" s="545">
        <v>1</v>
      </c>
      <c r="L98" s="545">
        <v>2</v>
      </c>
      <c r="M98" s="545">
        <v>2</v>
      </c>
      <c r="N98" s="545">
        <v>1</v>
      </c>
      <c r="O98" s="979">
        <f t="shared" si="10"/>
        <v>2</v>
      </c>
      <c r="P98" s="2429">
        <f t="shared" si="6"/>
        <v>2</v>
      </c>
    </row>
    <row r="99" spans="2:16">
      <c r="B99" s="981" t="s">
        <v>719</v>
      </c>
      <c r="C99" s="545">
        <v>1</v>
      </c>
      <c r="D99" s="545">
        <v>1</v>
      </c>
      <c r="E99" s="545">
        <v>2</v>
      </c>
      <c r="F99" s="545">
        <v>0</v>
      </c>
      <c r="G99" s="545">
        <v>0</v>
      </c>
      <c r="H99" s="545">
        <v>0</v>
      </c>
      <c r="I99" s="545">
        <v>0</v>
      </c>
      <c r="J99" s="545">
        <v>0</v>
      </c>
      <c r="K99" s="545">
        <v>1</v>
      </c>
      <c r="L99" s="545">
        <v>0</v>
      </c>
      <c r="M99" s="545">
        <v>0</v>
      </c>
      <c r="N99" s="545">
        <v>0</v>
      </c>
      <c r="O99" s="979">
        <f t="shared" si="10"/>
        <v>0.41666666666666669</v>
      </c>
      <c r="P99" s="2429">
        <f t="shared" si="6"/>
        <v>0.41666666666666669</v>
      </c>
    </row>
    <row r="100" spans="2:16">
      <c r="B100" s="981" t="s">
        <v>720</v>
      </c>
      <c r="C100" s="545">
        <v>0</v>
      </c>
      <c r="D100" s="545">
        <v>0</v>
      </c>
      <c r="E100" s="545">
        <v>0</v>
      </c>
      <c r="F100" s="545">
        <v>0</v>
      </c>
      <c r="G100" s="545">
        <v>0</v>
      </c>
      <c r="H100" s="545">
        <v>0</v>
      </c>
      <c r="I100" s="545">
        <v>0</v>
      </c>
      <c r="J100" s="545">
        <v>0</v>
      </c>
      <c r="K100" s="545">
        <v>0</v>
      </c>
      <c r="L100" s="545">
        <v>1</v>
      </c>
      <c r="M100" s="545">
        <v>1</v>
      </c>
      <c r="N100" s="545">
        <v>0</v>
      </c>
      <c r="O100" s="979">
        <f t="shared" si="10"/>
        <v>0.16666666666666666</v>
      </c>
      <c r="P100" s="2429">
        <f t="shared" si="6"/>
        <v>0.16666666666666666</v>
      </c>
    </row>
    <row r="101" spans="2:16">
      <c r="B101" s="981" t="s">
        <v>721</v>
      </c>
      <c r="C101" s="545">
        <v>0</v>
      </c>
      <c r="D101" s="545">
        <v>1</v>
      </c>
      <c r="E101" s="545">
        <v>0</v>
      </c>
      <c r="F101" s="545">
        <v>0</v>
      </c>
      <c r="G101" s="545">
        <v>0</v>
      </c>
      <c r="H101" s="545">
        <v>1</v>
      </c>
      <c r="I101" s="545">
        <v>0</v>
      </c>
      <c r="J101" s="545">
        <v>0</v>
      </c>
      <c r="K101" s="545">
        <v>0</v>
      </c>
      <c r="L101" s="545">
        <v>0</v>
      </c>
      <c r="M101" s="545">
        <v>0</v>
      </c>
      <c r="N101" s="545">
        <v>2</v>
      </c>
      <c r="O101" s="979">
        <f t="shared" si="10"/>
        <v>0.33333333333333331</v>
      </c>
      <c r="P101" s="2429">
        <f t="shared" si="6"/>
        <v>0.33333333333333331</v>
      </c>
    </row>
    <row r="102" spans="2:16">
      <c r="B102" s="981" t="s">
        <v>722</v>
      </c>
      <c r="C102" s="545">
        <v>1</v>
      </c>
      <c r="D102" s="545">
        <v>1</v>
      </c>
      <c r="E102" s="545">
        <v>0</v>
      </c>
      <c r="F102" s="545">
        <v>1</v>
      </c>
      <c r="G102" s="545">
        <v>0</v>
      </c>
      <c r="H102" s="545">
        <v>0</v>
      </c>
      <c r="I102" s="545">
        <v>2</v>
      </c>
      <c r="J102" s="545">
        <v>0</v>
      </c>
      <c r="K102" s="545">
        <v>2</v>
      </c>
      <c r="L102" s="545">
        <v>0</v>
      </c>
      <c r="M102" s="545">
        <v>0</v>
      </c>
      <c r="N102" s="545">
        <v>0</v>
      </c>
      <c r="O102" s="979">
        <f t="shared" si="10"/>
        <v>0.58333333333333337</v>
      </c>
      <c r="P102" s="2429">
        <f t="shared" si="6"/>
        <v>0.58333333333333337</v>
      </c>
    </row>
    <row r="103" spans="2:16">
      <c r="B103" s="981" t="s">
        <v>723</v>
      </c>
      <c r="C103" s="545">
        <v>1</v>
      </c>
      <c r="D103" s="545">
        <v>0</v>
      </c>
      <c r="E103" s="545">
        <v>0</v>
      </c>
      <c r="F103" s="545">
        <v>1</v>
      </c>
      <c r="G103" s="545">
        <v>0</v>
      </c>
      <c r="H103" s="545">
        <v>1</v>
      </c>
      <c r="I103" s="545">
        <v>0</v>
      </c>
      <c r="J103" s="545">
        <v>2</v>
      </c>
      <c r="K103" s="545">
        <v>1</v>
      </c>
      <c r="L103" s="545">
        <v>0</v>
      </c>
      <c r="M103" s="545">
        <v>2</v>
      </c>
      <c r="N103" s="545">
        <v>0</v>
      </c>
      <c r="O103" s="979">
        <f t="shared" si="10"/>
        <v>0.66666666666666663</v>
      </c>
      <c r="P103" s="2429">
        <f t="shared" si="6"/>
        <v>0.66666666666666663</v>
      </c>
    </row>
    <row r="104" spans="2:16">
      <c r="B104" s="981" t="s">
        <v>724</v>
      </c>
      <c r="C104" s="545">
        <v>0</v>
      </c>
      <c r="D104" s="545">
        <v>0</v>
      </c>
      <c r="E104" s="545">
        <v>2</v>
      </c>
      <c r="F104" s="545">
        <v>0</v>
      </c>
      <c r="G104" s="545">
        <v>1</v>
      </c>
      <c r="H104" s="545">
        <v>0</v>
      </c>
      <c r="I104" s="545">
        <v>0</v>
      </c>
      <c r="J104" s="545">
        <v>0</v>
      </c>
      <c r="K104" s="545">
        <v>0</v>
      </c>
      <c r="L104" s="545">
        <v>2</v>
      </c>
      <c r="M104" s="545">
        <v>0</v>
      </c>
      <c r="N104" s="545">
        <v>0</v>
      </c>
      <c r="O104" s="979">
        <f t="shared" si="10"/>
        <v>0.41666666666666669</v>
      </c>
      <c r="P104" s="2429">
        <f t="shared" si="6"/>
        <v>0.41666666666666669</v>
      </c>
    </row>
    <row r="105" spans="2:16">
      <c r="B105" s="981" t="s">
        <v>725</v>
      </c>
      <c r="C105" s="545">
        <v>0</v>
      </c>
      <c r="D105" s="545">
        <v>0</v>
      </c>
      <c r="E105" s="545">
        <v>0</v>
      </c>
      <c r="F105" s="545">
        <v>0</v>
      </c>
      <c r="G105" s="545">
        <v>0</v>
      </c>
      <c r="H105" s="545">
        <v>0</v>
      </c>
      <c r="I105" s="545">
        <v>0</v>
      </c>
      <c r="J105" s="545">
        <v>0</v>
      </c>
      <c r="K105" s="545">
        <v>0</v>
      </c>
      <c r="L105" s="545">
        <v>0</v>
      </c>
      <c r="M105" s="545">
        <v>0</v>
      </c>
      <c r="N105" s="545">
        <v>1</v>
      </c>
      <c r="O105" s="979">
        <f t="shared" si="10"/>
        <v>8.3333333333333329E-2</v>
      </c>
      <c r="P105" s="2429">
        <f t="shared" si="6"/>
        <v>8.3333333333333329E-2</v>
      </c>
    </row>
    <row r="106" spans="2:16">
      <c r="B106" s="981" t="s">
        <v>726</v>
      </c>
      <c r="C106" s="545">
        <v>0</v>
      </c>
      <c r="D106" s="545">
        <v>0</v>
      </c>
      <c r="E106" s="545">
        <v>0</v>
      </c>
      <c r="F106" s="545">
        <v>0</v>
      </c>
      <c r="G106" s="545">
        <v>0</v>
      </c>
      <c r="H106" s="545">
        <v>0</v>
      </c>
      <c r="I106" s="545">
        <v>0</v>
      </c>
      <c r="J106" s="545">
        <v>0</v>
      </c>
      <c r="K106" s="545">
        <v>0</v>
      </c>
      <c r="L106" s="545">
        <v>0</v>
      </c>
      <c r="M106" s="545">
        <v>0</v>
      </c>
      <c r="N106" s="545">
        <v>0</v>
      </c>
      <c r="O106" s="979">
        <f t="shared" si="10"/>
        <v>0</v>
      </c>
      <c r="P106" s="2429">
        <f t="shared" si="6"/>
        <v>0</v>
      </c>
    </row>
    <row r="107" spans="2:16">
      <c r="B107" s="981" t="s">
        <v>727</v>
      </c>
      <c r="C107" s="545">
        <v>0</v>
      </c>
      <c r="D107" s="545">
        <v>0</v>
      </c>
      <c r="E107" s="545">
        <v>0</v>
      </c>
      <c r="F107" s="545">
        <v>0</v>
      </c>
      <c r="G107" s="545">
        <v>0</v>
      </c>
      <c r="H107" s="545">
        <v>0</v>
      </c>
      <c r="I107" s="545">
        <v>0</v>
      </c>
      <c r="J107" s="545">
        <v>0</v>
      </c>
      <c r="K107" s="545">
        <v>0</v>
      </c>
      <c r="L107" s="545">
        <v>0</v>
      </c>
      <c r="M107" s="545">
        <v>1</v>
      </c>
      <c r="N107" s="545">
        <v>0</v>
      </c>
      <c r="O107" s="979">
        <f t="shared" si="10"/>
        <v>8.3333333333333329E-2</v>
      </c>
      <c r="P107" s="2429">
        <f t="shared" si="6"/>
        <v>8.3333333333333329E-2</v>
      </c>
    </row>
    <row r="108" spans="2:16">
      <c r="B108" s="981" t="s">
        <v>728</v>
      </c>
      <c r="C108" s="545">
        <v>0</v>
      </c>
      <c r="D108" s="545">
        <v>0</v>
      </c>
      <c r="E108" s="545">
        <v>0</v>
      </c>
      <c r="F108" s="545">
        <v>0</v>
      </c>
      <c r="G108" s="545">
        <v>1</v>
      </c>
      <c r="H108" s="545">
        <v>0</v>
      </c>
      <c r="I108" s="545">
        <v>0</v>
      </c>
      <c r="J108" s="545">
        <v>0</v>
      </c>
      <c r="K108" s="545">
        <v>0</v>
      </c>
      <c r="L108" s="545">
        <v>0</v>
      </c>
      <c r="M108" s="545">
        <v>0</v>
      </c>
      <c r="N108" s="545">
        <v>0</v>
      </c>
      <c r="O108" s="979">
        <f t="shared" si="10"/>
        <v>8.3333333333333329E-2</v>
      </c>
      <c r="P108" s="2429">
        <f t="shared" si="6"/>
        <v>8.3333333333333329E-2</v>
      </c>
    </row>
    <row r="109" spans="2:16">
      <c r="B109" s="981" t="s">
        <v>729</v>
      </c>
      <c r="C109" s="545">
        <v>0</v>
      </c>
      <c r="D109" s="545">
        <v>0</v>
      </c>
      <c r="E109" s="545">
        <v>0</v>
      </c>
      <c r="F109" s="545">
        <v>0</v>
      </c>
      <c r="G109" s="545">
        <v>0</v>
      </c>
      <c r="H109" s="545">
        <v>0</v>
      </c>
      <c r="I109" s="545">
        <v>0</v>
      </c>
      <c r="J109" s="545">
        <v>0</v>
      </c>
      <c r="K109" s="545">
        <v>0</v>
      </c>
      <c r="L109" s="545">
        <v>0</v>
      </c>
      <c r="M109" s="545">
        <v>0</v>
      </c>
      <c r="N109" s="545">
        <v>0</v>
      </c>
      <c r="O109" s="979">
        <f t="shared" si="10"/>
        <v>0</v>
      </c>
      <c r="P109" s="2429">
        <f t="shared" si="6"/>
        <v>0</v>
      </c>
    </row>
    <row r="110" spans="2:16">
      <c r="B110" s="981" t="s">
        <v>730</v>
      </c>
      <c r="C110" s="545">
        <v>0</v>
      </c>
      <c r="D110" s="545">
        <v>0</v>
      </c>
      <c r="E110" s="545">
        <v>0</v>
      </c>
      <c r="F110" s="545">
        <v>0</v>
      </c>
      <c r="G110" s="545">
        <v>0</v>
      </c>
      <c r="H110" s="545">
        <v>0</v>
      </c>
      <c r="I110" s="545">
        <v>0</v>
      </c>
      <c r="J110" s="545">
        <v>0</v>
      </c>
      <c r="K110" s="545">
        <v>0</v>
      </c>
      <c r="L110" s="545">
        <v>0</v>
      </c>
      <c r="M110" s="545">
        <v>0</v>
      </c>
      <c r="N110" s="545">
        <v>0</v>
      </c>
      <c r="O110" s="979">
        <f t="shared" si="10"/>
        <v>0</v>
      </c>
      <c r="P110" s="2429">
        <f t="shared" si="6"/>
        <v>0</v>
      </c>
    </row>
    <row r="111" spans="2:16">
      <c r="B111" s="981" t="s">
        <v>731</v>
      </c>
      <c r="C111" s="545">
        <v>0</v>
      </c>
      <c r="D111" s="545">
        <v>0</v>
      </c>
      <c r="E111" s="545">
        <v>0</v>
      </c>
      <c r="F111" s="545">
        <v>0</v>
      </c>
      <c r="G111" s="545">
        <v>0</v>
      </c>
      <c r="H111" s="545">
        <v>0</v>
      </c>
      <c r="I111" s="545">
        <v>0</v>
      </c>
      <c r="J111" s="545">
        <v>0</v>
      </c>
      <c r="K111" s="545">
        <v>0</v>
      </c>
      <c r="L111" s="545">
        <v>1</v>
      </c>
      <c r="M111" s="545">
        <v>0</v>
      </c>
      <c r="N111" s="545">
        <v>0</v>
      </c>
      <c r="O111" s="979">
        <f t="shared" si="10"/>
        <v>8.3333333333333329E-2</v>
      </c>
      <c r="P111" s="2429">
        <f t="shared" si="6"/>
        <v>8.3333333333333329E-2</v>
      </c>
    </row>
    <row r="112" spans="2:16">
      <c r="B112" s="981" t="s">
        <v>732</v>
      </c>
      <c r="C112" s="545">
        <v>1</v>
      </c>
      <c r="D112" s="545">
        <v>1</v>
      </c>
      <c r="E112" s="545">
        <v>1</v>
      </c>
      <c r="F112" s="545">
        <v>0</v>
      </c>
      <c r="G112" s="545">
        <v>0</v>
      </c>
      <c r="H112" s="545">
        <v>0</v>
      </c>
      <c r="I112" s="545">
        <v>2</v>
      </c>
      <c r="J112" s="545">
        <v>1</v>
      </c>
      <c r="K112" s="545">
        <v>0</v>
      </c>
      <c r="L112" s="545">
        <v>0</v>
      </c>
      <c r="M112" s="545">
        <v>0</v>
      </c>
      <c r="N112" s="545">
        <v>2</v>
      </c>
      <c r="O112" s="979">
        <f t="shared" si="10"/>
        <v>0.66666666666666663</v>
      </c>
      <c r="P112" s="2429">
        <f t="shared" si="6"/>
        <v>0.66666666666666663</v>
      </c>
    </row>
    <row r="113" spans="2:16">
      <c r="B113" s="981" t="s">
        <v>733</v>
      </c>
      <c r="C113" s="545">
        <v>2</v>
      </c>
      <c r="D113" s="545">
        <v>1</v>
      </c>
      <c r="E113" s="545">
        <v>0</v>
      </c>
      <c r="F113" s="545">
        <v>1</v>
      </c>
      <c r="G113" s="545">
        <v>0</v>
      </c>
      <c r="H113" s="545">
        <v>2</v>
      </c>
      <c r="I113" s="545">
        <v>0</v>
      </c>
      <c r="J113" s="545">
        <v>1</v>
      </c>
      <c r="K113" s="545">
        <v>2</v>
      </c>
      <c r="L113" s="545">
        <v>3</v>
      </c>
      <c r="M113" s="545">
        <v>2</v>
      </c>
      <c r="N113" s="545">
        <v>3</v>
      </c>
      <c r="O113" s="979">
        <f t="shared" si="10"/>
        <v>1.4166666666666667</v>
      </c>
      <c r="P113" s="2429">
        <f t="shared" si="6"/>
        <v>1.4166666666666667</v>
      </c>
    </row>
    <row r="114" spans="2:16">
      <c r="B114" s="981" t="s">
        <v>734</v>
      </c>
      <c r="C114" s="545">
        <v>1</v>
      </c>
      <c r="D114" s="545">
        <v>1</v>
      </c>
      <c r="E114" s="545">
        <v>2</v>
      </c>
      <c r="F114" s="545">
        <v>1</v>
      </c>
      <c r="G114" s="545">
        <v>4</v>
      </c>
      <c r="H114" s="545">
        <v>2</v>
      </c>
      <c r="I114" s="545">
        <v>2</v>
      </c>
      <c r="J114" s="545">
        <v>2</v>
      </c>
      <c r="K114" s="545">
        <v>2</v>
      </c>
      <c r="L114" s="545">
        <v>1</v>
      </c>
      <c r="M114" s="545">
        <v>2</v>
      </c>
      <c r="N114" s="545">
        <v>0</v>
      </c>
      <c r="O114" s="979">
        <f t="shared" si="10"/>
        <v>1.6666666666666667</v>
      </c>
      <c r="P114" s="2429">
        <f t="shared" si="6"/>
        <v>1.6666666666666667</v>
      </c>
    </row>
    <row r="115" spans="2:16">
      <c r="B115" s="981" t="s">
        <v>735</v>
      </c>
      <c r="C115" s="545">
        <v>0</v>
      </c>
      <c r="D115" s="545">
        <v>1</v>
      </c>
      <c r="E115" s="545">
        <v>1</v>
      </c>
      <c r="F115" s="545">
        <v>2</v>
      </c>
      <c r="G115" s="545">
        <v>0</v>
      </c>
      <c r="H115" s="545">
        <v>0</v>
      </c>
      <c r="I115" s="545">
        <v>0</v>
      </c>
      <c r="J115" s="545">
        <v>0</v>
      </c>
      <c r="K115" s="545">
        <v>0</v>
      </c>
      <c r="L115" s="545">
        <v>0</v>
      </c>
      <c r="M115" s="545">
        <v>0</v>
      </c>
      <c r="N115" s="545">
        <v>0</v>
      </c>
      <c r="O115" s="979">
        <f t="shared" si="10"/>
        <v>0.33333333333333331</v>
      </c>
      <c r="P115" s="2429">
        <f t="shared" si="6"/>
        <v>0.33333333333333331</v>
      </c>
    </row>
    <row r="116" spans="2:16">
      <c r="B116" s="981" t="s">
        <v>736</v>
      </c>
      <c r="C116" s="545">
        <v>0</v>
      </c>
      <c r="D116" s="545">
        <v>0</v>
      </c>
      <c r="E116" s="545">
        <v>0</v>
      </c>
      <c r="F116" s="545">
        <v>0</v>
      </c>
      <c r="G116" s="545">
        <v>0</v>
      </c>
      <c r="H116" s="545">
        <v>0</v>
      </c>
      <c r="I116" s="545">
        <v>0</v>
      </c>
      <c r="J116" s="545">
        <v>0</v>
      </c>
      <c r="K116" s="545">
        <v>0</v>
      </c>
      <c r="L116" s="545">
        <v>0</v>
      </c>
      <c r="M116" s="545">
        <v>0</v>
      </c>
      <c r="N116" s="545">
        <v>0</v>
      </c>
      <c r="O116" s="979">
        <f t="shared" si="10"/>
        <v>0</v>
      </c>
      <c r="P116" s="2429">
        <f t="shared" si="6"/>
        <v>0</v>
      </c>
    </row>
    <row r="117" spans="2:16">
      <c r="B117" s="981" t="s">
        <v>737</v>
      </c>
      <c r="C117" s="545">
        <v>0</v>
      </c>
      <c r="D117" s="545">
        <v>0</v>
      </c>
      <c r="E117" s="545">
        <v>0</v>
      </c>
      <c r="F117" s="545">
        <v>0</v>
      </c>
      <c r="G117" s="545">
        <v>0</v>
      </c>
      <c r="H117" s="545">
        <v>0</v>
      </c>
      <c r="I117" s="545">
        <v>0</v>
      </c>
      <c r="J117" s="545">
        <v>0</v>
      </c>
      <c r="K117" s="545">
        <v>0</v>
      </c>
      <c r="L117" s="545">
        <v>0</v>
      </c>
      <c r="M117" s="545">
        <v>0</v>
      </c>
      <c r="N117" s="545">
        <v>0</v>
      </c>
      <c r="O117" s="979">
        <f t="shared" si="10"/>
        <v>0</v>
      </c>
      <c r="P117" s="2429">
        <f t="shared" si="6"/>
        <v>0</v>
      </c>
    </row>
    <row r="118" spans="2:16">
      <c r="B118" s="984" t="s">
        <v>111</v>
      </c>
      <c r="C118" s="985">
        <f t="shared" ref="C118:H118" si="11">SUM(C119:C139)</f>
        <v>526461</v>
      </c>
      <c r="D118" s="985">
        <f t="shared" si="11"/>
        <v>525717</v>
      </c>
      <c r="E118" s="985">
        <f t="shared" si="11"/>
        <v>527803</v>
      </c>
      <c r="F118" s="985">
        <f t="shared" si="11"/>
        <v>529380</v>
      </c>
      <c r="G118" s="985">
        <f t="shared" si="11"/>
        <v>530584</v>
      </c>
      <c r="H118" s="985">
        <f t="shared" si="11"/>
        <v>530502</v>
      </c>
      <c r="I118" s="985">
        <f t="shared" ref="I118:N118" si="12">SUM(I119:I139)</f>
        <v>531153</v>
      </c>
      <c r="J118" s="985">
        <f t="shared" si="12"/>
        <v>532168</v>
      </c>
      <c r="K118" s="985">
        <f t="shared" si="12"/>
        <v>531967</v>
      </c>
      <c r="L118" s="985">
        <f t="shared" si="12"/>
        <v>532171</v>
      </c>
      <c r="M118" s="985">
        <f t="shared" si="12"/>
        <v>530690</v>
      </c>
      <c r="N118" s="985">
        <f t="shared" si="12"/>
        <v>532444</v>
      </c>
      <c r="O118" s="985">
        <f>SUM(O119:O139)</f>
        <v>530086.66666666663</v>
      </c>
      <c r="P118" s="516">
        <f>O118/O$118</f>
        <v>1</v>
      </c>
    </row>
    <row r="119" spans="2:16">
      <c r="B119" s="981" t="s">
        <v>717</v>
      </c>
      <c r="C119" s="545">
        <f t="shared" ref="C119:N119" si="13">SUMIF($B$8:$B$117,$B119,C$8:C$117)</f>
        <v>73666</v>
      </c>
      <c r="D119" s="545">
        <f t="shared" si="13"/>
        <v>75466</v>
      </c>
      <c r="E119" s="545">
        <f t="shared" si="13"/>
        <v>71659</v>
      </c>
      <c r="F119" s="545">
        <f t="shared" si="13"/>
        <v>69618</v>
      </c>
      <c r="G119" s="545">
        <f t="shared" si="13"/>
        <v>68000</v>
      </c>
      <c r="H119" s="545">
        <f t="shared" si="13"/>
        <v>69371</v>
      </c>
      <c r="I119" s="545">
        <f t="shared" si="13"/>
        <v>67648</v>
      </c>
      <c r="J119" s="545">
        <f t="shared" si="13"/>
        <v>67312</v>
      </c>
      <c r="K119" s="545">
        <f t="shared" si="13"/>
        <v>67496</v>
      </c>
      <c r="L119" s="545">
        <f t="shared" si="13"/>
        <v>66519</v>
      </c>
      <c r="M119" s="545">
        <f t="shared" si="13"/>
        <v>66475</v>
      </c>
      <c r="N119" s="545">
        <f t="shared" si="13"/>
        <v>65456</v>
      </c>
      <c r="O119" s="979">
        <f t="shared" ref="O119:O139" si="14">AVERAGE(C119:N119)</f>
        <v>69057.166666666672</v>
      </c>
      <c r="P119" s="517">
        <f t="shared" ref="P119:P139" si="15">O119/O$118</f>
        <v>0.13027523801139437</v>
      </c>
    </row>
    <row r="120" spans="2:16">
      <c r="B120" s="981" t="s">
        <v>718</v>
      </c>
      <c r="C120" s="545">
        <f t="shared" ref="C120:N139" si="16">SUMIF($B$8:$B$117,$B120,C$8:C$117)</f>
        <v>60336</v>
      </c>
      <c r="D120" s="545">
        <f t="shared" si="16"/>
        <v>62120</v>
      </c>
      <c r="E120" s="545">
        <f t="shared" si="16"/>
        <v>60429</v>
      </c>
      <c r="F120" s="545">
        <f t="shared" si="16"/>
        <v>58048</v>
      </c>
      <c r="G120" s="545">
        <f t="shared" si="16"/>
        <v>57551</v>
      </c>
      <c r="H120" s="545">
        <f t="shared" si="16"/>
        <v>59019</v>
      </c>
      <c r="I120" s="545">
        <f t="shared" si="16"/>
        <v>59306</v>
      </c>
      <c r="J120" s="545">
        <f t="shared" si="16"/>
        <v>60513</v>
      </c>
      <c r="K120" s="545">
        <f t="shared" si="16"/>
        <v>62137</v>
      </c>
      <c r="L120" s="545">
        <f t="shared" si="16"/>
        <v>61675</v>
      </c>
      <c r="M120" s="545">
        <f t="shared" si="16"/>
        <v>63906</v>
      </c>
      <c r="N120" s="545">
        <f t="shared" si="16"/>
        <v>65160</v>
      </c>
      <c r="O120" s="979">
        <f t="shared" si="14"/>
        <v>60850</v>
      </c>
      <c r="P120" s="517">
        <f t="shared" si="15"/>
        <v>0.11479254964596985</v>
      </c>
    </row>
    <row r="121" spans="2:16">
      <c r="B121" s="981" t="s">
        <v>719</v>
      </c>
      <c r="C121" s="545">
        <f t="shared" si="16"/>
        <v>67409</v>
      </c>
      <c r="D121" s="545">
        <f t="shared" si="16"/>
        <v>68310</v>
      </c>
      <c r="E121" s="545">
        <f t="shared" si="16"/>
        <v>67671</v>
      </c>
      <c r="F121" s="545">
        <f t="shared" si="16"/>
        <v>65988</v>
      </c>
      <c r="G121" s="545">
        <f t="shared" si="16"/>
        <v>65471</v>
      </c>
      <c r="H121" s="545">
        <f t="shared" si="16"/>
        <v>66070</v>
      </c>
      <c r="I121" s="545">
        <f t="shared" si="16"/>
        <v>66437</v>
      </c>
      <c r="J121" s="545">
        <f t="shared" si="16"/>
        <v>66857</v>
      </c>
      <c r="K121" s="545">
        <f t="shared" si="16"/>
        <v>67756</v>
      </c>
      <c r="L121" s="545">
        <f t="shared" si="16"/>
        <v>68196</v>
      </c>
      <c r="M121" s="545">
        <f t="shared" si="16"/>
        <v>70266</v>
      </c>
      <c r="N121" s="545">
        <f t="shared" si="16"/>
        <v>71459</v>
      </c>
      <c r="O121" s="979">
        <f t="shared" si="14"/>
        <v>67657.5</v>
      </c>
      <c r="P121" s="517">
        <f t="shared" si="15"/>
        <v>0.12763478927974042</v>
      </c>
    </row>
    <row r="122" spans="2:16">
      <c r="B122" s="981" t="s">
        <v>720</v>
      </c>
      <c r="C122" s="545">
        <f t="shared" si="16"/>
        <v>72299</v>
      </c>
      <c r="D122" s="545">
        <f t="shared" si="16"/>
        <v>71473</v>
      </c>
      <c r="E122" s="545">
        <f t="shared" si="16"/>
        <v>72188</v>
      </c>
      <c r="F122" s="545">
        <f t="shared" si="16"/>
        <v>70753</v>
      </c>
      <c r="G122" s="545">
        <f t="shared" si="16"/>
        <v>72065</v>
      </c>
      <c r="H122" s="545">
        <f t="shared" si="16"/>
        <v>73433</v>
      </c>
      <c r="I122" s="545">
        <f t="shared" si="16"/>
        <v>74377</v>
      </c>
      <c r="J122" s="545">
        <f t="shared" si="16"/>
        <v>73719</v>
      </c>
      <c r="K122" s="545">
        <f t="shared" si="16"/>
        <v>75141</v>
      </c>
      <c r="L122" s="545">
        <f t="shared" si="16"/>
        <v>75207</v>
      </c>
      <c r="M122" s="545">
        <f t="shared" si="16"/>
        <v>76647</v>
      </c>
      <c r="N122" s="545">
        <f t="shared" si="16"/>
        <v>77433</v>
      </c>
      <c r="O122" s="979">
        <f t="shared" si="14"/>
        <v>73727.916666666672</v>
      </c>
      <c r="P122" s="517">
        <f t="shared" si="15"/>
        <v>0.13908653301975779</v>
      </c>
    </row>
    <row r="123" spans="2:16">
      <c r="B123" s="981" t="s">
        <v>721</v>
      </c>
      <c r="C123" s="545">
        <f t="shared" si="16"/>
        <v>57436</v>
      </c>
      <c r="D123" s="545">
        <f t="shared" si="16"/>
        <v>55447</v>
      </c>
      <c r="E123" s="545">
        <f t="shared" si="16"/>
        <v>57419</v>
      </c>
      <c r="F123" s="545">
        <f t="shared" si="16"/>
        <v>55642</v>
      </c>
      <c r="G123" s="545">
        <f t="shared" si="16"/>
        <v>58248</v>
      </c>
      <c r="H123" s="545">
        <f t="shared" si="16"/>
        <v>59132</v>
      </c>
      <c r="I123" s="545">
        <f t="shared" si="16"/>
        <v>59183</v>
      </c>
      <c r="J123" s="545">
        <f t="shared" si="16"/>
        <v>59281</v>
      </c>
      <c r="K123" s="545">
        <f t="shared" si="16"/>
        <v>59092</v>
      </c>
      <c r="L123" s="545">
        <f t="shared" si="16"/>
        <v>59550</v>
      </c>
      <c r="M123" s="545">
        <f t="shared" si="16"/>
        <v>60199</v>
      </c>
      <c r="N123" s="545">
        <f t="shared" si="16"/>
        <v>60436</v>
      </c>
      <c r="O123" s="979">
        <f t="shared" si="14"/>
        <v>58422.083333333336</v>
      </c>
      <c r="P123" s="517">
        <f t="shared" si="15"/>
        <v>0.1102123237709557</v>
      </c>
    </row>
    <row r="124" spans="2:16">
      <c r="B124" s="981" t="s">
        <v>722</v>
      </c>
      <c r="C124" s="545">
        <f t="shared" si="16"/>
        <v>46301</v>
      </c>
      <c r="D124" s="545">
        <f t="shared" si="16"/>
        <v>45426</v>
      </c>
      <c r="E124" s="545">
        <f t="shared" si="16"/>
        <v>46166</v>
      </c>
      <c r="F124" s="545">
        <f t="shared" si="16"/>
        <v>46233</v>
      </c>
      <c r="G124" s="545">
        <f t="shared" si="16"/>
        <v>48483</v>
      </c>
      <c r="H124" s="545">
        <f t="shared" si="16"/>
        <v>48911</v>
      </c>
      <c r="I124" s="545">
        <f t="shared" si="16"/>
        <v>48544</v>
      </c>
      <c r="J124" s="545">
        <f t="shared" si="16"/>
        <v>48485</v>
      </c>
      <c r="K124" s="545">
        <f t="shared" si="16"/>
        <v>49290</v>
      </c>
      <c r="L124" s="545">
        <f t="shared" si="16"/>
        <v>48749</v>
      </c>
      <c r="M124" s="545">
        <f t="shared" si="16"/>
        <v>48643</v>
      </c>
      <c r="N124" s="545">
        <f t="shared" si="16"/>
        <v>47165</v>
      </c>
      <c r="O124" s="979">
        <f t="shared" si="14"/>
        <v>47699.666666666664</v>
      </c>
      <c r="P124" s="517">
        <f t="shared" si="15"/>
        <v>8.9984656597034446E-2</v>
      </c>
    </row>
    <row r="125" spans="2:16">
      <c r="B125" s="981" t="s">
        <v>723</v>
      </c>
      <c r="C125" s="545">
        <f t="shared" si="16"/>
        <v>31718</v>
      </c>
      <c r="D125" s="545">
        <f t="shared" si="16"/>
        <v>29651</v>
      </c>
      <c r="E125" s="545">
        <f t="shared" si="16"/>
        <v>30777</v>
      </c>
      <c r="F125" s="545">
        <f t="shared" si="16"/>
        <v>33439</v>
      </c>
      <c r="G125" s="545">
        <f t="shared" si="16"/>
        <v>32674</v>
      </c>
      <c r="H125" s="545">
        <f t="shared" si="16"/>
        <v>31880</v>
      </c>
      <c r="I125" s="545">
        <f t="shared" si="16"/>
        <v>31909</v>
      </c>
      <c r="J125" s="545">
        <f t="shared" si="16"/>
        <v>31930</v>
      </c>
      <c r="K125" s="545">
        <f t="shared" si="16"/>
        <v>30313</v>
      </c>
      <c r="L125" s="545">
        <f t="shared" si="16"/>
        <v>31335</v>
      </c>
      <c r="M125" s="545">
        <f t="shared" si="16"/>
        <v>29454</v>
      </c>
      <c r="N125" s="545">
        <f t="shared" si="16"/>
        <v>30026</v>
      </c>
      <c r="O125" s="979">
        <f t="shared" si="14"/>
        <v>31258.833333333332</v>
      </c>
      <c r="P125" s="518">
        <f t="shared" si="15"/>
        <v>5.896928804094928E-2</v>
      </c>
    </row>
    <row r="126" spans="2:16">
      <c r="B126" s="981" t="s">
        <v>724</v>
      </c>
      <c r="C126" s="545">
        <f t="shared" si="16"/>
        <v>22440</v>
      </c>
      <c r="D126" s="545">
        <f t="shared" si="16"/>
        <v>22017</v>
      </c>
      <c r="E126" s="545">
        <f t="shared" si="16"/>
        <v>22325</v>
      </c>
      <c r="F126" s="545">
        <f t="shared" si="16"/>
        <v>21736</v>
      </c>
      <c r="G126" s="545">
        <f t="shared" si="16"/>
        <v>24871</v>
      </c>
      <c r="H126" s="545">
        <f t="shared" si="16"/>
        <v>23067</v>
      </c>
      <c r="I126" s="545">
        <f t="shared" si="16"/>
        <v>23624</v>
      </c>
      <c r="J126" s="545">
        <f t="shared" si="16"/>
        <v>23720</v>
      </c>
      <c r="K126" s="545">
        <f t="shared" si="16"/>
        <v>23254</v>
      </c>
      <c r="L126" s="545">
        <f t="shared" si="16"/>
        <v>23146</v>
      </c>
      <c r="M126" s="545">
        <f t="shared" si="16"/>
        <v>22501</v>
      </c>
      <c r="N126" s="545">
        <f t="shared" si="16"/>
        <v>22616</v>
      </c>
      <c r="O126" s="979">
        <f t="shared" si="14"/>
        <v>22943.083333333332</v>
      </c>
      <c r="P126" s="518">
        <f t="shared" si="15"/>
        <v>4.3281758957654723E-2</v>
      </c>
    </row>
    <row r="127" spans="2:16">
      <c r="B127" s="981" t="s">
        <v>725</v>
      </c>
      <c r="C127" s="545">
        <f t="shared" si="16"/>
        <v>16019</v>
      </c>
      <c r="D127" s="545">
        <f t="shared" si="16"/>
        <v>15550</v>
      </c>
      <c r="E127" s="545">
        <f t="shared" si="16"/>
        <v>16126</v>
      </c>
      <c r="F127" s="545">
        <f t="shared" si="16"/>
        <v>16682</v>
      </c>
      <c r="G127" s="545">
        <f t="shared" si="16"/>
        <v>17147</v>
      </c>
      <c r="H127" s="545">
        <f t="shared" si="16"/>
        <v>17073</v>
      </c>
      <c r="I127" s="545">
        <f t="shared" si="16"/>
        <v>16635</v>
      </c>
      <c r="J127" s="545">
        <f t="shared" si="16"/>
        <v>16766</v>
      </c>
      <c r="K127" s="545">
        <f t="shared" si="16"/>
        <v>16345</v>
      </c>
      <c r="L127" s="545">
        <f t="shared" si="16"/>
        <v>16411</v>
      </c>
      <c r="M127" s="545">
        <f t="shared" si="16"/>
        <v>15995</v>
      </c>
      <c r="N127" s="545">
        <f t="shared" si="16"/>
        <v>15719</v>
      </c>
      <c r="O127" s="979">
        <f t="shared" si="14"/>
        <v>16372.333333333334</v>
      </c>
      <c r="P127" s="518">
        <f t="shared" si="15"/>
        <v>3.0886144404059717E-2</v>
      </c>
    </row>
    <row r="128" spans="2:16">
      <c r="B128" s="981" t="s">
        <v>726</v>
      </c>
      <c r="C128" s="545">
        <f t="shared" si="16"/>
        <v>12507</v>
      </c>
      <c r="D128" s="545">
        <f t="shared" si="16"/>
        <v>12398</v>
      </c>
      <c r="E128" s="545">
        <f t="shared" si="16"/>
        <v>12896</v>
      </c>
      <c r="F128" s="545">
        <f t="shared" si="16"/>
        <v>12867</v>
      </c>
      <c r="G128" s="545">
        <f t="shared" si="16"/>
        <v>12996</v>
      </c>
      <c r="H128" s="545">
        <f t="shared" si="16"/>
        <v>13205</v>
      </c>
      <c r="I128" s="545">
        <f t="shared" si="16"/>
        <v>13099</v>
      </c>
      <c r="J128" s="545">
        <f t="shared" si="16"/>
        <v>13215</v>
      </c>
      <c r="K128" s="545">
        <f t="shared" si="16"/>
        <v>12909</v>
      </c>
      <c r="L128" s="545">
        <f t="shared" si="16"/>
        <v>12810</v>
      </c>
      <c r="M128" s="545">
        <f t="shared" si="16"/>
        <v>12275</v>
      </c>
      <c r="N128" s="545">
        <f t="shared" si="16"/>
        <v>12370</v>
      </c>
      <c r="O128" s="979">
        <f t="shared" si="14"/>
        <v>12795.583333333334</v>
      </c>
      <c r="P128" s="518">
        <f t="shared" si="15"/>
        <v>2.4138662860161236E-2</v>
      </c>
    </row>
    <row r="129" spans="2:16">
      <c r="B129" s="981" t="s">
        <v>727</v>
      </c>
      <c r="C129" s="545">
        <f t="shared" si="16"/>
        <v>9771</v>
      </c>
      <c r="D129" s="545">
        <f t="shared" si="16"/>
        <v>9639</v>
      </c>
      <c r="E129" s="545">
        <f t="shared" si="16"/>
        <v>10206</v>
      </c>
      <c r="F129" s="545">
        <f t="shared" si="16"/>
        <v>10764</v>
      </c>
      <c r="G129" s="545">
        <f t="shared" si="16"/>
        <v>10689</v>
      </c>
      <c r="H129" s="545">
        <f t="shared" si="16"/>
        <v>10136</v>
      </c>
      <c r="I129" s="545">
        <f t="shared" si="16"/>
        <v>10447</v>
      </c>
      <c r="J129" s="545">
        <f t="shared" si="16"/>
        <v>10543</v>
      </c>
      <c r="K129" s="545">
        <f t="shared" si="16"/>
        <v>10037</v>
      </c>
      <c r="L129" s="545">
        <f t="shared" si="16"/>
        <v>10296</v>
      </c>
      <c r="M129" s="545">
        <f t="shared" si="16"/>
        <v>9883</v>
      </c>
      <c r="N129" s="545">
        <f t="shared" si="16"/>
        <v>9647</v>
      </c>
      <c r="O129" s="979">
        <f t="shared" si="14"/>
        <v>10171.5</v>
      </c>
      <c r="P129" s="518">
        <f t="shared" si="15"/>
        <v>1.9188371712801681E-2</v>
      </c>
    </row>
    <row r="130" spans="2:16">
      <c r="B130" s="981" t="s">
        <v>728</v>
      </c>
      <c r="C130" s="545">
        <f t="shared" si="16"/>
        <v>8168</v>
      </c>
      <c r="D130" s="545">
        <f t="shared" si="16"/>
        <v>8156</v>
      </c>
      <c r="E130" s="545">
        <f t="shared" si="16"/>
        <v>7932</v>
      </c>
      <c r="F130" s="545">
        <f t="shared" si="16"/>
        <v>8544</v>
      </c>
      <c r="G130" s="545">
        <f t="shared" si="16"/>
        <v>8539</v>
      </c>
      <c r="H130" s="545">
        <f t="shared" si="16"/>
        <v>8326</v>
      </c>
      <c r="I130" s="545">
        <f t="shared" si="16"/>
        <v>8291</v>
      </c>
      <c r="J130" s="545">
        <f t="shared" si="16"/>
        <v>8399</v>
      </c>
      <c r="K130" s="545">
        <f t="shared" si="16"/>
        <v>8205</v>
      </c>
      <c r="L130" s="545">
        <f t="shared" si="16"/>
        <v>8200</v>
      </c>
      <c r="M130" s="545">
        <f t="shared" si="16"/>
        <v>7890</v>
      </c>
      <c r="N130" s="545">
        <f t="shared" si="16"/>
        <v>7485</v>
      </c>
      <c r="O130" s="979">
        <f t="shared" si="14"/>
        <v>8177.916666666667</v>
      </c>
      <c r="P130" s="518">
        <f t="shared" si="15"/>
        <v>1.5427508709267668E-2</v>
      </c>
    </row>
    <row r="131" spans="2:16">
      <c r="B131" s="981" t="s">
        <v>729</v>
      </c>
      <c r="C131" s="545">
        <f t="shared" si="16"/>
        <v>6584</v>
      </c>
      <c r="D131" s="545">
        <f t="shared" si="16"/>
        <v>6702</v>
      </c>
      <c r="E131" s="545">
        <f t="shared" si="16"/>
        <v>6870</v>
      </c>
      <c r="F131" s="545">
        <f t="shared" si="16"/>
        <v>7249</v>
      </c>
      <c r="G131" s="545">
        <f t="shared" si="16"/>
        <v>7312</v>
      </c>
      <c r="H131" s="545">
        <f t="shared" si="16"/>
        <v>6983</v>
      </c>
      <c r="I131" s="545">
        <f t="shared" si="16"/>
        <v>6843</v>
      </c>
      <c r="J131" s="545">
        <f t="shared" si="16"/>
        <v>6874</v>
      </c>
      <c r="K131" s="545">
        <f t="shared" si="16"/>
        <v>6907</v>
      </c>
      <c r="L131" s="545">
        <f t="shared" si="16"/>
        <v>6635</v>
      </c>
      <c r="M131" s="545">
        <f t="shared" si="16"/>
        <v>6356</v>
      </c>
      <c r="N131" s="545">
        <f t="shared" si="16"/>
        <v>6360</v>
      </c>
      <c r="O131" s="979">
        <f t="shared" si="14"/>
        <v>6806.25</v>
      </c>
      <c r="P131" s="518">
        <f t="shared" si="15"/>
        <v>1.2839881528806611E-2</v>
      </c>
    </row>
    <row r="132" spans="2:16">
      <c r="B132" s="981" t="s">
        <v>730</v>
      </c>
      <c r="C132" s="545">
        <f t="shared" si="16"/>
        <v>5272</v>
      </c>
      <c r="D132" s="545">
        <f t="shared" si="16"/>
        <v>5508</v>
      </c>
      <c r="E132" s="545">
        <f t="shared" si="16"/>
        <v>5536</v>
      </c>
      <c r="F132" s="545">
        <f t="shared" si="16"/>
        <v>6190</v>
      </c>
      <c r="G132" s="545">
        <f t="shared" si="16"/>
        <v>5969</v>
      </c>
      <c r="H132" s="545">
        <f t="shared" si="16"/>
        <v>5504</v>
      </c>
      <c r="I132" s="545">
        <f t="shared" si="16"/>
        <v>5660</v>
      </c>
      <c r="J132" s="545">
        <f t="shared" si="16"/>
        <v>5781</v>
      </c>
      <c r="K132" s="545">
        <f t="shared" si="16"/>
        <v>5514</v>
      </c>
      <c r="L132" s="545">
        <f t="shared" si="16"/>
        <v>5524</v>
      </c>
      <c r="M132" s="545">
        <f t="shared" si="16"/>
        <v>5194</v>
      </c>
      <c r="N132" s="545">
        <f t="shared" si="16"/>
        <v>5190</v>
      </c>
      <c r="O132" s="979">
        <f t="shared" si="14"/>
        <v>5570.166666666667</v>
      </c>
      <c r="P132" s="518">
        <f t="shared" si="15"/>
        <v>1.0508030133437301E-2</v>
      </c>
    </row>
    <row r="133" spans="2:16">
      <c r="B133" s="981" t="s">
        <v>731</v>
      </c>
      <c r="C133" s="545">
        <f t="shared" si="16"/>
        <v>4351</v>
      </c>
      <c r="D133" s="545">
        <f t="shared" si="16"/>
        <v>4450</v>
      </c>
      <c r="E133" s="545">
        <f t="shared" si="16"/>
        <v>4694</v>
      </c>
      <c r="F133" s="545">
        <f t="shared" si="16"/>
        <v>5240</v>
      </c>
      <c r="G133" s="545">
        <f t="shared" si="16"/>
        <v>4942</v>
      </c>
      <c r="H133" s="545">
        <f t="shared" si="16"/>
        <v>4715</v>
      </c>
      <c r="I133" s="545">
        <f t="shared" si="16"/>
        <v>4724</v>
      </c>
      <c r="J133" s="545">
        <f t="shared" si="16"/>
        <v>4739</v>
      </c>
      <c r="K133" s="545">
        <f t="shared" si="16"/>
        <v>4574</v>
      </c>
      <c r="L133" s="545">
        <f t="shared" si="16"/>
        <v>4577</v>
      </c>
      <c r="M133" s="545">
        <f t="shared" si="16"/>
        <v>4348</v>
      </c>
      <c r="N133" s="545">
        <f t="shared" si="16"/>
        <v>4272</v>
      </c>
      <c r="O133" s="979">
        <f t="shared" si="14"/>
        <v>4635.5</v>
      </c>
      <c r="P133" s="518">
        <f t="shared" si="15"/>
        <v>8.7447964483795115E-3</v>
      </c>
    </row>
    <row r="134" spans="2:16">
      <c r="B134" s="981" t="s">
        <v>732</v>
      </c>
      <c r="C134" s="545">
        <f t="shared" si="16"/>
        <v>12992</v>
      </c>
      <c r="D134" s="545">
        <f t="shared" si="16"/>
        <v>13382</v>
      </c>
      <c r="E134" s="545">
        <f t="shared" si="16"/>
        <v>14007</v>
      </c>
      <c r="F134" s="545">
        <f t="shared" si="16"/>
        <v>16275</v>
      </c>
      <c r="G134" s="545">
        <f t="shared" si="16"/>
        <v>14277</v>
      </c>
      <c r="H134" s="545">
        <f t="shared" si="16"/>
        <v>13230</v>
      </c>
      <c r="I134" s="545">
        <f t="shared" si="16"/>
        <v>13559</v>
      </c>
      <c r="J134" s="545">
        <f t="shared" si="16"/>
        <v>13383</v>
      </c>
      <c r="K134" s="545">
        <f t="shared" si="16"/>
        <v>12858</v>
      </c>
      <c r="L134" s="545">
        <f t="shared" si="16"/>
        <v>12972</v>
      </c>
      <c r="M134" s="545">
        <f t="shared" si="16"/>
        <v>11903</v>
      </c>
      <c r="N134" s="545">
        <f t="shared" si="16"/>
        <v>12043</v>
      </c>
      <c r="O134" s="979">
        <f t="shared" si="14"/>
        <v>13406.75</v>
      </c>
      <c r="P134" s="518">
        <f t="shared" si="15"/>
        <v>2.5291618980544064E-2</v>
      </c>
    </row>
    <row r="135" spans="2:16">
      <c r="B135" s="981" t="s">
        <v>733</v>
      </c>
      <c r="C135" s="545">
        <f t="shared" si="16"/>
        <v>9268</v>
      </c>
      <c r="D135" s="545">
        <f t="shared" si="16"/>
        <v>9705</v>
      </c>
      <c r="E135" s="545">
        <f t="shared" si="16"/>
        <v>10186</v>
      </c>
      <c r="F135" s="545">
        <f t="shared" si="16"/>
        <v>12029</v>
      </c>
      <c r="G135" s="545">
        <f t="shared" si="16"/>
        <v>10348</v>
      </c>
      <c r="H135" s="545">
        <f t="shared" si="16"/>
        <v>9764</v>
      </c>
      <c r="I135" s="545">
        <f t="shared" si="16"/>
        <v>9884</v>
      </c>
      <c r="J135" s="545">
        <f t="shared" si="16"/>
        <v>9688</v>
      </c>
      <c r="K135" s="545">
        <f t="shared" si="16"/>
        <v>9432</v>
      </c>
      <c r="L135" s="545">
        <f t="shared" si="16"/>
        <v>9470</v>
      </c>
      <c r="M135" s="545">
        <f t="shared" si="16"/>
        <v>8781</v>
      </c>
      <c r="N135" s="545">
        <f t="shared" si="16"/>
        <v>9112</v>
      </c>
      <c r="O135" s="979">
        <f t="shared" si="14"/>
        <v>9805.5833333333339</v>
      </c>
      <c r="P135" s="518">
        <f t="shared" si="15"/>
        <v>1.8498075786349405E-2</v>
      </c>
    </row>
    <row r="136" spans="2:16">
      <c r="B136" s="981" t="s">
        <v>734</v>
      </c>
      <c r="C136" s="545">
        <f t="shared" si="16"/>
        <v>3717</v>
      </c>
      <c r="D136" s="545">
        <f t="shared" si="16"/>
        <v>3801</v>
      </c>
      <c r="E136" s="545">
        <f t="shared" si="16"/>
        <v>4036</v>
      </c>
      <c r="F136" s="545">
        <f t="shared" si="16"/>
        <v>4658</v>
      </c>
      <c r="G136" s="545">
        <f t="shared" si="16"/>
        <v>4097</v>
      </c>
      <c r="H136" s="545">
        <f t="shared" si="16"/>
        <v>3933</v>
      </c>
      <c r="I136" s="545">
        <f t="shared" si="16"/>
        <v>4043</v>
      </c>
      <c r="J136" s="545">
        <f t="shared" si="16"/>
        <v>3993</v>
      </c>
      <c r="K136" s="545">
        <f t="shared" si="16"/>
        <v>3911</v>
      </c>
      <c r="L136" s="545">
        <f t="shared" si="16"/>
        <v>3994</v>
      </c>
      <c r="M136" s="545">
        <f t="shared" si="16"/>
        <v>3579</v>
      </c>
      <c r="N136" s="545">
        <f t="shared" si="16"/>
        <v>3775</v>
      </c>
      <c r="O136" s="979">
        <f t="shared" si="14"/>
        <v>3961.4166666666665</v>
      </c>
      <c r="P136" s="518">
        <f t="shared" si="15"/>
        <v>7.4731490448102832E-3</v>
      </c>
    </row>
    <row r="137" spans="2:16">
      <c r="B137" s="981" t="s">
        <v>735</v>
      </c>
      <c r="C137" s="545">
        <f t="shared" si="16"/>
        <v>2037</v>
      </c>
      <c r="D137" s="545">
        <f t="shared" si="16"/>
        <v>2174</v>
      </c>
      <c r="E137" s="545">
        <f t="shared" si="16"/>
        <v>2206</v>
      </c>
      <c r="F137" s="545">
        <f t="shared" si="16"/>
        <v>2442</v>
      </c>
      <c r="G137" s="545">
        <f t="shared" si="16"/>
        <v>2266</v>
      </c>
      <c r="H137" s="545">
        <f t="shared" si="16"/>
        <v>2170</v>
      </c>
      <c r="I137" s="545">
        <f t="shared" si="16"/>
        <v>2234</v>
      </c>
      <c r="J137" s="545">
        <f t="shared" si="16"/>
        <v>2244</v>
      </c>
      <c r="K137" s="545">
        <f t="shared" si="16"/>
        <v>2156</v>
      </c>
      <c r="L137" s="545">
        <f t="shared" si="16"/>
        <v>2169</v>
      </c>
      <c r="M137" s="545">
        <f t="shared" si="16"/>
        <v>2045</v>
      </c>
      <c r="N137" s="545">
        <f t="shared" si="16"/>
        <v>2120</v>
      </c>
      <c r="O137" s="979">
        <f t="shared" si="14"/>
        <v>2188.5833333333335</v>
      </c>
      <c r="P137" s="518">
        <f t="shared" si="15"/>
        <v>4.1287273779130459E-3</v>
      </c>
    </row>
    <row r="138" spans="2:16">
      <c r="B138" s="981" t="s">
        <v>736</v>
      </c>
      <c r="C138" s="545">
        <f t="shared" si="16"/>
        <v>1226</v>
      </c>
      <c r="D138" s="545">
        <f t="shared" si="16"/>
        <v>1293</v>
      </c>
      <c r="E138" s="545">
        <f t="shared" si="16"/>
        <v>1314</v>
      </c>
      <c r="F138" s="545">
        <f t="shared" si="16"/>
        <v>1495</v>
      </c>
      <c r="G138" s="545">
        <f t="shared" si="16"/>
        <v>1299</v>
      </c>
      <c r="H138" s="545">
        <f t="shared" si="16"/>
        <v>1323</v>
      </c>
      <c r="I138" s="545">
        <f t="shared" si="16"/>
        <v>1357</v>
      </c>
      <c r="J138" s="545">
        <f t="shared" si="16"/>
        <v>1330</v>
      </c>
      <c r="K138" s="545">
        <f t="shared" si="16"/>
        <v>1299</v>
      </c>
      <c r="L138" s="545">
        <f t="shared" si="16"/>
        <v>1336</v>
      </c>
      <c r="M138" s="545">
        <f t="shared" si="16"/>
        <v>1188</v>
      </c>
      <c r="N138" s="545">
        <f t="shared" si="16"/>
        <v>1277</v>
      </c>
      <c r="O138" s="979">
        <f t="shared" si="14"/>
        <v>1311.4166666666667</v>
      </c>
      <c r="P138" s="518">
        <f t="shared" si="15"/>
        <v>2.4739665211977917E-3</v>
      </c>
    </row>
    <row r="139" spans="2:16">
      <c r="B139" s="981" t="s">
        <v>737</v>
      </c>
      <c r="C139" s="545">
        <f t="shared" si="16"/>
        <v>2944</v>
      </c>
      <c r="D139" s="545">
        <f t="shared" si="16"/>
        <v>3049</v>
      </c>
      <c r="E139" s="545">
        <f t="shared" si="16"/>
        <v>3160</v>
      </c>
      <c r="F139" s="545">
        <f t="shared" si="16"/>
        <v>3488</v>
      </c>
      <c r="G139" s="545">
        <f t="shared" si="16"/>
        <v>3340</v>
      </c>
      <c r="H139" s="545">
        <f t="shared" si="16"/>
        <v>3257</v>
      </c>
      <c r="I139" s="545">
        <f t="shared" si="16"/>
        <v>3349</v>
      </c>
      <c r="J139" s="545">
        <f t="shared" si="16"/>
        <v>3396</v>
      </c>
      <c r="K139" s="545">
        <f t="shared" si="16"/>
        <v>3341</v>
      </c>
      <c r="L139" s="545">
        <f t="shared" si="16"/>
        <v>3400</v>
      </c>
      <c r="M139" s="545">
        <f t="shared" si="16"/>
        <v>3162</v>
      </c>
      <c r="N139" s="545">
        <f t="shared" si="16"/>
        <v>3323</v>
      </c>
      <c r="O139" s="979">
        <f t="shared" si="14"/>
        <v>3267.4166666666665</v>
      </c>
      <c r="P139" s="518">
        <f t="shared" si="15"/>
        <v>6.1639291688151627E-3</v>
      </c>
    </row>
    <row r="140" spans="2:16">
      <c r="P140" s="2428"/>
    </row>
    <row r="141" spans="2:16">
      <c r="B141" s="38" t="s">
        <v>739</v>
      </c>
      <c r="C141" s="60">
        <f t="shared" ref="C141:O141" si="17">SUM(C119:C120)</f>
        <v>134002</v>
      </c>
      <c r="D141" s="60">
        <f t="shared" si="17"/>
        <v>137586</v>
      </c>
      <c r="E141" s="60">
        <f t="shared" si="17"/>
        <v>132088</v>
      </c>
      <c r="F141" s="60">
        <f t="shared" si="17"/>
        <v>127666</v>
      </c>
      <c r="G141" s="60">
        <f t="shared" si="17"/>
        <v>125551</v>
      </c>
      <c r="H141" s="60">
        <f t="shared" si="17"/>
        <v>128390</v>
      </c>
      <c r="I141" s="60">
        <f t="shared" ref="I141:N141" si="18">SUM(I119:I120)</f>
        <v>126954</v>
      </c>
      <c r="J141" s="60">
        <f t="shared" si="18"/>
        <v>127825</v>
      </c>
      <c r="K141" s="60">
        <f t="shared" si="18"/>
        <v>129633</v>
      </c>
      <c r="L141" s="60">
        <f t="shared" si="18"/>
        <v>128194</v>
      </c>
      <c r="M141" s="60">
        <f t="shared" si="18"/>
        <v>130381</v>
      </c>
      <c r="N141" s="60">
        <f t="shared" si="18"/>
        <v>130616</v>
      </c>
      <c r="O141" s="60">
        <f t="shared" si="17"/>
        <v>129907.16666666667</v>
      </c>
      <c r="P141" s="2428"/>
    </row>
    <row r="142" spans="2:16">
      <c r="B142" s="38" t="s">
        <v>740</v>
      </c>
      <c r="C142" s="60">
        <f t="shared" ref="C142:O142" si="19">SUM(C121)</f>
        <v>67409</v>
      </c>
      <c r="D142" s="60">
        <f t="shared" si="19"/>
        <v>68310</v>
      </c>
      <c r="E142" s="60">
        <f t="shared" si="19"/>
        <v>67671</v>
      </c>
      <c r="F142" s="60">
        <f t="shared" si="19"/>
        <v>65988</v>
      </c>
      <c r="G142" s="60">
        <f t="shared" si="19"/>
        <v>65471</v>
      </c>
      <c r="H142" s="60">
        <f t="shared" si="19"/>
        <v>66070</v>
      </c>
      <c r="I142" s="60">
        <f t="shared" ref="I142:N142" si="20">SUM(I121)</f>
        <v>66437</v>
      </c>
      <c r="J142" s="60">
        <f t="shared" si="20"/>
        <v>66857</v>
      </c>
      <c r="K142" s="60">
        <f t="shared" si="20"/>
        <v>67756</v>
      </c>
      <c r="L142" s="60">
        <f t="shared" si="20"/>
        <v>68196</v>
      </c>
      <c r="M142" s="60">
        <f t="shared" si="20"/>
        <v>70266</v>
      </c>
      <c r="N142" s="60">
        <f t="shared" si="20"/>
        <v>71459</v>
      </c>
      <c r="O142" s="60">
        <f t="shared" si="19"/>
        <v>67657.5</v>
      </c>
      <c r="P142" s="2428"/>
    </row>
    <row r="143" spans="2:16">
      <c r="B143" s="38" t="s">
        <v>741</v>
      </c>
      <c r="C143" s="60">
        <f t="shared" ref="C143:O143" si="21">SUM(C122)</f>
        <v>72299</v>
      </c>
      <c r="D143" s="60">
        <f t="shared" si="21"/>
        <v>71473</v>
      </c>
      <c r="E143" s="60">
        <f t="shared" si="21"/>
        <v>72188</v>
      </c>
      <c r="F143" s="60">
        <f t="shared" si="21"/>
        <v>70753</v>
      </c>
      <c r="G143" s="60">
        <f t="shared" si="21"/>
        <v>72065</v>
      </c>
      <c r="H143" s="60">
        <f t="shared" si="21"/>
        <v>73433</v>
      </c>
      <c r="I143" s="60">
        <f t="shared" ref="I143:N143" si="22">SUM(I122)</f>
        <v>74377</v>
      </c>
      <c r="J143" s="60">
        <f t="shared" si="22"/>
        <v>73719</v>
      </c>
      <c r="K143" s="60">
        <f t="shared" si="22"/>
        <v>75141</v>
      </c>
      <c r="L143" s="60">
        <f t="shared" si="22"/>
        <v>75207</v>
      </c>
      <c r="M143" s="60">
        <f t="shared" si="22"/>
        <v>76647</v>
      </c>
      <c r="N143" s="60">
        <f t="shared" si="22"/>
        <v>77433</v>
      </c>
      <c r="O143" s="60">
        <f t="shared" si="21"/>
        <v>73727.916666666672</v>
      </c>
      <c r="P143" s="2428"/>
    </row>
    <row r="144" spans="2:16">
      <c r="B144" s="38" t="s">
        <v>742</v>
      </c>
      <c r="C144" s="60">
        <f t="shared" ref="C144:O144" si="23">SUM(C123)</f>
        <v>57436</v>
      </c>
      <c r="D144" s="60">
        <f t="shared" si="23"/>
        <v>55447</v>
      </c>
      <c r="E144" s="60">
        <f t="shared" si="23"/>
        <v>57419</v>
      </c>
      <c r="F144" s="60">
        <f t="shared" si="23"/>
        <v>55642</v>
      </c>
      <c r="G144" s="60">
        <f t="shared" si="23"/>
        <v>58248</v>
      </c>
      <c r="H144" s="60">
        <f t="shared" si="23"/>
        <v>59132</v>
      </c>
      <c r="I144" s="60">
        <f t="shared" ref="I144:N144" si="24">SUM(I123)</f>
        <v>59183</v>
      </c>
      <c r="J144" s="60">
        <f t="shared" si="24"/>
        <v>59281</v>
      </c>
      <c r="K144" s="60">
        <f t="shared" si="24"/>
        <v>59092</v>
      </c>
      <c r="L144" s="60">
        <f t="shared" si="24"/>
        <v>59550</v>
      </c>
      <c r="M144" s="60">
        <f t="shared" si="24"/>
        <v>60199</v>
      </c>
      <c r="N144" s="60">
        <f t="shared" si="24"/>
        <v>60436</v>
      </c>
      <c r="O144" s="60">
        <f t="shared" si="23"/>
        <v>58422.083333333336</v>
      </c>
      <c r="P144" s="2428"/>
    </row>
    <row r="145" spans="2:19">
      <c r="B145" s="38" t="s">
        <v>743</v>
      </c>
      <c r="C145" s="60">
        <f t="shared" ref="C145:O145" si="25">SUM(C124)</f>
        <v>46301</v>
      </c>
      <c r="D145" s="60">
        <f t="shared" si="25"/>
        <v>45426</v>
      </c>
      <c r="E145" s="60">
        <f t="shared" si="25"/>
        <v>46166</v>
      </c>
      <c r="F145" s="60">
        <f t="shared" si="25"/>
        <v>46233</v>
      </c>
      <c r="G145" s="60">
        <f t="shared" si="25"/>
        <v>48483</v>
      </c>
      <c r="H145" s="60">
        <f t="shared" si="25"/>
        <v>48911</v>
      </c>
      <c r="I145" s="60">
        <f t="shared" ref="I145:N145" si="26">SUM(I124)</f>
        <v>48544</v>
      </c>
      <c r="J145" s="60">
        <f t="shared" si="26"/>
        <v>48485</v>
      </c>
      <c r="K145" s="60">
        <f t="shared" si="26"/>
        <v>49290</v>
      </c>
      <c r="L145" s="60">
        <f t="shared" si="26"/>
        <v>48749</v>
      </c>
      <c r="M145" s="60">
        <f t="shared" si="26"/>
        <v>48643</v>
      </c>
      <c r="N145" s="60">
        <f t="shared" si="26"/>
        <v>47165</v>
      </c>
      <c r="O145" s="60">
        <f t="shared" si="25"/>
        <v>47699.666666666664</v>
      </c>
    </row>
    <row r="146" spans="2:19">
      <c r="B146" s="38" t="s">
        <v>744</v>
      </c>
      <c r="C146" s="60">
        <f t="shared" ref="C146:O146" si="27">SUM(C125)</f>
        <v>31718</v>
      </c>
      <c r="D146" s="60">
        <f t="shared" si="27"/>
        <v>29651</v>
      </c>
      <c r="E146" s="60">
        <f t="shared" si="27"/>
        <v>30777</v>
      </c>
      <c r="F146" s="60">
        <f t="shared" si="27"/>
        <v>33439</v>
      </c>
      <c r="G146" s="60">
        <f t="shared" si="27"/>
        <v>32674</v>
      </c>
      <c r="H146" s="60">
        <f t="shared" si="27"/>
        <v>31880</v>
      </c>
      <c r="I146" s="60">
        <f t="shared" ref="I146:N146" si="28">SUM(I125)</f>
        <v>31909</v>
      </c>
      <c r="J146" s="60">
        <f t="shared" si="28"/>
        <v>31930</v>
      </c>
      <c r="K146" s="60">
        <f t="shared" si="28"/>
        <v>30313</v>
      </c>
      <c r="L146" s="60">
        <f t="shared" si="28"/>
        <v>31335</v>
      </c>
      <c r="M146" s="60">
        <f t="shared" si="28"/>
        <v>29454</v>
      </c>
      <c r="N146" s="60">
        <f t="shared" si="28"/>
        <v>30026</v>
      </c>
      <c r="O146" s="60">
        <f t="shared" si="27"/>
        <v>31258.833333333332</v>
      </c>
    </row>
    <row r="147" spans="2:19">
      <c r="B147" s="38" t="s">
        <v>745</v>
      </c>
      <c r="C147" s="60">
        <f t="shared" ref="C147:O147" si="29">SUM(C126)</f>
        <v>22440</v>
      </c>
      <c r="D147" s="60">
        <f t="shared" si="29"/>
        <v>22017</v>
      </c>
      <c r="E147" s="60">
        <f t="shared" si="29"/>
        <v>22325</v>
      </c>
      <c r="F147" s="60">
        <f t="shared" si="29"/>
        <v>21736</v>
      </c>
      <c r="G147" s="60">
        <f t="shared" si="29"/>
        <v>24871</v>
      </c>
      <c r="H147" s="60">
        <f t="shared" si="29"/>
        <v>23067</v>
      </c>
      <c r="I147" s="60">
        <f t="shared" ref="I147:N147" si="30">SUM(I126)</f>
        <v>23624</v>
      </c>
      <c r="J147" s="60">
        <f t="shared" si="30"/>
        <v>23720</v>
      </c>
      <c r="K147" s="60">
        <f t="shared" si="30"/>
        <v>23254</v>
      </c>
      <c r="L147" s="60">
        <f t="shared" si="30"/>
        <v>23146</v>
      </c>
      <c r="M147" s="60">
        <f t="shared" si="30"/>
        <v>22501</v>
      </c>
      <c r="N147" s="60">
        <f t="shared" si="30"/>
        <v>22616</v>
      </c>
      <c r="O147" s="60">
        <f t="shared" si="29"/>
        <v>22943.083333333332</v>
      </c>
    </row>
    <row r="148" spans="2:19">
      <c r="B148" s="519" t="s">
        <v>685</v>
      </c>
      <c r="C148" s="520">
        <f t="shared" ref="C148:O148" si="31">SUM(C141:C147)</f>
        <v>431605</v>
      </c>
      <c r="D148" s="520">
        <f t="shared" si="31"/>
        <v>429910</v>
      </c>
      <c r="E148" s="520">
        <f t="shared" si="31"/>
        <v>428634</v>
      </c>
      <c r="F148" s="520">
        <f t="shared" si="31"/>
        <v>421457</v>
      </c>
      <c r="G148" s="520">
        <f t="shared" si="31"/>
        <v>427363</v>
      </c>
      <c r="H148" s="520">
        <f t="shared" si="31"/>
        <v>430883</v>
      </c>
      <c r="I148" s="520">
        <f t="shared" ref="I148:N148" si="32">SUM(I141:I147)</f>
        <v>431028</v>
      </c>
      <c r="J148" s="520">
        <f t="shared" si="32"/>
        <v>431817</v>
      </c>
      <c r="K148" s="520">
        <f t="shared" si="32"/>
        <v>434479</v>
      </c>
      <c r="L148" s="520">
        <f t="shared" si="32"/>
        <v>434377</v>
      </c>
      <c r="M148" s="520">
        <f t="shared" si="32"/>
        <v>438091</v>
      </c>
      <c r="N148" s="520">
        <f t="shared" si="32"/>
        <v>439751</v>
      </c>
      <c r="O148" s="520">
        <f t="shared" si="31"/>
        <v>431616.25</v>
      </c>
    </row>
    <row r="149" spans="2:19">
      <c r="B149" s="38" t="s">
        <v>746</v>
      </c>
      <c r="C149" s="60">
        <f t="shared" ref="C149:O149" si="33">SUM(C127:C139)</f>
        <v>94856</v>
      </c>
      <c r="D149" s="60">
        <f t="shared" si="33"/>
        <v>95807</v>
      </c>
      <c r="E149" s="60">
        <f t="shared" si="33"/>
        <v>99169</v>
      </c>
      <c r="F149" s="60">
        <f t="shared" si="33"/>
        <v>107923</v>
      </c>
      <c r="G149" s="60">
        <f t="shared" si="33"/>
        <v>103221</v>
      </c>
      <c r="H149" s="60">
        <f t="shared" si="33"/>
        <v>99619</v>
      </c>
      <c r="I149" s="60">
        <f t="shared" ref="I149:N149" si="34">SUM(I127:I139)</f>
        <v>100125</v>
      </c>
      <c r="J149" s="60">
        <f t="shared" si="34"/>
        <v>100351</v>
      </c>
      <c r="K149" s="60">
        <f t="shared" si="34"/>
        <v>97488</v>
      </c>
      <c r="L149" s="60">
        <f t="shared" si="34"/>
        <v>97794</v>
      </c>
      <c r="M149" s="60">
        <f t="shared" si="34"/>
        <v>92599</v>
      </c>
      <c r="N149" s="60">
        <f t="shared" si="34"/>
        <v>92693</v>
      </c>
      <c r="O149" s="60">
        <f t="shared" si="33"/>
        <v>98470.416666666672</v>
      </c>
    </row>
    <row r="150" spans="2:19">
      <c r="B150" s="519" t="s">
        <v>747</v>
      </c>
      <c r="C150" s="520">
        <f t="shared" ref="C150:O150" si="35">C148+C149</f>
        <v>526461</v>
      </c>
      <c r="D150" s="520">
        <f t="shared" si="35"/>
        <v>525717</v>
      </c>
      <c r="E150" s="520">
        <f t="shared" si="35"/>
        <v>527803</v>
      </c>
      <c r="F150" s="520">
        <f t="shared" si="35"/>
        <v>529380</v>
      </c>
      <c r="G150" s="520">
        <f t="shared" si="35"/>
        <v>530584</v>
      </c>
      <c r="H150" s="520">
        <f t="shared" si="35"/>
        <v>530502</v>
      </c>
      <c r="I150" s="520">
        <f t="shared" ref="I150:N150" si="36">I148+I149</f>
        <v>531153</v>
      </c>
      <c r="J150" s="520">
        <f t="shared" si="36"/>
        <v>532168</v>
      </c>
      <c r="K150" s="520">
        <f t="shared" si="36"/>
        <v>531967</v>
      </c>
      <c r="L150" s="520">
        <f t="shared" si="36"/>
        <v>532171</v>
      </c>
      <c r="M150" s="520">
        <f t="shared" si="36"/>
        <v>530690</v>
      </c>
      <c r="N150" s="520">
        <f t="shared" si="36"/>
        <v>532444</v>
      </c>
      <c r="O150" s="520">
        <f t="shared" si="35"/>
        <v>530086.66666666663</v>
      </c>
    </row>
    <row r="152" spans="2:19">
      <c r="B152" s="513" t="s">
        <v>310</v>
      </c>
      <c r="C152" s="514">
        <f t="shared" ref="C152:H152" si="37">C5</f>
        <v>45658</v>
      </c>
      <c r="D152" s="514">
        <f t="shared" si="37"/>
        <v>45689</v>
      </c>
      <c r="E152" s="514">
        <f t="shared" si="37"/>
        <v>45717</v>
      </c>
      <c r="F152" s="514">
        <f t="shared" si="37"/>
        <v>45748</v>
      </c>
      <c r="G152" s="514">
        <f t="shared" si="37"/>
        <v>45778</v>
      </c>
      <c r="H152" s="514">
        <f t="shared" si="37"/>
        <v>45809</v>
      </c>
      <c r="I152" s="514">
        <f t="shared" ref="I152:N152" si="38">I5</f>
        <v>45839</v>
      </c>
      <c r="J152" s="514">
        <f t="shared" si="38"/>
        <v>45870</v>
      </c>
      <c r="K152" s="514">
        <f t="shared" si="38"/>
        <v>45901</v>
      </c>
      <c r="L152" s="514">
        <f t="shared" si="38"/>
        <v>45931</v>
      </c>
      <c r="M152" s="514">
        <f t="shared" si="38"/>
        <v>45962</v>
      </c>
      <c r="N152" s="514">
        <f t="shared" si="38"/>
        <v>45992</v>
      </c>
      <c r="O152" s="515" t="s">
        <v>154</v>
      </c>
    </row>
    <row r="153" spans="2:19">
      <c r="B153" s="521" t="s">
        <v>765</v>
      </c>
      <c r="C153" s="60">
        <f t="shared" ref="C153:H153" si="39">C119</f>
        <v>73666</v>
      </c>
      <c r="D153" s="60">
        <f t="shared" si="39"/>
        <v>75466</v>
      </c>
      <c r="E153" s="60">
        <f t="shared" si="39"/>
        <v>71659</v>
      </c>
      <c r="F153" s="60">
        <f t="shared" si="39"/>
        <v>69618</v>
      </c>
      <c r="G153" s="60">
        <f t="shared" si="39"/>
        <v>68000</v>
      </c>
      <c r="H153" s="60">
        <f t="shared" si="39"/>
        <v>69371</v>
      </c>
      <c r="I153" s="60">
        <f t="shared" ref="I153:N153" si="40">I119</f>
        <v>67648</v>
      </c>
      <c r="J153" s="60">
        <f t="shared" si="40"/>
        <v>67312</v>
      </c>
      <c r="K153" s="60">
        <f t="shared" si="40"/>
        <v>67496</v>
      </c>
      <c r="L153" s="60">
        <f t="shared" si="40"/>
        <v>66519</v>
      </c>
      <c r="M153" s="60">
        <f t="shared" si="40"/>
        <v>66475</v>
      </c>
      <c r="N153" s="60">
        <f t="shared" si="40"/>
        <v>65456</v>
      </c>
      <c r="O153" s="60">
        <f t="shared" ref="O153:O159" si="41">O119</f>
        <v>69057.166666666672</v>
      </c>
      <c r="P153" s="2427">
        <f>O153/O$162</f>
        <v>0.13027523801139437</v>
      </c>
      <c r="Q153" s="60">
        <v>60272.164554066636</v>
      </c>
      <c r="R153" s="60">
        <f>AVERAGE(I153:N153)</f>
        <v>66817.666666666672</v>
      </c>
      <c r="S153" s="2427">
        <f>R153/R$162</f>
        <v>0.12565250409563364</v>
      </c>
    </row>
    <row r="154" spans="2:19">
      <c r="B154" s="521" t="s">
        <v>766</v>
      </c>
      <c r="C154" s="60">
        <f t="shared" ref="C154:H154" si="42">C120</f>
        <v>60336</v>
      </c>
      <c r="D154" s="60">
        <f t="shared" si="42"/>
        <v>62120</v>
      </c>
      <c r="E154" s="60">
        <f t="shared" si="42"/>
        <v>60429</v>
      </c>
      <c r="F154" s="60">
        <f t="shared" si="42"/>
        <v>58048</v>
      </c>
      <c r="G154" s="60">
        <f t="shared" si="42"/>
        <v>57551</v>
      </c>
      <c r="H154" s="60">
        <f t="shared" si="42"/>
        <v>59019</v>
      </c>
      <c r="I154" s="60">
        <f t="shared" ref="I154:N154" si="43">I120</f>
        <v>59306</v>
      </c>
      <c r="J154" s="60">
        <f t="shared" si="43"/>
        <v>60513</v>
      </c>
      <c r="K154" s="60">
        <f t="shared" si="43"/>
        <v>62137</v>
      </c>
      <c r="L154" s="60">
        <f t="shared" si="43"/>
        <v>61675</v>
      </c>
      <c r="M154" s="60">
        <f t="shared" si="43"/>
        <v>63906</v>
      </c>
      <c r="N154" s="60">
        <f t="shared" si="43"/>
        <v>65160</v>
      </c>
      <c r="O154" s="60">
        <f t="shared" si="41"/>
        <v>60850</v>
      </c>
      <c r="P154" s="2427">
        <f t="shared" ref="P154:P162" si="44">O154/O$162</f>
        <v>0.11479254964596985</v>
      </c>
      <c r="Q154" s="60">
        <v>53109.060075082067</v>
      </c>
      <c r="R154" s="60">
        <f t="shared" ref="R154:R162" si="45">AVERAGE(I154:N154)</f>
        <v>62116.166666666664</v>
      </c>
      <c r="S154" s="2427">
        <f t="shared" ref="S154:S162" si="46">R154/R$162</f>
        <v>0.11681120092722574</v>
      </c>
    </row>
    <row r="155" spans="2:19">
      <c r="B155" s="521" t="s">
        <v>767</v>
      </c>
      <c r="C155" s="60">
        <f t="shared" ref="C155:H155" si="47">C121</f>
        <v>67409</v>
      </c>
      <c r="D155" s="60">
        <f t="shared" si="47"/>
        <v>68310</v>
      </c>
      <c r="E155" s="60">
        <f t="shared" si="47"/>
        <v>67671</v>
      </c>
      <c r="F155" s="60">
        <f t="shared" si="47"/>
        <v>65988</v>
      </c>
      <c r="G155" s="60">
        <f t="shared" si="47"/>
        <v>65471</v>
      </c>
      <c r="H155" s="60">
        <f t="shared" si="47"/>
        <v>66070</v>
      </c>
      <c r="I155" s="60">
        <f t="shared" ref="I155:N155" si="48">I121</f>
        <v>66437</v>
      </c>
      <c r="J155" s="60">
        <f t="shared" si="48"/>
        <v>66857</v>
      </c>
      <c r="K155" s="60">
        <f t="shared" si="48"/>
        <v>67756</v>
      </c>
      <c r="L155" s="60">
        <f t="shared" si="48"/>
        <v>68196</v>
      </c>
      <c r="M155" s="60">
        <f t="shared" si="48"/>
        <v>70266</v>
      </c>
      <c r="N155" s="60">
        <f t="shared" si="48"/>
        <v>71459</v>
      </c>
      <c r="O155" s="60">
        <f t="shared" si="41"/>
        <v>67657.5</v>
      </c>
      <c r="P155" s="2427">
        <f t="shared" si="44"/>
        <v>0.12763478927974042</v>
      </c>
      <c r="Q155" s="60">
        <v>59050.55434724511</v>
      </c>
      <c r="R155" s="60">
        <f t="shared" si="45"/>
        <v>68495.166666666672</v>
      </c>
      <c r="S155" s="2427">
        <f t="shared" si="46"/>
        <v>0.12880709009265676</v>
      </c>
    </row>
    <row r="156" spans="2:19">
      <c r="B156" s="521" t="s">
        <v>768</v>
      </c>
      <c r="C156" s="60">
        <f t="shared" ref="C156:H156" si="49">C122</f>
        <v>72299</v>
      </c>
      <c r="D156" s="60">
        <f t="shared" si="49"/>
        <v>71473</v>
      </c>
      <c r="E156" s="60">
        <f t="shared" si="49"/>
        <v>72188</v>
      </c>
      <c r="F156" s="60">
        <f t="shared" si="49"/>
        <v>70753</v>
      </c>
      <c r="G156" s="60">
        <f t="shared" si="49"/>
        <v>72065</v>
      </c>
      <c r="H156" s="60">
        <f t="shared" si="49"/>
        <v>73433</v>
      </c>
      <c r="I156" s="60">
        <f t="shared" ref="I156:N156" si="50">I122</f>
        <v>74377</v>
      </c>
      <c r="J156" s="60">
        <f t="shared" si="50"/>
        <v>73719</v>
      </c>
      <c r="K156" s="60">
        <f t="shared" si="50"/>
        <v>75141</v>
      </c>
      <c r="L156" s="60">
        <f t="shared" si="50"/>
        <v>75207</v>
      </c>
      <c r="M156" s="60">
        <f t="shared" si="50"/>
        <v>76647</v>
      </c>
      <c r="N156" s="60">
        <f t="shared" si="50"/>
        <v>77433</v>
      </c>
      <c r="O156" s="60">
        <f t="shared" si="41"/>
        <v>73727.916666666672</v>
      </c>
      <c r="P156" s="2427">
        <f t="shared" si="44"/>
        <v>0.13908653301975779</v>
      </c>
      <c r="Q156" s="60">
        <v>64348.732217923491</v>
      </c>
      <c r="R156" s="60">
        <f t="shared" si="45"/>
        <v>75420.666666666672</v>
      </c>
      <c r="S156" s="2427">
        <f t="shared" si="46"/>
        <v>0.14183068790033704</v>
      </c>
    </row>
    <row r="157" spans="2:19">
      <c r="B157" s="521" t="s">
        <v>769</v>
      </c>
      <c r="C157" s="60">
        <f t="shared" ref="C157:H157" si="51">C123</f>
        <v>57436</v>
      </c>
      <c r="D157" s="60">
        <f t="shared" si="51"/>
        <v>55447</v>
      </c>
      <c r="E157" s="60">
        <f t="shared" si="51"/>
        <v>57419</v>
      </c>
      <c r="F157" s="60">
        <f t="shared" si="51"/>
        <v>55642</v>
      </c>
      <c r="G157" s="60">
        <f t="shared" si="51"/>
        <v>58248</v>
      </c>
      <c r="H157" s="60">
        <f t="shared" si="51"/>
        <v>59132</v>
      </c>
      <c r="I157" s="60">
        <f t="shared" ref="I157:N157" si="52">I123</f>
        <v>59183</v>
      </c>
      <c r="J157" s="60">
        <f t="shared" si="52"/>
        <v>59281</v>
      </c>
      <c r="K157" s="60">
        <f t="shared" si="52"/>
        <v>59092</v>
      </c>
      <c r="L157" s="60">
        <f t="shared" si="52"/>
        <v>59550</v>
      </c>
      <c r="M157" s="60">
        <f t="shared" si="52"/>
        <v>60199</v>
      </c>
      <c r="N157" s="60">
        <f t="shared" si="52"/>
        <v>60436</v>
      </c>
      <c r="O157" s="60">
        <f t="shared" si="41"/>
        <v>58422.083333333336</v>
      </c>
      <c r="P157" s="2427">
        <f t="shared" si="44"/>
        <v>0.1102123237709557</v>
      </c>
      <c r="Q157" s="60">
        <v>50990.007123442083</v>
      </c>
      <c r="R157" s="60">
        <f t="shared" si="45"/>
        <v>59623.5</v>
      </c>
      <c r="S157" s="2427">
        <f t="shared" si="46"/>
        <v>0.11212367105425229</v>
      </c>
    </row>
    <row r="158" spans="2:19">
      <c r="B158" s="521" t="s">
        <v>770</v>
      </c>
      <c r="C158" s="60">
        <f t="shared" ref="C158:H158" si="53">C124</f>
        <v>46301</v>
      </c>
      <c r="D158" s="60">
        <f t="shared" si="53"/>
        <v>45426</v>
      </c>
      <c r="E158" s="60">
        <f t="shared" si="53"/>
        <v>46166</v>
      </c>
      <c r="F158" s="60">
        <f t="shared" si="53"/>
        <v>46233</v>
      </c>
      <c r="G158" s="60">
        <f t="shared" si="53"/>
        <v>48483</v>
      </c>
      <c r="H158" s="60">
        <f t="shared" si="53"/>
        <v>48911</v>
      </c>
      <c r="I158" s="60">
        <f t="shared" ref="I158:N158" si="54">I124</f>
        <v>48544</v>
      </c>
      <c r="J158" s="60">
        <f t="shared" si="54"/>
        <v>48485</v>
      </c>
      <c r="K158" s="60">
        <f t="shared" si="54"/>
        <v>49290</v>
      </c>
      <c r="L158" s="60">
        <f t="shared" si="54"/>
        <v>48749</v>
      </c>
      <c r="M158" s="60">
        <f t="shared" si="54"/>
        <v>48643</v>
      </c>
      <c r="N158" s="60">
        <f t="shared" si="54"/>
        <v>47165</v>
      </c>
      <c r="O158" s="60">
        <f t="shared" si="41"/>
        <v>47699.666666666664</v>
      </c>
      <c r="P158" s="2427">
        <f t="shared" si="44"/>
        <v>8.9984656597034446E-2</v>
      </c>
      <c r="Q158" s="60">
        <v>41631.626336259476</v>
      </c>
      <c r="R158" s="60">
        <f t="shared" si="45"/>
        <v>48479.333333333336</v>
      </c>
      <c r="S158" s="2427">
        <f t="shared" si="46"/>
        <v>9.1166751760566142E-2</v>
      </c>
    </row>
    <row r="159" spans="2:19">
      <c r="B159" s="521" t="s">
        <v>771</v>
      </c>
      <c r="C159" s="60">
        <f t="shared" ref="C159:H159" si="55">C125</f>
        <v>31718</v>
      </c>
      <c r="D159" s="60">
        <f t="shared" si="55"/>
        <v>29651</v>
      </c>
      <c r="E159" s="60">
        <f t="shared" si="55"/>
        <v>30777</v>
      </c>
      <c r="F159" s="60">
        <f t="shared" si="55"/>
        <v>33439</v>
      </c>
      <c r="G159" s="60">
        <f t="shared" si="55"/>
        <v>32674</v>
      </c>
      <c r="H159" s="60">
        <f t="shared" si="55"/>
        <v>31880</v>
      </c>
      <c r="I159" s="60">
        <f t="shared" ref="I159:N159" si="56">I125</f>
        <v>31909</v>
      </c>
      <c r="J159" s="60">
        <f t="shared" si="56"/>
        <v>31930</v>
      </c>
      <c r="K159" s="60">
        <f t="shared" si="56"/>
        <v>30313</v>
      </c>
      <c r="L159" s="60">
        <f t="shared" si="56"/>
        <v>31335</v>
      </c>
      <c r="M159" s="60">
        <f t="shared" si="56"/>
        <v>29454</v>
      </c>
      <c r="N159" s="60">
        <f t="shared" si="56"/>
        <v>30026</v>
      </c>
      <c r="O159" s="60">
        <f t="shared" si="41"/>
        <v>31258.833333333332</v>
      </c>
      <c r="P159" s="2427">
        <f t="shared" si="44"/>
        <v>5.896928804094928E-2</v>
      </c>
      <c r="Q159" s="520">
        <f>SUM(Q153:Q158)</f>
        <v>329402.14465401886</v>
      </c>
      <c r="R159" s="60">
        <f t="shared" si="45"/>
        <v>30827.833333333332</v>
      </c>
      <c r="S159" s="2427">
        <f t="shared" si="46"/>
        <v>5.7972608853589284E-2</v>
      </c>
    </row>
    <row r="160" spans="2:19">
      <c r="B160" s="521" t="s">
        <v>772</v>
      </c>
      <c r="C160" s="60">
        <f t="shared" ref="C160:H160" si="57">SUM(C126:C133)</f>
        <v>85112</v>
      </c>
      <c r="D160" s="60">
        <f t="shared" si="57"/>
        <v>84420</v>
      </c>
      <c r="E160" s="60">
        <f t="shared" si="57"/>
        <v>86585</v>
      </c>
      <c r="F160" s="60">
        <f t="shared" si="57"/>
        <v>89272</v>
      </c>
      <c r="G160" s="60">
        <f t="shared" si="57"/>
        <v>92465</v>
      </c>
      <c r="H160" s="60">
        <f t="shared" si="57"/>
        <v>89009</v>
      </c>
      <c r="I160" s="60">
        <f t="shared" ref="I160:N160" si="58">SUM(I126:I133)</f>
        <v>89323</v>
      </c>
      <c r="J160" s="60">
        <f t="shared" si="58"/>
        <v>90037</v>
      </c>
      <c r="K160" s="60">
        <f t="shared" si="58"/>
        <v>87745</v>
      </c>
      <c r="L160" s="60">
        <f t="shared" si="58"/>
        <v>87599</v>
      </c>
      <c r="M160" s="60">
        <f t="shared" si="58"/>
        <v>84442</v>
      </c>
      <c r="N160" s="60">
        <f t="shared" si="58"/>
        <v>83659</v>
      </c>
      <c r="O160" s="60">
        <f>SUM(O126:O133)</f>
        <v>87472.333333333343</v>
      </c>
      <c r="P160" s="2427">
        <f t="shared" si="44"/>
        <v>0.16501515475456846</v>
      </c>
      <c r="Q160" s="520">
        <f>SUM(O153:O158)</f>
        <v>377414.33333333337</v>
      </c>
      <c r="R160" s="60">
        <f t="shared" si="45"/>
        <v>87134.166666666672</v>
      </c>
      <c r="S160" s="2427">
        <f t="shared" si="46"/>
        <v>0.16385825456270983</v>
      </c>
    </row>
    <row r="161" spans="2:19">
      <c r="B161" s="521" t="s">
        <v>773</v>
      </c>
      <c r="C161" s="60">
        <f t="shared" ref="C161:H161" si="59">SUM(C134:C139)</f>
        <v>32184</v>
      </c>
      <c r="D161" s="60">
        <f t="shared" si="59"/>
        <v>33404</v>
      </c>
      <c r="E161" s="60">
        <f t="shared" si="59"/>
        <v>34909</v>
      </c>
      <c r="F161" s="60">
        <f t="shared" si="59"/>
        <v>40387</v>
      </c>
      <c r="G161" s="60">
        <f t="shared" si="59"/>
        <v>35627</v>
      </c>
      <c r="H161" s="60">
        <f t="shared" si="59"/>
        <v>33677</v>
      </c>
      <c r="I161" s="60">
        <f t="shared" ref="I161:N161" si="60">SUM(I134:I139)</f>
        <v>34426</v>
      </c>
      <c r="J161" s="60">
        <f t="shared" si="60"/>
        <v>34034</v>
      </c>
      <c r="K161" s="60">
        <f t="shared" si="60"/>
        <v>32997</v>
      </c>
      <c r="L161" s="60">
        <f t="shared" si="60"/>
        <v>33341</v>
      </c>
      <c r="M161" s="60">
        <f t="shared" si="60"/>
        <v>30658</v>
      </c>
      <c r="N161" s="60">
        <f t="shared" si="60"/>
        <v>31650</v>
      </c>
      <c r="O161" s="60">
        <f>SUM(O134:O139)</f>
        <v>33941.166666666672</v>
      </c>
      <c r="P161" s="2427">
        <f t="shared" si="44"/>
        <v>6.4029466879629765E-2</v>
      </c>
      <c r="Q161" s="520">
        <f>Q160-Q159</f>
        <v>48012.188679314509</v>
      </c>
      <c r="R161" s="60">
        <f t="shared" si="45"/>
        <v>32851</v>
      </c>
      <c r="S161" s="2427">
        <f t="shared" si="46"/>
        <v>6.1777230753029294E-2</v>
      </c>
    </row>
    <row r="162" spans="2:19">
      <c r="B162" s="522" t="s">
        <v>774</v>
      </c>
      <c r="C162" s="520">
        <f t="shared" ref="C162:H162" si="61">SUM(C153:C161)</f>
        <v>526461</v>
      </c>
      <c r="D162" s="520">
        <f t="shared" si="61"/>
        <v>525717</v>
      </c>
      <c r="E162" s="520">
        <f t="shared" si="61"/>
        <v>527803</v>
      </c>
      <c r="F162" s="520">
        <f t="shared" si="61"/>
        <v>529380</v>
      </c>
      <c r="G162" s="520">
        <f t="shared" si="61"/>
        <v>530584</v>
      </c>
      <c r="H162" s="520">
        <f t="shared" si="61"/>
        <v>530502</v>
      </c>
      <c r="I162" s="520">
        <f t="shared" ref="I162:N162" si="62">SUM(I153:I161)</f>
        <v>531153</v>
      </c>
      <c r="J162" s="520">
        <f t="shared" si="62"/>
        <v>532168</v>
      </c>
      <c r="K162" s="520">
        <f t="shared" si="62"/>
        <v>531967</v>
      </c>
      <c r="L162" s="520">
        <f t="shared" si="62"/>
        <v>532171</v>
      </c>
      <c r="M162" s="520">
        <f t="shared" si="62"/>
        <v>530690</v>
      </c>
      <c r="N162" s="520">
        <f t="shared" si="62"/>
        <v>532444</v>
      </c>
      <c r="O162" s="520">
        <f>SUM(O153:O161)</f>
        <v>530086.66666666663</v>
      </c>
      <c r="P162" s="2427">
        <f t="shared" si="44"/>
        <v>1</v>
      </c>
      <c r="R162" s="60">
        <f t="shared" si="45"/>
        <v>531765.5</v>
      </c>
      <c r="S162" s="2427">
        <f t="shared" si="46"/>
        <v>1</v>
      </c>
    </row>
    <row r="163" spans="2:19">
      <c r="C163" s="523">
        <v>526461</v>
      </c>
      <c r="D163" s="523">
        <v>525717</v>
      </c>
      <c r="E163" s="523">
        <v>527803</v>
      </c>
      <c r="F163" s="523">
        <v>529380</v>
      </c>
      <c r="G163" s="523">
        <v>530584</v>
      </c>
      <c r="H163" s="523">
        <v>530502</v>
      </c>
      <c r="I163" s="523">
        <f>F821C!D184</f>
        <v>531153</v>
      </c>
      <c r="J163" s="523">
        <f>F821C!E184</f>
        <v>532168</v>
      </c>
      <c r="K163" s="523">
        <f>F821C!F184</f>
        <v>531967</v>
      </c>
      <c r="L163" s="523">
        <f>F821C!G184</f>
        <v>532171</v>
      </c>
      <c r="M163" s="523">
        <f>F821C!H184</f>
        <v>530690</v>
      </c>
      <c r="N163" s="523">
        <f>F821C!I184</f>
        <v>532444</v>
      </c>
      <c r="O163" s="60"/>
    </row>
    <row r="164" spans="2:19">
      <c r="C164" s="524">
        <f>C163-C162</f>
        <v>0</v>
      </c>
      <c r="D164" s="524">
        <f t="shared" ref="D164:I164" si="63">D163-D162</f>
        <v>0</v>
      </c>
      <c r="E164" s="524">
        <f t="shared" si="63"/>
        <v>0</v>
      </c>
      <c r="F164" s="524">
        <f t="shared" si="63"/>
        <v>0</v>
      </c>
      <c r="G164" s="524">
        <f t="shared" si="63"/>
        <v>0</v>
      </c>
      <c r="H164" s="524">
        <f t="shared" si="63"/>
        <v>0</v>
      </c>
      <c r="I164" s="524">
        <f t="shared" si="63"/>
        <v>0</v>
      </c>
      <c r="J164" s="524">
        <f t="shared" ref="J164:N164" si="64">J163-J162</f>
        <v>0</v>
      </c>
      <c r="K164" s="524">
        <f t="shared" si="64"/>
        <v>0</v>
      </c>
      <c r="L164" s="524">
        <f t="shared" si="64"/>
        <v>0</v>
      </c>
      <c r="M164" s="524">
        <f t="shared" si="64"/>
        <v>0</v>
      </c>
      <c r="N164" s="524">
        <f t="shared" si="64"/>
        <v>0</v>
      </c>
      <c r="O164" s="60"/>
    </row>
  </sheetData>
  <printOptions horizontalCentered="1" verticalCentered="1"/>
  <pageMargins left="0.59055118110236227" right="0.59055118110236227" top="0.78740157480314965" bottom="0.59055118110236227" header="0.59055118110236227" footer="0.47244094488188981"/>
  <pageSetup scale="38" orientation="portrait" r:id="rId1"/>
  <headerFooter>
    <oddHeader>&amp;L&amp;"Times New Roman,Negrita"&amp;14Nombre de la Distribuidora: &amp;K06-048ENSA&amp;RASEP FORM: &amp;A</oddHeader>
    <oddFooter>&amp;R&amp;A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Hoja96">
    <tabColor theme="4" tint="-0.249977111117893"/>
    <pageSetUpPr fitToPage="1"/>
  </sheetPr>
  <dimension ref="B1:S164"/>
  <sheetViews>
    <sheetView view="pageBreakPreview" topLeftCell="A130" zoomScale="70" zoomScaleNormal="100" zoomScaleSheetLayoutView="70" workbookViewId="0">
      <selection activeCell="R130" sqref="R1:R1048576"/>
    </sheetView>
  </sheetViews>
  <sheetFormatPr baseColWidth="10" defaultColWidth="8" defaultRowHeight="13.5"/>
  <cols>
    <col min="1" max="1" width="1.875" style="37" customWidth="1"/>
    <col min="2" max="2" width="28.75" style="37" customWidth="1"/>
    <col min="3" max="14" width="10.375" style="37" customWidth="1"/>
    <col min="15" max="15" width="11.375" style="37" bestFit="1" customWidth="1"/>
    <col min="16" max="16" width="6" style="526" bestFit="1" customWidth="1"/>
    <col min="17" max="17" width="10.75" style="37" bestFit="1" customWidth="1"/>
    <col min="18" max="18" width="8.625" style="37" customWidth="1"/>
    <col min="19" max="19" width="10" style="37" bestFit="1" customWidth="1"/>
    <col min="20" max="24" width="2" style="37" customWidth="1"/>
    <col min="25" max="16384" width="8" style="37"/>
  </cols>
  <sheetData>
    <row r="1" spans="2:16" s="387" customFormat="1">
      <c r="P1" s="986"/>
    </row>
    <row r="2" spans="2:16" s="387" customFormat="1">
      <c r="B2" s="510" t="s">
        <v>480</v>
      </c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P2" s="986"/>
    </row>
    <row r="3" spans="2:16" s="387" customFormat="1">
      <c r="B3" s="510" t="s">
        <v>38</v>
      </c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P3" s="986"/>
    </row>
    <row r="4" spans="2:16" s="387" customFormat="1">
      <c r="B4" s="512"/>
      <c r="P4" s="986"/>
    </row>
    <row r="5" spans="2:16">
      <c r="B5" s="490" t="s">
        <v>310</v>
      </c>
      <c r="C5" s="982">
        <v>45658</v>
      </c>
      <c r="D5" s="982">
        <v>45689</v>
      </c>
      <c r="E5" s="982">
        <v>45717</v>
      </c>
      <c r="F5" s="982">
        <v>45748</v>
      </c>
      <c r="G5" s="982">
        <v>45778</v>
      </c>
      <c r="H5" s="982">
        <v>45809</v>
      </c>
      <c r="I5" s="982">
        <v>45839</v>
      </c>
      <c r="J5" s="982">
        <v>45870</v>
      </c>
      <c r="K5" s="982">
        <v>45901</v>
      </c>
      <c r="L5" s="982">
        <v>45931</v>
      </c>
      <c r="M5" s="982">
        <v>45962</v>
      </c>
      <c r="N5" s="982">
        <v>45992</v>
      </c>
      <c r="O5" s="983" t="s">
        <v>111</v>
      </c>
    </row>
    <row r="6" spans="2:16">
      <c r="B6" s="978" t="s">
        <v>308</v>
      </c>
      <c r="C6" s="545"/>
      <c r="D6" s="545"/>
      <c r="E6" s="545"/>
      <c r="F6" s="545"/>
      <c r="G6" s="545"/>
      <c r="H6" s="545"/>
      <c r="I6" s="545"/>
      <c r="J6" s="545"/>
      <c r="K6" s="545"/>
      <c r="L6" s="545"/>
      <c r="M6" s="545"/>
      <c r="N6" s="545"/>
      <c r="O6" s="979"/>
    </row>
    <row r="7" spans="2:16">
      <c r="B7" s="980" t="s">
        <v>212</v>
      </c>
      <c r="C7" s="545"/>
      <c r="D7" s="545"/>
      <c r="E7" s="545"/>
      <c r="F7" s="545"/>
      <c r="G7" s="545"/>
      <c r="H7" s="545"/>
      <c r="I7" s="545"/>
      <c r="J7" s="545"/>
      <c r="K7" s="545"/>
      <c r="L7" s="545"/>
      <c r="M7" s="545"/>
      <c r="N7" s="545"/>
      <c r="O7" s="979"/>
    </row>
    <row r="8" spans="2:16">
      <c r="B8" s="984" t="s">
        <v>304</v>
      </c>
      <c r="C8" s="985">
        <f t="shared" ref="C8:N8" si="0">SUM(C9:C29)</f>
        <v>112875612</v>
      </c>
      <c r="D8" s="985">
        <f t="shared" si="0"/>
        <v>113383614</v>
      </c>
      <c r="E8" s="985">
        <f t="shared" si="0"/>
        <v>116360052</v>
      </c>
      <c r="F8" s="985">
        <f t="shared" si="0"/>
        <v>122725348</v>
      </c>
      <c r="G8" s="985">
        <f t="shared" si="0"/>
        <v>120263437</v>
      </c>
      <c r="H8" s="985">
        <f t="shared" si="0"/>
        <v>118334816</v>
      </c>
      <c r="I8" s="985">
        <f t="shared" si="0"/>
        <v>119598138</v>
      </c>
      <c r="J8" s="985">
        <f t="shared" si="0"/>
        <v>119420983</v>
      </c>
      <c r="K8" s="985">
        <f t="shared" si="0"/>
        <v>118449242</v>
      </c>
      <c r="L8" s="985">
        <f t="shared" si="0"/>
        <v>118483720</v>
      </c>
      <c r="M8" s="985">
        <f t="shared" si="0"/>
        <v>113990824</v>
      </c>
      <c r="N8" s="985">
        <f t="shared" si="0"/>
        <v>115154351</v>
      </c>
      <c r="O8" s="985">
        <f>SUM(O9:O29)</f>
        <v>1409040137</v>
      </c>
    </row>
    <row r="9" spans="2:16">
      <c r="B9" s="981" t="s">
        <v>717</v>
      </c>
      <c r="C9" s="545">
        <v>2141154</v>
      </c>
      <c r="D9" s="545">
        <v>2281163</v>
      </c>
      <c r="E9" s="545">
        <v>2012212</v>
      </c>
      <c r="F9" s="545">
        <v>1977630</v>
      </c>
      <c r="G9" s="545">
        <v>1942123</v>
      </c>
      <c r="H9" s="545">
        <v>2132456</v>
      </c>
      <c r="I9" s="545">
        <v>2119978</v>
      </c>
      <c r="J9" s="545">
        <v>1830668</v>
      </c>
      <c r="K9" s="545">
        <v>2461818</v>
      </c>
      <c r="L9" s="545">
        <v>1951991</v>
      </c>
      <c r="M9" s="545">
        <v>2102004</v>
      </c>
      <c r="N9" s="545">
        <v>1778285</v>
      </c>
      <c r="O9" s="979">
        <f t="shared" ref="O9:O29" si="1">SUM(C9:N9)</f>
        <v>24731482</v>
      </c>
    </row>
    <row r="10" spans="2:16">
      <c r="B10" s="981" t="s">
        <v>718</v>
      </c>
      <c r="C10" s="545">
        <v>4233779</v>
      </c>
      <c r="D10" s="545">
        <v>4408865</v>
      </c>
      <c r="E10" s="545">
        <v>4212634</v>
      </c>
      <c r="F10" s="545">
        <v>4000577</v>
      </c>
      <c r="G10" s="545">
        <v>3968750</v>
      </c>
      <c r="H10" s="545">
        <v>4179024</v>
      </c>
      <c r="I10" s="545">
        <v>4146962</v>
      </c>
      <c r="J10" s="545">
        <v>4232584</v>
      </c>
      <c r="K10" s="545">
        <v>4401735</v>
      </c>
      <c r="L10" s="545">
        <v>4302141</v>
      </c>
      <c r="M10" s="545">
        <v>4423087</v>
      </c>
      <c r="N10" s="545">
        <v>4498544</v>
      </c>
      <c r="O10" s="979">
        <f t="shared" si="1"/>
        <v>51008682</v>
      </c>
    </row>
    <row r="11" spans="2:16">
      <c r="B11" s="981" t="s">
        <v>719</v>
      </c>
      <c r="C11" s="545">
        <v>6509367</v>
      </c>
      <c r="D11" s="545">
        <v>6583779</v>
      </c>
      <c r="E11" s="545">
        <v>6515426</v>
      </c>
      <c r="F11" s="545">
        <v>6324723</v>
      </c>
      <c r="G11" s="545">
        <v>6289653</v>
      </c>
      <c r="H11" s="545">
        <v>6408281</v>
      </c>
      <c r="I11" s="545">
        <v>6474248</v>
      </c>
      <c r="J11" s="545">
        <v>6497730</v>
      </c>
      <c r="K11" s="545">
        <v>6600112</v>
      </c>
      <c r="L11" s="545">
        <v>6625301</v>
      </c>
      <c r="M11" s="545">
        <v>6757635</v>
      </c>
      <c r="N11" s="545">
        <v>6848755</v>
      </c>
      <c r="O11" s="979">
        <f t="shared" si="1"/>
        <v>78435010</v>
      </c>
    </row>
    <row r="12" spans="2:16">
      <c r="B12" s="981" t="s">
        <v>720</v>
      </c>
      <c r="C12" s="545">
        <v>9385992</v>
      </c>
      <c r="D12" s="545">
        <v>9252532</v>
      </c>
      <c r="E12" s="545">
        <v>9310734</v>
      </c>
      <c r="F12" s="545">
        <v>9188636</v>
      </c>
      <c r="G12" s="545">
        <v>9373837</v>
      </c>
      <c r="H12" s="545">
        <v>9622458</v>
      </c>
      <c r="I12" s="545">
        <v>9653432</v>
      </c>
      <c r="J12" s="545">
        <v>9584713</v>
      </c>
      <c r="K12" s="545">
        <v>9755073</v>
      </c>
      <c r="L12" s="545">
        <v>9721772</v>
      </c>
      <c r="M12" s="545">
        <v>9827748</v>
      </c>
      <c r="N12" s="545">
        <v>9937187</v>
      </c>
      <c r="O12" s="979">
        <f t="shared" si="1"/>
        <v>114614114</v>
      </c>
    </row>
    <row r="13" spans="2:16">
      <c r="B13" s="981" t="s">
        <v>721</v>
      </c>
      <c r="C13" s="545">
        <v>8784427</v>
      </c>
      <c r="D13" s="545">
        <v>8361347</v>
      </c>
      <c r="E13" s="545">
        <v>8762187</v>
      </c>
      <c r="F13" s="545">
        <v>8521074</v>
      </c>
      <c r="G13" s="545">
        <v>8961791</v>
      </c>
      <c r="H13" s="545">
        <v>9128297</v>
      </c>
      <c r="I13" s="545">
        <v>9195258</v>
      </c>
      <c r="J13" s="545">
        <v>9164129</v>
      </c>
      <c r="K13" s="545">
        <v>9114415</v>
      </c>
      <c r="L13" s="545">
        <v>9197615</v>
      </c>
      <c r="M13" s="545">
        <v>9240479</v>
      </c>
      <c r="N13" s="545">
        <v>9270227</v>
      </c>
      <c r="O13" s="979">
        <f t="shared" si="1"/>
        <v>107701246</v>
      </c>
    </row>
    <row r="14" spans="2:16">
      <c r="B14" s="981" t="s">
        <v>722</v>
      </c>
      <c r="C14" s="545">
        <v>8326477</v>
      </c>
      <c r="D14" s="545">
        <v>8167253</v>
      </c>
      <c r="E14" s="545">
        <v>8210970</v>
      </c>
      <c r="F14" s="545">
        <v>8292869</v>
      </c>
      <c r="G14" s="545">
        <v>8721497</v>
      </c>
      <c r="H14" s="545">
        <v>8877636</v>
      </c>
      <c r="I14" s="545">
        <v>8718204</v>
      </c>
      <c r="J14" s="545">
        <v>8703708</v>
      </c>
      <c r="K14" s="545">
        <v>8904807</v>
      </c>
      <c r="L14" s="545">
        <v>8735510</v>
      </c>
      <c r="M14" s="545">
        <v>8689130</v>
      </c>
      <c r="N14" s="545">
        <v>8360922</v>
      </c>
      <c r="O14" s="979">
        <f t="shared" si="1"/>
        <v>102708983</v>
      </c>
    </row>
    <row r="15" spans="2:16">
      <c r="B15" s="981" t="s">
        <v>723</v>
      </c>
      <c r="C15" s="545">
        <v>6365903</v>
      </c>
      <c r="D15" s="545">
        <v>5849229</v>
      </c>
      <c r="E15" s="545">
        <v>6163010</v>
      </c>
      <c r="F15" s="545">
        <v>7158549</v>
      </c>
      <c r="G15" s="545">
        <v>6690117</v>
      </c>
      <c r="H15" s="545">
        <v>6370485</v>
      </c>
      <c r="I15" s="545">
        <v>6557400</v>
      </c>
      <c r="J15" s="545">
        <v>6561946</v>
      </c>
      <c r="K15" s="545">
        <v>6129626</v>
      </c>
      <c r="L15" s="545">
        <v>6366386</v>
      </c>
      <c r="M15" s="545">
        <v>5823355</v>
      </c>
      <c r="N15" s="545">
        <v>6004177</v>
      </c>
      <c r="O15" s="979">
        <f t="shared" si="1"/>
        <v>76040183</v>
      </c>
    </row>
    <row r="16" spans="2:16">
      <c r="B16" s="981" t="s">
        <v>724</v>
      </c>
      <c r="C16" s="545">
        <v>5192599</v>
      </c>
      <c r="D16" s="545">
        <v>5121812</v>
      </c>
      <c r="E16" s="545">
        <v>5209115</v>
      </c>
      <c r="F16" s="545">
        <v>5024257</v>
      </c>
      <c r="G16" s="545">
        <v>6019923</v>
      </c>
      <c r="H16" s="545">
        <v>5381645</v>
      </c>
      <c r="I16" s="545">
        <v>5458019</v>
      </c>
      <c r="J16" s="545">
        <v>5505285</v>
      </c>
      <c r="K16" s="545">
        <v>5310646</v>
      </c>
      <c r="L16" s="545">
        <v>5295264</v>
      </c>
      <c r="M16" s="545">
        <v>5090088</v>
      </c>
      <c r="N16" s="545">
        <v>5212530</v>
      </c>
      <c r="O16" s="979">
        <f t="shared" si="1"/>
        <v>63821183</v>
      </c>
    </row>
    <row r="17" spans="2:15">
      <c r="B17" s="981" t="s">
        <v>725</v>
      </c>
      <c r="C17" s="545">
        <v>4031060</v>
      </c>
      <c r="D17" s="545">
        <v>3874827</v>
      </c>
      <c r="E17" s="545">
        <v>4167410</v>
      </c>
      <c r="F17" s="545">
        <v>4315242</v>
      </c>
      <c r="G17" s="545">
        <v>4403637</v>
      </c>
      <c r="H17" s="545">
        <v>4401837</v>
      </c>
      <c r="I17" s="545">
        <v>4277186</v>
      </c>
      <c r="J17" s="545">
        <v>4274143</v>
      </c>
      <c r="K17" s="545">
        <v>4129653</v>
      </c>
      <c r="L17" s="545">
        <v>4134668</v>
      </c>
      <c r="M17" s="545">
        <v>3980619</v>
      </c>
      <c r="N17" s="545">
        <v>3908875</v>
      </c>
      <c r="O17" s="979">
        <f t="shared" si="1"/>
        <v>49899157</v>
      </c>
    </row>
    <row r="18" spans="2:15">
      <c r="B18" s="981" t="s">
        <v>726</v>
      </c>
      <c r="C18" s="545">
        <v>3509553</v>
      </c>
      <c r="D18" s="545">
        <v>3480400</v>
      </c>
      <c r="E18" s="545">
        <v>3668088</v>
      </c>
      <c r="F18" s="545">
        <v>3650304</v>
      </c>
      <c r="G18" s="545">
        <v>3631374</v>
      </c>
      <c r="H18" s="545">
        <v>3691287</v>
      </c>
      <c r="I18" s="545">
        <v>3710938</v>
      </c>
      <c r="J18" s="545">
        <v>3715065</v>
      </c>
      <c r="K18" s="545">
        <v>3661826</v>
      </c>
      <c r="L18" s="545">
        <v>3567004</v>
      </c>
      <c r="M18" s="545">
        <v>3411495</v>
      </c>
      <c r="N18" s="545">
        <v>3445303</v>
      </c>
      <c r="O18" s="979">
        <f t="shared" si="1"/>
        <v>43142637</v>
      </c>
    </row>
    <row r="19" spans="2:15">
      <c r="B19" s="981" t="s">
        <v>727</v>
      </c>
      <c r="C19" s="545">
        <v>2994174</v>
      </c>
      <c r="D19" s="545">
        <v>2865933</v>
      </c>
      <c r="E19" s="545">
        <v>3165936</v>
      </c>
      <c r="F19" s="545">
        <v>3392242</v>
      </c>
      <c r="G19" s="545">
        <v>3352496</v>
      </c>
      <c r="H19" s="545">
        <v>3086538</v>
      </c>
      <c r="I19" s="545">
        <v>3223068</v>
      </c>
      <c r="J19" s="545">
        <v>3249992</v>
      </c>
      <c r="K19" s="545">
        <v>3051532</v>
      </c>
      <c r="L19" s="545">
        <v>3189251</v>
      </c>
      <c r="M19" s="545">
        <v>2996809</v>
      </c>
      <c r="N19" s="545">
        <v>2971060</v>
      </c>
      <c r="O19" s="979">
        <f t="shared" si="1"/>
        <v>37539031</v>
      </c>
    </row>
    <row r="20" spans="2:15">
      <c r="B20" s="981" t="s">
        <v>728</v>
      </c>
      <c r="C20" s="545">
        <v>2777524</v>
      </c>
      <c r="D20" s="545">
        <v>2830026</v>
      </c>
      <c r="E20" s="545">
        <v>2691818</v>
      </c>
      <c r="F20" s="545">
        <v>2868454</v>
      </c>
      <c r="G20" s="545">
        <v>2850043</v>
      </c>
      <c r="H20" s="545">
        <v>2762692</v>
      </c>
      <c r="I20" s="545">
        <v>2745226</v>
      </c>
      <c r="J20" s="545">
        <v>2787202</v>
      </c>
      <c r="K20" s="545">
        <v>2730277</v>
      </c>
      <c r="L20" s="545">
        <v>2718504</v>
      </c>
      <c r="M20" s="545">
        <v>2614828</v>
      </c>
      <c r="N20" s="545">
        <v>2466942</v>
      </c>
      <c r="O20" s="979">
        <f t="shared" si="1"/>
        <v>32843536</v>
      </c>
    </row>
    <row r="21" spans="2:15">
      <c r="B21" s="981" t="s">
        <v>729</v>
      </c>
      <c r="C21" s="545">
        <v>2408951</v>
      </c>
      <c r="D21" s="545">
        <v>2421382</v>
      </c>
      <c r="E21" s="545">
        <v>2494574</v>
      </c>
      <c r="F21" s="545">
        <v>2690272</v>
      </c>
      <c r="G21" s="545">
        <v>2720012</v>
      </c>
      <c r="H21" s="545">
        <v>2579681</v>
      </c>
      <c r="I21" s="545">
        <v>2504000</v>
      </c>
      <c r="J21" s="545">
        <v>2509680</v>
      </c>
      <c r="K21" s="545">
        <v>2522018</v>
      </c>
      <c r="L21" s="545">
        <v>2428216</v>
      </c>
      <c r="M21" s="545">
        <v>2341150</v>
      </c>
      <c r="N21" s="545">
        <v>2329030</v>
      </c>
      <c r="O21" s="979">
        <f t="shared" si="1"/>
        <v>29948966</v>
      </c>
    </row>
    <row r="22" spans="2:15">
      <c r="B22" s="981" t="s">
        <v>730</v>
      </c>
      <c r="C22" s="545">
        <v>2029135</v>
      </c>
      <c r="D22" s="545">
        <v>2182995</v>
      </c>
      <c r="E22" s="545">
        <v>2187143</v>
      </c>
      <c r="F22" s="545">
        <v>2424036</v>
      </c>
      <c r="G22" s="545">
        <v>2398599</v>
      </c>
      <c r="H22" s="545">
        <v>2150272</v>
      </c>
      <c r="I22" s="545">
        <v>2275928</v>
      </c>
      <c r="J22" s="545">
        <v>2334976</v>
      </c>
      <c r="K22" s="545">
        <v>2196647</v>
      </c>
      <c r="L22" s="545">
        <v>2190544</v>
      </c>
      <c r="M22" s="545">
        <v>2087502</v>
      </c>
      <c r="N22" s="545">
        <v>2033168</v>
      </c>
      <c r="O22" s="979">
        <f t="shared" si="1"/>
        <v>26490945</v>
      </c>
    </row>
    <row r="23" spans="2:15">
      <c r="B23" s="981" t="s">
        <v>731</v>
      </c>
      <c r="C23" s="545">
        <v>1943750</v>
      </c>
      <c r="D23" s="545">
        <v>1957915</v>
      </c>
      <c r="E23" s="545">
        <v>2042062</v>
      </c>
      <c r="F23" s="545">
        <v>2259664</v>
      </c>
      <c r="G23" s="545">
        <v>2121523</v>
      </c>
      <c r="H23" s="545">
        <v>2100195</v>
      </c>
      <c r="I23" s="545">
        <v>2079799</v>
      </c>
      <c r="J23" s="545">
        <v>2085897</v>
      </c>
      <c r="K23" s="545">
        <v>2021119</v>
      </c>
      <c r="L23" s="545">
        <v>2006763</v>
      </c>
      <c r="M23" s="545">
        <v>1926509</v>
      </c>
      <c r="N23" s="545">
        <v>1916211</v>
      </c>
      <c r="O23" s="979">
        <f t="shared" si="1"/>
        <v>24461407</v>
      </c>
    </row>
    <row r="24" spans="2:15">
      <c r="B24" s="981" t="s">
        <v>732</v>
      </c>
      <c r="C24" s="545">
        <v>7278156</v>
      </c>
      <c r="D24" s="545">
        <v>7400189</v>
      </c>
      <c r="E24" s="545">
        <v>7661662</v>
      </c>
      <c r="F24" s="545">
        <v>8638912</v>
      </c>
      <c r="G24" s="545">
        <v>7817573</v>
      </c>
      <c r="H24" s="545">
        <v>7322580</v>
      </c>
      <c r="I24" s="545">
        <v>7482259</v>
      </c>
      <c r="J24" s="545">
        <v>7426530</v>
      </c>
      <c r="K24" s="545">
        <v>7206484</v>
      </c>
      <c r="L24" s="545">
        <v>7173727</v>
      </c>
      <c r="M24" s="545">
        <v>6704678</v>
      </c>
      <c r="N24" s="545">
        <v>6786942</v>
      </c>
      <c r="O24" s="979">
        <f t="shared" si="1"/>
        <v>88899692</v>
      </c>
    </row>
    <row r="25" spans="2:15">
      <c r="B25" s="981" t="s">
        <v>733</v>
      </c>
      <c r="C25" s="545">
        <v>8514440</v>
      </c>
      <c r="D25" s="545">
        <v>8907280</v>
      </c>
      <c r="E25" s="545">
        <v>9197969</v>
      </c>
      <c r="F25" s="545">
        <v>10413724</v>
      </c>
      <c r="G25" s="545">
        <v>9316142</v>
      </c>
      <c r="H25" s="545">
        <v>8994390</v>
      </c>
      <c r="I25" s="545">
        <v>9055870</v>
      </c>
      <c r="J25" s="545">
        <v>8880048</v>
      </c>
      <c r="K25" s="545">
        <v>8724287</v>
      </c>
      <c r="L25" s="545">
        <v>8761579</v>
      </c>
      <c r="M25" s="545">
        <v>8256803</v>
      </c>
      <c r="N25" s="545">
        <v>8522306</v>
      </c>
      <c r="O25" s="979">
        <f t="shared" si="1"/>
        <v>107544838</v>
      </c>
    </row>
    <row r="26" spans="2:15">
      <c r="B26" s="981" t="s">
        <v>734</v>
      </c>
      <c r="C26" s="545">
        <v>5560427</v>
      </c>
      <c r="D26" s="545">
        <v>5761272</v>
      </c>
      <c r="E26" s="545">
        <v>6033227</v>
      </c>
      <c r="F26" s="545">
        <v>6799999</v>
      </c>
      <c r="G26" s="545">
        <v>6082931</v>
      </c>
      <c r="H26" s="545">
        <v>5981218</v>
      </c>
      <c r="I26" s="545">
        <v>6080292</v>
      </c>
      <c r="J26" s="545">
        <v>6080088</v>
      </c>
      <c r="K26" s="545">
        <v>5971361</v>
      </c>
      <c r="L26" s="545">
        <v>6125058</v>
      </c>
      <c r="M26" s="545">
        <v>5487518</v>
      </c>
      <c r="N26" s="545">
        <v>5758986</v>
      </c>
      <c r="O26" s="979">
        <f t="shared" si="1"/>
        <v>71722377</v>
      </c>
    </row>
    <row r="27" spans="2:15">
      <c r="B27" s="981" t="s">
        <v>735</v>
      </c>
      <c r="C27" s="545">
        <v>4209056</v>
      </c>
      <c r="D27" s="545">
        <v>4462860</v>
      </c>
      <c r="E27" s="545">
        <v>4549719</v>
      </c>
      <c r="F27" s="545">
        <v>4954004</v>
      </c>
      <c r="G27" s="545">
        <v>4724499</v>
      </c>
      <c r="H27" s="545">
        <v>4494695</v>
      </c>
      <c r="I27" s="545">
        <v>4620530</v>
      </c>
      <c r="J27" s="545">
        <v>4649722</v>
      </c>
      <c r="K27" s="545">
        <v>4439360</v>
      </c>
      <c r="L27" s="545">
        <v>4510588</v>
      </c>
      <c r="M27" s="545">
        <v>4209535</v>
      </c>
      <c r="N27" s="545">
        <v>4283267</v>
      </c>
      <c r="O27" s="979">
        <f t="shared" si="1"/>
        <v>54107835</v>
      </c>
    </row>
    <row r="28" spans="2:15">
      <c r="B28" s="981" t="s">
        <v>736</v>
      </c>
      <c r="C28" s="545">
        <v>3137158</v>
      </c>
      <c r="D28" s="545">
        <v>3315861</v>
      </c>
      <c r="E28" s="545">
        <v>3368509</v>
      </c>
      <c r="F28" s="545">
        <v>3822178</v>
      </c>
      <c r="G28" s="545">
        <v>3355220</v>
      </c>
      <c r="H28" s="545">
        <v>3426705</v>
      </c>
      <c r="I28" s="545">
        <v>3531639</v>
      </c>
      <c r="J28" s="545">
        <v>3390425</v>
      </c>
      <c r="K28" s="545">
        <v>3351142</v>
      </c>
      <c r="L28" s="545">
        <v>3446721</v>
      </c>
      <c r="M28" s="545">
        <v>3076223</v>
      </c>
      <c r="N28" s="545">
        <v>3261137</v>
      </c>
      <c r="O28" s="979">
        <f t="shared" si="1"/>
        <v>40482918</v>
      </c>
    </row>
    <row r="29" spans="2:15">
      <c r="B29" s="981" t="s">
        <v>737</v>
      </c>
      <c r="C29" s="545">
        <v>13542530</v>
      </c>
      <c r="D29" s="545">
        <v>13896694</v>
      </c>
      <c r="E29" s="545">
        <v>14735647</v>
      </c>
      <c r="F29" s="545">
        <v>16008002</v>
      </c>
      <c r="G29" s="545">
        <v>15521697</v>
      </c>
      <c r="H29" s="545">
        <v>15242444</v>
      </c>
      <c r="I29" s="545">
        <v>15687902</v>
      </c>
      <c r="J29" s="545">
        <v>15956452</v>
      </c>
      <c r="K29" s="545">
        <v>15765304</v>
      </c>
      <c r="L29" s="545">
        <v>16035117</v>
      </c>
      <c r="M29" s="545">
        <v>14943629</v>
      </c>
      <c r="N29" s="545">
        <v>15560497</v>
      </c>
      <c r="O29" s="979">
        <f t="shared" si="1"/>
        <v>182895915</v>
      </c>
    </row>
    <row r="30" spans="2:15">
      <c r="B30" s="984" t="s">
        <v>738</v>
      </c>
      <c r="C30" s="985">
        <f t="shared" ref="C30:N30" si="2">SUM(C31:C51)</f>
        <v>44224880</v>
      </c>
      <c r="D30" s="985">
        <f t="shared" si="2"/>
        <v>44402144</v>
      </c>
      <c r="E30" s="985">
        <f t="shared" si="2"/>
        <v>45133975</v>
      </c>
      <c r="F30" s="985">
        <f t="shared" si="2"/>
        <v>47969135</v>
      </c>
      <c r="G30" s="985">
        <f t="shared" si="2"/>
        <v>46318715</v>
      </c>
      <c r="H30" s="985">
        <f t="shared" si="2"/>
        <v>45433752</v>
      </c>
      <c r="I30" s="985">
        <f t="shared" si="2"/>
        <v>45732613</v>
      </c>
      <c r="J30" s="985">
        <f t="shared" si="2"/>
        <v>45677719</v>
      </c>
      <c r="K30" s="985">
        <f t="shared" si="2"/>
        <v>45117306</v>
      </c>
      <c r="L30" s="985">
        <f t="shared" si="2"/>
        <v>45284026</v>
      </c>
      <c r="M30" s="985">
        <f t="shared" si="2"/>
        <v>43986076</v>
      </c>
      <c r="N30" s="985">
        <f t="shared" si="2"/>
        <v>44249394</v>
      </c>
      <c r="O30" s="985">
        <f>SUM(O31:O51)</f>
        <v>543529735</v>
      </c>
    </row>
    <row r="31" spans="2:15">
      <c r="B31" s="981" t="s">
        <v>717</v>
      </c>
      <c r="C31" s="545">
        <v>136956</v>
      </c>
      <c r="D31" s="545">
        <v>133542</v>
      </c>
      <c r="E31" s="545">
        <v>126667</v>
      </c>
      <c r="F31" s="545">
        <v>124307</v>
      </c>
      <c r="G31" s="545">
        <v>128226</v>
      </c>
      <c r="H31" s="545">
        <v>129503</v>
      </c>
      <c r="I31" s="545">
        <v>128730</v>
      </c>
      <c r="J31" s="545">
        <v>125273</v>
      </c>
      <c r="K31" s="545">
        <v>128410</v>
      </c>
      <c r="L31" s="545">
        <v>129312</v>
      </c>
      <c r="M31" s="545">
        <v>125901</v>
      </c>
      <c r="N31" s="545">
        <v>137543</v>
      </c>
      <c r="O31" s="979">
        <f t="shared" ref="O31:O51" si="3">SUM(C31:N31)</f>
        <v>1554370</v>
      </c>
    </row>
    <row r="32" spans="2:15">
      <c r="B32" s="981" t="s">
        <v>718</v>
      </c>
      <c r="C32" s="545">
        <v>853899</v>
      </c>
      <c r="D32" s="545">
        <v>892394</v>
      </c>
      <c r="E32" s="545">
        <v>844207</v>
      </c>
      <c r="F32" s="545">
        <v>825090</v>
      </c>
      <c r="G32" s="545">
        <v>809474</v>
      </c>
      <c r="H32" s="545">
        <v>827386</v>
      </c>
      <c r="I32" s="545">
        <v>856459</v>
      </c>
      <c r="J32" s="545">
        <v>871804</v>
      </c>
      <c r="K32" s="545">
        <v>911576</v>
      </c>
      <c r="L32" s="545">
        <v>886230</v>
      </c>
      <c r="M32" s="545">
        <v>926772</v>
      </c>
      <c r="N32" s="545">
        <v>961729</v>
      </c>
      <c r="O32" s="979">
        <f t="shared" si="3"/>
        <v>10467020</v>
      </c>
    </row>
    <row r="33" spans="2:15">
      <c r="B33" s="981" t="s">
        <v>719</v>
      </c>
      <c r="C33" s="545">
        <v>2132071</v>
      </c>
      <c r="D33" s="545">
        <v>2177688</v>
      </c>
      <c r="E33" s="545">
        <v>2140160</v>
      </c>
      <c r="F33" s="545">
        <v>2103039</v>
      </c>
      <c r="G33" s="545">
        <v>2066241</v>
      </c>
      <c r="H33" s="545">
        <v>2100382</v>
      </c>
      <c r="I33" s="545">
        <v>2081664</v>
      </c>
      <c r="J33" s="545">
        <v>2089924</v>
      </c>
      <c r="K33" s="545">
        <v>2131708</v>
      </c>
      <c r="L33" s="545">
        <v>2132587</v>
      </c>
      <c r="M33" s="545">
        <v>2230806</v>
      </c>
      <c r="N33" s="545">
        <v>2294615</v>
      </c>
      <c r="O33" s="979">
        <f t="shared" si="3"/>
        <v>25680885</v>
      </c>
    </row>
    <row r="34" spans="2:15">
      <c r="B34" s="981" t="s">
        <v>720</v>
      </c>
      <c r="C34" s="545">
        <v>3425308</v>
      </c>
      <c r="D34" s="545">
        <v>3429570</v>
      </c>
      <c r="E34" s="545">
        <v>3412795</v>
      </c>
      <c r="F34" s="545">
        <v>3290286</v>
      </c>
      <c r="G34" s="545">
        <v>3361552</v>
      </c>
      <c r="H34" s="545">
        <v>3431021</v>
      </c>
      <c r="I34" s="545">
        <v>3577992</v>
      </c>
      <c r="J34" s="545">
        <v>3547626</v>
      </c>
      <c r="K34" s="545">
        <v>3638032</v>
      </c>
      <c r="L34" s="545">
        <v>3620080</v>
      </c>
      <c r="M34" s="545">
        <v>3723741</v>
      </c>
      <c r="N34" s="545">
        <v>3759045</v>
      </c>
      <c r="O34" s="979">
        <f t="shared" si="3"/>
        <v>42217048</v>
      </c>
    </row>
    <row r="35" spans="2:15">
      <c r="B35" s="981" t="s">
        <v>721</v>
      </c>
      <c r="C35" s="545">
        <v>4155483</v>
      </c>
      <c r="D35" s="545">
        <v>4128172</v>
      </c>
      <c r="E35" s="545">
        <v>4139330</v>
      </c>
      <c r="F35" s="545">
        <v>3990844</v>
      </c>
      <c r="G35" s="545">
        <v>4147306</v>
      </c>
      <c r="H35" s="545">
        <v>4230629</v>
      </c>
      <c r="I35" s="545">
        <v>4183447</v>
      </c>
      <c r="J35" s="545">
        <v>4202067</v>
      </c>
      <c r="K35" s="545">
        <v>4216770</v>
      </c>
      <c r="L35" s="545">
        <v>4259209</v>
      </c>
      <c r="M35" s="545">
        <v>4349029</v>
      </c>
      <c r="N35" s="545">
        <v>4323213</v>
      </c>
      <c r="O35" s="979">
        <f t="shared" si="3"/>
        <v>50325499</v>
      </c>
    </row>
    <row r="36" spans="2:15">
      <c r="B36" s="981" t="s">
        <v>722</v>
      </c>
      <c r="C36" s="545">
        <v>4387436</v>
      </c>
      <c r="D36" s="545">
        <v>4353197</v>
      </c>
      <c r="E36" s="545">
        <v>4446311</v>
      </c>
      <c r="F36" s="545">
        <v>4393742</v>
      </c>
      <c r="G36" s="545">
        <v>4561107</v>
      </c>
      <c r="H36" s="545">
        <v>4624248</v>
      </c>
      <c r="I36" s="545">
        <v>4626997</v>
      </c>
      <c r="J36" s="545">
        <v>4643822</v>
      </c>
      <c r="K36" s="545">
        <v>4693000</v>
      </c>
      <c r="L36" s="545">
        <v>4667753</v>
      </c>
      <c r="M36" s="545">
        <v>4677171</v>
      </c>
      <c r="N36" s="545">
        <v>4597561</v>
      </c>
      <c r="O36" s="979">
        <f t="shared" si="3"/>
        <v>54672345</v>
      </c>
    </row>
    <row r="37" spans="2:15">
      <c r="B37" s="981" t="s">
        <v>723</v>
      </c>
      <c r="C37" s="545">
        <v>3938257</v>
      </c>
      <c r="D37" s="545">
        <v>3771990</v>
      </c>
      <c r="E37" s="545">
        <v>3774205</v>
      </c>
      <c r="F37" s="545">
        <v>3707655</v>
      </c>
      <c r="G37" s="545">
        <v>3871088</v>
      </c>
      <c r="H37" s="545">
        <v>3976325</v>
      </c>
      <c r="I37" s="545">
        <v>3799120</v>
      </c>
      <c r="J37" s="545">
        <v>3782953</v>
      </c>
      <c r="K37" s="545">
        <v>3713163</v>
      </c>
      <c r="L37" s="545">
        <v>3784596</v>
      </c>
      <c r="M37" s="545">
        <v>3707212</v>
      </c>
      <c r="N37" s="545">
        <v>3690971</v>
      </c>
      <c r="O37" s="979">
        <f t="shared" si="3"/>
        <v>45517535</v>
      </c>
    </row>
    <row r="38" spans="2:15">
      <c r="B38" s="981" t="s">
        <v>724</v>
      </c>
      <c r="C38" s="545">
        <v>3209885</v>
      </c>
      <c r="D38" s="545">
        <v>3119594</v>
      </c>
      <c r="E38" s="545">
        <v>3122573</v>
      </c>
      <c r="F38" s="545">
        <v>3131696</v>
      </c>
      <c r="G38" s="545">
        <v>3264748</v>
      </c>
      <c r="H38" s="545">
        <v>3258657</v>
      </c>
      <c r="I38" s="545">
        <v>3384088</v>
      </c>
      <c r="J38" s="545">
        <v>3374146</v>
      </c>
      <c r="K38" s="545">
        <v>3411225</v>
      </c>
      <c r="L38" s="545">
        <v>3378236</v>
      </c>
      <c r="M38" s="545">
        <v>3310626</v>
      </c>
      <c r="N38" s="545">
        <v>3256691</v>
      </c>
      <c r="O38" s="979">
        <f t="shared" si="3"/>
        <v>39222165</v>
      </c>
    </row>
    <row r="39" spans="2:15">
      <c r="B39" s="981" t="s">
        <v>725</v>
      </c>
      <c r="C39" s="545">
        <v>2749634</v>
      </c>
      <c r="D39" s="545">
        <v>2734516</v>
      </c>
      <c r="E39" s="545">
        <v>2657424</v>
      </c>
      <c r="F39" s="545">
        <v>2767404</v>
      </c>
      <c r="G39" s="545">
        <v>2872897</v>
      </c>
      <c r="H39" s="545">
        <v>2840907</v>
      </c>
      <c r="I39" s="545">
        <v>2802333</v>
      </c>
      <c r="J39" s="545">
        <v>2832031</v>
      </c>
      <c r="K39" s="545">
        <v>2812615</v>
      </c>
      <c r="L39" s="545">
        <v>2835363</v>
      </c>
      <c r="M39" s="545">
        <v>2794244</v>
      </c>
      <c r="N39" s="545">
        <v>2755330</v>
      </c>
      <c r="O39" s="979">
        <f t="shared" si="3"/>
        <v>33454698</v>
      </c>
    </row>
    <row r="40" spans="2:15">
      <c r="B40" s="981" t="s">
        <v>726</v>
      </c>
      <c r="C40" s="545">
        <v>2404880</v>
      </c>
      <c r="D40" s="545">
        <v>2399075</v>
      </c>
      <c r="E40" s="545">
        <v>2457455</v>
      </c>
      <c r="F40" s="545">
        <v>2442578</v>
      </c>
      <c r="G40" s="545">
        <v>2549700</v>
      </c>
      <c r="H40" s="545">
        <v>2582951</v>
      </c>
      <c r="I40" s="545">
        <v>2538653</v>
      </c>
      <c r="J40" s="545">
        <v>2576246</v>
      </c>
      <c r="K40" s="545">
        <v>2482173</v>
      </c>
      <c r="L40" s="545">
        <v>2493800</v>
      </c>
      <c r="M40" s="545">
        <v>2425396</v>
      </c>
      <c r="N40" s="545">
        <v>2416706</v>
      </c>
      <c r="O40" s="979">
        <f t="shared" si="3"/>
        <v>29769613</v>
      </c>
    </row>
    <row r="41" spans="2:15">
      <c r="B41" s="981" t="s">
        <v>727</v>
      </c>
      <c r="C41" s="545">
        <v>2140623</v>
      </c>
      <c r="D41" s="545">
        <v>2184824</v>
      </c>
      <c r="E41" s="545">
        <v>2213723</v>
      </c>
      <c r="F41" s="545">
        <v>2263246</v>
      </c>
      <c r="G41" s="545">
        <v>2275671</v>
      </c>
      <c r="H41" s="545">
        <v>2262229</v>
      </c>
      <c r="I41" s="545">
        <v>2265387</v>
      </c>
      <c r="J41" s="545">
        <v>2279739</v>
      </c>
      <c r="K41" s="545">
        <v>2221041</v>
      </c>
      <c r="L41" s="545">
        <v>2237411</v>
      </c>
      <c r="M41" s="545">
        <v>2198240</v>
      </c>
      <c r="N41" s="545">
        <v>2104671</v>
      </c>
      <c r="O41" s="979">
        <f t="shared" si="3"/>
        <v>26646805</v>
      </c>
    </row>
    <row r="42" spans="2:15">
      <c r="B42" s="981" t="s">
        <v>728</v>
      </c>
      <c r="C42" s="545">
        <v>1908960</v>
      </c>
      <c r="D42" s="545">
        <v>1852861</v>
      </c>
      <c r="E42" s="545">
        <v>1852642</v>
      </c>
      <c r="F42" s="545">
        <v>2035823</v>
      </c>
      <c r="G42" s="545">
        <v>2084640</v>
      </c>
      <c r="H42" s="545">
        <v>2025331</v>
      </c>
      <c r="I42" s="545">
        <v>2021704</v>
      </c>
      <c r="J42" s="545">
        <v>2056840</v>
      </c>
      <c r="K42" s="545">
        <v>1979445</v>
      </c>
      <c r="L42" s="545">
        <v>2011804</v>
      </c>
      <c r="M42" s="545">
        <v>1914010</v>
      </c>
      <c r="N42" s="545">
        <v>1830072</v>
      </c>
      <c r="O42" s="979">
        <f t="shared" si="3"/>
        <v>23574132</v>
      </c>
    </row>
    <row r="43" spans="2:15">
      <c r="B43" s="981" t="s">
        <v>729</v>
      </c>
      <c r="C43" s="545">
        <v>1702445</v>
      </c>
      <c r="D43" s="545">
        <v>1764180</v>
      </c>
      <c r="E43" s="545">
        <v>1768181</v>
      </c>
      <c r="F43" s="545">
        <v>1834425</v>
      </c>
      <c r="G43" s="545">
        <v>1857193</v>
      </c>
      <c r="H43" s="545">
        <v>1787004</v>
      </c>
      <c r="I43" s="545">
        <v>1766596</v>
      </c>
      <c r="J43" s="545">
        <v>1785789</v>
      </c>
      <c r="K43" s="545">
        <v>1788466</v>
      </c>
      <c r="L43" s="545">
        <v>1712975</v>
      </c>
      <c r="M43" s="545">
        <v>1620495</v>
      </c>
      <c r="N43" s="545">
        <v>1629588</v>
      </c>
      <c r="O43" s="979">
        <f t="shared" si="3"/>
        <v>21017337</v>
      </c>
    </row>
    <row r="44" spans="2:15">
      <c r="B44" s="981" t="s">
        <v>730</v>
      </c>
      <c r="C44" s="545">
        <v>1531082</v>
      </c>
      <c r="D44" s="545">
        <v>1527085</v>
      </c>
      <c r="E44" s="545">
        <v>1544417</v>
      </c>
      <c r="F44" s="545">
        <v>1741146</v>
      </c>
      <c r="G44" s="545">
        <v>1631781</v>
      </c>
      <c r="H44" s="545">
        <v>1547955</v>
      </c>
      <c r="I44" s="545">
        <v>1557076</v>
      </c>
      <c r="J44" s="545">
        <v>1569156</v>
      </c>
      <c r="K44" s="545">
        <v>1531970</v>
      </c>
      <c r="L44" s="545">
        <v>1538136</v>
      </c>
      <c r="M44" s="545">
        <v>1417605</v>
      </c>
      <c r="N44" s="545">
        <v>1462570</v>
      </c>
      <c r="O44" s="979">
        <f t="shared" si="3"/>
        <v>18599979</v>
      </c>
    </row>
    <row r="45" spans="2:15">
      <c r="B45" s="981" t="s">
        <v>731</v>
      </c>
      <c r="C45" s="545">
        <v>1221615</v>
      </c>
      <c r="D45" s="545">
        <v>1269878</v>
      </c>
      <c r="E45" s="545">
        <v>1357282</v>
      </c>
      <c r="F45" s="545">
        <v>1522692</v>
      </c>
      <c r="G45" s="545">
        <v>1453202</v>
      </c>
      <c r="H45" s="545">
        <v>1319716</v>
      </c>
      <c r="I45" s="545">
        <v>1338779</v>
      </c>
      <c r="J45" s="545">
        <v>1359073</v>
      </c>
      <c r="K45" s="545">
        <v>1289004</v>
      </c>
      <c r="L45" s="545">
        <v>1293346</v>
      </c>
      <c r="M45" s="545">
        <v>1225620</v>
      </c>
      <c r="N45" s="545">
        <v>1179816</v>
      </c>
      <c r="O45" s="979">
        <f t="shared" si="3"/>
        <v>15830023</v>
      </c>
    </row>
    <row r="46" spans="2:15">
      <c r="B46" s="981" t="s">
        <v>732</v>
      </c>
      <c r="C46" s="545">
        <v>3870095</v>
      </c>
      <c r="D46" s="545">
        <v>4061148</v>
      </c>
      <c r="E46" s="545">
        <v>4318603</v>
      </c>
      <c r="F46" s="545">
        <v>5285004</v>
      </c>
      <c r="G46" s="545">
        <v>4337596</v>
      </c>
      <c r="H46" s="545">
        <v>3996166</v>
      </c>
      <c r="I46" s="545">
        <v>4103776</v>
      </c>
      <c r="J46" s="545">
        <v>4025146</v>
      </c>
      <c r="K46" s="545">
        <v>3839051</v>
      </c>
      <c r="L46" s="545">
        <v>3921863</v>
      </c>
      <c r="M46" s="545">
        <v>3490316</v>
      </c>
      <c r="N46" s="545">
        <v>3514959</v>
      </c>
      <c r="O46" s="979">
        <f t="shared" si="3"/>
        <v>48763723</v>
      </c>
    </row>
    <row r="47" spans="2:15">
      <c r="B47" s="981" t="s">
        <v>733</v>
      </c>
      <c r="C47" s="545">
        <v>2618021</v>
      </c>
      <c r="D47" s="545">
        <v>2774420</v>
      </c>
      <c r="E47" s="545">
        <v>3009219</v>
      </c>
      <c r="F47" s="545">
        <v>4033222</v>
      </c>
      <c r="G47" s="545">
        <v>3116597</v>
      </c>
      <c r="H47" s="545">
        <v>2746560</v>
      </c>
      <c r="I47" s="545">
        <v>2835596</v>
      </c>
      <c r="J47" s="545">
        <v>2749485</v>
      </c>
      <c r="K47" s="545">
        <v>2637233</v>
      </c>
      <c r="L47" s="545">
        <v>2619420</v>
      </c>
      <c r="M47" s="545">
        <v>2286041</v>
      </c>
      <c r="N47" s="545">
        <v>2471915</v>
      </c>
      <c r="O47" s="979">
        <f t="shared" si="3"/>
        <v>33897729</v>
      </c>
    </row>
    <row r="48" spans="2:15">
      <c r="B48" s="981" t="s">
        <v>734</v>
      </c>
      <c r="C48" s="545">
        <v>859207</v>
      </c>
      <c r="D48" s="545">
        <v>799061</v>
      </c>
      <c r="E48" s="545">
        <v>879485</v>
      </c>
      <c r="F48" s="545">
        <v>1201726</v>
      </c>
      <c r="G48" s="545">
        <v>925157</v>
      </c>
      <c r="H48" s="545">
        <v>798082</v>
      </c>
      <c r="I48" s="545">
        <v>873129</v>
      </c>
      <c r="J48" s="545">
        <v>787605</v>
      </c>
      <c r="K48" s="545">
        <v>749333</v>
      </c>
      <c r="L48" s="545">
        <v>753988</v>
      </c>
      <c r="M48" s="545">
        <v>672889</v>
      </c>
      <c r="N48" s="545">
        <v>741380</v>
      </c>
      <c r="O48" s="979">
        <f t="shared" si="3"/>
        <v>10041042</v>
      </c>
    </row>
    <row r="49" spans="2:16">
      <c r="B49" s="981" t="s">
        <v>735</v>
      </c>
      <c r="C49" s="545">
        <v>341272</v>
      </c>
      <c r="D49" s="545">
        <v>350684</v>
      </c>
      <c r="E49" s="545">
        <v>374050</v>
      </c>
      <c r="F49" s="545">
        <v>479075</v>
      </c>
      <c r="G49" s="545">
        <v>357562</v>
      </c>
      <c r="H49" s="545">
        <v>325553</v>
      </c>
      <c r="I49" s="545">
        <v>358584</v>
      </c>
      <c r="J49" s="545">
        <v>364392</v>
      </c>
      <c r="K49" s="545">
        <v>329290</v>
      </c>
      <c r="L49" s="545">
        <v>343089</v>
      </c>
      <c r="M49" s="545">
        <v>356029</v>
      </c>
      <c r="N49" s="545">
        <v>408313</v>
      </c>
      <c r="O49" s="979">
        <f t="shared" si="3"/>
        <v>4387893</v>
      </c>
    </row>
    <row r="50" spans="2:16">
      <c r="B50" s="981" t="s">
        <v>736</v>
      </c>
      <c r="C50" s="545">
        <v>206768</v>
      </c>
      <c r="D50" s="545">
        <v>232804</v>
      </c>
      <c r="E50" s="545">
        <v>227549</v>
      </c>
      <c r="F50" s="545">
        <v>248785</v>
      </c>
      <c r="G50" s="545">
        <v>185938</v>
      </c>
      <c r="H50" s="545">
        <v>183160</v>
      </c>
      <c r="I50" s="545">
        <v>204045</v>
      </c>
      <c r="J50" s="545">
        <v>234738</v>
      </c>
      <c r="K50" s="545">
        <v>192675</v>
      </c>
      <c r="L50" s="545">
        <v>210666</v>
      </c>
      <c r="M50" s="545">
        <v>172867</v>
      </c>
      <c r="N50" s="545">
        <v>227011</v>
      </c>
      <c r="O50" s="979">
        <f t="shared" si="3"/>
        <v>2527006</v>
      </c>
    </row>
    <row r="51" spans="2:16">
      <c r="B51" s="981" t="s">
        <v>737</v>
      </c>
      <c r="C51" s="545">
        <v>430983</v>
      </c>
      <c r="D51" s="545">
        <v>445461</v>
      </c>
      <c r="E51" s="545">
        <v>467697</v>
      </c>
      <c r="F51" s="545">
        <v>547350</v>
      </c>
      <c r="G51" s="545">
        <v>461039</v>
      </c>
      <c r="H51" s="545">
        <v>439987</v>
      </c>
      <c r="I51" s="545">
        <v>428458</v>
      </c>
      <c r="J51" s="545">
        <v>419864</v>
      </c>
      <c r="K51" s="545">
        <v>421126</v>
      </c>
      <c r="L51" s="545">
        <v>454162</v>
      </c>
      <c r="M51" s="545">
        <v>361066</v>
      </c>
      <c r="N51" s="545">
        <v>485695</v>
      </c>
      <c r="O51" s="979">
        <f t="shared" si="3"/>
        <v>5362888</v>
      </c>
    </row>
    <row r="52" spans="2:16">
      <c r="B52" s="984" t="s">
        <v>307</v>
      </c>
      <c r="C52" s="985">
        <f t="shared" ref="C52:N52" si="4">SUM(C53:C73)</f>
        <v>1662</v>
      </c>
      <c r="D52" s="985">
        <f t="shared" si="4"/>
        <v>1482</v>
      </c>
      <c r="E52" s="985">
        <f t="shared" si="4"/>
        <v>1591</v>
      </c>
      <c r="F52" s="985">
        <f t="shared" si="4"/>
        <v>1838</v>
      </c>
      <c r="G52" s="985">
        <f t="shared" si="4"/>
        <v>1570</v>
      </c>
      <c r="H52" s="985">
        <f t="shared" si="4"/>
        <v>1191</v>
      </c>
      <c r="I52" s="985">
        <f t="shared" si="4"/>
        <v>990</v>
      </c>
      <c r="J52" s="985">
        <f t="shared" si="4"/>
        <v>829</v>
      </c>
      <c r="K52" s="985">
        <f t="shared" si="4"/>
        <v>971</v>
      </c>
      <c r="L52" s="985">
        <f t="shared" si="4"/>
        <v>1065</v>
      </c>
      <c r="M52" s="985">
        <f t="shared" si="4"/>
        <v>793</v>
      </c>
      <c r="N52" s="985">
        <f t="shared" si="4"/>
        <v>1031</v>
      </c>
      <c r="O52" s="985">
        <f>SUM(O53:O73)</f>
        <v>15013</v>
      </c>
    </row>
    <row r="53" spans="2:16">
      <c r="B53" s="981" t="s">
        <v>717</v>
      </c>
      <c r="C53" s="545">
        <v>0</v>
      </c>
      <c r="D53" s="545">
        <v>0</v>
      </c>
      <c r="E53" s="545">
        <v>0</v>
      </c>
      <c r="F53" s="545">
        <v>0</v>
      </c>
      <c r="G53" s="545">
        <v>0</v>
      </c>
      <c r="H53" s="545">
        <v>0</v>
      </c>
      <c r="I53" s="545">
        <v>0</v>
      </c>
      <c r="J53" s="545">
        <v>0</v>
      </c>
      <c r="K53" s="545">
        <v>0</v>
      </c>
      <c r="L53" s="545">
        <v>0</v>
      </c>
      <c r="M53" s="545">
        <v>0</v>
      </c>
      <c r="N53" s="545">
        <v>0</v>
      </c>
      <c r="O53" s="979">
        <f t="shared" ref="O53:O73" si="5">SUM(C53:N53)</f>
        <v>0</v>
      </c>
      <c r="P53" s="534"/>
    </row>
    <row r="54" spans="2:16">
      <c r="B54" s="981" t="s">
        <v>718</v>
      </c>
      <c r="C54" s="545">
        <v>0</v>
      </c>
      <c r="D54" s="545">
        <v>0</v>
      </c>
      <c r="E54" s="545">
        <v>0</v>
      </c>
      <c r="F54" s="545">
        <v>0</v>
      </c>
      <c r="G54" s="545">
        <v>0</v>
      </c>
      <c r="H54" s="545">
        <v>0</v>
      </c>
      <c r="I54" s="545">
        <v>0</v>
      </c>
      <c r="J54" s="545">
        <v>0</v>
      </c>
      <c r="K54" s="545">
        <v>0</v>
      </c>
      <c r="L54" s="545">
        <v>0</v>
      </c>
      <c r="M54" s="545">
        <v>68</v>
      </c>
      <c r="N54" s="545">
        <v>89</v>
      </c>
      <c r="O54" s="979">
        <f t="shared" si="5"/>
        <v>157</v>
      </c>
      <c r="P54" s="534"/>
    </row>
    <row r="55" spans="2:16">
      <c r="B55" s="981" t="s">
        <v>719</v>
      </c>
      <c r="C55" s="545">
        <v>0</v>
      </c>
      <c r="D55" s="545">
        <v>0</v>
      </c>
      <c r="E55" s="545">
        <v>0</v>
      </c>
      <c r="F55" s="545">
        <v>0</v>
      </c>
      <c r="G55" s="545">
        <v>0</v>
      </c>
      <c r="H55" s="545">
        <v>0</v>
      </c>
      <c r="I55" s="545">
        <v>0</v>
      </c>
      <c r="J55" s="545">
        <v>0</v>
      </c>
      <c r="K55" s="545">
        <v>0</v>
      </c>
      <c r="L55" s="545">
        <v>144</v>
      </c>
      <c r="M55" s="545">
        <v>0</v>
      </c>
      <c r="N55" s="545">
        <v>0</v>
      </c>
      <c r="O55" s="979">
        <f t="shared" si="5"/>
        <v>144</v>
      </c>
      <c r="P55" s="534"/>
    </row>
    <row r="56" spans="2:16">
      <c r="B56" s="981" t="s">
        <v>720</v>
      </c>
      <c r="C56" s="545">
        <v>0</v>
      </c>
      <c r="D56" s="545">
        <v>0</v>
      </c>
      <c r="E56" s="545">
        <v>0</v>
      </c>
      <c r="F56" s="545">
        <v>0</v>
      </c>
      <c r="G56" s="545">
        <v>0</v>
      </c>
      <c r="H56" s="545">
        <v>0</v>
      </c>
      <c r="I56" s="545">
        <v>0</v>
      </c>
      <c r="J56" s="545">
        <v>0</v>
      </c>
      <c r="K56" s="545">
        <v>0</v>
      </c>
      <c r="L56" s="545">
        <v>0</v>
      </c>
      <c r="M56" s="545">
        <v>0</v>
      </c>
      <c r="N56" s="545">
        <v>0</v>
      </c>
      <c r="O56" s="979">
        <f t="shared" si="5"/>
        <v>0</v>
      </c>
      <c r="P56" s="534"/>
    </row>
    <row r="57" spans="2:16">
      <c r="B57" s="981" t="s">
        <v>721</v>
      </c>
      <c r="C57" s="545">
        <v>0</v>
      </c>
      <c r="D57" s="545">
        <v>0</v>
      </c>
      <c r="E57" s="545">
        <v>0</v>
      </c>
      <c r="F57" s="545">
        <v>0</v>
      </c>
      <c r="G57" s="545">
        <v>0</v>
      </c>
      <c r="H57" s="545">
        <v>0</v>
      </c>
      <c r="I57" s="545">
        <v>0</v>
      </c>
      <c r="J57" s="545">
        <v>0</v>
      </c>
      <c r="K57" s="545">
        <v>0</v>
      </c>
      <c r="L57" s="545">
        <v>0</v>
      </c>
      <c r="M57" s="545">
        <v>0</v>
      </c>
      <c r="N57" s="545">
        <v>0</v>
      </c>
      <c r="O57" s="979">
        <f t="shared" si="5"/>
        <v>0</v>
      </c>
      <c r="P57" s="534"/>
    </row>
    <row r="58" spans="2:16">
      <c r="B58" s="981" t="s">
        <v>722</v>
      </c>
      <c r="C58" s="545">
        <v>0</v>
      </c>
      <c r="D58" s="545">
        <v>0</v>
      </c>
      <c r="E58" s="545">
        <v>0</v>
      </c>
      <c r="F58" s="545">
        <v>0</v>
      </c>
      <c r="G58" s="545">
        <v>261</v>
      </c>
      <c r="H58" s="545">
        <v>0</v>
      </c>
      <c r="I58" s="545">
        <v>0</v>
      </c>
      <c r="J58" s="545">
        <v>0</v>
      </c>
      <c r="K58" s="545">
        <v>0</v>
      </c>
      <c r="L58" s="545">
        <v>0</v>
      </c>
      <c r="M58" s="545">
        <v>0</v>
      </c>
      <c r="N58" s="545">
        <v>0</v>
      </c>
      <c r="O58" s="979">
        <f t="shared" si="5"/>
        <v>261</v>
      </c>
      <c r="P58" s="534"/>
    </row>
    <row r="59" spans="2:16">
      <c r="B59" s="981" t="s">
        <v>723</v>
      </c>
      <c r="C59" s="545">
        <v>0</v>
      </c>
      <c r="D59" s="545">
        <v>0</v>
      </c>
      <c r="E59" s="545">
        <v>0</v>
      </c>
      <c r="F59" s="545">
        <v>0</v>
      </c>
      <c r="G59" s="545">
        <v>0</v>
      </c>
      <c r="H59" s="545">
        <v>0</v>
      </c>
      <c r="I59" s="545">
        <v>0</v>
      </c>
      <c r="J59" s="545">
        <v>0</v>
      </c>
      <c r="K59" s="545">
        <v>0</v>
      </c>
      <c r="L59" s="545">
        <v>0</v>
      </c>
      <c r="M59" s="545">
        <v>0</v>
      </c>
      <c r="N59" s="545">
        <v>0</v>
      </c>
      <c r="O59" s="979">
        <f t="shared" si="5"/>
        <v>0</v>
      </c>
      <c r="P59" s="534"/>
    </row>
    <row r="60" spans="2:16">
      <c r="B60" s="981" t="s">
        <v>724</v>
      </c>
      <c r="C60" s="545">
        <v>0</v>
      </c>
      <c r="D60" s="545">
        <v>0</v>
      </c>
      <c r="E60" s="545">
        <v>361</v>
      </c>
      <c r="F60" s="545">
        <v>0</v>
      </c>
      <c r="G60" s="545">
        <v>0</v>
      </c>
      <c r="H60" s="545">
        <v>0</v>
      </c>
      <c r="I60" s="545">
        <v>0</v>
      </c>
      <c r="J60" s="545">
        <v>0</v>
      </c>
      <c r="K60" s="545">
        <v>0</v>
      </c>
      <c r="L60" s="545">
        <v>0</v>
      </c>
      <c r="M60" s="545">
        <v>0</v>
      </c>
      <c r="N60" s="545">
        <v>0</v>
      </c>
      <c r="O60" s="979">
        <f t="shared" si="5"/>
        <v>361</v>
      </c>
      <c r="P60" s="534"/>
    </row>
    <row r="61" spans="2:16">
      <c r="B61" s="981" t="s">
        <v>725</v>
      </c>
      <c r="C61" s="545">
        <v>0</v>
      </c>
      <c r="D61" s="545">
        <v>432</v>
      </c>
      <c r="E61" s="545">
        <v>0</v>
      </c>
      <c r="F61" s="545">
        <v>0</v>
      </c>
      <c r="G61" s="545">
        <v>0</v>
      </c>
      <c r="H61" s="545">
        <v>0</v>
      </c>
      <c r="I61" s="545">
        <v>0</v>
      </c>
      <c r="J61" s="545">
        <v>0</v>
      </c>
      <c r="K61" s="545">
        <v>0</v>
      </c>
      <c r="L61" s="545">
        <v>0</v>
      </c>
      <c r="M61" s="545">
        <v>0</v>
      </c>
      <c r="N61" s="545">
        <v>0</v>
      </c>
      <c r="O61" s="979">
        <f t="shared" si="5"/>
        <v>432</v>
      </c>
      <c r="P61" s="534"/>
    </row>
    <row r="62" spans="2:16">
      <c r="B62" s="981" t="s">
        <v>726</v>
      </c>
      <c r="C62" s="545">
        <v>0</v>
      </c>
      <c r="D62" s="545">
        <v>0</v>
      </c>
      <c r="E62" s="545">
        <v>0</v>
      </c>
      <c r="F62" s="545">
        <v>0</v>
      </c>
      <c r="G62" s="545">
        <v>0</v>
      </c>
      <c r="H62" s="545">
        <v>0</v>
      </c>
      <c r="I62" s="545">
        <v>0</v>
      </c>
      <c r="J62" s="545">
        <v>0</v>
      </c>
      <c r="K62" s="545">
        <v>0</v>
      </c>
      <c r="L62" s="545">
        <v>0</v>
      </c>
      <c r="M62" s="545">
        <v>0</v>
      </c>
      <c r="N62" s="545">
        <v>0</v>
      </c>
      <c r="O62" s="979">
        <f t="shared" si="5"/>
        <v>0</v>
      </c>
      <c r="P62" s="534"/>
    </row>
    <row r="63" spans="2:16">
      <c r="B63" s="981" t="s">
        <v>727</v>
      </c>
      <c r="C63" s="545">
        <v>0</v>
      </c>
      <c r="D63" s="545">
        <v>0</v>
      </c>
      <c r="E63" s="545">
        <v>0</v>
      </c>
      <c r="F63" s="545">
        <v>524</v>
      </c>
      <c r="G63" s="545">
        <v>0</v>
      </c>
      <c r="H63" s="545">
        <v>0</v>
      </c>
      <c r="I63" s="545">
        <v>0</v>
      </c>
      <c r="J63" s="545">
        <v>0</v>
      </c>
      <c r="K63" s="545">
        <v>0</v>
      </c>
      <c r="L63" s="545">
        <v>0</v>
      </c>
      <c r="M63" s="545">
        <v>0</v>
      </c>
      <c r="N63" s="545">
        <v>0</v>
      </c>
      <c r="O63" s="979">
        <f t="shared" si="5"/>
        <v>524</v>
      </c>
      <c r="P63" s="534"/>
    </row>
    <row r="64" spans="2:16">
      <c r="B64" s="981" t="s">
        <v>728</v>
      </c>
      <c r="C64" s="545">
        <v>595</v>
      </c>
      <c r="D64" s="545">
        <v>0</v>
      </c>
      <c r="E64" s="545">
        <v>0</v>
      </c>
      <c r="F64" s="545">
        <v>0</v>
      </c>
      <c r="G64" s="545">
        <v>0</v>
      </c>
      <c r="H64" s="545">
        <v>0</v>
      </c>
      <c r="I64" s="545">
        <v>0</v>
      </c>
      <c r="J64" s="545">
        <v>0</v>
      </c>
      <c r="K64" s="545">
        <v>0</v>
      </c>
      <c r="L64" s="545">
        <v>0</v>
      </c>
      <c r="M64" s="545">
        <v>0</v>
      </c>
      <c r="N64" s="545">
        <v>0</v>
      </c>
      <c r="O64" s="979">
        <f t="shared" si="5"/>
        <v>595</v>
      </c>
      <c r="P64" s="534"/>
    </row>
    <row r="65" spans="2:16">
      <c r="B65" s="981" t="s">
        <v>729</v>
      </c>
      <c r="C65" s="545">
        <v>0</v>
      </c>
      <c r="D65" s="545">
        <v>0</v>
      </c>
      <c r="E65" s="545">
        <v>0</v>
      </c>
      <c r="F65" s="545">
        <v>0</v>
      </c>
      <c r="G65" s="545">
        <v>0</v>
      </c>
      <c r="H65" s="545">
        <v>0</v>
      </c>
      <c r="I65" s="545">
        <v>0</v>
      </c>
      <c r="J65" s="545">
        <v>0</v>
      </c>
      <c r="K65" s="545">
        <v>0</v>
      </c>
      <c r="L65" s="545">
        <v>0</v>
      </c>
      <c r="M65" s="545">
        <v>0</v>
      </c>
      <c r="N65" s="545">
        <v>0</v>
      </c>
      <c r="O65" s="979">
        <f t="shared" si="5"/>
        <v>0</v>
      </c>
      <c r="P65" s="534"/>
    </row>
    <row r="66" spans="2:16">
      <c r="B66" s="981" t="s">
        <v>730</v>
      </c>
      <c r="C66" s="545">
        <v>0</v>
      </c>
      <c r="D66" s="545">
        <v>0</v>
      </c>
      <c r="E66" s="545">
        <v>0</v>
      </c>
      <c r="F66" s="545">
        <v>0</v>
      </c>
      <c r="G66" s="545">
        <v>0</v>
      </c>
      <c r="H66" s="545">
        <v>0</v>
      </c>
      <c r="I66" s="545">
        <v>0</v>
      </c>
      <c r="J66" s="545">
        <v>0</v>
      </c>
      <c r="K66" s="545">
        <v>0</v>
      </c>
      <c r="L66" s="545">
        <v>0</v>
      </c>
      <c r="M66" s="545">
        <v>0</v>
      </c>
      <c r="N66" s="545">
        <v>0</v>
      </c>
      <c r="O66" s="979">
        <f t="shared" si="5"/>
        <v>0</v>
      </c>
      <c r="P66" s="534"/>
    </row>
    <row r="67" spans="2:16">
      <c r="B67" s="981" t="s">
        <v>731</v>
      </c>
      <c r="C67" s="545">
        <v>0</v>
      </c>
      <c r="D67" s="545">
        <v>0</v>
      </c>
      <c r="E67" s="545">
        <v>0</v>
      </c>
      <c r="F67" s="545">
        <v>0</v>
      </c>
      <c r="G67" s="545">
        <v>0</v>
      </c>
      <c r="H67" s="545">
        <v>0</v>
      </c>
      <c r="I67" s="545">
        <v>0</v>
      </c>
      <c r="J67" s="545">
        <v>0</v>
      </c>
      <c r="K67" s="545">
        <v>0</v>
      </c>
      <c r="L67" s="545">
        <v>0</v>
      </c>
      <c r="M67" s="545">
        <v>725</v>
      </c>
      <c r="N67" s="545">
        <v>0</v>
      </c>
      <c r="O67" s="979">
        <f t="shared" si="5"/>
        <v>725</v>
      </c>
      <c r="P67" s="534"/>
    </row>
    <row r="68" spans="2:16">
      <c r="B68" s="981" t="s">
        <v>732</v>
      </c>
      <c r="C68" s="545">
        <v>0</v>
      </c>
      <c r="D68" s="545">
        <v>0</v>
      </c>
      <c r="E68" s="545">
        <v>0</v>
      </c>
      <c r="F68" s="545">
        <v>0</v>
      </c>
      <c r="G68" s="545">
        <v>0</v>
      </c>
      <c r="H68" s="545">
        <v>0</v>
      </c>
      <c r="I68" s="545">
        <v>990</v>
      </c>
      <c r="J68" s="545">
        <v>829</v>
      </c>
      <c r="K68" s="545">
        <v>971</v>
      </c>
      <c r="L68" s="545">
        <v>921</v>
      </c>
      <c r="M68" s="545">
        <v>0</v>
      </c>
      <c r="N68" s="545">
        <v>942</v>
      </c>
      <c r="O68" s="979">
        <f t="shared" si="5"/>
        <v>4653</v>
      </c>
      <c r="P68" s="534"/>
    </row>
    <row r="69" spans="2:16">
      <c r="B69" s="981" t="s">
        <v>733</v>
      </c>
      <c r="C69" s="545">
        <v>1067</v>
      </c>
      <c r="D69" s="545">
        <v>1050</v>
      </c>
      <c r="E69" s="545">
        <v>1230</v>
      </c>
      <c r="F69" s="545">
        <v>1314</v>
      </c>
      <c r="G69" s="545">
        <v>1309</v>
      </c>
      <c r="H69" s="545">
        <v>1191</v>
      </c>
      <c r="I69" s="545">
        <v>0</v>
      </c>
      <c r="J69" s="545">
        <v>0</v>
      </c>
      <c r="K69" s="545">
        <v>0</v>
      </c>
      <c r="L69" s="545">
        <v>0</v>
      </c>
      <c r="M69" s="545">
        <v>0</v>
      </c>
      <c r="N69" s="545">
        <v>0</v>
      </c>
      <c r="O69" s="979">
        <f t="shared" si="5"/>
        <v>7161</v>
      </c>
      <c r="P69" s="534"/>
    </row>
    <row r="70" spans="2:16">
      <c r="B70" s="981" t="s">
        <v>734</v>
      </c>
      <c r="C70" s="545">
        <v>0</v>
      </c>
      <c r="D70" s="545">
        <v>0</v>
      </c>
      <c r="E70" s="545">
        <v>0</v>
      </c>
      <c r="F70" s="545">
        <v>0</v>
      </c>
      <c r="G70" s="545">
        <v>0</v>
      </c>
      <c r="H70" s="545">
        <v>0</v>
      </c>
      <c r="I70" s="545">
        <v>0</v>
      </c>
      <c r="J70" s="545">
        <v>0</v>
      </c>
      <c r="K70" s="545">
        <v>0</v>
      </c>
      <c r="L70" s="545">
        <v>0</v>
      </c>
      <c r="M70" s="545">
        <v>0</v>
      </c>
      <c r="N70" s="545">
        <v>0</v>
      </c>
      <c r="O70" s="979">
        <f t="shared" si="5"/>
        <v>0</v>
      </c>
      <c r="P70" s="534"/>
    </row>
    <row r="71" spans="2:16">
      <c r="B71" s="981" t="s">
        <v>735</v>
      </c>
      <c r="C71" s="545">
        <v>0</v>
      </c>
      <c r="D71" s="545">
        <v>0</v>
      </c>
      <c r="E71" s="545">
        <v>0</v>
      </c>
      <c r="F71" s="545">
        <v>0</v>
      </c>
      <c r="G71" s="545">
        <v>0</v>
      </c>
      <c r="H71" s="545">
        <v>0</v>
      </c>
      <c r="I71" s="545">
        <v>0</v>
      </c>
      <c r="J71" s="545">
        <v>0</v>
      </c>
      <c r="K71" s="545">
        <v>0</v>
      </c>
      <c r="L71" s="545">
        <v>0</v>
      </c>
      <c r="M71" s="545">
        <v>0</v>
      </c>
      <c r="N71" s="545">
        <v>0</v>
      </c>
      <c r="O71" s="979">
        <f t="shared" si="5"/>
        <v>0</v>
      </c>
      <c r="P71" s="534"/>
    </row>
    <row r="72" spans="2:16">
      <c r="B72" s="981" t="s">
        <v>736</v>
      </c>
      <c r="C72" s="545">
        <v>0</v>
      </c>
      <c r="D72" s="545">
        <v>0</v>
      </c>
      <c r="E72" s="545">
        <v>0</v>
      </c>
      <c r="F72" s="545">
        <v>0</v>
      </c>
      <c r="G72" s="545">
        <v>0</v>
      </c>
      <c r="H72" s="545">
        <v>0</v>
      </c>
      <c r="I72" s="545">
        <v>0</v>
      </c>
      <c r="J72" s="545">
        <v>0</v>
      </c>
      <c r="K72" s="545">
        <v>0</v>
      </c>
      <c r="L72" s="545">
        <v>0</v>
      </c>
      <c r="M72" s="545">
        <v>0</v>
      </c>
      <c r="N72" s="545">
        <v>0</v>
      </c>
      <c r="O72" s="979">
        <f t="shared" si="5"/>
        <v>0</v>
      </c>
      <c r="P72" s="534"/>
    </row>
    <row r="73" spans="2:16">
      <c r="B73" s="981" t="s">
        <v>737</v>
      </c>
      <c r="C73" s="545">
        <v>0</v>
      </c>
      <c r="D73" s="545">
        <v>0</v>
      </c>
      <c r="E73" s="545">
        <v>0</v>
      </c>
      <c r="F73" s="545">
        <v>0</v>
      </c>
      <c r="G73" s="545">
        <v>0</v>
      </c>
      <c r="H73" s="545">
        <v>0</v>
      </c>
      <c r="I73" s="545">
        <v>0</v>
      </c>
      <c r="J73" s="545">
        <v>0</v>
      </c>
      <c r="K73" s="545">
        <v>0</v>
      </c>
      <c r="L73" s="545">
        <v>0</v>
      </c>
      <c r="M73" s="545">
        <v>0</v>
      </c>
      <c r="N73" s="545">
        <v>0</v>
      </c>
      <c r="O73" s="979">
        <f t="shared" si="5"/>
        <v>0</v>
      </c>
      <c r="P73" s="534"/>
    </row>
    <row r="74" spans="2:16">
      <c r="B74" s="984" t="s">
        <v>305</v>
      </c>
      <c r="C74" s="985">
        <f t="shared" ref="C74:N74" si="6">SUM(C75:C95)</f>
        <v>20368</v>
      </c>
      <c r="D74" s="985">
        <f t="shared" si="6"/>
        <v>23711</v>
      </c>
      <c r="E74" s="985">
        <f t="shared" si="6"/>
        <v>21912</v>
      </c>
      <c r="F74" s="985">
        <f t="shared" si="6"/>
        <v>26431</v>
      </c>
      <c r="G74" s="985">
        <f t="shared" si="6"/>
        <v>30673</v>
      </c>
      <c r="H74" s="985">
        <f t="shared" si="6"/>
        <v>34745</v>
      </c>
      <c r="I74" s="985">
        <f t="shared" si="6"/>
        <v>33802</v>
      </c>
      <c r="J74" s="985">
        <f t="shared" si="6"/>
        <v>36172</v>
      </c>
      <c r="K74" s="985">
        <f t="shared" si="6"/>
        <v>31630</v>
      </c>
      <c r="L74" s="985">
        <f t="shared" si="6"/>
        <v>29065</v>
      </c>
      <c r="M74" s="985">
        <f t="shared" si="6"/>
        <v>27591</v>
      </c>
      <c r="N74" s="985">
        <f t="shared" si="6"/>
        <v>14756</v>
      </c>
      <c r="O74" s="985">
        <f>SUM(O75:O95)</f>
        <v>330856</v>
      </c>
      <c r="P74" s="534"/>
    </row>
    <row r="75" spans="2:16">
      <c r="B75" s="981" t="s">
        <v>717</v>
      </c>
      <c r="C75" s="545">
        <v>20</v>
      </c>
      <c r="D75" s="545">
        <v>15</v>
      </c>
      <c r="E75" s="545">
        <v>17</v>
      </c>
      <c r="F75" s="545">
        <v>53</v>
      </c>
      <c r="G75" s="545">
        <v>16</v>
      </c>
      <c r="H75" s="545">
        <v>50</v>
      </c>
      <c r="I75" s="545">
        <v>54</v>
      </c>
      <c r="J75" s="545">
        <v>49</v>
      </c>
      <c r="K75" s="545">
        <v>49</v>
      </c>
      <c r="L75" s="545">
        <v>55</v>
      </c>
      <c r="M75" s="545">
        <v>95</v>
      </c>
      <c r="N75" s="545">
        <v>43</v>
      </c>
      <c r="O75" s="979">
        <f t="shared" ref="O75:O95" si="7">SUM(C75:N75)</f>
        <v>516</v>
      </c>
      <c r="P75" s="534"/>
    </row>
    <row r="76" spans="2:16">
      <c r="B76" s="981" t="s">
        <v>718</v>
      </c>
      <c r="C76" s="545">
        <v>94</v>
      </c>
      <c r="D76" s="545">
        <v>0</v>
      </c>
      <c r="E76" s="545">
        <v>0</v>
      </c>
      <c r="F76" s="545">
        <v>75</v>
      </c>
      <c r="G76" s="545">
        <v>59</v>
      </c>
      <c r="H76" s="545">
        <v>0</v>
      </c>
      <c r="I76" s="545">
        <v>0</v>
      </c>
      <c r="J76" s="545">
        <v>0</v>
      </c>
      <c r="K76" s="545">
        <v>0</v>
      </c>
      <c r="L76" s="545">
        <v>80</v>
      </c>
      <c r="M76" s="545">
        <v>0</v>
      </c>
      <c r="N76" s="545">
        <v>0</v>
      </c>
      <c r="O76" s="979">
        <f t="shared" si="7"/>
        <v>308</v>
      </c>
      <c r="P76" s="534"/>
    </row>
    <row r="77" spans="2:16">
      <c r="B77" s="981" t="s">
        <v>719</v>
      </c>
      <c r="C77" s="545">
        <v>0</v>
      </c>
      <c r="D77" s="545">
        <v>112</v>
      </c>
      <c r="E77" s="545">
        <v>116</v>
      </c>
      <c r="F77" s="545">
        <v>0</v>
      </c>
      <c r="G77" s="545">
        <v>0</v>
      </c>
      <c r="H77" s="545">
        <v>142</v>
      </c>
      <c r="I77" s="545">
        <v>110</v>
      </c>
      <c r="J77" s="545">
        <v>0</v>
      </c>
      <c r="K77" s="545">
        <v>0</v>
      </c>
      <c r="L77" s="545">
        <v>0</v>
      </c>
      <c r="M77" s="545">
        <v>0</v>
      </c>
      <c r="N77" s="545">
        <v>0</v>
      </c>
      <c r="O77" s="979">
        <f t="shared" si="7"/>
        <v>480</v>
      </c>
      <c r="P77" s="534"/>
    </row>
    <row r="78" spans="2:16">
      <c r="B78" s="981" t="s">
        <v>720</v>
      </c>
      <c r="C78" s="545">
        <v>193</v>
      </c>
      <c r="D78" s="545">
        <v>0</v>
      </c>
      <c r="E78" s="545">
        <v>0</v>
      </c>
      <c r="F78" s="545">
        <v>0</v>
      </c>
      <c r="G78" s="545">
        <v>0</v>
      </c>
      <c r="H78" s="545">
        <v>196</v>
      </c>
      <c r="I78" s="545">
        <v>194</v>
      </c>
      <c r="J78" s="545">
        <v>385</v>
      </c>
      <c r="K78" s="545">
        <v>200</v>
      </c>
      <c r="L78" s="545">
        <v>0</v>
      </c>
      <c r="M78" s="545">
        <v>0</v>
      </c>
      <c r="N78" s="545">
        <v>180</v>
      </c>
      <c r="O78" s="979">
        <f t="shared" si="7"/>
        <v>1348</v>
      </c>
      <c r="P78" s="534"/>
    </row>
    <row r="79" spans="2:16">
      <c r="B79" s="981" t="s">
        <v>721</v>
      </c>
      <c r="C79" s="545">
        <v>453</v>
      </c>
      <c r="D79" s="545">
        <v>930</v>
      </c>
      <c r="E79" s="545">
        <v>725</v>
      </c>
      <c r="F79" s="545">
        <v>446</v>
      </c>
      <c r="G79" s="545">
        <v>436</v>
      </c>
      <c r="H79" s="545">
        <v>246</v>
      </c>
      <c r="I79" s="545">
        <v>436</v>
      </c>
      <c r="J79" s="545">
        <v>224</v>
      </c>
      <c r="K79" s="545">
        <v>207</v>
      </c>
      <c r="L79" s="545">
        <v>456</v>
      </c>
      <c r="M79" s="545">
        <v>1145</v>
      </c>
      <c r="N79" s="545">
        <v>855</v>
      </c>
      <c r="O79" s="979">
        <f t="shared" si="7"/>
        <v>6559</v>
      </c>
      <c r="P79" s="534"/>
    </row>
    <row r="80" spans="2:16">
      <c r="B80" s="981" t="s">
        <v>722</v>
      </c>
      <c r="C80" s="545">
        <v>298</v>
      </c>
      <c r="D80" s="545">
        <v>0</v>
      </c>
      <c r="E80" s="545">
        <v>275</v>
      </c>
      <c r="F80" s="545">
        <v>268</v>
      </c>
      <c r="G80" s="545">
        <v>535</v>
      </c>
      <c r="H80" s="545">
        <v>251</v>
      </c>
      <c r="I80" s="545">
        <v>256</v>
      </c>
      <c r="J80" s="545">
        <v>281</v>
      </c>
      <c r="K80" s="545">
        <v>534</v>
      </c>
      <c r="L80" s="545">
        <v>533</v>
      </c>
      <c r="M80" s="545">
        <v>0</v>
      </c>
      <c r="N80" s="545">
        <v>560</v>
      </c>
      <c r="O80" s="979">
        <f t="shared" si="7"/>
        <v>3791</v>
      </c>
      <c r="P80" s="534"/>
    </row>
    <row r="81" spans="2:16">
      <c r="B81" s="981" t="s">
        <v>723</v>
      </c>
      <c r="C81" s="545">
        <v>0</v>
      </c>
      <c r="D81" s="545">
        <v>334</v>
      </c>
      <c r="E81" s="545">
        <v>341</v>
      </c>
      <c r="F81" s="545">
        <v>328</v>
      </c>
      <c r="G81" s="545">
        <v>0</v>
      </c>
      <c r="H81" s="545">
        <v>0</v>
      </c>
      <c r="I81" s="545">
        <v>337</v>
      </c>
      <c r="J81" s="545">
        <v>0</v>
      </c>
      <c r="K81" s="545">
        <v>0</v>
      </c>
      <c r="L81" s="545">
        <v>0</v>
      </c>
      <c r="M81" s="545">
        <v>0</v>
      </c>
      <c r="N81" s="545">
        <v>0</v>
      </c>
      <c r="O81" s="979">
        <f t="shared" si="7"/>
        <v>1340</v>
      </c>
      <c r="P81" s="534"/>
    </row>
    <row r="82" spans="2:16">
      <c r="B82" s="981" t="s">
        <v>724</v>
      </c>
      <c r="C82" s="545">
        <v>0</v>
      </c>
      <c r="D82" s="545">
        <v>0</v>
      </c>
      <c r="E82" s="545">
        <v>374</v>
      </c>
      <c r="F82" s="545">
        <v>395</v>
      </c>
      <c r="G82" s="545">
        <v>384</v>
      </c>
      <c r="H82" s="545">
        <v>355</v>
      </c>
      <c r="I82" s="545">
        <v>0</v>
      </c>
      <c r="J82" s="545">
        <v>397</v>
      </c>
      <c r="K82" s="545">
        <v>0</v>
      </c>
      <c r="L82" s="545">
        <v>0</v>
      </c>
      <c r="M82" s="545">
        <v>0</v>
      </c>
      <c r="N82" s="545">
        <v>0</v>
      </c>
      <c r="O82" s="979">
        <f t="shared" si="7"/>
        <v>1905</v>
      </c>
      <c r="P82" s="534"/>
    </row>
    <row r="83" spans="2:16">
      <c r="B83" s="981" t="s">
        <v>725</v>
      </c>
      <c r="C83" s="545">
        <v>427</v>
      </c>
      <c r="D83" s="545">
        <v>416</v>
      </c>
      <c r="E83" s="545">
        <v>0</v>
      </c>
      <c r="F83" s="545">
        <v>413</v>
      </c>
      <c r="G83" s="545">
        <v>0</v>
      </c>
      <c r="H83" s="545">
        <v>0</v>
      </c>
      <c r="I83" s="545">
        <v>0</v>
      </c>
      <c r="J83" s="545">
        <v>0</v>
      </c>
      <c r="K83" s="545">
        <v>428</v>
      </c>
      <c r="L83" s="545">
        <v>425</v>
      </c>
      <c r="M83" s="545">
        <v>866</v>
      </c>
      <c r="N83" s="545">
        <v>871</v>
      </c>
      <c r="O83" s="979">
        <f t="shared" si="7"/>
        <v>3846</v>
      </c>
      <c r="P83" s="534"/>
    </row>
    <row r="84" spans="2:16">
      <c r="B84" s="981" t="s">
        <v>726</v>
      </c>
      <c r="C84" s="545">
        <v>464</v>
      </c>
      <c r="D84" s="545">
        <v>472</v>
      </c>
      <c r="E84" s="545">
        <v>0</v>
      </c>
      <c r="F84" s="545">
        <v>0</v>
      </c>
      <c r="G84" s="545">
        <v>0</v>
      </c>
      <c r="H84" s="545">
        <v>0</v>
      </c>
      <c r="I84" s="545">
        <v>486</v>
      </c>
      <c r="J84" s="545">
        <v>460</v>
      </c>
      <c r="K84" s="545">
        <v>458</v>
      </c>
      <c r="L84" s="545">
        <v>938</v>
      </c>
      <c r="M84" s="545">
        <v>490</v>
      </c>
      <c r="N84" s="545">
        <v>490</v>
      </c>
      <c r="O84" s="979">
        <f t="shared" si="7"/>
        <v>4258</v>
      </c>
      <c r="P84" s="534"/>
    </row>
    <row r="85" spans="2:16">
      <c r="B85" s="981" t="s">
        <v>727</v>
      </c>
      <c r="C85" s="545">
        <v>0</v>
      </c>
      <c r="D85" s="545">
        <v>0</v>
      </c>
      <c r="E85" s="545">
        <v>0</v>
      </c>
      <c r="F85" s="545">
        <v>526</v>
      </c>
      <c r="G85" s="545">
        <v>0</v>
      </c>
      <c r="H85" s="545">
        <v>0</v>
      </c>
      <c r="I85" s="545">
        <v>0</v>
      </c>
      <c r="J85" s="545">
        <v>0</v>
      </c>
      <c r="K85" s="545">
        <v>516</v>
      </c>
      <c r="L85" s="545">
        <v>0</v>
      </c>
      <c r="M85" s="545">
        <v>0</v>
      </c>
      <c r="N85" s="545">
        <v>0</v>
      </c>
      <c r="O85" s="979">
        <f t="shared" si="7"/>
        <v>1042</v>
      </c>
      <c r="P85" s="534"/>
    </row>
    <row r="86" spans="2:16">
      <c r="B86" s="981" t="s">
        <v>728</v>
      </c>
      <c r="C86" s="545">
        <v>552</v>
      </c>
      <c r="D86" s="545">
        <v>0</v>
      </c>
      <c r="E86" s="545">
        <v>0</v>
      </c>
      <c r="F86" s="545">
        <v>579</v>
      </c>
      <c r="G86" s="545">
        <v>1172</v>
      </c>
      <c r="H86" s="545">
        <v>0</v>
      </c>
      <c r="I86" s="545">
        <v>564</v>
      </c>
      <c r="J86" s="545">
        <v>575</v>
      </c>
      <c r="K86" s="545">
        <v>0</v>
      </c>
      <c r="L86" s="545">
        <v>0</v>
      </c>
      <c r="M86" s="545">
        <v>0</v>
      </c>
      <c r="N86" s="545">
        <v>593</v>
      </c>
      <c r="O86" s="979">
        <f t="shared" si="7"/>
        <v>4035</v>
      </c>
      <c r="P86" s="534"/>
    </row>
    <row r="87" spans="2:16">
      <c r="B87" s="981" t="s">
        <v>729</v>
      </c>
      <c r="C87" s="545">
        <v>618</v>
      </c>
      <c r="D87" s="545">
        <v>636</v>
      </c>
      <c r="E87" s="545">
        <v>1230</v>
      </c>
      <c r="F87" s="545">
        <v>611</v>
      </c>
      <c r="G87" s="545">
        <v>0</v>
      </c>
      <c r="H87" s="545">
        <v>613</v>
      </c>
      <c r="I87" s="545">
        <v>0</v>
      </c>
      <c r="J87" s="545">
        <v>0</v>
      </c>
      <c r="K87" s="545">
        <v>0</v>
      </c>
      <c r="L87" s="545">
        <v>0</v>
      </c>
      <c r="M87" s="545">
        <v>640</v>
      </c>
      <c r="N87" s="545">
        <v>0</v>
      </c>
      <c r="O87" s="979">
        <f t="shared" si="7"/>
        <v>4348</v>
      </c>
      <c r="P87" s="534"/>
    </row>
    <row r="88" spans="2:16">
      <c r="B88" s="981" t="s">
        <v>730</v>
      </c>
      <c r="C88" s="545">
        <v>0</v>
      </c>
      <c r="D88" s="545">
        <v>0</v>
      </c>
      <c r="E88" s="545">
        <v>0</v>
      </c>
      <c r="F88" s="545">
        <v>0</v>
      </c>
      <c r="G88" s="545">
        <v>0</v>
      </c>
      <c r="H88" s="545">
        <v>0</v>
      </c>
      <c r="I88" s="545">
        <v>0</v>
      </c>
      <c r="J88" s="545">
        <v>0</v>
      </c>
      <c r="K88" s="545">
        <v>0</v>
      </c>
      <c r="L88" s="545">
        <v>0</v>
      </c>
      <c r="M88" s="545">
        <v>0</v>
      </c>
      <c r="N88" s="545">
        <v>0</v>
      </c>
      <c r="O88" s="979">
        <f t="shared" si="7"/>
        <v>0</v>
      </c>
      <c r="P88" s="534"/>
    </row>
    <row r="89" spans="2:16">
      <c r="B89" s="981" t="s">
        <v>731</v>
      </c>
      <c r="C89" s="545">
        <v>0</v>
      </c>
      <c r="D89" s="545">
        <v>0</v>
      </c>
      <c r="E89" s="545">
        <v>0</v>
      </c>
      <c r="F89" s="545">
        <v>0</v>
      </c>
      <c r="G89" s="545">
        <v>744</v>
      </c>
      <c r="H89" s="545">
        <v>1449</v>
      </c>
      <c r="I89" s="545">
        <v>0</v>
      </c>
      <c r="J89" s="545">
        <v>0</v>
      </c>
      <c r="K89" s="545">
        <v>748</v>
      </c>
      <c r="L89" s="545">
        <v>0</v>
      </c>
      <c r="M89" s="545">
        <v>711</v>
      </c>
      <c r="N89" s="545">
        <v>744</v>
      </c>
      <c r="O89" s="979">
        <f t="shared" si="7"/>
        <v>4396</v>
      </c>
      <c r="P89" s="534"/>
    </row>
    <row r="90" spans="2:16">
      <c r="B90" s="981" t="s">
        <v>732</v>
      </c>
      <c r="C90" s="545">
        <v>0</v>
      </c>
      <c r="D90" s="545">
        <v>0</v>
      </c>
      <c r="E90" s="545">
        <v>918</v>
      </c>
      <c r="F90" s="545">
        <v>915</v>
      </c>
      <c r="G90" s="545">
        <v>755</v>
      </c>
      <c r="H90" s="545">
        <v>821</v>
      </c>
      <c r="I90" s="545">
        <v>1679</v>
      </c>
      <c r="J90" s="545">
        <v>1533</v>
      </c>
      <c r="K90" s="545">
        <v>957</v>
      </c>
      <c r="L90" s="545">
        <v>2597</v>
      </c>
      <c r="M90" s="545">
        <v>683</v>
      </c>
      <c r="N90" s="545">
        <v>982</v>
      </c>
      <c r="O90" s="979">
        <f t="shared" si="7"/>
        <v>11840</v>
      </c>
      <c r="P90" s="534"/>
    </row>
    <row r="91" spans="2:16">
      <c r="B91" s="981" t="s">
        <v>733</v>
      </c>
      <c r="C91" s="545">
        <v>5654</v>
      </c>
      <c r="D91" s="545">
        <v>4737</v>
      </c>
      <c r="E91" s="545">
        <v>4028</v>
      </c>
      <c r="F91" s="545">
        <v>4937</v>
      </c>
      <c r="G91" s="545">
        <v>3896</v>
      </c>
      <c r="H91" s="545">
        <v>3680</v>
      </c>
      <c r="I91" s="545">
        <v>4014</v>
      </c>
      <c r="J91" s="545">
        <v>4027</v>
      </c>
      <c r="K91" s="545">
        <v>3909</v>
      </c>
      <c r="L91" s="545">
        <v>2860</v>
      </c>
      <c r="M91" s="545">
        <v>2720</v>
      </c>
      <c r="N91" s="545">
        <v>1445</v>
      </c>
      <c r="O91" s="979">
        <f t="shared" si="7"/>
        <v>45907</v>
      </c>
      <c r="P91" s="534"/>
    </row>
    <row r="92" spans="2:16">
      <c r="B92" s="981" t="s">
        <v>734</v>
      </c>
      <c r="C92" s="545">
        <v>0</v>
      </c>
      <c r="D92" s="545">
        <v>1699</v>
      </c>
      <c r="E92" s="545">
        <v>1699</v>
      </c>
      <c r="F92" s="545">
        <v>0</v>
      </c>
      <c r="G92" s="545">
        <v>1817</v>
      </c>
      <c r="H92" s="545">
        <v>0</v>
      </c>
      <c r="I92" s="545">
        <v>1974</v>
      </c>
      <c r="J92" s="545">
        <v>0</v>
      </c>
      <c r="K92" s="545">
        <v>0</v>
      </c>
      <c r="L92" s="545">
        <v>0</v>
      </c>
      <c r="M92" s="545">
        <v>0</v>
      </c>
      <c r="N92" s="545">
        <v>0</v>
      </c>
      <c r="O92" s="979">
        <f>SUM(C92:N92)</f>
        <v>7189</v>
      </c>
      <c r="P92" s="534"/>
    </row>
    <row r="93" spans="2:16">
      <c r="B93" s="981" t="s">
        <v>735</v>
      </c>
      <c r="C93" s="545">
        <v>0</v>
      </c>
      <c r="D93" s="545">
        <v>0</v>
      </c>
      <c r="E93" s="545">
        <v>0</v>
      </c>
      <c r="F93" s="545">
        <v>0</v>
      </c>
      <c r="G93" s="545">
        <v>0</v>
      </c>
      <c r="H93" s="545">
        <v>0</v>
      </c>
      <c r="I93" s="545">
        <v>2435</v>
      </c>
      <c r="J93" s="545">
        <v>0</v>
      </c>
      <c r="K93" s="545">
        <v>2076</v>
      </c>
      <c r="L93" s="545">
        <v>0</v>
      </c>
      <c r="M93" s="545">
        <v>2423</v>
      </c>
      <c r="N93" s="545">
        <v>2178</v>
      </c>
      <c r="O93" s="979">
        <f t="shared" si="7"/>
        <v>9112</v>
      </c>
      <c r="P93" s="534"/>
    </row>
    <row r="94" spans="2:16">
      <c r="B94" s="981" t="s">
        <v>736</v>
      </c>
      <c r="C94" s="545">
        <v>0</v>
      </c>
      <c r="D94" s="545">
        <v>0</v>
      </c>
      <c r="E94" s="545">
        <v>2546</v>
      </c>
      <c r="F94" s="545">
        <v>0</v>
      </c>
      <c r="G94" s="545">
        <v>2686</v>
      </c>
      <c r="H94" s="545">
        <v>2986</v>
      </c>
      <c r="I94" s="545">
        <v>0</v>
      </c>
      <c r="J94" s="545">
        <v>0</v>
      </c>
      <c r="K94" s="545">
        <v>0</v>
      </c>
      <c r="L94" s="545">
        <v>0</v>
      </c>
      <c r="M94" s="545">
        <v>2995</v>
      </c>
      <c r="N94" s="545">
        <v>2743</v>
      </c>
      <c r="O94" s="979">
        <f t="shared" si="7"/>
        <v>13956</v>
      </c>
      <c r="P94" s="534"/>
    </row>
    <row r="95" spans="2:16">
      <c r="B95" s="981" t="s">
        <v>737</v>
      </c>
      <c r="C95" s="545">
        <v>11595</v>
      </c>
      <c r="D95" s="545">
        <v>14360</v>
      </c>
      <c r="E95" s="545">
        <v>9643</v>
      </c>
      <c r="F95" s="545">
        <v>16885</v>
      </c>
      <c r="G95" s="545">
        <v>18173</v>
      </c>
      <c r="H95" s="545">
        <v>23956</v>
      </c>
      <c r="I95" s="545">
        <v>21263</v>
      </c>
      <c r="J95" s="545">
        <v>28241</v>
      </c>
      <c r="K95" s="545">
        <v>21548</v>
      </c>
      <c r="L95" s="545">
        <v>21121</v>
      </c>
      <c r="M95" s="545">
        <v>14823</v>
      </c>
      <c r="N95" s="545">
        <v>3072</v>
      </c>
      <c r="O95" s="979">
        <f t="shared" si="7"/>
        <v>204680</v>
      </c>
      <c r="P95" s="534"/>
    </row>
    <row r="96" spans="2:16">
      <c r="B96" s="984" t="s">
        <v>624</v>
      </c>
      <c r="C96" s="985">
        <f t="shared" ref="C96:N96" si="8">SUM(C97:C117)</f>
        <v>5961</v>
      </c>
      <c r="D96" s="985">
        <f t="shared" si="8"/>
        <v>6729</v>
      </c>
      <c r="E96" s="985">
        <f t="shared" si="8"/>
        <v>8211</v>
      </c>
      <c r="F96" s="985">
        <f t="shared" si="8"/>
        <v>8255</v>
      </c>
      <c r="G96" s="985">
        <f t="shared" si="8"/>
        <v>7952</v>
      </c>
      <c r="H96" s="985">
        <f t="shared" si="8"/>
        <v>6553</v>
      </c>
      <c r="I96" s="985">
        <f t="shared" si="8"/>
        <v>5980</v>
      </c>
      <c r="J96" s="985">
        <f t="shared" si="8"/>
        <v>6332</v>
      </c>
      <c r="K96" s="985">
        <f t="shared" si="8"/>
        <v>6732</v>
      </c>
      <c r="L96" s="985">
        <f t="shared" si="8"/>
        <v>7499</v>
      </c>
      <c r="M96" s="985">
        <f t="shared" si="8"/>
        <v>7897</v>
      </c>
      <c r="N96" s="985">
        <f t="shared" si="8"/>
        <v>6688</v>
      </c>
      <c r="O96" s="985">
        <f>SUM(O97:O117)</f>
        <v>84789</v>
      </c>
      <c r="P96" s="534"/>
    </row>
    <row r="97" spans="2:16">
      <c r="B97" s="981" t="s">
        <v>717</v>
      </c>
      <c r="C97" s="545">
        <v>39</v>
      </c>
      <c r="D97" s="545">
        <v>82</v>
      </c>
      <c r="E97" s="545">
        <v>38</v>
      </c>
      <c r="F97" s="545">
        <v>50</v>
      </c>
      <c r="G97" s="545">
        <v>41</v>
      </c>
      <c r="H97" s="545">
        <v>63</v>
      </c>
      <c r="I97" s="545">
        <v>38</v>
      </c>
      <c r="J97" s="545">
        <v>75</v>
      </c>
      <c r="K97" s="545">
        <v>58</v>
      </c>
      <c r="L97" s="545">
        <v>38</v>
      </c>
      <c r="M97" s="545">
        <v>23</v>
      </c>
      <c r="N97" s="545">
        <v>85</v>
      </c>
      <c r="O97" s="979">
        <f t="shared" ref="O97:O117" si="9">SUM(C97:N97)</f>
        <v>630</v>
      </c>
      <c r="P97" s="534"/>
    </row>
    <row r="98" spans="2:16">
      <c r="B98" s="981" t="s">
        <v>718</v>
      </c>
      <c r="C98" s="545">
        <v>151</v>
      </c>
      <c r="D98" s="545">
        <v>66</v>
      </c>
      <c r="E98" s="545">
        <v>72</v>
      </c>
      <c r="F98" s="545">
        <v>204</v>
      </c>
      <c r="G98" s="545">
        <v>235</v>
      </c>
      <c r="H98" s="545">
        <v>134</v>
      </c>
      <c r="I98" s="545">
        <v>188</v>
      </c>
      <c r="J98" s="545">
        <v>182</v>
      </c>
      <c r="K98" s="545">
        <v>85</v>
      </c>
      <c r="L98" s="545">
        <v>155</v>
      </c>
      <c r="M98" s="545">
        <v>144</v>
      </c>
      <c r="N98" s="545">
        <v>67</v>
      </c>
      <c r="O98" s="979">
        <f t="shared" si="9"/>
        <v>1683</v>
      </c>
      <c r="P98" s="534"/>
    </row>
    <row r="99" spans="2:16">
      <c r="B99" s="981" t="s">
        <v>719</v>
      </c>
      <c r="C99" s="545">
        <v>112</v>
      </c>
      <c r="D99" s="545">
        <v>117</v>
      </c>
      <c r="E99" s="545">
        <v>257</v>
      </c>
      <c r="F99" s="545">
        <v>0</v>
      </c>
      <c r="G99" s="545">
        <v>0</v>
      </c>
      <c r="H99" s="545">
        <v>0</v>
      </c>
      <c r="I99" s="545">
        <v>0</v>
      </c>
      <c r="J99" s="545">
        <v>0</v>
      </c>
      <c r="K99" s="545">
        <v>122</v>
      </c>
      <c r="L99" s="545">
        <v>0</v>
      </c>
      <c r="M99" s="545">
        <v>0</v>
      </c>
      <c r="N99" s="545">
        <v>0</v>
      </c>
      <c r="O99" s="979">
        <f t="shared" si="9"/>
        <v>608</v>
      </c>
      <c r="P99" s="534"/>
    </row>
    <row r="100" spans="2:16">
      <c r="B100" s="981" t="s">
        <v>720</v>
      </c>
      <c r="C100" s="545">
        <v>0</v>
      </c>
      <c r="D100" s="545">
        <v>0</v>
      </c>
      <c r="E100" s="545">
        <v>0</v>
      </c>
      <c r="F100" s="545">
        <v>0</v>
      </c>
      <c r="G100" s="545">
        <v>0</v>
      </c>
      <c r="H100" s="545">
        <v>0</v>
      </c>
      <c r="I100" s="545">
        <v>0</v>
      </c>
      <c r="J100" s="545">
        <v>0</v>
      </c>
      <c r="K100" s="545">
        <v>0</v>
      </c>
      <c r="L100" s="545">
        <v>167</v>
      </c>
      <c r="M100" s="545">
        <v>165</v>
      </c>
      <c r="N100" s="545">
        <v>0</v>
      </c>
      <c r="O100" s="979">
        <f t="shared" si="9"/>
        <v>332</v>
      </c>
      <c r="P100" s="534"/>
    </row>
    <row r="101" spans="2:16">
      <c r="B101" s="981" t="s">
        <v>721</v>
      </c>
      <c r="C101" s="545">
        <v>0</v>
      </c>
      <c r="D101" s="545">
        <v>237</v>
      </c>
      <c r="E101" s="545">
        <v>0</v>
      </c>
      <c r="F101" s="545">
        <v>0</v>
      </c>
      <c r="G101" s="545">
        <v>0</v>
      </c>
      <c r="H101" s="545">
        <v>212</v>
      </c>
      <c r="I101" s="545">
        <v>0</v>
      </c>
      <c r="J101" s="545">
        <v>0</v>
      </c>
      <c r="K101" s="545">
        <v>0</v>
      </c>
      <c r="L101" s="545">
        <v>0</v>
      </c>
      <c r="M101" s="545">
        <v>0</v>
      </c>
      <c r="N101" s="545">
        <v>450</v>
      </c>
      <c r="O101" s="979">
        <f t="shared" si="9"/>
        <v>899</v>
      </c>
      <c r="P101" s="534"/>
    </row>
    <row r="102" spans="2:16">
      <c r="B102" s="981" t="s">
        <v>722</v>
      </c>
      <c r="C102" s="545">
        <v>254</v>
      </c>
      <c r="D102" s="545">
        <v>286</v>
      </c>
      <c r="E102" s="545">
        <v>0</v>
      </c>
      <c r="F102" s="545">
        <v>263</v>
      </c>
      <c r="G102" s="545">
        <v>0</v>
      </c>
      <c r="H102" s="545">
        <v>0</v>
      </c>
      <c r="I102" s="545">
        <v>526</v>
      </c>
      <c r="J102" s="545">
        <v>0</v>
      </c>
      <c r="K102" s="545">
        <v>532</v>
      </c>
      <c r="L102" s="545">
        <v>0</v>
      </c>
      <c r="M102" s="545">
        <v>0</v>
      </c>
      <c r="N102" s="545">
        <v>0</v>
      </c>
      <c r="O102" s="979">
        <f t="shared" si="9"/>
        <v>1861</v>
      </c>
      <c r="P102" s="534"/>
    </row>
    <row r="103" spans="2:16">
      <c r="B103" s="981" t="s">
        <v>723</v>
      </c>
      <c r="C103" s="545">
        <v>327</v>
      </c>
      <c r="D103" s="545">
        <v>0</v>
      </c>
      <c r="E103" s="545">
        <v>0</v>
      </c>
      <c r="F103" s="545">
        <v>310</v>
      </c>
      <c r="G103" s="545">
        <v>0</v>
      </c>
      <c r="H103" s="545">
        <v>325</v>
      </c>
      <c r="I103" s="545">
        <v>0</v>
      </c>
      <c r="J103" s="545">
        <v>630</v>
      </c>
      <c r="K103" s="545">
        <v>318</v>
      </c>
      <c r="L103" s="545">
        <v>0</v>
      </c>
      <c r="M103" s="545">
        <v>675</v>
      </c>
      <c r="N103" s="545">
        <v>0</v>
      </c>
      <c r="O103" s="979">
        <f t="shared" si="9"/>
        <v>2585</v>
      </c>
      <c r="P103" s="534"/>
    </row>
    <row r="104" spans="2:16">
      <c r="B104" s="981" t="s">
        <v>724</v>
      </c>
      <c r="C104" s="545">
        <v>0</v>
      </c>
      <c r="D104" s="545">
        <v>0</v>
      </c>
      <c r="E104" s="545">
        <v>755</v>
      </c>
      <c r="F104" s="545">
        <v>0</v>
      </c>
      <c r="G104" s="545">
        <v>359</v>
      </c>
      <c r="H104" s="545">
        <v>0</v>
      </c>
      <c r="I104" s="545">
        <v>0</v>
      </c>
      <c r="J104" s="545">
        <v>0</v>
      </c>
      <c r="K104" s="545">
        <v>0</v>
      </c>
      <c r="L104" s="545">
        <v>714</v>
      </c>
      <c r="M104" s="545">
        <v>0</v>
      </c>
      <c r="N104" s="545">
        <v>0</v>
      </c>
      <c r="O104" s="979">
        <f t="shared" si="9"/>
        <v>1828</v>
      </c>
      <c r="P104" s="534"/>
    </row>
    <row r="105" spans="2:16">
      <c r="B105" s="981" t="s">
        <v>725</v>
      </c>
      <c r="C105" s="545">
        <v>0</v>
      </c>
      <c r="D105" s="545">
        <v>0</v>
      </c>
      <c r="E105" s="545">
        <v>0</v>
      </c>
      <c r="F105" s="545">
        <v>0</v>
      </c>
      <c r="G105" s="545">
        <v>0</v>
      </c>
      <c r="H105" s="545">
        <v>0</v>
      </c>
      <c r="I105" s="545">
        <v>0</v>
      </c>
      <c r="J105" s="545">
        <v>0</v>
      </c>
      <c r="K105" s="545">
        <v>0</v>
      </c>
      <c r="L105" s="545">
        <v>0</v>
      </c>
      <c r="M105" s="545">
        <v>0</v>
      </c>
      <c r="N105" s="545">
        <v>432</v>
      </c>
      <c r="O105" s="979">
        <f t="shared" si="9"/>
        <v>432</v>
      </c>
      <c r="P105" s="534"/>
    </row>
    <row r="106" spans="2:16">
      <c r="B106" s="981" t="s">
        <v>726</v>
      </c>
      <c r="C106" s="545">
        <v>0</v>
      </c>
      <c r="D106" s="545">
        <v>0</v>
      </c>
      <c r="E106" s="545">
        <v>0</v>
      </c>
      <c r="F106" s="545">
        <v>0</v>
      </c>
      <c r="G106" s="545">
        <v>0</v>
      </c>
      <c r="H106" s="545">
        <v>0</v>
      </c>
      <c r="I106" s="545">
        <v>0</v>
      </c>
      <c r="J106" s="545">
        <v>0</v>
      </c>
      <c r="K106" s="545">
        <v>0</v>
      </c>
      <c r="L106" s="545">
        <v>0</v>
      </c>
      <c r="M106" s="545">
        <v>0</v>
      </c>
      <c r="N106" s="545">
        <v>0</v>
      </c>
      <c r="O106" s="979">
        <f t="shared" si="9"/>
        <v>0</v>
      </c>
      <c r="P106" s="534"/>
    </row>
    <row r="107" spans="2:16">
      <c r="B107" s="981" t="s">
        <v>727</v>
      </c>
      <c r="C107" s="545">
        <v>0</v>
      </c>
      <c r="D107" s="545">
        <v>0</v>
      </c>
      <c r="E107" s="545">
        <v>0</v>
      </c>
      <c r="F107" s="545">
        <v>0</v>
      </c>
      <c r="G107" s="545">
        <v>0</v>
      </c>
      <c r="H107" s="545">
        <v>0</v>
      </c>
      <c r="I107" s="545">
        <v>0</v>
      </c>
      <c r="J107" s="545">
        <v>0</v>
      </c>
      <c r="K107" s="545">
        <v>0</v>
      </c>
      <c r="L107" s="545">
        <v>0</v>
      </c>
      <c r="M107" s="545">
        <v>540</v>
      </c>
      <c r="N107" s="545">
        <v>0</v>
      </c>
      <c r="O107" s="979">
        <f t="shared" si="9"/>
        <v>540</v>
      </c>
      <c r="P107" s="534"/>
    </row>
    <row r="108" spans="2:16">
      <c r="B108" s="981" t="s">
        <v>728</v>
      </c>
      <c r="C108" s="545">
        <v>0</v>
      </c>
      <c r="D108" s="545">
        <v>0</v>
      </c>
      <c r="E108" s="545">
        <v>0</v>
      </c>
      <c r="F108" s="545">
        <v>0</v>
      </c>
      <c r="G108" s="545">
        <v>596</v>
      </c>
      <c r="H108" s="545">
        <v>0</v>
      </c>
      <c r="I108" s="545">
        <v>0</v>
      </c>
      <c r="J108" s="545">
        <v>0</v>
      </c>
      <c r="K108" s="545">
        <v>0</v>
      </c>
      <c r="L108" s="545">
        <v>0</v>
      </c>
      <c r="M108" s="545">
        <v>0</v>
      </c>
      <c r="N108" s="545">
        <v>0</v>
      </c>
      <c r="O108" s="979">
        <f t="shared" si="9"/>
        <v>596</v>
      </c>
      <c r="P108" s="534"/>
    </row>
    <row r="109" spans="2:16">
      <c r="B109" s="981" t="s">
        <v>729</v>
      </c>
      <c r="C109" s="545">
        <v>0</v>
      </c>
      <c r="D109" s="545">
        <v>0</v>
      </c>
      <c r="E109" s="545">
        <v>0</v>
      </c>
      <c r="F109" s="545">
        <v>0</v>
      </c>
      <c r="G109" s="545">
        <v>0</v>
      </c>
      <c r="H109" s="545">
        <v>0</v>
      </c>
      <c r="I109" s="545">
        <v>0</v>
      </c>
      <c r="J109" s="545">
        <v>0</v>
      </c>
      <c r="K109" s="545">
        <v>0</v>
      </c>
      <c r="L109" s="545">
        <v>0</v>
      </c>
      <c r="M109" s="545">
        <v>0</v>
      </c>
      <c r="N109" s="545">
        <v>0</v>
      </c>
      <c r="O109" s="979">
        <f t="shared" si="9"/>
        <v>0</v>
      </c>
      <c r="P109" s="534"/>
    </row>
    <row r="110" spans="2:16">
      <c r="B110" s="981" t="s">
        <v>730</v>
      </c>
      <c r="C110" s="545">
        <v>0</v>
      </c>
      <c r="D110" s="545">
        <v>0</v>
      </c>
      <c r="E110" s="545">
        <v>0</v>
      </c>
      <c r="F110" s="545">
        <v>0</v>
      </c>
      <c r="G110" s="545">
        <v>0</v>
      </c>
      <c r="H110" s="545">
        <v>0</v>
      </c>
      <c r="I110" s="545">
        <v>0</v>
      </c>
      <c r="J110" s="545">
        <v>0</v>
      </c>
      <c r="K110" s="545">
        <v>0</v>
      </c>
      <c r="L110" s="545">
        <v>0</v>
      </c>
      <c r="M110" s="545">
        <v>0</v>
      </c>
      <c r="N110" s="545">
        <v>0</v>
      </c>
      <c r="O110" s="979">
        <f t="shared" si="9"/>
        <v>0</v>
      </c>
      <c r="P110" s="534"/>
    </row>
    <row r="111" spans="2:16">
      <c r="B111" s="981" t="s">
        <v>731</v>
      </c>
      <c r="C111" s="545">
        <v>0</v>
      </c>
      <c r="D111" s="545">
        <v>0</v>
      </c>
      <c r="E111" s="545">
        <v>0</v>
      </c>
      <c r="F111" s="545">
        <v>0</v>
      </c>
      <c r="G111" s="545">
        <v>0</v>
      </c>
      <c r="H111" s="545">
        <v>0</v>
      </c>
      <c r="I111" s="545">
        <v>0</v>
      </c>
      <c r="J111" s="545">
        <v>0</v>
      </c>
      <c r="K111" s="545">
        <v>0</v>
      </c>
      <c r="L111" s="545">
        <v>726</v>
      </c>
      <c r="M111" s="545">
        <v>0</v>
      </c>
      <c r="N111" s="545">
        <v>0</v>
      </c>
      <c r="O111" s="979">
        <f t="shared" si="9"/>
        <v>726</v>
      </c>
      <c r="P111" s="534"/>
    </row>
    <row r="112" spans="2:16">
      <c r="B112" s="981" t="s">
        <v>732</v>
      </c>
      <c r="C112" s="545">
        <v>902</v>
      </c>
      <c r="D112" s="545">
        <v>794</v>
      </c>
      <c r="E112" s="545">
        <v>930</v>
      </c>
      <c r="F112" s="545">
        <v>0</v>
      </c>
      <c r="G112" s="545">
        <v>0</v>
      </c>
      <c r="H112" s="545">
        <v>0</v>
      </c>
      <c r="I112" s="545">
        <v>1805</v>
      </c>
      <c r="J112" s="545">
        <v>948</v>
      </c>
      <c r="K112" s="545">
        <v>0</v>
      </c>
      <c r="L112" s="545">
        <v>0</v>
      </c>
      <c r="M112" s="545">
        <v>0</v>
      </c>
      <c r="N112" s="545">
        <v>1745</v>
      </c>
      <c r="O112" s="979">
        <f t="shared" si="9"/>
        <v>7124</v>
      </c>
      <c r="P112" s="534"/>
    </row>
    <row r="113" spans="2:16">
      <c r="B113" s="981" t="s">
        <v>733</v>
      </c>
      <c r="C113" s="545">
        <v>2651</v>
      </c>
      <c r="D113" s="545">
        <v>1384</v>
      </c>
      <c r="E113" s="545">
        <v>0</v>
      </c>
      <c r="F113" s="545">
        <v>1014</v>
      </c>
      <c r="G113" s="545">
        <v>0</v>
      </c>
      <c r="H113" s="545">
        <v>2581</v>
      </c>
      <c r="I113" s="545">
        <v>0</v>
      </c>
      <c r="J113" s="545">
        <v>1286</v>
      </c>
      <c r="K113" s="545">
        <v>2303</v>
      </c>
      <c r="L113" s="545">
        <v>3921</v>
      </c>
      <c r="M113" s="545">
        <v>2788</v>
      </c>
      <c r="N113" s="545">
        <v>3909</v>
      </c>
      <c r="O113" s="979">
        <f t="shared" si="9"/>
        <v>21837</v>
      </c>
      <c r="P113" s="534"/>
    </row>
    <row r="114" spans="2:16">
      <c r="B114" s="981" t="s">
        <v>734</v>
      </c>
      <c r="C114" s="545">
        <v>1525</v>
      </c>
      <c r="D114" s="545">
        <v>1663</v>
      </c>
      <c r="E114" s="545">
        <v>3765</v>
      </c>
      <c r="F114" s="545">
        <v>1776</v>
      </c>
      <c r="G114" s="545">
        <v>6721</v>
      </c>
      <c r="H114" s="545">
        <v>3238</v>
      </c>
      <c r="I114" s="545">
        <v>3423</v>
      </c>
      <c r="J114" s="545">
        <v>3211</v>
      </c>
      <c r="K114" s="545">
        <v>3314</v>
      </c>
      <c r="L114" s="545">
        <v>1778</v>
      </c>
      <c r="M114" s="545">
        <v>3562</v>
      </c>
      <c r="N114" s="545">
        <v>0</v>
      </c>
      <c r="O114" s="979">
        <f t="shared" si="9"/>
        <v>33976</v>
      </c>
      <c r="P114" s="534"/>
    </row>
    <row r="115" spans="2:16">
      <c r="B115" s="981" t="s">
        <v>735</v>
      </c>
      <c r="C115" s="545">
        <v>0</v>
      </c>
      <c r="D115" s="545">
        <v>2100</v>
      </c>
      <c r="E115" s="545">
        <v>2394</v>
      </c>
      <c r="F115" s="545">
        <v>4638</v>
      </c>
      <c r="G115" s="545">
        <v>0</v>
      </c>
      <c r="H115" s="545">
        <v>0</v>
      </c>
      <c r="I115" s="545">
        <v>0</v>
      </c>
      <c r="J115" s="545">
        <v>0</v>
      </c>
      <c r="K115" s="545">
        <v>0</v>
      </c>
      <c r="L115" s="545">
        <v>0</v>
      </c>
      <c r="M115" s="545">
        <v>0</v>
      </c>
      <c r="N115" s="545">
        <v>0</v>
      </c>
      <c r="O115" s="979">
        <f t="shared" si="9"/>
        <v>9132</v>
      </c>
      <c r="P115" s="534"/>
    </row>
    <row r="116" spans="2:16">
      <c r="B116" s="981" t="s">
        <v>736</v>
      </c>
      <c r="C116" s="545">
        <v>0</v>
      </c>
      <c r="D116" s="545">
        <v>0</v>
      </c>
      <c r="E116" s="545">
        <v>0</v>
      </c>
      <c r="F116" s="545">
        <v>0</v>
      </c>
      <c r="G116" s="545">
        <v>0</v>
      </c>
      <c r="H116" s="545">
        <v>0</v>
      </c>
      <c r="I116" s="545">
        <v>0</v>
      </c>
      <c r="J116" s="545">
        <v>0</v>
      </c>
      <c r="K116" s="545">
        <v>0</v>
      </c>
      <c r="L116" s="545">
        <v>0</v>
      </c>
      <c r="M116" s="545">
        <v>0</v>
      </c>
      <c r="N116" s="545">
        <v>0</v>
      </c>
      <c r="O116" s="979">
        <f t="shared" si="9"/>
        <v>0</v>
      </c>
      <c r="P116" s="534"/>
    </row>
    <row r="117" spans="2:16">
      <c r="B117" s="981" t="s">
        <v>737</v>
      </c>
      <c r="C117" s="545">
        <v>0</v>
      </c>
      <c r="D117" s="545">
        <v>0</v>
      </c>
      <c r="E117" s="545">
        <v>0</v>
      </c>
      <c r="F117" s="545">
        <v>0</v>
      </c>
      <c r="G117" s="545">
        <v>0</v>
      </c>
      <c r="H117" s="545">
        <v>0</v>
      </c>
      <c r="I117" s="545">
        <v>0</v>
      </c>
      <c r="J117" s="545">
        <v>0</v>
      </c>
      <c r="K117" s="545">
        <v>0</v>
      </c>
      <c r="L117" s="545">
        <v>0</v>
      </c>
      <c r="M117" s="545">
        <v>0</v>
      </c>
      <c r="N117" s="545">
        <v>0</v>
      </c>
      <c r="O117" s="979">
        <f t="shared" si="9"/>
        <v>0</v>
      </c>
      <c r="P117" s="534"/>
    </row>
    <row r="118" spans="2:16">
      <c r="B118" s="984" t="s">
        <v>111</v>
      </c>
      <c r="C118" s="985">
        <f t="shared" ref="C118:H118" si="10">SUM(C119:C139)</f>
        <v>157128483</v>
      </c>
      <c r="D118" s="985">
        <f t="shared" si="10"/>
        <v>157817680</v>
      </c>
      <c r="E118" s="985">
        <f t="shared" si="10"/>
        <v>161525741</v>
      </c>
      <c r="F118" s="985">
        <f t="shared" si="10"/>
        <v>170731007</v>
      </c>
      <c r="G118" s="985">
        <f t="shared" si="10"/>
        <v>166622347</v>
      </c>
      <c r="H118" s="985">
        <f t="shared" si="10"/>
        <v>163811057</v>
      </c>
      <c r="I118" s="985">
        <f t="shared" ref="I118:N118" si="11">SUM(I119:I139)</f>
        <v>165371523</v>
      </c>
      <c r="J118" s="985">
        <f t="shared" si="11"/>
        <v>165142035</v>
      </c>
      <c r="K118" s="985">
        <f t="shared" si="11"/>
        <v>163605881</v>
      </c>
      <c r="L118" s="985">
        <f t="shared" si="11"/>
        <v>163805375</v>
      </c>
      <c r="M118" s="985">
        <f t="shared" si="11"/>
        <v>158013181</v>
      </c>
      <c r="N118" s="985">
        <f t="shared" si="11"/>
        <v>159426220</v>
      </c>
      <c r="O118" s="985">
        <f>SUM(O119:O139)</f>
        <v>1953000530</v>
      </c>
      <c r="P118" s="988">
        <f>O118/O$118</f>
        <v>1</v>
      </c>
    </row>
    <row r="119" spans="2:16">
      <c r="B119" s="981" t="s">
        <v>717</v>
      </c>
      <c r="C119" s="545">
        <f t="shared" ref="C119:N119" si="12">SUMIF($B$8:$B$117,$B119,C$8:C$117)</f>
        <v>2278169</v>
      </c>
      <c r="D119" s="545">
        <f t="shared" si="12"/>
        <v>2414802</v>
      </c>
      <c r="E119" s="545">
        <f t="shared" si="12"/>
        <v>2138934</v>
      </c>
      <c r="F119" s="545">
        <f t="shared" si="12"/>
        <v>2102040</v>
      </c>
      <c r="G119" s="545">
        <f t="shared" si="12"/>
        <v>2070406</v>
      </c>
      <c r="H119" s="545">
        <f t="shared" si="12"/>
        <v>2262072</v>
      </c>
      <c r="I119" s="545">
        <f t="shared" si="12"/>
        <v>2248800</v>
      </c>
      <c r="J119" s="545">
        <f t="shared" si="12"/>
        <v>1956065</v>
      </c>
      <c r="K119" s="545">
        <f t="shared" si="12"/>
        <v>2590335</v>
      </c>
      <c r="L119" s="545">
        <f t="shared" si="12"/>
        <v>2081396</v>
      </c>
      <c r="M119" s="545">
        <f t="shared" si="12"/>
        <v>2228023</v>
      </c>
      <c r="N119" s="545">
        <f t="shared" si="12"/>
        <v>1915956</v>
      </c>
      <c r="O119" s="979">
        <f t="shared" ref="O119:O139" si="13">SUM(C119:N119)</f>
        <v>26286998</v>
      </c>
      <c r="P119" s="989">
        <f t="shared" ref="P119:P139" si="14">O119/O$118</f>
        <v>1.345980075079652E-2</v>
      </c>
    </row>
    <row r="120" spans="2:16">
      <c r="B120" s="981" t="s">
        <v>718</v>
      </c>
      <c r="C120" s="545">
        <f t="shared" ref="C120:N139" si="15">SUMIF($B$8:$B$117,$B120,C$8:C$117)</f>
        <v>5087923</v>
      </c>
      <c r="D120" s="545">
        <f t="shared" si="15"/>
        <v>5301325</v>
      </c>
      <c r="E120" s="545">
        <f t="shared" si="15"/>
        <v>5056913</v>
      </c>
      <c r="F120" s="545">
        <f t="shared" si="15"/>
        <v>4825946</v>
      </c>
      <c r="G120" s="545">
        <f t="shared" si="15"/>
        <v>4778518</v>
      </c>
      <c r="H120" s="545">
        <f t="shared" si="15"/>
        <v>5006544</v>
      </c>
      <c r="I120" s="545">
        <f t="shared" si="15"/>
        <v>5003609</v>
      </c>
      <c r="J120" s="545">
        <f t="shared" si="15"/>
        <v>5104570</v>
      </c>
      <c r="K120" s="545">
        <f t="shared" si="15"/>
        <v>5313396</v>
      </c>
      <c r="L120" s="545">
        <f t="shared" si="15"/>
        <v>5188606</v>
      </c>
      <c r="M120" s="545">
        <f t="shared" si="15"/>
        <v>5350071</v>
      </c>
      <c r="N120" s="545">
        <f t="shared" si="15"/>
        <v>5460429</v>
      </c>
      <c r="O120" s="979">
        <f t="shared" si="13"/>
        <v>61477850</v>
      </c>
      <c r="P120" s="989">
        <f t="shared" si="14"/>
        <v>3.1478665292528109E-2</v>
      </c>
    </row>
    <row r="121" spans="2:16">
      <c r="B121" s="981" t="s">
        <v>719</v>
      </c>
      <c r="C121" s="545">
        <f t="shared" si="15"/>
        <v>8641550</v>
      </c>
      <c r="D121" s="545">
        <f t="shared" si="15"/>
        <v>8761696</v>
      </c>
      <c r="E121" s="545">
        <f t="shared" si="15"/>
        <v>8655959</v>
      </c>
      <c r="F121" s="545">
        <f t="shared" si="15"/>
        <v>8427762</v>
      </c>
      <c r="G121" s="545">
        <f t="shared" si="15"/>
        <v>8355894</v>
      </c>
      <c r="H121" s="545">
        <f t="shared" si="15"/>
        <v>8508805</v>
      </c>
      <c r="I121" s="545">
        <f t="shared" si="15"/>
        <v>8556022</v>
      </c>
      <c r="J121" s="545">
        <f t="shared" si="15"/>
        <v>8587654</v>
      </c>
      <c r="K121" s="545">
        <f t="shared" si="15"/>
        <v>8731942</v>
      </c>
      <c r="L121" s="545">
        <f t="shared" si="15"/>
        <v>8758032</v>
      </c>
      <c r="M121" s="545">
        <f t="shared" si="15"/>
        <v>8988441</v>
      </c>
      <c r="N121" s="545">
        <f t="shared" si="15"/>
        <v>9143370</v>
      </c>
      <c r="O121" s="979">
        <f t="shared" si="13"/>
        <v>104117127</v>
      </c>
      <c r="P121" s="989">
        <f t="shared" si="14"/>
        <v>5.3311366484882626E-2</v>
      </c>
    </row>
    <row r="122" spans="2:16">
      <c r="B122" s="981" t="s">
        <v>720</v>
      </c>
      <c r="C122" s="545">
        <f t="shared" si="15"/>
        <v>12811493</v>
      </c>
      <c r="D122" s="545">
        <f t="shared" si="15"/>
        <v>12682102</v>
      </c>
      <c r="E122" s="545">
        <f t="shared" si="15"/>
        <v>12723529</v>
      </c>
      <c r="F122" s="545">
        <f t="shared" si="15"/>
        <v>12478922</v>
      </c>
      <c r="G122" s="545">
        <f t="shared" si="15"/>
        <v>12735389</v>
      </c>
      <c r="H122" s="545">
        <f t="shared" si="15"/>
        <v>13053675</v>
      </c>
      <c r="I122" s="545">
        <f t="shared" si="15"/>
        <v>13231618</v>
      </c>
      <c r="J122" s="545">
        <f t="shared" si="15"/>
        <v>13132724</v>
      </c>
      <c r="K122" s="545">
        <f t="shared" si="15"/>
        <v>13393305</v>
      </c>
      <c r="L122" s="545">
        <f t="shared" si="15"/>
        <v>13342019</v>
      </c>
      <c r="M122" s="545">
        <f t="shared" si="15"/>
        <v>13551654</v>
      </c>
      <c r="N122" s="545">
        <f t="shared" si="15"/>
        <v>13696412</v>
      </c>
      <c r="O122" s="979">
        <f t="shared" si="13"/>
        <v>156832842</v>
      </c>
      <c r="P122" s="989">
        <f t="shared" si="14"/>
        <v>8.0303532738928651E-2</v>
      </c>
    </row>
    <row r="123" spans="2:16">
      <c r="B123" s="981" t="s">
        <v>721</v>
      </c>
      <c r="C123" s="545">
        <f t="shared" si="15"/>
        <v>12940363</v>
      </c>
      <c r="D123" s="545">
        <f t="shared" si="15"/>
        <v>12490686</v>
      </c>
      <c r="E123" s="545">
        <f t="shared" si="15"/>
        <v>12902242</v>
      </c>
      <c r="F123" s="545">
        <f t="shared" si="15"/>
        <v>12512364</v>
      </c>
      <c r="G123" s="545">
        <f t="shared" si="15"/>
        <v>13109533</v>
      </c>
      <c r="H123" s="545">
        <f t="shared" si="15"/>
        <v>13359384</v>
      </c>
      <c r="I123" s="545">
        <f t="shared" si="15"/>
        <v>13379141</v>
      </c>
      <c r="J123" s="545">
        <f t="shared" si="15"/>
        <v>13366420</v>
      </c>
      <c r="K123" s="545">
        <f t="shared" si="15"/>
        <v>13331392</v>
      </c>
      <c r="L123" s="545">
        <f t="shared" si="15"/>
        <v>13457280</v>
      </c>
      <c r="M123" s="545">
        <f t="shared" si="15"/>
        <v>13590653</v>
      </c>
      <c r="N123" s="545">
        <f t="shared" si="15"/>
        <v>13594745</v>
      </c>
      <c r="O123" s="979">
        <f t="shared" si="13"/>
        <v>158034203</v>
      </c>
      <c r="P123" s="989">
        <f t="shared" si="14"/>
        <v>8.0918668772711491E-2</v>
      </c>
    </row>
    <row r="124" spans="2:16">
      <c r="B124" s="981" t="s">
        <v>722</v>
      </c>
      <c r="C124" s="545">
        <f t="shared" si="15"/>
        <v>12714465</v>
      </c>
      <c r="D124" s="545">
        <f t="shared" si="15"/>
        <v>12520736</v>
      </c>
      <c r="E124" s="545">
        <f t="shared" si="15"/>
        <v>12657556</v>
      </c>
      <c r="F124" s="545">
        <f t="shared" si="15"/>
        <v>12687142</v>
      </c>
      <c r="G124" s="545">
        <f t="shared" si="15"/>
        <v>13283400</v>
      </c>
      <c r="H124" s="545">
        <f t="shared" si="15"/>
        <v>13502135</v>
      </c>
      <c r="I124" s="545">
        <f t="shared" si="15"/>
        <v>13345983</v>
      </c>
      <c r="J124" s="545">
        <f t="shared" si="15"/>
        <v>13347811</v>
      </c>
      <c r="K124" s="545">
        <f t="shared" si="15"/>
        <v>13598873</v>
      </c>
      <c r="L124" s="545">
        <f t="shared" si="15"/>
        <v>13403796</v>
      </c>
      <c r="M124" s="545">
        <f t="shared" si="15"/>
        <v>13366301</v>
      </c>
      <c r="N124" s="545">
        <f t="shared" si="15"/>
        <v>12959043</v>
      </c>
      <c r="O124" s="979">
        <f t="shared" si="13"/>
        <v>157387241</v>
      </c>
      <c r="P124" s="989">
        <f t="shared" si="14"/>
        <v>8.0587403117601819E-2</v>
      </c>
    </row>
    <row r="125" spans="2:16">
      <c r="B125" s="981" t="s">
        <v>723</v>
      </c>
      <c r="C125" s="545">
        <f t="shared" si="15"/>
        <v>10304487</v>
      </c>
      <c r="D125" s="545">
        <f t="shared" si="15"/>
        <v>9621553</v>
      </c>
      <c r="E125" s="545">
        <f t="shared" si="15"/>
        <v>9937556</v>
      </c>
      <c r="F125" s="545">
        <f t="shared" si="15"/>
        <v>10866842</v>
      </c>
      <c r="G125" s="545">
        <f t="shared" si="15"/>
        <v>10561205</v>
      </c>
      <c r="H125" s="545">
        <f t="shared" si="15"/>
        <v>10347135</v>
      </c>
      <c r="I125" s="545">
        <f t="shared" si="15"/>
        <v>10356857</v>
      </c>
      <c r="J125" s="545">
        <f t="shared" si="15"/>
        <v>10345529</v>
      </c>
      <c r="K125" s="545">
        <f t="shared" si="15"/>
        <v>9843107</v>
      </c>
      <c r="L125" s="545">
        <f t="shared" si="15"/>
        <v>10150982</v>
      </c>
      <c r="M125" s="545">
        <f t="shared" si="15"/>
        <v>9531242</v>
      </c>
      <c r="N125" s="545">
        <f t="shared" si="15"/>
        <v>9695148</v>
      </c>
      <c r="O125" s="979">
        <f t="shared" si="13"/>
        <v>121561643</v>
      </c>
      <c r="P125" s="990">
        <f t="shared" si="14"/>
        <v>6.2243527911382594E-2</v>
      </c>
    </row>
    <row r="126" spans="2:16">
      <c r="B126" s="981" t="s">
        <v>724</v>
      </c>
      <c r="C126" s="545">
        <f t="shared" si="15"/>
        <v>8402484</v>
      </c>
      <c r="D126" s="545">
        <f t="shared" si="15"/>
        <v>8241406</v>
      </c>
      <c r="E126" s="545">
        <f t="shared" si="15"/>
        <v>8333178</v>
      </c>
      <c r="F126" s="545">
        <f t="shared" si="15"/>
        <v>8156348</v>
      </c>
      <c r="G126" s="545">
        <f t="shared" si="15"/>
        <v>9285414</v>
      </c>
      <c r="H126" s="545">
        <f t="shared" si="15"/>
        <v>8640657</v>
      </c>
      <c r="I126" s="545">
        <f t="shared" si="15"/>
        <v>8842107</v>
      </c>
      <c r="J126" s="545">
        <f t="shared" si="15"/>
        <v>8879828</v>
      </c>
      <c r="K126" s="545">
        <f t="shared" si="15"/>
        <v>8721871</v>
      </c>
      <c r="L126" s="545">
        <f t="shared" si="15"/>
        <v>8674214</v>
      </c>
      <c r="M126" s="545">
        <f t="shared" si="15"/>
        <v>8400714</v>
      </c>
      <c r="N126" s="545">
        <f t="shared" si="15"/>
        <v>8469221</v>
      </c>
      <c r="O126" s="979">
        <f t="shared" si="13"/>
        <v>103047442</v>
      </c>
      <c r="P126" s="990">
        <f t="shared" si="14"/>
        <v>5.2763652859838188E-2</v>
      </c>
    </row>
    <row r="127" spans="2:16">
      <c r="B127" s="981" t="s">
        <v>725</v>
      </c>
      <c r="C127" s="545">
        <f t="shared" si="15"/>
        <v>6781121</v>
      </c>
      <c r="D127" s="545">
        <f t="shared" si="15"/>
        <v>6610191</v>
      </c>
      <c r="E127" s="545">
        <f t="shared" si="15"/>
        <v>6824834</v>
      </c>
      <c r="F127" s="545">
        <f t="shared" si="15"/>
        <v>7083059</v>
      </c>
      <c r="G127" s="545">
        <f t="shared" si="15"/>
        <v>7276534</v>
      </c>
      <c r="H127" s="545">
        <f t="shared" si="15"/>
        <v>7242744</v>
      </c>
      <c r="I127" s="545">
        <f t="shared" si="15"/>
        <v>7079519</v>
      </c>
      <c r="J127" s="545">
        <f t="shared" si="15"/>
        <v>7106174</v>
      </c>
      <c r="K127" s="545">
        <f t="shared" si="15"/>
        <v>6942696</v>
      </c>
      <c r="L127" s="545">
        <f t="shared" si="15"/>
        <v>6970456</v>
      </c>
      <c r="M127" s="545">
        <f t="shared" si="15"/>
        <v>6775729</v>
      </c>
      <c r="N127" s="545">
        <f t="shared" si="15"/>
        <v>6665508</v>
      </c>
      <c r="O127" s="979">
        <f t="shared" si="13"/>
        <v>83358565</v>
      </c>
      <c r="P127" s="990">
        <f t="shared" si="14"/>
        <v>4.2682305365272996E-2</v>
      </c>
    </row>
    <row r="128" spans="2:16">
      <c r="B128" s="981" t="s">
        <v>726</v>
      </c>
      <c r="C128" s="545">
        <f t="shared" si="15"/>
        <v>5914897</v>
      </c>
      <c r="D128" s="545">
        <f t="shared" si="15"/>
        <v>5879947</v>
      </c>
      <c r="E128" s="545">
        <f t="shared" si="15"/>
        <v>6125543</v>
      </c>
      <c r="F128" s="545">
        <f t="shared" si="15"/>
        <v>6092882</v>
      </c>
      <c r="G128" s="545">
        <f t="shared" si="15"/>
        <v>6181074</v>
      </c>
      <c r="H128" s="545">
        <f t="shared" si="15"/>
        <v>6274238</v>
      </c>
      <c r="I128" s="545">
        <f t="shared" si="15"/>
        <v>6250077</v>
      </c>
      <c r="J128" s="545">
        <f t="shared" si="15"/>
        <v>6291771</v>
      </c>
      <c r="K128" s="545">
        <f t="shared" si="15"/>
        <v>6144457</v>
      </c>
      <c r="L128" s="545">
        <f t="shared" si="15"/>
        <v>6061742</v>
      </c>
      <c r="M128" s="545">
        <f t="shared" si="15"/>
        <v>5837381</v>
      </c>
      <c r="N128" s="545">
        <f t="shared" si="15"/>
        <v>5862499</v>
      </c>
      <c r="O128" s="979">
        <f t="shared" si="13"/>
        <v>72916508</v>
      </c>
      <c r="P128" s="990">
        <f t="shared" si="14"/>
        <v>3.7335631445015532E-2</v>
      </c>
    </row>
    <row r="129" spans="2:17">
      <c r="B129" s="981" t="s">
        <v>727</v>
      </c>
      <c r="C129" s="545">
        <f t="shared" si="15"/>
        <v>5134797</v>
      </c>
      <c r="D129" s="545">
        <f t="shared" si="15"/>
        <v>5050757</v>
      </c>
      <c r="E129" s="545">
        <f t="shared" si="15"/>
        <v>5379659</v>
      </c>
      <c r="F129" s="545">
        <f t="shared" si="15"/>
        <v>5656538</v>
      </c>
      <c r="G129" s="545">
        <f t="shared" si="15"/>
        <v>5628167</v>
      </c>
      <c r="H129" s="545">
        <f t="shared" si="15"/>
        <v>5348767</v>
      </c>
      <c r="I129" s="545">
        <f t="shared" si="15"/>
        <v>5488455</v>
      </c>
      <c r="J129" s="545">
        <f t="shared" si="15"/>
        <v>5529731</v>
      </c>
      <c r="K129" s="545">
        <f t="shared" si="15"/>
        <v>5273089</v>
      </c>
      <c r="L129" s="545">
        <f t="shared" si="15"/>
        <v>5426662</v>
      </c>
      <c r="M129" s="545">
        <f t="shared" si="15"/>
        <v>5195589</v>
      </c>
      <c r="N129" s="545">
        <f t="shared" si="15"/>
        <v>5075731</v>
      </c>
      <c r="O129" s="979">
        <f t="shared" si="13"/>
        <v>64187942</v>
      </c>
      <c r="P129" s="990">
        <f t="shared" si="14"/>
        <v>3.2866320829928297E-2</v>
      </c>
    </row>
    <row r="130" spans="2:17">
      <c r="B130" s="981" t="s">
        <v>728</v>
      </c>
      <c r="C130" s="545">
        <f t="shared" si="15"/>
        <v>4687631</v>
      </c>
      <c r="D130" s="545">
        <f t="shared" si="15"/>
        <v>4682887</v>
      </c>
      <c r="E130" s="545">
        <f t="shared" si="15"/>
        <v>4544460</v>
      </c>
      <c r="F130" s="545">
        <f t="shared" si="15"/>
        <v>4904856</v>
      </c>
      <c r="G130" s="545">
        <f t="shared" si="15"/>
        <v>4936451</v>
      </c>
      <c r="H130" s="545">
        <f t="shared" si="15"/>
        <v>4788023</v>
      </c>
      <c r="I130" s="545">
        <f t="shared" si="15"/>
        <v>4767494</v>
      </c>
      <c r="J130" s="545">
        <f t="shared" si="15"/>
        <v>4844617</v>
      </c>
      <c r="K130" s="545">
        <f t="shared" si="15"/>
        <v>4709722</v>
      </c>
      <c r="L130" s="545">
        <f t="shared" si="15"/>
        <v>4730308</v>
      </c>
      <c r="M130" s="545">
        <f t="shared" si="15"/>
        <v>4528838</v>
      </c>
      <c r="N130" s="545">
        <f t="shared" si="15"/>
        <v>4297607</v>
      </c>
      <c r="O130" s="979">
        <f t="shared" si="13"/>
        <v>56422894</v>
      </c>
      <c r="P130" s="990">
        <f t="shared" si="14"/>
        <v>2.889036287153491E-2</v>
      </c>
    </row>
    <row r="131" spans="2:17">
      <c r="B131" s="981" t="s">
        <v>729</v>
      </c>
      <c r="C131" s="545">
        <f t="shared" si="15"/>
        <v>4112014</v>
      </c>
      <c r="D131" s="545">
        <f t="shared" si="15"/>
        <v>4186198</v>
      </c>
      <c r="E131" s="545">
        <f t="shared" si="15"/>
        <v>4263985</v>
      </c>
      <c r="F131" s="545">
        <f t="shared" si="15"/>
        <v>4525308</v>
      </c>
      <c r="G131" s="545">
        <f t="shared" si="15"/>
        <v>4577205</v>
      </c>
      <c r="H131" s="545">
        <f t="shared" si="15"/>
        <v>4367298</v>
      </c>
      <c r="I131" s="545">
        <f t="shared" si="15"/>
        <v>4270596</v>
      </c>
      <c r="J131" s="545">
        <f t="shared" si="15"/>
        <v>4295469</v>
      </c>
      <c r="K131" s="545">
        <f t="shared" si="15"/>
        <v>4310484</v>
      </c>
      <c r="L131" s="545">
        <f t="shared" si="15"/>
        <v>4141191</v>
      </c>
      <c r="M131" s="545">
        <f t="shared" si="15"/>
        <v>3962285</v>
      </c>
      <c r="N131" s="545">
        <f t="shared" si="15"/>
        <v>3958618</v>
      </c>
      <c r="O131" s="979">
        <f t="shared" si="13"/>
        <v>50970651</v>
      </c>
      <c r="P131" s="990">
        <f t="shared" si="14"/>
        <v>2.6098636542612717E-2</v>
      </c>
    </row>
    <row r="132" spans="2:17">
      <c r="B132" s="981" t="s">
        <v>730</v>
      </c>
      <c r="C132" s="545">
        <f t="shared" si="15"/>
        <v>3560217</v>
      </c>
      <c r="D132" s="545">
        <f t="shared" si="15"/>
        <v>3710080</v>
      </c>
      <c r="E132" s="545">
        <f t="shared" si="15"/>
        <v>3731560</v>
      </c>
      <c r="F132" s="545">
        <f t="shared" si="15"/>
        <v>4165182</v>
      </c>
      <c r="G132" s="545">
        <f t="shared" si="15"/>
        <v>4030380</v>
      </c>
      <c r="H132" s="545">
        <f t="shared" si="15"/>
        <v>3698227</v>
      </c>
      <c r="I132" s="545">
        <f t="shared" si="15"/>
        <v>3833004</v>
      </c>
      <c r="J132" s="545">
        <f t="shared" si="15"/>
        <v>3904132</v>
      </c>
      <c r="K132" s="545">
        <f t="shared" si="15"/>
        <v>3728617</v>
      </c>
      <c r="L132" s="545">
        <f t="shared" si="15"/>
        <v>3728680</v>
      </c>
      <c r="M132" s="545">
        <f t="shared" si="15"/>
        <v>3505107</v>
      </c>
      <c r="N132" s="545">
        <f t="shared" si="15"/>
        <v>3495738</v>
      </c>
      <c r="O132" s="979">
        <f t="shared" si="13"/>
        <v>45090924</v>
      </c>
      <c r="P132" s="990">
        <f t="shared" si="14"/>
        <v>2.3088024456398893E-2</v>
      </c>
    </row>
    <row r="133" spans="2:17">
      <c r="B133" s="981" t="s">
        <v>731</v>
      </c>
      <c r="C133" s="545">
        <f t="shared" si="15"/>
        <v>3165365</v>
      </c>
      <c r="D133" s="545">
        <f t="shared" si="15"/>
        <v>3227793</v>
      </c>
      <c r="E133" s="545">
        <f t="shared" si="15"/>
        <v>3399344</v>
      </c>
      <c r="F133" s="545">
        <f t="shared" si="15"/>
        <v>3782356</v>
      </c>
      <c r="G133" s="545">
        <f t="shared" si="15"/>
        <v>3575469</v>
      </c>
      <c r="H133" s="545">
        <f t="shared" si="15"/>
        <v>3421360</v>
      </c>
      <c r="I133" s="545">
        <f t="shared" si="15"/>
        <v>3418578</v>
      </c>
      <c r="J133" s="545">
        <f t="shared" si="15"/>
        <v>3444970</v>
      </c>
      <c r="K133" s="545">
        <f t="shared" si="15"/>
        <v>3310871</v>
      </c>
      <c r="L133" s="545">
        <f t="shared" si="15"/>
        <v>3300835</v>
      </c>
      <c r="M133" s="545">
        <f t="shared" si="15"/>
        <v>3153565</v>
      </c>
      <c r="N133" s="545">
        <f t="shared" si="15"/>
        <v>3096771</v>
      </c>
      <c r="O133" s="979">
        <f t="shared" si="13"/>
        <v>40297277</v>
      </c>
      <c r="P133" s="990">
        <f t="shared" si="14"/>
        <v>2.0633520770217097E-2</v>
      </c>
    </row>
    <row r="134" spans="2:17">
      <c r="B134" s="981" t="s">
        <v>732</v>
      </c>
      <c r="C134" s="545">
        <f t="shared" si="15"/>
        <v>11149153</v>
      </c>
      <c r="D134" s="545">
        <f t="shared" si="15"/>
        <v>11462131</v>
      </c>
      <c r="E134" s="545">
        <f t="shared" si="15"/>
        <v>11982113</v>
      </c>
      <c r="F134" s="545">
        <f t="shared" si="15"/>
        <v>13924831</v>
      </c>
      <c r="G134" s="545">
        <f t="shared" si="15"/>
        <v>12155924</v>
      </c>
      <c r="H134" s="545">
        <f t="shared" si="15"/>
        <v>11319567</v>
      </c>
      <c r="I134" s="545">
        <f t="shared" si="15"/>
        <v>11590509</v>
      </c>
      <c r="J134" s="545">
        <f t="shared" si="15"/>
        <v>11454986</v>
      </c>
      <c r="K134" s="545">
        <f t="shared" si="15"/>
        <v>11047463</v>
      </c>
      <c r="L134" s="545">
        <f t="shared" si="15"/>
        <v>11099108</v>
      </c>
      <c r="M134" s="545">
        <f t="shared" si="15"/>
        <v>10195677</v>
      </c>
      <c r="N134" s="545">
        <f t="shared" si="15"/>
        <v>10305570</v>
      </c>
      <c r="O134" s="979">
        <f t="shared" si="13"/>
        <v>137687032</v>
      </c>
      <c r="P134" s="990">
        <f t="shared" si="14"/>
        <v>7.0500253269260502E-2</v>
      </c>
      <c r="Q134" s="37">
        <f>O134/Q139</f>
        <v>0.2114974309712396</v>
      </c>
    </row>
    <row r="135" spans="2:17">
      <c r="B135" s="981" t="s">
        <v>733</v>
      </c>
      <c r="C135" s="545">
        <f t="shared" si="15"/>
        <v>11141833</v>
      </c>
      <c r="D135" s="545">
        <f t="shared" si="15"/>
        <v>11688871</v>
      </c>
      <c r="E135" s="545">
        <f t="shared" si="15"/>
        <v>12212446</v>
      </c>
      <c r="F135" s="545">
        <f t="shared" si="15"/>
        <v>14454211</v>
      </c>
      <c r="G135" s="545">
        <f t="shared" si="15"/>
        <v>12437944</v>
      </c>
      <c r="H135" s="545">
        <f t="shared" si="15"/>
        <v>11748402</v>
      </c>
      <c r="I135" s="545">
        <f t="shared" si="15"/>
        <v>11895480</v>
      </c>
      <c r="J135" s="545">
        <f t="shared" si="15"/>
        <v>11634846</v>
      </c>
      <c r="K135" s="545">
        <f t="shared" si="15"/>
        <v>11367732</v>
      </c>
      <c r="L135" s="545">
        <f t="shared" si="15"/>
        <v>11387780</v>
      </c>
      <c r="M135" s="545">
        <f t="shared" si="15"/>
        <v>10548352</v>
      </c>
      <c r="N135" s="545">
        <f t="shared" si="15"/>
        <v>10999575</v>
      </c>
      <c r="O135" s="979">
        <f t="shared" si="13"/>
        <v>141517472</v>
      </c>
      <c r="P135" s="990">
        <f t="shared" si="14"/>
        <v>7.2461563540896737E-2</v>
      </c>
    </row>
    <row r="136" spans="2:17">
      <c r="B136" s="981" t="s">
        <v>734</v>
      </c>
      <c r="C136" s="545">
        <f t="shared" si="15"/>
        <v>6421159</v>
      </c>
      <c r="D136" s="545">
        <f t="shared" si="15"/>
        <v>6563695</v>
      </c>
      <c r="E136" s="545">
        <f t="shared" si="15"/>
        <v>6918176</v>
      </c>
      <c r="F136" s="545">
        <f t="shared" si="15"/>
        <v>8003501</v>
      </c>
      <c r="G136" s="545">
        <f t="shared" si="15"/>
        <v>7016626</v>
      </c>
      <c r="H136" s="545">
        <f t="shared" si="15"/>
        <v>6782538</v>
      </c>
      <c r="I136" s="545">
        <f t="shared" si="15"/>
        <v>6958818</v>
      </c>
      <c r="J136" s="545">
        <f t="shared" si="15"/>
        <v>6870904</v>
      </c>
      <c r="K136" s="545">
        <f t="shared" si="15"/>
        <v>6724008</v>
      </c>
      <c r="L136" s="545">
        <f t="shared" si="15"/>
        <v>6880824</v>
      </c>
      <c r="M136" s="545">
        <f t="shared" si="15"/>
        <v>6163969</v>
      </c>
      <c r="N136" s="545">
        <f t="shared" si="15"/>
        <v>6500366</v>
      </c>
      <c r="O136" s="979">
        <f t="shared" si="13"/>
        <v>81804584</v>
      </c>
      <c r="P136" s="990">
        <f t="shared" si="14"/>
        <v>4.1886616385096422E-2</v>
      </c>
    </row>
    <row r="137" spans="2:17">
      <c r="B137" s="981" t="s">
        <v>735</v>
      </c>
      <c r="C137" s="545">
        <f t="shared" si="15"/>
        <v>4550328</v>
      </c>
      <c r="D137" s="545">
        <f t="shared" si="15"/>
        <v>4815644</v>
      </c>
      <c r="E137" s="545">
        <f t="shared" si="15"/>
        <v>4926163</v>
      </c>
      <c r="F137" s="545">
        <f t="shared" si="15"/>
        <v>5437717</v>
      </c>
      <c r="G137" s="545">
        <f t="shared" si="15"/>
        <v>5082061</v>
      </c>
      <c r="H137" s="545">
        <f t="shared" si="15"/>
        <v>4820248</v>
      </c>
      <c r="I137" s="545">
        <f t="shared" si="15"/>
        <v>4981549</v>
      </c>
      <c r="J137" s="545">
        <f t="shared" si="15"/>
        <v>5014114</v>
      </c>
      <c r="K137" s="545">
        <f t="shared" si="15"/>
        <v>4770726</v>
      </c>
      <c r="L137" s="545">
        <f t="shared" si="15"/>
        <v>4853677</v>
      </c>
      <c r="M137" s="545">
        <f t="shared" si="15"/>
        <v>4567987</v>
      </c>
      <c r="N137" s="545">
        <f t="shared" si="15"/>
        <v>4693758</v>
      </c>
      <c r="O137" s="979">
        <f t="shared" si="13"/>
        <v>58513972</v>
      </c>
      <c r="P137" s="990">
        <f t="shared" si="14"/>
        <v>2.9961063041800608E-2</v>
      </c>
    </row>
    <row r="138" spans="2:17">
      <c r="B138" s="981" t="s">
        <v>736</v>
      </c>
      <c r="C138" s="545">
        <f t="shared" si="15"/>
        <v>3343926</v>
      </c>
      <c r="D138" s="545">
        <f t="shared" si="15"/>
        <v>3548665</v>
      </c>
      <c r="E138" s="545">
        <f t="shared" si="15"/>
        <v>3598604</v>
      </c>
      <c r="F138" s="545">
        <f t="shared" si="15"/>
        <v>4070963</v>
      </c>
      <c r="G138" s="545">
        <f t="shared" si="15"/>
        <v>3543844</v>
      </c>
      <c r="H138" s="545">
        <f t="shared" si="15"/>
        <v>3612851</v>
      </c>
      <c r="I138" s="545">
        <f t="shared" si="15"/>
        <v>3735684</v>
      </c>
      <c r="J138" s="545">
        <f t="shared" si="15"/>
        <v>3625163</v>
      </c>
      <c r="K138" s="545">
        <f t="shared" si="15"/>
        <v>3543817</v>
      </c>
      <c r="L138" s="545">
        <f t="shared" si="15"/>
        <v>3657387</v>
      </c>
      <c r="M138" s="545">
        <f t="shared" si="15"/>
        <v>3252085</v>
      </c>
      <c r="N138" s="545">
        <f t="shared" si="15"/>
        <v>3490891</v>
      </c>
      <c r="O138" s="979">
        <f t="shared" si="13"/>
        <v>43023880</v>
      </c>
      <c r="P138" s="990">
        <f t="shared" si="14"/>
        <v>2.2029630478390089E-2</v>
      </c>
    </row>
    <row r="139" spans="2:17">
      <c r="B139" s="981" t="s">
        <v>737</v>
      </c>
      <c r="C139" s="545">
        <f t="shared" si="15"/>
        <v>13985108</v>
      </c>
      <c r="D139" s="545">
        <f t="shared" si="15"/>
        <v>14356515</v>
      </c>
      <c r="E139" s="545">
        <f t="shared" si="15"/>
        <v>15212987</v>
      </c>
      <c r="F139" s="545">
        <f t="shared" si="15"/>
        <v>16572237</v>
      </c>
      <c r="G139" s="545">
        <f t="shared" si="15"/>
        <v>16000909</v>
      </c>
      <c r="H139" s="545">
        <f t="shared" si="15"/>
        <v>15706387</v>
      </c>
      <c r="I139" s="545">
        <f t="shared" si="15"/>
        <v>16137623</v>
      </c>
      <c r="J139" s="545">
        <f t="shared" si="15"/>
        <v>16404557</v>
      </c>
      <c r="K139" s="545">
        <f t="shared" si="15"/>
        <v>16207978</v>
      </c>
      <c r="L139" s="545">
        <f t="shared" si="15"/>
        <v>16510400</v>
      </c>
      <c r="M139" s="545">
        <f t="shared" si="15"/>
        <v>15319518</v>
      </c>
      <c r="N139" s="545">
        <f t="shared" si="15"/>
        <v>16049264</v>
      </c>
      <c r="O139" s="979">
        <f t="shared" si="13"/>
        <v>188463483</v>
      </c>
      <c r="P139" s="990">
        <f t="shared" si="14"/>
        <v>9.6499453074905206E-2</v>
      </c>
      <c r="Q139" s="37">
        <f>SUM(O134:O139)</f>
        <v>651010423</v>
      </c>
    </row>
    <row r="140" spans="2:17" ht="15.75">
      <c r="P140" s="987"/>
    </row>
    <row r="141" spans="2:17" ht="15.75">
      <c r="B141" s="38" t="s">
        <v>739</v>
      </c>
      <c r="C141" s="60">
        <f t="shared" ref="C141:H141" si="16">SUM(C119:C120)</f>
        <v>7366092</v>
      </c>
      <c r="D141" s="60">
        <f t="shared" si="16"/>
        <v>7716127</v>
      </c>
      <c r="E141" s="60">
        <f t="shared" si="16"/>
        <v>7195847</v>
      </c>
      <c r="F141" s="60">
        <f t="shared" si="16"/>
        <v>6927986</v>
      </c>
      <c r="G141" s="60">
        <f t="shared" si="16"/>
        <v>6848924</v>
      </c>
      <c r="H141" s="60">
        <f t="shared" si="16"/>
        <v>7268616</v>
      </c>
      <c r="I141" s="60">
        <f t="shared" ref="I141:N141" si="17">SUM(I119:I120)</f>
        <v>7252409</v>
      </c>
      <c r="J141" s="60">
        <f t="shared" si="17"/>
        <v>7060635</v>
      </c>
      <c r="K141" s="60">
        <f t="shared" si="17"/>
        <v>7903731</v>
      </c>
      <c r="L141" s="60">
        <f t="shared" si="17"/>
        <v>7270002</v>
      </c>
      <c r="M141" s="60">
        <f t="shared" si="17"/>
        <v>7578094</v>
      </c>
      <c r="N141" s="60">
        <f t="shared" si="17"/>
        <v>7376385</v>
      </c>
      <c r="O141" s="60">
        <f>SUM(O119:O120)</f>
        <v>87764848</v>
      </c>
      <c r="P141" s="987"/>
    </row>
    <row r="142" spans="2:17" ht="15.75">
      <c r="B142" s="38" t="s">
        <v>740</v>
      </c>
      <c r="C142" s="60">
        <f t="shared" ref="C142:C147" si="18">SUM(C121)</f>
        <v>8641550</v>
      </c>
      <c r="D142" s="60">
        <f t="shared" ref="D142:H147" si="19">SUM(D121)</f>
        <v>8761696</v>
      </c>
      <c r="E142" s="60">
        <f t="shared" si="19"/>
        <v>8655959</v>
      </c>
      <c r="F142" s="60">
        <f t="shared" si="19"/>
        <v>8427762</v>
      </c>
      <c r="G142" s="60">
        <f t="shared" si="19"/>
        <v>8355894</v>
      </c>
      <c r="H142" s="60">
        <f t="shared" si="19"/>
        <v>8508805</v>
      </c>
      <c r="I142" s="60">
        <f t="shared" ref="I142:N142" si="20">SUM(I121)</f>
        <v>8556022</v>
      </c>
      <c r="J142" s="60">
        <f t="shared" si="20"/>
        <v>8587654</v>
      </c>
      <c r="K142" s="60">
        <f t="shared" si="20"/>
        <v>8731942</v>
      </c>
      <c r="L142" s="60">
        <f t="shared" si="20"/>
        <v>8758032</v>
      </c>
      <c r="M142" s="60">
        <f t="shared" si="20"/>
        <v>8988441</v>
      </c>
      <c r="N142" s="60">
        <f t="shared" si="20"/>
        <v>9143370</v>
      </c>
      <c r="O142" s="60">
        <f t="shared" ref="O142:O147" si="21">SUM(O121)</f>
        <v>104117127</v>
      </c>
      <c r="P142" s="987"/>
    </row>
    <row r="143" spans="2:17" ht="15.75">
      <c r="B143" s="38" t="s">
        <v>741</v>
      </c>
      <c r="C143" s="60">
        <f t="shared" si="18"/>
        <v>12811493</v>
      </c>
      <c r="D143" s="60">
        <f t="shared" si="19"/>
        <v>12682102</v>
      </c>
      <c r="E143" s="60">
        <f t="shared" si="19"/>
        <v>12723529</v>
      </c>
      <c r="F143" s="60">
        <f t="shared" si="19"/>
        <v>12478922</v>
      </c>
      <c r="G143" s="60">
        <f t="shared" si="19"/>
        <v>12735389</v>
      </c>
      <c r="H143" s="60">
        <f t="shared" si="19"/>
        <v>13053675</v>
      </c>
      <c r="I143" s="60">
        <f t="shared" ref="I143:N143" si="22">SUM(I122)</f>
        <v>13231618</v>
      </c>
      <c r="J143" s="60">
        <f t="shared" si="22"/>
        <v>13132724</v>
      </c>
      <c r="K143" s="60">
        <f t="shared" si="22"/>
        <v>13393305</v>
      </c>
      <c r="L143" s="60">
        <f t="shared" si="22"/>
        <v>13342019</v>
      </c>
      <c r="M143" s="60">
        <f t="shared" si="22"/>
        <v>13551654</v>
      </c>
      <c r="N143" s="60">
        <f t="shared" si="22"/>
        <v>13696412</v>
      </c>
      <c r="O143" s="60">
        <f t="shared" si="21"/>
        <v>156832842</v>
      </c>
      <c r="P143" s="987"/>
    </row>
    <row r="144" spans="2:17" ht="15.75">
      <c r="B144" s="38" t="s">
        <v>742</v>
      </c>
      <c r="C144" s="60">
        <f t="shared" si="18"/>
        <v>12940363</v>
      </c>
      <c r="D144" s="60">
        <f t="shared" si="19"/>
        <v>12490686</v>
      </c>
      <c r="E144" s="60">
        <f t="shared" si="19"/>
        <v>12902242</v>
      </c>
      <c r="F144" s="60">
        <f t="shared" si="19"/>
        <v>12512364</v>
      </c>
      <c r="G144" s="60">
        <f t="shared" si="19"/>
        <v>13109533</v>
      </c>
      <c r="H144" s="60">
        <f t="shared" si="19"/>
        <v>13359384</v>
      </c>
      <c r="I144" s="60">
        <f t="shared" ref="I144:N144" si="23">SUM(I123)</f>
        <v>13379141</v>
      </c>
      <c r="J144" s="60">
        <f t="shared" si="23"/>
        <v>13366420</v>
      </c>
      <c r="K144" s="60">
        <f t="shared" si="23"/>
        <v>13331392</v>
      </c>
      <c r="L144" s="60">
        <f t="shared" si="23"/>
        <v>13457280</v>
      </c>
      <c r="M144" s="60">
        <f t="shared" si="23"/>
        <v>13590653</v>
      </c>
      <c r="N144" s="60">
        <f t="shared" si="23"/>
        <v>13594745</v>
      </c>
      <c r="O144" s="60">
        <f t="shared" si="21"/>
        <v>158034203</v>
      </c>
      <c r="P144" s="987"/>
    </row>
    <row r="145" spans="2:19">
      <c r="B145" s="38" t="s">
        <v>743</v>
      </c>
      <c r="C145" s="60">
        <f t="shared" si="18"/>
        <v>12714465</v>
      </c>
      <c r="D145" s="60">
        <f t="shared" si="19"/>
        <v>12520736</v>
      </c>
      <c r="E145" s="60">
        <f t="shared" si="19"/>
        <v>12657556</v>
      </c>
      <c r="F145" s="60">
        <f t="shared" si="19"/>
        <v>12687142</v>
      </c>
      <c r="G145" s="60">
        <f t="shared" si="19"/>
        <v>13283400</v>
      </c>
      <c r="H145" s="60">
        <f t="shared" si="19"/>
        <v>13502135</v>
      </c>
      <c r="I145" s="60">
        <f t="shared" ref="I145:N145" si="24">SUM(I124)</f>
        <v>13345983</v>
      </c>
      <c r="J145" s="60">
        <f t="shared" si="24"/>
        <v>13347811</v>
      </c>
      <c r="K145" s="60">
        <f t="shared" si="24"/>
        <v>13598873</v>
      </c>
      <c r="L145" s="60">
        <f t="shared" si="24"/>
        <v>13403796</v>
      </c>
      <c r="M145" s="60">
        <f t="shared" si="24"/>
        <v>13366301</v>
      </c>
      <c r="N145" s="60">
        <f t="shared" si="24"/>
        <v>12959043</v>
      </c>
      <c r="O145" s="60">
        <f t="shared" si="21"/>
        <v>157387241</v>
      </c>
    </row>
    <row r="146" spans="2:19">
      <c r="B146" s="38" t="s">
        <v>744</v>
      </c>
      <c r="C146" s="60">
        <f t="shared" si="18"/>
        <v>10304487</v>
      </c>
      <c r="D146" s="60">
        <f t="shared" si="19"/>
        <v>9621553</v>
      </c>
      <c r="E146" s="60">
        <f t="shared" si="19"/>
        <v>9937556</v>
      </c>
      <c r="F146" s="60">
        <f t="shared" si="19"/>
        <v>10866842</v>
      </c>
      <c r="G146" s="60">
        <f t="shared" si="19"/>
        <v>10561205</v>
      </c>
      <c r="H146" s="60">
        <f t="shared" si="19"/>
        <v>10347135</v>
      </c>
      <c r="I146" s="60">
        <f t="shared" ref="I146:N146" si="25">SUM(I125)</f>
        <v>10356857</v>
      </c>
      <c r="J146" s="60">
        <f t="shared" si="25"/>
        <v>10345529</v>
      </c>
      <c r="K146" s="60">
        <f t="shared" si="25"/>
        <v>9843107</v>
      </c>
      <c r="L146" s="60">
        <f t="shared" si="25"/>
        <v>10150982</v>
      </c>
      <c r="M146" s="60">
        <f t="shared" si="25"/>
        <v>9531242</v>
      </c>
      <c r="N146" s="60">
        <f t="shared" si="25"/>
        <v>9695148</v>
      </c>
      <c r="O146" s="60">
        <f t="shared" si="21"/>
        <v>121561643</v>
      </c>
    </row>
    <row r="147" spans="2:19">
      <c r="B147" s="38" t="s">
        <v>745</v>
      </c>
      <c r="C147" s="60">
        <f t="shared" si="18"/>
        <v>8402484</v>
      </c>
      <c r="D147" s="60">
        <f t="shared" si="19"/>
        <v>8241406</v>
      </c>
      <c r="E147" s="60">
        <f t="shared" si="19"/>
        <v>8333178</v>
      </c>
      <c r="F147" s="60">
        <f t="shared" si="19"/>
        <v>8156348</v>
      </c>
      <c r="G147" s="60">
        <f t="shared" si="19"/>
        <v>9285414</v>
      </c>
      <c r="H147" s="60">
        <f t="shared" si="19"/>
        <v>8640657</v>
      </c>
      <c r="I147" s="60">
        <f t="shared" ref="I147:N147" si="26">SUM(I126)</f>
        <v>8842107</v>
      </c>
      <c r="J147" s="60">
        <f t="shared" si="26"/>
        <v>8879828</v>
      </c>
      <c r="K147" s="60">
        <f t="shared" si="26"/>
        <v>8721871</v>
      </c>
      <c r="L147" s="60">
        <f t="shared" si="26"/>
        <v>8674214</v>
      </c>
      <c r="M147" s="60">
        <f t="shared" si="26"/>
        <v>8400714</v>
      </c>
      <c r="N147" s="60">
        <f t="shared" si="26"/>
        <v>8469221</v>
      </c>
      <c r="O147" s="60">
        <f t="shared" si="21"/>
        <v>103047442</v>
      </c>
    </row>
    <row r="148" spans="2:19">
      <c r="B148" s="519" t="s">
        <v>685</v>
      </c>
      <c r="C148" s="520">
        <f t="shared" ref="C148:H148" si="27">SUM(C141:C147)</f>
        <v>73180934</v>
      </c>
      <c r="D148" s="520">
        <f t="shared" si="27"/>
        <v>72034306</v>
      </c>
      <c r="E148" s="520">
        <f t="shared" si="27"/>
        <v>72405867</v>
      </c>
      <c r="F148" s="520">
        <f t="shared" si="27"/>
        <v>72057366</v>
      </c>
      <c r="G148" s="520">
        <f t="shared" si="27"/>
        <v>74179759</v>
      </c>
      <c r="H148" s="520">
        <f t="shared" si="27"/>
        <v>74680407</v>
      </c>
      <c r="I148" s="520">
        <f t="shared" ref="I148:N148" si="28">SUM(I141:I147)</f>
        <v>74964137</v>
      </c>
      <c r="J148" s="520">
        <f t="shared" si="28"/>
        <v>74720601</v>
      </c>
      <c r="K148" s="520">
        <f t="shared" si="28"/>
        <v>75524221</v>
      </c>
      <c r="L148" s="520">
        <f t="shared" si="28"/>
        <v>75056325</v>
      </c>
      <c r="M148" s="520">
        <f t="shared" si="28"/>
        <v>75007099</v>
      </c>
      <c r="N148" s="520">
        <f t="shared" si="28"/>
        <v>74934324</v>
      </c>
      <c r="O148" s="520">
        <f>SUM(O141:O147)</f>
        <v>888745346</v>
      </c>
    </row>
    <row r="149" spans="2:19">
      <c r="B149" s="38" t="s">
        <v>746</v>
      </c>
      <c r="C149" s="60">
        <f t="shared" ref="C149:H149" si="29">SUM(C127:C139)</f>
        <v>83947549</v>
      </c>
      <c r="D149" s="60">
        <f t="shared" si="29"/>
        <v>85783374</v>
      </c>
      <c r="E149" s="60">
        <f t="shared" si="29"/>
        <v>89119874</v>
      </c>
      <c r="F149" s="60">
        <f t="shared" si="29"/>
        <v>98673641</v>
      </c>
      <c r="G149" s="60">
        <f t="shared" si="29"/>
        <v>92442588</v>
      </c>
      <c r="H149" s="60">
        <f t="shared" si="29"/>
        <v>89130650</v>
      </c>
      <c r="I149" s="60">
        <f t="shared" ref="I149:N149" si="30">SUM(I127:I139)</f>
        <v>90407386</v>
      </c>
      <c r="J149" s="60">
        <f t="shared" si="30"/>
        <v>90421434</v>
      </c>
      <c r="K149" s="60">
        <f t="shared" si="30"/>
        <v>88081660</v>
      </c>
      <c r="L149" s="60">
        <f t="shared" si="30"/>
        <v>88749050</v>
      </c>
      <c r="M149" s="60">
        <f t="shared" si="30"/>
        <v>83006082</v>
      </c>
      <c r="N149" s="60">
        <f t="shared" si="30"/>
        <v>84491896</v>
      </c>
      <c r="O149" s="60">
        <f>SUM(O127:O139)</f>
        <v>1064255184</v>
      </c>
    </row>
    <row r="150" spans="2:19">
      <c r="B150" s="519" t="s">
        <v>747</v>
      </c>
      <c r="C150" s="520">
        <f t="shared" ref="C150:H150" si="31">C148+C149</f>
        <v>157128483</v>
      </c>
      <c r="D150" s="520">
        <f t="shared" si="31"/>
        <v>157817680</v>
      </c>
      <c r="E150" s="520">
        <f t="shared" si="31"/>
        <v>161525741</v>
      </c>
      <c r="F150" s="520">
        <f t="shared" si="31"/>
        <v>170731007</v>
      </c>
      <c r="G150" s="520">
        <f t="shared" si="31"/>
        <v>166622347</v>
      </c>
      <c r="H150" s="520">
        <f t="shared" si="31"/>
        <v>163811057</v>
      </c>
      <c r="I150" s="520">
        <f t="shared" ref="I150:N150" si="32">I148+I149</f>
        <v>165371523</v>
      </c>
      <c r="J150" s="520">
        <f t="shared" si="32"/>
        <v>165142035</v>
      </c>
      <c r="K150" s="520">
        <f t="shared" si="32"/>
        <v>163605881</v>
      </c>
      <c r="L150" s="520">
        <f t="shared" si="32"/>
        <v>163805375</v>
      </c>
      <c r="M150" s="520">
        <f t="shared" si="32"/>
        <v>158013181</v>
      </c>
      <c r="N150" s="520">
        <f t="shared" si="32"/>
        <v>159426220</v>
      </c>
      <c r="O150" s="520">
        <f>O148+O149</f>
        <v>1953000530</v>
      </c>
    </row>
    <row r="152" spans="2:19">
      <c r="B152" s="513"/>
      <c r="C152" s="514">
        <f t="shared" ref="C152:H152" si="33">C5</f>
        <v>45658</v>
      </c>
      <c r="D152" s="514">
        <f t="shared" si="33"/>
        <v>45689</v>
      </c>
      <c r="E152" s="514">
        <f t="shared" si="33"/>
        <v>45717</v>
      </c>
      <c r="F152" s="514">
        <f t="shared" si="33"/>
        <v>45748</v>
      </c>
      <c r="G152" s="514">
        <f t="shared" si="33"/>
        <v>45778</v>
      </c>
      <c r="H152" s="514">
        <f t="shared" si="33"/>
        <v>45809</v>
      </c>
      <c r="I152" s="514">
        <f t="shared" ref="I152:N152" si="34">I5</f>
        <v>45839</v>
      </c>
      <c r="J152" s="514">
        <f t="shared" si="34"/>
        <v>45870</v>
      </c>
      <c r="K152" s="514">
        <f t="shared" si="34"/>
        <v>45901</v>
      </c>
      <c r="L152" s="514">
        <f t="shared" si="34"/>
        <v>45931</v>
      </c>
      <c r="M152" s="514">
        <f t="shared" si="34"/>
        <v>45962</v>
      </c>
      <c r="N152" s="514">
        <f t="shared" si="34"/>
        <v>45992</v>
      </c>
      <c r="O152" s="515" t="str">
        <f>O5</f>
        <v>TOTAL</v>
      </c>
    </row>
    <row r="153" spans="2:19">
      <c r="B153" s="521" t="s">
        <v>765</v>
      </c>
      <c r="C153" s="60">
        <f t="shared" ref="C153:C159" si="35">C119</f>
        <v>2278169</v>
      </c>
      <c r="D153" s="60">
        <f t="shared" ref="D153:H159" si="36">D119</f>
        <v>2414802</v>
      </c>
      <c r="E153" s="60">
        <f t="shared" si="36"/>
        <v>2138934</v>
      </c>
      <c r="F153" s="60">
        <f t="shared" si="36"/>
        <v>2102040</v>
      </c>
      <c r="G153" s="60">
        <f t="shared" si="36"/>
        <v>2070406</v>
      </c>
      <c r="H153" s="60">
        <f t="shared" si="36"/>
        <v>2262072</v>
      </c>
      <c r="I153" s="60">
        <f t="shared" ref="I153:N153" si="37">I119</f>
        <v>2248800</v>
      </c>
      <c r="J153" s="60">
        <f t="shared" si="37"/>
        <v>1956065</v>
      </c>
      <c r="K153" s="60">
        <f t="shared" si="37"/>
        <v>2590335</v>
      </c>
      <c r="L153" s="60">
        <f t="shared" si="37"/>
        <v>2081396</v>
      </c>
      <c r="M153" s="60">
        <f t="shared" si="37"/>
        <v>2228023</v>
      </c>
      <c r="N153" s="60">
        <f t="shared" si="37"/>
        <v>1915956</v>
      </c>
      <c r="O153" s="60">
        <f t="shared" ref="O153:O162" si="38">SUM(C153:N153)</f>
        <v>26286998</v>
      </c>
      <c r="P153" s="990">
        <f t="shared" ref="P153:P162" si="39">O153/O$162</f>
        <v>1.345980075079652E-2</v>
      </c>
      <c r="Q153" s="60">
        <f>SUM(I153:N153)</f>
        <v>13020575</v>
      </c>
      <c r="R153" s="990">
        <f>Q153/Q$162</f>
        <v>1.3349449159358383E-2</v>
      </c>
      <c r="S153" s="60">
        <v>11917126.167153854</v>
      </c>
    </row>
    <row r="154" spans="2:19">
      <c r="B154" s="521" t="s">
        <v>766</v>
      </c>
      <c r="C154" s="60">
        <f t="shared" si="35"/>
        <v>5087923</v>
      </c>
      <c r="D154" s="60">
        <f t="shared" si="36"/>
        <v>5301325</v>
      </c>
      <c r="E154" s="60">
        <f t="shared" si="36"/>
        <v>5056913</v>
      </c>
      <c r="F154" s="60">
        <f t="shared" si="36"/>
        <v>4825946</v>
      </c>
      <c r="G154" s="60">
        <f t="shared" si="36"/>
        <v>4778518</v>
      </c>
      <c r="H154" s="60">
        <f t="shared" si="36"/>
        <v>5006544</v>
      </c>
      <c r="I154" s="60">
        <f t="shared" ref="I154:N154" si="40">I120</f>
        <v>5003609</v>
      </c>
      <c r="J154" s="60">
        <f t="shared" si="40"/>
        <v>5104570</v>
      </c>
      <c r="K154" s="60">
        <f t="shared" si="40"/>
        <v>5313396</v>
      </c>
      <c r="L154" s="60">
        <f t="shared" si="40"/>
        <v>5188606</v>
      </c>
      <c r="M154" s="60">
        <f t="shared" si="40"/>
        <v>5350071</v>
      </c>
      <c r="N154" s="60">
        <f t="shared" si="40"/>
        <v>5460429</v>
      </c>
      <c r="O154" s="60">
        <f t="shared" si="38"/>
        <v>61477850</v>
      </c>
      <c r="P154" s="990">
        <f t="shared" si="39"/>
        <v>3.1478665292528109E-2</v>
      </c>
      <c r="Q154" s="60">
        <f t="shared" ref="Q154:Q162" si="41">SUM(I154:N154)</f>
        <v>31420681</v>
      </c>
      <c r="R154" s="990">
        <f t="shared" ref="R154:R162" si="42">Q154/Q$162</f>
        <v>3.2214305709380574E-2</v>
      </c>
      <c r="S154" s="60">
        <v>27870785.965569731</v>
      </c>
    </row>
    <row r="155" spans="2:19">
      <c r="B155" s="521" t="s">
        <v>767</v>
      </c>
      <c r="C155" s="60">
        <f t="shared" si="35"/>
        <v>8641550</v>
      </c>
      <c r="D155" s="60">
        <f t="shared" si="36"/>
        <v>8761696</v>
      </c>
      <c r="E155" s="60">
        <f t="shared" si="36"/>
        <v>8655959</v>
      </c>
      <c r="F155" s="60">
        <f t="shared" si="36"/>
        <v>8427762</v>
      </c>
      <c r="G155" s="60">
        <f t="shared" si="36"/>
        <v>8355894</v>
      </c>
      <c r="H155" s="60">
        <f t="shared" si="36"/>
        <v>8508805</v>
      </c>
      <c r="I155" s="60">
        <f t="shared" ref="I155:N155" si="43">I121</f>
        <v>8556022</v>
      </c>
      <c r="J155" s="60">
        <f t="shared" si="43"/>
        <v>8587654</v>
      </c>
      <c r="K155" s="60">
        <f t="shared" si="43"/>
        <v>8731942</v>
      </c>
      <c r="L155" s="60">
        <f t="shared" si="43"/>
        <v>8758032</v>
      </c>
      <c r="M155" s="60">
        <f t="shared" si="43"/>
        <v>8988441</v>
      </c>
      <c r="N155" s="60">
        <f t="shared" si="43"/>
        <v>9143370</v>
      </c>
      <c r="O155" s="60">
        <f t="shared" si="38"/>
        <v>104117127</v>
      </c>
      <c r="P155" s="990">
        <f t="shared" si="39"/>
        <v>5.3311366484882626E-2</v>
      </c>
      <c r="Q155" s="60">
        <f t="shared" si="41"/>
        <v>52765461</v>
      </c>
      <c r="R155" s="990">
        <f t="shared" si="42"/>
        <v>5.4098212942946651E-2</v>
      </c>
      <c r="S155" s="60">
        <v>47201165.329741389</v>
      </c>
    </row>
    <row r="156" spans="2:19">
      <c r="B156" s="521" t="s">
        <v>768</v>
      </c>
      <c r="C156" s="60">
        <f t="shared" si="35"/>
        <v>12811493</v>
      </c>
      <c r="D156" s="60">
        <f t="shared" si="36"/>
        <v>12682102</v>
      </c>
      <c r="E156" s="60">
        <f t="shared" si="36"/>
        <v>12723529</v>
      </c>
      <c r="F156" s="60">
        <f t="shared" si="36"/>
        <v>12478922</v>
      </c>
      <c r="G156" s="60">
        <f t="shared" si="36"/>
        <v>12735389</v>
      </c>
      <c r="H156" s="60">
        <f t="shared" si="36"/>
        <v>13053675</v>
      </c>
      <c r="I156" s="60">
        <f t="shared" ref="I156:N156" si="44">I122</f>
        <v>13231618</v>
      </c>
      <c r="J156" s="60">
        <f t="shared" si="44"/>
        <v>13132724</v>
      </c>
      <c r="K156" s="60">
        <f t="shared" si="44"/>
        <v>13393305</v>
      </c>
      <c r="L156" s="60">
        <f t="shared" si="44"/>
        <v>13342019</v>
      </c>
      <c r="M156" s="60">
        <f t="shared" si="44"/>
        <v>13551654</v>
      </c>
      <c r="N156" s="60">
        <f t="shared" si="44"/>
        <v>13696412</v>
      </c>
      <c r="O156" s="60">
        <f t="shared" si="38"/>
        <v>156832842</v>
      </c>
      <c r="P156" s="990">
        <f t="shared" si="39"/>
        <v>8.0303532738928651E-2</v>
      </c>
      <c r="Q156" s="60">
        <f t="shared" si="41"/>
        <v>80347732</v>
      </c>
      <c r="R156" s="990">
        <f t="shared" si="42"/>
        <v>8.2377157952221974E-2</v>
      </c>
      <c r="S156" s="60">
        <v>71099665.517808691</v>
      </c>
    </row>
    <row r="157" spans="2:19">
      <c r="B157" s="521" t="s">
        <v>769</v>
      </c>
      <c r="C157" s="60">
        <f t="shared" si="35"/>
        <v>12940363</v>
      </c>
      <c r="D157" s="60">
        <f t="shared" si="36"/>
        <v>12490686</v>
      </c>
      <c r="E157" s="60">
        <f t="shared" si="36"/>
        <v>12902242</v>
      </c>
      <c r="F157" s="60">
        <f t="shared" si="36"/>
        <v>12512364</v>
      </c>
      <c r="G157" s="60">
        <f t="shared" si="36"/>
        <v>13109533</v>
      </c>
      <c r="H157" s="60">
        <f t="shared" si="36"/>
        <v>13359384</v>
      </c>
      <c r="I157" s="60">
        <f t="shared" ref="I157:N157" si="45">I123</f>
        <v>13379141</v>
      </c>
      <c r="J157" s="60">
        <f t="shared" si="45"/>
        <v>13366420</v>
      </c>
      <c r="K157" s="60">
        <f t="shared" si="45"/>
        <v>13331392</v>
      </c>
      <c r="L157" s="60">
        <f t="shared" si="45"/>
        <v>13457280</v>
      </c>
      <c r="M157" s="60">
        <f t="shared" si="45"/>
        <v>13590653</v>
      </c>
      <c r="N157" s="60">
        <f t="shared" si="45"/>
        <v>13594745</v>
      </c>
      <c r="O157" s="60">
        <f t="shared" si="38"/>
        <v>158034203</v>
      </c>
      <c r="P157" s="990">
        <f t="shared" si="39"/>
        <v>8.0918668772711491E-2</v>
      </c>
      <c r="Q157" s="60">
        <f t="shared" si="41"/>
        <v>80719631</v>
      </c>
      <c r="R157" s="990">
        <f t="shared" si="42"/>
        <v>8.2758450390759922E-2</v>
      </c>
      <c r="S157" s="60">
        <v>71644298.671023756</v>
      </c>
    </row>
    <row r="158" spans="2:19">
      <c r="B158" s="521" t="s">
        <v>770</v>
      </c>
      <c r="C158" s="60">
        <f t="shared" si="35"/>
        <v>12714465</v>
      </c>
      <c r="D158" s="60">
        <f t="shared" si="36"/>
        <v>12520736</v>
      </c>
      <c r="E158" s="60">
        <f t="shared" si="36"/>
        <v>12657556</v>
      </c>
      <c r="F158" s="60">
        <f t="shared" si="36"/>
        <v>12687142</v>
      </c>
      <c r="G158" s="60">
        <f t="shared" si="36"/>
        <v>13283400</v>
      </c>
      <c r="H158" s="60">
        <f t="shared" si="36"/>
        <v>13502135</v>
      </c>
      <c r="I158" s="60">
        <f t="shared" ref="I158:N158" si="46">I124</f>
        <v>13345983</v>
      </c>
      <c r="J158" s="60">
        <f t="shared" si="46"/>
        <v>13347811</v>
      </c>
      <c r="K158" s="60">
        <f t="shared" si="46"/>
        <v>13598873</v>
      </c>
      <c r="L158" s="60">
        <f t="shared" si="46"/>
        <v>13403796</v>
      </c>
      <c r="M158" s="60">
        <f t="shared" si="46"/>
        <v>13366301</v>
      </c>
      <c r="N158" s="60">
        <f t="shared" si="46"/>
        <v>12959043</v>
      </c>
      <c r="O158" s="60">
        <f t="shared" si="38"/>
        <v>157387241</v>
      </c>
      <c r="P158" s="990">
        <f t="shared" si="39"/>
        <v>8.0587403117601819E-2</v>
      </c>
      <c r="Q158" s="60">
        <f t="shared" si="41"/>
        <v>80021807</v>
      </c>
      <c r="R158" s="990">
        <f t="shared" si="42"/>
        <v>8.2043000726656753E-2</v>
      </c>
      <c r="S158" s="60">
        <v>71351000.524945825</v>
      </c>
    </row>
    <row r="159" spans="2:19">
      <c r="B159" s="521" t="s">
        <v>771</v>
      </c>
      <c r="C159" s="60">
        <f t="shared" si="35"/>
        <v>10304487</v>
      </c>
      <c r="D159" s="60">
        <f t="shared" si="36"/>
        <v>9621553</v>
      </c>
      <c r="E159" s="60">
        <f t="shared" si="36"/>
        <v>9937556</v>
      </c>
      <c r="F159" s="60">
        <f t="shared" si="36"/>
        <v>10866842</v>
      </c>
      <c r="G159" s="60">
        <f t="shared" si="36"/>
        <v>10561205</v>
      </c>
      <c r="H159" s="60">
        <f t="shared" si="36"/>
        <v>10347135</v>
      </c>
      <c r="I159" s="60">
        <f t="shared" ref="I159:N159" si="47">I125</f>
        <v>10356857</v>
      </c>
      <c r="J159" s="60">
        <f t="shared" si="47"/>
        <v>10345529</v>
      </c>
      <c r="K159" s="60">
        <f t="shared" si="47"/>
        <v>9843107</v>
      </c>
      <c r="L159" s="60">
        <f t="shared" si="47"/>
        <v>10150982</v>
      </c>
      <c r="M159" s="60">
        <f t="shared" si="47"/>
        <v>9531242</v>
      </c>
      <c r="N159" s="60">
        <f t="shared" si="47"/>
        <v>9695148</v>
      </c>
      <c r="O159" s="60">
        <f t="shared" si="38"/>
        <v>121561643</v>
      </c>
      <c r="P159" s="990">
        <f t="shared" si="39"/>
        <v>6.2243527911382594E-2</v>
      </c>
      <c r="Q159" s="60">
        <f t="shared" si="41"/>
        <v>59922865</v>
      </c>
      <c r="R159" s="990">
        <f t="shared" si="42"/>
        <v>6.1436398914840235E-2</v>
      </c>
    </row>
    <row r="160" spans="2:19">
      <c r="B160" s="521" t="s">
        <v>772</v>
      </c>
      <c r="C160" s="60">
        <f t="shared" ref="C160:H160" si="48">SUM(C126:C133)</f>
        <v>41758526</v>
      </c>
      <c r="D160" s="60">
        <f t="shared" si="48"/>
        <v>41589259</v>
      </c>
      <c r="E160" s="60">
        <f t="shared" si="48"/>
        <v>42602563</v>
      </c>
      <c r="F160" s="60">
        <f t="shared" si="48"/>
        <v>44366529</v>
      </c>
      <c r="G160" s="60">
        <f t="shared" si="48"/>
        <v>45490694</v>
      </c>
      <c r="H160" s="60">
        <f t="shared" si="48"/>
        <v>43781314</v>
      </c>
      <c r="I160" s="60">
        <f t="shared" ref="I160:N160" si="49">SUM(I126:I133)</f>
        <v>43949830</v>
      </c>
      <c r="J160" s="60">
        <f t="shared" si="49"/>
        <v>44296692</v>
      </c>
      <c r="K160" s="60">
        <f t="shared" si="49"/>
        <v>43141807</v>
      </c>
      <c r="L160" s="60">
        <f t="shared" si="49"/>
        <v>43034088</v>
      </c>
      <c r="M160" s="60">
        <f t="shared" si="49"/>
        <v>41359208</v>
      </c>
      <c r="N160" s="60">
        <f t="shared" si="49"/>
        <v>40921693</v>
      </c>
      <c r="O160" s="60">
        <f t="shared" si="38"/>
        <v>516292203</v>
      </c>
      <c r="P160" s="990">
        <f t="shared" si="39"/>
        <v>0.26435845514081863</v>
      </c>
      <c r="Q160" s="60">
        <f t="shared" si="41"/>
        <v>256703318</v>
      </c>
      <c r="R160" s="990">
        <f t="shared" si="42"/>
        <v>0.26318713979064734</v>
      </c>
    </row>
    <row r="161" spans="2:19">
      <c r="B161" s="521" t="s">
        <v>773</v>
      </c>
      <c r="C161" s="60">
        <f t="shared" ref="C161:H161" si="50">SUM(C134:C139)</f>
        <v>50591507</v>
      </c>
      <c r="D161" s="60">
        <f t="shared" si="50"/>
        <v>52435521</v>
      </c>
      <c r="E161" s="60">
        <f t="shared" si="50"/>
        <v>54850489</v>
      </c>
      <c r="F161" s="60">
        <f t="shared" si="50"/>
        <v>62463460</v>
      </c>
      <c r="G161" s="60">
        <f t="shared" si="50"/>
        <v>56237308</v>
      </c>
      <c r="H161" s="60">
        <f t="shared" si="50"/>
        <v>53989993</v>
      </c>
      <c r="I161" s="60">
        <f t="shared" ref="I161:N161" si="51">SUM(I134:I139)</f>
        <v>55299663</v>
      </c>
      <c r="J161" s="60">
        <f t="shared" si="51"/>
        <v>55004570</v>
      </c>
      <c r="K161" s="60">
        <f t="shared" si="51"/>
        <v>53661724</v>
      </c>
      <c r="L161" s="60">
        <f t="shared" si="51"/>
        <v>54389176</v>
      </c>
      <c r="M161" s="60">
        <f t="shared" si="51"/>
        <v>50047588</v>
      </c>
      <c r="N161" s="60">
        <f t="shared" si="51"/>
        <v>52039424</v>
      </c>
      <c r="O161" s="60">
        <f t="shared" si="38"/>
        <v>651010423</v>
      </c>
      <c r="P161" s="990">
        <f t="shared" si="39"/>
        <v>0.33333857979034959</v>
      </c>
      <c r="Q161" s="60">
        <f t="shared" si="41"/>
        <v>320442145</v>
      </c>
      <c r="R161" s="990">
        <f t="shared" si="42"/>
        <v>0.32853588441318815</v>
      </c>
    </row>
    <row r="162" spans="2:19">
      <c r="B162" s="522" t="s">
        <v>755</v>
      </c>
      <c r="C162" s="520">
        <f t="shared" ref="C162:H162" si="52">SUM(C153:C161)</f>
        <v>157128483</v>
      </c>
      <c r="D162" s="520">
        <f t="shared" si="52"/>
        <v>157817680</v>
      </c>
      <c r="E162" s="520">
        <f t="shared" si="52"/>
        <v>161525741</v>
      </c>
      <c r="F162" s="520">
        <f t="shared" si="52"/>
        <v>170731007</v>
      </c>
      <c r="G162" s="520">
        <f t="shared" si="52"/>
        <v>166622347</v>
      </c>
      <c r="H162" s="520">
        <f t="shared" si="52"/>
        <v>163811057</v>
      </c>
      <c r="I162" s="520">
        <f t="shared" ref="I162:N162" si="53">SUM(I153:I161)</f>
        <v>165371523</v>
      </c>
      <c r="J162" s="520">
        <f t="shared" si="53"/>
        <v>165142035</v>
      </c>
      <c r="K162" s="520">
        <f t="shared" si="53"/>
        <v>163605881</v>
      </c>
      <c r="L162" s="520">
        <f t="shared" si="53"/>
        <v>163805375</v>
      </c>
      <c r="M162" s="520">
        <f t="shared" si="53"/>
        <v>158013181</v>
      </c>
      <c r="N162" s="520">
        <f t="shared" si="53"/>
        <v>159426220</v>
      </c>
      <c r="O162" s="520">
        <f t="shared" si="38"/>
        <v>1953000530</v>
      </c>
      <c r="P162" s="990">
        <f t="shared" si="39"/>
        <v>1</v>
      </c>
      <c r="Q162" s="60">
        <f t="shared" si="41"/>
        <v>975364215</v>
      </c>
      <c r="R162" s="990">
        <f t="shared" si="42"/>
        <v>1</v>
      </c>
    </row>
    <row r="163" spans="2:19">
      <c r="C163" s="523">
        <v>157128483</v>
      </c>
      <c r="D163" s="523">
        <v>157817680</v>
      </c>
      <c r="E163" s="523">
        <v>161525741</v>
      </c>
      <c r="F163" s="523">
        <v>170731007</v>
      </c>
      <c r="G163" s="523">
        <v>166622347</v>
      </c>
      <c r="H163" s="523">
        <v>163811057</v>
      </c>
      <c r="I163" s="523">
        <f>F821EVE!D153</f>
        <v>165371523</v>
      </c>
      <c r="J163" s="523">
        <f>F821EVE!E153</f>
        <v>165142035</v>
      </c>
      <c r="K163" s="523">
        <f>F821EVE!F153</f>
        <v>163605881</v>
      </c>
      <c r="L163" s="523">
        <f>F821EVE!G153</f>
        <v>163805375</v>
      </c>
      <c r="M163" s="523">
        <f>F821EVE!H153</f>
        <v>158013181</v>
      </c>
      <c r="N163" s="523">
        <f>F821EVE!I153</f>
        <v>159426220</v>
      </c>
      <c r="O163" s="60"/>
      <c r="Q163" s="1570">
        <f>SUM(Q153:Q158)</f>
        <v>338295887</v>
      </c>
      <c r="R163" s="1570"/>
      <c r="S163" s="1570">
        <f>SUM(S153:S158)</f>
        <v>301084042.17624325</v>
      </c>
    </row>
    <row r="164" spans="2:19">
      <c r="C164" s="524">
        <f t="shared" ref="C164:H164" si="54">C163-C162</f>
        <v>0</v>
      </c>
      <c r="D164" s="524">
        <f t="shared" si="54"/>
        <v>0</v>
      </c>
      <c r="E164" s="524">
        <f t="shared" si="54"/>
        <v>0</v>
      </c>
      <c r="F164" s="524">
        <f t="shared" si="54"/>
        <v>0</v>
      </c>
      <c r="G164" s="524">
        <f t="shared" si="54"/>
        <v>0</v>
      </c>
      <c r="H164" s="524">
        <f t="shared" si="54"/>
        <v>0</v>
      </c>
      <c r="I164" s="524">
        <f>I163-I162</f>
        <v>0</v>
      </c>
      <c r="J164" s="524">
        <f t="shared" ref="J164:N164" si="55">J163-J162</f>
        <v>0</v>
      </c>
      <c r="K164" s="524">
        <f t="shared" si="55"/>
        <v>0</v>
      </c>
      <c r="L164" s="524">
        <f t="shared" si="55"/>
        <v>0</v>
      </c>
      <c r="M164" s="524">
        <f t="shared" si="55"/>
        <v>0</v>
      </c>
      <c r="N164" s="524">
        <f t="shared" si="55"/>
        <v>0</v>
      </c>
      <c r="O164" s="60"/>
    </row>
  </sheetData>
  <printOptions horizontalCentered="1" verticalCentered="1"/>
  <pageMargins left="0.59055118110236227" right="0.59055118110236227" top="0.78740157480314965" bottom="0.59055118110236227" header="0.59055118110236227" footer="0.47244094488188981"/>
  <pageSetup scale="38" orientation="portrait" r:id="rId1"/>
  <headerFooter>
    <oddHeader>&amp;L&amp;"Times New Roman,Negrita"&amp;14Nombre de la Distribuidora: &amp;K06-048ENSA&amp;RASEP FORM: &amp;A</oddHeader>
    <oddFooter>&amp;R&amp;A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Hoja79">
    <tabColor theme="7" tint="0.79998168889431442"/>
    <pageSetUpPr fitToPage="1"/>
  </sheetPr>
  <dimension ref="A1:J226"/>
  <sheetViews>
    <sheetView view="pageBreakPreview" zoomScale="85" zoomScaleNormal="100" zoomScaleSheetLayoutView="85" workbookViewId="0">
      <pane xSplit="3" ySplit="4" topLeftCell="D48" activePane="bottomRight" state="frozen"/>
      <selection activeCell="C59" sqref="C59"/>
      <selection pane="topRight" activeCell="C59" sqref="C59"/>
      <selection pane="bottomLeft" activeCell="C59" sqref="C59"/>
      <selection pane="bottomRight" activeCell="C59" sqref="C59"/>
    </sheetView>
  </sheetViews>
  <sheetFormatPr baseColWidth="10" defaultColWidth="11" defaultRowHeight="13.5"/>
  <cols>
    <col min="1" max="1" width="3.75" style="37" customWidth="1"/>
    <col min="2" max="2" width="6.125" style="37" bestFit="1" customWidth="1"/>
    <col min="3" max="3" width="30.75" style="37" customWidth="1"/>
    <col min="4" max="9" width="9" style="37" customWidth="1"/>
    <col min="10" max="10" width="9" style="52" customWidth="1"/>
    <col min="11" max="11" width="3.125" style="37" customWidth="1"/>
    <col min="12" max="31" width="11" style="37"/>
    <col min="32" max="32" width="3.625" style="37" customWidth="1"/>
    <col min="33" max="16384" width="11" style="37"/>
  </cols>
  <sheetData>
    <row r="1" spans="2:10" s="38" customFormat="1" ht="14.25" thickBot="1">
      <c r="J1" s="246"/>
    </row>
    <row r="2" spans="2:10" s="38" customFormat="1" ht="13.5" customHeight="1">
      <c r="C2" s="1017" t="s">
        <v>39</v>
      </c>
      <c r="D2" s="1018"/>
      <c r="E2" s="1018"/>
      <c r="F2" s="1018"/>
      <c r="G2" s="1018"/>
      <c r="H2" s="1018"/>
      <c r="I2" s="1018"/>
      <c r="J2" s="1019" t="s">
        <v>790</v>
      </c>
    </row>
    <row r="3" spans="2:10" ht="15.75" thickBot="1">
      <c r="C3" s="1017" t="s">
        <v>38</v>
      </c>
      <c r="D3" s="1018"/>
      <c r="E3" s="1018"/>
      <c r="F3" s="1018"/>
      <c r="G3" s="1018"/>
      <c r="H3" s="1018"/>
      <c r="I3" s="1018"/>
      <c r="J3" s="1020" t="s">
        <v>488</v>
      </c>
    </row>
    <row r="4" spans="2:10" ht="20.25" customHeight="1">
      <c r="C4" s="150" t="s">
        <v>310</v>
      </c>
      <c r="D4" s="1016">
        <v>46204</v>
      </c>
      <c r="E4" s="1016">
        <v>46235</v>
      </c>
      <c r="F4" s="1016">
        <v>46266</v>
      </c>
      <c r="G4" s="1016">
        <v>46296</v>
      </c>
      <c r="H4" s="1016">
        <v>46327</v>
      </c>
      <c r="I4" s="1016">
        <v>46357</v>
      </c>
      <c r="J4" s="1021" t="s">
        <v>154</v>
      </c>
    </row>
    <row r="5" spans="2:10">
      <c r="C5" s="880" t="s">
        <v>446</v>
      </c>
      <c r="D5" s="881">
        <f>SUBTOTAL(9,D6:D7)</f>
        <v>4</v>
      </c>
      <c r="E5" s="881">
        <f t="shared" ref="E5:I5" si="0">SUBTOTAL(9,E6:E7)</f>
        <v>4</v>
      </c>
      <c r="F5" s="881">
        <f t="shared" si="0"/>
        <v>4</v>
      </c>
      <c r="G5" s="881">
        <f t="shared" si="0"/>
        <v>4</v>
      </c>
      <c r="H5" s="881">
        <f t="shared" si="0"/>
        <v>4</v>
      </c>
      <c r="I5" s="881">
        <f t="shared" si="0"/>
        <v>4</v>
      </c>
      <c r="J5" s="881">
        <f t="shared" ref="J5:J68" si="1">AVERAGE(D5:I5)</f>
        <v>4</v>
      </c>
    </row>
    <row r="6" spans="2:10">
      <c r="B6" s="48" t="s">
        <v>279</v>
      </c>
      <c r="C6" s="882" t="s">
        <v>279</v>
      </c>
      <c r="D6" s="883">
        <f>ROUND(MCDO800!$L6*D$152,0)</f>
        <v>3</v>
      </c>
      <c r="E6" s="883">
        <f>ROUND(MCDO800!$L6*E$152,0)</f>
        <v>3</v>
      </c>
      <c r="F6" s="883">
        <f>ROUND(MCDO800!$L6*F$152,0)</f>
        <v>3</v>
      </c>
      <c r="G6" s="883">
        <f>ROUND(MCDO800!$L6*G$152,0)</f>
        <v>3</v>
      </c>
      <c r="H6" s="883">
        <f>ROUND(MCDO800!$L6*H$152,0)</f>
        <v>3</v>
      </c>
      <c r="I6" s="883">
        <f>ROUND(MCDO800!$L6*I$152,0)</f>
        <v>3</v>
      </c>
      <c r="J6" s="881">
        <f t="shared" si="1"/>
        <v>3</v>
      </c>
    </row>
    <row r="7" spans="2:10">
      <c r="B7" s="48" t="s">
        <v>278</v>
      </c>
      <c r="C7" s="882" t="s">
        <v>278</v>
      </c>
      <c r="D7" s="974">
        <f>1</f>
        <v>1</v>
      </c>
      <c r="E7" s="974">
        <f>1</f>
        <v>1</v>
      </c>
      <c r="F7" s="974">
        <f>1</f>
        <v>1</v>
      </c>
      <c r="G7" s="974">
        <f>1</f>
        <v>1</v>
      </c>
      <c r="H7" s="974">
        <f>1</f>
        <v>1</v>
      </c>
      <c r="I7" s="974">
        <f>1</f>
        <v>1</v>
      </c>
      <c r="J7" s="881">
        <f t="shared" si="1"/>
        <v>1</v>
      </c>
    </row>
    <row r="8" spans="2:10">
      <c r="B8" s="48"/>
      <c r="C8" s="884"/>
      <c r="D8" s="883"/>
      <c r="E8" s="883"/>
      <c r="F8" s="883"/>
      <c r="G8" s="883"/>
      <c r="H8" s="883"/>
      <c r="I8" s="883"/>
      <c r="J8" s="881"/>
    </row>
    <row r="9" spans="2:10">
      <c r="B9" s="48"/>
      <c r="C9" s="880" t="s">
        <v>630</v>
      </c>
      <c r="D9" s="881">
        <f>SUBTOTAL(9,D10:D18)</f>
        <v>442</v>
      </c>
      <c r="E9" s="881">
        <f t="shared" ref="E9:I9" si="2">SUBTOTAL(9,E10:E18)</f>
        <v>443</v>
      </c>
      <c r="F9" s="881">
        <f t="shared" si="2"/>
        <v>443</v>
      </c>
      <c r="G9" s="881">
        <f t="shared" si="2"/>
        <v>443</v>
      </c>
      <c r="H9" s="881">
        <f t="shared" si="2"/>
        <v>442</v>
      </c>
      <c r="I9" s="881">
        <f t="shared" si="2"/>
        <v>443</v>
      </c>
      <c r="J9" s="881">
        <f t="shared" si="1"/>
        <v>442.66666666666669</v>
      </c>
    </row>
    <row r="10" spans="2:10">
      <c r="B10" s="48" t="s">
        <v>277</v>
      </c>
      <c r="C10" s="882" t="s">
        <v>277</v>
      </c>
      <c r="D10" s="881">
        <f>SUBTOTAL(9,D11:D13)</f>
        <v>26</v>
      </c>
      <c r="E10" s="881">
        <f t="shared" ref="E10:I10" si="3">SUBTOTAL(9,E11:E13)</f>
        <v>26</v>
      </c>
      <c r="F10" s="881">
        <f t="shared" si="3"/>
        <v>26</v>
      </c>
      <c r="G10" s="881">
        <f t="shared" si="3"/>
        <v>26</v>
      </c>
      <c r="H10" s="881">
        <f t="shared" si="3"/>
        <v>26</v>
      </c>
      <c r="I10" s="881">
        <f t="shared" si="3"/>
        <v>26</v>
      </c>
      <c r="J10" s="881">
        <f t="shared" si="1"/>
        <v>26</v>
      </c>
    </row>
    <row r="11" spans="2:10">
      <c r="B11" s="48"/>
      <c r="C11" s="887" t="s">
        <v>304</v>
      </c>
      <c r="D11" s="883">
        <f>ROUND(MCDO800!$L11*D$152,0)</f>
        <v>25</v>
      </c>
      <c r="E11" s="883">
        <f>ROUND(MCDO800!$L11*E$152,0)</f>
        <v>25</v>
      </c>
      <c r="F11" s="883">
        <f>ROUND(MCDO800!$L11*F$152,0)</f>
        <v>25</v>
      </c>
      <c r="G11" s="883">
        <f>ROUND(MCDO800!$L11*G$152,0)</f>
        <v>25</v>
      </c>
      <c r="H11" s="883">
        <f>ROUND(MCDO800!$L11*H$152,0)</f>
        <v>25</v>
      </c>
      <c r="I11" s="883">
        <f>ROUND(MCDO800!$L11*I$152,0)</f>
        <v>25</v>
      </c>
      <c r="J11" s="881">
        <f t="shared" si="1"/>
        <v>25</v>
      </c>
    </row>
    <row r="12" spans="2:10">
      <c r="B12" s="48"/>
      <c r="C12" s="887" t="s">
        <v>305</v>
      </c>
      <c r="D12" s="883">
        <f>ROUND(MCDO800!$L12*D$152,0)</f>
        <v>1</v>
      </c>
      <c r="E12" s="883">
        <f>ROUND(MCDO800!$L12*E$152,0)</f>
        <v>1</v>
      </c>
      <c r="F12" s="883">
        <f>ROUND(MCDO800!$L12*F$152,0)</f>
        <v>1</v>
      </c>
      <c r="G12" s="883">
        <f>ROUND(MCDO800!$L12*G$152,0)</f>
        <v>1</v>
      </c>
      <c r="H12" s="883">
        <f>ROUND(MCDO800!$L12*H$152,0)</f>
        <v>1</v>
      </c>
      <c r="I12" s="883">
        <f>ROUND(MCDO800!$L12*I$152,0)</f>
        <v>1</v>
      </c>
      <c r="J12" s="881">
        <f t="shared" si="1"/>
        <v>1</v>
      </c>
    </row>
    <row r="13" spans="2:10">
      <c r="B13" s="48"/>
      <c r="C13" s="887"/>
      <c r="D13" s="883"/>
      <c r="E13" s="883"/>
      <c r="F13" s="883"/>
      <c r="G13" s="883"/>
      <c r="H13" s="883"/>
      <c r="I13" s="883"/>
      <c r="J13" s="881"/>
    </row>
    <row r="14" spans="2:10">
      <c r="B14" s="48" t="s">
        <v>276</v>
      </c>
      <c r="C14" s="885" t="s">
        <v>626</v>
      </c>
      <c r="D14" s="881">
        <f>SUBTOTAL(9,D15:D18)</f>
        <v>416</v>
      </c>
      <c r="E14" s="881">
        <f t="shared" ref="E14:I14" si="4">SUBTOTAL(9,E15:E18)</f>
        <v>417</v>
      </c>
      <c r="F14" s="881">
        <f t="shared" si="4"/>
        <v>417</v>
      </c>
      <c r="G14" s="881">
        <f t="shared" si="4"/>
        <v>417</v>
      </c>
      <c r="H14" s="881">
        <f t="shared" si="4"/>
        <v>416</v>
      </c>
      <c r="I14" s="881">
        <f t="shared" si="4"/>
        <v>417</v>
      </c>
      <c r="J14" s="881">
        <f t="shared" si="1"/>
        <v>416.66666666666669</v>
      </c>
    </row>
    <row r="15" spans="2:10">
      <c r="B15" s="48"/>
      <c r="C15" s="887" t="s">
        <v>304</v>
      </c>
      <c r="D15" s="883">
        <f>ROUND(MCDO800!$L15*D$152,0)</f>
        <v>410</v>
      </c>
      <c r="E15" s="883">
        <f>ROUND(MCDO800!$L15*E$152,0)</f>
        <v>411</v>
      </c>
      <c r="F15" s="883">
        <f>ROUND(MCDO800!$L15*F$152,0)</f>
        <v>411</v>
      </c>
      <c r="G15" s="883">
        <f>ROUND(MCDO800!$L15*G$152,0)</f>
        <v>411</v>
      </c>
      <c r="H15" s="883">
        <f>ROUND(MCDO800!$L15*H$152,0)</f>
        <v>410</v>
      </c>
      <c r="I15" s="883">
        <f>ROUND(MCDO800!$L15*I$152,0)</f>
        <v>411</v>
      </c>
      <c r="J15" s="881">
        <f t="shared" si="1"/>
        <v>410.66666666666669</v>
      </c>
    </row>
    <row r="16" spans="2:10">
      <c r="B16" s="48"/>
      <c r="C16" s="888" t="s">
        <v>306</v>
      </c>
      <c r="D16" s="883">
        <f>ROUND(MCDO800!$L16*D$152,0)</f>
        <v>0</v>
      </c>
      <c r="E16" s="883">
        <f>ROUND(MCDO800!$L16*E$152,0)</f>
        <v>0</v>
      </c>
      <c r="F16" s="883">
        <f>ROUND(MCDO800!$L16*F$152,0)</f>
        <v>0</v>
      </c>
      <c r="G16" s="883">
        <f>ROUND(MCDO800!$L16*G$152,0)</f>
        <v>0</v>
      </c>
      <c r="H16" s="883">
        <f>ROUND(MCDO800!$L16*H$152,0)</f>
        <v>0</v>
      </c>
      <c r="I16" s="883">
        <f>ROUND(MCDO800!$L16*I$152,0)</f>
        <v>0</v>
      </c>
      <c r="J16" s="881">
        <f t="shared" si="1"/>
        <v>0</v>
      </c>
    </row>
    <row r="17" spans="2:10">
      <c r="B17" s="48"/>
      <c r="C17" s="887" t="s">
        <v>305</v>
      </c>
      <c r="D17" s="883">
        <f>ROUND(MCDO800!$L17*D$152,0)</f>
        <v>6</v>
      </c>
      <c r="E17" s="883">
        <f>ROUND(MCDO800!$L17*E$152,0)</f>
        <v>6</v>
      </c>
      <c r="F17" s="883">
        <f>ROUND(MCDO800!$L17*F$152,0)</f>
        <v>6</v>
      </c>
      <c r="G17" s="883">
        <f>ROUND(MCDO800!$L17*G$152,0)</f>
        <v>6</v>
      </c>
      <c r="H17" s="883">
        <f>ROUND(MCDO800!$L17*H$152,0)</f>
        <v>6</v>
      </c>
      <c r="I17" s="883">
        <f>ROUND(MCDO800!$L17*I$152,0)</f>
        <v>6</v>
      </c>
      <c r="J17" s="881">
        <f t="shared" si="1"/>
        <v>6</v>
      </c>
    </row>
    <row r="18" spans="2:10">
      <c r="B18" s="48"/>
      <c r="C18" s="887" t="s">
        <v>307</v>
      </c>
      <c r="D18" s="883">
        <f>ROUND(MCDO800!$L18*D$152,0)</f>
        <v>0</v>
      </c>
      <c r="E18" s="883">
        <f>ROUND(MCDO800!$L18*E$152,0)</f>
        <v>0</v>
      </c>
      <c r="F18" s="883">
        <f>ROUND(MCDO800!$L18*F$152,0)</f>
        <v>0</v>
      </c>
      <c r="G18" s="883">
        <f>ROUND(MCDO800!$L18*G$152,0)</f>
        <v>0</v>
      </c>
      <c r="H18" s="883">
        <f>ROUND(MCDO800!$L18*H$152,0)</f>
        <v>0</v>
      </c>
      <c r="I18" s="883">
        <f>ROUND(MCDO800!$L18*I$152,0)</f>
        <v>0</v>
      </c>
      <c r="J18" s="881">
        <f t="shared" si="1"/>
        <v>0</v>
      </c>
    </row>
    <row r="19" spans="2:10">
      <c r="B19" s="48"/>
      <c r="C19" s="884"/>
      <c r="D19" s="883"/>
      <c r="E19" s="883"/>
      <c r="F19" s="883"/>
      <c r="G19" s="883"/>
      <c r="H19" s="883"/>
      <c r="I19" s="883"/>
      <c r="J19" s="881"/>
    </row>
    <row r="20" spans="2:10">
      <c r="B20" s="48"/>
      <c r="C20" s="880" t="s">
        <v>443</v>
      </c>
      <c r="D20" s="881">
        <f>SUBTOTAL(9,D21:D105)</f>
        <v>550563</v>
      </c>
      <c r="E20" s="881">
        <f t="shared" ref="E20:I20" si="5">SUBTOTAL(9,E21:E105)</f>
        <v>551606</v>
      </c>
      <c r="F20" s="881">
        <f t="shared" si="5"/>
        <v>551403</v>
      </c>
      <c r="G20" s="881">
        <f t="shared" si="5"/>
        <v>551675</v>
      </c>
      <c r="H20" s="881">
        <f t="shared" si="5"/>
        <v>550161</v>
      </c>
      <c r="I20" s="881">
        <f t="shared" si="5"/>
        <v>551974</v>
      </c>
      <c r="J20" s="881">
        <f t="shared" si="1"/>
        <v>551230.33333333337</v>
      </c>
    </row>
    <row r="21" spans="2:10">
      <c r="B21" s="48" t="s">
        <v>275</v>
      </c>
      <c r="C21" s="882" t="s">
        <v>275</v>
      </c>
      <c r="D21" s="881">
        <f>SUBTOTAL(9,D22:D24)</f>
        <v>92</v>
      </c>
      <c r="E21" s="881">
        <f t="shared" ref="E21:I21" si="6">SUBTOTAL(9,E22:E24)</f>
        <v>92</v>
      </c>
      <c r="F21" s="881">
        <f t="shared" si="6"/>
        <v>92</v>
      </c>
      <c r="G21" s="881">
        <f t="shared" si="6"/>
        <v>92</v>
      </c>
      <c r="H21" s="881">
        <f t="shared" si="6"/>
        <v>92</v>
      </c>
      <c r="I21" s="881">
        <f t="shared" si="6"/>
        <v>92</v>
      </c>
      <c r="J21" s="881">
        <f t="shared" si="1"/>
        <v>92</v>
      </c>
    </row>
    <row r="22" spans="2:10">
      <c r="B22" s="48"/>
      <c r="C22" s="887" t="s">
        <v>304</v>
      </c>
      <c r="D22" s="883">
        <f>ROUND(MCDO800!$L22*D$152,0)</f>
        <v>86</v>
      </c>
      <c r="E22" s="883">
        <f>ROUND(MCDO800!$L22*E$152,0)</f>
        <v>86</v>
      </c>
      <c r="F22" s="883">
        <f>ROUND(MCDO800!$L22*F$152,0)</f>
        <v>86</v>
      </c>
      <c r="G22" s="883">
        <f>ROUND(MCDO800!$L22*G$152,0)</f>
        <v>86</v>
      </c>
      <c r="H22" s="883">
        <f>ROUND(MCDO800!$L22*H$152,0)</f>
        <v>86</v>
      </c>
      <c r="I22" s="883">
        <f>ROUND(MCDO800!$L22*I$152,0)</f>
        <v>86</v>
      </c>
      <c r="J22" s="881">
        <f t="shared" si="1"/>
        <v>86</v>
      </c>
    </row>
    <row r="23" spans="2:10">
      <c r="B23" s="48"/>
      <c r="C23" s="888" t="s">
        <v>306</v>
      </c>
      <c r="D23" s="883">
        <f>ROUND(MCDO800!$L23*D$152,0)</f>
        <v>5</v>
      </c>
      <c r="E23" s="883">
        <f>ROUND(MCDO800!$L23*E$152,0)</f>
        <v>5</v>
      </c>
      <c r="F23" s="883">
        <f>ROUND(MCDO800!$L23*F$152,0)</f>
        <v>5</v>
      </c>
      <c r="G23" s="883">
        <f>ROUND(MCDO800!$L23*G$152,0)</f>
        <v>5</v>
      </c>
      <c r="H23" s="883">
        <f>ROUND(MCDO800!$L23*H$152,0)</f>
        <v>5</v>
      </c>
      <c r="I23" s="883">
        <f>ROUND(MCDO800!$L23*I$152,0)</f>
        <v>5</v>
      </c>
      <c r="J23" s="881">
        <f t="shared" si="1"/>
        <v>5</v>
      </c>
    </row>
    <row r="24" spans="2:10">
      <c r="B24" s="48"/>
      <c r="C24" s="887" t="s">
        <v>305</v>
      </c>
      <c r="D24" s="883">
        <f>ROUND(MCDO800!$L24*D$152,0)</f>
        <v>1</v>
      </c>
      <c r="E24" s="883">
        <f>ROUND(MCDO800!$L24*E$152,0)</f>
        <v>1</v>
      </c>
      <c r="F24" s="883">
        <f>ROUND(MCDO800!$L24*F$152,0)</f>
        <v>1</v>
      </c>
      <c r="G24" s="883">
        <f>ROUND(MCDO800!$L24*G$152,0)</f>
        <v>1</v>
      </c>
      <c r="H24" s="883">
        <f>ROUND(MCDO800!$L24*H$152,0)</f>
        <v>1</v>
      </c>
      <c r="I24" s="883">
        <f>ROUND(MCDO800!$L24*I$152,0)</f>
        <v>1</v>
      </c>
      <c r="J24" s="881">
        <f t="shared" si="1"/>
        <v>1</v>
      </c>
    </row>
    <row r="25" spans="2:10">
      <c r="B25" s="48"/>
      <c r="C25" s="887"/>
      <c r="D25" s="883"/>
      <c r="E25" s="883"/>
      <c r="F25" s="883"/>
      <c r="G25" s="883"/>
      <c r="H25" s="883"/>
      <c r="I25" s="883"/>
      <c r="J25" s="881"/>
    </row>
    <row r="26" spans="2:10">
      <c r="B26" s="48"/>
      <c r="C26" s="885" t="s">
        <v>1736</v>
      </c>
      <c r="D26" s="881">
        <f>SUBTOTAL(9,D27:D48)</f>
        <v>5539</v>
      </c>
      <c r="E26" s="881">
        <f t="shared" ref="E26:I26" si="7">SUBTOTAL(9,E27:E48)</f>
        <v>5550</v>
      </c>
      <c r="F26" s="881">
        <f t="shared" si="7"/>
        <v>5547</v>
      </c>
      <c r="G26" s="881">
        <f t="shared" si="7"/>
        <v>5550</v>
      </c>
      <c r="H26" s="881">
        <f t="shared" si="7"/>
        <v>5536</v>
      </c>
      <c r="I26" s="881">
        <f t="shared" si="7"/>
        <v>5553</v>
      </c>
      <c r="J26" s="881">
        <f t="shared" si="1"/>
        <v>5545.833333333333</v>
      </c>
    </row>
    <row r="27" spans="2:10">
      <c r="B27" s="48" t="s">
        <v>274</v>
      </c>
      <c r="C27" s="885" t="s">
        <v>627</v>
      </c>
      <c r="D27" s="881">
        <f>SUBTOTAL(9,D28:D33)</f>
        <v>3833</v>
      </c>
      <c r="E27" s="881">
        <f t="shared" ref="E27:I27" si="8">SUBTOTAL(9,E28:E33)</f>
        <v>3841</v>
      </c>
      <c r="F27" s="881">
        <f t="shared" si="8"/>
        <v>3839</v>
      </c>
      <c r="G27" s="881">
        <f t="shared" si="8"/>
        <v>3841</v>
      </c>
      <c r="H27" s="881">
        <f t="shared" si="8"/>
        <v>3831</v>
      </c>
      <c r="I27" s="881">
        <f t="shared" si="8"/>
        <v>3843</v>
      </c>
      <c r="J27" s="881">
        <f t="shared" si="1"/>
        <v>3838</v>
      </c>
    </row>
    <row r="28" spans="2:10">
      <c r="B28" s="48"/>
      <c r="C28" s="887" t="s">
        <v>304</v>
      </c>
      <c r="D28" s="883">
        <f>ROUND(MCDO800!$L28*D$152,0)</f>
        <v>3820</v>
      </c>
      <c r="E28" s="883">
        <f>ROUND(MCDO800!$L28*E$152,0)</f>
        <v>3828</v>
      </c>
      <c r="F28" s="883">
        <f>ROUND(MCDO800!$L28*F$152,0)</f>
        <v>3826</v>
      </c>
      <c r="G28" s="883">
        <f>ROUND(MCDO800!$L28*G$152,0)</f>
        <v>3828</v>
      </c>
      <c r="H28" s="883">
        <f>ROUND(MCDO800!$L28*H$152,0)</f>
        <v>3818</v>
      </c>
      <c r="I28" s="883">
        <f>ROUND(MCDO800!$L28*I$152,0)</f>
        <v>3830</v>
      </c>
      <c r="J28" s="881">
        <f t="shared" si="1"/>
        <v>3825</v>
      </c>
    </row>
    <row r="29" spans="2:10">
      <c r="B29" s="48"/>
      <c r="C29" s="887" t="s">
        <v>628</v>
      </c>
      <c r="D29" s="883">
        <f>ROUND(MCDO800!$L29*D$152,0)</f>
        <v>7</v>
      </c>
      <c r="E29" s="883">
        <f>ROUND(MCDO800!$L29*E$152,0)</f>
        <v>7</v>
      </c>
      <c r="F29" s="883">
        <f>ROUND(MCDO800!$L29*F$152,0)</f>
        <v>7</v>
      </c>
      <c r="G29" s="883">
        <f>ROUND(MCDO800!$L29*G$152,0)</f>
        <v>7</v>
      </c>
      <c r="H29" s="883">
        <f>ROUND(MCDO800!$L29*H$152,0)</f>
        <v>7</v>
      </c>
      <c r="I29" s="883">
        <f>ROUND(MCDO800!$L29*I$152,0)</f>
        <v>7</v>
      </c>
      <c r="J29" s="881">
        <f t="shared" si="1"/>
        <v>7</v>
      </c>
    </row>
    <row r="30" spans="2:10">
      <c r="B30" s="48"/>
      <c r="C30" s="887" t="s">
        <v>629</v>
      </c>
      <c r="D30" s="883">
        <f>ROUND(MCDO800!$L30*D$152,0)</f>
        <v>0</v>
      </c>
      <c r="E30" s="883">
        <f>ROUND(MCDO800!$L30*E$152,0)</f>
        <v>0</v>
      </c>
      <c r="F30" s="883">
        <f>ROUND(MCDO800!$L30*F$152,0)</f>
        <v>0</v>
      </c>
      <c r="G30" s="883">
        <f>ROUND(MCDO800!$L30*G$152,0)</f>
        <v>0</v>
      </c>
      <c r="H30" s="883">
        <f>ROUND(MCDO800!$L30*H$152,0)</f>
        <v>0</v>
      </c>
      <c r="I30" s="883">
        <f>ROUND(MCDO800!$L30*I$152,0)</f>
        <v>0</v>
      </c>
      <c r="J30" s="881">
        <f t="shared" si="1"/>
        <v>0</v>
      </c>
    </row>
    <row r="31" spans="2:10">
      <c r="B31" s="48"/>
      <c r="C31" s="887" t="s">
        <v>305</v>
      </c>
      <c r="D31" s="883">
        <f>ROUND(MCDO800!$L31*D$152,0)</f>
        <v>4</v>
      </c>
      <c r="E31" s="883">
        <f>ROUND(MCDO800!$L31*E$152,0)</f>
        <v>4</v>
      </c>
      <c r="F31" s="883">
        <f>ROUND(MCDO800!$L31*F$152,0)</f>
        <v>4</v>
      </c>
      <c r="G31" s="883">
        <f>ROUND(MCDO800!$L31*G$152,0)</f>
        <v>4</v>
      </c>
      <c r="H31" s="883">
        <f>ROUND(MCDO800!$L31*H$152,0)</f>
        <v>4</v>
      </c>
      <c r="I31" s="883">
        <f>ROUND(MCDO800!$L31*I$152,0)</f>
        <v>4</v>
      </c>
      <c r="J31" s="881">
        <f t="shared" si="1"/>
        <v>4</v>
      </c>
    </row>
    <row r="32" spans="2:10">
      <c r="B32" s="48"/>
      <c r="C32" s="887" t="s">
        <v>307</v>
      </c>
      <c r="D32" s="883">
        <f>ROUND(MCDO800!$L32*D$152,0)</f>
        <v>1</v>
      </c>
      <c r="E32" s="883">
        <f>ROUND(MCDO800!$L32*E$152,0)</f>
        <v>1</v>
      </c>
      <c r="F32" s="883">
        <f>ROUND(MCDO800!$L32*F$152,0)</f>
        <v>1</v>
      </c>
      <c r="G32" s="883">
        <f>ROUND(MCDO800!$L32*G$152,0)</f>
        <v>1</v>
      </c>
      <c r="H32" s="883">
        <f>ROUND(MCDO800!$L32*H$152,0)</f>
        <v>1</v>
      </c>
      <c r="I32" s="883">
        <f>ROUND(MCDO800!$L32*I$152,0)</f>
        <v>1</v>
      </c>
      <c r="J32" s="881">
        <f t="shared" si="1"/>
        <v>1</v>
      </c>
    </row>
    <row r="33" spans="2:10">
      <c r="B33" s="48"/>
      <c r="C33" s="887" t="s">
        <v>624</v>
      </c>
      <c r="D33" s="883">
        <f>ROUND(MCDO800!$L33*D$152,0)</f>
        <v>1</v>
      </c>
      <c r="E33" s="883">
        <f>ROUND(MCDO800!$L33*E$152,0)</f>
        <v>1</v>
      </c>
      <c r="F33" s="883">
        <f>ROUND(MCDO800!$L33*F$152,0)</f>
        <v>1</v>
      </c>
      <c r="G33" s="883">
        <f>ROUND(MCDO800!$L33*G$152,0)</f>
        <v>1</v>
      </c>
      <c r="H33" s="883">
        <f>ROUND(MCDO800!$L33*H$152,0)</f>
        <v>1</v>
      </c>
      <c r="I33" s="883">
        <f>ROUND(MCDO800!$L33*I$152,0)</f>
        <v>1</v>
      </c>
      <c r="J33" s="881">
        <f t="shared" si="1"/>
        <v>1</v>
      </c>
    </row>
    <row r="34" spans="2:10">
      <c r="B34" s="48" t="s">
        <v>274</v>
      </c>
      <c r="C34" s="885" t="s">
        <v>631</v>
      </c>
      <c r="D34" s="881">
        <f>SUBTOTAL(9,D35:D38)</f>
        <v>1330</v>
      </c>
      <c r="E34" s="881">
        <f t="shared" ref="E34:I34" si="9">SUBTOTAL(9,E35:E38)</f>
        <v>1333</v>
      </c>
      <c r="F34" s="881">
        <f t="shared" si="9"/>
        <v>1332</v>
      </c>
      <c r="G34" s="881">
        <f t="shared" si="9"/>
        <v>1333</v>
      </c>
      <c r="H34" s="881">
        <f t="shared" si="9"/>
        <v>1329</v>
      </c>
      <c r="I34" s="881">
        <f t="shared" si="9"/>
        <v>1334</v>
      </c>
      <c r="J34" s="881">
        <f t="shared" si="1"/>
        <v>1331.8333333333333</v>
      </c>
    </row>
    <row r="35" spans="2:10">
      <c r="B35" s="48"/>
      <c r="C35" s="887" t="s">
        <v>304</v>
      </c>
      <c r="D35" s="883">
        <f>ROUND(MCDO800!$L35*D$152,0)</f>
        <v>1327</v>
      </c>
      <c r="E35" s="883">
        <f>ROUND(MCDO800!$L35*E$152,0)</f>
        <v>1330</v>
      </c>
      <c r="F35" s="883">
        <f>ROUND(MCDO800!$L35*F$152,0)</f>
        <v>1329</v>
      </c>
      <c r="G35" s="883">
        <f>ROUND(MCDO800!$L35*G$152,0)</f>
        <v>1330</v>
      </c>
      <c r="H35" s="883">
        <f>ROUND(MCDO800!$L35*H$152,0)</f>
        <v>1326</v>
      </c>
      <c r="I35" s="883">
        <f>ROUND(MCDO800!$L35*I$152,0)</f>
        <v>1331</v>
      </c>
      <c r="J35" s="881">
        <f t="shared" si="1"/>
        <v>1328.8333333333333</v>
      </c>
    </row>
    <row r="36" spans="2:10">
      <c r="B36" s="48"/>
      <c r="C36" s="888" t="s">
        <v>306</v>
      </c>
      <c r="D36" s="883">
        <f>ROUND(MCDO800!$L36*D$152,0)</f>
        <v>0</v>
      </c>
      <c r="E36" s="883">
        <f>ROUND(MCDO800!$L36*E$152,0)</f>
        <v>0</v>
      </c>
      <c r="F36" s="883">
        <f>ROUND(MCDO800!$L36*F$152,0)</f>
        <v>0</v>
      </c>
      <c r="G36" s="883">
        <f>ROUND(MCDO800!$L36*G$152,0)</f>
        <v>0</v>
      </c>
      <c r="H36" s="883">
        <f>ROUND(MCDO800!$L36*H$152,0)</f>
        <v>0</v>
      </c>
      <c r="I36" s="883">
        <f>ROUND(MCDO800!$L36*I$152,0)</f>
        <v>0</v>
      </c>
      <c r="J36" s="881">
        <f t="shared" si="1"/>
        <v>0</v>
      </c>
    </row>
    <row r="37" spans="2:10">
      <c r="B37" s="48"/>
      <c r="C37" s="887" t="s">
        <v>305</v>
      </c>
      <c r="D37" s="883">
        <f>ROUND(MCDO800!$L37*D$152,0)</f>
        <v>3</v>
      </c>
      <c r="E37" s="883">
        <f>ROUND(MCDO800!$L37*E$152,0)</f>
        <v>3</v>
      </c>
      <c r="F37" s="883">
        <f>ROUND(MCDO800!$L37*F$152,0)</f>
        <v>3</v>
      </c>
      <c r="G37" s="883">
        <f>ROUND(MCDO800!$L37*G$152,0)</f>
        <v>3</v>
      </c>
      <c r="H37" s="883">
        <f>ROUND(MCDO800!$L37*H$152,0)</f>
        <v>3</v>
      </c>
      <c r="I37" s="883">
        <f>ROUND(MCDO800!$L37*I$152,0)</f>
        <v>3</v>
      </c>
      <c r="J37" s="881">
        <f t="shared" si="1"/>
        <v>3</v>
      </c>
    </row>
    <row r="38" spans="2:10">
      <c r="B38" s="48"/>
      <c r="C38" s="887" t="s">
        <v>307</v>
      </c>
      <c r="D38" s="883">
        <f>ROUND(MCDO800!$L38*D$152,0)</f>
        <v>0</v>
      </c>
      <c r="E38" s="883">
        <f>ROUND(MCDO800!$L38*E$152,0)</f>
        <v>0</v>
      </c>
      <c r="F38" s="883">
        <f>ROUND(MCDO800!$L38*F$152,0)</f>
        <v>0</v>
      </c>
      <c r="G38" s="883">
        <f>ROUND(MCDO800!$L38*G$152,0)</f>
        <v>0</v>
      </c>
      <c r="H38" s="883">
        <f>ROUND(MCDO800!$L38*H$152,0)</f>
        <v>0</v>
      </c>
      <c r="I38" s="883">
        <f>ROUND(MCDO800!$L38*I$152,0)</f>
        <v>0</v>
      </c>
      <c r="J38" s="881">
        <f t="shared" si="1"/>
        <v>0</v>
      </c>
    </row>
    <row r="39" spans="2:10">
      <c r="B39" s="48" t="s">
        <v>274</v>
      </c>
      <c r="C39" s="885" t="s">
        <v>632</v>
      </c>
      <c r="D39" s="881">
        <f>SUBTOTAL(9,D40:D43)</f>
        <v>245</v>
      </c>
      <c r="E39" s="881">
        <f t="shared" ref="E39:I39" si="10">SUBTOTAL(9,E40:E43)</f>
        <v>245</v>
      </c>
      <c r="F39" s="881">
        <f t="shared" si="10"/>
        <v>245</v>
      </c>
      <c r="G39" s="881">
        <f t="shared" si="10"/>
        <v>245</v>
      </c>
      <c r="H39" s="881">
        <f t="shared" si="10"/>
        <v>245</v>
      </c>
      <c r="I39" s="881">
        <f t="shared" si="10"/>
        <v>245</v>
      </c>
      <c r="J39" s="881">
        <f t="shared" si="1"/>
        <v>245</v>
      </c>
    </row>
    <row r="40" spans="2:10">
      <c r="B40" s="48"/>
      <c r="C40" s="887" t="s">
        <v>304</v>
      </c>
      <c r="D40" s="883">
        <f>ROUND(MCDO800!$L40*D$152,0)</f>
        <v>245</v>
      </c>
      <c r="E40" s="883">
        <f>ROUND(MCDO800!$L40*E$152,0)</f>
        <v>245</v>
      </c>
      <c r="F40" s="883">
        <f>ROUND(MCDO800!$L40*F$152,0)</f>
        <v>245</v>
      </c>
      <c r="G40" s="883">
        <f>ROUND(MCDO800!$L40*G$152,0)</f>
        <v>245</v>
      </c>
      <c r="H40" s="883">
        <f>ROUND(MCDO800!$L40*H$152,0)</f>
        <v>245</v>
      </c>
      <c r="I40" s="883">
        <f>ROUND(MCDO800!$L40*I$152,0)</f>
        <v>245</v>
      </c>
      <c r="J40" s="881">
        <f t="shared" si="1"/>
        <v>245</v>
      </c>
    </row>
    <row r="41" spans="2:10">
      <c r="B41" s="48"/>
      <c r="C41" s="888" t="s">
        <v>306</v>
      </c>
      <c r="D41" s="883">
        <f>ROUND(MCDO800!$L41*D$152,0)</f>
        <v>0</v>
      </c>
      <c r="E41" s="883">
        <f>ROUND(MCDO800!$L41*E$152,0)</f>
        <v>0</v>
      </c>
      <c r="F41" s="883">
        <f>ROUND(MCDO800!$L41*F$152,0)</f>
        <v>0</v>
      </c>
      <c r="G41" s="883">
        <f>ROUND(MCDO800!$L41*G$152,0)</f>
        <v>0</v>
      </c>
      <c r="H41" s="883">
        <f>ROUND(MCDO800!$L41*H$152,0)</f>
        <v>0</v>
      </c>
      <c r="I41" s="883">
        <f>ROUND(MCDO800!$L41*I$152,0)</f>
        <v>0</v>
      </c>
      <c r="J41" s="881">
        <f t="shared" si="1"/>
        <v>0</v>
      </c>
    </row>
    <row r="42" spans="2:10">
      <c r="B42" s="48"/>
      <c r="C42" s="887" t="s">
        <v>305</v>
      </c>
      <c r="D42" s="883">
        <f>ROUND(MCDO800!$L42*D$152,0)</f>
        <v>0</v>
      </c>
      <c r="E42" s="883">
        <f>ROUND(MCDO800!$L42*E$152,0)</f>
        <v>0</v>
      </c>
      <c r="F42" s="883">
        <f>ROUND(MCDO800!$L42*F$152,0)</f>
        <v>0</v>
      </c>
      <c r="G42" s="883">
        <f>ROUND(MCDO800!$L42*G$152,0)</f>
        <v>0</v>
      </c>
      <c r="H42" s="883">
        <f>ROUND(MCDO800!$L42*H$152,0)</f>
        <v>0</v>
      </c>
      <c r="I42" s="883">
        <f>ROUND(MCDO800!$L42*I$152,0)</f>
        <v>0</v>
      </c>
      <c r="J42" s="881">
        <f t="shared" si="1"/>
        <v>0</v>
      </c>
    </row>
    <row r="43" spans="2:10">
      <c r="B43" s="48"/>
      <c r="C43" s="887" t="s">
        <v>307</v>
      </c>
      <c r="D43" s="883">
        <f>ROUND(MCDO800!$L43*D$152,0)</f>
        <v>0</v>
      </c>
      <c r="E43" s="883">
        <f>ROUND(MCDO800!$L43*E$152,0)</f>
        <v>0</v>
      </c>
      <c r="F43" s="883">
        <f>ROUND(MCDO800!$L43*F$152,0)</f>
        <v>0</v>
      </c>
      <c r="G43" s="883">
        <f>ROUND(MCDO800!$L43*G$152,0)</f>
        <v>0</v>
      </c>
      <c r="H43" s="883">
        <f>ROUND(MCDO800!$L43*H$152,0)</f>
        <v>0</v>
      </c>
      <c r="I43" s="883">
        <f>ROUND(MCDO800!$L43*I$152,0)</f>
        <v>0</v>
      </c>
      <c r="J43" s="881">
        <f t="shared" si="1"/>
        <v>0</v>
      </c>
    </row>
    <row r="44" spans="2:10">
      <c r="B44" s="48" t="s">
        <v>274</v>
      </c>
      <c r="C44" s="885" t="s">
        <v>633</v>
      </c>
      <c r="D44" s="881">
        <f>SUBTOTAL(9,D45:D48)</f>
        <v>131</v>
      </c>
      <c r="E44" s="881">
        <f t="shared" ref="E44:I44" si="11">SUBTOTAL(9,E45:E48)</f>
        <v>131</v>
      </c>
      <c r="F44" s="881">
        <f t="shared" si="11"/>
        <v>131</v>
      </c>
      <c r="G44" s="881">
        <f t="shared" si="11"/>
        <v>131</v>
      </c>
      <c r="H44" s="881">
        <f t="shared" si="11"/>
        <v>131</v>
      </c>
      <c r="I44" s="881">
        <f t="shared" si="11"/>
        <v>131</v>
      </c>
      <c r="J44" s="881">
        <f t="shared" si="1"/>
        <v>131</v>
      </c>
    </row>
    <row r="45" spans="2:10">
      <c r="B45" s="48"/>
      <c r="C45" s="887" t="s">
        <v>304</v>
      </c>
      <c r="D45" s="883">
        <f>ROUND(MCDO800!$L45*D$152,0)</f>
        <v>131</v>
      </c>
      <c r="E45" s="883">
        <f>ROUND(MCDO800!$L45*E$152,0)</f>
        <v>131</v>
      </c>
      <c r="F45" s="883">
        <f>ROUND(MCDO800!$L45*F$152,0)</f>
        <v>131</v>
      </c>
      <c r="G45" s="883">
        <f>ROUND(MCDO800!$L45*G$152,0)</f>
        <v>131</v>
      </c>
      <c r="H45" s="883">
        <f>ROUND(MCDO800!$L45*H$152,0)</f>
        <v>131</v>
      </c>
      <c r="I45" s="883">
        <f>ROUND(MCDO800!$L45*I$152,0)</f>
        <v>131</v>
      </c>
      <c r="J45" s="881">
        <f t="shared" si="1"/>
        <v>131</v>
      </c>
    </row>
    <row r="46" spans="2:10">
      <c r="B46" s="48"/>
      <c r="C46" s="888" t="s">
        <v>306</v>
      </c>
      <c r="D46" s="883">
        <f>ROUND(MCDO800!$L46*D$152,0)</f>
        <v>0</v>
      </c>
      <c r="E46" s="883">
        <f>ROUND(MCDO800!$L46*E$152,0)</f>
        <v>0</v>
      </c>
      <c r="F46" s="883">
        <f>ROUND(MCDO800!$L46*F$152,0)</f>
        <v>0</v>
      </c>
      <c r="G46" s="883">
        <f>ROUND(MCDO800!$L46*G$152,0)</f>
        <v>0</v>
      </c>
      <c r="H46" s="883">
        <f>ROUND(MCDO800!$L46*H$152,0)</f>
        <v>0</v>
      </c>
      <c r="I46" s="883">
        <f>ROUND(MCDO800!$L46*I$152,0)</f>
        <v>0</v>
      </c>
      <c r="J46" s="881">
        <f t="shared" si="1"/>
        <v>0</v>
      </c>
    </row>
    <row r="47" spans="2:10">
      <c r="B47" s="48"/>
      <c r="C47" s="887" t="s">
        <v>305</v>
      </c>
      <c r="D47" s="883">
        <f>ROUND(MCDO800!$L47*D$152,0)</f>
        <v>0</v>
      </c>
      <c r="E47" s="883">
        <f>ROUND(MCDO800!$L47*E$152,0)</f>
        <v>0</v>
      </c>
      <c r="F47" s="883">
        <f>ROUND(MCDO800!$L47*F$152,0)</f>
        <v>0</v>
      </c>
      <c r="G47" s="883">
        <f>ROUND(MCDO800!$L47*G$152,0)</f>
        <v>0</v>
      </c>
      <c r="H47" s="883">
        <f>ROUND(MCDO800!$L47*H$152,0)</f>
        <v>0</v>
      </c>
      <c r="I47" s="883">
        <f>ROUND(MCDO800!$L47*I$152,0)</f>
        <v>0</v>
      </c>
      <c r="J47" s="881">
        <f t="shared" si="1"/>
        <v>0</v>
      </c>
    </row>
    <row r="48" spans="2:10">
      <c r="B48" s="48"/>
      <c r="C48" s="887" t="s">
        <v>307</v>
      </c>
      <c r="D48" s="883">
        <f>ROUND(MCDO800!$L48*D$152,0)</f>
        <v>0</v>
      </c>
      <c r="E48" s="883">
        <f>ROUND(MCDO800!$L48*E$152,0)</f>
        <v>0</v>
      </c>
      <c r="F48" s="883">
        <f>ROUND(MCDO800!$L48*F$152,0)</f>
        <v>0</v>
      </c>
      <c r="G48" s="883">
        <f>ROUND(MCDO800!$L48*G$152,0)</f>
        <v>0</v>
      </c>
      <c r="H48" s="883">
        <f>ROUND(MCDO800!$L48*H$152,0)</f>
        <v>0</v>
      </c>
      <c r="I48" s="883">
        <f>ROUND(MCDO800!$L48*I$152,0)</f>
        <v>0</v>
      </c>
      <c r="J48" s="881">
        <f t="shared" si="1"/>
        <v>0</v>
      </c>
    </row>
    <row r="49" spans="2:10">
      <c r="B49" s="48"/>
      <c r="C49" s="884"/>
      <c r="D49" s="883"/>
      <c r="E49" s="883"/>
      <c r="F49" s="883"/>
      <c r="G49" s="883"/>
      <c r="H49" s="883"/>
      <c r="I49" s="883"/>
      <c r="J49" s="881"/>
    </row>
    <row r="50" spans="2:10">
      <c r="B50" s="48" t="s">
        <v>1176</v>
      </c>
      <c r="C50" s="885" t="s">
        <v>1176</v>
      </c>
      <c r="D50" s="881">
        <f>SUBTOTAL(9,D51:D56)</f>
        <v>1</v>
      </c>
      <c r="E50" s="881">
        <f t="shared" ref="E50:I50" si="12">SUBTOTAL(9,E51:E56)</f>
        <v>1</v>
      </c>
      <c r="F50" s="881">
        <f t="shared" si="12"/>
        <v>1</v>
      </c>
      <c r="G50" s="881">
        <f t="shared" si="12"/>
        <v>1</v>
      </c>
      <c r="H50" s="881">
        <f t="shared" si="12"/>
        <v>1</v>
      </c>
      <c r="I50" s="881">
        <f t="shared" si="12"/>
        <v>1</v>
      </c>
      <c r="J50" s="881">
        <f t="shared" si="1"/>
        <v>1</v>
      </c>
    </row>
    <row r="51" spans="2:10">
      <c r="B51" s="48"/>
      <c r="C51" s="887" t="s">
        <v>304</v>
      </c>
      <c r="D51" s="1956">
        <f>1</f>
        <v>1</v>
      </c>
      <c r="E51" s="1956">
        <f>1</f>
        <v>1</v>
      </c>
      <c r="F51" s="1956">
        <f>1</f>
        <v>1</v>
      </c>
      <c r="G51" s="1956">
        <f>1</f>
        <v>1</v>
      </c>
      <c r="H51" s="1956">
        <f>1</f>
        <v>1</v>
      </c>
      <c r="I51" s="1956">
        <f>1</f>
        <v>1</v>
      </c>
      <c r="J51" s="1956">
        <f t="shared" ref="J51:J56" si="13">AVERAGE(D51:I51)</f>
        <v>1</v>
      </c>
    </row>
    <row r="52" spans="2:10">
      <c r="B52" s="48"/>
      <c r="C52" s="889" t="s">
        <v>642</v>
      </c>
      <c r="D52" s="883">
        <f>ROUND(MCDO800!$L52*D$152,0)</f>
        <v>0</v>
      </c>
      <c r="E52" s="883">
        <f>ROUND(MCDO800!$L52*E$152,0)</f>
        <v>0</v>
      </c>
      <c r="F52" s="883">
        <f>ROUND(MCDO800!$L52*F$152,0)</f>
        <v>0</v>
      </c>
      <c r="G52" s="883">
        <f>ROUND(MCDO800!$L52*G$152,0)</f>
        <v>0</v>
      </c>
      <c r="H52" s="883">
        <f>ROUND(MCDO800!$L52*H$152,0)</f>
        <v>0</v>
      </c>
      <c r="I52" s="883">
        <f>ROUND(MCDO800!$L52*I$152,0)</f>
        <v>0</v>
      </c>
      <c r="J52" s="881">
        <f t="shared" si="13"/>
        <v>0</v>
      </c>
    </row>
    <row r="53" spans="2:10">
      <c r="B53" s="48"/>
      <c r="C53" s="889" t="s">
        <v>1177</v>
      </c>
      <c r="D53" s="883">
        <f>ROUND(MCDO800!$L53*D$152,0)</f>
        <v>0</v>
      </c>
      <c r="E53" s="883">
        <f>ROUND(MCDO800!$L53*E$152,0)</f>
        <v>0</v>
      </c>
      <c r="F53" s="883">
        <f>ROUND(MCDO800!$L53*F$152,0)</f>
        <v>0</v>
      </c>
      <c r="G53" s="883">
        <f>ROUND(MCDO800!$L53*G$152,0)</f>
        <v>0</v>
      </c>
      <c r="H53" s="883">
        <f>ROUND(MCDO800!$L53*H$152,0)</f>
        <v>0</v>
      </c>
      <c r="I53" s="883">
        <f>ROUND(MCDO800!$L53*I$152,0)</f>
        <v>0</v>
      </c>
      <c r="J53" s="881">
        <f t="shared" si="13"/>
        <v>0</v>
      </c>
    </row>
    <row r="54" spans="2:10">
      <c r="B54" s="48"/>
      <c r="C54" s="887" t="s">
        <v>305</v>
      </c>
      <c r="D54" s="883">
        <f>ROUND(MCDO800!$L54*D$152,0)</f>
        <v>0</v>
      </c>
      <c r="E54" s="883">
        <f>ROUND(MCDO800!$L54*E$152,0)</f>
        <v>0</v>
      </c>
      <c r="F54" s="883">
        <f>ROUND(MCDO800!$L54*F$152,0)</f>
        <v>0</v>
      </c>
      <c r="G54" s="883">
        <f>ROUND(MCDO800!$L54*G$152,0)</f>
        <v>0</v>
      </c>
      <c r="H54" s="883">
        <f>ROUND(MCDO800!$L54*H$152,0)</f>
        <v>0</v>
      </c>
      <c r="I54" s="883">
        <f>ROUND(MCDO800!$L54*I$152,0)</f>
        <v>0</v>
      </c>
      <c r="J54" s="881">
        <f t="shared" si="13"/>
        <v>0</v>
      </c>
    </row>
    <row r="55" spans="2:10">
      <c r="B55" s="48"/>
      <c r="C55" s="887" t="s">
        <v>307</v>
      </c>
      <c r="D55" s="883">
        <f>ROUND(MCDO800!$L55*D$152,0)</f>
        <v>0</v>
      </c>
      <c r="E55" s="883">
        <f>ROUND(MCDO800!$L55*E$152,0)</f>
        <v>0</v>
      </c>
      <c r="F55" s="883">
        <f>ROUND(MCDO800!$L55*F$152,0)</f>
        <v>0</v>
      </c>
      <c r="G55" s="883">
        <f>ROUND(MCDO800!$L55*G$152,0)</f>
        <v>0</v>
      </c>
      <c r="H55" s="883">
        <f>ROUND(MCDO800!$L55*H$152,0)</f>
        <v>0</v>
      </c>
      <c r="I55" s="883">
        <f>ROUND(MCDO800!$L55*I$152,0)</f>
        <v>0</v>
      </c>
      <c r="J55" s="881">
        <f t="shared" si="13"/>
        <v>0</v>
      </c>
    </row>
    <row r="56" spans="2:10">
      <c r="B56" s="48"/>
      <c r="C56" s="887" t="s">
        <v>624</v>
      </c>
      <c r="D56" s="883">
        <f>ROUND(MCDO800!$L56*D$152,0)</f>
        <v>0</v>
      </c>
      <c r="E56" s="883">
        <f>ROUND(MCDO800!$L56*E$152,0)</f>
        <v>0</v>
      </c>
      <c r="F56" s="883">
        <f>ROUND(MCDO800!$L56*F$152,0)</f>
        <v>0</v>
      </c>
      <c r="G56" s="883">
        <f>ROUND(MCDO800!$L56*G$152,0)</f>
        <v>0</v>
      </c>
      <c r="H56" s="883">
        <f>ROUND(MCDO800!$L56*H$152,0)</f>
        <v>0</v>
      </c>
      <c r="I56" s="883">
        <f>ROUND(MCDO800!$L56*I$152,0)</f>
        <v>0</v>
      </c>
      <c r="J56" s="881">
        <f t="shared" si="13"/>
        <v>0</v>
      </c>
    </row>
    <row r="57" spans="2:10">
      <c r="B57" s="48"/>
      <c r="C57" s="887"/>
      <c r="D57" s="974"/>
      <c r="E57" s="974"/>
      <c r="F57" s="974"/>
      <c r="G57" s="974"/>
      <c r="H57" s="974"/>
      <c r="I57" s="974"/>
      <c r="J57" s="881"/>
    </row>
    <row r="58" spans="2:10">
      <c r="B58" s="48"/>
      <c r="C58" s="885" t="s">
        <v>755</v>
      </c>
      <c r="D58" s="881">
        <f>SUBTOTAL(9,D59:D105)</f>
        <v>544931</v>
      </c>
      <c r="E58" s="881">
        <f t="shared" ref="E58:I58" si="14">SUBTOTAL(9,E59:E105)</f>
        <v>545963</v>
      </c>
      <c r="F58" s="881">
        <f t="shared" si="14"/>
        <v>545763</v>
      </c>
      <c r="G58" s="881">
        <f t="shared" si="14"/>
        <v>546032</v>
      </c>
      <c r="H58" s="881">
        <f t="shared" si="14"/>
        <v>544532</v>
      </c>
      <c r="I58" s="881">
        <f t="shared" si="14"/>
        <v>546328</v>
      </c>
      <c r="J58" s="881">
        <f t="shared" si="1"/>
        <v>545591.5</v>
      </c>
    </row>
    <row r="59" spans="2:10">
      <c r="B59" s="48" t="s">
        <v>751</v>
      </c>
      <c r="C59" s="1405" t="s">
        <v>2186</v>
      </c>
      <c r="D59" s="881">
        <f>SUBTOTAL(9,D60:D64)</f>
        <v>0</v>
      </c>
      <c r="E59" s="881">
        <f t="shared" ref="E59:I59" si="15">SUBTOTAL(9,E60:E64)</f>
        <v>0</v>
      </c>
      <c r="F59" s="881">
        <f t="shared" si="15"/>
        <v>0</v>
      </c>
      <c r="G59" s="881">
        <f t="shared" si="15"/>
        <v>0</v>
      </c>
      <c r="H59" s="881">
        <f t="shared" si="15"/>
        <v>0</v>
      </c>
      <c r="I59" s="881">
        <f t="shared" si="15"/>
        <v>0</v>
      </c>
      <c r="J59" s="881">
        <f t="shared" si="1"/>
        <v>0</v>
      </c>
    </row>
    <row r="60" spans="2:10">
      <c r="B60" s="48"/>
      <c r="C60" s="887" t="s">
        <v>304</v>
      </c>
      <c r="D60" s="883"/>
      <c r="E60" s="883"/>
      <c r="F60" s="883"/>
      <c r="G60" s="883"/>
      <c r="H60" s="883"/>
      <c r="I60" s="883"/>
      <c r="J60" s="881"/>
    </row>
    <row r="61" spans="2:10">
      <c r="B61" s="48"/>
      <c r="C61" s="889" t="s">
        <v>644</v>
      </c>
      <c r="D61" s="883"/>
      <c r="E61" s="883"/>
      <c r="F61" s="883"/>
      <c r="G61" s="883"/>
      <c r="H61" s="883"/>
      <c r="I61" s="883"/>
      <c r="J61" s="881"/>
    </row>
    <row r="62" spans="2:10">
      <c r="B62" s="48"/>
      <c r="C62" s="887" t="s">
        <v>305</v>
      </c>
      <c r="D62" s="883"/>
      <c r="E62" s="883"/>
      <c r="F62" s="883"/>
      <c r="G62" s="883"/>
      <c r="H62" s="883"/>
      <c r="I62" s="883"/>
      <c r="J62" s="881"/>
    </row>
    <row r="63" spans="2:10">
      <c r="B63" s="48"/>
      <c r="C63" s="887" t="s">
        <v>307</v>
      </c>
      <c r="D63" s="883"/>
      <c r="E63" s="883"/>
      <c r="F63" s="883"/>
      <c r="G63" s="883"/>
      <c r="H63" s="883"/>
      <c r="I63" s="883"/>
      <c r="J63" s="881"/>
    </row>
    <row r="64" spans="2:10">
      <c r="B64" s="48"/>
      <c r="C64" s="887" t="s">
        <v>624</v>
      </c>
      <c r="D64" s="883"/>
      <c r="E64" s="883"/>
      <c r="F64" s="883"/>
      <c r="G64" s="883"/>
      <c r="H64" s="883"/>
      <c r="I64" s="883"/>
      <c r="J64" s="881"/>
    </row>
    <row r="65" spans="2:10">
      <c r="B65" s="48" t="s">
        <v>751</v>
      </c>
      <c r="C65" s="885" t="s">
        <v>634</v>
      </c>
      <c r="D65" s="881">
        <f>SUBTOTAL(9,D66:D70)</f>
        <v>316854</v>
      </c>
      <c r="E65" s="881">
        <f t="shared" ref="E65:I65" si="16">SUBTOTAL(9,E66:E70)</f>
        <v>317454</v>
      </c>
      <c r="F65" s="881">
        <f t="shared" si="16"/>
        <v>317338</v>
      </c>
      <c r="G65" s="881">
        <f t="shared" si="16"/>
        <v>317495</v>
      </c>
      <c r="H65" s="881">
        <f t="shared" si="16"/>
        <v>316622</v>
      </c>
      <c r="I65" s="881">
        <f t="shared" si="16"/>
        <v>317666</v>
      </c>
      <c r="J65" s="881">
        <f t="shared" si="1"/>
        <v>317238.16666666669</v>
      </c>
    </row>
    <row r="66" spans="2:10">
      <c r="B66" s="48"/>
      <c r="C66" s="887" t="s">
        <v>304</v>
      </c>
      <c r="D66" s="883">
        <f>ROUND(MCDO800!$L66*D$152,0)</f>
        <v>226923</v>
      </c>
      <c r="E66" s="883">
        <f>ROUND(MCDO800!$L66*E$152,0)</f>
        <v>227353</v>
      </c>
      <c r="F66" s="883">
        <f>ROUND(MCDO800!$L66*F$152,0)</f>
        <v>227270</v>
      </c>
      <c r="G66" s="883">
        <f>ROUND(MCDO800!$L66*G$152,0)</f>
        <v>227382</v>
      </c>
      <c r="H66" s="883">
        <f>ROUND(MCDO800!$L66*H$152,0)</f>
        <v>226757</v>
      </c>
      <c r="I66" s="883">
        <f>ROUND(MCDO800!$L66*I$152,0)</f>
        <v>227505</v>
      </c>
      <c r="J66" s="881">
        <f t="shared" si="1"/>
        <v>227198.33333333334</v>
      </c>
    </row>
    <row r="67" spans="2:10">
      <c r="B67" s="48"/>
      <c r="C67" s="889" t="s">
        <v>644</v>
      </c>
      <c r="D67" s="883">
        <f>ROUND(MCDO800!$L67*D$152,0)</f>
        <v>89917</v>
      </c>
      <c r="E67" s="883">
        <f>ROUND(MCDO800!$L67*E$152,0)</f>
        <v>90087</v>
      </c>
      <c r="F67" s="883">
        <f>ROUND(MCDO800!$L67*F$152,0)</f>
        <v>90054</v>
      </c>
      <c r="G67" s="883">
        <f>ROUND(MCDO800!$L67*G$152,0)</f>
        <v>90099</v>
      </c>
      <c r="H67" s="883">
        <f>ROUND(MCDO800!$L67*H$152,0)</f>
        <v>89851</v>
      </c>
      <c r="I67" s="883">
        <f>ROUND(MCDO800!$L67*I$152,0)</f>
        <v>90147</v>
      </c>
      <c r="J67" s="881">
        <f t="shared" si="1"/>
        <v>90025.833333333328</v>
      </c>
    </row>
    <row r="68" spans="2:10">
      <c r="B68" s="48"/>
      <c r="C68" s="887" t="s">
        <v>305</v>
      </c>
      <c r="D68" s="883">
        <f>ROUND(MCDO800!$L68*D$152,0)</f>
        <v>8</v>
      </c>
      <c r="E68" s="883">
        <f>ROUND(MCDO800!$L68*E$152,0)</f>
        <v>8</v>
      </c>
      <c r="F68" s="883">
        <f>ROUND(MCDO800!$L68*F$152,0)</f>
        <v>8</v>
      </c>
      <c r="G68" s="883">
        <f>ROUND(MCDO800!$L68*G$152,0)</f>
        <v>8</v>
      </c>
      <c r="H68" s="883">
        <f>ROUND(MCDO800!$L68*H$152,0)</f>
        <v>8</v>
      </c>
      <c r="I68" s="883">
        <f>ROUND(MCDO800!$L68*I$152,0)</f>
        <v>8</v>
      </c>
      <c r="J68" s="881">
        <f t="shared" si="1"/>
        <v>8</v>
      </c>
    </row>
    <row r="69" spans="2:10">
      <c r="B69" s="48"/>
      <c r="C69" s="887" t="s">
        <v>307</v>
      </c>
      <c r="D69" s="883">
        <f>ROUND(MCDO800!$L69*D$152,0)</f>
        <v>1</v>
      </c>
      <c r="E69" s="883">
        <f>ROUND(MCDO800!$L69*E$152,0)</f>
        <v>1</v>
      </c>
      <c r="F69" s="883">
        <f>ROUND(MCDO800!$L69*F$152,0)</f>
        <v>1</v>
      </c>
      <c r="G69" s="883">
        <f>ROUND(MCDO800!$L69*G$152,0)</f>
        <v>1</v>
      </c>
      <c r="H69" s="883">
        <f>ROUND(MCDO800!$L69*H$152,0)</f>
        <v>1</v>
      </c>
      <c r="I69" s="883">
        <f>ROUND(MCDO800!$L69*I$152,0)</f>
        <v>1</v>
      </c>
      <c r="J69" s="881">
        <f t="shared" ref="J69:J107" si="17">AVERAGE(D69:I69)</f>
        <v>1</v>
      </c>
    </row>
    <row r="70" spans="2:10">
      <c r="B70" s="48"/>
      <c r="C70" s="887" t="s">
        <v>624</v>
      </c>
      <c r="D70" s="883">
        <f>ROUND(MCDO800!$L70*D$152,0)</f>
        <v>5</v>
      </c>
      <c r="E70" s="883">
        <f>ROUND(MCDO800!$L70*E$152,0)</f>
        <v>5</v>
      </c>
      <c r="F70" s="883">
        <f>ROUND(MCDO800!$L70*F$152,0)</f>
        <v>5</v>
      </c>
      <c r="G70" s="883">
        <f>ROUND(MCDO800!$L70*G$152,0)</f>
        <v>5</v>
      </c>
      <c r="H70" s="883">
        <f>ROUND(MCDO800!$L70*H$152,0)</f>
        <v>5</v>
      </c>
      <c r="I70" s="883">
        <f>ROUND(MCDO800!$L70*I$152,0)</f>
        <v>5</v>
      </c>
      <c r="J70" s="881">
        <f t="shared" si="17"/>
        <v>5</v>
      </c>
    </row>
    <row r="71" spans="2:10">
      <c r="B71" s="48" t="s">
        <v>750</v>
      </c>
      <c r="C71" s="885" t="s">
        <v>635</v>
      </c>
      <c r="D71" s="881">
        <f>SUBTOTAL(9,D72:D77)</f>
        <v>111860</v>
      </c>
      <c r="E71" s="881">
        <f t="shared" ref="E71:I71" si="18">SUBTOTAL(9,E72:E77)</f>
        <v>112072</v>
      </c>
      <c r="F71" s="881">
        <f t="shared" si="18"/>
        <v>112030</v>
      </c>
      <c r="G71" s="881">
        <f t="shared" si="18"/>
        <v>112086</v>
      </c>
      <c r="H71" s="881">
        <f t="shared" si="18"/>
        <v>111778</v>
      </c>
      <c r="I71" s="881">
        <f t="shared" si="18"/>
        <v>112146</v>
      </c>
      <c r="J71" s="881">
        <f t="shared" si="17"/>
        <v>111995.33333333333</v>
      </c>
    </row>
    <row r="72" spans="2:10">
      <c r="B72" s="48"/>
      <c r="C72" s="887" t="s">
        <v>304</v>
      </c>
      <c r="D72" s="883">
        <f>ROUND(MCDO800!$L72*D$152,0)</f>
        <v>64718</v>
      </c>
      <c r="E72" s="883">
        <f>ROUND(MCDO800!$L72*E$152,0)</f>
        <v>64840</v>
      </c>
      <c r="F72" s="883">
        <f>ROUND(MCDO800!$L72*F$152,0)</f>
        <v>64816</v>
      </c>
      <c r="G72" s="883">
        <f>ROUND(MCDO800!$L72*G$152,0)</f>
        <v>64848</v>
      </c>
      <c r="H72" s="883">
        <f>ROUND(MCDO800!$L72*H$152,0)</f>
        <v>64670</v>
      </c>
      <c r="I72" s="883">
        <f>ROUND(MCDO800!$L72*I$152,0)</f>
        <v>64883</v>
      </c>
      <c r="J72" s="881">
        <f t="shared" si="17"/>
        <v>64795.833333333336</v>
      </c>
    </row>
    <row r="73" spans="2:10">
      <c r="B73" s="48"/>
      <c r="C73" s="889" t="s">
        <v>642</v>
      </c>
      <c r="D73" s="883">
        <f>ROUND(MCDO800!$L73*D$152,0)</f>
        <v>47136</v>
      </c>
      <c r="E73" s="883">
        <f>ROUND(MCDO800!$L73*E$152,0)</f>
        <v>47226</v>
      </c>
      <c r="F73" s="883">
        <f>ROUND(MCDO800!$L73*F$152,0)</f>
        <v>47208</v>
      </c>
      <c r="G73" s="883">
        <f>ROUND(MCDO800!$L73*G$152,0)</f>
        <v>47232</v>
      </c>
      <c r="H73" s="883">
        <f>ROUND(MCDO800!$L73*H$152,0)</f>
        <v>47102</v>
      </c>
      <c r="I73" s="883">
        <f>ROUND(MCDO800!$L73*I$152,0)</f>
        <v>47257</v>
      </c>
      <c r="J73" s="881">
        <f t="shared" si="17"/>
        <v>47193.5</v>
      </c>
    </row>
    <row r="74" spans="2:10">
      <c r="B74" s="48"/>
      <c r="C74" s="889" t="s">
        <v>1177</v>
      </c>
      <c r="D74" s="883">
        <f>ROUND(MCDO800!$L74*D$152,0)</f>
        <v>0</v>
      </c>
      <c r="E74" s="883">
        <f>ROUND(MCDO800!$L74*E$152,0)</f>
        <v>0</v>
      </c>
      <c r="F74" s="883">
        <f>ROUND(MCDO800!$L74*F$152,0)</f>
        <v>0</v>
      </c>
      <c r="G74" s="883">
        <f>ROUND(MCDO800!$L74*G$152,0)</f>
        <v>0</v>
      </c>
      <c r="H74" s="883">
        <f>ROUND(MCDO800!$L74*H$152,0)</f>
        <v>0</v>
      </c>
      <c r="I74" s="883">
        <f>ROUND(MCDO800!$L74*I$152,0)</f>
        <v>0</v>
      </c>
      <c r="J74" s="881">
        <f t="shared" si="17"/>
        <v>0</v>
      </c>
    </row>
    <row r="75" spans="2:10">
      <c r="B75" s="48"/>
      <c r="C75" s="887" t="s">
        <v>305</v>
      </c>
      <c r="D75" s="883">
        <f>ROUND(MCDO800!$L75*D$152,0)</f>
        <v>4</v>
      </c>
      <c r="E75" s="883">
        <f>ROUND(MCDO800!$L75*E$152,0)</f>
        <v>4</v>
      </c>
      <c r="F75" s="883">
        <f>ROUND(MCDO800!$L75*F$152,0)</f>
        <v>4</v>
      </c>
      <c r="G75" s="883">
        <f>ROUND(MCDO800!$L75*G$152,0)</f>
        <v>4</v>
      </c>
      <c r="H75" s="883">
        <f>ROUND(MCDO800!$L75*H$152,0)</f>
        <v>4</v>
      </c>
      <c r="I75" s="883">
        <f>ROUND(MCDO800!$L75*I$152,0)</f>
        <v>4</v>
      </c>
      <c r="J75" s="881">
        <f t="shared" si="17"/>
        <v>4</v>
      </c>
    </row>
    <row r="76" spans="2:10">
      <c r="B76" s="48"/>
      <c r="C76" s="887" t="s">
        <v>307</v>
      </c>
      <c r="D76" s="883">
        <f>ROUND(MCDO800!$L76*D$152,0)</f>
        <v>0</v>
      </c>
      <c r="E76" s="883">
        <f>ROUND(MCDO800!$L76*E$152,0)</f>
        <v>0</v>
      </c>
      <c r="F76" s="883">
        <f>ROUND(MCDO800!$L76*F$152,0)</f>
        <v>0</v>
      </c>
      <c r="G76" s="883">
        <f>ROUND(MCDO800!$L76*G$152,0)</f>
        <v>0</v>
      </c>
      <c r="H76" s="883">
        <f>ROUND(MCDO800!$L76*H$152,0)</f>
        <v>0</v>
      </c>
      <c r="I76" s="883">
        <f>ROUND(MCDO800!$L76*I$152,0)</f>
        <v>0</v>
      </c>
      <c r="J76" s="881">
        <f t="shared" si="17"/>
        <v>0</v>
      </c>
    </row>
    <row r="77" spans="2:10">
      <c r="B77" s="48"/>
      <c r="C77" s="887" t="s">
        <v>624</v>
      </c>
      <c r="D77" s="883">
        <f>ROUND(MCDO800!$L77*D$152,0)</f>
        <v>2</v>
      </c>
      <c r="E77" s="883">
        <f>ROUND(MCDO800!$L77*E$152,0)</f>
        <v>2</v>
      </c>
      <c r="F77" s="883">
        <f>ROUND(MCDO800!$L77*F$152,0)</f>
        <v>2</v>
      </c>
      <c r="G77" s="883">
        <f>ROUND(MCDO800!$L77*G$152,0)</f>
        <v>2</v>
      </c>
      <c r="H77" s="883">
        <f>ROUND(MCDO800!$L77*H$152,0)</f>
        <v>2</v>
      </c>
      <c r="I77" s="883">
        <f>ROUND(MCDO800!$L77*I$152,0)</f>
        <v>2</v>
      </c>
      <c r="J77" s="881">
        <f t="shared" si="17"/>
        <v>2</v>
      </c>
    </row>
    <row r="78" spans="2:10">
      <c r="B78" s="48" t="s">
        <v>749</v>
      </c>
      <c r="C78" s="885" t="s">
        <v>636</v>
      </c>
      <c r="D78" s="881">
        <f>SUBTOTAL(9,D79:D84)</f>
        <v>33378</v>
      </c>
      <c r="E78" s="881">
        <f t="shared" ref="E78:I78" si="19">SUBTOTAL(9,E79:E84)</f>
        <v>33442</v>
      </c>
      <c r="F78" s="881">
        <f t="shared" si="19"/>
        <v>33430</v>
      </c>
      <c r="G78" s="881">
        <f t="shared" si="19"/>
        <v>33446</v>
      </c>
      <c r="H78" s="881">
        <f t="shared" si="19"/>
        <v>33354</v>
      </c>
      <c r="I78" s="881">
        <f t="shared" si="19"/>
        <v>33464</v>
      </c>
      <c r="J78" s="881">
        <f t="shared" si="17"/>
        <v>33419</v>
      </c>
    </row>
    <row r="79" spans="2:10">
      <c r="C79" s="887" t="s">
        <v>304</v>
      </c>
      <c r="D79" s="883">
        <f>ROUND(MCDO800!$L79*D$152,0)</f>
        <v>25717</v>
      </c>
      <c r="E79" s="883">
        <f>ROUND(MCDO800!$L79*E$152,0)</f>
        <v>25766</v>
      </c>
      <c r="F79" s="883">
        <f>ROUND(MCDO800!$L79*F$152,0)</f>
        <v>25757</v>
      </c>
      <c r="G79" s="883">
        <f>ROUND(MCDO800!$L79*G$152,0)</f>
        <v>25769</v>
      </c>
      <c r="H79" s="883">
        <f>ROUND(MCDO800!$L79*H$152,0)</f>
        <v>25699</v>
      </c>
      <c r="I79" s="883">
        <f>ROUND(MCDO800!$L79*I$152,0)</f>
        <v>25783</v>
      </c>
      <c r="J79" s="881">
        <f t="shared" si="17"/>
        <v>25748.5</v>
      </c>
    </row>
    <row r="80" spans="2:10">
      <c r="C80" s="889" t="s">
        <v>642</v>
      </c>
      <c r="D80" s="883">
        <f>ROUND(MCDO800!$L80*D$152,0)</f>
        <v>7647</v>
      </c>
      <c r="E80" s="883">
        <f>ROUND(MCDO800!$L80*E$152,0)</f>
        <v>7662</v>
      </c>
      <c r="F80" s="883">
        <f>ROUND(MCDO800!$L80*F$152,0)</f>
        <v>7659</v>
      </c>
      <c r="G80" s="883">
        <f>ROUND(MCDO800!$L80*G$152,0)</f>
        <v>7663</v>
      </c>
      <c r="H80" s="883">
        <f>ROUND(MCDO800!$L80*H$152,0)</f>
        <v>7641</v>
      </c>
      <c r="I80" s="883">
        <f>ROUND(MCDO800!$L80*I$152,0)</f>
        <v>7667</v>
      </c>
      <c r="J80" s="881">
        <f t="shared" si="17"/>
        <v>7656.5</v>
      </c>
    </row>
    <row r="81" spans="2:10">
      <c r="C81" s="889" t="s">
        <v>1177</v>
      </c>
      <c r="D81" s="883">
        <f>ROUND(MCDO800!$L81*D$152,0)</f>
        <v>0</v>
      </c>
      <c r="E81" s="883">
        <f>ROUND(MCDO800!$L81*E$152,0)</f>
        <v>0</v>
      </c>
      <c r="F81" s="883">
        <f>ROUND(MCDO800!$L81*F$152,0)</f>
        <v>0</v>
      </c>
      <c r="G81" s="883">
        <f>ROUND(MCDO800!$L81*G$152,0)</f>
        <v>0</v>
      </c>
      <c r="H81" s="883">
        <f>ROUND(MCDO800!$L81*H$152,0)</f>
        <v>0</v>
      </c>
      <c r="I81" s="883">
        <f>ROUND(MCDO800!$L81*I$152,0)</f>
        <v>0</v>
      </c>
      <c r="J81" s="881">
        <f t="shared" si="17"/>
        <v>0</v>
      </c>
    </row>
    <row r="82" spans="2:10">
      <c r="C82" s="887" t="s">
        <v>305</v>
      </c>
      <c r="D82" s="883">
        <f>ROUND(MCDO800!$L82*D$152,0)</f>
        <v>9</v>
      </c>
      <c r="E82" s="883">
        <f>ROUND(MCDO800!$L82*E$152,0)</f>
        <v>9</v>
      </c>
      <c r="F82" s="883">
        <f>ROUND(MCDO800!$L82*F$152,0)</f>
        <v>9</v>
      </c>
      <c r="G82" s="883">
        <f>ROUND(MCDO800!$L82*G$152,0)</f>
        <v>9</v>
      </c>
      <c r="H82" s="883">
        <f>ROUND(MCDO800!$L82*H$152,0)</f>
        <v>9</v>
      </c>
      <c r="I82" s="883">
        <f>ROUND(MCDO800!$L82*I$152,0)</f>
        <v>9</v>
      </c>
      <c r="J82" s="881">
        <f t="shared" si="17"/>
        <v>9</v>
      </c>
    </row>
    <row r="83" spans="2:10">
      <c r="C83" s="887" t="s">
        <v>307</v>
      </c>
      <c r="D83" s="883">
        <f>ROUND(MCDO800!$L83*D$152,0)</f>
        <v>1</v>
      </c>
      <c r="E83" s="883">
        <f>ROUND(MCDO800!$L83*E$152,0)</f>
        <v>1</v>
      </c>
      <c r="F83" s="883">
        <f>ROUND(MCDO800!$L83*F$152,0)</f>
        <v>1</v>
      </c>
      <c r="G83" s="883">
        <f>ROUND(MCDO800!$L83*G$152,0)</f>
        <v>1</v>
      </c>
      <c r="H83" s="883">
        <f>ROUND(MCDO800!$L83*H$152,0)</f>
        <v>1</v>
      </c>
      <c r="I83" s="883">
        <f>ROUND(MCDO800!$L83*I$152,0)</f>
        <v>1</v>
      </c>
      <c r="J83" s="881">
        <f t="shared" si="17"/>
        <v>1</v>
      </c>
    </row>
    <row r="84" spans="2:10">
      <c r="C84" s="887" t="s">
        <v>624</v>
      </c>
      <c r="D84" s="883">
        <f>ROUND(MCDO800!$L84*D$152,0)</f>
        <v>4</v>
      </c>
      <c r="E84" s="883">
        <f>ROUND(MCDO800!$L84*E$152,0)</f>
        <v>4</v>
      </c>
      <c r="F84" s="883">
        <f>ROUND(MCDO800!$L84*F$152,0)</f>
        <v>4</v>
      </c>
      <c r="G84" s="883">
        <f>ROUND(MCDO800!$L84*G$152,0)</f>
        <v>4</v>
      </c>
      <c r="H84" s="883">
        <f>ROUND(MCDO800!$L84*H$152,0)</f>
        <v>4</v>
      </c>
      <c r="I84" s="883">
        <f>ROUND(MCDO800!$L84*I$152,0)</f>
        <v>4</v>
      </c>
      <c r="J84" s="881">
        <f t="shared" si="17"/>
        <v>4</v>
      </c>
    </row>
    <row r="85" spans="2:10">
      <c r="C85" s="887"/>
      <c r="D85" s="883"/>
      <c r="E85" s="883"/>
      <c r="F85" s="883"/>
      <c r="G85" s="883"/>
      <c r="H85" s="883"/>
      <c r="I85" s="883"/>
      <c r="J85" s="881"/>
    </row>
    <row r="86" spans="2:10">
      <c r="B86" s="48" t="s">
        <v>902</v>
      </c>
      <c r="C86" s="885" t="s">
        <v>898</v>
      </c>
      <c r="D86" s="881">
        <f>SUBTOTAL(9,D87:D91)</f>
        <v>73528</v>
      </c>
      <c r="E86" s="881">
        <f t="shared" ref="E86:I86" si="20">SUBTOTAL(9,E87:E91)</f>
        <v>73667</v>
      </c>
      <c r="F86" s="881">
        <f t="shared" si="20"/>
        <v>73640</v>
      </c>
      <c r="G86" s="881">
        <f t="shared" si="20"/>
        <v>73676</v>
      </c>
      <c r="H86" s="881">
        <f t="shared" si="20"/>
        <v>73474</v>
      </c>
      <c r="I86" s="881">
        <f t="shared" si="20"/>
        <v>73717</v>
      </c>
      <c r="J86" s="881">
        <f t="shared" si="17"/>
        <v>73617</v>
      </c>
    </row>
    <row r="87" spans="2:10">
      <c r="C87" s="887" t="s">
        <v>304</v>
      </c>
      <c r="D87" s="883">
        <f>ROUND(MCDO800!$L87*D$152,0)</f>
        <v>71193</v>
      </c>
      <c r="E87" s="883">
        <f>ROUND(MCDO800!$L87*E$152,0)</f>
        <v>71328</v>
      </c>
      <c r="F87" s="883">
        <f>ROUND(MCDO800!$L87*F$152,0)</f>
        <v>71302</v>
      </c>
      <c r="G87" s="883">
        <f>ROUND(MCDO800!$L87*G$152,0)</f>
        <v>71337</v>
      </c>
      <c r="H87" s="883">
        <f>ROUND(MCDO800!$L87*H$152,0)</f>
        <v>71141</v>
      </c>
      <c r="I87" s="883">
        <f>ROUND(MCDO800!$L87*I$152,0)</f>
        <v>71376</v>
      </c>
      <c r="J87" s="881">
        <f t="shared" si="17"/>
        <v>71279.5</v>
      </c>
    </row>
    <row r="88" spans="2:10">
      <c r="C88" s="888" t="s">
        <v>306</v>
      </c>
      <c r="D88" s="883">
        <f>ROUND(MCDO800!$L88*D$152,0)</f>
        <v>2335</v>
      </c>
      <c r="E88" s="883">
        <f>ROUND(MCDO800!$L88*E$152,0)</f>
        <v>2339</v>
      </c>
      <c r="F88" s="883">
        <f>ROUND(MCDO800!$L88*F$152,0)</f>
        <v>2338</v>
      </c>
      <c r="G88" s="883">
        <f>ROUND(MCDO800!$L88*G$152,0)</f>
        <v>2339</v>
      </c>
      <c r="H88" s="883">
        <f>ROUND(MCDO800!$L88*H$152,0)</f>
        <v>2333</v>
      </c>
      <c r="I88" s="883">
        <f>ROUND(MCDO800!$L88*I$152,0)</f>
        <v>2341</v>
      </c>
      <c r="J88" s="881">
        <f t="shared" si="17"/>
        <v>2337.5</v>
      </c>
    </row>
    <row r="89" spans="2:10">
      <c r="C89" s="887" t="s">
        <v>305</v>
      </c>
      <c r="D89" s="883">
        <f>ROUND(MCDO800!$L89*D$152,0)</f>
        <v>0</v>
      </c>
      <c r="E89" s="883">
        <f>ROUND(MCDO800!$L89*E$152,0)</f>
        <v>0</v>
      </c>
      <c r="F89" s="883">
        <f>ROUND(MCDO800!$L89*F$152,0)</f>
        <v>0</v>
      </c>
      <c r="G89" s="883">
        <f>ROUND(MCDO800!$L89*G$152,0)</f>
        <v>0</v>
      </c>
      <c r="H89" s="883">
        <f>ROUND(MCDO800!$L89*H$152,0)</f>
        <v>0</v>
      </c>
      <c r="I89" s="883">
        <f>ROUND(MCDO800!$L89*I$152,0)</f>
        <v>0</v>
      </c>
      <c r="J89" s="881">
        <f t="shared" si="17"/>
        <v>0</v>
      </c>
    </row>
    <row r="90" spans="2:10">
      <c r="C90" s="887" t="s">
        <v>307</v>
      </c>
      <c r="D90" s="883">
        <f>ROUND(MCDO800!$L90*D$152,0)</f>
        <v>0</v>
      </c>
      <c r="E90" s="883">
        <f>ROUND(MCDO800!$L90*E$152,0)</f>
        <v>0</v>
      </c>
      <c r="F90" s="883">
        <f>ROUND(MCDO800!$L90*F$152,0)</f>
        <v>0</v>
      </c>
      <c r="G90" s="883">
        <f>ROUND(MCDO800!$L90*G$152,0)</f>
        <v>0</v>
      </c>
      <c r="H90" s="883">
        <f>ROUND(MCDO800!$L90*H$152,0)</f>
        <v>0</v>
      </c>
      <c r="I90" s="883">
        <f>ROUND(MCDO800!$L90*I$152,0)</f>
        <v>0</v>
      </c>
      <c r="J90" s="881">
        <f t="shared" si="17"/>
        <v>0</v>
      </c>
    </row>
    <row r="91" spans="2:10">
      <c r="C91" s="887" t="s">
        <v>624</v>
      </c>
      <c r="D91" s="883">
        <f>ROUND(MCDO800!$L91*D$152,0)</f>
        <v>0</v>
      </c>
      <c r="E91" s="883">
        <f>ROUND(MCDO800!$L91*E$152,0)</f>
        <v>0</v>
      </c>
      <c r="F91" s="883">
        <f>ROUND(MCDO800!$L91*F$152,0)</f>
        <v>0</v>
      </c>
      <c r="G91" s="883">
        <f>ROUND(MCDO800!$L91*G$152,0)</f>
        <v>0</v>
      </c>
      <c r="H91" s="883">
        <f>ROUND(MCDO800!$L91*H$152,0)</f>
        <v>0</v>
      </c>
      <c r="I91" s="883">
        <f>ROUND(MCDO800!$L91*I$152,0)</f>
        <v>0</v>
      </c>
      <c r="J91" s="881">
        <f t="shared" si="17"/>
        <v>0</v>
      </c>
    </row>
    <row r="92" spans="2:10">
      <c r="B92" s="48" t="s">
        <v>902</v>
      </c>
      <c r="C92" s="885" t="s">
        <v>899</v>
      </c>
      <c r="D92" s="881">
        <f>SUBTOTAL(9,D93:D98)</f>
        <v>9025</v>
      </c>
      <c r="E92" s="881">
        <f t="shared" ref="E92:I92" si="21">SUBTOTAL(9,E93:E98)</f>
        <v>9041</v>
      </c>
      <c r="F92" s="881">
        <f t="shared" si="21"/>
        <v>9038</v>
      </c>
      <c r="G92" s="881">
        <f t="shared" si="21"/>
        <v>9042</v>
      </c>
      <c r="H92" s="881">
        <f t="shared" si="21"/>
        <v>9018</v>
      </c>
      <c r="I92" s="881">
        <f t="shared" si="21"/>
        <v>9048</v>
      </c>
      <c r="J92" s="881">
        <f t="shared" si="17"/>
        <v>9035.3333333333339</v>
      </c>
    </row>
    <row r="93" spans="2:10">
      <c r="C93" s="887" t="s">
        <v>304</v>
      </c>
      <c r="D93" s="883">
        <f>ROUND(MCDO800!$L93*D$152,0)</f>
        <v>8196</v>
      </c>
      <c r="E93" s="883">
        <f>ROUND(MCDO800!$L93*E$152,0)</f>
        <v>8211</v>
      </c>
      <c r="F93" s="883">
        <f>ROUND(MCDO800!$L93*F$152,0)</f>
        <v>8208</v>
      </c>
      <c r="G93" s="883">
        <f>ROUND(MCDO800!$L93*G$152,0)</f>
        <v>8212</v>
      </c>
      <c r="H93" s="883">
        <f>ROUND(MCDO800!$L93*H$152,0)</f>
        <v>8190</v>
      </c>
      <c r="I93" s="883">
        <f>ROUND(MCDO800!$L93*I$152,0)</f>
        <v>8217</v>
      </c>
      <c r="J93" s="881">
        <f t="shared" si="17"/>
        <v>8205.6666666666661</v>
      </c>
    </row>
    <row r="94" spans="2:10">
      <c r="C94" s="889" t="s">
        <v>642</v>
      </c>
      <c r="D94" s="883">
        <f>ROUND(MCDO800!$L94*D$152,0)</f>
        <v>829</v>
      </c>
      <c r="E94" s="883">
        <f>ROUND(MCDO800!$L94*E$152,0)</f>
        <v>830</v>
      </c>
      <c r="F94" s="883">
        <f>ROUND(MCDO800!$L94*F$152,0)</f>
        <v>830</v>
      </c>
      <c r="G94" s="883">
        <f>ROUND(MCDO800!$L94*G$152,0)</f>
        <v>830</v>
      </c>
      <c r="H94" s="883">
        <f>ROUND(MCDO800!$L94*H$152,0)</f>
        <v>828</v>
      </c>
      <c r="I94" s="883">
        <f>ROUND(MCDO800!$L94*I$152,0)</f>
        <v>831</v>
      </c>
      <c r="J94" s="881">
        <f t="shared" si="17"/>
        <v>829.66666666666663</v>
      </c>
    </row>
    <row r="95" spans="2:10">
      <c r="C95" s="889" t="s">
        <v>1177</v>
      </c>
      <c r="D95" s="883">
        <f>ROUND(MCDO800!$L95*D$152,0)</f>
        <v>0</v>
      </c>
      <c r="E95" s="883">
        <f>ROUND(MCDO800!$L95*E$152,0)</f>
        <v>0</v>
      </c>
      <c r="F95" s="883">
        <f>ROUND(MCDO800!$L95*F$152,0)</f>
        <v>0</v>
      </c>
      <c r="G95" s="883">
        <f>ROUND(MCDO800!$L95*G$152,0)</f>
        <v>0</v>
      </c>
      <c r="H95" s="883">
        <f>ROUND(MCDO800!$L95*H$152,0)</f>
        <v>0</v>
      </c>
      <c r="I95" s="883">
        <f>ROUND(MCDO800!$L95*I$152,0)</f>
        <v>0</v>
      </c>
      <c r="J95" s="881">
        <f t="shared" si="17"/>
        <v>0</v>
      </c>
    </row>
    <row r="96" spans="2:10">
      <c r="C96" s="887" t="s">
        <v>305</v>
      </c>
      <c r="D96" s="883">
        <f>ROUND(MCDO800!$L96*D$152,0)</f>
        <v>0</v>
      </c>
      <c r="E96" s="883">
        <f>ROUND(MCDO800!$L96*E$152,0)</f>
        <v>0</v>
      </c>
      <c r="F96" s="883">
        <f>ROUND(MCDO800!$L96*F$152,0)</f>
        <v>0</v>
      </c>
      <c r="G96" s="883">
        <f>ROUND(MCDO800!$L96*G$152,0)</f>
        <v>0</v>
      </c>
      <c r="H96" s="883">
        <f>ROUND(MCDO800!$L96*H$152,0)</f>
        <v>0</v>
      </c>
      <c r="I96" s="883">
        <f>ROUND(MCDO800!$L96*I$152,0)</f>
        <v>0</v>
      </c>
      <c r="J96" s="881">
        <f t="shared" si="17"/>
        <v>0</v>
      </c>
    </row>
    <row r="97" spans="1:10">
      <c r="C97" s="887" t="s">
        <v>307</v>
      </c>
      <c r="D97" s="883">
        <f>ROUND(MCDO800!$L97*D$152,0)</f>
        <v>0</v>
      </c>
      <c r="E97" s="883">
        <f>ROUND(MCDO800!$L97*E$152,0)</f>
        <v>0</v>
      </c>
      <c r="F97" s="883">
        <f>ROUND(MCDO800!$L97*F$152,0)</f>
        <v>0</v>
      </c>
      <c r="G97" s="883">
        <f>ROUND(MCDO800!$L97*G$152,0)</f>
        <v>0</v>
      </c>
      <c r="H97" s="883">
        <f>ROUND(MCDO800!$L97*H$152,0)</f>
        <v>0</v>
      </c>
      <c r="I97" s="883">
        <f>ROUND(MCDO800!$L97*I$152,0)</f>
        <v>0</v>
      </c>
      <c r="J97" s="881">
        <f t="shared" si="17"/>
        <v>0</v>
      </c>
    </row>
    <row r="98" spans="1:10">
      <c r="C98" s="887" t="s">
        <v>624</v>
      </c>
      <c r="D98" s="883">
        <f>ROUND(MCDO800!$L98*D$152,0)</f>
        <v>0</v>
      </c>
      <c r="E98" s="883">
        <f>ROUND(MCDO800!$L98*E$152,0)</f>
        <v>0</v>
      </c>
      <c r="F98" s="883">
        <f>ROUND(MCDO800!$L98*F$152,0)</f>
        <v>0</v>
      </c>
      <c r="G98" s="883">
        <f>ROUND(MCDO800!$L98*G$152,0)</f>
        <v>0</v>
      </c>
      <c r="H98" s="883">
        <f>ROUND(MCDO800!$L98*H$152,0)</f>
        <v>0</v>
      </c>
      <c r="I98" s="883">
        <f>ROUND(MCDO800!$L98*I$152,0)</f>
        <v>0</v>
      </c>
      <c r="J98" s="881">
        <f t="shared" si="17"/>
        <v>0</v>
      </c>
    </row>
    <row r="99" spans="1:10">
      <c r="B99" s="48" t="s">
        <v>902</v>
      </c>
      <c r="C99" s="885" t="s">
        <v>900</v>
      </c>
      <c r="D99" s="881">
        <f>SUBTOTAL(9,D100:D105)</f>
        <v>286</v>
      </c>
      <c r="E99" s="881">
        <f t="shared" ref="E99:I99" si="22">SUBTOTAL(9,E100:E105)</f>
        <v>287</v>
      </c>
      <c r="F99" s="881">
        <f t="shared" si="22"/>
        <v>287</v>
      </c>
      <c r="G99" s="881">
        <f t="shared" si="22"/>
        <v>287</v>
      </c>
      <c r="H99" s="881">
        <f t="shared" si="22"/>
        <v>286</v>
      </c>
      <c r="I99" s="881">
        <f t="shared" si="22"/>
        <v>287</v>
      </c>
      <c r="J99" s="881">
        <f t="shared" si="17"/>
        <v>286.66666666666669</v>
      </c>
    </row>
    <row r="100" spans="1:10">
      <c r="C100" s="887" t="s">
        <v>304</v>
      </c>
      <c r="D100" s="883">
        <f>ROUND(MCDO800!$L100*D$152,0)</f>
        <v>262</v>
      </c>
      <c r="E100" s="883">
        <f>ROUND(MCDO800!$L100*E$152,0)</f>
        <v>263</v>
      </c>
      <c r="F100" s="883">
        <f>ROUND(MCDO800!$L100*F$152,0)</f>
        <v>263</v>
      </c>
      <c r="G100" s="883">
        <f>ROUND(MCDO800!$L100*G$152,0)</f>
        <v>263</v>
      </c>
      <c r="H100" s="883">
        <f>ROUND(MCDO800!$L100*H$152,0)</f>
        <v>262</v>
      </c>
      <c r="I100" s="883">
        <f>ROUND(MCDO800!$L100*I$152,0)</f>
        <v>263</v>
      </c>
      <c r="J100" s="881">
        <f t="shared" si="17"/>
        <v>262.66666666666669</v>
      </c>
    </row>
    <row r="101" spans="1:10">
      <c r="C101" s="889" t="s">
        <v>642</v>
      </c>
      <c r="D101" s="883">
        <f>ROUND(MCDO800!$L101*D$152,0)</f>
        <v>24</v>
      </c>
      <c r="E101" s="883">
        <f>ROUND(MCDO800!$L101*E$152,0)</f>
        <v>24</v>
      </c>
      <c r="F101" s="883">
        <f>ROUND(MCDO800!$L101*F$152,0)</f>
        <v>24</v>
      </c>
      <c r="G101" s="883">
        <f>ROUND(MCDO800!$L101*G$152,0)</f>
        <v>24</v>
      </c>
      <c r="H101" s="883">
        <f>ROUND(MCDO800!$L101*H$152,0)</f>
        <v>24</v>
      </c>
      <c r="I101" s="883">
        <f>ROUND(MCDO800!$L101*I$152,0)</f>
        <v>24</v>
      </c>
      <c r="J101" s="881">
        <f t="shared" si="17"/>
        <v>24</v>
      </c>
    </row>
    <row r="102" spans="1:10">
      <c r="C102" s="889" t="s">
        <v>1177</v>
      </c>
      <c r="D102" s="883">
        <f>ROUND(MCDO800!$L102*D$152,0)</f>
        <v>0</v>
      </c>
      <c r="E102" s="883">
        <f>ROUND(MCDO800!$L102*E$152,0)</f>
        <v>0</v>
      </c>
      <c r="F102" s="883">
        <f>ROUND(MCDO800!$L102*F$152,0)</f>
        <v>0</v>
      </c>
      <c r="G102" s="883">
        <f>ROUND(MCDO800!$L102*G$152,0)</f>
        <v>0</v>
      </c>
      <c r="H102" s="883">
        <f>ROUND(MCDO800!$L102*H$152,0)</f>
        <v>0</v>
      </c>
      <c r="I102" s="883">
        <f>ROUND(MCDO800!$L102*I$152,0)</f>
        <v>0</v>
      </c>
      <c r="J102" s="881">
        <f t="shared" si="17"/>
        <v>0</v>
      </c>
    </row>
    <row r="103" spans="1:10">
      <c r="C103" s="887" t="s">
        <v>305</v>
      </c>
      <c r="D103" s="883">
        <f>ROUND(MCDO800!$L103*D$152,0)</f>
        <v>0</v>
      </c>
      <c r="E103" s="883">
        <f>ROUND(MCDO800!$L103*E$152,0)</f>
        <v>0</v>
      </c>
      <c r="F103" s="883">
        <f>ROUND(MCDO800!$L103*F$152,0)</f>
        <v>0</v>
      </c>
      <c r="G103" s="883">
        <f>ROUND(MCDO800!$L103*G$152,0)</f>
        <v>0</v>
      </c>
      <c r="H103" s="883">
        <f>ROUND(MCDO800!$L103*H$152,0)</f>
        <v>0</v>
      </c>
      <c r="I103" s="883">
        <f>ROUND(MCDO800!$L103*I$152,0)</f>
        <v>0</v>
      </c>
      <c r="J103" s="881">
        <f t="shared" si="17"/>
        <v>0</v>
      </c>
    </row>
    <row r="104" spans="1:10">
      <c r="C104" s="887" t="s">
        <v>307</v>
      </c>
      <c r="D104" s="883">
        <f>ROUND(MCDO800!$L104*D$152,0)</f>
        <v>0</v>
      </c>
      <c r="E104" s="883">
        <f>ROUND(MCDO800!$L104*E$152,0)</f>
        <v>0</v>
      </c>
      <c r="F104" s="883">
        <f>ROUND(MCDO800!$L104*F$152,0)</f>
        <v>0</v>
      </c>
      <c r="G104" s="883">
        <f>ROUND(MCDO800!$L104*G$152,0)</f>
        <v>0</v>
      </c>
      <c r="H104" s="883">
        <f>ROUND(MCDO800!$L104*H$152,0)</f>
        <v>0</v>
      </c>
      <c r="I104" s="883">
        <f>ROUND(MCDO800!$L104*I$152,0)</f>
        <v>0</v>
      </c>
      <c r="J104" s="881">
        <f t="shared" si="17"/>
        <v>0</v>
      </c>
    </row>
    <row r="105" spans="1:10">
      <c r="C105" s="887" t="s">
        <v>624</v>
      </c>
      <c r="D105" s="883">
        <f>ROUND(MCDO800!$L105*D$152,0)</f>
        <v>0</v>
      </c>
      <c r="E105" s="883">
        <f>ROUND(MCDO800!$L105*E$152,0)</f>
        <v>0</v>
      </c>
      <c r="F105" s="883">
        <f>ROUND(MCDO800!$L105*F$152,0)</f>
        <v>0</v>
      </c>
      <c r="G105" s="883">
        <f>ROUND(MCDO800!$L105*G$152,0)</f>
        <v>0</v>
      </c>
      <c r="H105" s="883">
        <f>ROUND(MCDO800!$L105*H$152,0)</f>
        <v>0</v>
      </c>
      <c r="I105" s="883">
        <f>ROUND(MCDO800!$L105*I$152,0)</f>
        <v>0</v>
      </c>
      <c r="J105" s="881">
        <f t="shared" si="17"/>
        <v>0</v>
      </c>
    </row>
    <row r="106" spans="1:10">
      <c r="C106" s="884"/>
      <c r="D106" s="883"/>
      <c r="E106" s="883"/>
      <c r="F106" s="883"/>
      <c r="G106" s="883"/>
      <c r="H106" s="883"/>
      <c r="I106" s="883"/>
      <c r="J106" s="881"/>
    </row>
    <row r="107" spans="1:10">
      <c r="C107" s="880" t="s">
        <v>112</v>
      </c>
      <c r="D107" s="881">
        <f>SUBTOTAL(9,D5:D106)</f>
        <v>551009</v>
      </c>
      <c r="E107" s="881">
        <f t="shared" ref="E107:I107" si="23">SUBTOTAL(9,E5:E106)</f>
        <v>552053</v>
      </c>
      <c r="F107" s="881">
        <f t="shared" si="23"/>
        <v>551850</v>
      </c>
      <c r="G107" s="881">
        <f t="shared" si="23"/>
        <v>552122</v>
      </c>
      <c r="H107" s="881">
        <f t="shared" si="23"/>
        <v>550607</v>
      </c>
      <c r="I107" s="881">
        <f t="shared" si="23"/>
        <v>552421</v>
      </c>
      <c r="J107" s="881">
        <f t="shared" si="17"/>
        <v>551677</v>
      </c>
    </row>
    <row r="108" spans="1:10">
      <c r="E108" s="60"/>
      <c r="F108" s="60"/>
      <c r="G108" s="60"/>
      <c r="H108" s="60"/>
      <c r="I108" s="60"/>
    </row>
    <row r="109" spans="1:10">
      <c r="E109" s="60"/>
      <c r="F109" s="60"/>
      <c r="G109" s="60"/>
      <c r="H109" s="60"/>
      <c r="I109" s="60"/>
    </row>
    <row r="110" spans="1:10">
      <c r="E110" s="60"/>
      <c r="F110" s="60"/>
      <c r="G110" s="60"/>
      <c r="H110" s="60"/>
      <c r="I110" s="60"/>
    </row>
    <row r="111" spans="1:10" ht="14.25" thickBot="1"/>
    <row r="112" spans="1:10" ht="15.75" thickBot="1">
      <c r="A112" s="532"/>
      <c r="C112" s="1017" t="s">
        <v>362</v>
      </c>
      <c r="D112" s="1018"/>
      <c r="E112" s="1018"/>
      <c r="F112" s="1018"/>
      <c r="G112" s="1018"/>
      <c r="H112" s="1018"/>
      <c r="I112" s="1018"/>
      <c r="J112" s="1022" t="str">
        <f>J3</f>
        <v>P</v>
      </c>
    </row>
    <row r="113" spans="1:10">
      <c r="A113" s="56"/>
      <c r="C113" s="150" t="s">
        <v>310</v>
      </c>
      <c r="D113" s="1023">
        <f t="shared" ref="D113:I113" si="24">D4</f>
        <v>46204</v>
      </c>
      <c r="E113" s="1023">
        <f t="shared" si="24"/>
        <v>46235</v>
      </c>
      <c r="F113" s="1023">
        <f t="shared" si="24"/>
        <v>46266</v>
      </c>
      <c r="G113" s="1023">
        <f t="shared" si="24"/>
        <v>46296</v>
      </c>
      <c r="H113" s="1023">
        <f t="shared" si="24"/>
        <v>46327</v>
      </c>
      <c r="I113" s="1023">
        <f t="shared" si="24"/>
        <v>46357</v>
      </c>
      <c r="J113" s="1024" t="s">
        <v>154</v>
      </c>
    </row>
    <row r="114" spans="1:10" ht="15.75">
      <c r="A114" s="57"/>
      <c r="C114" s="965" t="s">
        <v>446</v>
      </c>
      <c r="D114" s="881">
        <f t="shared" ref="D114:J114" si="25">SUBTOTAL(9,D115:D121)</f>
        <v>2</v>
      </c>
      <c r="E114" s="881">
        <f t="shared" si="25"/>
        <v>2</v>
      </c>
      <c r="F114" s="881">
        <f t="shared" si="25"/>
        <v>2</v>
      </c>
      <c r="G114" s="881">
        <f t="shared" si="25"/>
        <v>2</v>
      </c>
      <c r="H114" s="881">
        <f t="shared" si="25"/>
        <v>2</v>
      </c>
      <c r="I114" s="881">
        <f t="shared" si="25"/>
        <v>2</v>
      </c>
      <c r="J114" s="881">
        <f t="shared" si="25"/>
        <v>2</v>
      </c>
    </row>
    <row r="115" spans="1:10">
      <c r="A115" s="57"/>
      <c r="B115" s="48" t="s">
        <v>870</v>
      </c>
      <c r="C115" s="882" t="s">
        <v>279</v>
      </c>
      <c r="D115" s="881">
        <f>SUBTOTAL(9,D116)</f>
        <v>1</v>
      </c>
      <c r="E115" s="881">
        <f t="shared" ref="E115:J115" si="26">SUBTOTAL(9,E116)</f>
        <v>1</v>
      </c>
      <c r="F115" s="881">
        <f t="shared" si="26"/>
        <v>1</v>
      </c>
      <c r="G115" s="881">
        <f t="shared" si="26"/>
        <v>1</v>
      </c>
      <c r="H115" s="881">
        <f t="shared" si="26"/>
        <v>1</v>
      </c>
      <c r="I115" s="881">
        <f t="shared" si="26"/>
        <v>1</v>
      </c>
      <c r="J115" s="881">
        <f t="shared" si="26"/>
        <v>1</v>
      </c>
    </row>
    <row r="116" spans="1:10">
      <c r="A116" s="57"/>
      <c r="B116" s="48"/>
      <c r="C116" s="887" t="s">
        <v>971</v>
      </c>
      <c r="D116" s="883">
        <f>F821C!I116</f>
        <v>1</v>
      </c>
      <c r="E116" s="883">
        <f>D116</f>
        <v>1</v>
      </c>
      <c r="F116" s="883">
        <f>E116</f>
        <v>1</v>
      </c>
      <c r="G116" s="883">
        <f>F116</f>
        <v>1</v>
      </c>
      <c r="H116" s="883">
        <f>G116</f>
        <v>1</v>
      </c>
      <c r="I116" s="883">
        <f>H116</f>
        <v>1</v>
      </c>
      <c r="J116" s="881">
        <f t="shared" ref="J116:J143" si="27">AVERAGE(D116:I116)</f>
        <v>1</v>
      </c>
    </row>
    <row r="117" spans="1:10">
      <c r="A117" s="57"/>
      <c r="B117" s="48" t="s">
        <v>871</v>
      </c>
      <c r="C117" s="882" t="s">
        <v>278</v>
      </c>
      <c r="D117" s="881">
        <f>SUBTOTAL(9,D118:D119)</f>
        <v>1</v>
      </c>
      <c r="E117" s="881">
        <f t="shared" ref="E117:J117" si="28">SUBTOTAL(9,E118:E119)</f>
        <v>1</v>
      </c>
      <c r="F117" s="881">
        <f t="shared" si="28"/>
        <v>1</v>
      </c>
      <c r="G117" s="881">
        <f t="shared" si="28"/>
        <v>1</v>
      </c>
      <c r="H117" s="881">
        <f t="shared" si="28"/>
        <v>1</v>
      </c>
      <c r="I117" s="881">
        <f t="shared" si="28"/>
        <v>1</v>
      </c>
      <c r="J117" s="881">
        <f t="shared" si="28"/>
        <v>1</v>
      </c>
    </row>
    <row r="118" spans="1:10">
      <c r="A118" s="57"/>
      <c r="B118" s="48"/>
      <c r="C118" s="887" t="s">
        <v>969</v>
      </c>
      <c r="D118" s="883">
        <f>F821C!I118</f>
        <v>0</v>
      </c>
      <c r="E118" s="883">
        <f t="shared" ref="E118:I120" si="29">D118</f>
        <v>0</v>
      </c>
      <c r="F118" s="883">
        <f t="shared" si="29"/>
        <v>0</v>
      </c>
      <c r="G118" s="883">
        <f t="shared" si="29"/>
        <v>0</v>
      </c>
      <c r="H118" s="883">
        <f t="shared" si="29"/>
        <v>0</v>
      </c>
      <c r="I118" s="883">
        <f t="shared" si="29"/>
        <v>0</v>
      </c>
      <c r="J118" s="881">
        <f t="shared" si="27"/>
        <v>0</v>
      </c>
    </row>
    <row r="119" spans="1:10">
      <c r="A119" s="57"/>
      <c r="B119" s="48"/>
      <c r="C119" s="887" t="s">
        <v>970</v>
      </c>
      <c r="D119" s="883">
        <f>F821C!I119</f>
        <v>1</v>
      </c>
      <c r="E119" s="883">
        <f t="shared" si="29"/>
        <v>1</v>
      </c>
      <c r="F119" s="883">
        <f t="shared" si="29"/>
        <v>1</v>
      </c>
      <c r="G119" s="883">
        <f t="shared" si="29"/>
        <v>1</v>
      </c>
      <c r="H119" s="883">
        <f t="shared" si="29"/>
        <v>1</v>
      </c>
      <c r="I119" s="883">
        <f t="shared" si="29"/>
        <v>1</v>
      </c>
      <c r="J119" s="881">
        <f t="shared" si="27"/>
        <v>1</v>
      </c>
    </row>
    <row r="120" spans="1:10">
      <c r="A120" s="57"/>
      <c r="B120" s="48" t="s">
        <v>893</v>
      </c>
      <c r="C120" s="882" t="s">
        <v>942</v>
      </c>
      <c r="D120" s="881">
        <f>F821C!I120</f>
        <v>0</v>
      </c>
      <c r="E120" s="881">
        <f t="shared" si="29"/>
        <v>0</v>
      </c>
      <c r="F120" s="881">
        <f t="shared" si="29"/>
        <v>0</v>
      </c>
      <c r="G120" s="881">
        <f t="shared" si="29"/>
        <v>0</v>
      </c>
      <c r="H120" s="881">
        <f t="shared" si="29"/>
        <v>0</v>
      </c>
      <c r="I120" s="881">
        <f t="shared" si="29"/>
        <v>0</v>
      </c>
      <c r="J120" s="881">
        <f t="shared" si="27"/>
        <v>0</v>
      </c>
    </row>
    <row r="121" spans="1:10">
      <c r="A121" s="57"/>
      <c r="B121" s="48"/>
      <c r="C121" s="887"/>
      <c r="D121" s="883"/>
      <c r="E121" s="883"/>
      <c r="F121" s="883"/>
      <c r="G121" s="883"/>
      <c r="H121" s="883"/>
      <c r="I121" s="883"/>
      <c r="J121" s="881"/>
    </row>
    <row r="122" spans="1:10" ht="15.75">
      <c r="A122" s="57"/>
      <c r="B122" s="48"/>
      <c r="C122" s="965" t="s">
        <v>630</v>
      </c>
      <c r="D122" s="881">
        <f t="shared" ref="D122:J122" si="30">SUBTOTAL(9,D123:D134)</f>
        <v>183</v>
      </c>
      <c r="E122" s="881">
        <f t="shared" si="30"/>
        <v>183</v>
      </c>
      <c r="F122" s="881">
        <f t="shared" si="30"/>
        <v>183</v>
      </c>
      <c r="G122" s="881">
        <f t="shared" si="30"/>
        <v>183</v>
      </c>
      <c r="H122" s="881">
        <f t="shared" si="30"/>
        <v>183</v>
      </c>
      <c r="I122" s="881">
        <f t="shared" si="30"/>
        <v>183</v>
      </c>
      <c r="J122" s="881">
        <f t="shared" si="30"/>
        <v>183</v>
      </c>
    </row>
    <row r="123" spans="1:10">
      <c r="A123" s="57"/>
      <c r="B123" s="48" t="s">
        <v>872</v>
      </c>
      <c r="C123" s="882" t="s">
        <v>277</v>
      </c>
      <c r="D123" s="881">
        <f>SUBTOTAL(9,D124:D126)</f>
        <v>31</v>
      </c>
      <c r="E123" s="881">
        <f t="shared" ref="E123:J123" si="31">SUBTOTAL(9,E124:E126)</f>
        <v>31</v>
      </c>
      <c r="F123" s="881">
        <f t="shared" si="31"/>
        <v>31</v>
      </c>
      <c r="G123" s="881">
        <f t="shared" si="31"/>
        <v>31</v>
      </c>
      <c r="H123" s="881">
        <f t="shared" si="31"/>
        <v>31</v>
      </c>
      <c r="I123" s="881">
        <f t="shared" si="31"/>
        <v>31</v>
      </c>
      <c r="J123" s="881">
        <f t="shared" si="31"/>
        <v>31</v>
      </c>
    </row>
    <row r="124" spans="1:10">
      <c r="A124" s="57"/>
      <c r="B124" s="48"/>
      <c r="C124" s="887" t="s">
        <v>972</v>
      </c>
      <c r="D124" s="883">
        <f>F821C!I124</f>
        <v>31</v>
      </c>
      <c r="E124" s="883">
        <f t="shared" ref="E124:I126" si="32">D124</f>
        <v>31</v>
      </c>
      <c r="F124" s="883">
        <f t="shared" si="32"/>
        <v>31</v>
      </c>
      <c r="G124" s="883">
        <f t="shared" si="32"/>
        <v>31</v>
      </c>
      <c r="H124" s="883">
        <f t="shared" si="32"/>
        <v>31</v>
      </c>
      <c r="I124" s="883">
        <f t="shared" si="32"/>
        <v>31</v>
      </c>
      <c r="J124" s="881">
        <f t="shared" si="27"/>
        <v>31</v>
      </c>
    </row>
    <row r="125" spans="1:10">
      <c r="A125" s="57"/>
      <c r="B125" s="48"/>
      <c r="C125" s="887" t="s">
        <v>973</v>
      </c>
      <c r="D125" s="883">
        <f>F821C!I125</f>
        <v>0</v>
      </c>
      <c r="E125" s="883">
        <f t="shared" si="32"/>
        <v>0</v>
      </c>
      <c r="F125" s="883">
        <f t="shared" si="32"/>
        <v>0</v>
      </c>
      <c r="G125" s="883">
        <f t="shared" si="32"/>
        <v>0</v>
      </c>
      <c r="H125" s="883">
        <f t="shared" si="32"/>
        <v>0</v>
      </c>
      <c r="I125" s="883">
        <f t="shared" si="32"/>
        <v>0</v>
      </c>
      <c r="J125" s="881">
        <f t="shared" si="27"/>
        <v>0</v>
      </c>
    </row>
    <row r="126" spans="1:10">
      <c r="A126" s="57"/>
      <c r="B126" s="48"/>
      <c r="C126" s="887" t="s">
        <v>1010</v>
      </c>
      <c r="D126" s="883">
        <f>F821C!I126</f>
        <v>0</v>
      </c>
      <c r="E126" s="883">
        <f t="shared" si="32"/>
        <v>0</v>
      </c>
      <c r="F126" s="883">
        <f t="shared" si="32"/>
        <v>0</v>
      </c>
      <c r="G126" s="883">
        <f t="shared" si="32"/>
        <v>0</v>
      </c>
      <c r="H126" s="883">
        <f t="shared" si="32"/>
        <v>0</v>
      </c>
      <c r="I126" s="883">
        <f t="shared" si="32"/>
        <v>0</v>
      </c>
      <c r="J126" s="881">
        <f t="shared" si="27"/>
        <v>0</v>
      </c>
    </row>
    <row r="127" spans="1:10">
      <c r="A127" s="57"/>
      <c r="B127" s="48"/>
      <c r="C127" s="887"/>
      <c r="D127" s="883"/>
      <c r="E127" s="883"/>
      <c r="F127" s="883"/>
      <c r="G127" s="883"/>
      <c r="H127" s="883"/>
      <c r="I127" s="883"/>
      <c r="J127" s="881"/>
    </row>
    <row r="128" spans="1:10">
      <c r="A128" s="57"/>
      <c r="B128" s="48" t="s">
        <v>873</v>
      </c>
      <c r="C128" s="882" t="s">
        <v>276</v>
      </c>
      <c r="D128" s="881">
        <f>SUBTOTAL(9,D129:D134)</f>
        <v>152</v>
      </c>
      <c r="E128" s="881">
        <f t="shared" ref="E128:J128" si="33">SUBTOTAL(9,E129:E134)</f>
        <v>152</v>
      </c>
      <c r="F128" s="881">
        <f t="shared" si="33"/>
        <v>152</v>
      </c>
      <c r="G128" s="881">
        <f t="shared" si="33"/>
        <v>152</v>
      </c>
      <c r="H128" s="881">
        <f t="shared" si="33"/>
        <v>152</v>
      </c>
      <c r="I128" s="881">
        <f t="shared" si="33"/>
        <v>152</v>
      </c>
      <c r="J128" s="881">
        <f t="shared" si="33"/>
        <v>152</v>
      </c>
    </row>
    <row r="129" spans="1:10">
      <c r="A129" s="57"/>
      <c r="B129" s="48"/>
      <c r="C129" s="887" t="s">
        <v>969</v>
      </c>
      <c r="D129" s="883">
        <f>F821C!I129</f>
        <v>0</v>
      </c>
      <c r="E129" s="883">
        <f t="shared" ref="E129:I133" si="34">D129</f>
        <v>0</v>
      </c>
      <c r="F129" s="883">
        <f t="shared" si="34"/>
        <v>0</v>
      </c>
      <c r="G129" s="883">
        <f t="shared" si="34"/>
        <v>0</v>
      </c>
      <c r="H129" s="883">
        <f t="shared" si="34"/>
        <v>0</v>
      </c>
      <c r="I129" s="883">
        <f t="shared" si="34"/>
        <v>0</v>
      </c>
      <c r="J129" s="881">
        <f t="shared" si="27"/>
        <v>0</v>
      </c>
    </row>
    <row r="130" spans="1:10">
      <c r="A130" s="57"/>
      <c r="B130" s="48"/>
      <c r="C130" s="887" t="s">
        <v>970</v>
      </c>
      <c r="D130" s="883">
        <f>F821C!I130</f>
        <v>152</v>
      </c>
      <c r="E130" s="883">
        <f t="shared" si="34"/>
        <v>152</v>
      </c>
      <c r="F130" s="883">
        <f t="shared" si="34"/>
        <v>152</v>
      </c>
      <c r="G130" s="883">
        <f t="shared" si="34"/>
        <v>152</v>
      </c>
      <c r="H130" s="883">
        <f t="shared" si="34"/>
        <v>152</v>
      </c>
      <c r="I130" s="883">
        <f t="shared" si="34"/>
        <v>152</v>
      </c>
      <c r="J130" s="881">
        <f t="shared" si="27"/>
        <v>152</v>
      </c>
    </row>
    <row r="131" spans="1:10">
      <c r="A131" s="57"/>
      <c r="B131" s="48"/>
      <c r="C131" s="887" t="s">
        <v>1011</v>
      </c>
      <c r="D131" s="883">
        <f>F821C!I131</f>
        <v>0</v>
      </c>
      <c r="E131" s="883">
        <f t="shared" si="34"/>
        <v>0</v>
      </c>
      <c r="F131" s="883">
        <f t="shared" si="34"/>
        <v>0</v>
      </c>
      <c r="G131" s="883">
        <f t="shared" si="34"/>
        <v>0</v>
      </c>
      <c r="H131" s="883">
        <f t="shared" si="34"/>
        <v>0</v>
      </c>
      <c r="I131" s="883">
        <f t="shared" si="34"/>
        <v>0</v>
      </c>
      <c r="J131" s="881">
        <f t="shared" si="27"/>
        <v>0</v>
      </c>
    </row>
    <row r="132" spans="1:10">
      <c r="A132" s="57"/>
      <c r="B132" s="48"/>
      <c r="C132" s="887" t="s">
        <v>1012</v>
      </c>
      <c r="D132" s="883">
        <f>F821C!I132</f>
        <v>0</v>
      </c>
      <c r="E132" s="883">
        <f t="shared" si="34"/>
        <v>0</v>
      </c>
      <c r="F132" s="883">
        <f t="shared" si="34"/>
        <v>0</v>
      </c>
      <c r="G132" s="883">
        <f t="shared" si="34"/>
        <v>0</v>
      </c>
      <c r="H132" s="883">
        <f t="shared" si="34"/>
        <v>0</v>
      </c>
      <c r="I132" s="883">
        <f t="shared" si="34"/>
        <v>0</v>
      </c>
      <c r="J132" s="881">
        <f t="shared" si="27"/>
        <v>0</v>
      </c>
    </row>
    <row r="133" spans="1:10">
      <c r="A133" s="57"/>
      <c r="B133" s="48"/>
      <c r="C133" s="887" t="s">
        <v>1108</v>
      </c>
      <c r="D133" s="883">
        <f>F821C!I133</f>
        <v>0</v>
      </c>
      <c r="E133" s="883">
        <f t="shared" si="34"/>
        <v>0</v>
      </c>
      <c r="F133" s="883">
        <f t="shared" si="34"/>
        <v>0</v>
      </c>
      <c r="G133" s="883">
        <f t="shared" si="34"/>
        <v>0</v>
      </c>
      <c r="H133" s="883">
        <f t="shared" si="34"/>
        <v>0</v>
      </c>
      <c r="I133" s="883">
        <f t="shared" si="34"/>
        <v>0</v>
      </c>
      <c r="J133" s="881">
        <f>AVERAGE(D133:I133)</f>
        <v>0</v>
      </c>
    </row>
    <row r="134" spans="1:10">
      <c r="A134" s="57"/>
      <c r="B134" s="48"/>
      <c r="C134" s="887"/>
      <c r="D134" s="883"/>
      <c r="E134" s="883"/>
      <c r="F134" s="883"/>
      <c r="G134" s="883"/>
      <c r="H134" s="883"/>
      <c r="I134" s="883"/>
      <c r="J134" s="881"/>
    </row>
    <row r="135" spans="1:10" ht="15.75">
      <c r="A135" s="57"/>
      <c r="B135" s="48"/>
      <c r="C135" s="965" t="s">
        <v>443</v>
      </c>
      <c r="D135" s="881">
        <f>SUBTOTAL(9,D136:D145)</f>
        <v>112</v>
      </c>
      <c r="E135" s="881">
        <f t="shared" ref="E135:J135" si="35">SUBTOTAL(9,E136:E145)</f>
        <v>112</v>
      </c>
      <c r="F135" s="881">
        <f t="shared" si="35"/>
        <v>112</v>
      </c>
      <c r="G135" s="881">
        <f t="shared" si="35"/>
        <v>112</v>
      </c>
      <c r="H135" s="881">
        <f t="shared" si="35"/>
        <v>112</v>
      </c>
      <c r="I135" s="881">
        <f t="shared" si="35"/>
        <v>112</v>
      </c>
      <c r="J135" s="881">
        <f t="shared" si="35"/>
        <v>112</v>
      </c>
    </row>
    <row r="136" spans="1:10">
      <c r="A136" s="57"/>
      <c r="B136" s="48" t="s">
        <v>874</v>
      </c>
      <c r="C136" s="882" t="s">
        <v>275</v>
      </c>
      <c r="D136" s="881">
        <f>SUBTOTAL(9,D137)</f>
        <v>3</v>
      </c>
      <c r="E136" s="881">
        <f t="shared" ref="E136:J136" si="36">SUBTOTAL(9,E137)</f>
        <v>3</v>
      </c>
      <c r="F136" s="881">
        <f t="shared" si="36"/>
        <v>3</v>
      </c>
      <c r="G136" s="881">
        <f t="shared" si="36"/>
        <v>3</v>
      </c>
      <c r="H136" s="881">
        <f t="shared" si="36"/>
        <v>3</v>
      </c>
      <c r="I136" s="881">
        <f t="shared" si="36"/>
        <v>3</v>
      </c>
      <c r="J136" s="881">
        <f t="shared" si="36"/>
        <v>3</v>
      </c>
    </row>
    <row r="137" spans="1:10">
      <c r="A137" s="57"/>
      <c r="B137" s="48"/>
      <c r="C137" s="887" t="s">
        <v>972</v>
      </c>
      <c r="D137" s="883">
        <f>F821C!I137</f>
        <v>3</v>
      </c>
      <c r="E137" s="883">
        <f>D137</f>
        <v>3</v>
      </c>
      <c r="F137" s="883">
        <f>E137</f>
        <v>3</v>
      </c>
      <c r="G137" s="883">
        <f>F137</f>
        <v>3</v>
      </c>
      <c r="H137" s="883">
        <f>G137</f>
        <v>3</v>
      </c>
      <c r="I137" s="883">
        <f>H137</f>
        <v>3</v>
      </c>
      <c r="J137" s="881">
        <f t="shared" si="27"/>
        <v>3</v>
      </c>
    </row>
    <row r="138" spans="1:10">
      <c r="A138" s="57"/>
      <c r="B138" s="48"/>
      <c r="C138" s="887"/>
      <c r="D138" s="883"/>
      <c r="E138" s="883"/>
      <c r="F138" s="883"/>
      <c r="G138" s="883"/>
      <c r="H138" s="883"/>
      <c r="I138" s="883"/>
      <c r="J138" s="881"/>
    </row>
    <row r="139" spans="1:10">
      <c r="A139" s="57"/>
      <c r="B139" s="48" t="s">
        <v>875</v>
      </c>
      <c r="C139" s="882" t="s">
        <v>274</v>
      </c>
      <c r="D139" s="881">
        <f>SUBTOTAL(9,D140:D145)</f>
        <v>109</v>
      </c>
      <c r="E139" s="881">
        <f t="shared" ref="E139:J139" si="37">SUBTOTAL(9,E140:E145)</f>
        <v>109</v>
      </c>
      <c r="F139" s="881">
        <f t="shared" si="37"/>
        <v>109</v>
      </c>
      <c r="G139" s="881">
        <f t="shared" si="37"/>
        <v>109</v>
      </c>
      <c r="H139" s="881">
        <f t="shared" si="37"/>
        <v>109</v>
      </c>
      <c r="I139" s="881">
        <f t="shared" si="37"/>
        <v>109</v>
      </c>
      <c r="J139" s="881">
        <f t="shared" si="37"/>
        <v>109</v>
      </c>
    </row>
    <row r="140" spans="1:10">
      <c r="A140" s="57"/>
      <c r="B140" s="58"/>
      <c r="C140" s="887" t="s">
        <v>969</v>
      </c>
      <c r="D140" s="883">
        <f>F821C!I140</f>
        <v>1</v>
      </c>
      <c r="E140" s="883">
        <f t="shared" ref="E140:I144" si="38">D140</f>
        <v>1</v>
      </c>
      <c r="F140" s="883">
        <f t="shared" si="38"/>
        <v>1</v>
      </c>
      <c r="G140" s="883">
        <f t="shared" si="38"/>
        <v>1</v>
      </c>
      <c r="H140" s="883">
        <f t="shared" si="38"/>
        <v>1</v>
      </c>
      <c r="I140" s="883">
        <f t="shared" si="38"/>
        <v>1</v>
      </c>
      <c r="J140" s="881">
        <f t="shared" si="27"/>
        <v>1</v>
      </c>
    </row>
    <row r="141" spans="1:10">
      <c r="A141" s="57"/>
      <c r="B141" s="58"/>
      <c r="C141" s="887" t="s">
        <v>970</v>
      </c>
      <c r="D141" s="883">
        <f>F821C!I141</f>
        <v>108</v>
      </c>
      <c r="E141" s="883">
        <f t="shared" si="38"/>
        <v>108</v>
      </c>
      <c r="F141" s="883">
        <f t="shared" si="38"/>
        <v>108</v>
      </c>
      <c r="G141" s="883">
        <f t="shared" si="38"/>
        <v>108</v>
      </c>
      <c r="H141" s="883">
        <f t="shared" si="38"/>
        <v>108</v>
      </c>
      <c r="I141" s="883">
        <f t="shared" si="38"/>
        <v>108</v>
      </c>
      <c r="J141" s="881">
        <f t="shared" si="27"/>
        <v>108</v>
      </c>
    </row>
    <row r="142" spans="1:10">
      <c r="A142" s="57"/>
      <c r="B142" s="58"/>
      <c r="C142" s="887" t="s">
        <v>1011</v>
      </c>
      <c r="D142" s="883">
        <f>F821C!I142</f>
        <v>0</v>
      </c>
      <c r="E142" s="883">
        <f t="shared" si="38"/>
        <v>0</v>
      </c>
      <c r="F142" s="883">
        <f t="shared" si="38"/>
        <v>0</v>
      </c>
      <c r="G142" s="883">
        <f t="shared" si="38"/>
        <v>0</v>
      </c>
      <c r="H142" s="883">
        <f t="shared" si="38"/>
        <v>0</v>
      </c>
      <c r="I142" s="883">
        <f t="shared" si="38"/>
        <v>0</v>
      </c>
      <c r="J142" s="881">
        <f t="shared" si="27"/>
        <v>0</v>
      </c>
    </row>
    <row r="143" spans="1:10">
      <c r="A143" s="57"/>
      <c r="B143" s="58"/>
      <c r="C143" s="887" t="s">
        <v>1012</v>
      </c>
      <c r="D143" s="883">
        <f>F821C!I143</f>
        <v>0</v>
      </c>
      <c r="E143" s="883">
        <f t="shared" si="38"/>
        <v>0</v>
      </c>
      <c r="F143" s="883">
        <f t="shared" si="38"/>
        <v>0</v>
      </c>
      <c r="G143" s="883">
        <f t="shared" si="38"/>
        <v>0</v>
      </c>
      <c r="H143" s="883">
        <f t="shared" si="38"/>
        <v>0</v>
      </c>
      <c r="I143" s="883">
        <f t="shared" si="38"/>
        <v>0</v>
      </c>
      <c r="J143" s="881">
        <f t="shared" si="27"/>
        <v>0</v>
      </c>
    </row>
    <row r="144" spans="1:10">
      <c r="A144" s="57"/>
      <c r="B144" s="58"/>
      <c r="C144" s="887" t="s">
        <v>1108</v>
      </c>
      <c r="D144" s="883">
        <f>F821C!I144</f>
        <v>0</v>
      </c>
      <c r="E144" s="883">
        <f t="shared" si="38"/>
        <v>0</v>
      </c>
      <c r="F144" s="883">
        <f t="shared" si="38"/>
        <v>0</v>
      </c>
      <c r="G144" s="883">
        <f t="shared" si="38"/>
        <v>0</v>
      </c>
      <c r="H144" s="883">
        <f t="shared" si="38"/>
        <v>0</v>
      </c>
      <c r="I144" s="883">
        <f t="shared" si="38"/>
        <v>0</v>
      </c>
      <c r="J144" s="881">
        <f>AVERAGE(D144:I144)</f>
        <v>0</v>
      </c>
    </row>
    <row r="145" spans="1:10">
      <c r="A145" s="57"/>
      <c r="B145" s="58"/>
      <c r="C145" s="887"/>
      <c r="D145" s="883"/>
      <c r="E145" s="883"/>
      <c r="F145" s="883"/>
      <c r="G145" s="883"/>
      <c r="H145" s="883"/>
      <c r="I145" s="883"/>
      <c r="J145" s="881"/>
    </row>
    <row r="146" spans="1:10">
      <c r="A146" s="57"/>
      <c r="B146" s="58"/>
      <c r="C146" s="880" t="s">
        <v>112</v>
      </c>
      <c r="D146" s="881">
        <f t="shared" ref="D146:J146" si="39">SUBTOTAL(9,D114:D145)</f>
        <v>297</v>
      </c>
      <c r="E146" s="881">
        <f t="shared" si="39"/>
        <v>297</v>
      </c>
      <c r="F146" s="881">
        <f t="shared" si="39"/>
        <v>297</v>
      </c>
      <c r="G146" s="881">
        <f t="shared" si="39"/>
        <v>297</v>
      </c>
      <c r="H146" s="881">
        <f t="shared" si="39"/>
        <v>297</v>
      </c>
      <c r="I146" s="881">
        <f t="shared" si="39"/>
        <v>297</v>
      </c>
      <c r="J146" s="881">
        <f t="shared" si="39"/>
        <v>297</v>
      </c>
    </row>
    <row r="147" spans="1:10">
      <c r="B147" s="58"/>
      <c r="E147" s="60"/>
    </row>
    <row r="148" spans="1:10">
      <c r="E148" s="60"/>
    </row>
    <row r="149" spans="1:10">
      <c r="E149" s="60"/>
    </row>
    <row r="150" spans="1:10">
      <c r="C150" s="52" t="str">
        <f>'PORTADA PORTADA PORTADA'!$B$23</f>
        <v>1 DE JULIO DE 2026</v>
      </c>
    </row>
    <row r="151" spans="1:10">
      <c r="J151" s="533">
        <v>1.026</v>
      </c>
    </row>
    <row r="152" spans="1:10" ht="12" customHeight="1">
      <c r="C152" s="526" t="s">
        <v>931</v>
      </c>
      <c r="D152" s="534">
        <f t="shared" ref="D152:I152" si="40">ROUND(D153*$J$151,0)</f>
        <v>551007</v>
      </c>
      <c r="E152" s="534">
        <f t="shared" si="40"/>
        <v>552050</v>
      </c>
      <c r="F152" s="534">
        <f t="shared" si="40"/>
        <v>551848</v>
      </c>
      <c r="G152" s="534">
        <f t="shared" si="40"/>
        <v>552120</v>
      </c>
      <c r="H152" s="534">
        <f t="shared" si="40"/>
        <v>550604</v>
      </c>
      <c r="I152" s="534">
        <f t="shared" si="40"/>
        <v>552419</v>
      </c>
      <c r="J152" s="520">
        <f>AVERAGE(D152:I152)</f>
        <v>551674.66666666663</v>
      </c>
    </row>
    <row r="153" spans="1:10">
      <c r="C153" s="37" t="s">
        <v>930</v>
      </c>
      <c r="D153" s="60">
        <f>F821C!D107</f>
        <v>537044</v>
      </c>
      <c r="E153" s="60">
        <f>F821C!E107</f>
        <v>538060</v>
      </c>
      <c r="F153" s="60">
        <f>F821C!F107</f>
        <v>537864</v>
      </c>
      <c r="G153" s="60">
        <f>F821C!G107</f>
        <v>538129</v>
      </c>
      <c r="H153" s="60">
        <f>F821C!H107</f>
        <v>536651</v>
      </c>
      <c r="I153" s="60">
        <f>F821C!I107</f>
        <v>538420</v>
      </c>
      <c r="J153" s="520">
        <f>AVERAGE(D153:I153)</f>
        <v>537694.66666666663</v>
      </c>
    </row>
    <row r="154" spans="1:10">
      <c r="C154" s="526"/>
      <c r="D154" s="534">
        <f t="shared" ref="D154:I154" si="41">D152-D153</f>
        <v>13963</v>
      </c>
      <c r="E154" s="534">
        <f t="shared" si="41"/>
        <v>13990</v>
      </c>
      <c r="F154" s="534">
        <f t="shared" si="41"/>
        <v>13984</v>
      </c>
      <c r="G154" s="534">
        <f t="shared" si="41"/>
        <v>13991</v>
      </c>
      <c r="H154" s="534">
        <f t="shared" si="41"/>
        <v>13953</v>
      </c>
      <c r="I154" s="534">
        <f t="shared" si="41"/>
        <v>13999</v>
      </c>
      <c r="J154" s="523">
        <f>J152-J153</f>
        <v>13980</v>
      </c>
    </row>
    <row r="155" spans="1:10">
      <c r="C155" s="526"/>
      <c r="D155" s="535">
        <f t="shared" ref="D155:J155" si="42">D152/D153-1</f>
        <v>2.5999731865545384E-2</v>
      </c>
      <c r="E155" s="535">
        <f t="shared" si="42"/>
        <v>2.6000817752666938E-2</v>
      </c>
      <c r="F155" s="535">
        <f t="shared" si="42"/>
        <v>2.5999137328395205E-2</v>
      </c>
      <c r="G155" s="535">
        <f t="shared" si="42"/>
        <v>2.5999342165168526E-2</v>
      </c>
      <c r="H155" s="535">
        <f t="shared" si="42"/>
        <v>2.6000137892224107E-2</v>
      </c>
      <c r="I155" s="535">
        <f t="shared" si="42"/>
        <v>2.6000148582890681E-2</v>
      </c>
      <c r="J155" s="536">
        <f t="shared" si="42"/>
        <v>2.5999885932784572E-2</v>
      </c>
    </row>
    <row r="156" spans="1:10">
      <c r="D156" s="537"/>
      <c r="E156" s="537"/>
      <c r="F156" s="537"/>
      <c r="G156" s="537"/>
      <c r="H156" s="537"/>
      <c r="I156" s="537"/>
      <c r="J156" s="536"/>
    </row>
    <row r="180" spans="2:10" s="63" customFormat="1" ht="15">
      <c r="B180" s="48" t="s">
        <v>902</v>
      </c>
      <c r="D180" s="64">
        <f t="shared" ref="D180:I189" si="43">SUMIF($B$4:$B$146,$B180,D$4:D$146)</f>
        <v>82839</v>
      </c>
      <c r="E180" s="64">
        <f t="shared" si="43"/>
        <v>82995</v>
      </c>
      <c r="F180" s="64">
        <f t="shared" si="43"/>
        <v>82965</v>
      </c>
      <c r="G180" s="64">
        <f t="shared" si="43"/>
        <v>83005</v>
      </c>
      <c r="H180" s="64">
        <f t="shared" si="43"/>
        <v>82778</v>
      </c>
      <c r="I180" s="64">
        <f t="shared" si="43"/>
        <v>83052</v>
      </c>
      <c r="J180" s="65">
        <f t="shared" ref="J180:J198" si="44">AVERAGE(D180:I180)</f>
        <v>82939</v>
      </c>
    </row>
    <row r="181" spans="2:10" s="63" customFormat="1" ht="15">
      <c r="B181" s="48" t="s">
        <v>751</v>
      </c>
      <c r="D181" s="64">
        <f t="shared" si="43"/>
        <v>316854</v>
      </c>
      <c r="E181" s="64">
        <f t="shared" si="43"/>
        <v>317454</v>
      </c>
      <c r="F181" s="64">
        <f t="shared" si="43"/>
        <v>317338</v>
      </c>
      <c r="G181" s="64">
        <f t="shared" si="43"/>
        <v>317495</v>
      </c>
      <c r="H181" s="64">
        <f t="shared" si="43"/>
        <v>316622</v>
      </c>
      <c r="I181" s="64">
        <f t="shared" si="43"/>
        <v>317666</v>
      </c>
      <c r="J181" s="65">
        <f t="shared" si="44"/>
        <v>317238.16666666669</v>
      </c>
    </row>
    <row r="182" spans="2:10" s="63" customFormat="1" ht="15">
      <c r="B182" s="48" t="s">
        <v>750</v>
      </c>
      <c r="D182" s="64">
        <f t="shared" si="43"/>
        <v>111860</v>
      </c>
      <c r="E182" s="64">
        <f t="shared" si="43"/>
        <v>112072</v>
      </c>
      <c r="F182" s="64">
        <f t="shared" si="43"/>
        <v>112030</v>
      </c>
      <c r="G182" s="64">
        <f t="shared" si="43"/>
        <v>112086</v>
      </c>
      <c r="H182" s="64">
        <f t="shared" si="43"/>
        <v>111778</v>
      </c>
      <c r="I182" s="64">
        <f t="shared" si="43"/>
        <v>112146</v>
      </c>
      <c r="J182" s="65">
        <f t="shared" si="44"/>
        <v>111995.33333333333</v>
      </c>
    </row>
    <row r="183" spans="2:10" s="63" customFormat="1" ht="15">
      <c r="B183" s="48" t="s">
        <v>749</v>
      </c>
      <c r="D183" s="64">
        <f t="shared" si="43"/>
        <v>33378</v>
      </c>
      <c r="E183" s="64">
        <f t="shared" si="43"/>
        <v>33442</v>
      </c>
      <c r="F183" s="64">
        <f t="shared" si="43"/>
        <v>33430</v>
      </c>
      <c r="G183" s="64">
        <f t="shared" si="43"/>
        <v>33446</v>
      </c>
      <c r="H183" s="64">
        <f t="shared" si="43"/>
        <v>33354</v>
      </c>
      <c r="I183" s="64">
        <f t="shared" si="43"/>
        <v>33464</v>
      </c>
      <c r="J183" s="65">
        <f t="shared" si="44"/>
        <v>33419</v>
      </c>
    </row>
    <row r="184" spans="2:10" s="63" customFormat="1" ht="15">
      <c r="B184" s="48" t="s">
        <v>1176</v>
      </c>
      <c r="D184" s="64">
        <f t="shared" si="43"/>
        <v>1</v>
      </c>
      <c r="E184" s="64">
        <f t="shared" si="43"/>
        <v>1</v>
      </c>
      <c r="F184" s="64">
        <f t="shared" si="43"/>
        <v>1</v>
      </c>
      <c r="G184" s="64">
        <f t="shared" si="43"/>
        <v>1</v>
      </c>
      <c r="H184" s="64">
        <f t="shared" si="43"/>
        <v>1</v>
      </c>
      <c r="I184" s="64">
        <f t="shared" si="43"/>
        <v>1</v>
      </c>
      <c r="J184" s="65">
        <f t="shared" si="44"/>
        <v>1</v>
      </c>
    </row>
    <row r="185" spans="2:10" s="63" customFormat="1" ht="15">
      <c r="B185" s="48" t="s">
        <v>274</v>
      </c>
      <c r="D185" s="64">
        <f t="shared" si="43"/>
        <v>5539</v>
      </c>
      <c r="E185" s="64">
        <f t="shared" si="43"/>
        <v>5550</v>
      </c>
      <c r="F185" s="64">
        <f t="shared" si="43"/>
        <v>5547</v>
      </c>
      <c r="G185" s="64">
        <f t="shared" si="43"/>
        <v>5550</v>
      </c>
      <c r="H185" s="64">
        <f t="shared" si="43"/>
        <v>5536</v>
      </c>
      <c r="I185" s="64">
        <f t="shared" si="43"/>
        <v>5553</v>
      </c>
      <c r="J185" s="65">
        <f t="shared" si="44"/>
        <v>5545.833333333333</v>
      </c>
    </row>
    <row r="186" spans="2:10" s="63" customFormat="1" ht="15">
      <c r="B186" s="48" t="s">
        <v>275</v>
      </c>
      <c r="D186" s="64">
        <f t="shared" si="43"/>
        <v>92</v>
      </c>
      <c r="E186" s="64">
        <f t="shared" si="43"/>
        <v>92</v>
      </c>
      <c r="F186" s="64">
        <f t="shared" si="43"/>
        <v>92</v>
      </c>
      <c r="G186" s="64">
        <f t="shared" si="43"/>
        <v>92</v>
      </c>
      <c r="H186" s="64">
        <f t="shared" si="43"/>
        <v>92</v>
      </c>
      <c r="I186" s="64">
        <f t="shared" si="43"/>
        <v>92</v>
      </c>
      <c r="J186" s="65">
        <f t="shared" si="44"/>
        <v>92</v>
      </c>
    </row>
    <row r="187" spans="2:10" s="63" customFormat="1" ht="15">
      <c r="B187" s="48" t="s">
        <v>276</v>
      </c>
      <c r="D187" s="64">
        <f t="shared" si="43"/>
        <v>416</v>
      </c>
      <c r="E187" s="64">
        <f t="shared" si="43"/>
        <v>417</v>
      </c>
      <c r="F187" s="64">
        <f t="shared" si="43"/>
        <v>417</v>
      </c>
      <c r="G187" s="64">
        <f t="shared" si="43"/>
        <v>417</v>
      </c>
      <c r="H187" s="64">
        <f t="shared" si="43"/>
        <v>416</v>
      </c>
      <c r="I187" s="64">
        <f t="shared" si="43"/>
        <v>417</v>
      </c>
      <c r="J187" s="65">
        <f t="shared" si="44"/>
        <v>416.66666666666669</v>
      </c>
    </row>
    <row r="188" spans="2:10" s="63" customFormat="1" ht="15">
      <c r="B188" s="48" t="s">
        <v>277</v>
      </c>
      <c r="D188" s="64">
        <f t="shared" si="43"/>
        <v>26</v>
      </c>
      <c r="E188" s="64">
        <f t="shared" si="43"/>
        <v>26</v>
      </c>
      <c r="F188" s="64">
        <f t="shared" si="43"/>
        <v>26</v>
      </c>
      <c r="G188" s="64">
        <f t="shared" si="43"/>
        <v>26</v>
      </c>
      <c r="H188" s="64">
        <f t="shared" si="43"/>
        <v>26</v>
      </c>
      <c r="I188" s="64">
        <f t="shared" si="43"/>
        <v>26</v>
      </c>
      <c r="J188" s="65">
        <f t="shared" si="44"/>
        <v>26</v>
      </c>
    </row>
    <row r="189" spans="2:10" s="63" customFormat="1" ht="15">
      <c r="B189" s="48" t="s">
        <v>278</v>
      </c>
      <c r="D189" s="64">
        <f t="shared" si="43"/>
        <v>1</v>
      </c>
      <c r="E189" s="64">
        <f t="shared" si="43"/>
        <v>1</v>
      </c>
      <c r="F189" s="64">
        <f t="shared" si="43"/>
        <v>1</v>
      </c>
      <c r="G189" s="64">
        <f t="shared" si="43"/>
        <v>1</v>
      </c>
      <c r="H189" s="64">
        <f t="shared" si="43"/>
        <v>1</v>
      </c>
      <c r="I189" s="64">
        <f t="shared" si="43"/>
        <v>1</v>
      </c>
      <c r="J189" s="65">
        <f t="shared" si="44"/>
        <v>1</v>
      </c>
    </row>
    <row r="190" spans="2:10" s="63" customFormat="1" ht="15">
      <c r="B190" s="48" t="s">
        <v>279</v>
      </c>
      <c r="D190" s="64">
        <f t="shared" ref="D190:I197" si="45">SUMIF($B$4:$B$146,$B190,D$4:D$146)</f>
        <v>3</v>
      </c>
      <c r="E190" s="64">
        <f t="shared" si="45"/>
        <v>3</v>
      </c>
      <c r="F190" s="64">
        <f t="shared" si="45"/>
        <v>3</v>
      </c>
      <c r="G190" s="64">
        <f t="shared" si="45"/>
        <v>3</v>
      </c>
      <c r="H190" s="64">
        <f t="shared" si="45"/>
        <v>3</v>
      </c>
      <c r="I190" s="64">
        <f t="shared" si="45"/>
        <v>3</v>
      </c>
      <c r="J190" s="65">
        <f t="shared" si="44"/>
        <v>3</v>
      </c>
    </row>
    <row r="191" spans="2:10" s="63" customFormat="1" ht="15">
      <c r="B191" s="48" t="s">
        <v>875</v>
      </c>
      <c r="D191" s="64">
        <f t="shared" si="45"/>
        <v>109</v>
      </c>
      <c r="E191" s="64">
        <f t="shared" si="45"/>
        <v>109</v>
      </c>
      <c r="F191" s="64">
        <f t="shared" si="45"/>
        <v>109</v>
      </c>
      <c r="G191" s="64">
        <f t="shared" si="45"/>
        <v>109</v>
      </c>
      <c r="H191" s="64">
        <f t="shared" si="45"/>
        <v>109</v>
      </c>
      <c r="I191" s="64">
        <f t="shared" si="45"/>
        <v>109</v>
      </c>
      <c r="J191" s="65">
        <f t="shared" si="44"/>
        <v>109</v>
      </c>
    </row>
    <row r="192" spans="2:10" s="63" customFormat="1" ht="15">
      <c r="B192" s="48" t="s">
        <v>874</v>
      </c>
      <c r="D192" s="64">
        <f t="shared" si="45"/>
        <v>3</v>
      </c>
      <c r="E192" s="64">
        <f t="shared" si="45"/>
        <v>3</v>
      </c>
      <c r="F192" s="64">
        <f t="shared" si="45"/>
        <v>3</v>
      </c>
      <c r="G192" s="64">
        <f t="shared" si="45"/>
        <v>3</v>
      </c>
      <c r="H192" s="64">
        <f t="shared" si="45"/>
        <v>3</v>
      </c>
      <c r="I192" s="64">
        <f t="shared" si="45"/>
        <v>3</v>
      </c>
      <c r="J192" s="65">
        <f t="shared" si="44"/>
        <v>3</v>
      </c>
    </row>
    <row r="193" spans="2:10" s="63" customFormat="1" ht="15">
      <c r="B193" s="48" t="s">
        <v>873</v>
      </c>
      <c r="D193" s="64">
        <f t="shared" si="45"/>
        <v>152</v>
      </c>
      <c r="E193" s="64">
        <f t="shared" si="45"/>
        <v>152</v>
      </c>
      <c r="F193" s="64">
        <f t="shared" si="45"/>
        <v>152</v>
      </c>
      <c r="G193" s="64">
        <f t="shared" si="45"/>
        <v>152</v>
      </c>
      <c r="H193" s="64">
        <f t="shared" si="45"/>
        <v>152</v>
      </c>
      <c r="I193" s="64">
        <f t="shared" si="45"/>
        <v>152</v>
      </c>
      <c r="J193" s="65">
        <f t="shared" si="44"/>
        <v>152</v>
      </c>
    </row>
    <row r="194" spans="2:10" s="63" customFormat="1" ht="15">
      <c r="B194" s="48" t="s">
        <v>872</v>
      </c>
      <c r="D194" s="64">
        <f t="shared" si="45"/>
        <v>31</v>
      </c>
      <c r="E194" s="64">
        <f t="shared" si="45"/>
        <v>31</v>
      </c>
      <c r="F194" s="64">
        <f t="shared" si="45"/>
        <v>31</v>
      </c>
      <c r="G194" s="64">
        <f t="shared" si="45"/>
        <v>31</v>
      </c>
      <c r="H194" s="64">
        <f t="shared" si="45"/>
        <v>31</v>
      </c>
      <c r="I194" s="64">
        <f t="shared" si="45"/>
        <v>31</v>
      </c>
      <c r="J194" s="65">
        <f t="shared" si="44"/>
        <v>31</v>
      </c>
    </row>
    <row r="195" spans="2:10" s="63" customFormat="1" ht="15">
      <c r="B195" s="48" t="s">
        <v>871</v>
      </c>
      <c r="D195" s="64">
        <f t="shared" si="45"/>
        <v>1</v>
      </c>
      <c r="E195" s="64">
        <f t="shared" si="45"/>
        <v>1</v>
      </c>
      <c r="F195" s="64">
        <f t="shared" si="45"/>
        <v>1</v>
      </c>
      <c r="G195" s="64">
        <f t="shared" si="45"/>
        <v>1</v>
      </c>
      <c r="H195" s="64">
        <f t="shared" si="45"/>
        <v>1</v>
      </c>
      <c r="I195" s="64">
        <f t="shared" si="45"/>
        <v>1</v>
      </c>
      <c r="J195" s="65">
        <f t="shared" si="44"/>
        <v>1</v>
      </c>
    </row>
    <row r="196" spans="2:10" s="63" customFormat="1" ht="15">
      <c r="B196" s="48" t="s">
        <v>870</v>
      </c>
      <c r="D196" s="64">
        <f t="shared" si="45"/>
        <v>1</v>
      </c>
      <c r="E196" s="64">
        <f t="shared" si="45"/>
        <v>1</v>
      </c>
      <c r="F196" s="64">
        <f t="shared" si="45"/>
        <v>1</v>
      </c>
      <c r="G196" s="64">
        <f t="shared" si="45"/>
        <v>1</v>
      </c>
      <c r="H196" s="64">
        <f t="shared" si="45"/>
        <v>1</v>
      </c>
      <c r="I196" s="64">
        <f t="shared" si="45"/>
        <v>1</v>
      </c>
      <c r="J196" s="65">
        <f t="shared" si="44"/>
        <v>1</v>
      </c>
    </row>
    <row r="197" spans="2:10" s="63" customFormat="1" ht="15">
      <c r="B197" s="48" t="s">
        <v>890</v>
      </c>
      <c r="D197" s="64">
        <f t="shared" si="45"/>
        <v>0</v>
      </c>
      <c r="E197" s="64">
        <f t="shared" si="45"/>
        <v>0</v>
      </c>
      <c r="F197" s="64">
        <f t="shared" si="45"/>
        <v>0</v>
      </c>
      <c r="G197" s="64">
        <f t="shared" si="45"/>
        <v>0</v>
      </c>
      <c r="H197" s="64">
        <f t="shared" si="45"/>
        <v>0</v>
      </c>
      <c r="I197" s="64">
        <f t="shared" si="45"/>
        <v>0</v>
      </c>
      <c r="J197" s="65">
        <f t="shared" si="44"/>
        <v>0</v>
      </c>
    </row>
    <row r="198" spans="2:10" s="63" customFormat="1" ht="15">
      <c r="B198" s="48" t="s">
        <v>111</v>
      </c>
      <c r="D198" s="65">
        <f t="shared" ref="D198:I198" si="46">SUM(D180:D197)</f>
        <v>551306</v>
      </c>
      <c r="E198" s="65">
        <f t="shared" si="46"/>
        <v>552350</v>
      </c>
      <c r="F198" s="65">
        <f t="shared" si="46"/>
        <v>552147</v>
      </c>
      <c r="G198" s="65">
        <f t="shared" si="46"/>
        <v>552419</v>
      </c>
      <c r="H198" s="65">
        <f t="shared" si="46"/>
        <v>550904</v>
      </c>
      <c r="I198" s="65">
        <f t="shared" si="46"/>
        <v>552718</v>
      </c>
      <c r="J198" s="65">
        <f t="shared" si="44"/>
        <v>551974</v>
      </c>
    </row>
    <row r="199" spans="2:10" s="63" customFormat="1" ht="17.25" customHeight="1">
      <c r="B199" s="48"/>
      <c r="D199" s="66">
        <f t="shared" ref="D199:J199" si="47">D198-D107-D146</f>
        <v>0</v>
      </c>
      <c r="E199" s="66">
        <f t="shared" si="47"/>
        <v>0</v>
      </c>
      <c r="F199" s="66">
        <f t="shared" si="47"/>
        <v>0</v>
      </c>
      <c r="G199" s="66">
        <f t="shared" si="47"/>
        <v>0</v>
      </c>
      <c r="H199" s="66">
        <f t="shared" si="47"/>
        <v>0</v>
      </c>
      <c r="I199" s="66">
        <f t="shared" si="47"/>
        <v>0</v>
      </c>
      <c r="J199" s="66">
        <f t="shared" si="47"/>
        <v>0</v>
      </c>
    </row>
    <row r="204" spans="2:10" s="63" customFormat="1" ht="15">
      <c r="B204" s="48" t="s">
        <v>902</v>
      </c>
      <c r="D204" s="64">
        <f t="shared" ref="D204:I213" si="48">SUMIF($B$4:$B$146,$B204,D$4:D$146)</f>
        <v>82839</v>
      </c>
      <c r="E204" s="64">
        <f t="shared" si="48"/>
        <v>82995</v>
      </c>
      <c r="F204" s="64">
        <f t="shared" si="48"/>
        <v>82965</v>
      </c>
      <c r="G204" s="64">
        <f t="shared" si="48"/>
        <v>83005</v>
      </c>
      <c r="H204" s="64">
        <f t="shared" si="48"/>
        <v>82778</v>
      </c>
      <c r="I204" s="64">
        <f t="shared" si="48"/>
        <v>83052</v>
      </c>
      <c r="J204" s="65">
        <f>AVERAGE(D204:I204)</f>
        <v>82939</v>
      </c>
    </row>
    <row r="205" spans="2:10" s="63" customFormat="1" ht="15">
      <c r="B205" s="48" t="s">
        <v>751</v>
      </c>
      <c r="D205" s="64">
        <f t="shared" si="48"/>
        <v>316854</v>
      </c>
      <c r="E205" s="64">
        <f t="shared" si="48"/>
        <v>317454</v>
      </c>
      <c r="F205" s="64">
        <f t="shared" si="48"/>
        <v>317338</v>
      </c>
      <c r="G205" s="64">
        <f t="shared" si="48"/>
        <v>317495</v>
      </c>
      <c r="H205" s="64">
        <f t="shared" si="48"/>
        <v>316622</v>
      </c>
      <c r="I205" s="64">
        <f t="shared" si="48"/>
        <v>317666</v>
      </c>
      <c r="J205" s="65">
        <f t="shared" ref="J205:J221" si="49">AVERAGE(D205:I205)</f>
        <v>317238.16666666669</v>
      </c>
    </row>
    <row r="206" spans="2:10" s="63" customFormat="1" ht="15">
      <c r="B206" s="48" t="s">
        <v>750</v>
      </c>
      <c r="D206" s="64">
        <f t="shared" si="48"/>
        <v>111860</v>
      </c>
      <c r="E206" s="64">
        <f t="shared" si="48"/>
        <v>112072</v>
      </c>
      <c r="F206" s="64">
        <f t="shared" si="48"/>
        <v>112030</v>
      </c>
      <c r="G206" s="64">
        <f t="shared" si="48"/>
        <v>112086</v>
      </c>
      <c r="H206" s="64">
        <f t="shared" si="48"/>
        <v>111778</v>
      </c>
      <c r="I206" s="64">
        <f t="shared" si="48"/>
        <v>112146</v>
      </c>
      <c r="J206" s="65">
        <f t="shared" si="49"/>
        <v>111995.33333333333</v>
      </c>
    </row>
    <row r="207" spans="2:10" s="63" customFormat="1" ht="15">
      <c r="B207" s="48" t="s">
        <v>749</v>
      </c>
      <c r="D207" s="64">
        <f t="shared" si="48"/>
        <v>33378</v>
      </c>
      <c r="E207" s="64">
        <f t="shared" si="48"/>
        <v>33442</v>
      </c>
      <c r="F207" s="64">
        <f t="shared" si="48"/>
        <v>33430</v>
      </c>
      <c r="G207" s="64">
        <f t="shared" si="48"/>
        <v>33446</v>
      </c>
      <c r="H207" s="64">
        <f t="shared" si="48"/>
        <v>33354</v>
      </c>
      <c r="I207" s="64">
        <f t="shared" si="48"/>
        <v>33464</v>
      </c>
      <c r="J207" s="65">
        <f t="shared" si="49"/>
        <v>33419</v>
      </c>
    </row>
    <row r="208" spans="2:10" s="63" customFormat="1" ht="15">
      <c r="B208" s="48" t="s">
        <v>1176</v>
      </c>
      <c r="D208" s="64">
        <f t="shared" si="48"/>
        <v>1</v>
      </c>
      <c r="E208" s="64">
        <f t="shared" si="48"/>
        <v>1</v>
      </c>
      <c r="F208" s="64">
        <f t="shared" si="48"/>
        <v>1</v>
      </c>
      <c r="G208" s="64">
        <f t="shared" si="48"/>
        <v>1</v>
      </c>
      <c r="H208" s="64">
        <f t="shared" si="48"/>
        <v>1</v>
      </c>
      <c r="I208" s="64">
        <f t="shared" si="48"/>
        <v>1</v>
      </c>
      <c r="J208" s="65">
        <f t="shared" si="49"/>
        <v>1</v>
      </c>
    </row>
    <row r="209" spans="2:10" s="63" customFormat="1" ht="15">
      <c r="B209" s="48" t="s">
        <v>274</v>
      </c>
      <c r="D209" s="64">
        <f t="shared" si="48"/>
        <v>5539</v>
      </c>
      <c r="E209" s="64">
        <f t="shared" si="48"/>
        <v>5550</v>
      </c>
      <c r="F209" s="64">
        <f t="shared" si="48"/>
        <v>5547</v>
      </c>
      <c r="G209" s="64">
        <f t="shared" si="48"/>
        <v>5550</v>
      </c>
      <c r="H209" s="64">
        <f t="shared" si="48"/>
        <v>5536</v>
      </c>
      <c r="I209" s="64">
        <f t="shared" si="48"/>
        <v>5553</v>
      </c>
      <c r="J209" s="65">
        <f t="shared" si="49"/>
        <v>5545.833333333333</v>
      </c>
    </row>
    <row r="210" spans="2:10" s="63" customFormat="1" ht="15">
      <c r="B210" s="48" t="s">
        <v>275</v>
      </c>
      <c r="D210" s="64">
        <f t="shared" si="48"/>
        <v>92</v>
      </c>
      <c r="E210" s="64">
        <f t="shared" si="48"/>
        <v>92</v>
      </c>
      <c r="F210" s="64">
        <f t="shared" si="48"/>
        <v>92</v>
      </c>
      <c r="G210" s="64">
        <f t="shared" si="48"/>
        <v>92</v>
      </c>
      <c r="H210" s="64">
        <f t="shared" si="48"/>
        <v>92</v>
      </c>
      <c r="I210" s="64">
        <f t="shared" si="48"/>
        <v>92</v>
      </c>
      <c r="J210" s="65">
        <f t="shared" si="49"/>
        <v>92</v>
      </c>
    </row>
    <row r="211" spans="2:10" s="63" customFormat="1" ht="15">
      <c r="B211" s="48" t="s">
        <v>276</v>
      </c>
      <c r="D211" s="64">
        <f t="shared" si="48"/>
        <v>416</v>
      </c>
      <c r="E211" s="64">
        <f t="shared" si="48"/>
        <v>417</v>
      </c>
      <c r="F211" s="64">
        <f t="shared" si="48"/>
        <v>417</v>
      </c>
      <c r="G211" s="64">
        <f t="shared" si="48"/>
        <v>417</v>
      </c>
      <c r="H211" s="64">
        <f t="shared" si="48"/>
        <v>416</v>
      </c>
      <c r="I211" s="64">
        <f t="shared" si="48"/>
        <v>417</v>
      </c>
      <c r="J211" s="65">
        <f t="shared" si="49"/>
        <v>416.66666666666669</v>
      </c>
    </row>
    <row r="212" spans="2:10" s="63" customFormat="1" ht="15">
      <c r="B212" s="48" t="s">
        <v>277</v>
      </c>
      <c r="D212" s="64">
        <f t="shared" si="48"/>
        <v>26</v>
      </c>
      <c r="E212" s="64">
        <f t="shared" si="48"/>
        <v>26</v>
      </c>
      <c r="F212" s="64">
        <f t="shared" si="48"/>
        <v>26</v>
      </c>
      <c r="G212" s="64">
        <f t="shared" si="48"/>
        <v>26</v>
      </c>
      <c r="H212" s="64">
        <f t="shared" si="48"/>
        <v>26</v>
      </c>
      <c r="I212" s="64">
        <f t="shared" si="48"/>
        <v>26</v>
      </c>
      <c r="J212" s="65">
        <f t="shared" si="49"/>
        <v>26</v>
      </c>
    </row>
    <row r="213" spans="2:10" s="63" customFormat="1" ht="15">
      <c r="B213" s="48" t="s">
        <v>278</v>
      </c>
      <c r="D213" s="64">
        <f t="shared" si="48"/>
        <v>1</v>
      </c>
      <c r="E213" s="64">
        <f t="shared" si="48"/>
        <v>1</v>
      </c>
      <c r="F213" s="64">
        <f t="shared" si="48"/>
        <v>1</v>
      </c>
      <c r="G213" s="64">
        <f t="shared" si="48"/>
        <v>1</v>
      </c>
      <c r="H213" s="64">
        <f t="shared" si="48"/>
        <v>1</v>
      </c>
      <c r="I213" s="64">
        <f t="shared" si="48"/>
        <v>1</v>
      </c>
      <c r="J213" s="65">
        <f t="shared" si="49"/>
        <v>1</v>
      </c>
    </row>
    <row r="214" spans="2:10" s="63" customFormat="1" ht="15">
      <c r="B214" s="48" t="s">
        <v>279</v>
      </c>
      <c r="D214" s="64">
        <f t="shared" ref="D214:I221" si="50">SUMIF($B$4:$B$146,$B214,D$4:D$146)</f>
        <v>3</v>
      </c>
      <c r="E214" s="64">
        <f t="shared" si="50"/>
        <v>3</v>
      </c>
      <c r="F214" s="64">
        <f t="shared" si="50"/>
        <v>3</v>
      </c>
      <c r="G214" s="64">
        <f t="shared" si="50"/>
        <v>3</v>
      </c>
      <c r="H214" s="64">
        <f t="shared" si="50"/>
        <v>3</v>
      </c>
      <c r="I214" s="64">
        <f t="shared" si="50"/>
        <v>3</v>
      </c>
      <c r="J214" s="65">
        <f t="shared" si="49"/>
        <v>3</v>
      </c>
    </row>
    <row r="215" spans="2:10" s="63" customFormat="1" ht="15">
      <c r="B215" s="48" t="s">
        <v>875</v>
      </c>
      <c r="D215" s="64">
        <f t="shared" si="50"/>
        <v>109</v>
      </c>
      <c r="E215" s="64">
        <f t="shared" si="50"/>
        <v>109</v>
      </c>
      <c r="F215" s="64">
        <f t="shared" si="50"/>
        <v>109</v>
      </c>
      <c r="G215" s="64">
        <f t="shared" si="50"/>
        <v>109</v>
      </c>
      <c r="H215" s="64">
        <f t="shared" si="50"/>
        <v>109</v>
      </c>
      <c r="I215" s="64">
        <f t="shared" si="50"/>
        <v>109</v>
      </c>
      <c r="J215" s="65">
        <f t="shared" si="49"/>
        <v>109</v>
      </c>
    </row>
    <row r="216" spans="2:10" s="63" customFormat="1" ht="15">
      <c r="B216" s="48" t="s">
        <v>874</v>
      </c>
      <c r="D216" s="64">
        <f t="shared" si="50"/>
        <v>3</v>
      </c>
      <c r="E216" s="64">
        <f t="shared" si="50"/>
        <v>3</v>
      </c>
      <c r="F216" s="64">
        <f t="shared" si="50"/>
        <v>3</v>
      </c>
      <c r="G216" s="64">
        <f t="shared" si="50"/>
        <v>3</v>
      </c>
      <c r="H216" s="64">
        <f t="shared" si="50"/>
        <v>3</v>
      </c>
      <c r="I216" s="64">
        <f t="shared" si="50"/>
        <v>3</v>
      </c>
      <c r="J216" s="65">
        <f t="shared" si="49"/>
        <v>3</v>
      </c>
    </row>
    <row r="217" spans="2:10" s="63" customFormat="1" ht="15">
      <c r="B217" s="48" t="s">
        <v>873</v>
      </c>
      <c r="D217" s="64">
        <f t="shared" si="50"/>
        <v>152</v>
      </c>
      <c r="E217" s="64">
        <f t="shared" si="50"/>
        <v>152</v>
      </c>
      <c r="F217" s="64">
        <f t="shared" si="50"/>
        <v>152</v>
      </c>
      <c r="G217" s="64">
        <f t="shared" si="50"/>
        <v>152</v>
      </c>
      <c r="H217" s="64">
        <f t="shared" si="50"/>
        <v>152</v>
      </c>
      <c r="I217" s="64">
        <f t="shared" si="50"/>
        <v>152</v>
      </c>
      <c r="J217" s="65">
        <f t="shared" si="49"/>
        <v>152</v>
      </c>
    </row>
    <row r="218" spans="2:10" s="63" customFormat="1" ht="15">
      <c r="B218" s="48" t="s">
        <v>872</v>
      </c>
      <c r="D218" s="64">
        <f t="shared" si="50"/>
        <v>31</v>
      </c>
      <c r="E218" s="64">
        <f t="shared" si="50"/>
        <v>31</v>
      </c>
      <c r="F218" s="64">
        <f t="shared" si="50"/>
        <v>31</v>
      </c>
      <c r="G218" s="64">
        <f t="shared" si="50"/>
        <v>31</v>
      </c>
      <c r="H218" s="64">
        <f t="shared" si="50"/>
        <v>31</v>
      </c>
      <c r="I218" s="64">
        <f t="shared" si="50"/>
        <v>31</v>
      </c>
      <c r="J218" s="65">
        <f t="shared" si="49"/>
        <v>31</v>
      </c>
    </row>
    <row r="219" spans="2:10" s="63" customFormat="1" ht="15">
      <c r="B219" s="48" t="s">
        <v>871</v>
      </c>
      <c r="D219" s="64">
        <f t="shared" si="50"/>
        <v>1</v>
      </c>
      <c r="E219" s="64">
        <f t="shared" si="50"/>
        <v>1</v>
      </c>
      <c r="F219" s="64">
        <f t="shared" si="50"/>
        <v>1</v>
      </c>
      <c r="G219" s="64">
        <f t="shared" si="50"/>
        <v>1</v>
      </c>
      <c r="H219" s="64">
        <f t="shared" si="50"/>
        <v>1</v>
      </c>
      <c r="I219" s="64">
        <f t="shared" si="50"/>
        <v>1</v>
      </c>
      <c r="J219" s="65">
        <f t="shared" si="49"/>
        <v>1</v>
      </c>
    </row>
    <row r="220" spans="2:10" s="63" customFormat="1" ht="15">
      <c r="B220" s="48" t="s">
        <v>870</v>
      </c>
      <c r="D220" s="64">
        <f t="shared" si="50"/>
        <v>1</v>
      </c>
      <c r="E220" s="64">
        <f t="shared" si="50"/>
        <v>1</v>
      </c>
      <c r="F220" s="64">
        <f t="shared" si="50"/>
        <v>1</v>
      </c>
      <c r="G220" s="64">
        <f t="shared" si="50"/>
        <v>1</v>
      </c>
      <c r="H220" s="64">
        <f t="shared" si="50"/>
        <v>1</v>
      </c>
      <c r="I220" s="64">
        <f t="shared" si="50"/>
        <v>1</v>
      </c>
      <c r="J220" s="65">
        <f t="shared" si="49"/>
        <v>1</v>
      </c>
    </row>
    <row r="221" spans="2:10" s="63" customFormat="1" ht="15">
      <c r="B221" s="48" t="s">
        <v>890</v>
      </c>
      <c r="D221" s="64">
        <f t="shared" si="50"/>
        <v>0</v>
      </c>
      <c r="E221" s="64">
        <f t="shared" si="50"/>
        <v>0</v>
      </c>
      <c r="F221" s="64">
        <f t="shared" si="50"/>
        <v>0</v>
      </c>
      <c r="G221" s="64">
        <f t="shared" si="50"/>
        <v>0</v>
      </c>
      <c r="H221" s="64">
        <f t="shared" si="50"/>
        <v>0</v>
      </c>
      <c r="I221" s="64">
        <f t="shared" si="50"/>
        <v>0</v>
      </c>
      <c r="J221" s="65">
        <f t="shared" si="49"/>
        <v>0</v>
      </c>
    </row>
    <row r="222" spans="2:10" s="63" customFormat="1" ht="15">
      <c r="B222" s="48" t="s">
        <v>111</v>
      </c>
      <c r="D222" s="65">
        <f t="shared" ref="D222:J222" si="51">SUM(D204:D221)</f>
        <v>551306</v>
      </c>
      <c r="E222" s="65">
        <f t="shared" si="51"/>
        <v>552350</v>
      </c>
      <c r="F222" s="65">
        <f t="shared" si="51"/>
        <v>552147</v>
      </c>
      <c r="G222" s="65">
        <f t="shared" si="51"/>
        <v>552419</v>
      </c>
      <c r="H222" s="65">
        <f t="shared" si="51"/>
        <v>550904</v>
      </c>
      <c r="I222" s="65">
        <f t="shared" si="51"/>
        <v>552718</v>
      </c>
      <c r="J222" s="65">
        <f t="shared" si="51"/>
        <v>551974</v>
      </c>
    </row>
    <row r="223" spans="2:10" s="63" customFormat="1" ht="17.25" customHeight="1">
      <c r="B223" s="48"/>
      <c r="D223" s="66">
        <f t="shared" ref="D223:I223" si="52">D222-D107-D146</f>
        <v>0</v>
      </c>
      <c r="E223" s="66">
        <f t="shared" si="52"/>
        <v>0</v>
      </c>
      <c r="F223" s="66">
        <f t="shared" si="52"/>
        <v>0</v>
      </c>
      <c r="G223" s="66">
        <f t="shared" si="52"/>
        <v>0</v>
      </c>
      <c r="H223" s="66">
        <f t="shared" si="52"/>
        <v>0</v>
      </c>
      <c r="I223" s="66">
        <f t="shared" si="52"/>
        <v>0</v>
      </c>
      <c r="J223" s="66"/>
    </row>
    <row r="226" spans="4:10">
      <c r="D226" s="60">
        <f t="shared" ref="D226:I226" si="53">D222</f>
        <v>551306</v>
      </c>
      <c r="E226" s="60">
        <f t="shared" si="53"/>
        <v>552350</v>
      </c>
      <c r="F226" s="60">
        <f t="shared" si="53"/>
        <v>552147</v>
      </c>
      <c r="G226" s="60">
        <f t="shared" si="53"/>
        <v>552419</v>
      </c>
      <c r="H226" s="60">
        <f t="shared" si="53"/>
        <v>550904</v>
      </c>
      <c r="I226" s="60">
        <f t="shared" si="53"/>
        <v>552718</v>
      </c>
      <c r="J226" s="520">
        <f>J222</f>
        <v>551974</v>
      </c>
    </row>
  </sheetData>
  <phoneticPr fontId="0" type="noConversion"/>
  <printOptions horizontalCentered="1" verticalCentered="1" headings="1"/>
  <pageMargins left="0.59055118110236227" right="0.59055118110236227" top="0.78740157480314965" bottom="0.39370078740157483" header="0.59055118110236227" footer="0.47244094488188981"/>
  <pageSetup scale="35" orientation="portrait" r:id="rId1"/>
  <headerFooter>
    <oddHeader>&amp;L&amp;"Times New Roman,Negrita"&amp;14Nombre de la Distribuidora: &amp;K06-048ENSA&amp;RASEP FORM: &amp;A</oddHeader>
    <oddFooter>&amp;R&amp;A</oddFooter>
  </headerFooter>
  <rowBreaks count="1" manualBreakCount="1">
    <brk id="110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Hoja81">
    <tabColor theme="7" tint="0.79998168889431442"/>
  </sheetPr>
  <dimension ref="A1:AQ227"/>
  <sheetViews>
    <sheetView view="pageBreakPreview" zoomScale="70" zoomScaleNormal="85" zoomScaleSheetLayoutView="70" workbookViewId="0">
      <pane xSplit="3" ySplit="4" topLeftCell="D32" activePane="bottomRight" state="frozen"/>
      <selection activeCell="C59" sqref="C59"/>
      <selection pane="topRight" activeCell="C59" sqref="C59"/>
      <selection pane="bottomLeft" activeCell="C59" sqref="C59"/>
      <selection pane="bottomRight" activeCell="C59" sqref="C59"/>
    </sheetView>
  </sheetViews>
  <sheetFormatPr baseColWidth="10" defaultColWidth="8" defaultRowHeight="13.5"/>
  <cols>
    <col min="1" max="1" width="3.375" style="37" bestFit="1" customWidth="1"/>
    <col min="2" max="2" width="7.375" style="37" bestFit="1" customWidth="1"/>
    <col min="3" max="3" width="31.875" style="37" customWidth="1"/>
    <col min="4" max="9" width="8.875" style="37" customWidth="1"/>
    <col min="10" max="10" width="10.75" style="37" bestFit="1" customWidth="1"/>
    <col min="11" max="24" width="8.875" style="37" customWidth="1"/>
    <col min="25" max="31" width="0.75" style="539" customWidth="1"/>
    <col min="32" max="32" width="3.625" style="539" customWidth="1"/>
    <col min="33" max="35" width="11.25" style="37" customWidth="1"/>
    <col min="36" max="16384" width="8" style="37"/>
  </cols>
  <sheetData>
    <row r="1" spans="2:43" ht="14.25" thickBot="1"/>
    <row r="2" spans="2:43" s="38" customFormat="1">
      <c r="C2" s="510"/>
      <c r="H2" s="41" t="s">
        <v>76</v>
      </c>
      <c r="I2" s="41" t="s">
        <v>258</v>
      </c>
      <c r="J2" s="41"/>
      <c r="O2" s="41" t="s">
        <v>76</v>
      </c>
      <c r="P2" s="42" t="s">
        <v>258</v>
      </c>
      <c r="Q2" s="43"/>
      <c r="S2" s="37"/>
      <c r="T2" s="37"/>
      <c r="V2" s="41" t="s">
        <v>76</v>
      </c>
      <c r="W2" s="42" t="s">
        <v>258</v>
      </c>
      <c r="X2" s="43"/>
      <c r="Y2" s="540"/>
      <c r="Z2" s="539"/>
      <c r="AA2" s="539"/>
      <c r="AB2" s="540"/>
      <c r="AC2" s="541"/>
      <c r="AD2" s="542"/>
      <c r="AE2" s="543"/>
      <c r="AF2" s="543"/>
      <c r="AG2" s="37"/>
      <c r="AH2" s="37"/>
      <c r="AI2" s="37"/>
    </row>
    <row r="3" spans="2:43" s="1520" customFormat="1" ht="24">
      <c r="C3" s="960"/>
      <c r="D3" s="1521" t="s">
        <v>1751</v>
      </c>
      <c r="E3" s="1521" t="s">
        <v>1751</v>
      </c>
      <c r="F3" s="1521" t="s">
        <v>1751</v>
      </c>
      <c r="G3" s="1521" t="s">
        <v>1751</v>
      </c>
      <c r="H3" s="1521" t="s">
        <v>1751</v>
      </c>
      <c r="I3" s="1521" t="s">
        <v>1751</v>
      </c>
      <c r="J3" s="1521" t="s">
        <v>1751</v>
      </c>
      <c r="K3" s="1523" t="s">
        <v>1751</v>
      </c>
      <c r="L3" s="1523" t="s">
        <v>1751</v>
      </c>
      <c r="M3" s="1523" t="s">
        <v>1751</v>
      </c>
      <c r="N3" s="1523" t="s">
        <v>1751</v>
      </c>
      <c r="O3" s="1523" t="s">
        <v>1751</v>
      </c>
      <c r="P3" s="1523" t="s">
        <v>1751</v>
      </c>
      <c r="Q3" s="1523" t="s">
        <v>1751</v>
      </c>
      <c r="R3" s="1524" t="s">
        <v>1752</v>
      </c>
      <c r="S3" s="1524" t="s">
        <v>1752</v>
      </c>
      <c r="T3" s="1524" t="s">
        <v>1752</v>
      </c>
      <c r="U3" s="1524" t="s">
        <v>1752</v>
      </c>
      <c r="V3" s="1524" t="s">
        <v>1752</v>
      </c>
      <c r="W3" s="1524" t="s">
        <v>1752</v>
      </c>
      <c r="X3" s="1524" t="s">
        <v>1752</v>
      </c>
      <c r="Y3" s="1523"/>
      <c r="Z3" s="1523"/>
      <c r="AA3" s="1523"/>
      <c r="AB3" s="1523"/>
      <c r="AC3" s="1523"/>
      <c r="AD3" s="1523"/>
      <c r="AE3" s="1523"/>
      <c r="AG3" s="1522"/>
      <c r="AH3" s="1522"/>
      <c r="AI3" s="1522"/>
      <c r="AQ3" s="442"/>
    </row>
    <row r="4" spans="2:43" s="51" customFormat="1" ht="38.25" customHeight="1">
      <c r="C4" s="963" t="s">
        <v>40</v>
      </c>
      <c r="D4" s="964">
        <f>F801C!D4</f>
        <v>46204</v>
      </c>
      <c r="E4" s="964">
        <f>F801C!E4</f>
        <v>46235</v>
      </c>
      <c r="F4" s="964">
        <f>F801C!F4</f>
        <v>46266</v>
      </c>
      <c r="G4" s="964">
        <f>F801C!G4</f>
        <v>46296</v>
      </c>
      <c r="H4" s="964">
        <f>F801C!H4</f>
        <v>46327</v>
      </c>
      <c r="I4" s="964">
        <f>F801C!I4</f>
        <v>46357</v>
      </c>
      <c r="J4" s="966" t="s">
        <v>154</v>
      </c>
      <c r="K4" s="1023">
        <f t="shared" ref="K4:P4" si="0">D4</f>
        <v>46204</v>
      </c>
      <c r="L4" s="1023">
        <f t="shared" si="0"/>
        <v>46235</v>
      </c>
      <c r="M4" s="1023">
        <f t="shared" si="0"/>
        <v>46266</v>
      </c>
      <c r="N4" s="1023">
        <f t="shared" si="0"/>
        <v>46296</v>
      </c>
      <c r="O4" s="1023">
        <f t="shared" si="0"/>
        <v>46327</v>
      </c>
      <c r="P4" s="1023">
        <f t="shared" si="0"/>
        <v>46357</v>
      </c>
      <c r="Q4" s="966" t="s">
        <v>154</v>
      </c>
      <c r="R4" s="966">
        <f t="shared" ref="R4:W4" si="1">K4</f>
        <v>46204</v>
      </c>
      <c r="S4" s="966">
        <f t="shared" si="1"/>
        <v>46235</v>
      </c>
      <c r="T4" s="966">
        <f t="shared" si="1"/>
        <v>46266</v>
      </c>
      <c r="U4" s="966">
        <f t="shared" si="1"/>
        <v>46296</v>
      </c>
      <c r="V4" s="966">
        <f t="shared" si="1"/>
        <v>46327</v>
      </c>
      <c r="W4" s="966">
        <f t="shared" si="1"/>
        <v>46357</v>
      </c>
      <c r="X4" s="966" t="s">
        <v>154</v>
      </c>
      <c r="Y4" s="1026"/>
      <c r="Z4" s="1026"/>
      <c r="AA4" s="1026"/>
      <c r="AB4" s="1026"/>
      <c r="AC4" s="1026"/>
      <c r="AD4" s="1026"/>
      <c r="AE4" s="1026"/>
      <c r="AF4" s="1417"/>
      <c r="AG4" s="1420" t="s">
        <v>460</v>
      </c>
      <c r="AH4" s="1420" t="s">
        <v>459</v>
      </c>
      <c r="AI4" s="1420" t="s">
        <v>458</v>
      </c>
    </row>
    <row r="5" spans="2:43" s="52" customFormat="1">
      <c r="C5" s="880" t="s">
        <v>446</v>
      </c>
      <c r="D5" s="881">
        <f>SUBTOTAL(9,D6:D7)</f>
        <v>28392.480746231053</v>
      </c>
      <c r="E5" s="881">
        <f t="shared" ref="E5:W5" si="2">SUBTOTAL(9,E6:E7)</f>
        <v>28404.330039753218</v>
      </c>
      <c r="F5" s="881">
        <f t="shared" si="2"/>
        <v>28796.748777888599</v>
      </c>
      <c r="G5" s="881">
        <f t="shared" si="2"/>
        <v>28306.964957997636</v>
      </c>
      <c r="H5" s="881">
        <f t="shared" si="2"/>
        <v>27983.089899069229</v>
      </c>
      <c r="I5" s="881">
        <f t="shared" si="2"/>
        <v>27207.336060757236</v>
      </c>
      <c r="J5" s="180">
        <f>AVERAGE(D5:I5)</f>
        <v>28181.825080282826</v>
      </c>
      <c r="K5" s="881">
        <f t="shared" si="2"/>
        <v>28392.480746231053</v>
      </c>
      <c r="L5" s="881">
        <f t="shared" si="2"/>
        <v>28404.330039753218</v>
      </c>
      <c r="M5" s="881">
        <f t="shared" si="2"/>
        <v>28796.748777888599</v>
      </c>
      <c r="N5" s="881">
        <f t="shared" si="2"/>
        <v>28306.964957997636</v>
      </c>
      <c r="O5" s="881">
        <f t="shared" si="2"/>
        <v>27983.089899069229</v>
      </c>
      <c r="P5" s="881">
        <f t="shared" si="2"/>
        <v>27207.336060757236</v>
      </c>
      <c r="Q5" s="180">
        <f>AVERAGE(K5:P5)</f>
        <v>28181.825080282826</v>
      </c>
      <c r="R5" s="881">
        <f t="shared" si="2"/>
        <v>10728.881545887207</v>
      </c>
      <c r="S5" s="881">
        <f t="shared" si="2"/>
        <v>10733.359285802855</v>
      </c>
      <c r="T5" s="881">
        <f t="shared" si="2"/>
        <v>10881.650746733436</v>
      </c>
      <c r="U5" s="881">
        <f t="shared" si="2"/>
        <v>10696.565909712392</v>
      </c>
      <c r="V5" s="881">
        <f t="shared" si="2"/>
        <v>10574.17647979964</v>
      </c>
      <c r="W5" s="881">
        <f t="shared" si="2"/>
        <v>10281.026181849027</v>
      </c>
      <c r="X5" s="180">
        <f>AVERAGE(R5:W5)</f>
        <v>10649.276691630759</v>
      </c>
      <c r="Y5" s="1027"/>
      <c r="Z5" s="1027"/>
      <c r="AA5" s="1027"/>
      <c r="AB5" s="1027"/>
      <c r="AC5" s="1027"/>
      <c r="AD5" s="1027"/>
      <c r="AE5" s="180"/>
      <c r="AF5" s="1418"/>
      <c r="AG5" s="520">
        <f>AVERAGE(D5:I5)</f>
        <v>28181.825080282826</v>
      </c>
      <c r="AH5" s="520">
        <f>AVERAGE(K5:P5)</f>
        <v>28181.825080282826</v>
      </c>
      <c r="AI5" s="520">
        <f>AVERAGE(R5:W5)</f>
        <v>10649.276691630759</v>
      </c>
    </row>
    <row r="6" spans="2:43">
      <c r="B6" s="48" t="s">
        <v>279</v>
      </c>
      <c r="C6" s="882" t="s">
        <v>279</v>
      </c>
      <c r="D6" s="883">
        <f t="shared" ref="D6:D77" si="3">K6</f>
        <v>28391.480746231053</v>
      </c>
      <c r="E6" s="883">
        <f t="shared" ref="E6:I18" si="4">L6</f>
        <v>28403.330039753218</v>
      </c>
      <c r="F6" s="883">
        <f t="shared" si="4"/>
        <v>28795.748777888599</v>
      </c>
      <c r="G6" s="883">
        <f t="shared" si="4"/>
        <v>28305.964957997636</v>
      </c>
      <c r="H6" s="883">
        <f t="shared" si="4"/>
        <v>27982.089899069229</v>
      </c>
      <c r="I6" s="883">
        <f t="shared" si="4"/>
        <v>27206.336060757236</v>
      </c>
      <c r="J6" s="180">
        <f>AVERAGE(D6:I6)</f>
        <v>28180.825080282826</v>
      </c>
      <c r="K6" s="883">
        <f>IF(MCDO800!$P6&gt;0,F801ENE!K6/(MCDO800!$P6*24*K$108),0)</f>
        <v>28391.480746231053</v>
      </c>
      <c r="L6" s="883">
        <f>IF(MCDO800!$P6&gt;0,F801ENE!L6/(MCDO800!$P6*24*L$108),0)</f>
        <v>28403.330039753218</v>
      </c>
      <c r="M6" s="883">
        <f>IF(MCDO800!$P6&gt;0,F801ENE!M6/(MCDO800!$P6*24*M$108),0)</f>
        <v>28795.748777888599</v>
      </c>
      <c r="N6" s="883">
        <f>IF(MCDO800!$P6&gt;0,F801ENE!N6/(MCDO800!$P6*24*N$108),0)</f>
        <v>28305.964957997636</v>
      </c>
      <c r="O6" s="883">
        <f>IF(MCDO800!$P6&gt;0,F801ENE!O6/(MCDO800!$P6*24*O$108),0)</f>
        <v>27982.089899069229</v>
      </c>
      <c r="P6" s="883">
        <f>IF(MCDO800!$P6&gt;0,F801ENE!P6/(MCDO800!$P6*24*P$108),0)</f>
        <v>27206.336060757236</v>
      </c>
      <c r="Q6" s="180">
        <f>AVERAGE(K6:P6)</f>
        <v>28180.825080282826</v>
      </c>
      <c r="R6" s="883">
        <f>IF(MCDO800!$Q6&gt;0,F801ENE!R6/(MCDO800!$Q6*24*R$108),0)</f>
        <v>10728.881545887207</v>
      </c>
      <c r="S6" s="883">
        <f>IF(MCDO800!$Q6&gt;0,F801ENE!S6/(MCDO800!$Q6*24*S$108),0)</f>
        <v>10733.359285802855</v>
      </c>
      <c r="T6" s="883">
        <f>IF(MCDO800!$Q6&gt;0,F801ENE!T6/(MCDO800!$Q6*24*T$108),0)</f>
        <v>10881.650746733436</v>
      </c>
      <c r="U6" s="883">
        <f>IF(MCDO800!$Q6&gt;0,F801ENE!U6/(MCDO800!$Q6*24*U$108),0)</f>
        <v>10696.565909712392</v>
      </c>
      <c r="V6" s="883">
        <f>IF(MCDO800!$Q6&gt;0,F801ENE!V6/(MCDO800!$Q6*24*V$108),0)</f>
        <v>10574.17647979964</v>
      </c>
      <c r="W6" s="883">
        <f>IF(MCDO800!$Q6&gt;0,F801ENE!W6/(MCDO800!$Q6*24*W$108),0)</f>
        <v>10281.026181849027</v>
      </c>
      <c r="X6" s="180">
        <f>AVERAGE(R6:W6)</f>
        <v>10649.276691630759</v>
      </c>
      <c r="Y6" s="1028"/>
      <c r="Z6" s="1028"/>
      <c r="AA6" s="1028"/>
      <c r="AB6" s="1028"/>
      <c r="AC6" s="1028"/>
      <c r="AD6" s="1028"/>
      <c r="AE6" s="180"/>
      <c r="AF6" s="1418"/>
      <c r="AG6" s="60">
        <f>AVERAGE(D6:I6)</f>
        <v>28180.825080282826</v>
      </c>
      <c r="AH6" s="60">
        <f>AVERAGE(K6:P6)</f>
        <v>28180.825080282826</v>
      </c>
      <c r="AI6" s="60"/>
    </row>
    <row r="7" spans="2:43">
      <c r="B7" s="48" t="s">
        <v>278</v>
      </c>
      <c r="C7" s="882" t="s">
        <v>278</v>
      </c>
      <c r="D7" s="974">
        <f>1</f>
        <v>1</v>
      </c>
      <c r="E7" s="974">
        <f>1</f>
        <v>1</v>
      </c>
      <c r="F7" s="974">
        <f>1</f>
        <v>1</v>
      </c>
      <c r="G7" s="974">
        <f>1</f>
        <v>1</v>
      </c>
      <c r="H7" s="974">
        <f>1</f>
        <v>1</v>
      </c>
      <c r="I7" s="974">
        <f>1</f>
        <v>1</v>
      </c>
      <c r="J7" s="180">
        <f>AVERAGE(D7:I7)</f>
        <v>1</v>
      </c>
      <c r="K7" s="974">
        <f>1</f>
        <v>1</v>
      </c>
      <c r="L7" s="974">
        <f>1</f>
        <v>1</v>
      </c>
      <c r="M7" s="974">
        <f>1</f>
        <v>1</v>
      </c>
      <c r="N7" s="974">
        <f>1</f>
        <v>1</v>
      </c>
      <c r="O7" s="974">
        <f>1</f>
        <v>1</v>
      </c>
      <c r="P7" s="974">
        <f>1</f>
        <v>1</v>
      </c>
      <c r="Q7" s="180">
        <f>AVERAGE(K7:P7)</f>
        <v>1</v>
      </c>
      <c r="R7" s="883"/>
      <c r="S7" s="883"/>
      <c r="T7" s="883"/>
      <c r="U7" s="883"/>
      <c r="V7" s="883"/>
      <c r="W7" s="883"/>
      <c r="X7" s="180"/>
      <c r="Y7" s="1028"/>
      <c r="Z7" s="1028"/>
      <c r="AA7" s="1028"/>
      <c r="AB7" s="1028"/>
      <c r="AC7" s="1028"/>
      <c r="AD7" s="1028"/>
      <c r="AE7" s="180"/>
      <c r="AF7" s="1418"/>
      <c r="AG7" s="60">
        <f>AVERAGE(D7:I7)</f>
        <v>1</v>
      </c>
      <c r="AH7" s="60">
        <f>AVERAGE(K7:P7)</f>
        <v>1</v>
      </c>
      <c r="AI7" s="60"/>
    </row>
    <row r="8" spans="2:43">
      <c r="B8" s="48"/>
      <c r="C8" s="884"/>
      <c r="D8" s="883"/>
      <c r="E8" s="883"/>
      <c r="F8" s="883"/>
      <c r="G8" s="883"/>
      <c r="H8" s="883"/>
      <c r="I8" s="883"/>
      <c r="J8" s="180"/>
      <c r="K8" s="883"/>
      <c r="L8" s="883"/>
      <c r="M8" s="883"/>
      <c r="N8" s="883"/>
      <c r="O8" s="883"/>
      <c r="P8" s="883"/>
      <c r="Q8" s="180"/>
      <c r="R8" s="883"/>
      <c r="S8" s="883"/>
      <c r="T8" s="883"/>
      <c r="U8" s="883"/>
      <c r="V8" s="883"/>
      <c r="W8" s="883"/>
      <c r="X8" s="180"/>
      <c r="Y8" s="1028"/>
      <c r="Z8" s="1028"/>
      <c r="AA8" s="1028"/>
      <c r="AB8" s="1028"/>
      <c r="AC8" s="1028"/>
      <c r="AD8" s="1028"/>
      <c r="AE8" s="180"/>
      <c r="AF8" s="1418"/>
      <c r="AG8" s="60"/>
      <c r="AH8" s="60"/>
      <c r="AI8" s="60"/>
    </row>
    <row r="9" spans="2:43" s="52" customFormat="1">
      <c r="B9" s="48"/>
      <c r="C9" s="880" t="s">
        <v>630</v>
      </c>
      <c r="D9" s="881">
        <f>SUBTOTAL(9,D10:D18)</f>
        <v>94255.370951284815</v>
      </c>
      <c r="E9" s="881">
        <f t="shared" ref="E9:W9" si="5">SUBTOTAL(9,E10:E18)</f>
        <v>94294.707763873856</v>
      </c>
      <c r="F9" s="881">
        <f t="shared" si="5"/>
        <v>95597.52599825435</v>
      </c>
      <c r="G9" s="881">
        <f t="shared" si="5"/>
        <v>93971.479044239852</v>
      </c>
      <c r="H9" s="881">
        <f t="shared" si="5"/>
        <v>92896.373666458108</v>
      </c>
      <c r="I9" s="881">
        <f t="shared" si="5"/>
        <v>90320.974837610527</v>
      </c>
      <c r="J9" s="180">
        <f>AVERAGE(D9:I9)</f>
        <v>93556.072043620268</v>
      </c>
      <c r="K9" s="881">
        <f t="shared" si="5"/>
        <v>94255.370951284815</v>
      </c>
      <c r="L9" s="881">
        <f t="shared" si="5"/>
        <v>94294.707763873856</v>
      </c>
      <c r="M9" s="881">
        <f t="shared" si="5"/>
        <v>95597.52599825435</v>
      </c>
      <c r="N9" s="881">
        <f t="shared" si="5"/>
        <v>93971.479044239852</v>
      </c>
      <c r="O9" s="881">
        <f t="shared" si="5"/>
        <v>92896.373666458108</v>
      </c>
      <c r="P9" s="881">
        <f t="shared" si="5"/>
        <v>90320.974837610527</v>
      </c>
      <c r="Q9" s="180">
        <f>AVERAGE(K9:P9)</f>
        <v>93556.072043620268</v>
      </c>
      <c r="R9" s="881">
        <f t="shared" si="5"/>
        <v>3665.2482545294497</v>
      </c>
      <c r="S9" s="881">
        <f t="shared" si="5"/>
        <v>3666.7779199715942</v>
      </c>
      <c r="T9" s="881">
        <f t="shared" si="5"/>
        <v>3717.4397784029857</v>
      </c>
      <c r="U9" s="881">
        <f t="shared" si="5"/>
        <v>3654.2087317280448</v>
      </c>
      <c r="V9" s="881">
        <f t="shared" si="5"/>
        <v>3612.4017973371501</v>
      </c>
      <c r="W9" s="881">
        <f t="shared" si="5"/>
        <v>3512.2539122152566</v>
      </c>
      <c r="X9" s="180">
        <f>AVERAGE(R9:W9)</f>
        <v>3638.0550656974137</v>
      </c>
      <c r="Y9" s="1027"/>
      <c r="Z9" s="1027"/>
      <c r="AA9" s="1027"/>
      <c r="AB9" s="1027"/>
      <c r="AC9" s="1027"/>
      <c r="AD9" s="1027"/>
      <c r="AE9" s="180"/>
      <c r="AF9" s="1418"/>
      <c r="AG9" s="520">
        <f t="shared" ref="AG9:AG18" si="6">AVERAGE(D9:I9)</f>
        <v>93556.072043620268</v>
      </c>
      <c r="AH9" s="520">
        <f t="shared" ref="AH9:AH18" si="7">AVERAGE(K9:P9)</f>
        <v>93556.072043620268</v>
      </c>
      <c r="AI9" s="520">
        <f>AVERAGE(R9:W9)</f>
        <v>3638.0550656974137</v>
      </c>
    </row>
    <row r="10" spans="2:43">
      <c r="B10" s="48" t="s">
        <v>277</v>
      </c>
      <c r="C10" s="882" t="s">
        <v>277</v>
      </c>
      <c r="D10" s="881">
        <f>SUBTOTAL(9,D11:D13)</f>
        <v>12820.788758074148</v>
      </c>
      <c r="E10" s="881">
        <f t="shared" ref="E10:W10" si="8">SUBTOTAL(9,E11:E13)</f>
        <v>12826.139423606837</v>
      </c>
      <c r="F10" s="881">
        <f t="shared" si="8"/>
        <v>13003.351153873036</v>
      </c>
      <c r="G10" s="881">
        <f t="shared" si="8"/>
        <v>12782.173259205321</v>
      </c>
      <c r="H10" s="881">
        <f t="shared" si="8"/>
        <v>12635.935450133058</v>
      </c>
      <c r="I10" s="881">
        <f t="shared" si="8"/>
        <v>12285.624968945607</v>
      </c>
      <c r="J10" s="180">
        <f>AVERAGE(D10:I10)</f>
        <v>12725.668835639668</v>
      </c>
      <c r="K10" s="881">
        <f t="shared" si="8"/>
        <v>12820.788758074148</v>
      </c>
      <c r="L10" s="881">
        <f t="shared" si="8"/>
        <v>12826.139423606837</v>
      </c>
      <c r="M10" s="881">
        <f t="shared" si="8"/>
        <v>13003.351153873036</v>
      </c>
      <c r="N10" s="881">
        <f t="shared" si="8"/>
        <v>12782.173259205321</v>
      </c>
      <c r="O10" s="881">
        <f t="shared" si="8"/>
        <v>12635.935450133058</v>
      </c>
      <c r="P10" s="881">
        <f t="shared" si="8"/>
        <v>12285.624968945607</v>
      </c>
      <c r="Q10" s="180">
        <f>AVERAGE(K10:P10)</f>
        <v>12725.668835639668</v>
      </c>
      <c r="R10" s="881">
        <f t="shared" si="8"/>
        <v>3665.2482545294497</v>
      </c>
      <c r="S10" s="881">
        <f t="shared" si="8"/>
        <v>3666.7779199715942</v>
      </c>
      <c r="T10" s="881">
        <f t="shared" si="8"/>
        <v>3717.4397784029857</v>
      </c>
      <c r="U10" s="881">
        <f t="shared" si="8"/>
        <v>3654.2087317280448</v>
      </c>
      <c r="V10" s="881">
        <f t="shared" si="8"/>
        <v>3612.4017973371501</v>
      </c>
      <c r="W10" s="881">
        <f t="shared" si="8"/>
        <v>3512.2539122152566</v>
      </c>
      <c r="X10" s="180">
        <f>AVERAGE(R10:W10)</f>
        <v>3638.0550656974137</v>
      </c>
      <c r="Y10" s="1028"/>
      <c r="Z10" s="1028"/>
      <c r="AA10" s="1028"/>
      <c r="AB10" s="1028"/>
      <c r="AC10" s="1028"/>
      <c r="AD10" s="1028"/>
      <c r="AE10" s="180"/>
      <c r="AF10" s="1418"/>
      <c r="AG10" s="60">
        <f t="shared" si="6"/>
        <v>12725.668835639668</v>
      </c>
      <c r="AH10" s="60">
        <f t="shared" si="7"/>
        <v>12725.668835639668</v>
      </c>
      <c r="AI10" s="60">
        <f>AVERAGE(R10:W10)</f>
        <v>3638.0550656974137</v>
      </c>
    </row>
    <row r="11" spans="2:43">
      <c r="B11" s="48"/>
      <c r="C11" s="887" t="s">
        <v>304</v>
      </c>
      <c r="D11" s="883">
        <f t="shared" ref="D11:D12" si="9">K11</f>
        <v>11495.904449460373</v>
      </c>
      <c r="E11" s="883">
        <f t="shared" ref="E11:E12" si="10">L11</f>
        <v>11500.702183895088</v>
      </c>
      <c r="F11" s="883">
        <f t="shared" ref="F11:F12" si="11">M11</f>
        <v>11659.601075133802</v>
      </c>
      <c r="G11" s="883">
        <f t="shared" ref="G11:G12" si="12">N11</f>
        <v>11461.279428048589</v>
      </c>
      <c r="H11" s="883">
        <f t="shared" ref="H11:H12" si="13">O11</f>
        <v>11330.153651646224</v>
      </c>
      <c r="I11" s="883">
        <f t="shared" ref="I11:I12" si="14">P11</f>
        <v>11016.04381836165</v>
      </c>
      <c r="J11" s="180">
        <f>AVERAGE(D11:I11)</f>
        <v>11410.614101090954</v>
      </c>
      <c r="K11" s="883">
        <f>IF(MCDO800!$P11&gt;0,F801ENE!K11/(MCDO800!$P11*24*K$108),0)</f>
        <v>11495.904449460373</v>
      </c>
      <c r="L11" s="883">
        <f>IF(MCDO800!$P11&gt;0,F801ENE!L11/(MCDO800!$P11*24*L$108),0)</f>
        <v>11500.702183895088</v>
      </c>
      <c r="M11" s="883">
        <f>IF(MCDO800!$P11&gt;0,F801ENE!M11/(MCDO800!$P11*24*M$108),0)</f>
        <v>11659.601075133802</v>
      </c>
      <c r="N11" s="883">
        <f>IF(MCDO800!$P11&gt;0,F801ENE!N11/(MCDO800!$P11*24*N$108),0)</f>
        <v>11461.279428048589</v>
      </c>
      <c r="O11" s="883">
        <f>IF(MCDO800!$P11&gt;0,F801ENE!O11/(MCDO800!$P11*24*O$108),0)</f>
        <v>11330.153651646224</v>
      </c>
      <c r="P11" s="883">
        <f>IF(MCDO800!$P11&gt;0,F801ENE!P11/(MCDO800!$P11*24*P$108),0)</f>
        <v>11016.04381836165</v>
      </c>
      <c r="Q11" s="180">
        <f>AVERAGE(K11:P11)</f>
        <v>11410.614101090954</v>
      </c>
      <c r="R11" s="883">
        <f>IF(MCDO800!$Q11&gt;0,F801ENE!R11/(MCDO800!$Q11*24*R$108),0)</f>
        <v>3284.8952655483231</v>
      </c>
      <c r="S11" s="883">
        <f>IF(MCDO800!$Q11&gt;0,F801ENE!S11/(MCDO800!$Q11*24*S$108),0)</f>
        <v>3286.2661933599834</v>
      </c>
      <c r="T11" s="883">
        <f>IF(MCDO800!$Q11&gt;0,F801ENE!T11/(MCDO800!$Q11*24*T$108),0)</f>
        <v>3331.67073006483</v>
      </c>
      <c r="U11" s="883">
        <f>IF(MCDO800!$Q11&gt;0,F801ENE!U11/(MCDO800!$Q11*24*U$108),0)</f>
        <v>3275.0013446824078</v>
      </c>
      <c r="V11" s="883">
        <f>IF(MCDO800!$Q11&gt;0,F801ENE!V11/(MCDO800!$Q11*24*V$108),0)</f>
        <v>3237.5328319621503</v>
      </c>
      <c r="W11" s="883">
        <f>IF(MCDO800!$Q11&gt;0,F801ENE!W11/(MCDO800!$Q11*24*W$108),0)</f>
        <v>3147.7775709685616</v>
      </c>
      <c r="X11" s="180">
        <f>AVERAGE(R11:W11)</f>
        <v>3260.523989431043</v>
      </c>
      <c r="Y11" s="1028"/>
      <c r="Z11" s="1028"/>
      <c r="AA11" s="1028"/>
      <c r="AB11" s="1028"/>
      <c r="AC11" s="1028"/>
      <c r="AD11" s="1028"/>
      <c r="AE11" s="180"/>
      <c r="AF11" s="1418"/>
      <c r="AG11" s="60">
        <f t="shared" ref="AG11:AG12" si="15">AVERAGE(D11:I11)</f>
        <v>11410.614101090954</v>
      </c>
      <c r="AH11" s="60">
        <f t="shared" ref="AH11:AH12" si="16">AVERAGE(K11:P11)</f>
        <v>11410.614101090954</v>
      </c>
      <c r="AI11" s="60">
        <f t="shared" ref="AI11:AI12" si="17">AVERAGE(R11:W11)</f>
        <v>3260.523989431043</v>
      </c>
    </row>
    <row r="12" spans="2:43">
      <c r="B12" s="48"/>
      <c r="C12" s="887" t="s">
        <v>305</v>
      </c>
      <c r="D12" s="883">
        <f t="shared" si="9"/>
        <v>1324.8843086137756</v>
      </c>
      <c r="E12" s="883">
        <f t="shared" si="10"/>
        <v>1325.4372397117502</v>
      </c>
      <c r="F12" s="883">
        <f t="shared" si="11"/>
        <v>1343.7500787392341</v>
      </c>
      <c r="G12" s="883">
        <f t="shared" si="12"/>
        <v>1320.8938311567329</v>
      </c>
      <c r="H12" s="883">
        <f t="shared" si="13"/>
        <v>1305.7817984868338</v>
      </c>
      <c r="I12" s="883">
        <f t="shared" si="14"/>
        <v>1269.5811505839572</v>
      </c>
      <c r="J12" s="180">
        <f>AVERAGE(D12:I12)</f>
        <v>1315.0547345487139</v>
      </c>
      <c r="K12" s="883">
        <f>IF(MCDO800!$P12&gt;0,F801ENE!K12/(MCDO800!$P12*24*K$108),0)</f>
        <v>1324.8843086137756</v>
      </c>
      <c r="L12" s="883">
        <f>IF(MCDO800!$P12&gt;0,F801ENE!L12/(MCDO800!$P12*24*L$108),0)</f>
        <v>1325.4372397117502</v>
      </c>
      <c r="M12" s="883">
        <f>IF(MCDO800!$P12&gt;0,F801ENE!M12/(MCDO800!$P12*24*M$108),0)</f>
        <v>1343.7500787392341</v>
      </c>
      <c r="N12" s="883">
        <f>IF(MCDO800!$P12&gt;0,F801ENE!N12/(MCDO800!$P12*24*N$108),0)</f>
        <v>1320.8938311567329</v>
      </c>
      <c r="O12" s="883">
        <f>IF(MCDO800!$P12&gt;0,F801ENE!O12/(MCDO800!$P12*24*O$108),0)</f>
        <v>1305.7817984868338</v>
      </c>
      <c r="P12" s="883">
        <f>IF(MCDO800!$P12&gt;0,F801ENE!P12/(MCDO800!$P12*24*P$108),0)</f>
        <v>1269.5811505839572</v>
      </c>
      <c r="Q12" s="180">
        <f>AVERAGE(K12:P12)</f>
        <v>1315.0547345487139</v>
      </c>
      <c r="R12" s="883">
        <f>IF(MCDO800!$Q12&gt;0,F801ENE!R12/(MCDO800!$Q12*24*R$108),0)</f>
        <v>380.35298898112666</v>
      </c>
      <c r="S12" s="883">
        <f>IF(MCDO800!$Q12&gt;0,F801ENE!S12/(MCDO800!$Q12*24*S$108),0)</f>
        <v>380.51172661161098</v>
      </c>
      <c r="T12" s="883">
        <f>IF(MCDO800!$Q12&gt;0,F801ENE!T12/(MCDO800!$Q12*24*T$108),0)</f>
        <v>385.76904833815587</v>
      </c>
      <c r="U12" s="883">
        <f>IF(MCDO800!$Q12&gt;0,F801ENE!U12/(MCDO800!$Q12*24*U$108),0)</f>
        <v>379.20738704563684</v>
      </c>
      <c r="V12" s="883">
        <f>IF(MCDO800!$Q12&gt;0,F801ENE!V12/(MCDO800!$Q12*24*V$108),0)</f>
        <v>374.86896537500002</v>
      </c>
      <c r="W12" s="883">
        <f>IF(MCDO800!$Q12&gt;0,F801ENE!W12/(MCDO800!$Q12*24*W$108),0)</f>
        <v>364.47634124669491</v>
      </c>
      <c r="X12" s="180">
        <f>AVERAGE(R12:W12)</f>
        <v>377.53107626637092</v>
      </c>
      <c r="Y12" s="1028"/>
      <c r="Z12" s="1028"/>
      <c r="AA12" s="1028"/>
      <c r="AB12" s="1028"/>
      <c r="AC12" s="1028"/>
      <c r="AD12" s="1028"/>
      <c r="AE12" s="180"/>
      <c r="AF12" s="1418"/>
      <c r="AG12" s="60">
        <f t="shared" si="15"/>
        <v>1315.0547345487139</v>
      </c>
      <c r="AH12" s="60">
        <f t="shared" si="16"/>
        <v>1315.0547345487139</v>
      </c>
      <c r="AI12" s="60">
        <f t="shared" si="17"/>
        <v>377.53107626637092</v>
      </c>
    </row>
    <row r="13" spans="2:43">
      <c r="B13" s="48"/>
      <c r="C13" s="887"/>
      <c r="D13" s="883"/>
      <c r="E13" s="883"/>
      <c r="F13" s="883"/>
      <c r="G13" s="883"/>
      <c r="H13" s="883"/>
      <c r="I13" s="883"/>
      <c r="J13" s="180"/>
      <c r="K13" s="883"/>
      <c r="L13" s="883"/>
      <c r="M13" s="883"/>
      <c r="N13" s="883"/>
      <c r="O13" s="883"/>
      <c r="P13" s="883"/>
      <c r="Q13" s="180"/>
      <c r="R13" s="883"/>
      <c r="S13" s="883"/>
      <c r="T13" s="883"/>
      <c r="U13" s="883"/>
      <c r="V13" s="883"/>
      <c r="W13" s="883"/>
      <c r="X13" s="180"/>
      <c r="Y13" s="1028"/>
      <c r="Z13" s="1028"/>
      <c r="AA13" s="1028"/>
      <c r="AB13" s="1028"/>
      <c r="AC13" s="1028"/>
      <c r="AD13" s="1028"/>
      <c r="AE13" s="180"/>
      <c r="AF13" s="1418"/>
      <c r="AG13" s="60"/>
      <c r="AH13" s="60"/>
      <c r="AI13" s="60"/>
    </row>
    <row r="14" spans="2:43" s="544" customFormat="1">
      <c r="B14" s="48" t="s">
        <v>276</v>
      </c>
      <c r="C14" s="885" t="s">
        <v>626</v>
      </c>
      <c r="D14" s="881">
        <f>SUBTOTAL(9,D15:D18)</f>
        <v>81434.582193210663</v>
      </c>
      <c r="E14" s="881">
        <f t="shared" ref="E14:W14" si="18">SUBTOTAL(9,E15:E18)</f>
        <v>81468.568340267011</v>
      </c>
      <c r="F14" s="881">
        <f t="shared" si="18"/>
        <v>82594.174844381312</v>
      </c>
      <c r="G14" s="881">
        <f t="shared" si="18"/>
        <v>81189.305785034536</v>
      </c>
      <c r="H14" s="881">
        <f t="shared" si="18"/>
        <v>80260.438216325056</v>
      </c>
      <c r="I14" s="881">
        <f t="shared" si="18"/>
        <v>78035.349868664925</v>
      </c>
      <c r="J14" s="180">
        <f t="shared" ref="J14:J24" si="19">AVERAGE(D14:I14)</f>
        <v>80830.403207980577</v>
      </c>
      <c r="K14" s="881">
        <f t="shared" si="18"/>
        <v>81434.582193210663</v>
      </c>
      <c r="L14" s="881">
        <f t="shared" si="18"/>
        <v>81468.568340267011</v>
      </c>
      <c r="M14" s="881">
        <f t="shared" si="18"/>
        <v>82594.174844381312</v>
      </c>
      <c r="N14" s="881">
        <f t="shared" si="18"/>
        <v>81189.305785034536</v>
      </c>
      <c r="O14" s="881">
        <f t="shared" si="18"/>
        <v>80260.438216325056</v>
      </c>
      <c r="P14" s="881">
        <f t="shared" si="18"/>
        <v>78035.349868664925</v>
      </c>
      <c r="Q14" s="180">
        <f>AVERAGE(K14:P14)</f>
        <v>80830.403207980577</v>
      </c>
      <c r="R14" s="881">
        <f t="shared" si="18"/>
        <v>0</v>
      </c>
      <c r="S14" s="881">
        <f t="shared" si="18"/>
        <v>0</v>
      </c>
      <c r="T14" s="881">
        <f t="shared" si="18"/>
        <v>0</v>
      </c>
      <c r="U14" s="881">
        <f t="shared" si="18"/>
        <v>0</v>
      </c>
      <c r="V14" s="881">
        <f t="shared" si="18"/>
        <v>0</v>
      </c>
      <c r="W14" s="881">
        <f t="shared" si="18"/>
        <v>0</v>
      </c>
      <c r="X14" s="180">
        <f>AVERAGE(R14:W14)</f>
        <v>0</v>
      </c>
      <c r="Y14" s="881"/>
      <c r="Z14" s="881"/>
      <c r="AA14" s="881"/>
      <c r="AB14" s="881"/>
      <c r="AC14" s="881"/>
      <c r="AD14" s="881"/>
      <c r="AE14" s="881"/>
      <c r="AF14" s="1419"/>
      <c r="AG14" s="60">
        <f t="shared" ref="AG14" si="20">AVERAGE(D14:I14)</f>
        <v>80830.403207980577</v>
      </c>
      <c r="AH14" s="60">
        <f t="shared" ref="AH14" si="21">AVERAGE(K14:P14)</f>
        <v>80830.403207980577</v>
      </c>
      <c r="AI14" s="60"/>
    </row>
    <row r="15" spans="2:43">
      <c r="B15" s="48"/>
      <c r="C15" s="887" t="s">
        <v>304</v>
      </c>
      <c r="D15" s="883">
        <f t="shared" si="3"/>
        <v>80884.457040931666</v>
      </c>
      <c r="E15" s="883">
        <f t="shared" si="4"/>
        <v>80918.213597145645</v>
      </c>
      <c r="F15" s="883">
        <f t="shared" si="4"/>
        <v>82036.216151773056</v>
      </c>
      <c r="G15" s="883">
        <f t="shared" si="4"/>
        <v>80640.837578954131</v>
      </c>
      <c r="H15" s="883">
        <f t="shared" si="4"/>
        <v>79718.244904754101</v>
      </c>
      <c r="I15" s="883">
        <f t="shared" si="4"/>
        <v>77508.187972901884</v>
      </c>
      <c r="J15" s="180">
        <f t="shared" si="19"/>
        <v>80284.359541076745</v>
      </c>
      <c r="K15" s="883">
        <f>IF(MCDO800!$P15&gt;0,F801ENE!K15/(MCDO800!$P15*24*K$108),0)</f>
        <v>80884.457040931666</v>
      </c>
      <c r="L15" s="883">
        <f>IF(MCDO800!$P15&gt;0,F801ENE!L15/(MCDO800!$P15*24*L$108),0)</f>
        <v>80918.213597145645</v>
      </c>
      <c r="M15" s="883">
        <f>IF(MCDO800!$P15&gt;0,F801ENE!M15/(MCDO800!$P15*24*M$108),0)</f>
        <v>82036.216151773056</v>
      </c>
      <c r="N15" s="883">
        <f>IF(MCDO800!$P15&gt;0,F801ENE!N15/(MCDO800!$P15*24*N$108),0)</f>
        <v>80640.837578954131</v>
      </c>
      <c r="O15" s="883">
        <f>IF(MCDO800!$P15&gt;0,F801ENE!O15/(MCDO800!$P15*24*O$108),0)</f>
        <v>79718.244904754101</v>
      </c>
      <c r="P15" s="883">
        <f>IF(MCDO800!$P15&gt;0,F801ENE!P15/(MCDO800!$P15*24*P$108),0)</f>
        <v>77508.187972901884</v>
      </c>
      <c r="Q15" s="180">
        <f>AVERAGE(K15:P15)</f>
        <v>80284.359541076745</v>
      </c>
      <c r="R15" s="883"/>
      <c r="S15" s="883"/>
      <c r="T15" s="883"/>
      <c r="U15" s="883"/>
      <c r="V15" s="883"/>
      <c r="W15" s="883"/>
      <c r="X15" s="180"/>
      <c r="Y15" s="1028"/>
      <c r="Z15" s="1028"/>
      <c r="AA15" s="1028"/>
      <c r="AB15" s="1028"/>
      <c r="AC15" s="1028"/>
      <c r="AD15" s="1028"/>
      <c r="AE15" s="180"/>
      <c r="AF15" s="1418"/>
      <c r="AG15" s="60">
        <f t="shared" si="6"/>
        <v>80284.359541076745</v>
      </c>
      <c r="AH15" s="60">
        <f t="shared" si="7"/>
        <v>80284.359541076745</v>
      </c>
      <c r="AI15" s="60"/>
    </row>
    <row r="16" spans="2:43">
      <c r="B16" s="48"/>
      <c r="C16" s="888" t="s">
        <v>306</v>
      </c>
      <c r="D16" s="883">
        <f t="shared" si="3"/>
        <v>0</v>
      </c>
      <c r="E16" s="883">
        <f t="shared" si="4"/>
        <v>0</v>
      </c>
      <c r="F16" s="883">
        <f t="shared" si="4"/>
        <v>0</v>
      </c>
      <c r="G16" s="883">
        <f t="shared" si="4"/>
        <v>0</v>
      </c>
      <c r="H16" s="883">
        <f t="shared" si="4"/>
        <v>0</v>
      </c>
      <c r="I16" s="883">
        <f t="shared" si="4"/>
        <v>0</v>
      </c>
      <c r="J16" s="180">
        <f t="shared" si="19"/>
        <v>0</v>
      </c>
      <c r="K16" s="883">
        <f>IF(MCDO800!$P16&gt;0,F801ENE!K16/(MCDO800!$P16*24*K$108),0)</f>
        <v>0</v>
      </c>
      <c r="L16" s="883">
        <f>IF(MCDO800!$P16&gt;0,F801ENE!L16/(MCDO800!$P16*24*L$108),0)</f>
        <v>0</v>
      </c>
      <c r="M16" s="883">
        <f>IF(MCDO800!$P16&gt;0,F801ENE!M16/(MCDO800!$P16*24*M$108),0)</f>
        <v>0</v>
      </c>
      <c r="N16" s="883">
        <f>IF(MCDO800!$P16&gt;0,F801ENE!N16/(MCDO800!$P16*24*N$108),0)</f>
        <v>0</v>
      </c>
      <c r="O16" s="883">
        <f>IF(MCDO800!$P16&gt;0,F801ENE!O16/(MCDO800!$P16*24*O$108),0)</f>
        <v>0</v>
      </c>
      <c r="P16" s="883">
        <f>IF(MCDO800!$P16&gt;0,F801ENE!P16/(MCDO800!$P16*24*P$108),0)</f>
        <v>0</v>
      </c>
      <c r="Q16" s="180">
        <f>AVERAGE(K16:P16)</f>
        <v>0</v>
      </c>
      <c r="R16" s="883"/>
      <c r="S16" s="883"/>
      <c r="T16" s="883"/>
      <c r="U16" s="883"/>
      <c r="V16" s="883"/>
      <c r="W16" s="883"/>
      <c r="X16" s="180"/>
      <c r="Y16" s="1028"/>
      <c r="Z16" s="1028"/>
      <c r="AA16" s="1028"/>
      <c r="AB16" s="1028"/>
      <c r="AC16" s="1028"/>
      <c r="AD16" s="1028"/>
      <c r="AE16" s="180"/>
      <c r="AF16" s="1418"/>
      <c r="AG16" s="60">
        <f t="shared" si="6"/>
        <v>0</v>
      </c>
      <c r="AH16" s="60">
        <f t="shared" si="7"/>
        <v>0</v>
      </c>
      <c r="AI16" s="60"/>
    </row>
    <row r="17" spans="2:35">
      <c r="B17" s="48"/>
      <c r="C17" s="887" t="s">
        <v>305</v>
      </c>
      <c r="D17" s="883">
        <f t="shared" si="3"/>
        <v>550.12515227899098</v>
      </c>
      <c r="E17" s="883">
        <f t="shared" si="4"/>
        <v>550.35474312137296</v>
      </c>
      <c r="F17" s="883">
        <f t="shared" si="4"/>
        <v>557.95869260824986</v>
      </c>
      <c r="G17" s="883">
        <f t="shared" si="4"/>
        <v>548.46820608040684</v>
      </c>
      <c r="H17" s="883">
        <f t="shared" si="4"/>
        <v>542.19331157095951</v>
      </c>
      <c r="I17" s="883">
        <f t="shared" si="4"/>
        <v>527.1618957630352</v>
      </c>
      <c r="J17" s="180">
        <f t="shared" si="19"/>
        <v>546.04366690383597</v>
      </c>
      <c r="K17" s="883">
        <f>IF(MCDO800!$P17&gt;0,F801ENE!K17/(MCDO800!$P17*24*K$108),0)</f>
        <v>550.12515227899098</v>
      </c>
      <c r="L17" s="883">
        <f>IF(MCDO800!$P17&gt;0,F801ENE!L17/(MCDO800!$P17*24*L$108),0)</f>
        <v>550.35474312137296</v>
      </c>
      <c r="M17" s="883">
        <f>IF(MCDO800!$P17&gt;0,F801ENE!M17/(MCDO800!$P17*24*M$108),0)</f>
        <v>557.95869260824986</v>
      </c>
      <c r="N17" s="883">
        <f>IF(MCDO800!$P17&gt;0,F801ENE!N17/(MCDO800!$P17*24*N$108),0)</f>
        <v>548.46820608040684</v>
      </c>
      <c r="O17" s="883">
        <f>IF(MCDO800!$P17&gt;0,F801ENE!O17/(MCDO800!$P17*24*O$108),0)</f>
        <v>542.19331157095951</v>
      </c>
      <c r="P17" s="883">
        <f>IF(MCDO800!$P17&gt;0,F801ENE!P17/(MCDO800!$P17*24*P$108),0)</f>
        <v>527.1618957630352</v>
      </c>
      <c r="Q17" s="180">
        <f>AVERAGE(K17:P17)</f>
        <v>546.04366690383597</v>
      </c>
      <c r="R17" s="883"/>
      <c r="S17" s="883"/>
      <c r="T17" s="883"/>
      <c r="U17" s="883"/>
      <c r="V17" s="883"/>
      <c r="W17" s="883"/>
      <c r="X17" s="180"/>
      <c r="Y17" s="1028"/>
      <c r="Z17" s="1028"/>
      <c r="AA17" s="1028"/>
      <c r="AB17" s="1028"/>
      <c r="AC17" s="1028"/>
      <c r="AD17" s="1028"/>
      <c r="AE17" s="180"/>
      <c r="AF17" s="1418"/>
      <c r="AG17" s="60">
        <f t="shared" si="6"/>
        <v>546.04366690383597</v>
      </c>
      <c r="AH17" s="60">
        <f t="shared" si="7"/>
        <v>546.04366690383597</v>
      </c>
      <c r="AI17" s="60"/>
    </row>
    <row r="18" spans="2:35">
      <c r="B18" s="48"/>
      <c r="C18" s="887" t="s">
        <v>307</v>
      </c>
      <c r="D18" s="883">
        <f t="shared" si="3"/>
        <v>0</v>
      </c>
      <c r="E18" s="883">
        <f t="shared" si="4"/>
        <v>0</v>
      </c>
      <c r="F18" s="883">
        <f t="shared" si="4"/>
        <v>0</v>
      </c>
      <c r="G18" s="883">
        <f t="shared" si="4"/>
        <v>0</v>
      </c>
      <c r="H18" s="883">
        <f t="shared" si="4"/>
        <v>0</v>
      </c>
      <c r="I18" s="883">
        <f t="shared" si="4"/>
        <v>0</v>
      </c>
      <c r="J18" s="180">
        <f t="shared" si="19"/>
        <v>0</v>
      </c>
      <c r="K18" s="883">
        <f>IF(MCDO800!$P18&gt;0,F801ENE!K18/(MCDO800!$P18*24*K$108),0)</f>
        <v>0</v>
      </c>
      <c r="L18" s="883">
        <f>IF(MCDO800!$P18&gt;0,F801ENE!L18/(MCDO800!$P18*24*L$108),0)</f>
        <v>0</v>
      </c>
      <c r="M18" s="883">
        <f>IF(MCDO800!$P18&gt;0,F801ENE!M18/(MCDO800!$P18*24*M$108),0)</f>
        <v>0</v>
      </c>
      <c r="N18" s="883">
        <f>IF(MCDO800!$P18&gt;0,F801ENE!N18/(MCDO800!$P18*24*N$108),0)</f>
        <v>0</v>
      </c>
      <c r="O18" s="883">
        <f>IF(MCDO800!$P18&gt;0,F801ENE!O18/(MCDO800!$P18*24*O$108),0)</f>
        <v>0</v>
      </c>
      <c r="P18" s="883">
        <f>IF(MCDO800!$P18&gt;0,F801ENE!P18/(MCDO800!$P18*24*P$108),0)</f>
        <v>0</v>
      </c>
      <c r="Q18" s="180">
        <f>AVERAGE(K18:P18)</f>
        <v>0</v>
      </c>
      <c r="R18" s="883"/>
      <c r="S18" s="883"/>
      <c r="T18" s="883"/>
      <c r="U18" s="883"/>
      <c r="V18" s="883"/>
      <c r="W18" s="883"/>
      <c r="X18" s="180"/>
      <c r="Y18" s="1028"/>
      <c r="Z18" s="1028"/>
      <c r="AA18" s="1028"/>
      <c r="AB18" s="1028"/>
      <c r="AC18" s="1028"/>
      <c r="AD18" s="1028"/>
      <c r="AE18" s="180"/>
      <c r="AF18" s="1418"/>
      <c r="AG18" s="60">
        <f t="shared" si="6"/>
        <v>0</v>
      </c>
      <c r="AH18" s="60">
        <f t="shared" si="7"/>
        <v>0</v>
      </c>
      <c r="AI18" s="60"/>
    </row>
    <row r="19" spans="2:35">
      <c r="B19" s="48"/>
      <c r="C19" s="884"/>
      <c r="D19" s="883">
        <f t="shared" si="3"/>
        <v>0</v>
      </c>
      <c r="E19" s="883">
        <f t="shared" ref="E19:E106" si="22">L19</f>
        <v>0</v>
      </c>
      <c r="F19" s="883">
        <f t="shared" ref="F19:F106" si="23">M19</f>
        <v>0</v>
      </c>
      <c r="G19" s="883">
        <f t="shared" ref="G19:G106" si="24">N19</f>
        <v>0</v>
      </c>
      <c r="H19" s="883">
        <f t="shared" ref="H19:H106" si="25">O19</f>
        <v>0</v>
      </c>
      <c r="I19" s="883">
        <f t="shared" ref="I19:I106" si="26">P19</f>
        <v>0</v>
      </c>
      <c r="J19" s="180">
        <f t="shared" si="19"/>
        <v>0</v>
      </c>
      <c r="K19" s="883"/>
      <c r="L19" s="883"/>
      <c r="M19" s="883"/>
      <c r="N19" s="883"/>
      <c r="O19" s="883"/>
      <c r="P19" s="883"/>
      <c r="Q19" s="180"/>
      <c r="R19" s="883"/>
      <c r="S19" s="883"/>
      <c r="T19" s="883"/>
      <c r="U19" s="883"/>
      <c r="V19" s="883"/>
      <c r="W19" s="883"/>
      <c r="X19" s="180"/>
      <c r="Y19" s="1028"/>
      <c r="Z19" s="1028"/>
      <c r="AA19" s="1028"/>
      <c r="AB19" s="1028"/>
      <c r="AC19" s="1028"/>
      <c r="AD19" s="1028"/>
      <c r="AE19" s="180"/>
      <c r="AF19" s="1418"/>
      <c r="AG19" s="60"/>
      <c r="AH19" s="60"/>
      <c r="AI19" s="60"/>
    </row>
    <row r="20" spans="2:35" s="52" customFormat="1">
      <c r="B20" s="48"/>
      <c r="C20" s="880" t="s">
        <v>443</v>
      </c>
      <c r="D20" s="881">
        <f>SUBTOTAL(9,D21:D105)</f>
        <v>237455.80187424502</v>
      </c>
      <c r="E20" s="881">
        <f t="shared" ref="E20:W20" si="27">SUBTOTAL(9,E21:E105)</f>
        <v>237554.90237411292</v>
      </c>
      <c r="F20" s="881">
        <f t="shared" si="27"/>
        <v>240837.06810556073</v>
      </c>
      <c r="G20" s="881">
        <f t="shared" si="27"/>
        <v>236740.59827626855</v>
      </c>
      <c r="H20" s="881">
        <f t="shared" si="27"/>
        <v>234032.10530654251</v>
      </c>
      <c r="I20" s="881">
        <f t="shared" si="27"/>
        <v>227543.95096713549</v>
      </c>
      <c r="J20" s="180">
        <f t="shared" si="19"/>
        <v>235694.07115064422</v>
      </c>
      <c r="K20" s="881">
        <f t="shared" si="27"/>
        <v>237455.80187424502</v>
      </c>
      <c r="L20" s="881">
        <f t="shared" si="27"/>
        <v>237554.90237411292</v>
      </c>
      <c r="M20" s="881">
        <f t="shared" si="27"/>
        <v>240837.06810556073</v>
      </c>
      <c r="N20" s="881">
        <f t="shared" si="27"/>
        <v>236740.59827626855</v>
      </c>
      <c r="O20" s="881">
        <f t="shared" si="27"/>
        <v>234032.10530654251</v>
      </c>
      <c r="P20" s="881">
        <f t="shared" si="27"/>
        <v>227543.95096713549</v>
      </c>
      <c r="Q20" s="180">
        <f>AVERAGE(K20:P20)</f>
        <v>235694.07115064422</v>
      </c>
      <c r="R20" s="881">
        <f t="shared" si="27"/>
        <v>1886.2875770079231</v>
      </c>
      <c r="S20" s="881">
        <f t="shared" si="27"/>
        <v>1887.0748057902933</v>
      </c>
      <c r="T20" s="881">
        <f t="shared" si="27"/>
        <v>1913.1474828781741</v>
      </c>
      <c r="U20" s="881">
        <f t="shared" si="27"/>
        <v>1880.6061842971696</v>
      </c>
      <c r="V20" s="881">
        <f t="shared" si="27"/>
        <v>1859.0906155012835</v>
      </c>
      <c r="W20" s="881">
        <f t="shared" si="27"/>
        <v>1807.5503927249422</v>
      </c>
      <c r="X20" s="180">
        <f>AVERAGE(R20:W20)</f>
        <v>1872.2928430332977</v>
      </c>
      <c r="Y20" s="1027"/>
      <c r="Z20" s="1027"/>
      <c r="AA20" s="1027"/>
      <c r="AB20" s="1027"/>
      <c r="AC20" s="1027"/>
      <c r="AD20" s="1027"/>
      <c r="AE20" s="180"/>
      <c r="AF20" s="1418"/>
      <c r="AG20" s="520">
        <f t="shared" ref="AG20:AG31" si="28">AVERAGE(D20:I20)</f>
        <v>235694.07115064422</v>
      </c>
      <c r="AH20" s="520">
        <f t="shared" ref="AH20:AH31" si="29">AVERAGE(K20:P20)</f>
        <v>235694.07115064422</v>
      </c>
      <c r="AI20" s="520">
        <f>AVERAGE(R20:W20)</f>
        <v>1872.2928430332977</v>
      </c>
    </row>
    <row r="21" spans="2:35">
      <c r="B21" s="48" t="s">
        <v>275</v>
      </c>
      <c r="C21" s="882" t="s">
        <v>275</v>
      </c>
      <c r="D21" s="881">
        <f>SUBTOTAL(9,D22:D24)</f>
        <v>9505.2096202231096</v>
      </c>
      <c r="E21" s="881">
        <f t="shared" ref="E21:W21" si="30">SUBTOTAL(9,E22:E24)</f>
        <v>9509.1765522469996</v>
      </c>
      <c r="F21" s="881">
        <f t="shared" si="30"/>
        <v>9640.5596266527627</v>
      </c>
      <c r="G21" s="881">
        <f t="shared" si="30"/>
        <v>9476.5804603278939</v>
      </c>
      <c r="H21" s="881">
        <f t="shared" si="30"/>
        <v>9368.1611535392531</v>
      </c>
      <c r="I21" s="881">
        <f t="shared" si="30"/>
        <v>9108.4443281020522</v>
      </c>
      <c r="J21" s="180">
        <f t="shared" si="19"/>
        <v>9434.6886235153452</v>
      </c>
      <c r="K21" s="881">
        <f t="shared" si="30"/>
        <v>9505.2096202231096</v>
      </c>
      <c r="L21" s="881">
        <f t="shared" si="30"/>
        <v>9509.1765522469996</v>
      </c>
      <c r="M21" s="881">
        <f t="shared" si="30"/>
        <v>9640.5596266527627</v>
      </c>
      <c r="N21" s="881">
        <f t="shared" si="30"/>
        <v>9476.5804603278939</v>
      </c>
      <c r="O21" s="881">
        <f t="shared" si="30"/>
        <v>9368.1611535392531</v>
      </c>
      <c r="P21" s="881">
        <f t="shared" si="30"/>
        <v>9108.4443281020522</v>
      </c>
      <c r="Q21" s="180">
        <f>AVERAGE(K21:P21)</f>
        <v>9434.6886235153452</v>
      </c>
      <c r="R21" s="881">
        <f t="shared" si="30"/>
        <v>1886.2875770079231</v>
      </c>
      <c r="S21" s="881">
        <f t="shared" si="30"/>
        <v>1887.0748057902933</v>
      </c>
      <c r="T21" s="881">
        <f t="shared" si="30"/>
        <v>1913.1474828781741</v>
      </c>
      <c r="U21" s="881">
        <f t="shared" si="30"/>
        <v>1880.6061842971696</v>
      </c>
      <c r="V21" s="881">
        <f t="shared" si="30"/>
        <v>1859.0906155012835</v>
      </c>
      <c r="W21" s="881">
        <f t="shared" si="30"/>
        <v>1807.5503927249422</v>
      </c>
      <c r="X21" s="180">
        <f>AVERAGE(R21:W21)</f>
        <v>1872.2928430332977</v>
      </c>
      <c r="Y21" s="1028"/>
      <c r="Z21" s="1028"/>
      <c r="AA21" s="1028"/>
      <c r="AB21" s="1028"/>
      <c r="AC21" s="1028"/>
      <c r="AD21" s="1028"/>
      <c r="AE21" s="180"/>
      <c r="AF21" s="1418"/>
      <c r="AG21" s="60">
        <f t="shared" si="28"/>
        <v>9434.6886235153452</v>
      </c>
      <c r="AH21" s="60">
        <f t="shared" si="29"/>
        <v>9434.6886235153452</v>
      </c>
      <c r="AI21" s="60">
        <f>AVERAGE(R21:W21)</f>
        <v>1872.2928430332977</v>
      </c>
    </row>
    <row r="22" spans="2:35">
      <c r="B22" s="48"/>
      <c r="C22" s="887" t="s">
        <v>304</v>
      </c>
      <c r="D22" s="883">
        <f t="shared" ref="D22:D24" si="31">K22</f>
        <v>9171.5236290145804</v>
      </c>
      <c r="E22" s="883">
        <f t="shared" ref="E22:E24" si="32">L22</f>
        <v>9175.3512995495257</v>
      </c>
      <c r="F22" s="883">
        <f t="shared" ref="F22:F24" si="33">M22</f>
        <v>9302.1220936203208</v>
      </c>
      <c r="G22" s="883">
        <f t="shared" ref="G22:G24" si="34">N22</f>
        <v>9143.8995126669342</v>
      </c>
      <c r="H22" s="883">
        <f t="shared" ref="H22:H24" si="35">O22</f>
        <v>9039.2863296038486</v>
      </c>
      <c r="I22" s="883">
        <f t="shared" ref="I22:I24" si="36">P22</f>
        <v>8788.6870165406144</v>
      </c>
      <c r="J22" s="180">
        <f t="shared" si="19"/>
        <v>9103.4783134993031</v>
      </c>
      <c r="K22" s="883">
        <f>IF(MCDO800!$P22&gt;0,F801ENE!K22/(MCDO800!$P22*24*K$108),0)</f>
        <v>9171.5236290145804</v>
      </c>
      <c r="L22" s="883">
        <f>IF(MCDO800!$P22&gt;0,F801ENE!L22/(MCDO800!$P22*24*L$108),0)</f>
        <v>9175.3512995495257</v>
      </c>
      <c r="M22" s="883">
        <f>IF(MCDO800!$P22&gt;0,F801ENE!M22/(MCDO800!$P22*24*M$108),0)</f>
        <v>9302.1220936203208</v>
      </c>
      <c r="N22" s="883">
        <f>IF(MCDO800!$P22&gt;0,F801ENE!N22/(MCDO800!$P22*24*N$108),0)</f>
        <v>9143.8995126669342</v>
      </c>
      <c r="O22" s="883">
        <f>IF(MCDO800!$P22&gt;0,F801ENE!O22/(MCDO800!$P22*24*O$108),0)</f>
        <v>9039.2863296038486</v>
      </c>
      <c r="P22" s="883">
        <f>IF(MCDO800!$P22&gt;0,F801ENE!P22/(MCDO800!$P22*24*P$108),0)</f>
        <v>8788.6870165406144</v>
      </c>
      <c r="Q22" s="180">
        <f>AVERAGE(K22:P22)</f>
        <v>9103.4783134993031</v>
      </c>
      <c r="R22" s="883">
        <f>IF(MCDO800!$Q22&gt;0,F801ENE!R22/(MCDO800!$Q22*24*R$108),0)</f>
        <v>1840.3175697835866</v>
      </c>
      <c r="S22" s="883">
        <f>IF(MCDO800!$Q22&gt;0,F801ENE!S22/(MCDO800!$Q22*24*S$108),0)</f>
        <v>1841.0856133084947</v>
      </c>
      <c r="T22" s="883">
        <f>IF(MCDO800!$Q22&gt;0,F801ENE!T22/(MCDO800!$Q22*24*T$108),0)</f>
        <v>1866.5228829597274</v>
      </c>
      <c r="U22" s="883">
        <f>IF(MCDO800!$Q22&gt;0,F801ENE!U22/(MCDO800!$Q22*24*U$108),0)</f>
        <v>1834.7746361641941</v>
      </c>
      <c r="V22" s="883">
        <f>IF(MCDO800!$Q22&gt;0,F801ENE!V22/(MCDO800!$Q22*24*V$108),0)</f>
        <v>1813.7834152275839</v>
      </c>
      <c r="W22" s="883">
        <f>IF(MCDO800!$Q22&gt;0,F801ENE!W22/(MCDO800!$Q22*24*W$108),0)</f>
        <v>1763.4992598941137</v>
      </c>
      <c r="X22" s="180">
        <f>AVERAGE(R22:W22)</f>
        <v>1826.6638962229499</v>
      </c>
      <c r="Y22" s="1028"/>
      <c r="Z22" s="1028"/>
      <c r="AA22" s="1028"/>
      <c r="AB22" s="1028"/>
      <c r="AC22" s="1028"/>
      <c r="AD22" s="1028"/>
      <c r="AE22" s="180"/>
      <c r="AF22" s="1418"/>
      <c r="AG22" s="60">
        <f t="shared" ref="AG22:AG24" si="37">AVERAGE(D22:I22)</f>
        <v>9103.4783134993031</v>
      </c>
      <c r="AH22" s="60">
        <f t="shared" ref="AH22:AH24" si="38">AVERAGE(K22:P22)</f>
        <v>9103.4783134993031</v>
      </c>
      <c r="AI22" s="60">
        <f t="shared" ref="AI22:AI24" si="39">AVERAGE(R22:W22)</f>
        <v>1826.6638962229499</v>
      </c>
    </row>
    <row r="23" spans="2:35">
      <c r="B23" s="48"/>
      <c r="C23" s="888" t="s">
        <v>306</v>
      </c>
      <c r="D23" s="883">
        <f t="shared" si="31"/>
        <v>262.61938072604954</v>
      </c>
      <c r="E23" s="883">
        <f t="shared" si="32"/>
        <v>262.72898306762022</v>
      </c>
      <c r="F23" s="883">
        <f t="shared" si="33"/>
        <v>266.35896525811467</v>
      </c>
      <c r="G23" s="883">
        <f t="shared" si="34"/>
        <v>261.82838583558532</v>
      </c>
      <c r="H23" s="883">
        <f t="shared" si="35"/>
        <v>258.83286944560456</v>
      </c>
      <c r="I23" s="883">
        <f t="shared" si="36"/>
        <v>251.65715480220121</v>
      </c>
      <c r="J23" s="180">
        <f t="shared" si="19"/>
        <v>260.67095652252925</v>
      </c>
      <c r="K23" s="883">
        <f>IF(MCDO800!$P23&gt;0,F801ENE!K23/(MCDO800!$P23*24*K$108),0)</f>
        <v>262.61938072604954</v>
      </c>
      <c r="L23" s="883">
        <f>IF(MCDO800!$P23&gt;0,F801ENE!L23/(MCDO800!$P23*24*L$108),0)</f>
        <v>262.72898306762022</v>
      </c>
      <c r="M23" s="883">
        <f>IF(MCDO800!$P23&gt;0,F801ENE!M23/(MCDO800!$P23*24*M$108),0)</f>
        <v>266.35896525811467</v>
      </c>
      <c r="N23" s="883">
        <f>IF(MCDO800!$P23&gt;0,F801ENE!N23/(MCDO800!$P23*24*N$108),0)</f>
        <v>261.82838583558532</v>
      </c>
      <c r="O23" s="883">
        <f>IF(MCDO800!$P23&gt;0,F801ENE!O23/(MCDO800!$P23*24*O$108),0)</f>
        <v>258.83286944560456</v>
      </c>
      <c r="P23" s="883">
        <f>IF(MCDO800!$P23&gt;0,F801ENE!P23/(MCDO800!$P23*24*P$108),0)</f>
        <v>251.65715480220121</v>
      </c>
      <c r="Q23" s="180">
        <f>AVERAGE(K23:P23)</f>
        <v>260.67095652252925</v>
      </c>
      <c r="R23" s="883">
        <f>IF(MCDO800!$Q23&gt;0,F801ENE!R23/(MCDO800!$Q23*24*R$108),0)</f>
        <v>35.428389053589548</v>
      </c>
      <c r="S23" s="883">
        <f>IF(MCDO800!$Q23&gt;0,F801ENE!S23/(MCDO800!$Q23*24*S$108),0)</f>
        <v>35.443174841247767</v>
      </c>
      <c r="T23" s="883">
        <f>IF(MCDO800!$Q23&gt;0,F801ENE!T23/(MCDO800!$Q23*24*T$108),0)</f>
        <v>35.932873739123821</v>
      </c>
      <c r="U23" s="883">
        <f>IF(MCDO800!$Q23&gt;0,F801ENE!U23/(MCDO800!$Q23*24*U$108),0)</f>
        <v>35.321680726727699</v>
      </c>
      <c r="V23" s="883">
        <f>IF(MCDO800!$Q23&gt;0,F801ENE!V23/(MCDO800!$Q23*24*V$108),0)</f>
        <v>34.917573764830074</v>
      </c>
      <c r="W23" s="883">
        <f>IF(MCDO800!$Q23&gt;0,F801ENE!W23/(MCDO800!$Q23*24*W$108),0)</f>
        <v>33.949541590581568</v>
      </c>
      <c r="X23" s="180">
        <f>AVERAGE(R23:W23)</f>
        <v>35.165538952683413</v>
      </c>
      <c r="Y23" s="1028"/>
      <c r="Z23" s="1028"/>
      <c r="AA23" s="1028"/>
      <c r="AB23" s="1028"/>
      <c r="AC23" s="1028"/>
      <c r="AD23" s="1028"/>
      <c r="AE23" s="180"/>
      <c r="AF23" s="1418"/>
      <c r="AG23" s="60">
        <f t="shared" si="37"/>
        <v>260.67095652252925</v>
      </c>
      <c r="AH23" s="60">
        <f t="shared" si="38"/>
        <v>260.67095652252925</v>
      </c>
      <c r="AI23" s="60">
        <f t="shared" si="39"/>
        <v>35.165538952683413</v>
      </c>
    </row>
    <row r="24" spans="2:35">
      <c r="B24" s="48"/>
      <c r="C24" s="887" t="s">
        <v>305</v>
      </c>
      <c r="D24" s="883">
        <f t="shared" si="31"/>
        <v>71.066610482479803</v>
      </c>
      <c r="E24" s="883">
        <f t="shared" si="32"/>
        <v>71.096269629854362</v>
      </c>
      <c r="F24" s="883">
        <f t="shared" si="33"/>
        <v>72.078567774328718</v>
      </c>
      <c r="G24" s="883">
        <f t="shared" si="34"/>
        <v>70.852561825374423</v>
      </c>
      <c r="H24" s="883">
        <f t="shared" si="35"/>
        <v>70.041954489799622</v>
      </c>
      <c r="I24" s="883">
        <f t="shared" si="36"/>
        <v>68.100156759234849</v>
      </c>
      <c r="J24" s="180">
        <f t="shared" si="19"/>
        <v>70.539353493511967</v>
      </c>
      <c r="K24" s="883">
        <f>IF(MCDO800!$P24&gt;0,F801ENE!K24/(MCDO800!$P24*24*K$108),0)</f>
        <v>71.066610482479803</v>
      </c>
      <c r="L24" s="883">
        <f>IF(MCDO800!$P24&gt;0,F801ENE!L24/(MCDO800!$P24*24*L$108),0)</f>
        <v>71.096269629854362</v>
      </c>
      <c r="M24" s="883">
        <f>IF(MCDO800!$P24&gt;0,F801ENE!M24/(MCDO800!$P24*24*M$108),0)</f>
        <v>72.078567774328718</v>
      </c>
      <c r="N24" s="883">
        <f>IF(MCDO800!$P24&gt;0,F801ENE!N24/(MCDO800!$P24*24*N$108),0)</f>
        <v>70.852561825374423</v>
      </c>
      <c r="O24" s="883">
        <f>IF(MCDO800!$P24&gt;0,F801ENE!O24/(MCDO800!$P24*24*O$108),0)</f>
        <v>70.041954489799622</v>
      </c>
      <c r="P24" s="883">
        <f>IF(MCDO800!$P24&gt;0,F801ENE!P24/(MCDO800!$P24*24*P$108),0)</f>
        <v>68.100156759234849</v>
      </c>
      <c r="Q24" s="180">
        <f>AVERAGE(K24:P24)</f>
        <v>70.539353493511967</v>
      </c>
      <c r="R24" s="883">
        <f>IF(MCDO800!$Q24&gt;0,F801ENE!R24/(MCDO800!$Q24*24*R$108),0)</f>
        <v>10.541618170746867</v>
      </c>
      <c r="S24" s="883">
        <f>IF(MCDO800!$Q24&gt;0,F801ENE!S24/(MCDO800!$Q24*24*S$108),0)</f>
        <v>10.546017640550897</v>
      </c>
      <c r="T24" s="883">
        <f>IF(MCDO800!$Q24&gt;0,F801ENE!T24/(MCDO800!$Q24*24*T$108),0)</f>
        <v>10.691726179322911</v>
      </c>
      <c r="U24" s="883">
        <f>IF(MCDO800!$Q24&gt;0,F801ENE!U24/(MCDO800!$Q24*24*U$108),0)</f>
        <v>10.509867406247944</v>
      </c>
      <c r="V24" s="883">
        <f>IF(MCDO800!$Q24&gt;0,F801ENE!V24/(MCDO800!$Q24*24*V$108),0)</f>
        <v>10.389626508869805</v>
      </c>
      <c r="W24" s="883">
        <f>IF(MCDO800!$Q24&gt;0,F801ENE!W24/(MCDO800!$Q24*24*W$108),0)</f>
        <v>10.101591240246952</v>
      </c>
      <c r="X24" s="180">
        <f>AVERAGE(R24:W24)</f>
        <v>10.46340785766423</v>
      </c>
      <c r="Y24" s="1028"/>
      <c r="Z24" s="1028"/>
      <c r="AA24" s="1028"/>
      <c r="AB24" s="1028"/>
      <c r="AC24" s="1028"/>
      <c r="AD24" s="1028"/>
      <c r="AE24" s="180"/>
      <c r="AF24" s="1418"/>
      <c r="AG24" s="60">
        <f t="shared" si="37"/>
        <v>70.539353493511967</v>
      </c>
      <c r="AH24" s="60">
        <f t="shared" si="38"/>
        <v>70.539353493511967</v>
      </c>
      <c r="AI24" s="60">
        <f t="shared" si="39"/>
        <v>10.46340785766423</v>
      </c>
    </row>
    <row r="25" spans="2:35">
      <c r="B25" s="48"/>
      <c r="C25" s="887"/>
      <c r="D25" s="883"/>
      <c r="E25" s="883"/>
      <c r="F25" s="883"/>
      <c r="G25" s="883"/>
      <c r="H25" s="883"/>
      <c r="I25" s="883"/>
      <c r="J25" s="180"/>
      <c r="K25" s="883"/>
      <c r="L25" s="883"/>
      <c r="M25" s="883"/>
      <c r="N25" s="883"/>
      <c r="O25" s="883"/>
      <c r="P25" s="883"/>
      <c r="Q25" s="180"/>
      <c r="R25" s="883"/>
      <c r="S25" s="883"/>
      <c r="T25" s="883"/>
      <c r="U25" s="883"/>
      <c r="V25" s="883"/>
      <c r="W25" s="883"/>
      <c r="X25" s="180"/>
      <c r="Y25" s="1028"/>
      <c r="Z25" s="1028"/>
      <c r="AA25" s="1028"/>
      <c r="AB25" s="1028"/>
      <c r="AC25" s="1028"/>
      <c r="AD25" s="1028"/>
      <c r="AE25" s="180"/>
      <c r="AF25" s="1418"/>
      <c r="AG25" s="60"/>
      <c r="AH25" s="60"/>
      <c r="AI25" s="60"/>
    </row>
    <row r="26" spans="2:35">
      <c r="B26" s="48"/>
      <c r="C26" s="885" t="s">
        <v>1736</v>
      </c>
      <c r="D26" s="881">
        <f>SUBTOTAL(9,D27:D48)</f>
        <v>227950.59225402193</v>
      </c>
      <c r="E26" s="881">
        <f t="shared" ref="E26:W26" si="40">SUBTOTAL(9,E27:E48)</f>
        <v>228045.72582186593</v>
      </c>
      <c r="F26" s="881">
        <f t="shared" si="40"/>
        <v>231196.50847890798</v>
      </c>
      <c r="G26" s="881">
        <f t="shared" si="40"/>
        <v>227264.01781594066</v>
      </c>
      <c r="H26" s="881">
        <f t="shared" si="40"/>
        <v>224663.94415300325</v>
      </c>
      <c r="I26" s="881">
        <f t="shared" si="40"/>
        <v>218435.50663903344</v>
      </c>
      <c r="J26" s="180">
        <f t="shared" ref="J26:J59" si="41">AVERAGE(D26:I26)</f>
        <v>226259.38252712888</v>
      </c>
      <c r="K26" s="881">
        <f t="shared" si="40"/>
        <v>227950.59225402193</v>
      </c>
      <c r="L26" s="881">
        <f t="shared" si="40"/>
        <v>228045.72582186593</v>
      </c>
      <c r="M26" s="881">
        <f t="shared" si="40"/>
        <v>231196.50847890798</v>
      </c>
      <c r="N26" s="881">
        <f t="shared" si="40"/>
        <v>227264.01781594066</v>
      </c>
      <c r="O26" s="881">
        <f t="shared" si="40"/>
        <v>224663.94415300325</v>
      </c>
      <c r="P26" s="881">
        <f t="shared" si="40"/>
        <v>218435.50663903344</v>
      </c>
      <c r="Q26" s="180">
        <f t="shared" ref="Q26:Q48" si="42">AVERAGE(K26:P26)</f>
        <v>226259.38252712888</v>
      </c>
      <c r="R26" s="881">
        <f t="shared" si="40"/>
        <v>0</v>
      </c>
      <c r="S26" s="881">
        <f t="shared" si="40"/>
        <v>0</v>
      </c>
      <c r="T26" s="881">
        <f t="shared" si="40"/>
        <v>0</v>
      </c>
      <c r="U26" s="881">
        <f t="shared" si="40"/>
        <v>0</v>
      </c>
      <c r="V26" s="881">
        <f t="shared" si="40"/>
        <v>0</v>
      </c>
      <c r="W26" s="881">
        <f t="shared" si="40"/>
        <v>0</v>
      </c>
      <c r="X26" s="180">
        <f>AVERAGE(R26:W26)</f>
        <v>0</v>
      </c>
      <c r="Y26" s="1028"/>
      <c r="Z26" s="1028"/>
      <c r="AA26" s="1028"/>
      <c r="AB26" s="1028"/>
      <c r="AC26" s="1028"/>
      <c r="AD26" s="1028"/>
      <c r="AE26" s="180"/>
      <c r="AF26" s="1418"/>
      <c r="AG26" s="60"/>
      <c r="AH26" s="60"/>
      <c r="AI26" s="60"/>
    </row>
    <row r="27" spans="2:35">
      <c r="B27" s="48" t="s">
        <v>274</v>
      </c>
      <c r="C27" s="885" t="s">
        <v>627</v>
      </c>
      <c r="D27" s="881">
        <f>SUBTOTAL(9,D28:D33)</f>
        <v>95836.979946664243</v>
      </c>
      <c r="E27" s="881">
        <f t="shared" ref="E27:W27" si="43">SUBTOTAL(9,E28:E33)</f>
        <v>95876.976832583983</v>
      </c>
      <c r="F27" s="881">
        <f t="shared" si="43"/>
        <v>97201.656410440643</v>
      </c>
      <c r="G27" s="881">
        <f t="shared" si="43"/>
        <v>95548.324321760389</v>
      </c>
      <c r="H27" s="881">
        <f t="shared" si="43"/>
        <v>94455.178631587769</v>
      </c>
      <c r="I27" s="881">
        <f t="shared" si="43"/>
        <v>91836.564504627342</v>
      </c>
      <c r="J27" s="180">
        <f t="shared" si="41"/>
        <v>95125.946774610726</v>
      </c>
      <c r="K27" s="881">
        <f t="shared" si="43"/>
        <v>95836.979946664243</v>
      </c>
      <c r="L27" s="881">
        <f t="shared" si="43"/>
        <v>95876.976832583983</v>
      </c>
      <c r="M27" s="881">
        <f t="shared" si="43"/>
        <v>97201.656410440643</v>
      </c>
      <c r="N27" s="881">
        <f t="shared" si="43"/>
        <v>95548.324321760389</v>
      </c>
      <c r="O27" s="881">
        <f t="shared" si="43"/>
        <v>94455.178631587769</v>
      </c>
      <c r="P27" s="881">
        <f t="shared" si="43"/>
        <v>91836.564504627342</v>
      </c>
      <c r="Q27" s="180">
        <f t="shared" si="42"/>
        <v>95125.946774610726</v>
      </c>
      <c r="R27" s="881">
        <f t="shared" si="43"/>
        <v>0</v>
      </c>
      <c r="S27" s="881">
        <f t="shared" si="43"/>
        <v>0</v>
      </c>
      <c r="T27" s="881">
        <f t="shared" si="43"/>
        <v>0</v>
      </c>
      <c r="U27" s="881">
        <f t="shared" si="43"/>
        <v>0</v>
      </c>
      <c r="V27" s="881">
        <f t="shared" si="43"/>
        <v>0</v>
      </c>
      <c r="W27" s="881">
        <f t="shared" si="43"/>
        <v>0</v>
      </c>
      <c r="X27" s="180">
        <f>AVERAGE(R27:W27)</f>
        <v>0</v>
      </c>
      <c r="Y27" s="1029"/>
      <c r="Z27" s="1029"/>
      <c r="AA27" s="1029"/>
      <c r="AB27" s="1029"/>
      <c r="AC27" s="1029"/>
      <c r="AD27" s="1029"/>
      <c r="AE27" s="180"/>
      <c r="AF27" s="1418"/>
      <c r="AG27" s="60">
        <f t="shared" si="28"/>
        <v>95125.946774610726</v>
      </c>
      <c r="AH27" s="60">
        <f t="shared" si="29"/>
        <v>95125.946774610726</v>
      </c>
      <c r="AI27" s="60"/>
    </row>
    <row r="28" spans="2:35">
      <c r="B28" s="48"/>
      <c r="C28" s="887" t="s">
        <v>304</v>
      </c>
      <c r="D28" s="883">
        <f t="shared" si="3"/>
        <v>95607.392416624672</v>
      </c>
      <c r="E28" s="883">
        <f t="shared" si="22"/>
        <v>95647.293485812159</v>
      </c>
      <c r="F28" s="883">
        <f t="shared" si="23"/>
        <v>96968.799654901726</v>
      </c>
      <c r="G28" s="883">
        <f t="shared" si="24"/>
        <v>95319.428296523984</v>
      </c>
      <c r="H28" s="883">
        <f t="shared" si="25"/>
        <v>94228.901351423658</v>
      </c>
      <c r="I28" s="883">
        <f t="shared" si="26"/>
        <v>91616.560389058679</v>
      </c>
      <c r="J28" s="180">
        <f t="shared" si="41"/>
        <v>94898.062599057492</v>
      </c>
      <c r="K28" s="883">
        <f>IF(MCDO800!$P28&gt;0,F801ENE!K28/(MCDO800!$P28*24*K$108),0)</f>
        <v>95607.392416624672</v>
      </c>
      <c r="L28" s="883">
        <f>IF(MCDO800!$P28&gt;0,F801ENE!L28/(MCDO800!$P28*24*L$108),0)</f>
        <v>95647.293485812159</v>
      </c>
      <c r="M28" s="883">
        <f>IF(MCDO800!$P28&gt;0,F801ENE!M28/(MCDO800!$P28*24*M$108),0)</f>
        <v>96968.799654901726</v>
      </c>
      <c r="N28" s="883">
        <f>IF(MCDO800!$P28&gt;0,F801ENE!N28/(MCDO800!$P28*24*N$108),0)</f>
        <v>95319.428296523984</v>
      </c>
      <c r="O28" s="883">
        <f>IF(MCDO800!$P28&gt;0,F801ENE!O28/(MCDO800!$P28*24*O$108),0)</f>
        <v>94228.901351423658</v>
      </c>
      <c r="P28" s="883">
        <f>IF(MCDO800!$P28&gt;0,F801ENE!P28/(MCDO800!$P28*24*P$108),0)</f>
        <v>91616.560389058679</v>
      </c>
      <c r="Q28" s="180">
        <f t="shared" si="42"/>
        <v>94898.062599057492</v>
      </c>
      <c r="R28" s="883"/>
      <c r="S28" s="883"/>
      <c r="T28" s="883"/>
      <c r="U28" s="883"/>
      <c r="V28" s="883"/>
      <c r="W28" s="883"/>
      <c r="X28" s="180"/>
      <c r="Y28" s="1028"/>
      <c r="Z28" s="1028"/>
      <c r="AA28" s="1028"/>
      <c r="AB28" s="1028"/>
      <c r="AC28" s="1028"/>
      <c r="AD28" s="1028"/>
      <c r="AE28" s="180"/>
      <c r="AF28" s="1418"/>
      <c r="AG28" s="60">
        <f t="shared" si="28"/>
        <v>94898.062599057492</v>
      </c>
      <c r="AH28" s="60">
        <f t="shared" si="29"/>
        <v>94898.062599057492</v>
      </c>
      <c r="AI28" s="60"/>
    </row>
    <row r="29" spans="2:35">
      <c r="B29" s="48"/>
      <c r="C29" s="888" t="s">
        <v>628</v>
      </c>
      <c r="D29" s="883">
        <f t="shared" si="3"/>
        <v>0</v>
      </c>
      <c r="E29" s="883">
        <f t="shared" si="22"/>
        <v>0</v>
      </c>
      <c r="F29" s="883">
        <f t="shared" si="23"/>
        <v>0</v>
      </c>
      <c r="G29" s="883">
        <f t="shared" si="24"/>
        <v>0</v>
      </c>
      <c r="H29" s="883">
        <f t="shared" si="25"/>
        <v>0</v>
      </c>
      <c r="I29" s="883">
        <f t="shared" si="26"/>
        <v>0</v>
      </c>
      <c r="J29" s="180">
        <f t="shared" si="41"/>
        <v>0</v>
      </c>
      <c r="K29" s="883">
        <f>IF(MCDO800!$P29&gt;0,F801ENE!K29/(MCDO800!$P29*24*K$108),0)</f>
        <v>0</v>
      </c>
      <c r="L29" s="883">
        <f>IF(MCDO800!$P29&gt;0,F801ENE!L29/(MCDO800!$P29*24*L$108),0)</f>
        <v>0</v>
      </c>
      <c r="M29" s="883">
        <f>IF(MCDO800!$P29&gt;0,F801ENE!M29/(MCDO800!$P29*24*M$108),0)</f>
        <v>0</v>
      </c>
      <c r="N29" s="883">
        <f>IF(MCDO800!$P29&gt;0,F801ENE!N29/(MCDO800!$P29*24*N$108),0)</f>
        <v>0</v>
      </c>
      <c r="O29" s="883">
        <f>IF(MCDO800!$P29&gt;0,F801ENE!O29/(MCDO800!$P29*24*O$108),0)</f>
        <v>0</v>
      </c>
      <c r="P29" s="883">
        <f>IF(MCDO800!$P29&gt;0,F801ENE!P29/(MCDO800!$P29*24*P$108),0)</f>
        <v>0</v>
      </c>
      <c r="Q29" s="180">
        <f t="shared" si="42"/>
        <v>0</v>
      </c>
      <c r="R29" s="883"/>
      <c r="S29" s="883"/>
      <c r="T29" s="883"/>
      <c r="U29" s="883"/>
      <c r="V29" s="883"/>
      <c r="W29" s="883"/>
      <c r="X29" s="180"/>
      <c r="Y29" s="1028"/>
      <c r="Z29" s="1028"/>
      <c r="AA29" s="1028"/>
      <c r="AB29" s="1028"/>
      <c r="AC29" s="1028"/>
      <c r="AD29" s="1028"/>
      <c r="AE29" s="180"/>
      <c r="AF29" s="1418"/>
      <c r="AG29" s="60">
        <f>AVERAGE(D29:I29)</f>
        <v>0</v>
      </c>
      <c r="AH29" s="60">
        <f>AVERAGE(K29:P29)</f>
        <v>0</v>
      </c>
      <c r="AI29" s="60"/>
    </row>
    <row r="30" spans="2:35">
      <c r="B30" s="48"/>
      <c r="C30" s="888" t="s">
        <v>629</v>
      </c>
      <c r="D30" s="883">
        <f t="shared" si="3"/>
        <v>108.81236255980046</v>
      </c>
      <c r="E30" s="883">
        <f t="shared" si="22"/>
        <v>108.85777462990517</v>
      </c>
      <c r="F30" s="883">
        <f t="shared" si="23"/>
        <v>110.36180276791119</v>
      </c>
      <c r="G30" s="883">
        <f t="shared" si="24"/>
        <v>108.48462580798039</v>
      </c>
      <c r="H30" s="883">
        <f t="shared" si="25"/>
        <v>107.24347896428868</v>
      </c>
      <c r="I30" s="883">
        <f t="shared" si="26"/>
        <v>104.27033029093101</v>
      </c>
      <c r="J30" s="180">
        <f t="shared" si="41"/>
        <v>108.00506250346949</v>
      </c>
      <c r="K30" s="883">
        <f>IF(MCDO800!$P30&gt;0,F801ENE!K30/(MCDO800!$P30*24*K$108),0)</f>
        <v>108.81236255980046</v>
      </c>
      <c r="L30" s="883">
        <f>IF(MCDO800!$P30&gt;0,F801ENE!L30/(MCDO800!$P30*24*L$108),0)</f>
        <v>108.85777462990517</v>
      </c>
      <c r="M30" s="883">
        <f>IF(MCDO800!$P30&gt;0,F801ENE!M30/(MCDO800!$P30*24*M$108),0)</f>
        <v>110.36180276791119</v>
      </c>
      <c r="N30" s="883">
        <f>IF(MCDO800!$P30&gt;0,F801ENE!N30/(MCDO800!$P30*24*N$108),0)</f>
        <v>108.48462580798039</v>
      </c>
      <c r="O30" s="883">
        <f>IF(MCDO800!$P30&gt;0,F801ENE!O30/(MCDO800!$P30*24*O$108),0)</f>
        <v>107.24347896428868</v>
      </c>
      <c r="P30" s="883">
        <f>IF(MCDO800!$P30&gt;0,F801ENE!P30/(MCDO800!$P30*24*P$108),0)</f>
        <v>104.27033029093101</v>
      </c>
      <c r="Q30" s="180">
        <f t="shared" si="42"/>
        <v>108.00506250346949</v>
      </c>
      <c r="R30" s="883"/>
      <c r="S30" s="883"/>
      <c r="T30" s="883"/>
      <c r="U30" s="883"/>
      <c r="V30" s="883"/>
      <c r="W30" s="883"/>
      <c r="X30" s="180"/>
      <c r="Y30" s="1028"/>
      <c r="Z30" s="1028"/>
      <c r="AA30" s="1028"/>
      <c r="AB30" s="1028"/>
      <c r="AC30" s="1028"/>
      <c r="AD30" s="1028"/>
      <c r="AE30" s="180"/>
      <c r="AF30" s="1418"/>
      <c r="AG30" s="60">
        <f>AVERAGE(D30:I30)</f>
        <v>108.00506250346949</v>
      </c>
      <c r="AH30" s="60">
        <f>AVERAGE(K30:P30)</f>
        <v>108.00506250346949</v>
      </c>
      <c r="AI30" s="60"/>
    </row>
    <row r="31" spans="2:35">
      <c r="B31" s="48"/>
      <c r="C31" s="887" t="s">
        <v>305</v>
      </c>
      <c r="D31" s="883">
        <f t="shared" si="3"/>
        <v>92.752706639829924</v>
      </c>
      <c r="E31" s="883">
        <f t="shared" si="22"/>
        <v>92.791416326093866</v>
      </c>
      <c r="F31" s="883">
        <f t="shared" si="23"/>
        <v>94.073464407586997</v>
      </c>
      <c r="G31" s="883">
        <f t="shared" si="24"/>
        <v>92.473340673670066</v>
      </c>
      <c r="H31" s="883">
        <f t="shared" si="25"/>
        <v>91.415375141246102</v>
      </c>
      <c r="I31" s="883">
        <f t="shared" si="26"/>
        <v>88.881034555221305</v>
      </c>
      <c r="J31" s="180">
        <f t="shared" si="41"/>
        <v>92.064556290608039</v>
      </c>
      <c r="K31" s="883">
        <f>IF(MCDO800!$P31&gt;0,F801ENE!K31/(MCDO800!$P31*24*K$108),0)</f>
        <v>92.752706639829924</v>
      </c>
      <c r="L31" s="883">
        <f>IF(MCDO800!$P31&gt;0,F801ENE!L31/(MCDO800!$P31*24*L$108),0)</f>
        <v>92.791416326093866</v>
      </c>
      <c r="M31" s="883">
        <f>IF(MCDO800!$P31&gt;0,F801ENE!M31/(MCDO800!$P31*24*M$108),0)</f>
        <v>94.073464407586997</v>
      </c>
      <c r="N31" s="883">
        <f>IF(MCDO800!$P31&gt;0,F801ENE!N31/(MCDO800!$P31*24*N$108),0)</f>
        <v>92.473340673670066</v>
      </c>
      <c r="O31" s="883">
        <f>IF(MCDO800!$P31&gt;0,F801ENE!O31/(MCDO800!$P31*24*O$108),0)</f>
        <v>91.415375141246102</v>
      </c>
      <c r="P31" s="883">
        <f>IF(MCDO800!$P31&gt;0,F801ENE!P31/(MCDO800!$P31*24*P$108),0)</f>
        <v>88.881034555221305</v>
      </c>
      <c r="Q31" s="180">
        <f t="shared" si="42"/>
        <v>92.064556290608039</v>
      </c>
      <c r="R31" s="883"/>
      <c r="S31" s="883"/>
      <c r="T31" s="883"/>
      <c r="U31" s="883"/>
      <c r="V31" s="883"/>
      <c r="W31" s="883"/>
      <c r="X31" s="180"/>
      <c r="Y31" s="1028"/>
      <c r="Z31" s="1028"/>
      <c r="AA31" s="1028"/>
      <c r="AB31" s="1028"/>
      <c r="AC31" s="1028"/>
      <c r="AD31" s="1028"/>
      <c r="AE31" s="180"/>
      <c r="AF31" s="1418"/>
      <c r="AG31" s="60">
        <f t="shared" si="28"/>
        <v>92.064556290608039</v>
      </c>
      <c r="AH31" s="60">
        <f t="shared" si="29"/>
        <v>92.064556290608039</v>
      </c>
      <c r="AI31" s="60"/>
    </row>
    <row r="32" spans="2:35">
      <c r="B32" s="48"/>
      <c r="C32" s="887" t="s">
        <v>307</v>
      </c>
      <c r="D32" s="883">
        <f t="shared" si="3"/>
        <v>0</v>
      </c>
      <c r="E32" s="883">
        <f t="shared" si="22"/>
        <v>0</v>
      </c>
      <c r="F32" s="883">
        <f t="shared" si="23"/>
        <v>0</v>
      </c>
      <c r="G32" s="883">
        <f t="shared" si="24"/>
        <v>0</v>
      </c>
      <c r="H32" s="883">
        <f t="shared" si="25"/>
        <v>0</v>
      </c>
      <c r="I32" s="883">
        <f t="shared" si="26"/>
        <v>0</v>
      </c>
      <c r="J32" s="180">
        <f t="shared" si="41"/>
        <v>0</v>
      </c>
      <c r="K32" s="883">
        <f>IF(MCDO800!$P32&gt;0,F801ENE!K32/(MCDO800!$P32*24*K$108),0)</f>
        <v>0</v>
      </c>
      <c r="L32" s="883">
        <f>IF(MCDO800!$P32&gt;0,F801ENE!L32/(MCDO800!$P32*24*L$108),0)</f>
        <v>0</v>
      </c>
      <c r="M32" s="883">
        <f>IF(MCDO800!$P32&gt;0,F801ENE!M32/(MCDO800!$P32*24*M$108),0)</f>
        <v>0</v>
      </c>
      <c r="N32" s="883">
        <f>IF(MCDO800!$P32&gt;0,F801ENE!N32/(MCDO800!$P32*24*N$108),0)</f>
        <v>0</v>
      </c>
      <c r="O32" s="883">
        <f>IF(MCDO800!$P32&gt;0,F801ENE!O32/(MCDO800!$P32*24*O$108),0)</f>
        <v>0</v>
      </c>
      <c r="P32" s="883">
        <f>IF(MCDO800!$P32&gt;0,F801ENE!P32/(MCDO800!$P32*24*P$108),0)</f>
        <v>0</v>
      </c>
      <c r="Q32" s="180">
        <f t="shared" si="42"/>
        <v>0</v>
      </c>
      <c r="R32" s="883"/>
      <c r="S32" s="883"/>
      <c r="T32" s="883"/>
      <c r="U32" s="883"/>
      <c r="V32" s="883"/>
      <c r="W32" s="883"/>
      <c r="X32" s="180"/>
      <c r="Y32" s="1028"/>
      <c r="Z32" s="1028"/>
      <c r="AA32" s="1028"/>
      <c r="AB32" s="1028"/>
      <c r="AC32" s="1028"/>
      <c r="AD32" s="1028"/>
      <c r="AE32" s="180"/>
      <c r="AF32" s="1418"/>
      <c r="AG32" s="60">
        <f>AVERAGE(D32:I32)</f>
        <v>0</v>
      </c>
      <c r="AH32" s="60">
        <f>AVERAGE(K32:P32)</f>
        <v>0</v>
      </c>
      <c r="AI32" s="60"/>
    </row>
    <row r="33" spans="2:35">
      <c r="B33" s="48"/>
      <c r="C33" s="887" t="s">
        <v>624</v>
      </c>
      <c r="D33" s="883">
        <f t="shared" si="3"/>
        <v>28.0224608399486</v>
      </c>
      <c r="E33" s="883">
        <f t="shared" si="22"/>
        <v>28.034155815834005</v>
      </c>
      <c r="F33" s="883">
        <f t="shared" si="23"/>
        <v>28.421488363422906</v>
      </c>
      <c r="G33" s="883">
        <f t="shared" si="24"/>
        <v>27.938058754766026</v>
      </c>
      <c r="H33" s="883">
        <f t="shared" si="25"/>
        <v>27.61842605857434</v>
      </c>
      <c r="I33" s="883">
        <f t="shared" si="26"/>
        <v>26.85275072251385</v>
      </c>
      <c r="J33" s="180">
        <f t="shared" si="41"/>
        <v>27.814556759176622</v>
      </c>
      <c r="K33" s="883">
        <f>IF(MCDO800!$P33&gt;0,F801ENE!K33/(MCDO800!$P33*24*K$108),0)</f>
        <v>28.0224608399486</v>
      </c>
      <c r="L33" s="883">
        <f>IF(MCDO800!$P33&gt;0,F801ENE!L33/(MCDO800!$P33*24*L$108),0)</f>
        <v>28.034155815834005</v>
      </c>
      <c r="M33" s="883">
        <f>IF(MCDO800!$P33&gt;0,F801ENE!M33/(MCDO800!$P33*24*M$108),0)</f>
        <v>28.421488363422906</v>
      </c>
      <c r="N33" s="883">
        <f>IF(MCDO800!$P33&gt;0,F801ENE!N33/(MCDO800!$P33*24*N$108),0)</f>
        <v>27.938058754766026</v>
      </c>
      <c r="O33" s="883">
        <f>IF(MCDO800!$P33&gt;0,F801ENE!O33/(MCDO800!$P33*24*O$108),0)</f>
        <v>27.61842605857434</v>
      </c>
      <c r="P33" s="883">
        <f>IF(MCDO800!$P33&gt;0,F801ENE!P33/(MCDO800!$P33*24*P$108),0)</f>
        <v>26.85275072251385</v>
      </c>
      <c r="Q33" s="180">
        <f t="shared" si="42"/>
        <v>27.814556759176622</v>
      </c>
      <c r="R33" s="883"/>
      <c r="S33" s="883"/>
      <c r="T33" s="883"/>
      <c r="U33" s="883"/>
      <c r="V33" s="883"/>
      <c r="W33" s="883"/>
      <c r="X33" s="180"/>
      <c r="Y33" s="1028"/>
      <c r="Z33" s="1028"/>
      <c r="AA33" s="1028"/>
      <c r="AB33" s="1028"/>
      <c r="AC33" s="1028"/>
      <c r="AD33" s="1028"/>
      <c r="AE33" s="180"/>
      <c r="AF33" s="1418"/>
      <c r="AG33" s="60">
        <f t="shared" ref="AG33:AG48" si="44">AVERAGE(D33:I33)</f>
        <v>27.814556759176622</v>
      </c>
      <c r="AH33" s="60">
        <f t="shared" ref="AH33:AH48" si="45">AVERAGE(K33:P33)</f>
        <v>27.814556759176622</v>
      </c>
      <c r="AI33" s="60"/>
    </row>
    <row r="34" spans="2:35" s="544" customFormat="1">
      <c r="B34" s="48" t="s">
        <v>274</v>
      </c>
      <c r="C34" s="885" t="s">
        <v>631</v>
      </c>
      <c r="D34" s="881">
        <f>SUBTOTAL(9,D35:D38)</f>
        <v>75362.721263141779</v>
      </c>
      <c r="E34" s="881">
        <f t="shared" ref="E34:W34" si="46">SUBTOTAL(9,E35:E38)</f>
        <v>75394.173361972935</v>
      </c>
      <c r="F34" s="881">
        <f t="shared" si="46"/>
        <v>76435.853283904406</v>
      </c>
      <c r="G34" s="881">
        <f t="shared" si="46"/>
        <v>75135.732960580761</v>
      </c>
      <c r="H34" s="881">
        <f t="shared" si="46"/>
        <v>74276.122881106916</v>
      </c>
      <c r="I34" s="881">
        <f t="shared" si="46"/>
        <v>72216.939811526987</v>
      </c>
      <c r="J34" s="180">
        <f t="shared" si="41"/>
        <v>74803.590593705623</v>
      </c>
      <c r="K34" s="881">
        <f t="shared" si="46"/>
        <v>75362.721263141779</v>
      </c>
      <c r="L34" s="881">
        <f t="shared" si="46"/>
        <v>75394.173361972935</v>
      </c>
      <c r="M34" s="881">
        <f t="shared" si="46"/>
        <v>76435.853283904406</v>
      </c>
      <c r="N34" s="881">
        <f t="shared" si="46"/>
        <v>75135.732960580761</v>
      </c>
      <c r="O34" s="881">
        <f t="shared" si="46"/>
        <v>74276.122881106916</v>
      </c>
      <c r="P34" s="881">
        <f t="shared" si="46"/>
        <v>72216.939811526987</v>
      </c>
      <c r="Q34" s="180">
        <f t="shared" si="42"/>
        <v>74803.590593705623</v>
      </c>
      <c r="R34" s="881">
        <f t="shared" si="46"/>
        <v>0</v>
      </c>
      <c r="S34" s="881">
        <f t="shared" si="46"/>
        <v>0</v>
      </c>
      <c r="T34" s="881">
        <f t="shared" si="46"/>
        <v>0</v>
      </c>
      <c r="U34" s="881">
        <f t="shared" si="46"/>
        <v>0</v>
      </c>
      <c r="V34" s="881">
        <f t="shared" si="46"/>
        <v>0</v>
      </c>
      <c r="W34" s="881">
        <f t="shared" si="46"/>
        <v>0</v>
      </c>
      <c r="X34" s="180">
        <f>AVERAGE(R34:W34)</f>
        <v>0</v>
      </c>
      <c r="Y34" s="1028"/>
      <c r="Z34" s="1028"/>
      <c r="AA34" s="1028"/>
      <c r="AB34" s="1028"/>
      <c r="AC34" s="1028"/>
      <c r="AD34" s="1028"/>
      <c r="AE34" s="180"/>
      <c r="AF34" s="1418"/>
      <c r="AG34" s="1421">
        <f t="shared" si="44"/>
        <v>74803.590593705623</v>
      </c>
      <c r="AH34" s="1421">
        <f t="shared" si="45"/>
        <v>74803.590593705623</v>
      </c>
      <c r="AI34" s="1421"/>
    </row>
    <row r="35" spans="2:35">
      <c r="B35" s="48"/>
      <c r="C35" s="887" t="s">
        <v>304</v>
      </c>
      <c r="D35" s="883">
        <f t="shared" si="3"/>
        <v>75240.798977382001</v>
      </c>
      <c r="E35" s="883">
        <f t="shared" si="22"/>
        <v>75272.200192809309</v>
      </c>
      <c r="F35" s="883">
        <f t="shared" si="23"/>
        <v>76312.194878393377</v>
      </c>
      <c r="G35" s="883">
        <f t="shared" si="24"/>
        <v>75014.177897928443</v>
      </c>
      <c r="H35" s="883">
        <f t="shared" si="25"/>
        <v>74155.958501062589</v>
      </c>
      <c r="I35" s="883">
        <f t="shared" si="26"/>
        <v>72100.106790839563</v>
      </c>
      <c r="J35" s="180">
        <f t="shared" si="41"/>
        <v>74682.572873069221</v>
      </c>
      <c r="K35" s="883">
        <f>IF(MCDO800!$P35&gt;0,F801ENE!K35/(MCDO800!$P35*24*K$108),0)</f>
        <v>75240.798977382001</v>
      </c>
      <c r="L35" s="883">
        <f>IF(MCDO800!$P35&gt;0,F801ENE!L35/(MCDO800!$P35*24*L$108),0)</f>
        <v>75272.200192809309</v>
      </c>
      <c r="M35" s="883">
        <f>IF(MCDO800!$P35&gt;0,F801ENE!M35/(MCDO800!$P35*24*M$108),0)</f>
        <v>76312.194878393377</v>
      </c>
      <c r="N35" s="883">
        <f>IF(MCDO800!$P35&gt;0,F801ENE!N35/(MCDO800!$P35*24*N$108),0)</f>
        <v>75014.177897928443</v>
      </c>
      <c r="O35" s="883">
        <f>IF(MCDO800!$P35&gt;0,F801ENE!O35/(MCDO800!$P35*24*O$108),0)</f>
        <v>74155.958501062589</v>
      </c>
      <c r="P35" s="883">
        <f>IF(MCDO800!$P35&gt;0,F801ENE!P35/(MCDO800!$P35*24*P$108),0)</f>
        <v>72100.106790839563</v>
      </c>
      <c r="Q35" s="180">
        <f t="shared" si="42"/>
        <v>74682.572873069221</v>
      </c>
      <c r="R35" s="883"/>
      <c r="S35" s="883"/>
      <c r="T35" s="883"/>
      <c r="U35" s="883"/>
      <c r="V35" s="883"/>
      <c r="W35" s="883"/>
      <c r="X35" s="180"/>
      <c r="Y35" s="1028"/>
      <c r="Z35" s="1028"/>
      <c r="AA35" s="1028"/>
      <c r="AB35" s="1028"/>
      <c r="AC35" s="1028"/>
      <c r="AD35" s="1028"/>
      <c r="AE35" s="180"/>
      <c r="AF35" s="1418"/>
      <c r="AG35" s="60">
        <f t="shared" si="44"/>
        <v>74682.572873069221</v>
      </c>
      <c r="AH35" s="60">
        <f t="shared" si="45"/>
        <v>74682.572873069221</v>
      </c>
      <c r="AI35" s="60"/>
    </row>
    <row r="36" spans="2:35">
      <c r="B36" s="48"/>
      <c r="C36" s="888" t="s">
        <v>306</v>
      </c>
      <c r="D36" s="883">
        <f t="shared" si="3"/>
        <v>0</v>
      </c>
      <c r="E36" s="883">
        <f t="shared" si="22"/>
        <v>0</v>
      </c>
      <c r="F36" s="883">
        <f t="shared" si="23"/>
        <v>0</v>
      </c>
      <c r="G36" s="883">
        <f t="shared" si="24"/>
        <v>0</v>
      </c>
      <c r="H36" s="883">
        <f t="shared" si="25"/>
        <v>0</v>
      </c>
      <c r="I36" s="883">
        <f t="shared" si="26"/>
        <v>0</v>
      </c>
      <c r="J36" s="180">
        <f t="shared" si="41"/>
        <v>0</v>
      </c>
      <c r="K36" s="883">
        <f>IF(MCDO800!$P36&gt;0,F801ENE!K36/(MCDO800!$P36*24*K$108),0)</f>
        <v>0</v>
      </c>
      <c r="L36" s="883">
        <f>IF(MCDO800!$P36&gt;0,F801ENE!L36/(MCDO800!$P36*24*L$108),0)</f>
        <v>0</v>
      </c>
      <c r="M36" s="883">
        <f>IF(MCDO800!$P36&gt;0,F801ENE!M36/(MCDO800!$P36*24*M$108),0)</f>
        <v>0</v>
      </c>
      <c r="N36" s="883">
        <f>IF(MCDO800!$P36&gt;0,F801ENE!N36/(MCDO800!$P36*24*N$108),0)</f>
        <v>0</v>
      </c>
      <c r="O36" s="883">
        <f>IF(MCDO800!$P36&gt;0,F801ENE!O36/(MCDO800!$P36*24*O$108),0)</f>
        <v>0</v>
      </c>
      <c r="P36" s="883">
        <f>IF(MCDO800!$P36&gt;0,F801ENE!P36/(MCDO800!$P36*24*P$108),0)</f>
        <v>0</v>
      </c>
      <c r="Q36" s="180">
        <f t="shared" si="42"/>
        <v>0</v>
      </c>
      <c r="R36" s="883"/>
      <c r="S36" s="883"/>
      <c r="T36" s="883"/>
      <c r="U36" s="883"/>
      <c r="V36" s="883"/>
      <c r="W36" s="883"/>
      <c r="X36" s="180"/>
      <c r="Y36" s="1028"/>
      <c r="Z36" s="1028"/>
      <c r="AA36" s="1028"/>
      <c r="AB36" s="1028"/>
      <c r="AC36" s="1028"/>
      <c r="AD36" s="1028"/>
      <c r="AE36" s="180"/>
      <c r="AF36" s="1418"/>
      <c r="AG36" s="60">
        <f>AVERAGE(D36:I36)</f>
        <v>0</v>
      </c>
      <c r="AH36" s="60">
        <f>AVERAGE(K36:P36)</f>
        <v>0</v>
      </c>
      <c r="AI36" s="60"/>
    </row>
    <row r="37" spans="2:35">
      <c r="B37" s="48"/>
      <c r="C37" s="887" t="s">
        <v>305</v>
      </c>
      <c r="D37" s="883">
        <f t="shared" si="3"/>
        <v>121.92228575977637</v>
      </c>
      <c r="E37" s="883">
        <f t="shared" si="22"/>
        <v>121.97316916362864</v>
      </c>
      <c r="F37" s="883">
        <f t="shared" si="23"/>
        <v>123.65840551103302</v>
      </c>
      <c r="G37" s="883">
        <f t="shared" si="24"/>
        <v>121.55506265231536</v>
      </c>
      <c r="H37" s="883">
        <f t="shared" si="25"/>
        <v>120.16438004432345</v>
      </c>
      <c r="I37" s="883">
        <f t="shared" si="26"/>
        <v>116.83302068742867</v>
      </c>
      <c r="J37" s="180">
        <f t="shared" si="41"/>
        <v>121.01772063641759</v>
      </c>
      <c r="K37" s="883">
        <f>IF(MCDO800!$P37&gt;0,F801ENE!K37/(MCDO800!$P37*24*K$108),0)</f>
        <v>121.92228575977637</v>
      </c>
      <c r="L37" s="883">
        <f>IF(MCDO800!$P37&gt;0,F801ENE!L37/(MCDO800!$P37*24*L$108),0)</f>
        <v>121.97316916362864</v>
      </c>
      <c r="M37" s="883">
        <f>IF(MCDO800!$P37&gt;0,F801ENE!M37/(MCDO800!$P37*24*M$108),0)</f>
        <v>123.65840551103302</v>
      </c>
      <c r="N37" s="883">
        <f>IF(MCDO800!$P37&gt;0,F801ENE!N37/(MCDO800!$P37*24*N$108),0)</f>
        <v>121.55506265231536</v>
      </c>
      <c r="O37" s="883">
        <f>IF(MCDO800!$P37&gt;0,F801ENE!O37/(MCDO800!$P37*24*O$108),0)</f>
        <v>120.16438004432345</v>
      </c>
      <c r="P37" s="883">
        <f>IF(MCDO800!$P37&gt;0,F801ENE!P37/(MCDO800!$P37*24*P$108),0)</f>
        <v>116.83302068742867</v>
      </c>
      <c r="Q37" s="180">
        <f t="shared" si="42"/>
        <v>121.01772063641759</v>
      </c>
      <c r="R37" s="883"/>
      <c r="S37" s="883"/>
      <c r="T37" s="883"/>
      <c r="U37" s="883"/>
      <c r="V37" s="883"/>
      <c r="W37" s="883"/>
      <c r="X37" s="180"/>
      <c r="Y37" s="1028"/>
      <c r="Z37" s="1028"/>
      <c r="AA37" s="1028"/>
      <c r="AB37" s="1028"/>
      <c r="AC37" s="1028"/>
      <c r="AD37" s="1028"/>
      <c r="AE37" s="180"/>
      <c r="AF37" s="1418"/>
      <c r="AG37" s="60">
        <f t="shared" si="44"/>
        <v>121.01772063641759</v>
      </c>
      <c r="AH37" s="60">
        <f t="shared" si="45"/>
        <v>121.01772063641759</v>
      </c>
      <c r="AI37" s="60"/>
    </row>
    <row r="38" spans="2:35">
      <c r="B38" s="48"/>
      <c r="C38" s="887" t="s">
        <v>307</v>
      </c>
      <c r="D38" s="883">
        <f t="shared" si="3"/>
        <v>0</v>
      </c>
      <c r="E38" s="883">
        <f t="shared" si="22"/>
        <v>0</v>
      </c>
      <c r="F38" s="883">
        <f t="shared" si="23"/>
        <v>0</v>
      </c>
      <c r="G38" s="883">
        <f t="shared" si="24"/>
        <v>0</v>
      </c>
      <c r="H38" s="883">
        <f t="shared" si="25"/>
        <v>0</v>
      </c>
      <c r="I38" s="883">
        <f t="shared" si="26"/>
        <v>0</v>
      </c>
      <c r="J38" s="180">
        <f t="shared" si="41"/>
        <v>0</v>
      </c>
      <c r="K38" s="883">
        <f>IF(MCDO800!$P38&gt;0,F801ENE!K38/(MCDO800!$P38*24*K$108),0)</f>
        <v>0</v>
      </c>
      <c r="L38" s="883">
        <f>IF(MCDO800!$P38&gt;0,F801ENE!L38/(MCDO800!$P38*24*L$108),0)</f>
        <v>0</v>
      </c>
      <c r="M38" s="883">
        <f>IF(MCDO800!$P38&gt;0,F801ENE!M38/(MCDO800!$P38*24*M$108),0)</f>
        <v>0</v>
      </c>
      <c r="N38" s="883">
        <f>IF(MCDO800!$P38&gt;0,F801ENE!N38/(MCDO800!$P38*24*N$108),0)</f>
        <v>0</v>
      </c>
      <c r="O38" s="883">
        <f>IF(MCDO800!$P38&gt;0,F801ENE!O38/(MCDO800!$P38*24*O$108),0)</f>
        <v>0</v>
      </c>
      <c r="P38" s="883">
        <f>IF(MCDO800!$P38&gt;0,F801ENE!P38/(MCDO800!$P38*24*P$108),0)</f>
        <v>0</v>
      </c>
      <c r="Q38" s="180">
        <f t="shared" si="42"/>
        <v>0</v>
      </c>
      <c r="R38" s="883"/>
      <c r="S38" s="883"/>
      <c r="T38" s="883"/>
      <c r="U38" s="883"/>
      <c r="V38" s="883"/>
      <c r="W38" s="883"/>
      <c r="X38" s="180"/>
      <c r="Y38" s="1028"/>
      <c r="Z38" s="1028"/>
      <c r="AA38" s="1028"/>
      <c r="AB38" s="1028"/>
      <c r="AC38" s="1028"/>
      <c r="AD38" s="1028"/>
      <c r="AE38" s="180"/>
      <c r="AF38" s="1418"/>
      <c r="AG38" s="60">
        <f t="shared" si="44"/>
        <v>0</v>
      </c>
      <c r="AH38" s="60">
        <f t="shared" si="45"/>
        <v>0</v>
      </c>
      <c r="AI38" s="60"/>
    </row>
    <row r="39" spans="2:35" s="544" customFormat="1">
      <c r="B39" s="48" t="s">
        <v>274</v>
      </c>
      <c r="C39" s="885" t="s">
        <v>632</v>
      </c>
      <c r="D39" s="881">
        <f>SUBTOTAL(9,D40:D43)</f>
        <v>27416.782388109717</v>
      </c>
      <c r="E39" s="881">
        <f t="shared" ref="E39:W39" si="47">SUBTOTAL(9,E40:E43)</f>
        <v>27428.224588375986</v>
      </c>
      <c r="F39" s="881">
        <f t="shared" si="47"/>
        <v>27807.185316690688</v>
      </c>
      <c r="G39" s="881">
        <f t="shared" si="47"/>
        <v>27334.204572557755</v>
      </c>
      <c r="H39" s="881">
        <f t="shared" si="47"/>
        <v>27021.480428676739</v>
      </c>
      <c r="I39" s="881">
        <f t="shared" si="47"/>
        <v>26272.354426195659</v>
      </c>
      <c r="J39" s="180">
        <f t="shared" si="41"/>
        <v>27213.371953434427</v>
      </c>
      <c r="K39" s="881">
        <f t="shared" si="47"/>
        <v>27416.782388109717</v>
      </c>
      <c r="L39" s="881">
        <f t="shared" si="47"/>
        <v>27428.224588375986</v>
      </c>
      <c r="M39" s="881">
        <f t="shared" si="47"/>
        <v>27807.185316690688</v>
      </c>
      <c r="N39" s="881">
        <f t="shared" si="47"/>
        <v>27334.204572557755</v>
      </c>
      <c r="O39" s="881">
        <f t="shared" si="47"/>
        <v>27021.480428676739</v>
      </c>
      <c r="P39" s="881">
        <f t="shared" si="47"/>
        <v>26272.354426195659</v>
      </c>
      <c r="Q39" s="180">
        <f t="shared" si="42"/>
        <v>27213.371953434427</v>
      </c>
      <c r="R39" s="881">
        <f t="shared" si="47"/>
        <v>0</v>
      </c>
      <c r="S39" s="881">
        <f t="shared" si="47"/>
        <v>0</v>
      </c>
      <c r="T39" s="881">
        <f t="shared" si="47"/>
        <v>0</v>
      </c>
      <c r="U39" s="881">
        <f t="shared" si="47"/>
        <v>0</v>
      </c>
      <c r="V39" s="881">
        <f t="shared" si="47"/>
        <v>0</v>
      </c>
      <c r="W39" s="881">
        <f t="shared" si="47"/>
        <v>0</v>
      </c>
      <c r="X39" s="180">
        <f>AVERAGE(R39:W39)</f>
        <v>0</v>
      </c>
      <c r="Y39" s="1028"/>
      <c r="Z39" s="1028"/>
      <c r="AA39" s="1028"/>
      <c r="AB39" s="1028"/>
      <c r="AC39" s="1028"/>
      <c r="AD39" s="1028"/>
      <c r="AE39" s="180"/>
      <c r="AF39" s="1418"/>
      <c r="AG39" s="1421">
        <f t="shared" si="44"/>
        <v>27213.371953434427</v>
      </c>
      <c r="AH39" s="1421">
        <f t="shared" si="45"/>
        <v>27213.371953434427</v>
      </c>
      <c r="AI39" s="1421"/>
    </row>
    <row r="40" spans="2:35">
      <c r="B40" s="48"/>
      <c r="C40" s="887" t="s">
        <v>304</v>
      </c>
      <c r="D40" s="883">
        <f t="shared" si="3"/>
        <v>27416.782388109717</v>
      </c>
      <c r="E40" s="883">
        <f t="shared" si="22"/>
        <v>27428.224588375986</v>
      </c>
      <c r="F40" s="883">
        <f t="shared" si="23"/>
        <v>27807.185316690688</v>
      </c>
      <c r="G40" s="883">
        <f t="shared" si="24"/>
        <v>27334.204572557755</v>
      </c>
      <c r="H40" s="883">
        <f t="shared" si="25"/>
        <v>27021.480428676739</v>
      </c>
      <c r="I40" s="883">
        <f t="shared" si="26"/>
        <v>26272.354426195659</v>
      </c>
      <c r="J40" s="180">
        <f t="shared" si="41"/>
        <v>27213.371953434427</v>
      </c>
      <c r="K40" s="883">
        <f>IF(MCDO800!$P40&gt;0,F801ENE!K40/(MCDO800!$P40*24*K$108),0)</f>
        <v>27416.782388109717</v>
      </c>
      <c r="L40" s="883">
        <f>IF(MCDO800!$P40&gt;0,F801ENE!L40/(MCDO800!$P40*24*L$108),0)</f>
        <v>27428.224588375986</v>
      </c>
      <c r="M40" s="883">
        <f>IF(MCDO800!$P40&gt;0,F801ENE!M40/(MCDO800!$P40*24*M$108),0)</f>
        <v>27807.185316690688</v>
      </c>
      <c r="N40" s="883">
        <f>IF(MCDO800!$P40&gt;0,F801ENE!N40/(MCDO800!$P40*24*N$108),0)</f>
        <v>27334.204572557755</v>
      </c>
      <c r="O40" s="883">
        <f>IF(MCDO800!$P40&gt;0,F801ENE!O40/(MCDO800!$P40*24*O$108),0)</f>
        <v>27021.480428676739</v>
      </c>
      <c r="P40" s="883">
        <f>IF(MCDO800!$P40&gt;0,F801ENE!P40/(MCDO800!$P40*24*P$108),0)</f>
        <v>26272.354426195659</v>
      </c>
      <c r="Q40" s="180">
        <f t="shared" si="42"/>
        <v>27213.371953434427</v>
      </c>
      <c r="R40" s="883"/>
      <c r="S40" s="883"/>
      <c r="T40" s="883"/>
      <c r="U40" s="883"/>
      <c r="V40" s="883"/>
      <c r="W40" s="883"/>
      <c r="X40" s="180"/>
      <c r="Y40" s="1028"/>
      <c r="Z40" s="1028"/>
      <c r="AA40" s="1028"/>
      <c r="AB40" s="1028"/>
      <c r="AC40" s="1028"/>
      <c r="AD40" s="1028"/>
      <c r="AE40" s="180"/>
      <c r="AF40" s="1418"/>
      <c r="AG40" s="60">
        <f t="shared" si="44"/>
        <v>27213.371953434427</v>
      </c>
      <c r="AH40" s="60">
        <f t="shared" si="45"/>
        <v>27213.371953434427</v>
      </c>
      <c r="AI40" s="60"/>
    </row>
    <row r="41" spans="2:35">
      <c r="B41" s="48"/>
      <c r="C41" s="888" t="s">
        <v>306</v>
      </c>
      <c r="D41" s="883">
        <f t="shared" si="3"/>
        <v>0</v>
      </c>
      <c r="E41" s="883">
        <f t="shared" si="22"/>
        <v>0</v>
      </c>
      <c r="F41" s="883">
        <f t="shared" si="23"/>
        <v>0</v>
      </c>
      <c r="G41" s="883">
        <f t="shared" si="24"/>
        <v>0</v>
      </c>
      <c r="H41" s="883">
        <f t="shared" si="25"/>
        <v>0</v>
      </c>
      <c r="I41" s="883">
        <f t="shared" si="26"/>
        <v>0</v>
      </c>
      <c r="J41" s="180">
        <f t="shared" si="41"/>
        <v>0</v>
      </c>
      <c r="K41" s="883">
        <f>IF(MCDO800!$P41&gt;0,F801ENE!K41/(MCDO800!$P41*24*K$108),0)</f>
        <v>0</v>
      </c>
      <c r="L41" s="883">
        <f>IF(MCDO800!$P41&gt;0,F801ENE!L41/(MCDO800!$P41*24*L$108),0)</f>
        <v>0</v>
      </c>
      <c r="M41" s="883">
        <f>IF(MCDO800!$P41&gt;0,F801ENE!M41/(MCDO800!$P41*24*M$108),0)</f>
        <v>0</v>
      </c>
      <c r="N41" s="883">
        <f>IF(MCDO800!$P41&gt;0,F801ENE!N41/(MCDO800!$P41*24*N$108),0)</f>
        <v>0</v>
      </c>
      <c r="O41" s="883">
        <f>IF(MCDO800!$P41&gt;0,F801ENE!O41/(MCDO800!$P41*24*O$108),0)</f>
        <v>0</v>
      </c>
      <c r="P41" s="883">
        <f>IF(MCDO800!$P41&gt;0,F801ENE!P41/(MCDO800!$P41*24*P$108),0)</f>
        <v>0</v>
      </c>
      <c r="Q41" s="180">
        <f t="shared" si="42"/>
        <v>0</v>
      </c>
      <c r="R41" s="883"/>
      <c r="S41" s="883"/>
      <c r="T41" s="883"/>
      <c r="U41" s="883"/>
      <c r="V41" s="883"/>
      <c r="W41" s="883"/>
      <c r="X41" s="180"/>
      <c r="Y41" s="1028"/>
      <c r="Z41" s="1028"/>
      <c r="AA41" s="1028"/>
      <c r="AB41" s="1028"/>
      <c r="AC41" s="1028"/>
      <c r="AD41" s="1028"/>
      <c r="AE41" s="180"/>
      <c r="AF41" s="1418"/>
      <c r="AG41" s="60">
        <f>AVERAGE(D41:I41)</f>
        <v>0</v>
      </c>
      <c r="AH41" s="60">
        <f>AVERAGE(K41:P41)</f>
        <v>0</v>
      </c>
      <c r="AI41" s="60"/>
    </row>
    <row r="42" spans="2:35">
      <c r="B42" s="48"/>
      <c r="C42" s="887" t="s">
        <v>305</v>
      </c>
      <c r="D42" s="883">
        <f t="shared" si="3"/>
        <v>0</v>
      </c>
      <c r="E42" s="883">
        <f t="shared" si="22"/>
        <v>0</v>
      </c>
      <c r="F42" s="883">
        <f t="shared" si="23"/>
        <v>0</v>
      </c>
      <c r="G42" s="883">
        <f t="shared" si="24"/>
        <v>0</v>
      </c>
      <c r="H42" s="883">
        <f t="shared" si="25"/>
        <v>0</v>
      </c>
      <c r="I42" s="883">
        <f t="shared" si="26"/>
        <v>0</v>
      </c>
      <c r="J42" s="180">
        <f t="shared" si="41"/>
        <v>0</v>
      </c>
      <c r="K42" s="883">
        <f>IF(MCDO800!$P42&gt;0,F801ENE!K42/(MCDO800!$P42*24*K$108),0)</f>
        <v>0</v>
      </c>
      <c r="L42" s="883">
        <f>IF(MCDO800!$P42&gt;0,F801ENE!L42/(MCDO800!$P42*24*L$108),0)</f>
        <v>0</v>
      </c>
      <c r="M42" s="883">
        <f>IF(MCDO800!$P42&gt;0,F801ENE!M42/(MCDO800!$P42*24*M$108),0)</f>
        <v>0</v>
      </c>
      <c r="N42" s="883">
        <f>IF(MCDO800!$P42&gt;0,F801ENE!N42/(MCDO800!$P42*24*N$108),0)</f>
        <v>0</v>
      </c>
      <c r="O42" s="883">
        <f>IF(MCDO800!$P42&gt;0,F801ENE!O42/(MCDO800!$P42*24*O$108),0)</f>
        <v>0</v>
      </c>
      <c r="P42" s="883">
        <f>IF(MCDO800!$P42&gt;0,F801ENE!P42/(MCDO800!$P42*24*P$108),0)</f>
        <v>0</v>
      </c>
      <c r="Q42" s="180">
        <f t="shared" si="42"/>
        <v>0</v>
      </c>
      <c r="R42" s="883"/>
      <c r="S42" s="883"/>
      <c r="T42" s="883"/>
      <c r="U42" s="883"/>
      <c r="V42" s="883"/>
      <c r="W42" s="883"/>
      <c r="X42" s="180"/>
      <c r="Y42" s="1028"/>
      <c r="Z42" s="1028"/>
      <c r="AA42" s="1028"/>
      <c r="AB42" s="1028"/>
      <c r="AC42" s="1028"/>
      <c r="AD42" s="1028"/>
      <c r="AE42" s="180"/>
      <c r="AF42" s="1418"/>
      <c r="AG42" s="60">
        <f t="shared" si="44"/>
        <v>0</v>
      </c>
      <c r="AH42" s="60">
        <f t="shared" si="45"/>
        <v>0</v>
      </c>
      <c r="AI42" s="60"/>
    </row>
    <row r="43" spans="2:35">
      <c r="B43" s="48"/>
      <c r="C43" s="887" t="s">
        <v>307</v>
      </c>
      <c r="D43" s="883">
        <f t="shared" si="3"/>
        <v>0</v>
      </c>
      <c r="E43" s="883">
        <f t="shared" si="22"/>
        <v>0</v>
      </c>
      <c r="F43" s="883">
        <f t="shared" si="23"/>
        <v>0</v>
      </c>
      <c r="G43" s="883">
        <f t="shared" si="24"/>
        <v>0</v>
      </c>
      <c r="H43" s="883">
        <f t="shared" si="25"/>
        <v>0</v>
      </c>
      <c r="I43" s="883">
        <f t="shared" si="26"/>
        <v>0</v>
      </c>
      <c r="J43" s="180">
        <f t="shared" si="41"/>
        <v>0</v>
      </c>
      <c r="K43" s="883">
        <f>IF(MCDO800!$P43&gt;0,F801ENE!K43/(MCDO800!$P43*24*K$108),0)</f>
        <v>0</v>
      </c>
      <c r="L43" s="883">
        <f>IF(MCDO800!$P43&gt;0,F801ENE!L43/(MCDO800!$P43*24*L$108),0)</f>
        <v>0</v>
      </c>
      <c r="M43" s="883">
        <f>IF(MCDO800!$P43&gt;0,F801ENE!M43/(MCDO800!$P43*24*M$108),0)</f>
        <v>0</v>
      </c>
      <c r="N43" s="883">
        <f>IF(MCDO800!$P43&gt;0,F801ENE!N43/(MCDO800!$P43*24*N$108),0)</f>
        <v>0</v>
      </c>
      <c r="O43" s="883">
        <f>IF(MCDO800!$P43&gt;0,F801ENE!O43/(MCDO800!$P43*24*O$108),0)</f>
        <v>0</v>
      </c>
      <c r="P43" s="883">
        <f>IF(MCDO800!$P43&gt;0,F801ENE!P43/(MCDO800!$P43*24*P$108),0)</f>
        <v>0</v>
      </c>
      <c r="Q43" s="180">
        <f t="shared" si="42"/>
        <v>0</v>
      </c>
      <c r="R43" s="883"/>
      <c r="S43" s="883"/>
      <c r="T43" s="883"/>
      <c r="U43" s="883"/>
      <c r="V43" s="883"/>
      <c r="W43" s="883"/>
      <c r="X43" s="180"/>
      <c r="Y43" s="1028"/>
      <c r="Z43" s="1028"/>
      <c r="AA43" s="1028"/>
      <c r="AB43" s="1028"/>
      <c r="AC43" s="1028"/>
      <c r="AD43" s="1028"/>
      <c r="AE43" s="180"/>
      <c r="AF43" s="1418"/>
      <c r="AG43" s="60">
        <f t="shared" si="44"/>
        <v>0</v>
      </c>
      <c r="AH43" s="60">
        <f t="shared" si="45"/>
        <v>0</v>
      </c>
      <c r="AI43" s="60"/>
    </row>
    <row r="44" spans="2:35" s="544" customFormat="1">
      <c r="B44" s="48" t="s">
        <v>274</v>
      </c>
      <c r="C44" s="885" t="s">
        <v>633</v>
      </c>
      <c r="D44" s="881">
        <f>SUBTOTAL(9,D45:D48)</f>
        <v>29334.108656106204</v>
      </c>
      <c r="E44" s="881">
        <f t="shared" ref="E44:W44" si="48">SUBTOTAL(9,E45:E48)</f>
        <v>29346.351038933044</v>
      </c>
      <c r="F44" s="881">
        <f t="shared" si="48"/>
        <v>29751.813467872256</v>
      </c>
      <c r="G44" s="881">
        <f t="shared" si="48"/>
        <v>29245.755961041752</v>
      </c>
      <c r="H44" s="881">
        <f t="shared" si="48"/>
        <v>28911.162211631825</v>
      </c>
      <c r="I44" s="881">
        <f t="shared" si="48"/>
        <v>28109.647896683451</v>
      </c>
      <c r="J44" s="180">
        <f t="shared" si="41"/>
        <v>29116.47320537809</v>
      </c>
      <c r="K44" s="881">
        <f t="shared" si="48"/>
        <v>29334.108656106204</v>
      </c>
      <c r="L44" s="881">
        <f t="shared" si="48"/>
        <v>29346.351038933044</v>
      </c>
      <c r="M44" s="881">
        <f t="shared" si="48"/>
        <v>29751.813467872256</v>
      </c>
      <c r="N44" s="881">
        <f t="shared" si="48"/>
        <v>29245.755961041752</v>
      </c>
      <c r="O44" s="881">
        <f t="shared" si="48"/>
        <v>28911.162211631825</v>
      </c>
      <c r="P44" s="881">
        <f t="shared" si="48"/>
        <v>28109.647896683451</v>
      </c>
      <c r="Q44" s="180">
        <f t="shared" si="42"/>
        <v>29116.47320537809</v>
      </c>
      <c r="R44" s="881">
        <f t="shared" si="48"/>
        <v>0</v>
      </c>
      <c r="S44" s="881">
        <f t="shared" si="48"/>
        <v>0</v>
      </c>
      <c r="T44" s="881">
        <f t="shared" si="48"/>
        <v>0</v>
      </c>
      <c r="U44" s="881">
        <f t="shared" si="48"/>
        <v>0</v>
      </c>
      <c r="V44" s="881">
        <f t="shared" si="48"/>
        <v>0</v>
      </c>
      <c r="W44" s="881">
        <f t="shared" si="48"/>
        <v>0</v>
      </c>
      <c r="X44" s="180">
        <f>AVERAGE(R44:W44)</f>
        <v>0</v>
      </c>
      <c r="Y44" s="1028"/>
      <c r="Z44" s="1028"/>
      <c r="AA44" s="1028"/>
      <c r="AB44" s="1028"/>
      <c r="AC44" s="1028"/>
      <c r="AD44" s="1028"/>
      <c r="AE44" s="180"/>
      <c r="AF44" s="1418"/>
      <c r="AG44" s="1421">
        <f t="shared" si="44"/>
        <v>29116.47320537809</v>
      </c>
      <c r="AH44" s="1421">
        <f t="shared" si="45"/>
        <v>29116.47320537809</v>
      </c>
      <c r="AI44" s="1421"/>
    </row>
    <row r="45" spans="2:35">
      <c r="B45" s="48"/>
      <c r="C45" s="887" t="s">
        <v>304</v>
      </c>
      <c r="D45" s="883">
        <f t="shared" si="3"/>
        <v>29334.108656106204</v>
      </c>
      <c r="E45" s="883">
        <f t="shared" si="22"/>
        <v>29346.351038933044</v>
      </c>
      <c r="F45" s="883">
        <f t="shared" si="23"/>
        <v>29751.813467872256</v>
      </c>
      <c r="G45" s="883">
        <f t="shared" si="24"/>
        <v>29245.755961041752</v>
      </c>
      <c r="H45" s="883">
        <f t="shared" si="25"/>
        <v>28911.162211631825</v>
      </c>
      <c r="I45" s="883">
        <f t="shared" si="26"/>
        <v>28109.647896683451</v>
      </c>
      <c r="J45" s="180">
        <f t="shared" si="41"/>
        <v>29116.47320537809</v>
      </c>
      <c r="K45" s="883">
        <f>IF(MCDO800!$P45&gt;0,F801ENE!K45/(MCDO800!$P45*24*K$108),0)</f>
        <v>29334.108656106204</v>
      </c>
      <c r="L45" s="883">
        <f>IF(MCDO800!$P45&gt;0,F801ENE!L45/(MCDO800!$P45*24*L$108),0)</f>
        <v>29346.351038933044</v>
      </c>
      <c r="M45" s="883">
        <f>IF(MCDO800!$P45&gt;0,F801ENE!M45/(MCDO800!$P45*24*M$108),0)</f>
        <v>29751.813467872256</v>
      </c>
      <c r="N45" s="883">
        <f>IF(MCDO800!$P45&gt;0,F801ENE!N45/(MCDO800!$P45*24*N$108),0)</f>
        <v>29245.755961041752</v>
      </c>
      <c r="O45" s="883">
        <f>IF(MCDO800!$P45&gt;0,F801ENE!O45/(MCDO800!$P45*24*O$108),0)</f>
        <v>28911.162211631825</v>
      </c>
      <c r="P45" s="883">
        <f>IF(MCDO800!$P45&gt;0,F801ENE!P45/(MCDO800!$P45*24*P$108),0)</f>
        <v>28109.647896683451</v>
      </c>
      <c r="Q45" s="180">
        <f t="shared" si="42"/>
        <v>29116.47320537809</v>
      </c>
      <c r="R45" s="883"/>
      <c r="S45" s="883"/>
      <c r="T45" s="883"/>
      <c r="U45" s="883"/>
      <c r="V45" s="883"/>
      <c r="W45" s="883"/>
      <c r="X45" s="180"/>
      <c r="Y45" s="1028"/>
      <c r="Z45" s="1028"/>
      <c r="AA45" s="1028"/>
      <c r="AB45" s="1028"/>
      <c r="AC45" s="1028"/>
      <c r="AD45" s="1028"/>
      <c r="AE45" s="180"/>
      <c r="AF45" s="1418"/>
      <c r="AG45" s="60">
        <f t="shared" si="44"/>
        <v>29116.47320537809</v>
      </c>
      <c r="AH45" s="60">
        <f t="shared" si="45"/>
        <v>29116.47320537809</v>
      </c>
      <c r="AI45" s="60"/>
    </row>
    <row r="46" spans="2:35">
      <c r="B46" s="48"/>
      <c r="C46" s="888" t="s">
        <v>306</v>
      </c>
      <c r="D46" s="883">
        <f t="shared" si="3"/>
        <v>0</v>
      </c>
      <c r="E46" s="883">
        <f t="shared" si="22"/>
        <v>0</v>
      </c>
      <c r="F46" s="883">
        <f t="shared" si="23"/>
        <v>0</v>
      </c>
      <c r="G46" s="883">
        <f t="shared" si="24"/>
        <v>0</v>
      </c>
      <c r="H46" s="883">
        <f t="shared" si="25"/>
        <v>0</v>
      </c>
      <c r="I46" s="883">
        <f t="shared" si="26"/>
        <v>0</v>
      </c>
      <c r="J46" s="180">
        <f t="shared" si="41"/>
        <v>0</v>
      </c>
      <c r="K46" s="883">
        <f>IF(MCDO800!$P46&gt;0,F801ENE!K46/(MCDO800!$P46*24*K$108),0)</f>
        <v>0</v>
      </c>
      <c r="L46" s="883">
        <f>IF(MCDO800!$P46&gt;0,F801ENE!L46/(MCDO800!$P46*24*L$108),0)</f>
        <v>0</v>
      </c>
      <c r="M46" s="883">
        <f>IF(MCDO800!$P46&gt;0,F801ENE!M46/(MCDO800!$P46*24*M$108),0)</f>
        <v>0</v>
      </c>
      <c r="N46" s="883">
        <f>IF(MCDO800!$P46&gt;0,F801ENE!N46/(MCDO800!$P46*24*N$108),0)</f>
        <v>0</v>
      </c>
      <c r="O46" s="883">
        <f>IF(MCDO800!$P46&gt;0,F801ENE!O46/(MCDO800!$P46*24*O$108),0)</f>
        <v>0</v>
      </c>
      <c r="P46" s="883">
        <f>IF(MCDO800!$P46&gt;0,F801ENE!P46/(MCDO800!$P46*24*P$108),0)</f>
        <v>0</v>
      </c>
      <c r="Q46" s="180">
        <f t="shared" si="42"/>
        <v>0</v>
      </c>
      <c r="R46" s="883"/>
      <c r="S46" s="883"/>
      <c r="T46" s="883"/>
      <c r="U46" s="883"/>
      <c r="V46" s="883"/>
      <c r="W46" s="883"/>
      <c r="X46" s="180"/>
      <c r="Y46" s="1028"/>
      <c r="Z46" s="1028"/>
      <c r="AA46" s="1028"/>
      <c r="AB46" s="1028"/>
      <c r="AC46" s="1028"/>
      <c r="AD46" s="1028"/>
      <c r="AE46" s="180"/>
      <c r="AF46" s="1418"/>
      <c r="AG46" s="60">
        <f>AVERAGE(D46:I46)</f>
        <v>0</v>
      </c>
      <c r="AH46" s="60">
        <f>AVERAGE(K46:P46)</f>
        <v>0</v>
      </c>
      <c r="AI46" s="60"/>
    </row>
    <row r="47" spans="2:35">
      <c r="B47" s="48"/>
      <c r="C47" s="887" t="s">
        <v>305</v>
      </c>
      <c r="D47" s="883">
        <f t="shared" si="3"/>
        <v>0</v>
      </c>
      <c r="E47" s="883">
        <f t="shared" si="22"/>
        <v>0</v>
      </c>
      <c r="F47" s="883">
        <f t="shared" si="23"/>
        <v>0</v>
      </c>
      <c r="G47" s="883">
        <f t="shared" si="24"/>
        <v>0</v>
      </c>
      <c r="H47" s="883">
        <f t="shared" si="25"/>
        <v>0</v>
      </c>
      <c r="I47" s="883">
        <f t="shared" si="26"/>
        <v>0</v>
      </c>
      <c r="J47" s="180">
        <f t="shared" si="41"/>
        <v>0</v>
      </c>
      <c r="K47" s="883">
        <f>IF(MCDO800!$P47&gt;0,F801ENE!K47/(MCDO800!$P47*24*K$108),0)</f>
        <v>0</v>
      </c>
      <c r="L47" s="883">
        <f>IF(MCDO800!$P47&gt;0,F801ENE!L47/(MCDO800!$P47*24*L$108),0)</f>
        <v>0</v>
      </c>
      <c r="M47" s="883">
        <f>IF(MCDO800!$P47&gt;0,F801ENE!M47/(MCDO800!$P47*24*M$108),0)</f>
        <v>0</v>
      </c>
      <c r="N47" s="883">
        <f>IF(MCDO800!$P47&gt;0,F801ENE!N47/(MCDO800!$P47*24*N$108),0)</f>
        <v>0</v>
      </c>
      <c r="O47" s="883">
        <f>IF(MCDO800!$P47&gt;0,F801ENE!O47/(MCDO800!$P47*24*O$108),0)</f>
        <v>0</v>
      </c>
      <c r="P47" s="883">
        <f>IF(MCDO800!$P47&gt;0,F801ENE!P47/(MCDO800!$P47*24*P$108),0)</f>
        <v>0</v>
      </c>
      <c r="Q47" s="180">
        <f t="shared" si="42"/>
        <v>0</v>
      </c>
      <c r="R47" s="883"/>
      <c r="S47" s="883"/>
      <c r="T47" s="883"/>
      <c r="U47" s="883"/>
      <c r="V47" s="883"/>
      <c r="W47" s="883"/>
      <c r="X47" s="180"/>
      <c r="Y47" s="1028"/>
      <c r="Z47" s="1028"/>
      <c r="AA47" s="1028"/>
      <c r="AB47" s="1028"/>
      <c r="AC47" s="1028"/>
      <c r="AD47" s="1028"/>
      <c r="AE47" s="180"/>
      <c r="AF47" s="1418"/>
      <c r="AG47" s="60">
        <f t="shared" si="44"/>
        <v>0</v>
      </c>
      <c r="AH47" s="60">
        <f t="shared" si="45"/>
        <v>0</v>
      </c>
      <c r="AI47" s="60"/>
    </row>
    <row r="48" spans="2:35">
      <c r="B48" s="48"/>
      <c r="C48" s="887" t="s">
        <v>307</v>
      </c>
      <c r="D48" s="883">
        <f t="shared" si="3"/>
        <v>0</v>
      </c>
      <c r="E48" s="883">
        <f t="shared" si="22"/>
        <v>0</v>
      </c>
      <c r="F48" s="883">
        <f t="shared" si="23"/>
        <v>0</v>
      </c>
      <c r="G48" s="883">
        <f t="shared" si="24"/>
        <v>0</v>
      </c>
      <c r="H48" s="883">
        <f t="shared" si="25"/>
        <v>0</v>
      </c>
      <c r="I48" s="883">
        <f t="shared" si="26"/>
        <v>0</v>
      </c>
      <c r="J48" s="180">
        <f t="shared" si="41"/>
        <v>0</v>
      </c>
      <c r="K48" s="883">
        <f>IF(MCDO800!$P48&gt;0,F801ENE!K48/(MCDO800!$P48*24*K$108),0)</f>
        <v>0</v>
      </c>
      <c r="L48" s="883">
        <f>IF(MCDO800!$P48&gt;0,F801ENE!L48/(MCDO800!$P48*24*L$108),0)</f>
        <v>0</v>
      </c>
      <c r="M48" s="883">
        <f>IF(MCDO800!$P48&gt;0,F801ENE!M48/(MCDO800!$P48*24*M$108),0)</f>
        <v>0</v>
      </c>
      <c r="N48" s="883">
        <f>IF(MCDO800!$P48&gt;0,F801ENE!N48/(MCDO800!$P48*24*N$108),0)</f>
        <v>0</v>
      </c>
      <c r="O48" s="883">
        <f>IF(MCDO800!$P48&gt;0,F801ENE!O48/(MCDO800!$P48*24*O$108),0)</f>
        <v>0</v>
      </c>
      <c r="P48" s="883">
        <f>IF(MCDO800!$P48&gt;0,F801ENE!P48/(MCDO800!$P48*24*P$108),0)</f>
        <v>0</v>
      </c>
      <c r="Q48" s="180">
        <f t="shared" si="42"/>
        <v>0</v>
      </c>
      <c r="R48" s="883"/>
      <c r="S48" s="883"/>
      <c r="T48" s="883"/>
      <c r="U48" s="883"/>
      <c r="V48" s="883"/>
      <c r="W48" s="883"/>
      <c r="X48" s="180"/>
      <c r="Y48" s="1028"/>
      <c r="Z48" s="1028"/>
      <c r="AA48" s="1028"/>
      <c r="AB48" s="1028"/>
      <c r="AC48" s="1028"/>
      <c r="AD48" s="1028"/>
      <c r="AE48" s="180"/>
      <c r="AF48" s="1418"/>
      <c r="AG48" s="60">
        <f t="shared" si="44"/>
        <v>0</v>
      </c>
      <c r="AH48" s="60">
        <f t="shared" si="45"/>
        <v>0</v>
      </c>
      <c r="AI48" s="60"/>
    </row>
    <row r="49" spans="2:35">
      <c r="B49" s="48"/>
      <c r="C49" s="884"/>
      <c r="D49" s="883">
        <f t="shared" si="3"/>
        <v>0</v>
      </c>
      <c r="E49" s="883">
        <f t="shared" si="22"/>
        <v>0</v>
      </c>
      <c r="F49" s="883">
        <f t="shared" si="23"/>
        <v>0</v>
      </c>
      <c r="G49" s="883">
        <f t="shared" si="24"/>
        <v>0</v>
      </c>
      <c r="H49" s="883">
        <f t="shared" si="25"/>
        <v>0</v>
      </c>
      <c r="I49" s="883">
        <f t="shared" si="26"/>
        <v>0</v>
      </c>
      <c r="J49" s="180">
        <f t="shared" si="41"/>
        <v>0</v>
      </c>
      <c r="K49" s="883"/>
      <c r="L49" s="883"/>
      <c r="M49" s="883"/>
      <c r="N49" s="883"/>
      <c r="O49" s="883"/>
      <c r="P49" s="883"/>
      <c r="Q49" s="180"/>
      <c r="R49" s="883"/>
      <c r="S49" s="883"/>
      <c r="T49" s="883"/>
      <c r="U49" s="883"/>
      <c r="V49" s="883"/>
      <c r="W49" s="883"/>
      <c r="X49" s="180"/>
      <c r="Y49" s="1028"/>
      <c r="Z49" s="1028"/>
      <c r="AA49" s="1028"/>
      <c r="AB49" s="1028"/>
      <c r="AC49" s="1028"/>
      <c r="AD49" s="1028"/>
      <c r="AE49" s="180"/>
      <c r="AF49" s="1418"/>
      <c r="AG49" s="60"/>
      <c r="AH49" s="60"/>
      <c r="AI49" s="60"/>
    </row>
    <row r="50" spans="2:35" hidden="1">
      <c r="B50" s="48" t="s">
        <v>1176</v>
      </c>
      <c r="C50" s="885" t="s">
        <v>1176</v>
      </c>
      <c r="D50" s="881">
        <f>SUBTOTAL(9,D51:D56)</f>
        <v>0</v>
      </c>
      <c r="E50" s="881">
        <f t="shared" ref="E50:W50" si="49">SUBTOTAL(9,E51:E56)</f>
        <v>0</v>
      </c>
      <c r="F50" s="881">
        <f t="shared" si="49"/>
        <v>0</v>
      </c>
      <c r="G50" s="881">
        <f t="shared" si="49"/>
        <v>0</v>
      </c>
      <c r="H50" s="881">
        <f t="shared" si="49"/>
        <v>0</v>
      </c>
      <c r="I50" s="881">
        <f t="shared" si="49"/>
        <v>0</v>
      </c>
      <c r="J50" s="180">
        <f t="shared" si="41"/>
        <v>0</v>
      </c>
      <c r="K50" s="881">
        <f t="shared" si="49"/>
        <v>0</v>
      </c>
      <c r="L50" s="881">
        <f t="shared" si="49"/>
        <v>0</v>
      </c>
      <c r="M50" s="881">
        <f t="shared" si="49"/>
        <v>0</v>
      </c>
      <c r="N50" s="881">
        <f t="shared" si="49"/>
        <v>0</v>
      </c>
      <c r="O50" s="881">
        <f t="shared" si="49"/>
        <v>0</v>
      </c>
      <c r="P50" s="881">
        <f t="shared" si="49"/>
        <v>0</v>
      </c>
      <c r="Q50" s="180"/>
      <c r="R50" s="881">
        <f t="shared" si="49"/>
        <v>0</v>
      </c>
      <c r="S50" s="881">
        <f t="shared" si="49"/>
        <v>0</v>
      </c>
      <c r="T50" s="881">
        <f t="shared" si="49"/>
        <v>0</v>
      </c>
      <c r="U50" s="881">
        <f t="shared" si="49"/>
        <v>0</v>
      </c>
      <c r="V50" s="881">
        <f t="shared" si="49"/>
        <v>0</v>
      </c>
      <c r="W50" s="881">
        <f t="shared" si="49"/>
        <v>0</v>
      </c>
      <c r="X50" s="180"/>
      <c r="Y50" s="1028"/>
      <c r="Z50" s="1028"/>
      <c r="AA50" s="1028"/>
      <c r="AB50" s="1028"/>
      <c r="AC50" s="1028"/>
      <c r="AD50" s="1028"/>
      <c r="AE50" s="180"/>
      <c r="AF50" s="1418"/>
      <c r="AG50" s="60"/>
      <c r="AH50" s="60"/>
      <c r="AI50" s="60"/>
    </row>
    <row r="51" spans="2:35" hidden="1">
      <c r="B51" s="48"/>
      <c r="C51" s="887" t="s">
        <v>304</v>
      </c>
      <c r="D51" s="883"/>
      <c r="E51" s="883"/>
      <c r="F51" s="883"/>
      <c r="G51" s="883"/>
      <c r="H51" s="883"/>
      <c r="I51" s="883"/>
      <c r="J51" s="180" t="e">
        <f t="shared" si="41"/>
        <v>#DIV/0!</v>
      </c>
      <c r="K51" s="883"/>
      <c r="L51" s="883"/>
      <c r="M51" s="883"/>
      <c r="N51" s="883"/>
      <c r="O51" s="883"/>
      <c r="P51" s="883"/>
      <c r="Q51" s="180"/>
      <c r="R51" s="883"/>
      <c r="S51" s="883"/>
      <c r="T51" s="883"/>
      <c r="U51" s="883"/>
      <c r="V51" s="883"/>
      <c r="W51" s="883"/>
      <c r="X51" s="180"/>
      <c r="Y51" s="1028"/>
      <c r="Z51" s="1028"/>
      <c r="AA51" s="1028"/>
      <c r="AB51" s="1028"/>
      <c r="AC51" s="1028"/>
      <c r="AD51" s="1028"/>
      <c r="AE51" s="180"/>
      <c r="AF51" s="1418"/>
      <c r="AG51" s="60"/>
      <c r="AH51" s="60"/>
      <c r="AI51" s="60"/>
    </row>
    <row r="52" spans="2:35" hidden="1">
      <c r="B52" s="48"/>
      <c r="C52" s="887" t="s">
        <v>642</v>
      </c>
      <c r="D52" s="883"/>
      <c r="E52" s="883"/>
      <c r="F52" s="883"/>
      <c r="G52" s="883"/>
      <c r="H52" s="883"/>
      <c r="I52" s="883"/>
      <c r="J52" s="180" t="e">
        <f t="shared" si="41"/>
        <v>#DIV/0!</v>
      </c>
      <c r="K52" s="883"/>
      <c r="L52" s="883"/>
      <c r="M52" s="883"/>
      <c r="N52" s="883"/>
      <c r="O52" s="883"/>
      <c r="P52" s="883"/>
      <c r="Q52" s="180"/>
      <c r="R52" s="883"/>
      <c r="S52" s="883"/>
      <c r="T52" s="883"/>
      <c r="U52" s="883"/>
      <c r="V52" s="883"/>
      <c r="W52" s="883"/>
      <c r="X52" s="180"/>
      <c r="Y52" s="1028"/>
      <c r="Z52" s="1028"/>
      <c r="AA52" s="1028"/>
      <c r="AB52" s="1028"/>
      <c r="AC52" s="1028"/>
      <c r="AD52" s="1028"/>
      <c r="AE52" s="180"/>
      <c r="AF52" s="1418"/>
      <c r="AG52" s="60"/>
      <c r="AH52" s="60"/>
      <c r="AI52" s="60"/>
    </row>
    <row r="53" spans="2:35" hidden="1">
      <c r="B53" s="48"/>
      <c r="C53" s="889" t="s">
        <v>1177</v>
      </c>
      <c r="D53" s="883"/>
      <c r="E53" s="883"/>
      <c r="F53" s="883"/>
      <c r="G53" s="883"/>
      <c r="H53" s="883"/>
      <c r="I53" s="883"/>
      <c r="J53" s="180" t="e">
        <f t="shared" si="41"/>
        <v>#DIV/0!</v>
      </c>
      <c r="K53" s="883"/>
      <c r="L53" s="883"/>
      <c r="M53" s="883"/>
      <c r="N53" s="883"/>
      <c r="O53" s="883"/>
      <c r="P53" s="883"/>
      <c r="Q53" s="180"/>
      <c r="R53" s="883"/>
      <c r="S53" s="883"/>
      <c r="T53" s="883"/>
      <c r="U53" s="883"/>
      <c r="V53" s="883"/>
      <c r="W53" s="883"/>
      <c r="X53" s="180"/>
      <c r="Y53" s="1028"/>
      <c r="Z53" s="1028"/>
      <c r="AA53" s="1028"/>
      <c r="AB53" s="1028"/>
      <c r="AC53" s="1028"/>
      <c r="AD53" s="1028"/>
      <c r="AE53" s="180"/>
      <c r="AF53" s="1418"/>
      <c r="AG53" s="60"/>
      <c r="AH53" s="60"/>
      <c r="AI53" s="60"/>
    </row>
    <row r="54" spans="2:35" hidden="1">
      <c r="B54" s="48"/>
      <c r="C54" s="889" t="s">
        <v>305</v>
      </c>
      <c r="D54" s="883"/>
      <c r="E54" s="883"/>
      <c r="F54" s="883"/>
      <c r="G54" s="883"/>
      <c r="H54" s="883"/>
      <c r="I54" s="883"/>
      <c r="J54" s="180" t="e">
        <f t="shared" si="41"/>
        <v>#DIV/0!</v>
      </c>
      <c r="K54" s="883"/>
      <c r="L54" s="883"/>
      <c r="M54" s="883"/>
      <c r="N54" s="883"/>
      <c r="O54" s="883"/>
      <c r="P54" s="883"/>
      <c r="Q54" s="180"/>
      <c r="R54" s="883"/>
      <c r="S54" s="883"/>
      <c r="T54" s="883"/>
      <c r="U54" s="883"/>
      <c r="V54" s="883"/>
      <c r="W54" s="883"/>
      <c r="X54" s="180"/>
      <c r="Y54" s="1028"/>
      <c r="Z54" s="1028"/>
      <c r="AA54" s="1028"/>
      <c r="AB54" s="1028"/>
      <c r="AC54" s="1028"/>
      <c r="AD54" s="1028"/>
      <c r="AE54" s="180"/>
      <c r="AF54" s="1418"/>
      <c r="AG54" s="60"/>
      <c r="AH54" s="60"/>
      <c r="AI54" s="60"/>
    </row>
    <row r="55" spans="2:35" hidden="1">
      <c r="B55" s="48"/>
      <c r="C55" s="887" t="s">
        <v>307</v>
      </c>
      <c r="D55" s="883"/>
      <c r="E55" s="883"/>
      <c r="F55" s="883"/>
      <c r="G55" s="883"/>
      <c r="H55" s="883"/>
      <c r="I55" s="883"/>
      <c r="J55" s="180" t="e">
        <f t="shared" si="41"/>
        <v>#DIV/0!</v>
      </c>
      <c r="K55" s="883"/>
      <c r="L55" s="883"/>
      <c r="M55" s="883"/>
      <c r="N55" s="883"/>
      <c r="O55" s="883"/>
      <c r="P55" s="883"/>
      <c r="Q55" s="180"/>
      <c r="R55" s="883"/>
      <c r="S55" s="883"/>
      <c r="T55" s="883"/>
      <c r="U55" s="883"/>
      <c r="V55" s="883"/>
      <c r="W55" s="883"/>
      <c r="X55" s="180"/>
      <c r="Y55" s="1028"/>
      <c r="Z55" s="1028"/>
      <c r="AA55" s="1028"/>
      <c r="AB55" s="1028"/>
      <c r="AC55" s="1028"/>
      <c r="AD55" s="1028"/>
      <c r="AE55" s="180"/>
      <c r="AF55" s="1418"/>
      <c r="AG55" s="60"/>
      <c r="AH55" s="60"/>
      <c r="AI55" s="60"/>
    </row>
    <row r="56" spans="2:35" hidden="1">
      <c r="B56" s="48"/>
      <c r="C56" s="887" t="s">
        <v>624</v>
      </c>
      <c r="D56" s="883"/>
      <c r="E56" s="883"/>
      <c r="F56" s="883"/>
      <c r="G56" s="883"/>
      <c r="H56" s="883"/>
      <c r="I56" s="883"/>
      <c r="J56" s="180" t="e">
        <f t="shared" si="41"/>
        <v>#DIV/0!</v>
      </c>
      <c r="K56" s="883"/>
      <c r="L56" s="883"/>
      <c r="M56" s="883"/>
      <c r="N56" s="883"/>
      <c r="O56" s="883"/>
      <c r="P56" s="883"/>
      <c r="Q56" s="180"/>
      <c r="R56" s="883"/>
      <c r="S56" s="883"/>
      <c r="T56" s="883"/>
      <c r="U56" s="883"/>
      <c r="V56" s="883"/>
      <c r="W56" s="883"/>
      <c r="X56" s="180"/>
      <c r="Y56" s="1028"/>
      <c r="Z56" s="1028"/>
      <c r="AA56" s="1028"/>
      <c r="AB56" s="1028"/>
      <c r="AC56" s="1028"/>
      <c r="AD56" s="1028"/>
      <c r="AE56" s="180"/>
      <c r="AF56" s="1418"/>
      <c r="AG56" s="60"/>
      <c r="AH56" s="60"/>
      <c r="AI56" s="60"/>
    </row>
    <row r="57" spans="2:35">
      <c r="B57" s="48"/>
      <c r="C57" s="887"/>
      <c r="D57" s="883"/>
      <c r="E57" s="883"/>
      <c r="F57" s="883"/>
      <c r="G57" s="883"/>
      <c r="H57" s="883"/>
      <c r="I57" s="883"/>
      <c r="J57" s="180"/>
      <c r="K57" s="883"/>
      <c r="L57" s="883"/>
      <c r="M57" s="883"/>
      <c r="N57" s="883"/>
      <c r="O57" s="883"/>
      <c r="P57" s="883"/>
      <c r="Q57" s="180"/>
      <c r="R57" s="883"/>
      <c r="S57" s="883"/>
      <c r="T57" s="883"/>
      <c r="U57" s="883"/>
      <c r="V57" s="883"/>
      <c r="W57" s="883"/>
      <c r="X57" s="180"/>
      <c r="Y57" s="1028"/>
      <c r="Z57" s="1028"/>
      <c r="AA57" s="1028"/>
      <c r="AB57" s="1028"/>
      <c r="AC57" s="1028"/>
      <c r="AD57" s="1028"/>
      <c r="AE57" s="180"/>
      <c r="AF57" s="1389"/>
      <c r="AG57" s="60"/>
      <c r="AH57" s="60"/>
      <c r="AI57" s="60"/>
    </row>
    <row r="58" spans="2:35">
      <c r="B58" s="48"/>
      <c r="C58" s="885" t="s">
        <v>755</v>
      </c>
      <c r="D58" s="881">
        <f>SUBTOTAL(9,D59:D105)</f>
        <v>0</v>
      </c>
      <c r="E58" s="881">
        <f t="shared" ref="E58:W58" si="50">SUBTOTAL(9,E59:E105)</f>
        <v>0</v>
      </c>
      <c r="F58" s="881">
        <f t="shared" si="50"/>
        <v>0</v>
      </c>
      <c r="G58" s="881">
        <f t="shared" si="50"/>
        <v>0</v>
      </c>
      <c r="H58" s="881">
        <f t="shared" si="50"/>
        <v>0</v>
      </c>
      <c r="I58" s="881">
        <f t="shared" si="50"/>
        <v>0</v>
      </c>
      <c r="J58" s="180">
        <f t="shared" si="41"/>
        <v>0</v>
      </c>
      <c r="K58" s="881">
        <f t="shared" si="50"/>
        <v>0</v>
      </c>
      <c r="L58" s="881">
        <f t="shared" si="50"/>
        <v>0</v>
      </c>
      <c r="M58" s="881">
        <f t="shared" si="50"/>
        <v>0</v>
      </c>
      <c r="N58" s="881">
        <f t="shared" si="50"/>
        <v>0</v>
      </c>
      <c r="O58" s="881">
        <f t="shared" si="50"/>
        <v>0</v>
      </c>
      <c r="P58" s="881">
        <f t="shared" si="50"/>
        <v>0</v>
      </c>
      <c r="Q58" s="180">
        <f>AVERAGE(K58:P58)</f>
        <v>0</v>
      </c>
      <c r="R58" s="881">
        <f t="shared" si="50"/>
        <v>0</v>
      </c>
      <c r="S58" s="881">
        <f t="shared" si="50"/>
        <v>0</v>
      </c>
      <c r="T58" s="881">
        <f t="shared" si="50"/>
        <v>0</v>
      </c>
      <c r="U58" s="881">
        <f t="shared" si="50"/>
        <v>0</v>
      </c>
      <c r="V58" s="881">
        <f t="shared" si="50"/>
        <v>0</v>
      </c>
      <c r="W58" s="881">
        <f t="shared" si="50"/>
        <v>0</v>
      </c>
      <c r="X58" s="180">
        <f>AVERAGE(R58:W58)</f>
        <v>0</v>
      </c>
      <c r="Y58" s="1028"/>
      <c r="Z58" s="1028"/>
      <c r="AA58" s="1028"/>
      <c r="AB58" s="1028"/>
      <c r="AC58" s="1028"/>
      <c r="AD58" s="1028"/>
      <c r="AE58" s="180"/>
      <c r="AF58" s="1389"/>
      <c r="AG58" s="60"/>
      <c r="AH58" s="60"/>
      <c r="AI58" s="60"/>
    </row>
    <row r="59" spans="2:35">
      <c r="B59" s="48" t="s">
        <v>751</v>
      </c>
      <c r="C59" s="1405" t="s">
        <v>2186</v>
      </c>
      <c r="D59" s="881">
        <f>SUBTOTAL(9,D60:D64)</f>
        <v>0</v>
      </c>
      <c r="E59" s="881">
        <f t="shared" ref="E59:W59" si="51">SUBTOTAL(9,E60:E64)</f>
        <v>0</v>
      </c>
      <c r="F59" s="881">
        <f t="shared" si="51"/>
        <v>0</v>
      </c>
      <c r="G59" s="881">
        <f t="shared" si="51"/>
        <v>0</v>
      </c>
      <c r="H59" s="881">
        <f t="shared" si="51"/>
        <v>0</v>
      </c>
      <c r="I59" s="881">
        <f t="shared" si="51"/>
        <v>0</v>
      </c>
      <c r="J59" s="180">
        <f t="shared" si="41"/>
        <v>0</v>
      </c>
      <c r="K59" s="881">
        <f t="shared" si="51"/>
        <v>0</v>
      </c>
      <c r="L59" s="881">
        <f t="shared" si="51"/>
        <v>0</v>
      </c>
      <c r="M59" s="881">
        <f t="shared" si="51"/>
        <v>0</v>
      </c>
      <c r="N59" s="881">
        <f t="shared" si="51"/>
        <v>0</v>
      </c>
      <c r="O59" s="881">
        <f t="shared" si="51"/>
        <v>0</v>
      </c>
      <c r="P59" s="881">
        <f t="shared" si="51"/>
        <v>0</v>
      </c>
      <c r="Q59" s="180">
        <f>AVERAGE(K59:P59)</f>
        <v>0</v>
      </c>
      <c r="R59" s="881">
        <f t="shared" si="51"/>
        <v>0</v>
      </c>
      <c r="S59" s="881">
        <f t="shared" si="51"/>
        <v>0</v>
      </c>
      <c r="T59" s="881">
        <f t="shared" si="51"/>
        <v>0</v>
      </c>
      <c r="U59" s="881">
        <f t="shared" si="51"/>
        <v>0</v>
      </c>
      <c r="V59" s="881">
        <f t="shared" si="51"/>
        <v>0</v>
      </c>
      <c r="W59" s="881">
        <f t="shared" si="51"/>
        <v>0</v>
      </c>
      <c r="X59" s="180">
        <f>AVERAGE(R59:W59)</f>
        <v>0</v>
      </c>
      <c r="Y59" s="1028"/>
      <c r="Z59" s="1028"/>
      <c r="AA59" s="1028"/>
      <c r="AB59" s="1028"/>
      <c r="AC59" s="1028"/>
      <c r="AD59" s="1028"/>
      <c r="AE59" s="180"/>
      <c r="AF59" s="1418"/>
      <c r="AG59" s="60"/>
      <c r="AH59" s="60"/>
      <c r="AI59" s="60"/>
    </row>
    <row r="60" spans="2:35">
      <c r="B60" s="48"/>
      <c r="C60" s="887" t="s">
        <v>304</v>
      </c>
      <c r="D60" s="883"/>
      <c r="E60" s="883"/>
      <c r="F60" s="883"/>
      <c r="G60" s="883"/>
      <c r="H60" s="883"/>
      <c r="I60" s="883"/>
      <c r="J60" s="180"/>
      <c r="K60" s="883"/>
      <c r="L60" s="883"/>
      <c r="M60" s="883"/>
      <c r="N60" s="883"/>
      <c r="O60" s="883"/>
      <c r="P60" s="883"/>
      <c r="Q60" s="180"/>
      <c r="R60" s="883"/>
      <c r="S60" s="883"/>
      <c r="T60" s="883"/>
      <c r="U60" s="883"/>
      <c r="V60" s="883"/>
      <c r="W60" s="883"/>
      <c r="X60" s="180"/>
      <c r="Y60" s="1028"/>
      <c r="Z60" s="1028"/>
      <c r="AA60" s="1028"/>
      <c r="AB60" s="1028"/>
      <c r="AC60" s="1028"/>
      <c r="AD60" s="1028"/>
      <c r="AE60" s="180"/>
      <c r="AF60" s="1418"/>
      <c r="AG60" s="60"/>
      <c r="AH60" s="60"/>
      <c r="AI60" s="60"/>
    </row>
    <row r="61" spans="2:35">
      <c r="B61" s="48"/>
      <c r="C61" s="887" t="s">
        <v>306</v>
      </c>
      <c r="D61" s="883"/>
      <c r="E61" s="883"/>
      <c r="F61" s="883"/>
      <c r="G61" s="883"/>
      <c r="H61" s="883"/>
      <c r="I61" s="883"/>
      <c r="J61" s="180"/>
      <c r="K61" s="883"/>
      <c r="L61" s="883"/>
      <c r="M61" s="883"/>
      <c r="N61" s="883"/>
      <c r="O61" s="883"/>
      <c r="P61" s="883"/>
      <c r="Q61" s="180"/>
      <c r="R61" s="883"/>
      <c r="S61" s="883"/>
      <c r="T61" s="883"/>
      <c r="U61" s="883"/>
      <c r="V61" s="883"/>
      <c r="W61" s="883"/>
      <c r="X61" s="180"/>
      <c r="Y61" s="1028"/>
      <c r="Z61" s="1028"/>
      <c r="AA61" s="1028"/>
      <c r="AB61" s="1028"/>
      <c r="AC61" s="1028"/>
      <c r="AD61" s="1028"/>
      <c r="AE61" s="180"/>
      <c r="AF61" s="1418"/>
      <c r="AG61" s="60"/>
      <c r="AH61" s="60"/>
      <c r="AI61" s="60"/>
    </row>
    <row r="62" spans="2:35">
      <c r="B62" s="48"/>
      <c r="C62" s="888" t="s">
        <v>305</v>
      </c>
      <c r="D62" s="883"/>
      <c r="E62" s="883"/>
      <c r="F62" s="883"/>
      <c r="G62" s="883"/>
      <c r="H62" s="883"/>
      <c r="I62" s="883"/>
      <c r="J62" s="180"/>
      <c r="K62" s="883"/>
      <c r="L62" s="883"/>
      <c r="M62" s="883"/>
      <c r="N62" s="883"/>
      <c r="O62" s="883"/>
      <c r="P62" s="883"/>
      <c r="Q62" s="180"/>
      <c r="R62" s="883"/>
      <c r="S62" s="883"/>
      <c r="T62" s="883"/>
      <c r="U62" s="883"/>
      <c r="V62" s="883"/>
      <c r="W62" s="883"/>
      <c r="X62" s="180"/>
      <c r="Y62" s="1028"/>
      <c r="Z62" s="1028"/>
      <c r="AA62" s="1028"/>
      <c r="AB62" s="1028"/>
      <c r="AC62" s="1028"/>
      <c r="AD62" s="1028"/>
      <c r="AE62" s="180"/>
      <c r="AF62" s="1418"/>
      <c r="AG62" s="60"/>
      <c r="AH62" s="60"/>
      <c r="AI62" s="60"/>
    </row>
    <row r="63" spans="2:35">
      <c r="B63" s="48"/>
      <c r="C63" s="887" t="s">
        <v>307</v>
      </c>
      <c r="D63" s="883"/>
      <c r="E63" s="883"/>
      <c r="F63" s="883"/>
      <c r="G63" s="883"/>
      <c r="H63" s="883"/>
      <c r="I63" s="883"/>
      <c r="J63" s="180"/>
      <c r="K63" s="883"/>
      <c r="L63" s="883"/>
      <c r="M63" s="883"/>
      <c r="N63" s="883"/>
      <c r="O63" s="883"/>
      <c r="P63" s="883"/>
      <c r="Q63" s="180"/>
      <c r="R63" s="883"/>
      <c r="S63" s="883"/>
      <c r="T63" s="883"/>
      <c r="U63" s="883"/>
      <c r="V63" s="883"/>
      <c r="W63" s="883"/>
      <c r="X63" s="180"/>
      <c r="Y63" s="1028"/>
      <c r="Z63" s="1028"/>
      <c r="AA63" s="1028"/>
      <c r="AB63" s="1028"/>
      <c r="AC63" s="1028"/>
      <c r="AD63" s="1028"/>
      <c r="AE63" s="180"/>
      <c r="AF63" s="1418"/>
      <c r="AG63" s="60"/>
      <c r="AH63" s="60"/>
      <c r="AI63" s="60"/>
    </row>
    <row r="64" spans="2:35">
      <c r="B64" s="48"/>
      <c r="C64" s="887" t="s">
        <v>624</v>
      </c>
      <c r="D64" s="883"/>
      <c r="E64" s="883"/>
      <c r="F64" s="883"/>
      <c r="G64" s="883"/>
      <c r="H64" s="883"/>
      <c r="I64" s="883"/>
      <c r="J64" s="180"/>
      <c r="K64" s="883"/>
      <c r="L64" s="883"/>
      <c r="M64" s="883"/>
      <c r="N64" s="883"/>
      <c r="O64" s="883"/>
      <c r="P64" s="883"/>
      <c r="Q64" s="180"/>
      <c r="R64" s="883"/>
      <c r="S64" s="883"/>
      <c r="T64" s="883"/>
      <c r="U64" s="883"/>
      <c r="V64" s="883"/>
      <c r="W64" s="883"/>
      <c r="X64" s="180"/>
      <c r="Y64" s="1028"/>
      <c r="Z64" s="1028"/>
      <c r="AA64" s="1028"/>
      <c r="AB64" s="1028"/>
      <c r="AC64" s="1028"/>
      <c r="AD64" s="1028"/>
      <c r="AE64" s="180"/>
      <c r="AF64" s="1418"/>
      <c r="AG64" s="60"/>
      <c r="AH64" s="60"/>
      <c r="AI64" s="60"/>
    </row>
    <row r="65" spans="2:32" hidden="1">
      <c r="B65" s="48" t="s">
        <v>751</v>
      </c>
      <c r="C65" s="885" t="s">
        <v>634</v>
      </c>
      <c r="D65" s="881">
        <f>SUBTOTAL(9,D66:D70)</f>
        <v>0</v>
      </c>
      <c r="E65" s="881">
        <f t="shared" ref="E65:W65" si="52">SUBTOTAL(9,E66:E70)</f>
        <v>0</v>
      </c>
      <c r="F65" s="881">
        <f t="shared" si="52"/>
        <v>0</v>
      </c>
      <c r="G65" s="881">
        <f t="shared" si="52"/>
        <v>0</v>
      </c>
      <c r="H65" s="881">
        <f t="shared" si="52"/>
        <v>0</v>
      </c>
      <c r="I65" s="881">
        <f t="shared" si="52"/>
        <v>0</v>
      </c>
      <c r="J65" s="180">
        <f t="shared" ref="J65:J107" si="53">AVERAGE(D65:I65)</f>
        <v>0</v>
      </c>
      <c r="K65" s="881">
        <f t="shared" si="52"/>
        <v>0</v>
      </c>
      <c r="L65" s="881">
        <f t="shared" si="52"/>
        <v>0</v>
      </c>
      <c r="M65" s="881">
        <f t="shared" si="52"/>
        <v>0</v>
      </c>
      <c r="N65" s="881">
        <f t="shared" si="52"/>
        <v>0</v>
      </c>
      <c r="O65" s="881">
        <f t="shared" si="52"/>
        <v>0</v>
      </c>
      <c r="P65" s="881">
        <f t="shared" si="52"/>
        <v>0</v>
      </c>
      <c r="Q65" s="180">
        <f t="shared" ref="Q65:Q105" si="54">AVERAGE(K65:P65)</f>
        <v>0</v>
      </c>
      <c r="R65" s="881">
        <f t="shared" si="52"/>
        <v>0</v>
      </c>
      <c r="S65" s="881">
        <f t="shared" si="52"/>
        <v>0</v>
      </c>
      <c r="T65" s="881">
        <f t="shared" si="52"/>
        <v>0</v>
      </c>
      <c r="U65" s="881">
        <f t="shared" si="52"/>
        <v>0</v>
      </c>
      <c r="V65" s="881">
        <f t="shared" si="52"/>
        <v>0</v>
      </c>
      <c r="W65" s="881">
        <f t="shared" si="52"/>
        <v>0</v>
      </c>
      <c r="X65" s="180">
        <f t="shared" ref="X65:X105" si="55">AVERAGE(R65:W65)</f>
        <v>0</v>
      </c>
      <c r="Y65" s="1028"/>
      <c r="Z65" s="1028"/>
      <c r="AA65" s="1028"/>
      <c r="AB65" s="1028"/>
      <c r="AC65" s="1028"/>
      <c r="AD65" s="1028"/>
      <c r="AE65" s="180"/>
      <c r="AF65" s="1389"/>
    </row>
    <row r="66" spans="2:32" hidden="1">
      <c r="B66" s="48"/>
      <c r="C66" s="887" t="s">
        <v>304</v>
      </c>
      <c r="D66" s="883">
        <f t="shared" si="3"/>
        <v>0</v>
      </c>
      <c r="E66" s="883">
        <f t="shared" si="22"/>
        <v>0</v>
      </c>
      <c r="F66" s="883">
        <f t="shared" si="23"/>
        <v>0</v>
      </c>
      <c r="G66" s="883">
        <f t="shared" si="24"/>
        <v>0</v>
      </c>
      <c r="H66" s="883">
        <f t="shared" si="25"/>
        <v>0</v>
      </c>
      <c r="I66" s="883">
        <f t="shared" si="26"/>
        <v>0</v>
      </c>
      <c r="J66" s="180">
        <f t="shared" si="53"/>
        <v>0</v>
      </c>
      <c r="K66" s="883"/>
      <c r="L66" s="883"/>
      <c r="M66" s="883"/>
      <c r="N66" s="883"/>
      <c r="O66" s="883"/>
      <c r="P66" s="883"/>
      <c r="Q66" s="180" t="e">
        <f t="shared" si="54"/>
        <v>#DIV/0!</v>
      </c>
      <c r="R66" s="883"/>
      <c r="S66" s="883"/>
      <c r="T66" s="883"/>
      <c r="U66" s="883"/>
      <c r="V66" s="883"/>
      <c r="W66" s="883"/>
      <c r="X66" s="180" t="e">
        <f t="shared" si="55"/>
        <v>#DIV/0!</v>
      </c>
      <c r="Y66" s="1028"/>
      <c r="Z66" s="1028"/>
      <c r="AA66" s="1028"/>
      <c r="AB66" s="1028"/>
      <c r="AC66" s="1028"/>
      <c r="AD66" s="1028"/>
      <c r="AE66" s="180"/>
      <c r="AF66" s="1389"/>
    </row>
    <row r="67" spans="2:32" ht="12" hidden="1" customHeight="1">
      <c r="B67" s="48"/>
      <c r="C67" s="887" t="s">
        <v>306</v>
      </c>
      <c r="D67" s="883">
        <f t="shared" si="3"/>
        <v>0</v>
      </c>
      <c r="E67" s="883">
        <f t="shared" si="22"/>
        <v>0</v>
      </c>
      <c r="F67" s="883">
        <f t="shared" si="23"/>
        <v>0</v>
      </c>
      <c r="G67" s="883">
        <f t="shared" si="24"/>
        <v>0</v>
      </c>
      <c r="H67" s="883">
        <f t="shared" si="25"/>
        <v>0</v>
      </c>
      <c r="I67" s="883">
        <f t="shared" si="26"/>
        <v>0</v>
      </c>
      <c r="J67" s="180">
        <f t="shared" si="53"/>
        <v>0</v>
      </c>
      <c r="K67" s="883"/>
      <c r="L67" s="883"/>
      <c r="M67" s="883"/>
      <c r="N67" s="883"/>
      <c r="O67" s="883"/>
      <c r="P67" s="883"/>
      <c r="Q67" s="180" t="e">
        <f t="shared" si="54"/>
        <v>#DIV/0!</v>
      </c>
      <c r="R67" s="883"/>
      <c r="S67" s="883"/>
      <c r="T67" s="883"/>
      <c r="U67" s="883"/>
      <c r="V67" s="883"/>
      <c r="W67" s="883"/>
      <c r="X67" s="180" t="e">
        <f t="shared" si="55"/>
        <v>#DIV/0!</v>
      </c>
      <c r="Y67" s="1028"/>
      <c r="Z67" s="1028"/>
      <c r="AA67" s="1028"/>
      <c r="AB67" s="1028"/>
      <c r="AC67" s="1028"/>
      <c r="AD67" s="1028"/>
      <c r="AE67" s="180"/>
      <c r="AF67" s="1389"/>
    </row>
    <row r="68" spans="2:32" hidden="1">
      <c r="B68" s="48"/>
      <c r="C68" s="888" t="s">
        <v>305</v>
      </c>
      <c r="D68" s="883">
        <f t="shared" si="3"/>
        <v>0</v>
      </c>
      <c r="E68" s="883">
        <f t="shared" si="22"/>
        <v>0</v>
      </c>
      <c r="F68" s="883">
        <f t="shared" si="23"/>
        <v>0</v>
      </c>
      <c r="G68" s="883">
        <f t="shared" si="24"/>
        <v>0</v>
      </c>
      <c r="H68" s="883">
        <f t="shared" si="25"/>
        <v>0</v>
      </c>
      <c r="I68" s="883">
        <f t="shared" si="26"/>
        <v>0</v>
      </c>
      <c r="J68" s="180">
        <f t="shared" si="53"/>
        <v>0</v>
      </c>
      <c r="K68" s="883"/>
      <c r="L68" s="883"/>
      <c r="M68" s="883"/>
      <c r="N68" s="883"/>
      <c r="O68" s="883"/>
      <c r="P68" s="883"/>
      <c r="Q68" s="180" t="e">
        <f t="shared" si="54"/>
        <v>#DIV/0!</v>
      </c>
      <c r="R68" s="883"/>
      <c r="S68" s="883"/>
      <c r="T68" s="883"/>
      <c r="U68" s="883"/>
      <c r="V68" s="883"/>
      <c r="W68" s="883"/>
      <c r="X68" s="180" t="e">
        <f t="shared" si="55"/>
        <v>#DIV/0!</v>
      </c>
      <c r="Y68" s="1028"/>
      <c r="Z68" s="1028"/>
      <c r="AA68" s="1028"/>
      <c r="AB68" s="1028"/>
      <c r="AC68" s="1028"/>
      <c r="AD68" s="1028"/>
      <c r="AE68" s="180"/>
      <c r="AF68" s="1389"/>
    </row>
    <row r="69" spans="2:32" hidden="1">
      <c r="B69" s="48"/>
      <c r="C69" s="887" t="s">
        <v>307</v>
      </c>
      <c r="D69" s="883">
        <f t="shared" si="3"/>
        <v>0</v>
      </c>
      <c r="E69" s="883">
        <f t="shared" si="22"/>
        <v>0</v>
      </c>
      <c r="F69" s="883">
        <f t="shared" si="23"/>
        <v>0</v>
      </c>
      <c r="G69" s="883">
        <f t="shared" si="24"/>
        <v>0</v>
      </c>
      <c r="H69" s="883">
        <f t="shared" si="25"/>
        <v>0</v>
      </c>
      <c r="I69" s="883">
        <f t="shared" si="26"/>
        <v>0</v>
      </c>
      <c r="J69" s="180">
        <f t="shared" si="53"/>
        <v>0</v>
      </c>
      <c r="K69" s="883"/>
      <c r="L69" s="883"/>
      <c r="M69" s="883"/>
      <c r="N69" s="883"/>
      <c r="O69" s="883"/>
      <c r="P69" s="883"/>
      <c r="Q69" s="180" t="e">
        <f t="shared" si="54"/>
        <v>#DIV/0!</v>
      </c>
      <c r="R69" s="883"/>
      <c r="S69" s="883"/>
      <c r="T69" s="883"/>
      <c r="U69" s="883"/>
      <c r="V69" s="883"/>
      <c r="W69" s="883"/>
      <c r="X69" s="180" t="e">
        <f t="shared" si="55"/>
        <v>#DIV/0!</v>
      </c>
      <c r="Y69" s="1028"/>
      <c r="Z69" s="1028"/>
      <c r="AA69" s="1028"/>
      <c r="AB69" s="1028"/>
      <c r="AC69" s="1028"/>
      <c r="AD69" s="1028"/>
      <c r="AE69" s="180"/>
      <c r="AF69" s="1389"/>
    </row>
    <row r="70" spans="2:32" hidden="1">
      <c r="B70" s="48"/>
      <c r="C70" s="887" t="s">
        <v>624</v>
      </c>
      <c r="D70" s="883">
        <f t="shared" si="3"/>
        <v>0</v>
      </c>
      <c r="E70" s="883">
        <f t="shared" si="22"/>
        <v>0</v>
      </c>
      <c r="F70" s="883">
        <f t="shared" si="23"/>
        <v>0</v>
      </c>
      <c r="G70" s="883">
        <f t="shared" si="24"/>
        <v>0</v>
      </c>
      <c r="H70" s="883">
        <f t="shared" si="25"/>
        <v>0</v>
      </c>
      <c r="I70" s="883">
        <f t="shared" si="26"/>
        <v>0</v>
      </c>
      <c r="J70" s="180">
        <f t="shared" si="53"/>
        <v>0</v>
      </c>
      <c r="K70" s="883"/>
      <c r="L70" s="883"/>
      <c r="M70" s="883"/>
      <c r="N70" s="883"/>
      <c r="O70" s="883"/>
      <c r="P70" s="883"/>
      <c r="Q70" s="180" t="e">
        <f t="shared" si="54"/>
        <v>#DIV/0!</v>
      </c>
      <c r="R70" s="883"/>
      <c r="S70" s="883"/>
      <c r="T70" s="883"/>
      <c r="U70" s="883"/>
      <c r="V70" s="883"/>
      <c r="W70" s="883"/>
      <c r="X70" s="180" t="e">
        <f t="shared" si="55"/>
        <v>#DIV/0!</v>
      </c>
      <c r="Y70" s="1028"/>
      <c r="Z70" s="1028"/>
      <c r="AA70" s="1028"/>
      <c r="AB70" s="1028"/>
      <c r="AC70" s="1028"/>
      <c r="AD70" s="1028"/>
      <c r="AE70" s="180"/>
      <c r="AF70" s="1389"/>
    </row>
    <row r="71" spans="2:32" hidden="1">
      <c r="B71" s="48" t="s">
        <v>750</v>
      </c>
      <c r="C71" s="885" t="s">
        <v>635</v>
      </c>
      <c r="D71" s="881">
        <f>SUBTOTAL(9,D72:D77)</f>
        <v>0</v>
      </c>
      <c r="E71" s="881">
        <f t="shared" ref="E71:W71" si="56">SUBTOTAL(9,E72:E77)</f>
        <v>0</v>
      </c>
      <c r="F71" s="881">
        <f t="shared" si="56"/>
        <v>0</v>
      </c>
      <c r="G71" s="881">
        <f t="shared" si="56"/>
        <v>0</v>
      </c>
      <c r="H71" s="881">
        <f t="shared" si="56"/>
        <v>0</v>
      </c>
      <c r="I71" s="881">
        <f t="shared" si="56"/>
        <v>0</v>
      </c>
      <c r="J71" s="180">
        <f t="shared" si="53"/>
        <v>0</v>
      </c>
      <c r="K71" s="881">
        <f t="shared" si="56"/>
        <v>0</v>
      </c>
      <c r="L71" s="881">
        <f t="shared" si="56"/>
        <v>0</v>
      </c>
      <c r="M71" s="881">
        <f t="shared" si="56"/>
        <v>0</v>
      </c>
      <c r="N71" s="881">
        <f t="shared" si="56"/>
        <v>0</v>
      </c>
      <c r="O71" s="881">
        <f t="shared" si="56"/>
        <v>0</v>
      </c>
      <c r="P71" s="881">
        <f t="shared" si="56"/>
        <v>0</v>
      </c>
      <c r="Q71" s="180">
        <f t="shared" si="54"/>
        <v>0</v>
      </c>
      <c r="R71" s="881">
        <f t="shared" si="56"/>
        <v>0</v>
      </c>
      <c r="S71" s="881">
        <f t="shared" si="56"/>
        <v>0</v>
      </c>
      <c r="T71" s="881">
        <f t="shared" si="56"/>
        <v>0</v>
      </c>
      <c r="U71" s="881">
        <f t="shared" si="56"/>
        <v>0</v>
      </c>
      <c r="V71" s="881">
        <f t="shared" si="56"/>
        <v>0</v>
      </c>
      <c r="W71" s="881">
        <f t="shared" si="56"/>
        <v>0</v>
      </c>
      <c r="X71" s="180">
        <f t="shared" si="55"/>
        <v>0</v>
      </c>
      <c r="Y71" s="1028"/>
      <c r="Z71" s="1028"/>
      <c r="AA71" s="1028"/>
      <c r="AB71" s="1028"/>
      <c r="AC71" s="1028"/>
      <c r="AD71" s="1028"/>
      <c r="AE71" s="180"/>
      <c r="AF71" s="1389"/>
    </row>
    <row r="72" spans="2:32" hidden="1">
      <c r="B72" s="48"/>
      <c r="C72" s="887" t="s">
        <v>304</v>
      </c>
      <c r="D72" s="883">
        <f t="shared" si="3"/>
        <v>0</v>
      </c>
      <c r="E72" s="883">
        <f t="shared" si="22"/>
        <v>0</v>
      </c>
      <c r="F72" s="883">
        <f t="shared" si="23"/>
        <v>0</v>
      </c>
      <c r="G72" s="883">
        <f t="shared" si="24"/>
        <v>0</v>
      </c>
      <c r="H72" s="883">
        <f t="shared" si="25"/>
        <v>0</v>
      </c>
      <c r="I72" s="883">
        <f t="shared" si="26"/>
        <v>0</v>
      </c>
      <c r="J72" s="180">
        <f t="shared" si="53"/>
        <v>0</v>
      </c>
      <c r="K72" s="883"/>
      <c r="L72" s="883"/>
      <c r="M72" s="883"/>
      <c r="N72" s="883"/>
      <c r="O72" s="883"/>
      <c r="P72" s="883"/>
      <c r="Q72" s="180" t="e">
        <f t="shared" si="54"/>
        <v>#DIV/0!</v>
      </c>
      <c r="R72" s="883"/>
      <c r="S72" s="883"/>
      <c r="T72" s="883"/>
      <c r="U72" s="883"/>
      <c r="V72" s="883"/>
      <c r="W72" s="883"/>
      <c r="X72" s="180" t="e">
        <f t="shared" si="55"/>
        <v>#DIV/0!</v>
      </c>
      <c r="Y72" s="1028"/>
      <c r="Z72" s="1028"/>
      <c r="AA72" s="1028"/>
      <c r="AB72" s="1028"/>
      <c r="AC72" s="1028"/>
      <c r="AD72" s="1028"/>
      <c r="AE72" s="180"/>
      <c r="AF72" s="1389"/>
    </row>
    <row r="73" spans="2:32" hidden="1">
      <c r="B73" s="48"/>
      <c r="C73" s="887" t="s">
        <v>642</v>
      </c>
      <c r="D73" s="883">
        <f t="shared" si="3"/>
        <v>0</v>
      </c>
      <c r="E73" s="883">
        <f t="shared" si="22"/>
        <v>0</v>
      </c>
      <c r="F73" s="883">
        <f t="shared" si="23"/>
        <v>0</v>
      </c>
      <c r="G73" s="883">
        <f t="shared" si="24"/>
        <v>0</v>
      </c>
      <c r="H73" s="883">
        <f t="shared" si="25"/>
        <v>0</v>
      </c>
      <c r="I73" s="883">
        <f t="shared" si="26"/>
        <v>0</v>
      </c>
      <c r="J73" s="180">
        <f t="shared" si="53"/>
        <v>0</v>
      </c>
      <c r="K73" s="883"/>
      <c r="L73" s="883"/>
      <c r="M73" s="883"/>
      <c r="N73" s="883"/>
      <c r="O73" s="883"/>
      <c r="P73" s="883"/>
      <c r="Q73" s="180" t="e">
        <f t="shared" si="54"/>
        <v>#DIV/0!</v>
      </c>
      <c r="R73" s="883"/>
      <c r="S73" s="883"/>
      <c r="T73" s="883"/>
      <c r="U73" s="883"/>
      <c r="V73" s="883"/>
      <c r="W73" s="883"/>
      <c r="X73" s="180" t="e">
        <f t="shared" si="55"/>
        <v>#DIV/0!</v>
      </c>
      <c r="Y73" s="1028"/>
      <c r="Z73" s="1028"/>
      <c r="AA73" s="1028"/>
      <c r="AB73" s="1028"/>
      <c r="AC73" s="1028"/>
      <c r="AD73" s="1028"/>
      <c r="AE73" s="180"/>
      <c r="AF73" s="1389"/>
    </row>
    <row r="74" spans="2:32" hidden="1">
      <c r="B74" s="48"/>
      <c r="C74" s="889" t="s">
        <v>1177</v>
      </c>
      <c r="D74" s="883">
        <f t="shared" si="3"/>
        <v>0</v>
      </c>
      <c r="E74" s="883">
        <f t="shared" si="22"/>
        <v>0</v>
      </c>
      <c r="F74" s="883">
        <f t="shared" si="23"/>
        <v>0</v>
      </c>
      <c r="G74" s="883">
        <f t="shared" si="24"/>
        <v>0</v>
      </c>
      <c r="H74" s="883">
        <f t="shared" si="25"/>
        <v>0</v>
      </c>
      <c r="I74" s="883">
        <f t="shared" si="26"/>
        <v>0</v>
      </c>
      <c r="J74" s="180">
        <f t="shared" si="53"/>
        <v>0</v>
      </c>
      <c r="K74" s="883"/>
      <c r="L74" s="883"/>
      <c r="M74" s="883"/>
      <c r="N74" s="883"/>
      <c r="O74" s="883"/>
      <c r="P74" s="883"/>
      <c r="Q74" s="180" t="e">
        <f t="shared" si="54"/>
        <v>#DIV/0!</v>
      </c>
      <c r="R74" s="883"/>
      <c r="S74" s="883"/>
      <c r="T74" s="883"/>
      <c r="U74" s="883"/>
      <c r="V74" s="883"/>
      <c r="W74" s="883"/>
      <c r="X74" s="180" t="e">
        <f t="shared" si="55"/>
        <v>#DIV/0!</v>
      </c>
      <c r="Y74" s="1028"/>
      <c r="Z74" s="1028"/>
      <c r="AA74" s="1028"/>
      <c r="AB74" s="1028"/>
      <c r="AC74" s="1028"/>
      <c r="AD74" s="1028"/>
      <c r="AE74" s="180"/>
      <c r="AF74" s="1389"/>
    </row>
    <row r="75" spans="2:32" hidden="1">
      <c r="B75" s="48"/>
      <c r="C75" s="889" t="s">
        <v>305</v>
      </c>
      <c r="D75" s="883">
        <f t="shared" si="3"/>
        <v>0</v>
      </c>
      <c r="E75" s="883">
        <f t="shared" si="22"/>
        <v>0</v>
      </c>
      <c r="F75" s="883">
        <f t="shared" si="23"/>
        <v>0</v>
      </c>
      <c r="G75" s="883">
        <f t="shared" si="24"/>
        <v>0</v>
      </c>
      <c r="H75" s="883">
        <f t="shared" si="25"/>
        <v>0</v>
      </c>
      <c r="I75" s="883">
        <f t="shared" si="26"/>
        <v>0</v>
      </c>
      <c r="J75" s="180">
        <f t="shared" si="53"/>
        <v>0</v>
      </c>
      <c r="K75" s="883"/>
      <c r="L75" s="883"/>
      <c r="M75" s="883"/>
      <c r="N75" s="883"/>
      <c r="O75" s="883"/>
      <c r="P75" s="883"/>
      <c r="Q75" s="180" t="e">
        <f t="shared" si="54"/>
        <v>#DIV/0!</v>
      </c>
      <c r="R75" s="883"/>
      <c r="S75" s="883"/>
      <c r="T75" s="883"/>
      <c r="U75" s="883"/>
      <c r="V75" s="883"/>
      <c r="W75" s="883"/>
      <c r="X75" s="180" t="e">
        <f t="shared" si="55"/>
        <v>#DIV/0!</v>
      </c>
      <c r="Y75" s="1028"/>
      <c r="Z75" s="1028"/>
      <c r="AA75" s="1028"/>
      <c r="AB75" s="1028"/>
      <c r="AC75" s="1028"/>
      <c r="AD75" s="1028"/>
      <c r="AE75" s="180"/>
      <c r="AF75" s="1389"/>
    </row>
    <row r="76" spans="2:32" hidden="1">
      <c r="B76" s="48"/>
      <c r="C76" s="887" t="s">
        <v>307</v>
      </c>
      <c r="D76" s="883">
        <f t="shared" si="3"/>
        <v>0</v>
      </c>
      <c r="E76" s="883">
        <f t="shared" si="22"/>
        <v>0</v>
      </c>
      <c r="F76" s="883">
        <f t="shared" si="23"/>
        <v>0</v>
      </c>
      <c r="G76" s="883">
        <f t="shared" si="24"/>
        <v>0</v>
      </c>
      <c r="H76" s="883">
        <f t="shared" si="25"/>
        <v>0</v>
      </c>
      <c r="I76" s="883">
        <f t="shared" si="26"/>
        <v>0</v>
      </c>
      <c r="J76" s="180">
        <f t="shared" si="53"/>
        <v>0</v>
      </c>
      <c r="K76" s="883"/>
      <c r="L76" s="883"/>
      <c r="M76" s="883"/>
      <c r="N76" s="883"/>
      <c r="O76" s="883"/>
      <c r="P76" s="883"/>
      <c r="Q76" s="180" t="e">
        <f t="shared" si="54"/>
        <v>#DIV/0!</v>
      </c>
      <c r="R76" s="883"/>
      <c r="S76" s="883"/>
      <c r="T76" s="883"/>
      <c r="U76" s="883"/>
      <c r="V76" s="883"/>
      <c r="W76" s="883"/>
      <c r="X76" s="180" t="e">
        <f t="shared" si="55"/>
        <v>#DIV/0!</v>
      </c>
      <c r="Y76" s="1028"/>
      <c r="Z76" s="1028"/>
      <c r="AA76" s="1028"/>
      <c r="AB76" s="1028"/>
      <c r="AC76" s="1028"/>
      <c r="AD76" s="1028"/>
      <c r="AE76" s="180"/>
      <c r="AF76" s="1389"/>
    </row>
    <row r="77" spans="2:32" hidden="1">
      <c r="B77" s="48"/>
      <c r="C77" s="887" t="s">
        <v>624</v>
      </c>
      <c r="D77" s="883">
        <f t="shared" si="3"/>
        <v>0</v>
      </c>
      <c r="E77" s="883">
        <f t="shared" si="22"/>
        <v>0</v>
      </c>
      <c r="F77" s="883">
        <f t="shared" si="23"/>
        <v>0</v>
      </c>
      <c r="G77" s="883">
        <f t="shared" si="24"/>
        <v>0</v>
      </c>
      <c r="H77" s="883">
        <f t="shared" si="25"/>
        <v>0</v>
      </c>
      <c r="I77" s="883">
        <f t="shared" si="26"/>
        <v>0</v>
      </c>
      <c r="J77" s="180">
        <f t="shared" si="53"/>
        <v>0</v>
      </c>
      <c r="K77" s="883"/>
      <c r="L77" s="883"/>
      <c r="M77" s="883"/>
      <c r="N77" s="883"/>
      <c r="O77" s="883"/>
      <c r="P77" s="883"/>
      <c r="Q77" s="180" t="e">
        <f t="shared" si="54"/>
        <v>#DIV/0!</v>
      </c>
      <c r="R77" s="883"/>
      <c r="S77" s="883"/>
      <c r="T77" s="883"/>
      <c r="U77" s="883"/>
      <c r="V77" s="883"/>
      <c r="W77" s="883"/>
      <c r="X77" s="180" t="e">
        <f t="shared" si="55"/>
        <v>#DIV/0!</v>
      </c>
      <c r="Y77" s="1028"/>
      <c r="Z77" s="1028"/>
      <c r="AA77" s="1028"/>
      <c r="AB77" s="1028"/>
      <c r="AC77" s="1028"/>
      <c r="AD77" s="1028"/>
      <c r="AE77" s="180"/>
      <c r="AF77" s="1389"/>
    </row>
    <row r="78" spans="2:32" hidden="1">
      <c r="B78" s="48" t="s">
        <v>749</v>
      </c>
      <c r="C78" s="885" t="s">
        <v>636</v>
      </c>
      <c r="D78" s="881">
        <f>SUBTOTAL(9,D79:D84)</f>
        <v>0</v>
      </c>
      <c r="E78" s="881">
        <f t="shared" ref="E78:W78" si="57">SUBTOTAL(9,E79:E84)</f>
        <v>0</v>
      </c>
      <c r="F78" s="881">
        <f t="shared" si="57"/>
        <v>0</v>
      </c>
      <c r="G78" s="881">
        <f t="shared" si="57"/>
        <v>0</v>
      </c>
      <c r="H78" s="881">
        <f t="shared" si="57"/>
        <v>0</v>
      </c>
      <c r="I78" s="881">
        <f t="shared" si="57"/>
        <v>0</v>
      </c>
      <c r="J78" s="180">
        <f t="shared" si="53"/>
        <v>0</v>
      </c>
      <c r="K78" s="881">
        <f t="shared" si="57"/>
        <v>0</v>
      </c>
      <c r="L78" s="881">
        <f t="shared" si="57"/>
        <v>0</v>
      </c>
      <c r="M78" s="881">
        <f t="shared" si="57"/>
        <v>0</v>
      </c>
      <c r="N78" s="881">
        <f t="shared" si="57"/>
        <v>0</v>
      </c>
      <c r="O78" s="881">
        <f t="shared" si="57"/>
        <v>0</v>
      </c>
      <c r="P78" s="881">
        <f t="shared" si="57"/>
        <v>0</v>
      </c>
      <c r="Q78" s="180">
        <f t="shared" si="54"/>
        <v>0</v>
      </c>
      <c r="R78" s="881">
        <f t="shared" si="57"/>
        <v>0</v>
      </c>
      <c r="S78" s="881">
        <f t="shared" si="57"/>
        <v>0</v>
      </c>
      <c r="T78" s="881">
        <f t="shared" si="57"/>
        <v>0</v>
      </c>
      <c r="U78" s="881">
        <f t="shared" si="57"/>
        <v>0</v>
      </c>
      <c r="V78" s="881">
        <f t="shared" si="57"/>
        <v>0</v>
      </c>
      <c r="W78" s="881">
        <f t="shared" si="57"/>
        <v>0</v>
      </c>
      <c r="X78" s="180">
        <f t="shared" si="55"/>
        <v>0</v>
      </c>
      <c r="Y78" s="1028"/>
      <c r="Z78" s="1028"/>
      <c r="AA78" s="1028"/>
      <c r="AB78" s="1028"/>
      <c r="AC78" s="1028"/>
      <c r="AD78" s="1028"/>
      <c r="AE78" s="180"/>
      <c r="AF78" s="1389"/>
    </row>
    <row r="79" spans="2:32" hidden="1">
      <c r="C79" s="887" t="s">
        <v>304</v>
      </c>
      <c r="D79" s="883">
        <f t="shared" ref="D79:D84" si="58">K79</f>
        <v>0</v>
      </c>
      <c r="E79" s="883">
        <f t="shared" si="22"/>
        <v>0</v>
      </c>
      <c r="F79" s="883">
        <f t="shared" si="23"/>
        <v>0</v>
      </c>
      <c r="G79" s="883">
        <f t="shared" si="24"/>
        <v>0</v>
      </c>
      <c r="H79" s="883">
        <f t="shared" si="25"/>
        <v>0</v>
      </c>
      <c r="I79" s="883">
        <f t="shared" si="26"/>
        <v>0</v>
      </c>
      <c r="J79" s="180">
        <f t="shared" si="53"/>
        <v>0</v>
      </c>
      <c r="K79" s="883"/>
      <c r="L79" s="883"/>
      <c r="M79" s="883"/>
      <c r="N79" s="883"/>
      <c r="O79" s="883"/>
      <c r="P79" s="883"/>
      <c r="Q79" s="180" t="e">
        <f t="shared" si="54"/>
        <v>#DIV/0!</v>
      </c>
      <c r="R79" s="883"/>
      <c r="S79" s="883"/>
      <c r="T79" s="883"/>
      <c r="U79" s="883"/>
      <c r="V79" s="883"/>
      <c r="W79" s="883"/>
      <c r="X79" s="180" t="e">
        <f t="shared" si="55"/>
        <v>#DIV/0!</v>
      </c>
      <c r="Y79" s="1028"/>
      <c r="Z79" s="1028"/>
      <c r="AA79" s="1028"/>
      <c r="AB79" s="1028"/>
      <c r="AC79" s="1028"/>
      <c r="AD79" s="1028"/>
      <c r="AE79" s="180"/>
      <c r="AF79" s="1389"/>
    </row>
    <row r="80" spans="2:32" hidden="1">
      <c r="C80" s="887" t="s">
        <v>642</v>
      </c>
      <c r="D80" s="883">
        <f t="shared" si="58"/>
        <v>0</v>
      </c>
      <c r="E80" s="883">
        <f t="shared" si="22"/>
        <v>0</v>
      </c>
      <c r="F80" s="883">
        <f t="shared" si="23"/>
        <v>0</v>
      </c>
      <c r="G80" s="883">
        <f t="shared" si="24"/>
        <v>0</v>
      </c>
      <c r="H80" s="883">
        <f t="shared" si="25"/>
        <v>0</v>
      </c>
      <c r="I80" s="883">
        <f t="shared" si="26"/>
        <v>0</v>
      </c>
      <c r="J80" s="180">
        <f t="shared" si="53"/>
        <v>0</v>
      </c>
      <c r="K80" s="883"/>
      <c r="L80" s="883"/>
      <c r="M80" s="883"/>
      <c r="N80" s="883"/>
      <c r="O80" s="883"/>
      <c r="P80" s="883"/>
      <c r="Q80" s="180" t="e">
        <f t="shared" si="54"/>
        <v>#DIV/0!</v>
      </c>
      <c r="R80" s="883"/>
      <c r="S80" s="883"/>
      <c r="T80" s="883"/>
      <c r="U80" s="883"/>
      <c r="V80" s="883"/>
      <c r="W80" s="883"/>
      <c r="X80" s="180" t="e">
        <f t="shared" si="55"/>
        <v>#DIV/0!</v>
      </c>
      <c r="Y80" s="1028"/>
      <c r="Z80" s="1028"/>
      <c r="AA80" s="1028"/>
      <c r="AB80" s="1028"/>
      <c r="AC80" s="1028"/>
      <c r="AD80" s="1028"/>
      <c r="AE80" s="180"/>
      <c r="AF80" s="1389"/>
    </row>
    <row r="81" spans="2:32" hidden="1">
      <c r="C81" s="889" t="s">
        <v>1177</v>
      </c>
      <c r="D81" s="883">
        <f t="shared" si="58"/>
        <v>0</v>
      </c>
      <c r="E81" s="883">
        <f t="shared" si="22"/>
        <v>0</v>
      </c>
      <c r="F81" s="883">
        <f t="shared" si="23"/>
        <v>0</v>
      </c>
      <c r="G81" s="883">
        <f t="shared" si="24"/>
        <v>0</v>
      </c>
      <c r="H81" s="883">
        <f t="shared" si="25"/>
        <v>0</v>
      </c>
      <c r="I81" s="883">
        <f t="shared" si="26"/>
        <v>0</v>
      </c>
      <c r="J81" s="180">
        <f t="shared" si="53"/>
        <v>0</v>
      </c>
      <c r="K81" s="883"/>
      <c r="L81" s="883"/>
      <c r="M81" s="883"/>
      <c r="N81" s="883"/>
      <c r="O81" s="883"/>
      <c r="P81" s="883"/>
      <c r="Q81" s="180" t="e">
        <f t="shared" si="54"/>
        <v>#DIV/0!</v>
      </c>
      <c r="R81" s="883"/>
      <c r="S81" s="883"/>
      <c r="T81" s="883"/>
      <c r="U81" s="883"/>
      <c r="V81" s="883"/>
      <c r="W81" s="883"/>
      <c r="X81" s="180" t="e">
        <f t="shared" si="55"/>
        <v>#DIV/0!</v>
      </c>
      <c r="Y81" s="1028"/>
      <c r="Z81" s="1028"/>
      <c r="AA81" s="1028"/>
      <c r="AB81" s="1028"/>
      <c r="AC81" s="1028"/>
      <c r="AD81" s="1028"/>
      <c r="AE81" s="180"/>
      <c r="AF81" s="1389"/>
    </row>
    <row r="82" spans="2:32" hidden="1">
      <c r="C82" s="889" t="s">
        <v>305</v>
      </c>
      <c r="D82" s="883">
        <f t="shared" si="58"/>
        <v>0</v>
      </c>
      <c r="E82" s="883">
        <f t="shared" si="22"/>
        <v>0</v>
      </c>
      <c r="F82" s="883">
        <f t="shared" si="23"/>
        <v>0</v>
      </c>
      <c r="G82" s="883">
        <f t="shared" si="24"/>
        <v>0</v>
      </c>
      <c r="H82" s="883">
        <f t="shared" si="25"/>
        <v>0</v>
      </c>
      <c r="I82" s="883">
        <f t="shared" si="26"/>
        <v>0</v>
      </c>
      <c r="J82" s="180">
        <f t="shared" si="53"/>
        <v>0</v>
      </c>
      <c r="K82" s="883"/>
      <c r="L82" s="883"/>
      <c r="M82" s="883"/>
      <c r="N82" s="883"/>
      <c r="O82" s="883"/>
      <c r="P82" s="883"/>
      <c r="Q82" s="180" t="e">
        <f t="shared" si="54"/>
        <v>#DIV/0!</v>
      </c>
      <c r="R82" s="883"/>
      <c r="S82" s="883"/>
      <c r="T82" s="883"/>
      <c r="U82" s="883"/>
      <c r="V82" s="883"/>
      <c r="W82" s="883"/>
      <c r="X82" s="180" t="e">
        <f t="shared" si="55"/>
        <v>#DIV/0!</v>
      </c>
      <c r="Y82" s="1028"/>
      <c r="Z82" s="1028"/>
      <c r="AA82" s="1028"/>
      <c r="AB82" s="1028"/>
      <c r="AC82" s="1028"/>
      <c r="AD82" s="1028"/>
      <c r="AE82" s="180"/>
      <c r="AF82" s="1389"/>
    </row>
    <row r="83" spans="2:32" hidden="1">
      <c r="C83" s="887" t="s">
        <v>307</v>
      </c>
      <c r="D83" s="883">
        <f t="shared" si="58"/>
        <v>0</v>
      </c>
      <c r="E83" s="883">
        <f t="shared" si="22"/>
        <v>0</v>
      </c>
      <c r="F83" s="883">
        <f t="shared" si="23"/>
        <v>0</v>
      </c>
      <c r="G83" s="883">
        <f t="shared" si="24"/>
        <v>0</v>
      </c>
      <c r="H83" s="883">
        <f t="shared" si="25"/>
        <v>0</v>
      </c>
      <c r="I83" s="883">
        <f t="shared" si="26"/>
        <v>0</v>
      </c>
      <c r="J83" s="180">
        <f t="shared" si="53"/>
        <v>0</v>
      </c>
      <c r="K83" s="883"/>
      <c r="L83" s="883"/>
      <c r="M83" s="883"/>
      <c r="N83" s="883"/>
      <c r="O83" s="883"/>
      <c r="P83" s="883"/>
      <c r="Q83" s="180" t="e">
        <f t="shared" si="54"/>
        <v>#DIV/0!</v>
      </c>
      <c r="R83" s="883"/>
      <c r="S83" s="883"/>
      <c r="T83" s="883"/>
      <c r="U83" s="883"/>
      <c r="V83" s="883"/>
      <c r="W83" s="883"/>
      <c r="X83" s="180" t="e">
        <f t="shared" si="55"/>
        <v>#DIV/0!</v>
      </c>
      <c r="Y83" s="1028"/>
      <c r="Z83" s="1028"/>
      <c r="AA83" s="1028"/>
      <c r="AB83" s="1028"/>
      <c r="AC83" s="1028"/>
      <c r="AD83" s="1028"/>
      <c r="AE83" s="180"/>
      <c r="AF83" s="1389"/>
    </row>
    <row r="84" spans="2:32" hidden="1">
      <c r="C84" s="887" t="s">
        <v>624</v>
      </c>
      <c r="D84" s="883">
        <f t="shared" si="58"/>
        <v>0</v>
      </c>
      <c r="E84" s="883">
        <f t="shared" si="22"/>
        <v>0</v>
      </c>
      <c r="F84" s="883">
        <f t="shared" si="23"/>
        <v>0</v>
      </c>
      <c r="G84" s="883">
        <f t="shared" si="24"/>
        <v>0</v>
      </c>
      <c r="H84" s="883">
        <f t="shared" si="25"/>
        <v>0</v>
      </c>
      <c r="I84" s="883">
        <f t="shared" si="26"/>
        <v>0</v>
      </c>
      <c r="J84" s="180">
        <f t="shared" si="53"/>
        <v>0</v>
      </c>
      <c r="K84" s="883"/>
      <c r="L84" s="883"/>
      <c r="M84" s="883"/>
      <c r="N84" s="883"/>
      <c r="O84" s="883"/>
      <c r="P84" s="883"/>
      <c r="Q84" s="180" t="e">
        <f t="shared" si="54"/>
        <v>#DIV/0!</v>
      </c>
      <c r="R84" s="883"/>
      <c r="S84" s="883"/>
      <c r="T84" s="883"/>
      <c r="U84" s="883"/>
      <c r="V84" s="883"/>
      <c r="W84" s="883"/>
      <c r="X84" s="180" t="e">
        <f t="shared" si="55"/>
        <v>#DIV/0!</v>
      </c>
      <c r="Y84" s="1028"/>
      <c r="Z84" s="1028"/>
      <c r="AA84" s="1028"/>
      <c r="AB84" s="1028"/>
      <c r="AC84" s="1028"/>
      <c r="AD84" s="1028"/>
      <c r="AE84" s="180"/>
      <c r="AF84" s="1389"/>
    </row>
    <row r="85" spans="2:32" hidden="1">
      <c r="C85" s="887"/>
      <c r="D85" s="883"/>
      <c r="E85" s="883"/>
      <c r="F85" s="883"/>
      <c r="G85" s="883"/>
      <c r="H85" s="883"/>
      <c r="I85" s="883"/>
      <c r="J85" s="180" t="e">
        <f t="shared" si="53"/>
        <v>#DIV/0!</v>
      </c>
      <c r="K85" s="883"/>
      <c r="L85" s="883"/>
      <c r="M85" s="883"/>
      <c r="N85" s="883"/>
      <c r="O85" s="883"/>
      <c r="P85" s="883"/>
      <c r="Q85" s="180" t="e">
        <f t="shared" si="54"/>
        <v>#DIV/0!</v>
      </c>
      <c r="R85" s="883"/>
      <c r="S85" s="883"/>
      <c r="T85" s="883"/>
      <c r="U85" s="883"/>
      <c r="V85" s="883"/>
      <c r="W85" s="883"/>
      <c r="X85" s="180" t="e">
        <f t="shared" si="55"/>
        <v>#DIV/0!</v>
      </c>
      <c r="Y85" s="1028"/>
      <c r="Z85" s="1028"/>
      <c r="AA85" s="1028"/>
      <c r="AB85" s="1028"/>
      <c r="AC85" s="1028"/>
      <c r="AD85" s="1028"/>
      <c r="AE85" s="180"/>
      <c r="AF85" s="1389"/>
    </row>
    <row r="86" spans="2:32" hidden="1">
      <c r="B86" s="48" t="s">
        <v>902</v>
      </c>
      <c r="C86" s="885" t="s">
        <v>898</v>
      </c>
      <c r="D86" s="881">
        <f>SUBTOTAL(9,D87:D91)</f>
        <v>0</v>
      </c>
      <c r="E86" s="881">
        <f t="shared" ref="E86:W86" si="59">SUBTOTAL(9,E87:E91)</f>
        <v>0</v>
      </c>
      <c r="F86" s="881">
        <f t="shared" si="59"/>
        <v>0</v>
      </c>
      <c r="G86" s="881">
        <f t="shared" si="59"/>
        <v>0</v>
      </c>
      <c r="H86" s="881">
        <f t="shared" si="59"/>
        <v>0</v>
      </c>
      <c r="I86" s="881">
        <f t="shared" si="59"/>
        <v>0</v>
      </c>
      <c r="J86" s="180">
        <f t="shared" si="53"/>
        <v>0</v>
      </c>
      <c r="K86" s="881">
        <f t="shared" si="59"/>
        <v>0</v>
      </c>
      <c r="L86" s="881">
        <f t="shared" si="59"/>
        <v>0</v>
      </c>
      <c r="M86" s="881">
        <f t="shared" si="59"/>
        <v>0</v>
      </c>
      <c r="N86" s="881">
        <f t="shared" si="59"/>
        <v>0</v>
      </c>
      <c r="O86" s="881">
        <f t="shared" si="59"/>
        <v>0</v>
      </c>
      <c r="P86" s="881">
        <f t="shared" si="59"/>
        <v>0</v>
      </c>
      <c r="Q86" s="180">
        <f t="shared" si="54"/>
        <v>0</v>
      </c>
      <c r="R86" s="881">
        <f t="shared" si="59"/>
        <v>0</v>
      </c>
      <c r="S86" s="881">
        <f t="shared" si="59"/>
        <v>0</v>
      </c>
      <c r="T86" s="881">
        <f t="shared" si="59"/>
        <v>0</v>
      </c>
      <c r="U86" s="881">
        <f t="shared" si="59"/>
        <v>0</v>
      </c>
      <c r="V86" s="881">
        <f t="shared" si="59"/>
        <v>0</v>
      </c>
      <c r="W86" s="881">
        <f t="shared" si="59"/>
        <v>0</v>
      </c>
      <c r="X86" s="180">
        <f t="shared" si="55"/>
        <v>0</v>
      </c>
      <c r="Y86" s="1028"/>
      <c r="Z86" s="1028"/>
      <c r="AA86" s="1028"/>
      <c r="AB86" s="1028"/>
      <c r="AC86" s="1028"/>
      <c r="AD86" s="1028"/>
      <c r="AE86" s="180"/>
      <c r="AF86" s="1389"/>
    </row>
    <row r="87" spans="2:32" hidden="1">
      <c r="C87" s="887" t="s">
        <v>304</v>
      </c>
      <c r="D87" s="883"/>
      <c r="E87" s="883"/>
      <c r="F87" s="883"/>
      <c r="G87" s="883"/>
      <c r="H87" s="883"/>
      <c r="I87" s="883"/>
      <c r="J87" s="180" t="e">
        <f t="shared" si="53"/>
        <v>#DIV/0!</v>
      </c>
      <c r="K87" s="883"/>
      <c r="L87" s="883"/>
      <c r="M87" s="883"/>
      <c r="N87" s="883"/>
      <c r="O87" s="883"/>
      <c r="P87" s="883"/>
      <c r="Q87" s="180" t="e">
        <f t="shared" si="54"/>
        <v>#DIV/0!</v>
      </c>
      <c r="R87" s="883"/>
      <c r="S87" s="883"/>
      <c r="T87" s="883"/>
      <c r="U87" s="883"/>
      <c r="V87" s="883"/>
      <c r="W87" s="883"/>
      <c r="X87" s="180" t="e">
        <f t="shared" si="55"/>
        <v>#DIV/0!</v>
      </c>
      <c r="Y87" s="1028"/>
      <c r="Z87" s="1028"/>
      <c r="AA87" s="1028"/>
      <c r="AB87" s="1028"/>
      <c r="AC87" s="1028"/>
      <c r="AD87" s="1028"/>
      <c r="AE87" s="180"/>
      <c r="AF87" s="1389"/>
    </row>
    <row r="88" spans="2:32" hidden="1">
      <c r="C88" s="887" t="s">
        <v>306</v>
      </c>
      <c r="D88" s="883"/>
      <c r="E88" s="883"/>
      <c r="F88" s="883"/>
      <c r="G88" s="883"/>
      <c r="H88" s="883"/>
      <c r="I88" s="883"/>
      <c r="J88" s="180" t="e">
        <f t="shared" si="53"/>
        <v>#DIV/0!</v>
      </c>
      <c r="K88" s="883"/>
      <c r="L88" s="883"/>
      <c r="M88" s="883"/>
      <c r="N88" s="883"/>
      <c r="O88" s="883"/>
      <c r="P88" s="883"/>
      <c r="Q88" s="180" t="e">
        <f t="shared" si="54"/>
        <v>#DIV/0!</v>
      </c>
      <c r="R88" s="883"/>
      <c r="S88" s="883"/>
      <c r="T88" s="883"/>
      <c r="U88" s="883"/>
      <c r="V88" s="883"/>
      <c r="W88" s="883"/>
      <c r="X88" s="180" t="e">
        <f t="shared" si="55"/>
        <v>#DIV/0!</v>
      </c>
      <c r="Y88" s="1028"/>
      <c r="Z88" s="1028"/>
      <c r="AA88" s="1028"/>
      <c r="AB88" s="1028"/>
      <c r="AC88" s="1028"/>
      <c r="AD88" s="1028"/>
      <c r="AE88" s="180"/>
      <c r="AF88" s="1389"/>
    </row>
    <row r="89" spans="2:32" hidden="1">
      <c r="C89" s="888" t="s">
        <v>305</v>
      </c>
      <c r="D89" s="883"/>
      <c r="E89" s="883"/>
      <c r="F89" s="883"/>
      <c r="G89" s="883"/>
      <c r="H89" s="883"/>
      <c r="I89" s="883"/>
      <c r="J89" s="180" t="e">
        <f t="shared" si="53"/>
        <v>#DIV/0!</v>
      </c>
      <c r="K89" s="883"/>
      <c r="L89" s="883"/>
      <c r="M89" s="883"/>
      <c r="N89" s="883"/>
      <c r="O89" s="883"/>
      <c r="P89" s="883"/>
      <c r="Q89" s="180" t="e">
        <f t="shared" si="54"/>
        <v>#DIV/0!</v>
      </c>
      <c r="R89" s="883"/>
      <c r="S89" s="883"/>
      <c r="T89" s="883"/>
      <c r="U89" s="883"/>
      <c r="V89" s="883"/>
      <c r="W89" s="883"/>
      <c r="X89" s="180" t="e">
        <f t="shared" si="55"/>
        <v>#DIV/0!</v>
      </c>
      <c r="Y89" s="1028"/>
      <c r="Z89" s="1028"/>
      <c r="AA89" s="1028"/>
      <c r="AB89" s="1028"/>
      <c r="AC89" s="1028"/>
      <c r="AD89" s="1028"/>
      <c r="AE89" s="180"/>
      <c r="AF89" s="1389"/>
    </row>
    <row r="90" spans="2:32" hidden="1">
      <c r="C90" s="887" t="s">
        <v>307</v>
      </c>
      <c r="D90" s="883"/>
      <c r="E90" s="883"/>
      <c r="F90" s="883"/>
      <c r="G90" s="883"/>
      <c r="H90" s="883"/>
      <c r="I90" s="883"/>
      <c r="J90" s="180" t="e">
        <f t="shared" si="53"/>
        <v>#DIV/0!</v>
      </c>
      <c r="K90" s="883"/>
      <c r="L90" s="883"/>
      <c r="M90" s="883"/>
      <c r="N90" s="883"/>
      <c r="O90" s="883"/>
      <c r="P90" s="883"/>
      <c r="Q90" s="180" t="e">
        <f t="shared" si="54"/>
        <v>#DIV/0!</v>
      </c>
      <c r="R90" s="883"/>
      <c r="S90" s="883"/>
      <c r="T90" s="883"/>
      <c r="U90" s="883"/>
      <c r="V90" s="883"/>
      <c r="W90" s="883"/>
      <c r="X90" s="180" t="e">
        <f t="shared" si="55"/>
        <v>#DIV/0!</v>
      </c>
      <c r="Y90" s="1028"/>
      <c r="Z90" s="1028"/>
      <c r="AA90" s="1028"/>
      <c r="AB90" s="1028"/>
      <c r="AC90" s="1028"/>
      <c r="AD90" s="1028"/>
      <c r="AE90" s="180"/>
      <c r="AF90" s="1389"/>
    </row>
    <row r="91" spans="2:32" hidden="1">
      <c r="C91" s="887" t="s">
        <v>624</v>
      </c>
      <c r="D91" s="883"/>
      <c r="E91" s="883"/>
      <c r="F91" s="883"/>
      <c r="G91" s="883"/>
      <c r="H91" s="883"/>
      <c r="I91" s="883"/>
      <c r="J91" s="180" t="e">
        <f t="shared" si="53"/>
        <v>#DIV/0!</v>
      </c>
      <c r="K91" s="883"/>
      <c r="L91" s="883"/>
      <c r="M91" s="883"/>
      <c r="N91" s="883"/>
      <c r="O91" s="883"/>
      <c r="P91" s="883"/>
      <c r="Q91" s="180" t="e">
        <f t="shared" si="54"/>
        <v>#DIV/0!</v>
      </c>
      <c r="R91" s="883"/>
      <c r="S91" s="883"/>
      <c r="T91" s="883"/>
      <c r="U91" s="883"/>
      <c r="V91" s="883"/>
      <c r="W91" s="883"/>
      <c r="X91" s="180" t="e">
        <f t="shared" si="55"/>
        <v>#DIV/0!</v>
      </c>
      <c r="Y91" s="1028"/>
      <c r="Z91" s="1028"/>
      <c r="AA91" s="1028"/>
      <c r="AB91" s="1028"/>
      <c r="AC91" s="1028"/>
      <c r="AD91" s="1028"/>
      <c r="AE91" s="180"/>
      <c r="AF91" s="1389"/>
    </row>
    <row r="92" spans="2:32" hidden="1">
      <c r="B92" s="48" t="s">
        <v>902</v>
      </c>
      <c r="C92" s="885" t="s">
        <v>899</v>
      </c>
      <c r="D92" s="881">
        <f>SUBTOTAL(9,D93:D98)</f>
        <v>0</v>
      </c>
      <c r="E92" s="881">
        <f t="shared" ref="E92:W92" si="60">SUBTOTAL(9,E93:E98)</f>
        <v>0</v>
      </c>
      <c r="F92" s="881">
        <f t="shared" si="60"/>
        <v>0</v>
      </c>
      <c r="G92" s="881">
        <f t="shared" si="60"/>
        <v>0</v>
      </c>
      <c r="H92" s="881">
        <f t="shared" si="60"/>
        <v>0</v>
      </c>
      <c r="I92" s="881">
        <f t="shared" si="60"/>
        <v>0</v>
      </c>
      <c r="J92" s="180">
        <f t="shared" si="53"/>
        <v>0</v>
      </c>
      <c r="K92" s="881">
        <f t="shared" si="60"/>
        <v>0</v>
      </c>
      <c r="L92" s="881">
        <f t="shared" si="60"/>
        <v>0</v>
      </c>
      <c r="M92" s="881">
        <f t="shared" si="60"/>
        <v>0</v>
      </c>
      <c r="N92" s="881">
        <f t="shared" si="60"/>
        <v>0</v>
      </c>
      <c r="O92" s="881">
        <f t="shared" si="60"/>
        <v>0</v>
      </c>
      <c r="P92" s="881">
        <f t="shared" si="60"/>
        <v>0</v>
      </c>
      <c r="Q92" s="180">
        <f t="shared" si="54"/>
        <v>0</v>
      </c>
      <c r="R92" s="881">
        <f t="shared" si="60"/>
        <v>0</v>
      </c>
      <c r="S92" s="881">
        <f t="shared" si="60"/>
        <v>0</v>
      </c>
      <c r="T92" s="881">
        <f t="shared" si="60"/>
        <v>0</v>
      </c>
      <c r="U92" s="881">
        <f t="shared" si="60"/>
        <v>0</v>
      </c>
      <c r="V92" s="881">
        <f t="shared" si="60"/>
        <v>0</v>
      </c>
      <c r="W92" s="881">
        <f t="shared" si="60"/>
        <v>0</v>
      </c>
      <c r="X92" s="180">
        <f t="shared" si="55"/>
        <v>0</v>
      </c>
      <c r="Y92" s="1028"/>
      <c r="Z92" s="1028"/>
      <c r="AA92" s="1028"/>
      <c r="AB92" s="1028"/>
      <c r="AC92" s="1028"/>
      <c r="AD92" s="1028"/>
      <c r="AE92" s="180"/>
      <c r="AF92" s="1389"/>
    </row>
    <row r="93" spans="2:32" hidden="1">
      <c r="C93" s="887" t="s">
        <v>304</v>
      </c>
      <c r="D93" s="883"/>
      <c r="E93" s="883"/>
      <c r="F93" s="883"/>
      <c r="G93" s="883"/>
      <c r="H93" s="883"/>
      <c r="I93" s="883"/>
      <c r="J93" s="180" t="e">
        <f t="shared" si="53"/>
        <v>#DIV/0!</v>
      </c>
      <c r="K93" s="883"/>
      <c r="L93" s="883"/>
      <c r="M93" s="883"/>
      <c r="N93" s="883"/>
      <c r="O93" s="883"/>
      <c r="P93" s="883"/>
      <c r="Q93" s="180" t="e">
        <f t="shared" si="54"/>
        <v>#DIV/0!</v>
      </c>
      <c r="R93" s="883"/>
      <c r="S93" s="883"/>
      <c r="T93" s="883"/>
      <c r="U93" s="883"/>
      <c r="V93" s="883"/>
      <c r="W93" s="883"/>
      <c r="X93" s="180" t="e">
        <f t="shared" si="55"/>
        <v>#DIV/0!</v>
      </c>
      <c r="Y93" s="1028"/>
      <c r="Z93" s="1028"/>
      <c r="AA93" s="1028"/>
      <c r="AB93" s="1028"/>
      <c r="AC93" s="1028"/>
      <c r="AD93" s="1028"/>
      <c r="AE93" s="180"/>
      <c r="AF93" s="1389"/>
    </row>
    <row r="94" spans="2:32" hidden="1">
      <c r="C94" s="887" t="s">
        <v>642</v>
      </c>
      <c r="D94" s="883"/>
      <c r="E94" s="883"/>
      <c r="F94" s="883"/>
      <c r="G94" s="883"/>
      <c r="H94" s="883"/>
      <c r="I94" s="883"/>
      <c r="J94" s="180" t="e">
        <f t="shared" si="53"/>
        <v>#DIV/0!</v>
      </c>
      <c r="K94" s="883"/>
      <c r="L94" s="883"/>
      <c r="M94" s="883"/>
      <c r="N94" s="883"/>
      <c r="O94" s="883"/>
      <c r="P94" s="883"/>
      <c r="Q94" s="180" t="e">
        <f t="shared" si="54"/>
        <v>#DIV/0!</v>
      </c>
      <c r="R94" s="883"/>
      <c r="S94" s="883"/>
      <c r="T94" s="883"/>
      <c r="U94" s="883"/>
      <c r="V94" s="883"/>
      <c r="W94" s="883"/>
      <c r="X94" s="180" t="e">
        <f t="shared" si="55"/>
        <v>#DIV/0!</v>
      </c>
      <c r="Y94" s="1028"/>
      <c r="Z94" s="1028"/>
      <c r="AA94" s="1028"/>
      <c r="AB94" s="1028"/>
      <c r="AC94" s="1028"/>
      <c r="AD94" s="1028"/>
      <c r="AE94" s="180"/>
      <c r="AF94" s="1389"/>
    </row>
    <row r="95" spans="2:32" hidden="1">
      <c r="C95" s="889" t="s">
        <v>1177</v>
      </c>
      <c r="D95" s="883"/>
      <c r="E95" s="883"/>
      <c r="F95" s="883"/>
      <c r="G95" s="883"/>
      <c r="H95" s="883"/>
      <c r="I95" s="883"/>
      <c r="J95" s="180" t="e">
        <f t="shared" si="53"/>
        <v>#DIV/0!</v>
      </c>
      <c r="K95" s="883"/>
      <c r="L95" s="883"/>
      <c r="M95" s="883"/>
      <c r="N95" s="883"/>
      <c r="O95" s="883"/>
      <c r="P95" s="883"/>
      <c r="Q95" s="180" t="e">
        <f t="shared" si="54"/>
        <v>#DIV/0!</v>
      </c>
      <c r="R95" s="883"/>
      <c r="S95" s="883"/>
      <c r="T95" s="883"/>
      <c r="U95" s="883"/>
      <c r="V95" s="883"/>
      <c r="W95" s="883"/>
      <c r="X95" s="180" t="e">
        <f t="shared" si="55"/>
        <v>#DIV/0!</v>
      </c>
      <c r="Y95" s="1028"/>
      <c r="Z95" s="1028"/>
      <c r="AA95" s="1028"/>
      <c r="AB95" s="1028"/>
      <c r="AC95" s="1028"/>
      <c r="AD95" s="1028"/>
      <c r="AE95" s="180"/>
      <c r="AF95" s="1389"/>
    </row>
    <row r="96" spans="2:32" hidden="1">
      <c r="C96" s="889" t="s">
        <v>305</v>
      </c>
      <c r="D96" s="883"/>
      <c r="E96" s="883"/>
      <c r="F96" s="883"/>
      <c r="G96" s="883"/>
      <c r="H96" s="883"/>
      <c r="I96" s="883"/>
      <c r="J96" s="180" t="e">
        <f t="shared" si="53"/>
        <v>#DIV/0!</v>
      </c>
      <c r="K96" s="883"/>
      <c r="L96" s="883"/>
      <c r="M96" s="883"/>
      <c r="N96" s="883"/>
      <c r="O96" s="883"/>
      <c r="P96" s="883"/>
      <c r="Q96" s="180" t="e">
        <f t="shared" si="54"/>
        <v>#DIV/0!</v>
      </c>
      <c r="R96" s="883"/>
      <c r="S96" s="883"/>
      <c r="T96" s="883"/>
      <c r="U96" s="883"/>
      <c r="V96" s="883"/>
      <c r="W96" s="883"/>
      <c r="X96" s="180" t="e">
        <f t="shared" si="55"/>
        <v>#DIV/0!</v>
      </c>
      <c r="Y96" s="1028"/>
      <c r="Z96" s="1028"/>
      <c r="AA96" s="1028"/>
      <c r="AB96" s="1028"/>
      <c r="AC96" s="1028"/>
      <c r="AD96" s="1028"/>
      <c r="AE96" s="180"/>
      <c r="AF96" s="1389"/>
    </row>
    <row r="97" spans="1:35" hidden="1">
      <c r="C97" s="887" t="s">
        <v>307</v>
      </c>
      <c r="D97" s="883"/>
      <c r="E97" s="883"/>
      <c r="F97" s="883"/>
      <c r="G97" s="883"/>
      <c r="H97" s="883"/>
      <c r="I97" s="883"/>
      <c r="J97" s="180" t="e">
        <f t="shared" si="53"/>
        <v>#DIV/0!</v>
      </c>
      <c r="K97" s="883"/>
      <c r="L97" s="883"/>
      <c r="M97" s="883"/>
      <c r="N97" s="883"/>
      <c r="O97" s="883"/>
      <c r="P97" s="883"/>
      <c r="Q97" s="180" t="e">
        <f t="shared" si="54"/>
        <v>#DIV/0!</v>
      </c>
      <c r="R97" s="883"/>
      <c r="S97" s="883"/>
      <c r="T97" s="883"/>
      <c r="U97" s="883"/>
      <c r="V97" s="883"/>
      <c r="W97" s="883"/>
      <c r="X97" s="180" t="e">
        <f t="shared" si="55"/>
        <v>#DIV/0!</v>
      </c>
      <c r="Y97" s="1028"/>
      <c r="Z97" s="1028"/>
      <c r="AA97" s="1028"/>
      <c r="AB97" s="1028"/>
      <c r="AC97" s="1028"/>
      <c r="AD97" s="1028"/>
      <c r="AE97" s="180"/>
      <c r="AF97" s="1418"/>
      <c r="AG97" s="60"/>
      <c r="AH97" s="60"/>
      <c r="AI97" s="60"/>
    </row>
    <row r="98" spans="1:35" hidden="1">
      <c r="C98" s="887" t="s">
        <v>624</v>
      </c>
      <c r="D98" s="883"/>
      <c r="E98" s="883"/>
      <c r="F98" s="883"/>
      <c r="G98" s="883"/>
      <c r="H98" s="883"/>
      <c r="I98" s="883"/>
      <c r="J98" s="180" t="e">
        <f t="shared" si="53"/>
        <v>#DIV/0!</v>
      </c>
      <c r="K98" s="883"/>
      <c r="L98" s="883"/>
      <c r="M98" s="883"/>
      <c r="N98" s="883"/>
      <c r="O98" s="883"/>
      <c r="P98" s="883"/>
      <c r="Q98" s="180" t="e">
        <f t="shared" si="54"/>
        <v>#DIV/0!</v>
      </c>
      <c r="R98" s="883"/>
      <c r="S98" s="883"/>
      <c r="T98" s="883"/>
      <c r="U98" s="883"/>
      <c r="V98" s="883"/>
      <c r="W98" s="883"/>
      <c r="X98" s="180" t="e">
        <f t="shared" si="55"/>
        <v>#DIV/0!</v>
      </c>
      <c r="Y98" s="1028"/>
      <c r="Z98" s="1028"/>
      <c r="AA98" s="1028"/>
      <c r="AB98" s="1028"/>
      <c r="AC98" s="1028"/>
      <c r="AD98" s="1028"/>
      <c r="AE98" s="180"/>
      <c r="AF98" s="1418"/>
      <c r="AG98" s="60"/>
      <c r="AH98" s="60"/>
      <c r="AI98" s="60"/>
    </row>
    <row r="99" spans="1:35" hidden="1">
      <c r="B99" s="48" t="s">
        <v>902</v>
      </c>
      <c r="C99" s="885" t="s">
        <v>900</v>
      </c>
      <c r="D99" s="881">
        <f>SUBTOTAL(9,D100:D105)</f>
        <v>0</v>
      </c>
      <c r="E99" s="881">
        <f t="shared" ref="E99:W99" si="61">SUBTOTAL(9,E100:E105)</f>
        <v>0</v>
      </c>
      <c r="F99" s="881">
        <f t="shared" si="61"/>
        <v>0</v>
      </c>
      <c r="G99" s="881">
        <f t="shared" si="61"/>
        <v>0</v>
      </c>
      <c r="H99" s="881">
        <f t="shared" si="61"/>
        <v>0</v>
      </c>
      <c r="I99" s="881">
        <f t="shared" si="61"/>
        <v>0</v>
      </c>
      <c r="J99" s="180">
        <f t="shared" si="53"/>
        <v>0</v>
      </c>
      <c r="K99" s="881">
        <f t="shared" si="61"/>
        <v>0</v>
      </c>
      <c r="L99" s="881">
        <f t="shared" si="61"/>
        <v>0</v>
      </c>
      <c r="M99" s="881">
        <f t="shared" si="61"/>
        <v>0</v>
      </c>
      <c r="N99" s="881">
        <f t="shared" si="61"/>
        <v>0</v>
      </c>
      <c r="O99" s="881">
        <f t="shared" si="61"/>
        <v>0</v>
      </c>
      <c r="P99" s="881">
        <f t="shared" si="61"/>
        <v>0</v>
      </c>
      <c r="Q99" s="180">
        <f t="shared" si="54"/>
        <v>0</v>
      </c>
      <c r="R99" s="881">
        <f t="shared" si="61"/>
        <v>0</v>
      </c>
      <c r="S99" s="881">
        <f t="shared" si="61"/>
        <v>0</v>
      </c>
      <c r="T99" s="881">
        <f t="shared" si="61"/>
        <v>0</v>
      </c>
      <c r="U99" s="881">
        <f t="shared" si="61"/>
        <v>0</v>
      </c>
      <c r="V99" s="881">
        <f t="shared" si="61"/>
        <v>0</v>
      </c>
      <c r="W99" s="881">
        <f t="shared" si="61"/>
        <v>0</v>
      </c>
      <c r="X99" s="180">
        <f t="shared" si="55"/>
        <v>0</v>
      </c>
      <c r="Y99" s="1028"/>
      <c r="Z99" s="1028"/>
      <c r="AA99" s="1028"/>
      <c r="AB99" s="1028"/>
      <c r="AC99" s="1028"/>
      <c r="AD99" s="1028"/>
      <c r="AE99" s="180"/>
      <c r="AF99" s="1418"/>
      <c r="AG99" s="60"/>
      <c r="AH99" s="60"/>
      <c r="AI99" s="60"/>
    </row>
    <row r="100" spans="1:35" hidden="1">
      <c r="C100" s="887" t="s">
        <v>304</v>
      </c>
      <c r="D100" s="883"/>
      <c r="E100" s="883"/>
      <c r="F100" s="883"/>
      <c r="G100" s="883"/>
      <c r="H100" s="883"/>
      <c r="I100" s="883"/>
      <c r="J100" s="180" t="e">
        <f t="shared" si="53"/>
        <v>#DIV/0!</v>
      </c>
      <c r="K100" s="883"/>
      <c r="L100" s="883"/>
      <c r="M100" s="883"/>
      <c r="N100" s="883"/>
      <c r="O100" s="883"/>
      <c r="P100" s="883"/>
      <c r="Q100" s="180" t="e">
        <f t="shared" si="54"/>
        <v>#DIV/0!</v>
      </c>
      <c r="R100" s="883"/>
      <c r="S100" s="883"/>
      <c r="T100" s="883"/>
      <c r="U100" s="883"/>
      <c r="V100" s="883"/>
      <c r="W100" s="883"/>
      <c r="X100" s="180" t="e">
        <f t="shared" si="55"/>
        <v>#DIV/0!</v>
      </c>
      <c r="Y100" s="1028"/>
      <c r="Z100" s="1028"/>
      <c r="AA100" s="1028"/>
      <c r="AB100" s="1028"/>
      <c r="AC100" s="1028"/>
      <c r="AD100" s="1028"/>
      <c r="AE100" s="180"/>
      <c r="AF100" s="1418"/>
      <c r="AG100" s="60"/>
      <c r="AH100" s="60"/>
      <c r="AI100" s="60"/>
    </row>
    <row r="101" spans="1:35" hidden="1">
      <c r="C101" s="887" t="s">
        <v>642</v>
      </c>
      <c r="D101" s="883"/>
      <c r="E101" s="883"/>
      <c r="F101" s="883"/>
      <c r="G101" s="883"/>
      <c r="H101" s="883"/>
      <c r="I101" s="883"/>
      <c r="J101" s="180" t="e">
        <f t="shared" si="53"/>
        <v>#DIV/0!</v>
      </c>
      <c r="K101" s="883"/>
      <c r="L101" s="883"/>
      <c r="M101" s="883"/>
      <c r="N101" s="883"/>
      <c r="O101" s="883"/>
      <c r="P101" s="883"/>
      <c r="Q101" s="180" t="e">
        <f t="shared" si="54"/>
        <v>#DIV/0!</v>
      </c>
      <c r="R101" s="883"/>
      <c r="S101" s="883"/>
      <c r="T101" s="883"/>
      <c r="U101" s="883"/>
      <c r="V101" s="883"/>
      <c r="W101" s="883"/>
      <c r="X101" s="180" t="e">
        <f t="shared" si="55"/>
        <v>#DIV/0!</v>
      </c>
      <c r="Y101" s="1028"/>
      <c r="Z101" s="1028"/>
      <c r="AA101" s="1028"/>
      <c r="AB101" s="1028"/>
      <c r="AC101" s="1028"/>
      <c r="AD101" s="1028"/>
      <c r="AE101" s="180"/>
      <c r="AF101" s="1418"/>
      <c r="AG101" s="60"/>
      <c r="AH101" s="60"/>
      <c r="AI101" s="60"/>
    </row>
    <row r="102" spans="1:35" hidden="1">
      <c r="C102" s="889" t="s">
        <v>1177</v>
      </c>
      <c r="D102" s="883"/>
      <c r="E102" s="883"/>
      <c r="F102" s="883"/>
      <c r="G102" s="883"/>
      <c r="H102" s="883"/>
      <c r="I102" s="883"/>
      <c r="J102" s="180" t="e">
        <f t="shared" si="53"/>
        <v>#DIV/0!</v>
      </c>
      <c r="K102" s="883"/>
      <c r="L102" s="883"/>
      <c r="M102" s="883"/>
      <c r="N102" s="883"/>
      <c r="O102" s="883"/>
      <c r="P102" s="883"/>
      <c r="Q102" s="180" t="e">
        <f t="shared" si="54"/>
        <v>#DIV/0!</v>
      </c>
      <c r="R102" s="883"/>
      <c r="S102" s="883"/>
      <c r="T102" s="883"/>
      <c r="U102" s="883"/>
      <c r="V102" s="883"/>
      <c r="W102" s="883"/>
      <c r="X102" s="180" t="e">
        <f t="shared" si="55"/>
        <v>#DIV/0!</v>
      </c>
      <c r="Y102" s="1028"/>
      <c r="Z102" s="1028"/>
      <c r="AA102" s="1028"/>
      <c r="AB102" s="1028"/>
      <c r="AC102" s="1028"/>
      <c r="AD102" s="1028"/>
      <c r="AE102" s="180"/>
      <c r="AF102" s="1418"/>
      <c r="AG102" s="60"/>
      <c r="AH102" s="60"/>
      <c r="AI102" s="60"/>
    </row>
    <row r="103" spans="1:35" hidden="1">
      <c r="C103" s="889" t="s">
        <v>305</v>
      </c>
      <c r="D103" s="883"/>
      <c r="E103" s="883"/>
      <c r="F103" s="883"/>
      <c r="G103" s="883"/>
      <c r="H103" s="883"/>
      <c r="I103" s="883"/>
      <c r="J103" s="180" t="e">
        <f t="shared" si="53"/>
        <v>#DIV/0!</v>
      </c>
      <c r="K103" s="883"/>
      <c r="L103" s="883"/>
      <c r="M103" s="883"/>
      <c r="N103" s="883"/>
      <c r="O103" s="883"/>
      <c r="P103" s="883"/>
      <c r="Q103" s="180" t="e">
        <f t="shared" si="54"/>
        <v>#DIV/0!</v>
      </c>
      <c r="R103" s="883"/>
      <c r="S103" s="883"/>
      <c r="T103" s="883"/>
      <c r="U103" s="883"/>
      <c r="V103" s="883"/>
      <c r="W103" s="883"/>
      <c r="X103" s="180" t="e">
        <f t="shared" si="55"/>
        <v>#DIV/0!</v>
      </c>
      <c r="Y103" s="1028"/>
      <c r="Z103" s="1028"/>
      <c r="AA103" s="1028"/>
      <c r="AB103" s="1028"/>
      <c r="AC103" s="1028"/>
      <c r="AD103" s="1028"/>
      <c r="AE103" s="180"/>
      <c r="AF103" s="1418"/>
      <c r="AG103" s="60"/>
      <c r="AH103" s="60"/>
      <c r="AI103" s="60"/>
    </row>
    <row r="104" spans="1:35" hidden="1">
      <c r="C104" s="887" t="s">
        <v>307</v>
      </c>
      <c r="D104" s="883"/>
      <c r="E104" s="883"/>
      <c r="F104" s="883"/>
      <c r="G104" s="883"/>
      <c r="H104" s="883"/>
      <c r="I104" s="883"/>
      <c r="J104" s="180" t="e">
        <f t="shared" si="53"/>
        <v>#DIV/0!</v>
      </c>
      <c r="K104" s="883"/>
      <c r="L104" s="883"/>
      <c r="M104" s="883"/>
      <c r="N104" s="883"/>
      <c r="O104" s="883"/>
      <c r="P104" s="883"/>
      <c r="Q104" s="180" t="e">
        <f t="shared" si="54"/>
        <v>#DIV/0!</v>
      </c>
      <c r="R104" s="883"/>
      <c r="S104" s="883"/>
      <c r="T104" s="883"/>
      <c r="U104" s="883"/>
      <c r="V104" s="883"/>
      <c r="W104" s="883"/>
      <c r="X104" s="180" t="e">
        <f t="shared" si="55"/>
        <v>#DIV/0!</v>
      </c>
      <c r="Y104" s="1028"/>
      <c r="Z104" s="1028"/>
      <c r="AA104" s="1028"/>
      <c r="AB104" s="1028"/>
      <c r="AC104" s="1028"/>
      <c r="AD104" s="1028"/>
      <c r="AE104" s="180"/>
      <c r="AF104" s="1418"/>
      <c r="AG104" s="60"/>
      <c r="AH104" s="60"/>
      <c r="AI104" s="60"/>
    </row>
    <row r="105" spans="1:35" hidden="1">
      <c r="C105" s="887" t="s">
        <v>624</v>
      </c>
      <c r="D105" s="883"/>
      <c r="E105" s="883"/>
      <c r="F105" s="883"/>
      <c r="G105" s="883"/>
      <c r="H105" s="883"/>
      <c r="I105" s="883"/>
      <c r="J105" s="180" t="e">
        <f t="shared" si="53"/>
        <v>#DIV/0!</v>
      </c>
      <c r="K105" s="883"/>
      <c r="L105" s="883"/>
      <c r="M105" s="883"/>
      <c r="N105" s="883"/>
      <c r="O105" s="883"/>
      <c r="P105" s="883"/>
      <c r="Q105" s="180" t="e">
        <f t="shared" si="54"/>
        <v>#DIV/0!</v>
      </c>
      <c r="R105" s="883"/>
      <c r="S105" s="883"/>
      <c r="T105" s="883"/>
      <c r="U105" s="883"/>
      <c r="V105" s="883"/>
      <c r="W105" s="883"/>
      <c r="X105" s="180" t="e">
        <f t="shared" si="55"/>
        <v>#DIV/0!</v>
      </c>
      <c r="Y105" s="1028"/>
      <c r="Z105" s="1028"/>
      <c r="AA105" s="1028"/>
      <c r="AB105" s="1028"/>
      <c r="AC105" s="1028"/>
      <c r="AD105" s="1028"/>
      <c r="AE105" s="180"/>
      <c r="AF105" s="1418"/>
      <c r="AG105" s="60"/>
      <c r="AH105" s="60"/>
      <c r="AI105" s="60"/>
    </row>
    <row r="106" spans="1:35">
      <c r="C106" s="884"/>
      <c r="D106" s="883">
        <f>K106</f>
        <v>0</v>
      </c>
      <c r="E106" s="883">
        <f t="shared" si="22"/>
        <v>0</v>
      </c>
      <c r="F106" s="883">
        <f t="shared" si="23"/>
        <v>0</v>
      </c>
      <c r="G106" s="883">
        <f t="shared" si="24"/>
        <v>0</v>
      </c>
      <c r="H106" s="883">
        <f t="shared" si="25"/>
        <v>0</v>
      </c>
      <c r="I106" s="883">
        <f t="shared" si="26"/>
        <v>0</v>
      </c>
      <c r="J106" s="180">
        <f t="shared" si="53"/>
        <v>0</v>
      </c>
      <c r="K106" s="883"/>
      <c r="L106" s="883"/>
      <c r="M106" s="883"/>
      <c r="N106" s="883"/>
      <c r="O106" s="883"/>
      <c r="P106" s="883"/>
      <c r="Q106" s="180"/>
      <c r="R106" s="883"/>
      <c r="S106" s="883"/>
      <c r="T106" s="883"/>
      <c r="U106" s="883"/>
      <c r="V106" s="883"/>
      <c r="W106" s="883"/>
      <c r="X106" s="180"/>
      <c r="Y106" s="1028"/>
      <c r="Z106" s="1028"/>
      <c r="AA106" s="1028"/>
      <c r="AB106" s="1028"/>
      <c r="AC106" s="1028"/>
      <c r="AD106" s="1028"/>
      <c r="AE106" s="180"/>
      <c r="AF106" s="1418"/>
      <c r="AG106" s="60"/>
      <c r="AH106" s="60"/>
      <c r="AI106" s="60"/>
    </row>
    <row r="107" spans="1:35">
      <c r="C107" s="880" t="s">
        <v>112</v>
      </c>
      <c r="D107" s="881">
        <f>SUBTOTAL(9,D5:D106)</f>
        <v>360103.65357176092</v>
      </c>
      <c r="E107" s="881">
        <f t="shared" ref="E107:W107" si="62">SUBTOTAL(9,E5:E106)</f>
        <v>360253.94017774006</v>
      </c>
      <c r="F107" s="881">
        <f t="shared" si="62"/>
        <v>365231.34288170375</v>
      </c>
      <c r="G107" s="881">
        <f t="shared" si="62"/>
        <v>359019.04227850609</v>
      </c>
      <c r="H107" s="881">
        <f t="shared" si="62"/>
        <v>354911.56887206988</v>
      </c>
      <c r="I107" s="881">
        <f t="shared" si="62"/>
        <v>345072.26186550327</v>
      </c>
      <c r="J107" s="180">
        <f t="shared" si="53"/>
        <v>357431.96827454731</v>
      </c>
      <c r="K107" s="881">
        <f t="shared" si="62"/>
        <v>360103.65357176092</v>
      </c>
      <c r="L107" s="881">
        <f t="shared" si="62"/>
        <v>360253.94017774006</v>
      </c>
      <c r="M107" s="881">
        <f t="shared" si="62"/>
        <v>365231.34288170375</v>
      </c>
      <c r="N107" s="881">
        <f t="shared" si="62"/>
        <v>359019.04227850609</v>
      </c>
      <c r="O107" s="881">
        <f t="shared" si="62"/>
        <v>354911.56887206988</v>
      </c>
      <c r="P107" s="881">
        <f t="shared" si="62"/>
        <v>345072.26186550327</v>
      </c>
      <c r="Q107" s="180">
        <f>AVERAGE(K107:P107)</f>
        <v>357431.96827454731</v>
      </c>
      <c r="R107" s="881">
        <f t="shared" si="62"/>
        <v>16280.417377424579</v>
      </c>
      <c r="S107" s="881">
        <f t="shared" si="62"/>
        <v>16287.212011564741</v>
      </c>
      <c r="T107" s="881">
        <f t="shared" si="62"/>
        <v>16512.238008014596</v>
      </c>
      <c r="U107" s="881">
        <f t="shared" si="62"/>
        <v>16231.380825737606</v>
      </c>
      <c r="V107" s="881">
        <f t="shared" si="62"/>
        <v>16045.668892638076</v>
      </c>
      <c r="W107" s="881">
        <f t="shared" si="62"/>
        <v>15600.830486789226</v>
      </c>
      <c r="X107" s="180">
        <f>AVERAGE(R107:W107)</f>
        <v>16159.624600361472</v>
      </c>
      <c r="Y107" s="1027"/>
      <c r="Z107" s="1027"/>
      <c r="AA107" s="1027"/>
      <c r="AB107" s="1027"/>
      <c r="AC107" s="1027"/>
      <c r="AD107" s="1027"/>
      <c r="AE107" s="180"/>
      <c r="AF107" s="1418"/>
      <c r="AG107" s="520">
        <f>AG5+AG9+AG20</f>
        <v>357431.96827454731</v>
      </c>
      <c r="AH107" s="520">
        <f>AH5+AH9+AH20</f>
        <v>357431.96827454731</v>
      </c>
      <c r="AI107" s="520">
        <f>AI5+AI9+AI20</f>
        <v>16159.624600361471</v>
      </c>
    </row>
    <row r="108" spans="1:35">
      <c r="C108" s="37" t="s">
        <v>779</v>
      </c>
      <c r="D108" s="37">
        <v>31</v>
      </c>
      <c r="E108" s="37">
        <v>31</v>
      </c>
      <c r="F108" s="37">
        <v>30</v>
      </c>
      <c r="G108" s="37">
        <v>31</v>
      </c>
      <c r="H108" s="37">
        <v>30</v>
      </c>
      <c r="I108" s="37">
        <v>31</v>
      </c>
      <c r="J108" s="180">
        <f>SUM(D108:I108)</f>
        <v>184</v>
      </c>
      <c r="K108" s="37">
        <f t="shared" ref="K108:P108" si="63">D108</f>
        <v>31</v>
      </c>
      <c r="L108" s="37">
        <f t="shared" si="63"/>
        <v>31</v>
      </c>
      <c r="M108" s="37">
        <f t="shared" si="63"/>
        <v>30</v>
      </c>
      <c r="N108" s="37">
        <f t="shared" si="63"/>
        <v>31</v>
      </c>
      <c r="O108" s="37">
        <f t="shared" si="63"/>
        <v>30</v>
      </c>
      <c r="P108" s="37">
        <f t="shared" si="63"/>
        <v>31</v>
      </c>
      <c r="Q108" s="180">
        <f>SUM(K108:P108)</f>
        <v>184</v>
      </c>
      <c r="R108" s="37">
        <f t="shared" ref="R108:W108" si="64">K108</f>
        <v>31</v>
      </c>
      <c r="S108" s="37">
        <f t="shared" si="64"/>
        <v>31</v>
      </c>
      <c r="T108" s="37">
        <f t="shared" si="64"/>
        <v>30</v>
      </c>
      <c r="U108" s="37">
        <f t="shared" si="64"/>
        <v>31</v>
      </c>
      <c r="V108" s="37">
        <f t="shared" si="64"/>
        <v>30</v>
      </c>
      <c r="W108" s="37">
        <f t="shared" si="64"/>
        <v>31</v>
      </c>
      <c r="X108" s="180">
        <f>SUM(R108:W108)</f>
        <v>184</v>
      </c>
      <c r="AG108" s="60"/>
      <c r="AH108" s="60"/>
      <c r="AI108" s="60"/>
    </row>
    <row r="109" spans="1:35">
      <c r="J109" s="180"/>
      <c r="Q109" s="180"/>
      <c r="X109" s="180"/>
      <c r="AG109" s="60"/>
      <c r="AH109" s="60"/>
      <c r="AI109" s="60"/>
    </row>
    <row r="110" spans="1:35">
      <c r="AG110" s="60"/>
      <c r="AH110" s="60"/>
      <c r="AI110" s="60"/>
    </row>
    <row r="111" spans="1:35" s="51" customFormat="1"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539"/>
      <c r="Z111" s="539"/>
      <c r="AA111" s="539"/>
      <c r="AB111" s="539"/>
      <c r="AC111" s="539"/>
      <c r="AD111" s="539"/>
      <c r="AE111" s="539"/>
      <c r="AF111" s="539"/>
      <c r="AG111" s="60"/>
      <c r="AH111" s="60"/>
      <c r="AI111" s="60"/>
    </row>
    <row r="112" spans="1:35">
      <c r="A112" s="532"/>
      <c r="C112" s="960"/>
      <c r="D112" s="961" t="s">
        <v>161</v>
      </c>
      <c r="E112" s="961"/>
      <c r="F112" s="961"/>
      <c r="G112" s="961"/>
      <c r="H112" s="961"/>
      <c r="I112" s="961"/>
      <c r="J112" s="961"/>
      <c r="K112" s="961" t="s">
        <v>161</v>
      </c>
      <c r="L112" s="961"/>
      <c r="M112" s="961"/>
      <c r="N112" s="961"/>
      <c r="O112" s="961"/>
      <c r="P112" s="961"/>
      <c r="Q112" s="961"/>
      <c r="R112" s="961" t="s">
        <v>161</v>
      </c>
      <c r="S112" s="961"/>
      <c r="T112" s="961"/>
      <c r="U112" s="961"/>
      <c r="V112" s="961"/>
      <c r="W112" s="961"/>
      <c r="X112" s="961"/>
      <c r="Y112" s="1025"/>
      <c r="Z112" s="1025"/>
      <c r="AA112" s="1025"/>
      <c r="AB112" s="1025"/>
      <c r="AC112" s="1025"/>
      <c r="AD112" s="1025"/>
      <c r="AE112" s="1025"/>
      <c r="AF112" s="1401"/>
      <c r="AG112" s="387"/>
      <c r="AH112" s="387"/>
      <c r="AI112" s="387"/>
    </row>
    <row r="113" spans="1:32" ht="24">
      <c r="A113" s="56"/>
      <c r="C113" s="963" t="s">
        <v>364</v>
      </c>
      <c r="D113" s="966">
        <f t="shared" ref="D113:I113" si="65">D4</f>
        <v>46204</v>
      </c>
      <c r="E113" s="966">
        <f t="shared" si="65"/>
        <v>46235</v>
      </c>
      <c r="F113" s="966">
        <f t="shared" si="65"/>
        <v>46266</v>
      </c>
      <c r="G113" s="966">
        <f t="shared" si="65"/>
        <v>46296</v>
      </c>
      <c r="H113" s="966">
        <f t="shared" si="65"/>
        <v>46327</v>
      </c>
      <c r="I113" s="966">
        <f t="shared" si="65"/>
        <v>46357</v>
      </c>
      <c r="J113" s="966" t="s">
        <v>154</v>
      </c>
      <c r="K113" s="966">
        <f t="shared" ref="K113:P113" si="66">K4</f>
        <v>46204</v>
      </c>
      <c r="L113" s="966">
        <f t="shared" si="66"/>
        <v>46235</v>
      </c>
      <c r="M113" s="966">
        <f t="shared" si="66"/>
        <v>46266</v>
      </c>
      <c r="N113" s="966">
        <f t="shared" si="66"/>
        <v>46296</v>
      </c>
      <c r="O113" s="966">
        <f t="shared" si="66"/>
        <v>46327</v>
      </c>
      <c r="P113" s="966">
        <f t="shared" si="66"/>
        <v>46357</v>
      </c>
      <c r="Q113" s="966" t="s">
        <v>781</v>
      </c>
      <c r="R113" s="966">
        <f t="shared" ref="R113:W113" si="67">R4</f>
        <v>46204</v>
      </c>
      <c r="S113" s="966">
        <f t="shared" si="67"/>
        <v>46235</v>
      </c>
      <c r="T113" s="966">
        <f t="shared" si="67"/>
        <v>46266</v>
      </c>
      <c r="U113" s="966">
        <f t="shared" si="67"/>
        <v>46296</v>
      </c>
      <c r="V113" s="966">
        <f t="shared" si="67"/>
        <v>46327</v>
      </c>
      <c r="W113" s="966">
        <f t="shared" si="67"/>
        <v>46357</v>
      </c>
      <c r="X113" s="966" t="s">
        <v>781</v>
      </c>
      <c r="Y113" s="1026"/>
      <c r="Z113" s="1026"/>
      <c r="AA113" s="1026"/>
      <c r="AB113" s="1026"/>
      <c r="AC113" s="1026"/>
      <c r="AD113" s="1026"/>
      <c r="AE113" s="1026"/>
      <c r="AF113" s="1402"/>
    </row>
    <row r="114" spans="1:32" s="52" customFormat="1" ht="15.75">
      <c r="A114" s="57"/>
      <c r="B114" s="37"/>
      <c r="C114" s="965" t="s">
        <v>446</v>
      </c>
      <c r="D114" s="881">
        <f t="shared" ref="D114:I114" si="68">SUBTOTAL(9,D115:D121)</f>
        <v>25707.184489131258</v>
      </c>
      <c r="E114" s="881">
        <f t="shared" si="68"/>
        <v>24685.366640676002</v>
      </c>
      <c r="F114" s="881">
        <f t="shared" si="68"/>
        <v>27377.679270629887</v>
      </c>
      <c r="G114" s="881">
        <f t="shared" si="68"/>
        <v>27966.334558406219</v>
      </c>
      <c r="H114" s="881">
        <f t="shared" si="68"/>
        <v>28215.537247035649</v>
      </c>
      <c r="I114" s="881">
        <f t="shared" si="68"/>
        <v>27662.190856038003</v>
      </c>
      <c r="J114" s="180">
        <f>AVERAGE(D114:I114)</f>
        <v>26935.7155103195</v>
      </c>
      <c r="K114" s="881">
        <f t="shared" ref="K114:P114" si="69">SUBTOTAL(9,K115:K121)</f>
        <v>25707.184489131258</v>
      </c>
      <c r="L114" s="881">
        <f t="shared" si="69"/>
        <v>24685.366640676002</v>
      </c>
      <c r="M114" s="881">
        <f t="shared" si="69"/>
        <v>27377.679270629887</v>
      </c>
      <c r="N114" s="881">
        <f t="shared" si="69"/>
        <v>27966.334558406219</v>
      </c>
      <c r="O114" s="881">
        <f t="shared" si="69"/>
        <v>28215.537247035649</v>
      </c>
      <c r="P114" s="881">
        <f t="shared" si="69"/>
        <v>27662.190856038003</v>
      </c>
      <c r="Q114" s="180">
        <f>AVERAGE(K114:P114)</f>
        <v>26935.7155103195</v>
      </c>
      <c r="R114" s="881">
        <f t="shared" ref="R114:W114" si="70">SUBTOTAL(9,R115:R121)</f>
        <v>16691.526035118</v>
      </c>
      <c r="S114" s="881">
        <f t="shared" si="70"/>
        <v>16282.009980456</v>
      </c>
      <c r="T114" s="881">
        <f t="shared" si="70"/>
        <v>18000.115312500002</v>
      </c>
      <c r="U114" s="881">
        <f t="shared" si="70"/>
        <v>16937.886914088002</v>
      </c>
      <c r="V114" s="881">
        <f t="shared" si="70"/>
        <v>18398.955234426001</v>
      </c>
      <c r="W114" s="881">
        <f t="shared" si="70"/>
        <v>16220.255156250001</v>
      </c>
      <c r="X114" s="180">
        <f>AVERAGE(R114:W114)</f>
        <v>17088.458105473001</v>
      </c>
      <c r="Y114" s="881"/>
      <c r="Z114" s="881"/>
      <c r="AA114" s="881"/>
      <c r="AB114" s="881"/>
      <c r="AC114" s="881"/>
      <c r="AD114" s="881"/>
      <c r="AE114" s="180"/>
      <c r="AF114" s="1389"/>
    </row>
    <row r="115" spans="1:32" s="52" customFormat="1">
      <c r="A115" s="57"/>
      <c r="B115" s="48" t="s">
        <v>870</v>
      </c>
      <c r="C115" s="882" t="s">
        <v>279</v>
      </c>
      <c r="D115" s="881">
        <f t="shared" ref="D115:I115" si="71">SUBTOTAL(9,D116)</f>
        <v>16839.431015676</v>
      </c>
      <c r="E115" s="881">
        <f t="shared" si="71"/>
        <v>16228.546640676001</v>
      </c>
      <c r="F115" s="881">
        <f t="shared" si="71"/>
        <v>17985.84328125</v>
      </c>
      <c r="G115" s="881">
        <f t="shared" si="71"/>
        <v>16892.484960911999</v>
      </c>
      <c r="H115" s="881">
        <f t="shared" si="71"/>
        <v>17962.219921926</v>
      </c>
      <c r="I115" s="881">
        <f t="shared" si="71"/>
        <v>16224.309257838</v>
      </c>
      <c r="J115" s="180">
        <f t="shared" ref="J115:J146" si="72">AVERAGE(D115:I115)</f>
        <v>17022.139179713002</v>
      </c>
      <c r="K115" s="881">
        <f t="shared" ref="K115:P115" si="73">SUBTOTAL(9,K116)</f>
        <v>16839.431015676</v>
      </c>
      <c r="L115" s="881">
        <f t="shared" si="73"/>
        <v>16228.546640676001</v>
      </c>
      <c r="M115" s="881">
        <f t="shared" si="73"/>
        <v>17985.84328125</v>
      </c>
      <c r="N115" s="881">
        <f t="shared" si="73"/>
        <v>16892.484960911999</v>
      </c>
      <c r="O115" s="881">
        <f t="shared" si="73"/>
        <v>17962.219921926</v>
      </c>
      <c r="P115" s="881">
        <f t="shared" si="73"/>
        <v>16224.309257838</v>
      </c>
      <c r="Q115" s="180">
        <f t="shared" ref="Q115:Q146" si="74">AVERAGE(K115:P115)</f>
        <v>17022.139179713002</v>
      </c>
      <c r="R115" s="881">
        <f t="shared" ref="R115:W115" si="75">SUBTOTAL(9,R116)</f>
        <v>16691.526035118</v>
      </c>
      <c r="S115" s="881">
        <f t="shared" si="75"/>
        <v>16282.009980456</v>
      </c>
      <c r="T115" s="881">
        <f t="shared" si="75"/>
        <v>18000.115312500002</v>
      </c>
      <c r="U115" s="881">
        <f t="shared" si="75"/>
        <v>16937.886914088002</v>
      </c>
      <c r="V115" s="881">
        <f t="shared" si="75"/>
        <v>18398.955234426001</v>
      </c>
      <c r="W115" s="881">
        <f t="shared" si="75"/>
        <v>16220.255156250001</v>
      </c>
      <c r="X115" s="180">
        <f>AVERAGE(R115:W115)</f>
        <v>17088.458105473001</v>
      </c>
      <c r="Y115" s="881"/>
      <c r="Z115" s="881"/>
      <c r="AA115" s="881"/>
      <c r="AB115" s="881"/>
      <c r="AC115" s="881"/>
      <c r="AD115" s="881"/>
      <c r="AE115" s="180"/>
      <c r="AF115" s="1389"/>
    </row>
    <row r="116" spans="1:32">
      <c r="A116" s="57"/>
      <c r="B116" s="48"/>
      <c r="C116" s="887" t="s">
        <v>971</v>
      </c>
      <c r="D116" s="883">
        <f t="shared" ref="D116:I116" si="76">K116</f>
        <v>16839.431015676</v>
      </c>
      <c r="E116" s="883">
        <f t="shared" si="76"/>
        <v>16228.546640676001</v>
      </c>
      <c r="F116" s="883">
        <f t="shared" si="76"/>
        <v>17985.84328125</v>
      </c>
      <c r="G116" s="883">
        <f t="shared" si="76"/>
        <v>16892.484960911999</v>
      </c>
      <c r="H116" s="883">
        <f t="shared" si="76"/>
        <v>17962.219921926</v>
      </c>
      <c r="I116" s="883">
        <f t="shared" si="76"/>
        <v>16224.309257838</v>
      </c>
      <c r="J116" s="180">
        <f t="shared" si="72"/>
        <v>17022.139179713002</v>
      </c>
      <c r="K116" s="883">
        <f t="shared" ref="K116:P116" si="77">D155</f>
        <v>16839.431015676</v>
      </c>
      <c r="L116" s="883">
        <f t="shared" si="77"/>
        <v>16228.546640676001</v>
      </c>
      <c r="M116" s="883">
        <f t="shared" si="77"/>
        <v>17985.84328125</v>
      </c>
      <c r="N116" s="883">
        <f t="shared" si="77"/>
        <v>16892.484960911999</v>
      </c>
      <c r="O116" s="883">
        <f t="shared" si="77"/>
        <v>17962.219921926</v>
      </c>
      <c r="P116" s="883">
        <f t="shared" si="77"/>
        <v>16224.309257838</v>
      </c>
      <c r="Q116" s="180">
        <f t="shared" si="74"/>
        <v>17022.139179713002</v>
      </c>
      <c r="R116" s="883">
        <f t="shared" ref="R116:W116" si="78">D156</f>
        <v>16691.526035118</v>
      </c>
      <c r="S116" s="883">
        <f t="shared" si="78"/>
        <v>16282.009980456</v>
      </c>
      <c r="T116" s="883">
        <f t="shared" si="78"/>
        <v>18000.115312500002</v>
      </c>
      <c r="U116" s="883">
        <f t="shared" si="78"/>
        <v>16937.886914088002</v>
      </c>
      <c r="V116" s="883">
        <f t="shared" si="78"/>
        <v>18398.955234426001</v>
      </c>
      <c r="W116" s="883">
        <f t="shared" si="78"/>
        <v>16220.255156250001</v>
      </c>
      <c r="X116" s="180">
        <f>AVERAGE(R116:W116)</f>
        <v>17088.458105473001</v>
      </c>
      <c r="Y116" s="883"/>
      <c r="Z116" s="883"/>
      <c r="AA116" s="883"/>
      <c r="AB116" s="883"/>
      <c r="AC116" s="883"/>
      <c r="AD116" s="883"/>
      <c r="AE116" s="180"/>
      <c r="AF116" s="1389"/>
    </row>
    <row r="117" spans="1:32">
      <c r="A117" s="57"/>
      <c r="B117" s="48" t="s">
        <v>871</v>
      </c>
      <c r="C117" s="882" t="s">
        <v>278</v>
      </c>
      <c r="D117" s="881">
        <f t="shared" ref="D117:I117" si="79">SUBTOTAL(9,D118:D119)</f>
        <v>8867.7534734552592</v>
      </c>
      <c r="E117" s="881">
        <f t="shared" si="79"/>
        <v>8456.82</v>
      </c>
      <c r="F117" s="881">
        <f t="shared" si="79"/>
        <v>9391.8359893798861</v>
      </c>
      <c r="G117" s="881">
        <f t="shared" si="79"/>
        <v>11073.84959749422</v>
      </c>
      <c r="H117" s="881">
        <f t="shared" si="79"/>
        <v>10253.317325109649</v>
      </c>
      <c r="I117" s="881">
        <f t="shared" si="79"/>
        <v>11437.881598200001</v>
      </c>
      <c r="J117" s="180">
        <f t="shared" si="72"/>
        <v>9913.5763306065019</v>
      </c>
      <c r="K117" s="881">
        <f t="shared" ref="K117:P117" si="80">SUBTOTAL(9,K118:K119)</f>
        <v>8867.7534734552592</v>
      </c>
      <c r="L117" s="881">
        <f t="shared" si="80"/>
        <v>8456.82</v>
      </c>
      <c r="M117" s="881">
        <f t="shared" si="80"/>
        <v>9391.8359893798861</v>
      </c>
      <c r="N117" s="881">
        <f t="shared" si="80"/>
        <v>11073.84959749422</v>
      </c>
      <c r="O117" s="881">
        <f t="shared" si="80"/>
        <v>10253.317325109649</v>
      </c>
      <c r="P117" s="881">
        <f t="shared" si="80"/>
        <v>11437.881598200001</v>
      </c>
      <c r="Q117" s="180">
        <f t="shared" si="74"/>
        <v>9913.5763306065019</v>
      </c>
      <c r="R117" s="881">
        <f t="shared" ref="R117:W117" si="81">SUBTOTAL(9,R118:R119)</f>
        <v>0</v>
      </c>
      <c r="S117" s="881">
        <f t="shared" si="81"/>
        <v>0</v>
      </c>
      <c r="T117" s="881">
        <f t="shared" si="81"/>
        <v>0</v>
      </c>
      <c r="U117" s="881">
        <f t="shared" si="81"/>
        <v>0</v>
      </c>
      <c r="V117" s="881">
        <f t="shared" si="81"/>
        <v>0</v>
      </c>
      <c r="W117" s="881">
        <f t="shared" si="81"/>
        <v>0</v>
      </c>
      <c r="X117" s="180">
        <f>AVERAGE(R117:W117)</f>
        <v>0</v>
      </c>
      <c r="Y117" s="881"/>
      <c r="Z117" s="881"/>
      <c r="AA117" s="881"/>
      <c r="AB117" s="881"/>
      <c r="AC117" s="881"/>
      <c r="AD117" s="881"/>
      <c r="AE117" s="180"/>
      <c r="AF117" s="1389"/>
    </row>
    <row r="118" spans="1:32">
      <c r="A118" s="57"/>
      <c r="B118" s="48"/>
      <c r="C118" s="887" t="s">
        <v>969</v>
      </c>
      <c r="D118" s="883">
        <f t="shared" ref="D118:I119" si="82">K118</f>
        <v>0</v>
      </c>
      <c r="E118" s="883">
        <f t="shared" si="82"/>
        <v>0</v>
      </c>
      <c r="F118" s="883">
        <f t="shared" si="82"/>
        <v>0</v>
      </c>
      <c r="G118" s="883">
        <f t="shared" si="82"/>
        <v>0</v>
      </c>
      <c r="H118" s="883">
        <f t="shared" si="82"/>
        <v>0</v>
      </c>
      <c r="I118" s="883">
        <f t="shared" si="82"/>
        <v>0</v>
      </c>
      <c r="J118" s="180">
        <f t="shared" si="72"/>
        <v>0</v>
      </c>
      <c r="K118" s="883">
        <f t="shared" ref="K118:P119" si="83">D157</f>
        <v>0</v>
      </c>
      <c r="L118" s="883">
        <f t="shared" si="83"/>
        <v>0</v>
      </c>
      <c r="M118" s="883">
        <f t="shared" si="83"/>
        <v>0</v>
      </c>
      <c r="N118" s="883">
        <f t="shared" si="83"/>
        <v>0</v>
      </c>
      <c r="O118" s="883">
        <f t="shared" si="83"/>
        <v>0</v>
      </c>
      <c r="P118" s="883">
        <f t="shared" si="83"/>
        <v>0</v>
      </c>
      <c r="Q118" s="180">
        <f t="shared" si="74"/>
        <v>0</v>
      </c>
      <c r="R118" s="883"/>
      <c r="S118" s="883"/>
      <c r="T118" s="883"/>
      <c r="U118" s="883"/>
      <c r="V118" s="883"/>
      <c r="W118" s="883"/>
      <c r="X118" s="180"/>
      <c r="Y118" s="883"/>
      <c r="Z118" s="883"/>
      <c r="AA118" s="883"/>
      <c r="AB118" s="883"/>
      <c r="AC118" s="883"/>
      <c r="AD118" s="883"/>
      <c r="AE118" s="180"/>
      <c r="AF118" s="1389"/>
    </row>
    <row r="119" spans="1:32">
      <c r="A119" s="57"/>
      <c r="B119" s="48"/>
      <c r="C119" s="887" t="s">
        <v>970</v>
      </c>
      <c r="D119" s="883">
        <f t="shared" si="82"/>
        <v>8867.7534734552592</v>
      </c>
      <c r="E119" s="883">
        <f t="shared" si="82"/>
        <v>8456.82</v>
      </c>
      <c r="F119" s="883">
        <f t="shared" si="82"/>
        <v>9391.8359893798861</v>
      </c>
      <c r="G119" s="883">
        <f t="shared" si="82"/>
        <v>11073.84959749422</v>
      </c>
      <c r="H119" s="883">
        <f t="shared" si="82"/>
        <v>10253.317325109649</v>
      </c>
      <c r="I119" s="883">
        <f t="shared" si="82"/>
        <v>11437.881598200001</v>
      </c>
      <c r="J119" s="180">
        <f t="shared" si="72"/>
        <v>9913.5763306065019</v>
      </c>
      <c r="K119" s="883">
        <f t="shared" si="83"/>
        <v>8867.7534734552592</v>
      </c>
      <c r="L119" s="883">
        <f t="shared" si="83"/>
        <v>8456.82</v>
      </c>
      <c r="M119" s="883">
        <f t="shared" si="83"/>
        <v>9391.8359893798861</v>
      </c>
      <c r="N119" s="883">
        <f t="shared" si="83"/>
        <v>11073.84959749422</v>
      </c>
      <c r="O119" s="883">
        <f t="shared" si="83"/>
        <v>10253.317325109649</v>
      </c>
      <c r="P119" s="883">
        <f t="shared" si="83"/>
        <v>11437.881598200001</v>
      </c>
      <c r="Q119" s="180">
        <f t="shared" si="74"/>
        <v>9913.5763306065019</v>
      </c>
      <c r="R119" s="883"/>
      <c r="S119" s="883"/>
      <c r="T119" s="883"/>
      <c r="U119" s="883"/>
      <c r="V119" s="883"/>
      <c r="W119" s="883"/>
      <c r="X119" s="180"/>
      <c r="Y119" s="883"/>
      <c r="Z119" s="883"/>
      <c r="AA119" s="883"/>
      <c r="AB119" s="883"/>
      <c r="AC119" s="883"/>
      <c r="AD119" s="883"/>
      <c r="AE119" s="180"/>
      <c r="AF119" s="1389"/>
    </row>
    <row r="120" spans="1:32">
      <c r="A120" s="57"/>
      <c r="B120" s="48" t="s">
        <v>893</v>
      </c>
      <c r="C120" s="887" t="s">
        <v>901</v>
      </c>
      <c r="D120" s="881"/>
      <c r="E120" s="881"/>
      <c r="F120" s="881"/>
      <c r="G120" s="881"/>
      <c r="H120" s="881"/>
      <c r="I120" s="881"/>
      <c r="J120" s="180"/>
      <c r="K120" s="881"/>
      <c r="L120" s="881"/>
      <c r="M120" s="881"/>
      <c r="N120" s="881"/>
      <c r="O120" s="881"/>
      <c r="P120" s="881"/>
      <c r="Q120" s="180"/>
      <c r="R120" s="881"/>
      <c r="S120" s="881"/>
      <c r="T120" s="881"/>
      <c r="U120" s="881"/>
      <c r="V120" s="881"/>
      <c r="W120" s="881"/>
      <c r="X120" s="180"/>
      <c r="Y120" s="881"/>
      <c r="Z120" s="881"/>
      <c r="AA120" s="881"/>
      <c r="AB120" s="881"/>
      <c r="AC120" s="881"/>
      <c r="AD120" s="881"/>
      <c r="AE120" s="180"/>
      <c r="AF120" s="1389"/>
    </row>
    <row r="121" spans="1:32">
      <c r="A121" s="57"/>
      <c r="B121" s="48"/>
      <c r="C121" s="887"/>
      <c r="D121" s="883"/>
      <c r="E121" s="883"/>
      <c r="F121" s="883"/>
      <c r="G121" s="883"/>
      <c r="H121" s="883"/>
      <c r="I121" s="883"/>
      <c r="J121" s="180"/>
      <c r="K121" s="883"/>
      <c r="L121" s="883"/>
      <c r="M121" s="883"/>
      <c r="N121" s="883"/>
      <c r="O121" s="883"/>
      <c r="P121" s="883"/>
      <c r="Q121" s="180"/>
      <c r="R121" s="883"/>
      <c r="S121" s="883"/>
      <c r="T121" s="883"/>
      <c r="U121" s="883"/>
      <c r="V121" s="883"/>
      <c r="W121" s="883"/>
      <c r="X121" s="180"/>
      <c r="Y121" s="883"/>
      <c r="Z121" s="883"/>
      <c r="AA121" s="883"/>
      <c r="AB121" s="883"/>
      <c r="AC121" s="883"/>
      <c r="AD121" s="883"/>
      <c r="AE121" s="180"/>
      <c r="AF121" s="1389"/>
    </row>
    <row r="122" spans="1:32" ht="15.75">
      <c r="A122" s="57"/>
      <c r="B122" s="48"/>
      <c r="C122" s="965" t="s">
        <v>630</v>
      </c>
      <c r="D122" s="881">
        <f t="shared" ref="D122:I122" si="84">SUBTOTAL(9,D123:D134)</f>
        <v>122622.03904649401</v>
      </c>
      <c r="E122" s="881">
        <f t="shared" si="84"/>
        <v>119278.17211984316</v>
      </c>
      <c r="F122" s="881">
        <f t="shared" si="84"/>
        <v>122017.90939892999</v>
      </c>
      <c r="G122" s="881">
        <f t="shared" si="84"/>
        <v>122020.03178433003</v>
      </c>
      <c r="H122" s="881">
        <f t="shared" si="84"/>
        <v>121633.44161370605</v>
      </c>
      <c r="I122" s="881">
        <f t="shared" si="84"/>
        <v>121824.95346729002</v>
      </c>
      <c r="J122" s="180">
        <f t="shared" si="72"/>
        <v>121566.09123843221</v>
      </c>
      <c r="K122" s="881">
        <f t="shared" ref="K122:P122" si="85">SUBTOTAL(9,K123:K134)</f>
        <v>122622.03904649401</v>
      </c>
      <c r="L122" s="881">
        <f t="shared" si="85"/>
        <v>119278.17211984316</v>
      </c>
      <c r="M122" s="881">
        <f t="shared" si="85"/>
        <v>122017.90939892999</v>
      </c>
      <c r="N122" s="881">
        <f t="shared" si="85"/>
        <v>122020.03178433003</v>
      </c>
      <c r="O122" s="881">
        <f t="shared" si="85"/>
        <v>121633.44161370605</v>
      </c>
      <c r="P122" s="881">
        <f t="shared" si="85"/>
        <v>121824.95346729002</v>
      </c>
      <c r="Q122" s="180">
        <f t="shared" si="74"/>
        <v>121566.09123843221</v>
      </c>
      <c r="R122" s="881">
        <f t="shared" ref="R122:W122" si="86">SUBTOTAL(9,R123:R134)</f>
        <v>22708.677235182</v>
      </c>
      <c r="S122" s="881">
        <f t="shared" si="86"/>
        <v>22357.725302640003</v>
      </c>
      <c r="T122" s="881">
        <f t="shared" si="86"/>
        <v>22775.161018679995</v>
      </c>
      <c r="U122" s="881">
        <f t="shared" si="86"/>
        <v>22711.509997032001</v>
      </c>
      <c r="V122" s="881">
        <f t="shared" si="86"/>
        <v>22639.362059999999</v>
      </c>
      <c r="W122" s="881">
        <f t="shared" si="86"/>
        <v>22948.125805080002</v>
      </c>
      <c r="X122" s="180">
        <f>AVERAGE(R122:W122)</f>
        <v>22690.093569769</v>
      </c>
      <c r="Y122" s="881"/>
      <c r="Z122" s="881"/>
      <c r="AA122" s="881"/>
      <c r="AB122" s="881"/>
      <c r="AC122" s="881"/>
      <c r="AD122" s="881"/>
      <c r="AE122" s="180"/>
      <c r="AF122" s="1389"/>
    </row>
    <row r="123" spans="1:32">
      <c r="A123" s="57"/>
      <c r="B123" s="48" t="s">
        <v>872</v>
      </c>
      <c r="C123" s="882" t="s">
        <v>277</v>
      </c>
      <c r="D123" s="881">
        <f>SUBTOTAL(9,D124:D127)</f>
        <v>23202.278984556</v>
      </c>
      <c r="E123" s="881">
        <f t="shared" ref="E123:I123" si="87">SUBTOTAL(9,E124:E127)</f>
        <v>22436.542484580001</v>
      </c>
      <c r="F123" s="881">
        <f t="shared" si="87"/>
        <v>23231.710411560001</v>
      </c>
      <c r="G123" s="881">
        <f t="shared" si="87"/>
        <v>23354.379701760001</v>
      </c>
      <c r="H123" s="881">
        <f t="shared" si="87"/>
        <v>22666.251849779997</v>
      </c>
      <c r="I123" s="881">
        <f t="shared" si="87"/>
        <v>23204.24203188</v>
      </c>
      <c r="J123" s="180">
        <f t="shared" si="72"/>
        <v>23015.900910686003</v>
      </c>
      <c r="K123" s="881">
        <f t="shared" ref="K123" si="88">SUBTOTAL(9,K124:K127)</f>
        <v>23202.278984556</v>
      </c>
      <c r="L123" s="881">
        <f t="shared" ref="L123" si="89">SUBTOTAL(9,L124:L127)</f>
        <v>22436.542484580001</v>
      </c>
      <c r="M123" s="881">
        <f t="shared" ref="M123" si="90">SUBTOTAL(9,M124:M127)</f>
        <v>23231.710411560001</v>
      </c>
      <c r="N123" s="881">
        <f t="shared" ref="N123" si="91">SUBTOTAL(9,N124:N127)</f>
        <v>23354.379701760001</v>
      </c>
      <c r="O123" s="881">
        <f t="shared" ref="O123" si="92">SUBTOTAL(9,O124:O127)</f>
        <v>22666.251849779997</v>
      </c>
      <c r="P123" s="881">
        <f t="shared" ref="P123" si="93">SUBTOTAL(9,P124:P127)</f>
        <v>23204.24203188</v>
      </c>
      <c r="Q123" s="180">
        <f t="shared" si="74"/>
        <v>23015.900910686003</v>
      </c>
      <c r="R123" s="881">
        <f t="shared" ref="R123" si="94">SUBTOTAL(9,R124:R127)</f>
        <v>22708.677235182</v>
      </c>
      <c r="S123" s="881">
        <f t="shared" ref="S123" si="95">SUBTOTAL(9,S124:S127)</f>
        <v>22357.725302640003</v>
      </c>
      <c r="T123" s="881">
        <f t="shared" ref="T123" si="96">SUBTOTAL(9,T124:T127)</f>
        <v>22775.161018679995</v>
      </c>
      <c r="U123" s="881">
        <f t="shared" ref="U123" si="97">SUBTOTAL(9,U124:U127)</f>
        <v>22711.509997032001</v>
      </c>
      <c r="V123" s="881">
        <f t="shared" ref="V123" si="98">SUBTOTAL(9,V124:V127)</f>
        <v>22639.362059999999</v>
      </c>
      <c r="W123" s="881">
        <f t="shared" ref="W123" si="99">SUBTOTAL(9,W124:W127)</f>
        <v>22948.125805080002</v>
      </c>
      <c r="X123" s="180">
        <f>AVERAGE(R123:W123)</f>
        <v>22690.093569769</v>
      </c>
      <c r="Y123" s="881"/>
      <c r="Z123" s="881"/>
      <c r="AA123" s="881"/>
      <c r="AB123" s="881"/>
      <c r="AC123" s="881"/>
      <c r="AD123" s="881"/>
      <c r="AE123" s="180"/>
      <c r="AF123" s="1389"/>
    </row>
    <row r="124" spans="1:32">
      <c r="A124" s="57"/>
      <c r="B124" s="48"/>
      <c r="C124" s="887" t="s">
        <v>972</v>
      </c>
      <c r="D124" s="883">
        <f t="shared" ref="D124:I124" si="100">K124</f>
        <v>14793.380661275998</v>
      </c>
      <c r="E124" s="883">
        <f t="shared" si="100"/>
        <v>13937.01248562</v>
      </c>
      <c r="F124" s="883">
        <f t="shared" si="100"/>
        <v>14033.417572440001</v>
      </c>
      <c r="G124" s="883">
        <f t="shared" si="100"/>
        <v>13862.886511038003</v>
      </c>
      <c r="H124" s="883">
        <f t="shared" si="100"/>
        <v>13706.506960439996</v>
      </c>
      <c r="I124" s="883">
        <f t="shared" si="100"/>
        <v>13456.97207862</v>
      </c>
      <c r="J124" s="180">
        <f t="shared" si="72"/>
        <v>13965.029378239</v>
      </c>
      <c r="K124" s="883">
        <f t="shared" ref="K124:P124" si="101">D159</f>
        <v>14793.380661275998</v>
      </c>
      <c r="L124" s="883">
        <f t="shared" si="101"/>
        <v>13937.01248562</v>
      </c>
      <c r="M124" s="883">
        <f t="shared" si="101"/>
        <v>14033.417572440001</v>
      </c>
      <c r="N124" s="883">
        <f t="shared" si="101"/>
        <v>13862.886511038003</v>
      </c>
      <c r="O124" s="883">
        <f t="shared" si="101"/>
        <v>13706.506960439996</v>
      </c>
      <c r="P124" s="883">
        <f t="shared" si="101"/>
        <v>13456.97207862</v>
      </c>
      <c r="Q124" s="180">
        <f t="shared" si="74"/>
        <v>13965.029378239</v>
      </c>
      <c r="R124" s="883">
        <f t="shared" ref="R124:W124" si="102">D163</f>
        <v>22708.677235182</v>
      </c>
      <c r="S124" s="883">
        <f t="shared" si="102"/>
        <v>22357.725302640003</v>
      </c>
      <c r="T124" s="883">
        <f t="shared" si="102"/>
        <v>22775.161018679995</v>
      </c>
      <c r="U124" s="883">
        <f t="shared" si="102"/>
        <v>22711.509997032001</v>
      </c>
      <c r="V124" s="883">
        <f t="shared" si="102"/>
        <v>22639.362059999999</v>
      </c>
      <c r="W124" s="883">
        <f t="shared" si="102"/>
        <v>22948.125805080002</v>
      </c>
      <c r="X124" s="180">
        <f>AVERAGE(R124:W124)</f>
        <v>22690.093569769</v>
      </c>
      <c r="Y124" s="883"/>
      <c r="Z124" s="883"/>
      <c r="AA124" s="883"/>
      <c r="AB124" s="883"/>
      <c r="AC124" s="883"/>
      <c r="AD124" s="883"/>
      <c r="AE124" s="180"/>
      <c r="AF124" s="1389"/>
    </row>
    <row r="125" spans="1:32">
      <c r="A125" s="57"/>
      <c r="B125" s="48"/>
      <c r="C125" s="887" t="s">
        <v>973</v>
      </c>
      <c r="D125" s="883">
        <f t="shared" ref="D125:I126" si="103">K125</f>
        <v>1172.2871832000001</v>
      </c>
      <c r="E125" s="883">
        <f t="shared" si="103"/>
        <v>1239.3469200000002</v>
      </c>
      <c r="F125" s="883">
        <f t="shared" si="103"/>
        <v>1219.5528408</v>
      </c>
      <c r="G125" s="883">
        <f t="shared" si="103"/>
        <v>1331.0316600000001</v>
      </c>
      <c r="H125" s="883">
        <f t="shared" si="103"/>
        <v>1281.9567264</v>
      </c>
      <c r="I125" s="883">
        <f t="shared" si="103"/>
        <v>1197.5376504000001</v>
      </c>
      <c r="J125" s="180">
        <f t="shared" si="72"/>
        <v>1240.2854967999999</v>
      </c>
      <c r="K125" s="883">
        <f t="shared" ref="K125:P126" si="104">D160</f>
        <v>1172.2871832000001</v>
      </c>
      <c r="L125" s="883">
        <f t="shared" si="104"/>
        <v>1239.3469200000002</v>
      </c>
      <c r="M125" s="883">
        <f t="shared" si="104"/>
        <v>1219.5528408</v>
      </c>
      <c r="N125" s="883">
        <f t="shared" si="104"/>
        <v>1331.0316600000001</v>
      </c>
      <c r="O125" s="883">
        <f t="shared" si="104"/>
        <v>1281.9567264</v>
      </c>
      <c r="P125" s="883">
        <f t="shared" si="104"/>
        <v>1197.5376504000001</v>
      </c>
      <c r="Q125" s="180">
        <f t="shared" si="74"/>
        <v>1240.2854967999999</v>
      </c>
      <c r="R125" s="883"/>
      <c r="S125" s="883"/>
      <c r="T125" s="883"/>
      <c r="U125" s="883"/>
      <c r="V125" s="883"/>
      <c r="W125" s="883"/>
      <c r="X125" s="180"/>
      <c r="Y125" s="883"/>
      <c r="Z125" s="883"/>
      <c r="AA125" s="883"/>
      <c r="AB125" s="883"/>
      <c r="AC125" s="883"/>
      <c r="AD125" s="883"/>
      <c r="AE125" s="180"/>
      <c r="AF125" s="1389"/>
    </row>
    <row r="126" spans="1:32">
      <c r="A126" s="57"/>
      <c r="B126" s="48"/>
      <c r="C126" s="887" t="s">
        <v>1010</v>
      </c>
      <c r="D126" s="883">
        <f t="shared" si="103"/>
        <v>240.72864143999999</v>
      </c>
      <c r="E126" s="883">
        <f t="shared" si="103"/>
        <v>239.35724735999997</v>
      </c>
      <c r="F126" s="883">
        <f t="shared" si="103"/>
        <v>235.59029759999999</v>
      </c>
      <c r="G126" s="883">
        <f t="shared" si="103"/>
        <v>237.18154655999999</v>
      </c>
      <c r="H126" s="883">
        <f t="shared" si="103"/>
        <v>232.96786128000002</v>
      </c>
      <c r="I126" s="883">
        <f t="shared" si="103"/>
        <v>231.11003328000001</v>
      </c>
      <c r="J126" s="180">
        <f t="shared" si="72"/>
        <v>236.15593792000001</v>
      </c>
      <c r="K126" s="883">
        <f t="shared" si="104"/>
        <v>240.72864143999999</v>
      </c>
      <c r="L126" s="883">
        <f t="shared" si="104"/>
        <v>239.35724735999997</v>
      </c>
      <c r="M126" s="883">
        <f t="shared" si="104"/>
        <v>235.59029759999999</v>
      </c>
      <c r="N126" s="883">
        <f t="shared" si="104"/>
        <v>237.18154655999999</v>
      </c>
      <c r="O126" s="883">
        <f t="shared" si="104"/>
        <v>232.96786128000002</v>
      </c>
      <c r="P126" s="883">
        <f t="shared" si="104"/>
        <v>231.11003328000001</v>
      </c>
      <c r="Q126" s="180">
        <f t="shared" si="74"/>
        <v>236.15593792000001</v>
      </c>
      <c r="R126" s="883"/>
      <c r="S126" s="883"/>
      <c r="T126" s="883"/>
      <c r="U126" s="883"/>
      <c r="V126" s="883"/>
      <c r="W126" s="883"/>
      <c r="X126" s="180"/>
      <c r="Y126" s="883"/>
      <c r="Z126" s="883"/>
      <c r="AA126" s="883"/>
      <c r="AB126" s="883"/>
      <c r="AC126" s="883"/>
      <c r="AD126" s="883"/>
      <c r="AE126" s="180"/>
      <c r="AF126" s="1389"/>
    </row>
    <row r="127" spans="1:32">
      <c r="A127" s="57"/>
      <c r="B127" s="48"/>
      <c r="C127" s="887" t="s">
        <v>1256</v>
      </c>
      <c r="D127" s="883">
        <f t="shared" ref="D127" si="105">K127</f>
        <v>6995.8824986400004</v>
      </c>
      <c r="E127" s="883">
        <f t="shared" ref="E127" si="106">L127</f>
        <v>7020.8258316000001</v>
      </c>
      <c r="F127" s="883">
        <f t="shared" ref="F127" si="107">M127</f>
        <v>7743.1497007200005</v>
      </c>
      <c r="G127" s="883">
        <f t="shared" ref="G127" si="108">N127</f>
        <v>7923.2799841619999</v>
      </c>
      <c r="H127" s="883">
        <f t="shared" ref="H127" si="109">O127</f>
        <v>7444.82030166</v>
      </c>
      <c r="I127" s="883">
        <f t="shared" ref="I127" si="110">P127</f>
        <v>8318.6222695800006</v>
      </c>
      <c r="J127" s="180">
        <f t="shared" ref="J127" si="111">AVERAGE(D127:I127)</f>
        <v>7574.4300977270004</v>
      </c>
      <c r="K127" s="883">
        <f t="shared" ref="K127" si="112">D162</f>
        <v>6995.8824986400004</v>
      </c>
      <c r="L127" s="883">
        <f t="shared" ref="L127" si="113">E162</f>
        <v>7020.8258316000001</v>
      </c>
      <c r="M127" s="883">
        <f t="shared" ref="M127" si="114">F162</f>
        <v>7743.1497007200005</v>
      </c>
      <c r="N127" s="883">
        <f t="shared" ref="N127" si="115">G162</f>
        <v>7923.2799841619999</v>
      </c>
      <c r="O127" s="883">
        <f t="shared" ref="O127" si="116">H162</f>
        <v>7444.82030166</v>
      </c>
      <c r="P127" s="883">
        <f t="shared" ref="P127" si="117">I162</f>
        <v>8318.6222695800006</v>
      </c>
      <c r="Q127" s="180">
        <f t="shared" ref="Q127" si="118">AVERAGE(K127:P127)</f>
        <v>7574.4300977270004</v>
      </c>
      <c r="R127" s="883"/>
      <c r="S127" s="883"/>
      <c r="T127" s="883"/>
      <c r="U127" s="883"/>
      <c r="V127" s="883"/>
      <c r="W127" s="883"/>
      <c r="X127" s="180"/>
      <c r="Y127" s="883"/>
      <c r="Z127" s="883"/>
      <c r="AA127" s="883"/>
      <c r="AB127" s="883"/>
      <c r="AC127" s="883"/>
      <c r="AD127" s="883"/>
      <c r="AE127" s="180"/>
      <c r="AF127" s="1389"/>
    </row>
    <row r="128" spans="1:32">
      <c r="A128" s="57"/>
      <c r="B128" s="48" t="s">
        <v>873</v>
      </c>
      <c r="C128" s="882" t="s">
        <v>276</v>
      </c>
      <c r="D128" s="881">
        <f t="shared" ref="D128:I128" si="119">SUBTOTAL(9,D129:D134)</f>
        <v>99419.76006193801</v>
      </c>
      <c r="E128" s="881">
        <f t="shared" si="119"/>
        <v>96841.629635263176</v>
      </c>
      <c r="F128" s="881">
        <f t="shared" si="119"/>
        <v>98786.198987369993</v>
      </c>
      <c r="G128" s="881">
        <f t="shared" si="119"/>
        <v>98665.652082570028</v>
      </c>
      <c r="H128" s="881">
        <f t="shared" si="119"/>
        <v>98967.189763926042</v>
      </c>
      <c r="I128" s="881">
        <f t="shared" si="119"/>
        <v>98620.711435410005</v>
      </c>
      <c r="J128" s="180">
        <f t="shared" si="72"/>
        <v>98550.190327746212</v>
      </c>
      <c r="K128" s="881">
        <f t="shared" ref="K128:P128" si="120">SUBTOTAL(9,K129:K134)</f>
        <v>99419.76006193801</v>
      </c>
      <c r="L128" s="881">
        <f t="shared" si="120"/>
        <v>96841.629635263176</v>
      </c>
      <c r="M128" s="881">
        <f t="shared" si="120"/>
        <v>98786.198987369993</v>
      </c>
      <c r="N128" s="881">
        <f t="shared" si="120"/>
        <v>98665.652082570028</v>
      </c>
      <c r="O128" s="881">
        <f t="shared" si="120"/>
        <v>98967.189763926042</v>
      </c>
      <c r="P128" s="881">
        <f t="shared" si="120"/>
        <v>98620.711435410005</v>
      </c>
      <c r="Q128" s="180">
        <f t="shared" si="74"/>
        <v>98550.190327746212</v>
      </c>
      <c r="R128" s="881">
        <f t="shared" ref="R128:W128" si="121">SUBTOTAL(9,R129:R134)</f>
        <v>0</v>
      </c>
      <c r="S128" s="881">
        <f t="shared" si="121"/>
        <v>0</v>
      </c>
      <c r="T128" s="881">
        <f t="shared" si="121"/>
        <v>0</v>
      </c>
      <c r="U128" s="881">
        <f t="shared" si="121"/>
        <v>0</v>
      </c>
      <c r="V128" s="881">
        <f t="shared" si="121"/>
        <v>0</v>
      </c>
      <c r="W128" s="881">
        <f t="shared" si="121"/>
        <v>0</v>
      </c>
      <c r="X128" s="180">
        <f>AVERAGE(R128:W128)</f>
        <v>0</v>
      </c>
      <c r="Y128" s="881"/>
      <c r="Z128" s="881"/>
      <c r="AA128" s="881"/>
      <c r="AB128" s="881"/>
      <c r="AC128" s="881"/>
      <c r="AD128" s="881"/>
      <c r="AE128" s="180"/>
      <c r="AF128" s="1389"/>
    </row>
    <row r="129" spans="1:32">
      <c r="A129" s="57"/>
      <c r="B129" s="48"/>
      <c r="C129" s="887" t="s">
        <v>969</v>
      </c>
      <c r="D129" s="883">
        <f t="shared" ref="D129:I129" si="122">K129</f>
        <v>0</v>
      </c>
      <c r="E129" s="883">
        <f t="shared" si="122"/>
        <v>0</v>
      </c>
      <c r="F129" s="883">
        <f t="shared" si="122"/>
        <v>0</v>
      </c>
      <c r="G129" s="883">
        <f t="shared" si="122"/>
        <v>0</v>
      </c>
      <c r="H129" s="883">
        <f t="shared" si="122"/>
        <v>0</v>
      </c>
      <c r="I129" s="883">
        <f t="shared" si="122"/>
        <v>0</v>
      </c>
      <c r="J129" s="180">
        <f t="shared" si="72"/>
        <v>0</v>
      </c>
      <c r="K129" s="883">
        <f t="shared" ref="K129:P130" si="123">D164</f>
        <v>0</v>
      </c>
      <c r="L129" s="883">
        <f t="shared" si="123"/>
        <v>0</v>
      </c>
      <c r="M129" s="883">
        <f t="shared" si="123"/>
        <v>0</v>
      </c>
      <c r="N129" s="883">
        <f t="shared" si="123"/>
        <v>0</v>
      </c>
      <c r="O129" s="883">
        <f t="shared" si="123"/>
        <v>0</v>
      </c>
      <c r="P129" s="883">
        <f t="shared" si="123"/>
        <v>0</v>
      </c>
      <c r="Q129" s="180">
        <f t="shared" si="74"/>
        <v>0</v>
      </c>
      <c r="R129" s="883"/>
      <c r="S129" s="883"/>
      <c r="T129" s="883"/>
      <c r="U129" s="883"/>
      <c r="V129" s="883"/>
      <c r="W129" s="883"/>
      <c r="X129" s="180"/>
      <c r="Y129" s="883"/>
      <c r="Z129" s="883"/>
      <c r="AA129" s="883"/>
      <c r="AB129" s="883"/>
      <c r="AC129" s="883"/>
      <c r="AD129" s="883"/>
      <c r="AE129" s="180"/>
      <c r="AF129" s="1389"/>
    </row>
    <row r="130" spans="1:32">
      <c r="A130" s="57"/>
      <c r="B130" s="48"/>
      <c r="C130" s="887" t="s">
        <v>970</v>
      </c>
      <c r="D130" s="883">
        <f t="shared" ref="D130:I130" si="124">K130</f>
        <v>66727.23905436002</v>
      </c>
      <c r="E130" s="883">
        <f t="shared" si="124"/>
        <v>64332.154491959998</v>
      </c>
      <c r="F130" s="883">
        <f t="shared" si="124"/>
        <v>60055.760450909998</v>
      </c>
      <c r="G130" s="883">
        <f t="shared" si="124"/>
        <v>60950.919308880024</v>
      </c>
      <c r="H130" s="883">
        <f t="shared" si="124"/>
        <v>60668.091896850041</v>
      </c>
      <c r="I130" s="883">
        <f t="shared" si="124"/>
        <v>58967.967384600022</v>
      </c>
      <c r="J130" s="180">
        <f t="shared" si="72"/>
        <v>61950.355431260017</v>
      </c>
      <c r="K130" s="883">
        <f t="shared" si="123"/>
        <v>66727.23905436002</v>
      </c>
      <c r="L130" s="883">
        <f t="shared" si="123"/>
        <v>64332.154491959998</v>
      </c>
      <c r="M130" s="883">
        <f t="shared" si="123"/>
        <v>60055.760450909998</v>
      </c>
      <c r="N130" s="883">
        <f t="shared" si="123"/>
        <v>60950.919308880024</v>
      </c>
      <c r="O130" s="883">
        <f t="shared" si="123"/>
        <v>60668.091896850041</v>
      </c>
      <c r="P130" s="883">
        <f t="shared" si="123"/>
        <v>58967.967384600022</v>
      </c>
      <c r="Q130" s="180">
        <f t="shared" si="74"/>
        <v>61950.355431260017</v>
      </c>
      <c r="R130" s="883"/>
      <c r="S130" s="883"/>
      <c r="T130" s="883"/>
      <c r="U130" s="883"/>
      <c r="V130" s="883"/>
      <c r="W130" s="883"/>
      <c r="X130" s="180"/>
      <c r="Y130" s="883"/>
      <c r="Z130" s="883"/>
      <c r="AA130" s="883"/>
      <c r="AB130" s="883"/>
      <c r="AC130" s="883"/>
      <c r="AD130" s="883"/>
      <c r="AE130" s="180"/>
      <c r="AF130" s="1389"/>
    </row>
    <row r="131" spans="1:32">
      <c r="A131" s="57"/>
      <c r="B131" s="48"/>
      <c r="C131" s="887" t="s">
        <v>1011</v>
      </c>
      <c r="D131" s="883">
        <f t="shared" ref="D131:I133" si="125">K131</f>
        <v>5188.6702360799991</v>
      </c>
      <c r="E131" s="883">
        <f t="shared" si="125"/>
        <v>4884.04500534</v>
      </c>
      <c r="F131" s="883">
        <f t="shared" si="125"/>
        <v>5875.0113581400001</v>
      </c>
      <c r="G131" s="883">
        <f t="shared" si="125"/>
        <v>4938.7207018199997</v>
      </c>
      <c r="H131" s="883">
        <f t="shared" si="125"/>
        <v>4752.479133156</v>
      </c>
      <c r="I131" s="883">
        <f t="shared" si="125"/>
        <v>5378.8689547200001</v>
      </c>
      <c r="J131" s="180">
        <f t="shared" si="72"/>
        <v>5169.6325648760003</v>
      </c>
      <c r="K131" s="883">
        <f t="shared" ref="K131:P131" si="126">D166</f>
        <v>5188.6702360799991</v>
      </c>
      <c r="L131" s="883">
        <f t="shared" si="126"/>
        <v>4884.04500534</v>
      </c>
      <c r="M131" s="883">
        <f t="shared" si="126"/>
        <v>5875.0113581400001</v>
      </c>
      <c r="N131" s="883">
        <f t="shared" si="126"/>
        <v>4938.7207018199997</v>
      </c>
      <c r="O131" s="883">
        <f t="shared" si="126"/>
        <v>4752.479133156</v>
      </c>
      <c r="P131" s="883">
        <f t="shared" si="126"/>
        <v>5378.8689547200001</v>
      </c>
      <c r="Q131" s="180">
        <f t="shared" si="74"/>
        <v>5169.6325648760003</v>
      </c>
      <c r="R131" s="883"/>
      <c r="S131" s="883"/>
      <c r="T131" s="883"/>
      <c r="U131" s="883"/>
      <c r="V131" s="883"/>
      <c r="W131" s="883"/>
      <c r="X131" s="180"/>
      <c r="Y131" s="883"/>
      <c r="Z131" s="883"/>
      <c r="AA131" s="883"/>
      <c r="AB131" s="883"/>
      <c r="AC131" s="883"/>
      <c r="AD131" s="883"/>
      <c r="AE131" s="180"/>
      <c r="AF131" s="1389"/>
    </row>
    <row r="132" spans="1:32">
      <c r="A132" s="57"/>
      <c r="B132" s="48"/>
      <c r="C132" s="887" t="s">
        <v>1012</v>
      </c>
      <c r="D132" s="883">
        <f t="shared" si="125"/>
        <v>3663.0752652000001</v>
      </c>
      <c r="E132" s="883">
        <f t="shared" si="125"/>
        <v>3699.2794818000002</v>
      </c>
      <c r="F132" s="883">
        <f t="shared" si="125"/>
        <v>3722.0787156000006</v>
      </c>
      <c r="G132" s="883">
        <f t="shared" si="125"/>
        <v>3627.0720906000001</v>
      </c>
      <c r="H132" s="883">
        <f t="shared" si="125"/>
        <v>3625.9618919999998</v>
      </c>
      <c r="I132" s="883">
        <f t="shared" si="125"/>
        <v>3574.7341056</v>
      </c>
      <c r="J132" s="180">
        <f t="shared" si="72"/>
        <v>3652.0335918000005</v>
      </c>
      <c r="K132" s="883">
        <f t="shared" ref="K132:P132" si="127">D167</f>
        <v>3663.0752652000001</v>
      </c>
      <c r="L132" s="883">
        <f t="shared" si="127"/>
        <v>3699.2794818000002</v>
      </c>
      <c r="M132" s="883">
        <f t="shared" si="127"/>
        <v>3722.0787156000006</v>
      </c>
      <c r="N132" s="883">
        <f t="shared" si="127"/>
        <v>3627.0720906000001</v>
      </c>
      <c r="O132" s="883">
        <f t="shared" si="127"/>
        <v>3625.9618919999998</v>
      </c>
      <c r="P132" s="883">
        <f t="shared" si="127"/>
        <v>3574.7341056</v>
      </c>
      <c r="Q132" s="180">
        <f t="shared" si="74"/>
        <v>3652.0335918000005</v>
      </c>
      <c r="R132" s="883"/>
      <c r="S132" s="883"/>
      <c r="T132" s="883"/>
      <c r="U132" s="883"/>
      <c r="V132" s="883"/>
      <c r="W132" s="883"/>
      <c r="X132" s="180"/>
      <c r="Y132" s="883"/>
      <c r="Z132" s="883"/>
      <c r="AA132" s="883"/>
      <c r="AB132" s="883"/>
      <c r="AC132" s="883"/>
      <c r="AD132" s="883"/>
      <c r="AE132" s="180"/>
      <c r="AF132" s="1389"/>
    </row>
    <row r="133" spans="1:32">
      <c r="A133" s="57"/>
      <c r="B133" s="48"/>
      <c r="C133" s="887" t="s">
        <v>1108</v>
      </c>
      <c r="D133" s="883">
        <f t="shared" si="125"/>
        <v>23840.775506298003</v>
      </c>
      <c r="E133" s="883">
        <f t="shared" si="125"/>
        <v>23926.150656163176</v>
      </c>
      <c r="F133" s="883">
        <f t="shared" si="125"/>
        <v>29133.348462719998</v>
      </c>
      <c r="G133" s="883">
        <f t="shared" si="125"/>
        <v>29148.939981269999</v>
      </c>
      <c r="H133" s="883">
        <f t="shared" si="125"/>
        <v>29920.656841920001</v>
      </c>
      <c r="I133" s="883">
        <f t="shared" si="125"/>
        <v>30699.140990489992</v>
      </c>
      <c r="J133" s="180">
        <f t="shared" si="72"/>
        <v>27778.168739810197</v>
      </c>
      <c r="K133" s="883">
        <f t="shared" ref="K133:P133" si="128">D168</f>
        <v>23840.775506298003</v>
      </c>
      <c r="L133" s="883">
        <f t="shared" si="128"/>
        <v>23926.150656163176</v>
      </c>
      <c r="M133" s="883">
        <f t="shared" si="128"/>
        <v>29133.348462719998</v>
      </c>
      <c r="N133" s="883">
        <f t="shared" si="128"/>
        <v>29148.939981269999</v>
      </c>
      <c r="O133" s="883">
        <f t="shared" si="128"/>
        <v>29920.656841920001</v>
      </c>
      <c r="P133" s="883">
        <f t="shared" si="128"/>
        <v>30699.140990489992</v>
      </c>
      <c r="Q133" s="180">
        <f t="shared" si="74"/>
        <v>27778.168739810197</v>
      </c>
      <c r="R133" s="883"/>
      <c r="S133" s="883"/>
      <c r="T133" s="883"/>
      <c r="U133" s="883"/>
      <c r="V133" s="883"/>
      <c r="W133" s="883"/>
      <c r="X133" s="180"/>
      <c r="Y133" s="883"/>
      <c r="Z133" s="883"/>
      <c r="AA133" s="883"/>
      <c r="AB133" s="883"/>
      <c r="AC133" s="883"/>
      <c r="AD133" s="883"/>
      <c r="AE133" s="180"/>
      <c r="AF133" s="1389"/>
    </row>
    <row r="134" spans="1:32">
      <c r="A134" s="57"/>
      <c r="B134" s="48"/>
      <c r="C134" s="887"/>
      <c r="D134" s="883"/>
      <c r="E134" s="883"/>
      <c r="F134" s="883"/>
      <c r="G134" s="883"/>
      <c r="H134" s="883"/>
      <c r="I134" s="883"/>
      <c r="J134" s="180"/>
      <c r="K134" s="883"/>
      <c r="L134" s="883"/>
      <c r="M134" s="883"/>
      <c r="N134" s="883"/>
      <c r="O134" s="883"/>
      <c r="P134" s="883"/>
      <c r="Q134" s="180"/>
      <c r="R134" s="883"/>
      <c r="S134" s="883"/>
      <c r="T134" s="883"/>
      <c r="U134" s="883"/>
      <c r="V134" s="883"/>
      <c r="W134" s="883"/>
      <c r="X134" s="180"/>
      <c r="Y134" s="883"/>
      <c r="Z134" s="883"/>
      <c r="AA134" s="883"/>
      <c r="AB134" s="883"/>
      <c r="AC134" s="883"/>
      <c r="AD134" s="883"/>
      <c r="AE134" s="180"/>
      <c r="AF134" s="1389"/>
    </row>
    <row r="135" spans="1:32" ht="15.75">
      <c r="A135" s="57"/>
      <c r="B135" s="48"/>
      <c r="C135" s="965" t="s">
        <v>443</v>
      </c>
      <c r="D135" s="881">
        <f t="shared" ref="D135:I135" si="129">SUBTOTAL(9,D136:D145)</f>
        <v>21254.614526376001</v>
      </c>
      <c r="E135" s="881">
        <f t="shared" si="129"/>
        <v>21140.501253420003</v>
      </c>
      <c r="F135" s="881">
        <f t="shared" si="129"/>
        <v>21800.16338808</v>
      </c>
      <c r="G135" s="881">
        <f t="shared" si="129"/>
        <v>21947.743240170003</v>
      </c>
      <c r="H135" s="881">
        <f t="shared" si="129"/>
        <v>22498.426242191999</v>
      </c>
      <c r="I135" s="881">
        <f t="shared" si="129"/>
        <v>23501.324494506</v>
      </c>
      <c r="J135" s="180">
        <f t="shared" si="72"/>
        <v>22023.795524123998</v>
      </c>
      <c r="K135" s="881">
        <f t="shared" ref="K135:P135" si="130">SUBTOTAL(9,K136:K145)</f>
        <v>21254.614526376001</v>
      </c>
      <c r="L135" s="881">
        <f t="shared" si="130"/>
        <v>21140.501253420003</v>
      </c>
      <c r="M135" s="881">
        <f t="shared" si="130"/>
        <v>21800.16338808</v>
      </c>
      <c r="N135" s="881">
        <f t="shared" si="130"/>
        <v>21947.743240170003</v>
      </c>
      <c r="O135" s="881">
        <f t="shared" si="130"/>
        <v>22498.426242191999</v>
      </c>
      <c r="P135" s="881">
        <f t="shared" si="130"/>
        <v>23501.324494506</v>
      </c>
      <c r="Q135" s="180">
        <f t="shared" si="74"/>
        <v>22023.795524123998</v>
      </c>
      <c r="R135" s="881">
        <f t="shared" ref="R135:W135" si="131">SUBTOTAL(9,R136:R145)</f>
        <v>638.29034496000008</v>
      </c>
      <c r="S135" s="881">
        <f t="shared" si="131"/>
        <v>613.30023072000006</v>
      </c>
      <c r="T135" s="881">
        <f t="shared" si="131"/>
        <v>611.90902008000012</v>
      </c>
      <c r="U135" s="881">
        <f t="shared" si="131"/>
        <v>645.65421047999996</v>
      </c>
      <c r="V135" s="881">
        <f t="shared" si="131"/>
        <v>644.11215407999998</v>
      </c>
      <c r="W135" s="881">
        <f t="shared" si="131"/>
        <v>635.64514631999998</v>
      </c>
      <c r="X135" s="180">
        <f>AVERAGE(R135:W135)</f>
        <v>631.48518444000013</v>
      </c>
      <c r="Y135" s="881"/>
      <c r="Z135" s="881"/>
      <c r="AA135" s="881"/>
      <c r="AB135" s="881"/>
      <c r="AC135" s="881"/>
      <c r="AD135" s="881"/>
      <c r="AE135" s="180"/>
      <c r="AF135" s="1389"/>
    </row>
    <row r="136" spans="1:32">
      <c r="A136" s="57"/>
      <c r="B136" s="48" t="s">
        <v>874</v>
      </c>
      <c r="C136" s="882" t="s">
        <v>275</v>
      </c>
      <c r="D136" s="881">
        <f t="shared" ref="D136:I136" si="132">SUBTOTAL(9,D137)</f>
        <v>660.72816216000001</v>
      </c>
      <c r="E136" s="881">
        <f t="shared" si="132"/>
        <v>614.97744120000004</v>
      </c>
      <c r="F136" s="881">
        <f t="shared" si="132"/>
        <v>634.69513871999993</v>
      </c>
      <c r="G136" s="881">
        <f t="shared" si="132"/>
        <v>634.14559943999996</v>
      </c>
      <c r="H136" s="881">
        <f t="shared" si="132"/>
        <v>654.24254111999994</v>
      </c>
      <c r="I136" s="881">
        <f t="shared" si="132"/>
        <v>648.83574143999999</v>
      </c>
      <c r="J136" s="180">
        <f t="shared" si="72"/>
        <v>641.27077068000006</v>
      </c>
      <c r="K136" s="881">
        <f t="shared" ref="K136:P136" si="133">SUBTOTAL(9,K137)</f>
        <v>660.72816216000001</v>
      </c>
      <c r="L136" s="881">
        <f t="shared" si="133"/>
        <v>614.97744120000004</v>
      </c>
      <c r="M136" s="881">
        <f t="shared" si="133"/>
        <v>634.69513871999993</v>
      </c>
      <c r="N136" s="881">
        <f t="shared" si="133"/>
        <v>634.14559943999996</v>
      </c>
      <c r="O136" s="881">
        <f t="shared" si="133"/>
        <v>654.24254111999994</v>
      </c>
      <c r="P136" s="881">
        <f t="shared" si="133"/>
        <v>648.83574143999999</v>
      </c>
      <c r="Q136" s="180">
        <f t="shared" si="74"/>
        <v>641.27077068000006</v>
      </c>
      <c r="R136" s="881">
        <f t="shared" ref="R136:W136" si="134">SUBTOTAL(9,R137)</f>
        <v>638.29034496000008</v>
      </c>
      <c r="S136" s="881">
        <f t="shared" si="134"/>
        <v>613.30023072000006</v>
      </c>
      <c r="T136" s="881">
        <f t="shared" si="134"/>
        <v>611.90902008000012</v>
      </c>
      <c r="U136" s="881">
        <f t="shared" si="134"/>
        <v>645.65421047999996</v>
      </c>
      <c r="V136" s="881">
        <f t="shared" si="134"/>
        <v>644.11215407999998</v>
      </c>
      <c r="W136" s="881">
        <f t="shared" si="134"/>
        <v>635.64514631999998</v>
      </c>
      <c r="X136" s="180">
        <f>AVERAGE(R136:W136)</f>
        <v>631.48518444000013</v>
      </c>
      <c r="Y136" s="881"/>
      <c r="Z136" s="881"/>
      <c r="AA136" s="881"/>
      <c r="AB136" s="881"/>
      <c r="AC136" s="881"/>
      <c r="AD136" s="881"/>
      <c r="AE136" s="180"/>
      <c r="AF136" s="1389"/>
    </row>
    <row r="137" spans="1:32">
      <c r="A137" s="57"/>
      <c r="B137" s="48"/>
      <c r="C137" s="887" t="s">
        <v>972</v>
      </c>
      <c r="D137" s="883">
        <f t="shared" ref="D137:I137" si="135">K137</f>
        <v>660.72816216000001</v>
      </c>
      <c r="E137" s="883">
        <f t="shared" si="135"/>
        <v>614.97744120000004</v>
      </c>
      <c r="F137" s="883">
        <f t="shared" si="135"/>
        <v>634.69513871999993</v>
      </c>
      <c r="G137" s="883">
        <f t="shared" si="135"/>
        <v>634.14559943999996</v>
      </c>
      <c r="H137" s="883">
        <f t="shared" si="135"/>
        <v>654.24254111999994</v>
      </c>
      <c r="I137" s="883">
        <f t="shared" si="135"/>
        <v>648.83574143999999</v>
      </c>
      <c r="J137" s="180">
        <f t="shared" si="72"/>
        <v>641.27077068000006</v>
      </c>
      <c r="K137" s="883">
        <f t="shared" ref="K137:P137" si="136">D169</f>
        <v>660.72816216000001</v>
      </c>
      <c r="L137" s="883">
        <f t="shared" si="136"/>
        <v>614.97744120000004</v>
      </c>
      <c r="M137" s="883">
        <f t="shared" si="136"/>
        <v>634.69513871999993</v>
      </c>
      <c r="N137" s="883">
        <f t="shared" si="136"/>
        <v>634.14559943999996</v>
      </c>
      <c r="O137" s="883">
        <f t="shared" si="136"/>
        <v>654.24254111999994</v>
      </c>
      <c r="P137" s="883">
        <f t="shared" si="136"/>
        <v>648.83574143999999</v>
      </c>
      <c r="Q137" s="180">
        <f t="shared" si="74"/>
        <v>641.27077068000006</v>
      </c>
      <c r="R137" s="883">
        <f t="shared" ref="R137:W137" si="137">D170</f>
        <v>638.29034496000008</v>
      </c>
      <c r="S137" s="883">
        <f t="shared" si="137"/>
        <v>613.30023072000006</v>
      </c>
      <c r="T137" s="883">
        <f t="shared" si="137"/>
        <v>611.90902008000012</v>
      </c>
      <c r="U137" s="883">
        <f t="shared" si="137"/>
        <v>645.65421047999996</v>
      </c>
      <c r="V137" s="883">
        <f t="shared" si="137"/>
        <v>644.11215407999998</v>
      </c>
      <c r="W137" s="883">
        <f t="shared" si="137"/>
        <v>635.64514631999998</v>
      </c>
      <c r="X137" s="180">
        <f>AVERAGE(R137:W137)</f>
        <v>631.48518444000013</v>
      </c>
      <c r="Y137" s="883"/>
      <c r="Z137" s="883"/>
      <c r="AA137" s="883"/>
      <c r="AB137" s="883"/>
      <c r="AC137" s="883"/>
      <c r="AD137" s="883"/>
      <c r="AE137" s="180"/>
      <c r="AF137" s="1389"/>
    </row>
    <row r="138" spans="1:32">
      <c r="A138" s="57"/>
      <c r="B138" s="48"/>
      <c r="C138" s="887"/>
      <c r="D138" s="883"/>
      <c r="E138" s="883"/>
      <c r="F138" s="883"/>
      <c r="G138" s="883"/>
      <c r="H138" s="883"/>
      <c r="I138" s="883"/>
      <c r="J138" s="180"/>
      <c r="K138" s="883"/>
      <c r="L138" s="883"/>
      <c r="M138" s="883"/>
      <c r="N138" s="883"/>
      <c r="O138" s="883"/>
      <c r="P138" s="883"/>
      <c r="Q138" s="180"/>
      <c r="R138" s="883"/>
      <c r="S138" s="883"/>
      <c r="T138" s="883"/>
      <c r="U138" s="883"/>
      <c r="V138" s="883"/>
      <c r="W138" s="883"/>
      <c r="X138" s="180"/>
      <c r="Y138" s="883"/>
      <c r="Z138" s="883"/>
      <c r="AA138" s="883"/>
      <c r="AB138" s="883"/>
      <c r="AC138" s="883"/>
      <c r="AD138" s="883"/>
      <c r="AE138" s="180"/>
      <c r="AF138" s="1389"/>
    </row>
    <row r="139" spans="1:32">
      <c r="A139" s="57"/>
      <c r="B139" s="48" t="s">
        <v>875</v>
      </c>
      <c r="C139" s="882" t="s">
        <v>274</v>
      </c>
      <c r="D139" s="881">
        <f t="shared" ref="D139:I139" si="138">SUBTOTAL(9,D140:D145)</f>
        <v>20593.886364216003</v>
      </c>
      <c r="E139" s="881">
        <f t="shared" si="138"/>
        <v>20525.523812220003</v>
      </c>
      <c r="F139" s="881">
        <f t="shared" si="138"/>
        <v>21165.468249359998</v>
      </c>
      <c r="G139" s="881">
        <f t="shared" si="138"/>
        <v>21313.59764073</v>
      </c>
      <c r="H139" s="881">
        <f t="shared" si="138"/>
        <v>21844.183701071997</v>
      </c>
      <c r="I139" s="881">
        <f t="shared" si="138"/>
        <v>22852.488753065998</v>
      </c>
      <c r="J139" s="180">
        <f t="shared" si="72"/>
        <v>21382.524753443999</v>
      </c>
      <c r="K139" s="881">
        <f t="shared" ref="K139:P139" si="139">SUBTOTAL(9,K140:K145)</f>
        <v>20593.886364216003</v>
      </c>
      <c r="L139" s="881">
        <f t="shared" si="139"/>
        <v>20525.523812220003</v>
      </c>
      <c r="M139" s="881">
        <f t="shared" si="139"/>
        <v>21165.468249359998</v>
      </c>
      <c r="N139" s="881">
        <f t="shared" si="139"/>
        <v>21313.59764073</v>
      </c>
      <c r="O139" s="881">
        <f t="shared" si="139"/>
        <v>21844.183701071997</v>
      </c>
      <c r="P139" s="881">
        <f t="shared" si="139"/>
        <v>22852.488753065998</v>
      </c>
      <c r="Q139" s="180">
        <f t="shared" si="74"/>
        <v>21382.524753443999</v>
      </c>
      <c r="R139" s="881">
        <f t="shared" ref="R139:W139" si="140">SUBTOTAL(9,R140:R145)</f>
        <v>0</v>
      </c>
      <c r="S139" s="881">
        <f t="shared" si="140"/>
        <v>0</v>
      </c>
      <c r="T139" s="881">
        <f t="shared" si="140"/>
        <v>0</v>
      </c>
      <c r="U139" s="881">
        <f t="shared" si="140"/>
        <v>0</v>
      </c>
      <c r="V139" s="881">
        <f t="shared" si="140"/>
        <v>0</v>
      </c>
      <c r="W139" s="881">
        <f t="shared" si="140"/>
        <v>0</v>
      </c>
      <c r="X139" s="180">
        <f>AVERAGE(R139:W139)</f>
        <v>0</v>
      </c>
      <c r="Y139" s="881"/>
      <c r="Z139" s="881"/>
      <c r="AA139" s="881"/>
      <c r="AB139" s="881"/>
      <c r="AC139" s="881"/>
      <c r="AD139" s="881"/>
      <c r="AE139" s="180"/>
      <c r="AF139" s="1389"/>
    </row>
    <row r="140" spans="1:32">
      <c r="A140" s="57"/>
      <c r="B140" s="58"/>
      <c r="C140" s="887" t="s">
        <v>969</v>
      </c>
      <c r="D140" s="883">
        <f t="shared" ref="D140:I140" si="141">K140</f>
        <v>163.26930634800001</v>
      </c>
      <c r="E140" s="883">
        <f t="shared" si="141"/>
        <v>166.28471561999999</v>
      </c>
      <c r="F140" s="883">
        <f t="shared" si="141"/>
        <v>160.14000000000001</v>
      </c>
      <c r="G140" s="883">
        <f t="shared" si="141"/>
        <v>166.84027126800001</v>
      </c>
      <c r="H140" s="883">
        <f t="shared" si="141"/>
        <v>159.17909635200002</v>
      </c>
      <c r="I140" s="883">
        <f t="shared" si="141"/>
        <v>163.57506042600002</v>
      </c>
      <c r="J140" s="180">
        <f t="shared" si="72"/>
        <v>163.21474166900001</v>
      </c>
      <c r="K140" s="883">
        <f t="shared" ref="K140:P141" si="142">D171</f>
        <v>163.26930634800001</v>
      </c>
      <c r="L140" s="883">
        <f t="shared" si="142"/>
        <v>166.28471561999999</v>
      </c>
      <c r="M140" s="883">
        <f t="shared" si="142"/>
        <v>160.14000000000001</v>
      </c>
      <c r="N140" s="883">
        <f t="shared" si="142"/>
        <v>166.84027126800001</v>
      </c>
      <c r="O140" s="883">
        <f t="shared" si="142"/>
        <v>159.17909635200002</v>
      </c>
      <c r="P140" s="883">
        <f t="shared" si="142"/>
        <v>163.57506042600002</v>
      </c>
      <c r="Q140" s="180">
        <f t="shared" si="74"/>
        <v>163.21474166900001</v>
      </c>
      <c r="R140" s="883"/>
      <c r="S140" s="883"/>
      <c r="T140" s="883"/>
      <c r="U140" s="883"/>
      <c r="V140" s="883"/>
      <c r="W140" s="883"/>
      <c r="X140" s="180"/>
      <c r="Y140" s="883"/>
      <c r="Z140" s="883"/>
      <c r="AA140" s="883"/>
      <c r="AB140" s="883"/>
      <c r="AC140" s="883"/>
      <c r="AD140" s="883"/>
      <c r="AE140" s="180"/>
      <c r="AF140" s="1389"/>
    </row>
    <row r="141" spans="1:32">
      <c r="A141" s="57"/>
      <c r="B141" s="58"/>
      <c r="C141" s="887" t="s">
        <v>970</v>
      </c>
      <c r="D141" s="883">
        <f t="shared" ref="D141:I141" si="143">K141</f>
        <v>13589.509136154003</v>
      </c>
      <c r="E141" s="883">
        <f t="shared" si="143"/>
        <v>13440.758382</v>
      </c>
      <c r="F141" s="883">
        <f t="shared" si="143"/>
        <v>13294.093055279998</v>
      </c>
      <c r="G141" s="883">
        <f t="shared" si="143"/>
        <v>13167.278505582002</v>
      </c>
      <c r="H141" s="883">
        <f t="shared" si="143"/>
        <v>13164.16683228</v>
      </c>
      <c r="I141" s="883">
        <f t="shared" si="143"/>
        <v>13457.277896039999</v>
      </c>
      <c r="J141" s="180">
        <f t="shared" si="72"/>
        <v>13352.180634556002</v>
      </c>
      <c r="K141" s="883">
        <f t="shared" si="142"/>
        <v>13589.509136154003</v>
      </c>
      <c r="L141" s="883">
        <f t="shared" si="142"/>
        <v>13440.758382</v>
      </c>
      <c r="M141" s="883">
        <f t="shared" si="142"/>
        <v>13294.093055279998</v>
      </c>
      <c r="N141" s="883">
        <f t="shared" si="142"/>
        <v>13167.278505582002</v>
      </c>
      <c r="O141" s="883">
        <f t="shared" si="142"/>
        <v>13164.16683228</v>
      </c>
      <c r="P141" s="883">
        <f t="shared" si="142"/>
        <v>13457.277896039999</v>
      </c>
      <c r="Q141" s="180">
        <f t="shared" si="74"/>
        <v>13352.180634556002</v>
      </c>
      <c r="R141" s="883"/>
      <c r="S141" s="883"/>
      <c r="T141" s="883"/>
      <c r="U141" s="883"/>
      <c r="V141" s="883"/>
      <c r="W141" s="883"/>
      <c r="X141" s="180"/>
      <c r="Y141" s="883"/>
      <c r="Z141" s="883"/>
      <c r="AA141" s="883"/>
      <c r="AB141" s="883"/>
      <c r="AC141" s="883"/>
      <c r="AD141" s="883"/>
      <c r="AE141" s="180"/>
      <c r="AF141" s="1389"/>
    </row>
    <row r="142" spans="1:32">
      <c r="A142" s="57"/>
      <c r="B142" s="58"/>
      <c r="C142" s="887" t="s">
        <v>1011</v>
      </c>
      <c r="D142" s="883">
        <f t="shared" ref="D142:I142" si="144">K142</f>
        <v>354.63488724000001</v>
      </c>
      <c r="E142" s="883">
        <f t="shared" si="144"/>
        <v>370.17523187999996</v>
      </c>
      <c r="F142" s="883">
        <f t="shared" si="144"/>
        <v>345.93115176000003</v>
      </c>
      <c r="G142" s="883">
        <f t="shared" si="144"/>
        <v>341.02169388000004</v>
      </c>
      <c r="H142" s="883">
        <f t="shared" si="144"/>
        <v>349.57650527999999</v>
      </c>
      <c r="I142" s="883">
        <f t="shared" si="144"/>
        <v>328.07544588000002</v>
      </c>
      <c r="J142" s="180">
        <f t="shared" si="72"/>
        <v>348.23581932000002</v>
      </c>
      <c r="K142" s="883">
        <f t="shared" ref="K142:P142" si="145">D173</f>
        <v>354.63488724000001</v>
      </c>
      <c r="L142" s="883">
        <f t="shared" si="145"/>
        <v>370.17523187999996</v>
      </c>
      <c r="M142" s="883">
        <f t="shared" si="145"/>
        <v>345.93115176000003</v>
      </c>
      <c r="N142" s="883">
        <f t="shared" si="145"/>
        <v>341.02169388000004</v>
      </c>
      <c r="O142" s="883">
        <f t="shared" si="145"/>
        <v>349.57650527999999</v>
      </c>
      <c r="P142" s="883">
        <f t="shared" si="145"/>
        <v>328.07544588000002</v>
      </c>
      <c r="Q142" s="180">
        <f t="shared" si="74"/>
        <v>348.23581932000002</v>
      </c>
      <c r="R142" s="883"/>
      <c r="S142" s="883"/>
      <c r="T142" s="883"/>
      <c r="U142" s="883"/>
      <c r="V142" s="883"/>
      <c r="W142" s="883"/>
      <c r="X142" s="180"/>
      <c r="Y142" s="883"/>
      <c r="Z142" s="883"/>
      <c r="AA142" s="883"/>
      <c r="AB142" s="883"/>
      <c r="AC142" s="883"/>
      <c r="AD142" s="883"/>
      <c r="AE142" s="180"/>
      <c r="AF142" s="1389"/>
    </row>
    <row r="143" spans="1:32">
      <c r="A143" s="57"/>
      <c r="B143" s="58"/>
      <c r="C143" s="887" t="s">
        <v>1012</v>
      </c>
      <c r="D143" s="883">
        <f t="shared" ref="D143:I143" si="146">K143</f>
        <v>2557.9855888739999</v>
      </c>
      <c r="E143" s="883">
        <f t="shared" si="146"/>
        <v>2579.956657440001</v>
      </c>
      <c r="F143" s="883">
        <f t="shared" si="146"/>
        <v>2506.9877016</v>
      </c>
      <c r="G143" s="883">
        <f t="shared" si="146"/>
        <v>2483.2226400000004</v>
      </c>
      <c r="H143" s="883">
        <f t="shared" si="146"/>
        <v>2517.7717739999994</v>
      </c>
      <c r="I143" s="883">
        <f t="shared" si="146"/>
        <v>2421.9363622799997</v>
      </c>
      <c r="J143" s="180">
        <f t="shared" si="72"/>
        <v>2511.310120699</v>
      </c>
      <c r="K143" s="883">
        <f t="shared" ref="K143:P144" si="147">D174</f>
        <v>2557.9855888739999</v>
      </c>
      <c r="L143" s="883">
        <f t="shared" si="147"/>
        <v>2579.956657440001</v>
      </c>
      <c r="M143" s="883">
        <f t="shared" si="147"/>
        <v>2506.9877016</v>
      </c>
      <c r="N143" s="883">
        <f t="shared" si="147"/>
        <v>2483.2226400000004</v>
      </c>
      <c r="O143" s="883">
        <f t="shared" si="147"/>
        <v>2517.7717739999994</v>
      </c>
      <c r="P143" s="883">
        <f t="shared" si="147"/>
        <v>2421.9363622799997</v>
      </c>
      <c r="Q143" s="180">
        <f t="shared" si="74"/>
        <v>2511.310120699</v>
      </c>
      <c r="R143" s="883"/>
      <c r="S143" s="883"/>
      <c r="T143" s="883"/>
      <c r="U143" s="883"/>
      <c r="V143" s="883"/>
      <c r="W143" s="883"/>
      <c r="X143" s="180"/>
      <c r="Y143" s="883"/>
      <c r="Z143" s="883"/>
      <c r="AA143" s="883"/>
      <c r="AB143" s="883"/>
      <c r="AC143" s="883"/>
      <c r="AD143" s="883"/>
      <c r="AE143" s="180"/>
      <c r="AF143" s="1389"/>
    </row>
    <row r="144" spans="1:32">
      <c r="A144" s="57"/>
      <c r="B144" s="58"/>
      <c r="C144" s="887" t="s">
        <v>1108</v>
      </c>
      <c r="D144" s="883">
        <f t="shared" ref="D144:I144" si="148">K144</f>
        <v>3928.4874456000002</v>
      </c>
      <c r="E144" s="883">
        <f t="shared" si="148"/>
        <v>3968.3488252800003</v>
      </c>
      <c r="F144" s="883">
        <f t="shared" si="148"/>
        <v>4858.31634072</v>
      </c>
      <c r="G144" s="883">
        <f t="shared" si="148"/>
        <v>5155.2345299999988</v>
      </c>
      <c r="H144" s="883">
        <f t="shared" si="148"/>
        <v>5653.4894931600002</v>
      </c>
      <c r="I144" s="883">
        <f t="shared" si="148"/>
        <v>6481.6239884400002</v>
      </c>
      <c r="J144" s="180">
        <f>AVERAGE(D144:I144)</f>
        <v>5007.5834371999999</v>
      </c>
      <c r="K144" s="883">
        <f t="shared" si="147"/>
        <v>3928.4874456000002</v>
      </c>
      <c r="L144" s="883">
        <f t="shared" si="147"/>
        <v>3968.3488252800003</v>
      </c>
      <c r="M144" s="883">
        <f t="shared" si="147"/>
        <v>4858.31634072</v>
      </c>
      <c r="N144" s="883">
        <f t="shared" si="147"/>
        <v>5155.2345299999988</v>
      </c>
      <c r="O144" s="883">
        <f t="shared" si="147"/>
        <v>5653.4894931600002</v>
      </c>
      <c r="P144" s="883">
        <f t="shared" si="147"/>
        <v>6481.6239884400002</v>
      </c>
      <c r="Q144" s="180">
        <f t="shared" ref="Q144" si="149">AVERAGE(K144:P144)</f>
        <v>5007.5834371999999</v>
      </c>
      <c r="R144" s="883"/>
      <c r="S144" s="883"/>
      <c r="T144" s="883"/>
      <c r="U144" s="883"/>
      <c r="V144" s="883"/>
      <c r="W144" s="883"/>
      <c r="X144" s="180"/>
      <c r="Y144" s="883"/>
      <c r="Z144" s="883"/>
      <c r="AA144" s="883"/>
      <c r="AB144" s="883"/>
      <c r="AC144" s="883"/>
      <c r="AD144" s="883"/>
      <c r="AE144" s="180"/>
      <c r="AF144" s="1389"/>
    </row>
    <row r="145" spans="1:32">
      <c r="A145" s="57"/>
      <c r="B145" s="58"/>
      <c r="C145" s="887"/>
      <c r="D145" s="883"/>
      <c r="E145" s="883"/>
      <c r="F145" s="883"/>
      <c r="G145" s="883"/>
      <c r="H145" s="883"/>
      <c r="I145" s="883"/>
      <c r="J145" s="180"/>
      <c r="K145" s="883"/>
      <c r="L145" s="883"/>
      <c r="M145" s="883"/>
      <c r="N145" s="883"/>
      <c r="O145" s="883"/>
      <c r="P145" s="883"/>
      <c r="Q145" s="180"/>
      <c r="R145" s="883"/>
      <c r="S145" s="883"/>
      <c r="T145" s="883"/>
      <c r="U145" s="883"/>
      <c r="V145" s="883"/>
      <c r="W145" s="883"/>
      <c r="X145" s="180"/>
      <c r="Y145" s="883"/>
      <c r="Z145" s="883"/>
      <c r="AA145" s="883"/>
      <c r="AB145" s="883"/>
      <c r="AC145" s="883"/>
      <c r="AD145" s="883"/>
      <c r="AE145" s="180"/>
      <c r="AF145" s="1389"/>
    </row>
    <row r="146" spans="1:32">
      <c r="A146" s="57"/>
      <c r="B146" s="58"/>
      <c r="C146" s="880" t="s">
        <v>112</v>
      </c>
      <c r="D146" s="881">
        <f t="shared" ref="D146:I146" si="150">SUBTOTAL(9,D114:D145)</f>
        <v>169583.8380620013</v>
      </c>
      <c r="E146" s="881">
        <f t="shared" si="150"/>
        <v>165104.04001393917</v>
      </c>
      <c r="F146" s="881">
        <f t="shared" si="150"/>
        <v>171195.75205763991</v>
      </c>
      <c r="G146" s="881">
        <f t="shared" si="150"/>
        <v>171934.10958290624</v>
      </c>
      <c r="H146" s="881">
        <f t="shared" si="150"/>
        <v>172347.4051029337</v>
      </c>
      <c r="I146" s="881">
        <f t="shared" si="150"/>
        <v>172988.46881783401</v>
      </c>
      <c r="J146" s="180">
        <f t="shared" si="72"/>
        <v>170525.60227287572</v>
      </c>
      <c r="K146" s="881">
        <f t="shared" ref="K146:P146" si="151">SUBTOTAL(9,K114:K145)</f>
        <v>169583.8380620013</v>
      </c>
      <c r="L146" s="881">
        <f t="shared" si="151"/>
        <v>165104.04001393917</v>
      </c>
      <c r="M146" s="881">
        <f t="shared" si="151"/>
        <v>171195.75205763991</v>
      </c>
      <c r="N146" s="881">
        <f t="shared" si="151"/>
        <v>171934.10958290624</v>
      </c>
      <c r="O146" s="881">
        <f t="shared" si="151"/>
        <v>172347.4051029337</v>
      </c>
      <c r="P146" s="881">
        <f t="shared" si="151"/>
        <v>172988.46881783401</v>
      </c>
      <c r="Q146" s="180">
        <f t="shared" si="74"/>
        <v>170525.60227287572</v>
      </c>
      <c r="R146" s="881">
        <f t="shared" ref="R146:W146" si="152">SUBTOTAL(9,R114:R145)</f>
        <v>40038.493615259998</v>
      </c>
      <c r="S146" s="881">
        <f t="shared" si="152"/>
        <v>39253.035513816001</v>
      </c>
      <c r="T146" s="881">
        <f t="shared" si="152"/>
        <v>41387.185351259992</v>
      </c>
      <c r="U146" s="881">
        <f t="shared" si="152"/>
        <v>40295.051121600001</v>
      </c>
      <c r="V146" s="881">
        <f t="shared" si="152"/>
        <v>41682.429448506002</v>
      </c>
      <c r="W146" s="881">
        <f t="shared" si="152"/>
        <v>39804.026107650003</v>
      </c>
      <c r="X146" s="180">
        <f>AVERAGE(R146:W146)</f>
        <v>40410.036859681997</v>
      </c>
      <c r="Y146" s="881"/>
      <c r="Z146" s="881"/>
      <c r="AA146" s="881"/>
      <c r="AB146" s="881"/>
      <c r="AC146" s="881"/>
      <c r="AD146" s="881"/>
      <c r="AE146" s="180"/>
      <c r="AF146" s="1389"/>
    </row>
    <row r="148" spans="1:32" ht="18.75">
      <c r="C148" s="59" t="str">
        <f>'PORTADA PORTADA PORTADA'!$B$23</f>
        <v>1 DE JULIO DE 2026</v>
      </c>
    </row>
    <row r="149" spans="1:32">
      <c r="Y149" s="37"/>
      <c r="Z149" s="37"/>
      <c r="AA149" s="37"/>
      <c r="AB149" s="37"/>
      <c r="AC149" s="37"/>
      <c r="AD149" s="37"/>
      <c r="AE149" s="37"/>
      <c r="AF149" s="37"/>
    </row>
    <row r="150" spans="1:32" s="52" customFormat="1">
      <c r="D150" s="802"/>
      <c r="E150" s="802"/>
      <c r="F150" s="802"/>
      <c r="G150" s="802"/>
      <c r="H150" s="802"/>
      <c r="I150" s="802"/>
      <c r="J150" s="802"/>
    </row>
    <row r="151" spans="1:32" s="52" customFormat="1">
      <c r="D151" s="802"/>
      <c r="E151" s="802"/>
      <c r="F151" s="802"/>
      <c r="G151" s="802"/>
      <c r="H151" s="802"/>
      <c r="I151" s="802"/>
      <c r="J151" s="802"/>
    </row>
    <row r="152" spans="1:32" s="52" customFormat="1" ht="14.25" thickBot="1">
      <c r="D152" s="802"/>
      <c r="E152" s="802"/>
      <c r="F152" s="802"/>
      <c r="G152" s="802"/>
      <c r="H152" s="802"/>
      <c r="I152" s="802"/>
      <c r="J152" s="802"/>
    </row>
    <row r="153" spans="1:32" ht="14.25" thickBot="1">
      <c r="D153" s="546">
        <v>1.02</v>
      </c>
      <c r="E153" s="60"/>
      <c r="F153" s="60"/>
      <c r="G153" s="60"/>
      <c r="H153" s="60"/>
      <c r="I153" s="60"/>
      <c r="J153" s="60"/>
      <c r="Y153" s="37"/>
      <c r="Z153" s="37"/>
      <c r="AA153" s="37"/>
      <c r="AB153" s="37"/>
      <c r="AC153" s="37"/>
      <c r="AD153" s="37"/>
      <c r="AE153" s="37"/>
      <c r="AF153" s="37"/>
    </row>
    <row r="154" spans="1:32">
      <c r="C154" s="803" t="s">
        <v>711</v>
      </c>
      <c r="D154" s="568"/>
      <c r="E154" s="568"/>
      <c r="F154" s="568"/>
      <c r="G154" s="568"/>
      <c r="H154" s="568"/>
      <c r="I154" s="568"/>
      <c r="L154" s="803"/>
      <c r="Y154" s="37"/>
      <c r="Z154" s="37"/>
      <c r="AA154" s="37"/>
      <c r="AB154" s="37"/>
      <c r="AC154" s="37"/>
      <c r="AD154" s="37"/>
      <c r="AE154" s="37"/>
      <c r="AF154" s="37"/>
    </row>
    <row r="155" spans="1:32">
      <c r="A155" s="38"/>
      <c r="B155" s="38"/>
      <c r="C155" s="38" t="s">
        <v>963</v>
      </c>
      <c r="D155" s="87">
        <f>F821D!D163*$D$153</f>
        <v>16839.431015676</v>
      </c>
      <c r="E155" s="87">
        <f>F821D!E163*$D$153</f>
        <v>16228.546640676001</v>
      </c>
      <c r="F155" s="87">
        <f>F821D!F163*$D$153</f>
        <v>17985.84328125</v>
      </c>
      <c r="G155" s="87">
        <f>F821D!G163*$D$153</f>
        <v>16892.484960911999</v>
      </c>
      <c r="H155" s="87">
        <f>F821D!H163*$D$153</f>
        <v>17962.219921926</v>
      </c>
      <c r="I155" s="87">
        <f>F821D!I163*$D$153</f>
        <v>16224.309257838</v>
      </c>
      <c r="J155" s="65">
        <f t="shared" ref="J155:J177" si="153">AVERAGE(D155:I155)</f>
        <v>17022.139179713002</v>
      </c>
      <c r="L155" s="38"/>
      <c r="Y155" s="37"/>
      <c r="Z155" s="37"/>
      <c r="AA155" s="37"/>
      <c r="AB155" s="37"/>
      <c r="AC155" s="37"/>
      <c r="AD155" s="37"/>
      <c r="AE155" s="37"/>
      <c r="AF155" s="37"/>
    </row>
    <row r="156" spans="1:32">
      <c r="A156" s="804"/>
      <c r="B156" s="804"/>
      <c r="C156" s="805" t="s">
        <v>964</v>
      </c>
      <c r="D156" s="806">
        <f>F821D!D164*$D$153</f>
        <v>16691.526035118</v>
      </c>
      <c r="E156" s="806">
        <f>F821D!E164*$D$153</f>
        <v>16282.009980456</v>
      </c>
      <c r="F156" s="806">
        <f>F821D!F164*$D$153</f>
        <v>18000.115312500002</v>
      </c>
      <c r="G156" s="806">
        <f>F821D!G164*$D$153</f>
        <v>16937.886914088002</v>
      </c>
      <c r="H156" s="806">
        <f>F821D!H164*$D$153</f>
        <v>18398.955234426001</v>
      </c>
      <c r="I156" s="806">
        <f>F821D!I164*$D$153</f>
        <v>16220.255156250001</v>
      </c>
      <c r="J156" s="65">
        <f t="shared" si="153"/>
        <v>17088.458105473001</v>
      </c>
      <c r="L156" s="804"/>
      <c r="Y156" s="37"/>
      <c r="Z156" s="37"/>
      <c r="AA156" s="37"/>
      <c r="AB156" s="37"/>
      <c r="AC156" s="37"/>
      <c r="AD156" s="37"/>
      <c r="AE156" s="37"/>
      <c r="AF156" s="37"/>
    </row>
    <row r="157" spans="1:32">
      <c r="A157" s="38"/>
      <c r="B157" s="38"/>
      <c r="C157" s="38" t="s">
        <v>806</v>
      </c>
      <c r="D157" s="87">
        <f>F821D!D165*$D$153</f>
        <v>0</v>
      </c>
      <c r="E157" s="87">
        <f>F821D!E165*$D$153</f>
        <v>0</v>
      </c>
      <c r="F157" s="87">
        <f>F821D!F165*$D$153</f>
        <v>0</v>
      </c>
      <c r="G157" s="87">
        <f>F821D!G165*$D$153</f>
        <v>0</v>
      </c>
      <c r="H157" s="87">
        <f>F821D!H165*$D$153</f>
        <v>0</v>
      </c>
      <c r="I157" s="87">
        <f>F821D!I165*$D$153</f>
        <v>0</v>
      </c>
      <c r="J157" s="65">
        <f t="shared" si="153"/>
        <v>0</v>
      </c>
      <c r="L157" s="38"/>
      <c r="Y157" s="37"/>
      <c r="Z157" s="37"/>
      <c r="AA157" s="37"/>
      <c r="AB157" s="37"/>
      <c r="AC157" s="37"/>
      <c r="AD157" s="37"/>
      <c r="AE157" s="37"/>
      <c r="AF157" s="37"/>
    </row>
    <row r="158" spans="1:32">
      <c r="A158" s="38"/>
      <c r="B158" s="38"/>
      <c r="C158" s="807" t="s">
        <v>809</v>
      </c>
      <c r="D158" s="806">
        <f>F821D!D166*$D$153</f>
        <v>8867.7534734552592</v>
      </c>
      <c r="E158" s="806">
        <f>F821D!E166*$D$153</f>
        <v>8456.82</v>
      </c>
      <c r="F158" s="806">
        <f>F821D!F166*$D$153</f>
        <v>9391.8359893798861</v>
      </c>
      <c r="G158" s="806">
        <f>F821D!G166*$D$153</f>
        <v>11073.84959749422</v>
      </c>
      <c r="H158" s="806">
        <f>F821D!H166*$D$153</f>
        <v>10253.317325109649</v>
      </c>
      <c r="I158" s="806">
        <f>F821D!I166*$D$153</f>
        <v>11437.881598200001</v>
      </c>
      <c r="J158" s="65">
        <f t="shared" si="153"/>
        <v>9913.5763306065019</v>
      </c>
      <c r="L158" s="38"/>
      <c r="Y158" s="37"/>
      <c r="Z158" s="37"/>
      <c r="AA158" s="37"/>
      <c r="AB158" s="37"/>
      <c r="AC158" s="37"/>
      <c r="AD158" s="37"/>
      <c r="AE158" s="37"/>
      <c r="AF158" s="37"/>
    </row>
    <row r="159" spans="1:32">
      <c r="A159" s="38"/>
      <c r="B159" s="38"/>
      <c r="C159" s="38" t="s">
        <v>807</v>
      </c>
      <c r="D159" s="87">
        <f>F821D!D167*$D$153</f>
        <v>14793.380661275998</v>
      </c>
      <c r="E159" s="87">
        <f>F821D!E167*$D$153</f>
        <v>13937.01248562</v>
      </c>
      <c r="F159" s="87">
        <f>F821D!F167*$D$153</f>
        <v>14033.417572440001</v>
      </c>
      <c r="G159" s="87">
        <f>F821D!G167*$D$153</f>
        <v>13862.886511038003</v>
      </c>
      <c r="H159" s="87">
        <f>F821D!H167*$D$153</f>
        <v>13706.506960439996</v>
      </c>
      <c r="I159" s="87">
        <f>F821D!I167*$D$153</f>
        <v>13456.97207862</v>
      </c>
      <c r="J159" s="65">
        <f t="shared" si="153"/>
        <v>13965.029378239</v>
      </c>
      <c r="L159" s="38"/>
      <c r="Y159" s="37"/>
      <c r="Z159" s="37"/>
      <c r="AA159" s="37"/>
      <c r="AB159" s="37"/>
      <c r="AC159" s="37"/>
      <c r="AD159" s="37"/>
      <c r="AE159" s="37"/>
      <c r="AF159" s="37"/>
    </row>
    <row r="160" spans="1:32">
      <c r="A160" s="38"/>
      <c r="B160" s="38"/>
      <c r="C160" s="38" t="s">
        <v>974</v>
      </c>
      <c r="D160" s="87">
        <f>F821D!D168*$D$153</f>
        <v>1172.2871832000001</v>
      </c>
      <c r="E160" s="87">
        <f>F821D!E168*$D$153</f>
        <v>1239.3469200000002</v>
      </c>
      <c r="F160" s="87">
        <f>F821D!F168*$D$153</f>
        <v>1219.5528408</v>
      </c>
      <c r="G160" s="87">
        <f>F821D!G168*$D$153</f>
        <v>1331.0316600000001</v>
      </c>
      <c r="H160" s="87">
        <f>F821D!H168*$D$153</f>
        <v>1281.9567264</v>
      </c>
      <c r="I160" s="87">
        <f>F821D!I168*$D$153</f>
        <v>1197.5376504000001</v>
      </c>
      <c r="J160" s="65">
        <f t="shared" si="153"/>
        <v>1240.2854967999999</v>
      </c>
      <c r="L160" s="38"/>
      <c r="Y160" s="37"/>
      <c r="Z160" s="37"/>
      <c r="AA160" s="37"/>
      <c r="AB160" s="37"/>
      <c r="AC160" s="37"/>
      <c r="AD160" s="37"/>
      <c r="AE160" s="37"/>
      <c r="AF160" s="37"/>
    </row>
    <row r="161" spans="2:32">
      <c r="B161" s="808"/>
      <c r="C161" s="808" t="s">
        <v>1005</v>
      </c>
      <c r="D161" s="87">
        <f>F821D!D169*$D$153</f>
        <v>240.72864143999999</v>
      </c>
      <c r="E161" s="87">
        <f>F821D!E169*$D$153</f>
        <v>239.35724735999997</v>
      </c>
      <c r="F161" s="87">
        <f>F821D!F169*$D$153</f>
        <v>235.59029759999999</v>
      </c>
      <c r="G161" s="87">
        <f>F821D!G169*$D$153</f>
        <v>237.18154655999999</v>
      </c>
      <c r="H161" s="87">
        <f>F821D!H169*$D$153</f>
        <v>232.96786128000002</v>
      </c>
      <c r="I161" s="87">
        <f>F821D!I169*$D$153</f>
        <v>231.11003328000001</v>
      </c>
      <c r="J161" s="65">
        <f t="shared" si="153"/>
        <v>236.15593792000001</v>
      </c>
      <c r="Y161" s="37"/>
      <c r="Z161" s="37"/>
      <c r="AA161" s="37"/>
      <c r="AB161" s="37"/>
      <c r="AC161" s="37"/>
      <c r="AD161" s="37"/>
      <c r="AE161" s="37"/>
      <c r="AF161" s="37"/>
    </row>
    <row r="162" spans="2:32">
      <c r="B162" s="808"/>
      <c r="C162" s="808" t="s">
        <v>1260</v>
      </c>
      <c r="D162" s="87">
        <f>F821D!D170*$D$153</f>
        <v>6995.8824986400004</v>
      </c>
      <c r="E162" s="87">
        <f>F821D!E170*$D$153</f>
        <v>7020.8258316000001</v>
      </c>
      <c r="F162" s="87">
        <f>F821D!F170*$D$153</f>
        <v>7743.1497007200005</v>
      </c>
      <c r="G162" s="87">
        <f>F821D!G170*$D$153</f>
        <v>7923.2799841619999</v>
      </c>
      <c r="H162" s="87">
        <f>F821D!H170*$D$153</f>
        <v>7444.82030166</v>
      </c>
      <c r="I162" s="87">
        <f>F821D!I170*$D$153</f>
        <v>8318.6222695800006</v>
      </c>
      <c r="J162" s="65">
        <f t="shared" si="153"/>
        <v>7574.4300977270004</v>
      </c>
      <c r="Y162" s="37"/>
      <c r="Z162" s="37"/>
      <c r="AA162" s="37"/>
      <c r="AB162" s="37"/>
      <c r="AC162" s="37"/>
      <c r="AD162" s="37"/>
      <c r="AE162" s="37"/>
      <c r="AF162" s="37"/>
    </row>
    <row r="163" spans="2:32">
      <c r="B163" s="804"/>
      <c r="C163" s="805" t="s">
        <v>808</v>
      </c>
      <c r="D163" s="806">
        <f>F821D!D171*$D$153</f>
        <v>22708.677235182</v>
      </c>
      <c r="E163" s="806">
        <f>F821D!E171*$D$153</f>
        <v>22357.725302640003</v>
      </c>
      <c r="F163" s="806">
        <f>F821D!F171*$D$153</f>
        <v>22775.161018679995</v>
      </c>
      <c r="G163" s="806">
        <f>F821D!G171*$D$153</f>
        <v>22711.509997032001</v>
      </c>
      <c r="H163" s="806">
        <f>F821D!H171*$D$153</f>
        <v>22639.362059999999</v>
      </c>
      <c r="I163" s="806">
        <f>F821D!I171*$D$153</f>
        <v>22948.125805080002</v>
      </c>
      <c r="J163" s="65">
        <f t="shared" si="153"/>
        <v>22690.093569769</v>
      </c>
      <c r="Y163" s="37"/>
      <c r="Z163" s="37"/>
      <c r="AA163" s="37"/>
      <c r="AB163" s="37"/>
      <c r="AC163" s="37"/>
      <c r="AD163" s="37"/>
      <c r="AE163" s="37"/>
      <c r="AF163" s="37"/>
    </row>
    <row r="164" spans="2:32">
      <c r="B164" s="809"/>
      <c r="C164" s="809" t="s">
        <v>1057</v>
      </c>
      <c r="D164" s="87">
        <f>F821D!D172*$D$153</f>
        <v>0</v>
      </c>
      <c r="E164" s="87">
        <f>F821D!E172*$D$153</f>
        <v>0</v>
      </c>
      <c r="F164" s="87">
        <f>F821D!F172*$D$153</f>
        <v>0</v>
      </c>
      <c r="G164" s="87">
        <f>F821D!G172*$D$153</f>
        <v>0</v>
      </c>
      <c r="H164" s="87">
        <f>F821D!H172*$D$153</f>
        <v>0</v>
      </c>
      <c r="I164" s="87">
        <f>F821D!I172*$D$153</f>
        <v>0</v>
      </c>
      <c r="J164" s="65">
        <f t="shared" si="153"/>
        <v>0</v>
      </c>
      <c r="Y164" s="37"/>
      <c r="Z164" s="37"/>
      <c r="AA164" s="37"/>
      <c r="AB164" s="37"/>
      <c r="AC164" s="37"/>
      <c r="AD164" s="37"/>
      <c r="AE164" s="37"/>
      <c r="AF164" s="37"/>
    </row>
    <row r="165" spans="2:32">
      <c r="B165" s="809"/>
      <c r="C165" s="809" t="s">
        <v>1058</v>
      </c>
      <c r="D165" s="87">
        <f>F821D!D173*$D$153</f>
        <v>66727.23905436002</v>
      </c>
      <c r="E165" s="87">
        <f>F821D!E173*$D$153</f>
        <v>64332.154491959998</v>
      </c>
      <c r="F165" s="87">
        <f>F821D!F173*$D$153</f>
        <v>60055.760450909998</v>
      </c>
      <c r="G165" s="87">
        <f>F821D!G173*$D$153</f>
        <v>60950.919308880024</v>
      </c>
      <c r="H165" s="87">
        <f>F821D!H173*$D$153</f>
        <v>60668.091896850041</v>
      </c>
      <c r="I165" s="87">
        <f>F821D!I173*$D$153</f>
        <v>58967.967384600022</v>
      </c>
      <c r="J165" s="65">
        <f t="shared" si="153"/>
        <v>61950.355431260017</v>
      </c>
      <c r="Y165" s="37"/>
      <c r="Z165" s="37"/>
      <c r="AA165" s="37"/>
      <c r="AB165" s="37"/>
      <c r="AC165" s="37"/>
      <c r="AD165" s="37"/>
      <c r="AE165" s="37"/>
      <c r="AF165" s="37"/>
    </row>
    <row r="166" spans="2:32">
      <c r="B166" s="809"/>
      <c r="C166" s="809" t="s">
        <v>1059</v>
      </c>
      <c r="D166" s="87">
        <f>F821D!D174*$D$153</f>
        <v>5188.6702360799991</v>
      </c>
      <c r="E166" s="87">
        <f>F821D!E174*$D$153</f>
        <v>4884.04500534</v>
      </c>
      <c r="F166" s="87">
        <f>F821D!F174*$D$153</f>
        <v>5875.0113581400001</v>
      </c>
      <c r="G166" s="87">
        <f>F821D!G174*$D$153</f>
        <v>4938.7207018199997</v>
      </c>
      <c r="H166" s="87">
        <f>F821D!H174*$D$153</f>
        <v>4752.479133156</v>
      </c>
      <c r="I166" s="87">
        <f>F821D!I174*$D$153</f>
        <v>5378.8689547200001</v>
      </c>
      <c r="J166" s="65">
        <f t="shared" si="153"/>
        <v>5169.6325648760003</v>
      </c>
      <c r="Y166" s="37"/>
      <c r="Z166" s="37"/>
      <c r="AA166" s="37"/>
      <c r="AB166" s="37"/>
      <c r="AC166" s="37"/>
      <c r="AD166" s="37"/>
      <c r="AE166" s="37"/>
      <c r="AF166" s="37"/>
    </row>
    <row r="167" spans="2:32">
      <c r="B167" s="809"/>
      <c r="C167" s="809" t="str">
        <f>F821D!C174</f>
        <v>MTD3</v>
      </c>
      <c r="D167" s="87">
        <f>F821D!D175*$D$153</f>
        <v>3663.0752652000001</v>
      </c>
      <c r="E167" s="87">
        <f>F821D!E175*$D$153</f>
        <v>3699.2794818000002</v>
      </c>
      <c r="F167" s="87">
        <f>F821D!F175*$D$153</f>
        <v>3722.0787156000006</v>
      </c>
      <c r="G167" s="87">
        <f>F821D!G175*$D$153</f>
        <v>3627.0720906000001</v>
      </c>
      <c r="H167" s="87">
        <f>F821D!H175*$D$153</f>
        <v>3625.9618919999998</v>
      </c>
      <c r="I167" s="87">
        <f>F821D!I175*$D$153</f>
        <v>3574.7341056</v>
      </c>
      <c r="J167" s="65">
        <f t="shared" si="153"/>
        <v>3652.0335918000005</v>
      </c>
      <c r="Y167" s="37"/>
      <c r="Z167" s="37"/>
      <c r="AA167" s="37"/>
      <c r="AB167" s="37"/>
      <c r="AC167" s="37"/>
      <c r="AD167" s="37"/>
      <c r="AE167" s="37"/>
      <c r="AF167" s="37"/>
    </row>
    <row r="168" spans="2:32">
      <c r="B168" s="809"/>
      <c r="C168" s="811" t="str">
        <f>F821D!C175</f>
        <v>MTD4</v>
      </c>
      <c r="D168" s="806">
        <f>F821D!D176*$D$153</f>
        <v>23840.775506298003</v>
      </c>
      <c r="E168" s="806">
        <f>F821D!E176*$D$153</f>
        <v>23926.150656163176</v>
      </c>
      <c r="F168" s="806">
        <f>F821D!F176*$D$153</f>
        <v>29133.348462719998</v>
      </c>
      <c r="G168" s="806">
        <f>F821D!G176*$D$153</f>
        <v>29148.939981269999</v>
      </c>
      <c r="H168" s="806">
        <f>F821D!H176*$D$153</f>
        <v>29920.656841920001</v>
      </c>
      <c r="I168" s="806">
        <f>F821D!I176*$D$153</f>
        <v>30699.140990489992</v>
      </c>
      <c r="J168" s="65">
        <f t="shared" si="153"/>
        <v>27778.168739810197</v>
      </c>
      <c r="Y168" s="37"/>
      <c r="Z168" s="37"/>
      <c r="AA168" s="37"/>
      <c r="AB168" s="37"/>
      <c r="AC168" s="37"/>
      <c r="AD168" s="37"/>
      <c r="AE168" s="37"/>
      <c r="AF168" s="37"/>
    </row>
    <row r="169" spans="2:32">
      <c r="B169" s="38"/>
      <c r="C169" s="38" t="s">
        <v>928</v>
      </c>
      <c r="D169" s="87">
        <f>F821D!D177*$D$153</f>
        <v>660.72816216000001</v>
      </c>
      <c r="E169" s="87">
        <f>F821D!E177*$D$153</f>
        <v>614.97744120000004</v>
      </c>
      <c r="F169" s="87">
        <f>F821D!F177*$D$153</f>
        <v>634.69513871999993</v>
      </c>
      <c r="G169" s="87">
        <f>F821D!G177*$D$153</f>
        <v>634.14559943999996</v>
      </c>
      <c r="H169" s="87">
        <f>F821D!H177*$D$153</f>
        <v>654.24254111999994</v>
      </c>
      <c r="I169" s="87">
        <f>F821D!I177*$D$153</f>
        <v>648.83574143999999</v>
      </c>
      <c r="J169" s="65">
        <f t="shared" si="153"/>
        <v>641.27077068000006</v>
      </c>
      <c r="Y169" s="37"/>
      <c r="Z169" s="37"/>
      <c r="AA169" s="37"/>
      <c r="AB169" s="37"/>
      <c r="AC169" s="37"/>
      <c r="AD169" s="37"/>
      <c r="AE169" s="37"/>
      <c r="AF169" s="37"/>
    </row>
    <row r="170" spans="2:32">
      <c r="B170" s="804"/>
      <c r="C170" s="805" t="s">
        <v>929</v>
      </c>
      <c r="D170" s="806">
        <f>F821D!D178*$D$153</f>
        <v>638.29034496000008</v>
      </c>
      <c r="E170" s="806">
        <f>F821D!E178*$D$153</f>
        <v>613.30023072000006</v>
      </c>
      <c r="F170" s="806">
        <f>F821D!F178*$D$153</f>
        <v>611.90902008000012</v>
      </c>
      <c r="G170" s="806">
        <f>F821D!G178*$D$153</f>
        <v>645.65421047999996</v>
      </c>
      <c r="H170" s="806">
        <f>F821D!H178*$D$153</f>
        <v>644.11215407999998</v>
      </c>
      <c r="I170" s="806">
        <f>F821D!I178*$D$153</f>
        <v>635.64514631999998</v>
      </c>
      <c r="J170" s="65">
        <f t="shared" si="153"/>
        <v>631.48518444000013</v>
      </c>
      <c r="Y170" s="37"/>
      <c r="Z170" s="37"/>
      <c r="AA170" s="37"/>
      <c r="AB170" s="37"/>
      <c r="AC170" s="37"/>
      <c r="AD170" s="37"/>
      <c r="AE170" s="37"/>
      <c r="AF170" s="37"/>
    </row>
    <row r="171" spans="2:32">
      <c r="B171" s="38"/>
      <c r="C171" s="38" t="s">
        <v>1006</v>
      </c>
      <c r="D171" s="87">
        <f>F821D!D179*$D$153</f>
        <v>163.26930634800001</v>
      </c>
      <c r="E171" s="87">
        <f>F821D!E179*$D$153</f>
        <v>166.28471561999999</v>
      </c>
      <c r="F171" s="87">
        <f>F821D!F179*$D$153</f>
        <v>160.14000000000001</v>
      </c>
      <c r="G171" s="87">
        <f>F821D!G179*$D$153</f>
        <v>166.84027126800001</v>
      </c>
      <c r="H171" s="87">
        <f>F821D!H179*$D$153</f>
        <v>159.17909635200002</v>
      </c>
      <c r="I171" s="87">
        <f>F821D!I179*$D$153</f>
        <v>163.57506042600002</v>
      </c>
      <c r="J171" s="65">
        <f t="shared" si="153"/>
        <v>163.21474166900001</v>
      </c>
      <c r="Y171" s="37"/>
      <c r="Z171" s="37"/>
      <c r="AA171" s="37"/>
      <c r="AB171" s="37"/>
      <c r="AC171" s="37"/>
      <c r="AD171" s="37"/>
      <c r="AE171" s="37"/>
      <c r="AF171" s="37"/>
    </row>
    <row r="172" spans="2:32">
      <c r="B172" s="38"/>
      <c r="C172" s="38" t="s">
        <v>1007</v>
      </c>
      <c r="D172" s="87">
        <f>F821D!D180*$D$153</f>
        <v>13589.509136154003</v>
      </c>
      <c r="E172" s="87">
        <f>F821D!E180*$D$153</f>
        <v>13440.758382</v>
      </c>
      <c r="F172" s="87">
        <f>F821D!F180*$D$153</f>
        <v>13294.093055279998</v>
      </c>
      <c r="G172" s="87">
        <f>F821D!G180*$D$153</f>
        <v>13167.278505582002</v>
      </c>
      <c r="H172" s="87">
        <f>F821D!H180*$D$153</f>
        <v>13164.16683228</v>
      </c>
      <c r="I172" s="87">
        <f>F821D!I180*$D$153</f>
        <v>13457.277896039999</v>
      </c>
      <c r="J172" s="65">
        <f t="shared" si="153"/>
        <v>13352.180634556002</v>
      </c>
      <c r="Y172" s="37"/>
      <c r="Z172" s="37"/>
      <c r="AA172" s="37"/>
      <c r="AB172" s="37"/>
      <c r="AC172" s="37"/>
      <c r="AD172" s="37"/>
      <c r="AE172" s="37"/>
      <c r="AF172" s="37"/>
    </row>
    <row r="173" spans="2:32">
      <c r="B173" s="38"/>
      <c r="C173" s="38" t="s">
        <v>1008</v>
      </c>
      <c r="D173" s="87">
        <f>F821D!D181*$D$153</f>
        <v>354.63488724000001</v>
      </c>
      <c r="E173" s="87">
        <f>F821D!E181*$D$153</f>
        <v>370.17523187999996</v>
      </c>
      <c r="F173" s="87">
        <f>F821D!F181*$D$153</f>
        <v>345.93115176000003</v>
      </c>
      <c r="G173" s="87">
        <f>F821D!G181*$D$153</f>
        <v>341.02169388000004</v>
      </c>
      <c r="H173" s="87">
        <f>F821D!H181*$D$153</f>
        <v>349.57650527999999</v>
      </c>
      <c r="I173" s="87">
        <f>F821D!I181*$D$153</f>
        <v>328.07544588000002</v>
      </c>
      <c r="J173" s="65">
        <f t="shared" si="153"/>
        <v>348.23581932000002</v>
      </c>
      <c r="Y173" s="37"/>
      <c r="Z173" s="37"/>
      <c r="AA173" s="37"/>
      <c r="AB173" s="37"/>
      <c r="AC173" s="37"/>
      <c r="AD173" s="37"/>
      <c r="AE173" s="37"/>
      <c r="AF173" s="37"/>
    </row>
    <row r="174" spans="2:32">
      <c r="B174" s="38"/>
      <c r="C174" s="38" t="s">
        <v>1009</v>
      </c>
      <c r="D174" s="87">
        <f>F821D!D182*$D$153</f>
        <v>2557.9855888739999</v>
      </c>
      <c r="E174" s="87">
        <f>F821D!E182*$D$153</f>
        <v>2579.956657440001</v>
      </c>
      <c r="F174" s="87">
        <f>F821D!F182*$D$153</f>
        <v>2506.9877016</v>
      </c>
      <c r="G174" s="87">
        <f>F821D!G182*$D$153</f>
        <v>2483.2226400000004</v>
      </c>
      <c r="H174" s="87">
        <f>F821D!H182*$D$153</f>
        <v>2517.7717739999994</v>
      </c>
      <c r="I174" s="87">
        <f>F821D!I182*$D$153</f>
        <v>2421.9363622799997</v>
      </c>
      <c r="J174" s="65">
        <f>AVERAGE(D174:I174)</f>
        <v>2511.310120699</v>
      </c>
      <c r="Y174" s="37"/>
      <c r="Z174" s="37"/>
      <c r="AA174" s="37"/>
      <c r="AB174" s="37"/>
      <c r="AC174" s="37"/>
      <c r="AD174" s="37"/>
      <c r="AE174" s="37"/>
      <c r="AF174" s="37"/>
    </row>
    <row r="175" spans="2:32">
      <c r="B175" s="38"/>
      <c r="C175" s="38" t="s">
        <v>2153</v>
      </c>
      <c r="D175" s="87">
        <f>F821D!D183*$D$153</f>
        <v>3928.4874456000002</v>
      </c>
      <c r="E175" s="87">
        <f>F821D!E183*$D$153</f>
        <v>3968.3488252800003</v>
      </c>
      <c r="F175" s="87">
        <f>F821D!F183*$D$153</f>
        <v>4858.31634072</v>
      </c>
      <c r="G175" s="87">
        <f>F821D!G183*$D$153</f>
        <v>5155.2345299999988</v>
      </c>
      <c r="H175" s="87">
        <f>F821D!H183*$D$153</f>
        <v>5653.4894931600002</v>
      </c>
      <c r="I175" s="87">
        <f>F821D!I183*$D$153</f>
        <v>6481.6239884400002</v>
      </c>
      <c r="J175" s="65">
        <f>AVERAGE(D175:I175)</f>
        <v>5007.5834371999999</v>
      </c>
      <c r="Y175" s="37"/>
      <c r="Z175" s="37"/>
      <c r="AA175" s="37"/>
      <c r="AB175" s="37"/>
      <c r="AC175" s="37"/>
      <c r="AD175" s="37"/>
      <c r="AE175" s="37"/>
      <c r="AF175" s="37"/>
    </row>
    <row r="176" spans="2:32">
      <c r="B176" s="38"/>
      <c r="C176" s="246" t="s">
        <v>975</v>
      </c>
      <c r="D176" s="520">
        <f t="shared" ref="D176:I176" si="154">SUM(D155:D175)-D177</f>
        <v>169583.8380620013</v>
      </c>
      <c r="E176" s="520">
        <f t="shared" si="154"/>
        <v>165104.04001393917</v>
      </c>
      <c r="F176" s="520">
        <f t="shared" si="154"/>
        <v>171195.75205763994</v>
      </c>
      <c r="G176" s="520">
        <f t="shared" si="154"/>
        <v>171934.10958290627</v>
      </c>
      <c r="H176" s="520">
        <f t="shared" si="154"/>
        <v>172347.4051029337</v>
      </c>
      <c r="I176" s="520">
        <f t="shared" si="154"/>
        <v>172988.46881783399</v>
      </c>
      <c r="J176" s="65">
        <f t="shared" si="153"/>
        <v>170525.60227287572</v>
      </c>
      <c r="Y176" s="37"/>
      <c r="Z176" s="37"/>
      <c r="AA176" s="37"/>
      <c r="AB176" s="37"/>
      <c r="AC176" s="37"/>
      <c r="AD176" s="37"/>
      <c r="AE176" s="37"/>
      <c r="AF176" s="37"/>
    </row>
    <row r="177" spans="2:32">
      <c r="B177" s="246"/>
      <c r="C177" s="810" t="s">
        <v>976</v>
      </c>
      <c r="D177" s="555">
        <f t="shared" ref="D177:I177" si="155">SUM(D156,D163,D170)</f>
        <v>40038.493615259998</v>
      </c>
      <c r="E177" s="555">
        <f t="shared" si="155"/>
        <v>39253.035513816001</v>
      </c>
      <c r="F177" s="555">
        <f t="shared" si="155"/>
        <v>41387.185351259992</v>
      </c>
      <c r="G177" s="555">
        <f t="shared" si="155"/>
        <v>40295.051121600001</v>
      </c>
      <c r="H177" s="555">
        <f t="shared" si="155"/>
        <v>41682.429448506002</v>
      </c>
      <c r="I177" s="555">
        <f t="shared" si="155"/>
        <v>39804.026107650003</v>
      </c>
      <c r="J177" s="65">
        <f t="shared" si="153"/>
        <v>40410.036859681997</v>
      </c>
      <c r="Y177" s="37"/>
      <c r="Z177" s="37"/>
      <c r="AA177" s="37"/>
      <c r="AB177" s="37"/>
      <c r="AC177" s="37"/>
      <c r="AD177" s="37"/>
      <c r="AE177" s="37"/>
      <c r="AF177" s="37"/>
    </row>
    <row r="178" spans="2:32">
      <c r="B178" s="810"/>
      <c r="D178" s="556">
        <f t="shared" ref="D178:I178" si="156">D176-D146</f>
        <v>0</v>
      </c>
      <c r="E178" s="556">
        <f t="shared" si="156"/>
        <v>0</v>
      </c>
      <c r="F178" s="556">
        <f t="shared" si="156"/>
        <v>0</v>
      </c>
      <c r="G178" s="556">
        <f t="shared" si="156"/>
        <v>0</v>
      </c>
      <c r="H178" s="556">
        <f t="shared" si="156"/>
        <v>0</v>
      </c>
      <c r="I178" s="556">
        <f t="shared" si="156"/>
        <v>0</v>
      </c>
      <c r="Y178" s="37"/>
      <c r="Z178" s="37"/>
      <c r="AA178" s="37"/>
      <c r="AB178" s="37"/>
      <c r="AC178" s="37"/>
      <c r="AD178" s="37"/>
      <c r="AE178" s="37"/>
      <c r="AF178" s="37"/>
    </row>
    <row r="179" spans="2:32">
      <c r="D179" s="556">
        <f t="shared" ref="D179:I179" si="157">D177-R146</f>
        <v>0</v>
      </c>
      <c r="E179" s="556">
        <f t="shared" si="157"/>
        <v>0</v>
      </c>
      <c r="F179" s="556">
        <f t="shared" si="157"/>
        <v>0</v>
      </c>
      <c r="G179" s="556">
        <f t="shared" si="157"/>
        <v>0</v>
      </c>
      <c r="H179" s="556">
        <f t="shared" si="157"/>
        <v>0</v>
      </c>
      <c r="I179" s="556">
        <f t="shared" si="157"/>
        <v>0</v>
      </c>
      <c r="Y179" s="37"/>
      <c r="Z179" s="37"/>
      <c r="AA179" s="37"/>
      <c r="AB179" s="37"/>
      <c r="AC179" s="37"/>
      <c r="AD179" s="37"/>
      <c r="AE179" s="37"/>
      <c r="AF179" s="37"/>
    </row>
    <row r="180" spans="2:32">
      <c r="Y180" s="37"/>
      <c r="Z180" s="37"/>
      <c r="AA180" s="37"/>
      <c r="AB180" s="37"/>
      <c r="AC180" s="37"/>
      <c r="AD180" s="37"/>
      <c r="AE180" s="37"/>
      <c r="AF180" s="37"/>
    </row>
    <row r="205" spans="2:10" s="63" customFormat="1" ht="15">
      <c r="B205" s="48" t="s">
        <v>902</v>
      </c>
      <c r="D205" s="64">
        <f t="shared" ref="D205:J220" si="158">SUMIF($B$4:$B$146,$B205,D$4:D$146)</f>
        <v>0</v>
      </c>
      <c r="E205" s="64">
        <f t="shared" si="158"/>
        <v>0</v>
      </c>
      <c r="F205" s="64">
        <f t="shared" si="158"/>
        <v>0</v>
      </c>
      <c r="G205" s="64">
        <f t="shared" si="158"/>
        <v>0</v>
      </c>
      <c r="H205" s="64">
        <f t="shared" si="158"/>
        <v>0</v>
      </c>
      <c r="I205" s="64">
        <f t="shared" si="158"/>
        <v>0</v>
      </c>
      <c r="J205" s="64">
        <f t="shared" si="158"/>
        <v>0</v>
      </c>
    </row>
    <row r="206" spans="2:10" s="63" customFormat="1" ht="15">
      <c r="B206" s="48" t="s">
        <v>751</v>
      </c>
      <c r="D206" s="64">
        <f t="shared" si="158"/>
        <v>0</v>
      </c>
      <c r="E206" s="64">
        <f t="shared" si="158"/>
        <v>0</v>
      </c>
      <c r="F206" s="64">
        <f t="shared" si="158"/>
        <v>0</v>
      </c>
      <c r="G206" s="64">
        <f t="shared" si="158"/>
        <v>0</v>
      </c>
      <c r="H206" s="64">
        <f t="shared" si="158"/>
        <v>0</v>
      </c>
      <c r="I206" s="64">
        <f t="shared" si="158"/>
        <v>0</v>
      </c>
      <c r="J206" s="64">
        <f t="shared" si="158"/>
        <v>0</v>
      </c>
    </row>
    <row r="207" spans="2:10" s="63" customFormat="1" ht="15">
      <c r="B207" s="48" t="s">
        <v>750</v>
      </c>
      <c r="D207" s="64">
        <f t="shared" si="158"/>
        <v>0</v>
      </c>
      <c r="E207" s="64">
        <f t="shared" si="158"/>
        <v>0</v>
      </c>
      <c r="F207" s="64">
        <f t="shared" si="158"/>
        <v>0</v>
      </c>
      <c r="G207" s="64">
        <f t="shared" si="158"/>
        <v>0</v>
      </c>
      <c r="H207" s="64">
        <f t="shared" si="158"/>
        <v>0</v>
      </c>
      <c r="I207" s="64">
        <f t="shared" si="158"/>
        <v>0</v>
      </c>
      <c r="J207" s="64">
        <f t="shared" si="158"/>
        <v>0</v>
      </c>
    </row>
    <row r="208" spans="2:10" s="63" customFormat="1" ht="15">
      <c r="B208" s="48" t="s">
        <v>749</v>
      </c>
      <c r="D208" s="64">
        <f t="shared" si="158"/>
        <v>0</v>
      </c>
      <c r="E208" s="64">
        <f t="shared" si="158"/>
        <v>0</v>
      </c>
      <c r="F208" s="64">
        <f t="shared" si="158"/>
        <v>0</v>
      </c>
      <c r="G208" s="64">
        <f t="shared" si="158"/>
        <v>0</v>
      </c>
      <c r="H208" s="64">
        <f t="shared" si="158"/>
        <v>0</v>
      </c>
      <c r="I208" s="64">
        <f t="shared" si="158"/>
        <v>0</v>
      </c>
      <c r="J208" s="64">
        <f t="shared" si="158"/>
        <v>0</v>
      </c>
    </row>
    <row r="209" spans="2:10" s="63" customFormat="1" ht="15">
      <c r="B209" s="48" t="s">
        <v>1176</v>
      </c>
      <c r="D209" s="64">
        <f t="shared" si="158"/>
        <v>0</v>
      </c>
      <c r="E209" s="64">
        <f t="shared" si="158"/>
        <v>0</v>
      </c>
      <c r="F209" s="64">
        <f t="shared" si="158"/>
        <v>0</v>
      </c>
      <c r="G209" s="64">
        <f t="shared" si="158"/>
        <v>0</v>
      </c>
      <c r="H209" s="64">
        <f t="shared" si="158"/>
        <v>0</v>
      </c>
      <c r="I209" s="64">
        <f t="shared" si="158"/>
        <v>0</v>
      </c>
      <c r="J209" s="64">
        <f t="shared" si="158"/>
        <v>0</v>
      </c>
    </row>
    <row r="210" spans="2:10" s="63" customFormat="1" ht="15">
      <c r="B210" s="48" t="s">
        <v>274</v>
      </c>
      <c r="D210" s="64">
        <f t="shared" si="158"/>
        <v>227950.59225402193</v>
      </c>
      <c r="E210" s="64">
        <f t="shared" si="158"/>
        <v>228045.72582186593</v>
      </c>
      <c r="F210" s="64">
        <f t="shared" si="158"/>
        <v>231196.50847890798</v>
      </c>
      <c r="G210" s="64">
        <f t="shared" si="158"/>
        <v>227264.01781594066</v>
      </c>
      <c r="H210" s="64">
        <f t="shared" si="158"/>
        <v>224663.94415300325</v>
      </c>
      <c r="I210" s="64">
        <f t="shared" si="158"/>
        <v>218435.50663903347</v>
      </c>
      <c r="J210" s="64">
        <f t="shared" si="158"/>
        <v>226259.38252712885</v>
      </c>
    </row>
    <row r="211" spans="2:10" s="63" customFormat="1" ht="15">
      <c r="B211" s="48" t="s">
        <v>275</v>
      </c>
      <c r="D211" s="64">
        <f t="shared" si="158"/>
        <v>9505.2096202231096</v>
      </c>
      <c r="E211" s="64">
        <f t="shared" si="158"/>
        <v>9509.1765522469996</v>
      </c>
      <c r="F211" s="64">
        <f t="shared" si="158"/>
        <v>9640.5596266527627</v>
      </c>
      <c r="G211" s="64">
        <f t="shared" si="158"/>
        <v>9476.5804603278939</v>
      </c>
      <c r="H211" s="64">
        <f t="shared" si="158"/>
        <v>9368.1611535392531</v>
      </c>
      <c r="I211" s="64">
        <f t="shared" si="158"/>
        <v>9108.4443281020522</v>
      </c>
      <c r="J211" s="64">
        <f t="shared" si="158"/>
        <v>9434.6886235153452</v>
      </c>
    </row>
    <row r="212" spans="2:10" s="63" customFormat="1" ht="15">
      <c r="B212" s="48" t="s">
        <v>276</v>
      </c>
      <c r="D212" s="64">
        <f t="shared" si="158"/>
        <v>81434.582193210663</v>
      </c>
      <c r="E212" s="64">
        <f t="shared" si="158"/>
        <v>81468.568340267011</v>
      </c>
      <c r="F212" s="64">
        <f t="shared" si="158"/>
        <v>82594.174844381312</v>
      </c>
      <c r="G212" s="64">
        <f t="shared" si="158"/>
        <v>81189.305785034536</v>
      </c>
      <c r="H212" s="64">
        <f t="shared" si="158"/>
        <v>80260.438216325056</v>
      </c>
      <c r="I212" s="64">
        <f t="shared" si="158"/>
        <v>78035.349868664925</v>
      </c>
      <c r="J212" s="64">
        <f t="shared" si="158"/>
        <v>80830.403207980577</v>
      </c>
    </row>
    <row r="213" spans="2:10" s="63" customFormat="1" ht="15">
      <c r="B213" s="48" t="s">
        <v>277</v>
      </c>
      <c r="D213" s="64">
        <f t="shared" si="158"/>
        <v>12820.788758074148</v>
      </c>
      <c r="E213" s="64">
        <f t="shared" si="158"/>
        <v>12826.139423606837</v>
      </c>
      <c r="F213" s="64">
        <f t="shared" si="158"/>
        <v>13003.351153873036</v>
      </c>
      <c r="G213" s="64">
        <f t="shared" si="158"/>
        <v>12782.173259205321</v>
      </c>
      <c r="H213" s="64">
        <f t="shared" si="158"/>
        <v>12635.935450133058</v>
      </c>
      <c r="I213" s="64">
        <f t="shared" si="158"/>
        <v>12285.624968945607</v>
      </c>
      <c r="J213" s="64">
        <f t="shared" si="158"/>
        <v>12725.668835639668</v>
      </c>
    </row>
    <row r="214" spans="2:10" s="63" customFormat="1" ht="15">
      <c r="B214" s="48" t="s">
        <v>278</v>
      </c>
      <c r="D214" s="64">
        <f t="shared" si="158"/>
        <v>1</v>
      </c>
      <c r="E214" s="64">
        <f t="shared" si="158"/>
        <v>1</v>
      </c>
      <c r="F214" s="64">
        <f t="shared" si="158"/>
        <v>1</v>
      </c>
      <c r="G214" s="64">
        <f t="shared" si="158"/>
        <v>1</v>
      </c>
      <c r="H214" s="64">
        <f t="shared" si="158"/>
        <v>1</v>
      </c>
      <c r="I214" s="64">
        <f t="shared" si="158"/>
        <v>1</v>
      </c>
      <c r="J214" s="64">
        <f t="shared" si="158"/>
        <v>1</v>
      </c>
    </row>
    <row r="215" spans="2:10" s="63" customFormat="1" ht="15">
      <c r="B215" s="48" t="s">
        <v>279</v>
      </c>
      <c r="D215" s="64">
        <f t="shared" si="158"/>
        <v>28391.480746231053</v>
      </c>
      <c r="E215" s="64">
        <f t="shared" si="158"/>
        <v>28403.330039753218</v>
      </c>
      <c r="F215" s="64">
        <f t="shared" si="158"/>
        <v>28795.748777888599</v>
      </c>
      <c r="G215" s="64">
        <f t="shared" si="158"/>
        <v>28305.964957997636</v>
      </c>
      <c r="H215" s="64">
        <f t="shared" si="158"/>
        <v>27982.089899069229</v>
      </c>
      <c r="I215" s="64">
        <f t="shared" si="158"/>
        <v>27206.336060757236</v>
      </c>
      <c r="J215" s="64">
        <f t="shared" si="158"/>
        <v>28180.825080282826</v>
      </c>
    </row>
    <row r="216" spans="2:10" s="63" customFormat="1" ht="15">
      <c r="B216" s="48" t="s">
        <v>875</v>
      </c>
      <c r="D216" s="64">
        <f t="shared" si="158"/>
        <v>20593.886364216003</v>
      </c>
      <c r="E216" s="64">
        <f t="shared" si="158"/>
        <v>20525.523812220003</v>
      </c>
      <c r="F216" s="64">
        <f t="shared" si="158"/>
        <v>21165.468249359998</v>
      </c>
      <c r="G216" s="64">
        <f t="shared" si="158"/>
        <v>21313.59764073</v>
      </c>
      <c r="H216" s="64">
        <f t="shared" si="158"/>
        <v>21844.183701071997</v>
      </c>
      <c r="I216" s="64">
        <f t="shared" si="158"/>
        <v>22852.488753065998</v>
      </c>
      <c r="J216" s="64">
        <f t="shared" si="158"/>
        <v>21382.524753443999</v>
      </c>
    </row>
    <row r="217" spans="2:10" s="63" customFormat="1" ht="15">
      <c r="B217" s="48" t="s">
        <v>874</v>
      </c>
      <c r="D217" s="64">
        <f t="shared" si="158"/>
        <v>660.72816216000001</v>
      </c>
      <c r="E217" s="64">
        <f t="shared" si="158"/>
        <v>614.97744120000004</v>
      </c>
      <c r="F217" s="64">
        <f t="shared" si="158"/>
        <v>634.69513871999993</v>
      </c>
      <c r="G217" s="64">
        <f t="shared" si="158"/>
        <v>634.14559943999996</v>
      </c>
      <c r="H217" s="64">
        <f t="shared" si="158"/>
        <v>654.24254111999994</v>
      </c>
      <c r="I217" s="64">
        <f t="shared" si="158"/>
        <v>648.83574143999999</v>
      </c>
      <c r="J217" s="64">
        <f t="shared" si="158"/>
        <v>641.27077068000006</v>
      </c>
    </row>
    <row r="218" spans="2:10" s="63" customFormat="1" ht="15">
      <c r="B218" s="48" t="s">
        <v>873</v>
      </c>
      <c r="D218" s="64">
        <f t="shared" si="158"/>
        <v>99419.76006193801</v>
      </c>
      <c r="E218" s="64">
        <f t="shared" si="158"/>
        <v>96841.629635263176</v>
      </c>
      <c r="F218" s="64">
        <f t="shared" si="158"/>
        <v>98786.198987369993</v>
      </c>
      <c r="G218" s="64">
        <f t="shared" si="158"/>
        <v>98665.652082570028</v>
      </c>
      <c r="H218" s="64">
        <f t="shared" si="158"/>
        <v>98967.189763926042</v>
      </c>
      <c r="I218" s="64">
        <f t="shared" si="158"/>
        <v>98620.711435410005</v>
      </c>
      <c r="J218" s="64">
        <f t="shared" si="158"/>
        <v>98550.190327746212</v>
      </c>
    </row>
    <row r="219" spans="2:10" s="63" customFormat="1" ht="15">
      <c r="B219" s="48" t="s">
        <v>872</v>
      </c>
      <c r="D219" s="64">
        <f t="shared" si="158"/>
        <v>23202.278984556</v>
      </c>
      <c r="E219" s="64">
        <f t="shared" si="158"/>
        <v>22436.542484580001</v>
      </c>
      <c r="F219" s="64">
        <f t="shared" si="158"/>
        <v>23231.710411560001</v>
      </c>
      <c r="G219" s="64">
        <f t="shared" si="158"/>
        <v>23354.379701760001</v>
      </c>
      <c r="H219" s="64">
        <f t="shared" si="158"/>
        <v>22666.251849779997</v>
      </c>
      <c r="I219" s="64">
        <f t="shared" si="158"/>
        <v>23204.24203188</v>
      </c>
      <c r="J219" s="64">
        <f t="shared" si="158"/>
        <v>23015.900910686003</v>
      </c>
    </row>
    <row r="220" spans="2:10" s="63" customFormat="1" ht="15">
      <c r="B220" s="48" t="s">
        <v>871</v>
      </c>
      <c r="D220" s="64">
        <f t="shared" si="158"/>
        <v>8867.7534734552592</v>
      </c>
      <c r="E220" s="64">
        <f t="shared" si="158"/>
        <v>8456.82</v>
      </c>
      <c r="F220" s="64">
        <f t="shared" si="158"/>
        <v>9391.8359893798861</v>
      </c>
      <c r="G220" s="64">
        <f t="shared" si="158"/>
        <v>11073.84959749422</v>
      </c>
      <c r="H220" s="64">
        <f t="shared" si="158"/>
        <v>10253.317325109649</v>
      </c>
      <c r="I220" s="64">
        <f t="shared" si="158"/>
        <v>11437.881598200001</v>
      </c>
      <c r="J220" s="64">
        <f t="shared" si="158"/>
        <v>9913.5763306065019</v>
      </c>
    </row>
    <row r="221" spans="2:10" s="63" customFormat="1" ht="15">
      <c r="B221" s="48" t="s">
        <v>870</v>
      </c>
      <c r="D221" s="64">
        <f t="shared" ref="D221:J222" si="159">SUMIF($B$4:$B$146,$B221,D$4:D$146)</f>
        <v>16839.431015676</v>
      </c>
      <c r="E221" s="64">
        <f t="shared" si="159"/>
        <v>16228.546640676001</v>
      </c>
      <c r="F221" s="64">
        <f t="shared" si="159"/>
        <v>17985.84328125</v>
      </c>
      <c r="G221" s="64">
        <f t="shared" si="159"/>
        <v>16892.484960911999</v>
      </c>
      <c r="H221" s="64">
        <f t="shared" si="159"/>
        <v>17962.219921926</v>
      </c>
      <c r="I221" s="64">
        <f t="shared" si="159"/>
        <v>16224.309257838</v>
      </c>
      <c r="J221" s="64">
        <f t="shared" si="159"/>
        <v>17022.139179713002</v>
      </c>
    </row>
    <row r="222" spans="2:10" s="63" customFormat="1" ht="15">
      <c r="B222" s="48" t="s">
        <v>890</v>
      </c>
      <c r="D222" s="64">
        <f t="shared" si="159"/>
        <v>0</v>
      </c>
      <c r="E222" s="64">
        <f t="shared" si="159"/>
        <v>0</v>
      </c>
      <c r="F222" s="64">
        <f t="shared" si="159"/>
        <v>0</v>
      </c>
      <c r="G222" s="64">
        <f t="shared" si="159"/>
        <v>0</v>
      </c>
      <c r="H222" s="64">
        <f t="shared" si="159"/>
        <v>0</v>
      </c>
      <c r="I222" s="64">
        <f t="shared" si="159"/>
        <v>0</v>
      </c>
      <c r="J222" s="64">
        <f t="shared" si="159"/>
        <v>0</v>
      </c>
    </row>
    <row r="223" spans="2:10" s="63" customFormat="1" ht="17.25" customHeight="1">
      <c r="B223" s="48" t="s">
        <v>111</v>
      </c>
      <c r="D223" s="65">
        <f t="shared" ref="D223:I223" si="160">SUM(D205:D222)</f>
        <v>529687.49163376214</v>
      </c>
      <c r="E223" s="65">
        <f t="shared" si="160"/>
        <v>525357.98019167921</v>
      </c>
      <c r="F223" s="65">
        <f t="shared" si="160"/>
        <v>536427.09493934363</v>
      </c>
      <c r="G223" s="65">
        <f t="shared" si="160"/>
        <v>530953.15186141222</v>
      </c>
      <c r="H223" s="65">
        <f t="shared" si="160"/>
        <v>527258.97397500346</v>
      </c>
      <c r="I223" s="65">
        <f t="shared" si="160"/>
        <v>518060.73068333737</v>
      </c>
      <c r="J223" s="65">
        <f>SUM(J205:J222)</f>
        <v>527957.57054742298</v>
      </c>
    </row>
    <row r="224" spans="2:10" ht="15">
      <c r="B224" s="48"/>
      <c r="C224" s="63"/>
      <c r="D224" s="67">
        <f t="shared" ref="D224:J224" si="161">D107</f>
        <v>360103.65357176092</v>
      </c>
      <c r="E224" s="67">
        <f t="shared" si="161"/>
        <v>360253.94017774006</v>
      </c>
      <c r="F224" s="67">
        <f t="shared" si="161"/>
        <v>365231.34288170375</v>
      </c>
      <c r="G224" s="67">
        <f t="shared" si="161"/>
        <v>359019.04227850609</v>
      </c>
      <c r="H224" s="67">
        <f t="shared" si="161"/>
        <v>354911.56887206988</v>
      </c>
      <c r="I224" s="67">
        <f t="shared" si="161"/>
        <v>345072.26186550327</v>
      </c>
      <c r="J224" s="67">
        <f t="shared" si="161"/>
        <v>357431.96827454731</v>
      </c>
    </row>
    <row r="225" spans="4:10">
      <c r="D225" s="67">
        <f t="shared" ref="D225:J225" si="162">D146</f>
        <v>169583.8380620013</v>
      </c>
      <c r="E225" s="67">
        <f t="shared" si="162"/>
        <v>165104.04001393917</v>
      </c>
      <c r="F225" s="67">
        <f t="shared" si="162"/>
        <v>171195.75205763991</v>
      </c>
      <c r="G225" s="67">
        <f t="shared" si="162"/>
        <v>171934.10958290624</v>
      </c>
      <c r="H225" s="67">
        <f t="shared" si="162"/>
        <v>172347.4051029337</v>
      </c>
      <c r="I225" s="67">
        <f t="shared" si="162"/>
        <v>172988.46881783401</v>
      </c>
      <c r="J225" s="67">
        <f t="shared" si="162"/>
        <v>170525.60227287572</v>
      </c>
    </row>
    <row r="226" spans="4:10">
      <c r="D226" s="67">
        <f t="shared" ref="D226:J226" si="163">D224+D225</f>
        <v>529687.49163376226</v>
      </c>
      <c r="E226" s="67">
        <f t="shared" si="163"/>
        <v>525357.98019167921</v>
      </c>
      <c r="F226" s="67">
        <f t="shared" si="163"/>
        <v>536427.09493934363</v>
      </c>
      <c r="G226" s="67">
        <f t="shared" si="163"/>
        <v>530953.15186141233</v>
      </c>
      <c r="H226" s="67">
        <f t="shared" si="163"/>
        <v>527258.97397500358</v>
      </c>
      <c r="I226" s="67">
        <f t="shared" si="163"/>
        <v>518060.73068333731</v>
      </c>
      <c r="J226" s="67">
        <f t="shared" si="163"/>
        <v>527957.57054742309</v>
      </c>
    </row>
    <row r="227" spans="4:10">
      <c r="D227" s="66">
        <f t="shared" ref="D227:J227" si="164">D223-D226</f>
        <v>0</v>
      </c>
      <c r="E227" s="66">
        <f t="shared" si="164"/>
        <v>0</v>
      </c>
      <c r="F227" s="66">
        <f t="shared" si="164"/>
        <v>0</v>
      </c>
      <c r="G227" s="66">
        <f t="shared" si="164"/>
        <v>0</v>
      </c>
      <c r="H227" s="66">
        <f t="shared" si="164"/>
        <v>0</v>
      </c>
      <c r="I227" s="66">
        <f t="shared" si="164"/>
        <v>0</v>
      </c>
      <c r="J227" s="66">
        <f t="shared" si="164"/>
        <v>0</v>
      </c>
    </row>
  </sheetData>
  <phoneticPr fontId="0" type="noConversion"/>
  <printOptions horizontalCentered="1" verticalCentered="1" headings="1"/>
  <pageMargins left="0.59055118110236204" right="0.59055118110236204" top="0.78740157480314998" bottom="0.59055118110236204" header="0.59055118110236204" footer="0.47244094488188998"/>
  <pageSetup scale="39" orientation="landscape" r:id="rId1"/>
  <headerFooter>
    <oddHeader>&amp;L&amp;"Times New Roman,Negrita"&amp;14Nombre de la Distribuidora: &amp;K06-048ENSA&amp;RASEP FORM: &amp;A</oddHeader>
    <oddFooter>&amp;R&amp;A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DA459-76DA-4DB8-B43C-ABA83D0899E6}">
  <sheetPr>
    <tabColor theme="7" tint="0.79998168889431442"/>
  </sheetPr>
  <dimension ref="A1:AQ226"/>
  <sheetViews>
    <sheetView zoomScale="70" zoomScaleNormal="70" zoomScaleSheetLayoutView="70" workbookViewId="0">
      <pane xSplit="3" ySplit="4" topLeftCell="D43" activePane="bottomRight" state="frozen"/>
      <selection activeCell="C59" sqref="C59"/>
      <selection pane="topRight" activeCell="C59" sqref="C59"/>
      <selection pane="bottomLeft" activeCell="C59" sqref="C59"/>
      <selection pane="bottomRight" activeCell="C59" sqref="C59"/>
    </sheetView>
  </sheetViews>
  <sheetFormatPr baseColWidth="10" defaultColWidth="8" defaultRowHeight="13.5"/>
  <cols>
    <col min="1" max="1" width="3.375" style="37" bestFit="1" customWidth="1"/>
    <col min="2" max="2" width="7.125" style="37" bestFit="1" customWidth="1"/>
    <col min="3" max="3" width="32.5" style="37" customWidth="1"/>
    <col min="4" max="9" width="10.75" style="37" customWidth="1"/>
    <col min="10" max="10" width="11.375" style="37" bestFit="1" customWidth="1"/>
    <col min="11" max="23" width="10.75" style="37" customWidth="1"/>
    <col min="24" max="24" width="11.375" style="37" bestFit="1" customWidth="1"/>
    <col min="25" max="30" width="10.75" style="37" hidden="1" customWidth="1"/>
    <col min="31" max="31" width="11.25" style="37" hidden="1" customWidth="1"/>
    <col min="32" max="32" width="2.75" style="37" customWidth="1"/>
    <col min="33" max="35" width="9.875" style="37" customWidth="1"/>
    <col min="36" max="36" width="8" style="37"/>
    <col min="37" max="42" width="8.125" style="37" bestFit="1" customWidth="1"/>
    <col min="43" max="43" width="8.125" style="52" bestFit="1" customWidth="1"/>
    <col min="44" max="16384" width="8" style="37"/>
  </cols>
  <sheetData>
    <row r="1" spans="2:43" ht="14.25" thickBot="1">
      <c r="AG1" s="1412"/>
      <c r="AH1" s="1412"/>
      <c r="AI1" s="1412"/>
    </row>
    <row r="2" spans="2:43" s="38" customFormat="1" ht="13.5" customHeight="1">
      <c r="C2" s="510"/>
      <c r="I2" s="38" t="s">
        <v>76</v>
      </c>
      <c r="J2" s="42" t="s">
        <v>258</v>
      </c>
      <c r="P2" s="38" t="s">
        <v>76</v>
      </c>
      <c r="Q2" s="42" t="s">
        <v>258</v>
      </c>
      <c r="W2" s="38" t="s">
        <v>76</v>
      </c>
      <c r="X2" s="42" t="s">
        <v>258</v>
      </c>
      <c r="AE2" s="42"/>
      <c r="AG2" s="1413"/>
      <c r="AH2" s="1413"/>
      <c r="AI2" s="1413"/>
      <c r="AQ2" s="246"/>
    </row>
    <row r="3" spans="2:43" s="1520" customFormat="1" ht="24">
      <c r="C3" s="960"/>
      <c r="D3" s="1521" t="s">
        <v>1747</v>
      </c>
      <c r="E3" s="1521" t="s">
        <v>1747</v>
      </c>
      <c r="F3" s="1521" t="s">
        <v>1747</v>
      </c>
      <c r="G3" s="1521" t="s">
        <v>1747</v>
      </c>
      <c r="H3" s="1521" t="s">
        <v>1747</v>
      </c>
      <c r="I3" s="1521" t="s">
        <v>1747</v>
      </c>
      <c r="J3" s="1521" t="s">
        <v>1747</v>
      </c>
      <c r="K3" s="1523" t="s">
        <v>1748</v>
      </c>
      <c r="L3" s="1523" t="s">
        <v>1748</v>
      </c>
      <c r="M3" s="1523" t="s">
        <v>1748</v>
      </c>
      <c r="N3" s="1523" t="s">
        <v>1748</v>
      </c>
      <c r="O3" s="1523" t="s">
        <v>1748</v>
      </c>
      <c r="P3" s="1523" t="s">
        <v>1748</v>
      </c>
      <c r="Q3" s="1523" t="s">
        <v>1748</v>
      </c>
      <c r="R3" s="1521" t="s">
        <v>1749</v>
      </c>
      <c r="S3" s="1521" t="s">
        <v>1749</v>
      </c>
      <c r="T3" s="1521" t="s">
        <v>1749</v>
      </c>
      <c r="U3" s="1521" t="s">
        <v>1749</v>
      </c>
      <c r="V3" s="1521" t="s">
        <v>1749</v>
      </c>
      <c r="W3" s="1521" t="s">
        <v>1749</v>
      </c>
      <c r="X3" s="1521" t="s">
        <v>1749</v>
      </c>
      <c r="Y3" s="1523" t="s">
        <v>1750</v>
      </c>
      <c r="Z3" s="1523" t="s">
        <v>1750</v>
      </c>
      <c r="AA3" s="1523" t="s">
        <v>1750</v>
      </c>
      <c r="AB3" s="1523" t="s">
        <v>1750</v>
      </c>
      <c r="AC3" s="1523" t="s">
        <v>1750</v>
      </c>
      <c r="AD3" s="1523" t="s">
        <v>1750</v>
      </c>
      <c r="AE3" s="1523" t="s">
        <v>1750</v>
      </c>
      <c r="AG3" s="1522"/>
      <c r="AH3" s="1522"/>
      <c r="AI3" s="1522"/>
      <c r="AQ3" s="442"/>
    </row>
    <row r="4" spans="2:43" s="51" customFormat="1" ht="15.75">
      <c r="C4" s="963" t="s">
        <v>962</v>
      </c>
      <c r="D4" s="964">
        <f>F801C!D4</f>
        <v>46204</v>
      </c>
      <c r="E4" s="964">
        <f>F801C!E4</f>
        <v>46235</v>
      </c>
      <c r="F4" s="964">
        <f>F801C!F4</f>
        <v>46266</v>
      </c>
      <c r="G4" s="964">
        <f>F801C!G4</f>
        <v>46296</v>
      </c>
      <c r="H4" s="964">
        <f>F801C!H4</f>
        <v>46327</v>
      </c>
      <c r="I4" s="964">
        <f>F801C!I4</f>
        <v>46357</v>
      </c>
      <c r="J4" s="964" t="s">
        <v>111</v>
      </c>
      <c r="K4" s="964">
        <f>D4</f>
        <v>46204</v>
      </c>
      <c r="L4" s="964">
        <f t="shared" ref="L4:R4" si="0">E4</f>
        <v>46235</v>
      </c>
      <c r="M4" s="964">
        <f t="shared" si="0"/>
        <v>46266</v>
      </c>
      <c r="N4" s="964">
        <f t="shared" si="0"/>
        <v>46296</v>
      </c>
      <c r="O4" s="964">
        <f t="shared" si="0"/>
        <v>46327</v>
      </c>
      <c r="P4" s="964">
        <f t="shared" si="0"/>
        <v>46357</v>
      </c>
      <c r="Q4" s="964" t="s">
        <v>111</v>
      </c>
      <c r="R4" s="964">
        <f t="shared" si="0"/>
        <v>46204</v>
      </c>
      <c r="S4" s="964">
        <f>L4</f>
        <v>46235</v>
      </c>
      <c r="T4" s="964">
        <f>M4</f>
        <v>46266</v>
      </c>
      <c r="U4" s="964">
        <f>N4</f>
        <v>46296</v>
      </c>
      <c r="V4" s="964">
        <f>O4</f>
        <v>46327</v>
      </c>
      <c r="W4" s="964">
        <f>P4</f>
        <v>46357</v>
      </c>
      <c r="X4" s="964" t="s">
        <v>111</v>
      </c>
      <c r="Y4" s="964"/>
      <c r="Z4" s="964"/>
      <c r="AA4" s="964"/>
      <c r="AB4" s="964"/>
      <c r="AC4" s="964"/>
      <c r="AD4" s="964"/>
      <c r="AE4" s="964"/>
      <c r="AG4" s="1414"/>
      <c r="AH4" s="1414"/>
      <c r="AI4" s="1414"/>
      <c r="AQ4" s="1166"/>
    </row>
    <row r="5" spans="2:43" s="52" customFormat="1">
      <c r="C5" s="880" t="s">
        <v>446</v>
      </c>
      <c r="D5" s="881">
        <f>SUBTOTAL(9,D6:D7)</f>
        <v>19124829.994371675</v>
      </c>
      <c r="E5" s="881">
        <f t="shared" ref="E5:W5" si="1">SUBTOTAL(9,E6:E7)</f>
        <v>19132811.606938612</v>
      </c>
      <c r="F5" s="881">
        <f t="shared" si="1"/>
        <v>18771444.354262304</v>
      </c>
      <c r="G5" s="881">
        <f t="shared" si="1"/>
        <v>19067227.075787663</v>
      </c>
      <c r="H5" s="881">
        <f t="shared" si="1"/>
        <v>18241048.5081436</v>
      </c>
      <c r="I5" s="881">
        <f t="shared" si="1"/>
        <v>18326523.690496143</v>
      </c>
      <c r="J5" s="180">
        <f>SUM(D5:I5)</f>
        <v>112663885.23</v>
      </c>
      <c r="K5" s="881">
        <f t="shared" si="1"/>
        <v>4462715.5327546168</v>
      </c>
      <c r="L5" s="881">
        <f t="shared" si="1"/>
        <v>4464578.0155264577</v>
      </c>
      <c r="M5" s="881">
        <f t="shared" si="1"/>
        <v>4380254.1678362023</v>
      </c>
      <c r="N5" s="881">
        <f t="shared" si="1"/>
        <v>4449274.0831013378</v>
      </c>
      <c r="O5" s="881">
        <f t="shared" si="1"/>
        <v>4256488.0595006477</v>
      </c>
      <c r="P5" s="881">
        <f t="shared" si="1"/>
        <v>4276433.4092926187</v>
      </c>
      <c r="Q5" s="180">
        <f>SUM(K5:P5)</f>
        <v>26289743.268011879</v>
      </c>
      <c r="R5" s="881">
        <f t="shared" si="1"/>
        <v>14662114.461617058</v>
      </c>
      <c r="S5" s="881">
        <f t="shared" si="1"/>
        <v>14668233.591412153</v>
      </c>
      <c r="T5" s="881">
        <f t="shared" si="1"/>
        <v>14391190.186426101</v>
      </c>
      <c r="U5" s="881">
        <f t="shared" si="1"/>
        <v>14617952.992686326</v>
      </c>
      <c r="V5" s="881">
        <f t="shared" si="1"/>
        <v>13984560.448642952</v>
      </c>
      <c r="W5" s="881">
        <f t="shared" si="1"/>
        <v>14050090.281203523</v>
      </c>
      <c r="X5" s="180">
        <f>SUM(R5:W5)</f>
        <v>86374141.961988106</v>
      </c>
      <c r="Y5" s="881"/>
      <c r="Z5" s="881"/>
      <c r="AA5" s="881"/>
      <c r="AB5" s="881"/>
      <c r="AC5" s="881"/>
      <c r="AD5" s="881"/>
      <c r="AE5" s="180"/>
      <c r="AG5" s="1415"/>
      <c r="AH5" s="1415"/>
      <c r="AI5" s="1415"/>
    </row>
    <row r="6" spans="2:43">
      <c r="B6" s="48" t="s">
        <v>279</v>
      </c>
      <c r="C6" s="882" t="s">
        <v>279</v>
      </c>
      <c r="D6" s="883">
        <f>MCDO800!$N6*D$152-D7</f>
        <v>19124329.994371675</v>
      </c>
      <c r="E6" s="883">
        <f>MCDO800!$N6*E$152-E7</f>
        <v>19132311.606938612</v>
      </c>
      <c r="F6" s="883">
        <f>MCDO800!$N6*F$152-F7</f>
        <v>18770944.354262304</v>
      </c>
      <c r="G6" s="883">
        <f>MCDO800!$N6*G$152-G7</f>
        <v>19066727.075787663</v>
      </c>
      <c r="H6" s="883">
        <f>MCDO800!$N6*H$152-H7</f>
        <v>18240548.5081436</v>
      </c>
      <c r="I6" s="883">
        <f>MCDO800!$N6*I$152-I7</f>
        <v>18326023.690496143</v>
      </c>
      <c r="J6" s="180">
        <f t="shared" ref="J6:J69" si="2">SUM(D6:I6)</f>
        <v>112660885.23</v>
      </c>
      <c r="K6" s="883">
        <f t="shared" ref="K6:P7" si="3">D6*$AG6</f>
        <v>4462598.8594159763</v>
      </c>
      <c r="L6" s="883">
        <f t="shared" si="3"/>
        <v>4464461.3421878172</v>
      </c>
      <c r="M6" s="883">
        <f t="shared" si="3"/>
        <v>4380137.4944975618</v>
      </c>
      <c r="N6" s="883">
        <f t="shared" si="3"/>
        <v>4449157.4097626973</v>
      </c>
      <c r="O6" s="883">
        <f t="shared" si="3"/>
        <v>4256371.3861620072</v>
      </c>
      <c r="P6" s="883">
        <f t="shared" si="3"/>
        <v>4276316.7359539783</v>
      </c>
      <c r="Q6" s="180">
        <f t="shared" ref="Q6:Q69" si="4">SUM(K6:P6)</f>
        <v>26289043.22798004</v>
      </c>
      <c r="R6" s="883">
        <f>D6-K6</f>
        <v>14661731.134955699</v>
      </c>
      <c r="S6" s="883">
        <f t="shared" ref="S6:W56" si="5">E6-L6</f>
        <v>14667850.264750794</v>
      </c>
      <c r="T6" s="883">
        <f t="shared" si="5"/>
        <v>14390806.859764742</v>
      </c>
      <c r="U6" s="883">
        <f t="shared" si="5"/>
        <v>14617569.666024966</v>
      </c>
      <c r="V6" s="883">
        <f t="shared" si="5"/>
        <v>13984177.121981593</v>
      </c>
      <c r="W6" s="883">
        <f t="shared" si="5"/>
        <v>14049706.954542164</v>
      </c>
      <c r="X6" s="180">
        <f t="shared" ref="X6:X69" si="6">SUM(R6:W6)</f>
        <v>86371842.002019957</v>
      </c>
      <c r="Y6" s="883"/>
      <c r="Z6" s="883"/>
      <c r="AA6" s="883"/>
      <c r="AB6" s="883"/>
      <c r="AC6" s="883"/>
      <c r="AD6" s="883"/>
      <c r="AE6" s="180"/>
      <c r="AG6" s="1415">
        <f>'PDYG-200'!$D$29</f>
        <v>0.23334667728120814</v>
      </c>
      <c r="AH6" s="1415">
        <f>'PDYG-200'!$E$29</f>
        <v>0.29057094290570945</v>
      </c>
      <c r="AI6" s="1415">
        <f>'PDYG-200'!$F$29</f>
        <v>0.47608237981308243</v>
      </c>
    </row>
    <row r="7" spans="2:43">
      <c r="B7" s="48" t="s">
        <v>278</v>
      </c>
      <c r="C7" s="882" t="s">
        <v>278</v>
      </c>
      <c r="D7" s="883">
        <f>500</f>
        <v>500</v>
      </c>
      <c r="E7" s="883">
        <f>500</f>
        <v>500</v>
      </c>
      <c r="F7" s="883">
        <f>500</f>
        <v>500</v>
      </c>
      <c r="G7" s="883">
        <f>500</f>
        <v>500</v>
      </c>
      <c r="H7" s="883">
        <f>500</f>
        <v>500</v>
      </c>
      <c r="I7" s="883">
        <f>500</f>
        <v>500</v>
      </c>
      <c r="J7" s="180">
        <f t="shared" si="2"/>
        <v>3000</v>
      </c>
      <c r="K7" s="883">
        <f t="shared" si="3"/>
        <v>116.67333864060407</v>
      </c>
      <c r="L7" s="883">
        <f t="shared" si="3"/>
        <v>116.67333864060407</v>
      </c>
      <c r="M7" s="883">
        <f t="shared" si="3"/>
        <v>116.67333864060407</v>
      </c>
      <c r="N7" s="883">
        <f t="shared" si="3"/>
        <v>116.67333864060407</v>
      </c>
      <c r="O7" s="883">
        <f t="shared" si="3"/>
        <v>116.67333864060407</v>
      </c>
      <c r="P7" s="883">
        <f t="shared" si="3"/>
        <v>116.67333864060407</v>
      </c>
      <c r="Q7" s="180">
        <f t="shared" si="4"/>
        <v>700.04003184362432</v>
      </c>
      <c r="R7" s="883">
        <f t="shared" ref="R7:W70" si="7">D7-K7</f>
        <v>383.32666135939593</v>
      </c>
      <c r="S7" s="883">
        <f t="shared" si="5"/>
        <v>383.32666135939593</v>
      </c>
      <c r="T7" s="883">
        <f t="shared" si="5"/>
        <v>383.32666135939593</v>
      </c>
      <c r="U7" s="883">
        <f t="shared" si="5"/>
        <v>383.32666135939593</v>
      </c>
      <c r="V7" s="883">
        <f t="shared" si="5"/>
        <v>383.32666135939593</v>
      </c>
      <c r="W7" s="883">
        <f t="shared" si="5"/>
        <v>383.32666135939593</v>
      </c>
      <c r="X7" s="180">
        <f t="shared" si="6"/>
        <v>2299.9599681563755</v>
      </c>
      <c r="Y7" s="883"/>
      <c r="Z7" s="883"/>
      <c r="AA7" s="883"/>
      <c r="AB7" s="883"/>
      <c r="AC7" s="883"/>
      <c r="AD7" s="883"/>
      <c r="AE7" s="180"/>
      <c r="AG7" s="1415">
        <f>'PDYG-200'!$D$29</f>
        <v>0.23334667728120814</v>
      </c>
      <c r="AH7" s="1415">
        <f>'PDYG-200'!$E$29</f>
        <v>0.29057094290570945</v>
      </c>
      <c r="AI7" s="1415">
        <f>'PDYG-200'!$F$29</f>
        <v>0.47608237981308243</v>
      </c>
    </row>
    <row r="8" spans="2:43">
      <c r="B8" s="48"/>
      <c r="C8" s="884"/>
      <c r="D8" s="883"/>
      <c r="E8" s="883"/>
      <c r="F8" s="883"/>
      <c r="G8" s="883"/>
      <c r="H8" s="883"/>
      <c r="I8" s="883"/>
      <c r="J8" s="180">
        <f t="shared" si="2"/>
        <v>0</v>
      </c>
      <c r="K8" s="883"/>
      <c r="L8" s="883"/>
      <c r="M8" s="883"/>
      <c r="N8" s="883"/>
      <c r="O8" s="883"/>
      <c r="P8" s="883"/>
      <c r="Q8" s="180">
        <f t="shared" si="4"/>
        <v>0</v>
      </c>
      <c r="R8" s="883">
        <f t="shared" si="7"/>
        <v>0</v>
      </c>
      <c r="S8" s="883">
        <f t="shared" si="5"/>
        <v>0</v>
      </c>
      <c r="T8" s="883">
        <f t="shared" si="5"/>
        <v>0</v>
      </c>
      <c r="U8" s="883">
        <f t="shared" si="5"/>
        <v>0</v>
      </c>
      <c r="V8" s="883">
        <f t="shared" si="5"/>
        <v>0</v>
      </c>
      <c r="W8" s="883">
        <f t="shared" si="5"/>
        <v>0</v>
      </c>
      <c r="X8" s="180">
        <f t="shared" si="6"/>
        <v>0</v>
      </c>
      <c r="Y8" s="883"/>
      <c r="Z8" s="883"/>
      <c r="AA8" s="883"/>
      <c r="AB8" s="883"/>
      <c r="AC8" s="883"/>
      <c r="AD8" s="883"/>
      <c r="AE8" s="180"/>
      <c r="AG8" s="1412"/>
      <c r="AH8" s="1412"/>
      <c r="AI8" s="1412"/>
    </row>
    <row r="9" spans="2:43" s="52" customFormat="1">
      <c r="B9" s="48"/>
      <c r="C9" s="880" t="s">
        <v>630</v>
      </c>
      <c r="D9" s="881">
        <f>SUBTOTAL(9,D10:D18)</f>
        <v>30650833.497148156</v>
      </c>
      <c r="E9" s="881">
        <f t="shared" ref="E9:P9" si="8">SUBTOTAL(9,E10:E18)</f>
        <v>30663625.405776881</v>
      </c>
      <c r="F9" s="881">
        <f t="shared" si="8"/>
        <v>30084472.153362975</v>
      </c>
      <c r="G9" s="881">
        <f t="shared" si="8"/>
        <v>30558514.900486752</v>
      </c>
      <c r="H9" s="881">
        <f t="shared" si="8"/>
        <v>29234421.472036775</v>
      </c>
      <c r="I9" s="881">
        <f t="shared" si="8"/>
        <v>29371410.171188466</v>
      </c>
      <c r="J9" s="180">
        <f t="shared" si="2"/>
        <v>180563277.59999999</v>
      </c>
      <c r="K9" s="881">
        <f t="shared" si="8"/>
        <v>9584394.9123618938</v>
      </c>
      <c r="L9" s="881">
        <f t="shared" si="8"/>
        <v>9588394.8918075413</v>
      </c>
      <c r="M9" s="881">
        <f t="shared" si="8"/>
        <v>9407295.9508462753</v>
      </c>
      <c r="N9" s="881">
        <f t="shared" si="8"/>
        <v>9555527.250794379</v>
      </c>
      <c r="O9" s="881">
        <f t="shared" si="8"/>
        <v>9141488.4508280251</v>
      </c>
      <c r="P9" s="881">
        <f t="shared" si="8"/>
        <v>9184324.2775053866</v>
      </c>
      <c r="Q9" s="180">
        <f t="shared" si="4"/>
        <v>56461425.734143496</v>
      </c>
      <c r="R9" s="881">
        <f t="shared" si="7"/>
        <v>21066438.584786262</v>
      </c>
      <c r="S9" s="881">
        <f t="shared" si="5"/>
        <v>21075230.513969339</v>
      </c>
      <c r="T9" s="881">
        <f t="shared" si="5"/>
        <v>20677176.202516697</v>
      </c>
      <c r="U9" s="881">
        <f t="shared" si="5"/>
        <v>21002987.649692371</v>
      </c>
      <c r="V9" s="881">
        <f t="shared" si="5"/>
        <v>20092933.021208748</v>
      </c>
      <c r="W9" s="881">
        <f t="shared" si="5"/>
        <v>20187085.89368308</v>
      </c>
      <c r="X9" s="180">
        <f t="shared" si="6"/>
        <v>124101851.86585648</v>
      </c>
      <c r="Y9" s="881"/>
      <c r="Z9" s="881"/>
      <c r="AA9" s="881"/>
      <c r="AB9" s="881"/>
      <c r="AC9" s="881"/>
      <c r="AD9" s="881"/>
      <c r="AE9" s="180"/>
      <c r="AG9" s="1415"/>
      <c r="AH9" s="1415"/>
      <c r="AI9" s="1415"/>
    </row>
    <row r="10" spans="2:43">
      <c r="B10" s="48" t="s">
        <v>277</v>
      </c>
      <c r="C10" s="882" t="s">
        <v>277</v>
      </c>
      <c r="D10" s="881">
        <f>SUBTOTAL(9,D11:D13)</f>
        <v>4409317.4177837307</v>
      </c>
      <c r="E10" s="881">
        <f t="shared" ref="E10:P10" si="9">SUBTOTAL(9,E11:E13)</f>
        <v>4411157.6152298646</v>
      </c>
      <c r="F10" s="881">
        <f t="shared" si="9"/>
        <v>4327842.7349453745</v>
      </c>
      <c r="G10" s="881">
        <f t="shared" si="9"/>
        <v>4396036.8002670044</v>
      </c>
      <c r="H10" s="881">
        <f t="shared" si="9"/>
        <v>4205557.5358978743</v>
      </c>
      <c r="I10" s="881">
        <f t="shared" si="9"/>
        <v>4225264.2318761516</v>
      </c>
      <c r="J10" s="180">
        <f t="shared" si="2"/>
        <v>25975176.335999995</v>
      </c>
      <c r="K10" s="881">
        <f t="shared" si="9"/>
        <v>1378776.1898849222</v>
      </c>
      <c r="L10" s="881">
        <f t="shared" si="9"/>
        <v>1379351.6123784769</v>
      </c>
      <c r="M10" s="881">
        <f t="shared" si="9"/>
        <v>1353299.3774597431</v>
      </c>
      <c r="N10" s="881">
        <f t="shared" si="9"/>
        <v>1374623.3930948388</v>
      </c>
      <c r="O10" s="881">
        <f t="shared" si="9"/>
        <v>1315061.2773533601</v>
      </c>
      <c r="P10" s="881">
        <f t="shared" si="9"/>
        <v>1321223.4835684455</v>
      </c>
      <c r="Q10" s="180">
        <f t="shared" si="4"/>
        <v>8122335.3337397873</v>
      </c>
      <c r="R10" s="881">
        <f t="shared" si="7"/>
        <v>3030541.2278988082</v>
      </c>
      <c r="S10" s="881">
        <f t="shared" si="5"/>
        <v>3031806.0028513875</v>
      </c>
      <c r="T10" s="881">
        <f t="shared" si="5"/>
        <v>2974543.3574856315</v>
      </c>
      <c r="U10" s="881">
        <f t="shared" si="5"/>
        <v>3021413.4071721658</v>
      </c>
      <c r="V10" s="881">
        <f t="shared" si="5"/>
        <v>2890496.258544514</v>
      </c>
      <c r="W10" s="881">
        <f t="shared" si="5"/>
        <v>2904040.7483077059</v>
      </c>
      <c r="X10" s="180">
        <f t="shared" si="6"/>
        <v>17852841.002260212</v>
      </c>
      <c r="Y10" s="881"/>
      <c r="Z10" s="881"/>
      <c r="AA10" s="881"/>
      <c r="AB10" s="881"/>
      <c r="AC10" s="881"/>
      <c r="AD10" s="881"/>
      <c r="AE10" s="180"/>
      <c r="AG10" s="1415">
        <f>'PDYG-200'!$D$30</f>
        <v>0.31269606137313216</v>
      </c>
      <c r="AH10" s="1415">
        <f>'PDYG-200'!$E$30</f>
        <v>0.26899999999999996</v>
      </c>
      <c r="AI10" s="1415">
        <f>'PDYG-200'!$F$30</f>
        <v>0.41830393862686788</v>
      </c>
    </row>
    <row r="11" spans="2:43">
      <c r="B11" s="48"/>
      <c r="C11" s="887" t="s">
        <v>304</v>
      </c>
      <c r="D11" s="883">
        <f>MCDO800!$N11*D$152</f>
        <v>3818637.7232735609</v>
      </c>
      <c r="E11" s="883">
        <f>MCDO800!$N11*E$152</f>
        <v>3820231.4047258729</v>
      </c>
      <c r="F11" s="883">
        <f>MCDO800!$N11*F$152</f>
        <v>3748077.5281459722</v>
      </c>
      <c r="G11" s="883">
        <f>MCDO800!$N11*G$152</f>
        <v>3807136.1999690244</v>
      </c>
      <c r="H11" s="883">
        <f>MCDO800!$N11*H$152</f>
        <v>3642173.8632845045</v>
      </c>
      <c r="I11" s="883">
        <f>MCDO800!$N11*I$152</f>
        <v>3659240.6166010662</v>
      </c>
      <c r="J11" s="180">
        <f t="shared" si="2"/>
        <v>22495497.336000003</v>
      </c>
      <c r="K11" s="883">
        <f t="shared" ref="K11:P12" si="10">D11*$AG11</f>
        <v>1194072.9758785071</v>
      </c>
      <c r="L11" s="883">
        <f t="shared" si="10"/>
        <v>1194571.3137917283</v>
      </c>
      <c r="M11" s="883">
        <f t="shared" si="10"/>
        <v>1172009.0807723904</v>
      </c>
      <c r="N11" s="883">
        <f t="shared" si="10"/>
        <v>1190476.4948413873</v>
      </c>
      <c r="O11" s="883">
        <f t="shared" si="10"/>
        <v>1138893.4218852292</v>
      </c>
      <c r="P11" s="883">
        <f t="shared" si="10"/>
        <v>1144230.1284277451</v>
      </c>
      <c r="Q11" s="180">
        <f t="shared" si="4"/>
        <v>7034253.4155969871</v>
      </c>
      <c r="R11" s="883">
        <f t="shared" si="7"/>
        <v>2624564.7473950535</v>
      </c>
      <c r="S11" s="883">
        <f t="shared" si="5"/>
        <v>2625660.0909341443</v>
      </c>
      <c r="T11" s="883">
        <f t="shared" si="5"/>
        <v>2576068.4473735821</v>
      </c>
      <c r="U11" s="883">
        <f t="shared" si="5"/>
        <v>2616659.7051276369</v>
      </c>
      <c r="V11" s="883">
        <f t="shared" si="5"/>
        <v>2503280.4413992753</v>
      </c>
      <c r="W11" s="883">
        <f t="shared" si="5"/>
        <v>2515010.4881733209</v>
      </c>
      <c r="X11" s="180">
        <f t="shared" si="6"/>
        <v>15461243.920403015</v>
      </c>
      <c r="Y11" s="883"/>
      <c r="Z11" s="883"/>
      <c r="AA11" s="883"/>
      <c r="AB11" s="883"/>
      <c r="AC11" s="883"/>
      <c r="AD11" s="883"/>
      <c r="AE11" s="180"/>
      <c r="AG11" s="1415">
        <f>'PDYG-200'!$D$30</f>
        <v>0.31269606137313216</v>
      </c>
      <c r="AH11" s="1415">
        <f>'PDYG-200'!$E$30</f>
        <v>0.26899999999999996</v>
      </c>
      <c r="AI11" s="1415">
        <f>'PDYG-200'!$F$30</f>
        <v>0.41830393862686788</v>
      </c>
    </row>
    <row r="12" spans="2:43">
      <c r="B12" s="48"/>
      <c r="C12" s="887" t="s">
        <v>305</v>
      </c>
      <c r="D12" s="883">
        <f>MCDO800!$N12*D$152</f>
        <v>590679.69451016991</v>
      </c>
      <c r="E12" s="883">
        <f>MCDO800!$N12*E$152</f>
        <v>590926.21050399169</v>
      </c>
      <c r="F12" s="883">
        <f>MCDO800!$N12*F$152</f>
        <v>579765.2067994026</v>
      </c>
      <c r="G12" s="883">
        <f>MCDO800!$N12*G$152</f>
        <v>588900.60029798024</v>
      </c>
      <c r="H12" s="883">
        <f>MCDO800!$N12*H$152</f>
        <v>563383.67261337012</v>
      </c>
      <c r="I12" s="883">
        <f>MCDO800!$N12*I$152</f>
        <v>566023.61527508579</v>
      </c>
      <c r="J12" s="180">
        <f t="shared" si="2"/>
        <v>3479679.0000000005</v>
      </c>
      <c r="K12" s="883">
        <f t="shared" si="10"/>
        <v>184703.21400641504</v>
      </c>
      <c r="L12" s="883">
        <f t="shared" si="10"/>
        <v>184780.2985867486</v>
      </c>
      <c r="M12" s="883">
        <f t="shared" si="10"/>
        <v>181290.29668735265</v>
      </c>
      <c r="N12" s="883">
        <f t="shared" si="10"/>
        <v>184146.8982534516</v>
      </c>
      <c r="O12" s="883">
        <f t="shared" si="10"/>
        <v>176167.85546813099</v>
      </c>
      <c r="P12" s="883">
        <f t="shared" si="10"/>
        <v>176993.35514070038</v>
      </c>
      <c r="Q12" s="180">
        <f t="shared" si="4"/>
        <v>1088081.9181427993</v>
      </c>
      <c r="R12" s="883">
        <f t="shared" si="7"/>
        <v>405976.48050375486</v>
      </c>
      <c r="S12" s="883">
        <f t="shared" si="5"/>
        <v>406145.91191724309</v>
      </c>
      <c r="T12" s="883">
        <f t="shared" si="5"/>
        <v>398474.91011204995</v>
      </c>
      <c r="U12" s="883">
        <f t="shared" si="5"/>
        <v>404753.70204452868</v>
      </c>
      <c r="V12" s="883">
        <f t="shared" si="5"/>
        <v>387215.8171452391</v>
      </c>
      <c r="W12" s="883">
        <f t="shared" si="5"/>
        <v>389030.26013438543</v>
      </c>
      <c r="X12" s="180">
        <f t="shared" si="6"/>
        <v>2391597.0818572012</v>
      </c>
      <c r="Y12" s="883"/>
      <c r="Z12" s="883"/>
      <c r="AA12" s="883"/>
      <c r="AB12" s="883"/>
      <c r="AC12" s="883"/>
      <c r="AD12" s="883"/>
      <c r="AE12" s="180"/>
      <c r="AG12" s="1415">
        <f>'PDYG-200'!$D$30</f>
        <v>0.31269606137313216</v>
      </c>
      <c r="AH12" s="1415">
        <f>'PDYG-200'!$E$30</f>
        <v>0.26899999999999996</v>
      </c>
      <c r="AI12" s="1415">
        <f>'PDYG-200'!$F$30</f>
        <v>0.41830393862686788</v>
      </c>
    </row>
    <row r="13" spans="2:43">
      <c r="B13" s="48"/>
      <c r="C13" s="887"/>
      <c r="D13" s="883"/>
      <c r="E13" s="883"/>
      <c r="F13" s="883"/>
      <c r="G13" s="883"/>
      <c r="H13" s="883"/>
      <c r="I13" s="883"/>
      <c r="J13" s="180">
        <f t="shared" si="2"/>
        <v>0</v>
      </c>
      <c r="K13" s="883"/>
      <c r="L13" s="883"/>
      <c r="M13" s="883"/>
      <c r="N13" s="883"/>
      <c r="O13" s="883"/>
      <c r="P13" s="883"/>
      <c r="Q13" s="180">
        <f t="shared" si="4"/>
        <v>0</v>
      </c>
      <c r="R13" s="883">
        <f t="shared" si="7"/>
        <v>0</v>
      </c>
      <c r="S13" s="883">
        <f t="shared" si="5"/>
        <v>0</v>
      </c>
      <c r="T13" s="883">
        <f t="shared" si="5"/>
        <v>0</v>
      </c>
      <c r="U13" s="883">
        <f t="shared" si="5"/>
        <v>0</v>
      </c>
      <c r="V13" s="883">
        <f t="shared" si="5"/>
        <v>0</v>
      </c>
      <c r="W13" s="883">
        <f t="shared" si="5"/>
        <v>0</v>
      </c>
      <c r="X13" s="180">
        <f t="shared" si="6"/>
        <v>0</v>
      </c>
      <c r="Y13" s="883"/>
      <c r="Z13" s="883"/>
      <c r="AA13" s="883"/>
      <c r="AB13" s="883"/>
      <c r="AC13" s="883"/>
      <c r="AD13" s="883"/>
      <c r="AE13" s="180"/>
      <c r="AG13" s="1415"/>
      <c r="AH13" s="1415"/>
      <c r="AI13" s="1415"/>
    </row>
    <row r="14" spans="2:43">
      <c r="B14" s="48" t="s">
        <v>276</v>
      </c>
      <c r="C14" s="882" t="s">
        <v>626</v>
      </c>
      <c r="D14" s="881">
        <f>SUBTOTAL(9,D15:D18)</f>
        <v>26241516.079364426</v>
      </c>
      <c r="E14" s="881">
        <f t="shared" ref="E14:P14" si="11">SUBTOTAL(9,E15:E18)</f>
        <v>26252467.790547017</v>
      </c>
      <c r="F14" s="881">
        <f t="shared" si="11"/>
        <v>25756629.418417603</v>
      </c>
      <c r="G14" s="881">
        <f t="shared" si="11"/>
        <v>26162478.100219749</v>
      </c>
      <c r="H14" s="881">
        <f t="shared" si="11"/>
        <v>25028863.936138902</v>
      </c>
      <c r="I14" s="881">
        <f t="shared" si="11"/>
        <v>25146145.939312313</v>
      </c>
      <c r="J14" s="180">
        <f t="shared" si="2"/>
        <v>154588101.264</v>
      </c>
      <c r="K14" s="881">
        <f t="shared" si="11"/>
        <v>8205618.7224769732</v>
      </c>
      <c r="L14" s="881">
        <f t="shared" si="11"/>
        <v>8209043.2794290651</v>
      </c>
      <c r="M14" s="881">
        <f t="shared" si="11"/>
        <v>8053996.5733865313</v>
      </c>
      <c r="N14" s="881">
        <f t="shared" si="11"/>
        <v>8180903.8576995404</v>
      </c>
      <c r="O14" s="881">
        <f t="shared" si="11"/>
        <v>7826427.1734746639</v>
      </c>
      <c r="P14" s="881">
        <f t="shared" si="11"/>
        <v>7863100.7939369418</v>
      </c>
      <c r="Q14" s="180">
        <f t="shared" si="4"/>
        <v>48339090.400403708</v>
      </c>
      <c r="R14" s="881">
        <f t="shared" si="7"/>
        <v>18035897.356887452</v>
      </c>
      <c r="S14" s="881">
        <f t="shared" si="5"/>
        <v>18043424.51111795</v>
      </c>
      <c r="T14" s="881">
        <f t="shared" si="5"/>
        <v>17702632.845031071</v>
      </c>
      <c r="U14" s="881">
        <f t="shared" si="5"/>
        <v>17981574.242520209</v>
      </c>
      <c r="V14" s="881">
        <f t="shared" si="5"/>
        <v>17202436.762664236</v>
      </c>
      <c r="W14" s="881">
        <f t="shared" si="5"/>
        <v>17283045.145375371</v>
      </c>
      <c r="X14" s="180">
        <f t="shared" si="6"/>
        <v>106249010.86359629</v>
      </c>
      <c r="Y14" s="881"/>
      <c r="Z14" s="881"/>
      <c r="AA14" s="881"/>
      <c r="AB14" s="881"/>
      <c r="AC14" s="881"/>
      <c r="AD14" s="881"/>
      <c r="AE14" s="881"/>
      <c r="AG14" s="1415">
        <f>'PDYG-200'!$D$30</f>
        <v>0.31269606137313216</v>
      </c>
      <c r="AH14" s="1415">
        <f>'PDYG-200'!$E$30</f>
        <v>0.26899999999999996</v>
      </c>
      <c r="AI14" s="1415">
        <f>'PDYG-200'!$F$30</f>
        <v>0.41830393862686788</v>
      </c>
    </row>
    <row r="15" spans="2:43">
      <c r="B15" s="48"/>
      <c r="C15" s="887" t="s">
        <v>304</v>
      </c>
      <c r="D15" s="883">
        <f>MCDO800!$N15*D$152</f>
        <v>26133852.665902726</v>
      </c>
      <c r="E15" s="883">
        <f>MCDO800!$N15*E$152</f>
        <v>26144759.444520995</v>
      </c>
      <c r="F15" s="883">
        <f>MCDO800!$N15*F$152</f>
        <v>25650955.392798498</v>
      </c>
      <c r="G15" s="883">
        <f>MCDO800!$N15*G$152</f>
        <v>26055138.96293943</v>
      </c>
      <c r="H15" s="883">
        <f>MCDO800!$N15*H$152</f>
        <v>24926175.779010963</v>
      </c>
      <c r="I15" s="883">
        <f>MCDO800!$N15*I$152</f>
        <v>25042976.598827396</v>
      </c>
      <c r="J15" s="180">
        <f t="shared" si="2"/>
        <v>153953858.84400001</v>
      </c>
      <c r="K15" s="883">
        <f t="shared" ref="K15:P18" si="12">D15*$AG15</f>
        <v>8171952.7971335128</v>
      </c>
      <c r="L15" s="883">
        <f t="shared" si="12"/>
        <v>8175363.3038497139</v>
      </c>
      <c r="M15" s="883">
        <f t="shared" si="12"/>
        <v>8020952.7217859942</v>
      </c>
      <c r="N15" s="883">
        <f t="shared" si="12"/>
        <v>8147339.3322407948</v>
      </c>
      <c r="O15" s="883">
        <f t="shared" si="12"/>
        <v>7794316.9911910919</v>
      </c>
      <c r="P15" s="883">
        <f t="shared" si="12"/>
        <v>7830840.1475128438</v>
      </c>
      <c r="Q15" s="180">
        <f t="shared" si="4"/>
        <v>48140765.29371395</v>
      </c>
      <c r="R15" s="883">
        <f t="shared" si="7"/>
        <v>17961899.868769214</v>
      </c>
      <c r="S15" s="883">
        <f t="shared" si="5"/>
        <v>17969396.140671283</v>
      </c>
      <c r="T15" s="883">
        <f t="shared" si="5"/>
        <v>17630002.671012506</v>
      </c>
      <c r="U15" s="883">
        <f t="shared" si="5"/>
        <v>17907799.630698636</v>
      </c>
      <c r="V15" s="883">
        <f t="shared" si="5"/>
        <v>17131858.78781987</v>
      </c>
      <c r="W15" s="883">
        <f t="shared" si="5"/>
        <v>17212136.451314554</v>
      </c>
      <c r="X15" s="180">
        <f t="shared" si="6"/>
        <v>105813093.55028607</v>
      </c>
      <c r="Y15" s="883"/>
      <c r="Z15" s="883"/>
      <c r="AA15" s="883"/>
      <c r="AB15" s="883"/>
      <c r="AC15" s="883"/>
      <c r="AD15" s="883"/>
      <c r="AE15" s="180"/>
      <c r="AG15" s="1415">
        <f>'PDYG-200'!$D$30</f>
        <v>0.31269606137313216</v>
      </c>
      <c r="AH15" s="1415">
        <f>'PDYG-200'!$E$30</f>
        <v>0.26899999999999996</v>
      </c>
      <c r="AI15" s="1415">
        <f>'PDYG-200'!$F$30</f>
        <v>0.41830393862686788</v>
      </c>
    </row>
    <row r="16" spans="2:43">
      <c r="B16" s="48"/>
      <c r="C16" s="888" t="s">
        <v>306</v>
      </c>
      <c r="D16" s="883">
        <f>MCDO800!$N16*D$152</f>
        <v>0</v>
      </c>
      <c r="E16" s="883">
        <f>MCDO800!$N16*E$152</f>
        <v>0</v>
      </c>
      <c r="F16" s="883">
        <f>MCDO800!$N16*F$152</f>
        <v>0</v>
      </c>
      <c r="G16" s="883">
        <f>MCDO800!$N16*G$152</f>
        <v>0</v>
      </c>
      <c r="H16" s="883">
        <f>MCDO800!$N16*H$152</f>
        <v>0</v>
      </c>
      <c r="I16" s="883">
        <f>MCDO800!$N16*I$152</f>
        <v>0</v>
      </c>
      <c r="J16" s="180">
        <f t="shared" si="2"/>
        <v>0</v>
      </c>
      <c r="K16" s="883">
        <f t="shared" si="12"/>
        <v>0</v>
      </c>
      <c r="L16" s="883">
        <f t="shared" si="12"/>
        <v>0</v>
      </c>
      <c r="M16" s="883">
        <f t="shared" si="12"/>
        <v>0</v>
      </c>
      <c r="N16" s="883">
        <f t="shared" si="12"/>
        <v>0</v>
      </c>
      <c r="O16" s="883">
        <f t="shared" si="12"/>
        <v>0</v>
      </c>
      <c r="P16" s="883">
        <f t="shared" si="12"/>
        <v>0</v>
      </c>
      <c r="Q16" s="180">
        <f t="shared" si="4"/>
        <v>0</v>
      </c>
      <c r="R16" s="883">
        <f t="shared" si="7"/>
        <v>0</v>
      </c>
      <c r="S16" s="883">
        <f t="shared" si="5"/>
        <v>0</v>
      </c>
      <c r="T16" s="883">
        <f t="shared" si="5"/>
        <v>0</v>
      </c>
      <c r="U16" s="883">
        <f t="shared" si="5"/>
        <v>0</v>
      </c>
      <c r="V16" s="883">
        <f t="shared" si="5"/>
        <v>0</v>
      </c>
      <c r="W16" s="883">
        <f t="shared" si="5"/>
        <v>0</v>
      </c>
      <c r="X16" s="180">
        <f t="shared" si="6"/>
        <v>0</v>
      </c>
      <c r="Y16" s="883"/>
      <c r="Z16" s="883"/>
      <c r="AA16" s="883"/>
      <c r="AB16" s="883"/>
      <c r="AC16" s="883"/>
      <c r="AD16" s="883"/>
      <c r="AE16" s="180"/>
      <c r="AG16" s="1415">
        <f>'PDYG-200'!$D$30</f>
        <v>0.31269606137313216</v>
      </c>
      <c r="AH16" s="1415">
        <f>'PDYG-200'!$E$30</f>
        <v>0.26899999999999996</v>
      </c>
      <c r="AI16" s="1415">
        <f>'PDYG-200'!$F$30</f>
        <v>0.41830393862686788</v>
      </c>
    </row>
    <row r="17" spans="2:35">
      <c r="B17" s="48"/>
      <c r="C17" s="887" t="s">
        <v>305</v>
      </c>
      <c r="D17" s="883">
        <f>MCDO800!$N17*D$152</f>
        <v>107663.41346169886</v>
      </c>
      <c r="E17" s="883">
        <f>MCDO800!$N17*E$152</f>
        <v>107708.34602602168</v>
      </c>
      <c r="F17" s="883">
        <f>MCDO800!$N17*F$152</f>
        <v>105674.02561910264</v>
      </c>
      <c r="G17" s="883">
        <f>MCDO800!$N17*G$152</f>
        <v>107339.13728031916</v>
      </c>
      <c r="H17" s="883">
        <f>MCDO800!$N17*H$152</f>
        <v>102688.15712793954</v>
      </c>
      <c r="I17" s="883">
        <f>MCDO800!$N17*I$152</f>
        <v>103169.34048491811</v>
      </c>
      <c r="J17" s="180">
        <f t="shared" si="2"/>
        <v>634242.42000000004</v>
      </c>
      <c r="K17" s="883">
        <f t="shared" si="12"/>
        <v>33665.925343460287</v>
      </c>
      <c r="L17" s="883">
        <f t="shared" si="12"/>
        <v>33679.975579351434</v>
      </c>
      <c r="M17" s="883">
        <f t="shared" si="12"/>
        <v>33043.851600536858</v>
      </c>
      <c r="N17" s="883">
        <f t="shared" si="12"/>
        <v>33564.525458745738</v>
      </c>
      <c r="O17" s="883">
        <f t="shared" si="12"/>
        <v>32110.182283572023</v>
      </c>
      <c r="P17" s="883">
        <f t="shared" si="12"/>
        <v>32260.646424097522</v>
      </c>
      <c r="Q17" s="180">
        <f t="shared" si="4"/>
        <v>198325.1066897639</v>
      </c>
      <c r="R17" s="883">
        <f t="shared" si="7"/>
        <v>73997.488118238572</v>
      </c>
      <c r="S17" s="883">
        <f t="shared" si="5"/>
        <v>74028.370446670247</v>
      </c>
      <c r="T17" s="883">
        <f t="shared" si="5"/>
        <v>72630.174018565784</v>
      </c>
      <c r="U17" s="883">
        <f t="shared" si="5"/>
        <v>73774.611821573431</v>
      </c>
      <c r="V17" s="883">
        <f t="shared" si="5"/>
        <v>70577.97484436752</v>
      </c>
      <c r="W17" s="883">
        <f t="shared" si="5"/>
        <v>70908.694060820591</v>
      </c>
      <c r="X17" s="180">
        <f t="shared" si="6"/>
        <v>435917.31331023609</v>
      </c>
      <c r="Y17" s="883"/>
      <c r="Z17" s="883"/>
      <c r="AA17" s="883"/>
      <c r="AB17" s="883"/>
      <c r="AC17" s="883"/>
      <c r="AD17" s="883"/>
      <c r="AE17" s="180"/>
      <c r="AG17" s="1415">
        <f>'PDYG-200'!$D$30</f>
        <v>0.31269606137313216</v>
      </c>
      <c r="AH17" s="1415">
        <f>'PDYG-200'!$E$30</f>
        <v>0.26899999999999996</v>
      </c>
      <c r="AI17" s="1415">
        <f>'PDYG-200'!$F$30</f>
        <v>0.41830393862686788</v>
      </c>
    </row>
    <row r="18" spans="2:35">
      <c r="B18" s="48"/>
      <c r="C18" s="887" t="s">
        <v>307</v>
      </c>
      <c r="D18" s="883">
        <f>MCDO800!$N18*D$152</f>
        <v>0</v>
      </c>
      <c r="E18" s="883">
        <f>MCDO800!$N18*E$152</f>
        <v>0</v>
      </c>
      <c r="F18" s="883">
        <f>MCDO800!$N18*F$152</f>
        <v>0</v>
      </c>
      <c r="G18" s="883">
        <f>MCDO800!$N18*G$152</f>
        <v>0</v>
      </c>
      <c r="H18" s="883">
        <f>MCDO800!$N18*H$152</f>
        <v>0</v>
      </c>
      <c r="I18" s="883">
        <f>MCDO800!$N18*I$152</f>
        <v>0</v>
      </c>
      <c r="J18" s="180">
        <f t="shared" si="2"/>
        <v>0</v>
      </c>
      <c r="K18" s="883">
        <f t="shared" si="12"/>
        <v>0</v>
      </c>
      <c r="L18" s="883">
        <f t="shared" si="12"/>
        <v>0</v>
      </c>
      <c r="M18" s="883">
        <f t="shared" si="12"/>
        <v>0</v>
      </c>
      <c r="N18" s="883">
        <f t="shared" si="12"/>
        <v>0</v>
      </c>
      <c r="O18" s="883">
        <f t="shared" si="12"/>
        <v>0</v>
      </c>
      <c r="P18" s="883">
        <f t="shared" si="12"/>
        <v>0</v>
      </c>
      <c r="Q18" s="180">
        <f t="shared" si="4"/>
        <v>0</v>
      </c>
      <c r="R18" s="883">
        <f t="shared" si="7"/>
        <v>0</v>
      </c>
      <c r="S18" s="883">
        <f t="shared" si="5"/>
        <v>0</v>
      </c>
      <c r="T18" s="883">
        <f t="shared" si="5"/>
        <v>0</v>
      </c>
      <c r="U18" s="883">
        <f t="shared" si="5"/>
        <v>0</v>
      </c>
      <c r="V18" s="883">
        <f t="shared" si="5"/>
        <v>0</v>
      </c>
      <c r="W18" s="883">
        <f t="shared" si="5"/>
        <v>0</v>
      </c>
      <c r="X18" s="180">
        <f t="shared" si="6"/>
        <v>0</v>
      </c>
      <c r="Y18" s="883"/>
      <c r="Z18" s="883"/>
      <c r="AA18" s="883"/>
      <c r="AB18" s="883"/>
      <c r="AC18" s="883"/>
      <c r="AD18" s="883"/>
      <c r="AE18" s="180"/>
      <c r="AG18" s="1415">
        <f>'PDYG-200'!$D$30</f>
        <v>0.31269606137313216</v>
      </c>
      <c r="AH18" s="1415">
        <f>'PDYG-200'!$E$30</f>
        <v>0.26899999999999996</v>
      </c>
      <c r="AI18" s="1415">
        <f>'PDYG-200'!$F$30</f>
        <v>0.41830393862686788</v>
      </c>
    </row>
    <row r="19" spans="2:35">
      <c r="B19" s="48"/>
      <c r="C19" s="884"/>
      <c r="D19" s="883">
        <f>MCDO800!$N19*D$152</f>
        <v>0</v>
      </c>
      <c r="E19" s="883">
        <f>MCDO800!$N19*E$152</f>
        <v>0</v>
      </c>
      <c r="F19" s="883">
        <f>MCDO800!$N19*F$152</f>
        <v>0</v>
      </c>
      <c r="G19" s="883">
        <f>MCDO800!$N19*G$152</f>
        <v>0</v>
      </c>
      <c r="H19" s="883">
        <f>MCDO800!$N19*H$152</f>
        <v>0</v>
      </c>
      <c r="I19" s="883">
        <f>MCDO800!$N19*I$152</f>
        <v>0</v>
      </c>
      <c r="J19" s="180">
        <f t="shared" si="2"/>
        <v>0</v>
      </c>
      <c r="K19" s="883"/>
      <c r="L19" s="883"/>
      <c r="M19" s="883"/>
      <c r="N19" s="883"/>
      <c r="O19" s="883"/>
      <c r="P19" s="883"/>
      <c r="Q19" s="180">
        <f t="shared" si="4"/>
        <v>0</v>
      </c>
      <c r="R19" s="883">
        <f t="shared" si="7"/>
        <v>0</v>
      </c>
      <c r="S19" s="883">
        <f t="shared" si="5"/>
        <v>0</v>
      </c>
      <c r="T19" s="883">
        <f t="shared" si="5"/>
        <v>0</v>
      </c>
      <c r="U19" s="883">
        <f t="shared" si="5"/>
        <v>0</v>
      </c>
      <c r="V19" s="883">
        <f t="shared" si="5"/>
        <v>0</v>
      </c>
      <c r="W19" s="883">
        <f t="shared" si="5"/>
        <v>0</v>
      </c>
      <c r="X19" s="180">
        <f t="shared" si="6"/>
        <v>0</v>
      </c>
      <c r="Y19" s="883"/>
      <c r="Z19" s="883"/>
      <c r="AA19" s="883"/>
      <c r="AB19" s="883"/>
      <c r="AC19" s="883"/>
      <c r="AD19" s="883"/>
      <c r="AE19" s="180"/>
      <c r="AG19" s="1412"/>
      <c r="AH19" s="1412"/>
      <c r="AI19" s="1412"/>
    </row>
    <row r="20" spans="2:35" s="52" customFormat="1">
      <c r="B20" s="48"/>
      <c r="C20" s="880" t="s">
        <v>443</v>
      </c>
      <c r="D20" s="881">
        <f>SUBTOTAL(9,D21:D105)</f>
        <v>233501995.66648015</v>
      </c>
      <c r="E20" s="881">
        <f t="shared" ref="E20:P20" si="13">SUBTOTAL(9,E21:E105)</f>
        <v>233599446.07328451</v>
      </c>
      <c r="F20" s="881">
        <f t="shared" si="13"/>
        <v>229187382.03437471</v>
      </c>
      <c r="G20" s="881">
        <f t="shared" si="13"/>
        <v>232798700.71172562</v>
      </c>
      <c r="H20" s="881">
        <f t="shared" si="13"/>
        <v>222711586.50581959</v>
      </c>
      <c r="I20" s="881">
        <f t="shared" si="13"/>
        <v>223755184.05231538</v>
      </c>
      <c r="J20" s="180">
        <f t="shared" si="2"/>
        <v>1375554295.0440001</v>
      </c>
      <c r="K20" s="881">
        <f t="shared" si="13"/>
        <v>63805776.735536046</v>
      </c>
      <c r="L20" s="881">
        <f t="shared" si="13"/>
        <v>63832405.625287488</v>
      </c>
      <c r="M20" s="881">
        <f t="shared" si="13"/>
        <v>62626783.496851079</v>
      </c>
      <c r="N20" s="881">
        <f t="shared" si="13"/>
        <v>63613597.303689167</v>
      </c>
      <c r="O20" s="881">
        <f t="shared" si="13"/>
        <v>60857234.750594772</v>
      </c>
      <c r="P20" s="881">
        <f t="shared" si="13"/>
        <v>61142403.842462286</v>
      </c>
      <c r="Q20" s="180">
        <f t="shared" si="4"/>
        <v>375878201.75442088</v>
      </c>
      <c r="R20" s="881">
        <f t="shared" si="7"/>
        <v>169696218.93094411</v>
      </c>
      <c r="S20" s="881">
        <f t="shared" si="5"/>
        <v>169767040.44799703</v>
      </c>
      <c r="T20" s="881">
        <f t="shared" si="5"/>
        <v>166560598.53752363</v>
      </c>
      <c r="U20" s="881">
        <f t="shared" si="5"/>
        <v>169185103.40803647</v>
      </c>
      <c r="V20" s="881">
        <f t="shared" si="5"/>
        <v>161854351.75522482</v>
      </c>
      <c r="W20" s="881">
        <f t="shared" si="5"/>
        <v>162612780.20985311</v>
      </c>
      <c r="X20" s="180">
        <f t="shared" si="6"/>
        <v>999676093.28957915</v>
      </c>
      <c r="Y20" s="881"/>
      <c r="Z20" s="881"/>
      <c r="AA20" s="881"/>
      <c r="AB20" s="881"/>
      <c r="AC20" s="881"/>
      <c r="AD20" s="881"/>
      <c r="AE20" s="180"/>
      <c r="AG20" s="1415"/>
      <c r="AH20" s="1415"/>
      <c r="AI20" s="1415"/>
    </row>
    <row r="21" spans="2:35">
      <c r="B21" s="48" t="s">
        <v>275</v>
      </c>
      <c r="C21" s="882" t="s">
        <v>275</v>
      </c>
      <c r="D21" s="881">
        <f>SUBTOTAL(9,D22:D24)</f>
        <v>2934886.154671187</v>
      </c>
      <c r="E21" s="881">
        <f t="shared" ref="E21:P21" si="14">SUBTOTAL(9,E22:E24)</f>
        <v>2936111.0086553297</v>
      </c>
      <c r="F21" s="881">
        <f t="shared" si="14"/>
        <v>2880655.7838536771</v>
      </c>
      <c r="G21" s="881">
        <f t="shared" si="14"/>
        <v>2926046.4416765817</v>
      </c>
      <c r="H21" s="881">
        <f t="shared" si="14"/>
        <v>2799261.5217490201</v>
      </c>
      <c r="I21" s="881">
        <f t="shared" si="14"/>
        <v>2812378.4973942055</v>
      </c>
      <c r="J21" s="180">
        <f t="shared" si="2"/>
        <v>17289339.408</v>
      </c>
      <c r="K21" s="881">
        <f t="shared" si="14"/>
        <v>1173136.576620684</v>
      </c>
      <c r="L21" s="881">
        <f t="shared" si="14"/>
        <v>1173626.1768757161</v>
      </c>
      <c r="M21" s="881">
        <f t="shared" si="14"/>
        <v>1151459.541050338</v>
      </c>
      <c r="N21" s="881">
        <f t="shared" si="14"/>
        <v>1169603.1548474764</v>
      </c>
      <c r="O21" s="881">
        <f t="shared" si="14"/>
        <v>1118924.5189166695</v>
      </c>
      <c r="P21" s="881">
        <f t="shared" si="14"/>
        <v>1124167.6537754161</v>
      </c>
      <c r="Q21" s="180">
        <f t="shared" si="4"/>
        <v>6910917.6220863005</v>
      </c>
      <c r="R21" s="881">
        <f t="shared" si="7"/>
        <v>1761749.578050503</v>
      </c>
      <c r="S21" s="881">
        <f t="shared" si="5"/>
        <v>1762484.8317796136</v>
      </c>
      <c r="T21" s="881">
        <f t="shared" si="5"/>
        <v>1729196.2428033391</v>
      </c>
      <c r="U21" s="881">
        <f t="shared" si="5"/>
        <v>1756443.2868291053</v>
      </c>
      <c r="V21" s="881">
        <f t="shared" si="5"/>
        <v>1680337.0028323506</v>
      </c>
      <c r="W21" s="881">
        <f t="shared" si="5"/>
        <v>1688210.8436187895</v>
      </c>
      <c r="X21" s="180">
        <f t="shared" si="6"/>
        <v>10378421.785913702</v>
      </c>
      <c r="Y21" s="883"/>
      <c r="Z21" s="883"/>
      <c r="AA21" s="883"/>
      <c r="AB21" s="883"/>
      <c r="AC21" s="883"/>
      <c r="AD21" s="883"/>
      <c r="AE21" s="180"/>
      <c r="AG21" s="1415">
        <f>'PDYG-200'!$D$31</f>
        <v>0.39972132300720115</v>
      </c>
      <c r="AH21" s="1415">
        <f>'PDYG-200'!$E$31</f>
        <v>0.24340000000000001</v>
      </c>
      <c r="AI21" s="1415">
        <f>'PDYG-200'!$F$31</f>
        <v>0.35687867699279885</v>
      </c>
    </row>
    <row r="22" spans="2:35">
      <c r="B22" s="48"/>
      <c r="C22" s="887" t="s">
        <v>304</v>
      </c>
      <c r="D22" s="883">
        <f>MCDO800!$N22*D$152</f>
        <v>2909788.842373204</v>
      </c>
      <c r="E22" s="883">
        <f>MCDO800!$N22*E$152</f>
        <v>2911003.2221715213</v>
      </c>
      <c r="F22" s="883">
        <f>MCDO800!$N22*F$152</f>
        <v>2856022.2157967701</v>
      </c>
      <c r="G22" s="883">
        <f>MCDO800!$N22*G$152</f>
        <v>2901024.7210799316</v>
      </c>
      <c r="H22" s="883">
        <f>MCDO800!$N22*H$152</f>
        <v>2775323.9865559614</v>
      </c>
      <c r="I22" s="883">
        <f>MCDO800!$N22*I$152</f>
        <v>2788328.7940226132</v>
      </c>
      <c r="J22" s="180">
        <f t="shared" si="2"/>
        <v>17141491.782000002</v>
      </c>
      <c r="K22" s="883">
        <f t="shared" ref="K22:P24" si="15">D22*$AG22</f>
        <v>1163104.6457450094</v>
      </c>
      <c r="L22" s="883">
        <f t="shared" si="15"/>
        <v>1163590.059244626</v>
      </c>
      <c r="M22" s="883">
        <f t="shared" si="15"/>
        <v>1141612.9786362431</v>
      </c>
      <c r="N22" s="883">
        <f t="shared" si="15"/>
        <v>1159601.4395866669</v>
      </c>
      <c r="O22" s="883">
        <f t="shared" si="15"/>
        <v>1109356.1756797687</v>
      </c>
      <c r="P22" s="883">
        <f t="shared" si="15"/>
        <v>1114554.4745257925</v>
      </c>
      <c r="Q22" s="180">
        <f t="shared" si="4"/>
        <v>6851819.7734181071</v>
      </c>
      <c r="R22" s="883">
        <f t="shared" si="7"/>
        <v>1746684.1966281945</v>
      </c>
      <c r="S22" s="883">
        <f t="shared" si="5"/>
        <v>1747413.1629268953</v>
      </c>
      <c r="T22" s="883">
        <f t="shared" si="5"/>
        <v>1714409.2371605269</v>
      </c>
      <c r="U22" s="883">
        <f t="shared" si="5"/>
        <v>1741423.2814932647</v>
      </c>
      <c r="V22" s="883">
        <f t="shared" si="5"/>
        <v>1665967.8108761928</v>
      </c>
      <c r="W22" s="883">
        <f t="shared" si="5"/>
        <v>1673774.3194968207</v>
      </c>
      <c r="X22" s="180">
        <f t="shared" si="6"/>
        <v>10289672.008581895</v>
      </c>
      <c r="Y22" s="883"/>
      <c r="Z22" s="883"/>
      <c r="AA22" s="883"/>
      <c r="AB22" s="883"/>
      <c r="AC22" s="883"/>
      <c r="AD22" s="883"/>
      <c r="AE22" s="180"/>
      <c r="AG22" s="1415">
        <f>'PDYG-200'!$D$31</f>
        <v>0.39972132300720115</v>
      </c>
      <c r="AH22" s="1415">
        <f>'PDYG-200'!$E$31</f>
        <v>0.24340000000000001</v>
      </c>
      <c r="AI22" s="1415">
        <f>'PDYG-200'!$F$31</f>
        <v>0.35687867699279885</v>
      </c>
    </row>
    <row r="23" spans="2:35">
      <c r="B23" s="48"/>
      <c r="C23" s="888" t="s">
        <v>306</v>
      </c>
      <c r="D23" s="883">
        <f>MCDO800!$N23*D$152</f>
        <v>15539.151709831011</v>
      </c>
      <c r="E23" s="883">
        <f>MCDO800!$N23*E$152</f>
        <v>15545.636864920138</v>
      </c>
      <c r="F23" s="883">
        <f>MCDO800!$N23*F$152</f>
        <v>15252.021676499924</v>
      </c>
      <c r="G23" s="883">
        <f>MCDO800!$N23*G$152</f>
        <v>15492.348653747928</v>
      </c>
      <c r="H23" s="883">
        <f>MCDO800!$N23*H$152</f>
        <v>14821.068746642339</v>
      </c>
      <c r="I23" s="883">
        <f>MCDO800!$N23*I$152</f>
        <v>14890.51834835867</v>
      </c>
      <c r="J23" s="180">
        <f t="shared" si="2"/>
        <v>91540.745999999999</v>
      </c>
      <c r="K23" s="883">
        <f t="shared" si="15"/>
        <v>6211.3302798632631</v>
      </c>
      <c r="L23" s="883">
        <f t="shared" si="15"/>
        <v>6213.922534635396</v>
      </c>
      <c r="M23" s="883">
        <f t="shared" si="15"/>
        <v>6096.5582830650601</v>
      </c>
      <c r="N23" s="883">
        <f t="shared" si="15"/>
        <v>6192.6221003649534</v>
      </c>
      <c r="O23" s="883">
        <f t="shared" si="15"/>
        <v>5924.2972077885561</v>
      </c>
      <c r="P23" s="883">
        <f t="shared" si="15"/>
        <v>5952.057694468931</v>
      </c>
      <c r="Q23" s="180">
        <f t="shared" si="4"/>
        <v>36590.788100186161</v>
      </c>
      <c r="R23" s="883">
        <f t="shared" si="7"/>
        <v>9327.8214299677475</v>
      </c>
      <c r="S23" s="883">
        <f t="shared" si="5"/>
        <v>9331.7143302847417</v>
      </c>
      <c r="T23" s="883">
        <f t="shared" si="5"/>
        <v>9155.463393434864</v>
      </c>
      <c r="U23" s="883">
        <f t="shared" si="5"/>
        <v>9299.7265533829741</v>
      </c>
      <c r="V23" s="883">
        <f t="shared" si="5"/>
        <v>8896.7715388537836</v>
      </c>
      <c r="W23" s="883">
        <f t="shared" si="5"/>
        <v>8938.4606538897388</v>
      </c>
      <c r="X23" s="180">
        <f t="shared" si="6"/>
        <v>54949.957899813846</v>
      </c>
      <c r="Y23" s="883"/>
      <c r="Z23" s="883"/>
      <c r="AA23" s="883"/>
      <c r="AB23" s="883"/>
      <c r="AC23" s="883"/>
      <c r="AD23" s="883"/>
      <c r="AE23" s="180"/>
      <c r="AG23" s="1415">
        <f>'PDYG-200'!$D$31</f>
        <v>0.39972132300720115</v>
      </c>
      <c r="AH23" s="1415">
        <f>'PDYG-200'!$E$31</f>
        <v>0.24340000000000001</v>
      </c>
      <c r="AI23" s="1415">
        <f>'PDYG-200'!$F$31</f>
        <v>0.35687867699279885</v>
      </c>
    </row>
    <row r="24" spans="2:35">
      <c r="B24" s="48"/>
      <c r="C24" s="887" t="s">
        <v>305</v>
      </c>
      <c r="D24" s="883">
        <f>MCDO800!$N24*D$152</f>
        <v>9558.1605881521809</v>
      </c>
      <c r="E24" s="883">
        <f>MCDO800!$N24*E$152</f>
        <v>9562.149618888121</v>
      </c>
      <c r="F24" s="883">
        <f>MCDO800!$N24*F$152</f>
        <v>9381.5463804072551</v>
      </c>
      <c r="G24" s="883">
        <f>MCDO800!$N24*G$152</f>
        <v>9529.3719429023004</v>
      </c>
      <c r="H24" s="883">
        <f>MCDO800!$N24*H$152</f>
        <v>9116.4664464165544</v>
      </c>
      <c r="I24" s="883">
        <f>MCDO800!$N24*I$152</f>
        <v>9159.1850232335855</v>
      </c>
      <c r="J24" s="180">
        <f t="shared" si="2"/>
        <v>56306.880000000005</v>
      </c>
      <c r="K24" s="883">
        <f t="shared" si="15"/>
        <v>3820.6005958114774</v>
      </c>
      <c r="L24" s="883">
        <f t="shared" si="15"/>
        <v>3822.1950964547641</v>
      </c>
      <c r="M24" s="883">
        <f t="shared" si="15"/>
        <v>3750.004131029807</v>
      </c>
      <c r="N24" s="883">
        <f t="shared" si="15"/>
        <v>3809.0931604446105</v>
      </c>
      <c r="O24" s="883">
        <f t="shared" si="15"/>
        <v>3644.0460291123827</v>
      </c>
      <c r="P24" s="883">
        <f t="shared" si="15"/>
        <v>3661.1215551546711</v>
      </c>
      <c r="Q24" s="180">
        <f t="shared" si="4"/>
        <v>22507.060568007713</v>
      </c>
      <c r="R24" s="883">
        <f t="shared" si="7"/>
        <v>5737.5599923407035</v>
      </c>
      <c r="S24" s="883">
        <f t="shared" si="5"/>
        <v>5739.9545224333569</v>
      </c>
      <c r="T24" s="883">
        <f t="shared" si="5"/>
        <v>5631.5422493774477</v>
      </c>
      <c r="U24" s="883">
        <f t="shared" si="5"/>
        <v>5720.2787824576899</v>
      </c>
      <c r="V24" s="883">
        <f t="shared" si="5"/>
        <v>5472.4204173041717</v>
      </c>
      <c r="W24" s="883">
        <f t="shared" si="5"/>
        <v>5498.0634680789144</v>
      </c>
      <c r="X24" s="180">
        <f t="shared" si="6"/>
        <v>33799.819431992284</v>
      </c>
      <c r="Y24" s="883"/>
      <c r="Z24" s="883"/>
      <c r="AA24" s="883"/>
      <c r="AB24" s="883"/>
      <c r="AC24" s="883"/>
      <c r="AD24" s="883"/>
      <c r="AE24" s="180"/>
      <c r="AG24" s="1415">
        <f>'PDYG-200'!$D$31</f>
        <v>0.39972132300720115</v>
      </c>
      <c r="AH24" s="1415">
        <f>'PDYG-200'!$E$31</f>
        <v>0.24340000000000001</v>
      </c>
      <c r="AI24" s="1415">
        <f>'PDYG-200'!$F$31</f>
        <v>0.35687867699279885</v>
      </c>
    </row>
    <row r="25" spans="2:35">
      <c r="B25" s="48"/>
      <c r="C25" s="887"/>
      <c r="D25" s="883"/>
      <c r="E25" s="883"/>
      <c r="F25" s="883"/>
      <c r="G25" s="883"/>
      <c r="H25" s="883"/>
      <c r="I25" s="883"/>
      <c r="J25" s="180">
        <f t="shared" si="2"/>
        <v>0</v>
      </c>
      <c r="K25" s="883"/>
      <c r="L25" s="883"/>
      <c r="M25" s="883"/>
      <c r="N25" s="883"/>
      <c r="O25" s="883"/>
      <c r="P25" s="883"/>
      <c r="Q25" s="180">
        <f t="shared" si="4"/>
        <v>0</v>
      </c>
      <c r="R25" s="883">
        <f t="shared" si="7"/>
        <v>0</v>
      </c>
      <c r="S25" s="883">
        <f t="shared" si="5"/>
        <v>0</v>
      </c>
      <c r="T25" s="883">
        <f t="shared" si="5"/>
        <v>0</v>
      </c>
      <c r="U25" s="883">
        <f t="shared" si="5"/>
        <v>0</v>
      </c>
      <c r="V25" s="883">
        <f t="shared" si="5"/>
        <v>0</v>
      </c>
      <c r="W25" s="883">
        <f t="shared" si="5"/>
        <v>0</v>
      </c>
      <c r="X25" s="180">
        <f t="shared" si="6"/>
        <v>0</v>
      </c>
      <c r="Y25" s="883"/>
      <c r="Z25" s="883"/>
      <c r="AA25" s="883"/>
      <c r="AB25" s="883"/>
      <c r="AC25" s="883"/>
      <c r="AD25" s="883"/>
      <c r="AE25" s="180"/>
      <c r="AG25" s="1415"/>
      <c r="AH25" s="1415"/>
      <c r="AI25" s="1415"/>
    </row>
    <row r="26" spans="2:35">
      <c r="B26" s="48"/>
      <c r="C26" s="882" t="s">
        <v>1736</v>
      </c>
      <c r="D26" s="881">
        <f>SUBTOTAL(9,D27:D48)</f>
        <v>60693060.697906092</v>
      </c>
      <c r="E26" s="881">
        <f t="shared" ref="E26:P26" si="16">SUBTOTAL(9,E27:E48)</f>
        <v>60718390.517629176</v>
      </c>
      <c r="F26" s="881">
        <f t="shared" si="16"/>
        <v>59571583.743013479</v>
      </c>
      <c r="G26" s="881">
        <f t="shared" si="16"/>
        <v>60510256.59271796</v>
      </c>
      <c r="H26" s="881">
        <f t="shared" si="16"/>
        <v>57888361.07949838</v>
      </c>
      <c r="I26" s="881">
        <f t="shared" si="16"/>
        <v>58159618.415234938</v>
      </c>
      <c r="J26" s="180">
        <f t="shared" si="2"/>
        <v>357541271.046</v>
      </c>
      <c r="K26" s="881">
        <f t="shared" si="16"/>
        <v>24260310.519523382</v>
      </c>
      <c r="L26" s="881">
        <f t="shared" si="16"/>
        <v>24270435.38857463</v>
      </c>
      <c r="M26" s="881">
        <f t="shared" si="16"/>
        <v>23812032.267391622</v>
      </c>
      <c r="N26" s="881">
        <f t="shared" si="16"/>
        <v>24187239.82074644</v>
      </c>
      <c r="O26" s="881">
        <f t="shared" si="16"/>
        <v>23139212.277415663</v>
      </c>
      <c r="P26" s="881">
        <f t="shared" si="16"/>
        <v>23247639.618531685</v>
      </c>
      <c r="Q26" s="180">
        <f t="shared" si="4"/>
        <v>142916869.89218342</v>
      </c>
      <c r="R26" s="881">
        <f t="shared" si="7"/>
        <v>36432750.17838271</v>
      </c>
      <c r="S26" s="881">
        <f t="shared" si="5"/>
        <v>36447955.129054546</v>
      </c>
      <c r="T26" s="881">
        <f t="shared" si="5"/>
        <v>35759551.475621857</v>
      </c>
      <c r="U26" s="881">
        <f t="shared" si="5"/>
        <v>36323016.771971524</v>
      </c>
      <c r="V26" s="881">
        <f t="shared" si="5"/>
        <v>34749148.802082717</v>
      </c>
      <c r="W26" s="881">
        <f t="shared" si="5"/>
        <v>34911978.796703249</v>
      </c>
      <c r="X26" s="180">
        <f t="shared" si="6"/>
        <v>214624401.15381661</v>
      </c>
      <c r="Y26" s="883"/>
      <c r="Z26" s="883"/>
      <c r="AA26" s="883"/>
      <c r="AB26" s="883"/>
      <c r="AC26" s="883"/>
      <c r="AD26" s="883"/>
      <c r="AE26" s="180"/>
      <c r="AG26" s="1415"/>
      <c r="AH26" s="1415"/>
      <c r="AI26" s="1415"/>
    </row>
    <row r="27" spans="2:35">
      <c r="B27" s="48" t="s">
        <v>274</v>
      </c>
      <c r="C27" s="882" t="s">
        <v>627</v>
      </c>
      <c r="D27" s="881">
        <f>SUBTOTAL(9,D28:D33)</f>
        <v>35400294.988273412</v>
      </c>
      <c r="E27" s="881">
        <f t="shared" ref="E27:P27" si="17">SUBTOTAL(9,E28:E33)</f>
        <v>35415069.051072121</v>
      </c>
      <c r="F27" s="881">
        <f t="shared" si="17"/>
        <v>34746173.832259297</v>
      </c>
      <c r="G27" s="881">
        <f t="shared" si="17"/>
        <v>35293671.279165424</v>
      </c>
      <c r="H27" s="881">
        <f t="shared" si="17"/>
        <v>33764404.612941653</v>
      </c>
      <c r="I27" s="881">
        <f t="shared" si="17"/>
        <v>33922620.224288121</v>
      </c>
      <c r="J27" s="180">
        <f t="shared" si="2"/>
        <v>208542233.98800004</v>
      </c>
      <c r="K27" s="881">
        <f t="shared" si="17"/>
        <v>14150252.747557838</v>
      </c>
      <c r="L27" s="881">
        <f t="shared" si="17"/>
        <v>14156158.255485933</v>
      </c>
      <c r="M27" s="881">
        <f t="shared" si="17"/>
        <v>13888786.573668879</v>
      </c>
      <c r="N27" s="881">
        <f t="shared" si="17"/>
        <v>14107632.977489261</v>
      </c>
      <c r="O27" s="881">
        <f t="shared" si="17"/>
        <v>13496352.482435483</v>
      </c>
      <c r="P27" s="881">
        <f t="shared" si="17"/>
        <v>13559594.635923281</v>
      </c>
      <c r="Q27" s="180">
        <f t="shared" si="4"/>
        <v>83358777.672560677</v>
      </c>
      <c r="R27" s="881">
        <f t="shared" si="7"/>
        <v>21250042.240715574</v>
      </c>
      <c r="S27" s="881">
        <f t="shared" si="5"/>
        <v>21258910.795586187</v>
      </c>
      <c r="T27" s="881">
        <f t="shared" si="5"/>
        <v>20857387.258590419</v>
      </c>
      <c r="U27" s="881">
        <f t="shared" si="5"/>
        <v>21186038.301676162</v>
      </c>
      <c r="V27" s="881">
        <f t="shared" si="5"/>
        <v>20268052.130506169</v>
      </c>
      <c r="W27" s="881">
        <f t="shared" si="5"/>
        <v>20363025.58836484</v>
      </c>
      <c r="X27" s="180">
        <f t="shared" si="6"/>
        <v>125183456.31543936</v>
      </c>
      <c r="Y27" s="881"/>
      <c r="Z27" s="881"/>
      <c r="AA27" s="881"/>
      <c r="AB27" s="881"/>
      <c r="AC27" s="881"/>
      <c r="AD27" s="881"/>
      <c r="AE27" s="180"/>
      <c r="AG27" s="1415">
        <f>'PDYG-200'!$D$31</f>
        <v>0.39972132300720115</v>
      </c>
      <c r="AH27" s="1415">
        <f>'PDYG-200'!$E$31</f>
        <v>0.24340000000000001</v>
      </c>
      <c r="AI27" s="1415">
        <f>'PDYG-200'!$F$31</f>
        <v>0.35687867699279885</v>
      </c>
    </row>
    <row r="28" spans="2:35">
      <c r="B28" s="48"/>
      <c r="C28" s="887" t="s">
        <v>304</v>
      </c>
      <c r="D28" s="883">
        <f>MCDO800!$N28*D$152</f>
        <v>35323725.030563205</v>
      </c>
      <c r="E28" s="883">
        <f>MCDO800!$N28*E$152</f>
        <v>35338467.137431495</v>
      </c>
      <c r="F28" s="883">
        <f>MCDO800!$N28*F$152</f>
        <v>34671018.722342595</v>
      </c>
      <c r="G28" s="883">
        <f>MCDO800!$N28*G$152</f>
        <v>35217331.945886463</v>
      </c>
      <c r="H28" s="883">
        <f>MCDO800!$N28*H$152</f>
        <v>33691373.045431286</v>
      </c>
      <c r="I28" s="883">
        <f>MCDO800!$N28*I$152</f>
        <v>33849246.440344974</v>
      </c>
      <c r="J28" s="180">
        <f t="shared" si="2"/>
        <v>208091162.32200003</v>
      </c>
      <c r="K28" s="883">
        <f t="shared" ref="K28:P33" si="18">D28*$AG28</f>
        <v>14119646.102759311</v>
      </c>
      <c r="L28" s="883">
        <f t="shared" si="18"/>
        <v>14125538.837220617</v>
      </c>
      <c r="M28" s="883">
        <f t="shared" si="18"/>
        <v>13858745.473702222</v>
      </c>
      <c r="N28" s="883">
        <f t="shared" si="18"/>
        <v>14077118.518193506</v>
      </c>
      <c r="O28" s="883">
        <f t="shared" si="18"/>
        <v>13467160.20764895</v>
      </c>
      <c r="P28" s="883">
        <f t="shared" si="18"/>
        <v>13530265.569931487</v>
      </c>
      <c r="Q28" s="180">
        <f t="shared" si="4"/>
        <v>83178474.709456101</v>
      </c>
      <c r="R28" s="883">
        <f t="shared" si="7"/>
        <v>21204078.927803896</v>
      </c>
      <c r="S28" s="883">
        <f t="shared" si="5"/>
        <v>21212928.300210878</v>
      </c>
      <c r="T28" s="883">
        <f t="shared" si="5"/>
        <v>20812273.248640373</v>
      </c>
      <c r="U28" s="883">
        <f t="shared" si="5"/>
        <v>21140213.427692957</v>
      </c>
      <c r="V28" s="883">
        <f t="shared" si="5"/>
        <v>20224212.837782338</v>
      </c>
      <c r="W28" s="883">
        <f t="shared" si="5"/>
        <v>20318980.87041349</v>
      </c>
      <c r="X28" s="180">
        <f t="shared" si="6"/>
        <v>124912687.61254394</v>
      </c>
      <c r="Y28" s="883"/>
      <c r="Z28" s="883"/>
      <c r="AA28" s="883"/>
      <c r="AB28" s="883"/>
      <c r="AC28" s="883"/>
      <c r="AD28" s="883"/>
      <c r="AE28" s="180"/>
      <c r="AG28" s="1415">
        <f>'PDYG-200'!$D$31</f>
        <v>0.39972132300720115</v>
      </c>
      <c r="AH28" s="1415">
        <f>'PDYG-200'!$E$31</f>
        <v>0.24340000000000001</v>
      </c>
      <c r="AI28" s="1415">
        <f>'PDYG-200'!$F$31</f>
        <v>0.35687867699279885</v>
      </c>
    </row>
    <row r="29" spans="2:35">
      <c r="B29" s="48"/>
      <c r="C29" s="888" t="s">
        <v>628</v>
      </c>
      <c r="D29" s="883">
        <f>MCDO800!$N29*D$152</f>
        <v>4075.4547697296111</v>
      </c>
      <c r="E29" s="883">
        <f>MCDO800!$N29*E$152</f>
        <v>4077.1556319603146</v>
      </c>
      <c r="F29" s="883">
        <f>MCDO800!$N29*F$152</f>
        <v>4000.1491490803537</v>
      </c>
      <c r="G29" s="883">
        <f>MCDO800!$N29*G$152</f>
        <v>4063.1797278409963</v>
      </c>
      <c r="H29" s="883">
        <f>MCDO800!$N29*H$152</f>
        <v>3887.1230839312575</v>
      </c>
      <c r="I29" s="883">
        <f>MCDO800!$N29*I$152</f>
        <v>3905.3376374574696</v>
      </c>
      <c r="J29" s="180">
        <f t="shared" si="2"/>
        <v>24008.400000000001</v>
      </c>
      <c r="K29" s="883">
        <f t="shared" si="18"/>
        <v>1629.0461724123284</v>
      </c>
      <c r="L29" s="883">
        <f t="shared" si="18"/>
        <v>1629.7260433134381</v>
      </c>
      <c r="M29" s="883">
        <f t="shared" si="18"/>
        <v>1598.9449100965289</v>
      </c>
      <c r="N29" s="883">
        <f t="shared" si="18"/>
        <v>1624.1395764286426</v>
      </c>
      <c r="O29" s="883">
        <f t="shared" si="18"/>
        <v>1553.765981800834</v>
      </c>
      <c r="P29" s="883">
        <f t="shared" si="18"/>
        <v>1561.0467272343169</v>
      </c>
      <c r="Q29" s="180">
        <f t="shared" si="4"/>
        <v>9596.6694112860896</v>
      </c>
      <c r="R29" s="883">
        <f t="shared" si="7"/>
        <v>2446.4085973172828</v>
      </c>
      <c r="S29" s="883">
        <f t="shared" si="5"/>
        <v>2447.4295886468763</v>
      </c>
      <c r="T29" s="883">
        <f t="shared" si="5"/>
        <v>2401.2042389838248</v>
      </c>
      <c r="U29" s="883">
        <f t="shared" si="5"/>
        <v>2439.0401514123537</v>
      </c>
      <c r="V29" s="883">
        <f t="shared" si="5"/>
        <v>2333.3571021304233</v>
      </c>
      <c r="W29" s="883">
        <f t="shared" si="5"/>
        <v>2344.2909102231524</v>
      </c>
      <c r="X29" s="180">
        <f t="shared" si="6"/>
        <v>14411.730588713912</v>
      </c>
      <c r="Y29" s="883"/>
      <c r="Z29" s="883"/>
      <c r="AA29" s="883"/>
      <c r="AB29" s="883"/>
      <c r="AC29" s="883"/>
      <c r="AD29" s="883"/>
      <c r="AE29" s="180"/>
      <c r="AG29" s="1415">
        <f>'PDYG-200'!$D$31</f>
        <v>0.39972132300720115</v>
      </c>
      <c r="AH29" s="1415">
        <f>'PDYG-200'!$E$31</f>
        <v>0.24340000000000001</v>
      </c>
      <c r="AI29" s="1415">
        <f>'PDYG-200'!$F$31</f>
        <v>0.35687867699279885</v>
      </c>
    </row>
    <row r="30" spans="2:35">
      <c r="B30" s="48"/>
      <c r="C30" s="888" t="s">
        <v>629</v>
      </c>
      <c r="D30" s="883">
        <f>MCDO800!$N30*D$152</f>
        <v>16239.119774768758</v>
      </c>
      <c r="E30" s="883">
        <f>MCDO800!$N30*E$152</f>
        <v>16245.89705658033</v>
      </c>
      <c r="F30" s="883">
        <f>MCDO800!$N30*F$152</f>
        <v>15939.055840181716</v>
      </c>
      <c r="G30" s="883">
        <f>MCDO800!$N30*G$152</f>
        <v>16190.208454012585</v>
      </c>
      <c r="H30" s="883">
        <f>MCDO800!$N30*H$152</f>
        <v>15488.690442126088</v>
      </c>
      <c r="I30" s="883">
        <f>MCDO800!$N30*I$152</f>
        <v>15561.268432330533</v>
      </c>
      <c r="J30" s="180">
        <f t="shared" si="2"/>
        <v>95664.24</v>
      </c>
      <c r="K30" s="883">
        <f t="shared" si="18"/>
        <v>6491.1224408429707</v>
      </c>
      <c r="L30" s="883">
        <f t="shared" si="18"/>
        <v>6493.8314648950845</v>
      </c>
      <c r="M30" s="883">
        <f t="shared" si="18"/>
        <v>6371.1804879230913</v>
      </c>
      <c r="N30" s="883">
        <f t="shared" si="18"/>
        <v>6471.5715430002829</v>
      </c>
      <c r="O30" s="883">
        <f t="shared" si="18"/>
        <v>6191.1598351756311</v>
      </c>
      <c r="P30" s="883">
        <f t="shared" si="18"/>
        <v>6220.1708054413557</v>
      </c>
      <c r="Q30" s="180">
        <f t="shared" si="4"/>
        <v>38239.036577278413</v>
      </c>
      <c r="R30" s="883">
        <f t="shared" si="7"/>
        <v>9747.9973339257886</v>
      </c>
      <c r="S30" s="883">
        <f t="shared" si="5"/>
        <v>9752.0655916852447</v>
      </c>
      <c r="T30" s="883">
        <f t="shared" si="5"/>
        <v>9567.8753522586248</v>
      </c>
      <c r="U30" s="883">
        <f t="shared" si="5"/>
        <v>9718.6369110123014</v>
      </c>
      <c r="V30" s="883">
        <f t="shared" si="5"/>
        <v>9297.5306069504568</v>
      </c>
      <c r="W30" s="883">
        <f t="shared" si="5"/>
        <v>9341.0976268891773</v>
      </c>
      <c r="X30" s="180">
        <f t="shared" si="6"/>
        <v>57425.203422721599</v>
      </c>
      <c r="Y30" s="883"/>
      <c r="Z30" s="883"/>
      <c r="AA30" s="883"/>
      <c r="AB30" s="883"/>
      <c r="AC30" s="883"/>
      <c r="AD30" s="883"/>
      <c r="AE30" s="180"/>
      <c r="AG30" s="1415">
        <f>'PDYG-200'!$D$31</f>
        <v>0.39972132300720115</v>
      </c>
      <c r="AH30" s="1415">
        <f>'PDYG-200'!$E$31</f>
        <v>0.24340000000000001</v>
      </c>
      <c r="AI30" s="1415">
        <f>'PDYG-200'!$F$31</f>
        <v>0.35687867699279885</v>
      </c>
    </row>
    <row r="31" spans="2:35">
      <c r="B31" s="48"/>
      <c r="C31" s="887" t="s">
        <v>305</v>
      </c>
      <c r="D31" s="883">
        <f>MCDO800!$N31*D$152</f>
        <v>42796.106706303399</v>
      </c>
      <c r="E31" s="883">
        <f>MCDO800!$N31*E$152</f>
        <v>42813.967358827023</v>
      </c>
      <c r="F31" s="883">
        <f>MCDO800!$N31*F$152</f>
        <v>42005.326889330026</v>
      </c>
      <c r="G31" s="883">
        <f>MCDO800!$N31*G$152</f>
        <v>42667.207225835271</v>
      </c>
      <c r="H31" s="883">
        <f>MCDO800!$N31*H$152</f>
        <v>40818.446941442584</v>
      </c>
      <c r="I31" s="883">
        <f>MCDO800!$N31*I$152</f>
        <v>41009.716878261723</v>
      </c>
      <c r="J31" s="180">
        <f t="shared" si="2"/>
        <v>252110.77200000006</v>
      </c>
      <c r="K31" s="883">
        <f t="shared" si="18"/>
        <v>17106.516392200949</v>
      </c>
      <c r="L31" s="883">
        <f t="shared" si="18"/>
        <v>17113.655675857462</v>
      </c>
      <c r="M31" s="883">
        <f t="shared" si="18"/>
        <v>16790.424837552961</v>
      </c>
      <c r="N31" s="883">
        <f t="shared" si="18"/>
        <v>17054.992521333286</v>
      </c>
      <c r="O31" s="883">
        <f t="shared" si="18"/>
        <v>16316.003614532672</v>
      </c>
      <c r="P31" s="883">
        <f t="shared" si="18"/>
        <v>16392.458286729521</v>
      </c>
      <c r="Q31" s="180">
        <f t="shared" si="4"/>
        <v>100774.05132820686</v>
      </c>
      <c r="R31" s="883">
        <f t="shared" si="7"/>
        <v>25689.59031410245</v>
      </c>
      <c r="S31" s="883">
        <f t="shared" si="5"/>
        <v>25700.311682969561</v>
      </c>
      <c r="T31" s="883">
        <f t="shared" si="5"/>
        <v>25214.902051777066</v>
      </c>
      <c r="U31" s="883">
        <f t="shared" si="5"/>
        <v>25612.214704501985</v>
      </c>
      <c r="V31" s="883">
        <f t="shared" si="5"/>
        <v>24502.44332690991</v>
      </c>
      <c r="W31" s="883">
        <f t="shared" si="5"/>
        <v>24617.258591532202</v>
      </c>
      <c r="X31" s="180">
        <f t="shared" si="6"/>
        <v>151336.72067179318</v>
      </c>
      <c r="Y31" s="883"/>
      <c r="Z31" s="883"/>
      <c r="AA31" s="883"/>
      <c r="AB31" s="883"/>
      <c r="AC31" s="883"/>
      <c r="AD31" s="883"/>
      <c r="AE31" s="180"/>
      <c r="AG31" s="1415">
        <f>'PDYG-200'!$D$31</f>
        <v>0.39972132300720115</v>
      </c>
      <c r="AH31" s="1415">
        <f>'PDYG-200'!$E$31</f>
        <v>0.24340000000000001</v>
      </c>
      <c r="AI31" s="1415">
        <f>'PDYG-200'!$F$31</f>
        <v>0.35687867699279885</v>
      </c>
    </row>
    <row r="32" spans="2:35">
      <c r="B32" s="48"/>
      <c r="C32" s="887" t="s">
        <v>307</v>
      </c>
      <c r="D32" s="883">
        <f>MCDO800!$N32*D$152</f>
        <v>7426.384247062846</v>
      </c>
      <c r="E32" s="883">
        <f>MCDO800!$N32*E$152</f>
        <v>7429.4835960165719</v>
      </c>
      <c r="F32" s="883">
        <f>MCDO800!$N32*F$152</f>
        <v>7289.1606716575325</v>
      </c>
      <c r="G32" s="883">
        <f>MCDO800!$N32*G$152</f>
        <v>7404.0163929547034</v>
      </c>
      <c r="H32" s="883">
        <f>MCDO800!$N32*H$152</f>
        <v>7083.2020640525134</v>
      </c>
      <c r="I32" s="883">
        <f>MCDO800!$N32*I$152</f>
        <v>7116.3930282558322</v>
      </c>
      <c r="J32" s="180">
        <f t="shared" si="2"/>
        <v>43748.639999999999</v>
      </c>
      <c r="K32" s="883">
        <f t="shared" si="18"/>
        <v>2968.484136395798</v>
      </c>
      <c r="L32" s="883">
        <f t="shared" si="18"/>
        <v>2969.7230122600427</v>
      </c>
      <c r="M32" s="883">
        <f t="shared" si="18"/>
        <v>2913.6329472870079</v>
      </c>
      <c r="N32" s="883">
        <f t="shared" si="18"/>
        <v>2959.5432281588592</v>
      </c>
      <c r="O32" s="883">
        <f t="shared" si="18"/>
        <v>2831.3069001704084</v>
      </c>
      <c r="P32" s="883">
        <f t="shared" si="18"/>
        <v>2844.574036293644</v>
      </c>
      <c r="Q32" s="180">
        <f t="shared" si="4"/>
        <v>17487.26426056576</v>
      </c>
      <c r="R32" s="883">
        <f t="shared" si="7"/>
        <v>4457.9001106670476</v>
      </c>
      <c r="S32" s="883">
        <f t="shared" si="5"/>
        <v>4459.7605837565297</v>
      </c>
      <c r="T32" s="883">
        <f t="shared" si="5"/>
        <v>4375.5277243705241</v>
      </c>
      <c r="U32" s="883">
        <f t="shared" si="5"/>
        <v>4444.4731647958442</v>
      </c>
      <c r="V32" s="883">
        <f t="shared" si="5"/>
        <v>4251.8951638821054</v>
      </c>
      <c r="W32" s="883">
        <f t="shared" si="5"/>
        <v>4271.8189919621882</v>
      </c>
      <c r="X32" s="180">
        <f t="shared" si="6"/>
        <v>26261.375739434239</v>
      </c>
      <c r="Y32" s="883"/>
      <c r="Z32" s="883"/>
      <c r="AA32" s="883"/>
      <c r="AB32" s="883"/>
      <c r="AC32" s="883"/>
      <c r="AD32" s="883"/>
      <c r="AE32" s="180"/>
      <c r="AG32" s="1415">
        <f>'PDYG-200'!$D$31</f>
        <v>0.39972132300720115</v>
      </c>
      <c r="AH32" s="1415">
        <f>'PDYG-200'!$E$31</f>
        <v>0.24340000000000001</v>
      </c>
      <c r="AI32" s="1415">
        <f>'PDYG-200'!$F$31</f>
        <v>0.35687867699279885</v>
      </c>
    </row>
    <row r="33" spans="2:35">
      <c r="B33" s="48"/>
      <c r="C33" s="887" t="s">
        <v>624</v>
      </c>
      <c r="D33" s="883">
        <f>MCDO800!$N33*D$152</f>
        <v>6032.8922123360671</v>
      </c>
      <c r="E33" s="883">
        <f>MCDO800!$N33*E$152</f>
        <v>6035.4099972424492</v>
      </c>
      <c r="F33" s="883">
        <f>MCDO800!$N33*F$152</f>
        <v>5921.4173664527498</v>
      </c>
      <c r="G33" s="883">
        <f>MCDO800!$N33*G$152</f>
        <v>6014.7214783198397</v>
      </c>
      <c r="H33" s="883">
        <f>MCDO800!$N33*H$152</f>
        <v>5754.104978816018</v>
      </c>
      <c r="I33" s="883">
        <f>MCDO800!$N33*I$152</f>
        <v>5781.0679668328748</v>
      </c>
      <c r="J33" s="180">
        <f t="shared" si="2"/>
        <v>35539.614000000001</v>
      </c>
      <c r="K33" s="883">
        <f t="shared" si="18"/>
        <v>2411.4756566748133</v>
      </c>
      <c r="L33" s="883">
        <f t="shared" si="18"/>
        <v>2412.4820689886401</v>
      </c>
      <c r="M33" s="883">
        <f t="shared" si="18"/>
        <v>2366.91678379631</v>
      </c>
      <c r="N33" s="883">
        <f t="shared" si="18"/>
        <v>2404.2124268338348</v>
      </c>
      <c r="O33" s="883">
        <f t="shared" si="18"/>
        <v>2300.0384548546617</v>
      </c>
      <c r="P33" s="883">
        <f t="shared" si="18"/>
        <v>2310.8161360969871</v>
      </c>
      <c r="Q33" s="180">
        <f t="shared" si="4"/>
        <v>14205.941527245246</v>
      </c>
      <c r="R33" s="883">
        <f t="shared" si="7"/>
        <v>3621.4165556612538</v>
      </c>
      <c r="S33" s="883">
        <f t="shared" si="5"/>
        <v>3622.9279282538091</v>
      </c>
      <c r="T33" s="883">
        <f t="shared" si="5"/>
        <v>3554.5005826564397</v>
      </c>
      <c r="U33" s="883">
        <f t="shared" si="5"/>
        <v>3610.5090514860049</v>
      </c>
      <c r="V33" s="883">
        <f t="shared" si="5"/>
        <v>3454.0665239613563</v>
      </c>
      <c r="W33" s="883">
        <f t="shared" si="5"/>
        <v>3470.2518307358878</v>
      </c>
      <c r="X33" s="180">
        <f t="shared" si="6"/>
        <v>21333.672472754752</v>
      </c>
      <c r="Y33" s="883"/>
      <c r="Z33" s="883"/>
      <c r="AA33" s="883"/>
      <c r="AB33" s="883"/>
      <c r="AC33" s="883"/>
      <c r="AD33" s="883"/>
      <c r="AE33" s="180"/>
      <c r="AG33" s="1415">
        <f>'PDYG-200'!$D$31</f>
        <v>0.39972132300720115</v>
      </c>
      <c r="AH33" s="1415">
        <f>'PDYG-200'!$E$31</f>
        <v>0.24340000000000001</v>
      </c>
      <c r="AI33" s="1415">
        <f>'PDYG-200'!$F$31</f>
        <v>0.35687867699279885</v>
      </c>
    </row>
    <row r="34" spans="2:35">
      <c r="B34" s="48" t="s">
        <v>274</v>
      </c>
      <c r="C34" s="882" t="s">
        <v>631</v>
      </c>
      <c r="D34" s="881">
        <f>SUBTOTAL(9,D35:D38)</f>
        <v>16154592.578703025</v>
      </c>
      <c r="E34" s="881">
        <f t="shared" ref="E34:P34" si="19">SUBTOTAL(9,E35:E38)</f>
        <v>16161334.583687009</v>
      </c>
      <c r="F34" s="881">
        <f t="shared" si="19"/>
        <v>15856090.524524707</v>
      </c>
      <c r="G34" s="881">
        <f t="shared" si="19"/>
        <v>16105935.84913509</v>
      </c>
      <c r="H34" s="881">
        <f t="shared" si="19"/>
        <v>15408069.349852528</v>
      </c>
      <c r="I34" s="881">
        <f t="shared" si="19"/>
        <v>15480269.560097642</v>
      </c>
      <c r="J34" s="180">
        <f t="shared" si="2"/>
        <v>95166292.44600001</v>
      </c>
      <c r="K34" s="881">
        <f t="shared" si="19"/>
        <v>6457335.1182014868</v>
      </c>
      <c r="L34" s="881">
        <f t="shared" si="19"/>
        <v>6460030.0413534055</v>
      </c>
      <c r="M34" s="881">
        <f t="shared" si="19"/>
        <v>6338017.4821849614</v>
      </c>
      <c r="N34" s="881">
        <f t="shared" si="19"/>
        <v>6437885.9858853873</v>
      </c>
      <c r="O34" s="881">
        <f t="shared" si="19"/>
        <v>6158933.8655097578</v>
      </c>
      <c r="P34" s="881">
        <f t="shared" si="19"/>
        <v>6187793.8290703334</v>
      </c>
      <c r="Q34" s="180">
        <f t="shared" si="4"/>
        <v>38039996.322205335</v>
      </c>
      <c r="R34" s="881">
        <f t="shared" si="7"/>
        <v>9697257.4605015386</v>
      </c>
      <c r="S34" s="881">
        <f t="shared" si="5"/>
        <v>9701304.5423336029</v>
      </c>
      <c r="T34" s="881">
        <f t="shared" si="5"/>
        <v>9518073.0423397459</v>
      </c>
      <c r="U34" s="881">
        <f t="shared" si="5"/>
        <v>9668049.8632497024</v>
      </c>
      <c r="V34" s="881">
        <f t="shared" si="5"/>
        <v>9249135.4843427707</v>
      </c>
      <c r="W34" s="881">
        <f t="shared" si="5"/>
        <v>9292475.7310273089</v>
      </c>
      <c r="X34" s="180">
        <f t="shared" si="6"/>
        <v>57126296.12379466</v>
      </c>
      <c r="Y34" s="881"/>
      <c r="Z34" s="881"/>
      <c r="AA34" s="881"/>
      <c r="AB34" s="881"/>
      <c r="AC34" s="881"/>
      <c r="AD34" s="881"/>
      <c r="AE34" s="180"/>
      <c r="AG34" s="1415">
        <f>'PDYG-200'!$D$31</f>
        <v>0.39972132300720115</v>
      </c>
      <c r="AH34" s="1415">
        <f>'PDYG-200'!$E$31</f>
        <v>0.24340000000000001</v>
      </c>
      <c r="AI34" s="1415">
        <f>'PDYG-200'!$F$31</f>
        <v>0.35687867699279885</v>
      </c>
    </row>
    <row r="35" spans="2:35">
      <c r="B35" s="48"/>
      <c r="C35" s="887" t="s">
        <v>304</v>
      </c>
      <c r="D35" s="883">
        <f>MCDO800!$N35*D$152</f>
        <v>16142637.911378486</v>
      </c>
      <c r="E35" s="883">
        <f>MCDO800!$N35*E$152</f>
        <v>16149374.927166592</v>
      </c>
      <c r="F35" s="883">
        <f>MCDO800!$N35*F$152</f>
        <v>15844356.753687404</v>
      </c>
      <c r="G35" s="883">
        <f>MCDO800!$N35*G$152</f>
        <v>16094017.188600089</v>
      </c>
      <c r="H35" s="883">
        <f>MCDO800!$N35*H$152</f>
        <v>15396667.122139663</v>
      </c>
      <c r="I35" s="883">
        <f>MCDO800!$N35*I$152</f>
        <v>15468813.903027767</v>
      </c>
      <c r="J35" s="180">
        <f t="shared" si="2"/>
        <v>95095867.806000009</v>
      </c>
      <c r="K35" s="883">
        <f t="shared" ref="K35:P38" si="20">D35*$AG35</f>
        <v>6452556.5827624109</v>
      </c>
      <c r="L35" s="883">
        <f t="shared" si="20"/>
        <v>6455249.5116263526</v>
      </c>
      <c r="M35" s="883">
        <f t="shared" si="20"/>
        <v>6333327.2437820118</v>
      </c>
      <c r="N35" s="883">
        <f t="shared" si="20"/>
        <v>6433121.8431278635</v>
      </c>
      <c r="O35" s="883">
        <f t="shared" si="20"/>
        <v>6154376.1519631417</v>
      </c>
      <c r="P35" s="883">
        <f t="shared" si="20"/>
        <v>6183214.7586704465</v>
      </c>
      <c r="Q35" s="180">
        <f t="shared" si="4"/>
        <v>38011846.091932222</v>
      </c>
      <c r="R35" s="883">
        <f t="shared" si="7"/>
        <v>9690081.3286160752</v>
      </c>
      <c r="S35" s="883">
        <f t="shared" si="5"/>
        <v>9694125.4155402407</v>
      </c>
      <c r="T35" s="883">
        <f t="shared" si="5"/>
        <v>9511029.5099053923</v>
      </c>
      <c r="U35" s="883">
        <f t="shared" si="5"/>
        <v>9660895.3454722259</v>
      </c>
      <c r="V35" s="883">
        <f t="shared" si="5"/>
        <v>9242290.9701765217</v>
      </c>
      <c r="W35" s="883">
        <f t="shared" si="5"/>
        <v>9285599.1443573199</v>
      </c>
      <c r="X35" s="180">
        <f t="shared" si="6"/>
        <v>57084021.714067772</v>
      </c>
      <c r="Y35" s="883"/>
      <c r="Z35" s="883"/>
      <c r="AA35" s="883"/>
      <c r="AB35" s="883"/>
      <c r="AC35" s="883"/>
      <c r="AD35" s="883"/>
      <c r="AE35" s="180"/>
      <c r="AG35" s="1415">
        <f>'PDYG-200'!$D$31</f>
        <v>0.39972132300720115</v>
      </c>
      <c r="AH35" s="1415">
        <f>'PDYG-200'!$E$31</f>
        <v>0.24340000000000001</v>
      </c>
      <c r="AI35" s="1415">
        <f>'PDYG-200'!$F$31</f>
        <v>0.35687867699279885</v>
      </c>
    </row>
    <row r="36" spans="2:35">
      <c r="B36" s="48"/>
      <c r="C36" s="888" t="s">
        <v>306</v>
      </c>
      <c r="D36" s="883">
        <f>MCDO800!$N36*D$152</f>
        <v>0</v>
      </c>
      <c r="E36" s="883">
        <f>MCDO800!$N36*E$152</f>
        <v>0</v>
      </c>
      <c r="F36" s="883">
        <f>MCDO800!$N36*F$152</f>
        <v>0</v>
      </c>
      <c r="G36" s="883">
        <f>MCDO800!$N36*G$152</f>
        <v>0</v>
      </c>
      <c r="H36" s="883">
        <f>MCDO800!$N36*H$152</f>
        <v>0</v>
      </c>
      <c r="I36" s="883">
        <f>MCDO800!$N36*I$152</f>
        <v>0</v>
      </c>
      <c r="J36" s="180">
        <f t="shared" si="2"/>
        <v>0</v>
      </c>
      <c r="K36" s="883">
        <f t="shared" si="20"/>
        <v>0</v>
      </c>
      <c r="L36" s="883">
        <f t="shared" si="20"/>
        <v>0</v>
      </c>
      <c r="M36" s="883">
        <f t="shared" si="20"/>
        <v>0</v>
      </c>
      <c r="N36" s="883">
        <f t="shared" si="20"/>
        <v>0</v>
      </c>
      <c r="O36" s="883">
        <f t="shared" si="20"/>
        <v>0</v>
      </c>
      <c r="P36" s="883">
        <f t="shared" si="20"/>
        <v>0</v>
      </c>
      <c r="Q36" s="180">
        <f t="shared" si="4"/>
        <v>0</v>
      </c>
      <c r="R36" s="883">
        <f t="shared" si="7"/>
        <v>0</v>
      </c>
      <c r="S36" s="883">
        <f t="shared" si="5"/>
        <v>0</v>
      </c>
      <c r="T36" s="883">
        <f t="shared" si="5"/>
        <v>0</v>
      </c>
      <c r="U36" s="883">
        <f t="shared" si="5"/>
        <v>0</v>
      </c>
      <c r="V36" s="883">
        <f t="shared" si="5"/>
        <v>0</v>
      </c>
      <c r="W36" s="883">
        <f t="shared" si="5"/>
        <v>0</v>
      </c>
      <c r="X36" s="180">
        <f t="shared" si="6"/>
        <v>0</v>
      </c>
      <c r="Y36" s="883"/>
      <c r="Z36" s="883"/>
      <c r="AA36" s="883"/>
      <c r="AB36" s="883"/>
      <c r="AC36" s="883"/>
      <c r="AD36" s="883"/>
      <c r="AE36" s="180"/>
      <c r="AG36" s="1415">
        <f>'PDYG-200'!$D$31</f>
        <v>0.39972132300720115</v>
      </c>
      <c r="AH36" s="1415">
        <f>'PDYG-200'!$E$31</f>
        <v>0.24340000000000001</v>
      </c>
      <c r="AI36" s="1415">
        <f>'PDYG-200'!$F$31</f>
        <v>0.35687867699279885</v>
      </c>
    </row>
    <row r="37" spans="2:35">
      <c r="B37" s="48"/>
      <c r="C37" s="887" t="s">
        <v>305</v>
      </c>
      <c r="D37" s="883">
        <f>MCDO800!$N37*D$152</f>
        <v>11954.667324540193</v>
      </c>
      <c r="E37" s="883">
        <f>MCDO800!$N37*E$152</f>
        <v>11959.656520416922</v>
      </c>
      <c r="F37" s="883">
        <f>MCDO800!$N37*F$152</f>
        <v>11733.770837302371</v>
      </c>
      <c r="G37" s="883">
        <f>MCDO800!$N37*G$152</f>
        <v>11918.660535000256</v>
      </c>
      <c r="H37" s="883">
        <f>MCDO800!$N37*H$152</f>
        <v>11402.227712865022</v>
      </c>
      <c r="I37" s="883">
        <f>MCDO800!$N37*I$152</f>
        <v>11455.657069875244</v>
      </c>
      <c r="J37" s="180">
        <f t="shared" si="2"/>
        <v>70424.640000000014</v>
      </c>
      <c r="K37" s="883">
        <f t="shared" si="20"/>
        <v>4778.5354390761631</v>
      </c>
      <c r="L37" s="883">
        <f t="shared" si="20"/>
        <v>4780.5297270527517</v>
      </c>
      <c r="M37" s="883">
        <f t="shared" si="20"/>
        <v>4690.238402949818</v>
      </c>
      <c r="N37" s="883">
        <f t="shared" si="20"/>
        <v>4764.1427575240177</v>
      </c>
      <c r="O37" s="883">
        <f t="shared" si="20"/>
        <v>4557.7135466157797</v>
      </c>
      <c r="P37" s="883">
        <f t="shared" si="20"/>
        <v>4579.0703998873296</v>
      </c>
      <c r="Q37" s="180">
        <f t="shared" si="4"/>
        <v>28150.230273105859</v>
      </c>
      <c r="R37" s="883">
        <f t="shared" si="7"/>
        <v>7176.1318854640294</v>
      </c>
      <c r="S37" s="883">
        <f t="shared" si="5"/>
        <v>7179.1267933641702</v>
      </c>
      <c r="T37" s="883">
        <f t="shared" si="5"/>
        <v>7043.5324343525526</v>
      </c>
      <c r="U37" s="883">
        <f t="shared" si="5"/>
        <v>7154.5177774762378</v>
      </c>
      <c r="V37" s="883">
        <f t="shared" si="5"/>
        <v>6844.5141662492424</v>
      </c>
      <c r="W37" s="883">
        <f t="shared" si="5"/>
        <v>6876.5866699879143</v>
      </c>
      <c r="X37" s="180">
        <f t="shared" si="6"/>
        <v>42274.40972689414</v>
      </c>
      <c r="Y37" s="883"/>
      <c r="Z37" s="883"/>
      <c r="AA37" s="883"/>
      <c r="AB37" s="883"/>
      <c r="AC37" s="883"/>
      <c r="AD37" s="883"/>
      <c r="AE37" s="180"/>
      <c r="AG37" s="1415">
        <f>'PDYG-200'!$D$31</f>
        <v>0.39972132300720115</v>
      </c>
      <c r="AH37" s="1415">
        <f>'PDYG-200'!$E$31</f>
        <v>0.24340000000000001</v>
      </c>
      <c r="AI37" s="1415">
        <f>'PDYG-200'!$F$31</f>
        <v>0.35687867699279885</v>
      </c>
    </row>
    <row r="38" spans="2:35">
      <c r="B38" s="48"/>
      <c r="C38" s="887" t="s">
        <v>307</v>
      </c>
      <c r="D38" s="883">
        <f>MCDO800!$N38*D$152</f>
        <v>0</v>
      </c>
      <c r="E38" s="883">
        <f>MCDO800!$N38*E$152</f>
        <v>0</v>
      </c>
      <c r="F38" s="883">
        <f>MCDO800!$N38*F$152</f>
        <v>0</v>
      </c>
      <c r="G38" s="883">
        <f>MCDO800!$N38*G$152</f>
        <v>0</v>
      </c>
      <c r="H38" s="883">
        <f>MCDO800!$N38*H$152</f>
        <v>0</v>
      </c>
      <c r="I38" s="883">
        <f>MCDO800!$N38*I$152</f>
        <v>0</v>
      </c>
      <c r="J38" s="180">
        <f t="shared" si="2"/>
        <v>0</v>
      </c>
      <c r="K38" s="883">
        <f t="shared" si="20"/>
        <v>0</v>
      </c>
      <c r="L38" s="883">
        <f t="shared" si="20"/>
        <v>0</v>
      </c>
      <c r="M38" s="883">
        <f t="shared" si="20"/>
        <v>0</v>
      </c>
      <c r="N38" s="883">
        <f t="shared" si="20"/>
        <v>0</v>
      </c>
      <c r="O38" s="883">
        <f t="shared" si="20"/>
        <v>0</v>
      </c>
      <c r="P38" s="883">
        <f t="shared" si="20"/>
        <v>0</v>
      </c>
      <c r="Q38" s="180">
        <f t="shared" si="4"/>
        <v>0</v>
      </c>
      <c r="R38" s="883">
        <f t="shared" si="7"/>
        <v>0</v>
      </c>
      <c r="S38" s="883">
        <f t="shared" si="5"/>
        <v>0</v>
      </c>
      <c r="T38" s="883">
        <f t="shared" si="5"/>
        <v>0</v>
      </c>
      <c r="U38" s="883">
        <f t="shared" si="5"/>
        <v>0</v>
      </c>
      <c r="V38" s="883">
        <f t="shared" si="5"/>
        <v>0</v>
      </c>
      <c r="W38" s="883">
        <f t="shared" si="5"/>
        <v>0</v>
      </c>
      <c r="X38" s="180">
        <f t="shared" si="6"/>
        <v>0</v>
      </c>
      <c r="Y38" s="883"/>
      <c r="Z38" s="883"/>
      <c r="AA38" s="883"/>
      <c r="AB38" s="883"/>
      <c r="AC38" s="883"/>
      <c r="AD38" s="883"/>
      <c r="AE38" s="180"/>
      <c r="AG38" s="1415">
        <f>'PDYG-200'!$D$31</f>
        <v>0.39972132300720115</v>
      </c>
      <c r="AH38" s="1415">
        <f>'PDYG-200'!$E$31</f>
        <v>0.24340000000000001</v>
      </c>
      <c r="AI38" s="1415">
        <f>'PDYG-200'!$F$31</f>
        <v>0.35687867699279885</v>
      </c>
    </row>
    <row r="39" spans="2:35">
      <c r="B39" s="48" t="s">
        <v>274</v>
      </c>
      <c r="C39" s="882" t="s">
        <v>632</v>
      </c>
      <c r="D39" s="881">
        <f>SUBTOTAL(9,D40:D43)</f>
        <v>4544759.5837842142</v>
      </c>
      <c r="E39" s="881">
        <f t="shared" ref="E39:P39" si="21">SUBTOTAL(9,E40:E43)</f>
        <v>4546656.3070606207</v>
      </c>
      <c r="F39" s="881">
        <f t="shared" si="21"/>
        <v>4460782.2216256252</v>
      </c>
      <c r="G39" s="881">
        <f t="shared" si="21"/>
        <v>4531071.0220367024</v>
      </c>
      <c r="H39" s="881">
        <f t="shared" si="21"/>
        <v>4334740.7558684545</v>
      </c>
      <c r="I39" s="881">
        <f t="shared" si="21"/>
        <v>4355052.7876243843</v>
      </c>
      <c r="J39" s="180">
        <f t="shared" si="2"/>
        <v>26773062.677999999</v>
      </c>
      <c r="K39" s="881">
        <f t="shared" si="21"/>
        <v>1816637.313579883</v>
      </c>
      <c r="L39" s="881">
        <f t="shared" si="21"/>
        <v>1817395.4743173067</v>
      </c>
      <c r="M39" s="881">
        <f t="shared" si="21"/>
        <v>1783069.7712751969</v>
      </c>
      <c r="N39" s="881">
        <f t="shared" si="21"/>
        <v>1811165.7035681016</v>
      </c>
      <c r="O39" s="881">
        <f t="shared" si="21"/>
        <v>1732688.3098289738</v>
      </c>
      <c r="P39" s="881">
        <f t="shared" si="21"/>
        <v>1740807.4620354183</v>
      </c>
      <c r="Q39" s="180">
        <f t="shared" si="4"/>
        <v>10701764.034604879</v>
      </c>
      <c r="R39" s="881">
        <f t="shared" si="7"/>
        <v>2728122.2702043313</v>
      </c>
      <c r="S39" s="881">
        <f t="shared" si="5"/>
        <v>2729260.8327433141</v>
      </c>
      <c r="T39" s="881">
        <f t="shared" si="5"/>
        <v>2677712.450350428</v>
      </c>
      <c r="U39" s="881">
        <f t="shared" si="5"/>
        <v>2719905.3184686005</v>
      </c>
      <c r="V39" s="881">
        <f t="shared" si="5"/>
        <v>2602052.4460394806</v>
      </c>
      <c r="W39" s="881">
        <f t="shared" si="5"/>
        <v>2614245.3255889658</v>
      </c>
      <c r="X39" s="180">
        <f t="shared" si="6"/>
        <v>16071298.64339512</v>
      </c>
      <c r="Y39" s="881"/>
      <c r="Z39" s="881"/>
      <c r="AA39" s="881"/>
      <c r="AB39" s="881"/>
      <c r="AC39" s="881"/>
      <c r="AD39" s="881"/>
      <c r="AE39" s="180"/>
      <c r="AG39" s="1415">
        <f>'PDYG-200'!$D$31</f>
        <v>0.39972132300720115</v>
      </c>
      <c r="AH39" s="1415">
        <f>'PDYG-200'!$E$31</f>
        <v>0.24340000000000001</v>
      </c>
      <c r="AI39" s="1415">
        <f>'PDYG-200'!$F$31</f>
        <v>0.35687867699279885</v>
      </c>
    </row>
    <row r="40" spans="2:35">
      <c r="B40" s="48"/>
      <c r="C40" s="887" t="s">
        <v>304</v>
      </c>
      <c r="D40" s="883">
        <f>MCDO800!$N40*D$152</f>
        <v>4544759.5837842142</v>
      </c>
      <c r="E40" s="883">
        <f>MCDO800!$N40*E$152</f>
        <v>4546656.3070606207</v>
      </c>
      <c r="F40" s="883">
        <f>MCDO800!$N40*F$152</f>
        <v>4460782.2216256252</v>
      </c>
      <c r="G40" s="883">
        <f>MCDO800!$N40*G$152</f>
        <v>4531071.0220367024</v>
      </c>
      <c r="H40" s="883">
        <f>MCDO800!$N40*H$152</f>
        <v>4334740.7558684545</v>
      </c>
      <c r="I40" s="883">
        <f>MCDO800!$N40*I$152</f>
        <v>4355052.7876243843</v>
      </c>
      <c r="J40" s="180">
        <f t="shared" si="2"/>
        <v>26773062.677999999</v>
      </c>
      <c r="K40" s="883">
        <f t="shared" ref="K40:P43" si="22">D40*$AG40</f>
        <v>1816637.313579883</v>
      </c>
      <c r="L40" s="883">
        <f t="shared" si="22"/>
        <v>1817395.4743173067</v>
      </c>
      <c r="M40" s="883">
        <f t="shared" si="22"/>
        <v>1783069.7712751969</v>
      </c>
      <c r="N40" s="883">
        <f t="shared" si="22"/>
        <v>1811165.7035681016</v>
      </c>
      <c r="O40" s="883">
        <f t="shared" si="22"/>
        <v>1732688.3098289738</v>
      </c>
      <c r="P40" s="883">
        <f t="shared" si="22"/>
        <v>1740807.4620354183</v>
      </c>
      <c r="Q40" s="180">
        <f t="shared" si="4"/>
        <v>10701764.034604879</v>
      </c>
      <c r="R40" s="883">
        <f t="shared" si="7"/>
        <v>2728122.2702043313</v>
      </c>
      <c r="S40" s="883">
        <f t="shared" si="5"/>
        <v>2729260.8327433141</v>
      </c>
      <c r="T40" s="883">
        <f t="shared" si="5"/>
        <v>2677712.450350428</v>
      </c>
      <c r="U40" s="883">
        <f t="shared" si="5"/>
        <v>2719905.3184686005</v>
      </c>
      <c r="V40" s="883">
        <f t="shared" si="5"/>
        <v>2602052.4460394806</v>
      </c>
      <c r="W40" s="883">
        <f t="shared" si="5"/>
        <v>2614245.3255889658</v>
      </c>
      <c r="X40" s="180">
        <f t="shared" si="6"/>
        <v>16071298.64339512</v>
      </c>
      <c r="Y40" s="883"/>
      <c r="Z40" s="883"/>
      <c r="AA40" s="883"/>
      <c r="AB40" s="883"/>
      <c r="AC40" s="883"/>
      <c r="AD40" s="883"/>
      <c r="AE40" s="180"/>
      <c r="AG40" s="1415">
        <f>'PDYG-200'!$D$31</f>
        <v>0.39972132300720115</v>
      </c>
      <c r="AH40" s="1415">
        <f>'PDYG-200'!$E$31</f>
        <v>0.24340000000000001</v>
      </c>
      <c r="AI40" s="1415">
        <f>'PDYG-200'!$F$31</f>
        <v>0.35687867699279885</v>
      </c>
    </row>
    <row r="41" spans="2:35">
      <c r="B41" s="48"/>
      <c r="C41" s="888" t="s">
        <v>306</v>
      </c>
      <c r="D41" s="883">
        <f>MCDO800!$N41*D$152</f>
        <v>0</v>
      </c>
      <c r="E41" s="883">
        <f>MCDO800!$N41*E$152</f>
        <v>0</v>
      </c>
      <c r="F41" s="883">
        <f>MCDO800!$N41*F$152</f>
        <v>0</v>
      </c>
      <c r="G41" s="883">
        <f>MCDO800!$N41*G$152</f>
        <v>0</v>
      </c>
      <c r="H41" s="883">
        <f>MCDO800!$N41*H$152</f>
        <v>0</v>
      </c>
      <c r="I41" s="883">
        <f>MCDO800!$N41*I$152</f>
        <v>0</v>
      </c>
      <c r="J41" s="180">
        <f t="shared" si="2"/>
        <v>0</v>
      </c>
      <c r="K41" s="883">
        <f t="shared" si="22"/>
        <v>0</v>
      </c>
      <c r="L41" s="883">
        <f t="shared" si="22"/>
        <v>0</v>
      </c>
      <c r="M41" s="883">
        <f t="shared" si="22"/>
        <v>0</v>
      </c>
      <c r="N41" s="883">
        <f t="shared" si="22"/>
        <v>0</v>
      </c>
      <c r="O41" s="883">
        <f t="shared" si="22"/>
        <v>0</v>
      </c>
      <c r="P41" s="883">
        <f t="shared" si="22"/>
        <v>0</v>
      </c>
      <c r="Q41" s="180">
        <f t="shared" si="4"/>
        <v>0</v>
      </c>
      <c r="R41" s="883">
        <f t="shared" si="7"/>
        <v>0</v>
      </c>
      <c r="S41" s="883">
        <f t="shared" si="5"/>
        <v>0</v>
      </c>
      <c r="T41" s="883">
        <f t="shared" si="5"/>
        <v>0</v>
      </c>
      <c r="U41" s="883">
        <f t="shared" si="5"/>
        <v>0</v>
      </c>
      <c r="V41" s="883">
        <f t="shared" si="5"/>
        <v>0</v>
      </c>
      <c r="W41" s="883">
        <f t="shared" si="5"/>
        <v>0</v>
      </c>
      <c r="X41" s="180">
        <f t="shared" si="6"/>
        <v>0</v>
      </c>
      <c r="Y41" s="883"/>
      <c r="Z41" s="883"/>
      <c r="AA41" s="883"/>
      <c r="AB41" s="883"/>
      <c r="AC41" s="883"/>
      <c r="AD41" s="883"/>
      <c r="AE41" s="180"/>
      <c r="AG41" s="1415">
        <f>'PDYG-200'!$D$31</f>
        <v>0.39972132300720115</v>
      </c>
      <c r="AH41" s="1415">
        <f>'PDYG-200'!$E$31</f>
        <v>0.24340000000000001</v>
      </c>
      <c r="AI41" s="1415">
        <f>'PDYG-200'!$F$31</f>
        <v>0.35687867699279885</v>
      </c>
    </row>
    <row r="42" spans="2:35">
      <c r="B42" s="48"/>
      <c r="C42" s="887" t="s">
        <v>305</v>
      </c>
      <c r="D42" s="883">
        <f>MCDO800!$N42*D$152</f>
        <v>0</v>
      </c>
      <c r="E42" s="883">
        <f>MCDO800!$N42*E$152</f>
        <v>0</v>
      </c>
      <c r="F42" s="883">
        <f>MCDO800!$N42*F$152</f>
        <v>0</v>
      </c>
      <c r="G42" s="883">
        <f>MCDO800!$N42*G$152</f>
        <v>0</v>
      </c>
      <c r="H42" s="883">
        <f>MCDO800!$N42*H$152</f>
        <v>0</v>
      </c>
      <c r="I42" s="883">
        <f>MCDO800!$N42*I$152</f>
        <v>0</v>
      </c>
      <c r="J42" s="180">
        <f t="shared" si="2"/>
        <v>0</v>
      </c>
      <c r="K42" s="883">
        <f t="shared" si="22"/>
        <v>0</v>
      </c>
      <c r="L42" s="883">
        <f t="shared" si="22"/>
        <v>0</v>
      </c>
      <c r="M42" s="883">
        <f t="shared" si="22"/>
        <v>0</v>
      </c>
      <c r="N42" s="883">
        <f t="shared" si="22"/>
        <v>0</v>
      </c>
      <c r="O42" s="883">
        <f t="shared" si="22"/>
        <v>0</v>
      </c>
      <c r="P42" s="883">
        <f t="shared" si="22"/>
        <v>0</v>
      </c>
      <c r="Q42" s="180">
        <f t="shared" si="4"/>
        <v>0</v>
      </c>
      <c r="R42" s="883">
        <f t="shared" si="7"/>
        <v>0</v>
      </c>
      <c r="S42" s="883">
        <f t="shared" si="5"/>
        <v>0</v>
      </c>
      <c r="T42" s="883">
        <f t="shared" si="5"/>
        <v>0</v>
      </c>
      <c r="U42" s="883">
        <f t="shared" si="5"/>
        <v>0</v>
      </c>
      <c r="V42" s="883">
        <f t="shared" si="5"/>
        <v>0</v>
      </c>
      <c r="W42" s="883">
        <f t="shared" si="5"/>
        <v>0</v>
      </c>
      <c r="X42" s="180">
        <f t="shared" si="6"/>
        <v>0</v>
      </c>
      <c r="Y42" s="883"/>
      <c r="Z42" s="883"/>
      <c r="AA42" s="883"/>
      <c r="AB42" s="883"/>
      <c r="AC42" s="883"/>
      <c r="AD42" s="883"/>
      <c r="AE42" s="180"/>
      <c r="AG42" s="1415">
        <f>'PDYG-200'!$D$31</f>
        <v>0.39972132300720115</v>
      </c>
      <c r="AH42" s="1415">
        <f>'PDYG-200'!$E$31</f>
        <v>0.24340000000000001</v>
      </c>
      <c r="AI42" s="1415">
        <f>'PDYG-200'!$F$31</f>
        <v>0.35687867699279885</v>
      </c>
    </row>
    <row r="43" spans="2:35">
      <c r="B43" s="48"/>
      <c r="C43" s="887" t="s">
        <v>307</v>
      </c>
      <c r="D43" s="883">
        <f>MCDO800!$N43*D$152</f>
        <v>0</v>
      </c>
      <c r="E43" s="883">
        <f>MCDO800!$N43*E$152</f>
        <v>0</v>
      </c>
      <c r="F43" s="883">
        <f>MCDO800!$N43*F$152</f>
        <v>0</v>
      </c>
      <c r="G43" s="883">
        <f>MCDO800!$N43*G$152</f>
        <v>0</v>
      </c>
      <c r="H43" s="883">
        <f>MCDO800!$N43*H$152</f>
        <v>0</v>
      </c>
      <c r="I43" s="883">
        <f>MCDO800!$N43*I$152</f>
        <v>0</v>
      </c>
      <c r="J43" s="180">
        <f t="shared" si="2"/>
        <v>0</v>
      </c>
      <c r="K43" s="883">
        <f t="shared" si="22"/>
        <v>0</v>
      </c>
      <c r="L43" s="883">
        <f t="shared" si="22"/>
        <v>0</v>
      </c>
      <c r="M43" s="883">
        <f t="shared" si="22"/>
        <v>0</v>
      </c>
      <c r="N43" s="883">
        <f t="shared" si="22"/>
        <v>0</v>
      </c>
      <c r="O43" s="883">
        <f t="shared" si="22"/>
        <v>0</v>
      </c>
      <c r="P43" s="883">
        <f t="shared" si="22"/>
        <v>0</v>
      </c>
      <c r="Q43" s="180">
        <f t="shared" si="4"/>
        <v>0</v>
      </c>
      <c r="R43" s="883">
        <f t="shared" si="7"/>
        <v>0</v>
      </c>
      <c r="S43" s="883">
        <f t="shared" si="5"/>
        <v>0</v>
      </c>
      <c r="T43" s="883">
        <f t="shared" si="5"/>
        <v>0</v>
      </c>
      <c r="U43" s="883">
        <f t="shared" si="5"/>
        <v>0</v>
      </c>
      <c r="V43" s="883">
        <f t="shared" si="5"/>
        <v>0</v>
      </c>
      <c r="W43" s="883">
        <f t="shared" si="5"/>
        <v>0</v>
      </c>
      <c r="X43" s="180">
        <f t="shared" si="6"/>
        <v>0</v>
      </c>
      <c r="Y43" s="883"/>
      <c r="Z43" s="883"/>
      <c r="AA43" s="883"/>
      <c r="AB43" s="883"/>
      <c r="AC43" s="883"/>
      <c r="AD43" s="883"/>
      <c r="AE43" s="180"/>
      <c r="AG43" s="1415">
        <f>'PDYG-200'!$D$31</f>
        <v>0.39972132300720115</v>
      </c>
      <c r="AH43" s="1415">
        <f>'PDYG-200'!$E$31</f>
        <v>0.24340000000000001</v>
      </c>
      <c r="AI43" s="1415">
        <f>'PDYG-200'!$F$31</f>
        <v>0.35687867699279885</v>
      </c>
    </row>
    <row r="44" spans="2:35">
      <c r="B44" s="48" t="s">
        <v>274</v>
      </c>
      <c r="C44" s="882" t="s">
        <v>633</v>
      </c>
      <c r="D44" s="881">
        <f>SUBTOTAL(9,D45:D48)</f>
        <v>4593413.5471454356</v>
      </c>
      <c r="E44" s="881">
        <f t="shared" ref="E44:P44" si="23">SUBTOTAL(9,E45:E48)</f>
        <v>4595330.5758094192</v>
      </c>
      <c r="F44" s="881">
        <f t="shared" si="23"/>
        <v>4508537.1646038517</v>
      </c>
      <c r="G44" s="881">
        <f t="shared" si="23"/>
        <v>4579578.4423807515</v>
      </c>
      <c r="H44" s="881">
        <f t="shared" si="23"/>
        <v>4381146.3608357497</v>
      </c>
      <c r="I44" s="881">
        <f t="shared" si="23"/>
        <v>4401675.8432247927</v>
      </c>
      <c r="J44" s="180">
        <f t="shared" si="2"/>
        <v>27059681.934</v>
      </c>
      <c r="K44" s="881">
        <f t="shared" si="23"/>
        <v>1836085.3401841742</v>
      </c>
      <c r="L44" s="881">
        <f t="shared" si="23"/>
        <v>1836851.6174179844</v>
      </c>
      <c r="M44" s="881">
        <f t="shared" si="23"/>
        <v>1802158.440262587</v>
      </c>
      <c r="N44" s="881">
        <f t="shared" si="23"/>
        <v>1830555.1538036915</v>
      </c>
      <c r="O44" s="881">
        <f t="shared" si="23"/>
        <v>1751237.6196414505</v>
      </c>
      <c r="P44" s="881">
        <f t="shared" si="23"/>
        <v>1759443.6915026519</v>
      </c>
      <c r="Q44" s="180">
        <f t="shared" si="4"/>
        <v>10816331.86281254</v>
      </c>
      <c r="R44" s="881">
        <f t="shared" si="7"/>
        <v>2757328.2069612611</v>
      </c>
      <c r="S44" s="881">
        <f t="shared" si="5"/>
        <v>2758478.9583914345</v>
      </c>
      <c r="T44" s="881">
        <f t="shared" si="5"/>
        <v>2706378.7243412649</v>
      </c>
      <c r="U44" s="881">
        <f t="shared" si="5"/>
        <v>2749023.2885770602</v>
      </c>
      <c r="V44" s="881">
        <f t="shared" si="5"/>
        <v>2629908.7411942994</v>
      </c>
      <c r="W44" s="881">
        <f t="shared" si="5"/>
        <v>2642232.1517221406</v>
      </c>
      <c r="X44" s="180">
        <f t="shared" si="6"/>
        <v>16243350.071187463</v>
      </c>
      <c r="Y44" s="881"/>
      <c r="Z44" s="881"/>
      <c r="AA44" s="881"/>
      <c r="AB44" s="881"/>
      <c r="AC44" s="881"/>
      <c r="AD44" s="881"/>
      <c r="AE44" s="180"/>
      <c r="AG44" s="1415">
        <f>'PDYG-200'!$D$31</f>
        <v>0.39972132300720115</v>
      </c>
      <c r="AH44" s="1415">
        <f>'PDYG-200'!$E$31</f>
        <v>0.24340000000000001</v>
      </c>
      <c r="AI44" s="1415">
        <f>'PDYG-200'!$F$31</f>
        <v>0.35687867699279885</v>
      </c>
    </row>
    <row r="45" spans="2:35">
      <c r="B45" s="48"/>
      <c r="C45" s="887" t="s">
        <v>304</v>
      </c>
      <c r="D45" s="883">
        <f>MCDO800!$N45*D$152</f>
        <v>4593413.5471454356</v>
      </c>
      <c r="E45" s="883">
        <f>MCDO800!$N45*E$152</f>
        <v>4595330.5758094192</v>
      </c>
      <c r="F45" s="883">
        <f>MCDO800!$N45*F$152</f>
        <v>4508537.1646038517</v>
      </c>
      <c r="G45" s="883">
        <f>MCDO800!$N45*G$152</f>
        <v>4579578.4423807515</v>
      </c>
      <c r="H45" s="883">
        <f>MCDO800!$N45*H$152</f>
        <v>4381146.3608357497</v>
      </c>
      <c r="I45" s="883">
        <f>MCDO800!$N45*I$152</f>
        <v>4401675.8432247927</v>
      </c>
      <c r="J45" s="180">
        <f t="shared" si="2"/>
        <v>27059681.934</v>
      </c>
      <c r="K45" s="883">
        <f t="shared" ref="K45:P48" si="24">D45*$AG45</f>
        <v>1836085.3401841742</v>
      </c>
      <c r="L45" s="883">
        <f t="shared" si="24"/>
        <v>1836851.6174179844</v>
      </c>
      <c r="M45" s="883">
        <f t="shared" si="24"/>
        <v>1802158.440262587</v>
      </c>
      <c r="N45" s="883">
        <f t="shared" si="24"/>
        <v>1830555.1538036915</v>
      </c>
      <c r="O45" s="883">
        <f t="shared" si="24"/>
        <v>1751237.6196414505</v>
      </c>
      <c r="P45" s="883">
        <f t="shared" si="24"/>
        <v>1759443.6915026519</v>
      </c>
      <c r="Q45" s="180">
        <f t="shared" si="4"/>
        <v>10816331.86281254</v>
      </c>
      <c r="R45" s="883">
        <f t="shared" si="7"/>
        <v>2757328.2069612611</v>
      </c>
      <c r="S45" s="883">
        <f t="shared" si="5"/>
        <v>2758478.9583914345</v>
      </c>
      <c r="T45" s="883">
        <f t="shared" si="5"/>
        <v>2706378.7243412649</v>
      </c>
      <c r="U45" s="883">
        <f t="shared" si="5"/>
        <v>2749023.2885770602</v>
      </c>
      <c r="V45" s="883">
        <f t="shared" si="5"/>
        <v>2629908.7411942994</v>
      </c>
      <c r="W45" s="883">
        <f t="shared" si="5"/>
        <v>2642232.1517221406</v>
      </c>
      <c r="X45" s="180">
        <f t="shared" si="6"/>
        <v>16243350.071187463</v>
      </c>
      <c r="Y45" s="883"/>
      <c r="Z45" s="883"/>
      <c r="AA45" s="883"/>
      <c r="AB45" s="883"/>
      <c r="AC45" s="883"/>
      <c r="AD45" s="883"/>
      <c r="AE45" s="180"/>
      <c r="AG45" s="1415">
        <f>'PDYG-200'!$D$31</f>
        <v>0.39972132300720115</v>
      </c>
      <c r="AH45" s="1415">
        <f>'PDYG-200'!$E$31</f>
        <v>0.24340000000000001</v>
      </c>
      <c r="AI45" s="1415">
        <f>'PDYG-200'!$F$31</f>
        <v>0.35687867699279885</v>
      </c>
    </row>
    <row r="46" spans="2:35">
      <c r="B46" s="48"/>
      <c r="C46" s="888" t="s">
        <v>306</v>
      </c>
      <c r="D46" s="883">
        <f>MCDO800!$N46*D$152</f>
        <v>0</v>
      </c>
      <c r="E46" s="883">
        <f>MCDO800!$N46*E$152</f>
        <v>0</v>
      </c>
      <c r="F46" s="883">
        <f>MCDO800!$N46*F$152</f>
        <v>0</v>
      </c>
      <c r="G46" s="883">
        <f>MCDO800!$N46*G$152</f>
        <v>0</v>
      </c>
      <c r="H46" s="883">
        <f>MCDO800!$N46*H$152</f>
        <v>0</v>
      </c>
      <c r="I46" s="883">
        <f>MCDO800!$N46*I$152</f>
        <v>0</v>
      </c>
      <c r="J46" s="180">
        <f t="shared" si="2"/>
        <v>0</v>
      </c>
      <c r="K46" s="883">
        <f t="shared" si="24"/>
        <v>0</v>
      </c>
      <c r="L46" s="883">
        <f t="shared" si="24"/>
        <v>0</v>
      </c>
      <c r="M46" s="883">
        <f t="shared" si="24"/>
        <v>0</v>
      </c>
      <c r="N46" s="883">
        <f t="shared" si="24"/>
        <v>0</v>
      </c>
      <c r="O46" s="883">
        <f t="shared" si="24"/>
        <v>0</v>
      </c>
      <c r="P46" s="883">
        <f t="shared" si="24"/>
        <v>0</v>
      </c>
      <c r="Q46" s="180">
        <f t="shared" si="4"/>
        <v>0</v>
      </c>
      <c r="R46" s="883">
        <f t="shared" si="7"/>
        <v>0</v>
      </c>
      <c r="S46" s="883">
        <f t="shared" si="5"/>
        <v>0</v>
      </c>
      <c r="T46" s="883">
        <f t="shared" si="5"/>
        <v>0</v>
      </c>
      <c r="U46" s="883">
        <f t="shared" si="5"/>
        <v>0</v>
      </c>
      <c r="V46" s="883">
        <f t="shared" si="5"/>
        <v>0</v>
      </c>
      <c r="W46" s="883">
        <f t="shared" si="5"/>
        <v>0</v>
      </c>
      <c r="X46" s="180">
        <f t="shared" si="6"/>
        <v>0</v>
      </c>
      <c r="Y46" s="883"/>
      <c r="Z46" s="883"/>
      <c r="AA46" s="883"/>
      <c r="AB46" s="883"/>
      <c r="AC46" s="883"/>
      <c r="AD46" s="883"/>
      <c r="AE46" s="180"/>
      <c r="AG46" s="1415">
        <f>'PDYG-200'!$D$31</f>
        <v>0.39972132300720115</v>
      </c>
      <c r="AH46" s="1415">
        <f>'PDYG-200'!$E$31</f>
        <v>0.24340000000000001</v>
      </c>
      <c r="AI46" s="1415">
        <f>'PDYG-200'!$F$31</f>
        <v>0.35687867699279885</v>
      </c>
    </row>
    <row r="47" spans="2:35">
      <c r="B47" s="48"/>
      <c r="C47" s="887" t="s">
        <v>305</v>
      </c>
      <c r="D47" s="883">
        <f>MCDO800!$N47*D$152</f>
        <v>0</v>
      </c>
      <c r="E47" s="883">
        <f>MCDO800!$N47*E$152</f>
        <v>0</v>
      </c>
      <c r="F47" s="883">
        <f>MCDO800!$N47*F$152</f>
        <v>0</v>
      </c>
      <c r="G47" s="883">
        <f>MCDO800!$N47*G$152</f>
        <v>0</v>
      </c>
      <c r="H47" s="883">
        <f>MCDO800!$N47*H$152</f>
        <v>0</v>
      </c>
      <c r="I47" s="883">
        <f>MCDO800!$N47*I$152</f>
        <v>0</v>
      </c>
      <c r="J47" s="180">
        <f t="shared" si="2"/>
        <v>0</v>
      </c>
      <c r="K47" s="883">
        <f t="shared" si="24"/>
        <v>0</v>
      </c>
      <c r="L47" s="883">
        <f t="shared" si="24"/>
        <v>0</v>
      </c>
      <c r="M47" s="883">
        <f t="shared" si="24"/>
        <v>0</v>
      </c>
      <c r="N47" s="883">
        <f t="shared" si="24"/>
        <v>0</v>
      </c>
      <c r="O47" s="883">
        <f t="shared" si="24"/>
        <v>0</v>
      </c>
      <c r="P47" s="883">
        <f t="shared" si="24"/>
        <v>0</v>
      </c>
      <c r="Q47" s="180">
        <f t="shared" si="4"/>
        <v>0</v>
      </c>
      <c r="R47" s="883">
        <f t="shared" si="7"/>
        <v>0</v>
      </c>
      <c r="S47" s="883">
        <f t="shared" si="5"/>
        <v>0</v>
      </c>
      <c r="T47" s="883">
        <f t="shared" si="5"/>
        <v>0</v>
      </c>
      <c r="U47" s="883">
        <f t="shared" si="5"/>
        <v>0</v>
      </c>
      <c r="V47" s="883">
        <f t="shared" si="5"/>
        <v>0</v>
      </c>
      <c r="W47" s="883">
        <f t="shared" si="5"/>
        <v>0</v>
      </c>
      <c r="X47" s="180">
        <f t="shared" si="6"/>
        <v>0</v>
      </c>
      <c r="Y47" s="883"/>
      <c r="Z47" s="883"/>
      <c r="AA47" s="883"/>
      <c r="AB47" s="883"/>
      <c r="AC47" s="883"/>
      <c r="AD47" s="883"/>
      <c r="AE47" s="180"/>
      <c r="AG47" s="1415">
        <f>'PDYG-200'!$D$31</f>
        <v>0.39972132300720115</v>
      </c>
      <c r="AH47" s="1415">
        <f>'PDYG-200'!$E$31</f>
        <v>0.24340000000000001</v>
      </c>
      <c r="AI47" s="1415">
        <f>'PDYG-200'!$F$31</f>
        <v>0.35687867699279885</v>
      </c>
    </row>
    <row r="48" spans="2:35">
      <c r="B48" s="48"/>
      <c r="C48" s="887" t="s">
        <v>307</v>
      </c>
      <c r="D48" s="883">
        <f>MCDO800!$N48*D$152</f>
        <v>0</v>
      </c>
      <c r="E48" s="883">
        <f>MCDO800!$N48*E$152</f>
        <v>0</v>
      </c>
      <c r="F48" s="883">
        <f>MCDO800!$N48*F$152</f>
        <v>0</v>
      </c>
      <c r="G48" s="883">
        <f>MCDO800!$N48*G$152</f>
        <v>0</v>
      </c>
      <c r="H48" s="883">
        <f>MCDO800!$N48*H$152</f>
        <v>0</v>
      </c>
      <c r="I48" s="883">
        <f>MCDO800!$N48*I$152</f>
        <v>0</v>
      </c>
      <c r="J48" s="180">
        <f t="shared" si="2"/>
        <v>0</v>
      </c>
      <c r="K48" s="883">
        <f t="shared" si="24"/>
        <v>0</v>
      </c>
      <c r="L48" s="883">
        <f t="shared" si="24"/>
        <v>0</v>
      </c>
      <c r="M48" s="883">
        <f t="shared" si="24"/>
        <v>0</v>
      </c>
      <c r="N48" s="883">
        <f t="shared" si="24"/>
        <v>0</v>
      </c>
      <c r="O48" s="883">
        <f t="shared" si="24"/>
        <v>0</v>
      </c>
      <c r="P48" s="883">
        <f t="shared" si="24"/>
        <v>0</v>
      </c>
      <c r="Q48" s="180">
        <f t="shared" si="4"/>
        <v>0</v>
      </c>
      <c r="R48" s="883">
        <f t="shared" si="7"/>
        <v>0</v>
      </c>
      <c r="S48" s="883">
        <f t="shared" si="5"/>
        <v>0</v>
      </c>
      <c r="T48" s="883">
        <f t="shared" si="5"/>
        <v>0</v>
      </c>
      <c r="U48" s="883">
        <f t="shared" si="5"/>
        <v>0</v>
      </c>
      <c r="V48" s="883">
        <f t="shared" si="5"/>
        <v>0</v>
      </c>
      <c r="W48" s="883">
        <f t="shared" si="5"/>
        <v>0</v>
      </c>
      <c r="X48" s="180">
        <f t="shared" si="6"/>
        <v>0</v>
      </c>
      <c r="Y48" s="883"/>
      <c r="Z48" s="883"/>
      <c r="AA48" s="883"/>
      <c r="AB48" s="883"/>
      <c r="AC48" s="883"/>
      <c r="AD48" s="883"/>
      <c r="AE48" s="180"/>
      <c r="AG48" s="1415">
        <f>'PDYG-200'!$D$31</f>
        <v>0.39972132300720115</v>
      </c>
      <c r="AH48" s="1415">
        <f>'PDYG-200'!$E$31</f>
        <v>0.24340000000000001</v>
      </c>
      <c r="AI48" s="1415">
        <f>'PDYG-200'!$F$31</f>
        <v>0.35687867699279885</v>
      </c>
    </row>
    <row r="49" spans="2:43">
      <c r="B49" s="48"/>
      <c r="C49" s="884"/>
      <c r="D49" s="883"/>
      <c r="E49" s="883"/>
      <c r="F49" s="883"/>
      <c r="G49" s="883"/>
      <c r="H49" s="883"/>
      <c r="I49" s="883"/>
      <c r="J49" s="180">
        <f t="shared" si="2"/>
        <v>0</v>
      </c>
      <c r="K49" s="883"/>
      <c r="L49" s="883"/>
      <c r="M49" s="883"/>
      <c r="N49" s="883"/>
      <c r="O49" s="883"/>
      <c r="P49" s="883"/>
      <c r="Q49" s="180">
        <f t="shared" si="4"/>
        <v>0</v>
      </c>
      <c r="R49" s="883">
        <f t="shared" si="7"/>
        <v>0</v>
      </c>
      <c r="S49" s="883">
        <f t="shared" si="5"/>
        <v>0</v>
      </c>
      <c r="T49" s="883">
        <f t="shared" si="5"/>
        <v>0</v>
      </c>
      <c r="U49" s="883">
        <f t="shared" si="5"/>
        <v>0</v>
      </c>
      <c r="V49" s="883">
        <f t="shared" si="5"/>
        <v>0</v>
      </c>
      <c r="W49" s="883">
        <f t="shared" si="5"/>
        <v>0</v>
      </c>
      <c r="X49" s="180">
        <f t="shared" si="6"/>
        <v>0</v>
      </c>
      <c r="Y49" s="883"/>
      <c r="Z49" s="883"/>
      <c r="AA49" s="883"/>
      <c r="AB49" s="883"/>
      <c r="AC49" s="883"/>
      <c r="AD49" s="883"/>
      <c r="AE49" s="180"/>
      <c r="AG49" s="1415"/>
      <c r="AH49" s="1415"/>
      <c r="AI49" s="1415"/>
    </row>
    <row r="50" spans="2:43">
      <c r="B50" s="48" t="s">
        <v>1176</v>
      </c>
      <c r="C50" s="882" t="s">
        <v>1176</v>
      </c>
      <c r="D50" s="881">
        <f>SUBTOTAL(9,D51:D56)</f>
        <v>1000</v>
      </c>
      <c r="E50" s="881">
        <f t="shared" ref="E50:P50" si="25">SUBTOTAL(9,E51:E56)</f>
        <v>1000</v>
      </c>
      <c r="F50" s="881">
        <f t="shared" si="25"/>
        <v>1000</v>
      </c>
      <c r="G50" s="881">
        <f t="shared" si="25"/>
        <v>1000</v>
      </c>
      <c r="H50" s="881">
        <f t="shared" si="25"/>
        <v>1000</v>
      </c>
      <c r="I50" s="881">
        <f t="shared" si="25"/>
        <v>1000</v>
      </c>
      <c r="J50" s="180">
        <f t="shared" si="2"/>
        <v>6000</v>
      </c>
      <c r="K50" s="881">
        <f t="shared" si="25"/>
        <v>231.90745024205594</v>
      </c>
      <c r="L50" s="881">
        <f t="shared" si="25"/>
        <v>231.90745024205594</v>
      </c>
      <c r="M50" s="881">
        <f t="shared" si="25"/>
        <v>231.90745024205594</v>
      </c>
      <c r="N50" s="881">
        <f t="shared" si="25"/>
        <v>231.90745024205594</v>
      </c>
      <c r="O50" s="881">
        <f t="shared" si="25"/>
        <v>231.90745024205594</v>
      </c>
      <c r="P50" s="881">
        <f t="shared" si="25"/>
        <v>231.90745024205594</v>
      </c>
      <c r="Q50" s="180">
        <f t="shared" si="4"/>
        <v>1391.4447014523357</v>
      </c>
      <c r="R50" s="881">
        <f t="shared" si="7"/>
        <v>768.09254975794408</v>
      </c>
      <c r="S50" s="881">
        <f t="shared" si="5"/>
        <v>768.09254975794408</v>
      </c>
      <c r="T50" s="881">
        <f t="shared" si="5"/>
        <v>768.09254975794408</v>
      </c>
      <c r="U50" s="881">
        <f t="shared" si="5"/>
        <v>768.09254975794408</v>
      </c>
      <c r="V50" s="881">
        <f t="shared" si="5"/>
        <v>768.09254975794408</v>
      </c>
      <c r="W50" s="881">
        <f t="shared" si="5"/>
        <v>768.09254975794408</v>
      </c>
      <c r="X50" s="180">
        <f t="shared" si="6"/>
        <v>4608.5552985476643</v>
      </c>
      <c r="Y50" s="881"/>
      <c r="Z50" s="881"/>
      <c r="AA50" s="881"/>
      <c r="AB50" s="881"/>
      <c r="AC50" s="881"/>
      <c r="AD50" s="881"/>
      <c r="AE50" s="180"/>
      <c r="AG50" s="1415">
        <f>'PDYG-200'!$D$32</f>
        <v>0.23190745024205595</v>
      </c>
      <c r="AH50" s="1415">
        <f>'PDYG-200'!$E$32</f>
        <v>0.30353035303530351</v>
      </c>
      <c r="AI50" s="1415">
        <f>'PDYG-200'!$F$32</f>
        <v>0.46456219672264054</v>
      </c>
    </row>
    <row r="51" spans="2:43">
      <c r="B51" s="48"/>
      <c r="C51" s="887" t="s">
        <v>304</v>
      </c>
      <c r="D51" s="1969">
        <f>1000</f>
        <v>1000</v>
      </c>
      <c r="E51" s="1969">
        <f>1000</f>
        <v>1000</v>
      </c>
      <c r="F51" s="1969">
        <f>1000</f>
        <v>1000</v>
      </c>
      <c r="G51" s="1969">
        <f>1000</f>
        <v>1000</v>
      </c>
      <c r="H51" s="1969">
        <f>1000</f>
        <v>1000</v>
      </c>
      <c r="I51" s="1969">
        <f>1000</f>
        <v>1000</v>
      </c>
      <c r="J51" s="180">
        <f t="shared" si="2"/>
        <v>6000</v>
      </c>
      <c r="K51" s="883">
        <f t="shared" ref="K51:P56" si="26">D51*$AG51</f>
        <v>231.90745024205594</v>
      </c>
      <c r="L51" s="883">
        <f t="shared" si="26"/>
        <v>231.90745024205594</v>
      </c>
      <c r="M51" s="883">
        <f t="shared" si="26"/>
        <v>231.90745024205594</v>
      </c>
      <c r="N51" s="883">
        <f t="shared" si="26"/>
        <v>231.90745024205594</v>
      </c>
      <c r="O51" s="883">
        <f t="shared" si="26"/>
        <v>231.90745024205594</v>
      </c>
      <c r="P51" s="883">
        <f t="shared" si="26"/>
        <v>231.90745024205594</v>
      </c>
      <c r="Q51" s="180">
        <f t="shared" si="4"/>
        <v>1391.4447014523357</v>
      </c>
      <c r="R51" s="883">
        <f t="shared" si="7"/>
        <v>768.09254975794408</v>
      </c>
      <c r="S51" s="883">
        <f t="shared" si="5"/>
        <v>768.09254975794408</v>
      </c>
      <c r="T51" s="883">
        <f t="shared" si="5"/>
        <v>768.09254975794408</v>
      </c>
      <c r="U51" s="883">
        <f t="shared" si="5"/>
        <v>768.09254975794408</v>
      </c>
      <c r="V51" s="883">
        <f t="shared" si="5"/>
        <v>768.09254975794408</v>
      </c>
      <c r="W51" s="883">
        <f t="shared" si="5"/>
        <v>768.09254975794408</v>
      </c>
      <c r="X51" s="180">
        <f t="shared" si="6"/>
        <v>4608.5552985476643</v>
      </c>
      <c r="Y51" s="883"/>
      <c r="Z51" s="883"/>
      <c r="AA51" s="883"/>
      <c r="AB51" s="883"/>
      <c r="AC51" s="883"/>
      <c r="AD51" s="883"/>
      <c r="AE51" s="180"/>
      <c r="AG51" s="1415">
        <f>'PDYG-200'!$D$32</f>
        <v>0.23190745024205595</v>
      </c>
      <c r="AH51" s="1415">
        <f>'PDYG-200'!$E$32</f>
        <v>0.30353035303530351</v>
      </c>
      <c r="AI51" s="1415">
        <f>'PDYG-200'!$F$32</f>
        <v>0.46456219672264054</v>
      </c>
    </row>
    <row r="52" spans="2:43">
      <c r="B52" s="48"/>
      <c r="C52" s="889" t="s">
        <v>642</v>
      </c>
      <c r="D52" s="883">
        <f>MCDO800!$N52*D$152</f>
        <v>0</v>
      </c>
      <c r="E52" s="883">
        <f>MCDO800!$N52*E$152</f>
        <v>0</v>
      </c>
      <c r="F52" s="883">
        <f>MCDO800!$N52*F$152</f>
        <v>0</v>
      </c>
      <c r="G52" s="883">
        <f>MCDO800!$N52*G$152</f>
        <v>0</v>
      </c>
      <c r="H52" s="883">
        <f>MCDO800!$N52*H$152</f>
        <v>0</v>
      </c>
      <c r="I52" s="883">
        <f>MCDO800!$N52*I$152</f>
        <v>0</v>
      </c>
      <c r="J52" s="180">
        <f t="shared" si="2"/>
        <v>0</v>
      </c>
      <c r="K52" s="883">
        <f t="shared" si="26"/>
        <v>0</v>
      </c>
      <c r="L52" s="883">
        <f t="shared" si="26"/>
        <v>0</v>
      </c>
      <c r="M52" s="883">
        <f t="shared" si="26"/>
        <v>0</v>
      </c>
      <c r="N52" s="883">
        <f t="shared" si="26"/>
        <v>0</v>
      </c>
      <c r="O52" s="883">
        <f t="shared" si="26"/>
        <v>0</v>
      </c>
      <c r="P52" s="883">
        <f t="shared" si="26"/>
        <v>0</v>
      </c>
      <c r="Q52" s="180">
        <f t="shared" si="4"/>
        <v>0</v>
      </c>
      <c r="R52" s="883">
        <f t="shared" si="7"/>
        <v>0</v>
      </c>
      <c r="S52" s="883">
        <f t="shared" si="5"/>
        <v>0</v>
      </c>
      <c r="T52" s="883">
        <f t="shared" si="5"/>
        <v>0</v>
      </c>
      <c r="U52" s="883">
        <f t="shared" si="5"/>
        <v>0</v>
      </c>
      <c r="V52" s="883">
        <f t="shared" si="5"/>
        <v>0</v>
      </c>
      <c r="W52" s="883">
        <f t="shared" si="5"/>
        <v>0</v>
      </c>
      <c r="X52" s="180">
        <f t="shared" si="6"/>
        <v>0</v>
      </c>
      <c r="Y52" s="883"/>
      <c r="Z52" s="883"/>
      <c r="AA52" s="883"/>
      <c r="AB52" s="883"/>
      <c r="AC52" s="883"/>
      <c r="AD52" s="883"/>
      <c r="AE52" s="180"/>
      <c r="AG52" s="1415">
        <f>'PDYG-200'!$D$32</f>
        <v>0.23190745024205595</v>
      </c>
      <c r="AH52" s="1415">
        <f>'PDYG-200'!$E$32</f>
        <v>0.30353035303530351</v>
      </c>
      <c r="AI52" s="1415">
        <f>'PDYG-200'!$F$32</f>
        <v>0.46456219672264054</v>
      </c>
    </row>
    <row r="53" spans="2:43">
      <c r="B53" s="48"/>
      <c r="C53" s="889" t="s">
        <v>1177</v>
      </c>
      <c r="D53" s="883">
        <f>MCDO800!$N53*D$152</f>
        <v>0</v>
      </c>
      <c r="E53" s="883">
        <f>MCDO800!$N53*E$152</f>
        <v>0</v>
      </c>
      <c r="F53" s="883">
        <f>MCDO800!$N53*F$152</f>
        <v>0</v>
      </c>
      <c r="G53" s="883">
        <f>MCDO800!$N53*G$152</f>
        <v>0</v>
      </c>
      <c r="H53" s="883">
        <f>MCDO800!$N53*H$152</f>
        <v>0</v>
      </c>
      <c r="I53" s="883">
        <f>MCDO800!$N53*I$152</f>
        <v>0</v>
      </c>
      <c r="J53" s="180">
        <f t="shared" si="2"/>
        <v>0</v>
      </c>
      <c r="K53" s="883">
        <f t="shared" si="26"/>
        <v>0</v>
      </c>
      <c r="L53" s="883">
        <f t="shared" si="26"/>
        <v>0</v>
      </c>
      <c r="M53" s="883">
        <f t="shared" si="26"/>
        <v>0</v>
      </c>
      <c r="N53" s="883">
        <f t="shared" si="26"/>
        <v>0</v>
      </c>
      <c r="O53" s="883">
        <f t="shared" si="26"/>
        <v>0</v>
      </c>
      <c r="P53" s="883">
        <f t="shared" si="26"/>
        <v>0</v>
      </c>
      <c r="Q53" s="180">
        <f t="shared" si="4"/>
        <v>0</v>
      </c>
      <c r="R53" s="883">
        <f t="shared" si="7"/>
        <v>0</v>
      </c>
      <c r="S53" s="883">
        <f t="shared" si="5"/>
        <v>0</v>
      </c>
      <c r="T53" s="883">
        <f t="shared" si="5"/>
        <v>0</v>
      </c>
      <c r="U53" s="883">
        <f t="shared" si="5"/>
        <v>0</v>
      </c>
      <c r="V53" s="883">
        <f t="shared" si="5"/>
        <v>0</v>
      </c>
      <c r="W53" s="883">
        <f t="shared" si="5"/>
        <v>0</v>
      </c>
      <c r="X53" s="180">
        <f t="shared" si="6"/>
        <v>0</v>
      </c>
      <c r="Y53" s="883"/>
      <c r="Z53" s="883"/>
      <c r="AA53" s="883"/>
      <c r="AB53" s="883"/>
      <c r="AC53" s="883"/>
      <c r="AD53" s="883"/>
      <c r="AE53" s="180"/>
      <c r="AG53" s="1415">
        <f>'PDYG-200'!$D$32</f>
        <v>0.23190745024205595</v>
      </c>
      <c r="AH53" s="1415">
        <f>'PDYG-200'!$E$32</f>
        <v>0.30353035303530351</v>
      </c>
      <c r="AI53" s="1415">
        <f>'PDYG-200'!$F$32</f>
        <v>0.46456219672264054</v>
      </c>
    </row>
    <row r="54" spans="2:43">
      <c r="B54" s="48"/>
      <c r="C54" s="887" t="s">
        <v>305</v>
      </c>
      <c r="D54" s="883">
        <f>MCDO800!$N54*D$152</f>
        <v>0</v>
      </c>
      <c r="E54" s="883">
        <f>MCDO800!$N54*E$152</f>
        <v>0</v>
      </c>
      <c r="F54" s="883">
        <f>MCDO800!$N54*F$152</f>
        <v>0</v>
      </c>
      <c r="G54" s="883">
        <f>MCDO800!$N54*G$152</f>
        <v>0</v>
      </c>
      <c r="H54" s="883">
        <f>MCDO800!$N54*H$152</f>
        <v>0</v>
      </c>
      <c r="I54" s="883">
        <f>MCDO800!$N54*I$152</f>
        <v>0</v>
      </c>
      <c r="J54" s="180">
        <f t="shared" si="2"/>
        <v>0</v>
      </c>
      <c r="K54" s="883">
        <f t="shared" si="26"/>
        <v>0</v>
      </c>
      <c r="L54" s="883">
        <f t="shared" si="26"/>
        <v>0</v>
      </c>
      <c r="M54" s="883">
        <f t="shared" si="26"/>
        <v>0</v>
      </c>
      <c r="N54" s="883">
        <f t="shared" si="26"/>
        <v>0</v>
      </c>
      <c r="O54" s="883">
        <f t="shared" si="26"/>
        <v>0</v>
      </c>
      <c r="P54" s="883">
        <f t="shared" si="26"/>
        <v>0</v>
      </c>
      <c r="Q54" s="180">
        <f t="shared" si="4"/>
        <v>0</v>
      </c>
      <c r="R54" s="883">
        <f t="shared" si="7"/>
        <v>0</v>
      </c>
      <c r="S54" s="883">
        <f t="shared" si="5"/>
        <v>0</v>
      </c>
      <c r="T54" s="883">
        <f t="shared" si="5"/>
        <v>0</v>
      </c>
      <c r="U54" s="883">
        <f t="shared" si="5"/>
        <v>0</v>
      </c>
      <c r="V54" s="883">
        <f t="shared" si="5"/>
        <v>0</v>
      </c>
      <c r="W54" s="883">
        <f t="shared" si="5"/>
        <v>0</v>
      </c>
      <c r="X54" s="180">
        <f t="shared" si="6"/>
        <v>0</v>
      </c>
      <c r="Y54" s="883"/>
      <c r="Z54" s="883"/>
      <c r="AA54" s="883"/>
      <c r="AB54" s="883"/>
      <c r="AC54" s="883"/>
      <c r="AD54" s="883"/>
      <c r="AE54" s="180"/>
      <c r="AG54" s="1415">
        <f>'PDYG-200'!$D$32</f>
        <v>0.23190745024205595</v>
      </c>
      <c r="AH54" s="1415">
        <f>'PDYG-200'!$E$32</f>
        <v>0.30353035303530351</v>
      </c>
      <c r="AI54" s="1415">
        <f>'PDYG-200'!$F$32</f>
        <v>0.46456219672264054</v>
      </c>
    </row>
    <row r="55" spans="2:43">
      <c r="B55" s="48"/>
      <c r="C55" s="887" t="s">
        <v>307</v>
      </c>
      <c r="D55" s="883">
        <f>MCDO800!$N55*D$152</f>
        <v>0</v>
      </c>
      <c r="E55" s="883">
        <f>MCDO800!$N55*E$152</f>
        <v>0</v>
      </c>
      <c r="F55" s="883">
        <f>MCDO800!$N55*F$152</f>
        <v>0</v>
      </c>
      <c r="G55" s="883">
        <f>MCDO800!$N55*G$152</f>
        <v>0</v>
      </c>
      <c r="H55" s="883">
        <f>MCDO800!$N55*H$152</f>
        <v>0</v>
      </c>
      <c r="I55" s="883">
        <f>MCDO800!$N55*I$152</f>
        <v>0</v>
      </c>
      <c r="J55" s="180">
        <f t="shared" si="2"/>
        <v>0</v>
      </c>
      <c r="K55" s="883">
        <f t="shared" si="26"/>
        <v>0</v>
      </c>
      <c r="L55" s="883">
        <f t="shared" si="26"/>
        <v>0</v>
      </c>
      <c r="M55" s="883">
        <f t="shared" si="26"/>
        <v>0</v>
      </c>
      <c r="N55" s="883">
        <f t="shared" si="26"/>
        <v>0</v>
      </c>
      <c r="O55" s="883">
        <f t="shared" si="26"/>
        <v>0</v>
      </c>
      <c r="P55" s="883">
        <f t="shared" si="26"/>
        <v>0</v>
      </c>
      <c r="Q55" s="180">
        <f t="shared" si="4"/>
        <v>0</v>
      </c>
      <c r="R55" s="883">
        <f t="shared" si="7"/>
        <v>0</v>
      </c>
      <c r="S55" s="883">
        <f t="shared" si="5"/>
        <v>0</v>
      </c>
      <c r="T55" s="883">
        <f t="shared" si="5"/>
        <v>0</v>
      </c>
      <c r="U55" s="883">
        <f t="shared" si="5"/>
        <v>0</v>
      </c>
      <c r="V55" s="883">
        <f t="shared" si="5"/>
        <v>0</v>
      </c>
      <c r="W55" s="883">
        <f t="shared" si="5"/>
        <v>0</v>
      </c>
      <c r="X55" s="180">
        <f t="shared" si="6"/>
        <v>0</v>
      </c>
      <c r="Y55" s="883"/>
      <c r="Z55" s="883"/>
      <c r="AA55" s="883"/>
      <c r="AB55" s="883"/>
      <c r="AC55" s="883"/>
      <c r="AD55" s="883"/>
      <c r="AE55" s="180"/>
      <c r="AG55" s="1415">
        <f>'PDYG-200'!$D$32</f>
        <v>0.23190745024205595</v>
      </c>
      <c r="AH55" s="1415">
        <f>'PDYG-200'!$E$32</f>
        <v>0.30353035303530351</v>
      </c>
      <c r="AI55" s="1415">
        <f>'PDYG-200'!$F$32</f>
        <v>0.46456219672264054</v>
      </c>
    </row>
    <row r="56" spans="2:43">
      <c r="B56" s="48"/>
      <c r="C56" s="887" t="s">
        <v>624</v>
      </c>
      <c r="D56" s="883">
        <f>MCDO800!$N56*D$152</f>
        <v>0</v>
      </c>
      <c r="E56" s="883">
        <f>MCDO800!$N56*E$152</f>
        <v>0</v>
      </c>
      <c r="F56" s="883">
        <f>MCDO800!$N56*F$152</f>
        <v>0</v>
      </c>
      <c r="G56" s="883">
        <f>MCDO800!$N56*G$152</f>
        <v>0</v>
      </c>
      <c r="H56" s="883">
        <f>MCDO800!$N56*H$152</f>
        <v>0</v>
      </c>
      <c r="I56" s="883">
        <f>MCDO800!$N56*I$152</f>
        <v>0</v>
      </c>
      <c r="J56" s="180">
        <f t="shared" si="2"/>
        <v>0</v>
      </c>
      <c r="K56" s="883">
        <f t="shared" si="26"/>
        <v>0</v>
      </c>
      <c r="L56" s="883">
        <f t="shared" si="26"/>
        <v>0</v>
      </c>
      <c r="M56" s="883">
        <f t="shared" si="26"/>
        <v>0</v>
      </c>
      <c r="N56" s="883">
        <f t="shared" si="26"/>
        <v>0</v>
      </c>
      <c r="O56" s="883">
        <f t="shared" si="26"/>
        <v>0</v>
      </c>
      <c r="P56" s="883">
        <f t="shared" si="26"/>
        <v>0</v>
      </c>
      <c r="Q56" s="180">
        <f t="shared" si="4"/>
        <v>0</v>
      </c>
      <c r="R56" s="883">
        <f t="shared" si="7"/>
        <v>0</v>
      </c>
      <c r="S56" s="883">
        <f t="shared" si="5"/>
        <v>0</v>
      </c>
      <c r="T56" s="883">
        <f t="shared" si="5"/>
        <v>0</v>
      </c>
      <c r="U56" s="883">
        <f t="shared" si="5"/>
        <v>0</v>
      </c>
      <c r="V56" s="883">
        <f t="shared" si="5"/>
        <v>0</v>
      </c>
      <c r="W56" s="883">
        <f t="shared" si="5"/>
        <v>0</v>
      </c>
      <c r="X56" s="180">
        <f t="shared" si="6"/>
        <v>0</v>
      </c>
      <c r="Y56" s="883"/>
      <c r="Z56" s="883"/>
      <c r="AA56" s="883"/>
      <c r="AB56" s="883"/>
      <c r="AC56" s="883"/>
      <c r="AD56" s="883"/>
      <c r="AE56" s="180"/>
      <c r="AG56" s="1415">
        <f>'PDYG-200'!$D$32</f>
        <v>0.23190745024205595</v>
      </c>
      <c r="AH56" s="1415">
        <f>'PDYG-200'!$E$32</f>
        <v>0.30353035303530351</v>
      </c>
      <c r="AI56" s="1415">
        <f>'PDYG-200'!$F$32</f>
        <v>0.46456219672264054</v>
      </c>
    </row>
    <row r="57" spans="2:43">
      <c r="B57" s="48"/>
      <c r="C57" s="887"/>
      <c r="D57" s="883"/>
      <c r="E57" s="883"/>
      <c r="F57" s="883"/>
      <c r="G57" s="883"/>
      <c r="H57" s="883"/>
      <c r="I57" s="883"/>
      <c r="J57" s="180">
        <f t="shared" si="2"/>
        <v>0</v>
      </c>
      <c r="K57" s="883"/>
      <c r="L57" s="883"/>
      <c r="M57" s="883"/>
      <c r="N57" s="883"/>
      <c r="O57" s="883"/>
      <c r="P57" s="883"/>
      <c r="Q57" s="180">
        <f t="shared" si="4"/>
        <v>0</v>
      </c>
      <c r="R57" s="883">
        <f t="shared" si="7"/>
        <v>0</v>
      </c>
      <c r="S57" s="883">
        <f t="shared" si="7"/>
        <v>0</v>
      </c>
      <c r="T57" s="883">
        <f t="shared" si="7"/>
        <v>0</v>
      </c>
      <c r="U57" s="883">
        <f t="shared" si="7"/>
        <v>0</v>
      </c>
      <c r="V57" s="883">
        <f t="shared" si="7"/>
        <v>0</v>
      </c>
      <c r="W57" s="883">
        <f t="shared" si="7"/>
        <v>0</v>
      </c>
      <c r="X57" s="180">
        <f t="shared" si="6"/>
        <v>0</v>
      </c>
      <c r="Y57" s="883"/>
      <c r="Z57" s="883"/>
      <c r="AA57" s="883"/>
      <c r="AB57" s="883"/>
      <c r="AC57" s="883"/>
      <c r="AD57" s="883"/>
      <c r="AE57" s="180"/>
      <c r="AG57" s="1415"/>
      <c r="AH57" s="1415"/>
      <c r="AI57" s="1415"/>
    </row>
    <row r="58" spans="2:43">
      <c r="B58" s="48"/>
      <c r="C58" s="882" t="s">
        <v>755</v>
      </c>
      <c r="D58" s="881">
        <f>SUBTOTAL(9,D59:D105)</f>
        <v>169873048.81390285</v>
      </c>
      <c r="E58" s="881">
        <f t="shared" ref="E58:P58" si="27">SUBTOTAL(9,E59:E105)</f>
        <v>169943944.54700005</v>
      </c>
      <c r="F58" s="881">
        <f t="shared" si="27"/>
        <v>166734142.50750756</v>
      </c>
      <c r="G58" s="881">
        <f t="shared" si="27"/>
        <v>169361397.67733109</v>
      </c>
      <c r="H58" s="881">
        <f t="shared" si="27"/>
        <v>162022963.90457216</v>
      </c>
      <c r="I58" s="881">
        <f t="shared" si="27"/>
        <v>162782187.13968626</v>
      </c>
      <c r="J58" s="180">
        <f t="shared" si="2"/>
        <v>1000717684.5899999</v>
      </c>
      <c r="K58" s="881">
        <f t="shared" si="27"/>
        <v>38372097.731941722</v>
      </c>
      <c r="L58" s="881">
        <f t="shared" si="27"/>
        <v>38388112.152386896</v>
      </c>
      <c r="M58" s="881">
        <f t="shared" si="27"/>
        <v>37663059.780958876</v>
      </c>
      <c r="N58" s="881">
        <f t="shared" si="27"/>
        <v>38256522.420644999</v>
      </c>
      <c r="O58" s="881">
        <f t="shared" si="27"/>
        <v>36598866.046812192</v>
      </c>
      <c r="P58" s="881">
        <f t="shared" si="27"/>
        <v>36770364.662704945</v>
      </c>
      <c r="Q58" s="180">
        <f t="shared" si="4"/>
        <v>226049022.79544961</v>
      </c>
      <c r="R58" s="881">
        <f t="shared" si="7"/>
        <v>131500951.08196113</v>
      </c>
      <c r="S58" s="881">
        <f t="shared" si="7"/>
        <v>131555832.39461315</v>
      </c>
      <c r="T58" s="881">
        <f t="shared" si="7"/>
        <v>129071082.72654869</v>
      </c>
      <c r="U58" s="881">
        <f t="shared" si="7"/>
        <v>131104875.25668609</v>
      </c>
      <c r="V58" s="881">
        <f t="shared" si="7"/>
        <v>125424097.85775997</v>
      </c>
      <c r="W58" s="881">
        <f t="shared" si="7"/>
        <v>126011822.47698131</v>
      </c>
      <c r="X58" s="180">
        <f t="shared" si="6"/>
        <v>774668661.7945503</v>
      </c>
      <c r="Y58" s="883"/>
      <c r="Z58" s="883"/>
      <c r="AA58" s="883"/>
      <c r="AB58" s="883"/>
      <c r="AC58" s="883"/>
      <c r="AD58" s="883"/>
      <c r="AE58" s="180"/>
      <c r="AG58" s="1415"/>
      <c r="AH58" s="1415"/>
      <c r="AI58" s="1415"/>
    </row>
    <row r="59" spans="2:43" s="526" customFormat="1">
      <c r="B59" s="1404" t="s">
        <v>751</v>
      </c>
      <c r="C59" s="1405" t="s">
        <v>2186</v>
      </c>
      <c r="D59" s="1406">
        <f>SUBTOTAL(9,D60:D64)</f>
        <v>4410069.1127745919</v>
      </c>
      <c r="E59" s="1406">
        <f t="shared" ref="E59:P59" si="28">SUBTOTAL(9,E60:E64)</f>
        <v>4411909.6239353158</v>
      </c>
      <c r="F59" s="1406">
        <f t="shared" si="28"/>
        <v>4328580.5402328717</v>
      </c>
      <c r="G59" s="1406">
        <f t="shared" si="28"/>
        <v>4396786.2311945846</v>
      </c>
      <c r="H59" s="1406">
        <f t="shared" si="28"/>
        <v>4206274.4941555774</v>
      </c>
      <c r="I59" s="1406">
        <f t="shared" si="28"/>
        <v>4225984.5497070616</v>
      </c>
      <c r="J59" s="1407">
        <f t="shared" si="2"/>
        <v>25979604.552000005</v>
      </c>
      <c r="K59" s="1406">
        <f t="shared" si="28"/>
        <v>0</v>
      </c>
      <c r="L59" s="1406">
        <f t="shared" si="28"/>
        <v>0</v>
      </c>
      <c r="M59" s="1406">
        <f t="shared" si="28"/>
        <v>0</v>
      </c>
      <c r="N59" s="1406">
        <f t="shared" si="28"/>
        <v>0</v>
      </c>
      <c r="O59" s="1406">
        <f t="shared" si="28"/>
        <v>0</v>
      </c>
      <c r="P59" s="1406">
        <f t="shared" si="28"/>
        <v>0</v>
      </c>
      <c r="Q59" s="1407">
        <f t="shared" si="4"/>
        <v>0</v>
      </c>
      <c r="R59" s="1406">
        <f t="shared" si="7"/>
        <v>4410069.1127745919</v>
      </c>
      <c r="S59" s="1406">
        <f t="shared" si="7"/>
        <v>4411909.6239353158</v>
      </c>
      <c r="T59" s="1406">
        <f t="shared" si="7"/>
        <v>4328580.5402328717</v>
      </c>
      <c r="U59" s="1406">
        <f t="shared" si="7"/>
        <v>4396786.2311945846</v>
      </c>
      <c r="V59" s="1406">
        <f t="shared" si="7"/>
        <v>4206274.4941555774</v>
      </c>
      <c r="W59" s="1406">
        <f t="shared" si="7"/>
        <v>4225984.5497070616</v>
      </c>
      <c r="X59" s="1407">
        <f t="shared" si="6"/>
        <v>25979604.552000005</v>
      </c>
      <c r="Y59" s="974"/>
      <c r="Z59" s="974"/>
      <c r="AA59" s="974"/>
      <c r="AB59" s="974"/>
      <c r="AC59" s="974"/>
      <c r="AD59" s="974"/>
      <c r="AE59" s="1407"/>
      <c r="AG59" s="1416"/>
      <c r="AH59" s="1416"/>
      <c r="AI59" s="1416"/>
      <c r="AQ59" s="569"/>
    </row>
    <row r="60" spans="2:43" s="526" customFormat="1">
      <c r="B60" s="1404"/>
      <c r="C60" s="1410" t="s">
        <v>304</v>
      </c>
      <c r="D60" s="974">
        <f>MCDO800!$N60*D$152</f>
        <v>2942365.8333267774</v>
      </c>
      <c r="E60" s="974">
        <f>MCDO800!$N60*E$152</f>
        <v>2943593.8089019177</v>
      </c>
      <c r="F60" s="974">
        <f>MCDO800!$N60*F$152</f>
        <v>2887997.2541680536</v>
      </c>
      <c r="G60" s="974">
        <f>MCDO800!$N60*G$152</f>
        <v>2933503.5919582853</v>
      </c>
      <c r="H60" s="974">
        <f>MCDO800!$N60*H$152</f>
        <v>2806395.555422632</v>
      </c>
      <c r="I60" s="974">
        <f>MCDO800!$N60*I$152</f>
        <v>2819545.960222336</v>
      </c>
      <c r="J60" s="1407">
        <f t="shared" si="2"/>
        <v>17333402.004000001</v>
      </c>
      <c r="K60" s="974">
        <f t="shared" ref="K60:P64" si="29">D60*$AG60</f>
        <v>0</v>
      </c>
      <c r="L60" s="974">
        <f t="shared" si="29"/>
        <v>0</v>
      </c>
      <c r="M60" s="974">
        <f t="shared" si="29"/>
        <v>0</v>
      </c>
      <c r="N60" s="974">
        <f t="shared" si="29"/>
        <v>0</v>
      </c>
      <c r="O60" s="974">
        <f t="shared" si="29"/>
        <v>0</v>
      </c>
      <c r="P60" s="974">
        <f t="shared" si="29"/>
        <v>0</v>
      </c>
      <c r="Q60" s="1407">
        <f t="shared" si="4"/>
        <v>0</v>
      </c>
      <c r="R60" s="974">
        <f t="shared" si="7"/>
        <v>2942365.8333267774</v>
      </c>
      <c r="S60" s="974">
        <f t="shared" si="7"/>
        <v>2943593.8089019177</v>
      </c>
      <c r="T60" s="974">
        <f t="shared" si="7"/>
        <v>2887997.2541680536</v>
      </c>
      <c r="U60" s="974">
        <f t="shared" si="7"/>
        <v>2933503.5919582853</v>
      </c>
      <c r="V60" s="974">
        <f t="shared" si="7"/>
        <v>2806395.555422632</v>
      </c>
      <c r="W60" s="974">
        <f t="shared" si="7"/>
        <v>2819545.960222336</v>
      </c>
      <c r="X60" s="1407">
        <f t="shared" si="6"/>
        <v>17333402.004000001</v>
      </c>
      <c r="Y60" s="974"/>
      <c r="Z60" s="974"/>
      <c r="AA60" s="974"/>
      <c r="AB60" s="974"/>
      <c r="AC60" s="974"/>
      <c r="AD60" s="974"/>
      <c r="AE60" s="1407"/>
      <c r="AG60" s="1416"/>
      <c r="AH60" s="1416"/>
      <c r="AI60" s="1416"/>
      <c r="AQ60" s="569"/>
    </row>
    <row r="61" spans="2:43" s="526" customFormat="1">
      <c r="B61" s="1404"/>
      <c r="C61" s="1411" t="s">
        <v>644</v>
      </c>
      <c r="D61" s="974">
        <f>MCDO800!$N61*D$152</f>
        <v>1467369.4056532176</v>
      </c>
      <c r="E61" s="974">
        <f>MCDO800!$N61*E$152</f>
        <v>1467981.801898933</v>
      </c>
      <c r="F61" s="974">
        <f>MCDO800!$N61*F$152</f>
        <v>1440255.5815383743</v>
      </c>
      <c r="G61" s="974">
        <f>MCDO800!$N61*G$152</f>
        <v>1462949.771050903</v>
      </c>
      <c r="H61" s="974">
        <f>MCDO800!$N61*H$152</f>
        <v>1399560.4936495314</v>
      </c>
      <c r="I61" s="974">
        <f>MCDO800!$N61*I$152</f>
        <v>1406118.6522090409</v>
      </c>
      <c r="J61" s="1407">
        <f t="shared" si="2"/>
        <v>8644235.7060000002</v>
      </c>
      <c r="K61" s="974">
        <f t="shared" si="29"/>
        <v>0</v>
      </c>
      <c r="L61" s="974">
        <f t="shared" si="29"/>
        <v>0</v>
      </c>
      <c r="M61" s="974">
        <f t="shared" si="29"/>
        <v>0</v>
      </c>
      <c r="N61" s="974">
        <f t="shared" si="29"/>
        <v>0</v>
      </c>
      <c r="O61" s="974">
        <f t="shared" si="29"/>
        <v>0</v>
      </c>
      <c r="P61" s="974">
        <f t="shared" si="29"/>
        <v>0</v>
      </c>
      <c r="Q61" s="1407">
        <f t="shared" si="4"/>
        <v>0</v>
      </c>
      <c r="R61" s="974">
        <f t="shared" si="7"/>
        <v>1467369.4056532176</v>
      </c>
      <c r="S61" s="974">
        <f t="shared" si="7"/>
        <v>1467981.801898933</v>
      </c>
      <c r="T61" s="974">
        <f t="shared" si="7"/>
        <v>1440255.5815383743</v>
      </c>
      <c r="U61" s="974">
        <f t="shared" si="7"/>
        <v>1462949.771050903</v>
      </c>
      <c r="V61" s="974">
        <f t="shared" si="7"/>
        <v>1399560.4936495314</v>
      </c>
      <c r="W61" s="974">
        <f t="shared" si="7"/>
        <v>1406118.6522090409</v>
      </c>
      <c r="X61" s="1407">
        <f t="shared" si="6"/>
        <v>8644235.7060000002</v>
      </c>
      <c r="Y61" s="974"/>
      <c r="Z61" s="974"/>
      <c r="AA61" s="974"/>
      <c r="AB61" s="974"/>
      <c r="AC61" s="974"/>
      <c r="AD61" s="974"/>
      <c r="AE61" s="1407"/>
      <c r="AG61" s="1416"/>
      <c r="AH61" s="1416"/>
      <c r="AI61" s="1416"/>
      <c r="AQ61" s="569"/>
    </row>
    <row r="62" spans="2:43" s="526" customFormat="1">
      <c r="B62" s="1404"/>
      <c r="C62" s="1410" t="s">
        <v>305</v>
      </c>
      <c r="D62" s="974">
        <f>MCDO800!$N62*D$152</f>
        <v>204.99189162272447</v>
      </c>
      <c r="E62" s="974">
        <f>MCDO800!$N62*E$152</f>
        <v>205.07744353920043</v>
      </c>
      <c r="F62" s="974">
        <f>MCDO800!$N62*F$152</f>
        <v>201.20408326784514</v>
      </c>
      <c r="G62" s="974">
        <f>MCDO800!$N62*G$152</f>
        <v>204.37446750721591</v>
      </c>
      <c r="H62" s="974">
        <f>MCDO800!$N62*H$152</f>
        <v>195.5189687943201</v>
      </c>
      <c r="I62" s="974">
        <f>MCDO800!$N62*I$152</f>
        <v>196.43514526869407</v>
      </c>
      <c r="J62" s="1407">
        <f t="shared" si="2"/>
        <v>1207.6020000000001</v>
      </c>
      <c r="K62" s="974">
        <f t="shared" si="29"/>
        <v>0</v>
      </c>
      <c r="L62" s="974">
        <f t="shared" si="29"/>
        <v>0</v>
      </c>
      <c r="M62" s="974">
        <f t="shared" si="29"/>
        <v>0</v>
      </c>
      <c r="N62" s="974">
        <f t="shared" si="29"/>
        <v>0</v>
      </c>
      <c r="O62" s="974">
        <f t="shared" si="29"/>
        <v>0</v>
      </c>
      <c r="P62" s="974">
        <f t="shared" si="29"/>
        <v>0</v>
      </c>
      <c r="Q62" s="1407">
        <f t="shared" si="4"/>
        <v>0</v>
      </c>
      <c r="R62" s="974">
        <f t="shared" si="7"/>
        <v>204.99189162272447</v>
      </c>
      <c r="S62" s="974">
        <f t="shared" si="7"/>
        <v>205.07744353920043</v>
      </c>
      <c r="T62" s="974">
        <f t="shared" si="7"/>
        <v>201.20408326784514</v>
      </c>
      <c r="U62" s="974">
        <f t="shared" si="7"/>
        <v>204.37446750721591</v>
      </c>
      <c r="V62" s="974">
        <f t="shared" si="7"/>
        <v>195.5189687943201</v>
      </c>
      <c r="W62" s="974">
        <f t="shared" si="7"/>
        <v>196.43514526869407</v>
      </c>
      <c r="X62" s="1407">
        <f t="shared" si="6"/>
        <v>1207.6020000000001</v>
      </c>
      <c r="Y62" s="974"/>
      <c r="Z62" s="974"/>
      <c r="AA62" s="974"/>
      <c r="AB62" s="974"/>
      <c r="AC62" s="974"/>
      <c r="AD62" s="974"/>
      <c r="AE62" s="1407"/>
      <c r="AG62" s="1416"/>
      <c r="AH62" s="1416"/>
      <c r="AI62" s="1416"/>
      <c r="AQ62" s="569"/>
    </row>
    <row r="63" spans="2:43" s="526" customFormat="1">
      <c r="B63" s="1404"/>
      <c r="C63" s="1410" t="s">
        <v>307</v>
      </c>
      <c r="D63" s="974">
        <f>MCDO800!$N63*D$152</f>
        <v>15.67482603742158</v>
      </c>
      <c r="E63" s="974">
        <f>MCDO800!$N63*E$152</f>
        <v>15.681367815231978</v>
      </c>
      <c r="F63" s="974">
        <f>MCDO800!$N63*F$152</f>
        <v>15.385189034924435</v>
      </c>
      <c r="G63" s="974">
        <f>MCDO800!$N63*G$152</f>
        <v>15.627614337849984</v>
      </c>
      <c r="H63" s="974">
        <f>MCDO800!$N63*H$152</f>
        <v>14.950473399735605</v>
      </c>
      <c r="I63" s="974">
        <f>MCDO800!$N63*I$152</f>
        <v>15.020529374836419</v>
      </c>
      <c r="J63" s="1407">
        <f t="shared" si="2"/>
        <v>92.339999999999989</v>
      </c>
      <c r="K63" s="974">
        <f t="shared" si="29"/>
        <v>0</v>
      </c>
      <c r="L63" s="974">
        <f t="shared" si="29"/>
        <v>0</v>
      </c>
      <c r="M63" s="974">
        <f t="shared" si="29"/>
        <v>0</v>
      </c>
      <c r="N63" s="974">
        <f t="shared" si="29"/>
        <v>0</v>
      </c>
      <c r="O63" s="974">
        <f t="shared" si="29"/>
        <v>0</v>
      </c>
      <c r="P63" s="974">
        <f t="shared" si="29"/>
        <v>0</v>
      </c>
      <c r="Q63" s="1407">
        <f t="shared" si="4"/>
        <v>0</v>
      </c>
      <c r="R63" s="974">
        <f t="shared" si="7"/>
        <v>15.67482603742158</v>
      </c>
      <c r="S63" s="974">
        <f t="shared" si="7"/>
        <v>15.681367815231978</v>
      </c>
      <c r="T63" s="974">
        <f t="shared" si="7"/>
        <v>15.385189034924435</v>
      </c>
      <c r="U63" s="974">
        <f t="shared" si="7"/>
        <v>15.627614337849984</v>
      </c>
      <c r="V63" s="974">
        <f t="shared" si="7"/>
        <v>14.950473399735605</v>
      </c>
      <c r="W63" s="974">
        <f t="shared" si="7"/>
        <v>15.020529374836419</v>
      </c>
      <c r="X63" s="1407">
        <f t="shared" si="6"/>
        <v>92.339999999999989</v>
      </c>
      <c r="Y63" s="974"/>
      <c r="Z63" s="974"/>
      <c r="AA63" s="974"/>
      <c r="AB63" s="974"/>
      <c r="AC63" s="974"/>
      <c r="AD63" s="974"/>
      <c r="AE63" s="1407"/>
      <c r="AG63" s="1416"/>
      <c r="AH63" s="1416"/>
      <c r="AI63" s="1416"/>
      <c r="AQ63" s="569"/>
    </row>
    <row r="64" spans="2:43" s="526" customFormat="1">
      <c r="B64" s="1404"/>
      <c r="C64" s="1410" t="s">
        <v>624</v>
      </c>
      <c r="D64" s="974">
        <f>MCDO800!$N64*D$152</f>
        <v>113.20707693693363</v>
      </c>
      <c r="E64" s="974">
        <f>MCDO800!$N64*E$152</f>
        <v>113.25432311000873</v>
      </c>
      <c r="F64" s="974">
        <f>MCDO800!$N64*F$152</f>
        <v>111.11525414112093</v>
      </c>
      <c r="G64" s="974">
        <f>MCDO800!$N64*G$152</f>
        <v>112.86610355113878</v>
      </c>
      <c r="H64" s="974">
        <f>MCDO800!$N64*H$152</f>
        <v>107.9756412203127</v>
      </c>
      <c r="I64" s="974">
        <f>MCDO800!$N64*I$152</f>
        <v>108.48160104048526</v>
      </c>
      <c r="J64" s="1407">
        <f t="shared" si="2"/>
        <v>666.90000000000009</v>
      </c>
      <c r="K64" s="974">
        <f t="shared" si="29"/>
        <v>0</v>
      </c>
      <c r="L64" s="974">
        <f t="shared" si="29"/>
        <v>0</v>
      </c>
      <c r="M64" s="974">
        <f t="shared" si="29"/>
        <v>0</v>
      </c>
      <c r="N64" s="974">
        <f t="shared" si="29"/>
        <v>0</v>
      </c>
      <c r="O64" s="974">
        <f t="shared" si="29"/>
        <v>0</v>
      </c>
      <c r="P64" s="974">
        <f t="shared" si="29"/>
        <v>0</v>
      </c>
      <c r="Q64" s="1407">
        <f t="shared" si="4"/>
        <v>0</v>
      </c>
      <c r="R64" s="974">
        <f t="shared" si="7"/>
        <v>113.20707693693363</v>
      </c>
      <c r="S64" s="974">
        <f t="shared" si="7"/>
        <v>113.25432311000873</v>
      </c>
      <c r="T64" s="974">
        <f t="shared" si="7"/>
        <v>111.11525414112093</v>
      </c>
      <c r="U64" s="974">
        <f t="shared" si="7"/>
        <v>112.86610355113878</v>
      </c>
      <c r="V64" s="974">
        <f t="shared" si="7"/>
        <v>107.9756412203127</v>
      </c>
      <c r="W64" s="974">
        <f t="shared" si="7"/>
        <v>108.48160104048526</v>
      </c>
      <c r="X64" s="1407">
        <f t="shared" si="6"/>
        <v>666.90000000000009</v>
      </c>
      <c r="Y64" s="974"/>
      <c r="Z64" s="974"/>
      <c r="AA64" s="974"/>
      <c r="AB64" s="974"/>
      <c r="AC64" s="974"/>
      <c r="AD64" s="974"/>
      <c r="AE64" s="1407"/>
      <c r="AG64" s="1416"/>
      <c r="AH64" s="1416"/>
      <c r="AI64" s="1416"/>
      <c r="AQ64" s="569"/>
    </row>
    <row r="65" spans="2:43">
      <c r="B65" s="48" t="s">
        <v>751</v>
      </c>
      <c r="C65" s="882" t="s">
        <v>634</v>
      </c>
      <c r="D65" s="881">
        <f>SUBTOTAL(9,D66:D70)</f>
        <v>44911826.331995375</v>
      </c>
      <c r="E65" s="881">
        <f t="shared" ref="E65:P65" si="30">SUBTOTAL(9,E66:E70)</f>
        <v>44930570.382487521</v>
      </c>
      <c r="F65" s="881">
        <f t="shared" si="30"/>
        <v>44081934.098332427</v>
      </c>
      <c r="G65" s="881">
        <f t="shared" si="30"/>
        <v>44776551.410370395</v>
      </c>
      <c r="H65" s="881">
        <f t="shared" si="30"/>
        <v>42836350.397407949</v>
      </c>
      <c r="I65" s="881">
        <f t="shared" si="30"/>
        <v>43037080.653406315</v>
      </c>
      <c r="J65" s="180">
        <f t="shared" si="2"/>
        <v>264574313.27399999</v>
      </c>
      <c r="K65" s="881">
        <f t="shared" si="30"/>
        <v>10415387.130367076</v>
      </c>
      <c r="L65" s="881">
        <f t="shared" si="30"/>
        <v>10419734.015323916</v>
      </c>
      <c r="M65" s="881">
        <f t="shared" si="30"/>
        <v>10222928.938482618</v>
      </c>
      <c r="N65" s="881">
        <f t="shared" si="30"/>
        <v>10384015.868211333</v>
      </c>
      <c r="O65" s="881">
        <f t="shared" si="30"/>
        <v>9934068.7983381581</v>
      </c>
      <c r="P65" s="881">
        <f t="shared" si="30"/>
        <v>9980619.6401931737</v>
      </c>
      <c r="Q65" s="180">
        <f t="shared" si="4"/>
        <v>61356754.39091628</v>
      </c>
      <c r="R65" s="881">
        <f t="shared" si="7"/>
        <v>34496439.201628298</v>
      </c>
      <c r="S65" s="881">
        <f t="shared" si="7"/>
        <v>34510836.367163606</v>
      </c>
      <c r="T65" s="881">
        <f t="shared" si="7"/>
        <v>33859005.159849808</v>
      </c>
      <c r="U65" s="881">
        <f t="shared" si="7"/>
        <v>34392535.542159066</v>
      </c>
      <c r="V65" s="881">
        <f t="shared" si="7"/>
        <v>32902281.599069789</v>
      </c>
      <c r="W65" s="881">
        <f t="shared" si="7"/>
        <v>33056461.013213143</v>
      </c>
      <c r="X65" s="180">
        <f t="shared" si="6"/>
        <v>203217558.8830837</v>
      </c>
      <c r="Y65" s="881"/>
      <c r="Z65" s="881"/>
      <c r="AA65" s="881"/>
      <c r="AB65" s="881"/>
      <c r="AC65" s="881"/>
      <c r="AD65" s="881"/>
      <c r="AE65" s="180"/>
      <c r="AF65" s="526"/>
      <c r="AG65" s="1415">
        <f>'PDYG-200'!$D$32</f>
        <v>0.23190745024205595</v>
      </c>
      <c r="AH65" s="1415">
        <f>'PDYG-200'!$E$32</f>
        <v>0.30353035303530351</v>
      </c>
      <c r="AI65" s="1415">
        <f>'PDYG-200'!$F$32</f>
        <v>0.46456219672264054</v>
      </c>
      <c r="AK65" s="526"/>
      <c r="AL65" s="526"/>
      <c r="AM65" s="526"/>
      <c r="AN65" s="526"/>
      <c r="AO65" s="526"/>
      <c r="AP65" s="526"/>
      <c r="AQ65" s="569"/>
    </row>
    <row r="66" spans="2:43">
      <c r="B66" s="48"/>
      <c r="C66" s="887" t="s">
        <v>304</v>
      </c>
      <c r="D66" s="1969">
        <f>MCDO800!$N66*D$152-D51</f>
        <v>29807349.739713438</v>
      </c>
      <c r="E66" s="1969">
        <f>MCDO800!$N66*E$152-E51</f>
        <v>29819790.043703176</v>
      </c>
      <c r="F66" s="1969">
        <f>MCDO800!$N66*F$152-F51</f>
        <v>29256555.680029102</v>
      </c>
      <c r="G66" s="1969">
        <f>MCDO800!$N66*G$152-G51</f>
        <v>29717568.657022204</v>
      </c>
      <c r="H66" s="1969">
        <f>MCDO800!$N66*H$152-H51</f>
        <v>28429869.906286258</v>
      </c>
      <c r="I66" s="1969">
        <f>MCDO800!$N66*I$152-I51</f>
        <v>28563093.267245818</v>
      </c>
      <c r="J66" s="180">
        <f t="shared" si="2"/>
        <v>175594227.29400003</v>
      </c>
      <c r="K66" s="883">
        <f t="shared" ref="K66:P70" si="31">D66*$AG66</f>
        <v>6912546.476610153</v>
      </c>
      <c r="L66" s="883">
        <f t="shared" si="31"/>
        <v>6915431.4757886492</v>
      </c>
      <c r="M66" s="883">
        <f t="shared" si="31"/>
        <v>6784813.2306202883</v>
      </c>
      <c r="N66" s="883">
        <f t="shared" si="31"/>
        <v>6891725.574643258</v>
      </c>
      <c r="O66" s="883">
        <f t="shared" si="31"/>
        <v>6593098.6406802041</v>
      </c>
      <c r="P66" s="883">
        <f t="shared" si="31"/>
        <v>6623994.1306330124</v>
      </c>
      <c r="Q66" s="180">
        <f t="shared" si="4"/>
        <v>40721609.528975561</v>
      </c>
      <c r="R66" s="883">
        <f t="shared" si="7"/>
        <v>22894803.263103284</v>
      </c>
      <c r="S66" s="883">
        <f t="shared" si="7"/>
        <v>22904358.567914527</v>
      </c>
      <c r="T66" s="883">
        <f t="shared" si="7"/>
        <v>22471742.449408814</v>
      </c>
      <c r="U66" s="883">
        <f t="shared" si="7"/>
        <v>22825843.082378946</v>
      </c>
      <c r="V66" s="883">
        <f t="shared" si="7"/>
        <v>21836771.265606053</v>
      </c>
      <c r="W66" s="883">
        <f t="shared" si="7"/>
        <v>21939099.136612806</v>
      </c>
      <c r="X66" s="180">
        <f t="shared" si="6"/>
        <v>134872617.76502442</v>
      </c>
      <c r="Y66" s="883"/>
      <c r="Z66" s="883"/>
      <c r="AA66" s="883"/>
      <c r="AB66" s="883"/>
      <c r="AC66" s="883"/>
      <c r="AD66" s="883"/>
      <c r="AE66" s="180"/>
      <c r="AF66" s="526"/>
      <c r="AG66" s="1415">
        <f>'PDYG-200'!$D$32</f>
        <v>0.23190745024205595</v>
      </c>
      <c r="AH66" s="1415">
        <f>'PDYG-200'!$E$32</f>
        <v>0.30353035303530351</v>
      </c>
      <c r="AI66" s="1415">
        <f>'PDYG-200'!$F$32</f>
        <v>0.46456219672264054</v>
      </c>
      <c r="AK66" s="526"/>
      <c r="AL66" s="526"/>
      <c r="AM66" s="526"/>
      <c r="AN66" s="526"/>
      <c r="AO66" s="526"/>
      <c r="AP66" s="526"/>
      <c r="AQ66" s="569"/>
    </row>
    <row r="67" spans="2:43">
      <c r="B67" s="48"/>
      <c r="C67" s="888" t="s">
        <v>644</v>
      </c>
      <c r="D67" s="883">
        <f>MCDO800!$N67*D$152</f>
        <v>15102798.515072273</v>
      </c>
      <c r="E67" s="883">
        <f>MCDO800!$N67*E$152</f>
        <v>15109101.56124101</v>
      </c>
      <c r="F67" s="883">
        <f>MCDO800!$N67*F$152</f>
        <v>14823731.348343868</v>
      </c>
      <c r="G67" s="883">
        <f>MCDO800!$N67*G$152</f>
        <v>15057309.730413249</v>
      </c>
      <c r="H67" s="883">
        <f>MCDO800!$N67*H$152</f>
        <v>14404879.959886065</v>
      </c>
      <c r="I67" s="883">
        <f>MCDO800!$N67*I$152</f>
        <v>14472379.355043534</v>
      </c>
      <c r="J67" s="180">
        <f t="shared" si="2"/>
        <v>88970200.469999999</v>
      </c>
      <c r="K67" s="883">
        <f t="shared" si="31"/>
        <v>3502451.4951499198</v>
      </c>
      <c r="L67" s="883">
        <f t="shared" si="31"/>
        <v>3503913.2185156695</v>
      </c>
      <c r="M67" s="883">
        <f t="shared" si="31"/>
        <v>3437733.7400676603</v>
      </c>
      <c r="N67" s="883">
        <f t="shared" si="31"/>
        <v>3491902.3070850354</v>
      </c>
      <c r="O67" s="883">
        <f t="shared" si="31"/>
        <v>3340598.9825400664</v>
      </c>
      <c r="P67" s="883">
        <f t="shared" si="31"/>
        <v>3356252.5951639162</v>
      </c>
      <c r="Q67" s="180">
        <f t="shared" si="4"/>
        <v>20632852.338522267</v>
      </c>
      <c r="R67" s="883">
        <f t="shared" si="7"/>
        <v>11600347.019922353</v>
      </c>
      <c r="S67" s="883">
        <f t="shared" si="7"/>
        <v>11605188.34272534</v>
      </c>
      <c r="T67" s="883">
        <f t="shared" si="7"/>
        <v>11385997.608276207</v>
      </c>
      <c r="U67" s="883">
        <f t="shared" si="7"/>
        <v>11565407.423328213</v>
      </c>
      <c r="V67" s="883">
        <f t="shared" si="7"/>
        <v>11064280.977345999</v>
      </c>
      <c r="W67" s="883">
        <f t="shared" si="7"/>
        <v>11116126.759879619</v>
      </c>
      <c r="X67" s="180">
        <f t="shared" si="6"/>
        <v>68337348.131477728</v>
      </c>
      <c r="Y67" s="883"/>
      <c r="Z67" s="883"/>
      <c r="AA67" s="883"/>
      <c r="AB67" s="883"/>
      <c r="AC67" s="883"/>
      <c r="AD67" s="883"/>
      <c r="AE67" s="180"/>
      <c r="AF67" s="526"/>
      <c r="AG67" s="1415">
        <f>'PDYG-200'!$D$32</f>
        <v>0.23190745024205595</v>
      </c>
      <c r="AH67" s="1415">
        <f>'PDYG-200'!$E$32</f>
        <v>0.30353035303530351</v>
      </c>
      <c r="AI67" s="1415">
        <f>'PDYG-200'!$F$32</f>
        <v>0.46456219672264054</v>
      </c>
      <c r="AK67" s="526"/>
      <c r="AL67" s="526"/>
      <c r="AM67" s="526"/>
      <c r="AN67" s="526"/>
      <c r="AO67" s="526"/>
      <c r="AP67" s="526"/>
      <c r="AQ67" s="569"/>
    </row>
    <row r="68" spans="2:43">
      <c r="B68" s="48"/>
      <c r="C68" s="887" t="s">
        <v>305</v>
      </c>
      <c r="D68" s="883">
        <f>MCDO800!$N68*D$152</f>
        <v>1143.2173123292805</v>
      </c>
      <c r="E68" s="883">
        <f>MCDO800!$N68*E$152</f>
        <v>1143.6944259909189</v>
      </c>
      <c r="F68" s="883">
        <f>MCDO800!$N68*F$152</f>
        <v>1122.0931202804888</v>
      </c>
      <c r="G68" s="883">
        <f>MCDO800!$N68*G$152</f>
        <v>1139.7740057071921</v>
      </c>
      <c r="H68" s="883">
        <f>MCDO800!$N68*H$152</f>
        <v>1090.3878599540501</v>
      </c>
      <c r="I68" s="883">
        <f>MCDO800!$N68*I$152</f>
        <v>1095.4972757380694</v>
      </c>
      <c r="J68" s="180">
        <f t="shared" si="2"/>
        <v>6734.6639999999998</v>
      </c>
      <c r="K68" s="883">
        <f t="shared" si="31"/>
        <v>265.12061197485957</v>
      </c>
      <c r="L68" s="883">
        <f t="shared" si="31"/>
        <v>265.23125818760576</v>
      </c>
      <c r="M68" s="883">
        <f t="shared" si="31"/>
        <v>260.22175445840077</v>
      </c>
      <c r="N68" s="883">
        <f t="shared" si="31"/>
        <v>264.32208351572945</v>
      </c>
      <c r="O68" s="883">
        <f t="shared" si="31"/>
        <v>252.86906837683574</v>
      </c>
      <c r="P68" s="883">
        <f t="shared" si="31"/>
        <v>254.05397996353418</v>
      </c>
      <c r="Q68" s="180">
        <f t="shared" si="4"/>
        <v>1561.8187564769653</v>
      </c>
      <c r="R68" s="883">
        <f t="shared" si="7"/>
        <v>878.09670035442093</v>
      </c>
      <c r="S68" s="883">
        <f t="shared" si="7"/>
        <v>878.46316780331313</v>
      </c>
      <c r="T68" s="883">
        <f t="shared" si="7"/>
        <v>861.87136582208814</v>
      </c>
      <c r="U68" s="883">
        <f t="shared" si="7"/>
        <v>875.4519221914627</v>
      </c>
      <c r="V68" s="883">
        <f t="shared" si="7"/>
        <v>837.51879157721442</v>
      </c>
      <c r="W68" s="883">
        <f t="shared" si="7"/>
        <v>841.44329577453527</v>
      </c>
      <c r="X68" s="180">
        <f t="shared" si="6"/>
        <v>5172.8452435230356</v>
      </c>
      <c r="Y68" s="883"/>
      <c r="Z68" s="883"/>
      <c r="AA68" s="883"/>
      <c r="AB68" s="883"/>
      <c r="AC68" s="883"/>
      <c r="AD68" s="883"/>
      <c r="AE68" s="180"/>
      <c r="AF68" s="526"/>
      <c r="AG68" s="1415">
        <f>'PDYG-200'!$D$32</f>
        <v>0.23190745024205595</v>
      </c>
      <c r="AH68" s="1415">
        <f>'PDYG-200'!$E$32</f>
        <v>0.30353035303530351</v>
      </c>
      <c r="AI68" s="1415">
        <f>'PDYG-200'!$F$32</f>
        <v>0.46456219672264054</v>
      </c>
      <c r="AK68" s="526"/>
      <c r="AL68" s="526"/>
      <c r="AM68" s="526"/>
      <c r="AN68" s="526"/>
      <c r="AO68" s="526"/>
      <c r="AP68" s="526"/>
      <c r="AQ68" s="569"/>
    </row>
    <row r="69" spans="2:43">
      <c r="B69" s="48"/>
      <c r="C69" s="887" t="s">
        <v>307</v>
      </c>
      <c r="D69" s="883">
        <f>MCDO800!$N69*D$152</f>
        <v>47.198642846013868</v>
      </c>
      <c r="E69" s="883">
        <f>MCDO800!$N69*E$152</f>
        <v>47.218340865865173</v>
      </c>
      <c r="F69" s="883">
        <f>MCDO800!$N69*F$152</f>
        <v>46.326513649605801</v>
      </c>
      <c r="G69" s="883">
        <f>MCDO800!$N69*G$152</f>
        <v>47.056483172859394</v>
      </c>
      <c r="H69" s="883">
        <f>MCDO800!$N69*H$152</f>
        <v>45.017536570314988</v>
      </c>
      <c r="I69" s="883">
        <f>MCDO800!$N69*I$152</f>
        <v>45.228482895340775</v>
      </c>
      <c r="J69" s="180">
        <f t="shared" si="2"/>
        <v>278.04600000000005</v>
      </c>
      <c r="K69" s="883">
        <f t="shared" si="31"/>
        <v>10.94571691730453</v>
      </c>
      <c r="L69" s="883">
        <f t="shared" si="31"/>
        <v>10.950285034863064</v>
      </c>
      <c r="M69" s="883">
        <f t="shared" si="31"/>
        <v>10.743463659083883</v>
      </c>
      <c r="N69" s="883">
        <f t="shared" si="31"/>
        <v>10.912749029976032</v>
      </c>
      <c r="O69" s="883">
        <f t="shared" si="31"/>
        <v>10.439902122200257</v>
      </c>
      <c r="P69" s="883">
        <f t="shared" si="31"/>
        <v>10.48882214657492</v>
      </c>
      <c r="Q69" s="180">
        <f t="shared" si="4"/>
        <v>64.480938910002692</v>
      </c>
      <c r="R69" s="883">
        <f t="shared" si="7"/>
        <v>36.252925928709338</v>
      </c>
      <c r="S69" s="883">
        <f t="shared" si="7"/>
        <v>36.268055831002108</v>
      </c>
      <c r="T69" s="883">
        <f t="shared" si="7"/>
        <v>35.583049990521914</v>
      </c>
      <c r="U69" s="883">
        <f t="shared" si="7"/>
        <v>36.143734142883361</v>
      </c>
      <c r="V69" s="883">
        <f t="shared" si="7"/>
        <v>34.577634448114729</v>
      </c>
      <c r="W69" s="883">
        <f t="shared" si="7"/>
        <v>34.739660748765857</v>
      </c>
      <c r="X69" s="180">
        <f t="shared" si="6"/>
        <v>213.5650610899973</v>
      </c>
      <c r="Y69" s="883"/>
      <c r="Z69" s="883"/>
      <c r="AA69" s="883"/>
      <c r="AB69" s="883"/>
      <c r="AC69" s="883"/>
      <c r="AD69" s="883"/>
      <c r="AE69" s="180"/>
      <c r="AF69" s="526"/>
      <c r="AG69" s="1415">
        <f>'PDYG-200'!$D$32</f>
        <v>0.23190745024205595</v>
      </c>
      <c r="AH69" s="1415">
        <f>'PDYG-200'!$E$32</f>
        <v>0.30353035303530351</v>
      </c>
      <c r="AI69" s="1415">
        <f>'PDYG-200'!$F$32</f>
        <v>0.46456219672264054</v>
      </c>
      <c r="AK69" s="526"/>
      <c r="AL69" s="526"/>
      <c r="AM69" s="526"/>
      <c r="AN69" s="526"/>
      <c r="AO69" s="526"/>
      <c r="AP69" s="526"/>
      <c r="AQ69" s="569"/>
    </row>
    <row r="70" spans="2:43">
      <c r="B70" s="48"/>
      <c r="C70" s="887" t="s">
        <v>624</v>
      </c>
      <c r="D70" s="883">
        <f>MCDO800!$N70*D$152</f>
        <v>487.66125449756026</v>
      </c>
      <c r="E70" s="883">
        <f>MCDO800!$N70*E$152</f>
        <v>487.86477647388375</v>
      </c>
      <c r="F70" s="883">
        <f>MCDO800!$N70*F$152</f>
        <v>478.65032553098246</v>
      </c>
      <c r="G70" s="883">
        <f>MCDO800!$N70*G$152</f>
        <v>486.19244606644395</v>
      </c>
      <c r="H70" s="883">
        <f>MCDO800!$N70*H$152</f>
        <v>465.12583910288549</v>
      </c>
      <c r="I70" s="883">
        <f>MCDO800!$N70*I$152</f>
        <v>467.30535832824415</v>
      </c>
      <c r="J70" s="180">
        <f t="shared" ref="J70:J109" si="32">SUM(D70:I70)</f>
        <v>2872.7999999999997</v>
      </c>
      <c r="K70" s="883">
        <f t="shared" si="31"/>
        <v>113.09227811237155</v>
      </c>
      <c r="L70" s="883">
        <f t="shared" si="31"/>
        <v>113.13947637496894</v>
      </c>
      <c r="M70" s="883">
        <f t="shared" si="31"/>
        <v>111.00257655142019</v>
      </c>
      <c r="N70" s="883">
        <f t="shared" si="31"/>
        <v>112.75165049421732</v>
      </c>
      <c r="O70" s="883">
        <f t="shared" si="31"/>
        <v>107.86614738804694</v>
      </c>
      <c r="P70" s="883">
        <f t="shared" si="31"/>
        <v>108.3715941343534</v>
      </c>
      <c r="Q70" s="180">
        <f t="shared" ref="Q70:Q109" si="33">SUM(K70:P70)</f>
        <v>666.22372305537829</v>
      </c>
      <c r="R70" s="883">
        <f t="shared" si="7"/>
        <v>374.56897638518871</v>
      </c>
      <c r="S70" s="883">
        <f t="shared" si="7"/>
        <v>374.72530009891483</v>
      </c>
      <c r="T70" s="883">
        <f t="shared" si="7"/>
        <v>367.64774897956227</v>
      </c>
      <c r="U70" s="883">
        <f t="shared" si="7"/>
        <v>373.44079557222665</v>
      </c>
      <c r="V70" s="883">
        <f t="shared" si="7"/>
        <v>357.25969171483854</v>
      </c>
      <c r="W70" s="883">
        <f t="shared" si="7"/>
        <v>358.93376419389074</v>
      </c>
      <c r="X70" s="180">
        <f t="shared" ref="X70:X109" si="34">SUM(R70:W70)</f>
        <v>2206.5762769446219</v>
      </c>
      <c r="Y70" s="883"/>
      <c r="Z70" s="883"/>
      <c r="AA70" s="883"/>
      <c r="AB70" s="883"/>
      <c r="AC70" s="883"/>
      <c r="AD70" s="883"/>
      <c r="AE70" s="180"/>
      <c r="AF70" s="526"/>
      <c r="AG70" s="1415">
        <f>'PDYG-200'!$D$32</f>
        <v>0.23190745024205595</v>
      </c>
      <c r="AH70" s="1415">
        <f>'PDYG-200'!$E$32</f>
        <v>0.30353035303530351</v>
      </c>
      <c r="AI70" s="1415">
        <f>'PDYG-200'!$F$32</f>
        <v>0.46456219672264054</v>
      </c>
      <c r="AK70" s="526"/>
      <c r="AL70" s="526"/>
      <c r="AM70" s="526"/>
      <c r="AN70" s="526"/>
      <c r="AO70" s="526"/>
      <c r="AP70" s="526"/>
      <c r="AQ70" s="569"/>
    </row>
    <row r="71" spans="2:43">
      <c r="B71" s="48" t="s">
        <v>750</v>
      </c>
      <c r="C71" s="882" t="s">
        <v>1211</v>
      </c>
      <c r="D71" s="881">
        <f>SUBTOTAL(9,D72:D77)</f>
        <v>50255959.841921352</v>
      </c>
      <c r="E71" s="881">
        <f t="shared" ref="E71:P71" si="35">SUBTOTAL(9,E72:E77)</f>
        <v>50276933.811402671</v>
      </c>
      <c r="F71" s="881">
        <f t="shared" si="35"/>
        <v>49327338.016614936</v>
      </c>
      <c r="G71" s="881">
        <f t="shared" si="35"/>
        <v>50104591.700924158</v>
      </c>
      <c r="H71" s="881">
        <f t="shared" si="35"/>
        <v>47933571.256298207</v>
      </c>
      <c r="I71" s="881">
        <f t="shared" si="35"/>
        <v>48158181.740838706</v>
      </c>
      <c r="J71" s="180">
        <f t="shared" si="32"/>
        <v>296056576.36800003</v>
      </c>
      <c r="K71" s="881">
        <f t="shared" si="35"/>
        <v>11654731.506407136</v>
      </c>
      <c r="L71" s="881">
        <f t="shared" si="35"/>
        <v>11659595.526191007</v>
      </c>
      <c r="M71" s="881">
        <f t="shared" si="35"/>
        <v>11439377.186661201</v>
      </c>
      <c r="N71" s="881">
        <f t="shared" si="35"/>
        <v>11619628.106780594</v>
      </c>
      <c r="O71" s="881">
        <f t="shared" si="35"/>
        <v>11116152.291044021</v>
      </c>
      <c r="P71" s="881">
        <f t="shared" si="35"/>
        <v>11168241.135811439</v>
      </c>
      <c r="Q71" s="180">
        <f t="shared" si="33"/>
        <v>68657725.7528954</v>
      </c>
      <c r="R71" s="881">
        <f t="shared" ref="R71:W109" si="36">D71-K71</f>
        <v>38601228.335514218</v>
      </c>
      <c r="S71" s="881">
        <f t="shared" si="36"/>
        <v>38617338.285211667</v>
      </c>
      <c r="T71" s="881">
        <f t="shared" si="36"/>
        <v>37887960.829953738</v>
      </c>
      <c r="U71" s="881">
        <f t="shared" si="36"/>
        <v>38484963.594143562</v>
      </c>
      <c r="V71" s="881">
        <f t="shared" si="36"/>
        <v>36817418.965254188</v>
      </c>
      <c r="W71" s="881">
        <f t="shared" si="36"/>
        <v>36989940.605027266</v>
      </c>
      <c r="X71" s="180">
        <f t="shared" si="34"/>
        <v>227398850.61510465</v>
      </c>
      <c r="Y71" s="881"/>
      <c r="Z71" s="881"/>
      <c r="AA71" s="881"/>
      <c r="AB71" s="881"/>
      <c r="AC71" s="881"/>
      <c r="AD71" s="881"/>
      <c r="AE71" s="180"/>
      <c r="AF71" s="526"/>
      <c r="AG71" s="1415">
        <f>'PDYG-200'!$D$32</f>
        <v>0.23190745024205595</v>
      </c>
      <c r="AH71" s="1415">
        <f>'PDYG-200'!$E$32</f>
        <v>0.30353035303530351</v>
      </c>
      <c r="AI71" s="1415">
        <f>'PDYG-200'!$F$32</f>
        <v>0.46456219672264054</v>
      </c>
      <c r="AK71" s="526"/>
      <c r="AL71" s="526"/>
      <c r="AM71" s="526"/>
      <c r="AN71" s="526"/>
      <c r="AO71" s="526"/>
      <c r="AP71" s="526"/>
      <c r="AQ71" s="569"/>
    </row>
    <row r="72" spans="2:43">
      <c r="B72" s="48"/>
      <c r="C72" s="887" t="s">
        <v>304</v>
      </c>
      <c r="D72" s="883">
        <f>MCDO800!$N72*D$152</f>
        <v>29066321.936563678</v>
      </c>
      <c r="E72" s="883">
        <f>MCDO800!$N72*E$152</f>
        <v>29078452.560496636</v>
      </c>
      <c r="F72" s="883">
        <f>MCDO800!$N72*F$152</f>
        <v>28529238.951449536</v>
      </c>
      <c r="G72" s="883">
        <f>MCDO800!$N72*G$152</f>
        <v>28978775.800125275</v>
      </c>
      <c r="H72" s="883">
        <f>MCDO800!$N72*H$152</f>
        <v>27723132.103878114</v>
      </c>
      <c r="I72" s="883">
        <f>MCDO800!$N72*I$152</f>
        <v>27853039.097486772</v>
      </c>
      <c r="J72" s="180">
        <f t="shared" si="32"/>
        <v>171228960.44999999</v>
      </c>
      <c r="K72" s="883">
        <f>D72*$AG72</f>
        <v>6740696.6082232203</v>
      </c>
      <c r="L72" s="883">
        <f t="shared" ref="L72:P77" si="37">E72*$AG72</f>
        <v>6743509.7902893582</v>
      </c>
      <c r="M72" s="883">
        <f t="shared" si="37"/>
        <v>6616143.0625770073</v>
      </c>
      <c r="N72" s="883">
        <f t="shared" si="37"/>
        <v>6720394.0069432473</v>
      </c>
      <c r="O72" s="883">
        <f t="shared" si="37"/>
        <v>6429200.8789340574</v>
      </c>
      <c r="P72" s="883">
        <f t="shared" si="37"/>
        <v>6459327.2785904519</v>
      </c>
      <c r="Q72" s="180">
        <f t="shared" si="33"/>
        <v>39709271.625557348</v>
      </c>
      <c r="R72" s="883">
        <f t="shared" si="36"/>
        <v>22325625.328340456</v>
      </c>
      <c r="S72" s="883">
        <f t="shared" si="36"/>
        <v>22334942.770207278</v>
      </c>
      <c r="T72" s="883">
        <f t="shared" si="36"/>
        <v>21913095.888872527</v>
      </c>
      <c r="U72" s="883">
        <f t="shared" si="36"/>
        <v>22258381.793182027</v>
      </c>
      <c r="V72" s="883">
        <f t="shared" si="36"/>
        <v>21293931.224944055</v>
      </c>
      <c r="W72" s="883">
        <f t="shared" si="36"/>
        <v>21393711.81889632</v>
      </c>
      <c r="X72" s="180">
        <f t="shared" si="34"/>
        <v>131519688.82444267</v>
      </c>
      <c r="Y72" s="883"/>
      <c r="Z72" s="883"/>
      <c r="AA72" s="883"/>
      <c r="AB72" s="883"/>
      <c r="AC72" s="883"/>
      <c r="AD72" s="883"/>
      <c r="AE72" s="180"/>
      <c r="AF72" s="526"/>
      <c r="AG72" s="1415">
        <f>'PDYG-200'!$D$32</f>
        <v>0.23190745024205595</v>
      </c>
      <c r="AH72" s="1415">
        <f>'PDYG-200'!$E$32</f>
        <v>0.30353035303530351</v>
      </c>
      <c r="AI72" s="1415">
        <f>'PDYG-200'!$F$32</f>
        <v>0.46456219672264054</v>
      </c>
      <c r="AK72" s="526"/>
      <c r="AL72" s="526"/>
      <c r="AM72" s="526"/>
      <c r="AN72" s="526"/>
      <c r="AO72" s="526"/>
      <c r="AP72" s="526"/>
      <c r="AQ72" s="569"/>
    </row>
    <row r="73" spans="2:43">
      <c r="B73" s="48"/>
      <c r="C73" s="889" t="s">
        <v>1207</v>
      </c>
      <c r="D73" s="883">
        <f>MCDO800!$N73*D$152</f>
        <v>20734845.193577979</v>
      </c>
      <c r="E73" s="883">
        <f>MCDO800!$N73*E$152</f>
        <v>20743498.734603923</v>
      </c>
      <c r="F73" s="883">
        <f>MCDO800!$N73*F$152</f>
        <v>20351709.942521747</v>
      </c>
      <c r="G73" s="883">
        <f>MCDO800!$N73*G$152</f>
        <v>20672392.999237467</v>
      </c>
      <c r="H73" s="883">
        <f>MCDO800!$N73*H$152</f>
        <v>19776662.960989118</v>
      </c>
      <c r="I73" s="883">
        <f>MCDO800!$N73*I$152</f>
        <v>19869333.833069783</v>
      </c>
      <c r="J73" s="180">
        <f t="shared" si="32"/>
        <v>122148443.66400002</v>
      </c>
      <c r="K73" s="883">
        <f>D73*$AG73</f>
        <v>4808565.0800064178</v>
      </c>
      <c r="L73" s="883">
        <f t="shared" si="37"/>
        <v>4810571.90064131</v>
      </c>
      <c r="M73" s="883">
        <f t="shared" si="37"/>
        <v>4719713.1608361173</v>
      </c>
      <c r="N73" s="883">
        <f t="shared" si="37"/>
        <v>4794081.9508548882</v>
      </c>
      <c r="O73" s="883">
        <f t="shared" si="37"/>
        <v>4586355.4815794947</v>
      </c>
      <c r="P73" s="883">
        <f t="shared" si="37"/>
        <v>4607846.5472354293</v>
      </c>
      <c r="Q73" s="180">
        <f t="shared" si="33"/>
        <v>28327134.121153656</v>
      </c>
      <c r="R73" s="883">
        <f t="shared" si="36"/>
        <v>15926280.113571562</v>
      </c>
      <c r="S73" s="883">
        <f t="shared" si="36"/>
        <v>15932926.833962612</v>
      </c>
      <c r="T73" s="883">
        <f t="shared" si="36"/>
        <v>15631996.78168563</v>
      </c>
      <c r="U73" s="883">
        <f t="shared" si="36"/>
        <v>15878311.048382578</v>
      </c>
      <c r="V73" s="883">
        <f t="shared" si="36"/>
        <v>15190307.479409624</v>
      </c>
      <c r="W73" s="883">
        <f t="shared" si="36"/>
        <v>15261487.285834353</v>
      </c>
      <c r="X73" s="180">
        <f t="shared" si="34"/>
        <v>93821309.542846367</v>
      </c>
      <c r="Y73" s="883"/>
      <c r="Z73" s="883"/>
      <c r="AA73" s="883"/>
      <c r="AB73" s="883"/>
      <c r="AC73" s="883"/>
      <c r="AD73" s="883"/>
      <c r="AE73" s="180"/>
      <c r="AF73" s="526"/>
      <c r="AG73" s="1415">
        <f>'PDYG-200'!$D$32</f>
        <v>0.23190745024205595</v>
      </c>
      <c r="AH73" s="1415">
        <f>'PDYG-200'!$E$32</f>
        <v>0.30353035303530351</v>
      </c>
      <c r="AI73" s="1415">
        <f>'PDYG-200'!$F$32</f>
        <v>0.46456219672264054</v>
      </c>
      <c r="AK73" s="526"/>
      <c r="AL73" s="526"/>
      <c r="AM73" s="526"/>
      <c r="AN73" s="526"/>
      <c r="AO73" s="526"/>
      <c r="AP73" s="526"/>
      <c r="AQ73" s="569"/>
    </row>
    <row r="74" spans="2:43">
      <c r="B74" s="48"/>
      <c r="C74" s="889" t="s">
        <v>1177</v>
      </c>
      <c r="D74" s="883">
        <f>MCDO800!$N74*D$152</f>
        <v>451978.73217650631</v>
      </c>
      <c r="E74" s="883">
        <f>MCDO800!$N74*E$152</f>
        <v>452167.36230444937</v>
      </c>
      <c r="F74" s="883">
        <f>MCDO800!$N74*F$152</f>
        <v>443627.13931879081</v>
      </c>
      <c r="G74" s="883">
        <f>MCDO800!$N74*G$152</f>
        <v>450617.39750744367</v>
      </c>
      <c r="H74" s="883">
        <f>MCDO800!$N74*H$152</f>
        <v>431092.24922298518</v>
      </c>
      <c r="I74" s="883">
        <f>MCDO800!$N74*I$152</f>
        <v>433112.29146982491</v>
      </c>
      <c r="J74" s="180">
        <f t="shared" si="32"/>
        <v>2662595.1720000003</v>
      </c>
      <c r="K74" s="883">
        <f>D74*$AG74</f>
        <v>104817.23534269066</v>
      </c>
      <c r="L74" s="883">
        <f t="shared" si="37"/>
        <v>104860.98007470078</v>
      </c>
      <c r="M74" s="883">
        <f t="shared" si="37"/>
        <v>102880.4387375981</v>
      </c>
      <c r="N74" s="883">
        <f t="shared" si="37"/>
        <v>104501.53169066223</v>
      </c>
      <c r="O74" s="883">
        <f t="shared" si="37"/>
        <v>99973.504336415412</v>
      </c>
      <c r="P74" s="883">
        <f t="shared" si="37"/>
        <v>100441.96718326125</v>
      </c>
      <c r="Q74" s="180">
        <f t="shared" si="33"/>
        <v>617475.65736532852</v>
      </c>
      <c r="R74" s="883">
        <f t="shared" si="36"/>
        <v>347161.49683381565</v>
      </c>
      <c r="S74" s="883">
        <f t="shared" si="36"/>
        <v>347306.38222974859</v>
      </c>
      <c r="T74" s="883">
        <f t="shared" si="36"/>
        <v>340746.70058119274</v>
      </c>
      <c r="U74" s="883">
        <f t="shared" si="36"/>
        <v>346115.86581678141</v>
      </c>
      <c r="V74" s="883">
        <f t="shared" si="36"/>
        <v>331118.7448865698</v>
      </c>
      <c r="W74" s="883">
        <f t="shared" si="36"/>
        <v>332670.32428656367</v>
      </c>
      <c r="X74" s="180">
        <f t="shared" si="34"/>
        <v>2045119.5146346721</v>
      </c>
      <c r="Y74" s="883"/>
      <c r="Z74" s="883"/>
      <c r="AA74" s="883"/>
      <c r="AB74" s="883"/>
      <c r="AC74" s="883"/>
      <c r="AD74" s="883"/>
      <c r="AE74" s="180"/>
      <c r="AF74" s="526"/>
      <c r="AG74" s="1415">
        <f>'PDYG-200'!$D$32</f>
        <v>0.23190745024205595</v>
      </c>
      <c r="AH74" s="1415">
        <f>'PDYG-200'!$E$32</f>
        <v>0.30353035303530351</v>
      </c>
      <c r="AI74" s="1415">
        <f>'PDYG-200'!$F$32</f>
        <v>0.46456219672264054</v>
      </c>
      <c r="AK74" s="526"/>
      <c r="AL74" s="526"/>
      <c r="AM74" s="526"/>
      <c r="AN74" s="526"/>
      <c r="AO74" s="526"/>
      <c r="AP74" s="526"/>
      <c r="AQ74" s="569"/>
    </row>
    <row r="75" spans="2:43">
      <c r="B75" s="48"/>
      <c r="C75" s="887" t="s">
        <v>305</v>
      </c>
      <c r="D75" s="883">
        <f>MCDO800!$N75*D$152</f>
        <v>2004.1135912512236</v>
      </c>
      <c r="E75" s="883">
        <f>MCDO800!$N75*E$152</f>
        <v>2004.9499938874931</v>
      </c>
      <c r="F75" s="883">
        <f>MCDO800!$N75*F$152</f>
        <v>1967.0818913875055</v>
      </c>
      <c r="G75" s="883">
        <f>MCDO800!$N75*G$152</f>
        <v>1998.0773131737753</v>
      </c>
      <c r="H75" s="883">
        <f>MCDO800!$N75*H$152</f>
        <v>1911.5010823417513</v>
      </c>
      <c r="I75" s="883">
        <f>MCDO800!$N75*I$152</f>
        <v>1920.4581279582521</v>
      </c>
      <c r="J75" s="180">
        <f t="shared" si="32"/>
        <v>11806.182000000001</v>
      </c>
      <c r="K75" s="883">
        <f>D75*$AG75</f>
        <v>464.76887294252117</v>
      </c>
      <c r="L75" s="883">
        <f t="shared" si="37"/>
        <v>464.96284094527419</v>
      </c>
      <c r="M75" s="883">
        <f t="shared" si="37"/>
        <v>456.18094584899723</v>
      </c>
      <c r="N75" s="883">
        <f t="shared" si="37"/>
        <v>463.36901508462813</v>
      </c>
      <c r="O75" s="883">
        <f t="shared" si="37"/>
        <v>443.2913421408058</v>
      </c>
      <c r="P75" s="883">
        <f t="shared" si="37"/>
        <v>445.36854775143024</v>
      </c>
      <c r="Q75" s="180">
        <f t="shared" si="33"/>
        <v>2737.9415647136566</v>
      </c>
      <c r="R75" s="883">
        <f t="shared" si="36"/>
        <v>1539.3447183087023</v>
      </c>
      <c r="S75" s="883">
        <f t="shared" si="36"/>
        <v>1539.9871529422189</v>
      </c>
      <c r="T75" s="883">
        <f t="shared" si="36"/>
        <v>1510.9009455385083</v>
      </c>
      <c r="U75" s="883">
        <f t="shared" si="36"/>
        <v>1534.7082980891473</v>
      </c>
      <c r="V75" s="883">
        <f t="shared" si="36"/>
        <v>1468.2097402009454</v>
      </c>
      <c r="W75" s="883">
        <f t="shared" si="36"/>
        <v>1475.0895802068219</v>
      </c>
      <c r="X75" s="180">
        <f t="shared" si="34"/>
        <v>9068.240435286345</v>
      </c>
      <c r="Y75" s="883"/>
      <c r="Z75" s="883"/>
      <c r="AA75" s="883"/>
      <c r="AB75" s="883"/>
      <c r="AC75" s="883"/>
      <c r="AD75" s="883"/>
      <c r="AE75" s="180"/>
      <c r="AF75" s="526"/>
      <c r="AG75" s="1415">
        <f>'PDYG-200'!$D$32</f>
        <v>0.23190745024205595</v>
      </c>
      <c r="AH75" s="1415">
        <f>'PDYG-200'!$E$32</f>
        <v>0.30353035303530351</v>
      </c>
      <c r="AI75" s="1415">
        <f>'PDYG-200'!$F$32</f>
        <v>0.46456219672264054</v>
      </c>
      <c r="AK75" s="526"/>
      <c r="AL75" s="526"/>
      <c r="AM75" s="526"/>
      <c r="AN75" s="526"/>
      <c r="AO75" s="526"/>
      <c r="AP75" s="526"/>
      <c r="AQ75" s="569"/>
    </row>
    <row r="76" spans="2:43">
      <c r="B76" s="48"/>
      <c r="C76" s="887" t="s">
        <v>307</v>
      </c>
      <c r="D76" s="883">
        <f>MCDO800!$N76*D$152</f>
        <v>124.527784630627</v>
      </c>
      <c r="E76" s="883">
        <f>MCDO800!$N76*E$152</f>
        <v>124.57975542100959</v>
      </c>
      <c r="F76" s="883">
        <f>MCDO800!$N76*F$152</f>
        <v>122.22677955523301</v>
      </c>
      <c r="G76" s="883">
        <f>MCDO800!$N76*G$152</f>
        <v>124.15271390625264</v>
      </c>
      <c r="H76" s="883">
        <f>MCDO800!$N76*H$152</f>
        <v>118.77320534234397</v>
      </c>
      <c r="I76" s="883">
        <f>MCDO800!$N76*I$152</f>
        <v>119.32976114453378</v>
      </c>
      <c r="J76" s="180">
        <f t="shared" si="32"/>
        <v>733.59</v>
      </c>
      <c r="K76" s="883">
        <f t="shared" ref="K76:P84" si="38">D76*$AG76</f>
        <v>28.878921017980588</v>
      </c>
      <c r="L76" s="883">
        <f t="shared" si="37"/>
        <v>28.89097343146528</v>
      </c>
      <c r="M76" s="883">
        <f t="shared" si="37"/>
        <v>28.345300797951939</v>
      </c>
      <c r="N76" s="883">
        <f t="shared" si="37"/>
        <v>28.79193932263049</v>
      </c>
      <c r="O76" s="883">
        <f t="shared" si="37"/>
        <v>27.544391208019128</v>
      </c>
      <c r="P76" s="883">
        <f t="shared" si="37"/>
        <v>27.673460645022388</v>
      </c>
      <c r="Q76" s="180">
        <f t="shared" si="33"/>
        <v>170.1249864230698</v>
      </c>
      <c r="R76" s="883">
        <f t="shared" si="36"/>
        <v>95.648863612646409</v>
      </c>
      <c r="S76" s="883">
        <f t="shared" si="36"/>
        <v>95.68878198954431</v>
      </c>
      <c r="T76" s="883">
        <f t="shared" si="36"/>
        <v>93.881478757281073</v>
      </c>
      <c r="U76" s="883">
        <f t="shared" si="36"/>
        <v>95.360774583622145</v>
      </c>
      <c r="V76" s="883">
        <f t="shared" si="36"/>
        <v>91.228814134324836</v>
      </c>
      <c r="W76" s="883">
        <f t="shared" si="36"/>
        <v>91.656300499511389</v>
      </c>
      <c r="X76" s="180">
        <f t="shared" si="34"/>
        <v>563.46501357693012</v>
      </c>
      <c r="Y76" s="883"/>
      <c r="Z76" s="883"/>
      <c r="AA76" s="883"/>
      <c r="AB76" s="883"/>
      <c r="AC76" s="883"/>
      <c r="AD76" s="883"/>
      <c r="AE76" s="180"/>
      <c r="AF76" s="526"/>
      <c r="AG76" s="1415">
        <f>'PDYG-200'!$D$32</f>
        <v>0.23190745024205595</v>
      </c>
      <c r="AH76" s="1415">
        <f>'PDYG-200'!$E$32</f>
        <v>0.30353035303530351</v>
      </c>
      <c r="AI76" s="1415">
        <f>'PDYG-200'!$F$32</f>
        <v>0.46456219672264054</v>
      </c>
      <c r="AK76" s="526"/>
      <c r="AL76" s="526"/>
      <c r="AM76" s="526"/>
      <c r="AN76" s="526"/>
      <c r="AO76" s="526"/>
      <c r="AP76" s="526"/>
      <c r="AQ76" s="569"/>
    </row>
    <row r="77" spans="2:43">
      <c r="B77" s="48"/>
      <c r="C77" s="887" t="s">
        <v>624</v>
      </c>
      <c r="D77" s="883">
        <f>MCDO800!$N77*D$152</f>
        <v>685.33822730282134</v>
      </c>
      <c r="E77" s="883">
        <f>MCDO800!$N77*E$152</f>
        <v>685.62424836597597</v>
      </c>
      <c r="F77" s="883">
        <f>MCDO800!$N77*F$152</f>
        <v>672.6746539158629</v>
      </c>
      <c r="G77" s="883">
        <f>MCDO800!$N77*G$152</f>
        <v>683.27402688266318</v>
      </c>
      <c r="H77" s="883">
        <f>MCDO800!$N77*H$152</f>
        <v>653.66792031066234</v>
      </c>
      <c r="I77" s="883">
        <f>MCDO800!$N77*I$152</f>
        <v>656.73092322201455</v>
      </c>
      <c r="J77" s="180">
        <f t="shared" si="32"/>
        <v>4037.3100000000004</v>
      </c>
      <c r="K77" s="883">
        <f t="shared" si="38"/>
        <v>158.93504084720786</v>
      </c>
      <c r="L77" s="883">
        <f t="shared" si="37"/>
        <v>159.00137126267958</v>
      </c>
      <c r="M77" s="883">
        <f t="shared" si="37"/>
        <v>155.99826383208517</v>
      </c>
      <c r="N77" s="883">
        <f t="shared" si="37"/>
        <v>158.45633739098039</v>
      </c>
      <c r="O77" s="883">
        <f t="shared" si="37"/>
        <v>151.59046070427311</v>
      </c>
      <c r="P77" s="883">
        <f t="shared" si="37"/>
        <v>152.3007938995288</v>
      </c>
      <c r="Q77" s="180">
        <f t="shared" si="33"/>
        <v>936.28226793675492</v>
      </c>
      <c r="R77" s="883">
        <f t="shared" si="36"/>
        <v>526.40318645561342</v>
      </c>
      <c r="S77" s="883">
        <f t="shared" si="36"/>
        <v>526.62287710329633</v>
      </c>
      <c r="T77" s="883">
        <f t="shared" si="36"/>
        <v>516.67639008377773</v>
      </c>
      <c r="U77" s="883">
        <f t="shared" si="36"/>
        <v>524.81768949168281</v>
      </c>
      <c r="V77" s="883">
        <f t="shared" si="36"/>
        <v>502.0774596063892</v>
      </c>
      <c r="W77" s="883">
        <f t="shared" si="36"/>
        <v>504.43012932248575</v>
      </c>
      <c r="X77" s="180">
        <f t="shared" si="34"/>
        <v>3101.0277320632454</v>
      </c>
      <c r="Y77" s="883"/>
      <c r="Z77" s="883"/>
      <c r="AA77" s="883"/>
      <c r="AB77" s="883"/>
      <c r="AC77" s="883"/>
      <c r="AD77" s="883"/>
      <c r="AE77" s="180"/>
      <c r="AF77" s="526"/>
      <c r="AG77" s="1415">
        <f>'PDYG-200'!$D$32</f>
        <v>0.23190745024205595</v>
      </c>
      <c r="AH77" s="1415">
        <f>'PDYG-200'!$E$32</f>
        <v>0.30353035303530351</v>
      </c>
      <c r="AI77" s="1415">
        <f>'PDYG-200'!$F$32</f>
        <v>0.46456219672264054</v>
      </c>
      <c r="AK77" s="526"/>
      <c r="AL77" s="526"/>
      <c r="AM77" s="526"/>
      <c r="AN77" s="526"/>
      <c r="AO77" s="526"/>
      <c r="AP77" s="526"/>
      <c r="AQ77" s="569"/>
    </row>
    <row r="78" spans="2:43">
      <c r="B78" s="48" t="s">
        <v>749</v>
      </c>
      <c r="C78" s="882" t="s">
        <v>1210</v>
      </c>
      <c r="D78" s="881">
        <f>SUBTOTAL(9,D79:D84)</f>
        <v>55127659.025593147</v>
      </c>
      <c r="E78" s="881">
        <f t="shared" ref="E78:P78" si="39">SUBTOTAL(9,E79:E84)</f>
        <v>55150666.164281107</v>
      </c>
      <c r="F78" s="881">
        <f t="shared" si="39"/>
        <v>54109018.69894848</v>
      </c>
      <c r="G78" s="881">
        <f t="shared" si="39"/>
        <v>54961617.599054314</v>
      </c>
      <c r="H78" s="881">
        <f t="shared" si="39"/>
        <v>52580143.33838173</v>
      </c>
      <c r="I78" s="881">
        <f t="shared" si="39"/>
        <v>52826527.055741221</v>
      </c>
      <c r="J78" s="180">
        <f t="shared" si="32"/>
        <v>324755631.88199997</v>
      </c>
      <c r="K78" s="881">
        <f t="shared" si="39"/>
        <v>12784514.842438767</v>
      </c>
      <c r="L78" s="881">
        <f t="shared" si="39"/>
        <v>12789850.369309263</v>
      </c>
      <c r="M78" s="881">
        <f t="shared" si="39"/>
        <v>12548284.561572868</v>
      </c>
      <c r="N78" s="881">
        <f t="shared" si="39"/>
        <v>12746008.598575596</v>
      </c>
      <c r="O78" s="881">
        <f t="shared" si="39"/>
        <v>12193726.974965928</v>
      </c>
      <c r="P78" s="881">
        <f t="shared" si="39"/>
        <v>12250865.194639927</v>
      </c>
      <c r="Q78" s="180">
        <f t="shared" si="33"/>
        <v>75313250.541502342</v>
      </c>
      <c r="R78" s="881">
        <f t="shared" si="36"/>
        <v>42343144.183154382</v>
      </c>
      <c r="S78" s="881">
        <f t="shared" si="36"/>
        <v>42360815.794971846</v>
      </c>
      <c r="T78" s="881">
        <f t="shared" si="36"/>
        <v>41560734.137375608</v>
      </c>
      <c r="U78" s="881">
        <f t="shared" si="36"/>
        <v>42215609.000478715</v>
      </c>
      <c r="V78" s="881">
        <f t="shared" si="36"/>
        <v>40386416.3634158</v>
      </c>
      <c r="W78" s="881">
        <f t="shared" si="36"/>
        <v>40575661.861101292</v>
      </c>
      <c r="X78" s="180">
        <f t="shared" si="34"/>
        <v>249442381.34049767</v>
      </c>
      <c r="Y78" s="881"/>
      <c r="Z78" s="881"/>
      <c r="AA78" s="881"/>
      <c r="AB78" s="881"/>
      <c r="AC78" s="881"/>
      <c r="AD78" s="881"/>
      <c r="AE78" s="180"/>
      <c r="AF78" s="526"/>
      <c r="AG78" s="1415">
        <f>'PDYG-200'!$D$32</f>
        <v>0.23190745024205595</v>
      </c>
      <c r="AH78" s="1415">
        <f>'PDYG-200'!$E$32</f>
        <v>0.30353035303530351</v>
      </c>
      <c r="AI78" s="1415">
        <f>'PDYG-200'!$F$32</f>
        <v>0.46456219672264054</v>
      </c>
      <c r="AK78" s="526"/>
      <c r="AL78" s="526"/>
      <c r="AM78" s="526"/>
      <c r="AN78" s="526"/>
      <c r="AO78" s="526"/>
      <c r="AP78" s="526"/>
      <c r="AQ78" s="569"/>
    </row>
    <row r="79" spans="2:43">
      <c r="C79" s="887" t="s">
        <v>304</v>
      </c>
      <c r="D79" s="883">
        <f>MCDO800!$N79*D$152</f>
        <v>46653348.216977179</v>
      </c>
      <c r="E79" s="883">
        <f>MCDO800!$N79*E$152</f>
        <v>46672818.661970824</v>
      </c>
      <c r="F79" s="883">
        <f>MCDO800!$N79*F$152</f>
        <v>45791294.890084662</v>
      </c>
      <c r="G79" s="883">
        <f>MCDO800!$N79*G$152</f>
        <v>46512830.94075539</v>
      </c>
      <c r="H79" s="883">
        <f>MCDO800!$N79*H$152</f>
        <v>44497440.664499581</v>
      </c>
      <c r="I79" s="883">
        <f>MCDO800!$N79*I$152</f>
        <v>44705949.887712359</v>
      </c>
      <c r="J79" s="180">
        <f t="shared" si="32"/>
        <v>274833683.26199996</v>
      </c>
      <c r="K79" s="883">
        <f t="shared" si="38"/>
        <v>10819259.030253945</v>
      </c>
      <c r="L79" s="883">
        <f t="shared" si="38"/>
        <v>10823774.371507499</v>
      </c>
      <c r="M79" s="883">
        <f t="shared" si="38"/>
        <v>10619342.44124162</v>
      </c>
      <c r="N79" s="883">
        <f t="shared" si="38"/>
        <v>10786672.027010391</v>
      </c>
      <c r="O79" s="883">
        <f t="shared" si="38"/>
        <v>10319288.006801274</v>
      </c>
      <c r="P79" s="883">
        <f t="shared" si="38"/>
        <v>10367642.8491085</v>
      </c>
      <c r="Q79" s="180">
        <f t="shared" si="33"/>
        <v>63735978.725923225</v>
      </c>
      <c r="R79" s="883">
        <f t="shared" si="36"/>
        <v>35834089.186723232</v>
      </c>
      <c r="S79" s="883">
        <f t="shared" si="36"/>
        <v>35849044.290463328</v>
      </c>
      <c r="T79" s="883">
        <f t="shared" si="36"/>
        <v>35171952.44884304</v>
      </c>
      <c r="U79" s="883">
        <f t="shared" si="36"/>
        <v>35726158.913745001</v>
      </c>
      <c r="V79" s="883">
        <f t="shared" si="36"/>
        <v>34178152.657698303</v>
      </c>
      <c r="W79" s="883">
        <f t="shared" si="36"/>
        <v>34338307.038603857</v>
      </c>
      <c r="X79" s="180">
        <f t="shared" si="34"/>
        <v>211097704.53607678</v>
      </c>
      <c r="Y79" s="883"/>
      <c r="Z79" s="883"/>
      <c r="AA79" s="883"/>
      <c r="AB79" s="883"/>
      <c r="AC79" s="883"/>
      <c r="AD79" s="883"/>
      <c r="AE79" s="180"/>
      <c r="AF79" s="526"/>
      <c r="AG79" s="1415">
        <f>'PDYG-200'!$D$32</f>
        <v>0.23190745024205595</v>
      </c>
      <c r="AH79" s="1415">
        <f>'PDYG-200'!$E$32</f>
        <v>0.30353035303530351</v>
      </c>
      <c r="AI79" s="1415">
        <f>'PDYG-200'!$F$32</f>
        <v>0.46456219672264054</v>
      </c>
      <c r="AK79" s="526"/>
      <c r="AL79" s="526"/>
      <c r="AM79" s="526"/>
      <c r="AN79" s="526"/>
      <c r="AO79" s="526"/>
      <c r="AP79" s="526"/>
      <c r="AQ79" s="569"/>
    </row>
    <row r="80" spans="2:43">
      <c r="C80" s="889" t="s">
        <v>642</v>
      </c>
      <c r="D80" s="883">
        <f>MCDO800!$N80*D$152</f>
        <v>4615516.9676702721</v>
      </c>
      <c r="E80" s="883">
        <f>MCDO800!$N80*E$152</f>
        <v>4617443.221040519</v>
      </c>
      <c r="F80" s="883">
        <f>MCDO800!$N80*F$152</f>
        <v>4530232.1615550881</v>
      </c>
      <c r="G80" s="883">
        <f>MCDO800!$N80*G$152</f>
        <v>4601615.288638873</v>
      </c>
      <c r="H80" s="883">
        <f>MCDO800!$N80*H$152</f>
        <v>4402228.3556094589</v>
      </c>
      <c r="I80" s="883">
        <f>MCDO800!$N80*I$152</f>
        <v>4422856.6254857918</v>
      </c>
      <c r="J80" s="180">
        <f t="shared" si="32"/>
        <v>27189892.620000001</v>
      </c>
      <c r="K80" s="883">
        <f>D80*$AG80</f>
        <v>1070372.7715213585</v>
      </c>
      <c r="L80" s="883">
        <f t="shared" si="38"/>
        <v>1070819.4840289727</v>
      </c>
      <c r="M80" s="883">
        <f t="shared" si="38"/>
        <v>1050594.5895907981</v>
      </c>
      <c r="N80" s="883">
        <f t="shared" si="38"/>
        <v>1067148.8685831034</v>
      </c>
      <c r="O80" s="883">
        <f t="shared" si="38"/>
        <v>1020909.5533326684</v>
      </c>
      <c r="P80" s="883">
        <f t="shared" si="38"/>
        <v>1025693.4028025938</v>
      </c>
      <c r="Q80" s="180">
        <f t="shared" si="33"/>
        <v>6305538.6698594959</v>
      </c>
      <c r="R80" s="883">
        <f t="shared" si="36"/>
        <v>3545144.1961489134</v>
      </c>
      <c r="S80" s="883">
        <f t="shared" si="36"/>
        <v>3546623.7370115463</v>
      </c>
      <c r="T80" s="883">
        <f t="shared" si="36"/>
        <v>3479637.57196429</v>
      </c>
      <c r="U80" s="883">
        <f t="shared" si="36"/>
        <v>3534466.4200557694</v>
      </c>
      <c r="V80" s="883">
        <f t="shared" si="36"/>
        <v>3381318.8022767906</v>
      </c>
      <c r="W80" s="883">
        <f t="shared" si="36"/>
        <v>3397163.2226831978</v>
      </c>
      <c r="X80" s="180">
        <f t="shared" si="34"/>
        <v>20884353.95014051</v>
      </c>
      <c r="Y80" s="883"/>
      <c r="Z80" s="883"/>
      <c r="AA80" s="883"/>
      <c r="AB80" s="883"/>
      <c r="AC80" s="883"/>
      <c r="AD80" s="883"/>
      <c r="AE80" s="180"/>
      <c r="AF80" s="526"/>
      <c r="AG80" s="1415">
        <f>'PDYG-200'!$D$32</f>
        <v>0.23190745024205595</v>
      </c>
      <c r="AH80" s="1415">
        <f>'PDYG-200'!$E$32</f>
        <v>0.30353035303530351</v>
      </c>
      <c r="AI80" s="1415">
        <f>'PDYG-200'!$F$32</f>
        <v>0.46456219672264054</v>
      </c>
      <c r="AK80" s="526"/>
      <c r="AL80" s="526"/>
      <c r="AM80" s="526"/>
      <c r="AN80" s="526"/>
      <c r="AO80" s="526"/>
      <c r="AP80" s="526"/>
      <c r="AQ80" s="569"/>
    </row>
    <row r="81" spans="2:43">
      <c r="C81" s="889" t="s">
        <v>1177</v>
      </c>
      <c r="D81" s="883">
        <f>MCDO800!$N81*D$152</f>
        <v>3825334.3572862148</v>
      </c>
      <c r="E81" s="883">
        <f>MCDO800!$N81*E$152</f>
        <v>3826930.8335313802</v>
      </c>
      <c r="F81" s="883">
        <f>MCDO800!$N81*F$152</f>
        <v>3754650.4227947816</v>
      </c>
      <c r="G81" s="883">
        <f>MCDO800!$N81*G$152</f>
        <v>3813812.6640944728</v>
      </c>
      <c r="H81" s="883">
        <f>MCDO800!$N81*H$152</f>
        <v>3648561.0377536141</v>
      </c>
      <c r="I81" s="883">
        <f>MCDO800!$N81*I$152</f>
        <v>3665657.7205395377</v>
      </c>
      <c r="J81" s="180">
        <f t="shared" si="32"/>
        <v>22534947.035999998</v>
      </c>
      <c r="K81" s="883">
        <f>D81*$AG81</f>
        <v>887123.53712157998</v>
      </c>
      <c r="L81" s="883">
        <f t="shared" si="38"/>
        <v>887493.77185696817</v>
      </c>
      <c r="M81" s="883">
        <f t="shared" si="38"/>
        <v>870731.40610059514</v>
      </c>
      <c r="N81" s="883">
        <f t="shared" si="38"/>
        <v>884451.57063101174</v>
      </c>
      <c r="O81" s="883">
        <f t="shared" si="38"/>
        <v>846128.48731795023</v>
      </c>
      <c r="P81" s="883">
        <f t="shared" si="38"/>
        <v>850093.33543043106</v>
      </c>
      <c r="Q81" s="180">
        <f t="shared" si="33"/>
        <v>5226022.1084585367</v>
      </c>
      <c r="R81" s="883">
        <f t="shared" si="36"/>
        <v>2938210.8201646348</v>
      </c>
      <c r="S81" s="883">
        <f t="shared" si="36"/>
        <v>2939437.0616744119</v>
      </c>
      <c r="T81" s="883">
        <f t="shared" si="36"/>
        <v>2883919.0166941863</v>
      </c>
      <c r="U81" s="883">
        <f t="shared" si="36"/>
        <v>2929361.0934634609</v>
      </c>
      <c r="V81" s="883">
        <f t="shared" si="36"/>
        <v>2802432.5504356641</v>
      </c>
      <c r="W81" s="883">
        <f t="shared" si="36"/>
        <v>2815564.3851091065</v>
      </c>
      <c r="X81" s="180">
        <f t="shared" si="34"/>
        <v>17308924.927541465</v>
      </c>
      <c r="Y81" s="883"/>
      <c r="Z81" s="883"/>
      <c r="AA81" s="883"/>
      <c r="AB81" s="883"/>
      <c r="AC81" s="883"/>
      <c r="AD81" s="883"/>
      <c r="AE81" s="180"/>
      <c r="AF81" s="526"/>
      <c r="AG81" s="1415">
        <f>'PDYG-200'!$D$32</f>
        <v>0.23190745024205595</v>
      </c>
      <c r="AH81" s="1415">
        <f>'PDYG-200'!$E$32</f>
        <v>0.30353035303530351</v>
      </c>
      <c r="AI81" s="1415">
        <f>'PDYG-200'!$F$32</f>
        <v>0.46456219672264054</v>
      </c>
      <c r="AK81" s="526"/>
      <c r="AL81" s="526"/>
      <c r="AM81" s="526"/>
      <c r="AN81" s="526"/>
      <c r="AO81" s="526"/>
      <c r="AP81" s="526"/>
      <c r="AQ81" s="569"/>
    </row>
    <row r="82" spans="2:43">
      <c r="C82" s="887" t="s">
        <v>305</v>
      </c>
      <c r="D82" s="883">
        <f>MCDO800!$N82*D$152</f>
        <v>26780.962779136018</v>
      </c>
      <c r="E82" s="883">
        <f>MCDO800!$N82*E$152</f>
        <v>26792.139624584343</v>
      </c>
      <c r="F82" s="883">
        <f>MCDO800!$N82*F$152</f>
        <v>26286.1083058029</v>
      </c>
      <c r="G82" s="883">
        <f>MCDO800!$N82*G$152</f>
        <v>26700.300016694629</v>
      </c>
      <c r="H82" s="883">
        <f>MCDO800!$N82*H$152</f>
        <v>25543.382152561608</v>
      </c>
      <c r="I82" s="883">
        <f>MCDO800!$N82*I$152</f>
        <v>25663.075121220521</v>
      </c>
      <c r="J82" s="180">
        <f t="shared" si="32"/>
        <v>157765.96800000002</v>
      </c>
      <c r="K82" s="883">
        <f t="shared" si="38"/>
        <v>6210.7047931368388</v>
      </c>
      <c r="L82" s="883">
        <f t="shared" si="38"/>
        <v>6213.2967868665091</v>
      </c>
      <c r="M82" s="883">
        <f t="shared" si="38"/>
        <v>6095.9443539852791</v>
      </c>
      <c r="N82" s="883">
        <f t="shared" si="38"/>
        <v>6191.9984975695752</v>
      </c>
      <c r="O82" s="883">
        <f t="shared" si="38"/>
        <v>5923.7006255590013</v>
      </c>
      <c r="P82" s="883">
        <f t="shared" si="38"/>
        <v>5951.4583167325918</v>
      </c>
      <c r="Q82" s="180">
        <f t="shared" si="33"/>
        <v>36587.103373849794</v>
      </c>
      <c r="R82" s="883">
        <f t="shared" si="36"/>
        <v>20570.257985999178</v>
      </c>
      <c r="S82" s="883">
        <f t="shared" si="36"/>
        <v>20578.842837717835</v>
      </c>
      <c r="T82" s="883">
        <f t="shared" si="36"/>
        <v>20190.16395181762</v>
      </c>
      <c r="U82" s="883">
        <f t="shared" si="36"/>
        <v>20508.301519125052</v>
      </c>
      <c r="V82" s="883">
        <f t="shared" si="36"/>
        <v>19619.681527002605</v>
      </c>
      <c r="W82" s="883">
        <f t="shared" si="36"/>
        <v>19711.61680448793</v>
      </c>
      <c r="X82" s="180">
        <f t="shared" si="34"/>
        <v>121178.86462615021</v>
      </c>
      <c r="Y82" s="883"/>
      <c r="Z82" s="883"/>
      <c r="AA82" s="883"/>
      <c r="AB82" s="883"/>
      <c r="AC82" s="883"/>
      <c r="AD82" s="883"/>
      <c r="AE82" s="180"/>
      <c r="AF82" s="526"/>
      <c r="AG82" s="1415">
        <f>'PDYG-200'!$D$32</f>
        <v>0.23190745024205595</v>
      </c>
      <c r="AH82" s="1415">
        <f>'PDYG-200'!$E$32</f>
        <v>0.30353035303530351</v>
      </c>
      <c r="AI82" s="1415">
        <f>'PDYG-200'!$F$32</f>
        <v>0.46456219672264054</v>
      </c>
      <c r="AK82" s="526"/>
      <c r="AL82" s="526"/>
      <c r="AM82" s="526"/>
      <c r="AN82" s="526"/>
      <c r="AO82" s="526"/>
      <c r="AP82" s="526"/>
      <c r="AQ82" s="569"/>
    </row>
    <row r="83" spans="2:43">
      <c r="C83" s="887" t="s">
        <v>307</v>
      </c>
      <c r="D83" s="883">
        <f>MCDO800!$N83*D$152</f>
        <v>801.6802694472392</v>
      </c>
      <c r="E83" s="883">
        <f>MCDO800!$N83*E$152</f>
        <v>802.014845039031</v>
      </c>
      <c r="F83" s="883">
        <f>MCDO800!$N83*F$152</f>
        <v>786.86694586396868</v>
      </c>
      <c r="G83" s="883">
        <f>MCDO800!$N83*G$152</f>
        <v>799.26565330137191</v>
      </c>
      <c r="H83" s="883">
        <f>MCDO800!$N83*H$152</f>
        <v>764.63365621092203</v>
      </c>
      <c r="I83" s="883">
        <f>MCDO800!$N83*I$152</f>
        <v>768.21663013746706</v>
      </c>
      <c r="J83" s="180">
        <f t="shared" si="32"/>
        <v>4722.6779999999999</v>
      </c>
      <c r="K83" s="883">
        <f t="shared" si="38"/>
        <v>185.91562719687363</v>
      </c>
      <c r="L83" s="883">
        <f t="shared" si="38"/>
        <v>185.99321776927928</v>
      </c>
      <c r="M83" s="883">
        <f t="shared" si="38"/>
        <v>182.48030709506685</v>
      </c>
      <c r="N83" s="883">
        <f t="shared" si="38"/>
        <v>185.35565972317224</v>
      </c>
      <c r="O83" s="883">
        <f t="shared" si="38"/>
        <v>177.32424158113571</v>
      </c>
      <c r="P83" s="883">
        <f t="shared" si="38"/>
        <v>178.15515992872454</v>
      </c>
      <c r="Q83" s="180">
        <f t="shared" si="33"/>
        <v>1095.2242132942522</v>
      </c>
      <c r="R83" s="883">
        <f t="shared" si="36"/>
        <v>615.76464225036557</v>
      </c>
      <c r="S83" s="883">
        <f t="shared" si="36"/>
        <v>616.02162726975166</v>
      </c>
      <c r="T83" s="883">
        <f t="shared" si="36"/>
        <v>604.38663876890178</v>
      </c>
      <c r="U83" s="883">
        <f t="shared" si="36"/>
        <v>613.90999357819965</v>
      </c>
      <c r="V83" s="883">
        <f t="shared" si="36"/>
        <v>587.30941462978626</v>
      </c>
      <c r="W83" s="883">
        <f t="shared" si="36"/>
        <v>590.06147020874255</v>
      </c>
      <c r="X83" s="180">
        <f t="shared" si="34"/>
        <v>3627.453786705747</v>
      </c>
      <c r="Y83" s="883"/>
      <c r="Z83" s="883"/>
      <c r="AA83" s="883"/>
      <c r="AB83" s="883"/>
      <c r="AC83" s="883"/>
      <c r="AD83" s="883"/>
      <c r="AE83" s="180"/>
      <c r="AF83" s="526"/>
      <c r="AG83" s="1415">
        <f>'PDYG-200'!$D$32</f>
        <v>0.23190745024205595</v>
      </c>
      <c r="AH83" s="1415">
        <f>'PDYG-200'!$E$32</f>
        <v>0.30353035303530351</v>
      </c>
      <c r="AI83" s="1415">
        <f>'PDYG-200'!$F$32</f>
        <v>0.46456219672264054</v>
      </c>
      <c r="AK83" s="526"/>
      <c r="AL83" s="526"/>
      <c r="AM83" s="526"/>
      <c r="AN83" s="526"/>
      <c r="AO83" s="526"/>
      <c r="AP83" s="526"/>
      <c r="AQ83" s="569"/>
    </row>
    <row r="84" spans="2:43">
      <c r="C84" s="887" t="s">
        <v>624</v>
      </c>
      <c r="D84" s="883">
        <f>MCDO800!$N84*D$152</f>
        <v>5876.8406108968493</v>
      </c>
      <c r="E84" s="883">
        <f>MCDO800!$N84*E$152</f>
        <v>5879.2932687708071</v>
      </c>
      <c r="F84" s="883">
        <f>MCDO800!$N84*F$152</f>
        <v>5768.2492622828358</v>
      </c>
      <c r="G84" s="883">
        <f>MCDO800!$N84*G$152</f>
        <v>5859.139895578578</v>
      </c>
      <c r="H84" s="883">
        <f>MCDO800!$N84*H$152</f>
        <v>5605.2647103030949</v>
      </c>
      <c r="I84" s="883">
        <f>MCDO800!$N84*I$152</f>
        <v>5631.5302521678368</v>
      </c>
      <c r="J84" s="180">
        <f t="shared" si="32"/>
        <v>34620.317999999999</v>
      </c>
      <c r="K84" s="883">
        <f t="shared" si="38"/>
        <v>1362.8831215520547</v>
      </c>
      <c r="L84" s="883">
        <f t="shared" si="38"/>
        <v>1363.4519111859204</v>
      </c>
      <c r="M84" s="883">
        <f t="shared" si="38"/>
        <v>1337.6999787766326</v>
      </c>
      <c r="N84" s="883">
        <f t="shared" si="38"/>
        <v>1358.778193795134</v>
      </c>
      <c r="O84" s="883">
        <f t="shared" si="38"/>
        <v>1299.9026468981672</v>
      </c>
      <c r="P84" s="883">
        <f t="shared" si="38"/>
        <v>1305.9938217412455</v>
      </c>
      <c r="Q84" s="180">
        <f t="shared" si="33"/>
        <v>8028.7096739491544</v>
      </c>
      <c r="R84" s="883">
        <f t="shared" si="36"/>
        <v>4513.9574893447943</v>
      </c>
      <c r="S84" s="883">
        <f t="shared" si="36"/>
        <v>4515.8413575848863</v>
      </c>
      <c r="T84" s="883">
        <f t="shared" si="36"/>
        <v>4430.5492835062032</v>
      </c>
      <c r="U84" s="883">
        <f t="shared" si="36"/>
        <v>4500.361701783444</v>
      </c>
      <c r="V84" s="883">
        <f t="shared" si="36"/>
        <v>4305.3620634049275</v>
      </c>
      <c r="W84" s="883">
        <f t="shared" si="36"/>
        <v>4325.5364304265913</v>
      </c>
      <c r="X84" s="180">
        <f t="shared" si="34"/>
        <v>26591.608326050846</v>
      </c>
      <c r="Y84" s="883"/>
      <c r="Z84" s="883"/>
      <c r="AA84" s="883"/>
      <c r="AB84" s="883"/>
      <c r="AC84" s="883"/>
      <c r="AD84" s="883"/>
      <c r="AE84" s="180"/>
      <c r="AF84" s="526"/>
      <c r="AG84" s="1415">
        <f>'PDYG-200'!$D$32</f>
        <v>0.23190745024205595</v>
      </c>
      <c r="AH84" s="1415">
        <f>'PDYG-200'!$E$32</f>
        <v>0.30353035303530351</v>
      </c>
      <c r="AI84" s="1415">
        <f>'PDYG-200'!$F$32</f>
        <v>0.46456219672264054</v>
      </c>
      <c r="AK84" s="526"/>
      <c r="AL84" s="526"/>
      <c r="AM84" s="526"/>
      <c r="AN84" s="526"/>
      <c r="AO84" s="526"/>
      <c r="AP84" s="526"/>
      <c r="AQ84" s="569"/>
    </row>
    <row r="85" spans="2:43">
      <c r="C85" s="887"/>
      <c r="D85" s="883">
        <f>MCDO800!$N85*D$152</f>
        <v>0</v>
      </c>
      <c r="E85" s="883">
        <f>MCDO800!$N85*E$152</f>
        <v>0</v>
      </c>
      <c r="F85" s="883">
        <f>MCDO800!$N85*F$152</f>
        <v>0</v>
      </c>
      <c r="G85" s="883">
        <f>MCDO800!$N85*G$152</f>
        <v>0</v>
      </c>
      <c r="H85" s="883">
        <f>MCDO800!$N85*H$152</f>
        <v>0</v>
      </c>
      <c r="I85" s="883">
        <f>MCDO800!$N85*I$152</f>
        <v>0</v>
      </c>
      <c r="J85" s="180">
        <f t="shared" si="32"/>
        <v>0</v>
      </c>
      <c r="K85" s="883"/>
      <c r="L85" s="883"/>
      <c r="M85" s="883"/>
      <c r="N85" s="883"/>
      <c r="O85" s="883"/>
      <c r="P85" s="883"/>
      <c r="Q85" s="180">
        <f t="shared" si="33"/>
        <v>0</v>
      </c>
      <c r="R85" s="883">
        <f t="shared" si="36"/>
        <v>0</v>
      </c>
      <c r="S85" s="883">
        <f t="shared" si="36"/>
        <v>0</v>
      </c>
      <c r="T85" s="883">
        <f t="shared" si="36"/>
        <v>0</v>
      </c>
      <c r="U85" s="883">
        <f t="shared" si="36"/>
        <v>0</v>
      </c>
      <c r="V85" s="883">
        <f t="shared" si="36"/>
        <v>0</v>
      </c>
      <c r="W85" s="883">
        <f t="shared" si="36"/>
        <v>0</v>
      </c>
      <c r="X85" s="180">
        <f t="shared" si="34"/>
        <v>0</v>
      </c>
      <c r="Y85" s="883"/>
      <c r="Z85" s="883"/>
      <c r="AA85" s="883"/>
      <c r="AB85" s="883"/>
      <c r="AC85" s="883"/>
      <c r="AD85" s="883"/>
      <c r="AE85" s="180"/>
      <c r="AF85" s="526"/>
      <c r="AG85" s="1415"/>
      <c r="AH85" s="1415"/>
      <c r="AI85" s="1415"/>
      <c r="AK85" s="526"/>
      <c r="AL85" s="526"/>
      <c r="AM85" s="526"/>
      <c r="AN85" s="526"/>
      <c r="AO85" s="526"/>
      <c r="AP85" s="526"/>
      <c r="AQ85" s="569"/>
    </row>
    <row r="86" spans="2:43">
      <c r="B86" s="48" t="s">
        <v>902</v>
      </c>
      <c r="C86" s="882" t="s">
        <v>898</v>
      </c>
      <c r="D86" s="881">
        <f>SUBTOTAL(9,D87:D91)</f>
        <v>13927385.806721065</v>
      </c>
      <c r="E86" s="881">
        <f t="shared" ref="E86:P86" si="40">SUBTOTAL(9,E87:E91)</f>
        <v>13933198.302707287</v>
      </c>
      <c r="F86" s="881">
        <f t="shared" si="40"/>
        <v>13670037.733571826</v>
      </c>
      <c r="G86" s="881">
        <f t="shared" si="40"/>
        <v>13885437.299416749</v>
      </c>
      <c r="H86" s="881">
        <f t="shared" si="40"/>
        <v>13283784.492034443</v>
      </c>
      <c r="I86" s="881">
        <f t="shared" si="40"/>
        <v>13346030.579548635</v>
      </c>
      <c r="J86" s="180">
        <f t="shared" si="32"/>
        <v>82045874.214000016</v>
      </c>
      <c r="K86" s="881">
        <f t="shared" si="40"/>
        <v>3229864.5309740817</v>
      </c>
      <c r="L86" s="881">
        <f t="shared" si="40"/>
        <v>3231212.4920977885</v>
      </c>
      <c r="M86" s="881">
        <f t="shared" si="40"/>
        <v>3170183.5955053354</v>
      </c>
      <c r="N86" s="881">
        <f t="shared" si="40"/>
        <v>3220136.3596036779</v>
      </c>
      <c r="O86" s="881">
        <f t="shared" si="40"/>
        <v>3080608.5911126719</v>
      </c>
      <c r="P86" s="881">
        <f t="shared" si="40"/>
        <v>3095043.922555632</v>
      </c>
      <c r="Q86" s="180">
        <f t="shared" si="33"/>
        <v>19027049.491849184</v>
      </c>
      <c r="R86" s="881">
        <f t="shared" si="36"/>
        <v>10697521.275746983</v>
      </c>
      <c r="S86" s="881">
        <f t="shared" si="36"/>
        <v>10701985.810609497</v>
      </c>
      <c r="T86" s="881">
        <f t="shared" si="36"/>
        <v>10499854.138066489</v>
      </c>
      <c r="U86" s="881">
        <f t="shared" si="36"/>
        <v>10665300.93981307</v>
      </c>
      <c r="V86" s="881">
        <f t="shared" si="36"/>
        <v>10203175.900921771</v>
      </c>
      <c r="W86" s="881">
        <f t="shared" si="36"/>
        <v>10250986.656993002</v>
      </c>
      <c r="X86" s="180">
        <f t="shared" si="34"/>
        <v>63018824.72215081</v>
      </c>
      <c r="Y86" s="881"/>
      <c r="Z86" s="881"/>
      <c r="AA86" s="881"/>
      <c r="AB86" s="881"/>
      <c r="AC86" s="881"/>
      <c r="AD86" s="881"/>
      <c r="AE86" s="180"/>
      <c r="AF86" s="526"/>
      <c r="AG86" s="1415">
        <f>'PDYG-200'!$D$32</f>
        <v>0.23190745024205595</v>
      </c>
      <c r="AH86" s="1415">
        <f>'PDYG-200'!$E$32</f>
        <v>0.30353035303530351</v>
      </c>
      <c r="AI86" s="1415">
        <f>'PDYG-200'!$F$32</f>
        <v>0.46456219672264054</v>
      </c>
      <c r="AK86" s="526"/>
      <c r="AL86" s="526"/>
      <c r="AM86" s="526"/>
      <c r="AN86" s="526"/>
      <c r="AO86" s="526"/>
      <c r="AP86" s="526"/>
      <c r="AQ86" s="569"/>
    </row>
    <row r="87" spans="2:43">
      <c r="C87" s="887" t="s">
        <v>304</v>
      </c>
      <c r="D87" s="883">
        <f>MCDO800!$N87*D$152</f>
        <v>13227150.921411213</v>
      </c>
      <c r="E87" s="883">
        <f>MCDO800!$N87*E$152</f>
        <v>13232671.179319395</v>
      </c>
      <c r="F87" s="883">
        <f>MCDO800!$N87*F$152</f>
        <v>12982741.67978335</v>
      </c>
      <c r="G87" s="883">
        <f>MCDO800!$N87*G$152</f>
        <v>13187311.482428031</v>
      </c>
      <c r="H87" s="883">
        <f>MCDO800!$N87*H$152</f>
        <v>12615908.306270156</v>
      </c>
      <c r="I87" s="883">
        <f>MCDO800!$N87*I$152</f>
        <v>12675024.812787859</v>
      </c>
      <c r="J87" s="180">
        <f t="shared" si="32"/>
        <v>77920808.381999999</v>
      </c>
      <c r="K87" s="883">
        <f t="shared" ref="K87:P91" si="41">D87*$AG87</f>
        <v>3067474.8441513353</v>
      </c>
      <c r="L87" s="883">
        <f t="shared" si="41"/>
        <v>3068755.0330875004</v>
      </c>
      <c r="M87" s="883">
        <f t="shared" si="41"/>
        <v>3010794.520109823</v>
      </c>
      <c r="N87" s="883">
        <f t="shared" si="41"/>
        <v>3058235.7814376717</v>
      </c>
      <c r="O87" s="883">
        <f t="shared" si="41"/>
        <v>2925723.1277946867</v>
      </c>
      <c r="P87" s="883">
        <f t="shared" si="41"/>
        <v>2939432.6860884246</v>
      </c>
      <c r="Q87" s="180">
        <f t="shared" si="33"/>
        <v>18070415.992669441</v>
      </c>
      <c r="R87" s="883">
        <f t="shared" si="36"/>
        <v>10159676.077259878</v>
      </c>
      <c r="S87" s="883">
        <f t="shared" si="36"/>
        <v>10163916.146231893</v>
      </c>
      <c r="T87" s="883">
        <f t="shared" si="36"/>
        <v>9971947.1596735269</v>
      </c>
      <c r="U87" s="883">
        <f t="shared" si="36"/>
        <v>10129075.70099036</v>
      </c>
      <c r="V87" s="883">
        <f t="shared" si="36"/>
        <v>9690185.1784754694</v>
      </c>
      <c r="W87" s="883">
        <f t="shared" si="36"/>
        <v>9735592.1266994346</v>
      </c>
      <c r="X87" s="180">
        <f t="shared" si="34"/>
        <v>59850392.389330566</v>
      </c>
      <c r="Y87" s="883"/>
      <c r="Z87" s="883"/>
      <c r="AA87" s="883"/>
      <c r="AB87" s="883"/>
      <c r="AC87" s="883"/>
      <c r="AD87" s="883"/>
      <c r="AE87" s="180"/>
      <c r="AF87" s="526"/>
      <c r="AG87" s="1415">
        <f>'PDYG-200'!$D$32</f>
        <v>0.23190745024205595</v>
      </c>
      <c r="AH87" s="1415">
        <f>'PDYG-200'!$E$32</f>
        <v>0.30353035303530351</v>
      </c>
      <c r="AI87" s="1415">
        <f>'PDYG-200'!$F$32</f>
        <v>0.46456219672264054</v>
      </c>
      <c r="AK87" s="526"/>
      <c r="AL87" s="526"/>
      <c r="AM87" s="526"/>
      <c r="AN87" s="526"/>
      <c r="AO87" s="526"/>
      <c r="AP87" s="526"/>
      <c r="AQ87" s="569"/>
    </row>
    <row r="88" spans="2:43">
      <c r="C88" s="888" t="s">
        <v>644</v>
      </c>
      <c r="D88" s="883">
        <f>MCDO800!$N88*D$152</f>
        <v>700234.88530985173</v>
      </c>
      <c r="E88" s="883">
        <f>MCDO800!$N88*E$152</f>
        <v>700527.12338789168</v>
      </c>
      <c r="F88" s="883">
        <f>MCDO800!$N88*F$152</f>
        <v>687296.05378847569</v>
      </c>
      <c r="G88" s="883">
        <f>MCDO800!$N88*G$152</f>
        <v>698125.81698871858</v>
      </c>
      <c r="H88" s="883">
        <f>MCDO800!$N88*H$152</f>
        <v>667876.18576428655</v>
      </c>
      <c r="I88" s="883">
        <f>MCDO800!$N88*I$152</f>
        <v>671005.7667607757</v>
      </c>
      <c r="J88" s="180">
        <f t="shared" si="32"/>
        <v>4125065.8320000004</v>
      </c>
      <c r="K88" s="883">
        <f t="shared" si="41"/>
        <v>162389.68682274618</v>
      </c>
      <c r="L88" s="883">
        <f t="shared" si="41"/>
        <v>162457.45901028809</v>
      </c>
      <c r="M88" s="883">
        <f t="shared" si="41"/>
        <v>159389.07539551234</v>
      </c>
      <c r="N88" s="883">
        <f t="shared" si="41"/>
        <v>161900.5781660059</v>
      </c>
      <c r="O88" s="883">
        <f t="shared" si="41"/>
        <v>154885.46331798538</v>
      </c>
      <c r="P88" s="883">
        <f t="shared" si="41"/>
        <v>155611.2364672072</v>
      </c>
      <c r="Q88" s="180">
        <f t="shared" si="33"/>
        <v>956633.49917974521</v>
      </c>
      <c r="R88" s="883">
        <f t="shared" si="36"/>
        <v>537845.19848710555</v>
      </c>
      <c r="S88" s="883">
        <f t="shared" si="36"/>
        <v>538069.66437760356</v>
      </c>
      <c r="T88" s="883">
        <f t="shared" si="36"/>
        <v>527906.9783929633</v>
      </c>
      <c r="U88" s="883">
        <f t="shared" si="36"/>
        <v>536225.23882271268</v>
      </c>
      <c r="V88" s="883">
        <f t="shared" si="36"/>
        <v>512990.72244630114</v>
      </c>
      <c r="W88" s="883">
        <f t="shared" si="36"/>
        <v>515394.5302935685</v>
      </c>
      <c r="X88" s="180">
        <f t="shared" si="34"/>
        <v>3168432.3328202544</v>
      </c>
      <c r="Y88" s="883"/>
      <c r="Z88" s="883"/>
      <c r="AA88" s="883"/>
      <c r="AB88" s="883"/>
      <c r="AC88" s="883"/>
      <c r="AD88" s="883"/>
      <c r="AE88" s="180"/>
      <c r="AF88" s="526"/>
      <c r="AG88" s="1415">
        <f>'PDYG-200'!$D$32</f>
        <v>0.23190745024205595</v>
      </c>
      <c r="AH88" s="1415">
        <f>'PDYG-200'!$E$32</f>
        <v>0.30353035303530351</v>
      </c>
      <c r="AI88" s="1415">
        <f>'PDYG-200'!$F$32</f>
        <v>0.46456219672264054</v>
      </c>
      <c r="AK88" s="526"/>
      <c r="AL88" s="526"/>
      <c r="AM88" s="526"/>
      <c r="AN88" s="526"/>
      <c r="AO88" s="526"/>
      <c r="AP88" s="526"/>
      <c r="AQ88" s="569"/>
    </row>
    <row r="89" spans="2:43">
      <c r="C89" s="887" t="s">
        <v>305</v>
      </c>
      <c r="D89" s="883">
        <f>MCDO800!$N89*D$152</f>
        <v>0</v>
      </c>
      <c r="E89" s="883">
        <f>MCDO800!$N89*E$152</f>
        <v>0</v>
      </c>
      <c r="F89" s="883">
        <f>MCDO800!$N89*F$152</f>
        <v>0</v>
      </c>
      <c r="G89" s="883">
        <f>MCDO800!$N89*G$152</f>
        <v>0</v>
      </c>
      <c r="H89" s="883">
        <f>MCDO800!$N89*H$152</f>
        <v>0</v>
      </c>
      <c r="I89" s="883">
        <f>MCDO800!$N89*I$152</f>
        <v>0</v>
      </c>
      <c r="J89" s="180">
        <f t="shared" si="32"/>
        <v>0</v>
      </c>
      <c r="K89" s="883">
        <f t="shared" si="41"/>
        <v>0</v>
      </c>
      <c r="L89" s="883">
        <f t="shared" si="41"/>
        <v>0</v>
      </c>
      <c r="M89" s="883">
        <f t="shared" si="41"/>
        <v>0</v>
      </c>
      <c r="N89" s="883">
        <f t="shared" si="41"/>
        <v>0</v>
      </c>
      <c r="O89" s="883">
        <f t="shared" si="41"/>
        <v>0</v>
      </c>
      <c r="P89" s="883">
        <f t="shared" si="41"/>
        <v>0</v>
      </c>
      <c r="Q89" s="180">
        <f t="shared" si="33"/>
        <v>0</v>
      </c>
      <c r="R89" s="883">
        <f t="shared" si="36"/>
        <v>0</v>
      </c>
      <c r="S89" s="883">
        <f t="shared" si="36"/>
        <v>0</v>
      </c>
      <c r="T89" s="883">
        <f t="shared" si="36"/>
        <v>0</v>
      </c>
      <c r="U89" s="883">
        <f t="shared" si="36"/>
        <v>0</v>
      </c>
      <c r="V89" s="883">
        <f t="shared" si="36"/>
        <v>0</v>
      </c>
      <c r="W89" s="883">
        <f t="shared" si="36"/>
        <v>0</v>
      </c>
      <c r="X89" s="180">
        <f t="shared" si="34"/>
        <v>0</v>
      </c>
      <c r="Y89" s="883"/>
      <c r="Z89" s="883"/>
      <c r="AA89" s="883"/>
      <c r="AB89" s="883"/>
      <c r="AC89" s="883"/>
      <c r="AD89" s="883"/>
      <c r="AE89" s="180"/>
      <c r="AF89" s="526"/>
      <c r="AG89" s="1415">
        <f>'PDYG-200'!$D$32</f>
        <v>0.23190745024205595</v>
      </c>
      <c r="AH89" s="1415">
        <f>'PDYG-200'!$E$32</f>
        <v>0.30353035303530351</v>
      </c>
      <c r="AI89" s="1415">
        <f>'PDYG-200'!$F$32</f>
        <v>0.46456219672264054</v>
      </c>
      <c r="AK89" s="526"/>
      <c r="AL89" s="526"/>
      <c r="AM89" s="526"/>
      <c r="AN89" s="526"/>
      <c r="AO89" s="526"/>
      <c r="AP89" s="526"/>
      <c r="AQ89" s="569"/>
    </row>
    <row r="90" spans="2:43">
      <c r="C90" s="887" t="s">
        <v>307</v>
      </c>
      <c r="D90" s="883">
        <f>MCDO800!$N90*D$152</f>
        <v>0</v>
      </c>
      <c r="E90" s="883">
        <f>MCDO800!$N90*E$152</f>
        <v>0</v>
      </c>
      <c r="F90" s="883">
        <f>MCDO800!$N90*F$152</f>
        <v>0</v>
      </c>
      <c r="G90" s="883">
        <f>MCDO800!$N90*G$152</f>
        <v>0</v>
      </c>
      <c r="H90" s="883">
        <f>MCDO800!$N90*H$152</f>
        <v>0</v>
      </c>
      <c r="I90" s="883">
        <f>MCDO800!$N90*I$152</f>
        <v>0</v>
      </c>
      <c r="J90" s="180">
        <f t="shared" si="32"/>
        <v>0</v>
      </c>
      <c r="K90" s="883">
        <f t="shared" si="41"/>
        <v>0</v>
      </c>
      <c r="L90" s="883">
        <f t="shared" si="41"/>
        <v>0</v>
      </c>
      <c r="M90" s="883">
        <f t="shared" si="41"/>
        <v>0</v>
      </c>
      <c r="N90" s="883">
        <f t="shared" si="41"/>
        <v>0</v>
      </c>
      <c r="O90" s="883">
        <f t="shared" si="41"/>
        <v>0</v>
      </c>
      <c r="P90" s="883">
        <f t="shared" si="41"/>
        <v>0</v>
      </c>
      <c r="Q90" s="180">
        <f t="shared" si="33"/>
        <v>0</v>
      </c>
      <c r="R90" s="883">
        <f t="shared" si="36"/>
        <v>0</v>
      </c>
      <c r="S90" s="883">
        <f t="shared" si="36"/>
        <v>0</v>
      </c>
      <c r="T90" s="883">
        <f t="shared" si="36"/>
        <v>0</v>
      </c>
      <c r="U90" s="883">
        <f t="shared" si="36"/>
        <v>0</v>
      </c>
      <c r="V90" s="883">
        <f t="shared" si="36"/>
        <v>0</v>
      </c>
      <c r="W90" s="883">
        <f t="shared" si="36"/>
        <v>0</v>
      </c>
      <c r="X90" s="180">
        <f t="shared" si="34"/>
        <v>0</v>
      </c>
      <c r="Y90" s="883"/>
      <c r="Z90" s="883"/>
      <c r="AA90" s="883"/>
      <c r="AB90" s="883"/>
      <c r="AC90" s="883"/>
      <c r="AD90" s="883"/>
      <c r="AE90" s="180"/>
      <c r="AF90" s="526"/>
      <c r="AG90" s="1415">
        <f>'PDYG-200'!$D$32</f>
        <v>0.23190745024205595</v>
      </c>
      <c r="AH90" s="1415">
        <f>'PDYG-200'!$E$32</f>
        <v>0.30353035303530351</v>
      </c>
      <c r="AI90" s="1415">
        <f>'PDYG-200'!$F$32</f>
        <v>0.46456219672264054</v>
      </c>
      <c r="AK90" s="526"/>
      <c r="AL90" s="526"/>
      <c r="AM90" s="526"/>
      <c r="AN90" s="526"/>
      <c r="AO90" s="526"/>
      <c r="AP90" s="526"/>
      <c r="AQ90" s="569"/>
    </row>
    <row r="91" spans="2:43">
      <c r="C91" s="887" t="s">
        <v>624</v>
      </c>
      <c r="D91" s="883">
        <f>MCDO800!$N91*D$152</f>
        <v>0</v>
      </c>
      <c r="E91" s="883">
        <f>MCDO800!$N91*E$152</f>
        <v>0</v>
      </c>
      <c r="F91" s="883">
        <f>MCDO800!$N91*F$152</f>
        <v>0</v>
      </c>
      <c r="G91" s="883">
        <f>MCDO800!$N91*G$152</f>
        <v>0</v>
      </c>
      <c r="H91" s="883">
        <f>MCDO800!$N91*H$152</f>
        <v>0</v>
      </c>
      <c r="I91" s="883">
        <f>MCDO800!$N91*I$152</f>
        <v>0</v>
      </c>
      <c r="J91" s="180">
        <f t="shared" si="32"/>
        <v>0</v>
      </c>
      <c r="K91" s="883">
        <f t="shared" si="41"/>
        <v>0</v>
      </c>
      <c r="L91" s="883">
        <f t="shared" si="41"/>
        <v>0</v>
      </c>
      <c r="M91" s="883">
        <f t="shared" si="41"/>
        <v>0</v>
      </c>
      <c r="N91" s="883">
        <f t="shared" si="41"/>
        <v>0</v>
      </c>
      <c r="O91" s="883">
        <f t="shared" si="41"/>
        <v>0</v>
      </c>
      <c r="P91" s="883">
        <f t="shared" si="41"/>
        <v>0</v>
      </c>
      <c r="Q91" s="180">
        <f t="shared" si="33"/>
        <v>0</v>
      </c>
      <c r="R91" s="883">
        <f t="shared" si="36"/>
        <v>0</v>
      </c>
      <c r="S91" s="883">
        <f t="shared" si="36"/>
        <v>0</v>
      </c>
      <c r="T91" s="883">
        <f t="shared" si="36"/>
        <v>0</v>
      </c>
      <c r="U91" s="883">
        <f t="shared" si="36"/>
        <v>0</v>
      </c>
      <c r="V91" s="883">
        <f t="shared" si="36"/>
        <v>0</v>
      </c>
      <c r="W91" s="883">
        <f t="shared" si="36"/>
        <v>0</v>
      </c>
      <c r="X91" s="180">
        <f t="shared" si="34"/>
        <v>0</v>
      </c>
      <c r="Y91" s="883"/>
      <c r="Z91" s="883"/>
      <c r="AA91" s="883"/>
      <c r="AB91" s="883"/>
      <c r="AC91" s="883"/>
      <c r="AD91" s="883"/>
      <c r="AE91" s="180"/>
      <c r="AF91" s="526"/>
      <c r="AG91" s="1415">
        <f>'PDYG-200'!$D$32</f>
        <v>0.23190745024205595</v>
      </c>
      <c r="AH91" s="1415">
        <f>'PDYG-200'!$E$32</f>
        <v>0.30353035303530351</v>
      </c>
      <c r="AI91" s="1415">
        <f>'PDYG-200'!$F$32</f>
        <v>0.46456219672264054</v>
      </c>
      <c r="AK91" s="526"/>
      <c r="AL91" s="526"/>
      <c r="AM91" s="526"/>
      <c r="AN91" s="526"/>
      <c r="AO91" s="526"/>
      <c r="AP91" s="526"/>
      <c r="AQ91" s="569"/>
    </row>
    <row r="92" spans="2:43">
      <c r="B92" s="48" t="s">
        <v>902</v>
      </c>
      <c r="C92" s="882" t="s">
        <v>1208</v>
      </c>
      <c r="D92" s="881">
        <f>SUBTOTAL(9,D93:D98)</f>
        <v>1118634.8309842597</v>
      </c>
      <c r="E92" s="881">
        <f t="shared" ref="E92:P92" si="42">SUBTOTAL(9,E93:E98)</f>
        <v>1119101.6853211308</v>
      </c>
      <c r="F92" s="881">
        <f t="shared" si="42"/>
        <v>1097964.8702101067</v>
      </c>
      <c r="G92" s="881">
        <f t="shared" si="42"/>
        <v>1115265.5654214607</v>
      </c>
      <c r="H92" s="881">
        <f t="shared" si="42"/>
        <v>1066941.3647539869</v>
      </c>
      <c r="I92" s="881">
        <f t="shared" si="42"/>
        <v>1071940.9133090554</v>
      </c>
      <c r="J92" s="180">
        <f t="shared" si="32"/>
        <v>6589849.2300000004</v>
      </c>
      <c r="K92" s="881">
        <f t="shared" si="42"/>
        <v>259419.75140551288</v>
      </c>
      <c r="L92" s="881">
        <f t="shared" si="42"/>
        <v>259528.01840441112</v>
      </c>
      <c r="M92" s="881">
        <f t="shared" si="42"/>
        <v>254626.23350577572</v>
      </c>
      <c r="N92" s="881">
        <f t="shared" si="42"/>
        <v>258638.39361965581</v>
      </c>
      <c r="O92" s="881">
        <f t="shared" si="42"/>
        <v>247431.65145787649</v>
      </c>
      <c r="P92" s="881">
        <f t="shared" si="42"/>
        <v>248591.08401564375</v>
      </c>
      <c r="Q92" s="180">
        <f t="shared" si="33"/>
        <v>1528235.1324088757</v>
      </c>
      <c r="R92" s="881">
        <f t="shared" si="36"/>
        <v>859215.07957874681</v>
      </c>
      <c r="S92" s="881">
        <f t="shared" si="36"/>
        <v>859573.66691671964</v>
      </c>
      <c r="T92" s="881">
        <f t="shared" si="36"/>
        <v>843338.63670433103</v>
      </c>
      <c r="U92" s="881">
        <f t="shared" si="36"/>
        <v>856627.1718018048</v>
      </c>
      <c r="V92" s="881">
        <f t="shared" si="36"/>
        <v>819509.71329611051</v>
      </c>
      <c r="W92" s="881">
        <f t="shared" si="36"/>
        <v>823349.82929341169</v>
      </c>
      <c r="X92" s="180">
        <f t="shared" si="34"/>
        <v>5061614.0975911245</v>
      </c>
      <c r="Y92" s="881"/>
      <c r="Z92" s="881"/>
      <c r="AA92" s="881"/>
      <c r="AB92" s="881"/>
      <c r="AC92" s="881"/>
      <c r="AD92" s="881"/>
      <c r="AE92" s="180"/>
      <c r="AF92" s="526"/>
      <c r="AG92" s="1415">
        <f>'PDYG-200'!$D$32</f>
        <v>0.23190745024205595</v>
      </c>
      <c r="AH92" s="1415">
        <f>'PDYG-200'!$E$32</f>
        <v>0.30353035303530351</v>
      </c>
      <c r="AI92" s="1415">
        <f>'PDYG-200'!$F$32</f>
        <v>0.46456219672264054</v>
      </c>
      <c r="AK92" s="526"/>
      <c r="AL92" s="526"/>
      <c r="AM92" s="526"/>
      <c r="AN92" s="526"/>
      <c r="AO92" s="526"/>
      <c r="AP92" s="526"/>
      <c r="AQ92" s="569"/>
    </row>
    <row r="93" spans="2:43">
      <c r="C93" s="887" t="s">
        <v>304</v>
      </c>
      <c r="D93" s="883">
        <f>MCDO800!$N93*D$152</f>
        <v>988750.60996717832</v>
      </c>
      <c r="E93" s="883">
        <f>MCDO800!$N93*E$152</f>
        <v>989163.25804281619</v>
      </c>
      <c r="F93" s="883">
        <f>MCDO800!$N93*F$152</f>
        <v>970480.62966855022</v>
      </c>
      <c r="G93" s="883">
        <f>MCDO800!$N93*G$152</f>
        <v>985772.54841564607</v>
      </c>
      <c r="H93" s="883">
        <f>MCDO800!$N93*H$152</f>
        <v>943059.2504182111</v>
      </c>
      <c r="I93" s="883">
        <f>MCDO800!$N93*I$152</f>
        <v>947478.3034875982</v>
      </c>
      <c r="J93" s="180">
        <f t="shared" si="32"/>
        <v>5824704.5999999996</v>
      </c>
      <c r="K93" s="883">
        <f t="shared" ref="K93:P98" si="43">D93*$AG93</f>
        <v>229298.63288276587</v>
      </c>
      <c r="L93" s="883">
        <f t="shared" si="43"/>
        <v>229394.32904583434</v>
      </c>
      <c r="M93" s="883">
        <f t="shared" si="43"/>
        <v>225061.68833573844</v>
      </c>
      <c r="N93" s="883">
        <f t="shared" si="43"/>
        <v>228607.99822168614</v>
      </c>
      <c r="O93" s="883">
        <f t="shared" si="43"/>
        <v>218702.46619167188</v>
      </c>
      <c r="P93" s="883">
        <f t="shared" si="43"/>
        <v>219727.27752147775</v>
      </c>
      <c r="Q93" s="180">
        <f t="shared" si="33"/>
        <v>1350792.3921991743</v>
      </c>
      <c r="R93" s="883">
        <f t="shared" si="36"/>
        <v>759451.97708441247</v>
      </c>
      <c r="S93" s="883">
        <f t="shared" si="36"/>
        <v>759768.92899698182</v>
      </c>
      <c r="T93" s="883">
        <f t="shared" si="36"/>
        <v>745418.94133281172</v>
      </c>
      <c r="U93" s="883">
        <f t="shared" si="36"/>
        <v>757164.55019395996</v>
      </c>
      <c r="V93" s="883">
        <f t="shared" si="36"/>
        <v>724356.7842265392</v>
      </c>
      <c r="W93" s="883">
        <f t="shared" si="36"/>
        <v>727751.02596612042</v>
      </c>
      <c r="X93" s="180">
        <f t="shared" si="34"/>
        <v>4473912.2078008251</v>
      </c>
      <c r="Y93" s="883"/>
      <c r="Z93" s="883"/>
      <c r="AA93" s="883"/>
      <c r="AB93" s="883"/>
      <c r="AC93" s="883"/>
      <c r="AD93" s="883"/>
      <c r="AE93" s="180"/>
      <c r="AF93" s="526"/>
      <c r="AG93" s="1415">
        <f>'PDYG-200'!$D$32</f>
        <v>0.23190745024205595</v>
      </c>
      <c r="AH93" s="1415">
        <f>'PDYG-200'!$E$32</f>
        <v>0.30353035303530351</v>
      </c>
      <c r="AI93" s="1415">
        <f>'PDYG-200'!$F$32</f>
        <v>0.46456219672264054</v>
      </c>
      <c r="AK93" s="526"/>
      <c r="AL93" s="526"/>
      <c r="AM93" s="526"/>
      <c r="AN93" s="526"/>
      <c r="AO93" s="526"/>
      <c r="AP93" s="526"/>
      <c r="AQ93" s="569"/>
    </row>
    <row r="94" spans="2:43">
      <c r="C94" s="889" t="s">
        <v>1207</v>
      </c>
      <c r="D94" s="883">
        <f>MCDO800!$N94*D$152</f>
        <v>120589.39750635796</v>
      </c>
      <c r="E94" s="883">
        <f>MCDO800!$N94*E$152</f>
        <v>120639.72463872249</v>
      </c>
      <c r="F94" s="883">
        <f>MCDO800!$N94*F$152</f>
        <v>118361.16533693584</v>
      </c>
      <c r="G94" s="883">
        <f>MCDO800!$N94*G$152</f>
        <v>120226.18898378819</v>
      </c>
      <c r="H94" s="883">
        <f>MCDO800!$N94*H$152</f>
        <v>115016.81584247485</v>
      </c>
      <c r="I94" s="883">
        <f>MCDO800!$N94*I$152</f>
        <v>115555.76969172072</v>
      </c>
      <c r="J94" s="180">
        <f t="shared" si="32"/>
        <v>710389.06200000003</v>
      </c>
      <c r="K94" s="883">
        <f t="shared" si="43"/>
        <v>27965.579701925213</v>
      </c>
      <c r="L94" s="883">
        <f t="shared" si="43"/>
        <v>27977.250938869867</v>
      </c>
      <c r="M94" s="883">
        <f t="shared" si="43"/>
        <v>27448.836060967205</v>
      </c>
      <c r="N94" s="883">
        <f t="shared" si="43"/>
        <v>27881.348939549873</v>
      </c>
      <c r="O94" s="883">
        <f t="shared" si="43"/>
        <v>26673.256496988448</v>
      </c>
      <c r="P94" s="883">
        <f t="shared" si="43"/>
        <v>26798.2439099652</v>
      </c>
      <c r="Q94" s="180">
        <f t="shared" si="33"/>
        <v>164744.51604826582</v>
      </c>
      <c r="R94" s="883">
        <f t="shared" si="36"/>
        <v>92623.817804432736</v>
      </c>
      <c r="S94" s="883">
        <f t="shared" si="36"/>
        <v>92662.47369985262</v>
      </c>
      <c r="T94" s="883">
        <f t="shared" si="36"/>
        <v>90912.32927596863</v>
      </c>
      <c r="U94" s="883">
        <f t="shared" si="36"/>
        <v>92344.840044238314</v>
      </c>
      <c r="V94" s="883">
        <f t="shared" si="36"/>
        <v>88343.559345486399</v>
      </c>
      <c r="W94" s="883">
        <f t="shared" si="36"/>
        <v>88757.525781755525</v>
      </c>
      <c r="X94" s="180">
        <f t="shared" si="34"/>
        <v>545644.5459517343</v>
      </c>
      <c r="Y94" s="883"/>
      <c r="Z94" s="883"/>
      <c r="AA94" s="883"/>
      <c r="AB94" s="883"/>
      <c r="AC94" s="883"/>
      <c r="AD94" s="883"/>
      <c r="AE94" s="180"/>
      <c r="AF94" s="526"/>
      <c r="AG94" s="1415">
        <f>'PDYG-200'!$D$32</f>
        <v>0.23190745024205595</v>
      </c>
      <c r="AH94" s="1415">
        <f>'PDYG-200'!$E$32</f>
        <v>0.30353035303530351</v>
      </c>
      <c r="AI94" s="1415">
        <f>'PDYG-200'!$F$32</f>
        <v>0.46456219672264054</v>
      </c>
      <c r="AK94" s="526"/>
      <c r="AL94" s="526"/>
      <c r="AM94" s="526"/>
      <c r="AN94" s="526"/>
      <c r="AO94" s="526"/>
      <c r="AP94" s="526"/>
      <c r="AQ94" s="569"/>
    </row>
    <row r="95" spans="2:43">
      <c r="C95" s="889" t="s">
        <v>1177</v>
      </c>
      <c r="D95" s="883">
        <f>MCDO800!$N95*D$152</f>
        <v>9294.8235107234977</v>
      </c>
      <c r="E95" s="883">
        <f>MCDO800!$N95*E$152</f>
        <v>9298.7026395922239</v>
      </c>
      <c r="F95" s="883">
        <f>MCDO800!$N95*F$152</f>
        <v>9123.0752046205253</v>
      </c>
      <c r="G95" s="883">
        <f>MCDO800!$N95*G$152</f>
        <v>9266.8280220264205</v>
      </c>
      <c r="H95" s="883">
        <f>MCDO800!$N95*H$152</f>
        <v>8865.2984933009975</v>
      </c>
      <c r="I95" s="883">
        <f>MCDO800!$N95*I$152</f>
        <v>8906.8401297363343</v>
      </c>
      <c r="J95" s="180">
        <f t="shared" si="32"/>
        <v>54755.567999999999</v>
      </c>
      <c r="K95" s="883">
        <f t="shared" si="43"/>
        <v>2155.5388208218014</v>
      </c>
      <c r="L95" s="883">
        <f t="shared" si="43"/>
        <v>2156.438419706908</v>
      </c>
      <c r="M95" s="883">
        <f t="shared" si="43"/>
        <v>2115.7091090700687</v>
      </c>
      <c r="N95" s="883">
        <f t="shared" si="43"/>
        <v>2149.0464584197816</v>
      </c>
      <c r="O95" s="883">
        <f t="shared" si="43"/>
        <v>2055.9287692161747</v>
      </c>
      <c r="P95" s="883">
        <f t="shared" si="43"/>
        <v>2065.5625842007762</v>
      </c>
      <c r="Q95" s="180">
        <f t="shared" si="33"/>
        <v>12698.22416143551</v>
      </c>
      <c r="R95" s="883">
        <f t="shared" si="36"/>
        <v>7139.2846899016968</v>
      </c>
      <c r="S95" s="883">
        <f t="shared" si="36"/>
        <v>7142.2642198853155</v>
      </c>
      <c r="T95" s="883">
        <f t="shared" si="36"/>
        <v>7007.3660955504565</v>
      </c>
      <c r="U95" s="883">
        <f t="shared" si="36"/>
        <v>7117.7815636066389</v>
      </c>
      <c r="V95" s="883">
        <f t="shared" si="36"/>
        <v>6809.3697240848232</v>
      </c>
      <c r="W95" s="883">
        <f t="shared" si="36"/>
        <v>6841.2775455355586</v>
      </c>
      <c r="X95" s="180">
        <f t="shared" si="34"/>
        <v>42057.343838564484</v>
      </c>
      <c r="Y95" s="883"/>
      <c r="Z95" s="883"/>
      <c r="AA95" s="883"/>
      <c r="AB95" s="883"/>
      <c r="AC95" s="883"/>
      <c r="AD95" s="883"/>
      <c r="AE95" s="180"/>
      <c r="AF95" s="526"/>
      <c r="AG95" s="1415">
        <f>'PDYG-200'!$D$32</f>
        <v>0.23190745024205595</v>
      </c>
      <c r="AH95" s="1415">
        <f>'PDYG-200'!$E$32</f>
        <v>0.30353035303530351</v>
      </c>
      <c r="AI95" s="1415">
        <f>'PDYG-200'!$F$32</f>
        <v>0.46456219672264054</v>
      </c>
      <c r="AK95" s="526"/>
      <c r="AL95" s="526"/>
      <c r="AM95" s="526"/>
      <c r="AN95" s="526"/>
      <c r="AO95" s="526"/>
      <c r="AP95" s="526"/>
      <c r="AQ95" s="569"/>
    </row>
    <row r="96" spans="2:43">
      <c r="C96" s="887" t="s">
        <v>305</v>
      </c>
      <c r="D96" s="883">
        <f>MCDO800!$N96*D$152</f>
        <v>0</v>
      </c>
      <c r="E96" s="883">
        <f>MCDO800!$N96*E$152</f>
        <v>0</v>
      </c>
      <c r="F96" s="883">
        <f>MCDO800!$N96*F$152</f>
        <v>0</v>
      </c>
      <c r="G96" s="883">
        <f>MCDO800!$N96*G$152</f>
        <v>0</v>
      </c>
      <c r="H96" s="883">
        <f>MCDO800!$N96*H$152</f>
        <v>0</v>
      </c>
      <c r="I96" s="883">
        <f>MCDO800!$N96*I$152</f>
        <v>0</v>
      </c>
      <c r="J96" s="180">
        <f t="shared" si="32"/>
        <v>0</v>
      </c>
      <c r="K96" s="883">
        <f t="shared" si="43"/>
        <v>0</v>
      </c>
      <c r="L96" s="883">
        <f t="shared" si="43"/>
        <v>0</v>
      </c>
      <c r="M96" s="883">
        <f t="shared" si="43"/>
        <v>0</v>
      </c>
      <c r="N96" s="883">
        <f t="shared" si="43"/>
        <v>0</v>
      </c>
      <c r="O96" s="883">
        <f t="shared" si="43"/>
        <v>0</v>
      </c>
      <c r="P96" s="883">
        <f t="shared" si="43"/>
        <v>0</v>
      </c>
      <c r="Q96" s="180">
        <f t="shared" si="33"/>
        <v>0</v>
      </c>
      <c r="R96" s="883">
        <f t="shared" si="36"/>
        <v>0</v>
      </c>
      <c r="S96" s="883">
        <f t="shared" si="36"/>
        <v>0</v>
      </c>
      <c r="T96" s="883">
        <f t="shared" si="36"/>
        <v>0</v>
      </c>
      <c r="U96" s="883">
        <f t="shared" si="36"/>
        <v>0</v>
      </c>
      <c r="V96" s="883">
        <f t="shared" si="36"/>
        <v>0</v>
      </c>
      <c r="W96" s="883">
        <f t="shared" si="36"/>
        <v>0</v>
      </c>
      <c r="X96" s="180">
        <f t="shared" si="34"/>
        <v>0</v>
      </c>
      <c r="Y96" s="883"/>
      <c r="Z96" s="883"/>
      <c r="AA96" s="883"/>
      <c r="AB96" s="883"/>
      <c r="AC96" s="883"/>
      <c r="AD96" s="883"/>
      <c r="AE96" s="180"/>
      <c r="AF96" s="526"/>
      <c r="AG96" s="1415">
        <f>'PDYG-200'!$D$32</f>
        <v>0.23190745024205595</v>
      </c>
      <c r="AH96" s="1415">
        <f>'PDYG-200'!$E$32</f>
        <v>0.30353035303530351</v>
      </c>
      <c r="AI96" s="1415">
        <f>'PDYG-200'!$F$32</f>
        <v>0.46456219672264054</v>
      </c>
      <c r="AK96" s="526"/>
      <c r="AL96" s="526"/>
      <c r="AM96" s="526"/>
      <c r="AN96" s="526"/>
      <c r="AO96" s="526"/>
      <c r="AP96" s="526"/>
      <c r="AQ96" s="569"/>
    </row>
    <row r="97" spans="2:43">
      <c r="C97" s="887" t="s">
        <v>307</v>
      </c>
      <c r="D97" s="883">
        <f>MCDO800!$N97*D$152</f>
        <v>0</v>
      </c>
      <c r="E97" s="883">
        <f>MCDO800!$N97*E$152</f>
        <v>0</v>
      </c>
      <c r="F97" s="883">
        <f>MCDO800!$N97*F$152</f>
        <v>0</v>
      </c>
      <c r="G97" s="883">
        <f>MCDO800!$N97*G$152</f>
        <v>0</v>
      </c>
      <c r="H97" s="883">
        <f>MCDO800!$N97*H$152</f>
        <v>0</v>
      </c>
      <c r="I97" s="883">
        <f>MCDO800!$N97*I$152</f>
        <v>0</v>
      </c>
      <c r="J97" s="180">
        <f t="shared" si="32"/>
        <v>0</v>
      </c>
      <c r="K97" s="883">
        <f t="shared" si="43"/>
        <v>0</v>
      </c>
      <c r="L97" s="883">
        <f t="shared" si="43"/>
        <v>0</v>
      </c>
      <c r="M97" s="883">
        <f t="shared" si="43"/>
        <v>0</v>
      </c>
      <c r="N97" s="883">
        <f t="shared" si="43"/>
        <v>0</v>
      </c>
      <c r="O97" s="883">
        <f t="shared" si="43"/>
        <v>0</v>
      </c>
      <c r="P97" s="883">
        <f t="shared" si="43"/>
        <v>0</v>
      </c>
      <c r="Q97" s="180">
        <f t="shared" si="33"/>
        <v>0</v>
      </c>
      <c r="R97" s="883">
        <f t="shared" si="36"/>
        <v>0</v>
      </c>
      <c r="S97" s="883">
        <f t="shared" si="36"/>
        <v>0</v>
      </c>
      <c r="T97" s="883">
        <f t="shared" si="36"/>
        <v>0</v>
      </c>
      <c r="U97" s="883">
        <f t="shared" si="36"/>
        <v>0</v>
      </c>
      <c r="V97" s="883">
        <f t="shared" si="36"/>
        <v>0</v>
      </c>
      <c r="W97" s="883">
        <f t="shared" si="36"/>
        <v>0</v>
      </c>
      <c r="X97" s="180">
        <f t="shared" si="34"/>
        <v>0</v>
      </c>
      <c r="Y97" s="883"/>
      <c r="Z97" s="883"/>
      <c r="AA97" s="883"/>
      <c r="AB97" s="883"/>
      <c r="AC97" s="883"/>
      <c r="AD97" s="883"/>
      <c r="AE97" s="180"/>
      <c r="AF97" s="526"/>
      <c r="AG97" s="1415">
        <f>'PDYG-200'!$D$32</f>
        <v>0.23190745024205595</v>
      </c>
      <c r="AH97" s="1415">
        <f>'PDYG-200'!$E$32</f>
        <v>0.30353035303530351</v>
      </c>
      <c r="AI97" s="1415">
        <f>'PDYG-200'!$F$32</f>
        <v>0.46456219672264054</v>
      </c>
      <c r="AK97" s="526"/>
      <c r="AL97" s="526"/>
      <c r="AM97" s="526"/>
      <c r="AN97" s="526"/>
      <c r="AO97" s="526"/>
      <c r="AP97" s="526"/>
      <c r="AQ97" s="569"/>
    </row>
    <row r="98" spans="2:43">
      <c r="C98" s="887" t="s">
        <v>624</v>
      </c>
      <c r="D98" s="883">
        <f>MCDO800!$N98*D$152</f>
        <v>0</v>
      </c>
      <c r="E98" s="883">
        <f>MCDO800!$N98*E$152</f>
        <v>0</v>
      </c>
      <c r="F98" s="883">
        <f>MCDO800!$N98*F$152</f>
        <v>0</v>
      </c>
      <c r="G98" s="883">
        <f>MCDO800!$N98*G$152</f>
        <v>0</v>
      </c>
      <c r="H98" s="883">
        <f>MCDO800!$N98*H$152</f>
        <v>0</v>
      </c>
      <c r="I98" s="883">
        <f>MCDO800!$N98*I$152</f>
        <v>0</v>
      </c>
      <c r="J98" s="180">
        <f t="shared" si="32"/>
        <v>0</v>
      </c>
      <c r="K98" s="883">
        <f t="shared" si="43"/>
        <v>0</v>
      </c>
      <c r="L98" s="883">
        <f t="shared" si="43"/>
        <v>0</v>
      </c>
      <c r="M98" s="883">
        <f t="shared" si="43"/>
        <v>0</v>
      </c>
      <c r="N98" s="883">
        <f t="shared" si="43"/>
        <v>0</v>
      </c>
      <c r="O98" s="883">
        <f t="shared" si="43"/>
        <v>0</v>
      </c>
      <c r="P98" s="883">
        <f t="shared" si="43"/>
        <v>0</v>
      </c>
      <c r="Q98" s="180">
        <f t="shared" si="33"/>
        <v>0</v>
      </c>
      <c r="R98" s="883">
        <f t="shared" si="36"/>
        <v>0</v>
      </c>
      <c r="S98" s="883">
        <f t="shared" si="36"/>
        <v>0</v>
      </c>
      <c r="T98" s="883">
        <f t="shared" si="36"/>
        <v>0</v>
      </c>
      <c r="U98" s="883">
        <f t="shared" si="36"/>
        <v>0</v>
      </c>
      <c r="V98" s="883">
        <f t="shared" si="36"/>
        <v>0</v>
      </c>
      <c r="W98" s="883">
        <f t="shared" si="36"/>
        <v>0</v>
      </c>
      <c r="X98" s="180">
        <f t="shared" si="34"/>
        <v>0</v>
      </c>
      <c r="Y98" s="883"/>
      <c r="Z98" s="883"/>
      <c r="AA98" s="883"/>
      <c r="AB98" s="883"/>
      <c r="AC98" s="883"/>
      <c r="AD98" s="883"/>
      <c r="AE98" s="180"/>
      <c r="AF98" s="526"/>
      <c r="AG98" s="1415">
        <f>'PDYG-200'!$D$32</f>
        <v>0.23190745024205595</v>
      </c>
      <c r="AH98" s="1415">
        <f>'PDYG-200'!$E$32</f>
        <v>0.30353035303530351</v>
      </c>
      <c r="AI98" s="1415">
        <f>'PDYG-200'!$F$32</f>
        <v>0.46456219672264054</v>
      </c>
      <c r="AK98" s="526"/>
      <c r="AL98" s="526"/>
      <c r="AM98" s="526"/>
      <c r="AN98" s="526"/>
      <c r="AO98" s="526"/>
      <c r="AP98" s="526"/>
      <c r="AQ98" s="569"/>
    </row>
    <row r="99" spans="2:43">
      <c r="B99" s="48" t="s">
        <v>902</v>
      </c>
      <c r="C99" s="882" t="s">
        <v>1209</v>
      </c>
      <c r="D99" s="881">
        <f>SUBTOTAL(9,D100:D105)</f>
        <v>121513.86391309834</v>
      </c>
      <c r="E99" s="881">
        <f t="shared" ref="E99:P99" si="44">SUBTOTAL(9,E100:E105)</f>
        <v>121564.57686498085</v>
      </c>
      <c r="F99" s="881">
        <f t="shared" si="44"/>
        <v>119268.54959690673</v>
      </c>
      <c r="G99" s="881">
        <f t="shared" si="44"/>
        <v>121147.87094940273</v>
      </c>
      <c r="H99" s="881">
        <f t="shared" si="44"/>
        <v>115898.56154031704</v>
      </c>
      <c r="I99" s="881">
        <f t="shared" si="44"/>
        <v>116441.64713529441</v>
      </c>
      <c r="J99" s="180">
        <f t="shared" si="32"/>
        <v>715835.07000000007</v>
      </c>
      <c r="K99" s="881">
        <f t="shared" si="44"/>
        <v>28179.97034914681</v>
      </c>
      <c r="L99" s="881">
        <f t="shared" si="44"/>
        <v>28191.731060512131</v>
      </c>
      <c r="M99" s="881">
        <f t="shared" si="44"/>
        <v>27659.265231086829</v>
      </c>
      <c r="N99" s="881">
        <f t="shared" si="44"/>
        <v>28095.093854129631</v>
      </c>
      <c r="O99" s="881">
        <f t="shared" si="44"/>
        <v>26877.739893536935</v>
      </c>
      <c r="P99" s="881">
        <f t="shared" si="44"/>
        <v>27003.685489131323</v>
      </c>
      <c r="Q99" s="180">
        <f t="shared" si="33"/>
        <v>166007.48587754366</v>
      </c>
      <c r="R99" s="881">
        <f t="shared" si="36"/>
        <v>93333.893563951526</v>
      </c>
      <c r="S99" s="881">
        <f t="shared" si="36"/>
        <v>93372.845804468714</v>
      </c>
      <c r="T99" s="881">
        <f t="shared" si="36"/>
        <v>91609.284365819898</v>
      </c>
      <c r="U99" s="881">
        <f t="shared" si="36"/>
        <v>93052.777095273093</v>
      </c>
      <c r="V99" s="881">
        <f t="shared" si="36"/>
        <v>89020.821646780096</v>
      </c>
      <c r="W99" s="881">
        <f t="shared" si="36"/>
        <v>89437.961646163079</v>
      </c>
      <c r="X99" s="180">
        <f t="shared" si="34"/>
        <v>549827.58412245638</v>
      </c>
      <c r="Y99" s="881"/>
      <c r="Z99" s="881"/>
      <c r="AA99" s="881"/>
      <c r="AB99" s="881"/>
      <c r="AC99" s="881"/>
      <c r="AD99" s="881"/>
      <c r="AE99" s="180"/>
      <c r="AF99" s="526"/>
      <c r="AG99" s="1415">
        <f>'PDYG-200'!$D$32</f>
        <v>0.23190745024205595</v>
      </c>
      <c r="AH99" s="1415">
        <f>'PDYG-200'!$E$32</f>
        <v>0.30353035303530351</v>
      </c>
      <c r="AI99" s="1415">
        <f>'PDYG-200'!$F$32</f>
        <v>0.46456219672264054</v>
      </c>
      <c r="AK99" s="526"/>
      <c r="AL99" s="526"/>
      <c r="AM99" s="526"/>
      <c r="AN99" s="526"/>
      <c r="AO99" s="526"/>
      <c r="AP99" s="526"/>
      <c r="AQ99" s="569"/>
    </row>
    <row r="100" spans="2:43">
      <c r="C100" s="887" t="s">
        <v>304</v>
      </c>
      <c r="D100" s="883">
        <f>MCDO800!$N100*D$152</f>
        <v>116940.47216957997</v>
      </c>
      <c r="E100" s="883">
        <f>MCDO800!$N100*E$152</f>
        <v>116989.27644875666</v>
      </c>
      <c r="F100" s="883">
        <f>MCDO800!$N100*F$152</f>
        <v>114779.66427615027</v>
      </c>
      <c r="G100" s="883">
        <f>MCDO800!$N100*G$152</f>
        <v>116588.25400609603</v>
      </c>
      <c r="H100" s="883">
        <f>MCDO800!$N100*H$152</f>
        <v>111536.51175138752</v>
      </c>
      <c r="I100" s="883">
        <f>MCDO800!$N100*I$152</f>
        <v>112059.15734802964</v>
      </c>
      <c r="J100" s="180">
        <f t="shared" si="32"/>
        <v>688893.33600000013</v>
      </c>
      <c r="K100" s="883">
        <f t="shared" ref="K100:P105" si="45">D100*$AG100</f>
        <v>27119.366730949394</v>
      </c>
      <c r="L100" s="883">
        <f t="shared" si="45"/>
        <v>27130.684806894162</v>
      </c>
      <c r="M100" s="883">
        <f t="shared" si="45"/>
        <v>26618.259281921208</v>
      </c>
      <c r="N100" s="883">
        <f t="shared" si="45"/>
        <v>27037.684714726896</v>
      </c>
      <c r="O100" s="883">
        <f t="shared" si="45"/>
        <v>25866.148049157389</v>
      </c>
      <c r="P100" s="883">
        <f t="shared" si="45"/>
        <v>25987.3534568549</v>
      </c>
      <c r="Q100" s="180">
        <f t="shared" si="33"/>
        <v>159759.49704050398</v>
      </c>
      <c r="R100" s="883">
        <f t="shared" si="36"/>
        <v>89821.105438630577</v>
      </c>
      <c r="S100" s="883">
        <f t="shared" si="36"/>
        <v>89858.591641862498</v>
      </c>
      <c r="T100" s="883">
        <f t="shared" si="36"/>
        <v>88161.404994229059</v>
      </c>
      <c r="U100" s="883">
        <f t="shared" si="36"/>
        <v>89550.569291369131</v>
      </c>
      <c r="V100" s="883">
        <f t="shared" si="36"/>
        <v>85670.363702230126</v>
      </c>
      <c r="W100" s="883">
        <f t="shared" si="36"/>
        <v>86071.803891174728</v>
      </c>
      <c r="X100" s="180">
        <f t="shared" si="34"/>
        <v>529133.83895949612</v>
      </c>
      <c r="Y100" s="883"/>
      <c r="Z100" s="883"/>
      <c r="AA100" s="883"/>
      <c r="AB100" s="883"/>
      <c r="AC100" s="883"/>
      <c r="AD100" s="883"/>
      <c r="AE100" s="180"/>
      <c r="AF100" s="526"/>
      <c r="AG100" s="1415">
        <f>'PDYG-200'!$D$32</f>
        <v>0.23190745024205595</v>
      </c>
      <c r="AH100" s="1415">
        <f>'PDYG-200'!$E$32</f>
        <v>0.30353035303530351</v>
      </c>
      <c r="AI100" s="1415">
        <f>'PDYG-200'!$F$32</f>
        <v>0.46456219672264054</v>
      </c>
      <c r="AK100" s="526"/>
      <c r="AL100" s="526"/>
      <c r="AM100" s="526"/>
      <c r="AN100" s="526"/>
      <c r="AO100" s="526"/>
      <c r="AP100" s="526"/>
      <c r="AQ100" s="569"/>
    </row>
    <row r="101" spans="2:43">
      <c r="C101" s="889" t="s">
        <v>642</v>
      </c>
      <c r="D101" s="883">
        <f>MCDO800!$N101*D$152</f>
        <v>4573.3917435183694</v>
      </c>
      <c r="E101" s="883">
        <f>MCDO800!$N101*E$152</f>
        <v>4575.3004162241832</v>
      </c>
      <c r="F101" s="883">
        <f>MCDO800!$N101*F$152</f>
        <v>4488.8853207564525</v>
      </c>
      <c r="G101" s="883">
        <f>MCDO800!$N101*G$152</f>
        <v>4559.6169433066971</v>
      </c>
      <c r="H101" s="883">
        <f>MCDO800!$N101*H$152</f>
        <v>4362.0497889295248</v>
      </c>
      <c r="I101" s="883">
        <f>MCDO800!$N101*I$152</f>
        <v>4382.4897872647725</v>
      </c>
      <c r="J101" s="180">
        <f t="shared" si="32"/>
        <v>26941.734000000004</v>
      </c>
      <c r="K101" s="883">
        <f t="shared" si="45"/>
        <v>1060.6036181974157</v>
      </c>
      <c r="L101" s="883">
        <f t="shared" si="45"/>
        <v>1061.0462536179675</v>
      </c>
      <c r="M101" s="883">
        <f t="shared" si="45"/>
        <v>1041.0059491656223</v>
      </c>
      <c r="N101" s="883">
        <f t="shared" si="45"/>
        <v>1057.409139402733</v>
      </c>
      <c r="O101" s="883">
        <f t="shared" si="45"/>
        <v>1011.5918443795445</v>
      </c>
      <c r="P101" s="883">
        <f t="shared" si="45"/>
        <v>1016.3320322764235</v>
      </c>
      <c r="Q101" s="180">
        <f t="shared" si="33"/>
        <v>6247.9888370397066</v>
      </c>
      <c r="R101" s="883">
        <f t="shared" si="36"/>
        <v>3512.7881253209534</v>
      </c>
      <c r="S101" s="883">
        <f t="shared" si="36"/>
        <v>3514.2541626062157</v>
      </c>
      <c r="T101" s="883">
        <f t="shared" si="36"/>
        <v>3447.8793715908305</v>
      </c>
      <c r="U101" s="883">
        <f t="shared" si="36"/>
        <v>3502.2078039039643</v>
      </c>
      <c r="V101" s="883">
        <f t="shared" si="36"/>
        <v>3350.4579445499803</v>
      </c>
      <c r="W101" s="883">
        <f t="shared" si="36"/>
        <v>3366.1577549883491</v>
      </c>
      <c r="X101" s="180">
        <f t="shared" si="34"/>
        <v>20693.745162960291</v>
      </c>
      <c r="Y101" s="883"/>
      <c r="Z101" s="883"/>
      <c r="AA101" s="883"/>
      <c r="AB101" s="883"/>
      <c r="AC101" s="883"/>
      <c r="AD101" s="883"/>
      <c r="AE101" s="180"/>
      <c r="AF101" s="526"/>
      <c r="AG101" s="1415">
        <f>'PDYG-200'!$D$32</f>
        <v>0.23190745024205595</v>
      </c>
      <c r="AH101" s="1415">
        <f>'PDYG-200'!$E$32</f>
        <v>0.30353035303530351</v>
      </c>
      <c r="AI101" s="1415">
        <f>'PDYG-200'!$F$32</f>
        <v>0.46456219672264054</v>
      </c>
      <c r="AK101" s="526"/>
      <c r="AL101" s="526"/>
      <c r="AM101" s="526"/>
      <c r="AN101" s="526"/>
      <c r="AO101" s="526"/>
      <c r="AP101" s="526"/>
      <c r="AQ101" s="569"/>
    </row>
    <row r="102" spans="2:43">
      <c r="C102" s="889" t="s">
        <v>1177</v>
      </c>
      <c r="D102" s="883">
        <f>MCDO800!$N102*D$152</f>
        <v>0</v>
      </c>
      <c r="E102" s="883">
        <f>MCDO800!$N102*E$152</f>
        <v>0</v>
      </c>
      <c r="F102" s="883">
        <f>MCDO800!$N102*F$152</f>
        <v>0</v>
      </c>
      <c r="G102" s="883">
        <f>MCDO800!$N102*G$152</f>
        <v>0</v>
      </c>
      <c r="H102" s="883">
        <f>MCDO800!$N102*H$152</f>
        <v>0</v>
      </c>
      <c r="I102" s="883">
        <f>MCDO800!$N102*I$152</f>
        <v>0</v>
      </c>
      <c r="J102" s="180">
        <f t="shared" si="32"/>
        <v>0</v>
      </c>
      <c r="K102" s="883">
        <f t="shared" si="45"/>
        <v>0</v>
      </c>
      <c r="L102" s="883">
        <f t="shared" si="45"/>
        <v>0</v>
      </c>
      <c r="M102" s="883">
        <f t="shared" si="45"/>
        <v>0</v>
      </c>
      <c r="N102" s="883">
        <f t="shared" si="45"/>
        <v>0</v>
      </c>
      <c r="O102" s="883">
        <f t="shared" si="45"/>
        <v>0</v>
      </c>
      <c r="P102" s="883">
        <f t="shared" si="45"/>
        <v>0</v>
      </c>
      <c r="Q102" s="180">
        <f t="shared" si="33"/>
        <v>0</v>
      </c>
      <c r="R102" s="883">
        <f t="shared" si="36"/>
        <v>0</v>
      </c>
      <c r="S102" s="883">
        <f t="shared" si="36"/>
        <v>0</v>
      </c>
      <c r="T102" s="883">
        <f t="shared" si="36"/>
        <v>0</v>
      </c>
      <c r="U102" s="883">
        <f t="shared" si="36"/>
        <v>0</v>
      </c>
      <c r="V102" s="883">
        <f t="shared" si="36"/>
        <v>0</v>
      </c>
      <c r="W102" s="883">
        <f t="shared" si="36"/>
        <v>0</v>
      </c>
      <c r="X102" s="180">
        <f t="shared" si="34"/>
        <v>0</v>
      </c>
      <c r="Y102" s="883"/>
      <c r="Z102" s="883"/>
      <c r="AA102" s="883"/>
      <c r="AB102" s="883"/>
      <c r="AC102" s="883"/>
      <c r="AD102" s="883"/>
      <c r="AE102" s="180"/>
      <c r="AF102" s="526"/>
      <c r="AG102" s="1415">
        <f>'PDYG-200'!$D$32</f>
        <v>0.23190745024205595</v>
      </c>
      <c r="AH102" s="1415">
        <f>'PDYG-200'!$E$32</f>
        <v>0.30353035303530351</v>
      </c>
      <c r="AI102" s="1415">
        <f>'PDYG-200'!$F$32</f>
        <v>0.46456219672264054</v>
      </c>
      <c r="AK102" s="526"/>
      <c r="AL102" s="526"/>
      <c r="AM102" s="526"/>
      <c r="AN102" s="526"/>
      <c r="AO102" s="526"/>
      <c r="AP102" s="526"/>
      <c r="AQ102" s="569"/>
    </row>
    <row r="103" spans="2:43">
      <c r="C103" s="887" t="s">
        <v>305</v>
      </c>
      <c r="D103" s="883">
        <f>MCDO800!$N103*D$152</f>
        <v>0</v>
      </c>
      <c r="E103" s="883">
        <f>MCDO800!$N103*E$152</f>
        <v>0</v>
      </c>
      <c r="F103" s="883">
        <f>MCDO800!$N103*F$152</f>
        <v>0</v>
      </c>
      <c r="G103" s="883">
        <f>MCDO800!$N103*G$152</f>
        <v>0</v>
      </c>
      <c r="H103" s="883">
        <f>MCDO800!$N103*H$152</f>
        <v>0</v>
      </c>
      <c r="I103" s="883">
        <f>MCDO800!$N103*I$152</f>
        <v>0</v>
      </c>
      <c r="J103" s="180">
        <f t="shared" si="32"/>
        <v>0</v>
      </c>
      <c r="K103" s="883">
        <f t="shared" si="45"/>
        <v>0</v>
      </c>
      <c r="L103" s="883">
        <f t="shared" si="45"/>
        <v>0</v>
      </c>
      <c r="M103" s="883">
        <f t="shared" si="45"/>
        <v>0</v>
      </c>
      <c r="N103" s="883">
        <f t="shared" si="45"/>
        <v>0</v>
      </c>
      <c r="O103" s="883">
        <f t="shared" si="45"/>
        <v>0</v>
      </c>
      <c r="P103" s="883">
        <f t="shared" si="45"/>
        <v>0</v>
      </c>
      <c r="Q103" s="180">
        <f t="shared" si="33"/>
        <v>0</v>
      </c>
      <c r="R103" s="883">
        <f t="shared" si="36"/>
        <v>0</v>
      </c>
      <c r="S103" s="883">
        <f t="shared" si="36"/>
        <v>0</v>
      </c>
      <c r="T103" s="883">
        <f t="shared" si="36"/>
        <v>0</v>
      </c>
      <c r="U103" s="883">
        <f t="shared" si="36"/>
        <v>0</v>
      </c>
      <c r="V103" s="883">
        <f t="shared" si="36"/>
        <v>0</v>
      </c>
      <c r="W103" s="883">
        <f t="shared" si="36"/>
        <v>0</v>
      </c>
      <c r="X103" s="180">
        <f t="shared" si="34"/>
        <v>0</v>
      </c>
      <c r="Y103" s="883"/>
      <c r="Z103" s="883"/>
      <c r="AA103" s="883"/>
      <c r="AB103" s="883"/>
      <c r="AC103" s="883"/>
      <c r="AD103" s="883"/>
      <c r="AE103" s="180"/>
      <c r="AG103" s="1415">
        <f>'PDYG-200'!$D$32</f>
        <v>0.23190745024205595</v>
      </c>
      <c r="AH103" s="1415">
        <f>'PDYG-200'!$E$32</f>
        <v>0.30353035303530351</v>
      </c>
      <c r="AI103" s="1415">
        <f>'PDYG-200'!$F$32</f>
        <v>0.46456219672264054</v>
      </c>
    </row>
    <row r="104" spans="2:43">
      <c r="C104" s="887" t="s">
        <v>307</v>
      </c>
      <c r="D104" s="883">
        <f>MCDO800!$N104*D$152</f>
        <v>0</v>
      </c>
      <c r="E104" s="883">
        <f>MCDO800!$N104*E$152</f>
        <v>0</v>
      </c>
      <c r="F104" s="883">
        <f>MCDO800!$N104*F$152</f>
        <v>0</v>
      </c>
      <c r="G104" s="883">
        <f>MCDO800!$N104*G$152</f>
        <v>0</v>
      </c>
      <c r="H104" s="883">
        <f>MCDO800!$N104*H$152</f>
        <v>0</v>
      </c>
      <c r="I104" s="883">
        <f>MCDO800!$N104*I$152</f>
        <v>0</v>
      </c>
      <c r="J104" s="180">
        <f t="shared" si="32"/>
        <v>0</v>
      </c>
      <c r="K104" s="883">
        <f t="shared" si="45"/>
        <v>0</v>
      </c>
      <c r="L104" s="883">
        <f t="shared" si="45"/>
        <v>0</v>
      </c>
      <c r="M104" s="883">
        <f t="shared" si="45"/>
        <v>0</v>
      </c>
      <c r="N104" s="883">
        <f t="shared" si="45"/>
        <v>0</v>
      </c>
      <c r="O104" s="883">
        <f t="shared" si="45"/>
        <v>0</v>
      </c>
      <c r="P104" s="883">
        <f t="shared" si="45"/>
        <v>0</v>
      </c>
      <c r="Q104" s="180">
        <f t="shared" si="33"/>
        <v>0</v>
      </c>
      <c r="R104" s="883">
        <f t="shared" si="36"/>
        <v>0</v>
      </c>
      <c r="S104" s="883">
        <f t="shared" si="36"/>
        <v>0</v>
      </c>
      <c r="T104" s="883">
        <f t="shared" si="36"/>
        <v>0</v>
      </c>
      <c r="U104" s="883">
        <f t="shared" si="36"/>
        <v>0</v>
      </c>
      <c r="V104" s="883">
        <f t="shared" si="36"/>
        <v>0</v>
      </c>
      <c r="W104" s="883">
        <f t="shared" si="36"/>
        <v>0</v>
      </c>
      <c r="X104" s="180">
        <f t="shared" si="34"/>
        <v>0</v>
      </c>
      <c r="Y104" s="883"/>
      <c r="Z104" s="883"/>
      <c r="AA104" s="883"/>
      <c r="AB104" s="883"/>
      <c r="AC104" s="883"/>
      <c r="AD104" s="883"/>
      <c r="AE104" s="180"/>
      <c r="AG104" s="1415">
        <f>'PDYG-200'!$D$32</f>
        <v>0.23190745024205595</v>
      </c>
      <c r="AH104" s="1415">
        <f>'PDYG-200'!$E$32</f>
        <v>0.30353035303530351</v>
      </c>
      <c r="AI104" s="1415">
        <f>'PDYG-200'!$F$32</f>
        <v>0.46456219672264054</v>
      </c>
    </row>
    <row r="105" spans="2:43">
      <c r="C105" s="887" t="s">
        <v>624</v>
      </c>
      <c r="D105" s="883">
        <f>MCDO800!$N105*D$152</f>
        <v>0</v>
      </c>
      <c r="E105" s="883">
        <f>MCDO800!$N105*E$152</f>
        <v>0</v>
      </c>
      <c r="F105" s="883">
        <f>MCDO800!$N105*F$152</f>
        <v>0</v>
      </c>
      <c r="G105" s="883">
        <f>MCDO800!$N105*G$152</f>
        <v>0</v>
      </c>
      <c r="H105" s="883">
        <f>MCDO800!$N105*H$152</f>
        <v>0</v>
      </c>
      <c r="I105" s="883">
        <f>MCDO800!$N105*I$152</f>
        <v>0</v>
      </c>
      <c r="J105" s="180">
        <f t="shared" si="32"/>
        <v>0</v>
      </c>
      <c r="K105" s="883">
        <f t="shared" si="45"/>
        <v>0</v>
      </c>
      <c r="L105" s="883">
        <f t="shared" si="45"/>
        <v>0</v>
      </c>
      <c r="M105" s="883">
        <f t="shared" si="45"/>
        <v>0</v>
      </c>
      <c r="N105" s="883">
        <f t="shared" si="45"/>
        <v>0</v>
      </c>
      <c r="O105" s="883">
        <f t="shared" si="45"/>
        <v>0</v>
      </c>
      <c r="P105" s="883">
        <f t="shared" si="45"/>
        <v>0</v>
      </c>
      <c r="Q105" s="180">
        <f t="shared" si="33"/>
        <v>0</v>
      </c>
      <c r="R105" s="883">
        <f t="shared" si="36"/>
        <v>0</v>
      </c>
      <c r="S105" s="883">
        <f t="shared" si="36"/>
        <v>0</v>
      </c>
      <c r="T105" s="883">
        <f t="shared" si="36"/>
        <v>0</v>
      </c>
      <c r="U105" s="883">
        <f t="shared" si="36"/>
        <v>0</v>
      </c>
      <c r="V105" s="883">
        <f t="shared" si="36"/>
        <v>0</v>
      </c>
      <c r="W105" s="883">
        <f t="shared" si="36"/>
        <v>0</v>
      </c>
      <c r="X105" s="180">
        <f t="shared" si="34"/>
        <v>0</v>
      </c>
      <c r="Y105" s="883"/>
      <c r="Z105" s="883"/>
      <c r="AA105" s="883"/>
      <c r="AB105" s="883"/>
      <c r="AC105" s="883"/>
      <c r="AD105" s="883"/>
      <c r="AE105" s="180"/>
      <c r="AG105" s="1415">
        <f>'PDYG-200'!$D$32</f>
        <v>0.23190745024205595</v>
      </c>
      <c r="AH105" s="1415">
        <f>'PDYG-200'!$E$32</f>
        <v>0.30353035303530351</v>
      </c>
      <c r="AI105" s="1415">
        <f>'PDYG-200'!$F$32</f>
        <v>0.46456219672264054</v>
      </c>
    </row>
    <row r="106" spans="2:43">
      <c r="C106" s="884"/>
      <c r="D106" s="883"/>
      <c r="E106" s="883"/>
      <c r="F106" s="883"/>
      <c r="G106" s="883"/>
      <c r="H106" s="883"/>
      <c r="I106" s="883"/>
      <c r="J106" s="180">
        <f t="shared" si="32"/>
        <v>0</v>
      </c>
      <c r="K106" s="883"/>
      <c r="L106" s="883"/>
      <c r="M106" s="883"/>
      <c r="N106" s="883"/>
      <c r="O106" s="883"/>
      <c r="P106" s="883"/>
      <c r="Q106" s="180">
        <f t="shared" si="33"/>
        <v>0</v>
      </c>
      <c r="R106" s="883">
        <f t="shared" si="36"/>
        <v>0</v>
      </c>
      <c r="S106" s="883">
        <f t="shared" si="36"/>
        <v>0</v>
      </c>
      <c r="T106" s="883">
        <f t="shared" si="36"/>
        <v>0</v>
      </c>
      <c r="U106" s="883">
        <f t="shared" si="36"/>
        <v>0</v>
      </c>
      <c r="V106" s="883">
        <f t="shared" si="36"/>
        <v>0</v>
      </c>
      <c r="W106" s="883">
        <f t="shared" si="36"/>
        <v>0</v>
      </c>
      <c r="X106" s="180">
        <f t="shared" si="34"/>
        <v>0</v>
      </c>
      <c r="Y106" s="883"/>
      <c r="Z106" s="883"/>
      <c r="AA106" s="883"/>
      <c r="AB106" s="883"/>
      <c r="AC106" s="883"/>
      <c r="AD106" s="883"/>
      <c r="AE106" s="180"/>
      <c r="AG106" s="1412"/>
      <c r="AH106" s="1412"/>
      <c r="AI106" s="1412"/>
    </row>
    <row r="107" spans="2:43" s="52" customFormat="1">
      <c r="B107" s="37"/>
      <c r="C107" s="880" t="s">
        <v>322</v>
      </c>
      <c r="D107" s="881">
        <f>SUBTOTAL(9,D5:D106)</f>
        <v>283277659.15799999</v>
      </c>
      <c r="E107" s="881">
        <f t="shared" ref="E107:P107" si="46">SUBTOTAL(9,E5:E106)</f>
        <v>283395883.08599997</v>
      </c>
      <c r="F107" s="881">
        <f t="shared" si="46"/>
        <v>278043298.542</v>
      </c>
      <c r="G107" s="881">
        <f t="shared" si="46"/>
        <v>282424442.68799996</v>
      </c>
      <c r="H107" s="881">
        <f t="shared" si="46"/>
        <v>270187056.486</v>
      </c>
      <c r="I107" s="881">
        <f t="shared" si="46"/>
        <v>271453117.91399997</v>
      </c>
      <c r="J107" s="180">
        <f t="shared" si="32"/>
        <v>1668781457.8740001</v>
      </c>
      <c r="K107" s="881">
        <f t="shared" si="46"/>
        <v>77852887.180652529</v>
      </c>
      <c r="L107" s="881">
        <f t="shared" si="46"/>
        <v>77885378.532621473</v>
      </c>
      <c r="M107" s="881">
        <f t="shared" si="46"/>
        <v>76414333.615533575</v>
      </c>
      <c r="N107" s="881">
        <f t="shared" si="46"/>
        <v>77618398.63758488</v>
      </c>
      <c r="O107" s="881">
        <f t="shared" si="46"/>
        <v>74255211.26092346</v>
      </c>
      <c r="P107" s="881">
        <f t="shared" si="46"/>
        <v>74603161.529260308</v>
      </c>
      <c r="Q107" s="180">
        <f t="shared" si="33"/>
        <v>458629370.75657618</v>
      </c>
      <c r="R107" s="881">
        <f t="shared" si="36"/>
        <v>205424771.97734746</v>
      </c>
      <c r="S107" s="881">
        <f t="shared" si="36"/>
        <v>205510504.55337849</v>
      </c>
      <c r="T107" s="881">
        <f t="shared" si="36"/>
        <v>201628964.92646641</v>
      </c>
      <c r="U107" s="881">
        <f t="shared" si="36"/>
        <v>204806044.0504151</v>
      </c>
      <c r="V107" s="881">
        <f t="shared" si="36"/>
        <v>195931845.22507656</v>
      </c>
      <c r="W107" s="881">
        <f t="shared" si="36"/>
        <v>196849956.38473967</v>
      </c>
      <c r="X107" s="180">
        <f t="shared" si="34"/>
        <v>1210152087.1174238</v>
      </c>
      <c r="Y107" s="881"/>
      <c r="Z107" s="881"/>
      <c r="AA107" s="881"/>
      <c r="AB107" s="881"/>
      <c r="AC107" s="881"/>
      <c r="AD107" s="881"/>
      <c r="AE107" s="180"/>
      <c r="AG107" s="1412"/>
      <c r="AH107" s="1412"/>
      <c r="AI107" s="1412"/>
    </row>
    <row r="108" spans="2:43">
      <c r="C108" s="959" t="s">
        <v>87</v>
      </c>
      <c r="D108" s="883">
        <f>'AP602'!G43</f>
        <v>6366423</v>
      </c>
      <c r="E108" s="883">
        <f>'AP602'!H43</f>
        <v>6431729</v>
      </c>
      <c r="F108" s="883">
        <f>'AP602'!I43</f>
        <v>6497035</v>
      </c>
      <c r="G108" s="883">
        <f>'AP602'!J43</f>
        <v>6562341</v>
      </c>
      <c r="H108" s="883">
        <f>'AP602'!K43</f>
        <v>6627647</v>
      </c>
      <c r="I108" s="883">
        <f>'AP602'!L43</f>
        <v>6692953</v>
      </c>
      <c r="J108" s="180">
        <f t="shared" si="32"/>
        <v>39178128</v>
      </c>
      <c r="K108" s="883"/>
      <c r="L108" s="883"/>
      <c r="M108" s="883"/>
      <c r="N108" s="883"/>
      <c r="O108" s="883"/>
      <c r="P108" s="883"/>
      <c r="Q108" s="180">
        <f t="shared" si="33"/>
        <v>0</v>
      </c>
      <c r="R108" s="883">
        <f t="shared" si="36"/>
        <v>6366423</v>
      </c>
      <c r="S108" s="883">
        <f t="shared" si="36"/>
        <v>6431729</v>
      </c>
      <c r="T108" s="883">
        <f t="shared" si="36"/>
        <v>6497035</v>
      </c>
      <c r="U108" s="883">
        <f t="shared" si="36"/>
        <v>6562341</v>
      </c>
      <c r="V108" s="883">
        <f t="shared" si="36"/>
        <v>6627647</v>
      </c>
      <c r="W108" s="883">
        <f t="shared" si="36"/>
        <v>6692953</v>
      </c>
      <c r="X108" s="180">
        <f t="shared" si="34"/>
        <v>39178128</v>
      </c>
      <c r="Y108" s="883"/>
      <c r="Z108" s="883"/>
      <c r="AA108" s="883"/>
      <c r="AB108" s="883"/>
      <c r="AC108" s="883"/>
      <c r="AD108" s="883"/>
      <c r="AE108" s="180"/>
      <c r="AG108" s="1412"/>
      <c r="AH108" s="1412"/>
      <c r="AI108" s="1412"/>
    </row>
    <row r="109" spans="2:43" s="52" customFormat="1">
      <c r="B109" s="37"/>
      <c r="C109" s="880" t="s">
        <v>112</v>
      </c>
      <c r="D109" s="881">
        <f t="shared" ref="D109:I109" si="47">D107+D108</f>
        <v>289644082.15799999</v>
      </c>
      <c r="E109" s="881">
        <f t="shared" si="47"/>
        <v>289827612.08599997</v>
      </c>
      <c r="F109" s="881">
        <f t="shared" si="47"/>
        <v>284540333.542</v>
      </c>
      <c r="G109" s="881">
        <f t="shared" si="47"/>
        <v>288986783.68799996</v>
      </c>
      <c r="H109" s="881">
        <f t="shared" si="47"/>
        <v>276814703.486</v>
      </c>
      <c r="I109" s="881">
        <f t="shared" si="47"/>
        <v>278146070.91399997</v>
      </c>
      <c r="J109" s="180">
        <f t="shared" si="32"/>
        <v>1707959585.8740001</v>
      </c>
      <c r="K109" s="881">
        <f t="shared" ref="K109:P109" si="48">K107+K108</f>
        <v>77852887.180652529</v>
      </c>
      <c r="L109" s="881">
        <f t="shared" si="48"/>
        <v>77885378.532621473</v>
      </c>
      <c r="M109" s="881">
        <f t="shared" si="48"/>
        <v>76414333.615533575</v>
      </c>
      <c r="N109" s="881">
        <f t="shared" si="48"/>
        <v>77618398.63758488</v>
      </c>
      <c r="O109" s="881">
        <f t="shared" si="48"/>
        <v>74255211.26092346</v>
      </c>
      <c r="P109" s="881">
        <f t="shared" si="48"/>
        <v>74603161.529260308</v>
      </c>
      <c r="Q109" s="180">
        <f t="shared" si="33"/>
        <v>458629370.75657618</v>
      </c>
      <c r="R109" s="881">
        <f t="shared" si="36"/>
        <v>211791194.97734746</v>
      </c>
      <c r="S109" s="881">
        <f t="shared" si="36"/>
        <v>211942233.55337849</v>
      </c>
      <c r="T109" s="881">
        <f t="shared" si="36"/>
        <v>208125999.92646641</v>
      </c>
      <c r="U109" s="881">
        <f t="shared" si="36"/>
        <v>211368385.0504151</v>
      </c>
      <c r="V109" s="881">
        <f t="shared" si="36"/>
        <v>202559492.22507656</v>
      </c>
      <c r="W109" s="881">
        <f t="shared" si="36"/>
        <v>203542909.38473967</v>
      </c>
      <c r="X109" s="180">
        <f t="shared" si="34"/>
        <v>1249330215.1174238</v>
      </c>
      <c r="Y109" s="881"/>
      <c r="Z109" s="881"/>
      <c r="AA109" s="881"/>
      <c r="AB109" s="881"/>
      <c r="AC109" s="881"/>
      <c r="AD109" s="881"/>
      <c r="AE109" s="180"/>
      <c r="AG109" s="1412"/>
      <c r="AH109" s="1412"/>
      <c r="AI109" s="1412"/>
    </row>
    <row r="110" spans="2:43">
      <c r="C110" s="56"/>
      <c r="D110" s="588">
        <f>D109-K109-R109-Y109</f>
        <v>0</v>
      </c>
      <c r="E110" s="588">
        <f t="shared" ref="E110:J110" si="49">E109-L109-S109-Z109</f>
        <v>0</v>
      </c>
      <c r="F110" s="588">
        <f t="shared" si="49"/>
        <v>0</v>
      </c>
      <c r="G110" s="588">
        <f t="shared" si="49"/>
        <v>0</v>
      </c>
      <c r="H110" s="588">
        <f t="shared" si="49"/>
        <v>0</v>
      </c>
      <c r="I110" s="588">
        <f t="shared" si="49"/>
        <v>0</v>
      </c>
      <c r="J110" s="588">
        <f t="shared" si="49"/>
        <v>2.384185791015625E-7</v>
      </c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G110" s="1412"/>
      <c r="AH110" s="1412"/>
      <c r="AI110" s="1412"/>
    </row>
    <row r="111" spans="2:43">
      <c r="C111" s="56"/>
      <c r="D111" s="588"/>
      <c r="E111" s="588"/>
      <c r="F111" s="588"/>
      <c r="G111" s="588"/>
      <c r="H111" s="588"/>
      <c r="I111" s="588"/>
      <c r="J111" s="588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G111" s="1412"/>
      <c r="AH111" s="1412"/>
      <c r="AI111" s="1412"/>
    </row>
    <row r="112" spans="2:43" s="51" customFormat="1" ht="15.75">
      <c r="B112" s="37"/>
      <c r="C112" s="960"/>
      <c r="D112" s="961" t="s">
        <v>159</v>
      </c>
      <c r="E112" s="962"/>
      <c r="F112" s="962"/>
      <c r="G112" s="962"/>
      <c r="H112" s="962"/>
      <c r="I112" s="962"/>
      <c r="J112" s="967"/>
      <c r="K112" s="961" t="s">
        <v>1201</v>
      </c>
      <c r="L112" s="962" t="s">
        <v>1201</v>
      </c>
      <c r="M112" s="962" t="s">
        <v>1201</v>
      </c>
      <c r="N112" s="962" t="s">
        <v>1201</v>
      </c>
      <c r="O112" s="962" t="s">
        <v>1201</v>
      </c>
      <c r="P112" s="962" t="s">
        <v>1201</v>
      </c>
      <c r="Q112" s="967" t="s">
        <v>1201</v>
      </c>
      <c r="R112" s="961" t="s">
        <v>1202</v>
      </c>
      <c r="S112" s="962" t="s">
        <v>1202</v>
      </c>
      <c r="T112" s="962" t="s">
        <v>1202</v>
      </c>
      <c r="U112" s="962" t="s">
        <v>1202</v>
      </c>
      <c r="V112" s="962" t="s">
        <v>1202</v>
      </c>
      <c r="W112" s="962" t="s">
        <v>1202</v>
      </c>
      <c r="X112" s="967" t="s">
        <v>1202</v>
      </c>
      <c r="Y112" s="961"/>
      <c r="Z112" s="962"/>
      <c r="AA112" s="962"/>
      <c r="AB112" s="962"/>
      <c r="AC112" s="962"/>
      <c r="AD112" s="962"/>
      <c r="AE112" s="967"/>
      <c r="AG112" s="1415"/>
      <c r="AH112" s="1415"/>
      <c r="AI112" s="1415"/>
      <c r="AQ112" s="1166"/>
    </row>
    <row r="113" spans="1:35">
      <c r="C113" s="963" t="s">
        <v>1203</v>
      </c>
      <c r="D113" s="966">
        <f t="shared" ref="D113:I113" si="50">D4</f>
        <v>46204</v>
      </c>
      <c r="E113" s="966">
        <f t="shared" si="50"/>
        <v>46235</v>
      </c>
      <c r="F113" s="966">
        <f t="shared" si="50"/>
        <v>46266</v>
      </c>
      <c r="G113" s="966">
        <f t="shared" si="50"/>
        <v>46296</v>
      </c>
      <c r="H113" s="966">
        <f t="shared" si="50"/>
        <v>46327</v>
      </c>
      <c r="I113" s="966">
        <f t="shared" si="50"/>
        <v>46357</v>
      </c>
      <c r="J113" s="966" t="s">
        <v>111</v>
      </c>
      <c r="K113" s="966">
        <f t="shared" ref="K113:P113" si="51">K4</f>
        <v>46204</v>
      </c>
      <c r="L113" s="966">
        <f t="shared" si="51"/>
        <v>46235</v>
      </c>
      <c r="M113" s="966">
        <f t="shared" si="51"/>
        <v>46266</v>
      </c>
      <c r="N113" s="966">
        <f t="shared" si="51"/>
        <v>46296</v>
      </c>
      <c r="O113" s="966">
        <f t="shared" si="51"/>
        <v>46327</v>
      </c>
      <c r="P113" s="966">
        <f t="shared" si="51"/>
        <v>46357</v>
      </c>
      <c r="Q113" s="966" t="s">
        <v>111</v>
      </c>
      <c r="R113" s="966">
        <f t="shared" ref="R113:W113" si="52">R4</f>
        <v>46204</v>
      </c>
      <c r="S113" s="966">
        <f t="shared" si="52"/>
        <v>46235</v>
      </c>
      <c r="T113" s="966">
        <f t="shared" si="52"/>
        <v>46266</v>
      </c>
      <c r="U113" s="966">
        <f t="shared" si="52"/>
        <v>46296</v>
      </c>
      <c r="V113" s="966">
        <f t="shared" si="52"/>
        <v>46327</v>
      </c>
      <c r="W113" s="966">
        <f t="shared" si="52"/>
        <v>46357</v>
      </c>
      <c r="X113" s="966" t="s">
        <v>111</v>
      </c>
      <c r="Y113" s="966"/>
      <c r="Z113" s="966"/>
      <c r="AA113" s="966"/>
      <c r="AB113" s="966"/>
      <c r="AC113" s="966"/>
      <c r="AD113" s="966"/>
      <c r="AE113" s="966"/>
      <c r="AG113" s="1415"/>
      <c r="AH113" s="1415"/>
      <c r="AI113" s="1415"/>
    </row>
    <row r="114" spans="1:35" ht="15.75">
      <c r="A114" s="57"/>
      <c r="C114" s="965" t="s">
        <v>446</v>
      </c>
      <c r="D114" s="881">
        <f t="shared" ref="D114:I114" si="53">SUBTOTAL(9,D115:D121)</f>
        <v>17268332.541759007</v>
      </c>
      <c r="E114" s="881">
        <f t="shared" si="53"/>
        <v>16229949.018786004</v>
      </c>
      <c r="F114" s="881">
        <f t="shared" si="53"/>
        <v>16485745.008673802</v>
      </c>
      <c r="G114" s="881">
        <f t="shared" si="53"/>
        <v>18803315.771971203</v>
      </c>
      <c r="H114" s="881">
        <f t="shared" si="53"/>
        <v>15389811.806873403</v>
      </c>
      <c r="I114" s="881">
        <f t="shared" si="53"/>
        <v>17783802.858857226</v>
      </c>
      <c r="J114" s="180">
        <f>SUM(D114:I114)</f>
        <v>101960957.00692065</v>
      </c>
      <c r="K114" s="881">
        <f t="shared" ref="K114:P114" si="54">SUBTOTAL(9,K115:K121)</f>
        <v>8759395.8652832061</v>
      </c>
      <c r="L114" s="881">
        <f t="shared" si="54"/>
        <v>8251471.5551543375</v>
      </c>
      <c r="M114" s="881">
        <f t="shared" si="54"/>
        <v>8128329.8495596275</v>
      </c>
      <c r="N114" s="881">
        <f t="shared" si="54"/>
        <v>9378084.7584673688</v>
      </c>
      <c r="O114" s="881">
        <f t="shared" si="54"/>
        <v>6997743.8668513177</v>
      </c>
      <c r="P114" s="881">
        <f t="shared" si="54"/>
        <v>8615168.276978828</v>
      </c>
      <c r="Q114" s="180">
        <f>SUM(K114:P114)</f>
        <v>50130194.172294684</v>
      </c>
      <c r="R114" s="881">
        <f t="shared" ref="R114:W146" si="55">D114-K114</f>
        <v>8508936.6764758006</v>
      </c>
      <c r="S114" s="881">
        <f t="shared" si="55"/>
        <v>7978477.4636316663</v>
      </c>
      <c r="T114" s="881">
        <f t="shared" si="55"/>
        <v>8357415.1591141745</v>
      </c>
      <c r="U114" s="881">
        <f t="shared" si="55"/>
        <v>9425231.0135038346</v>
      </c>
      <c r="V114" s="881">
        <f t="shared" si="55"/>
        <v>8392067.9400220849</v>
      </c>
      <c r="W114" s="881">
        <f t="shared" si="55"/>
        <v>9168634.5818783976</v>
      </c>
      <c r="X114" s="180">
        <f>SUM(R114:W114)</f>
        <v>51830762.834625959</v>
      </c>
      <c r="Y114" s="881"/>
      <c r="Z114" s="881"/>
      <c r="AA114" s="881"/>
      <c r="AB114" s="881"/>
      <c r="AC114" s="881"/>
      <c r="AD114" s="881"/>
      <c r="AE114" s="180"/>
      <c r="AG114" s="1415">
        <f>'PDYG-200'!$D$29</f>
        <v>0.23334667728120814</v>
      </c>
      <c r="AH114" s="1415">
        <f>'PDYG-200'!$E$29</f>
        <v>0.29057094290570945</v>
      </c>
      <c r="AI114" s="1415">
        <f>'PDYG-200'!$F$29</f>
        <v>0.47608237981308243</v>
      </c>
    </row>
    <row r="115" spans="1:35">
      <c r="A115" s="57"/>
      <c r="B115" s="48" t="s">
        <v>870</v>
      </c>
      <c r="C115" s="882" t="s">
        <v>279</v>
      </c>
      <c r="D115" s="881">
        <f t="shared" ref="D115:P115" si="56">SUBTOTAL(9,D116)</f>
        <v>9985222.8816570006</v>
      </c>
      <c r="E115" s="881">
        <f t="shared" si="56"/>
        <v>9038392.9902179986</v>
      </c>
      <c r="F115" s="881">
        <f t="shared" si="56"/>
        <v>9135751.0046777986</v>
      </c>
      <c r="G115" s="881">
        <f t="shared" si="56"/>
        <v>10475366.075753398</v>
      </c>
      <c r="H115" s="881">
        <f t="shared" si="56"/>
        <v>7277709.1957289996</v>
      </c>
      <c r="I115" s="881">
        <f t="shared" si="56"/>
        <v>9384385.2113825995</v>
      </c>
      <c r="J115" s="180">
        <f t="shared" ref="J115:J146" si="57">SUM(D115:I115)</f>
        <v>55296827.359417796</v>
      </c>
      <c r="K115" s="881">
        <f t="shared" si="56"/>
        <v>7600061.8154664002</v>
      </c>
      <c r="L115" s="881">
        <f t="shared" si="56"/>
        <v>7114403.3485265998</v>
      </c>
      <c r="M115" s="881">
        <f t="shared" si="56"/>
        <v>6952729.5273078</v>
      </c>
      <c r="N115" s="881">
        <f t="shared" si="56"/>
        <v>7964645.6118671997</v>
      </c>
      <c r="O115" s="881">
        <f t="shared" si="56"/>
        <v>5636798.7313409997</v>
      </c>
      <c r="P115" s="881">
        <f t="shared" si="56"/>
        <v>7184348.1246330002</v>
      </c>
      <c r="Q115" s="180">
        <f t="shared" ref="Q115:Q146" si="58">SUM(K115:P115)</f>
        <v>42452987.159142002</v>
      </c>
      <c r="R115" s="881">
        <f t="shared" si="55"/>
        <v>2385161.0661906004</v>
      </c>
      <c r="S115" s="881">
        <f t="shared" si="55"/>
        <v>1923989.6416913988</v>
      </c>
      <c r="T115" s="881">
        <f t="shared" si="55"/>
        <v>2183021.4773699986</v>
      </c>
      <c r="U115" s="881">
        <f t="shared" si="55"/>
        <v>2510720.4638861986</v>
      </c>
      <c r="V115" s="881">
        <f t="shared" si="55"/>
        <v>1640910.4643879998</v>
      </c>
      <c r="W115" s="881">
        <f t="shared" si="55"/>
        <v>2200037.0867495993</v>
      </c>
      <c r="X115" s="180">
        <f t="shared" ref="X115:X146" si="59">SUM(R115:W115)</f>
        <v>12843840.200275797</v>
      </c>
      <c r="Y115" s="881"/>
      <c r="Z115" s="881"/>
      <c r="AA115" s="881"/>
      <c r="AB115" s="881"/>
      <c r="AC115" s="881"/>
      <c r="AD115" s="881"/>
      <c r="AE115" s="180"/>
      <c r="AG115" s="1415">
        <f>'PDYG-200'!$D$29</f>
        <v>0.23334667728120814</v>
      </c>
      <c r="AH115" s="1415">
        <f>'PDYG-200'!$E$29</f>
        <v>0.29057094290570945</v>
      </c>
      <c r="AI115" s="1415">
        <f>'PDYG-200'!$F$29</f>
        <v>0.47608237981308243</v>
      </c>
    </row>
    <row r="116" spans="1:35">
      <c r="A116" s="57"/>
      <c r="B116" s="48"/>
      <c r="C116" s="887" t="s">
        <v>971</v>
      </c>
      <c r="D116" s="883">
        <f>F821EVE!D116*$D$154</f>
        <v>9985222.8816570006</v>
      </c>
      <c r="E116" s="883">
        <f>F821EVE!E116*$D$154</f>
        <v>9038392.9902179986</v>
      </c>
      <c r="F116" s="883">
        <f>F821EVE!F116*$D$154</f>
        <v>9135751.0046777986</v>
      </c>
      <c r="G116" s="883">
        <f>F821EVE!G116*$D$154</f>
        <v>10475366.075753398</v>
      </c>
      <c r="H116" s="883">
        <f>F821EVE!H116*$D$154</f>
        <v>7277709.1957289996</v>
      </c>
      <c r="I116" s="883">
        <f>F821EVE!I116*$D$154</f>
        <v>9384385.2113825995</v>
      </c>
      <c r="J116" s="180">
        <f t="shared" si="57"/>
        <v>55296827.359417796</v>
      </c>
      <c r="K116" s="883">
        <f>F821EVE!K116*$D$154</f>
        <v>7600061.8154664002</v>
      </c>
      <c r="L116" s="883">
        <f>F821EVE!L116*$D$154</f>
        <v>7114403.3485265998</v>
      </c>
      <c r="M116" s="883">
        <f>F821EVE!M116*$D$154</f>
        <v>6952729.5273078</v>
      </c>
      <c r="N116" s="883">
        <f>F821EVE!N116*$D$154</f>
        <v>7964645.6118671997</v>
      </c>
      <c r="O116" s="883">
        <f>F821EVE!O116*$D$154</f>
        <v>5636798.7313409997</v>
      </c>
      <c r="P116" s="883">
        <f>F821EVE!P116*$D$154</f>
        <v>7184348.1246330002</v>
      </c>
      <c r="Q116" s="180">
        <f t="shared" si="58"/>
        <v>42452987.159142002</v>
      </c>
      <c r="R116" s="883">
        <f t="shared" si="55"/>
        <v>2385161.0661906004</v>
      </c>
      <c r="S116" s="883">
        <f t="shared" si="55"/>
        <v>1923989.6416913988</v>
      </c>
      <c r="T116" s="883">
        <f t="shared" si="55"/>
        <v>2183021.4773699986</v>
      </c>
      <c r="U116" s="883">
        <f t="shared" si="55"/>
        <v>2510720.4638861986</v>
      </c>
      <c r="V116" s="883">
        <f t="shared" si="55"/>
        <v>1640910.4643879998</v>
      </c>
      <c r="W116" s="883">
        <f t="shared" si="55"/>
        <v>2200037.0867495993</v>
      </c>
      <c r="X116" s="180">
        <f t="shared" si="59"/>
        <v>12843840.200275797</v>
      </c>
      <c r="Y116" s="883"/>
      <c r="Z116" s="883"/>
      <c r="AA116" s="883"/>
      <c r="AB116" s="883"/>
      <c r="AC116" s="883"/>
      <c r="AD116" s="883"/>
      <c r="AE116" s="180"/>
      <c r="AG116" s="1415">
        <f>'PDYG-200'!$D$29</f>
        <v>0.23334667728120814</v>
      </c>
      <c r="AH116" s="1415">
        <f>'PDYG-200'!$E$29</f>
        <v>0.29057094290570945</v>
      </c>
      <c r="AI116" s="1415">
        <f>'PDYG-200'!$F$29</f>
        <v>0.47608237981308243</v>
      </c>
    </row>
    <row r="117" spans="1:35">
      <c r="A117" s="57"/>
      <c r="B117" s="48" t="s">
        <v>871</v>
      </c>
      <c r="C117" s="882" t="s">
        <v>278</v>
      </c>
      <c r="D117" s="881">
        <f t="shared" ref="D117:I117" si="60">SUBTOTAL(9,D118:D119)</f>
        <v>4766998.5601019999</v>
      </c>
      <c r="E117" s="881">
        <f t="shared" si="60"/>
        <v>4675444.928568</v>
      </c>
      <c r="F117" s="881">
        <f t="shared" si="60"/>
        <v>4833882.9039959991</v>
      </c>
      <c r="G117" s="881">
        <f t="shared" si="60"/>
        <v>5811838.5962177999</v>
      </c>
      <c r="H117" s="881">
        <f t="shared" si="60"/>
        <v>5595991.5111443987</v>
      </c>
      <c r="I117" s="881">
        <f t="shared" si="60"/>
        <v>5883306.5474746209</v>
      </c>
      <c r="J117" s="180">
        <f t="shared" si="57"/>
        <v>31567463.047502816</v>
      </c>
      <c r="K117" s="881">
        <f t="shared" ref="K117:P117" si="61">SUBTOTAL(9,K118:K119)</f>
        <v>1159334.0498168063</v>
      </c>
      <c r="L117" s="881">
        <f t="shared" si="61"/>
        <v>1137068.2066277375</v>
      </c>
      <c r="M117" s="881">
        <f t="shared" si="61"/>
        <v>1175600.322251827</v>
      </c>
      <c r="N117" s="881">
        <f t="shared" si="61"/>
        <v>1413439.1466001689</v>
      </c>
      <c r="O117" s="881">
        <f t="shared" si="61"/>
        <v>1360945.135510318</v>
      </c>
      <c r="P117" s="881">
        <f t="shared" si="61"/>
        <v>1430820.1523458278</v>
      </c>
      <c r="Q117" s="180">
        <f t="shared" si="58"/>
        <v>7677207.013152685</v>
      </c>
      <c r="R117" s="881">
        <f t="shared" si="55"/>
        <v>3607664.5102851936</v>
      </c>
      <c r="S117" s="881">
        <f t="shared" si="55"/>
        <v>3538376.7219402622</v>
      </c>
      <c r="T117" s="881">
        <f t="shared" si="55"/>
        <v>3658282.5817441721</v>
      </c>
      <c r="U117" s="881">
        <f t="shared" si="55"/>
        <v>4398399.4496176308</v>
      </c>
      <c r="V117" s="881">
        <f t="shared" si="55"/>
        <v>4235046.3756340807</v>
      </c>
      <c r="W117" s="881">
        <f t="shared" si="55"/>
        <v>4452486.3951287931</v>
      </c>
      <c r="X117" s="180">
        <f t="shared" si="59"/>
        <v>23890256.034350134</v>
      </c>
      <c r="Y117" s="881"/>
      <c r="Z117" s="881"/>
      <c r="AA117" s="881"/>
      <c r="AB117" s="881"/>
      <c r="AC117" s="881"/>
      <c r="AD117" s="881"/>
      <c r="AE117" s="180"/>
      <c r="AG117" s="1415">
        <f>'PDYG-200'!$D$29</f>
        <v>0.23334667728120814</v>
      </c>
      <c r="AH117" s="1415">
        <f>'PDYG-200'!$E$29</f>
        <v>0.29057094290570945</v>
      </c>
      <c r="AI117" s="1415">
        <f>'PDYG-200'!$F$29</f>
        <v>0.47608237981308243</v>
      </c>
    </row>
    <row r="118" spans="1:35">
      <c r="A118" s="57"/>
      <c r="B118" s="48"/>
      <c r="C118" s="887" t="s">
        <v>969</v>
      </c>
      <c r="D118" s="883">
        <f>F821EVE!D118*$D$154</f>
        <v>0</v>
      </c>
      <c r="E118" s="883">
        <f>F821EVE!E118*$D$154</f>
        <v>0</v>
      </c>
      <c r="F118" s="883">
        <f>F821EVE!F118*$D$154</f>
        <v>0</v>
      </c>
      <c r="G118" s="883">
        <f>F821EVE!G118*$D$154</f>
        <v>0</v>
      </c>
      <c r="H118" s="883">
        <f>F821EVE!H118*$D$154</f>
        <v>0</v>
      </c>
      <c r="I118" s="883">
        <f>F821EVE!I118*$D$154</f>
        <v>0</v>
      </c>
      <c r="J118" s="180">
        <f>SUM(D118:I118)</f>
        <v>0</v>
      </c>
      <c r="K118" s="883">
        <f>F821EVE!K118*$D$154</f>
        <v>0</v>
      </c>
      <c r="L118" s="883">
        <f>F821EVE!L118*$D$154</f>
        <v>0</v>
      </c>
      <c r="M118" s="883">
        <f>F821EVE!M118*$D$154</f>
        <v>0</v>
      </c>
      <c r="N118" s="883">
        <f>F821EVE!N118*$D$154</f>
        <v>0</v>
      </c>
      <c r="O118" s="883">
        <f>F821EVE!O118*$D$154</f>
        <v>0</v>
      </c>
      <c r="P118" s="883">
        <f>F821EVE!P118*$D$154</f>
        <v>0</v>
      </c>
      <c r="Q118" s="180">
        <f t="shared" si="58"/>
        <v>0</v>
      </c>
      <c r="R118" s="883">
        <f t="shared" si="55"/>
        <v>0</v>
      </c>
      <c r="S118" s="883">
        <f t="shared" si="55"/>
        <v>0</v>
      </c>
      <c r="T118" s="883">
        <f t="shared" si="55"/>
        <v>0</v>
      </c>
      <c r="U118" s="883">
        <f t="shared" si="55"/>
        <v>0</v>
      </c>
      <c r="V118" s="883">
        <f t="shared" si="55"/>
        <v>0</v>
      </c>
      <c r="W118" s="883">
        <f t="shared" si="55"/>
        <v>0</v>
      </c>
      <c r="X118" s="180">
        <f t="shared" si="59"/>
        <v>0</v>
      </c>
      <c r="Y118" s="883"/>
      <c r="Z118" s="883"/>
      <c r="AA118" s="883"/>
      <c r="AB118" s="883"/>
      <c r="AC118" s="883"/>
      <c r="AD118" s="883"/>
      <c r="AE118" s="180"/>
      <c r="AG118" s="1415">
        <f>'PDYG-200'!$D$29</f>
        <v>0.23334667728120814</v>
      </c>
      <c r="AH118" s="1415">
        <f>'PDYG-200'!$E$29</f>
        <v>0.29057094290570945</v>
      </c>
      <c r="AI118" s="1415">
        <f>'PDYG-200'!$F$29</f>
        <v>0.47608237981308243</v>
      </c>
    </row>
    <row r="119" spans="1:35">
      <c r="A119" s="57"/>
      <c r="B119" s="48"/>
      <c r="C119" s="887" t="s">
        <v>970</v>
      </c>
      <c r="D119" s="883">
        <f>F821EVE!D119*$D$154</f>
        <v>4766998.5601019999</v>
      </c>
      <c r="E119" s="883">
        <f>F821EVE!E119*$D$154</f>
        <v>4675444.928568</v>
      </c>
      <c r="F119" s="883">
        <f>F821EVE!F119*$D$154</f>
        <v>4833882.9039959991</v>
      </c>
      <c r="G119" s="883">
        <f>F821EVE!G119*$D$154</f>
        <v>5811838.5962177999</v>
      </c>
      <c r="H119" s="883">
        <f>F821EVE!H119*$D$154</f>
        <v>5595991.5111443987</v>
      </c>
      <c r="I119" s="883">
        <f>F821EVE!I119*$D$154</f>
        <v>5883306.5474746209</v>
      </c>
      <c r="J119" s="180">
        <f t="shared" si="57"/>
        <v>31567463.047502816</v>
      </c>
      <c r="K119" s="883">
        <f>F821EVE!K119*$D$154</f>
        <v>1159334.0498168063</v>
      </c>
      <c r="L119" s="883">
        <f>F821EVE!L119*$D$154</f>
        <v>1137068.2066277375</v>
      </c>
      <c r="M119" s="883">
        <f>F821EVE!M119*$D$154</f>
        <v>1175600.322251827</v>
      </c>
      <c r="N119" s="883">
        <f>F821EVE!N119*$D$154</f>
        <v>1413439.1466001689</v>
      </c>
      <c r="O119" s="883">
        <f>F821EVE!O119*$D$154</f>
        <v>1360945.135510318</v>
      </c>
      <c r="P119" s="883">
        <f>F821EVE!P119*$D$154</f>
        <v>1430820.1523458278</v>
      </c>
      <c r="Q119" s="180">
        <f t="shared" si="58"/>
        <v>7677207.013152685</v>
      </c>
      <c r="R119" s="883">
        <f t="shared" si="55"/>
        <v>3607664.5102851936</v>
      </c>
      <c r="S119" s="883">
        <f t="shared" si="55"/>
        <v>3538376.7219402622</v>
      </c>
      <c r="T119" s="883">
        <f t="shared" si="55"/>
        <v>3658282.5817441721</v>
      </c>
      <c r="U119" s="883">
        <f t="shared" si="55"/>
        <v>4398399.4496176308</v>
      </c>
      <c r="V119" s="883">
        <f t="shared" si="55"/>
        <v>4235046.3756340807</v>
      </c>
      <c r="W119" s="883">
        <f t="shared" si="55"/>
        <v>4452486.3951287931</v>
      </c>
      <c r="X119" s="180">
        <f t="shared" si="59"/>
        <v>23890256.034350134</v>
      </c>
      <c r="Y119" s="883"/>
      <c r="Z119" s="883"/>
      <c r="AA119" s="883"/>
      <c r="AB119" s="883"/>
      <c r="AC119" s="883"/>
      <c r="AD119" s="883"/>
      <c r="AE119" s="180"/>
      <c r="AG119" s="1415">
        <f>'PDYG-200'!$D$29</f>
        <v>0.23334667728120814</v>
      </c>
      <c r="AH119" s="1415">
        <f>'PDYG-200'!$E$29</f>
        <v>0.29057094290570945</v>
      </c>
      <c r="AI119" s="1415">
        <f>'PDYG-200'!$F$29</f>
        <v>0.47608237981308243</v>
      </c>
    </row>
    <row r="120" spans="1:35">
      <c r="A120" s="57"/>
      <c r="B120" s="48" t="s">
        <v>893</v>
      </c>
      <c r="C120" s="887" t="s">
        <v>1482</v>
      </c>
      <c r="D120" s="1956">
        <f t="shared" ref="D120:G120" si="62">E120</f>
        <v>2516111.1000000047</v>
      </c>
      <c r="E120" s="1956">
        <f t="shared" si="62"/>
        <v>2516111.1000000047</v>
      </c>
      <c r="F120" s="1956">
        <f t="shared" si="62"/>
        <v>2516111.1000000047</v>
      </c>
      <c r="G120" s="1956">
        <f t="shared" si="62"/>
        <v>2516111.1000000047</v>
      </c>
      <c r="H120" s="1956">
        <f>I120</f>
        <v>2516111.1000000047</v>
      </c>
      <c r="I120" s="881">
        <f>F821EVE!I120*$D$154</f>
        <v>2516111.1000000047</v>
      </c>
      <c r="J120" s="180">
        <f t="shared" si="57"/>
        <v>15096666.600000029</v>
      </c>
      <c r="K120" s="883">
        <f>F821EVE!K120*$D$154</f>
        <v>0</v>
      </c>
      <c r="L120" s="883">
        <f>F821EVE!L120*$D$154</f>
        <v>0</v>
      </c>
      <c r="M120" s="883">
        <f>F821EVE!M120*$D$154</f>
        <v>0</v>
      </c>
      <c r="N120" s="883">
        <f>F821EVE!N120*$D$154</f>
        <v>0</v>
      </c>
      <c r="O120" s="883">
        <f>F821EVE!O120*$D$154</f>
        <v>0</v>
      </c>
      <c r="P120" s="883">
        <f>F821EVE!P120*$D$154</f>
        <v>0</v>
      </c>
      <c r="Q120" s="180">
        <f t="shared" si="58"/>
        <v>0</v>
      </c>
      <c r="R120" s="881">
        <f t="shared" si="55"/>
        <v>2516111.1000000047</v>
      </c>
      <c r="S120" s="881">
        <f t="shared" si="55"/>
        <v>2516111.1000000047</v>
      </c>
      <c r="T120" s="881">
        <f t="shared" si="55"/>
        <v>2516111.1000000047</v>
      </c>
      <c r="U120" s="881">
        <f t="shared" si="55"/>
        <v>2516111.1000000047</v>
      </c>
      <c r="V120" s="881">
        <f t="shared" si="55"/>
        <v>2516111.1000000047</v>
      </c>
      <c r="W120" s="881">
        <f t="shared" si="55"/>
        <v>2516111.1000000047</v>
      </c>
      <c r="X120" s="180">
        <f t="shared" si="59"/>
        <v>15096666.600000029</v>
      </c>
      <c r="Y120" s="881"/>
      <c r="Z120" s="881"/>
      <c r="AA120" s="881"/>
      <c r="AB120" s="881"/>
      <c r="AC120" s="881"/>
      <c r="AD120" s="881"/>
      <c r="AE120" s="180"/>
      <c r="AG120" s="1415">
        <f>'PDYG-200'!$D$29</f>
        <v>0.23334667728120814</v>
      </c>
      <c r="AH120" s="1415">
        <f>'PDYG-200'!$E$29</f>
        <v>0.29057094290570945</v>
      </c>
      <c r="AI120" s="1415">
        <f>'PDYG-200'!$F$29</f>
        <v>0.47608237981308243</v>
      </c>
    </row>
    <row r="121" spans="1:35">
      <c r="A121" s="57"/>
      <c r="B121" s="48"/>
      <c r="C121" s="887"/>
      <c r="D121" s="881"/>
      <c r="E121" s="881"/>
      <c r="F121" s="881"/>
      <c r="G121" s="881"/>
      <c r="H121" s="881"/>
      <c r="I121" s="881"/>
      <c r="J121" s="180">
        <f t="shared" si="57"/>
        <v>0</v>
      </c>
      <c r="K121" s="881"/>
      <c r="L121" s="881"/>
      <c r="M121" s="881"/>
      <c r="N121" s="881"/>
      <c r="O121" s="881"/>
      <c r="P121" s="881"/>
      <c r="Q121" s="180">
        <f t="shared" si="58"/>
        <v>0</v>
      </c>
      <c r="R121" s="881">
        <f t="shared" si="55"/>
        <v>0</v>
      </c>
      <c r="S121" s="881">
        <f t="shared" si="55"/>
        <v>0</v>
      </c>
      <c r="T121" s="881">
        <f t="shared" si="55"/>
        <v>0</v>
      </c>
      <c r="U121" s="881">
        <f t="shared" si="55"/>
        <v>0</v>
      </c>
      <c r="V121" s="881">
        <f t="shared" si="55"/>
        <v>0</v>
      </c>
      <c r="W121" s="881">
        <f t="shared" si="55"/>
        <v>0</v>
      </c>
      <c r="X121" s="180">
        <f t="shared" si="59"/>
        <v>0</v>
      </c>
      <c r="Y121" s="881"/>
      <c r="Z121" s="881"/>
      <c r="AA121" s="881"/>
      <c r="AB121" s="881"/>
      <c r="AC121" s="881"/>
      <c r="AD121" s="881"/>
      <c r="AE121" s="180"/>
      <c r="AG121" s="1415"/>
      <c r="AH121" s="1415"/>
      <c r="AI121" s="1415"/>
    </row>
    <row r="122" spans="1:35" ht="15.75">
      <c r="A122" s="57"/>
      <c r="B122" s="48"/>
      <c r="C122" s="965" t="s">
        <v>630</v>
      </c>
      <c r="D122" s="881">
        <f t="shared" ref="D122:I122" si="63">SUBTOTAL(9,D123:D134)</f>
        <v>54268145.567596003</v>
      </c>
      <c r="E122" s="881">
        <f t="shared" si="63"/>
        <v>53923401.321818672</v>
      </c>
      <c r="F122" s="881">
        <f t="shared" si="63"/>
        <v>52404733.497893043</v>
      </c>
      <c r="G122" s="881">
        <f t="shared" si="63"/>
        <v>54842648.580462612</v>
      </c>
      <c r="H122" s="881">
        <f t="shared" si="63"/>
        <v>50738140.159808397</v>
      </c>
      <c r="I122" s="881">
        <f t="shared" si="63"/>
        <v>53604178.67031353</v>
      </c>
      <c r="J122" s="180">
        <f t="shared" si="57"/>
        <v>319781247.79789221</v>
      </c>
      <c r="K122" s="881">
        <f t="shared" ref="K122:P122" si="64">SUBTOTAL(9,K123:K134)</f>
        <v>17551783.841056406</v>
      </c>
      <c r="L122" s="881">
        <f t="shared" si="64"/>
        <v>17165606.774785131</v>
      </c>
      <c r="M122" s="881">
        <f t="shared" si="64"/>
        <v>16910342.313587021</v>
      </c>
      <c r="N122" s="881">
        <f t="shared" si="64"/>
        <v>17711778.309616439</v>
      </c>
      <c r="O122" s="881">
        <f t="shared" si="64"/>
        <v>16027507.555215904</v>
      </c>
      <c r="P122" s="881">
        <f t="shared" si="64"/>
        <v>17068760.079033002</v>
      </c>
      <c r="Q122" s="180">
        <f t="shared" si="58"/>
        <v>102435778.87329391</v>
      </c>
      <c r="R122" s="881">
        <f t="shared" si="55"/>
        <v>36716361.726539597</v>
      </c>
      <c r="S122" s="881">
        <f t="shared" si="55"/>
        <v>36757794.547033541</v>
      </c>
      <c r="T122" s="881">
        <f t="shared" si="55"/>
        <v>35494391.184306026</v>
      </c>
      <c r="U122" s="881">
        <f t="shared" si="55"/>
        <v>37130870.270846173</v>
      </c>
      <c r="V122" s="881">
        <f t="shared" si="55"/>
        <v>34710632.604592495</v>
      </c>
      <c r="W122" s="881">
        <f t="shared" si="55"/>
        <v>36535418.591280527</v>
      </c>
      <c r="X122" s="180">
        <f t="shared" si="59"/>
        <v>217345468.92459834</v>
      </c>
      <c r="Y122" s="881"/>
      <c r="Z122" s="881"/>
      <c r="AA122" s="881"/>
      <c r="AB122" s="881"/>
      <c r="AC122" s="881"/>
      <c r="AD122" s="881"/>
      <c r="AE122" s="180"/>
      <c r="AG122" s="1415">
        <f>'PDYG-200'!$D$30</f>
        <v>0.31269606137313216</v>
      </c>
      <c r="AH122" s="1415">
        <f>'PDYG-200'!$E$30</f>
        <v>0.26899999999999996</v>
      </c>
      <c r="AI122" s="1415">
        <f>'PDYG-200'!$F$30</f>
        <v>0.41830393862686788</v>
      </c>
    </row>
    <row r="123" spans="1:35">
      <c r="A123" s="57"/>
      <c r="B123" s="48" t="s">
        <v>872</v>
      </c>
      <c r="C123" s="882" t="s">
        <v>277</v>
      </c>
      <c r="D123" s="881">
        <f t="shared" ref="D123:I123" si="65">SUBTOTAL(9,D124:D127)</f>
        <v>10452886.655632198</v>
      </c>
      <c r="E123" s="881">
        <f t="shared" si="65"/>
        <v>10551067.190694001</v>
      </c>
      <c r="F123" s="881">
        <f t="shared" si="65"/>
        <v>10263728.703051001</v>
      </c>
      <c r="G123" s="881">
        <f t="shared" si="65"/>
        <v>11000798.169669</v>
      </c>
      <c r="H123" s="881">
        <f t="shared" si="65"/>
        <v>10314863.666334001</v>
      </c>
      <c r="I123" s="881">
        <f t="shared" si="65"/>
        <v>10259291.598987423</v>
      </c>
      <c r="J123" s="180">
        <f t="shared" si="57"/>
        <v>62842635.984367624</v>
      </c>
      <c r="K123" s="881">
        <f t="shared" ref="K123:P123" si="66">SUBTOTAL(9,K124:K127)</f>
        <v>3272390.9616474002</v>
      </c>
      <c r="L123" s="881">
        <f t="shared" si="66"/>
        <v>3030563.0814516</v>
      </c>
      <c r="M123" s="881">
        <f t="shared" si="66"/>
        <v>3176588.8509480003</v>
      </c>
      <c r="N123" s="881">
        <f t="shared" si="66"/>
        <v>3423719.2607388003</v>
      </c>
      <c r="O123" s="881">
        <f t="shared" si="66"/>
        <v>2853561.7459926</v>
      </c>
      <c r="P123" s="881">
        <f t="shared" si="66"/>
        <v>2942661.3824878223</v>
      </c>
      <c r="Q123" s="180">
        <f t="shared" si="58"/>
        <v>18699485.283266224</v>
      </c>
      <c r="R123" s="881">
        <f t="shared" si="55"/>
        <v>7180495.6939847972</v>
      </c>
      <c r="S123" s="881">
        <f t="shared" si="55"/>
        <v>7520504.1092424002</v>
      </c>
      <c r="T123" s="881">
        <f t="shared" si="55"/>
        <v>7087139.8521030005</v>
      </c>
      <c r="U123" s="881">
        <f t="shared" si="55"/>
        <v>7577078.9089302002</v>
      </c>
      <c r="V123" s="881">
        <f t="shared" si="55"/>
        <v>7461301.9203414014</v>
      </c>
      <c r="W123" s="881">
        <f t="shared" si="55"/>
        <v>7316630.2164996006</v>
      </c>
      <c r="X123" s="180">
        <f t="shared" si="59"/>
        <v>44143150.701101393</v>
      </c>
      <c r="Y123" s="881"/>
      <c r="Z123" s="881"/>
      <c r="AA123" s="881"/>
      <c r="AB123" s="881"/>
      <c r="AC123" s="881"/>
      <c r="AD123" s="881"/>
      <c r="AE123" s="180"/>
      <c r="AG123" s="1415">
        <f>'PDYG-200'!$D$30</f>
        <v>0.31269606137313216</v>
      </c>
      <c r="AH123" s="1415">
        <f>'PDYG-200'!$E$30</f>
        <v>0.26899999999999996</v>
      </c>
      <c r="AI123" s="1415">
        <f>'PDYG-200'!$F$30</f>
        <v>0.41830393862686788</v>
      </c>
    </row>
    <row r="124" spans="1:35">
      <c r="A124" s="57"/>
      <c r="B124" s="48"/>
      <c r="C124" s="887" t="s">
        <v>972</v>
      </c>
      <c r="D124" s="883">
        <f>F821EVE!D124*$D$154</f>
        <v>6968804.0405282145</v>
      </c>
      <c r="E124" s="883">
        <f>F821EVE!E124*$D$154</f>
        <v>6949598.6367115229</v>
      </c>
      <c r="F124" s="883">
        <f>F821EVE!F124*$D$154</f>
        <v>6622491.1535302503</v>
      </c>
      <c r="G124" s="883">
        <f>F821EVE!G124*$D$154</f>
        <v>6864903.0708755096</v>
      </c>
      <c r="H124" s="883">
        <f>F821EVE!H124*$D$154</f>
        <v>6341012.8899871055</v>
      </c>
      <c r="I124" s="883">
        <f>F821EVE!I124*$D$154</f>
        <v>6299127.9873319361</v>
      </c>
      <c r="J124" s="180">
        <f t="shared" si="57"/>
        <v>40045937.778964542</v>
      </c>
      <c r="K124" s="883">
        <f>F821EVE!K124*$D$154</f>
        <v>2181660.6366270003</v>
      </c>
      <c r="L124" s="883">
        <f>F821EVE!L124*$D$154</f>
        <v>1996120.0775880001</v>
      </c>
      <c r="M124" s="883">
        <f>F821EVE!M124*$D$154</f>
        <v>2049638.3110314</v>
      </c>
      <c r="N124" s="883">
        <f>F821EVE!N124*$D$154</f>
        <v>2136526.8687198004</v>
      </c>
      <c r="O124" s="883">
        <f>F821EVE!O124*$D$154</f>
        <v>1754213.3758655998</v>
      </c>
      <c r="P124" s="883">
        <f>F821EVE!P124*$D$154</f>
        <v>1806771.9874050003</v>
      </c>
      <c r="Q124" s="180">
        <f t="shared" si="58"/>
        <v>11924931.257236801</v>
      </c>
      <c r="R124" s="883">
        <f t="shared" si="55"/>
        <v>4787143.4039012138</v>
      </c>
      <c r="S124" s="883">
        <f t="shared" si="55"/>
        <v>4953478.5591235226</v>
      </c>
      <c r="T124" s="883">
        <f t="shared" si="55"/>
        <v>4572852.8424988501</v>
      </c>
      <c r="U124" s="883">
        <f t="shared" si="55"/>
        <v>4728376.2021557093</v>
      </c>
      <c r="V124" s="883">
        <f t="shared" si="55"/>
        <v>4586799.5141215054</v>
      </c>
      <c r="W124" s="883">
        <f t="shared" si="55"/>
        <v>4492355.9999269359</v>
      </c>
      <c r="X124" s="180">
        <f t="shared" si="59"/>
        <v>28121006.521727737</v>
      </c>
      <c r="Y124" s="883"/>
      <c r="Z124" s="883"/>
      <c r="AA124" s="883"/>
      <c r="AB124" s="883"/>
      <c r="AC124" s="883"/>
      <c r="AD124" s="883"/>
      <c r="AE124" s="180"/>
      <c r="AG124" s="1415">
        <f>'PDYG-200'!$D$30</f>
        <v>0.31269606137313216</v>
      </c>
      <c r="AH124" s="1415">
        <f>'PDYG-200'!$E$30</f>
        <v>0.26899999999999996</v>
      </c>
      <c r="AI124" s="1415">
        <f>'PDYG-200'!$F$30</f>
        <v>0.41830393862686788</v>
      </c>
    </row>
    <row r="125" spans="1:35">
      <c r="A125" s="57"/>
      <c r="B125" s="48"/>
      <c r="C125" s="887" t="s">
        <v>973</v>
      </c>
      <c r="D125" s="883">
        <f>F821EVE!D125*$D$154</f>
        <v>336969.03470348718</v>
      </c>
      <c r="E125" s="883">
        <f>F821EVE!E125*$D$154</f>
        <v>343426.48181500734</v>
      </c>
      <c r="F125" s="883">
        <f>F821EVE!F125*$D$154</f>
        <v>362180.74598203704</v>
      </c>
      <c r="G125" s="883">
        <f>F821EVE!G125*$D$154</f>
        <v>390209.63754315168</v>
      </c>
      <c r="H125" s="883">
        <f>F821EVE!H125*$D$154</f>
        <v>421556.00464967871</v>
      </c>
      <c r="I125" s="883">
        <f>F821EVE!I125*$D$154</f>
        <v>235197.76346743471</v>
      </c>
      <c r="J125" s="180">
        <f t="shared" si="57"/>
        <v>2089539.6681607969</v>
      </c>
      <c r="K125" s="883">
        <f>F821EVE!K125*$D$154</f>
        <v>105491.85692399999</v>
      </c>
      <c r="L125" s="883">
        <f>F821EVE!L125*$D$154</f>
        <v>98641.7390934</v>
      </c>
      <c r="M125" s="883">
        <f>F821EVE!M125*$D$154</f>
        <v>112093.6993758</v>
      </c>
      <c r="N125" s="883">
        <f>F821EVE!N125*$D$154</f>
        <v>121442.8472532</v>
      </c>
      <c r="O125" s="883">
        <f>F821EVE!O125*$D$154</f>
        <v>116621.6178492</v>
      </c>
      <c r="P125" s="883">
        <f>F821EVE!P125*$D$154</f>
        <v>67461.517116000017</v>
      </c>
      <c r="Q125" s="180">
        <f t="shared" si="58"/>
        <v>621753.27761160012</v>
      </c>
      <c r="R125" s="883">
        <f t="shared" si="55"/>
        <v>231477.17777948719</v>
      </c>
      <c r="S125" s="883">
        <f t="shared" si="55"/>
        <v>244784.74272160733</v>
      </c>
      <c r="T125" s="883">
        <f t="shared" si="55"/>
        <v>250087.04660623704</v>
      </c>
      <c r="U125" s="883">
        <f t="shared" si="55"/>
        <v>268766.79028995166</v>
      </c>
      <c r="V125" s="883">
        <f t="shared" si="55"/>
        <v>304934.38680047868</v>
      </c>
      <c r="W125" s="883">
        <f t="shared" si="55"/>
        <v>167736.24635143467</v>
      </c>
      <c r="X125" s="180">
        <f t="shared" si="59"/>
        <v>1467786.3905491966</v>
      </c>
      <c r="Y125" s="883"/>
      <c r="Z125" s="883"/>
      <c r="AA125" s="883"/>
      <c r="AB125" s="883"/>
      <c r="AC125" s="883"/>
      <c r="AD125" s="883"/>
      <c r="AE125" s="180"/>
      <c r="AG125" s="1415">
        <f>'PDYG-200'!$D$30</f>
        <v>0.31269606137313216</v>
      </c>
      <c r="AH125" s="1415">
        <f>'PDYG-200'!$E$30</f>
        <v>0.26899999999999996</v>
      </c>
      <c r="AI125" s="1415">
        <f>'PDYG-200'!$F$30</f>
        <v>0.41830393862686788</v>
      </c>
    </row>
    <row r="126" spans="1:35">
      <c r="A126" s="57"/>
      <c r="B126" s="48"/>
      <c r="C126" s="887" t="s">
        <v>1010</v>
      </c>
      <c r="D126" s="883">
        <f>F821EVE!D126*$D$154</f>
        <v>126164.01949559854</v>
      </c>
      <c r="E126" s="883">
        <f>F821EVE!E126*$D$154</f>
        <v>123298.9468608123</v>
      </c>
      <c r="F126" s="883">
        <f>F821EVE!F126*$D$154</f>
        <v>119048.26692031756</v>
      </c>
      <c r="G126" s="883">
        <f>F821EVE!G126*$D$154</f>
        <v>127638.29277179713</v>
      </c>
      <c r="H126" s="883">
        <f>F821EVE!H126*$D$154</f>
        <v>123188.1404569466</v>
      </c>
      <c r="I126" s="883">
        <f>F821EVE!I126*$D$154</f>
        <v>118069.6459395612</v>
      </c>
      <c r="J126" s="180">
        <f t="shared" si="57"/>
        <v>737407.31244503323</v>
      </c>
      <c r="K126" s="883">
        <f>F821EVE!K126*$D$154</f>
        <v>39497.0318424</v>
      </c>
      <c r="L126" s="883">
        <f>F821EVE!L126*$D$154</f>
        <v>35414.923399200001</v>
      </c>
      <c r="M126" s="883">
        <f>F821EVE!M126*$D$154</f>
        <v>36845.030530800002</v>
      </c>
      <c r="N126" s="883">
        <f>F821EVE!N126*$D$154</f>
        <v>39724.179521400001</v>
      </c>
      <c r="O126" s="883">
        <f>F821EVE!O126*$D$154</f>
        <v>34079.458201200003</v>
      </c>
      <c r="P126" s="883">
        <f>F821EVE!P126*$D$154</f>
        <v>33865.787340000017</v>
      </c>
      <c r="Q126" s="180">
        <f t="shared" si="58"/>
        <v>219426.41083500002</v>
      </c>
      <c r="R126" s="883">
        <f t="shared" si="55"/>
        <v>86666.987653198536</v>
      </c>
      <c r="S126" s="883">
        <f t="shared" si="55"/>
        <v>87884.023461612291</v>
      </c>
      <c r="T126" s="883">
        <f t="shared" si="55"/>
        <v>82203.236389517551</v>
      </c>
      <c r="U126" s="883">
        <f t="shared" si="55"/>
        <v>87914.113250397131</v>
      </c>
      <c r="V126" s="883">
        <f t="shared" si="55"/>
        <v>89108.682255746593</v>
      </c>
      <c r="W126" s="883">
        <f t="shared" si="55"/>
        <v>84203.858599561179</v>
      </c>
      <c r="X126" s="180">
        <f t="shared" si="59"/>
        <v>517980.90161003324</v>
      </c>
      <c r="Y126" s="883"/>
      <c r="Z126" s="883"/>
      <c r="AA126" s="883"/>
      <c r="AB126" s="883"/>
      <c r="AC126" s="883"/>
      <c r="AD126" s="883"/>
      <c r="AE126" s="180"/>
      <c r="AG126" s="1415">
        <f>'PDYG-200'!$D$30</f>
        <v>0.31269606137313216</v>
      </c>
      <c r="AH126" s="1415">
        <f>'PDYG-200'!$E$30</f>
        <v>0.26899999999999996</v>
      </c>
      <c r="AI126" s="1415">
        <f>'PDYG-200'!$F$30</f>
        <v>0.41830393862686788</v>
      </c>
    </row>
    <row r="127" spans="1:35">
      <c r="A127" s="57"/>
      <c r="B127" s="48"/>
      <c r="C127" s="887" t="s">
        <v>1256</v>
      </c>
      <c r="D127" s="883">
        <f>F821EVE!D127*$D$154</f>
        <v>3020949.5609048959</v>
      </c>
      <c r="E127" s="883">
        <f>F821EVE!E127*$D$154</f>
        <v>3134743.1253066584</v>
      </c>
      <c r="F127" s="883">
        <f>F821EVE!F127*$D$154</f>
        <v>3160008.5366183948</v>
      </c>
      <c r="G127" s="883">
        <f>F821EVE!G127*$D$154</f>
        <v>3618047.1684785415</v>
      </c>
      <c r="H127" s="883">
        <f>F821EVE!H127*$D$154</f>
        <v>3429106.6312402706</v>
      </c>
      <c r="I127" s="883">
        <f>F821EVE!I127*$D$154</f>
        <v>3606896.2022484904</v>
      </c>
      <c r="J127" s="180">
        <f>SUM(D127:I127)</f>
        <v>19969751.224797253</v>
      </c>
      <c r="K127" s="883">
        <f>F821EVE!K127*$D$154</f>
        <v>945741.43625399983</v>
      </c>
      <c r="L127" s="883">
        <f>F821EVE!L127*$D$154</f>
        <v>900386.34137099993</v>
      </c>
      <c r="M127" s="883">
        <f>F821EVE!M127*$D$154</f>
        <v>978011.8100099999</v>
      </c>
      <c r="N127" s="883">
        <f>F821EVE!N127*$D$154</f>
        <v>1126025.3652444</v>
      </c>
      <c r="O127" s="883">
        <f>F821EVE!O127*$D$154</f>
        <v>948647.2940766</v>
      </c>
      <c r="P127" s="883">
        <f>F821EVE!P127*$D$154</f>
        <v>1034562.090626822</v>
      </c>
      <c r="Q127" s="180">
        <f>SUM(K127:P127)</f>
        <v>5933374.337582821</v>
      </c>
      <c r="R127" s="883">
        <f t="shared" si="55"/>
        <v>2075208.1246508961</v>
      </c>
      <c r="S127" s="883">
        <f t="shared" si="55"/>
        <v>2234356.7839356586</v>
      </c>
      <c r="T127" s="883">
        <f t="shared" si="55"/>
        <v>2181996.7266083946</v>
      </c>
      <c r="U127" s="883">
        <f t="shared" si="55"/>
        <v>2492021.8032341413</v>
      </c>
      <c r="V127" s="883">
        <f t="shared" si="55"/>
        <v>2480459.3371636705</v>
      </c>
      <c r="W127" s="883">
        <f t="shared" si="55"/>
        <v>2572334.1116216686</v>
      </c>
      <c r="X127" s="180">
        <f>SUM(R127:W127)</f>
        <v>14036376.88721443</v>
      </c>
      <c r="Y127" s="883"/>
      <c r="Z127" s="883"/>
      <c r="AA127" s="883"/>
      <c r="AB127" s="883"/>
      <c r="AC127" s="883"/>
      <c r="AD127" s="883"/>
      <c r="AE127" s="180"/>
      <c r="AG127" s="1415"/>
      <c r="AH127" s="1415"/>
      <c r="AI127" s="1415"/>
    </row>
    <row r="128" spans="1:35">
      <c r="A128" s="57"/>
      <c r="B128" s="48" t="s">
        <v>873</v>
      </c>
      <c r="C128" s="882" t="s">
        <v>276</v>
      </c>
      <c r="D128" s="881">
        <f t="shared" ref="D128:I128" si="67">SUBTOTAL(9,D129:D134)</f>
        <v>43815258.911963798</v>
      </c>
      <c r="E128" s="881">
        <f t="shared" si="67"/>
        <v>43372334.131124675</v>
      </c>
      <c r="F128" s="881">
        <f t="shared" si="67"/>
        <v>42141004.794842042</v>
      </c>
      <c r="G128" s="881">
        <f t="shared" si="67"/>
        <v>43841850.410793602</v>
      </c>
      <c r="H128" s="881">
        <f t="shared" si="67"/>
        <v>40423276.493474394</v>
      </c>
      <c r="I128" s="881">
        <f t="shared" si="67"/>
        <v>43344887.071326107</v>
      </c>
      <c r="J128" s="180">
        <f t="shared" si="57"/>
        <v>256938611.8135246</v>
      </c>
      <c r="K128" s="881">
        <f t="shared" ref="K128:P128" si="68">SUBTOTAL(9,K129:K134)</f>
        <v>14279392.879409004</v>
      </c>
      <c r="L128" s="881">
        <f t="shared" si="68"/>
        <v>14135043.693333529</v>
      </c>
      <c r="M128" s="881">
        <f t="shared" si="68"/>
        <v>13733753.462639023</v>
      </c>
      <c r="N128" s="881">
        <f t="shared" si="68"/>
        <v>14288059.048877638</v>
      </c>
      <c r="O128" s="881">
        <f t="shared" si="68"/>
        <v>13173945.809223305</v>
      </c>
      <c r="P128" s="881">
        <f t="shared" si="68"/>
        <v>14126098.69654518</v>
      </c>
      <c r="Q128" s="180">
        <f t="shared" si="58"/>
        <v>83736293.59002769</v>
      </c>
      <c r="R128" s="881">
        <f t="shared" si="55"/>
        <v>29535866.032554794</v>
      </c>
      <c r="S128" s="881">
        <f t="shared" si="55"/>
        <v>29237290.437791146</v>
      </c>
      <c r="T128" s="881">
        <f t="shared" si="55"/>
        <v>28407251.332203019</v>
      </c>
      <c r="U128" s="881">
        <f t="shared" si="55"/>
        <v>29553791.361915965</v>
      </c>
      <c r="V128" s="881">
        <f t="shared" si="55"/>
        <v>27249330.684251089</v>
      </c>
      <c r="W128" s="881">
        <f t="shared" si="55"/>
        <v>29218788.374780927</v>
      </c>
      <c r="X128" s="180">
        <f t="shared" si="59"/>
        <v>173202318.22349694</v>
      </c>
      <c r="Y128" s="881"/>
      <c r="Z128" s="881"/>
      <c r="AA128" s="881"/>
      <c r="AB128" s="881"/>
      <c r="AC128" s="881"/>
      <c r="AD128" s="881"/>
      <c r="AE128" s="180"/>
      <c r="AG128" s="1415">
        <f>'PDYG-200'!$D$30</f>
        <v>0.31269606137313216</v>
      </c>
      <c r="AH128" s="1415">
        <f>'PDYG-200'!$E$30</f>
        <v>0.26899999999999996</v>
      </c>
      <c r="AI128" s="1415">
        <f>'PDYG-200'!$F$30</f>
        <v>0.41830393862686788</v>
      </c>
    </row>
    <row r="129" spans="1:35">
      <c r="A129" s="57"/>
      <c r="B129" s="48"/>
      <c r="C129" s="887" t="s">
        <v>969</v>
      </c>
      <c r="D129" s="883">
        <f>F821EVE!D129*$D$154</f>
        <v>0</v>
      </c>
      <c r="E129" s="883">
        <f>F821EVE!E129*$D$154</f>
        <v>0</v>
      </c>
      <c r="F129" s="883">
        <f>F821EVE!F129*$D$154</f>
        <v>0</v>
      </c>
      <c r="G129" s="883">
        <f>F821EVE!G129*$D$154</f>
        <v>0</v>
      </c>
      <c r="H129" s="883">
        <f>F821EVE!H129*$D$154</f>
        <v>0</v>
      </c>
      <c r="I129" s="883">
        <f>F821EVE!I129*$D$154</f>
        <v>0</v>
      </c>
      <c r="J129" s="180">
        <f t="shared" si="57"/>
        <v>0</v>
      </c>
      <c r="K129" s="883">
        <f>F821EVE!K129*$D$154</f>
        <v>0</v>
      </c>
      <c r="L129" s="883">
        <f>F821EVE!L129*$D$154</f>
        <v>0</v>
      </c>
      <c r="M129" s="883">
        <f>F821EVE!M129*$D$154</f>
        <v>0</v>
      </c>
      <c r="N129" s="883">
        <f>F821EVE!N129*$D$154</f>
        <v>0</v>
      </c>
      <c r="O129" s="883">
        <f>F821EVE!O129*$D$154</f>
        <v>0</v>
      </c>
      <c r="P129" s="883">
        <f>F821EVE!P129*$D$154</f>
        <v>0</v>
      </c>
      <c r="Q129" s="180">
        <f t="shared" si="58"/>
        <v>0</v>
      </c>
      <c r="R129" s="883">
        <f t="shared" si="55"/>
        <v>0</v>
      </c>
      <c r="S129" s="883">
        <f t="shared" si="55"/>
        <v>0</v>
      </c>
      <c r="T129" s="883">
        <f t="shared" si="55"/>
        <v>0</v>
      </c>
      <c r="U129" s="883">
        <f t="shared" si="55"/>
        <v>0</v>
      </c>
      <c r="V129" s="883">
        <f t="shared" si="55"/>
        <v>0</v>
      </c>
      <c r="W129" s="883">
        <f t="shared" si="55"/>
        <v>0</v>
      </c>
      <c r="X129" s="180">
        <f t="shared" si="59"/>
        <v>0</v>
      </c>
      <c r="Y129" s="883"/>
      <c r="Z129" s="883"/>
      <c r="AA129" s="883"/>
      <c r="AB129" s="883"/>
      <c r="AC129" s="883"/>
      <c r="AD129" s="883"/>
      <c r="AE129" s="180"/>
      <c r="AG129" s="1415">
        <f>'PDYG-200'!$D$30</f>
        <v>0.31269606137313216</v>
      </c>
      <c r="AH129" s="1415">
        <f>'PDYG-200'!$E$30</f>
        <v>0.26899999999999996</v>
      </c>
      <c r="AI129" s="1415">
        <f>'PDYG-200'!$F$30</f>
        <v>0.41830393862686788</v>
      </c>
    </row>
    <row r="130" spans="1:35">
      <c r="A130" s="57"/>
      <c r="B130" s="48"/>
      <c r="C130" s="887" t="s">
        <v>970</v>
      </c>
      <c r="D130" s="883">
        <f>F821EVE!D130*$D$154</f>
        <v>28561650.287422601</v>
      </c>
      <c r="E130" s="883">
        <f>F821EVE!E130*$D$154</f>
        <v>28490721.094706312</v>
      </c>
      <c r="F130" s="883">
        <f>F821EVE!F130*$D$154</f>
        <v>25952246.392240442</v>
      </c>
      <c r="G130" s="883">
        <f>F821EVE!G130*$D$154</f>
        <v>26903006.493499808</v>
      </c>
      <c r="H130" s="883">
        <f>F821EVE!H130*$D$154</f>
        <v>24571800.763736393</v>
      </c>
      <c r="I130" s="883">
        <f>F821EVE!I130*$D$154</f>
        <v>26025514.258152619</v>
      </c>
      <c r="J130" s="180">
        <f t="shared" si="57"/>
        <v>160504939.28975821</v>
      </c>
      <c r="K130" s="883">
        <f>F821EVE!K130*$D$154</f>
        <v>9308241.828671027</v>
      </c>
      <c r="L130" s="883">
        <f>F821EVE!L130*$D$154</f>
        <v>9285126.004764786</v>
      </c>
      <c r="M130" s="883">
        <f>F821EVE!M130*$D$154</f>
        <v>8457837.0992311612</v>
      </c>
      <c r="N130" s="883">
        <f>F821EVE!N130*$D$154</f>
        <v>8767689.8162315879</v>
      </c>
      <c r="O130" s="883">
        <f>F821EVE!O130*$D$154</f>
        <v>8007949.8689016914</v>
      </c>
      <c r="P130" s="883">
        <f>F821EVE!P130*$D$154</f>
        <v>8481715.0967319384</v>
      </c>
      <c r="Q130" s="180">
        <f t="shared" si="58"/>
        <v>52308559.714532189</v>
      </c>
      <c r="R130" s="883">
        <f t="shared" si="55"/>
        <v>19253408.458751574</v>
      </c>
      <c r="S130" s="883">
        <f t="shared" si="55"/>
        <v>19205595.089941524</v>
      </c>
      <c r="T130" s="883">
        <f t="shared" si="55"/>
        <v>17494409.293009281</v>
      </c>
      <c r="U130" s="883">
        <f t="shared" si="55"/>
        <v>18135316.677268222</v>
      </c>
      <c r="V130" s="883">
        <f t="shared" si="55"/>
        <v>16563850.894834701</v>
      </c>
      <c r="W130" s="883">
        <f t="shared" si="55"/>
        <v>17543799.161420681</v>
      </c>
      <c r="X130" s="180">
        <f t="shared" si="59"/>
        <v>108196379.57522598</v>
      </c>
      <c r="Y130" s="883"/>
      <c r="Z130" s="883"/>
      <c r="AA130" s="883"/>
      <c r="AB130" s="883"/>
      <c r="AC130" s="883"/>
      <c r="AD130" s="883"/>
      <c r="AE130" s="180"/>
      <c r="AG130" s="1415">
        <f>'PDYG-200'!$D$30</f>
        <v>0.31269606137313216</v>
      </c>
      <c r="AH130" s="1415">
        <f>'PDYG-200'!$E$30</f>
        <v>0.26899999999999996</v>
      </c>
      <c r="AI130" s="1415">
        <f>'PDYG-200'!$F$30</f>
        <v>0.41830393862686788</v>
      </c>
    </row>
    <row r="131" spans="1:35">
      <c r="A131" s="57"/>
      <c r="B131" s="48"/>
      <c r="C131" s="887" t="s">
        <v>1011</v>
      </c>
      <c r="D131" s="883">
        <f>F821EVE!D131*$D$154</f>
        <v>2012038.4288051997</v>
      </c>
      <c r="E131" s="883">
        <f>F821EVE!E131*$D$154</f>
        <v>1785149.6758848</v>
      </c>
      <c r="F131" s="883">
        <f>F821EVE!F131*$D$154</f>
        <v>1982555.7022817999</v>
      </c>
      <c r="G131" s="883">
        <f>F821EVE!G131*$D$154</f>
        <v>1735268.9591268003</v>
      </c>
      <c r="H131" s="883">
        <f>F821EVE!H131*$D$154</f>
        <v>1657893.4516872005</v>
      </c>
      <c r="I131" s="883">
        <f>F821EVE!I131*$D$154</f>
        <v>1857311.7543908972</v>
      </c>
      <c r="J131" s="180">
        <f t="shared" si="57"/>
        <v>11030217.972176697</v>
      </c>
      <c r="K131" s="883">
        <f>F821EVE!K131*$D$154</f>
        <v>655723.32394761464</v>
      </c>
      <c r="L131" s="883">
        <f>F821EVE!L131*$D$154</f>
        <v>581780.27937085635</v>
      </c>
      <c r="M131" s="883">
        <f>F821EVE!M131*$D$154</f>
        <v>646114.90337363863</v>
      </c>
      <c r="N131" s="883">
        <f>F821EVE!N131*$D$154</f>
        <v>565524.15377942426</v>
      </c>
      <c r="O131" s="883">
        <f>F821EVE!O131*$D$154</f>
        <v>540307.47590485867</v>
      </c>
      <c r="P131" s="883">
        <f>F821EVE!P131*$D$154</f>
        <v>605297.90075599344</v>
      </c>
      <c r="Q131" s="180">
        <f t="shared" si="58"/>
        <v>3594748.0371323861</v>
      </c>
      <c r="R131" s="883">
        <f t="shared" si="55"/>
        <v>1356315.1048575849</v>
      </c>
      <c r="S131" s="883">
        <f t="shared" si="55"/>
        <v>1203369.3965139436</v>
      </c>
      <c r="T131" s="883">
        <f t="shared" si="55"/>
        <v>1336440.7989081612</v>
      </c>
      <c r="U131" s="883">
        <f t="shared" si="55"/>
        <v>1169744.805347376</v>
      </c>
      <c r="V131" s="883">
        <f t="shared" si="55"/>
        <v>1117585.9757823418</v>
      </c>
      <c r="W131" s="883">
        <f t="shared" si="55"/>
        <v>1252013.8536349037</v>
      </c>
      <c r="X131" s="180">
        <f t="shared" si="59"/>
        <v>7435469.935044311</v>
      </c>
      <c r="Y131" s="883"/>
      <c r="Z131" s="883"/>
      <c r="AA131" s="883"/>
      <c r="AB131" s="883"/>
      <c r="AC131" s="883"/>
      <c r="AD131" s="883"/>
      <c r="AE131" s="180"/>
      <c r="AG131" s="1415">
        <f>'PDYG-200'!$D$30</f>
        <v>0.31269606137313216</v>
      </c>
      <c r="AH131" s="1415">
        <f>'PDYG-200'!$E$30</f>
        <v>0.26899999999999996</v>
      </c>
      <c r="AI131" s="1415">
        <f>'PDYG-200'!$F$30</f>
        <v>0.41830393862686788</v>
      </c>
    </row>
    <row r="132" spans="1:35">
      <c r="A132" s="57"/>
      <c r="B132" s="48"/>
      <c r="C132" s="887" t="s">
        <v>1012</v>
      </c>
      <c r="D132" s="883">
        <f>F821EVE!D132*$D$154</f>
        <v>1898587.6805771999</v>
      </c>
      <c r="E132" s="883">
        <f>F821EVE!E132*$D$154</f>
        <v>1961331.6005478001</v>
      </c>
      <c r="F132" s="883">
        <f>F821EVE!F132*$D$154</f>
        <v>1881726.9351246003</v>
      </c>
      <c r="G132" s="883">
        <f>F821EVE!G132*$D$154</f>
        <v>1971237.2558526003</v>
      </c>
      <c r="H132" s="883">
        <f>F821EVE!H132*$D$154</f>
        <v>1744320.9888954002</v>
      </c>
      <c r="I132" s="883">
        <f>F821EVE!I132*$D$154</f>
        <v>1971692.204495579</v>
      </c>
      <c r="J132" s="180">
        <f t="shared" si="57"/>
        <v>11428896.665493179</v>
      </c>
      <c r="K132" s="883">
        <f>F821EVE!K132*$D$154</f>
        <v>618749.72510010947</v>
      </c>
      <c r="L132" s="883">
        <f>F821EVE!L132*$D$154</f>
        <v>639197.9686185281</v>
      </c>
      <c r="M132" s="883">
        <f>F821EVE!M132*$D$154</f>
        <v>613254.80815710733</v>
      </c>
      <c r="N132" s="883">
        <f>F821EVE!N132*$D$154</f>
        <v>642426.22168236249</v>
      </c>
      <c r="O132" s="883">
        <f>F821EVE!O132*$D$154</f>
        <v>568474.21028101095</v>
      </c>
      <c r="P132" s="883">
        <f>F821EVE!P132*$D$154</f>
        <v>642574.48944510927</v>
      </c>
      <c r="Q132" s="180">
        <f t="shared" si="58"/>
        <v>3724677.4232842275</v>
      </c>
      <c r="R132" s="883">
        <f t="shared" si="55"/>
        <v>1279837.9554770906</v>
      </c>
      <c r="S132" s="883">
        <f t="shared" si="55"/>
        <v>1322133.6319292719</v>
      </c>
      <c r="T132" s="883">
        <f t="shared" si="55"/>
        <v>1268472.126967493</v>
      </c>
      <c r="U132" s="883">
        <f t="shared" si="55"/>
        <v>1328811.0341702378</v>
      </c>
      <c r="V132" s="883">
        <f t="shared" si="55"/>
        <v>1175846.7786143892</v>
      </c>
      <c r="W132" s="883">
        <f t="shared" si="55"/>
        <v>1329117.7150504696</v>
      </c>
      <c r="X132" s="180">
        <f t="shared" si="59"/>
        <v>7704219.2422089521</v>
      </c>
      <c r="Y132" s="883"/>
      <c r="Z132" s="883"/>
      <c r="AA132" s="883"/>
      <c r="AB132" s="883"/>
      <c r="AC132" s="883"/>
      <c r="AD132" s="883"/>
      <c r="AE132" s="180"/>
      <c r="AG132" s="1415">
        <f>'PDYG-200'!$D$30</f>
        <v>0.31269606137313216</v>
      </c>
      <c r="AH132" s="1415">
        <f>'PDYG-200'!$E$30</f>
        <v>0.26899999999999996</v>
      </c>
      <c r="AI132" s="1415">
        <f>'PDYG-200'!$F$30</f>
        <v>0.41830393862686788</v>
      </c>
    </row>
    <row r="133" spans="1:35">
      <c r="A133" s="57"/>
      <c r="B133" s="48"/>
      <c r="C133" s="887" t="s">
        <v>1108</v>
      </c>
      <c r="D133" s="883">
        <f>F821EVE!D133*$D$154</f>
        <v>11342982.5151588</v>
      </c>
      <c r="E133" s="883">
        <f>F821EVE!E133*$D$154</f>
        <v>11135131.75998576</v>
      </c>
      <c r="F133" s="883">
        <f>F821EVE!F133*$D$154</f>
        <v>12324475.7651952</v>
      </c>
      <c r="G133" s="883">
        <f>F821EVE!G133*$D$154</f>
        <v>13232337.702314399</v>
      </c>
      <c r="H133" s="883">
        <f>F821EVE!H133*$D$154</f>
        <v>12449261.289155398</v>
      </c>
      <c r="I133" s="883">
        <f>F821EVE!I133*$D$154</f>
        <v>13490368.854287012</v>
      </c>
      <c r="J133" s="180">
        <f t="shared" si="57"/>
        <v>73974557.886096567</v>
      </c>
      <c r="K133" s="883">
        <f>F821EVE!K133*$D$154</f>
        <v>3696678.0016902536</v>
      </c>
      <c r="L133" s="883">
        <f>F821EVE!L133*$D$154</f>
        <v>3628939.4405793594</v>
      </c>
      <c r="M133" s="883">
        <f>F821EVE!M133*$D$154</f>
        <v>4016546.6518771159</v>
      </c>
      <c r="N133" s="883">
        <f>F821EVE!N133*$D$154</f>
        <v>4312418.8571842629</v>
      </c>
      <c r="O133" s="883">
        <f>F821EVE!O133*$D$154</f>
        <v>4057214.2541357442</v>
      </c>
      <c r="P133" s="883">
        <f>F821EVE!P133*$D$154</f>
        <v>4396511.2096121376</v>
      </c>
      <c r="Q133" s="180">
        <f t="shared" si="58"/>
        <v>24108308.415078875</v>
      </c>
      <c r="R133" s="883">
        <f t="shared" si="55"/>
        <v>7646304.5134685468</v>
      </c>
      <c r="S133" s="883">
        <f t="shared" si="55"/>
        <v>7506192.3194064004</v>
      </c>
      <c r="T133" s="883">
        <f t="shared" si="55"/>
        <v>8307929.1133180838</v>
      </c>
      <c r="U133" s="883">
        <f t="shared" si="55"/>
        <v>8919918.8451301362</v>
      </c>
      <c r="V133" s="883">
        <f t="shared" si="55"/>
        <v>8392047.0350196529</v>
      </c>
      <c r="W133" s="883">
        <f t="shared" si="55"/>
        <v>9093857.6446748748</v>
      </c>
      <c r="X133" s="180">
        <f t="shared" si="59"/>
        <v>49866249.471017696</v>
      </c>
      <c r="Y133" s="883"/>
      <c r="Z133" s="883"/>
      <c r="AA133" s="883"/>
      <c r="AB133" s="883"/>
      <c r="AC133" s="883"/>
      <c r="AD133" s="883"/>
      <c r="AE133" s="180"/>
      <c r="AG133" s="1415">
        <f>'PDYG-200'!$D$30</f>
        <v>0.31269606137313216</v>
      </c>
      <c r="AH133" s="1415">
        <f>'PDYG-200'!$E$30</f>
        <v>0.26899999999999996</v>
      </c>
      <c r="AI133" s="1415">
        <f>'PDYG-200'!$F$30</f>
        <v>0.41830393862686788</v>
      </c>
    </row>
    <row r="134" spans="1:35">
      <c r="A134" s="57"/>
      <c r="B134" s="48"/>
      <c r="C134" s="887"/>
      <c r="D134" s="883"/>
      <c r="E134" s="883"/>
      <c r="F134" s="883"/>
      <c r="G134" s="883"/>
      <c r="H134" s="883"/>
      <c r="I134" s="883"/>
      <c r="J134" s="180">
        <f t="shared" si="57"/>
        <v>0</v>
      </c>
      <c r="K134" s="883"/>
      <c r="L134" s="883"/>
      <c r="M134" s="883"/>
      <c r="N134" s="883"/>
      <c r="O134" s="883"/>
      <c r="P134" s="883"/>
      <c r="Q134" s="180">
        <f t="shared" si="58"/>
        <v>0</v>
      </c>
      <c r="R134" s="883">
        <f t="shared" si="55"/>
        <v>0</v>
      </c>
      <c r="S134" s="883">
        <f t="shared" si="55"/>
        <v>0</v>
      </c>
      <c r="T134" s="883">
        <f t="shared" si="55"/>
        <v>0</v>
      </c>
      <c r="U134" s="883">
        <f t="shared" si="55"/>
        <v>0</v>
      </c>
      <c r="V134" s="883">
        <f t="shared" si="55"/>
        <v>0</v>
      </c>
      <c r="W134" s="883">
        <f t="shared" si="55"/>
        <v>0</v>
      </c>
      <c r="X134" s="180">
        <f t="shared" si="59"/>
        <v>0</v>
      </c>
      <c r="Y134" s="883"/>
      <c r="Z134" s="883"/>
      <c r="AA134" s="883"/>
      <c r="AB134" s="883"/>
      <c r="AC134" s="883"/>
      <c r="AD134" s="883"/>
      <c r="AE134" s="180"/>
      <c r="AG134" s="1415"/>
      <c r="AH134" s="1415"/>
      <c r="AI134" s="1415"/>
    </row>
    <row r="135" spans="1:35" ht="15.75">
      <c r="A135" s="57"/>
      <c r="B135" s="48"/>
      <c r="C135" s="965" t="s">
        <v>443</v>
      </c>
      <c r="D135" s="881">
        <f t="shared" ref="D135:I135" si="69">SUBTOTAL(9,D136:D145)</f>
        <v>8795105.5582296029</v>
      </c>
      <c r="E135" s="881">
        <f t="shared" si="69"/>
        <v>8634664.7898642011</v>
      </c>
      <c r="F135" s="881">
        <f t="shared" si="69"/>
        <v>8752103.7719472013</v>
      </c>
      <c r="G135" s="881">
        <f t="shared" si="69"/>
        <v>9219169.634265</v>
      </c>
      <c r="H135" s="881">
        <f t="shared" si="69"/>
        <v>8498064.6649583988</v>
      </c>
      <c r="I135" s="881">
        <f t="shared" si="69"/>
        <v>9527005.2100413982</v>
      </c>
      <c r="J135" s="180">
        <f t="shared" si="57"/>
        <v>53426113.629305802</v>
      </c>
      <c r="K135" s="881">
        <f t="shared" ref="K135:P135" si="70">SUBTOTAL(9,K136:K145)</f>
        <v>3645526.0423340229</v>
      </c>
      <c r="L135" s="881">
        <f t="shared" si="70"/>
        <v>3569866.3783345148</v>
      </c>
      <c r="M135" s="881">
        <f t="shared" si="70"/>
        <v>3625567.3869155971</v>
      </c>
      <c r="N135" s="881">
        <f t="shared" si="70"/>
        <v>3820221.7031298513</v>
      </c>
      <c r="O135" s="881">
        <f t="shared" si="70"/>
        <v>3510666.0686612888</v>
      </c>
      <c r="P135" s="881">
        <f t="shared" si="70"/>
        <v>3940677.299073563</v>
      </c>
      <c r="Q135" s="180">
        <f t="shared" si="58"/>
        <v>22112524.878448837</v>
      </c>
      <c r="R135" s="881">
        <f t="shared" si="55"/>
        <v>5149579.5158955799</v>
      </c>
      <c r="S135" s="881">
        <f t="shared" si="55"/>
        <v>5064798.4115296863</v>
      </c>
      <c r="T135" s="881">
        <f t="shared" si="55"/>
        <v>5126536.3850316042</v>
      </c>
      <c r="U135" s="881">
        <f t="shared" si="55"/>
        <v>5398947.9311351487</v>
      </c>
      <c r="V135" s="881">
        <f t="shared" si="55"/>
        <v>4987398.5962971095</v>
      </c>
      <c r="W135" s="881">
        <f t="shared" si="55"/>
        <v>5586327.9109678352</v>
      </c>
      <c r="X135" s="180">
        <f t="shared" si="59"/>
        <v>31313588.750856958</v>
      </c>
      <c r="Y135" s="881"/>
      <c r="Z135" s="881"/>
      <c r="AA135" s="881"/>
      <c r="AB135" s="881"/>
      <c r="AC135" s="881"/>
      <c r="AD135" s="881"/>
      <c r="AE135" s="180"/>
      <c r="AG135" s="1415">
        <f>'PDYG-200'!$D$31</f>
        <v>0.39972132300720115</v>
      </c>
      <c r="AH135" s="1415">
        <f>'PDYG-200'!$E$31</f>
        <v>0.24340000000000001</v>
      </c>
      <c r="AI135" s="1415">
        <f>'PDYG-200'!$F$31</f>
        <v>0.35687867699279885</v>
      </c>
    </row>
    <row r="136" spans="1:35">
      <c r="A136" s="57"/>
      <c r="B136" s="48" t="s">
        <v>874</v>
      </c>
      <c r="C136" s="882" t="s">
        <v>275</v>
      </c>
      <c r="D136" s="881">
        <f t="shared" ref="D136:P136" si="71">SUBTOTAL(9,D137)</f>
        <v>284720.25630059995</v>
      </c>
      <c r="E136" s="881">
        <f t="shared" si="71"/>
        <v>282190.15856339998</v>
      </c>
      <c r="F136" s="881">
        <f t="shared" si="71"/>
        <v>270270.257904</v>
      </c>
      <c r="G136" s="881">
        <f t="shared" si="71"/>
        <v>280275.01577999996</v>
      </c>
      <c r="H136" s="881">
        <f t="shared" si="71"/>
        <v>271423.51155540004</v>
      </c>
      <c r="I136" s="881">
        <f t="shared" si="71"/>
        <v>281216.32974000031</v>
      </c>
      <c r="J136" s="180">
        <f t="shared" si="57"/>
        <v>1670095.5298434002</v>
      </c>
      <c r="K136" s="881">
        <f t="shared" si="71"/>
        <v>100099.52555040001</v>
      </c>
      <c r="L136" s="881">
        <f t="shared" si="71"/>
        <v>90225.446934599997</v>
      </c>
      <c r="M136" s="881">
        <f t="shared" si="71"/>
        <v>92035.54496520001</v>
      </c>
      <c r="N136" s="881">
        <f t="shared" si="71"/>
        <v>96278.205069000003</v>
      </c>
      <c r="O136" s="881">
        <f t="shared" si="71"/>
        <v>83447.364153600007</v>
      </c>
      <c r="P136" s="881">
        <f t="shared" si="71"/>
        <v>88881.651540000108</v>
      </c>
      <c r="Q136" s="180">
        <f t="shared" si="58"/>
        <v>550967.73821280012</v>
      </c>
      <c r="R136" s="881">
        <f t="shared" si="55"/>
        <v>184620.73075019993</v>
      </c>
      <c r="S136" s="881">
        <f t="shared" si="55"/>
        <v>191964.71162879997</v>
      </c>
      <c r="T136" s="881">
        <f t="shared" si="55"/>
        <v>178234.71293879999</v>
      </c>
      <c r="U136" s="881">
        <f t="shared" si="55"/>
        <v>183996.81071099994</v>
      </c>
      <c r="V136" s="881">
        <f t="shared" si="55"/>
        <v>187976.14740180003</v>
      </c>
      <c r="W136" s="881">
        <f t="shared" si="55"/>
        <v>192334.6782000002</v>
      </c>
      <c r="X136" s="180">
        <f t="shared" si="59"/>
        <v>1119127.7916306001</v>
      </c>
      <c r="Y136" s="881"/>
      <c r="Z136" s="881"/>
      <c r="AA136" s="881"/>
      <c r="AB136" s="881"/>
      <c r="AC136" s="881"/>
      <c r="AD136" s="881"/>
      <c r="AE136" s="180"/>
      <c r="AG136" s="1415">
        <f>'PDYG-200'!$D$31</f>
        <v>0.39972132300720115</v>
      </c>
      <c r="AH136" s="1415">
        <f>'PDYG-200'!$E$31</f>
        <v>0.24340000000000001</v>
      </c>
      <c r="AI136" s="1415">
        <f>'PDYG-200'!$F$31</f>
        <v>0.35687867699279885</v>
      </c>
    </row>
    <row r="137" spans="1:35">
      <c r="A137" s="57"/>
      <c r="B137" s="48"/>
      <c r="C137" s="887" t="s">
        <v>972</v>
      </c>
      <c r="D137" s="883">
        <f>F821EVE!D137*$D$154</f>
        <v>284720.25630059995</v>
      </c>
      <c r="E137" s="883">
        <f>F821EVE!E137*$D$154</f>
        <v>282190.15856339998</v>
      </c>
      <c r="F137" s="883">
        <f>F821EVE!F137*$D$154</f>
        <v>270270.257904</v>
      </c>
      <c r="G137" s="883">
        <f>F821EVE!G137*$D$154</f>
        <v>280275.01577999996</v>
      </c>
      <c r="H137" s="883">
        <f>F821EVE!H137*$D$154</f>
        <v>271423.51155540004</v>
      </c>
      <c r="I137" s="883">
        <f>F821EVE!I137*$D$154</f>
        <v>281216.32974000031</v>
      </c>
      <c r="J137" s="180">
        <f t="shared" si="57"/>
        <v>1670095.5298434002</v>
      </c>
      <c r="K137" s="883">
        <f>F821EVE!K137*$D$154</f>
        <v>100099.52555040001</v>
      </c>
      <c r="L137" s="883">
        <f>F821EVE!L137*$D$154</f>
        <v>90225.446934599997</v>
      </c>
      <c r="M137" s="883">
        <f>F821EVE!M137*$D$154</f>
        <v>92035.54496520001</v>
      </c>
      <c r="N137" s="883">
        <f>F821EVE!N137*$D$154</f>
        <v>96278.205069000003</v>
      </c>
      <c r="O137" s="883">
        <f>F821EVE!O137*$D$154</f>
        <v>83447.364153600007</v>
      </c>
      <c r="P137" s="883">
        <f>F821EVE!P137*$D$154</f>
        <v>88881.651540000108</v>
      </c>
      <c r="Q137" s="180">
        <f t="shared" si="58"/>
        <v>550967.73821280012</v>
      </c>
      <c r="R137" s="883">
        <f t="shared" si="55"/>
        <v>184620.73075019993</v>
      </c>
      <c r="S137" s="883">
        <f t="shared" si="55"/>
        <v>191964.71162879997</v>
      </c>
      <c r="T137" s="883">
        <f t="shared" si="55"/>
        <v>178234.71293879999</v>
      </c>
      <c r="U137" s="883">
        <f t="shared" si="55"/>
        <v>183996.81071099994</v>
      </c>
      <c r="V137" s="883">
        <f t="shared" si="55"/>
        <v>187976.14740180003</v>
      </c>
      <c r="W137" s="883">
        <f t="shared" si="55"/>
        <v>192334.6782000002</v>
      </c>
      <c r="X137" s="180">
        <f t="shared" si="59"/>
        <v>1119127.7916306001</v>
      </c>
      <c r="Y137" s="883"/>
      <c r="Z137" s="883"/>
      <c r="AA137" s="883"/>
      <c r="AB137" s="883"/>
      <c r="AC137" s="883"/>
      <c r="AD137" s="883"/>
      <c r="AE137" s="180"/>
      <c r="AG137" s="1415">
        <f>'PDYG-200'!$D$31</f>
        <v>0.39972132300720115</v>
      </c>
      <c r="AH137" s="1415">
        <f>'PDYG-200'!$E$31</f>
        <v>0.24340000000000001</v>
      </c>
      <c r="AI137" s="1415">
        <f>'PDYG-200'!$F$31</f>
        <v>0.35687867699279885</v>
      </c>
    </row>
    <row r="138" spans="1:35">
      <c r="A138" s="57"/>
      <c r="B138" s="48"/>
      <c r="C138" s="887" t="s">
        <v>1255</v>
      </c>
      <c r="D138" s="883">
        <f>F821EVE!D138*$D$154</f>
        <v>0</v>
      </c>
      <c r="E138" s="883">
        <f>F821EVE!E138*$D$154</f>
        <v>0</v>
      </c>
      <c r="F138" s="883">
        <f>F821EVE!F138*$D$154</f>
        <v>0</v>
      </c>
      <c r="G138" s="883">
        <f>F821EVE!G138*$D$154</f>
        <v>0</v>
      </c>
      <c r="H138" s="883">
        <f>F821EVE!H138*$D$154</f>
        <v>0</v>
      </c>
      <c r="I138" s="883">
        <f>F821EVE!I138*$D$154</f>
        <v>0</v>
      </c>
      <c r="J138" s="180"/>
      <c r="K138" s="883">
        <f>F821EVE!K138*$D$154</f>
        <v>0</v>
      </c>
      <c r="L138" s="883">
        <f>F821EVE!L138*$D$154</f>
        <v>0</v>
      </c>
      <c r="M138" s="883">
        <f>F821EVE!M138*$D$154</f>
        <v>0</v>
      </c>
      <c r="N138" s="883">
        <f>F821EVE!N138*$D$154</f>
        <v>0</v>
      </c>
      <c r="O138" s="883">
        <f>F821EVE!O138*$D$154</f>
        <v>0</v>
      </c>
      <c r="P138" s="883">
        <f>F821EVE!P138*$D$154</f>
        <v>0</v>
      </c>
      <c r="Q138" s="180"/>
      <c r="R138" s="883"/>
      <c r="S138" s="883"/>
      <c r="T138" s="883"/>
      <c r="U138" s="883"/>
      <c r="V138" s="883"/>
      <c r="W138" s="883"/>
      <c r="X138" s="180"/>
      <c r="Y138" s="883"/>
      <c r="Z138" s="883"/>
      <c r="AA138" s="883"/>
      <c r="AB138" s="883"/>
      <c r="AC138" s="883"/>
      <c r="AD138" s="883"/>
      <c r="AE138" s="180"/>
      <c r="AG138" s="1415"/>
      <c r="AH138" s="1415"/>
      <c r="AI138" s="1415"/>
    </row>
    <row r="139" spans="1:35">
      <c r="A139" s="57"/>
      <c r="B139" s="48" t="s">
        <v>875</v>
      </c>
      <c r="C139" s="882" t="s">
        <v>274</v>
      </c>
      <c r="D139" s="881">
        <f t="shared" ref="D139:I139" si="72">SUBTOTAL(9,D140:D145)</f>
        <v>8510385.3019290026</v>
      </c>
      <c r="E139" s="881">
        <f t="shared" si="72"/>
        <v>8352474.6313008023</v>
      </c>
      <c r="F139" s="881">
        <f t="shared" si="72"/>
        <v>8481833.5140432008</v>
      </c>
      <c r="G139" s="881">
        <f t="shared" si="72"/>
        <v>8938894.618485</v>
      </c>
      <c r="H139" s="881">
        <f t="shared" si="72"/>
        <v>8226641.153402999</v>
      </c>
      <c r="I139" s="881">
        <f t="shared" si="72"/>
        <v>9245788.8803013973</v>
      </c>
      <c r="J139" s="180">
        <f t="shared" si="57"/>
        <v>51756018.099462405</v>
      </c>
      <c r="K139" s="881">
        <f t="shared" ref="K139:P139" si="73">SUBTOTAL(9,K140:K145)</f>
        <v>3545426.516783623</v>
      </c>
      <c r="L139" s="881">
        <f t="shared" si="73"/>
        <v>3479640.9313999144</v>
      </c>
      <c r="M139" s="881">
        <f t="shared" si="73"/>
        <v>3533531.841950397</v>
      </c>
      <c r="N139" s="881">
        <f t="shared" si="73"/>
        <v>3723943.4980608514</v>
      </c>
      <c r="O139" s="881">
        <f t="shared" si="73"/>
        <v>3427218.704507689</v>
      </c>
      <c r="P139" s="881">
        <f t="shared" si="73"/>
        <v>3851795.647533562</v>
      </c>
      <c r="Q139" s="180">
        <f t="shared" si="58"/>
        <v>21561557.140236039</v>
      </c>
      <c r="R139" s="881">
        <f t="shared" si="55"/>
        <v>4964958.7851453796</v>
      </c>
      <c r="S139" s="881">
        <f t="shared" si="55"/>
        <v>4872833.6999008879</v>
      </c>
      <c r="T139" s="881">
        <f t="shared" si="55"/>
        <v>4948301.6720928038</v>
      </c>
      <c r="U139" s="881">
        <f t="shared" si="55"/>
        <v>5214951.1204241486</v>
      </c>
      <c r="V139" s="881">
        <f t="shared" si="55"/>
        <v>4799422.4488953101</v>
      </c>
      <c r="W139" s="881">
        <f t="shared" si="55"/>
        <v>5393993.2327678353</v>
      </c>
      <c r="X139" s="180">
        <f t="shared" si="59"/>
        <v>30194460.959226362</v>
      </c>
      <c r="Y139" s="881"/>
      <c r="Z139" s="881"/>
      <c r="AA139" s="881"/>
      <c r="AB139" s="881"/>
      <c r="AC139" s="881"/>
      <c r="AD139" s="881"/>
      <c r="AE139" s="180"/>
      <c r="AG139" s="1415">
        <f>'PDYG-200'!$D$31</f>
        <v>0.39972132300720115</v>
      </c>
      <c r="AH139" s="1415">
        <f>'PDYG-200'!$E$31</f>
        <v>0.24340000000000001</v>
      </c>
      <c r="AI139" s="1415">
        <f>'PDYG-200'!$F$31</f>
        <v>0.35687867699279885</v>
      </c>
    </row>
    <row r="140" spans="1:35">
      <c r="A140" s="57"/>
      <c r="B140" s="58"/>
      <c r="C140" s="887" t="s">
        <v>969</v>
      </c>
      <c r="D140" s="883">
        <f>F821EVE!D140*$D$154</f>
        <v>87732.091899000021</v>
      </c>
      <c r="E140" s="883">
        <f>F821EVE!E140*$D$154</f>
        <v>85428.872413200006</v>
      </c>
      <c r="F140" s="883">
        <f>F821EVE!F140*$D$154</f>
        <v>87200.764768799985</v>
      </c>
      <c r="G140" s="883">
        <f>F821EVE!G140*$D$154</f>
        <v>91276.421621400004</v>
      </c>
      <c r="H140" s="883">
        <f>F821EVE!H140*$D$154</f>
        <v>84138.092388000005</v>
      </c>
      <c r="I140" s="883">
        <f>F821EVE!I140*$D$154</f>
        <v>89079.034343399995</v>
      </c>
      <c r="J140" s="180">
        <f t="shared" si="57"/>
        <v>524855.27743380005</v>
      </c>
      <c r="K140" s="883">
        <f>F821EVE!K140*$D$154</f>
        <v>36549.18948512341</v>
      </c>
      <c r="L140" s="883">
        <f>F821EVE!L140*$D$154</f>
        <v>35589.668247339127</v>
      </c>
      <c r="M140" s="883">
        <f>F821EVE!M140*$D$154</f>
        <v>36327.838602682081</v>
      </c>
      <c r="N140" s="883">
        <f>F821EVE!N140*$D$154</f>
        <v>38025.757247475245</v>
      </c>
      <c r="O140" s="883">
        <f>F821EVE!O140*$D$154</f>
        <v>35051.929288840809</v>
      </c>
      <c r="P140" s="883">
        <f>F821EVE!P140*$D$154</f>
        <v>37110.325707460441</v>
      </c>
      <c r="Q140" s="180">
        <f t="shared" si="58"/>
        <v>218654.70857892113</v>
      </c>
      <c r="R140" s="883">
        <f t="shared" si="55"/>
        <v>51182.902413876611</v>
      </c>
      <c r="S140" s="883">
        <f t="shared" si="55"/>
        <v>49839.20416586088</v>
      </c>
      <c r="T140" s="883">
        <f t="shared" si="55"/>
        <v>50872.926166117904</v>
      </c>
      <c r="U140" s="883">
        <f t="shared" si="55"/>
        <v>53250.664373924759</v>
      </c>
      <c r="V140" s="883">
        <f t="shared" si="55"/>
        <v>49086.163099159196</v>
      </c>
      <c r="W140" s="883">
        <f t="shared" si="55"/>
        <v>51968.708635939554</v>
      </c>
      <c r="X140" s="180">
        <f t="shared" si="59"/>
        <v>306200.56885487889</v>
      </c>
      <c r="Y140" s="883"/>
      <c r="Z140" s="883"/>
      <c r="AA140" s="883"/>
      <c r="AB140" s="883"/>
      <c r="AC140" s="883"/>
      <c r="AD140" s="883"/>
      <c r="AE140" s="180"/>
      <c r="AG140" s="1415">
        <f>'PDYG-200'!$D$31</f>
        <v>0.39972132300720115</v>
      </c>
      <c r="AH140" s="1415">
        <f>'PDYG-200'!$E$31</f>
        <v>0.24340000000000001</v>
      </c>
      <c r="AI140" s="1415">
        <f>'PDYG-200'!$F$31</f>
        <v>0.35687867699279885</v>
      </c>
    </row>
    <row r="141" spans="1:35">
      <c r="A141" s="57"/>
      <c r="B141" s="58"/>
      <c r="C141" s="887" t="s">
        <v>970</v>
      </c>
      <c r="D141" s="883">
        <f>F821EVE!D141*$D$154</f>
        <v>5647476.0021552024</v>
      </c>
      <c r="E141" s="883">
        <f>F821EVE!E141*$D$154</f>
        <v>5512431.4428402018</v>
      </c>
      <c r="F141" s="883">
        <f>F821EVE!F141*$D$154</f>
        <v>5369313.4376796</v>
      </c>
      <c r="G141" s="883">
        <f>F821EVE!G141*$D$154</f>
        <v>5572013.5094724</v>
      </c>
      <c r="H141" s="883">
        <f>F821EVE!H141*$D$154</f>
        <v>5103755.4856337989</v>
      </c>
      <c r="I141" s="883">
        <f>F821EVE!I141*$D$154</f>
        <v>5507594.7772497861</v>
      </c>
      <c r="J141" s="180">
        <f t="shared" si="57"/>
        <v>32712584.655030988</v>
      </c>
      <c r="K141" s="883">
        <f>F821EVE!K141*$D$154</f>
        <v>2352738.5024978579</v>
      </c>
      <c r="L141" s="883">
        <f>F821EVE!L141*$D$154</f>
        <v>2296478.9390872284</v>
      </c>
      <c r="M141" s="883">
        <f>F821EVE!M141*$D$154</f>
        <v>2236855.9781373213</v>
      </c>
      <c r="N141" s="883">
        <f>F821EVE!N141*$D$154</f>
        <v>2321300.8280462017</v>
      </c>
      <c r="O141" s="883">
        <f>F821EVE!O141*$D$154</f>
        <v>2126224.5353150405</v>
      </c>
      <c r="P141" s="883">
        <f>F821EVE!P141*$D$154</f>
        <v>2294463.9842022606</v>
      </c>
      <c r="Q141" s="180">
        <f t="shared" si="58"/>
        <v>13628062.767285911</v>
      </c>
      <c r="R141" s="883">
        <f t="shared" si="55"/>
        <v>3294737.4996573445</v>
      </c>
      <c r="S141" s="883">
        <f t="shared" si="55"/>
        <v>3215952.5037529734</v>
      </c>
      <c r="T141" s="883">
        <f t="shared" si="55"/>
        <v>3132457.4595422787</v>
      </c>
      <c r="U141" s="883">
        <f t="shared" si="55"/>
        <v>3250712.6814261982</v>
      </c>
      <c r="V141" s="883">
        <f t="shared" si="55"/>
        <v>2977530.9503187584</v>
      </c>
      <c r="W141" s="883">
        <f t="shared" si="55"/>
        <v>3213130.7930475255</v>
      </c>
      <c r="X141" s="180">
        <f t="shared" si="59"/>
        <v>19084521.887745079</v>
      </c>
      <c r="Y141" s="883"/>
      <c r="Z141" s="883"/>
      <c r="AA141" s="883"/>
      <c r="AB141" s="883"/>
      <c r="AC141" s="883"/>
      <c r="AD141" s="883"/>
      <c r="AE141" s="180"/>
      <c r="AG141" s="1415">
        <f>'PDYG-200'!$D$31</f>
        <v>0.39972132300720115</v>
      </c>
      <c r="AH141" s="1415">
        <f>'PDYG-200'!$E$31</f>
        <v>0.24340000000000001</v>
      </c>
      <c r="AI141" s="1415">
        <f>'PDYG-200'!$F$31</f>
        <v>0.35687867699279885</v>
      </c>
    </row>
    <row r="142" spans="1:35">
      <c r="A142" s="57"/>
      <c r="B142" s="58"/>
      <c r="C142" s="887" t="s">
        <v>1011</v>
      </c>
      <c r="D142" s="883">
        <f>F821EVE!D142*$D$154</f>
        <v>110947.87088640002</v>
      </c>
      <c r="E142" s="883">
        <f>F821EVE!E142*$D$154</f>
        <v>108303.88519980002</v>
      </c>
      <c r="F142" s="883">
        <f>F821EVE!F142*$D$154</f>
        <v>106445.41588619997</v>
      </c>
      <c r="G142" s="883">
        <f>F821EVE!G142*$D$154</f>
        <v>108230.35054860004</v>
      </c>
      <c r="H142" s="883">
        <f>F821EVE!H142*$D$154</f>
        <v>93524.276813400007</v>
      </c>
      <c r="I142" s="883">
        <f>F821EVE!I142*$D$154</f>
        <v>104766.58333321181</v>
      </c>
      <c r="J142" s="180">
        <f t="shared" si="57"/>
        <v>632218.38266761194</v>
      </c>
      <c r="K142" s="883">
        <f>F821EVE!K142*$D$154</f>
        <v>46220.883011274251</v>
      </c>
      <c r="L142" s="883">
        <f>F821EVE!L142*$D$154</f>
        <v>45119.398574236693</v>
      </c>
      <c r="M142" s="883">
        <f>F821EVE!M142*$D$154</f>
        <v>44345.16025819091</v>
      </c>
      <c r="N142" s="883">
        <f>F821EVE!N142*$D$154</f>
        <v>45088.764038546775</v>
      </c>
      <c r="O142" s="883">
        <f>F821EVE!O142*$D$154</f>
        <v>38962.213720462445</v>
      </c>
      <c r="P142" s="883">
        <f>F821EVE!P142*$D$154</f>
        <v>43645.75861661604</v>
      </c>
      <c r="Q142" s="180">
        <f t="shared" si="58"/>
        <v>263382.17821932706</v>
      </c>
      <c r="R142" s="883">
        <f t="shared" si="55"/>
        <v>64726.987875125771</v>
      </c>
      <c r="S142" s="883">
        <f t="shared" si="55"/>
        <v>63184.486625563324</v>
      </c>
      <c r="T142" s="883">
        <f t="shared" si="55"/>
        <v>62100.255628009065</v>
      </c>
      <c r="U142" s="883">
        <f t="shared" si="55"/>
        <v>63141.586510053261</v>
      </c>
      <c r="V142" s="883">
        <f t="shared" si="55"/>
        <v>54562.063092937562</v>
      </c>
      <c r="W142" s="883">
        <f t="shared" si="55"/>
        <v>61120.824716595765</v>
      </c>
      <c r="X142" s="180">
        <f t="shared" si="59"/>
        <v>368836.20444828476</v>
      </c>
      <c r="Y142" s="883"/>
      <c r="Z142" s="883"/>
      <c r="AA142" s="883"/>
      <c r="AB142" s="883"/>
      <c r="AC142" s="883"/>
      <c r="AD142" s="883"/>
      <c r="AE142" s="180"/>
      <c r="AG142" s="1415">
        <f>'PDYG-200'!$D$31</f>
        <v>0.39972132300720115</v>
      </c>
      <c r="AH142" s="1415">
        <f>'PDYG-200'!$E$31</f>
        <v>0.24340000000000001</v>
      </c>
      <c r="AI142" s="1415">
        <f>'PDYG-200'!$F$31</f>
        <v>0.35687867699279885</v>
      </c>
    </row>
    <row r="143" spans="1:35">
      <c r="A143" s="57"/>
      <c r="B143" s="58"/>
      <c r="C143" s="887" t="s">
        <v>1012</v>
      </c>
      <c r="D143" s="883">
        <f>F821EVE!D143*$D$154</f>
        <v>1144013.2962533999</v>
      </c>
      <c r="E143" s="883">
        <f>F821EVE!E143*$D$154</f>
        <v>1101133.39005</v>
      </c>
      <c r="F143" s="883">
        <f>F821EVE!F143*$D$154</f>
        <v>1085702.122278</v>
      </c>
      <c r="G143" s="883">
        <f>F821EVE!G143*$D$154</f>
        <v>1133516.0387808001</v>
      </c>
      <c r="H143" s="883">
        <f>F821EVE!H143*$D$154</f>
        <v>1002488.4667655999</v>
      </c>
      <c r="I143" s="883">
        <f>F821EVE!I143*$D$154</f>
        <v>1017639.0618811561</v>
      </c>
      <c r="J143" s="180">
        <f t="shared" si="57"/>
        <v>6484492.3760089558</v>
      </c>
      <c r="K143" s="883">
        <f>F821EVE!K143*$D$154</f>
        <v>476595.93921916641</v>
      </c>
      <c r="L143" s="883">
        <f>F821EVE!L143*$D$154</f>
        <v>458732.17029483005</v>
      </c>
      <c r="M143" s="883">
        <f>F821EVE!M143*$D$154</f>
        <v>452303.50414101483</v>
      </c>
      <c r="N143" s="883">
        <f>F821EVE!N143*$D$154</f>
        <v>472222.78175608133</v>
      </c>
      <c r="O143" s="883">
        <f>F821EVE!O143*$D$154</f>
        <v>417636.69525454898</v>
      </c>
      <c r="P143" s="883">
        <f>F821EVE!P143*$D$154</f>
        <v>423948.43317968963</v>
      </c>
      <c r="Q143" s="180">
        <f t="shared" si="58"/>
        <v>2701439.5238453313</v>
      </c>
      <c r="R143" s="883">
        <f t="shared" si="55"/>
        <v>667417.35703423352</v>
      </c>
      <c r="S143" s="883">
        <f t="shared" si="55"/>
        <v>642401.21975516994</v>
      </c>
      <c r="T143" s="883">
        <f t="shared" si="55"/>
        <v>633398.61813698523</v>
      </c>
      <c r="U143" s="883">
        <f t="shared" si="55"/>
        <v>661293.25702471868</v>
      </c>
      <c r="V143" s="883">
        <f t="shared" si="55"/>
        <v>584851.77151105087</v>
      </c>
      <c r="W143" s="883">
        <f t="shared" si="55"/>
        <v>593690.62870146637</v>
      </c>
      <c r="X143" s="180">
        <f t="shared" si="59"/>
        <v>3783052.852163624</v>
      </c>
      <c r="Y143" s="883"/>
      <c r="Z143" s="883"/>
      <c r="AA143" s="883"/>
      <c r="AB143" s="883"/>
      <c r="AC143" s="883"/>
      <c r="AD143" s="883"/>
      <c r="AE143" s="180"/>
      <c r="AG143" s="1415">
        <f>'PDYG-200'!$D$31</f>
        <v>0.39972132300720115</v>
      </c>
      <c r="AH143" s="1415">
        <f>'PDYG-200'!$E$31</f>
        <v>0.24340000000000001</v>
      </c>
      <c r="AI143" s="1415">
        <f>'PDYG-200'!$F$31</f>
        <v>0.35687867699279885</v>
      </c>
    </row>
    <row r="144" spans="1:35">
      <c r="A144" s="57"/>
      <c r="B144" s="58"/>
      <c r="C144" s="887" t="s">
        <v>1108</v>
      </c>
      <c r="D144" s="883">
        <f>F821EVE!D144*$D$154</f>
        <v>1520216.040735</v>
      </c>
      <c r="E144" s="883">
        <f>F821EVE!E144*$D$154</f>
        <v>1545177.0407975996</v>
      </c>
      <c r="F144" s="883">
        <f>F821EVE!F144*$D$154</f>
        <v>1833171.7734306001</v>
      </c>
      <c r="G144" s="883">
        <f>F821EVE!G144*$D$154</f>
        <v>2033858.2980618002</v>
      </c>
      <c r="H144" s="883">
        <f>F821EVE!H144*$D$154</f>
        <v>1942734.8318021998</v>
      </c>
      <c r="I144" s="883">
        <f>F821EVE!I144*$D$154</f>
        <v>2526709.4234938445</v>
      </c>
      <c r="J144" s="180">
        <f>SUM(D144:I144)</f>
        <v>11401867.408321045</v>
      </c>
      <c r="K144" s="883">
        <f>F821EVE!K144*$D$154</f>
        <v>633322.00257020106</v>
      </c>
      <c r="L144" s="883">
        <f>F821EVE!L144*$D$154</f>
        <v>643720.75519628008</v>
      </c>
      <c r="M144" s="883">
        <f>F821EVE!M144*$D$154</f>
        <v>763699.360811188</v>
      </c>
      <c r="N144" s="883">
        <f>F821EVE!N144*$D$154</f>
        <v>847305.36697254586</v>
      </c>
      <c r="O144" s="883">
        <f>F821EVE!O144*$D$154</f>
        <v>809343.33092879655</v>
      </c>
      <c r="P144" s="883">
        <f>F821EVE!P144*$D$154</f>
        <v>1052627.1458275358</v>
      </c>
      <c r="Q144" s="180">
        <f>SUM(K144:P144)</f>
        <v>4750017.962306547</v>
      </c>
      <c r="R144" s="883">
        <f t="shared" si="55"/>
        <v>886894.03816479899</v>
      </c>
      <c r="S144" s="883">
        <f t="shared" si="55"/>
        <v>901456.28560131951</v>
      </c>
      <c r="T144" s="883">
        <f t="shared" si="55"/>
        <v>1069472.4126194119</v>
      </c>
      <c r="U144" s="883">
        <f t="shared" si="55"/>
        <v>1186552.9310892543</v>
      </c>
      <c r="V144" s="883">
        <f t="shared" si="55"/>
        <v>1133391.5008734032</v>
      </c>
      <c r="W144" s="883">
        <f t="shared" si="55"/>
        <v>1474082.2776663087</v>
      </c>
      <c r="X144" s="180">
        <f>SUM(R144:W144)</f>
        <v>6651849.4460144965</v>
      </c>
      <c r="Y144" s="883"/>
      <c r="Z144" s="883"/>
      <c r="AA144" s="883"/>
      <c r="AB144" s="883"/>
      <c r="AC144" s="883"/>
      <c r="AD144" s="883"/>
      <c r="AE144" s="180"/>
      <c r="AG144" s="1415">
        <f>'PDYG-200'!$D$31</f>
        <v>0.39972132300720115</v>
      </c>
      <c r="AH144" s="1415">
        <f>'PDYG-200'!$E$31</f>
        <v>0.24340000000000001</v>
      </c>
      <c r="AI144" s="1415">
        <f>'PDYG-200'!$F$31</f>
        <v>0.35687867699279885</v>
      </c>
    </row>
    <row r="145" spans="1:43">
      <c r="A145" s="57"/>
      <c r="B145" s="58"/>
      <c r="C145" s="882"/>
      <c r="D145" s="883"/>
      <c r="E145" s="883"/>
      <c r="F145" s="883"/>
      <c r="G145" s="883"/>
      <c r="H145" s="883"/>
      <c r="I145" s="883"/>
      <c r="J145" s="180">
        <f t="shared" si="57"/>
        <v>0</v>
      </c>
      <c r="K145" s="883"/>
      <c r="L145" s="883"/>
      <c r="M145" s="883"/>
      <c r="N145" s="883"/>
      <c r="O145" s="883"/>
      <c r="P145" s="883"/>
      <c r="Q145" s="180">
        <f t="shared" si="58"/>
        <v>0</v>
      </c>
      <c r="R145" s="883">
        <f t="shared" si="55"/>
        <v>0</v>
      </c>
      <c r="S145" s="883">
        <f t="shared" si="55"/>
        <v>0</v>
      </c>
      <c r="T145" s="883">
        <f t="shared" si="55"/>
        <v>0</v>
      </c>
      <c r="U145" s="883">
        <f t="shared" si="55"/>
        <v>0</v>
      </c>
      <c r="V145" s="883">
        <f t="shared" si="55"/>
        <v>0</v>
      </c>
      <c r="W145" s="883">
        <f t="shared" si="55"/>
        <v>0</v>
      </c>
      <c r="X145" s="180">
        <f t="shared" si="59"/>
        <v>0</v>
      </c>
      <c r="Y145" s="883"/>
      <c r="Z145" s="883"/>
      <c r="AA145" s="883"/>
      <c r="AB145" s="883"/>
      <c r="AC145" s="883"/>
      <c r="AD145" s="883"/>
      <c r="AE145" s="180"/>
      <c r="AG145" s="1412"/>
      <c r="AH145" s="1412"/>
      <c r="AI145" s="1412"/>
    </row>
    <row r="146" spans="1:43">
      <c r="A146" s="57"/>
      <c r="B146" s="58"/>
      <c r="C146" s="880" t="s">
        <v>112</v>
      </c>
      <c r="D146" s="881">
        <f t="shared" ref="D146:I146" si="74">SUBTOTAL(9,D114:D145)</f>
        <v>80331583.667584613</v>
      </c>
      <c r="E146" s="881">
        <f t="shared" si="74"/>
        <v>78788015.130468875</v>
      </c>
      <c r="F146" s="881">
        <f t="shared" si="74"/>
        <v>77642582.278514042</v>
      </c>
      <c r="G146" s="881">
        <f t="shared" si="74"/>
        <v>82865133.986698806</v>
      </c>
      <c r="H146" s="881">
        <f t="shared" si="74"/>
        <v>74626016.631640196</v>
      </c>
      <c r="I146" s="881">
        <f t="shared" si="74"/>
        <v>80914986.739212155</v>
      </c>
      <c r="J146" s="180">
        <f t="shared" si="57"/>
        <v>475168318.43411869</v>
      </c>
      <c r="K146" s="881">
        <f t="shared" ref="K146:P146" si="75">SUBTOTAL(9,K114:K145)</f>
        <v>29956705.748673636</v>
      </c>
      <c r="L146" s="881">
        <f t="shared" si="75"/>
        <v>28986944.708273977</v>
      </c>
      <c r="M146" s="881">
        <f t="shared" si="75"/>
        <v>28664239.55006225</v>
      </c>
      <c r="N146" s="881">
        <f t="shared" si="75"/>
        <v>30910084.771213662</v>
      </c>
      <c r="O146" s="881">
        <f t="shared" si="75"/>
        <v>26535917.490728512</v>
      </c>
      <c r="P146" s="881">
        <f t="shared" si="75"/>
        <v>29624605.6550854</v>
      </c>
      <c r="Q146" s="180">
        <f t="shared" si="58"/>
        <v>174678497.92403746</v>
      </c>
      <c r="R146" s="881">
        <f t="shared" si="55"/>
        <v>50374877.91891098</v>
      </c>
      <c r="S146" s="881">
        <f t="shared" si="55"/>
        <v>49801070.422194898</v>
      </c>
      <c r="T146" s="881">
        <f t="shared" si="55"/>
        <v>48978342.728451788</v>
      </c>
      <c r="U146" s="881">
        <f t="shared" si="55"/>
        <v>51955049.215485141</v>
      </c>
      <c r="V146" s="881">
        <f t="shared" si="55"/>
        <v>48090099.140911683</v>
      </c>
      <c r="W146" s="881">
        <f t="shared" si="55"/>
        <v>51290381.084126756</v>
      </c>
      <c r="X146" s="180">
        <f t="shared" si="59"/>
        <v>300489820.51008129</v>
      </c>
      <c r="Y146" s="881"/>
      <c r="Z146" s="881"/>
      <c r="AA146" s="881"/>
      <c r="AB146" s="881"/>
      <c r="AC146" s="881"/>
      <c r="AD146" s="881"/>
      <c r="AE146" s="180"/>
      <c r="AG146" s="1412"/>
      <c r="AH146" s="1412"/>
      <c r="AI146" s="1412"/>
    </row>
    <row r="147" spans="1:43">
      <c r="D147" s="61">
        <f>D146-K146-R146-Y146</f>
        <v>0</v>
      </c>
      <c r="E147" s="61">
        <f t="shared" ref="E147:J147" si="76">E146-L146-S146-Z146</f>
        <v>0</v>
      </c>
      <c r="F147" s="61">
        <f t="shared" si="76"/>
        <v>0</v>
      </c>
      <c r="G147" s="61">
        <f t="shared" si="76"/>
        <v>0</v>
      </c>
      <c r="H147" s="61">
        <f t="shared" si="76"/>
        <v>0</v>
      </c>
      <c r="I147" s="61">
        <f t="shared" si="76"/>
        <v>0</v>
      </c>
      <c r="J147" s="61">
        <f t="shared" si="76"/>
        <v>-5.9604644775390625E-8</v>
      </c>
      <c r="L147" s="60"/>
      <c r="M147" s="60"/>
      <c r="N147" s="60"/>
      <c r="O147" s="60"/>
      <c r="P147" s="60"/>
      <c r="S147" s="60"/>
      <c r="T147" s="60"/>
      <c r="U147" s="60"/>
      <c r="V147" s="60"/>
      <c r="W147" s="60"/>
      <c r="Z147" s="60"/>
      <c r="AA147" s="60"/>
      <c r="AG147" s="1412"/>
      <c r="AH147" s="1412"/>
      <c r="AI147" s="1412"/>
    </row>
    <row r="148" spans="1:43">
      <c r="D148" s="61">
        <f t="shared" ref="D148:J148" si="77">D114+D122+D135-D146</f>
        <v>0</v>
      </c>
      <c r="E148" s="61">
        <f t="shared" si="77"/>
        <v>0</v>
      </c>
      <c r="F148" s="61">
        <f t="shared" si="77"/>
        <v>0</v>
      </c>
      <c r="G148" s="61">
        <f t="shared" si="77"/>
        <v>0</v>
      </c>
      <c r="H148" s="61">
        <f t="shared" si="77"/>
        <v>0</v>
      </c>
      <c r="I148" s="61">
        <f t="shared" si="77"/>
        <v>0</v>
      </c>
      <c r="J148" s="61">
        <f t="shared" si="77"/>
        <v>0</v>
      </c>
      <c r="L148" s="60"/>
      <c r="M148" s="60"/>
      <c r="N148" s="60"/>
      <c r="O148" s="60"/>
      <c r="P148" s="60"/>
      <c r="S148" s="60"/>
      <c r="T148" s="60"/>
      <c r="U148" s="60"/>
      <c r="V148" s="60"/>
      <c r="W148" s="60"/>
      <c r="Z148" s="60"/>
      <c r="AA148" s="60"/>
      <c r="AG148" s="1412"/>
      <c r="AH148" s="1412"/>
      <c r="AI148" s="1412"/>
    </row>
    <row r="149" spans="1:43">
      <c r="A149" s="57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1646"/>
      <c r="Z149" s="1646"/>
      <c r="AA149" s="1646"/>
      <c r="AB149" s="1646"/>
      <c r="AC149" s="1646"/>
      <c r="AD149" s="1646"/>
      <c r="AE149" s="1646"/>
      <c r="AG149" s="1412"/>
      <c r="AH149" s="1412"/>
      <c r="AI149" s="1412"/>
    </row>
    <row r="150" spans="1:43" ht="18.75">
      <c r="C150" s="59" t="str">
        <f>'PORTADA PORTADA PORTADA'!$B$23</f>
        <v>1 DE JULIO DE 2026</v>
      </c>
      <c r="E150" s="60"/>
      <c r="F150" s="60"/>
      <c r="G150" s="60"/>
      <c r="H150" s="60"/>
      <c r="I150" s="60"/>
      <c r="J150" s="520"/>
      <c r="AG150" s="1412"/>
      <c r="AH150" s="1412"/>
      <c r="AI150" s="1412"/>
    </row>
    <row r="151" spans="1:43">
      <c r="K151" s="1647">
        <f t="shared" ref="K151:Q151" si="78">K109/D109</f>
        <v>0.26878811609271552</v>
      </c>
      <c r="L151" s="1647">
        <f t="shared" si="78"/>
        <v>0.26873001496320753</v>
      </c>
      <c r="M151" s="1647">
        <f t="shared" si="78"/>
        <v>0.26855360948065499</v>
      </c>
      <c r="N151" s="1647">
        <f t="shared" si="78"/>
        <v>0.26858805668215041</v>
      </c>
      <c r="O151" s="1647">
        <f t="shared" si="78"/>
        <v>0.26824879721274975</v>
      </c>
      <c r="P151" s="1647">
        <f t="shared" si="78"/>
        <v>0.2682157662127353</v>
      </c>
      <c r="Q151" s="1648">
        <f t="shared" si="78"/>
        <v>0.268524720695827</v>
      </c>
    </row>
    <row r="152" spans="1:43">
      <c r="C152" s="525" t="s">
        <v>977</v>
      </c>
      <c r="D152" s="560">
        <f t="shared" ref="D152:I152" si="79">D159*$D$154</f>
        <v>283277659.15799999</v>
      </c>
      <c r="E152" s="560">
        <f t="shared" si="79"/>
        <v>283395883.08600003</v>
      </c>
      <c r="F152" s="560">
        <f t="shared" si="79"/>
        <v>278043298.542</v>
      </c>
      <c r="G152" s="560">
        <f t="shared" si="79"/>
        <v>282424442.68800002</v>
      </c>
      <c r="H152" s="560">
        <f t="shared" si="79"/>
        <v>270187056.486</v>
      </c>
      <c r="I152" s="560">
        <f t="shared" si="79"/>
        <v>271453117.91400003</v>
      </c>
      <c r="J152" s="560">
        <f>SUM(D152:I152)</f>
        <v>1668781457.8740001</v>
      </c>
      <c r="K152" s="558">
        <f t="shared" ref="K152:Q152" si="80">K10/D10</f>
        <v>0.31269606137313222</v>
      </c>
      <c r="L152" s="558">
        <f t="shared" si="80"/>
        <v>0.31269606137313211</v>
      </c>
      <c r="M152" s="558">
        <f t="shared" si="80"/>
        <v>0.31269606137313216</v>
      </c>
      <c r="N152" s="558">
        <f t="shared" si="80"/>
        <v>0.31269606137313216</v>
      </c>
      <c r="O152" s="558">
        <f t="shared" si="80"/>
        <v>0.31269606137313216</v>
      </c>
      <c r="P152" s="558">
        <f t="shared" si="80"/>
        <v>0.31269606137313222</v>
      </c>
      <c r="Q152" s="559">
        <f t="shared" si="80"/>
        <v>0.31269606137313227</v>
      </c>
      <c r="S152" s="60"/>
      <c r="T152" s="60"/>
      <c r="Z152" s="60"/>
      <c r="AA152" s="60"/>
    </row>
    <row r="153" spans="1:43" ht="14.25" thickBot="1">
      <c r="C153" s="61" t="s">
        <v>452</v>
      </c>
      <c r="D153" s="61">
        <f t="shared" ref="D153:J153" si="81">D152-D107</f>
        <v>0</v>
      </c>
      <c r="E153" s="61">
        <f t="shared" si="81"/>
        <v>0</v>
      </c>
      <c r="F153" s="61">
        <f t="shared" si="81"/>
        <v>0</v>
      </c>
      <c r="G153" s="61">
        <f t="shared" si="81"/>
        <v>0</v>
      </c>
      <c r="H153" s="61">
        <f t="shared" si="81"/>
        <v>0</v>
      </c>
      <c r="I153" s="61">
        <f t="shared" si="81"/>
        <v>0</v>
      </c>
      <c r="J153" s="61">
        <f t="shared" si="81"/>
        <v>0</v>
      </c>
      <c r="K153" s="558">
        <f t="shared" ref="K153:Q153" si="82">K21/D21</f>
        <v>0.39972132300720115</v>
      </c>
      <c r="L153" s="558">
        <f t="shared" si="82"/>
        <v>0.39972132300720109</v>
      </c>
      <c r="M153" s="558">
        <f t="shared" si="82"/>
        <v>0.3997213230072012</v>
      </c>
      <c r="N153" s="558">
        <f t="shared" si="82"/>
        <v>0.39972132300720109</v>
      </c>
      <c r="O153" s="558">
        <f t="shared" si="82"/>
        <v>0.39972132300720115</v>
      </c>
      <c r="P153" s="558">
        <f t="shared" si="82"/>
        <v>0.39972132300720109</v>
      </c>
      <c r="Q153" s="559">
        <f t="shared" si="82"/>
        <v>0.3997213230072012</v>
      </c>
      <c r="S153" s="60"/>
      <c r="T153" s="60"/>
      <c r="Z153" s="60"/>
      <c r="AA153" s="60"/>
    </row>
    <row r="154" spans="1:43" ht="14.25" thickBot="1">
      <c r="C154" s="61" t="s">
        <v>1229</v>
      </c>
      <c r="D154" s="561">
        <v>1.026</v>
      </c>
      <c r="K154" s="562">
        <f t="shared" ref="K154:Q154" si="83">K14/D14</f>
        <v>0.31269606137313216</v>
      </c>
      <c r="L154" s="562">
        <f t="shared" si="83"/>
        <v>0.31269606137313216</v>
      </c>
      <c r="M154" s="562">
        <f t="shared" si="83"/>
        <v>0.31269606137313211</v>
      </c>
      <c r="N154" s="562">
        <f t="shared" si="83"/>
        <v>0.31269606137313216</v>
      </c>
      <c r="O154" s="562">
        <f t="shared" si="83"/>
        <v>0.31269606137313216</v>
      </c>
      <c r="P154" s="562">
        <f t="shared" si="83"/>
        <v>0.31269606137313222</v>
      </c>
      <c r="Q154" s="258">
        <f t="shared" si="83"/>
        <v>0.31269606137313211</v>
      </c>
      <c r="S154" s="60"/>
      <c r="T154" s="60"/>
      <c r="Z154" s="60"/>
      <c r="AA154" s="60"/>
    </row>
    <row r="155" spans="1:43">
      <c r="C155" s="525"/>
      <c r="D155" s="61"/>
      <c r="E155" s="61"/>
      <c r="F155" s="61"/>
      <c r="G155" s="61"/>
      <c r="H155" s="61"/>
      <c r="I155" s="61"/>
      <c r="J155" s="61"/>
      <c r="K155" s="562">
        <f>AG27</f>
        <v>0.39972132300720115</v>
      </c>
      <c r="L155" s="563">
        <f t="shared" ref="L155:Q155" si="84">K155</f>
        <v>0.39972132300720115</v>
      </c>
      <c r="M155" s="563">
        <f t="shared" si="84"/>
        <v>0.39972132300720115</v>
      </c>
      <c r="N155" s="563">
        <f t="shared" si="84"/>
        <v>0.39972132300720115</v>
      </c>
      <c r="O155" s="563">
        <f t="shared" si="84"/>
        <v>0.39972132300720115</v>
      </c>
      <c r="P155" s="563">
        <f t="shared" si="84"/>
        <v>0.39972132300720115</v>
      </c>
      <c r="Q155" s="564">
        <f t="shared" si="84"/>
        <v>0.39972132300720115</v>
      </c>
      <c r="S155" s="60"/>
      <c r="T155" s="60"/>
      <c r="Z155" s="60"/>
      <c r="AA155" s="60"/>
    </row>
    <row r="156" spans="1:43">
      <c r="C156" s="525"/>
      <c r="D156" s="61"/>
      <c r="E156" s="61"/>
      <c r="F156" s="61"/>
      <c r="G156" s="61"/>
      <c r="H156" s="61"/>
      <c r="I156" s="61"/>
      <c r="J156" s="61"/>
      <c r="S156" s="60"/>
      <c r="T156" s="60"/>
      <c r="Z156" s="60"/>
      <c r="AA156" s="60"/>
    </row>
    <row r="157" spans="1:43" s="1494" customFormat="1" ht="22.5" customHeight="1">
      <c r="B157" s="565"/>
      <c r="C157" s="1512"/>
      <c r="D157" s="1496" t="s">
        <v>810</v>
      </c>
      <c r="E157" s="1496"/>
      <c r="F157" s="1496"/>
      <c r="G157" s="1496"/>
      <c r="H157" s="1496"/>
      <c r="I157" s="1496"/>
      <c r="J157" s="1502"/>
      <c r="K157" s="1496" t="s">
        <v>811</v>
      </c>
      <c r="L157" s="1497"/>
      <c r="M157" s="1497"/>
      <c r="N157" s="1497"/>
      <c r="O157" s="1497"/>
      <c r="P157" s="1497"/>
      <c r="Q157" s="1502"/>
      <c r="R157" s="1496" t="s">
        <v>812</v>
      </c>
      <c r="S157" s="1497"/>
      <c r="T157" s="1497"/>
      <c r="U157" s="1497"/>
      <c r="V157" s="1497"/>
      <c r="W157" s="1497"/>
      <c r="X157" s="1502"/>
      <c r="Y157" s="37"/>
      <c r="Z157" s="60"/>
      <c r="AA157" s="60"/>
      <c r="AB157" s="37"/>
      <c r="AC157" s="37"/>
      <c r="AD157" s="37"/>
      <c r="AE157" s="37"/>
      <c r="AQ157" s="1495"/>
    </row>
    <row r="158" spans="1:43" s="51" customFormat="1" ht="21">
      <c r="C158" s="1513" t="s">
        <v>1733</v>
      </c>
      <c r="D158" s="1388">
        <f>F821EVE!D113</f>
        <v>45839</v>
      </c>
      <c r="E158" s="1388">
        <f>F821EVE!E113</f>
        <v>45870</v>
      </c>
      <c r="F158" s="1388">
        <f>F821EVE!F113</f>
        <v>45901</v>
      </c>
      <c r="G158" s="1388">
        <f>F821EVE!G113</f>
        <v>45931</v>
      </c>
      <c r="H158" s="1388">
        <f>F821EVE!H113</f>
        <v>45962</v>
      </c>
      <c r="I158" s="1388">
        <f>F821EVE!I113</f>
        <v>45992</v>
      </c>
      <c r="J158" s="1503" t="str">
        <f>F821EVE!J113</f>
        <v>TOTAL</v>
      </c>
      <c r="K158" s="1388">
        <f>F821EVE!K113</f>
        <v>45839</v>
      </c>
      <c r="L158" s="1388">
        <f>F821EVE!L113</f>
        <v>45870</v>
      </c>
      <c r="M158" s="1388">
        <f>F821EVE!M113</f>
        <v>45901</v>
      </c>
      <c r="N158" s="1388">
        <f>F821EVE!N113</f>
        <v>45931</v>
      </c>
      <c r="O158" s="1388">
        <f>F821EVE!O113</f>
        <v>45962</v>
      </c>
      <c r="P158" s="1388">
        <f>F821EVE!P113</f>
        <v>45992</v>
      </c>
      <c r="Q158" s="1503" t="s">
        <v>154</v>
      </c>
      <c r="R158" s="1388">
        <f>F821EVE!R113</f>
        <v>45839</v>
      </c>
      <c r="S158" s="1388">
        <f>F821EVE!S113</f>
        <v>45870</v>
      </c>
      <c r="T158" s="1388">
        <f>F821EVE!T113</f>
        <v>45901</v>
      </c>
      <c r="U158" s="1388">
        <f>F821EVE!U113</f>
        <v>45931</v>
      </c>
      <c r="V158" s="1388">
        <f>F821EVE!V113</f>
        <v>45962</v>
      </c>
      <c r="W158" s="1388">
        <f>F821EVE!W113</f>
        <v>45992</v>
      </c>
      <c r="X158" s="1503" t="s">
        <v>154</v>
      </c>
      <c r="Y158" s="37"/>
      <c r="Z158" s="60"/>
      <c r="AA158" s="60"/>
      <c r="AB158" s="37"/>
      <c r="AC158" s="37"/>
      <c r="AD158" s="37"/>
      <c r="AE158" s="37"/>
      <c r="AG158" s="1414"/>
      <c r="AH158" s="1414"/>
      <c r="AI158" s="1414"/>
      <c r="AQ158" s="1166"/>
    </row>
    <row r="159" spans="1:43">
      <c r="C159" s="1514" t="s">
        <v>796</v>
      </c>
      <c r="D159" s="1498">
        <f>F821EVE!D107</f>
        <v>276099083</v>
      </c>
      <c r="E159" s="1498">
        <f>F821EVE!E107</f>
        <v>276214311</v>
      </c>
      <c r="F159" s="1498">
        <f>F821EVE!F107</f>
        <v>270997367</v>
      </c>
      <c r="G159" s="1498">
        <f>F821EVE!G107</f>
        <v>275267488</v>
      </c>
      <c r="H159" s="1498">
        <f>F821EVE!H107</f>
        <v>263340211</v>
      </c>
      <c r="I159" s="1498">
        <f>F821EVE!I107</f>
        <v>264574189</v>
      </c>
      <c r="J159" s="1504">
        <f>F821EVE!J107</f>
        <v>1626492649</v>
      </c>
      <c r="K159" s="1498">
        <f>F821D!D107</f>
        <v>355924</v>
      </c>
      <c r="L159" s="1498">
        <f>F821D!E107</f>
        <v>364001</v>
      </c>
      <c r="M159" s="1498">
        <f>F821D!F107</f>
        <v>361042</v>
      </c>
      <c r="N159" s="1498">
        <f>F821D!G107</f>
        <v>355048</v>
      </c>
      <c r="O159" s="1498">
        <f>F821D!H107</f>
        <v>356762</v>
      </c>
      <c r="P159" s="1498">
        <f>F821D!I107</f>
        <v>353297</v>
      </c>
      <c r="Q159" s="1504">
        <f>AVERAGE(K159:P159)</f>
        <v>357679</v>
      </c>
      <c r="R159" s="1498">
        <f>F821C!D107</f>
        <v>537044</v>
      </c>
      <c r="S159" s="1498">
        <f>F821C!E107</f>
        <v>538060</v>
      </c>
      <c r="T159" s="1498">
        <f>F821C!F107</f>
        <v>537864</v>
      </c>
      <c r="U159" s="1498">
        <f>F821C!G107</f>
        <v>538129</v>
      </c>
      <c r="V159" s="1498">
        <f>F821C!H107</f>
        <v>536651</v>
      </c>
      <c r="W159" s="1498">
        <f>F821C!I107</f>
        <v>538420</v>
      </c>
      <c r="X159" s="1504">
        <f>AVERAGE(R159:W159)</f>
        <v>537694.66666666663</v>
      </c>
      <c r="Z159" s="60"/>
      <c r="AA159" s="60"/>
    </row>
    <row r="160" spans="1:43">
      <c r="C160" s="1514" t="s">
        <v>799</v>
      </c>
      <c r="D160" s="1498">
        <f>F821EVE!D108</f>
        <v>6692707</v>
      </c>
      <c r="E160" s="1498">
        <f>F821EVE!E108</f>
        <v>6693541</v>
      </c>
      <c r="F160" s="1498">
        <f>F821EVE!F108</f>
        <v>6660739</v>
      </c>
      <c r="G160" s="1498">
        <f>F821EVE!G108</f>
        <v>6662419</v>
      </c>
      <c r="H160" s="1498">
        <f>F821EVE!H108</f>
        <v>6629164</v>
      </c>
      <c r="I160" s="1498">
        <f>F821EVE!I108</f>
        <v>6579829</v>
      </c>
      <c r="J160" s="1504">
        <f>F821EVE!J108</f>
        <v>39918399</v>
      </c>
      <c r="K160" s="1498"/>
      <c r="L160" s="1498"/>
      <c r="M160" s="1498"/>
      <c r="N160" s="1498"/>
      <c r="O160" s="1498"/>
      <c r="P160" s="1498"/>
      <c r="Q160" s="1504"/>
      <c r="R160" s="1498"/>
      <c r="S160" s="1498"/>
      <c r="T160" s="1498"/>
      <c r="U160" s="1498"/>
      <c r="V160" s="1498"/>
      <c r="W160" s="1498"/>
      <c r="X160" s="1504"/>
      <c r="Z160" s="60"/>
      <c r="AA160" s="60"/>
    </row>
    <row r="161" spans="3:43">
      <c r="C161" s="1514" t="s">
        <v>797</v>
      </c>
      <c r="D161" s="1498">
        <f>F821EVE!D146</f>
        <v>88736882.514215022</v>
      </c>
      <c r="E161" s="1498">
        <f>F821EVE!E146</f>
        <v>85915695.020995006</v>
      </c>
      <c r="F161" s="1498">
        <f>F821EVE!F146</f>
        <v>85216320.238540009</v>
      </c>
      <c r="G161" s="1498">
        <f>F821EVE!G146</f>
        <v>90843240.803800002</v>
      </c>
      <c r="H161" s="1498">
        <f>F821EVE!H146</f>
        <v>79770451.04869999</v>
      </c>
      <c r="I161" s="1498">
        <f>F821EVE!I146</f>
        <v>78864509.492409497</v>
      </c>
      <c r="J161" s="1504">
        <f>F821EVE!J146</f>
        <v>509347099.1186595</v>
      </c>
      <c r="K161" s="1498">
        <f>F821D!D146</f>
        <v>166258.66476666791</v>
      </c>
      <c r="L161" s="1498">
        <f>F821D!E146</f>
        <v>161866.70589601877</v>
      </c>
      <c r="M161" s="1498">
        <f>F821D!F146</f>
        <v>167838.97260552927</v>
      </c>
      <c r="N161" s="1498">
        <f>F821D!G146</f>
        <v>168562.85253226102</v>
      </c>
      <c r="O161" s="1498">
        <f>F821D!H146</f>
        <v>168968.04421856243</v>
      </c>
      <c r="P161" s="1498">
        <f>F821D!I146</f>
        <v>169596.5380567</v>
      </c>
      <c r="Q161" s="1504">
        <f>AVERAGE(K161:P161)</f>
        <v>167181.96301262322</v>
      </c>
      <c r="R161" s="1498">
        <f>F821C!D146</f>
        <v>281</v>
      </c>
      <c r="S161" s="1498">
        <f>F821C!E146</f>
        <v>279</v>
      </c>
      <c r="T161" s="1498">
        <f>F821C!F146</f>
        <v>283</v>
      </c>
      <c r="U161" s="1498">
        <f>F821C!G146</f>
        <v>287</v>
      </c>
      <c r="V161" s="1498">
        <f>F821C!H146</f>
        <v>292</v>
      </c>
      <c r="W161" s="1498">
        <f>F821C!I146</f>
        <v>297</v>
      </c>
      <c r="X161" s="1504">
        <f>AVERAGE(R161:W161)</f>
        <v>286.5</v>
      </c>
      <c r="Z161" s="60"/>
      <c r="AA161" s="60"/>
    </row>
    <row r="162" spans="3:43">
      <c r="C162" s="1515" t="s">
        <v>798</v>
      </c>
      <c r="D162" s="1499">
        <f t="shared" ref="D162:P162" si="85">SUM(D159:D161)</f>
        <v>371528672.51421499</v>
      </c>
      <c r="E162" s="1499">
        <f t="shared" si="85"/>
        <v>368823547.02099502</v>
      </c>
      <c r="F162" s="1499">
        <f t="shared" si="85"/>
        <v>362874426.23853999</v>
      </c>
      <c r="G162" s="1499">
        <f t="shared" si="85"/>
        <v>372773147.80379999</v>
      </c>
      <c r="H162" s="1499">
        <f t="shared" si="85"/>
        <v>349739826.04869998</v>
      </c>
      <c r="I162" s="1499">
        <f t="shared" si="85"/>
        <v>350018527.49240947</v>
      </c>
      <c r="J162" s="1505">
        <f t="shared" si="85"/>
        <v>2175758147.1186595</v>
      </c>
      <c r="K162" s="1499">
        <f t="shared" si="85"/>
        <v>522182.66476666788</v>
      </c>
      <c r="L162" s="1499">
        <f t="shared" si="85"/>
        <v>525867.70589601877</v>
      </c>
      <c r="M162" s="1499">
        <f t="shared" si="85"/>
        <v>528880.97260552924</v>
      </c>
      <c r="N162" s="1499">
        <f t="shared" si="85"/>
        <v>523610.85253226105</v>
      </c>
      <c r="O162" s="1499">
        <f t="shared" si="85"/>
        <v>525730.04421856243</v>
      </c>
      <c r="P162" s="1499">
        <f t="shared" si="85"/>
        <v>522893.53805670002</v>
      </c>
      <c r="Q162" s="1505">
        <f>AVERAGE(K162:P162)</f>
        <v>524860.96301262325</v>
      </c>
      <c r="R162" s="1499">
        <f t="shared" ref="R162:W162" si="86">SUM(R159:R161)</f>
        <v>537325</v>
      </c>
      <c r="S162" s="1499">
        <f t="shared" si="86"/>
        <v>538339</v>
      </c>
      <c r="T162" s="1499">
        <f t="shared" si="86"/>
        <v>538147</v>
      </c>
      <c r="U162" s="1499">
        <f t="shared" si="86"/>
        <v>538416</v>
      </c>
      <c r="V162" s="1499">
        <f t="shared" si="86"/>
        <v>536943</v>
      </c>
      <c r="W162" s="1499">
        <f t="shared" si="86"/>
        <v>538717</v>
      </c>
      <c r="X162" s="1505">
        <f>AVERAGE(R162:W162)</f>
        <v>537981.16666666663</v>
      </c>
      <c r="Z162" s="60"/>
      <c r="AA162" s="60"/>
    </row>
    <row r="163" spans="3:43">
      <c r="C163" s="1514"/>
      <c r="D163" s="61"/>
      <c r="E163" s="61"/>
      <c r="F163" s="61"/>
      <c r="G163" s="61"/>
      <c r="H163" s="61"/>
      <c r="I163" s="61"/>
      <c r="J163" s="1506"/>
      <c r="K163" s="61"/>
      <c r="L163" s="61"/>
      <c r="M163" s="61"/>
      <c r="N163" s="61"/>
      <c r="O163" s="61"/>
      <c r="P163" s="61"/>
      <c r="Q163" s="1506"/>
      <c r="R163" s="61"/>
      <c r="S163" s="61"/>
      <c r="T163" s="61"/>
      <c r="U163" s="61"/>
      <c r="V163" s="61"/>
      <c r="W163" s="61"/>
      <c r="X163" s="1506"/>
      <c r="Z163" s="60"/>
      <c r="AA163" s="60"/>
    </row>
    <row r="164" spans="3:43" s="51" customFormat="1" ht="21">
      <c r="C164" s="1516" t="s">
        <v>1734</v>
      </c>
      <c r="D164" s="1388">
        <f t="shared" ref="D164:P164" si="87">D4</f>
        <v>46204</v>
      </c>
      <c r="E164" s="1388">
        <f t="shared" si="87"/>
        <v>46235</v>
      </c>
      <c r="F164" s="1388">
        <f t="shared" si="87"/>
        <v>46266</v>
      </c>
      <c r="G164" s="1388">
        <f t="shared" si="87"/>
        <v>46296</v>
      </c>
      <c r="H164" s="1388">
        <f t="shared" si="87"/>
        <v>46327</v>
      </c>
      <c r="I164" s="1388">
        <f t="shared" si="87"/>
        <v>46357</v>
      </c>
      <c r="J164" s="1503" t="str">
        <f t="shared" si="87"/>
        <v>TOTAL</v>
      </c>
      <c r="K164" s="1388">
        <f t="shared" si="87"/>
        <v>46204</v>
      </c>
      <c r="L164" s="1388">
        <f t="shared" si="87"/>
        <v>46235</v>
      </c>
      <c r="M164" s="1388">
        <f t="shared" si="87"/>
        <v>46266</v>
      </c>
      <c r="N164" s="1388">
        <f t="shared" si="87"/>
        <v>46296</v>
      </c>
      <c r="O164" s="1388">
        <f t="shared" si="87"/>
        <v>46327</v>
      </c>
      <c r="P164" s="1388">
        <f t="shared" si="87"/>
        <v>46357</v>
      </c>
      <c r="Q164" s="1503" t="s">
        <v>154</v>
      </c>
      <c r="R164" s="1388">
        <f t="shared" ref="R164:W164" si="88">R4</f>
        <v>46204</v>
      </c>
      <c r="S164" s="1388">
        <f t="shared" si="88"/>
        <v>46235</v>
      </c>
      <c r="T164" s="1388">
        <f t="shared" si="88"/>
        <v>46266</v>
      </c>
      <c r="U164" s="1388">
        <f t="shared" si="88"/>
        <v>46296</v>
      </c>
      <c r="V164" s="1388">
        <f t="shared" si="88"/>
        <v>46327</v>
      </c>
      <c r="W164" s="1388">
        <f t="shared" si="88"/>
        <v>46357</v>
      </c>
      <c r="X164" s="1503" t="s">
        <v>154</v>
      </c>
      <c r="Y164" s="37"/>
      <c r="Z164" s="60"/>
      <c r="AA164" s="60"/>
      <c r="AB164" s="37"/>
      <c r="AC164" s="37"/>
      <c r="AD164" s="37"/>
      <c r="AE164" s="37"/>
      <c r="AG164" s="1414"/>
      <c r="AH164" s="1414"/>
      <c r="AI164" s="1414"/>
      <c r="AQ164" s="1166"/>
    </row>
    <row r="165" spans="3:43">
      <c r="C165" s="1517" t="s">
        <v>796</v>
      </c>
      <c r="D165" s="1500">
        <f t="shared" ref="D165:J166" si="89">D107</f>
        <v>283277659.15799999</v>
      </c>
      <c r="E165" s="1500">
        <f t="shared" si="89"/>
        <v>283395883.08599997</v>
      </c>
      <c r="F165" s="1500">
        <f t="shared" si="89"/>
        <v>278043298.542</v>
      </c>
      <c r="G165" s="1500">
        <f t="shared" si="89"/>
        <v>282424442.68799996</v>
      </c>
      <c r="H165" s="1500">
        <f t="shared" si="89"/>
        <v>270187056.486</v>
      </c>
      <c r="I165" s="1500">
        <f t="shared" si="89"/>
        <v>271453117.91399997</v>
      </c>
      <c r="J165" s="1507">
        <f t="shared" si="89"/>
        <v>1668781457.8740001</v>
      </c>
      <c r="K165" s="1500">
        <f>F801D!D107</f>
        <v>360103.65357176092</v>
      </c>
      <c r="L165" s="1500">
        <f>F801D!E107</f>
        <v>360253.94017774006</v>
      </c>
      <c r="M165" s="1500">
        <f>F801D!F107</f>
        <v>365231.34288170375</v>
      </c>
      <c r="N165" s="1500">
        <f>F801D!G107</f>
        <v>359019.04227850609</v>
      </c>
      <c r="O165" s="1500">
        <f>F801D!H107</f>
        <v>354911.56887206988</v>
      </c>
      <c r="P165" s="1500">
        <f>F801D!I107</f>
        <v>345072.26186550327</v>
      </c>
      <c r="Q165" s="1507">
        <f>AVERAGE(K165:P165)</f>
        <v>357431.96827454731</v>
      </c>
      <c r="R165" s="1500">
        <f>F801C!D107</f>
        <v>551009</v>
      </c>
      <c r="S165" s="1500">
        <f>F801C!E107</f>
        <v>552053</v>
      </c>
      <c r="T165" s="1500">
        <f>F801C!F107</f>
        <v>551850</v>
      </c>
      <c r="U165" s="1500">
        <f>F801C!G107</f>
        <v>552122</v>
      </c>
      <c r="V165" s="1500">
        <f>F801C!H107</f>
        <v>550607</v>
      </c>
      <c r="W165" s="1500">
        <f>F801C!I107</f>
        <v>552421</v>
      </c>
      <c r="X165" s="1507">
        <f>AVERAGE(R165:W165)</f>
        <v>551677</v>
      </c>
      <c r="Z165" s="60"/>
      <c r="AA165" s="60"/>
    </row>
    <row r="166" spans="3:43">
      <c r="C166" s="1517" t="s">
        <v>799</v>
      </c>
      <c r="D166" s="1500">
        <f t="shared" si="89"/>
        <v>6366423</v>
      </c>
      <c r="E166" s="1500">
        <f t="shared" si="89"/>
        <v>6431729</v>
      </c>
      <c r="F166" s="1500">
        <f t="shared" si="89"/>
        <v>6497035</v>
      </c>
      <c r="G166" s="1500">
        <f t="shared" si="89"/>
        <v>6562341</v>
      </c>
      <c r="H166" s="1500">
        <f t="shared" si="89"/>
        <v>6627647</v>
      </c>
      <c r="I166" s="1500">
        <f t="shared" si="89"/>
        <v>6692953</v>
      </c>
      <c r="J166" s="1507">
        <f t="shared" si="89"/>
        <v>39178128</v>
      </c>
      <c r="K166" s="1500"/>
      <c r="L166" s="1500"/>
      <c r="M166" s="1500"/>
      <c r="N166" s="1500"/>
      <c r="O166" s="1500"/>
      <c r="P166" s="1500"/>
      <c r="Q166" s="1507"/>
      <c r="R166" s="1500"/>
      <c r="S166" s="1500"/>
      <c r="T166" s="1500"/>
      <c r="U166" s="1500"/>
      <c r="V166" s="1500"/>
      <c r="W166" s="1500"/>
      <c r="X166" s="1507"/>
      <c r="Z166" s="60"/>
      <c r="AA166" s="60"/>
    </row>
    <row r="167" spans="3:43">
      <c r="C167" s="1517" t="s">
        <v>797</v>
      </c>
      <c r="D167" s="1500">
        <f t="shared" ref="D167:J167" si="90">D146</f>
        <v>80331583.667584613</v>
      </c>
      <c r="E167" s="1500">
        <f t="shared" si="90"/>
        <v>78788015.130468875</v>
      </c>
      <c r="F167" s="1500">
        <f t="shared" si="90"/>
        <v>77642582.278514042</v>
      </c>
      <c r="G167" s="1500">
        <f t="shared" si="90"/>
        <v>82865133.986698806</v>
      </c>
      <c r="H167" s="1500">
        <f t="shared" si="90"/>
        <v>74626016.631640196</v>
      </c>
      <c r="I167" s="1500">
        <f t="shared" si="90"/>
        <v>80914986.739212155</v>
      </c>
      <c r="J167" s="1507">
        <f t="shared" si="90"/>
        <v>475168318.43411869</v>
      </c>
      <c r="K167" s="1500">
        <f>F801D!D146</f>
        <v>169583.8380620013</v>
      </c>
      <c r="L167" s="1500">
        <f>F801D!E146</f>
        <v>165104.04001393917</v>
      </c>
      <c r="M167" s="1500">
        <f>F801D!F146</f>
        <v>171195.75205763991</v>
      </c>
      <c r="N167" s="1500">
        <f>F801D!G146</f>
        <v>171934.10958290624</v>
      </c>
      <c r="O167" s="1500">
        <f>F801D!H146</f>
        <v>172347.4051029337</v>
      </c>
      <c r="P167" s="1500">
        <f>F801D!I146</f>
        <v>172988.46881783401</v>
      </c>
      <c r="Q167" s="1507">
        <f>AVERAGE(K167:P167)</f>
        <v>170525.60227287572</v>
      </c>
      <c r="R167" s="1500">
        <f>F801C!D146</f>
        <v>297</v>
      </c>
      <c r="S167" s="1500">
        <f>F801C!E146</f>
        <v>297</v>
      </c>
      <c r="T167" s="1500">
        <f>F801C!F146</f>
        <v>297</v>
      </c>
      <c r="U167" s="1500">
        <f>F801C!G146</f>
        <v>297</v>
      </c>
      <c r="V167" s="1500">
        <f>F801C!H146</f>
        <v>297</v>
      </c>
      <c r="W167" s="1500">
        <f>F801C!I146</f>
        <v>297</v>
      </c>
      <c r="X167" s="1507">
        <f>AVERAGE(R167:W167)</f>
        <v>297</v>
      </c>
      <c r="Z167" s="60"/>
      <c r="AA167" s="60"/>
    </row>
    <row r="168" spans="3:43">
      <c r="C168" s="1517" t="s">
        <v>798</v>
      </c>
      <c r="D168" s="1501">
        <f t="shared" ref="D168:P168" si="91">SUM(D165:D167)</f>
        <v>369975665.82558459</v>
      </c>
      <c r="E168" s="1501">
        <f t="shared" si="91"/>
        <v>368615627.21646881</v>
      </c>
      <c r="F168" s="1501">
        <f t="shared" si="91"/>
        <v>362182915.82051402</v>
      </c>
      <c r="G168" s="1501">
        <f t="shared" si="91"/>
        <v>371851917.67469877</v>
      </c>
      <c r="H168" s="1501">
        <f t="shared" si="91"/>
        <v>351440720.1176402</v>
      </c>
      <c r="I168" s="1501">
        <f t="shared" si="91"/>
        <v>359061057.65321213</v>
      </c>
      <c r="J168" s="1508">
        <f t="shared" si="91"/>
        <v>2183127904.3081188</v>
      </c>
      <c r="K168" s="1501">
        <f t="shared" si="91"/>
        <v>529687.49163376226</v>
      </c>
      <c r="L168" s="1501">
        <f t="shared" si="91"/>
        <v>525357.98019167921</v>
      </c>
      <c r="M168" s="1501">
        <f t="shared" si="91"/>
        <v>536427.09493934363</v>
      </c>
      <c r="N168" s="1501">
        <f t="shared" si="91"/>
        <v>530953.15186141233</v>
      </c>
      <c r="O168" s="1501">
        <f t="shared" si="91"/>
        <v>527258.97397500358</v>
      </c>
      <c r="P168" s="1501">
        <f t="shared" si="91"/>
        <v>518060.73068333731</v>
      </c>
      <c r="Q168" s="1508">
        <f>AVERAGE(K168:P168)</f>
        <v>527957.57054742309</v>
      </c>
      <c r="R168" s="1501">
        <f t="shared" ref="R168:W168" si="92">SUM(R165:R167)</f>
        <v>551306</v>
      </c>
      <c r="S168" s="1501">
        <f t="shared" si="92"/>
        <v>552350</v>
      </c>
      <c r="T168" s="1501">
        <f t="shared" si="92"/>
        <v>552147</v>
      </c>
      <c r="U168" s="1501">
        <f t="shared" si="92"/>
        <v>552419</v>
      </c>
      <c r="V168" s="1501">
        <f t="shared" si="92"/>
        <v>550904</v>
      </c>
      <c r="W168" s="1501">
        <f t="shared" si="92"/>
        <v>552718</v>
      </c>
      <c r="X168" s="1508">
        <f>AVERAGE(R168:W168)</f>
        <v>551974</v>
      </c>
      <c r="Z168" s="60"/>
      <c r="AA168" s="60"/>
    </row>
    <row r="169" spans="3:43">
      <c r="C169" s="1514"/>
      <c r="J169" s="1506"/>
      <c r="Q169" s="1506"/>
      <c r="X169" s="1506"/>
    </row>
    <row r="170" spans="3:43">
      <c r="C170" s="1518" t="s">
        <v>796</v>
      </c>
      <c r="D170" s="566">
        <f t="shared" ref="D170:X173" si="93">D165/D159-1</f>
        <v>2.6000000000000023E-2</v>
      </c>
      <c r="E170" s="566">
        <f t="shared" si="93"/>
        <v>2.5999999999999801E-2</v>
      </c>
      <c r="F170" s="566">
        <f t="shared" si="93"/>
        <v>2.6000000000000023E-2</v>
      </c>
      <c r="G170" s="566">
        <f t="shared" si="93"/>
        <v>2.5999999999999801E-2</v>
      </c>
      <c r="H170" s="566">
        <f t="shared" si="93"/>
        <v>2.6000000000000023E-2</v>
      </c>
      <c r="I170" s="566">
        <f t="shared" si="93"/>
        <v>2.5999999999999801E-2</v>
      </c>
      <c r="J170" s="1509">
        <f t="shared" si="93"/>
        <v>2.6000000000000023E-2</v>
      </c>
      <c r="K170" s="566">
        <f t="shared" si="93"/>
        <v>1.1743106876077158E-2</v>
      </c>
      <c r="L170" s="566">
        <f t="shared" si="93"/>
        <v>-1.029409211035115E-2</v>
      </c>
      <c r="M170" s="566">
        <f t="shared" si="93"/>
        <v>1.160347793803429E-2</v>
      </c>
      <c r="N170" s="566">
        <f t="shared" si="93"/>
        <v>1.1184522313901546E-2</v>
      </c>
      <c r="O170" s="566">
        <f t="shared" si="93"/>
        <v>-5.1867382959230879E-3</v>
      </c>
      <c r="P170" s="566">
        <f t="shared" si="93"/>
        <v>-2.3279954640137657E-2</v>
      </c>
      <c r="Q170" s="1509">
        <f t="shared" si="93"/>
        <v>-6.9065202444840157E-4</v>
      </c>
      <c r="R170" s="566">
        <f t="shared" si="93"/>
        <v>2.6003455955191823E-2</v>
      </c>
      <c r="S170" s="566">
        <f t="shared" si="93"/>
        <v>2.6006393339032874E-2</v>
      </c>
      <c r="T170" s="566">
        <f t="shared" si="93"/>
        <v>2.6002855740484554E-2</v>
      </c>
      <c r="U170" s="566">
        <f t="shared" si="93"/>
        <v>2.6003058746137064E-2</v>
      </c>
      <c r="V170" s="566">
        <f t="shared" si="93"/>
        <v>2.6005728117528992E-2</v>
      </c>
      <c r="W170" s="566">
        <f t="shared" si="93"/>
        <v>2.6003863155157791E-2</v>
      </c>
      <c r="X170" s="1509">
        <f t="shared" si="93"/>
        <v>2.6004225446412121E-2</v>
      </c>
    </row>
    <row r="171" spans="3:43">
      <c r="C171" s="1518" t="s">
        <v>799</v>
      </c>
      <c r="D171" s="566">
        <f t="shared" si="93"/>
        <v>-4.8752171580199177E-2</v>
      </c>
      <c r="E171" s="566">
        <f t="shared" si="93"/>
        <v>-3.9114125094624752E-2</v>
      </c>
      <c r="F171" s="566">
        <f t="shared" si="93"/>
        <v>-2.4577453042372577E-2</v>
      </c>
      <c r="G171" s="566">
        <f t="shared" si="93"/>
        <v>-1.5021270802691888E-2</v>
      </c>
      <c r="H171" s="566">
        <f t="shared" si="93"/>
        <v>-2.2883730135503377E-4</v>
      </c>
      <c r="I171" s="566">
        <f t="shared" si="93"/>
        <v>1.7192544061555459E-2</v>
      </c>
      <c r="J171" s="1509">
        <f>J166/J160-1</f>
        <v>-1.8544606460795143E-2</v>
      </c>
      <c r="K171" s="567"/>
      <c r="L171" s="567"/>
      <c r="M171" s="567"/>
      <c r="N171" s="567"/>
      <c r="O171" s="567"/>
      <c r="P171" s="567"/>
      <c r="Q171" s="1511"/>
      <c r="R171" s="567"/>
      <c r="S171" s="567"/>
      <c r="T171" s="567"/>
      <c r="U171" s="567"/>
      <c r="V171" s="567"/>
      <c r="W171" s="567"/>
      <c r="X171" s="1511"/>
    </row>
    <row r="172" spans="3:43">
      <c r="C172" s="1518" t="s">
        <v>797</v>
      </c>
      <c r="D172" s="566">
        <f t="shared" si="93"/>
        <v>-9.472159274114611E-2</v>
      </c>
      <c r="E172" s="566">
        <f t="shared" si="93"/>
        <v>-8.2961324921882573E-2</v>
      </c>
      <c r="F172" s="566">
        <f t="shared" si="93"/>
        <v>-8.8876613526908232E-2</v>
      </c>
      <c r="G172" s="566">
        <f t="shared" si="93"/>
        <v>-8.7822789527423728E-2</v>
      </c>
      <c r="H172" s="566">
        <f t="shared" si="93"/>
        <v>-6.4490476729523682E-2</v>
      </c>
      <c r="I172" s="566">
        <f t="shared" si="93"/>
        <v>2.6000000000000245E-2</v>
      </c>
      <c r="J172" s="1509">
        <f>J167/J161-1</f>
        <v>-6.7103122298490581E-2</v>
      </c>
      <c r="K172" s="566">
        <f>K167/K161-1</f>
        <v>2.000000000000024E-2</v>
      </c>
      <c r="L172" s="566">
        <f t="shared" ref="L172:X173" si="94">L167/L161-1</f>
        <v>2.000000000000024E-2</v>
      </c>
      <c r="M172" s="566">
        <f t="shared" si="94"/>
        <v>2.000000000000024E-2</v>
      </c>
      <c r="N172" s="566">
        <f t="shared" si="94"/>
        <v>2.0000000000000018E-2</v>
      </c>
      <c r="O172" s="566">
        <f t="shared" si="94"/>
        <v>2.000000000000024E-2</v>
      </c>
      <c r="P172" s="566">
        <f t="shared" si="94"/>
        <v>2.0000000000000018E-2</v>
      </c>
      <c r="Q172" s="1509">
        <f t="shared" si="94"/>
        <v>2.000000000000024E-2</v>
      </c>
      <c r="R172" s="566">
        <f t="shared" si="94"/>
        <v>5.6939501779359469E-2</v>
      </c>
      <c r="S172" s="566">
        <f t="shared" si="94"/>
        <v>6.4516129032258007E-2</v>
      </c>
      <c r="T172" s="566">
        <f t="shared" si="94"/>
        <v>4.9469964664310861E-2</v>
      </c>
      <c r="U172" s="566">
        <f t="shared" si="94"/>
        <v>3.4843205574912828E-2</v>
      </c>
      <c r="V172" s="566">
        <f t="shared" si="94"/>
        <v>1.7123287671232834E-2</v>
      </c>
      <c r="W172" s="566">
        <f t="shared" si="94"/>
        <v>0</v>
      </c>
      <c r="X172" s="1509">
        <f t="shared" si="94"/>
        <v>3.6649214659685958E-2</v>
      </c>
    </row>
    <row r="173" spans="3:43">
      <c r="C173" s="1518" t="s">
        <v>798</v>
      </c>
      <c r="D173" s="566">
        <f>D168/D162-1</f>
        <v>-4.1800453195734999E-3</v>
      </c>
      <c r="E173" s="566">
        <f t="shared" si="93"/>
        <v>-5.6373788009356218E-4</v>
      </c>
      <c r="F173" s="566">
        <f t="shared" si="93"/>
        <v>-1.9056466039615305E-3</v>
      </c>
      <c r="G173" s="566">
        <f t="shared" si="93"/>
        <v>-2.4712888643634301E-3</v>
      </c>
      <c r="H173" s="566">
        <f t="shared" si="93"/>
        <v>4.8633125033445967E-3</v>
      </c>
      <c r="I173" s="566">
        <f t="shared" si="93"/>
        <v>2.5834432895837978E-2</v>
      </c>
      <c r="J173" s="1509">
        <f>J168/J162-1</f>
        <v>3.3872134176398117E-3</v>
      </c>
      <c r="K173" s="566">
        <f>K168/K162-1</f>
        <v>1.4372033722045874E-2</v>
      </c>
      <c r="L173" s="566">
        <f t="shared" si="94"/>
        <v>-9.6930406378736844E-4</v>
      </c>
      <c r="M173" s="566">
        <f t="shared" si="94"/>
        <v>1.4268091923667514E-2</v>
      </c>
      <c r="N173" s="566">
        <f t="shared" si="94"/>
        <v>1.4022435351832119E-2</v>
      </c>
      <c r="O173" s="566">
        <f t="shared" si="94"/>
        <v>2.9082031229805683E-3</v>
      </c>
      <c r="P173" s="566">
        <f t="shared" si="94"/>
        <v>-9.2424308614016404E-3</v>
      </c>
      <c r="Q173" s="1509">
        <f>Q168/Q162-1</f>
        <v>5.8998625407875593E-3</v>
      </c>
      <c r="R173" s="566">
        <f t="shared" si="94"/>
        <v>2.6019634299539351E-2</v>
      </c>
      <c r="S173" s="566">
        <f t="shared" si="94"/>
        <v>2.6026351425402883E-2</v>
      </c>
      <c r="T173" s="566">
        <f t="shared" si="94"/>
        <v>2.6015196591266054E-2</v>
      </c>
      <c r="U173" s="566">
        <f t="shared" si="94"/>
        <v>2.6007770942914066E-2</v>
      </c>
      <c r="V173" s="566">
        <f t="shared" si="94"/>
        <v>2.6000897674427259E-2</v>
      </c>
      <c r="W173" s="566">
        <f t="shared" si="94"/>
        <v>2.5989526968705379E-2</v>
      </c>
      <c r="X173" s="1509">
        <f t="shared" si="94"/>
        <v>2.600989439840995E-2</v>
      </c>
    </row>
    <row r="174" spans="3:43">
      <c r="C174" s="1518"/>
      <c r="D174" s="569"/>
      <c r="E174" s="569"/>
      <c r="F174" s="569"/>
      <c r="G174" s="569"/>
      <c r="H174" s="569"/>
      <c r="I174" s="569"/>
      <c r="J174" s="1510"/>
      <c r="K174" s="569"/>
      <c r="L174" s="569"/>
      <c r="M174" s="569"/>
      <c r="N174" s="569"/>
      <c r="O174" s="569"/>
      <c r="P174" s="569"/>
      <c r="Q174" s="1510"/>
      <c r="R174" s="569"/>
      <c r="S174" s="569"/>
      <c r="T174" s="569"/>
      <c r="U174" s="569"/>
      <c r="V174" s="569"/>
      <c r="W174" s="569"/>
      <c r="X174" s="1510"/>
    </row>
    <row r="175" spans="3:43">
      <c r="C175" s="1514"/>
      <c r="D175" s="520">
        <f t="shared" ref="D175:P175" si="95">D168-D162</f>
        <v>-1553006.6886304021</v>
      </c>
      <c r="E175" s="520">
        <f t="shared" si="95"/>
        <v>-207919.80452620983</v>
      </c>
      <c r="F175" s="520">
        <f t="shared" si="95"/>
        <v>-691510.41802597046</v>
      </c>
      <c r="G175" s="520">
        <f t="shared" si="95"/>
        <v>-921230.12910121679</v>
      </c>
      <c r="H175" s="520">
        <f t="shared" si="95"/>
        <v>1700894.0689402223</v>
      </c>
      <c r="I175" s="520">
        <f t="shared" si="95"/>
        <v>9042530.1608026624</v>
      </c>
      <c r="J175" s="1519">
        <f t="shared" si="95"/>
        <v>7369757.1894593239</v>
      </c>
      <c r="K175" s="520">
        <f t="shared" si="95"/>
        <v>7504.8268670943798</v>
      </c>
      <c r="L175" s="520">
        <f t="shared" si="95"/>
        <v>-509.72570433956571</v>
      </c>
      <c r="M175" s="520">
        <f t="shared" si="95"/>
        <v>7546.12233381439</v>
      </c>
      <c r="N175" s="520">
        <f t="shared" si="95"/>
        <v>7342.299329151283</v>
      </c>
      <c r="O175" s="520">
        <f t="shared" si="95"/>
        <v>1528.9297564411536</v>
      </c>
      <c r="P175" s="520">
        <f t="shared" si="95"/>
        <v>-4832.8073733627098</v>
      </c>
      <c r="Q175" s="1519">
        <f>Q168-Q162</f>
        <v>3096.6075347998412</v>
      </c>
      <c r="R175" s="520">
        <f>R168-R162</f>
        <v>13981</v>
      </c>
      <c r="S175" s="520">
        <f t="shared" ref="S175:X175" si="96">S168-S162</f>
        <v>14011</v>
      </c>
      <c r="T175" s="520">
        <f t="shared" si="96"/>
        <v>14000</v>
      </c>
      <c r="U175" s="520">
        <f t="shared" si="96"/>
        <v>14003</v>
      </c>
      <c r="V175" s="520">
        <f t="shared" si="96"/>
        <v>13961</v>
      </c>
      <c r="W175" s="520">
        <f t="shared" si="96"/>
        <v>14001</v>
      </c>
      <c r="X175" s="1519">
        <f t="shared" si="96"/>
        <v>13992.833333333372</v>
      </c>
    </row>
    <row r="179" spans="2:10">
      <c r="B179" s="74"/>
      <c r="C179" s="74"/>
      <c r="D179" s="91"/>
      <c r="E179" s="91"/>
      <c r="F179" s="91"/>
      <c r="G179" s="91"/>
      <c r="H179" s="91"/>
      <c r="I179" s="91"/>
      <c r="J179" s="62"/>
    </row>
    <row r="180" spans="2:10" s="569" customFormat="1">
      <c r="B180" s="548"/>
      <c r="C180" s="548"/>
      <c r="D180" s="91"/>
      <c r="E180" s="91"/>
      <c r="F180" s="91"/>
      <c r="G180" s="91"/>
      <c r="H180" s="91"/>
      <c r="I180" s="91"/>
      <c r="J180" s="62"/>
    </row>
    <row r="181" spans="2:10">
      <c r="B181" s="74"/>
      <c r="C181" s="74"/>
      <c r="D181" s="91"/>
      <c r="E181" s="91"/>
      <c r="F181" s="91"/>
      <c r="G181" s="91"/>
      <c r="H181" s="91"/>
      <c r="I181" s="91"/>
      <c r="J181" s="62"/>
    </row>
    <row r="182" spans="2:10">
      <c r="B182" s="74"/>
      <c r="C182" s="74"/>
      <c r="D182" s="91"/>
      <c r="E182" s="91"/>
      <c r="F182" s="91"/>
      <c r="G182" s="91"/>
      <c r="H182" s="91"/>
      <c r="I182" s="91"/>
      <c r="J182" s="62"/>
    </row>
    <row r="183" spans="2:10">
      <c r="B183" s="74"/>
      <c r="C183" s="74"/>
      <c r="D183" s="91"/>
      <c r="E183" s="91"/>
      <c r="F183" s="91"/>
      <c r="G183" s="91"/>
      <c r="H183" s="91"/>
      <c r="I183" s="91"/>
      <c r="J183" s="62"/>
    </row>
    <row r="184" spans="2:10">
      <c r="B184" s="74"/>
      <c r="C184" s="74"/>
      <c r="D184" s="91"/>
      <c r="E184" s="91"/>
      <c r="F184" s="91"/>
      <c r="G184" s="91"/>
      <c r="H184" s="91"/>
      <c r="I184" s="91"/>
      <c r="J184" s="62"/>
    </row>
    <row r="185" spans="2:10">
      <c r="B185" s="74"/>
      <c r="C185" s="74"/>
      <c r="D185" s="91"/>
      <c r="E185" s="91"/>
      <c r="F185" s="91"/>
      <c r="G185" s="91"/>
      <c r="H185" s="91"/>
      <c r="I185" s="91"/>
      <c r="J185" s="62"/>
    </row>
    <row r="186" spans="2:10">
      <c r="B186" s="74"/>
      <c r="C186" s="74"/>
      <c r="D186" s="91"/>
      <c r="E186" s="91"/>
      <c r="F186" s="91"/>
      <c r="G186" s="91"/>
      <c r="H186" s="91"/>
      <c r="I186" s="91"/>
      <c r="J186" s="62"/>
    </row>
    <row r="187" spans="2:10" s="569" customFormat="1">
      <c r="B187" s="74"/>
      <c r="C187" s="74"/>
      <c r="D187" s="91"/>
      <c r="E187" s="91"/>
      <c r="F187" s="91"/>
      <c r="G187" s="91"/>
      <c r="H187" s="91"/>
      <c r="I187" s="91"/>
      <c r="J187" s="62"/>
    </row>
    <row r="188" spans="2:10">
      <c r="B188" s="74"/>
      <c r="C188" s="74"/>
      <c r="D188" s="91"/>
      <c r="E188" s="91"/>
      <c r="F188" s="91"/>
      <c r="G188" s="91"/>
      <c r="H188" s="91"/>
      <c r="I188" s="91"/>
      <c r="J188" s="62"/>
    </row>
    <row r="189" spans="2:10">
      <c r="B189" s="74"/>
      <c r="C189" s="74"/>
      <c r="D189" s="91"/>
      <c r="E189" s="91"/>
      <c r="F189" s="91"/>
      <c r="G189" s="91"/>
      <c r="H189" s="91"/>
      <c r="I189" s="91"/>
      <c r="J189" s="62"/>
    </row>
    <row r="190" spans="2:10">
      <c r="B190" s="74"/>
      <c r="C190" s="74"/>
      <c r="D190" s="91"/>
      <c r="E190" s="91"/>
      <c r="F190" s="91"/>
      <c r="G190" s="91"/>
      <c r="H190" s="91"/>
      <c r="I190" s="91"/>
      <c r="J190" s="62"/>
    </row>
    <row r="191" spans="2:10">
      <c r="B191" s="74"/>
      <c r="C191" s="74"/>
      <c r="D191" s="91"/>
      <c r="E191" s="91"/>
      <c r="F191" s="91"/>
      <c r="G191" s="91"/>
      <c r="H191" s="91"/>
      <c r="I191" s="91"/>
      <c r="J191" s="62"/>
    </row>
    <row r="192" spans="2:10">
      <c r="B192" s="74"/>
      <c r="C192" s="74"/>
      <c r="D192" s="91"/>
      <c r="E192" s="91"/>
      <c r="F192" s="91"/>
      <c r="G192" s="91"/>
      <c r="H192" s="91"/>
      <c r="I192" s="91"/>
      <c r="J192" s="62"/>
    </row>
    <row r="193" spans="2:43">
      <c r="B193" s="74"/>
      <c r="C193" s="74"/>
      <c r="D193" s="91"/>
      <c r="E193" s="91"/>
      <c r="F193" s="91"/>
      <c r="G193" s="91"/>
      <c r="H193" s="91"/>
      <c r="I193" s="91"/>
      <c r="J193" s="62"/>
    </row>
    <row r="194" spans="2:43" s="569" customFormat="1">
      <c r="B194" s="74"/>
      <c r="C194" s="74"/>
      <c r="D194" s="91"/>
      <c r="E194" s="91"/>
      <c r="F194" s="91"/>
      <c r="G194" s="91"/>
      <c r="H194" s="91"/>
      <c r="I194" s="91"/>
      <c r="J194" s="62"/>
    </row>
    <row r="195" spans="2:43">
      <c r="B195" s="74"/>
      <c r="C195" s="74"/>
      <c r="D195" s="91"/>
      <c r="E195" s="91"/>
      <c r="F195" s="91"/>
      <c r="G195" s="91"/>
      <c r="H195" s="91"/>
      <c r="I195" s="91"/>
      <c r="J195" s="62"/>
    </row>
    <row r="196" spans="2:43">
      <c r="B196" s="74"/>
      <c r="C196" s="74"/>
      <c r="D196" s="91"/>
      <c r="E196" s="91"/>
      <c r="F196" s="91"/>
      <c r="G196" s="91"/>
      <c r="H196" s="91"/>
      <c r="I196" s="91"/>
      <c r="J196" s="62"/>
    </row>
    <row r="197" spans="2:43">
      <c r="B197" s="74"/>
      <c r="C197" s="74"/>
      <c r="D197" s="91"/>
      <c r="E197" s="91"/>
      <c r="F197" s="91"/>
      <c r="G197" s="91"/>
      <c r="H197" s="91"/>
      <c r="I197" s="91"/>
      <c r="J197" s="62"/>
    </row>
    <row r="198" spans="2:43">
      <c r="B198" s="74"/>
      <c r="C198" s="74"/>
      <c r="D198" s="91"/>
      <c r="E198" s="91"/>
      <c r="F198" s="91"/>
      <c r="G198" s="91"/>
      <c r="H198" s="91"/>
      <c r="I198" s="91"/>
      <c r="J198" s="62"/>
    </row>
    <row r="199" spans="2:43">
      <c r="B199" s="74"/>
      <c r="C199" s="74"/>
      <c r="D199" s="91"/>
      <c r="E199" s="91"/>
      <c r="F199" s="91"/>
      <c r="G199" s="91"/>
      <c r="H199" s="91"/>
      <c r="I199" s="91"/>
      <c r="J199" s="62"/>
    </row>
    <row r="200" spans="2:43" s="569" customFormat="1">
      <c r="B200" s="74"/>
      <c r="C200" s="74"/>
      <c r="D200" s="91"/>
      <c r="E200" s="91"/>
      <c r="F200" s="91"/>
      <c r="G200" s="91"/>
      <c r="H200" s="91"/>
      <c r="I200" s="91"/>
      <c r="J200" s="62"/>
    </row>
    <row r="201" spans="2:43">
      <c r="B201" s="553"/>
      <c r="C201" s="553"/>
      <c r="D201" s="92"/>
      <c r="E201" s="92"/>
      <c r="F201" s="92"/>
      <c r="G201" s="92"/>
      <c r="H201" s="92"/>
      <c r="I201" s="92"/>
      <c r="J201" s="62"/>
    </row>
    <row r="202" spans="2:43">
      <c r="C202" s="570"/>
      <c r="D202" s="571"/>
      <c r="E202" s="571"/>
      <c r="F202" s="571"/>
      <c r="G202" s="571"/>
      <c r="H202" s="571"/>
      <c r="I202" s="571"/>
    </row>
    <row r="204" spans="2:43" s="63" customFormat="1" ht="15">
      <c r="B204" s="48" t="s">
        <v>902</v>
      </c>
      <c r="D204" s="64">
        <f t="shared" ref="D204:J219" si="97">SUMIF($B$4:$B$146,$B204,D$4:D$146)</f>
        <v>15167534.501618423</v>
      </c>
      <c r="E204" s="64">
        <f t="shared" si="97"/>
        <v>15173864.564893398</v>
      </c>
      <c r="F204" s="64">
        <f t="shared" si="97"/>
        <v>14887271.153378841</v>
      </c>
      <c r="G204" s="64">
        <f t="shared" si="97"/>
        <v>15121850.735787611</v>
      </c>
      <c r="H204" s="64">
        <f t="shared" si="97"/>
        <v>14466624.418328747</v>
      </c>
      <c r="I204" s="64">
        <f t="shared" si="97"/>
        <v>14534413.139992986</v>
      </c>
      <c r="J204" s="64">
        <f t="shared" si="97"/>
        <v>89351558.514000013</v>
      </c>
      <c r="AQ204" s="139"/>
    </row>
    <row r="205" spans="2:43" s="63" customFormat="1" ht="15">
      <c r="B205" s="48" t="s">
        <v>751</v>
      </c>
      <c r="D205" s="64">
        <f t="shared" si="97"/>
        <v>49321895.444769964</v>
      </c>
      <c r="E205" s="64">
        <f t="shared" si="97"/>
        <v>49342480.006422833</v>
      </c>
      <c r="F205" s="64">
        <f t="shared" si="97"/>
        <v>48410514.638565302</v>
      </c>
      <c r="G205" s="64">
        <f t="shared" si="97"/>
        <v>49173337.64156498</v>
      </c>
      <c r="H205" s="64">
        <f t="shared" si="97"/>
        <v>47042624.891563527</v>
      </c>
      <c r="I205" s="64">
        <f t="shared" si="97"/>
        <v>47263065.203113377</v>
      </c>
      <c r="J205" s="64">
        <f t="shared" si="97"/>
        <v>290553917.82599998</v>
      </c>
      <c r="AQ205" s="139"/>
    </row>
    <row r="206" spans="2:43" s="63" customFormat="1" ht="15">
      <c r="B206" s="48" t="s">
        <v>750</v>
      </c>
      <c r="D206" s="64">
        <f t="shared" si="97"/>
        <v>50255959.841921352</v>
      </c>
      <c r="E206" s="64">
        <f t="shared" si="97"/>
        <v>50276933.811402671</v>
      </c>
      <c r="F206" s="64">
        <f t="shared" si="97"/>
        <v>49327338.016614936</v>
      </c>
      <c r="G206" s="64">
        <f t="shared" si="97"/>
        <v>50104591.700924158</v>
      </c>
      <c r="H206" s="64">
        <f t="shared" si="97"/>
        <v>47933571.256298207</v>
      </c>
      <c r="I206" s="64">
        <f t="shared" si="97"/>
        <v>48158181.740838706</v>
      </c>
      <c r="J206" s="64">
        <f t="shared" si="97"/>
        <v>296056576.36800003</v>
      </c>
      <c r="AQ206" s="139"/>
    </row>
    <row r="207" spans="2:43" s="63" customFormat="1" ht="15">
      <c r="B207" s="48" t="s">
        <v>749</v>
      </c>
      <c r="D207" s="64">
        <f t="shared" si="97"/>
        <v>55127659.025593147</v>
      </c>
      <c r="E207" s="64">
        <f t="shared" si="97"/>
        <v>55150666.164281107</v>
      </c>
      <c r="F207" s="64">
        <f t="shared" si="97"/>
        <v>54109018.69894848</v>
      </c>
      <c r="G207" s="64">
        <f t="shared" si="97"/>
        <v>54961617.599054314</v>
      </c>
      <c r="H207" s="64">
        <f t="shared" si="97"/>
        <v>52580143.33838173</v>
      </c>
      <c r="I207" s="64">
        <f t="shared" si="97"/>
        <v>52826527.055741221</v>
      </c>
      <c r="J207" s="64">
        <f t="shared" si="97"/>
        <v>324755631.88199997</v>
      </c>
      <c r="AQ207" s="139"/>
    </row>
    <row r="208" spans="2:43" s="63" customFormat="1" ht="15">
      <c r="B208" s="48" t="s">
        <v>1176</v>
      </c>
      <c r="D208" s="64">
        <f t="shared" si="97"/>
        <v>1000</v>
      </c>
      <c r="E208" s="64">
        <f t="shared" si="97"/>
        <v>1000</v>
      </c>
      <c r="F208" s="64">
        <f t="shared" si="97"/>
        <v>1000</v>
      </c>
      <c r="G208" s="64">
        <f t="shared" si="97"/>
        <v>1000</v>
      </c>
      <c r="H208" s="64">
        <f t="shared" si="97"/>
        <v>1000</v>
      </c>
      <c r="I208" s="64">
        <f t="shared" si="97"/>
        <v>1000</v>
      </c>
      <c r="J208" s="64">
        <f t="shared" si="97"/>
        <v>6000</v>
      </c>
      <c r="AQ208" s="139"/>
    </row>
    <row r="209" spans="2:43" s="63" customFormat="1" ht="15">
      <c r="B209" s="48" t="s">
        <v>274</v>
      </c>
      <c r="D209" s="64">
        <f t="shared" si="97"/>
        <v>60693060.697906084</v>
      </c>
      <c r="E209" s="64">
        <f t="shared" si="97"/>
        <v>60718390.517629169</v>
      </c>
      <c r="F209" s="64">
        <f t="shared" si="97"/>
        <v>59571583.743013479</v>
      </c>
      <c r="G209" s="64">
        <f t="shared" si="97"/>
        <v>60510256.592717968</v>
      </c>
      <c r="H209" s="64">
        <f t="shared" si="97"/>
        <v>57888361.079498395</v>
      </c>
      <c r="I209" s="64">
        <f t="shared" si="97"/>
        <v>58159618.415234938</v>
      </c>
      <c r="J209" s="64">
        <f t="shared" si="97"/>
        <v>357541271.046</v>
      </c>
      <c r="AQ209" s="139"/>
    </row>
    <row r="210" spans="2:43" s="63" customFormat="1" ht="15">
      <c r="B210" s="48" t="s">
        <v>275</v>
      </c>
      <c r="D210" s="64">
        <f t="shared" si="97"/>
        <v>2934886.154671187</v>
      </c>
      <c r="E210" s="64">
        <f t="shared" si="97"/>
        <v>2936111.0086553297</v>
      </c>
      <c r="F210" s="64">
        <f t="shared" si="97"/>
        <v>2880655.7838536771</v>
      </c>
      <c r="G210" s="64">
        <f t="shared" si="97"/>
        <v>2926046.4416765817</v>
      </c>
      <c r="H210" s="64">
        <f t="shared" si="97"/>
        <v>2799261.5217490201</v>
      </c>
      <c r="I210" s="64">
        <f t="shared" si="97"/>
        <v>2812378.4973942055</v>
      </c>
      <c r="J210" s="64">
        <f t="shared" si="97"/>
        <v>17289339.408</v>
      </c>
      <c r="AQ210" s="139"/>
    </row>
    <row r="211" spans="2:43" s="63" customFormat="1" ht="15">
      <c r="B211" s="48" t="s">
        <v>276</v>
      </c>
      <c r="D211" s="64">
        <f t="shared" si="97"/>
        <v>26241516.079364426</v>
      </c>
      <c r="E211" s="64">
        <f t="shared" si="97"/>
        <v>26252467.790547017</v>
      </c>
      <c r="F211" s="64">
        <f t="shared" si="97"/>
        <v>25756629.418417603</v>
      </c>
      <c r="G211" s="64">
        <f t="shared" si="97"/>
        <v>26162478.100219749</v>
      </c>
      <c r="H211" s="64">
        <f t="shared" si="97"/>
        <v>25028863.936138902</v>
      </c>
      <c r="I211" s="64">
        <f t="shared" si="97"/>
        <v>25146145.939312313</v>
      </c>
      <c r="J211" s="64">
        <f t="shared" si="97"/>
        <v>154588101.264</v>
      </c>
      <c r="AQ211" s="139"/>
    </row>
    <row r="212" spans="2:43" s="63" customFormat="1" ht="15">
      <c r="B212" s="48" t="s">
        <v>277</v>
      </c>
      <c r="D212" s="64">
        <f t="shared" si="97"/>
        <v>4409317.4177837307</v>
      </c>
      <c r="E212" s="64">
        <f t="shared" si="97"/>
        <v>4411157.6152298646</v>
      </c>
      <c r="F212" s="64">
        <f t="shared" si="97"/>
        <v>4327842.7349453745</v>
      </c>
      <c r="G212" s="64">
        <f t="shared" si="97"/>
        <v>4396036.8002670044</v>
      </c>
      <c r="H212" s="64">
        <f t="shared" si="97"/>
        <v>4205557.5358978743</v>
      </c>
      <c r="I212" s="64">
        <f t="shared" si="97"/>
        <v>4225264.2318761516</v>
      </c>
      <c r="J212" s="64">
        <f t="shared" si="97"/>
        <v>25975176.335999995</v>
      </c>
      <c r="AQ212" s="139"/>
    </row>
    <row r="213" spans="2:43" s="63" customFormat="1" ht="15">
      <c r="B213" s="48" t="s">
        <v>278</v>
      </c>
      <c r="D213" s="64">
        <f t="shared" si="97"/>
        <v>500</v>
      </c>
      <c r="E213" s="64">
        <f t="shared" si="97"/>
        <v>500</v>
      </c>
      <c r="F213" s="64">
        <f t="shared" si="97"/>
        <v>500</v>
      </c>
      <c r="G213" s="64">
        <f t="shared" si="97"/>
        <v>500</v>
      </c>
      <c r="H213" s="64">
        <f t="shared" si="97"/>
        <v>500</v>
      </c>
      <c r="I213" s="64">
        <f t="shared" si="97"/>
        <v>500</v>
      </c>
      <c r="J213" s="64">
        <f t="shared" si="97"/>
        <v>3000</v>
      </c>
      <c r="AQ213" s="139"/>
    </row>
    <row r="214" spans="2:43" s="63" customFormat="1" ht="15">
      <c r="B214" s="48" t="s">
        <v>279</v>
      </c>
      <c r="D214" s="64">
        <f t="shared" si="97"/>
        <v>19124329.994371675</v>
      </c>
      <c r="E214" s="64">
        <f t="shared" si="97"/>
        <v>19132311.606938612</v>
      </c>
      <c r="F214" s="64">
        <f t="shared" si="97"/>
        <v>18770944.354262304</v>
      </c>
      <c r="G214" s="64">
        <f t="shared" si="97"/>
        <v>19066727.075787663</v>
      </c>
      <c r="H214" s="64">
        <f t="shared" si="97"/>
        <v>18240548.5081436</v>
      </c>
      <c r="I214" s="64">
        <f t="shared" si="97"/>
        <v>18326023.690496143</v>
      </c>
      <c r="J214" s="64">
        <f t="shared" si="97"/>
        <v>112660885.23</v>
      </c>
      <c r="AQ214" s="139"/>
    </row>
    <row r="215" spans="2:43" s="63" customFormat="1" ht="15">
      <c r="B215" s="48" t="s">
        <v>875</v>
      </c>
      <c r="D215" s="64">
        <f t="shared" si="97"/>
        <v>8510385.3019290026</v>
      </c>
      <c r="E215" s="64">
        <f t="shared" si="97"/>
        <v>8352474.6313008023</v>
      </c>
      <c r="F215" s="64">
        <f t="shared" si="97"/>
        <v>8481833.5140432008</v>
      </c>
      <c r="G215" s="64">
        <f t="shared" si="97"/>
        <v>8938894.618485</v>
      </c>
      <c r="H215" s="64">
        <f t="shared" si="97"/>
        <v>8226641.153402999</v>
      </c>
      <c r="I215" s="64">
        <f t="shared" si="97"/>
        <v>9245788.8803013973</v>
      </c>
      <c r="J215" s="64">
        <f t="shared" si="97"/>
        <v>51756018.099462405</v>
      </c>
      <c r="AQ215" s="139"/>
    </row>
    <row r="216" spans="2:43" s="63" customFormat="1" ht="15">
      <c r="B216" s="48" t="s">
        <v>874</v>
      </c>
      <c r="D216" s="64">
        <f t="shared" si="97"/>
        <v>284720.25630059995</v>
      </c>
      <c r="E216" s="64">
        <f t="shared" si="97"/>
        <v>282190.15856339998</v>
      </c>
      <c r="F216" s="64">
        <f t="shared" si="97"/>
        <v>270270.257904</v>
      </c>
      <c r="G216" s="64">
        <f t="shared" si="97"/>
        <v>280275.01577999996</v>
      </c>
      <c r="H216" s="64">
        <f t="shared" si="97"/>
        <v>271423.51155540004</v>
      </c>
      <c r="I216" s="64">
        <f t="shared" si="97"/>
        <v>281216.32974000031</v>
      </c>
      <c r="J216" s="64">
        <f t="shared" si="97"/>
        <v>1670095.5298434002</v>
      </c>
      <c r="AQ216" s="139"/>
    </row>
    <row r="217" spans="2:43" s="63" customFormat="1" ht="15">
      <c r="B217" s="48" t="s">
        <v>873</v>
      </c>
      <c r="D217" s="64">
        <f t="shared" si="97"/>
        <v>43815258.911963798</v>
      </c>
      <c r="E217" s="64">
        <f t="shared" si="97"/>
        <v>43372334.131124675</v>
      </c>
      <c r="F217" s="64">
        <f t="shared" si="97"/>
        <v>42141004.794842042</v>
      </c>
      <c r="G217" s="64">
        <f t="shared" si="97"/>
        <v>43841850.410793602</v>
      </c>
      <c r="H217" s="64">
        <f t="shared" si="97"/>
        <v>40423276.493474394</v>
      </c>
      <c r="I217" s="64">
        <f t="shared" si="97"/>
        <v>43344887.071326107</v>
      </c>
      <c r="J217" s="64">
        <f t="shared" si="97"/>
        <v>256938611.8135246</v>
      </c>
      <c r="AQ217" s="139"/>
    </row>
    <row r="218" spans="2:43" s="63" customFormat="1" ht="15">
      <c r="B218" s="48" t="s">
        <v>872</v>
      </c>
      <c r="D218" s="64">
        <f t="shared" si="97"/>
        <v>10452886.655632198</v>
      </c>
      <c r="E218" s="64">
        <f t="shared" si="97"/>
        <v>10551067.190694001</v>
      </c>
      <c r="F218" s="64">
        <f t="shared" si="97"/>
        <v>10263728.703051001</v>
      </c>
      <c r="G218" s="64">
        <f t="shared" si="97"/>
        <v>11000798.169669</v>
      </c>
      <c r="H218" s="64">
        <f t="shared" si="97"/>
        <v>10314863.666334001</v>
      </c>
      <c r="I218" s="64">
        <f t="shared" si="97"/>
        <v>10259291.598987423</v>
      </c>
      <c r="J218" s="64">
        <f t="shared" si="97"/>
        <v>62842635.984367624</v>
      </c>
      <c r="AQ218" s="139"/>
    </row>
    <row r="219" spans="2:43" s="63" customFormat="1" ht="15">
      <c r="B219" s="48" t="s">
        <v>871</v>
      </c>
      <c r="D219" s="64">
        <f t="shared" si="97"/>
        <v>4766998.5601019999</v>
      </c>
      <c r="E219" s="64">
        <f t="shared" si="97"/>
        <v>4675444.928568</v>
      </c>
      <c r="F219" s="64">
        <f t="shared" si="97"/>
        <v>4833882.9039959991</v>
      </c>
      <c r="G219" s="64">
        <f t="shared" si="97"/>
        <v>5811838.5962177999</v>
      </c>
      <c r="H219" s="64">
        <f t="shared" si="97"/>
        <v>5595991.5111443987</v>
      </c>
      <c r="I219" s="64">
        <f t="shared" si="97"/>
        <v>5883306.5474746209</v>
      </c>
      <c r="J219" s="64">
        <f t="shared" si="97"/>
        <v>31567463.047502816</v>
      </c>
      <c r="AQ219" s="139"/>
    </row>
    <row r="220" spans="2:43" s="63" customFormat="1" ht="15">
      <c r="B220" s="48" t="s">
        <v>870</v>
      </c>
      <c r="D220" s="64">
        <f t="shared" ref="D220:J221" si="98">SUMIF($B$4:$B$146,$B220,D$4:D$146)</f>
        <v>9985222.8816570006</v>
      </c>
      <c r="E220" s="64">
        <f t="shared" si="98"/>
        <v>9038392.9902179986</v>
      </c>
      <c r="F220" s="64">
        <f t="shared" si="98"/>
        <v>9135751.0046777986</v>
      </c>
      <c r="G220" s="64">
        <f t="shared" si="98"/>
        <v>10475366.075753398</v>
      </c>
      <c r="H220" s="64">
        <f t="shared" si="98"/>
        <v>7277709.1957289996</v>
      </c>
      <c r="I220" s="64">
        <f t="shared" si="98"/>
        <v>9384385.2113825995</v>
      </c>
      <c r="J220" s="64">
        <f t="shared" si="98"/>
        <v>55296827.359417796</v>
      </c>
      <c r="AQ220" s="139"/>
    </row>
    <row r="221" spans="2:43" s="63" customFormat="1" ht="15">
      <c r="B221" s="48" t="s">
        <v>890</v>
      </c>
      <c r="D221" s="64">
        <f t="shared" si="98"/>
        <v>2516111.1000000047</v>
      </c>
      <c r="E221" s="64">
        <f t="shared" si="98"/>
        <v>2516111.1000000047</v>
      </c>
      <c r="F221" s="64">
        <f t="shared" si="98"/>
        <v>2516111.1000000047</v>
      </c>
      <c r="G221" s="64">
        <f t="shared" si="98"/>
        <v>2516111.1000000047</v>
      </c>
      <c r="H221" s="64">
        <f t="shared" si="98"/>
        <v>2516111.1000000047</v>
      </c>
      <c r="I221" s="64">
        <f t="shared" si="98"/>
        <v>2516111.1000000047</v>
      </c>
      <c r="J221" s="64">
        <f t="shared" si="98"/>
        <v>15096666.600000029</v>
      </c>
      <c r="AQ221" s="139"/>
    </row>
    <row r="222" spans="2:43" s="63" customFormat="1" ht="15">
      <c r="B222" s="48" t="s">
        <v>111</v>
      </c>
      <c r="D222" s="65">
        <f t="shared" ref="D222:I222" si="99">SUM(D204:D221)</f>
        <v>363609242.82558465</v>
      </c>
      <c r="E222" s="65">
        <f t="shared" si="99"/>
        <v>362183898.21646887</v>
      </c>
      <c r="F222" s="65">
        <f t="shared" si="99"/>
        <v>355685880.82051408</v>
      </c>
      <c r="G222" s="65">
        <f t="shared" si="99"/>
        <v>365289576.67469883</v>
      </c>
      <c r="H222" s="65">
        <f t="shared" si="99"/>
        <v>344813073.1176402</v>
      </c>
      <c r="I222" s="65">
        <f t="shared" si="99"/>
        <v>352368104.65321225</v>
      </c>
      <c r="J222" s="65">
        <f>SUM(J204:J221)</f>
        <v>2143949776.3081186</v>
      </c>
      <c r="AQ222" s="139"/>
    </row>
    <row r="223" spans="2:43" s="63" customFormat="1" ht="17.25" customHeight="1">
      <c r="B223" s="48"/>
      <c r="D223" s="67">
        <f t="shared" ref="D223:J223" si="100">D107</f>
        <v>283277659.15799999</v>
      </c>
      <c r="E223" s="67">
        <f t="shared" si="100"/>
        <v>283395883.08599997</v>
      </c>
      <c r="F223" s="67">
        <f t="shared" si="100"/>
        <v>278043298.542</v>
      </c>
      <c r="G223" s="67">
        <f t="shared" si="100"/>
        <v>282424442.68799996</v>
      </c>
      <c r="H223" s="67">
        <f t="shared" si="100"/>
        <v>270187056.486</v>
      </c>
      <c r="I223" s="67">
        <f t="shared" si="100"/>
        <v>271453117.91399997</v>
      </c>
      <c r="J223" s="67">
        <f t="shared" si="100"/>
        <v>1668781457.8740001</v>
      </c>
      <c r="AQ223" s="139"/>
    </row>
    <row r="224" spans="2:43">
      <c r="D224" s="67">
        <f t="shared" ref="D224:J224" si="101">D146</f>
        <v>80331583.667584613</v>
      </c>
      <c r="E224" s="67">
        <f t="shared" si="101"/>
        <v>78788015.130468875</v>
      </c>
      <c r="F224" s="67">
        <f t="shared" si="101"/>
        <v>77642582.278514042</v>
      </c>
      <c r="G224" s="67">
        <f t="shared" si="101"/>
        <v>82865133.986698806</v>
      </c>
      <c r="H224" s="67">
        <f t="shared" si="101"/>
        <v>74626016.631640196</v>
      </c>
      <c r="I224" s="67">
        <f t="shared" si="101"/>
        <v>80914986.739212155</v>
      </c>
      <c r="J224" s="67">
        <f t="shared" si="101"/>
        <v>475168318.43411869</v>
      </c>
    </row>
    <row r="225" spans="4:10">
      <c r="D225" s="67">
        <f t="shared" ref="D225:J225" si="102">D223+D224</f>
        <v>363609242.82558459</v>
      </c>
      <c r="E225" s="67">
        <f t="shared" si="102"/>
        <v>362183898.21646881</v>
      </c>
      <c r="F225" s="67">
        <f t="shared" si="102"/>
        <v>355685880.82051402</v>
      </c>
      <c r="G225" s="67">
        <f t="shared" si="102"/>
        <v>365289576.67469877</v>
      </c>
      <c r="H225" s="67">
        <f t="shared" si="102"/>
        <v>344813073.1176402</v>
      </c>
      <c r="I225" s="67">
        <f t="shared" si="102"/>
        <v>352368104.65321213</v>
      </c>
      <c r="J225" s="67">
        <f t="shared" si="102"/>
        <v>2143949776.3081188</v>
      </c>
    </row>
    <row r="226" spans="4:10">
      <c r="D226" s="66">
        <f t="shared" ref="D226:J226" si="103">D222-D225</f>
        <v>0</v>
      </c>
      <c r="E226" s="66">
        <f t="shared" si="103"/>
        <v>0</v>
      </c>
      <c r="F226" s="66">
        <f t="shared" si="103"/>
        <v>0</v>
      </c>
      <c r="G226" s="66">
        <f t="shared" si="103"/>
        <v>0</v>
      </c>
      <c r="H226" s="66">
        <f t="shared" si="103"/>
        <v>0</v>
      </c>
      <c r="I226" s="66">
        <f t="shared" si="103"/>
        <v>0</v>
      </c>
      <c r="J226" s="66">
        <f t="shared" si="103"/>
        <v>0</v>
      </c>
    </row>
  </sheetData>
  <printOptions horizontalCentered="1" verticalCentered="1" headings="1"/>
  <pageMargins left="0.39370078740157483" right="0.39370078740157483" top="0.39370078740157483" bottom="0.39370078740157483" header="0.59055118110236227" footer="0.47244094488188981"/>
  <pageSetup scale="34" fitToHeight="2" orientation="landscape" r:id="rId1"/>
  <headerFooter>
    <oddHeader>&amp;L&amp;"Times New Roman,Negrita"&amp;14Nombre de la Distribuidora: &amp;K06-048ENSA&amp;RASEP FORM: &amp;A</oddHeader>
    <oddFooter>&amp;R&amp;A</oddFooter>
  </headerFooter>
  <rowBreaks count="1" manualBreakCount="1">
    <brk id="110" max="30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Hoja80">
    <tabColor rgb="FFFFC000"/>
  </sheetPr>
  <dimension ref="A1:AQ226"/>
  <sheetViews>
    <sheetView zoomScale="70" zoomScaleNormal="70" zoomScaleSheetLayoutView="70" workbookViewId="0">
      <pane xSplit="3" ySplit="4" topLeftCell="D55" activePane="bottomRight" state="frozen"/>
      <selection activeCell="C59" sqref="C59"/>
      <selection pane="topRight" activeCell="C59" sqref="C59"/>
      <selection pane="bottomLeft" activeCell="C59" sqref="C59"/>
      <selection pane="bottomRight" activeCell="C59" sqref="C59"/>
    </sheetView>
  </sheetViews>
  <sheetFormatPr baseColWidth="10" defaultColWidth="8" defaultRowHeight="13.5"/>
  <cols>
    <col min="1" max="1" width="3.375" style="37" bestFit="1" customWidth="1"/>
    <col min="2" max="2" width="7.125" style="37" bestFit="1" customWidth="1"/>
    <col min="3" max="3" width="32.5" style="37" customWidth="1"/>
    <col min="4" max="4" width="10.75" style="37" customWidth="1"/>
    <col min="5" max="8" width="12.25" style="37" bestFit="1" customWidth="1"/>
    <col min="9" max="9" width="11.875" style="37" bestFit="1" customWidth="1"/>
    <col min="10" max="10" width="13.625" style="37" bestFit="1" customWidth="1"/>
    <col min="11" max="23" width="10.75" style="37" customWidth="1"/>
    <col min="24" max="24" width="11.375" style="37" bestFit="1" customWidth="1"/>
    <col min="25" max="30" width="10.75" style="37" customWidth="1"/>
    <col min="31" max="31" width="11.25" style="37" customWidth="1"/>
    <col min="32" max="32" width="2.75" style="37" customWidth="1"/>
    <col min="33" max="35" width="9.875" style="37" customWidth="1"/>
    <col min="36" max="36" width="8" style="37"/>
    <col min="37" max="42" width="8.125" style="37" bestFit="1" customWidth="1"/>
    <col min="43" max="43" width="8.125" style="52" bestFit="1" customWidth="1"/>
    <col min="44" max="16384" width="8" style="37"/>
  </cols>
  <sheetData>
    <row r="1" spans="2:43" ht="14.25" thickBot="1">
      <c r="AG1" s="1412"/>
      <c r="AH1" s="1412"/>
      <c r="AI1" s="1412"/>
    </row>
    <row r="2" spans="2:43" s="38" customFormat="1" ht="13.5" customHeight="1">
      <c r="C2" s="510"/>
      <c r="I2" s="38" t="s">
        <v>76</v>
      </c>
      <c r="J2" s="42" t="s">
        <v>258</v>
      </c>
      <c r="P2" s="38" t="s">
        <v>76</v>
      </c>
      <c r="Q2" s="42" t="s">
        <v>258</v>
      </c>
      <c r="W2" s="38" t="s">
        <v>76</v>
      </c>
      <c r="X2" s="42" t="s">
        <v>258</v>
      </c>
      <c r="AE2" s="42"/>
      <c r="AG2" s="1413"/>
      <c r="AH2" s="1413"/>
      <c r="AI2" s="1413"/>
      <c r="AQ2" s="246"/>
    </row>
    <row r="3" spans="2:43" s="1520" customFormat="1" ht="24">
      <c r="C3" s="960"/>
      <c r="D3" s="1521" t="s">
        <v>1747</v>
      </c>
      <c r="E3" s="1521" t="s">
        <v>1747</v>
      </c>
      <c r="F3" s="1521" t="s">
        <v>1747</v>
      </c>
      <c r="G3" s="1521" t="s">
        <v>1747</v>
      </c>
      <c r="H3" s="1521" t="s">
        <v>1747</v>
      </c>
      <c r="I3" s="1521" t="s">
        <v>1747</v>
      </c>
      <c r="J3" s="1521" t="s">
        <v>1747</v>
      </c>
      <c r="K3" s="1523" t="s">
        <v>1748</v>
      </c>
      <c r="L3" s="1523" t="s">
        <v>1748</v>
      </c>
      <c r="M3" s="1523" t="s">
        <v>1748</v>
      </c>
      <c r="N3" s="1523" t="s">
        <v>1748</v>
      </c>
      <c r="O3" s="1523" t="s">
        <v>1748</v>
      </c>
      <c r="P3" s="1523" t="s">
        <v>1748</v>
      </c>
      <c r="Q3" s="1523" t="s">
        <v>1748</v>
      </c>
      <c r="R3" s="1521" t="s">
        <v>1749</v>
      </c>
      <c r="S3" s="1521" t="s">
        <v>1749</v>
      </c>
      <c r="T3" s="1521" t="s">
        <v>1749</v>
      </c>
      <c r="U3" s="1521" t="s">
        <v>1749</v>
      </c>
      <c r="V3" s="1521" t="s">
        <v>1749</v>
      </c>
      <c r="W3" s="1521" t="s">
        <v>1749</v>
      </c>
      <c r="X3" s="1521" t="s">
        <v>1749</v>
      </c>
      <c r="Y3" s="1523" t="s">
        <v>1750</v>
      </c>
      <c r="Z3" s="1523" t="s">
        <v>1750</v>
      </c>
      <c r="AA3" s="1523" t="s">
        <v>1750</v>
      </c>
      <c r="AB3" s="1523" t="s">
        <v>1750</v>
      </c>
      <c r="AC3" s="1523" t="s">
        <v>1750</v>
      </c>
      <c r="AD3" s="1523" t="s">
        <v>1750</v>
      </c>
      <c r="AE3" s="1523" t="s">
        <v>1750</v>
      </c>
      <c r="AG3" s="1522"/>
      <c r="AH3" s="1522"/>
      <c r="AI3" s="1522"/>
      <c r="AQ3" s="442"/>
    </row>
    <row r="4" spans="2:43" s="51" customFormat="1" ht="15.75">
      <c r="C4" s="963" t="s">
        <v>962</v>
      </c>
      <c r="D4" s="964">
        <f>F801C!D4</f>
        <v>46204</v>
      </c>
      <c r="E4" s="964">
        <f>F801C!E4</f>
        <v>46235</v>
      </c>
      <c r="F4" s="964">
        <f>F801C!F4</f>
        <v>46266</v>
      </c>
      <c r="G4" s="964">
        <f>F801C!G4</f>
        <v>46296</v>
      </c>
      <c r="H4" s="964">
        <f>F801C!H4</f>
        <v>46327</v>
      </c>
      <c r="I4" s="964">
        <f>F801C!I4</f>
        <v>46357</v>
      </c>
      <c r="J4" s="964" t="s">
        <v>111</v>
      </c>
      <c r="K4" s="964">
        <f>D4</f>
        <v>46204</v>
      </c>
      <c r="L4" s="964">
        <f t="shared" ref="L4:R4" si="0">E4</f>
        <v>46235</v>
      </c>
      <c r="M4" s="964">
        <f t="shared" si="0"/>
        <v>46266</v>
      </c>
      <c r="N4" s="964">
        <f t="shared" si="0"/>
        <v>46296</v>
      </c>
      <c r="O4" s="964">
        <f t="shared" si="0"/>
        <v>46327</v>
      </c>
      <c r="P4" s="964">
        <f t="shared" si="0"/>
        <v>46357</v>
      </c>
      <c r="Q4" s="964" t="s">
        <v>111</v>
      </c>
      <c r="R4" s="964">
        <f t="shared" si="0"/>
        <v>46204</v>
      </c>
      <c r="S4" s="964">
        <f>L4</f>
        <v>46235</v>
      </c>
      <c r="T4" s="964">
        <f>M4</f>
        <v>46266</v>
      </c>
      <c r="U4" s="964">
        <f>N4</f>
        <v>46296</v>
      </c>
      <c r="V4" s="964">
        <f>O4</f>
        <v>46327</v>
      </c>
      <c r="W4" s="964">
        <f>P4</f>
        <v>46357</v>
      </c>
      <c r="X4" s="964" t="s">
        <v>111</v>
      </c>
      <c r="Y4" s="964">
        <f t="shared" ref="Y4" si="1">R4</f>
        <v>46204</v>
      </c>
      <c r="Z4" s="964">
        <f>S4</f>
        <v>46235</v>
      </c>
      <c r="AA4" s="964">
        <f>T4</f>
        <v>46266</v>
      </c>
      <c r="AB4" s="964">
        <f>U4</f>
        <v>46296</v>
      </c>
      <c r="AC4" s="964">
        <f>V4</f>
        <v>46327</v>
      </c>
      <c r="AD4" s="964">
        <f>W4</f>
        <v>46357</v>
      </c>
      <c r="AE4" s="964" t="s">
        <v>111</v>
      </c>
      <c r="AG4" s="1414"/>
      <c r="AH4" s="1414"/>
      <c r="AI4" s="1414"/>
      <c r="AQ4" s="1166"/>
    </row>
    <row r="5" spans="2:43" s="52" customFormat="1">
      <c r="C5" s="880" t="s">
        <v>446</v>
      </c>
      <c r="D5" s="881">
        <f>SUBTOTAL(9,D6:D7)</f>
        <v>19124829.994371675</v>
      </c>
      <c r="E5" s="881">
        <f t="shared" ref="E5:AD5" si="2">SUBTOTAL(9,E6:E7)</f>
        <v>19132811.606938612</v>
      </c>
      <c r="F5" s="881">
        <f t="shared" si="2"/>
        <v>18771444.354262304</v>
      </c>
      <c r="G5" s="881">
        <f t="shared" si="2"/>
        <v>19067227.075787663</v>
      </c>
      <c r="H5" s="881">
        <f t="shared" si="2"/>
        <v>18241048.5081436</v>
      </c>
      <c r="I5" s="881">
        <f t="shared" si="2"/>
        <v>18326523.690496143</v>
      </c>
      <c r="J5" s="180">
        <f>SUM(D5:I5)</f>
        <v>112663885.23</v>
      </c>
      <c r="K5" s="881">
        <f t="shared" si="2"/>
        <v>4462715.5327546168</v>
      </c>
      <c r="L5" s="881">
        <f t="shared" si="2"/>
        <v>4464578.0155264577</v>
      </c>
      <c r="M5" s="881">
        <f t="shared" si="2"/>
        <v>4380254.1678362023</v>
      </c>
      <c r="N5" s="881">
        <f t="shared" si="2"/>
        <v>4449274.0831013378</v>
      </c>
      <c r="O5" s="881">
        <f t="shared" si="2"/>
        <v>4256488.0595006477</v>
      </c>
      <c r="P5" s="881">
        <f t="shared" si="2"/>
        <v>4276433.4092926187</v>
      </c>
      <c r="Q5" s="180">
        <f>SUM(K5:P5)</f>
        <v>26289743.268011879</v>
      </c>
      <c r="R5" s="881">
        <f>SUBTOTAL(9,R6:R7)</f>
        <v>5557357.9255658779</v>
      </c>
      <c r="S5" s="881">
        <f t="shared" si="2"/>
        <v>5559677.1502553606</v>
      </c>
      <c r="T5" s="881">
        <f t="shared" si="2"/>
        <v>5454674.3269099602</v>
      </c>
      <c r="U5" s="881">
        <f t="shared" si="2"/>
        <v>5540620.1911988016</v>
      </c>
      <c r="V5" s="881">
        <f t="shared" si="2"/>
        <v>5300556.7057899777</v>
      </c>
      <c r="W5" s="881">
        <f t="shared" si="2"/>
        <v>5325393.3101211935</v>
      </c>
      <c r="X5" s="180">
        <f>SUM(R5:W5)</f>
        <v>32738279.609841168</v>
      </c>
      <c r="Y5" s="881">
        <f t="shared" si="2"/>
        <v>9104756.5360511802</v>
      </c>
      <c r="Z5" s="881">
        <f t="shared" si="2"/>
        <v>9108556.4411567934</v>
      </c>
      <c r="AA5" s="881">
        <f t="shared" si="2"/>
        <v>8936515.8595161401</v>
      </c>
      <c r="AB5" s="881">
        <f t="shared" si="2"/>
        <v>9077332.8014875241</v>
      </c>
      <c r="AC5" s="881">
        <f t="shared" si="2"/>
        <v>8684003.7428529747</v>
      </c>
      <c r="AD5" s="881">
        <f t="shared" si="2"/>
        <v>8724696.9710823298</v>
      </c>
      <c r="AE5" s="180">
        <f>SUM(Y5:AD5)</f>
        <v>53635862.352146938</v>
      </c>
      <c r="AG5" s="1415"/>
      <c r="AH5" s="1415"/>
      <c r="AI5" s="1415"/>
    </row>
    <row r="6" spans="2:43">
      <c r="B6" s="48" t="s">
        <v>279</v>
      </c>
      <c r="C6" s="882" t="s">
        <v>279</v>
      </c>
      <c r="D6" s="883">
        <f>MCDO800!$M6*D$152-D7</f>
        <v>19124329.994371675</v>
      </c>
      <c r="E6" s="883">
        <f>MCDO800!$M6*E$152-E7</f>
        <v>19132311.606938612</v>
      </c>
      <c r="F6" s="883">
        <f>MCDO800!$M6*F$152-F7</f>
        <v>18770944.354262304</v>
      </c>
      <c r="G6" s="883">
        <f>MCDO800!$M6*G$152-G7</f>
        <v>19066727.075787663</v>
      </c>
      <c r="H6" s="883">
        <f>MCDO800!$M6*H$152-H7</f>
        <v>18240548.5081436</v>
      </c>
      <c r="I6" s="883">
        <f>MCDO800!$M6*I$152-I7</f>
        <v>18326023.690496143</v>
      </c>
      <c r="J6" s="180">
        <f t="shared" ref="J6:J69" si="3">SUM(D6:I6)</f>
        <v>112660885.23</v>
      </c>
      <c r="K6" s="883">
        <f t="shared" ref="K6:P7" si="4">D6*$AG6</f>
        <v>4462598.8594159763</v>
      </c>
      <c r="L6" s="883">
        <f t="shared" si="4"/>
        <v>4464461.3421878172</v>
      </c>
      <c r="M6" s="883">
        <f t="shared" si="4"/>
        <v>4380137.4944975618</v>
      </c>
      <c r="N6" s="883">
        <f t="shared" si="4"/>
        <v>4449157.4097626973</v>
      </c>
      <c r="O6" s="883">
        <f t="shared" si="4"/>
        <v>4256371.3861620072</v>
      </c>
      <c r="P6" s="883">
        <f t="shared" si="4"/>
        <v>4276316.7359539783</v>
      </c>
      <c r="Q6" s="180">
        <f t="shared" ref="Q6:Q69" si="5">SUM(K6:P6)</f>
        <v>26289043.22798004</v>
      </c>
      <c r="R6" s="974">
        <f>D6*$AH6</f>
        <v>5556974.5989045184</v>
      </c>
      <c r="S6" s="974">
        <f t="shared" ref="S6:W6" si="6">E6*$AH6</f>
        <v>5559293.8235940011</v>
      </c>
      <c r="T6" s="974">
        <f t="shared" si="6"/>
        <v>5454291.0002486007</v>
      </c>
      <c r="U6" s="974">
        <f t="shared" si="6"/>
        <v>5540236.8645374421</v>
      </c>
      <c r="V6" s="974">
        <f t="shared" si="6"/>
        <v>5300173.3791286182</v>
      </c>
      <c r="W6" s="974">
        <f t="shared" si="6"/>
        <v>5325009.983459834</v>
      </c>
      <c r="X6" s="180">
        <f t="shared" ref="X6:X69" si="7">SUM(R6:W6)</f>
        <v>32735979.649873015</v>
      </c>
      <c r="Y6" s="974">
        <f>D6-K6-R6</f>
        <v>9104756.5360511802</v>
      </c>
      <c r="Z6" s="974">
        <f t="shared" ref="Z6:AD6" si="8">E6-L6-S6</f>
        <v>9108556.4411567934</v>
      </c>
      <c r="AA6" s="974">
        <f t="shared" si="8"/>
        <v>8936515.8595161401</v>
      </c>
      <c r="AB6" s="974">
        <f t="shared" si="8"/>
        <v>9077332.8014875241</v>
      </c>
      <c r="AC6" s="974">
        <f t="shared" si="8"/>
        <v>8684003.7428529747</v>
      </c>
      <c r="AD6" s="974">
        <f t="shared" si="8"/>
        <v>8724696.9710823298</v>
      </c>
      <c r="AE6" s="180">
        <f t="shared" ref="AE6" si="9">SUM(Y6:AD6)</f>
        <v>53635862.352146938</v>
      </c>
      <c r="AG6" s="1415">
        <f>'PDYG-200'!$D$29</f>
        <v>0.23334667728120814</v>
      </c>
      <c r="AH6" s="1415">
        <f>'PDYG-200'!$E$29</f>
        <v>0.29057094290570945</v>
      </c>
      <c r="AI6" s="1415">
        <f>'PDYG-200'!$F$29</f>
        <v>0.47608237981308243</v>
      </c>
    </row>
    <row r="7" spans="2:43">
      <c r="B7" s="48" t="s">
        <v>278</v>
      </c>
      <c r="C7" s="882" t="s">
        <v>278</v>
      </c>
      <c r="D7" s="883">
        <f>500</f>
        <v>500</v>
      </c>
      <c r="E7" s="883">
        <f>500</f>
        <v>500</v>
      </c>
      <c r="F7" s="883">
        <f>500</f>
        <v>500</v>
      </c>
      <c r="G7" s="883">
        <f>500</f>
        <v>500</v>
      </c>
      <c r="H7" s="883">
        <f>500</f>
        <v>500</v>
      </c>
      <c r="I7" s="883">
        <f>500</f>
        <v>500</v>
      </c>
      <c r="J7" s="180">
        <f t="shared" si="3"/>
        <v>3000</v>
      </c>
      <c r="K7" s="883">
        <f t="shared" si="4"/>
        <v>116.67333864060407</v>
      </c>
      <c r="L7" s="883">
        <f t="shared" si="4"/>
        <v>116.67333864060407</v>
      </c>
      <c r="M7" s="883">
        <f t="shared" si="4"/>
        <v>116.67333864060407</v>
      </c>
      <c r="N7" s="883">
        <f t="shared" si="4"/>
        <v>116.67333864060407</v>
      </c>
      <c r="O7" s="883">
        <f t="shared" si="4"/>
        <v>116.67333864060407</v>
      </c>
      <c r="P7" s="883">
        <f t="shared" si="4"/>
        <v>116.67333864060407</v>
      </c>
      <c r="Q7" s="180">
        <f t="shared" si="5"/>
        <v>700.04003184362432</v>
      </c>
      <c r="R7" s="883">
        <f>D7-K7</f>
        <v>383.32666135939593</v>
      </c>
      <c r="S7" s="883">
        <f t="shared" ref="S7:S69" si="10">E7-L7</f>
        <v>383.32666135939593</v>
      </c>
      <c r="T7" s="883">
        <f t="shared" ref="T7:T69" si="11">F7-M7</f>
        <v>383.32666135939593</v>
      </c>
      <c r="U7" s="883">
        <f t="shared" ref="U7:U69" si="12">G7-N7</f>
        <v>383.32666135939593</v>
      </c>
      <c r="V7" s="883">
        <f t="shared" ref="V7:V69" si="13">H7-O7</f>
        <v>383.32666135939593</v>
      </c>
      <c r="W7" s="883">
        <f t="shared" ref="W7:W69" si="14">I7-P7</f>
        <v>383.32666135939593</v>
      </c>
      <c r="X7" s="180">
        <f t="shared" si="7"/>
        <v>2299.9599681563755</v>
      </c>
      <c r="Y7" s="883"/>
      <c r="Z7" s="883"/>
      <c r="AA7" s="883"/>
      <c r="AB7" s="883"/>
      <c r="AC7" s="883"/>
      <c r="AD7" s="883"/>
      <c r="AE7" s="180"/>
      <c r="AG7" s="1415">
        <f>'PDYG-200'!$D$29</f>
        <v>0.23334667728120814</v>
      </c>
      <c r="AH7" s="1415">
        <f>'PDYG-200'!$E$29</f>
        <v>0.29057094290570945</v>
      </c>
      <c r="AI7" s="1415">
        <f>'PDYG-200'!$F$29</f>
        <v>0.47608237981308243</v>
      </c>
    </row>
    <row r="8" spans="2:43">
      <c r="B8" s="48"/>
      <c r="C8" s="884"/>
      <c r="D8" s="883"/>
      <c r="E8" s="883"/>
      <c r="F8" s="883"/>
      <c r="G8" s="883"/>
      <c r="H8" s="883"/>
      <c r="I8" s="883"/>
      <c r="J8" s="180">
        <f t="shared" si="3"/>
        <v>0</v>
      </c>
      <c r="K8" s="883"/>
      <c r="L8" s="883"/>
      <c r="M8" s="883"/>
      <c r="N8" s="883"/>
      <c r="O8" s="883"/>
      <c r="P8" s="883"/>
      <c r="Q8" s="180">
        <f t="shared" si="5"/>
        <v>0</v>
      </c>
      <c r="R8" s="883">
        <f t="shared" ref="R8:R70" si="15">D8-K8</f>
        <v>0</v>
      </c>
      <c r="S8" s="883">
        <f t="shared" si="10"/>
        <v>0</v>
      </c>
      <c r="T8" s="883">
        <f t="shared" si="11"/>
        <v>0</v>
      </c>
      <c r="U8" s="883">
        <f t="shared" si="12"/>
        <v>0</v>
      </c>
      <c r="V8" s="883">
        <f t="shared" si="13"/>
        <v>0</v>
      </c>
      <c r="W8" s="883">
        <f t="shared" si="14"/>
        <v>0</v>
      </c>
      <c r="X8" s="180">
        <f t="shared" si="7"/>
        <v>0</v>
      </c>
      <c r="Y8" s="883"/>
      <c r="Z8" s="883"/>
      <c r="AA8" s="883"/>
      <c r="AB8" s="883"/>
      <c r="AC8" s="883"/>
      <c r="AD8" s="883"/>
      <c r="AE8" s="180"/>
      <c r="AG8" s="1412"/>
      <c r="AH8" s="1412"/>
      <c r="AI8" s="1412"/>
    </row>
    <row r="9" spans="2:43" s="52" customFormat="1">
      <c r="B9" s="48"/>
      <c r="C9" s="880" t="s">
        <v>630</v>
      </c>
      <c r="D9" s="881">
        <f>SUBTOTAL(9,D10:D18)</f>
        <v>30650833.497148156</v>
      </c>
      <c r="E9" s="881">
        <f t="shared" ref="E9:AD9" si="16">SUBTOTAL(9,E10:E18)</f>
        <v>30663625.405776881</v>
      </c>
      <c r="F9" s="881">
        <f t="shared" si="16"/>
        <v>30084472.153362975</v>
      </c>
      <c r="G9" s="881">
        <f t="shared" si="16"/>
        <v>30558514.900486752</v>
      </c>
      <c r="H9" s="881">
        <f t="shared" si="16"/>
        <v>29234421.472036775</v>
      </c>
      <c r="I9" s="881">
        <f t="shared" si="16"/>
        <v>29371410.171188466</v>
      </c>
      <c r="J9" s="180">
        <f t="shared" si="3"/>
        <v>180563277.59999999</v>
      </c>
      <c r="K9" s="881">
        <f t="shared" si="16"/>
        <v>9584394.9123618938</v>
      </c>
      <c r="L9" s="881">
        <f t="shared" si="16"/>
        <v>9588394.8918075413</v>
      </c>
      <c r="M9" s="881">
        <f t="shared" si="16"/>
        <v>9407295.9508462753</v>
      </c>
      <c r="N9" s="881">
        <f t="shared" si="16"/>
        <v>9555527.250794379</v>
      </c>
      <c r="O9" s="881">
        <f t="shared" si="16"/>
        <v>9141488.4508280251</v>
      </c>
      <c r="P9" s="881">
        <f t="shared" si="16"/>
        <v>9184324.2775053866</v>
      </c>
      <c r="Q9" s="180">
        <f t="shared" si="5"/>
        <v>56461425.734143496</v>
      </c>
      <c r="R9" s="881">
        <f>SUBTOTAL(9,R10:R18)</f>
        <v>19222003.742271274</v>
      </c>
      <c r="S9" s="881">
        <f t="shared" si="16"/>
        <v>19230025.909614787</v>
      </c>
      <c r="T9" s="881">
        <f t="shared" si="16"/>
        <v>18866822.540731378</v>
      </c>
      <c r="U9" s="881">
        <f t="shared" si="16"/>
        <v>19164108.141792033</v>
      </c>
      <c r="V9" s="881">
        <f t="shared" si="16"/>
        <v>18333731.739820763</v>
      </c>
      <c r="W9" s="881">
        <f t="shared" si="16"/>
        <v>18419641.223750059</v>
      </c>
      <c r="X9" s="180">
        <f t="shared" si="7"/>
        <v>113236333.29798029</v>
      </c>
      <c r="Y9" s="881">
        <f t="shared" si="16"/>
        <v>1844434.842514985</v>
      </c>
      <c r="Z9" s="881">
        <f t="shared" si="16"/>
        <v>1845204.6043545541</v>
      </c>
      <c r="AA9" s="881">
        <f t="shared" si="16"/>
        <v>1810353.6617853264</v>
      </c>
      <c r="AB9" s="881">
        <f t="shared" si="16"/>
        <v>1838879.5079003416</v>
      </c>
      <c r="AC9" s="881">
        <f t="shared" si="16"/>
        <v>1759201.2813879861</v>
      </c>
      <c r="AD9" s="881">
        <f t="shared" si="16"/>
        <v>1767444.6699330215</v>
      </c>
      <c r="AE9" s="180">
        <f t="shared" ref="AE9:AE10" si="17">SUM(Y9:AD9)</f>
        <v>10865518.567876214</v>
      </c>
      <c r="AG9" s="1415"/>
      <c r="AH9" s="1415"/>
      <c r="AI9" s="1415"/>
    </row>
    <row r="10" spans="2:43">
      <c r="B10" s="48" t="s">
        <v>277</v>
      </c>
      <c r="C10" s="882" t="s">
        <v>277</v>
      </c>
      <c r="D10" s="881">
        <f>SUBTOTAL(9,D11:D13)</f>
        <v>4409317.4177837307</v>
      </c>
      <c r="E10" s="881">
        <f t="shared" ref="E10:AD10" si="18">SUBTOTAL(9,E11:E13)</f>
        <v>4411157.6152298646</v>
      </c>
      <c r="F10" s="881">
        <f t="shared" si="18"/>
        <v>4327842.7349453745</v>
      </c>
      <c r="G10" s="881">
        <f t="shared" si="18"/>
        <v>4396036.8002670044</v>
      </c>
      <c r="H10" s="881">
        <f t="shared" si="18"/>
        <v>4205557.5358978743</v>
      </c>
      <c r="I10" s="881">
        <f t="shared" si="18"/>
        <v>4225264.2318761516</v>
      </c>
      <c r="J10" s="180">
        <f t="shared" si="3"/>
        <v>25975176.335999995</v>
      </c>
      <c r="K10" s="881">
        <f t="shared" si="18"/>
        <v>1378776.1898849222</v>
      </c>
      <c r="L10" s="881">
        <f t="shared" si="18"/>
        <v>1379351.6123784769</v>
      </c>
      <c r="M10" s="881">
        <f t="shared" si="18"/>
        <v>1353299.3774597431</v>
      </c>
      <c r="N10" s="881">
        <f t="shared" si="18"/>
        <v>1374623.3930948388</v>
      </c>
      <c r="O10" s="881">
        <f t="shared" si="18"/>
        <v>1315061.2773533601</v>
      </c>
      <c r="P10" s="881">
        <f t="shared" si="18"/>
        <v>1321223.4835684455</v>
      </c>
      <c r="Q10" s="180">
        <f t="shared" si="5"/>
        <v>8122335.3337397873</v>
      </c>
      <c r="R10" s="881">
        <f>SUBTOTAL(9,R11:R13)</f>
        <v>1186106.3853838234</v>
      </c>
      <c r="S10" s="881">
        <f t="shared" si="18"/>
        <v>1186601.3984968334</v>
      </c>
      <c r="T10" s="881">
        <f t="shared" si="18"/>
        <v>1164189.6957003057</v>
      </c>
      <c r="U10" s="881">
        <f t="shared" si="18"/>
        <v>1182533.8992718239</v>
      </c>
      <c r="V10" s="881">
        <f t="shared" si="18"/>
        <v>1131294.977156528</v>
      </c>
      <c r="W10" s="881">
        <f t="shared" si="18"/>
        <v>1136596.0783746848</v>
      </c>
      <c r="X10" s="180">
        <f t="shared" si="7"/>
        <v>6987322.4343839996</v>
      </c>
      <c r="Y10" s="881">
        <f t="shared" si="18"/>
        <v>1844434.842514985</v>
      </c>
      <c r="Z10" s="881">
        <f t="shared" si="18"/>
        <v>1845204.6043545541</v>
      </c>
      <c r="AA10" s="881">
        <f t="shared" si="18"/>
        <v>1810353.6617853264</v>
      </c>
      <c r="AB10" s="881">
        <f t="shared" si="18"/>
        <v>1838879.5079003416</v>
      </c>
      <c r="AC10" s="881">
        <f t="shared" si="18"/>
        <v>1759201.2813879861</v>
      </c>
      <c r="AD10" s="881">
        <f t="shared" si="18"/>
        <v>1767444.6699330215</v>
      </c>
      <c r="AE10" s="180">
        <f t="shared" si="17"/>
        <v>10865518.567876214</v>
      </c>
      <c r="AG10" s="1415">
        <f>'PDYG-200'!$D$30</f>
        <v>0.31269606137313216</v>
      </c>
      <c r="AH10" s="1415">
        <f>'PDYG-200'!$E$30</f>
        <v>0.26899999999999996</v>
      </c>
      <c r="AI10" s="1415">
        <f>'PDYG-200'!$F$30</f>
        <v>0.41830393862686788</v>
      </c>
    </row>
    <row r="11" spans="2:43">
      <c r="B11" s="48"/>
      <c r="C11" s="887" t="s">
        <v>304</v>
      </c>
      <c r="D11" s="883">
        <f>MCDO800!$M11*D$152</f>
        <v>3818637.7232735609</v>
      </c>
      <c r="E11" s="883">
        <f>MCDO800!$M11*E$152</f>
        <v>3820231.4047258729</v>
      </c>
      <c r="F11" s="883">
        <f>MCDO800!$M11*F$152</f>
        <v>3748077.5281459722</v>
      </c>
      <c r="G11" s="883">
        <f>MCDO800!$M11*G$152</f>
        <v>3807136.1999690244</v>
      </c>
      <c r="H11" s="883">
        <f>MCDO800!$M11*H$152</f>
        <v>3642173.8632845045</v>
      </c>
      <c r="I11" s="883">
        <f>MCDO800!$M11*I$152</f>
        <v>3659240.6166010662</v>
      </c>
      <c r="J11" s="180">
        <f t="shared" si="3"/>
        <v>22495497.336000003</v>
      </c>
      <c r="K11" s="883">
        <f t="shared" ref="K11" si="19">D11*$AG11</f>
        <v>1194072.9758785071</v>
      </c>
      <c r="L11" s="883">
        <f t="shared" ref="L11" si="20">E11*$AG11</f>
        <v>1194571.3137917283</v>
      </c>
      <c r="M11" s="883">
        <f t="shared" ref="M11" si="21">F11*$AG11</f>
        <v>1172009.0807723904</v>
      </c>
      <c r="N11" s="883">
        <f t="shared" ref="N11" si="22">G11*$AG11</f>
        <v>1190476.4948413873</v>
      </c>
      <c r="O11" s="883">
        <f t="shared" ref="O11" si="23">H11*$AG11</f>
        <v>1138893.4218852292</v>
      </c>
      <c r="P11" s="883">
        <f t="shared" ref="P11" si="24">I11*$AG11</f>
        <v>1144230.1284277451</v>
      </c>
      <c r="Q11" s="180">
        <f t="shared" si="5"/>
        <v>7034253.4155969871</v>
      </c>
      <c r="R11" s="974">
        <f t="shared" ref="R11:R12" si="25">D11*$AH11</f>
        <v>1027213.5475605878</v>
      </c>
      <c r="S11" s="974">
        <f t="shared" ref="S11:S12" si="26">E11*$AH11</f>
        <v>1027642.2478712597</v>
      </c>
      <c r="T11" s="974">
        <f t="shared" ref="T11:T12" si="27">F11*$AH11</f>
        <v>1008232.8550712664</v>
      </c>
      <c r="U11" s="974">
        <f t="shared" ref="U11:U12" si="28">G11*$AH11</f>
        <v>1024119.6377916674</v>
      </c>
      <c r="V11" s="974">
        <f t="shared" ref="V11:V12" si="29">H11*$AH11</f>
        <v>979744.76922353159</v>
      </c>
      <c r="W11" s="974">
        <f t="shared" ref="W11:W12" si="30">I11*$AH11</f>
        <v>984335.72586568666</v>
      </c>
      <c r="X11" s="180">
        <f t="shared" ref="X11:X12" si="31">SUM(R11:W11)</f>
        <v>6051288.783383999</v>
      </c>
      <c r="Y11" s="974">
        <f t="shared" ref="Y11:Y12" si="32">D11-K11-R11</f>
        <v>1597351.1998344657</v>
      </c>
      <c r="Z11" s="974">
        <f t="shared" ref="Z11:Z12" si="33">E11-L11-S11</f>
        <v>1598017.8430628846</v>
      </c>
      <c r="AA11" s="974">
        <f t="shared" ref="AA11:AA12" si="34">F11-M11-T11</f>
        <v>1567835.5923023156</v>
      </c>
      <c r="AB11" s="974">
        <f t="shared" ref="AB11:AB12" si="35">G11-N11-U11</f>
        <v>1592540.0673359695</v>
      </c>
      <c r="AC11" s="974">
        <f t="shared" ref="AC11:AC12" si="36">H11-O11-V11</f>
        <v>1523535.6721757436</v>
      </c>
      <c r="AD11" s="974">
        <f t="shared" ref="AD11:AD12" si="37">I11-P11-W11</f>
        <v>1530674.7623076341</v>
      </c>
      <c r="AE11" s="180">
        <f t="shared" ref="AE11:AE12" si="38">SUM(Y11:AD11)</f>
        <v>9409955.137019014</v>
      </c>
      <c r="AG11" s="1415">
        <f>'PDYG-200'!$D$30</f>
        <v>0.31269606137313216</v>
      </c>
      <c r="AH11" s="1415">
        <f>'PDYG-200'!$E$30</f>
        <v>0.26899999999999996</v>
      </c>
      <c r="AI11" s="1415">
        <f>'PDYG-200'!$F$30</f>
        <v>0.41830393862686788</v>
      </c>
    </row>
    <row r="12" spans="2:43">
      <c r="B12" s="48"/>
      <c r="C12" s="887" t="s">
        <v>305</v>
      </c>
      <c r="D12" s="883">
        <f>MCDO800!$M12*D$152</f>
        <v>590679.69451016991</v>
      </c>
      <c r="E12" s="883">
        <f>MCDO800!$M12*E$152</f>
        <v>590926.21050399169</v>
      </c>
      <c r="F12" s="883">
        <f>MCDO800!$M12*F$152</f>
        <v>579765.2067994026</v>
      </c>
      <c r="G12" s="883">
        <f>MCDO800!$M12*G$152</f>
        <v>588900.60029798024</v>
      </c>
      <c r="H12" s="883">
        <f>MCDO800!$M12*H$152</f>
        <v>563383.67261337012</v>
      </c>
      <c r="I12" s="883">
        <f>MCDO800!$M12*I$152</f>
        <v>566023.61527508579</v>
      </c>
      <c r="J12" s="180">
        <f t="shared" ref="J12" si="39">SUM(D12:I12)</f>
        <v>3479679.0000000005</v>
      </c>
      <c r="K12" s="883">
        <f t="shared" ref="K12" si="40">D12*$AG12</f>
        <v>184703.21400641504</v>
      </c>
      <c r="L12" s="883">
        <f t="shared" ref="L12" si="41">E12*$AG12</f>
        <v>184780.2985867486</v>
      </c>
      <c r="M12" s="883">
        <f t="shared" ref="M12" si="42">F12*$AG12</f>
        <v>181290.29668735265</v>
      </c>
      <c r="N12" s="883">
        <f t="shared" ref="N12" si="43">G12*$AG12</f>
        <v>184146.8982534516</v>
      </c>
      <c r="O12" s="883">
        <f t="shared" ref="O12" si="44">H12*$AG12</f>
        <v>176167.85546813099</v>
      </c>
      <c r="P12" s="883">
        <f t="shared" ref="P12" si="45">I12*$AG12</f>
        <v>176993.35514070038</v>
      </c>
      <c r="Q12" s="180">
        <f t="shared" ref="Q12" si="46">SUM(K12:P12)</f>
        <v>1088081.9181427993</v>
      </c>
      <c r="R12" s="974">
        <f t="shared" si="25"/>
        <v>158892.83782323569</v>
      </c>
      <c r="S12" s="974">
        <f t="shared" si="26"/>
        <v>158959.15062557373</v>
      </c>
      <c r="T12" s="974">
        <f t="shared" si="27"/>
        <v>155956.84062903927</v>
      </c>
      <c r="U12" s="974">
        <f t="shared" si="28"/>
        <v>158414.26148015665</v>
      </c>
      <c r="V12" s="974">
        <f t="shared" si="29"/>
        <v>151550.20793299653</v>
      </c>
      <c r="W12" s="974">
        <f t="shared" si="30"/>
        <v>152260.35250899807</v>
      </c>
      <c r="X12" s="180">
        <f t="shared" si="31"/>
        <v>936033.65100000007</v>
      </c>
      <c r="Y12" s="974">
        <f t="shared" si="32"/>
        <v>247083.64268051917</v>
      </c>
      <c r="Z12" s="974">
        <f t="shared" si="33"/>
        <v>247186.76129166936</v>
      </c>
      <c r="AA12" s="974">
        <f t="shared" si="34"/>
        <v>242518.06948301068</v>
      </c>
      <c r="AB12" s="974">
        <f t="shared" si="35"/>
        <v>246339.44056437202</v>
      </c>
      <c r="AC12" s="974">
        <f t="shared" si="36"/>
        <v>235665.60921224256</v>
      </c>
      <c r="AD12" s="974">
        <f t="shared" si="37"/>
        <v>236769.90762538736</v>
      </c>
      <c r="AE12" s="180">
        <f t="shared" si="38"/>
        <v>1455563.4308572013</v>
      </c>
      <c r="AG12" s="1415">
        <f>'PDYG-200'!$D$30</f>
        <v>0.31269606137313216</v>
      </c>
      <c r="AH12" s="1415">
        <f>'PDYG-200'!$E$30</f>
        <v>0.26899999999999996</v>
      </c>
      <c r="AI12" s="1415">
        <f>'PDYG-200'!$F$30</f>
        <v>0.41830393862686788</v>
      </c>
    </row>
    <row r="13" spans="2:43">
      <c r="B13" s="48"/>
      <c r="C13" s="887"/>
      <c r="D13" s="883"/>
      <c r="E13" s="883"/>
      <c r="F13" s="883"/>
      <c r="G13" s="883"/>
      <c r="H13" s="883"/>
      <c r="I13" s="883"/>
      <c r="J13" s="180">
        <f t="shared" si="3"/>
        <v>0</v>
      </c>
      <c r="K13" s="883"/>
      <c r="L13" s="883"/>
      <c r="M13" s="883"/>
      <c r="N13" s="883"/>
      <c r="O13" s="883"/>
      <c r="P13" s="883"/>
      <c r="Q13" s="180">
        <f t="shared" si="5"/>
        <v>0</v>
      </c>
      <c r="R13" s="883">
        <f t="shared" si="15"/>
        <v>0</v>
      </c>
      <c r="S13" s="883">
        <f t="shared" si="10"/>
        <v>0</v>
      </c>
      <c r="T13" s="883">
        <f t="shared" si="11"/>
        <v>0</v>
      </c>
      <c r="U13" s="883">
        <f t="shared" si="12"/>
        <v>0</v>
      </c>
      <c r="V13" s="883">
        <f t="shared" si="13"/>
        <v>0</v>
      </c>
      <c r="W13" s="883">
        <f t="shared" si="14"/>
        <v>0</v>
      </c>
      <c r="X13" s="180">
        <f t="shared" si="7"/>
        <v>0</v>
      </c>
      <c r="Y13" s="883"/>
      <c r="Z13" s="883"/>
      <c r="AA13" s="883"/>
      <c r="AB13" s="883"/>
      <c r="AC13" s="883"/>
      <c r="AD13" s="883"/>
      <c r="AE13" s="180"/>
      <c r="AG13" s="1415"/>
      <c r="AH13" s="1415"/>
      <c r="AI13" s="1415"/>
    </row>
    <row r="14" spans="2:43">
      <c r="B14" s="48" t="s">
        <v>276</v>
      </c>
      <c r="C14" s="882" t="s">
        <v>626</v>
      </c>
      <c r="D14" s="881">
        <f>SUBTOTAL(9,D15:D18)</f>
        <v>26241516.079364426</v>
      </c>
      <c r="E14" s="881">
        <f t="shared" ref="E14:W14" si="47">SUBTOTAL(9,E15:E18)</f>
        <v>26252467.790547017</v>
      </c>
      <c r="F14" s="881">
        <f t="shared" si="47"/>
        <v>25756629.418417603</v>
      </c>
      <c r="G14" s="881">
        <f t="shared" si="47"/>
        <v>26162478.100219749</v>
      </c>
      <c r="H14" s="881">
        <f t="shared" si="47"/>
        <v>25028863.936138902</v>
      </c>
      <c r="I14" s="881">
        <f t="shared" si="47"/>
        <v>25146145.939312313</v>
      </c>
      <c r="J14" s="180">
        <f t="shared" si="3"/>
        <v>154588101.264</v>
      </c>
      <c r="K14" s="881">
        <f t="shared" si="47"/>
        <v>8205618.7224769732</v>
      </c>
      <c r="L14" s="881">
        <f t="shared" si="47"/>
        <v>8209043.2794290651</v>
      </c>
      <c r="M14" s="881">
        <f t="shared" si="47"/>
        <v>8053996.5733865313</v>
      </c>
      <c r="N14" s="881">
        <f t="shared" si="47"/>
        <v>8180903.8576995404</v>
      </c>
      <c r="O14" s="881">
        <f t="shared" si="47"/>
        <v>7826427.1734746639</v>
      </c>
      <c r="P14" s="881">
        <f t="shared" si="47"/>
        <v>7863100.7939369418</v>
      </c>
      <c r="Q14" s="180">
        <f t="shared" si="5"/>
        <v>48339090.400403708</v>
      </c>
      <c r="R14" s="881">
        <f t="shared" si="47"/>
        <v>18035897.356887452</v>
      </c>
      <c r="S14" s="881">
        <f t="shared" si="47"/>
        <v>18043424.511117954</v>
      </c>
      <c r="T14" s="881">
        <f t="shared" si="47"/>
        <v>17702632.845031071</v>
      </c>
      <c r="U14" s="881">
        <f t="shared" si="47"/>
        <v>17981574.242520209</v>
      </c>
      <c r="V14" s="881">
        <f t="shared" si="47"/>
        <v>17202436.762664236</v>
      </c>
      <c r="W14" s="881">
        <f t="shared" si="47"/>
        <v>17283045.145375375</v>
      </c>
      <c r="X14" s="180">
        <f t="shared" si="7"/>
        <v>106249010.86359629</v>
      </c>
      <c r="Y14" s="881"/>
      <c r="Z14" s="881"/>
      <c r="AA14" s="881"/>
      <c r="AB14" s="881"/>
      <c r="AC14" s="881"/>
      <c r="AD14" s="881"/>
      <c r="AE14" s="180"/>
      <c r="AG14" s="1415">
        <f>'PDYG-200'!$D$30</f>
        <v>0.31269606137313216</v>
      </c>
      <c r="AH14" s="1415">
        <f>'PDYG-200'!$E$30</f>
        <v>0.26899999999999996</v>
      </c>
      <c r="AI14" s="1415">
        <f>'PDYG-200'!$F$30</f>
        <v>0.41830393862686788</v>
      </c>
    </row>
    <row r="15" spans="2:43">
      <c r="B15" s="48"/>
      <c r="C15" s="887" t="s">
        <v>304</v>
      </c>
      <c r="D15" s="883">
        <f>MCDO800!$M15*D$152</f>
        <v>26133852.665902726</v>
      </c>
      <c r="E15" s="883">
        <f>MCDO800!$M15*E$152</f>
        <v>26144759.444520995</v>
      </c>
      <c r="F15" s="883">
        <f>MCDO800!$M15*F$152</f>
        <v>25650955.392798498</v>
      </c>
      <c r="G15" s="883">
        <f>MCDO800!$M15*G$152</f>
        <v>26055138.96293943</v>
      </c>
      <c r="H15" s="883">
        <f>MCDO800!$M15*H$152</f>
        <v>24926175.779010963</v>
      </c>
      <c r="I15" s="883">
        <f>MCDO800!$M15*I$152</f>
        <v>25042976.598827396</v>
      </c>
      <c r="J15" s="180">
        <f t="shared" ref="J15:J18" si="48">SUM(D15:I15)</f>
        <v>153953858.84400001</v>
      </c>
      <c r="K15" s="883">
        <f t="shared" ref="K15:K18" si="49">D15*$AG15</f>
        <v>8171952.7971335128</v>
      </c>
      <c r="L15" s="883">
        <f t="shared" ref="L15:L18" si="50">E15*$AG15</f>
        <v>8175363.3038497139</v>
      </c>
      <c r="M15" s="883">
        <f t="shared" ref="M15:M18" si="51">F15*$AG15</f>
        <v>8020952.7217859942</v>
      </c>
      <c r="N15" s="883">
        <f t="shared" ref="N15:N18" si="52">G15*$AG15</f>
        <v>8147339.3322407948</v>
      </c>
      <c r="O15" s="883">
        <f t="shared" ref="O15:O18" si="53">H15*$AG15</f>
        <v>7794316.9911910919</v>
      </c>
      <c r="P15" s="883">
        <f t="shared" ref="P15:P18" si="54">I15*$AG15</f>
        <v>7830840.1475128438</v>
      </c>
      <c r="Q15" s="180">
        <f t="shared" ref="Q15:Q18" si="55">SUM(K15:P15)</f>
        <v>48140765.29371395</v>
      </c>
      <c r="R15" s="883">
        <f t="shared" ref="R15:R18" si="56">D15-K15</f>
        <v>17961899.868769214</v>
      </c>
      <c r="S15" s="883">
        <f t="shared" ref="S15:S18" si="57">E15-L15</f>
        <v>17969396.140671283</v>
      </c>
      <c r="T15" s="883">
        <f t="shared" ref="T15:T18" si="58">F15-M15</f>
        <v>17630002.671012506</v>
      </c>
      <c r="U15" s="883">
        <f t="shared" ref="U15:U18" si="59">G15-N15</f>
        <v>17907799.630698636</v>
      </c>
      <c r="V15" s="883">
        <f t="shared" ref="V15:V18" si="60">H15-O15</f>
        <v>17131858.78781987</v>
      </c>
      <c r="W15" s="883">
        <f t="shared" ref="W15:W18" si="61">I15-P15</f>
        <v>17212136.451314554</v>
      </c>
      <c r="X15" s="180">
        <f t="shared" ref="X15:X18" si="62">SUM(R15:W15)</f>
        <v>105813093.55028607</v>
      </c>
      <c r="Y15" s="883"/>
      <c r="Z15" s="883"/>
      <c r="AA15" s="883"/>
      <c r="AB15" s="883"/>
      <c r="AC15" s="883"/>
      <c r="AD15" s="883"/>
      <c r="AE15" s="180"/>
      <c r="AG15" s="1415">
        <f>'PDYG-200'!$D$30</f>
        <v>0.31269606137313216</v>
      </c>
      <c r="AH15" s="1415">
        <f>'PDYG-200'!$E$30</f>
        <v>0.26899999999999996</v>
      </c>
      <c r="AI15" s="1415">
        <f>'PDYG-200'!$F$30</f>
        <v>0.41830393862686788</v>
      </c>
    </row>
    <row r="16" spans="2:43">
      <c r="B16" s="48"/>
      <c r="C16" s="888" t="s">
        <v>306</v>
      </c>
      <c r="D16" s="883">
        <f>MCDO800!$M16*D$152</f>
        <v>0</v>
      </c>
      <c r="E16" s="883">
        <f>MCDO800!$M16*E$152</f>
        <v>0</v>
      </c>
      <c r="F16" s="883">
        <f>MCDO800!$M16*F$152</f>
        <v>0</v>
      </c>
      <c r="G16" s="883">
        <f>MCDO800!$M16*G$152</f>
        <v>0</v>
      </c>
      <c r="H16" s="883">
        <f>MCDO800!$M16*H$152</f>
        <v>0</v>
      </c>
      <c r="I16" s="883">
        <f>MCDO800!$M16*I$152</f>
        <v>0</v>
      </c>
      <c r="J16" s="180">
        <f t="shared" si="48"/>
        <v>0</v>
      </c>
      <c r="K16" s="883">
        <f t="shared" si="49"/>
        <v>0</v>
      </c>
      <c r="L16" s="883">
        <f t="shared" si="50"/>
        <v>0</v>
      </c>
      <c r="M16" s="883">
        <f t="shared" si="51"/>
        <v>0</v>
      </c>
      <c r="N16" s="883">
        <f t="shared" si="52"/>
        <v>0</v>
      </c>
      <c r="O16" s="883">
        <f t="shared" si="53"/>
        <v>0</v>
      </c>
      <c r="P16" s="883">
        <f t="shared" si="54"/>
        <v>0</v>
      </c>
      <c r="Q16" s="180">
        <f t="shared" si="55"/>
        <v>0</v>
      </c>
      <c r="R16" s="883">
        <f t="shared" si="56"/>
        <v>0</v>
      </c>
      <c r="S16" s="883">
        <f t="shared" si="57"/>
        <v>0</v>
      </c>
      <c r="T16" s="883">
        <f t="shared" si="58"/>
        <v>0</v>
      </c>
      <c r="U16" s="883">
        <f t="shared" si="59"/>
        <v>0</v>
      </c>
      <c r="V16" s="883">
        <f t="shared" si="60"/>
        <v>0</v>
      </c>
      <c r="W16" s="883">
        <f t="shared" si="61"/>
        <v>0</v>
      </c>
      <c r="X16" s="180">
        <f t="shared" si="62"/>
        <v>0</v>
      </c>
      <c r="Y16" s="883"/>
      <c r="Z16" s="883"/>
      <c r="AA16" s="883"/>
      <c r="AB16" s="883"/>
      <c r="AC16" s="883"/>
      <c r="AD16" s="883"/>
      <c r="AE16" s="180"/>
      <c r="AG16" s="1415">
        <f>'PDYG-200'!$D$30</f>
        <v>0.31269606137313216</v>
      </c>
      <c r="AH16" s="1415">
        <f>'PDYG-200'!$E$30</f>
        <v>0.26899999999999996</v>
      </c>
      <c r="AI16" s="1415">
        <f>'PDYG-200'!$F$30</f>
        <v>0.41830393862686788</v>
      </c>
    </row>
    <row r="17" spans="2:35">
      <c r="B17" s="48"/>
      <c r="C17" s="887" t="s">
        <v>305</v>
      </c>
      <c r="D17" s="883">
        <f>MCDO800!$M17*D$152</f>
        <v>107663.41346169886</v>
      </c>
      <c r="E17" s="883">
        <f>MCDO800!$M17*E$152</f>
        <v>107708.34602602168</v>
      </c>
      <c r="F17" s="883">
        <f>MCDO800!$M17*F$152</f>
        <v>105674.02561910264</v>
      </c>
      <c r="G17" s="883">
        <f>MCDO800!$M17*G$152</f>
        <v>107339.13728031916</v>
      </c>
      <c r="H17" s="883">
        <f>MCDO800!$M17*H$152</f>
        <v>102688.15712793954</v>
      </c>
      <c r="I17" s="883">
        <f>MCDO800!$M17*I$152</f>
        <v>103169.34048491811</v>
      </c>
      <c r="J17" s="180">
        <f t="shared" si="48"/>
        <v>634242.42000000004</v>
      </c>
      <c r="K17" s="883">
        <f t="shared" si="49"/>
        <v>33665.925343460287</v>
      </c>
      <c r="L17" s="883">
        <f t="shared" si="50"/>
        <v>33679.975579351434</v>
      </c>
      <c r="M17" s="883">
        <f t="shared" si="51"/>
        <v>33043.851600536858</v>
      </c>
      <c r="N17" s="883">
        <f t="shared" si="52"/>
        <v>33564.525458745738</v>
      </c>
      <c r="O17" s="883">
        <f t="shared" si="53"/>
        <v>32110.182283572023</v>
      </c>
      <c r="P17" s="883">
        <f t="shared" si="54"/>
        <v>32260.646424097522</v>
      </c>
      <c r="Q17" s="180">
        <f t="shared" si="55"/>
        <v>198325.1066897639</v>
      </c>
      <c r="R17" s="883">
        <f t="shared" si="56"/>
        <v>73997.488118238572</v>
      </c>
      <c r="S17" s="883">
        <f t="shared" si="57"/>
        <v>74028.370446670247</v>
      </c>
      <c r="T17" s="883">
        <f t="shared" si="58"/>
        <v>72630.174018565784</v>
      </c>
      <c r="U17" s="883">
        <f t="shared" si="59"/>
        <v>73774.611821573431</v>
      </c>
      <c r="V17" s="883">
        <f t="shared" si="60"/>
        <v>70577.97484436752</v>
      </c>
      <c r="W17" s="883">
        <f t="shared" si="61"/>
        <v>70908.694060820591</v>
      </c>
      <c r="X17" s="180">
        <f t="shared" si="62"/>
        <v>435917.31331023609</v>
      </c>
      <c r="Y17" s="883"/>
      <c r="Z17" s="883"/>
      <c r="AA17" s="883"/>
      <c r="AB17" s="883"/>
      <c r="AC17" s="883"/>
      <c r="AD17" s="883"/>
      <c r="AE17" s="180"/>
      <c r="AG17" s="1415">
        <f>'PDYG-200'!$D$30</f>
        <v>0.31269606137313216</v>
      </c>
      <c r="AH17" s="1415">
        <f>'PDYG-200'!$E$30</f>
        <v>0.26899999999999996</v>
      </c>
      <c r="AI17" s="1415">
        <f>'PDYG-200'!$F$30</f>
        <v>0.41830393862686788</v>
      </c>
    </row>
    <row r="18" spans="2:35">
      <c r="B18" s="48"/>
      <c r="C18" s="887" t="s">
        <v>307</v>
      </c>
      <c r="D18" s="883">
        <f>MCDO800!$M18*D$152</f>
        <v>0</v>
      </c>
      <c r="E18" s="883">
        <f>MCDO800!$M18*E$152</f>
        <v>0</v>
      </c>
      <c r="F18" s="883">
        <f>MCDO800!$M18*F$152</f>
        <v>0</v>
      </c>
      <c r="G18" s="883">
        <f>MCDO800!$M18*G$152</f>
        <v>0</v>
      </c>
      <c r="H18" s="883">
        <f>MCDO800!$M18*H$152</f>
        <v>0</v>
      </c>
      <c r="I18" s="883">
        <f>MCDO800!$M18*I$152</f>
        <v>0</v>
      </c>
      <c r="J18" s="180">
        <f t="shared" si="48"/>
        <v>0</v>
      </c>
      <c r="K18" s="883">
        <f t="shared" si="49"/>
        <v>0</v>
      </c>
      <c r="L18" s="883">
        <f t="shared" si="50"/>
        <v>0</v>
      </c>
      <c r="M18" s="883">
        <f t="shared" si="51"/>
        <v>0</v>
      </c>
      <c r="N18" s="883">
        <f t="shared" si="52"/>
        <v>0</v>
      </c>
      <c r="O18" s="883">
        <f t="shared" si="53"/>
        <v>0</v>
      </c>
      <c r="P18" s="883">
        <f t="shared" si="54"/>
        <v>0</v>
      </c>
      <c r="Q18" s="180">
        <f t="shared" si="55"/>
        <v>0</v>
      </c>
      <c r="R18" s="883">
        <f t="shared" si="56"/>
        <v>0</v>
      </c>
      <c r="S18" s="883">
        <f t="shared" si="57"/>
        <v>0</v>
      </c>
      <c r="T18" s="883">
        <f t="shared" si="58"/>
        <v>0</v>
      </c>
      <c r="U18" s="883">
        <f t="shared" si="59"/>
        <v>0</v>
      </c>
      <c r="V18" s="883">
        <f t="shared" si="60"/>
        <v>0</v>
      </c>
      <c r="W18" s="883">
        <f t="shared" si="61"/>
        <v>0</v>
      </c>
      <c r="X18" s="180">
        <f t="shared" si="62"/>
        <v>0</v>
      </c>
      <c r="Y18" s="883"/>
      <c r="Z18" s="883"/>
      <c r="AA18" s="883"/>
      <c r="AB18" s="883"/>
      <c r="AC18" s="883"/>
      <c r="AD18" s="883"/>
      <c r="AE18" s="180"/>
      <c r="AG18" s="1415">
        <f>'PDYG-200'!$D$30</f>
        <v>0.31269606137313216</v>
      </c>
      <c r="AH18" s="1415">
        <f>'PDYG-200'!$E$30</f>
        <v>0.26899999999999996</v>
      </c>
      <c r="AI18" s="1415">
        <f>'PDYG-200'!$F$30</f>
        <v>0.41830393862686788</v>
      </c>
    </row>
    <row r="19" spans="2:35">
      <c r="B19" s="48"/>
      <c r="C19" s="884"/>
      <c r="D19" s="883">
        <f>MCDO800!$M19*D$152</f>
        <v>0</v>
      </c>
      <c r="E19" s="883">
        <f>MCDO800!$M19*E$152</f>
        <v>0</v>
      </c>
      <c r="F19" s="883">
        <f>MCDO800!$M19*F$152</f>
        <v>0</v>
      </c>
      <c r="G19" s="883">
        <f>MCDO800!$M19*G$152</f>
        <v>0</v>
      </c>
      <c r="H19" s="883">
        <f>MCDO800!$M19*H$152</f>
        <v>0</v>
      </c>
      <c r="I19" s="883">
        <f>MCDO800!$M19*I$152</f>
        <v>0</v>
      </c>
      <c r="J19" s="180">
        <f t="shared" si="3"/>
        <v>0</v>
      </c>
      <c r="K19" s="883"/>
      <c r="L19" s="883"/>
      <c r="M19" s="883"/>
      <c r="N19" s="883"/>
      <c r="O19" s="883"/>
      <c r="P19" s="883"/>
      <c r="Q19" s="180">
        <f t="shared" si="5"/>
        <v>0</v>
      </c>
      <c r="R19" s="883">
        <f t="shared" si="15"/>
        <v>0</v>
      </c>
      <c r="S19" s="883">
        <f t="shared" si="10"/>
        <v>0</v>
      </c>
      <c r="T19" s="883">
        <f t="shared" si="11"/>
        <v>0</v>
      </c>
      <c r="U19" s="883">
        <f t="shared" si="12"/>
        <v>0</v>
      </c>
      <c r="V19" s="883">
        <f t="shared" si="13"/>
        <v>0</v>
      </c>
      <c r="W19" s="883">
        <f t="shared" si="14"/>
        <v>0</v>
      </c>
      <c r="X19" s="180">
        <f t="shared" si="7"/>
        <v>0</v>
      </c>
      <c r="Y19" s="883"/>
      <c r="Z19" s="883"/>
      <c r="AA19" s="883"/>
      <c r="AB19" s="883"/>
      <c r="AC19" s="883"/>
      <c r="AD19" s="883"/>
      <c r="AE19" s="180"/>
      <c r="AG19" s="1412"/>
      <c r="AH19" s="1412"/>
      <c r="AI19" s="1412"/>
    </row>
    <row r="20" spans="2:35" s="52" customFormat="1">
      <c r="B20" s="48"/>
      <c r="C20" s="880" t="s">
        <v>443</v>
      </c>
      <c r="D20" s="881">
        <f>SUBTOTAL(9,D21:D105)</f>
        <v>233501995.66648018</v>
      </c>
      <c r="E20" s="881">
        <f t="shared" ref="E20:P20" si="63">SUBTOTAL(9,E21:E105)</f>
        <v>233599446.07328451</v>
      </c>
      <c r="F20" s="881">
        <f t="shared" si="63"/>
        <v>229187382.03437468</v>
      </c>
      <c r="G20" s="881">
        <f t="shared" si="63"/>
        <v>232798700.71172559</v>
      </c>
      <c r="H20" s="881">
        <f t="shared" si="63"/>
        <v>222711586.50581965</v>
      </c>
      <c r="I20" s="881">
        <f t="shared" si="63"/>
        <v>223755184.05231538</v>
      </c>
      <c r="J20" s="180">
        <f t="shared" si="3"/>
        <v>1375554295.0440001</v>
      </c>
      <c r="K20" s="881">
        <f t="shared" si="63"/>
        <v>63805776.735536031</v>
      </c>
      <c r="L20" s="881">
        <f t="shared" si="63"/>
        <v>63832405.625287496</v>
      </c>
      <c r="M20" s="881">
        <f t="shared" si="63"/>
        <v>62626783.496851087</v>
      </c>
      <c r="N20" s="881">
        <f t="shared" si="63"/>
        <v>63613597.303689159</v>
      </c>
      <c r="O20" s="881">
        <f t="shared" si="63"/>
        <v>60857234.750594772</v>
      </c>
      <c r="P20" s="881">
        <f t="shared" si="63"/>
        <v>61142403.842462301</v>
      </c>
      <c r="Q20" s="180">
        <f t="shared" si="5"/>
        <v>375878201.75442082</v>
      </c>
      <c r="R20" s="881">
        <f t="shared" ref="R20:AD20" si="64">SUBTOTAL(9,R21:R105)</f>
        <v>168648356.08074382</v>
      </c>
      <c r="S20" s="881">
        <f t="shared" si="64"/>
        <v>168718740.4735274</v>
      </c>
      <c r="T20" s="881">
        <f t="shared" si="64"/>
        <v>165532089.35031351</v>
      </c>
      <c r="U20" s="881">
        <f t="shared" si="64"/>
        <v>168140395.26291469</v>
      </c>
      <c r="V20" s="881">
        <f t="shared" si="64"/>
        <v>160854890.4445895</v>
      </c>
      <c r="W20" s="881">
        <f t="shared" si="64"/>
        <v>161608637.73030335</v>
      </c>
      <c r="X20" s="180">
        <f t="shared" si="7"/>
        <v>993503109.34239221</v>
      </c>
      <c r="Y20" s="881">
        <f t="shared" si="64"/>
        <v>1047862.8502002587</v>
      </c>
      <c r="Z20" s="881">
        <f t="shared" si="64"/>
        <v>1048299.9744696288</v>
      </c>
      <c r="AA20" s="881">
        <f t="shared" si="64"/>
        <v>1028509.1872100767</v>
      </c>
      <c r="AB20" s="881">
        <f t="shared" si="64"/>
        <v>1044708.145121748</v>
      </c>
      <c r="AC20" s="881">
        <f t="shared" si="64"/>
        <v>999461.3106353617</v>
      </c>
      <c r="AD20" s="881">
        <f t="shared" si="64"/>
        <v>1004142.4795497622</v>
      </c>
      <c r="AE20" s="180">
        <f t="shared" ref="AE20:AE21" si="65">SUM(Y20:AD20)</f>
        <v>6172983.9471868351</v>
      </c>
      <c r="AG20" s="1415"/>
      <c r="AH20" s="1415"/>
      <c r="AI20" s="1415"/>
    </row>
    <row r="21" spans="2:35">
      <c r="B21" s="48" t="s">
        <v>275</v>
      </c>
      <c r="C21" s="882" t="s">
        <v>275</v>
      </c>
      <c r="D21" s="881">
        <f>SUBTOTAL(9,D22:D24)</f>
        <v>2934886.154671187</v>
      </c>
      <c r="E21" s="881">
        <f t="shared" ref="E21:AD21" si="66">SUBTOTAL(9,E22:E24)</f>
        <v>2936111.0086553297</v>
      </c>
      <c r="F21" s="881">
        <f t="shared" si="66"/>
        <v>2880655.7838536771</v>
      </c>
      <c r="G21" s="881">
        <f t="shared" si="66"/>
        <v>2926046.4416765817</v>
      </c>
      <c r="H21" s="881">
        <f t="shared" si="66"/>
        <v>2799261.5217490201</v>
      </c>
      <c r="I21" s="881">
        <f t="shared" si="66"/>
        <v>2812378.4973942055</v>
      </c>
      <c r="J21" s="180">
        <f t="shared" si="3"/>
        <v>17289339.408</v>
      </c>
      <c r="K21" s="881">
        <f t="shared" si="66"/>
        <v>1173136.576620684</v>
      </c>
      <c r="L21" s="881">
        <f t="shared" si="66"/>
        <v>1173626.1768757161</v>
      </c>
      <c r="M21" s="881">
        <f t="shared" si="66"/>
        <v>1151459.541050338</v>
      </c>
      <c r="N21" s="881">
        <f t="shared" si="66"/>
        <v>1169603.1548474764</v>
      </c>
      <c r="O21" s="881">
        <f t="shared" si="66"/>
        <v>1118924.5189166695</v>
      </c>
      <c r="P21" s="881">
        <f t="shared" si="66"/>
        <v>1124167.6537754161</v>
      </c>
      <c r="Q21" s="180">
        <f t="shared" si="5"/>
        <v>6910917.6220863005</v>
      </c>
      <c r="R21" s="881">
        <f t="shared" si="66"/>
        <v>714351.29004696687</v>
      </c>
      <c r="S21" s="881">
        <f t="shared" si="66"/>
        <v>714649.41950670735</v>
      </c>
      <c r="T21" s="881">
        <f t="shared" si="66"/>
        <v>701151.61778998503</v>
      </c>
      <c r="U21" s="881">
        <f t="shared" si="66"/>
        <v>712199.70390407997</v>
      </c>
      <c r="V21" s="881">
        <f t="shared" si="66"/>
        <v>681340.25439371157</v>
      </c>
      <c r="W21" s="881">
        <f t="shared" si="66"/>
        <v>684532.92626574973</v>
      </c>
      <c r="X21" s="180">
        <f t="shared" si="7"/>
        <v>4208225.2119072014</v>
      </c>
      <c r="Y21" s="881">
        <f t="shared" si="66"/>
        <v>1047398.2880035361</v>
      </c>
      <c r="Z21" s="881">
        <f t="shared" si="66"/>
        <v>1047835.4122729062</v>
      </c>
      <c r="AA21" s="881">
        <f t="shared" si="66"/>
        <v>1028044.6250133541</v>
      </c>
      <c r="AB21" s="881">
        <f t="shared" si="66"/>
        <v>1044243.5829250254</v>
      </c>
      <c r="AC21" s="881">
        <f t="shared" si="66"/>
        <v>998996.7484386391</v>
      </c>
      <c r="AD21" s="881">
        <f t="shared" si="66"/>
        <v>1003677.9173530396</v>
      </c>
      <c r="AE21" s="180">
        <f t="shared" si="65"/>
        <v>6170196.5740065007</v>
      </c>
      <c r="AG21" s="1415">
        <f>'PDYG-200'!$D$31</f>
        <v>0.39972132300720115</v>
      </c>
      <c r="AH21" s="1415">
        <f>'PDYG-200'!$E$31</f>
        <v>0.24340000000000001</v>
      </c>
      <c r="AI21" s="1415">
        <f>'PDYG-200'!$F$31</f>
        <v>0.35687867699279885</v>
      </c>
    </row>
    <row r="22" spans="2:35">
      <c r="B22" s="48"/>
      <c r="C22" s="887" t="s">
        <v>304</v>
      </c>
      <c r="D22" s="883">
        <f>MCDO800!$M22*D$152</f>
        <v>2909788.842373204</v>
      </c>
      <c r="E22" s="883">
        <f>MCDO800!$M22*E$152</f>
        <v>2911003.2221715213</v>
      </c>
      <c r="F22" s="883">
        <f>MCDO800!$M22*F$152</f>
        <v>2856022.2157967701</v>
      </c>
      <c r="G22" s="883">
        <f>MCDO800!$M22*G$152</f>
        <v>2901024.7210799316</v>
      </c>
      <c r="H22" s="883">
        <f>MCDO800!$M22*H$152</f>
        <v>2775323.9865559614</v>
      </c>
      <c r="I22" s="883">
        <f>MCDO800!$M22*I$152</f>
        <v>2788328.7940226132</v>
      </c>
      <c r="J22" s="180">
        <f t="shared" ref="J22:J24" si="67">SUM(D22:I22)</f>
        <v>17141491.782000002</v>
      </c>
      <c r="K22" s="883">
        <f t="shared" ref="K22:K24" si="68">D22*$AG22</f>
        <v>1163104.6457450094</v>
      </c>
      <c r="L22" s="883">
        <f t="shared" ref="L22:L24" si="69">E22*$AG22</f>
        <v>1163590.059244626</v>
      </c>
      <c r="M22" s="883">
        <f t="shared" ref="M22:M24" si="70">F22*$AG22</f>
        <v>1141612.9786362431</v>
      </c>
      <c r="N22" s="883">
        <f t="shared" ref="N22:N24" si="71">G22*$AG22</f>
        <v>1159601.4395866669</v>
      </c>
      <c r="O22" s="883">
        <f t="shared" ref="O22:O24" si="72">H22*$AG22</f>
        <v>1109356.1756797687</v>
      </c>
      <c r="P22" s="883">
        <f t="shared" ref="P22:P24" si="73">I22*$AG22</f>
        <v>1114554.4745257925</v>
      </c>
      <c r="Q22" s="180">
        <f t="shared" ref="Q22:Q24" si="74">SUM(K22:P22)</f>
        <v>6851819.7734181071</v>
      </c>
      <c r="R22" s="974">
        <f t="shared" ref="R22:R24" si="75">D22*$AH22</f>
        <v>708242.6042336378</v>
      </c>
      <c r="S22" s="974">
        <f t="shared" ref="S22:S24" si="76">E22*$AH22</f>
        <v>708538.18427654833</v>
      </c>
      <c r="T22" s="974">
        <f t="shared" ref="T22:T24" si="77">F22*$AH22</f>
        <v>695155.80732493382</v>
      </c>
      <c r="U22" s="974">
        <f t="shared" ref="U22:U24" si="78">G22*$AH22</f>
        <v>706109.41711085534</v>
      </c>
      <c r="V22" s="974">
        <f t="shared" ref="V22:V24" si="79">H22*$AH22</f>
        <v>675513.85832772101</v>
      </c>
      <c r="W22" s="974">
        <f t="shared" ref="W22:W24" si="80">I22*$AH22</f>
        <v>678679.22846510413</v>
      </c>
      <c r="X22" s="180">
        <f t="shared" si="7"/>
        <v>4172239.0997388004</v>
      </c>
      <c r="Y22" s="974">
        <f t="shared" ref="Y22" si="81">D22-K22-R22</f>
        <v>1038441.5923945567</v>
      </c>
      <c r="Z22" s="974">
        <f t="shared" ref="Z22" si="82">E22-L22-S22</f>
        <v>1038874.978650347</v>
      </c>
      <c r="AA22" s="974">
        <f t="shared" ref="AA22" si="83">F22-M22-T22</f>
        <v>1019253.4298355931</v>
      </c>
      <c r="AB22" s="974">
        <f t="shared" ref="AB22" si="84">G22-N22-U22</f>
        <v>1035313.8643824094</v>
      </c>
      <c r="AC22" s="974">
        <f t="shared" ref="AC22" si="85">H22-O22-V22</f>
        <v>990453.95254847175</v>
      </c>
      <c r="AD22" s="974">
        <f t="shared" ref="AD22" si="86">I22-P22-W22</f>
        <v>995095.09103171655</v>
      </c>
      <c r="AE22" s="180">
        <f t="shared" ref="AE22" si="87">SUM(Y22:AD22)</f>
        <v>6117432.9088430936</v>
      </c>
      <c r="AG22" s="1415">
        <f>'PDYG-200'!$D$31</f>
        <v>0.39972132300720115</v>
      </c>
      <c r="AH22" s="1415">
        <f>'PDYG-200'!$E$31</f>
        <v>0.24340000000000001</v>
      </c>
      <c r="AI22" s="1415">
        <f>'PDYG-200'!$F$31</f>
        <v>0.35687867699279885</v>
      </c>
    </row>
    <row r="23" spans="2:35">
      <c r="B23" s="48"/>
      <c r="C23" s="888" t="s">
        <v>306</v>
      </c>
      <c r="D23" s="883">
        <f>MCDO800!$M23*D$152</f>
        <v>15539.151709831011</v>
      </c>
      <c r="E23" s="883">
        <f>MCDO800!$M23*E$152</f>
        <v>15545.636864920138</v>
      </c>
      <c r="F23" s="883">
        <f>MCDO800!$M23*F$152</f>
        <v>15252.021676499924</v>
      </c>
      <c r="G23" s="883">
        <f>MCDO800!$M23*G$152</f>
        <v>15492.348653747928</v>
      </c>
      <c r="H23" s="883">
        <f>MCDO800!$M23*H$152</f>
        <v>14821.068746642339</v>
      </c>
      <c r="I23" s="883">
        <f>MCDO800!$M23*I$152</f>
        <v>14890.51834835867</v>
      </c>
      <c r="J23" s="180">
        <f t="shared" si="67"/>
        <v>91540.745999999999</v>
      </c>
      <c r="K23" s="883">
        <f t="shared" si="68"/>
        <v>6211.3302798632631</v>
      </c>
      <c r="L23" s="883">
        <f t="shared" si="69"/>
        <v>6213.922534635396</v>
      </c>
      <c r="M23" s="883">
        <f t="shared" si="70"/>
        <v>6096.5582830650601</v>
      </c>
      <c r="N23" s="883">
        <f t="shared" si="71"/>
        <v>6192.6221003649534</v>
      </c>
      <c r="O23" s="883">
        <f t="shared" si="72"/>
        <v>5924.2972077885561</v>
      </c>
      <c r="P23" s="883">
        <f t="shared" si="73"/>
        <v>5952.057694468931</v>
      </c>
      <c r="Q23" s="180">
        <f t="shared" si="74"/>
        <v>36590.788100186161</v>
      </c>
      <c r="R23" s="974">
        <f t="shared" si="75"/>
        <v>3782.2295261728682</v>
      </c>
      <c r="S23" s="974">
        <f t="shared" si="76"/>
        <v>3783.8080129215614</v>
      </c>
      <c r="T23" s="974">
        <f t="shared" si="77"/>
        <v>3712.3420760600816</v>
      </c>
      <c r="U23" s="974">
        <f t="shared" si="78"/>
        <v>3770.8376623222457</v>
      </c>
      <c r="V23" s="974">
        <f t="shared" si="79"/>
        <v>3607.4481329327455</v>
      </c>
      <c r="W23" s="974">
        <f t="shared" si="80"/>
        <v>3624.3521659905005</v>
      </c>
      <c r="X23" s="180">
        <f t="shared" si="7"/>
        <v>22281.017576400005</v>
      </c>
      <c r="Y23" s="974">
        <f t="shared" ref="Y23:Y24" si="88">D23-K23-R23</f>
        <v>5545.5919037948788</v>
      </c>
      <c r="Z23" s="974">
        <f t="shared" ref="Z23:Z24" si="89">E23-L23-S23</f>
        <v>5547.9063173631803</v>
      </c>
      <c r="AA23" s="974">
        <f t="shared" ref="AA23:AA24" si="90">F23-M23-T23</f>
        <v>5443.1213173747819</v>
      </c>
      <c r="AB23" s="974">
        <f t="shared" ref="AB23:AB24" si="91">G23-N23-U23</f>
        <v>5528.8888910607284</v>
      </c>
      <c r="AC23" s="974">
        <f t="shared" ref="AC23:AC24" si="92">H23-O23-V23</f>
        <v>5289.3234059210381</v>
      </c>
      <c r="AD23" s="974">
        <f t="shared" ref="AD23:AD24" si="93">I23-P23-W23</f>
        <v>5314.1084878992388</v>
      </c>
      <c r="AE23" s="180">
        <f t="shared" ref="AE23:AE24" si="94">SUM(Y23:AD23)</f>
        <v>32668.940323413844</v>
      </c>
      <c r="AG23" s="1415">
        <f>'PDYG-200'!$D$31</f>
        <v>0.39972132300720115</v>
      </c>
      <c r="AH23" s="1415">
        <f>'PDYG-200'!$E$31</f>
        <v>0.24340000000000001</v>
      </c>
      <c r="AI23" s="1415">
        <f>'PDYG-200'!$F$31</f>
        <v>0.35687867699279885</v>
      </c>
    </row>
    <row r="24" spans="2:35">
      <c r="B24" s="48"/>
      <c r="C24" s="887" t="s">
        <v>305</v>
      </c>
      <c r="D24" s="883">
        <f>MCDO800!$M24*D$152</f>
        <v>9558.1605881521809</v>
      </c>
      <c r="E24" s="883">
        <f>MCDO800!$M24*E$152</f>
        <v>9562.149618888121</v>
      </c>
      <c r="F24" s="883">
        <f>MCDO800!$M24*F$152</f>
        <v>9381.5463804072551</v>
      </c>
      <c r="G24" s="883">
        <f>MCDO800!$M24*G$152</f>
        <v>9529.3719429023004</v>
      </c>
      <c r="H24" s="883">
        <f>MCDO800!$M24*H$152</f>
        <v>9116.4664464165544</v>
      </c>
      <c r="I24" s="883">
        <f>MCDO800!$M24*I$152</f>
        <v>9159.1850232335855</v>
      </c>
      <c r="J24" s="180">
        <f t="shared" si="67"/>
        <v>56306.880000000005</v>
      </c>
      <c r="K24" s="883">
        <f t="shared" si="68"/>
        <v>3820.6005958114774</v>
      </c>
      <c r="L24" s="883">
        <f t="shared" si="69"/>
        <v>3822.1950964547641</v>
      </c>
      <c r="M24" s="883">
        <f t="shared" si="70"/>
        <v>3750.004131029807</v>
      </c>
      <c r="N24" s="883">
        <f t="shared" si="71"/>
        <v>3809.0931604446105</v>
      </c>
      <c r="O24" s="883">
        <f t="shared" si="72"/>
        <v>3644.0460291123827</v>
      </c>
      <c r="P24" s="883">
        <f t="shared" si="73"/>
        <v>3661.1215551546711</v>
      </c>
      <c r="Q24" s="180">
        <f t="shared" si="74"/>
        <v>22507.060568007713</v>
      </c>
      <c r="R24" s="974">
        <f t="shared" si="75"/>
        <v>2326.4562871562407</v>
      </c>
      <c r="S24" s="974">
        <f t="shared" si="76"/>
        <v>2327.4272172373685</v>
      </c>
      <c r="T24" s="974">
        <f t="shared" si="77"/>
        <v>2283.4683889911257</v>
      </c>
      <c r="U24" s="974">
        <f t="shared" si="78"/>
        <v>2319.4491309024202</v>
      </c>
      <c r="V24" s="974">
        <f t="shared" si="79"/>
        <v>2218.9479330577892</v>
      </c>
      <c r="W24" s="974">
        <f t="shared" si="80"/>
        <v>2229.3456346550547</v>
      </c>
      <c r="X24" s="180">
        <f t="shared" si="7"/>
        <v>13705.094591999998</v>
      </c>
      <c r="Y24" s="974">
        <f t="shared" si="88"/>
        <v>3411.1037051844628</v>
      </c>
      <c r="Z24" s="974">
        <f t="shared" si="89"/>
        <v>3412.5273051959884</v>
      </c>
      <c r="AA24" s="974">
        <f t="shared" si="90"/>
        <v>3348.0738603863219</v>
      </c>
      <c r="AB24" s="974">
        <f t="shared" si="91"/>
        <v>3400.8296515552697</v>
      </c>
      <c r="AC24" s="974">
        <f t="shared" si="92"/>
        <v>3253.4724842463825</v>
      </c>
      <c r="AD24" s="974">
        <f t="shared" si="93"/>
        <v>3268.7178334238597</v>
      </c>
      <c r="AE24" s="180">
        <f t="shared" si="94"/>
        <v>20094.724839992286</v>
      </c>
      <c r="AG24" s="1415">
        <f>'PDYG-200'!$D$31</f>
        <v>0.39972132300720115</v>
      </c>
      <c r="AH24" s="1415">
        <f>'PDYG-200'!$E$31</f>
        <v>0.24340000000000001</v>
      </c>
      <c r="AI24" s="1415">
        <f>'PDYG-200'!$F$31</f>
        <v>0.35687867699279885</v>
      </c>
    </row>
    <row r="25" spans="2:35">
      <c r="B25" s="48"/>
      <c r="C25" s="887"/>
      <c r="D25" s="883"/>
      <c r="E25" s="883"/>
      <c r="F25" s="883"/>
      <c r="G25" s="883"/>
      <c r="H25" s="883"/>
      <c r="I25" s="883"/>
      <c r="J25" s="180">
        <f t="shared" si="3"/>
        <v>0</v>
      </c>
      <c r="K25" s="883"/>
      <c r="L25" s="883"/>
      <c r="M25" s="883"/>
      <c r="N25" s="883"/>
      <c r="O25" s="883"/>
      <c r="P25" s="883"/>
      <c r="Q25" s="180">
        <f t="shared" si="5"/>
        <v>0</v>
      </c>
      <c r="R25" s="883">
        <f t="shared" si="15"/>
        <v>0</v>
      </c>
      <c r="S25" s="883">
        <f t="shared" si="10"/>
        <v>0</v>
      </c>
      <c r="T25" s="883">
        <f t="shared" si="11"/>
        <v>0</v>
      </c>
      <c r="U25" s="883">
        <f t="shared" si="12"/>
        <v>0</v>
      </c>
      <c r="V25" s="883">
        <f t="shared" si="13"/>
        <v>0</v>
      </c>
      <c r="W25" s="883">
        <f t="shared" si="14"/>
        <v>0</v>
      </c>
      <c r="X25" s="180">
        <f t="shared" si="7"/>
        <v>0</v>
      </c>
      <c r="Y25" s="883"/>
      <c r="Z25" s="883"/>
      <c r="AA25" s="883"/>
      <c r="AB25" s="883"/>
      <c r="AC25" s="883"/>
      <c r="AD25" s="883"/>
      <c r="AE25" s="180"/>
      <c r="AG25" s="1415"/>
      <c r="AH25" s="1415"/>
      <c r="AI25" s="1415"/>
    </row>
    <row r="26" spans="2:35">
      <c r="B26" s="48"/>
      <c r="C26" s="882" t="s">
        <v>1736</v>
      </c>
      <c r="D26" s="881">
        <f>SUBTOTAL(9,D27:D48)</f>
        <v>60693060.697906092</v>
      </c>
      <c r="E26" s="881">
        <f t="shared" ref="E26:P26" si="95">SUBTOTAL(9,E27:E48)</f>
        <v>60718390.517629176</v>
      </c>
      <c r="F26" s="881">
        <f t="shared" si="95"/>
        <v>59571583.743013479</v>
      </c>
      <c r="G26" s="881">
        <f t="shared" si="95"/>
        <v>60510256.59271796</v>
      </c>
      <c r="H26" s="881">
        <f t="shared" si="95"/>
        <v>57888361.07949838</v>
      </c>
      <c r="I26" s="881">
        <f t="shared" si="95"/>
        <v>58159618.415234938</v>
      </c>
      <c r="J26" s="180">
        <f t="shared" si="3"/>
        <v>357541271.046</v>
      </c>
      <c r="K26" s="881">
        <f t="shared" si="95"/>
        <v>24260310.519523382</v>
      </c>
      <c r="L26" s="881">
        <f t="shared" si="95"/>
        <v>24270435.38857463</v>
      </c>
      <c r="M26" s="881">
        <f t="shared" si="95"/>
        <v>23812032.267391622</v>
      </c>
      <c r="N26" s="881">
        <f t="shared" si="95"/>
        <v>24187239.82074644</v>
      </c>
      <c r="O26" s="881">
        <f t="shared" si="95"/>
        <v>23139212.277415663</v>
      </c>
      <c r="P26" s="881">
        <f t="shared" si="95"/>
        <v>23247639.618531685</v>
      </c>
      <c r="Q26" s="180">
        <f t="shared" si="5"/>
        <v>142916869.89218342</v>
      </c>
      <c r="R26" s="881">
        <f t="shared" ref="R26:W26" si="96">SUBTOTAL(9,R27:R48)</f>
        <v>36432750.178382695</v>
      </c>
      <c r="S26" s="881">
        <f t="shared" si="96"/>
        <v>36447955.129054546</v>
      </c>
      <c r="T26" s="881">
        <f t="shared" si="96"/>
        <v>35759551.475621857</v>
      </c>
      <c r="U26" s="881">
        <f t="shared" si="96"/>
        <v>36323016.771971531</v>
      </c>
      <c r="V26" s="881">
        <f t="shared" si="96"/>
        <v>34749148.802082725</v>
      </c>
      <c r="W26" s="881">
        <f t="shared" si="96"/>
        <v>34911978.796703249</v>
      </c>
      <c r="X26" s="180">
        <f t="shared" si="7"/>
        <v>214624401.15381658</v>
      </c>
      <c r="Y26" s="883"/>
      <c r="Z26" s="883"/>
      <c r="AA26" s="883"/>
      <c r="AB26" s="883"/>
      <c r="AC26" s="883"/>
      <c r="AD26" s="883"/>
      <c r="AE26" s="180"/>
      <c r="AG26" s="1415"/>
      <c r="AH26" s="1415"/>
      <c r="AI26" s="1415"/>
    </row>
    <row r="27" spans="2:35">
      <c r="B27" s="48" t="s">
        <v>274</v>
      </c>
      <c r="C27" s="882" t="s">
        <v>627</v>
      </c>
      <c r="D27" s="881">
        <f>SUBTOTAL(9,D28:D33)</f>
        <v>35400294.988273412</v>
      </c>
      <c r="E27" s="881">
        <f t="shared" ref="E27:P27" si="97">SUBTOTAL(9,E28:E33)</f>
        <v>35415069.051072121</v>
      </c>
      <c r="F27" s="881">
        <f t="shared" si="97"/>
        <v>34746173.832259297</v>
      </c>
      <c r="G27" s="881">
        <f t="shared" si="97"/>
        <v>35293671.279165424</v>
      </c>
      <c r="H27" s="881">
        <f t="shared" si="97"/>
        <v>33764404.612941653</v>
      </c>
      <c r="I27" s="881">
        <f t="shared" si="97"/>
        <v>33922620.224288121</v>
      </c>
      <c r="J27" s="180">
        <f t="shared" si="3"/>
        <v>208542233.98800004</v>
      </c>
      <c r="K27" s="881">
        <f t="shared" si="97"/>
        <v>14150252.747557838</v>
      </c>
      <c r="L27" s="881">
        <f t="shared" si="97"/>
        <v>14156158.255485933</v>
      </c>
      <c r="M27" s="881">
        <f t="shared" si="97"/>
        <v>13888786.573668879</v>
      </c>
      <c r="N27" s="881">
        <f t="shared" si="97"/>
        <v>14107632.977489261</v>
      </c>
      <c r="O27" s="881">
        <f t="shared" si="97"/>
        <v>13496352.482435483</v>
      </c>
      <c r="P27" s="881">
        <f t="shared" si="97"/>
        <v>13559594.635923281</v>
      </c>
      <c r="Q27" s="180">
        <f t="shared" si="5"/>
        <v>83358777.672560677</v>
      </c>
      <c r="R27" s="881">
        <f t="shared" ref="R27:W27" si="98">SUBTOTAL(9,R28:R33)</f>
        <v>21250042.240715567</v>
      </c>
      <c r="S27" s="881">
        <f t="shared" si="98"/>
        <v>21258910.795586191</v>
      </c>
      <c r="T27" s="881">
        <f t="shared" si="98"/>
        <v>20857387.258590423</v>
      </c>
      <c r="U27" s="881">
        <f t="shared" si="98"/>
        <v>21186038.301676169</v>
      </c>
      <c r="V27" s="881">
        <f t="shared" si="98"/>
        <v>20268052.130506173</v>
      </c>
      <c r="W27" s="881">
        <f t="shared" si="98"/>
        <v>20363025.588364832</v>
      </c>
      <c r="X27" s="180">
        <f t="shared" si="7"/>
        <v>125183456.31543934</v>
      </c>
      <c r="Y27" s="881"/>
      <c r="Z27" s="881"/>
      <c r="AA27" s="881"/>
      <c r="AB27" s="881"/>
      <c r="AC27" s="881"/>
      <c r="AD27" s="881"/>
      <c r="AE27" s="180"/>
      <c r="AG27" s="1415">
        <f>'PDYG-200'!$D$31</f>
        <v>0.39972132300720115</v>
      </c>
      <c r="AH27" s="1415">
        <f>'PDYG-200'!$E$31</f>
        <v>0.24340000000000001</v>
      </c>
      <c r="AI27" s="1415">
        <f>'PDYG-200'!$F$31</f>
        <v>0.35687867699279885</v>
      </c>
    </row>
    <row r="28" spans="2:35">
      <c r="B28" s="48"/>
      <c r="C28" s="887" t="s">
        <v>304</v>
      </c>
      <c r="D28" s="883">
        <f>MCDO800!$M28*D$152</f>
        <v>35323725.030563205</v>
      </c>
      <c r="E28" s="883">
        <f>MCDO800!$M28*E$152</f>
        <v>35338467.137431495</v>
      </c>
      <c r="F28" s="883">
        <f>MCDO800!$M28*F$152</f>
        <v>34671018.722342595</v>
      </c>
      <c r="G28" s="883">
        <f>MCDO800!$M28*G$152</f>
        <v>35217331.945886463</v>
      </c>
      <c r="H28" s="883">
        <f>MCDO800!$M28*H$152</f>
        <v>33691373.045431286</v>
      </c>
      <c r="I28" s="883">
        <f>MCDO800!$M28*I$152</f>
        <v>33849246.440344974</v>
      </c>
      <c r="J28" s="180">
        <f t="shared" ref="J28:J33" si="99">SUM(D28:I28)</f>
        <v>208091162.32200003</v>
      </c>
      <c r="K28" s="883">
        <f t="shared" ref="K28:K33" si="100">D28*$AG28</f>
        <v>14119646.102759311</v>
      </c>
      <c r="L28" s="883">
        <f t="shared" ref="L28:L33" si="101">E28*$AG28</f>
        <v>14125538.837220617</v>
      </c>
      <c r="M28" s="883">
        <f t="shared" ref="M28:M33" si="102">F28*$AG28</f>
        <v>13858745.473702222</v>
      </c>
      <c r="N28" s="883">
        <f t="shared" ref="N28:N33" si="103">G28*$AG28</f>
        <v>14077118.518193506</v>
      </c>
      <c r="O28" s="883">
        <f t="shared" ref="O28:O33" si="104">H28*$AG28</f>
        <v>13467160.20764895</v>
      </c>
      <c r="P28" s="883">
        <f t="shared" ref="P28:P33" si="105">I28*$AG28</f>
        <v>13530265.569931487</v>
      </c>
      <c r="Q28" s="180">
        <f t="shared" ref="Q28:Q33" si="106">SUM(K28:P28)</f>
        <v>83178474.709456101</v>
      </c>
      <c r="R28" s="883">
        <f t="shared" ref="R28:R33" si="107">D28-K28</f>
        <v>21204078.927803896</v>
      </c>
      <c r="S28" s="883">
        <f t="shared" ref="S28:S33" si="108">E28-L28</f>
        <v>21212928.300210878</v>
      </c>
      <c r="T28" s="883">
        <f t="shared" ref="T28:T33" si="109">F28-M28</f>
        <v>20812273.248640373</v>
      </c>
      <c r="U28" s="883">
        <f t="shared" ref="U28:U33" si="110">G28-N28</f>
        <v>21140213.427692957</v>
      </c>
      <c r="V28" s="883">
        <f t="shared" ref="V28:V33" si="111">H28-O28</f>
        <v>20224212.837782338</v>
      </c>
      <c r="W28" s="883">
        <f t="shared" ref="W28:W33" si="112">I28-P28</f>
        <v>20318980.87041349</v>
      </c>
      <c r="X28" s="180">
        <f t="shared" ref="X28:X34" si="113">SUM(R28:W28)</f>
        <v>124912687.61254394</v>
      </c>
      <c r="Y28" s="883"/>
      <c r="Z28" s="883"/>
      <c r="AA28" s="883"/>
      <c r="AB28" s="883"/>
      <c r="AC28" s="883"/>
      <c r="AD28" s="883"/>
      <c r="AE28" s="180"/>
      <c r="AG28" s="1415">
        <f>'PDYG-200'!$D$31</f>
        <v>0.39972132300720115</v>
      </c>
      <c r="AH28" s="1415">
        <f>'PDYG-200'!$E$31</f>
        <v>0.24340000000000001</v>
      </c>
      <c r="AI28" s="1415">
        <f>'PDYG-200'!$F$31</f>
        <v>0.35687867699279885</v>
      </c>
    </row>
    <row r="29" spans="2:35">
      <c r="B29" s="48"/>
      <c r="C29" s="888" t="s">
        <v>628</v>
      </c>
      <c r="D29" s="883">
        <f>MCDO800!$M29*D$152</f>
        <v>4075.4547697296111</v>
      </c>
      <c r="E29" s="883">
        <f>MCDO800!$M29*E$152</f>
        <v>4077.1556319603146</v>
      </c>
      <c r="F29" s="883">
        <f>MCDO800!$M29*F$152</f>
        <v>4000.1491490803537</v>
      </c>
      <c r="G29" s="883">
        <f>MCDO800!$M29*G$152</f>
        <v>4063.1797278409963</v>
      </c>
      <c r="H29" s="883">
        <f>MCDO800!$M29*H$152</f>
        <v>3887.1230839312575</v>
      </c>
      <c r="I29" s="883">
        <f>MCDO800!$M29*I$152</f>
        <v>3905.3376374574696</v>
      </c>
      <c r="J29" s="180">
        <f t="shared" si="99"/>
        <v>24008.400000000001</v>
      </c>
      <c r="K29" s="883">
        <f t="shared" si="100"/>
        <v>1629.0461724123284</v>
      </c>
      <c r="L29" s="883">
        <f t="shared" si="101"/>
        <v>1629.7260433134381</v>
      </c>
      <c r="M29" s="883">
        <f t="shared" si="102"/>
        <v>1598.9449100965289</v>
      </c>
      <c r="N29" s="883">
        <f t="shared" si="103"/>
        <v>1624.1395764286426</v>
      </c>
      <c r="O29" s="883">
        <f t="shared" si="104"/>
        <v>1553.765981800834</v>
      </c>
      <c r="P29" s="883">
        <f t="shared" si="105"/>
        <v>1561.0467272343169</v>
      </c>
      <c r="Q29" s="180">
        <f t="shared" si="106"/>
        <v>9596.6694112860896</v>
      </c>
      <c r="R29" s="883">
        <f t="shared" si="107"/>
        <v>2446.4085973172828</v>
      </c>
      <c r="S29" s="883">
        <f t="shared" si="108"/>
        <v>2447.4295886468763</v>
      </c>
      <c r="T29" s="883">
        <f t="shared" si="109"/>
        <v>2401.2042389838248</v>
      </c>
      <c r="U29" s="883">
        <f t="shared" si="110"/>
        <v>2439.0401514123537</v>
      </c>
      <c r="V29" s="883">
        <f t="shared" si="111"/>
        <v>2333.3571021304233</v>
      </c>
      <c r="W29" s="883">
        <f t="shared" si="112"/>
        <v>2344.2909102231524</v>
      </c>
      <c r="X29" s="180">
        <f t="shared" si="113"/>
        <v>14411.730588713912</v>
      </c>
      <c r="Y29" s="883"/>
      <c r="Z29" s="883"/>
      <c r="AA29" s="883"/>
      <c r="AB29" s="883"/>
      <c r="AC29" s="883"/>
      <c r="AD29" s="883"/>
      <c r="AE29" s="180"/>
      <c r="AG29" s="1415">
        <f>'PDYG-200'!$D$31</f>
        <v>0.39972132300720115</v>
      </c>
      <c r="AH29" s="1415">
        <f>'PDYG-200'!$E$31</f>
        <v>0.24340000000000001</v>
      </c>
      <c r="AI29" s="1415">
        <f>'PDYG-200'!$F$31</f>
        <v>0.35687867699279885</v>
      </c>
    </row>
    <row r="30" spans="2:35">
      <c r="B30" s="48"/>
      <c r="C30" s="888" t="s">
        <v>629</v>
      </c>
      <c r="D30" s="883">
        <f>MCDO800!$M30*D$152</f>
        <v>16239.119774768758</v>
      </c>
      <c r="E30" s="883">
        <f>MCDO800!$M30*E$152</f>
        <v>16245.89705658033</v>
      </c>
      <c r="F30" s="883">
        <f>MCDO800!$M30*F$152</f>
        <v>15939.055840181716</v>
      </c>
      <c r="G30" s="883">
        <f>MCDO800!$M30*G$152</f>
        <v>16190.208454012585</v>
      </c>
      <c r="H30" s="883">
        <f>MCDO800!$M30*H$152</f>
        <v>15488.690442126088</v>
      </c>
      <c r="I30" s="883">
        <f>MCDO800!$M30*I$152</f>
        <v>15561.268432330533</v>
      </c>
      <c r="J30" s="180">
        <f t="shared" si="99"/>
        <v>95664.24</v>
      </c>
      <c r="K30" s="883">
        <f t="shared" si="100"/>
        <v>6491.1224408429707</v>
      </c>
      <c r="L30" s="883">
        <f t="shared" si="101"/>
        <v>6493.8314648950845</v>
      </c>
      <c r="M30" s="883">
        <f t="shared" si="102"/>
        <v>6371.1804879230913</v>
      </c>
      <c r="N30" s="883">
        <f t="shared" si="103"/>
        <v>6471.5715430002829</v>
      </c>
      <c r="O30" s="883">
        <f t="shared" si="104"/>
        <v>6191.1598351756311</v>
      </c>
      <c r="P30" s="883">
        <f t="shared" si="105"/>
        <v>6220.1708054413557</v>
      </c>
      <c r="Q30" s="180">
        <f t="shared" si="106"/>
        <v>38239.036577278413</v>
      </c>
      <c r="R30" s="883">
        <f t="shared" si="107"/>
        <v>9747.9973339257886</v>
      </c>
      <c r="S30" s="883">
        <f t="shared" si="108"/>
        <v>9752.0655916852447</v>
      </c>
      <c r="T30" s="883">
        <f t="shared" si="109"/>
        <v>9567.8753522586248</v>
      </c>
      <c r="U30" s="883">
        <f t="shared" si="110"/>
        <v>9718.6369110123014</v>
      </c>
      <c r="V30" s="883">
        <f t="shared" si="111"/>
        <v>9297.5306069504568</v>
      </c>
      <c r="W30" s="883">
        <f t="shared" si="112"/>
        <v>9341.0976268891773</v>
      </c>
      <c r="X30" s="180">
        <f t="shared" si="113"/>
        <v>57425.203422721599</v>
      </c>
      <c r="Y30" s="883"/>
      <c r="Z30" s="883"/>
      <c r="AA30" s="883"/>
      <c r="AB30" s="883"/>
      <c r="AC30" s="883"/>
      <c r="AD30" s="883"/>
      <c r="AE30" s="180"/>
      <c r="AG30" s="1415">
        <f>'PDYG-200'!$D$31</f>
        <v>0.39972132300720115</v>
      </c>
      <c r="AH30" s="1415">
        <f>'PDYG-200'!$E$31</f>
        <v>0.24340000000000001</v>
      </c>
      <c r="AI30" s="1415">
        <f>'PDYG-200'!$F$31</f>
        <v>0.35687867699279885</v>
      </c>
    </row>
    <row r="31" spans="2:35">
      <c r="B31" s="48"/>
      <c r="C31" s="887" t="s">
        <v>305</v>
      </c>
      <c r="D31" s="883">
        <f>MCDO800!$M31*D$152</f>
        <v>42796.106706303399</v>
      </c>
      <c r="E31" s="883">
        <f>MCDO800!$M31*E$152</f>
        <v>42813.967358827023</v>
      </c>
      <c r="F31" s="883">
        <f>MCDO800!$M31*F$152</f>
        <v>42005.326889330026</v>
      </c>
      <c r="G31" s="883">
        <f>MCDO800!$M31*G$152</f>
        <v>42667.207225835271</v>
      </c>
      <c r="H31" s="883">
        <f>MCDO800!$M31*H$152</f>
        <v>40818.446941442584</v>
      </c>
      <c r="I31" s="883">
        <f>MCDO800!$M31*I$152</f>
        <v>41009.716878261723</v>
      </c>
      <c r="J31" s="180">
        <f t="shared" si="99"/>
        <v>252110.77200000006</v>
      </c>
      <c r="K31" s="883">
        <f t="shared" si="100"/>
        <v>17106.516392200949</v>
      </c>
      <c r="L31" s="883">
        <f t="shared" si="101"/>
        <v>17113.655675857462</v>
      </c>
      <c r="M31" s="883">
        <f t="shared" si="102"/>
        <v>16790.424837552961</v>
      </c>
      <c r="N31" s="883">
        <f t="shared" si="103"/>
        <v>17054.992521333286</v>
      </c>
      <c r="O31" s="883">
        <f t="shared" si="104"/>
        <v>16316.003614532672</v>
      </c>
      <c r="P31" s="883">
        <f t="shared" si="105"/>
        <v>16392.458286729521</v>
      </c>
      <c r="Q31" s="180">
        <f t="shared" si="106"/>
        <v>100774.05132820686</v>
      </c>
      <c r="R31" s="883">
        <f t="shared" si="107"/>
        <v>25689.59031410245</v>
      </c>
      <c r="S31" s="883">
        <f t="shared" si="108"/>
        <v>25700.311682969561</v>
      </c>
      <c r="T31" s="883">
        <f t="shared" si="109"/>
        <v>25214.902051777066</v>
      </c>
      <c r="U31" s="883">
        <f t="shared" si="110"/>
        <v>25612.214704501985</v>
      </c>
      <c r="V31" s="883">
        <f t="shared" si="111"/>
        <v>24502.44332690991</v>
      </c>
      <c r="W31" s="883">
        <f t="shared" si="112"/>
        <v>24617.258591532202</v>
      </c>
      <c r="X31" s="180">
        <f t="shared" si="113"/>
        <v>151336.72067179318</v>
      </c>
      <c r="Y31" s="883"/>
      <c r="Z31" s="883"/>
      <c r="AA31" s="883"/>
      <c r="AB31" s="883"/>
      <c r="AC31" s="883"/>
      <c r="AD31" s="883"/>
      <c r="AE31" s="180"/>
      <c r="AG31" s="1415">
        <f>'PDYG-200'!$D$31</f>
        <v>0.39972132300720115</v>
      </c>
      <c r="AH31" s="1415">
        <f>'PDYG-200'!$E$31</f>
        <v>0.24340000000000001</v>
      </c>
      <c r="AI31" s="1415">
        <f>'PDYG-200'!$F$31</f>
        <v>0.35687867699279885</v>
      </c>
    </row>
    <row r="32" spans="2:35">
      <c r="B32" s="48"/>
      <c r="C32" s="887" t="s">
        <v>307</v>
      </c>
      <c r="D32" s="883">
        <f>MCDO800!$M32*D$152</f>
        <v>7426.384247062846</v>
      </c>
      <c r="E32" s="883">
        <f>MCDO800!$M32*E$152</f>
        <v>7429.4835960165719</v>
      </c>
      <c r="F32" s="883">
        <f>MCDO800!$M32*F$152</f>
        <v>7289.1606716575325</v>
      </c>
      <c r="G32" s="883">
        <f>MCDO800!$M32*G$152</f>
        <v>7404.0163929547034</v>
      </c>
      <c r="H32" s="883">
        <f>MCDO800!$M32*H$152</f>
        <v>7083.2020640525134</v>
      </c>
      <c r="I32" s="883">
        <f>MCDO800!$M32*I$152</f>
        <v>7116.3930282558322</v>
      </c>
      <c r="J32" s="180">
        <f t="shared" si="99"/>
        <v>43748.639999999999</v>
      </c>
      <c r="K32" s="883">
        <f t="shared" si="100"/>
        <v>2968.484136395798</v>
      </c>
      <c r="L32" s="883">
        <f t="shared" si="101"/>
        <v>2969.7230122600427</v>
      </c>
      <c r="M32" s="883">
        <f t="shared" si="102"/>
        <v>2913.6329472870079</v>
      </c>
      <c r="N32" s="883">
        <f t="shared" si="103"/>
        <v>2959.5432281588592</v>
      </c>
      <c r="O32" s="883">
        <f t="shared" si="104"/>
        <v>2831.3069001704084</v>
      </c>
      <c r="P32" s="883">
        <f t="shared" si="105"/>
        <v>2844.574036293644</v>
      </c>
      <c r="Q32" s="180">
        <f t="shared" si="106"/>
        <v>17487.26426056576</v>
      </c>
      <c r="R32" s="883">
        <f t="shared" si="107"/>
        <v>4457.9001106670476</v>
      </c>
      <c r="S32" s="883">
        <f t="shared" si="108"/>
        <v>4459.7605837565297</v>
      </c>
      <c r="T32" s="883">
        <f t="shared" si="109"/>
        <v>4375.5277243705241</v>
      </c>
      <c r="U32" s="883">
        <f t="shared" si="110"/>
        <v>4444.4731647958442</v>
      </c>
      <c r="V32" s="883">
        <f t="shared" si="111"/>
        <v>4251.8951638821054</v>
      </c>
      <c r="W32" s="883">
        <f t="shared" si="112"/>
        <v>4271.8189919621882</v>
      </c>
      <c r="X32" s="180">
        <f t="shared" si="113"/>
        <v>26261.375739434239</v>
      </c>
      <c r="Y32" s="883"/>
      <c r="Z32" s="883"/>
      <c r="AA32" s="883"/>
      <c r="AB32" s="883"/>
      <c r="AC32" s="883"/>
      <c r="AD32" s="883"/>
      <c r="AE32" s="180"/>
      <c r="AG32" s="1415">
        <f>'PDYG-200'!$D$31</f>
        <v>0.39972132300720115</v>
      </c>
      <c r="AH32" s="1415">
        <f>'PDYG-200'!$E$31</f>
        <v>0.24340000000000001</v>
      </c>
      <c r="AI32" s="1415">
        <f>'PDYG-200'!$F$31</f>
        <v>0.35687867699279885</v>
      </c>
    </row>
    <row r="33" spans="2:35">
      <c r="B33" s="48"/>
      <c r="C33" s="887" t="s">
        <v>624</v>
      </c>
      <c r="D33" s="883">
        <f>MCDO800!$M33*D$152</f>
        <v>6032.8922123360671</v>
      </c>
      <c r="E33" s="883">
        <f>MCDO800!$M33*E$152</f>
        <v>6035.4099972424492</v>
      </c>
      <c r="F33" s="883">
        <f>MCDO800!$M33*F$152</f>
        <v>5921.4173664527498</v>
      </c>
      <c r="G33" s="883">
        <f>MCDO800!$M33*G$152</f>
        <v>6014.7214783198397</v>
      </c>
      <c r="H33" s="883">
        <f>MCDO800!$M33*H$152</f>
        <v>5754.104978816018</v>
      </c>
      <c r="I33" s="883">
        <f>MCDO800!$M33*I$152</f>
        <v>5781.0679668328748</v>
      </c>
      <c r="J33" s="180">
        <f t="shared" si="99"/>
        <v>35539.614000000001</v>
      </c>
      <c r="K33" s="883">
        <f t="shared" si="100"/>
        <v>2411.4756566748133</v>
      </c>
      <c r="L33" s="883">
        <f t="shared" si="101"/>
        <v>2412.4820689886401</v>
      </c>
      <c r="M33" s="883">
        <f t="shared" si="102"/>
        <v>2366.91678379631</v>
      </c>
      <c r="N33" s="883">
        <f t="shared" si="103"/>
        <v>2404.2124268338348</v>
      </c>
      <c r="O33" s="883">
        <f t="shared" si="104"/>
        <v>2300.0384548546617</v>
      </c>
      <c r="P33" s="883">
        <f t="shared" si="105"/>
        <v>2310.8161360969871</v>
      </c>
      <c r="Q33" s="180">
        <f t="shared" si="106"/>
        <v>14205.941527245246</v>
      </c>
      <c r="R33" s="883">
        <f t="shared" si="107"/>
        <v>3621.4165556612538</v>
      </c>
      <c r="S33" s="883">
        <f t="shared" si="108"/>
        <v>3622.9279282538091</v>
      </c>
      <c r="T33" s="883">
        <f t="shared" si="109"/>
        <v>3554.5005826564397</v>
      </c>
      <c r="U33" s="883">
        <f t="shared" si="110"/>
        <v>3610.5090514860049</v>
      </c>
      <c r="V33" s="883">
        <f t="shared" si="111"/>
        <v>3454.0665239613563</v>
      </c>
      <c r="W33" s="883">
        <f t="shared" si="112"/>
        <v>3470.2518307358878</v>
      </c>
      <c r="X33" s="180">
        <f t="shared" si="113"/>
        <v>21333.672472754752</v>
      </c>
      <c r="Y33" s="883"/>
      <c r="Z33" s="883"/>
      <c r="AA33" s="883"/>
      <c r="AB33" s="883"/>
      <c r="AC33" s="883"/>
      <c r="AD33" s="883"/>
      <c r="AE33" s="180"/>
      <c r="AG33" s="1415">
        <f>'PDYG-200'!$D$31</f>
        <v>0.39972132300720115</v>
      </c>
      <c r="AH33" s="1415">
        <f>'PDYG-200'!$E$31</f>
        <v>0.24340000000000001</v>
      </c>
      <c r="AI33" s="1415">
        <f>'PDYG-200'!$F$31</f>
        <v>0.35687867699279885</v>
      </c>
    </row>
    <row r="34" spans="2:35">
      <c r="B34" s="48" t="s">
        <v>274</v>
      </c>
      <c r="C34" s="882" t="s">
        <v>631</v>
      </c>
      <c r="D34" s="881">
        <f>SUBTOTAL(9,D35:D38)</f>
        <v>16154592.578703025</v>
      </c>
      <c r="E34" s="881">
        <f t="shared" ref="E34:W34" si="114">SUBTOTAL(9,E35:E38)</f>
        <v>16161334.583687009</v>
      </c>
      <c r="F34" s="881">
        <f t="shared" si="114"/>
        <v>15856090.524524707</v>
      </c>
      <c r="G34" s="881">
        <f t="shared" si="114"/>
        <v>16105935.84913509</v>
      </c>
      <c r="H34" s="881">
        <f t="shared" si="114"/>
        <v>15408069.349852528</v>
      </c>
      <c r="I34" s="881">
        <f t="shared" si="114"/>
        <v>15480269.560097642</v>
      </c>
      <c r="J34" s="180">
        <f t="shared" si="3"/>
        <v>95166292.44600001</v>
      </c>
      <c r="K34" s="881">
        <f t="shared" si="114"/>
        <v>6457335.1182014868</v>
      </c>
      <c r="L34" s="881">
        <f t="shared" si="114"/>
        <v>6460030.0413534055</v>
      </c>
      <c r="M34" s="881">
        <f t="shared" si="114"/>
        <v>6338017.4821849614</v>
      </c>
      <c r="N34" s="881">
        <f t="shared" si="114"/>
        <v>6437885.9858853873</v>
      </c>
      <c r="O34" s="881">
        <f t="shared" si="114"/>
        <v>6158933.8655097578</v>
      </c>
      <c r="P34" s="881">
        <f t="shared" si="114"/>
        <v>6187793.8290703334</v>
      </c>
      <c r="Q34" s="180">
        <f t="shared" si="5"/>
        <v>38039996.322205335</v>
      </c>
      <c r="R34" s="881">
        <f t="shared" si="114"/>
        <v>9697257.4605015386</v>
      </c>
      <c r="S34" s="881">
        <f t="shared" si="114"/>
        <v>9701304.5423336048</v>
      </c>
      <c r="T34" s="881">
        <f t="shared" si="114"/>
        <v>9518073.042339744</v>
      </c>
      <c r="U34" s="881">
        <f t="shared" si="114"/>
        <v>9668049.8632497024</v>
      </c>
      <c r="V34" s="881">
        <f t="shared" si="114"/>
        <v>9249135.4843427707</v>
      </c>
      <c r="W34" s="881">
        <f t="shared" si="114"/>
        <v>9292475.731027307</v>
      </c>
      <c r="X34" s="180">
        <f t="shared" si="113"/>
        <v>57126296.123794667</v>
      </c>
      <c r="Y34" s="881"/>
      <c r="Z34" s="881"/>
      <c r="AA34" s="881"/>
      <c r="AB34" s="881"/>
      <c r="AC34" s="881"/>
      <c r="AD34" s="881"/>
      <c r="AE34" s="180"/>
      <c r="AG34" s="1415">
        <f>'PDYG-200'!$D$31</f>
        <v>0.39972132300720115</v>
      </c>
      <c r="AH34" s="1415">
        <f>'PDYG-200'!$E$31</f>
        <v>0.24340000000000001</v>
      </c>
      <c r="AI34" s="1415">
        <f>'PDYG-200'!$F$31</f>
        <v>0.35687867699279885</v>
      </c>
    </row>
    <row r="35" spans="2:35">
      <c r="B35" s="48"/>
      <c r="C35" s="887" t="s">
        <v>304</v>
      </c>
      <c r="D35" s="883">
        <f>MCDO800!$M35*D$152</f>
        <v>16142637.911378486</v>
      </c>
      <c r="E35" s="883">
        <f>MCDO800!$M35*E$152</f>
        <v>16149374.927166592</v>
      </c>
      <c r="F35" s="883">
        <f>MCDO800!$M35*F$152</f>
        <v>15844356.753687404</v>
      </c>
      <c r="G35" s="883">
        <f>MCDO800!$M35*G$152</f>
        <v>16094017.188600089</v>
      </c>
      <c r="H35" s="883">
        <f>MCDO800!$M35*H$152</f>
        <v>15396667.122139663</v>
      </c>
      <c r="I35" s="883">
        <f>MCDO800!$M35*I$152</f>
        <v>15468813.903027767</v>
      </c>
      <c r="J35" s="180">
        <f t="shared" ref="J35:J38" si="115">SUM(D35:I35)</f>
        <v>95095867.806000009</v>
      </c>
      <c r="K35" s="883">
        <f t="shared" ref="K35:K38" si="116">D35*$AG35</f>
        <v>6452556.5827624109</v>
      </c>
      <c r="L35" s="883">
        <f t="shared" ref="L35:L38" si="117">E35*$AG35</f>
        <v>6455249.5116263526</v>
      </c>
      <c r="M35" s="883">
        <f t="shared" ref="M35:M38" si="118">F35*$AG35</f>
        <v>6333327.2437820118</v>
      </c>
      <c r="N35" s="883">
        <f t="shared" ref="N35:N38" si="119">G35*$AG35</f>
        <v>6433121.8431278635</v>
      </c>
      <c r="O35" s="883">
        <f t="shared" ref="O35:O38" si="120">H35*$AG35</f>
        <v>6154376.1519631417</v>
      </c>
      <c r="P35" s="883">
        <f t="shared" ref="P35:P38" si="121">I35*$AG35</f>
        <v>6183214.7586704465</v>
      </c>
      <c r="Q35" s="180">
        <f t="shared" ref="Q35:Q38" si="122">SUM(K35:P35)</f>
        <v>38011846.091932222</v>
      </c>
      <c r="R35" s="883">
        <f t="shared" ref="R35:R38" si="123">D35-K35</f>
        <v>9690081.3286160752</v>
      </c>
      <c r="S35" s="883">
        <f t="shared" ref="S35:S38" si="124">E35-L35</f>
        <v>9694125.4155402407</v>
      </c>
      <c r="T35" s="883">
        <f t="shared" ref="T35:T38" si="125">F35-M35</f>
        <v>9511029.5099053923</v>
      </c>
      <c r="U35" s="883">
        <f t="shared" ref="U35:U38" si="126">G35-N35</f>
        <v>9660895.3454722259</v>
      </c>
      <c r="V35" s="883">
        <f t="shared" ref="V35:V38" si="127">H35-O35</f>
        <v>9242290.9701765217</v>
      </c>
      <c r="W35" s="883">
        <f t="shared" ref="W35:W38" si="128">I35-P35</f>
        <v>9285599.1443573199</v>
      </c>
      <c r="X35" s="180">
        <f t="shared" ref="X35:X39" si="129">SUM(R35:W35)</f>
        <v>57084021.714067772</v>
      </c>
      <c r="Y35" s="883"/>
      <c r="Z35" s="883"/>
      <c r="AA35" s="883"/>
      <c r="AB35" s="883"/>
      <c r="AC35" s="883"/>
      <c r="AD35" s="883"/>
      <c r="AE35" s="180"/>
      <c r="AG35" s="1415">
        <f>'PDYG-200'!$D$31</f>
        <v>0.39972132300720115</v>
      </c>
      <c r="AH35" s="1415">
        <f>'PDYG-200'!$E$31</f>
        <v>0.24340000000000001</v>
      </c>
      <c r="AI35" s="1415">
        <f>'PDYG-200'!$F$31</f>
        <v>0.35687867699279885</v>
      </c>
    </row>
    <row r="36" spans="2:35">
      <c r="B36" s="48"/>
      <c r="C36" s="888" t="s">
        <v>306</v>
      </c>
      <c r="D36" s="883">
        <f>MCDO800!$M36*D$152</f>
        <v>0</v>
      </c>
      <c r="E36" s="883">
        <f>MCDO800!$M36*E$152</f>
        <v>0</v>
      </c>
      <c r="F36" s="883">
        <f>MCDO800!$M36*F$152</f>
        <v>0</v>
      </c>
      <c r="G36" s="883">
        <f>MCDO800!$M36*G$152</f>
        <v>0</v>
      </c>
      <c r="H36" s="883">
        <f>MCDO800!$M36*H$152</f>
        <v>0</v>
      </c>
      <c r="I36" s="883">
        <f>MCDO800!$M36*I$152</f>
        <v>0</v>
      </c>
      <c r="J36" s="180">
        <f t="shared" si="115"/>
        <v>0</v>
      </c>
      <c r="K36" s="883">
        <f t="shared" si="116"/>
        <v>0</v>
      </c>
      <c r="L36" s="883">
        <f t="shared" si="117"/>
        <v>0</v>
      </c>
      <c r="M36" s="883">
        <f t="shared" si="118"/>
        <v>0</v>
      </c>
      <c r="N36" s="883">
        <f t="shared" si="119"/>
        <v>0</v>
      </c>
      <c r="O36" s="883">
        <f t="shared" si="120"/>
        <v>0</v>
      </c>
      <c r="P36" s="883">
        <f t="shared" si="121"/>
        <v>0</v>
      </c>
      <c r="Q36" s="180">
        <f t="shared" si="122"/>
        <v>0</v>
      </c>
      <c r="R36" s="883">
        <f t="shared" si="123"/>
        <v>0</v>
      </c>
      <c r="S36" s="883">
        <f t="shared" si="124"/>
        <v>0</v>
      </c>
      <c r="T36" s="883">
        <f t="shared" si="125"/>
        <v>0</v>
      </c>
      <c r="U36" s="883">
        <f t="shared" si="126"/>
        <v>0</v>
      </c>
      <c r="V36" s="883">
        <f t="shared" si="127"/>
        <v>0</v>
      </c>
      <c r="W36" s="883">
        <f t="shared" si="128"/>
        <v>0</v>
      </c>
      <c r="X36" s="180">
        <f t="shared" si="129"/>
        <v>0</v>
      </c>
      <c r="Y36" s="883"/>
      <c r="Z36" s="883"/>
      <c r="AA36" s="883"/>
      <c r="AB36" s="883"/>
      <c r="AC36" s="883"/>
      <c r="AD36" s="883"/>
      <c r="AE36" s="180"/>
      <c r="AG36" s="1415">
        <f>'PDYG-200'!$D$31</f>
        <v>0.39972132300720115</v>
      </c>
      <c r="AH36" s="1415">
        <f>'PDYG-200'!$E$31</f>
        <v>0.24340000000000001</v>
      </c>
      <c r="AI36" s="1415">
        <f>'PDYG-200'!$F$31</f>
        <v>0.35687867699279885</v>
      </c>
    </row>
    <row r="37" spans="2:35">
      <c r="B37" s="48"/>
      <c r="C37" s="887" t="s">
        <v>305</v>
      </c>
      <c r="D37" s="883">
        <f>MCDO800!$M37*D$152</f>
        <v>11954.667324540193</v>
      </c>
      <c r="E37" s="883">
        <f>MCDO800!$M37*E$152</f>
        <v>11959.656520416922</v>
      </c>
      <c r="F37" s="883">
        <f>MCDO800!$M37*F$152</f>
        <v>11733.770837302371</v>
      </c>
      <c r="G37" s="883">
        <f>MCDO800!$M37*G$152</f>
        <v>11918.660535000256</v>
      </c>
      <c r="H37" s="883">
        <f>MCDO800!$M37*H$152</f>
        <v>11402.227712865022</v>
      </c>
      <c r="I37" s="883">
        <f>MCDO800!$M37*I$152</f>
        <v>11455.657069875244</v>
      </c>
      <c r="J37" s="180">
        <f t="shared" si="115"/>
        <v>70424.640000000014</v>
      </c>
      <c r="K37" s="883">
        <f t="shared" si="116"/>
        <v>4778.5354390761631</v>
      </c>
      <c r="L37" s="883">
        <f t="shared" si="117"/>
        <v>4780.5297270527517</v>
      </c>
      <c r="M37" s="883">
        <f t="shared" si="118"/>
        <v>4690.238402949818</v>
      </c>
      <c r="N37" s="883">
        <f t="shared" si="119"/>
        <v>4764.1427575240177</v>
      </c>
      <c r="O37" s="883">
        <f t="shared" si="120"/>
        <v>4557.7135466157797</v>
      </c>
      <c r="P37" s="883">
        <f t="shared" si="121"/>
        <v>4579.0703998873296</v>
      </c>
      <c r="Q37" s="180">
        <f t="shared" si="122"/>
        <v>28150.230273105859</v>
      </c>
      <c r="R37" s="883">
        <f t="shared" si="123"/>
        <v>7176.1318854640294</v>
      </c>
      <c r="S37" s="883">
        <f t="shared" si="124"/>
        <v>7179.1267933641702</v>
      </c>
      <c r="T37" s="883">
        <f t="shared" si="125"/>
        <v>7043.5324343525526</v>
      </c>
      <c r="U37" s="883">
        <f t="shared" si="126"/>
        <v>7154.5177774762378</v>
      </c>
      <c r="V37" s="883">
        <f t="shared" si="127"/>
        <v>6844.5141662492424</v>
      </c>
      <c r="W37" s="883">
        <f t="shared" si="128"/>
        <v>6876.5866699879143</v>
      </c>
      <c r="X37" s="180">
        <f t="shared" si="129"/>
        <v>42274.40972689414</v>
      </c>
      <c r="Y37" s="883"/>
      <c r="Z37" s="883"/>
      <c r="AA37" s="883"/>
      <c r="AB37" s="883"/>
      <c r="AC37" s="883"/>
      <c r="AD37" s="883"/>
      <c r="AE37" s="180"/>
      <c r="AG37" s="1415">
        <f>'PDYG-200'!$D$31</f>
        <v>0.39972132300720115</v>
      </c>
      <c r="AH37" s="1415">
        <f>'PDYG-200'!$E$31</f>
        <v>0.24340000000000001</v>
      </c>
      <c r="AI37" s="1415">
        <f>'PDYG-200'!$F$31</f>
        <v>0.35687867699279885</v>
      </c>
    </row>
    <row r="38" spans="2:35">
      <c r="B38" s="48"/>
      <c r="C38" s="887" t="s">
        <v>307</v>
      </c>
      <c r="D38" s="883">
        <f>MCDO800!$M38*D$152</f>
        <v>0</v>
      </c>
      <c r="E38" s="883">
        <f>MCDO800!$M38*E$152</f>
        <v>0</v>
      </c>
      <c r="F38" s="883">
        <f>MCDO800!$M38*F$152</f>
        <v>0</v>
      </c>
      <c r="G38" s="883">
        <f>MCDO800!$M38*G$152</f>
        <v>0</v>
      </c>
      <c r="H38" s="883">
        <f>MCDO800!$M38*H$152</f>
        <v>0</v>
      </c>
      <c r="I38" s="883">
        <f>MCDO800!$M38*I$152</f>
        <v>0</v>
      </c>
      <c r="J38" s="180">
        <f t="shared" si="115"/>
        <v>0</v>
      </c>
      <c r="K38" s="883">
        <f t="shared" si="116"/>
        <v>0</v>
      </c>
      <c r="L38" s="883">
        <f t="shared" si="117"/>
        <v>0</v>
      </c>
      <c r="M38" s="883">
        <f t="shared" si="118"/>
        <v>0</v>
      </c>
      <c r="N38" s="883">
        <f t="shared" si="119"/>
        <v>0</v>
      </c>
      <c r="O38" s="883">
        <f t="shared" si="120"/>
        <v>0</v>
      </c>
      <c r="P38" s="883">
        <f t="shared" si="121"/>
        <v>0</v>
      </c>
      <c r="Q38" s="180">
        <f t="shared" si="122"/>
        <v>0</v>
      </c>
      <c r="R38" s="883">
        <f t="shared" si="123"/>
        <v>0</v>
      </c>
      <c r="S38" s="883">
        <f t="shared" si="124"/>
        <v>0</v>
      </c>
      <c r="T38" s="883">
        <f t="shared" si="125"/>
        <v>0</v>
      </c>
      <c r="U38" s="883">
        <f t="shared" si="126"/>
        <v>0</v>
      </c>
      <c r="V38" s="883">
        <f t="shared" si="127"/>
        <v>0</v>
      </c>
      <c r="W38" s="883">
        <f t="shared" si="128"/>
        <v>0</v>
      </c>
      <c r="X38" s="180">
        <f t="shared" si="129"/>
        <v>0</v>
      </c>
      <c r="Y38" s="883"/>
      <c r="Z38" s="883"/>
      <c r="AA38" s="883"/>
      <c r="AB38" s="883"/>
      <c r="AC38" s="883"/>
      <c r="AD38" s="883"/>
      <c r="AE38" s="180"/>
      <c r="AG38" s="1415">
        <f>'PDYG-200'!$D$31</f>
        <v>0.39972132300720115</v>
      </c>
      <c r="AH38" s="1415">
        <f>'PDYG-200'!$E$31</f>
        <v>0.24340000000000001</v>
      </c>
      <c r="AI38" s="1415">
        <f>'PDYG-200'!$F$31</f>
        <v>0.35687867699279885</v>
      </c>
    </row>
    <row r="39" spans="2:35">
      <c r="B39" s="48" t="s">
        <v>274</v>
      </c>
      <c r="C39" s="882" t="s">
        <v>632</v>
      </c>
      <c r="D39" s="881">
        <f>SUBTOTAL(9,D40:D43)</f>
        <v>4544759.5837842142</v>
      </c>
      <c r="E39" s="881">
        <f t="shared" ref="E39:W39" si="130">SUBTOTAL(9,E40:E43)</f>
        <v>4546656.3070606207</v>
      </c>
      <c r="F39" s="881">
        <f t="shared" si="130"/>
        <v>4460782.2216256252</v>
      </c>
      <c r="G39" s="881">
        <f t="shared" si="130"/>
        <v>4531071.0220367024</v>
      </c>
      <c r="H39" s="881">
        <f t="shared" si="130"/>
        <v>4334740.7558684545</v>
      </c>
      <c r="I39" s="881">
        <f t="shared" si="130"/>
        <v>4355052.7876243843</v>
      </c>
      <c r="J39" s="180">
        <f t="shared" si="3"/>
        <v>26773062.677999999</v>
      </c>
      <c r="K39" s="881">
        <f t="shared" si="130"/>
        <v>1816637.313579883</v>
      </c>
      <c r="L39" s="881">
        <f t="shared" si="130"/>
        <v>1817395.4743173067</v>
      </c>
      <c r="M39" s="881">
        <f t="shared" si="130"/>
        <v>1783069.7712751969</v>
      </c>
      <c r="N39" s="881">
        <f t="shared" si="130"/>
        <v>1811165.7035681016</v>
      </c>
      <c r="O39" s="881">
        <f t="shared" si="130"/>
        <v>1732688.3098289738</v>
      </c>
      <c r="P39" s="881">
        <f t="shared" si="130"/>
        <v>1740807.4620354183</v>
      </c>
      <c r="Q39" s="180">
        <f t="shared" si="5"/>
        <v>10701764.034604879</v>
      </c>
      <c r="R39" s="881">
        <f t="shared" si="130"/>
        <v>2728122.2702043313</v>
      </c>
      <c r="S39" s="881">
        <f t="shared" si="130"/>
        <v>2729260.8327433141</v>
      </c>
      <c r="T39" s="881">
        <f t="shared" si="130"/>
        <v>2677712.450350428</v>
      </c>
      <c r="U39" s="881">
        <f t="shared" si="130"/>
        <v>2719905.3184686005</v>
      </c>
      <c r="V39" s="881">
        <f t="shared" si="130"/>
        <v>2602052.4460394806</v>
      </c>
      <c r="W39" s="881">
        <f t="shared" si="130"/>
        <v>2614245.3255889658</v>
      </c>
      <c r="X39" s="180">
        <f t="shared" si="129"/>
        <v>16071298.64339512</v>
      </c>
      <c r="Y39" s="881"/>
      <c r="Z39" s="881"/>
      <c r="AA39" s="881"/>
      <c r="AB39" s="881"/>
      <c r="AC39" s="881"/>
      <c r="AD39" s="881"/>
      <c r="AE39" s="180"/>
      <c r="AG39" s="1415">
        <f>'PDYG-200'!$D$31</f>
        <v>0.39972132300720115</v>
      </c>
      <c r="AH39" s="1415">
        <f>'PDYG-200'!$E$31</f>
        <v>0.24340000000000001</v>
      </c>
      <c r="AI39" s="1415">
        <f>'PDYG-200'!$F$31</f>
        <v>0.35687867699279885</v>
      </c>
    </row>
    <row r="40" spans="2:35">
      <c r="B40" s="48"/>
      <c r="C40" s="887" t="s">
        <v>304</v>
      </c>
      <c r="D40" s="883">
        <f>MCDO800!$M40*D$152</f>
        <v>4544759.5837842142</v>
      </c>
      <c r="E40" s="883">
        <f>MCDO800!$M40*E$152</f>
        <v>4546656.3070606207</v>
      </c>
      <c r="F40" s="883">
        <f>MCDO800!$M40*F$152</f>
        <v>4460782.2216256252</v>
      </c>
      <c r="G40" s="883">
        <f>MCDO800!$M40*G$152</f>
        <v>4531071.0220367024</v>
      </c>
      <c r="H40" s="883">
        <f>MCDO800!$M40*H$152</f>
        <v>4334740.7558684545</v>
      </c>
      <c r="I40" s="883">
        <f>MCDO800!$M40*I$152</f>
        <v>4355052.7876243843</v>
      </c>
      <c r="J40" s="180">
        <f t="shared" ref="J40:J43" si="131">SUM(D40:I40)</f>
        <v>26773062.677999999</v>
      </c>
      <c r="K40" s="883">
        <f t="shared" ref="K40:K43" si="132">D40*$AG40</f>
        <v>1816637.313579883</v>
      </c>
      <c r="L40" s="883">
        <f t="shared" ref="L40:L43" si="133">E40*$AG40</f>
        <v>1817395.4743173067</v>
      </c>
      <c r="M40" s="883">
        <f t="shared" ref="M40:M43" si="134">F40*$AG40</f>
        <v>1783069.7712751969</v>
      </c>
      <c r="N40" s="883">
        <f t="shared" ref="N40:N43" si="135">G40*$AG40</f>
        <v>1811165.7035681016</v>
      </c>
      <c r="O40" s="883">
        <f t="shared" ref="O40:O43" si="136">H40*$AG40</f>
        <v>1732688.3098289738</v>
      </c>
      <c r="P40" s="883">
        <f t="shared" ref="P40:P43" si="137">I40*$AG40</f>
        <v>1740807.4620354183</v>
      </c>
      <c r="Q40" s="180">
        <f t="shared" ref="Q40:Q43" si="138">SUM(K40:P40)</f>
        <v>10701764.034604879</v>
      </c>
      <c r="R40" s="883">
        <f t="shared" ref="R40:R43" si="139">D40-K40</f>
        <v>2728122.2702043313</v>
      </c>
      <c r="S40" s="883">
        <f t="shared" ref="S40:S43" si="140">E40-L40</f>
        <v>2729260.8327433141</v>
      </c>
      <c r="T40" s="883">
        <f t="shared" ref="T40:T43" si="141">F40-M40</f>
        <v>2677712.450350428</v>
      </c>
      <c r="U40" s="883">
        <f t="shared" ref="U40:U43" si="142">G40-N40</f>
        <v>2719905.3184686005</v>
      </c>
      <c r="V40" s="883">
        <f t="shared" ref="V40:V43" si="143">H40-O40</f>
        <v>2602052.4460394806</v>
      </c>
      <c r="W40" s="883">
        <f t="shared" ref="W40:W43" si="144">I40-P40</f>
        <v>2614245.3255889658</v>
      </c>
      <c r="X40" s="180">
        <f t="shared" ref="X40:X44" si="145">SUM(R40:W40)</f>
        <v>16071298.64339512</v>
      </c>
      <c r="Y40" s="883"/>
      <c r="Z40" s="883"/>
      <c r="AA40" s="883"/>
      <c r="AB40" s="883"/>
      <c r="AC40" s="883"/>
      <c r="AD40" s="883"/>
      <c r="AE40" s="180"/>
      <c r="AG40" s="1415">
        <f>'PDYG-200'!$D$31</f>
        <v>0.39972132300720115</v>
      </c>
      <c r="AH40" s="1415">
        <f>'PDYG-200'!$E$31</f>
        <v>0.24340000000000001</v>
      </c>
      <c r="AI40" s="1415">
        <f>'PDYG-200'!$F$31</f>
        <v>0.35687867699279885</v>
      </c>
    </row>
    <row r="41" spans="2:35">
      <c r="B41" s="48"/>
      <c r="C41" s="888" t="s">
        <v>306</v>
      </c>
      <c r="D41" s="883">
        <f>MCDO800!$M41*D$152</f>
        <v>0</v>
      </c>
      <c r="E41" s="883">
        <f>MCDO800!$M41*E$152</f>
        <v>0</v>
      </c>
      <c r="F41" s="883">
        <f>MCDO800!$M41*F$152</f>
        <v>0</v>
      </c>
      <c r="G41" s="883">
        <f>MCDO800!$M41*G$152</f>
        <v>0</v>
      </c>
      <c r="H41" s="883">
        <f>MCDO800!$M41*H$152</f>
        <v>0</v>
      </c>
      <c r="I41" s="883">
        <f>MCDO800!$M41*I$152</f>
        <v>0</v>
      </c>
      <c r="J41" s="180">
        <f t="shared" si="131"/>
        <v>0</v>
      </c>
      <c r="K41" s="883">
        <f t="shared" si="132"/>
        <v>0</v>
      </c>
      <c r="L41" s="883">
        <f t="shared" si="133"/>
        <v>0</v>
      </c>
      <c r="M41" s="883">
        <f t="shared" si="134"/>
        <v>0</v>
      </c>
      <c r="N41" s="883">
        <f t="shared" si="135"/>
        <v>0</v>
      </c>
      <c r="O41" s="883">
        <f t="shared" si="136"/>
        <v>0</v>
      </c>
      <c r="P41" s="883">
        <f t="shared" si="137"/>
        <v>0</v>
      </c>
      <c r="Q41" s="180">
        <f t="shared" si="138"/>
        <v>0</v>
      </c>
      <c r="R41" s="883">
        <f t="shared" si="139"/>
        <v>0</v>
      </c>
      <c r="S41" s="883">
        <f t="shared" si="140"/>
        <v>0</v>
      </c>
      <c r="T41" s="883">
        <f t="shared" si="141"/>
        <v>0</v>
      </c>
      <c r="U41" s="883">
        <f t="shared" si="142"/>
        <v>0</v>
      </c>
      <c r="V41" s="883">
        <f t="shared" si="143"/>
        <v>0</v>
      </c>
      <c r="W41" s="883">
        <f t="shared" si="144"/>
        <v>0</v>
      </c>
      <c r="X41" s="180">
        <f t="shared" si="145"/>
        <v>0</v>
      </c>
      <c r="Y41" s="883"/>
      <c r="Z41" s="883"/>
      <c r="AA41" s="883"/>
      <c r="AB41" s="883"/>
      <c r="AC41" s="883"/>
      <c r="AD41" s="883"/>
      <c r="AE41" s="180"/>
      <c r="AG41" s="1415">
        <f>'PDYG-200'!$D$31</f>
        <v>0.39972132300720115</v>
      </c>
      <c r="AH41" s="1415">
        <f>'PDYG-200'!$E$31</f>
        <v>0.24340000000000001</v>
      </c>
      <c r="AI41" s="1415">
        <f>'PDYG-200'!$F$31</f>
        <v>0.35687867699279885</v>
      </c>
    </row>
    <row r="42" spans="2:35">
      <c r="B42" s="48"/>
      <c r="C42" s="887" t="s">
        <v>305</v>
      </c>
      <c r="D42" s="883">
        <f>MCDO800!$M42*D$152</f>
        <v>0</v>
      </c>
      <c r="E42" s="883">
        <f>MCDO800!$M42*E$152</f>
        <v>0</v>
      </c>
      <c r="F42" s="883">
        <f>MCDO800!$M42*F$152</f>
        <v>0</v>
      </c>
      <c r="G42" s="883">
        <f>MCDO800!$M42*G$152</f>
        <v>0</v>
      </c>
      <c r="H42" s="883">
        <f>MCDO800!$M42*H$152</f>
        <v>0</v>
      </c>
      <c r="I42" s="883">
        <f>MCDO800!$M42*I$152</f>
        <v>0</v>
      </c>
      <c r="J42" s="180">
        <f t="shared" si="131"/>
        <v>0</v>
      </c>
      <c r="K42" s="883">
        <f t="shared" si="132"/>
        <v>0</v>
      </c>
      <c r="L42" s="883">
        <f t="shared" si="133"/>
        <v>0</v>
      </c>
      <c r="M42" s="883">
        <f t="shared" si="134"/>
        <v>0</v>
      </c>
      <c r="N42" s="883">
        <f t="shared" si="135"/>
        <v>0</v>
      </c>
      <c r="O42" s="883">
        <f t="shared" si="136"/>
        <v>0</v>
      </c>
      <c r="P42" s="883">
        <f t="shared" si="137"/>
        <v>0</v>
      </c>
      <c r="Q42" s="180">
        <f t="shared" si="138"/>
        <v>0</v>
      </c>
      <c r="R42" s="883">
        <f t="shared" si="139"/>
        <v>0</v>
      </c>
      <c r="S42" s="883">
        <f t="shared" si="140"/>
        <v>0</v>
      </c>
      <c r="T42" s="883">
        <f t="shared" si="141"/>
        <v>0</v>
      </c>
      <c r="U42" s="883">
        <f t="shared" si="142"/>
        <v>0</v>
      </c>
      <c r="V42" s="883">
        <f t="shared" si="143"/>
        <v>0</v>
      </c>
      <c r="W42" s="883">
        <f t="shared" si="144"/>
        <v>0</v>
      </c>
      <c r="X42" s="180">
        <f t="shared" si="145"/>
        <v>0</v>
      </c>
      <c r="Y42" s="883"/>
      <c r="Z42" s="883"/>
      <c r="AA42" s="883"/>
      <c r="AB42" s="883"/>
      <c r="AC42" s="883"/>
      <c r="AD42" s="883"/>
      <c r="AE42" s="180"/>
      <c r="AG42" s="1415">
        <f>'PDYG-200'!$D$31</f>
        <v>0.39972132300720115</v>
      </c>
      <c r="AH42" s="1415">
        <f>'PDYG-200'!$E$31</f>
        <v>0.24340000000000001</v>
      </c>
      <c r="AI42" s="1415">
        <f>'PDYG-200'!$F$31</f>
        <v>0.35687867699279885</v>
      </c>
    </row>
    <row r="43" spans="2:35">
      <c r="B43" s="48"/>
      <c r="C43" s="887" t="s">
        <v>307</v>
      </c>
      <c r="D43" s="883">
        <f>MCDO800!$M43*D$152</f>
        <v>0</v>
      </c>
      <c r="E43" s="883">
        <f>MCDO800!$M43*E$152</f>
        <v>0</v>
      </c>
      <c r="F43" s="883">
        <f>MCDO800!$M43*F$152</f>
        <v>0</v>
      </c>
      <c r="G43" s="883">
        <f>MCDO800!$M43*G$152</f>
        <v>0</v>
      </c>
      <c r="H43" s="883">
        <f>MCDO800!$M43*H$152</f>
        <v>0</v>
      </c>
      <c r="I43" s="883">
        <f>MCDO800!$M43*I$152</f>
        <v>0</v>
      </c>
      <c r="J43" s="180">
        <f t="shared" si="131"/>
        <v>0</v>
      </c>
      <c r="K43" s="883">
        <f t="shared" si="132"/>
        <v>0</v>
      </c>
      <c r="L43" s="883">
        <f t="shared" si="133"/>
        <v>0</v>
      </c>
      <c r="M43" s="883">
        <f t="shared" si="134"/>
        <v>0</v>
      </c>
      <c r="N43" s="883">
        <f t="shared" si="135"/>
        <v>0</v>
      </c>
      <c r="O43" s="883">
        <f t="shared" si="136"/>
        <v>0</v>
      </c>
      <c r="P43" s="883">
        <f t="shared" si="137"/>
        <v>0</v>
      </c>
      <c r="Q43" s="180">
        <f t="shared" si="138"/>
        <v>0</v>
      </c>
      <c r="R43" s="883">
        <f t="shared" si="139"/>
        <v>0</v>
      </c>
      <c r="S43" s="883">
        <f t="shared" si="140"/>
        <v>0</v>
      </c>
      <c r="T43" s="883">
        <f t="shared" si="141"/>
        <v>0</v>
      </c>
      <c r="U43" s="883">
        <f t="shared" si="142"/>
        <v>0</v>
      </c>
      <c r="V43" s="883">
        <f t="shared" si="143"/>
        <v>0</v>
      </c>
      <c r="W43" s="883">
        <f t="shared" si="144"/>
        <v>0</v>
      </c>
      <c r="X43" s="180">
        <f t="shared" si="145"/>
        <v>0</v>
      </c>
      <c r="Y43" s="883"/>
      <c r="Z43" s="883"/>
      <c r="AA43" s="883"/>
      <c r="AB43" s="883"/>
      <c r="AC43" s="883"/>
      <c r="AD43" s="883"/>
      <c r="AE43" s="180"/>
      <c r="AG43" s="1415">
        <f>'PDYG-200'!$D$31</f>
        <v>0.39972132300720115</v>
      </c>
      <c r="AH43" s="1415">
        <f>'PDYG-200'!$E$31</f>
        <v>0.24340000000000001</v>
      </c>
      <c r="AI43" s="1415">
        <f>'PDYG-200'!$F$31</f>
        <v>0.35687867699279885</v>
      </c>
    </row>
    <row r="44" spans="2:35">
      <c r="B44" s="48" t="s">
        <v>274</v>
      </c>
      <c r="C44" s="882" t="s">
        <v>633</v>
      </c>
      <c r="D44" s="881">
        <f>SUBTOTAL(9,D45:D48)</f>
        <v>4593413.5471454356</v>
      </c>
      <c r="E44" s="881">
        <f t="shared" ref="E44:W44" si="146">SUBTOTAL(9,E45:E48)</f>
        <v>4595330.5758094192</v>
      </c>
      <c r="F44" s="881">
        <f t="shared" si="146"/>
        <v>4508537.1646038517</v>
      </c>
      <c r="G44" s="881">
        <f t="shared" si="146"/>
        <v>4579578.4423807515</v>
      </c>
      <c r="H44" s="881">
        <f t="shared" si="146"/>
        <v>4381146.3608357497</v>
      </c>
      <c r="I44" s="881">
        <f t="shared" si="146"/>
        <v>4401675.8432247927</v>
      </c>
      <c r="J44" s="180">
        <f t="shared" si="3"/>
        <v>27059681.934</v>
      </c>
      <c r="K44" s="881">
        <f t="shared" si="146"/>
        <v>1836085.3401841742</v>
      </c>
      <c r="L44" s="881">
        <f t="shared" si="146"/>
        <v>1836851.6174179844</v>
      </c>
      <c r="M44" s="881">
        <f t="shared" si="146"/>
        <v>1802158.440262587</v>
      </c>
      <c r="N44" s="881">
        <f t="shared" si="146"/>
        <v>1830555.1538036915</v>
      </c>
      <c r="O44" s="881">
        <f t="shared" si="146"/>
        <v>1751237.6196414505</v>
      </c>
      <c r="P44" s="881">
        <f t="shared" si="146"/>
        <v>1759443.6915026519</v>
      </c>
      <c r="Q44" s="180">
        <f t="shared" si="5"/>
        <v>10816331.86281254</v>
      </c>
      <c r="R44" s="881">
        <f t="shared" si="146"/>
        <v>2757328.2069612611</v>
      </c>
      <c r="S44" s="881">
        <f t="shared" si="146"/>
        <v>2758478.9583914345</v>
      </c>
      <c r="T44" s="881">
        <f t="shared" si="146"/>
        <v>2706378.7243412649</v>
      </c>
      <c r="U44" s="881">
        <f t="shared" si="146"/>
        <v>2749023.2885770602</v>
      </c>
      <c r="V44" s="881">
        <f t="shared" si="146"/>
        <v>2629908.7411942994</v>
      </c>
      <c r="W44" s="881">
        <f t="shared" si="146"/>
        <v>2642232.1517221406</v>
      </c>
      <c r="X44" s="180">
        <f t="shared" si="145"/>
        <v>16243350.071187463</v>
      </c>
      <c r="Y44" s="881"/>
      <c r="Z44" s="881"/>
      <c r="AA44" s="881"/>
      <c r="AB44" s="881"/>
      <c r="AC44" s="881"/>
      <c r="AD44" s="881"/>
      <c r="AE44" s="180"/>
      <c r="AG44" s="1415">
        <f>'PDYG-200'!$D$31</f>
        <v>0.39972132300720115</v>
      </c>
      <c r="AH44" s="1415">
        <f>'PDYG-200'!$E$31</f>
        <v>0.24340000000000001</v>
      </c>
      <c r="AI44" s="1415">
        <f>'PDYG-200'!$F$31</f>
        <v>0.35687867699279885</v>
      </c>
    </row>
    <row r="45" spans="2:35">
      <c r="B45" s="48"/>
      <c r="C45" s="887" t="s">
        <v>304</v>
      </c>
      <c r="D45" s="883">
        <f>MCDO800!$M45*D$152</f>
        <v>4593413.5471454356</v>
      </c>
      <c r="E45" s="883">
        <f>MCDO800!$M45*E$152</f>
        <v>4595330.5758094192</v>
      </c>
      <c r="F45" s="883">
        <f>MCDO800!$M45*F$152</f>
        <v>4508537.1646038517</v>
      </c>
      <c r="G45" s="883">
        <f>MCDO800!$M45*G$152</f>
        <v>4579578.4423807515</v>
      </c>
      <c r="H45" s="883">
        <f>MCDO800!$M45*H$152</f>
        <v>4381146.3608357497</v>
      </c>
      <c r="I45" s="883">
        <f>MCDO800!$M45*I$152</f>
        <v>4401675.8432247927</v>
      </c>
      <c r="J45" s="180">
        <f t="shared" ref="J45:J48" si="147">SUM(D45:I45)</f>
        <v>27059681.934</v>
      </c>
      <c r="K45" s="883">
        <f t="shared" ref="K45:K48" si="148">D45*$AG45</f>
        <v>1836085.3401841742</v>
      </c>
      <c r="L45" s="883">
        <f t="shared" ref="L45:L48" si="149">E45*$AG45</f>
        <v>1836851.6174179844</v>
      </c>
      <c r="M45" s="883">
        <f t="shared" ref="M45:M48" si="150">F45*$AG45</f>
        <v>1802158.440262587</v>
      </c>
      <c r="N45" s="883">
        <f t="shared" ref="N45:N48" si="151">G45*$AG45</f>
        <v>1830555.1538036915</v>
      </c>
      <c r="O45" s="883">
        <f t="shared" ref="O45:O48" si="152">H45*$AG45</f>
        <v>1751237.6196414505</v>
      </c>
      <c r="P45" s="883">
        <f t="shared" ref="P45:P48" si="153">I45*$AG45</f>
        <v>1759443.6915026519</v>
      </c>
      <c r="Q45" s="180">
        <f t="shared" ref="Q45:Q48" si="154">SUM(K45:P45)</f>
        <v>10816331.86281254</v>
      </c>
      <c r="R45" s="883">
        <f t="shared" ref="R45:R48" si="155">D45-K45</f>
        <v>2757328.2069612611</v>
      </c>
      <c r="S45" s="883">
        <f t="shared" ref="S45:S48" si="156">E45-L45</f>
        <v>2758478.9583914345</v>
      </c>
      <c r="T45" s="883">
        <f t="shared" ref="T45:T48" si="157">F45-M45</f>
        <v>2706378.7243412649</v>
      </c>
      <c r="U45" s="883">
        <f t="shared" ref="U45:U48" si="158">G45-N45</f>
        <v>2749023.2885770602</v>
      </c>
      <c r="V45" s="883">
        <f t="shared" ref="V45:V48" si="159">H45-O45</f>
        <v>2629908.7411942994</v>
      </c>
      <c r="W45" s="883">
        <f t="shared" ref="W45:W48" si="160">I45-P45</f>
        <v>2642232.1517221406</v>
      </c>
      <c r="X45" s="180">
        <f t="shared" ref="X45:X48" si="161">SUM(R45:W45)</f>
        <v>16243350.071187463</v>
      </c>
      <c r="Y45" s="883"/>
      <c r="Z45" s="883"/>
      <c r="AA45" s="883"/>
      <c r="AB45" s="883"/>
      <c r="AC45" s="883"/>
      <c r="AD45" s="883"/>
      <c r="AE45" s="180"/>
      <c r="AG45" s="1415">
        <f>'PDYG-200'!$D$31</f>
        <v>0.39972132300720115</v>
      </c>
      <c r="AH45" s="1415">
        <f>'PDYG-200'!$E$31</f>
        <v>0.24340000000000001</v>
      </c>
      <c r="AI45" s="1415">
        <f>'PDYG-200'!$F$31</f>
        <v>0.35687867699279885</v>
      </c>
    </row>
    <row r="46" spans="2:35">
      <c r="B46" s="48"/>
      <c r="C46" s="888" t="s">
        <v>306</v>
      </c>
      <c r="D46" s="883">
        <f>MCDO800!$M46*D$152</f>
        <v>0</v>
      </c>
      <c r="E46" s="883">
        <f>MCDO800!$M46*E$152</f>
        <v>0</v>
      </c>
      <c r="F46" s="883">
        <f>MCDO800!$M46*F$152</f>
        <v>0</v>
      </c>
      <c r="G46" s="883">
        <f>MCDO800!$M46*G$152</f>
        <v>0</v>
      </c>
      <c r="H46" s="883">
        <f>MCDO800!$M46*H$152</f>
        <v>0</v>
      </c>
      <c r="I46" s="883">
        <f>MCDO800!$M46*I$152</f>
        <v>0</v>
      </c>
      <c r="J46" s="180">
        <f t="shared" si="147"/>
        <v>0</v>
      </c>
      <c r="K46" s="883">
        <f t="shared" si="148"/>
        <v>0</v>
      </c>
      <c r="L46" s="883">
        <f t="shared" si="149"/>
        <v>0</v>
      </c>
      <c r="M46" s="883">
        <f t="shared" si="150"/>
        <v>0</v>
      </c>
      <c r="N46" s="883">
        <f t="shared" si="151"/>
        <v>0</v>
      </c>
      <c r="O46" s="883">
        <f t="shared" si="152"/>
        <v>0</v>
      </c>
      <c r="P46" s="883">
        <f t="shared" si="153"/>
        <v>0</v>
      </c>
      <c r="Q46" s="180">
        <f t="shared" si="154"/>
        <v>0</v>
      </c>
      <c r="R46" s="883">
        <f t="shared" si="155"/>
        <v>0</v>
      </c>
      <c r="S46" s="883">
        <f t="shared" si="156"/>
        <v>0</v>
      </c>
      <c r="T46" s="883">
        <f t="shared" si="157"/>
        <v>0</v>
      </c>
      <c r="U46" s="883">
        <f t="shared" si="158"/>
        <v>0</v>
      </c>
      <c r="V46" s="883">
        <f t="shared" si="159"/>
        <v>0</v>
      </c>
      <c r="W46" s="883">
        <f t="shared" si="160"/>
        <v>0</v>
      </c>
      <c r="X46" s="180">
        <f t="shared" si="161"/>
        <v>0</v>
      </c>
      <c r="Y46" s="883"/>
      <c r="Z46" s="883"/>
      <c r="AA46" s="883"/>
      <c r="AB46" s="883"/>
      <c r="AC46" s="883"/>
      <c r="AD46" s="883"/>
      <c r="AE46" s="180"/>
      <c r="AG46" s="1415">
        <f>'PDYG-200'!$D$31</f>
        <v>0.39972132300720115</v>
      </c>
      <c r="AH46" s="1415">
        <f>'PDYG-200'!$E$31</f>
        <v>0.24340000000000001</v>
      </c>
      <c r="AI46" s="1415">
        <f>'PDYG-200'!$F$31</f>
        <v>0.35687867699279885</v>
      </c>
    </row>
    <row r="47" spans="2:35">
      <c r="B47" s="48"/>
      <c r="C47" s="887" t="s">
        <v>305</v>
      </c>
      <c r="D47" s="883">
        <f>MCDO800!$M47*D$152</f>
        <v>0</v>
      </c>
      <c r="E47" s="883">
        <f>MCDO800!$M47*E$152</f>
        <v>0</v>
      </c>
      <c r="F47" s="883">
        <f>MCDO800!$M47*F$152</f>
        <v>0</v>
      </c>
      <c r="G47" s="883">
        <f>MCDO800!$M47*G$152</f>
        <v>0</v>
      </c>
      <c r="H47" s="883">
        <f>MCDO800!$M47*H$152</f>
        <v>0</v>
      </c>
      <c r="I47" s="883">
        <f>MCDO800!$M47*I$152</f>
        <v>0</v>
      </c>
      <c r="J47" s="180">
        <f t="shared" si="147"/>
        <v>0</v>
      </c>
      <c r="K47" s="883">
        <f t="shared" si="148"/>
        <v>0</v>
      </c>
      <c r="L47" s="883">
        <f t="shared" si="149"/>
        <v>0</v>
      </c>
      <c r="M47" s="883">
        <f t="shared" si="150"/>
        <v>0</v>
      </c>
      <c r="N47" s="883">
        <f t="shared" si="151"/>
        <v>0</v>
      </c>
      <c r="O47" s="883">
        <f t="shared" si="152"/>
        <v>0</v>
      </c>
      <c r="P47" s="883">
        <f t="shared" si="153"/>
        <v>0</v>
      </c>
      <c r="Q47" s="180">
        <f t="shared" si="154"/>
        <v>0</v>
      </c>
      <c r="R47" s="883">
        <f t="shared" si="155"/>
        <v>0</v>
      </c>
      <c r="S47" s="883">
        <f t="shared" si="156"/>
        <v>0</v>
      </c>
      <c r="T47" s="883">
        <f t="shared" si="157"/>
        <v>0</v>
      </c>
      <c r="U47" s="883">
        <f t="shared" si="158"/>
        <v>0</v>
      </c>
      <c r="V47" s="883">
        <f t="shared" si="159"/>
        <v>0</v>
      </c>
      <c r="W47" s="883">
        <f t="shared" si="160"/>
        <v>0</v>
      </c>
      <c r="X47" s="180">
        <f t="shared" si="161"/>
        <v>0</v>
      </c>
      <c r="Y47" s="883"/>
      <c r="Z47" s="883"/>
      <c r="AA47" s="883"/>
      <c r="AB47" s="883"/>
      <c r="AC47" s="883"/>
      <c r="AD47" s="883"/>
      <c r="AE47" s="180"/>
      <c r="AG47" s="1415">
        <f>'PDYG-200'!$D$31</f>
        <v>0.39972132300720115</v>
      </c>
      <c r="AH47" s="1415">
        <f>'PDYG-200'!$E$31</f>
        <v>0.24340000000000001</v>
      </c>
      <c r="AI47" s="1415">
        <f>'PDYG-200'!$F$31</f>
        <v>0.35687867699279885</v>
      </c>
    </row>
    <row r="48" spans="2:35">
      <c r="B48" s="48"/>
      <c r="C48" s="887" t="s">
        <v>307</v>
      </c>
      <c r="D48" s="883">
        <f>MCDO800!$M48*D$152</f>
        <v>0</v>
      </c>
      <c r="E48" s="883">
        <f>MCDO800!$M48*E$152</f>
        <v>0</v>
      </c>
      <c r="F48" s="883">
        <f>MCDO800!$M48*F$152</f>
        <v>0</v>
      </c>
      <c r="G48" s="883">
        <f>MCDO800!$M48*G$152</f>
        <v>0</v>
      </c>
      <c r="H48" s="883">
        <f>MCDO800!$M48*H$152</f>
        <v>0</v>
      </c>
      <c r="I48" s="883">
        <f>MCDO800!$M48*I$152</f>
        <v>0</v>
      </c>
      <c r="J48" s="180">
        <f t="shared" si="147"/>
        <v>0</v>
      </c>
      <c r="K48" s="883">
        <f t="shared" si="148"/>
        <v>0</v>
      </c>
      <c r="L48" s="883">
        <f t="shared" si="149"/>
        <v>0</v>
      </c>
      <c r="M48" s="883">
        <f t="shared" si="150"/>
        <v>0</v>
      </c>
      <c r="N48" s="883">
        <f t="shared" si="151"/>
        <v>0</v>
      </c>
      <c r="O48" s="883">
        <f t="shared" si="152"/>
        <v>0</v>
      </c>
      <c r="P48" s="883">
        <f t="shared" si="153"/>
        <v>0</v>
      </c>
      <c r="Q48" s="180">
        <f t="shared" si="154"/>
        <v>0</v>
      </c>
      <c r="R48" s="883">
        <f t="shared" si="155"/>
        <v>0</v>
      </c>
      <c r="S48" s="883">
        <f t="shared" si="156"/>
        <v>0</v>
      </c>
      <c r="T48" s="883">
        <f t="shared" si="157"/>
        <v>0</v>
      </c>
      <c r="U48" s="883">
        <f t="shared" si="158"/>
        <v>0</v>
      </c>
      <c r="V48" s="883">
        <f t="shared" si="159"/>
        <v>0</v>
      </c>
      <c r="W48" s="883">
        <f t="shared" si="160"/>
        <v>0</v>
      </c>
      <c r="X48" s="180">
        <f t="shared" si="161"/>
        <v>0</v>
      </c>
      <c r="Y48" s="883"/>
      <c r="Z48" s="883"/>
      <c r="AA48" s="883"/>
      <c r="AB48" s="883"/>
      <c r="AC48" s="883"/>
      <c r="AD48" s="883"/>
      <c r="AE48" s="180"/>
      <c r="AG48" s="1415">
        <f>'PDYG-200'!$D$31</f>
        <v>0.39972132300720115</v>
      </c>
      <c r="AH48" s="1415">
        <f>'PDYG-200'!$E$31</f>
        <v>0.24340000000000001</v>
      </c>
      <c r="AI48" s="1415">
        <f>'PDYG-200'!$F$31</f>
        <v>0.35687867699279885</v>
      </c>
    </row>
    <row r="49" spans="2:43">
      <c r="B49" s="48"/>
      <c r="C49" s="884"/>
      <c r="D49" s="883"/>
      <c r="E49" s="883"/>
      <c r="F49" s="883"/>
      <c r="G49" s="883"/>
      <c r="H49" s="883"/>
      <c r="I49" s="883"/>
      <c r="J49" s="180">
        <f t="shared" si="3"/>
        <v>0</v>
      </c>
      <c r="K49" s="883"/>
      <c r="L49" s="883"/>
      <c r="M49" s="883"/>
      <c r="N49" s="883"/>
      <c r="O49" s="883"/>
      <c r="P49" s="883"/>
      <c r="Q49" s="180">
        <f t="shared" si="5"/>
        <v>0</v>
      </c>
      <c r="R49" s="883">
        <f t="shared" si="15"/>
        <v>0</v>
      </c>
      <c r="S49" s="883">
        <f t="shared" si="10"/>
        <v>0</v>
      </c>
      <c r="T49" s="883">
        <f t="shared" si="11"/>
        <v>0</v>
      </c>
      <c r="U49" s="883">
        <f t="shared" si="12"/>
        <v>0</v>
      </c>
      <c r="V49" s="883">
        <f t="shared" si="13"/>
        <v>0</v>
      </c>
      <c r="W49" s="883">
        <f t="shared" si="14"/>
        <v>0</v>
      </c>
      <c r="X49" s="180">
        <f t="shared" si="7"/>
        <v>0</v>
      </c>
      <c r="Y49" s="883"/>
      <c r="Z49" s="883"/>
      <c r="AA49" s="883"/>
      <c r="AB49" s="883"/>
      <c r="AC49" s="883"/>
      <c r="AD49" s="883"/>
      <c r="AE49" s="180"/>
      <c r="AG49" s="1415"/>
      <c r="AH49" s="1415"/>
      <c r="AI49" s="1415"/>
    </row>
    <row r="50" spans="2:43">
      <c r="B50" s="48" t="s">
        <v>1176</v>
      </c>
      <c r="C50" s="882" t="s">
        <v>1176</v>
      </c>
      <c r="D50" s="881">
        <f>SUBTOTAL(9,D51:D56)</f>
        <v>1000</v>
      </c>
      <c r="E50" s="881">
        <f t="shared" ref="E50:AD50" si="162">SUBTOTAL(9,E51:E56)</f>
        <v>1000</v>
      </c>
      <c r="F50" s="881">
        <f t="shared" si="162"/>
        <v>1000</v>
      </c>
      <c r="G50" s="881">
        <f t="shared" si="162"/>
        <v>1000</v>
      </c>
      <c r="H50" s="881">
        <f t="shared" si="162"/>
        <v>1000</v>
      </c>
      <c r="I50" s="881">
        <f t="shared" si="162"/>
        <v>1000</v>
      </c>
      <c r="J50" s="180">
        <f t="shared" si="3"/>
        <v>6000</v>
      </c>
      <c r="K50" s="881">
        <f t="shared" si="162"/>
        <v>231.90745024205594</v>
      </c>
      <c r="L50" s="881">
        <f t="shared" si="162"/>
        <v>231.90745024205594</v>
      </c>
      <c r="M50" s="881">
        <f t="shared" si="162"/>
        <v>231.90745024205594</v>
      </c>
      <c r="N50" s="881">
        <f t="shared" si="162"/>
        <v>231.90745024205594</v>
      </c>
      <c r="O50" s="881">
        <f t="shared" si="162"/>
        <v>231.90745024205594</v>
      </c>
      <c r="P50" s="881">
        <f t="shared" si="162"/>
        <v>231.90745024205594</v>
      </c>
      <c r="Q50" s="180">
        <f t="shared" si="5"/>
        <v>1391.4447014523357</v>
      </c>
      <c r="R50" s="881">
        <f t="shared" si="162"/>
        <v>303.53035303530351</v>
      </c>
      <c r="S50" s="881">
        <f t="shared" si="162"/>
        <v>303.53035303530351</v>
      </c>
      <c r="T50" s="881">
        <f t="shared" si="162"/>
        <v>303.53035303530351</v>
      </c>
      <c r="U50" s="881">
        <f t="shared" si="162"/>
        <v>303.53035303530351</v>
      </c>
      <c r="V50" s="881">
        <f t="shared" si="162"/>
        <v>303.53035303530351</v>
      </c>
      <c r="W50" s="881">
        <f t="shared" si="162"/>
        <v>303.53035303530351</v>
      </c>
      <c r="X50" s="180">
        <f t="shared" si="7"/>
        <v>1821.182118211821</v>
      </c>
      <c r="Y50" s="881">
        <f t="shared" si="162"/>
        <v>464.56219672264058</v>
      </c>
      <c r="Z50" s="881">
        <f t="shared" si="162"/>
        <v>464.56219672264058</v>
      </c>
      <c r="AA50" s="881">
        <f t="shared" si="162"/>
        <v>464.56219672264058</v>
      </c>
      <c r="AB50" s="881">
        <f t="shared" si="162"/>
        <v>464.56219672264058</v>
      </c>
      <c r="AC50" s="881">
        <f t="shared" si="162"/>
        <v>464.56219672264058</v>
      </c>
      <c r="AD50" s="881">
        <f t="shared" si="162"/>
        <v>464.56219672264058</v>
      </c>
      <c r="AE50" s="180">
        <f t="shared" ref="AE50" si="163">SUM(Y50:AD50)</f>
        <v>2787.3731803358437</v>
      </c>
      <c r="AG50" s="1415">
        <f>'PDYG-200'!$D$32</f>
        <v>0.23190745024205595</v>
      </c>
      <c r="AH50" s="1415">
        <f>'PDYG-200'!$E$32</f>
        <v>0.30353035303530351</v>
      </c>
      <c r="AI50" s="1415">
        <f>'PDYG-200'!$F$32</f>
        <v>0.46456219672264054</v>
      </c>
    </row>
    <row r="51" spans="2:43">
      <c r="B51" s="48"/>
      <c r="C51" s="887" t="s">
        <v>304</v>
      </c>
      <c r="D51" s="1969">
        <f>1000</f>
        <v>1000</v>
      </c>
      <c r="E51" s="1969">
        <f>1000</f>
        <v>1000</v>
      </c>
      <c r="F51" s="1969">
        <f>1000</f>
        <v>1000</v>
      </c>
      <c r="G51" s="1969">
        <f>1000</f>
        <v>1000</v>
      </c>
      <c r="H51" s="1969">
        <f>1000</f>
        <v>1000</v>
      </c>
      <c r="I51" s="1969">
        <f>1000</f>
        <v>1000</v>
      </c>
      <c r="J51" s="180">
        <f t="shared" ref="J51:J56" si="164">SUM(D51:I51)</f>
        <v>6000</v>
      </c>
      <c r="K51" s="883">
        <f t="shared" ref="K51:K56" si="165">D51*$AG51</f>
        <v>231.90745024205594</v>
      </c>
      <c r="L51" s="883">
        <f t="shared" ref="L51:L56" si="166">E51*$AG51</f>
        <v>231.90745024205594</v>
      </c>
      <c r="M51" s="883">
        <f t="shared" ref="M51:M56" si="167">F51*$AG51</f>
        <v>231.90745024205594</v>
      </c>
      <c r="N51" s="883">
        <f t="shared" ref="N51:N56" si="168">G51*$AG51</f>
        <v>231.90745024205594</v>
      </c>
      <c r="O51" s="883">
        <f t="shared" ref="O51:O56" si="169">H51*$AG51</f>
        <v>231.90745024205594</v>
      </c>
      <c r="P51" s="883">
        <f t="shared" ref="P51:P56" si="170">I51*$AG51</f>
        <v>231.90745024205594</v>
      </c>
      <c r="Q51" s="180">
        <f t="shared" ref="Q51:Q56" si="171">SUM(K51:P51)</f>
        <v>1391.4447014523357</v>
      </c>
      <c r="R51" s="974">
        <f t="shared" ref="R51" si="172">D51*$AH51</f>
        <v>303.53035303530351</v>
      </c>
      <c r="S51" s="974">
        <f t="shared" ref="S51" si="173">E51*$AH51</f>
        <v>303.53035303530351</v>
      </c>
      <c r="T51" s="974">
        <f t="shared" ref="T51" si="174">F51*$AH51</f>
        <v>303.53035303530351</v>
      </c>
      <c r="U51" s="974">
        <f t="shared" ref="U51" si="175">G51*$AH51</f>
        <v>303.53035303530351</v>
      </c>
      <c r="V51" s="974">
        <f t="shared" ref="V51" si="176">H51*$AH51</f>
        <v>303.53035303530351</v>
      </c>
      <c r="W51" s="974">
        <f t="shared" ref="W51" si="177">I51*$AH51</f>
        <v>303.53035303530351</v>
      </c>
      <c r="X51" s="180">
        <f t="shared" ref="X51" si="178">SUM(R51:W51)</f>
        <v>1821.182118211821</v>
      </c>
      <c r="Y51" s="974">
        <f t="shared" ref="Y51" si="179">D51-K51-R51</f>
        <v>464.56219672264058</v>
      </c>
      <c r="Z51" s="974">
        <f t="shared" ref="Z51" si="180">E51-L51-S51</f>
        <v>464.56219672264058</v>
      </c>
      <c r="AA51" s="974">
        <f t="shared" ref="AA51" si="181">F51-M51-T51</f>
        <v>464.56219672264058</v>
      </c>
      <c r="AB51" s="974">
        <f t="shared" ref="AB51" si="182">G51-N51-U51</f>
        <v>464.56219672264058</v>
      </c>
      <c r="AC51" s="974">
        <f t="shared" ref="AC51" si="183">H51-O51-V51</f>
        <v>464.56219672264058</v>
      </c>
      <c r="AD51" s="974">
        <f t="shared" ref="AD51" si="184">I51-P51-W51</f>
        <v>464.56219672264058</v>
      </c>
      <c r="AE51" s="1245">
        <f t="shared" ref="AE51" si="185">SUM(Y51:AD51)</f>
        <v>2787.3731803358437</v>
      </c>
      <c r="AG51" s="1415">
        <f>'PDYG-200'!$D$32</f>
        <v>0.23190745024205595</v>
      </c>
      <c r="AH51" s="1415">
        <f>'PDYG-200'!$E$32</f>
        <v>0.30353035303530351</v>
      </c>
      <c r="AI51" s="1415">
        <f>'PDYG-200'!$F$32</f>
        <v>0.46456219672264054</v>
      </c>
    </row>
    <row r="52" spans="2:43">
      <c r="B52" s="48"/>
      <c r="C52" s="889" t="s">
        <v>642</v>
      </c>
      <c r="D52" s="883">
        <f>MCDO800!$M52*D$152</f>
        <v>0</v>
      </c>
      <c r="E52" s="883">
        <f>MCDO800!$M52*E$152</f>
        <v>0</v>
      </c>
      <c r="F52" s="883">
        <f>MCDO800!$M52*F$152</f>
        <v>0</v>
      </c>
      <c r="G52" s="883">
        <f>MCDO800!$M52*G$152</f>
        <v>0</v>
      </c>
      <c r="H52" s="883">
        <f>MCDO800!$M52*H$152</f>
        <v>0</v>
      </c>
      <c r="I52" s="883">
        <f>MCDO800!$M52*I$152</f>
        <v>0</v>
      </c>
      <c r="J52" s="180">
        <f t="shared" si="164"/>
        <v>0</v>
      </c>
      <c r="K52" s="883">
        <f t="shared" si="165"/>
        <v>0</v>
      </c>
      <c r="L52" s="883">
        <f t="shared" si="166"/>
        <v>0</v>
      </c>
      <c r="M52" s="883">
        <f t="shared" si="167"/>
        <v>0</v>
      </c>
      <c r="N52" s="883">
        <f t="shared" si="168"/>
        <v>0</v>
      </c>
      <c r="O52" s="883">
        <f t="shared" si="169"/>
        <v>0</v>
      </c>
      <c r="P52" s="883">
        <f t="shared" si="170"/>
        <v>0</v>
      </c>
      <c r="Q52" s="180">
        <f t="shared" si="171"/>
        <v>0</v>
      </c>
      <c r="R52" s="974">
        <f t="shared" ref="R52:R56" si="186">D52*$AH52</f>
        <v>0</v>
      </c>
      <c r="S52" s="974">
        <f t="shared" ref="S52:S56" si="187">E52*$AH52</f>
        <v>0</v>
      </c>
      <c r="T52" s="974">
        <f t="shared" ref="T52:T56" si="188">F52*$AH52</f>
        <v>0</v>
      </c>
      <c r="U52" s="974">
        <f t="shared" ref="U52:U56" si="189">G52*$AH52</f>
        <v>0</v>
      </c>
      <c r="V52" s="974">
        <f t="shared" ref="V52:V56" si="190">H52*$AH52</f>
        <v>0</v>
      </c>
      <c r="W52" s="974">
        <f t="shared" ref="W52:W56" si="191">I52*$AH52</f>
        <v>0</v>
      </c>
      <c r="X52" s="180">
        <f t="shared" ref="X52:X56" si="192">SUM(R52:W52)</f>
        <v>0</v>
      </c>
      <c r="Y52" s="974">
        <f t="shared" ref="Y52:Y56" si="193">D52-K52-R52</f>
        <v>0</v>
      </c>
      <c r="Z52" s="974">
        <f t="shared" ref="Z52:Z56" si="194">E52-L52-S52</f>
        <v>0</v>
      </c>
      <c r="AA52" s="974">
        <f t="shared" ref="AA52:AA56" si="195">F52-M52-T52</f>
        <v>0</v>
      </c>
      <c r="AB52" s="974">
        <f t="shared" ref="AB52:AB56" si="196">G52-N52-U52</f>
        <v>0</v>
      </c>
      <c r="AC52" s="974">
        <f t="shared" ref="AC52:AC56" si="197">H52-O52-V52</f>
        <v>0</v>
      </c>
      <c r="AD52" s="974">
        <f t="shared" ref="AD52:AD56" si="198">I52-P52-W52</f>
        <v>0</v>
      </c>
      <c r="AE52" s="180">
        <f t="shared" ref="AE52:AE56" si="199">SUM(Y52:AD52)</f>
        <v>0</v>
      </c>
      <c r="AG52" s="1415">
        <f>'PDYG-200'!$D$32</f>
        <v>0.23190745024205595</v>
      </c>
      <c r="AH52" s="1415">
        <f>'PDYG-200'!$E$32</f>
        <v>0.30353035303530351</v>
      </c>
      <c r="AI52" s="1415">
        <f>'PDYG-200'!$F$32</f>
        <v>0.46456219672264054</v>
      </c>
    </row>
    <row r="53" spans="2:43">
      <c r="B53" s="48"/>
      <c r="C53" s="889" t="s">
        <v>1177</v>
      </c>
      <c r="D53" s="883">
        <f>MCDO800!$M53*D$152</f>
        <v>0</v>
      </c>
      <c r="E53" s="883">
        <f>MCDO800!$M53*E$152</f>
        <v>0</v>
      </c>
      <c r="F53" s="883">
        <f>MCDO800!$M53*F$152</f>
        <v>0</v>
      </c>
      <c r="G53" s="883">
        <f>MCDO800!$M53*G$152</f>
        <v>0</v>
      </c>
      <c r="H53" s="883">
        <f>MCDO800!$M53*H$152</f>
        <v>0</v>
      </c>
      <c r="I53" s="883">
        <f>MCDO800!$M53*I$152</f>
        <v>0</v>
      </c>
      <c r="J53" s="180">
        <f t="shared" si="164"/>
        <v>0</v>
      </c>
      <c r="K53" s="883">
        <f t="shared" si="165"/>
        <v>0</v>
      </c>
      <c r="L53" s="883">
        <f t="shared" si="166"/>
        <v>0</v>
      </c>
      <c r="M53" s="883">
        <f t="shared" si="167"/>
        <v>0</v>
      </c>
      <c r="N53" s="883">
        <f t="shared" si="168"/>
        <v>0</v>
      </c>
      <c r="O53" s="883">
        <f t="shared" si="169"/>
        <v>0</v>
      </c>
      <c r="P53" s="883">
        <f t="shared" si="170"/>
        <v>0</v>
      </c>
      <c r="Q53" s="180">
        <f t="shared" si="171"/>
        <v>0</v>
      </c>
      <c r="R53" s="974">
        <f t="shared" si="186"/>
        <v>0</v>
      </c>
      <c r="S53" s="974">
        <f t="shared" si="187"/>
        <v>0</v>
      </c>
      <c r="T53" s="974">
        <f t="shared" si="188"/>
        <v>0</v>
      </c>
      <c r="U53" s="974">
        <f t="shared" si="189"/>
        <v>0</v>
      </c>
      <c r="V53" s="974">
        <f t="shared" si="190"/>
        <v>0</v>
      </c>
      <c r="W53" s="974">
        <f t="shared" si="191"/>
        <v>0</v>
      </c>
      <c r="X53" s="180">
        <f t="shared" si="192"/>
        <v>0</v>
      </c>
      <c r="Y53" s="974">
        <f t="shared" si="193"/>
        <v>0</v>
      </c>
      <c r="Z53" s="974">
        <f t="shared" si="194"/>
        <v>0</v>
      </c>
      <c r="AA53" s="974">
        <f t="shared" si="195"/>
        <v>0</v>
      </c>
      <c r="AB53" s="974">
        <f t="shared" si="196"/>
        <v>0</v>
      </c>
      <c r="AC53" s="974">
        <f t="shared" si="197"/>
        <v>0</v>
      </c>
      <c r="AD53" s="974">
        <f t="shared" si="198"/>
        <v>0</v>
      </c>
      <c r="AE53" s="180">
        <f t="shared" si="199"/>
        <v>0</v>
      </c>
      <c r="AG53" s="1415">
        <f>'PDYG-200'!$D$32</f>
        <v>0.23190745024205595</v>
      </c>
      <c r="AH53" s="1415">
        <f>'PDYG-200'!$E$32</f>
        <v>0.30353035303530351</v>
      </c>
      <c r="AI53" s="1415">
        <f>'PDYG-200'!$F$32</f>
        <v>0.46456219672264054</v>
      </c>
    </row>
    <row r="54" spans="2:43">
      <c r="B54" s="48"/>
      <c r="C54" s="887" t="s">
        <v>305</v>
      </c>
      <c r="D54" s="883">
        <f>MCDO800!$M54*D$152</f>
        <v>0</v>
      </c>
      <c r="E54" s="883">
        <f>MCDO800!$M54*E$152</f>
        <v>0</v>
      </c>
      <c r="F54" s="883">
        <f>MCDO800!$M54*F$152</f>
        <v>0</v>
      </c>
      <c r="G54" s="883">
        <f>MCDO800!$M54*G$152</f>
        <v>0</v>
      </c>
      <c r="H54" s="883">
        <f>MCDO800!$M54*H$152</f>
        <v>0</v>
      </c>
      <c r="I54" s="883">
        <f>MCDO800!$M54*I$152</f>
        <v>0</v>
      </c>
      <c r="J54" s="180">
        <f t="shared" si="164"/>
        <v>0</v>
      </c>
      <c r="K54" s="883">
        <f t="shared" si="165"/>
        <v>0</v>
      </c>
      <c r="L54" s="883">
        <f t="shared" si="166"/>
        <v>0</v>
      </c>
      <c r="M54" s="883">
        <f t="shared" si="167"/>
        <v>0</v>
      </c>
      <c r="N54" s="883">
        <f t="shared" si="168"/>
        <v>0</v>
      </c>
      <c r="O54" s="883">
        <f t="shared" si="169"/>
        <v>0</v>
      </c>
      <c r="P54" s="883">
        <f t="shared" si="170"/>
        <v>0</v>
      </c>
      <c r="Q54" s="180">
        <f t="shared" si="171"/>
        <v>0</v>
      </c>
      <c r="R54" s="974">
        <f t="shared" si="186"/>
        <v>0</v>
      </c>
      <c r="S54" s="974">
        <f t="shared" si="187"/>
        <v>0</v>
      </c>
      <c r="T54" s="974">
        <f t="shared" si="188"/>
        <v>0</v>
      </c>
      <c r="U54" s="974">
        <f t="shared" si="189"/>
        <v>0</v>
      </c>
      <c r="V54" s="974">
        <f t="shared" si="190"/>
        <v>0</v>
      </c>
      <c r="W54" s="974">
        <f t="shared" si="191"/>
        <v>0</v>
      </c>
      <c r="X54" s="180">
        <f t="shared" si="192"/>
        <v>0</v>
      </c>
      <c r="Y54" s="974">
        <f t="shared" si="193"/>
        <v>0</v>
      </c>
      <c r="Z54" s="974">
        <f t="shared" si="194"/>
        <v>0</v>
      </c>
      <c r="AA54" s="974">
        <f t="shared" si="195"/>
        <v>0</v>
      </c>
      <c r="AB54" s="974">
        <f t="shared" si="196"/>
        <v>0</v>
      </c>
      <c r="AC54" s="974">
        <f t="shared" si="197"/>
        <v>0</v>
      </c>
      <c r="AD54" s="974">
        <f t="shared" si="198"/>
        <v>0</v>
      </c>
      <c r="AE54" s="180">
        <f t="shared" si="199"/>
        <v>0</v>
      </c>
      <c r="AG54" s="1415">
        <f>'PDYG-200'!$D$32</f>
        <v>0.23190745024205595</v>
      </c>
      <c r="AH54" s="1415">
        <f>'PDYG-200'!$E$32</f>
        <v>0.30353035303530351</v>
      </c>
      <c r="AI54" s="1415">
        <f>'PDYG-200'!$F$32</f>
        <v>0.46456219672264054</v>
      </c>
    </row>
    <row r="55" spans="2:43">
      <c r="B55" s="48"/>
      <c r="C55" s="887" t="s">
        <v>307</v>
      </c>
      <c r="D55" s="883">
        <f>MCDO800!$M55*D$152</f>
        <v>0</v>
      </c>
      <c r="E55" s="883">
        <f>MCDO800!$M55*E$152</f>
        <v>0</v>
      </c>
      <c r="F55" s="883">
        <f>MCDO800!$M55*F$152</f>
        <v>0</v>
      </c>
      <c r="G55" s="883">
        <f>MCDO800!$M55*G$152</f>
        <v>0</v>
      </c>
      <c r="H55" s="883">
        <f>MCDO800!$M55*H$152</f>
        <v>0</v>
      </c>
      <c r="I55" s="883">
        <f>MCDO800!$M55*I$152</f>
        <v>0</v>
      </c>
      <c r="J55" s="180">
        <f t="shared" si="164"/>
        <v>0</v>
      </c>
      <c r="K55" s="883">
        <f t="shared" si="165"/>
        <v>0</v>
      </c>
      <c r="L55" s="883">
        <f t="shared" si="166"/>
        <v>0</v>
      </c>
      <c r="M55" s="883">
        <f t="shared" si="167"/>
        <v>0</v>
      </c>
      <c r="N55" s="883">
        <f t="shared" si="168"/>
        <v>0</v>
      </c>
      <c r="O55" s="883">
        <f t="shared" si="169"/>
        <v>0</v>
      </c>
      <c r="P55" s="883">
        <f t="shared" si="170"/>
        <v>0</v>
      </c>
      <c r="Q55" s="180">
        <f t="shared" si="171"/>
        <v>0</v>
      </c>
      <c r="R55" s="974">
        <f t="shared" si="186"/>
        <v>0</v>
      </c>
      <c r="S55" s="974">
        <f t="shared" si="187"/>
        <v>0</v>
      </c>
      <c r="T55" s="974">
        <f t="shared" si="188"/>
        <v>0</v>
      </c>
      <c r="U55" s="974">
        <f t="shared" si="189"/>
        <v>0</v>
      </c>
      <c r="V55" s="974">
        <f t="shared" si="190"/>
        <v>0</v>
      </c>
      <c r="W55" s="974">
        <f t="shared" si="191"/>
        <v>0</v>
      </c>
      <c r="X55" s="180">
        <f t="shared" si="192"/>
        <v>0</v>
      </c>
      <c r="Y55" s="974">
        <f t="shared" si="193"/>
        <v>0</v>
      </c>
      <c r="Z55" s="974">
        <f t="shared" si="194"/>
        <v>0</v>
      </c>
      <c r="AA55" s="974">
        <f t="shared" si="195"/>
        <v>0</v>
      </c>
      <c r="AB55" s="974">
        <f t="shared" si="196"/>
        <v>0</v>
      </c>
      <c r="AC55" s="974">
        <f t="shared" si="197"/>
        <v>0</v>
      </c>
      <c r="AD55" s="974">
        <f t="shared" si="198"/>
        <v>0</v>
      </c>
      <c r="AE55" s="180">
        <f t="shared" si="199"/>
        <v>0</v>
      </c>
      <c r="AG55" s="1415">
        <f>'PDYG-200'!$D$32</f>
        <v>0.23190745024205595</v>
      </c>
      <c r="AH55" s="1415">
        <f>'PDYG-200'!$E$32</f>
        <v>0.30353035303530351</v>
      </c>
      <c r="AI55" s="1415">
        <f>'PDYG-200'!$F$32</f>
        <v>0.46456219672264054</v>
      </c>
    </row>
    <row r="56" spans="2:43">
      <c r="B56" s="48"/>
      <c r="C56" s="887" t="s">
        <v>624</v>
      </c>
      <c r="D56" s="883">
        <f>MCDO800!$M56*D$152</f>
        <v>0</v>
      </c>
      <c r="E56" s="883">
        <f>MCDO800!$M56*E$152</f>
        <v>0</v>
      </c>
      <c r="F56" s="883">
        <f>MCDO800!$M56*F$152</f>
        <v>0</v>
      </c>
      <c r="G56" s="883">
        <f>MCDO800!$M56*G$152</f>
        <v>0</v>
      </c>
      <c r="H56" s="883">
        <f>MCDO800!$M56*H$152</f>
        <v>0</v>
      </c>
      <c r="I56" s="883">
        <f>MCDO800!$M56*I$152</f>
        <v>0</v>
      </c>
      <c r="J56" s="180">
        <f t="shared" si="164"/>
        <v>0</v>
      </c>
      <c r="K56" s="883">
        <f t="shared" si="165"/>
        <v>0</v>
      </c>
      <c r="L56" s="883">
        <f t="shared" si="166"/>
        <v>0</v>
      </c>
      <c r="M56" s="883">
        <f t="shared" si="167"/>
        <v>0</v>
      </c>
      <c r="N56" s="883">
        <f t="shared" si="168"/>
        <v>0</v>
      </c>
      <c r="O56" s="883">
        <f t="shared" si="169"/>
        <v>0</v>
      </c>
      <c r="P56" s="883">
        <f t="shared" si="170"/>
        <v>0</v>
      </c>
      <c r="Q56" s="180">
        <f t="shared" si="171"/>
        <v>0</v>
      </c>
      <c r="R56" s="974">
        <f t="shared" si="186"/>
        <v>0</v>
      </c>
      <c r="S56" s="974">
        <f t="shared" si="187"/>
        <v>0</v>
      </c>
      <c r="T56" s="974">
        <f t="shared" si="188"/>
        <v>0</v>
      </c>
      <c r="U56" s="974">
        <f t="shared" si="189"/>
        <v>0</v>
      </c>
      <c r="V56" s="974">
        <f t="shared" si="190"/>
        <v>0</v>
      </c>
      <c r="W56" s="974">
        <f t="shared" si="191"/>
        <v>0</v>
      </c>
      <c r="X56" s="180">
        <f t="shared" si="192"/>
        <v>0</v>
      </c>
      <c r="Y56" s="974">
        <f t="shared" si="193"/>
        <v>0</v>
      </c>
      <c r="Z56" s="974">
        <f t="shared" si="194"/>
        <v>0</v>
      </c>
      <c r="AA56" s="974">
        <f t="shared" si="195"/>
        <v>0</v>
      </c>
      <c r="AB56" s="974">
        <f t="shared" si="196"/>
        <v>0</v>
      </c>
      <c r="AC56" s="974">
        <f t="shared" si="197"/>
        <v>0</v>
      </c>
      <c r="AD56" s="974">
        <f t="shared" si="198"/>
        <v>0</v>
      </c>
      <c r="AE56" s="180">
        <f t="shared" si="199"/>
        <v>0</v>
      </c>
      <c r="AG56" s="1415">
        <f>'PDYG-200'!$D$32</f>
        <v>0.23190745024205595</v>
      </c>
      <c r="AH56" s="1415">
        <f>'PDYG-200'!$E$32</f>
        <v>0.30353035303530351</v>
      </c>
      <c r="AI56" s="1415">
        <f>'PDYG-200'!$F$32</f>
        <v>0.46456219672264054</v>
      </c>
    </row>
    <row r="57" spans="2:43">
      <c r="B57" s="48"/>
      <c r="C57" s="887"/>
      <c r="D57" s="883"/>
      <c r="E57" s="883"/>
      <c r="F57" s="883"/>
      <c r="G57" s="883"/>
      <c r="H57" s="883"/>
      <c r="I57" s="883"/>
      <c r="J57" s="180">
        <f t="shared" si="3"/>
        <v>0</v>
      </c>
      <c r="K57" s="883"/>
      <c r="L57" s="883"/>
      <c r="M57" s="883"/>
      <c r="N57" s="883"/>
      <c r="O57" s="883"/>
      <c r="P57" s="883"/>
      <c r="Q57" s="180">
        <f t="shared" si="5"/>
        <v>0</v>
      </c>
      <c r="R57" s="883">
        <f t="shared" si="15"/>
        <v>0</v>
      </c>
      <c r="S57" s="883">
        <f t="shared" si="10"/>
        <v>0</v>
      </c>
      <c r="T57" s="883">
        <f t="shared" si="11"/>
        <v>0</v>
      </c>
      <c r="U57" s="883">
        <f t="shared" si="12"/>
        <v>0</v>
      </c>
      <c r="V57" s="883">
        <f t="shared" si="13"/>
        <v>0</v>
      </c>
      <c r="W57" s="883">
        <f t="shared" si="14"/>
        <v>0</v>
      </c>
      <c r="X57" s="180">
        <f t="shared" si="7"/>
        <v>0</v>
      </c>
      <c r="Y57" s="883"/>
      <c r="Z57" s="883"/>
      <c r="AA57" s="883"/>
      <c r="AB57" s="883"/>
      <c r="AC57" s="883"/>
      <c r="AD57" s="883"/>
      <c r="AE57" s="180"/>
      <c r="AG57" s="1415"/>
      <c r="AH57" s="1415"/>
      <c r="AI57" s="1415"/>
    </row>
    <row r="58" spans="2:43">
      <c r="B58" s="48"/>
      <c r="C58" s="882" t="s">
        <v>755</v>
      </c>
      <c r="D58" s="881">
        <f>SUBTOTAL(9,D59:D105)</f>
        <v>169873048.81390288</v>
      </c>
      <c r="E58" s="881">
        <f t="shared" ref="E58:W58" si="200">SUBTOTAL(9,E59:E105)</f>
        <v>169943944.54700002</v>
      </c>
      <c r="F58" s="881">
        <f t="shared" si="200"/>
        <v>166734142.5075075</v>
      </c>
      <c r="G58" s="881">
        <f t="shared" si="200"/>
        <v>169361397.67733109</v>
      </c>
      <c r="H58" s="881">
        <f t="shared" si="200"/>
        <v>162022963.90457219</v>
      </c>
      <c r="I58" s="881">
        <f t="shared" si="200"/>
        <v>162782187.13968629</v>
      </c>
      <c r="J58" s="180">
        <f t="shared" si="3"/>
        <v>1000717684.5900002</v>
      </c>
      <c r="K58" s="881">
        <f t="shared" si="200"/>
        <v>38372097.731941722</v>
      </c>
      <c r="L58" s="881">
        <f t="shared" si="200"/>
        <v>38388112.152386904</v>
      </c>
      <c r="M58" s="881">
        <f t="shared" si="200"/>
        <v>37663059.780958883</v>
      </c>
      <c r="N58" s="881">
        <f t="shared" si="200"/>
        <v>38256522.420644999</v>
      </c>
      <c r="O58" s="881">
        <f t="shared" si="200"/>
        <v>36598866.046812199</v>
      </c>
      <c r="P58" s="881">
        <f t="shared" si="200"/>
        <v>36770364.662704945</v>
      </c>
      <c r="Q58" s="180">
        <f t="shared" si="5"/>
        <v>226049022.79544967</v>
      </c>
      <c r="R58" s="881">
        <f t="shared" si="200"/>
        <v>131500951.08196118</v>
      </c>
      <c r="S58" s="881">
        <f t="shared" si="200"/>
        <v>131555832.39461312</v>
      </c>
      <c r="T58" s="881">
        <f t="shared" si="200"/>
        <v>129071082.72654867</v>
      </c>
      <c r="U58" s="881">
        <f t="shared" si="200"/>
        <v>131104875.25668612</v>
      </c>
      <c r="V58" s="881">
        <f t="shared" si="200"/>
        <v>125424097.85776003</v>
      </c>
      <c r="W58" s="881">
        <f t="shared" si="200"/>
        <v>126011822.47698133</v>
      </c>
      <c r="X58" s="180">
        <f t="shared" si="7"/>
        <v>774668661.79455042</v>
      </c>
      <c r="Y58" s="883"/>
      <c r="Z58" s="883"/>
      <c r="AA58" s="883"/>
      <c r="AB58" s="883"/>
      <c r="AC58" s="883"/>
      <c r="AD58" s="883"/>
      <c r="AE58" s="180"/>
      <c r="AG58" s="1415"/>
      <c r="AH58" s="1415"/>
      <c r="AI58" s="1415"/>
    </row>
    <row r="59" spans="2:43" s="526" customFormat="1">
      <c r="B59" s="1404" t="s">
        <v>751</v>
      </c>
      <c r="C59" s="1405" t="s">
        <v>1735</v>
      </c>
      <c r="D59" s="1406">
        <f>SUBTOTAL(9,D60:D64)</f>
        <v>4410069.1127745919</v>
      </c>
      <c r="E59" s="1406">
        <f t="shared" ref="E59:W59" si="201">SUBTOTAL(9,E60:E64)</f>
        <v>4411909.6239353158</v>
      </c>
      <c r="F59" s="1406">
        <f t="shared" si="201"/>
        <v>4328580.5402328717</v>
      </c>
      <c r="G59" s="1406">
        <f t="shared" si="201"/>
        <v>4396786.2311945846</v>
      </c>
      <c r="H59" s="1406">
        <f t="shared" si="201"/>
        <v>4206274.4941555774</v>
      </c>
      <c r="I59" s="1406">
        <f t="shared" si="201"/>
        <v>4225984.5497070616</v>
      </c>
      <c r="J59" s="1407">
        <f t="shared" si="3"/>
        <v>25979604.552000005</v>
      </c>
      <c r="K59" s="1406">
        <f t="shared" si="201"/>
        <v>0</v>
      </c>
      <c r="L59" s="1406">
        <f t="shared" si="201"/>
        <v>0</v>
      </c>
      <c r="M59" s="1406">
        <f t="shared" si="201"/>
        <v>0</v>
      </c>
      <c r="N59" s="1406">
        <f t="shared" si="201"/>
        <v>0</v>
      </c>
      <c r="O59" s="1406">
        <f t="shared" si="201"/>
        <v>0</v>
      </c>
      <c r="P59" s="1406">
        <f t="shared" si="201"/>
        <v>0</v>
      </c>
      <c r="Q59" s="1407">
        <f t="shared" si="5"/>
        <v>0</v>
      </c>
      <c r="R59" s="1406">
        <f t="shared" si="201"/>
        <v>4410069.1127745919</v>
      </c>
      <c r="S59" s="1406">
        <f t="shared" si="201"/>
        <v>4411909.6239353158</v>
      </c>
      <c r="T59" s="1406">
        <f t="shared" si="201"/>
        <v>4328580.5402328717</v>
      </c>
      <c r="U59" s="1406">
        <f t="shared" si="201"/>
        <v>4396786.2311945846</v>
      </c>
      <c r="V59" s="1406">
        <f t="shared" si="201"/>
        <v>4206274.4941555774</v>
      </c>
      <c r="W59" s="1406">
        <f t="shared" si="201"/>
        <v>4225984.5497070616</v>
      </c>
      <c r="X59" s="1407">
        <f t="shared" si="7"/>
        <v>25979604.552000005</v>
      </c>
      <c r="Y59" s="974"/>
      <c r="Z59" s="974"/>
      <c r="AA59" s="974"/>
      <c r="AB59" s="974"/>
      <c r="AC59" s="974"/>
      <c r="AD59" s="974"/>
      <c r="AE59" s="1407"/>
      <c r="AG59" s="1416"/>
      <c r="AH59" s="1416"/>
      <c r="AI59" s="1416"/>
      <c r="AQ59" s="569"/>
    </row>
    <row r="60" spans="2:43" s="526" customFormat="1">
      <c r="B60" s="1404"/>
      <c r="C60" s="1410" t="s">
        <v>304</v>
      </c>
      <c r="D60" s="974">
        <f>MCDO800!$M60*D$152</f>
        <v>2942365.8333267774</v>
      </c>
      <c r="E60" s="974">
        <f>MCDO800!$M60*E$152</f>
        <v>2943593.8089019177</v>
      </c>
      <c r="F60" s="974">
        <f>MCDO800!$M60*F$152</f>
        <v>2887997.2541680536</v>
      </c>
      <c r="G60" s="974">
        <f>MCDO800!$M60*G$152</f>
        <v>2933503.5919582853</v>
      </c>
      <c r="H60" s="974">
        <f>MCDO800!$M60*H$152</f>
        <v>2806395.555422632</v>
      </c>
      <c r="I60" s="974">
        <f>MCDO800!$M60*I$152</f>
        <v>2819545.960222336</v>
      </c>
      <c r="J60" s="1407">
        <f t="shared" ref="J60:J64" si="202">SUM(D60:I60)</f>
        <v>17333402.004000001</v>
      </c>
      <c r="K60" s="974">
        <f t="shared" ref="K60:K64" si="203">D60*$AG60</f>
        <v>0</v>
      </c>
      <c r="L60" s="974">
        <f t="shared" ref="L60:L64" si="204">E60*$AG60</f>
        <v>0</v>
      </c>
      <c r="M60" s="974">
        <f t="shared" ref="M60:M64" si="205">F60*$AG60</f>
        <v>0</v>
      </c>
      <c r="N60" s="974">
        <f t="shared" ref="N60:N64" si="206">G60*$AG60</f>
        <v>0</v>
      </c>
      <c r="O60" s="974">
        <f t="shared" ref="O60:O64" si="207">H60*$AG60</f>
        <v>0</v>
      </c>
      <c r="P60" s="974">
        <f t="shared" ref="P60:P64" si="208">I60*$AG60</f>
        <v>0</v>
      </c>
      <c r="Q60" s="1407">
        <f t="shared" ref="Q60:Q64" si="209">SUM(K60:P60)</f>
        <v>0</v>
      </c>
      <c r="R60" s="974">
        <f t="shared" ref="R60:R64" si="210">D60-K60</f>
        <v>2942365.8333267774</v>
      </c>
      <c r="S60" s="974">
        <f t="shared" ref="S60:S64" si="211">E60-L60</f>
        <v>2943593.8089019177</v>
      </c>
      <c r="T60" s="974">
        <f t="shared" ref="T60:T64" si="212">F60-M60</f>
        <v>2887997.2541680536</v>
      </c>
      <c r="U60" s="974">
        <f t="shared" ref="U60:U64" si="213">G60-N60</f>
        <v>2933503.5919582853</v>
      </c>
      <c r="V60" s="974">
        <f t="shared" ref="V60:V64" si="214">H60-O60</f>
        <v>2806395.555422632</v>
      </c>
      <c r="W60" s="974">
        <f t="shared" ref="W60:W64" si="215">I60-P60</f>
        <v>2819545.960222336</v>
      </c>
      <c r="X60" s="1407">
        <f t="shared" ref="X60:X65" si="216">SUM(R60:W60)</f>
        <v>17333402.004000001</v>
      </c>
      <c r="Y60" s="974"/>
      <c r="Z60" s="974"/>
      <c r="AA60" s="974"/>
      <c r="AB60" s="974"/>
      <c r="AC60" s="974"/>
      <c r="AD60" s="974"/>
      <c r="AE60" s="1407"/>
      <c r="AG60" s="1416"/>
      <c r="AH60" s="1416"/>
      <c r="AI60" s="1416"/>
      <c r="AQ60" s="569"/>
    </row>
    <row r="61" spans="2:43" s="526" customFormat="1">
      <c r="B61" s="1404"/>
      <c r="C61" s="1411" t="s">
        <v>644</v>
      </c>
      <c r="D61" s="974">
        <f>MCDO800!$M61*D$152</f>
        <v>1467369.4056532176</v>
      </c>
      <c r="E61" s="974">
        <f>MCDO800!$M61*E$152</f>
        <v>1467981.801898933</v>
      </c>
      <c r="F61" s="974">
        <f>MCDO800!$M61*F$152</f>
        <v>1440255.5815383743</v>
      </c>
      <c r="G61" s="974">
        <f>MCDO800!$M61*G$152</f>
        <v>1462949.771050903</v>
      </c>
      <c r="H61" s="974">
        <f>MCDO800!$M61*H$152</f>
        <v>1399560.4936495314</v>
      </c>
      <c r="I61" s="974">
        <f>MCDO800!$M61*I$152</f>
        <v>1406118.6522090409</v>
      </c>
      <c r="J61" s="1407">
        <f t="shared" si="202"/>
        <v>8644235.7060000002</v>
      </c>
      <c r="K61" s="974">
        <f t="shared" si="203"/>
        <v>0</v>
      </c>
      <c r="L61" s="974">
        <f t="shared" si="204"/>
        <v>0</v>
      </c>
      <c r="M61" s="974">
        <f t="shared" si="205"/>
        <v>0</v>
      </c>
      <c r="N61" s="974">
        <f t="shared" si="206"/>
        <v>0</v>
      </c>
      <c r="O61" s="974">
        <f t="shared" si="207"/>
        <v>0</v>
      </c>
      <c r="P61" s="974">
        <f t="shared" si="208"/>
        <v>0</v>
      </c>
      <c r="Q61" s="1407">
        <f t="shared" si="209"/>
        <v>0</v>
      </c>
      <c r="R61" s="974">
        <f t="shared" si="210"/>
        <v>1467369.4056532176</v>
      </c>
      <c r="S61" s="974">
        <f t="shared" si="211"/>
        <v>1467981.801898933</v>
      </c>
      <c r="T61" s="974">
        <f t="shared" si="212"/>
        <v>1440255.5815383743</v>
      </c>
      <c r="U61" s="974">
        <f t="shared" si="213"/>
        <v>1462949.771050903</v>
      </c>
      <c r="V61" s="974">
        <f t="shared" si="214"/>
        <v>1399560.4936495314</v>
      </c>
      <c r="W61" s="974">
        <f t="shared" si="215"/>
        <v>1406118.6522090409</v>
      </c>
      <c r="X61" s="1407">
        <f t="shared" si="216"/>
        <v>8644235.7060000002</v>
      </c>
      <c r="Y61" s="974"/>
      <c r="Z61" s="974"/>
      <c r="AA61" s="974"/>
      <c r="AB61" s="974"/>
      <c r="AC61" s="974"/>
      <c r="AD61" s="974"/>
      <c r="AE61" s="1407"/>
      <c r="AG61" s="1416"/>
      <c r="AH61" s="1416"/>
      <c r="AI61" s="1416"/>
      <c r="AQ61" s="569"/>
    </row>
    <row r="62" spans="2:43" s="526" customFormat="1">
      <c r="B62" s="1404"/>
      <c r="C62" s="1410" t="s">
        <v>305</v>
      </c>
      <c r="D62" s="974">
        <f>MCDO800!$M62*D$152</f>
        <v>204.99189162272447</v>
      </c>
      <c r="E62" s="974">
        <f>MCDO800!$M62*E$152</f>
        <v>205.07744353920043</v>
      </c>
      <c r="F62" s="974">
        <f>MCDO800!$M62*F$152</f>
        <v>201.20408326784514</v>
      </c>
      <c r="G62" s="974">
        <f>MCDO800!$M62*G$152</f>
        <v>204.37446750721591</v>
      </c>
      <c r="H62" s="974">
        <f>MCDO800!$M62*H$152</f>
        <v>195.5189687943201</v>
      </c>
      <c r="I62" s="974">
        <f>MCDO800!$M62*I$152</f>
        <v>196.43514526869407</v>
      </c>
      <c r="J62" s="1407">
        <f t="shared" si="202"/>
        <v>1207.6020000000001</v>
      </c>
      <c r="K62" s="974">
        <f t="shared" si="203"/>
        <v>0</v>
      </c>
      <c r="L62" s="974">
        <f t="shared" si="204"/>
        <v>0</v>
      </c>
      <c r="M62" s="974">
        <f t="shared" si="205"/>
        <v>0</v>
      </c>
      <c r="N62" s="974">
        <f t="shared" si="206"/>
        <v>0</v>
      </c>
      <c r="O62" s="974">
        <f t="shared" si="207"/>
        <v>0</v>
      </c>
      <c r="P62" s="974">
        <f t="shared" si="208"/>
        <v>0</v>
      </c>
      <c r="Q62" s="1407">
        <f t="shared" si="209"/>
        <v>0</v>
      </c>
      <c r="R62" s="974">
        <f t="shared" si="210"/>
        <v>204.99189162272447</v>
      </c>
      <c r="S62" s="974">
        <f t="shared" si="211"/>
        <v>205.07744353920043</v>
      </c>
      <c r="T62" s="974">
        <f t="shared" si="212"/>
        <v>201.20408326784514</v>
      </c>
      <c r="U62" s="974">
        <f t="shared" si="213"/>
        <v>204.37446750721591</v>
      </c>
      <c r="V62" s="974">
        <f t="shared" si="214"/>
        <v>195.5189687943201</v>
      </c>
      <c r="W62" s="974">
        <f t="shared" si="215"/>
        <v>196.43514526869407</v>
      </c>
      <c r="X62" s="1407">
        <f t="shared" si="216"/>
        <v>1207.6020000000001</v>
      </c>
      <c r="Y62" s="974"/>
      <c r="Z62" s="974"/>
      <c r="AA62" s="974"/>
      <c r="AB62" s="974"/>
      <c r="AC62" s="974"/>
      <c r="AD62" s="974"/>
      <c r="AE62" s="1407"/>
      <c r="AG62" s="1416"/>
      <c r="AH62" s="1416"/>
      <c r="AI62" s="1416"/>
      <c r="AQ62" s="569"/>
    </row>
    <row r="63" spans="2:43" s="526" customFormat="1">
      <c r="B63" s="1404"/>
      <c r="C63" s="1410" t="s">
        <v>307</v>
      </c>
      <c r="D63" s="974">
        <f>MCDO800!$M63*D$152</f>
        <v>15.67482603742158</v>
      </c>
      <c r="E63" s="974">
        <f>MCDO800!$M63*E$152</f>
        <v>15.681367815231978</v>
      </c>
      <c r="F63" s="974">
        <f>MCDO800!$M63*F$152</f>
        <v>15.385189034924435</v>
      </c>
      <c r="G63" s="974">
        <f>MCDO800!$M63*G$152</f>
        <v>15.627614337849984</v>
      </c>
      <c r="H63" s="974">
        <f>MCDO800!$M63*H$152</f>
        <v>14.950473399735605</v>
      </c>
      <c r="I63" s="974">
        <f>MCDO800!$M63*I$152</f>
        <v>15.020529374836419</v>
      </c>
      <c r="J63" s="1407">
        <f t="shared" si="202"/>
        <v>92.339999999999989</v>
      </c>
      <c r="K63" s="974">
        <f t="shared" si="203"/>
        <v>0</v>
      </c>
      <c r="L63" s="974">
        <f t="shared" si="204"/>
        <v>0</v>
      </c>
      <c r="M63" s="974">
        <f t="shared" si="205"/>
        <v>0</v>
      </c>
      <c r="N63" s="974">
        <f t="shared" si="206"/>
        <v>0</v>
      </c>
      <c r="O63" s="974">
        <f t="shared" si="207"/>
        <v>0</v>
      </c>
      <c r="P63" s="974">
        <f t="shared" si="208"/>
        <v>0</v>
      </c>
      <c r="Q63" s="1407">
        <f t="shared" si="209"/>
        <v>0</v>
      </c>
      <c r="R63" s="974">
        <f t="shared" si="210"/>
        <v>15.67482603742158</v>
      </c>
      <c r="S63" s="974">
        <f t="shared" si="211"/>
        <v>15.681367815231978</v>
      </c>
      <c r="T63" s="974">
        <f t="shared" si="212"/>
        <v>15.385189034924435</v>
      </c>
      <c r="U63" s="974">
        <f t="shared" si="213"/>
        <v>15.627614337849984</v>
      </c>
      <c r="V63" s="974">
        <f t="shared" si="214"/>
        <v>14.950473399735605</v>
      </c>
      <c r="W63" s="974">
        <f t="shared" si="215"/>
        <v>15.020529374836419</v>
      </c>
      <c r="X63" s="1407">
        <f t="shared" si="216"/>
        <v>92.339999999999989</v>
      </c>
      <c r="Y63" s="974"/>
      <c r="Z63" s="974"/>
      <c r="AA63" s="974"/>
      <c r="AB63" s="974"/>
      <c r="AC63" s="974"/>
      <c r="AD63" s="974"/>
      <c r="AE63" s="1407"/>
      <c r="AG63" s="1416"/>
      <c r="AH63" s="1416"/>
      <c r="AI63" s="1416"/>
      <c r="AQ63" s="569"/>
    </row>
    <row r="64" spans="2:43" s="526" customFormat="1">
      <c r="B64" s="1404"/>
      <c r="C64" s="1410" t="s">
        <v>624</v>
      </c>
      <c r="D64" s="974">
        <f>MCDO800!$M64*D$152</f>
        <v>113.20707693693363</v>
      </c>
      <c r="E64" s="974">
        <f>MCDO800!$M64*E$152</f>
        <v>113.25432311000873</v>
      </c>
      <c r="F64" s="974">
        <f>MCDO800!$M64*F$152</f>
        <v>111.11525414112093</v>
      </c>
      <c r="G64" s="974">
        <f>MCDO800!$M64*G$152</f>
        <v>112.86610355113878</v>
      </c>
      <c r="H64" s="974">
        <f>MCDO800!$M64*H$152</f>
        <v>107.9756412203127</v>
      </c>
      <c r="I64" s="974">
        <f>MCDO800!$M64*I$152</f>
        <v>108.48160104048526</v>
      </c>
      <c r="J64" s="1407">
        <f t="shared" si="202"/>
        <v>666.90000000000009</v>
      </c>
      <c r="K64" s="974">
        <f t="shared" si="203"/>
        <v>0</v>
      </c>
      <c r="L64" s="974">
        <f t="shared" si="204"/>
        <v>0</v>
      </c>
      <c r="M64" s="974">
        <f t="shared" si="205"/>
        <v>0</v>
      </c>
      <c r="N64" s="974">
        <f t="shared" si="206"/>
        <v>0</v>
      </c>
      <c r="O64" s="974">
        <f t="shared" si="207"/>
        <v>0</v>
      </c>
      <c r="P64" s="974">
        <f t="shared" si="208"/>
        <v>0</v>
      </c>
      <c r="Q64" s="1407">
        <f t="shared" si="209"/>
        <v>0</v>
      </c>
      <c r="R64" s="974">
        <f t="shared" si="210"/>
        <v>113.20707693693363</v>
      </c>
      <c r="S64" s="974">
        <f t="shared" si="211"/>
        <v>113.25432311000873</v>
      </c>
      <c r="T64" s="974">
        <f t="shared" si="212"/>
        <v>111.11525414112093</v>
      </c>
      <c r="U64" s="974">
        <f t="shared" si="213"/>
        <v>112.86610355113878</v>
      </c>
      <c r="V64" s="974">
        <f t="shared" si="214"/>
        <v>107.9756412203127</v>
      </c>
      <c r="W64" s="974">
        <f t="shared" si="215"/>
        <v>108.48160104048526</v>
      </c>
      <c r="X64" s="1407">
        <f t="shared" si="216"/>
        <v>666.90000000000009</v>
      </c>
      <c r="Y64" s="974"/>
      <c r="Z64" s="974"/>
      <c r="AA64" s="974"/>
      <c r="AB64" s="974"/>
      <c r="AC64" s="974"/>
      <c r="AD64" s="974"/>
      <c r="AE64" s="1407"/>
      <c r="AG64" s="1416"/>
      <c r="AH64" s="1416"/>
      <c r="AI64" s="1416"/>
      <c r="AQ64" s="569"/>
    </row>
    <row r="65" spans="2:43">
      <c r="B65" s="48" t="s">
        <v>751</v>
      </c>
      <c r="C65" s="882" t="s">
        <v>634</v>
      </c>
      <c r="D65" s="881">
        <f>SUBTOTAL(9,D66:D70)</f>
        <v>88013142.801015407</v>
      </c>
      <c r="E65" s="881">
        <f t="shared" ref="E65:W65" si="217">SUBTOTAL(9,E66:E70)</f>
        <v>88049874.881167516</v>
      </c>
      <c r="F65" s="881">
        <f t="shared" si="217"/>
        <v>86386831.131757826</v>
      </c>
      <c r="G65" s="881">
        <f t="shared" si="217"/>
        <v>87748049.124182731</v>
      </c>
      <c r="H65" s="881">
        <f t="shared" si="217"/>
        <v>83945902.989907905</v>
      </c>
      <c r="I65" s="881">
        <f t="shared" si="217"/>
        <v>84339267.265968606</v>
      </c>
      <c r="J65" s="180">
        <f t="shared" si="3"/>
        <v>518483068.19400001</v>
      </c>
      <c r="K65" s="881">
        <f t="shared" si="217"/>
        <v>20410903.534773447</v>
      </c>
      <c r="L65" s="881">
        <f t="shared" si="217"/>
        <v>20419421.977823611</v>
      </c>
      <c r="M65" s="881">
        <f t="shared" si="217"/>
        <v>20033749.742257018</v>
      </c>
      <c r="N65" s="881">
        <f t="shared" si="217"/>
        <v>20349426.336103886</v>
      </c>
      <c r="O65" s="881">
        <f t="shared" si="217"/>
        <v>19467680.320656523</v>
      </c>
      <c r="P65" s="881">
        <f t="shared" si="217"/>
        <v>19558904.426934071</v>
      </c>
      <c r="Q65" s="180">
        <f t="shared" si="5"/>
        <v>120240086.33854854</v>
      </c>
      <c r="R65" s="881">
        <f t="shared" si="217"/>
        <v>67602239.266241968</v>
      </c>
      <c r="S65" s="881">
        <f t="shared" si="217"/>
        <v>67630452.903343931</v>
      </c>
      <c r="T65" s="881">
        <f t="shared" si="217"/>
        <v>66353081.389500797</v>
      </c>
      <c r="U65" s="881">
        <f t="shared" si="217"/>
        <v>67398622.788078845</v>
      </c>
      <c r="V65" s="881">
        <f t="shared" si="217"/>
        <v>64478222.66925139</v>
      </c>
      <c r="W65" s="881">
        <f t="shared" si="217"/>
        <v>64780362.839034528</v>
      </c>
      <c r="X65" s="180">
        <f t="shared" si="216"/>
        <v>398242981.85545146</v>
      </c>
      <c r="Y65" s="881"/>
      <c r="Z65" s="881"/>
      <c r="AA65" s="881"/>
      <c r="AB65" s="881"/>
      <c r="AC65" s="881"/>
      <c r="AD65" s="881"/>
      <c r="AE65" s="180"/>
      <c r="AF65" s="526"/>
      <c r="AG65" s="1415">
        <f>'PDYG-200'!$D$32</f>
        <v>0.23190745024205595</v>
      </c>
      <c r="AH65" s="1415">
        <f>'PDYG-200'!$E$32</f>
        <v>0.30353035303530351</v>
      </c>
      <c r="AI65" s="1415">
        <f>'PDYG-200'!$F$32</f>
        <v>0.46456219672264054</v>
      </c>
      <c r="AK65" s="526"/>
      <c r="AL65" s="526"/>
      <c r="AM65" s="526"/>
      <c r="AN65" s="526"/>
      <c r="AO65" s="526"/>
      <c r="AP65" s="526"/>
      <c r="AQ65" s="569"/>
    </row>
    <row r="66" spans="2:43">
      <c r="B66" s="48"/>
      <c r="C66" s="887" t="s">
        <v>304</v>
      </c>
      <c r="D66" s="1969">
        <f>MCDO800!$M66*D$152-D51</f>
        <v>56658826.594602458</v>
      </c>
      <c r="E66" s="1969">
        <f>MCDO800!$M66*E$152-E51</f>
        <v>56682473.17259144</v>
      </c>
      <c r="F66" s="1969">
        <f>MCDO800!$M66*F$152-F51</f>
        <v>55611875.113438331</v>
      </c>
      <c r="G66" s="1969">
        <f>MCDO800!$M66*G$152-G51</f>
        <v>56488170.365016446</v>
      </c>
      <c r="H66" s="1969">
        <f>MCDO800!$M66*H$152-H51</f>
        <v>54040507.59401843</v>
      </c>
      <c r="I66" s="1969">
        <f>MCDO800!$M66*I$152-I51</f>
        <v>54293739.074332893</v>
      </c>
      <c r="J66" s="180">
        <f t="shared" si="3"/>
        <v>333775591.91399997</v>
      </c>
      <c r="K66" s="883">
        <f t="shared" ref="K66:P70" si="218">D66*$AG66</f>
        <v>13139604.009261046</v>
      </c>
      <c r="L66" s="883">
        <f t="shared" si="218"/>
        <v>13145087.826869421</v>
      </c>
      <c r="M66" s="883">
        <f t="shared" si="218"/>
        <v>12896808.160737129</v>
      </c>
      <c r="N66" s="883">
        <f t="shared" si="218"/>
        <v>13100027.55818983</v>
      </c>
      <c r="O66" s="883">
        <f t="shared" si="218"/>
        <v>12532396.325915275</v>
      </c>
      <c r="P66" s="883">
        <f t="shared" si="218"/>
        <v>12591122.592836024</v>
      </c>
      <c r="Q66" s="180">
        <f t="shared" si="5"/>
        <v>77405046.473808736</v>
      </c>
      <c r="R66" s="883">
        <f t="shared" si="15"/>
        <v>43519222.585341409</v>
      </c>
      <c r="S66" s="883">
        <f t="shared" si="10"/>
        <v>43537385.34572202</v>
      </c>
      <c r="T66" s="883">
        <f t="shared" si="11"/>
        <v>42715066.952701204</v>
      </c>
      <c r="U66" s="883">
        <f t="shared" si="12"/>
        <v>43388142.806826614</v>
      </c>
      <c r="V66" s="883">
        <f t="shared" si="13"/>
        <v>41508111.268103153</v>
      </c>
      <c r="W66" s="883">
        <f t="shared" si="14"/>
        <v>41702616.481496871</v>
      </c>
      <c r="X66" s="180">
        <f t="shared" si="7"/>
        <v>256370545.44019127</v>
      </c>
      <c r="Y66" s="883"/>
      <c r="Z66" s="883"/>
      <c r="AA66" s="883"/>
      <c r="AB66" s="883"/>
      <c r="AC66" s="883"/>
      <c r="AD66" s="883"/>
      <c r="AE66" s="180"/>
      <c r="AF66" s="526"/>
      <c r="AG66" s="1415">
        <f>'PDYG-200'!$D$32</f>
        <v>0.23190745024205595</v>
      </c>
      <c r="AH66" s="1415">
        <f>'PDYG-200'!$E$32</f>
        <v>0.30353035303530351</v>
      </c>
      <c r="AI66" s="1415">
        <f>'PDYG-200'!$F$32</f>
        <v>0.46456219672264054</v>
      </c>
      <c r="AK66" s="526"/>
      <c r="AL66" s="526"/>
      <c r="AM66" s="526"/>
      <c r="AN66" s="526"/>
      <c r="AO66" s="526"/>
      <c r="AP66" s="526"/>
      <c r="AQ66" s="569"/>
    </row>
    <row r="67" spans="2:43">
      <c r="B67" s="48"/>
      <c r="C67" s="888" t="s">
        <v>644</v>
      </c>
      <c r="D67" s="883">
        <f>MCDO800!$M67*D$152</f>
        <v>31346624.22094693</v>
      </c>
      <c r="E67" s="883">
        <f>MCDO800!$M67*E$152</f>
        <v>31359706.512914311</v>
      </c>
      <c r="F67" s="883">
        <f>MCDO800!$M67*F$152</f>
        <v>30767406.164166957</v>
      </c>
      <c r="G67" s="883">
        <f>MCDO800!$M67*G$152</f>
        <v>31252209.941530373</v>
      </c>
      <c r="H67" s="883">
        <f>MCDO800!$M67*H$152</f>
        <v>29898058.866359495</v>
      </c>
      <c r="I67" s="883">
        <f>MCDO800!$M67*I$152</f>
        <v>30038157.284081932</v>
      </c>
      <c r="J67" s="180">
        <f t="shared" si="3"/>
        <v>184662162.99000001</v>
      </c>
      <c r="K67" s="883">
        <f t="shared" si="218"/>
        <v>7269515.6967756758</v>
      </c>
      <c r="L67" s="883">
        <f t="shared" si="218"/>
        <v>7272549.5777491536</v>
      </c>
      <c r="M67" s="883">
        <f t="shared" si="218"/>
        <v>7135190.714093674</v>
      </c>
      <c r="N67" s="883">
        <f t="shared" si="218"/>
        <v>7247620.321969741</v>
      </c>
      <c r="O67" s="883">
        <f t="shared" si="218"/>
        <v>6933582.5988843245</v>
      </c>
      <c r="P67" s="883">
        <f t="shared" si="218"/>
        <v>6966072.4657212812</v>
      </c>
      <c r="Q67" s="180">
        <f t="shared" si="5"/>
        <v>42824531.375193849</v>
      </c>
      <c r="R67" s="883">
        <f t="shared" si="15"/>
        <v>24077108.524171256</v>
      </c>
      <c r="S67" s="883">
        <f t="shared" si="10"/>
        <v>24087156.935165159</v>
      </c>
      <c r="T67" s="883">
        <f t="shared" si="11"/>
        <v>23632215.450073283</v>
      </c>
      <c r="U67" s="883">
        <f t="shared" si="12"/>
        <v>24004589.619560633</v>
      </c>
      <c r="V67" s="883">
        <f t="shared" si="13"/>
        <v>22964476.267475169</v>
      </c>
      <c r="W67" s="883">
        <f t="shared" si="14"/>
        <v>23072084.818360649</v>
      </c>
      <c r="X67" s="180">
        <f t="shared" si="7"/>
        <v>141837631.61480615</v>
      </c>
      <c r="Y67" s="883"/>
      <c r="Z67" s="883"/>
      <c r="AA67" s="883"/>
      <c r="AB67" s="883"/>
      <c r="AC67" s="883"/>
      <c r="AD67" s="883"/>
      <c r="AE67" s="180"/>
      <c r="AF67" s="526"/>
      <c r="AG67" s="1415">
        <f>'PDYG-200'!$D$32</f>
        <v>0.23190745024205595</v>
      </c>
      <c r="AH67" s="1415">
        <f>'PDYG-200'!$E$32</f>
        <v>0.30353035303530351</v>
      </c>
      <c r="AI67" s="1415">
        <f>'PDYG-200'!$F$32</f>
        <v>0.46456219672264054</v>
      </c>
      <c r="AK67" s="526"/>
      <c r="AL67" s="526"/>
      <c r="AM67" s="526"/>
      <c r="AN67" s="526"/>
      <c r="AO67" s="526"/>
      <c r="AP67" s="526"/>
      <c r="AQ67" s="569"/>
    </row>
    <row r="68" spans="2:43">
      <c r="B68" s="48"/>
      <c r="C68" s="887" t="s">
        <v>305</v>
      </c>
      <c r="D68" s="883">
        <f>MCDO800!$M68*D$152</f>
        <v>5086.3068844095533</v>
      </c>
      <c r="E68" s="883">
        <f>MCDO800!$M68*E$152</f>
        <v>5088.4296186226074</v>
      </c>
      <c r="F68" s="883">
        <f>MCDO800!$M68*F$152</f>
        <v>4992.3228952881464</v>
      </c>
      <c r="G68" s="883">
        <f>MCDO800!$M68*G$152</f>
        <v>5070.98721247301</v>
      </c>
      <c r="H68" s="883">
        <f>MCDO800!$M68*H$152</f>
        <v>4851.2625018430954</v>
      </c>
      <c r="I68" s="883">
        <f>MCDO800!$M68*I$152</f>
        <v>4873.9948873635867</v>
      </c>
      <c r="J68" s="180">
        <f t="shared" si="3"/>
        <v>29963.304</v>
      </c>
      <c r="K68" s="883">
        <f t="shared" si="218"/>
        <v>1179.5524607120351</v>
      </c>
      <c r="L68" s="883">
        <f t="shared" si="218"/>
        <v>1180.044738590926</v>
      </c>
      <c r="M68" s="883">
        <f t="shared" si="218"/>
        <v>1157.7568734313124</v>
      </c>
      <c r="N68" s="883">
        <f t="shared" si="218"/>
        <v>1175.9997146546866</v>
      </c>
      <c r="O68" s="883">
        <f t="shared" si="218"/>
        <v>1125.0439172573294</v>
      </c>
      <c r="P68" s="883">
        <f t="shared" si="218"/>
        <v>1130.315726821306</v>
      </c>
      <c r="Q68" s="180">
        <f t="shared" si="5"/>
        <v>6948.7134314675959</v>
      </c>
      <c r="R68" s="883">
        <f t="shared" si="15"/>
        <v>3906.7544236975182</v>
      </c>
      <c r="S68" s="883">
        <f t="shared" si="10"/>
        <v>3908.3848800316814</v>
      </c>
      <c r="T68" s="883">
        <f t="shared" si="11"/>
        <v>3834.5660218568337</v>
      </c>
      <c r="U68" s="883">
        <f t="shared" si="12"/>
        <v>3894.9874978183234</v>
      </c>
      <c r="V68" s="883">
        <f t="shared" si="13"/>
        <v>3726.2185845857657</v>
      </c>
      <c r="W68" s="883">
        <f t="shared" si="14"/>
        <v>3743.6791605422804</v>
      </c>
      <c r="X68" s="180">
        <f t="shared" si="7"/>
        <v>23014.590568532403</v>
      </c>
      <c r="Y68" s="883"/>
      <c r="Z68" s="883"/>
      <c r="AA68" s="883"/>
      <c r="AB68" s="883"/>
      <c r="AC68" s="883"/>
      <c r="AD68" s="883"/>
      <c r="AE68" s="180"/>
      <c r="AF68" s="526"/>
      <c r="AG68" s="1415">
        <f>'PDYG-200'!$D$32</f>
        <v>0.23190745024205595</v>
      </c>
      <c r="AH68" s="1415">
        <f>'PDYG-200'!$E$32</f>
        <v>0.30353035303530351</v>
      </c>
      <c r="AI68" s="1415">
        <f>'PDYG-200'!$F$32</f>
        <v>0.46456219672264054</v>
      </c>
      <c r="AK68" s="526"/>
      <c r="AL68" s="526"/>
      <c r="AM68" s="526"/>
      <c r="AN68" s="526"/>
      <c r="AO68" s="526"/>
      <c r="AP68" s="526"/>
      <c r="AQ68" s="569"/>
    </row>
    <row r="69" spans="2:43">
      <c r="B69" s="48"/>
      <c r="C69" s="887" t="s">
        <v>307</v>
      </c>
      <c r="D69" s="883">
        <f>MCDO800!$M69*D$152</f>
        <v>350.24527956949777</v>
      </c>
      <c r="E69" s="883">
        <f>MCDO800!$M69*E$152</f>
        <v>350.39145196035008</v>
      </c>
      <c r="F69" s="883">
        <f>MCDO800!$M69*F$152</f>
        <v>343.77350165814494</v>
      </c>
      <c r="G69" s="883">
        <f>MCDO800!$M69*G$152</f>
        <v>349.19036037129246</v>
      </c>
      <c r="H69" s="883">
        <f>MCDO800!$M69*H$152</f>
        <v>334.06002229853669</v>
      </c>
      <c r="I69" s="883">
        <f>MCDO800!$M69*I$152</f>
        <v>335.62538414217823</v>
      </c>
      <c r="J69" s="180">
        <f t="shared" si="3"/>
        <v>2063.2860000000001</v>
      </c>
      <c r="K69" s="883">
        <f t="shared" si="218"/>
        <v>81.224489744278273</v>
      </c>
      <c r="L69" s="883">
        <f t="shared" si="218"/>
        <v>81.258388210736626</v>
      </c>
      <c r="M69" s="883">
        <f t="shared" si="218"/>
        <v>79.723636230323578</v>
      </c>
      <c r="N69" s="883">
        <f t="shared" si="218"/>
        <v>80.979846122811097</v>
      </c>
      <c r="O69" s="883">
        <f t="shared" si="218"/>
        <v>77.471007999058003</v>
      </c>
      <c r="P69" s="883">
        <f t="shared" si="218"/>
        <v>77.834027072923107</v>
      </c>
      <c r="Q69" s="180">
        <f t="shared" si="5"/>
        <v>478.49139538013065</v>
      </c>
      <c r="R69" s="883">
        <f t="shared" si="15"/>
        <v>269.02078982521948</v>
      </c>
      <c r="S69" s="883">
        <f t="shared" si="10"/>
        <v>269.13306374961348</v>
      </c>
      <c r="T69" s="883">
        <f t="shared" si="11"/>
        <v>264.04986542782137</v>
      </c>
      <c r="U69" s="883">
        <f t="shared" si="12"/>
        <v>268.21051424848133</v>
      </c>
      <c r="V69" s="883">
        <f t="shared" si="13"/>
        <v>256.58901429947866</v>
      </c>
      <c r="W69" s="883">
        <f t="shared" si="14"/>
        <v>257.79135706925513</v>
      </c>
      <c r="X69" s="180">
        <f t="shared" si="7"/>
        <v>1584.7946046198692</v>
      </c>
      <c r="Y69" s="883"/>
      <c r="Z69" s="883"/>
      <c r="AA69" s="883"/>
      <c r="AB69" s="883"/>
      <c r="AC69" s="883"/>
      <c r="AD69" s="883"/>
      <c r="AE69" s="180"/>
      <c r="AF69" s="526"/>
      <c r="AG69" s="1415">
        <f>'PDYG-200'!$D$32</f>
        <v>0.23190745024205595</v>
      </c>
      <c r="AH69" s="1415">
        <f>'PDYG-200'!$E$32</f>
        <v>0.30353035303530351</v>
      </c>
      <c r="AI69" s="1415">
        <f>'PDYG-200'!$F$32</f>
        <v>0.46456219672264054</v>
      </c>
      <c r="AK69" s="526"/>
      <c r="AL69" s="526"/>
      <c r="AM69" s="526"/>
      <c r="AN69" s="526"/>
      <c r="AO69" s="526"/>
      <c r="AP69" s="526"/>
      <c r="AQ69" s="569"/>
    </row>
    <row r="70" spans="2:43">
      <c r="B70" s="48"/>
      <c r="C70" s="887" t="s">
        <v>624</v>
      </c>
      <c r="D70" s="883">
        <f>MCDO800!$M70*D$152</f>
        <v>2255.4333020512163</v>
      </c>
      <c r="E70" s="883">
        <f>MCDO800!$M70*E$152</f>
        <v>2256.3745911917122</v>
      </c>
      <c r="F70" s="883">
        <f>MCDO800!$M70*F$152</f>
        <v>2213.7577555807939</v>
      </c>
      <c r="G70" s="883">
        <f>MCDO800!$M70*G$152</f>
        <v>2248.640063057303</v>
      </c>
      <c r="H70" s="883">
        <f>MCDO800!$M70*H$152</f>
        <v>2151.2070058508452</v>
      </c>
      <c r="I70" s="883">
        <f>MCDO800!$M70*I$152</f>
        <v>2161.2872822681293</v>
      </c>
      <c r="J70" s="180">
        <f t="shared" ref="J70:J109" si="219">SUM(D70:I70)</f>
        <v>13286.7</v>
      </c>
      <c r="K70" s="883">
        <f t="shared" si="218"/>
        <v>523.05178626971838</v>
      </c>
      <c r="L70" s="883">
        <f t="shared" si="218"/>
        <v>523.27007823423128</v>
      </c>
      <c r="M70" s="883">
        <f t="shared" si="218"/>
        <v>513.38691655031835</v>
      </c>
      <c r="N70" s="883">
        <f t="shared" si="218"/>
        <v>521.47638353575508</v>
      </c>
      <c r="O70" s="883">
        <f t="shared" si="218"/>
        <v>498.88093166971703</v>
      </c>
      <c r="P70" s="883">
        <f t="shared" si="218"/>
        <v>501.21862287138453</v>
      </c>
      <c r="Q70" s="180">
        <f t="shared" ref="Q70:Q109" si="220">SUM(K70:P70)</f>
        <v>3081.2847191311248</v>
      </c>
      <c r="R70" s="883">
        <f t="shared" si="15"/>
        <v>1732.3815157814979</v>
      </c>
      <c r="S70" s="883">
        <f t="shared" ref="S70:S108" si="221">E70-L70</f>
        <v>1733.1045129574809</v>
      </c>
      <c r="T70" s="883">
        <f t="shared" ref="T70:T108" si="222">F70-M70</f>
        <v>1700.3708390304755</v>
      </c>
      <c r="U70" s="883">
        <f t="shared" ref="U70:U108" si="223">G70-N70</f>
        <v>1727.1636795215479</v>
      </c>
      <c r="V70" s="883">
        <f t="shared" ref="V70:V108" si="224">H70-O70</f>
        <v>1652.3260741811282</v>
      </c>
      <c r="W70" s="883">
        <f t="shared" ref="W70:W108" si="225">I70-P70</f>
        <v>1660.0686593967448</v>
      </c>
      <c r="X70" s="180">
        <f t="shared" ref="X70:X109" si="226">SUM(R70:W70)</f>
        <v>10205.415280868874</v>
      </c>
      <c r="Y70" s="883"/>
      <c r="Z70" s="883"/>
      <c r="AA70" s="883"/>
      <c r="AB70" s="883"/>
      <c r="AC70" s="883"/>
      <c r="AD70" s="883"/>
      <c r="AE70" s="180"/>
      <c r="AF70" s="526"/>
      <c r="AG70" s="1415">
        <f>'PDYG-200'!$D$32</f>
        <v>0.23190745024205595</v>
      </c>
      <c r="AH70" s="1415">
        <f>'PDYG-200'!$E$32</f>
        <v>0.30353035303530351</v>
      </c>
      <c r="AI70" s="1415">
        <f>'PDYG-200'!$F$32</f>
        <v>0.46456219672264054</v>
      </c>
      <c r="AK70" s="526"/>
      <c r="AL70" s="526"/>
      <c r="AM70" s="526"/>
      <c r="AN70" s="526"/>
      <c r="AO70" s="526"/>
      <c r="AP70" s="526"/>
      <c r="AQ70" s="569"/>
    </row>
    <row r="71" spans="2:43">
      <c r="B71" s="48" t="s">
        <v>750</v>
      </c>
      <c r="C71" s="882" t="s">
        <v>1211</v>
      </c>
      <c r="D71" s="881">
        <f>SUBTOTAL(9,D72:D77)</f>
        <v>32442375.199234422</v>
      </c>
      <c r="E71" s="881">
        <f t="shared" ref="E71:W71" si="227">SUBTOTAL(9,E72:E77)</f>
        <v>32455914.795124564</v>
      </c>
      <c r="F71" s="881">
        <f t="shared" si="227"/>
        <v>31842910.025958434</v>
      </c>
      <c r="G71" s="881">
        <f t="shared" si="227"/>
        <v>32344660.579139847</v>
      </c>
      <c r="H71" s="881">
        <f t="shared" si="227"/>
        <v>30943173.868880838</v>
      </c>
      <c r="I71" s="881">
        <f t="shared" si="227"/>
        <v>31088169.559661891</v>
      </c>
      <c r="J71" s="180">
        <f t="shared" si="219"/>
        <v>191117204.028</v>
      </c>
      <c r="K71" s="881">
        <f t="shared" si="227"/>
        <v>7523628.5122505669</v>
      </c>
      <c r="L71" s="881">
        <f t="shared" si="227"/>
        <v>7526768.4454107573</v>
      </c>
      <c r="M71" s="881">
        <f t="shared" si="227"/>
        <v>7384608.0724072186</v>
      </c>
      <c r="N71" s="881">
        <f t="shared" si="227"/>
        <v>7500967.7638530619</v>
      </c>
      <c r="O71" s="881">
        <f t="shared" si="227"/>
        <v>7175952.5543287685</v>
      </c>
      <c r="P71" s="881">
        <f t="shared" si="227"/>
        <v>7209578.1352738878</v>
      </c>
      <c r="Q71" s="180">
        <f t="shared" si="220"/>
        <v>44321503.483524263</v>
      </c>
      <c r="R71" s="881">
        <f t="shared" si="227"/>
        <v>24918746.686983857</v>
      </c>
      <c r="S71" s="881">
        <f t="shared" si="227"/>
        <v>24929146.34971381</v>
      </c>
      <c r="T71" s="881">
        <f t="shared" si="227"/>
        <v>24458301.953551218</v>
      </c>
      <c r="U71" s="881">
        <f t="shared" si="227"/>
        <v>24843692.815286782</v>
      </c>
      <c r="V71" s="881">
        <f t="shared" si="227"/>
        <v>23767221.314552072</v>
      </c>
      <c r="W71" s="881">
        <f t="shared" si="227"/>
        <v>23878591.424388003</v>
      </c>
      <c r="X71" s="180">
        <f t="shared" si="226"/>
        <v>146795700.54447573</v>
      </c>
      <c r="Y71" s="881"/>
      <c r="Z71" s="881"/>
      <c r="AA71" s="881"/>
      <c r="AB71" s="881"/>
      <c r="AC71" s="881"/>
      <c r="AD71" s="881"/>
      <c r="AE71" s="180"/>
      <c r="AF71" s="526"/>
      <c r="AG71" s="1415">
        <f>'PDYG-200'!$D$32</f>
        <v>0.23190745024205595</v>
      </c>
      <c r="AH71" s="1415">
        <f>'PDYG-200'!$E$32</f>
        <v>0.30353035303530351</v>
      </c>
      <c r="AI71" s="1415">
        <f>'PDYG-200'!$F$32</f>
        <v>0.46456219672264054</v>
      </c>
      <c r="AK71" s="526"/>
      <c r="AL71" s="526"/>
      <c r="AM71" s="526"/>
      <c r="AN71" s="526"/>
      <c r="AO71" s="526"/>
      <c r="AP71" s="526"/>
      <c r="AQ71" s="569"/>
    </row>
    <row r="72" spans="2:43">
      <c r="B72" s="48"/>
      <c r="C72" s="887" t="s">
        <v>304</v>
      </c>
      <c r="D72" s="883">
        <f>MCDO800!$M72*D$152</f>
        <v>21702893.015809126</v>
      </c>
      <c r="E72" s="883">
        <f>MCDO800!$M72*E$152</f>
        <v>21711950.564748637</v>
      </c>
      <c r="F72" s="883">
        <f>MCDO800!$M72*F$152</f>
        <v>21301870.327352602</v>
      </c>
      <c r="G72" s="883">
        <f>MCDO800!$M72*G$152</f>
        <v>21637525.115556154</v>
      </c>
      <c r="H72" s="883">
        <f>MCDO800!$M72*H$152</f>
        <v>20699976.124490071</v>
      </c>
      <c r="I72" s="883">
        <f>MCDO800!$M72*I$152</f>
        <v>20796973.522043407</v>
      </c>
      <c r="J72" s="180">
        <f t="shared" si="219"/>
        <v>127851188.66999999</v>
      </c>
      <c r="K72" s="883">
        <f>D72*$AG72</f>
        <v>5033062.582172418</v>
      </c>
      <c r="L72" s="883">
        <f t="shared" ref="L72:L77" si="228">E72*$AG72</f>
        <v>5035163.0952524235</v>
      </c>
      <c r="M72" s="883">
        <f t="shared" ref="M72:M77" si="229">F72*$AG72</f>
        <v>4940062.4330032514</v>
      </c>
      <c r="N72" s="883">
        <f t="shared" ref="N72:N77" si="230">G72*$AG72</f>
        <v>5017903.2790970746</v>
      </c>
      <c r="O72" s="883">
        <f t="shared" ref="O72:O77" si="231">H72*$AG72</f>
        <v>4800478.6831019269</v>
      </c>
      <c r="P72" s="883">
        <f t="shared" ref="P72:P77" si="232">I72*$AG72</f>
        <v>4822973.1022486361</v>
      </c>
      <c r="Q72" s="180">
        <f t="shared" si="220"/>
        <v>29649643.174875729</v>
      </c>
      <c r="R72" s="883">
        <f t="shared" ref="R72:R108" si="233">D72-K72</f>
        <v>16669830.433636708</v>
      </c>
      <c r="S72" s="883">
        <f t="shared" si="221"/>
        <v>16676787.469496213</v>
      </c>
      <c r="T72" s="883">
        <f t="shared" si="222"/>
        <v>16361807.894349352</v>
      </c>
      <c r="U72" s="883">
        <f t="shared" si="223"/>
        <v>16619621.83645908</v>
      </c>
      <c r="V72" s="883">
        <f t="shared" si="224"/>
        <v>15899497.441388145</v>
      </c>
      <c r="W72" s="883">
        <f t="shared" si="225"/>
        <v>15974000.419794772</v>
      </c>
      <c r="X72" s="180">
        <f t="shared" si="226"/>
        <v>98201545.495124266</v>
      </c>
      <c r="Y72" s="883"/>
      <c r="Z72" s="883"/>
      <c r="AA72" s="883"/>
      <c r="AB72" s="883"/>
      <c r="AC72" s="883"/>
      <c r="AD72" s="883"/>
      <c r="AE72" s="180"/>
      <c r="AF72" s="526"/>
      <c r="AG72" s="1415">
        <f>'PDYG-200'!$D$32</f>
        <v>0.23190745024205595</v>
      </c>
      <c r="AH72" s="1415">
        <f>'PDYG-200'!$E$32</f>
        <v>0.30353035303530351</v>
      </c>
      <c r="AI72" s="1415">
        <f>'PDYG-200'!$F$32</f>
        <v>0.46456219672264054</v>
      </c>
      <c r="AK72" s="526"/>
      <c r="AL72" s="526"/>
      <c r="AM72" s="526"/>
      <c r="AN72" s="526"/>
      <c r="AO72" s="526"/>
      <c r="AP72" s="526"/>
      <c r="AQ72" s="569"/>
    </row>
    <row r="73" spans="2:43">
      <c r="B73" s="48"/>
      <c r="C73" s="889" t="s">
        <v>1207</v>
      </c>
      <c r="D73" s="883">
        <f>MCDO800!$M73*D$152</f>
        <v>9106536.4553735889</v>
      </c>
      <c r="E73" s="883">
        <f>MCDO800!$M73*E$152</f>
        <v>9110337.0039711371</v>
      </c>
      <c r="F73" s="883">
        <f>MCDO800!$M73*F$152</f>
        <v>8938267.2882537451</v>
      </c>
      <c r="G73" s="883">
        <f>MCDO800!$M73*G$152</f>
        <v>9079108.0767592117</v>
      </c>
      <c r="H73" s="883">
        <f>MCDO800!$M73*H$152</f>
        <v>8685712.4101251476</v>
      </c>
      <c r="I73" s="883">
        <f>MCDO800!$M73*I$152</f>
        <v>8726412.5295171738</v>
      </c>
      <c r="J73" s="180">
        <f t="shared" si="219"/>
        <v>53646373.763999999</v>
      </c>
      <c r="K73" s="883">
        <f>D73*$AG73</f>
        <v>2111873.6499020192</v>
      </c>
      <c r="L73" s="883">
        <f t="shared" si="228"/>
        <v>2112755.0254367976</v>
      </c>
      <c r="M73" s="883">
        <f t="shared" si="229"/>
        <v>2072850.7764009016</v>
      </c>
      <c r="N73" s="883">
        <f t="shared" si="230"/>
        <v>2105512.8045532852</v>
      </c>
      <c r="O73" s="883">
        <f t="shared" si="231"/>
        <v>2014281.4185679054</v>
      </c>
      <c r="P73" s="883">
        <f t="shared" si="232"/>
        <v>2023720.0794806576</v>
      </c>
      <c r="Q73" s="180">
        <f t="shared" si="220"/>
        <v>12440993.754341565</v>
      </c>
      <c r="R73" s="883">
        <f t="shared" si="233"/>
        <v>6994662.8054715693</v>
      </c>
      <c r="S73" s="883">
        <f t="shared" si="221"/>
        <v>6997581.978534339</v>
      </c>
      <c r="T73" s="883">
        <f t="shared" si="222"/>
        <v>6865416.5118528437</v>
      </c>
      <c r="U73" s="883">
        <f t="shared" si="223"/>
        <v>6973595.2722059265</v>
      </c>
      <c r="V73" s="883">
        <f t="shared" si="224"/>
        <v>6671430.9915572423</v>
      </c>
      <c r="W73" s="883">
        <f t="shared" si="225"/>
        <v>6702692.4500365164</v>
      </c>
      <c r="X73" s="180">
        <f t="shared" si="226"/>
        <v>41205380.009658441</v>
      </c>
      <c r="Y73" s="883"/>
      <c r="Z73" s="883"/>
      <c r="AA73" s="883"/>
      <c r="AB73" s="883"/>
      <c r="AC73" s="883"/>
      <c r="AD73" s="883"/>
      <c r="AE73" s="180"/>
      <c r="AF73" s="526"/>
      <c r="AG73" s="1415">
        <f>'PDYG-200'!$D$32</f>
        <v>0.23190745024205595</v>
      </c>
      <c r="AH73" s="1415">
        <f>'PDYG-200'!$E$32</f>
        <v>0.30353035303530351</v>
      </c>
      <c r="AI73" s="1415">
        <f>'PDYG-200'!$F$32</f>
        <v>0.46456219672264054</v>
      </c>
      <c r="AK73" s="526"/>
      <c r="AL73" s="526"/>
      <c r="AM73" s="526"/>
      <c r="AN73" s="526"/>
      <c r="AO73" s="526"/>
      <c r="AP73" s="526"/>
      <c r="AQ73" s="569"/>
    </row>
    <row r="74" spans="2:43">
      <c r="B74" s="48"/>
      <c r="C74" s="889" t="s">
        <v>1177</v>
      </c>
      <c r="D74" s="883">
        <f>MCDO800!$M74*D$152</f>
        <v>1625317.8352076986</v>
      </c>
      <c r="E74" s="883">
        <f>MCDO800!$M74*E$152</f>
        <v>1625996.1501136392</v>
      </c>
      <c r="F74" s="883">
        <f>MCDO800!$M74*F$152</f>
        <v>1595285.4645280596</v>
      </c>
      <c r="G74" s="883">
        <f>MCDO800!$M74*G$152</f>
        <v>1620422.4687672043</v>
      </c>
      <c r="H74" s="883">
        <f>MCDO800!$M74*H$152</f>
        <v>1550209.9355601938</v>
      </c>
      <c r="I74" s="883">
        <f>MCDO800!$M74*I$152</f>
        <v>1557474.0178232051</v>
      </c>
      <c r="J74" s="180">
        <f t="shared" si="219"/>
        <v>9574705.8719999995</v>
      </c>
      <c r="K74" s="883">
        <f>D74*$AG74</f>
        <v>376923.31499595544</v>
      </c>
      <c r="L74" s="883">
        <f t="shared" si="228"/>
        <v>377080.62127625331</v>
      </c>
      <c r="M74" s="883">
        <f t="shared" si="229"/>
        <v>369958.58448691608</v>
      </c>
      <c r="N74" s="883">
        <f t="shared" si="230"/>
        <v>375788.04304673988</v>
      </c>
      <c r="O74" s="883">
        <f t="shared" si="231"/>
        <v>359505.23349566641</v>
      </c>
      <c r="P74" s="883">
        <f t="shared" si="232"/>
        <v>361189.82829162991</v>
      </c>
      <c r="Q74" s="180">
        <f t="shared" si="220"/>
        <v>2220445.6255931612</v>
      </c>
      <c r="R74" s="883">
        <f t="shared" si="233"/>
        <v>1248394.5202117432</v>
      </c>
      <c r="S74" s="883">
        <f t="shared" si="221"/>
        <v>1248915.5288373858</v>
      </c>
      <c r="T74" s="883">
        <f t="shared" si="222"/>
        <v>1225326.8800411434</v>
      </c>
      <c r="U74" s="883">
        <f t="shared" si="223"/>
        <v>1244634.4257204644</v>
      </c>
      <c r="V74" s="883">
        <f t="shared" si="224"/>
        <v>1190704.7020645274</v>
      </c>
      <c r="W74" s="883">
        <f t="shared" si="225"/>
        <v>1196284.1895315752</v>
      </c>
      <c r="X74" s="180">
        <f t="shared" si="226"/>
        <v>7354260.2464068392</v>
      </c>
      <c r="Y74" s="883"/>
      <c r="Z74" s="883"/>
      <c r="AA74" s="883"/>
      <c r="AB74" s="883"/>
      <c r="AC74" s="883"/>
      <c r="AD74" s="883"/>
      <c r="AE74" s="180"/>
      <c r="AF74" s="526"/>
      <c r="AG74" s="1415">
        <f>'PDYG-200'!$D$32</f>
        <v>0.23190745024205595</v>
      </c>
      <c r="AH74" s="1415">
        <f>'PDYG-200'!$E$32</f>
        <v>0.30353035303530351</v>
      </c>
      <c r="AI74" s="1415">
        <f>'PDYG-200'!$F$32</f>
        <v>0.46456219672264054</v>
      </c>
      <c r="AK74" s="526"/>
      <c r="AL74" s="526"/>
      <c r="AM74" s="526"/>
      <c r="AN74" s="526"/>
      <c r="AO74" s="526"/>
      <c r="AP74" s="526"/>
      <c r="AQ74" s="569"/>
    </row>
    <row r="75" spans="2:43">
      <c r="B75" s="48"/>
      <c r="C75" s="887" t="s">
        <v>305</v>
      </c>
      <c r="D75" s="883">
        <f>MCDO800!$M75*D$152</f>
        <v>5022.3884271236238</v>
      </c>
      <c r="E75" s="883">
        <f>MCDO800!$M75*E$152</f>
        <v>5024.4844854204948</v>
      </c>
      <c r="F75" s="883">
        <f>MCDO800!$M75*F$152</f>
        <v>4929.5855133346222</v>
      </c>
      <c r="G75" s="883">
        <f>MCDO800!$M75*G$152</f>
        <v>5007.2612740064442</v>
      </c>
      <c r="H75" s="883">
        <f>MCDO800!$M75*H$152</f>
        <v>4790.2977936463958</v>
      </c>
      <c r="I75" s="883">
        <f>MCDO800!$M75*I$152</f>
        <v>4812.7445064684207</v>
      </c>
      <c r="J75" s="180">
        <f t="shared" si="219"/>
        <v>29586.762000000002</v>
      </c>
      <c r="K75" s="883">
        <f>D75*$AG75</f>
        <v>1164.7292942594495</v>
      </c>
      <c r="L75" s="883">
        <f t="shared" si="228"/>
        <v>1165.2153857946355</v>
      </c>
      <c r="M75" s="883">
        <f t="shared" si="229"/>
        <v>1143.2076071476088</v>
      </c>
      <c r="N75" s="883">
        <f t="shared" si="230"/>
        <v>1161.2211947506232</v>
      </c>
      <c r="O75" s="883">
        <f t="shared" si="231"/>
        <v>1110.9057472246818</v>
      </c>
      <c r="P75" s="883">
        <f t="shared" si="232"/>
        <v>1116.1113071615534</v>
      </c>
      <c r="Q75" s="180">
        <f t="shared" si="220"/>
        <v>6861.390536338552</v>
      </c>
      <c r="R75" s="883">
        <f t="shared" si="233"/>
        <v>3857.6591328641744</v>
      </c>
      <c r="S75" s="883">
        <f t="shared" si="221"/>
        <v>3859.2690996258593</v>
      </c>
      <c r="T75" s="883">
        <f t="shared" si="222"/>
        <v>3786.3779061870137</v>
      </c>
      <c r="U75" s="883">
        <f t="shared" si="223"/>
        <v>3846.0400792558212</v>
      </c>
      <c r="V75" s="883">
        <f t="shared" si="224"/>
        <v>3679.392046421714</v>
      </c>
      <c r="W75" s="883">
        <f t="shared" si="225"/>
        <v>3696.633199306867</v>
      </c>
      <c r="X75" s="180">
        <f t="shared" si="226"/>
        <v>22725.37146366145</v>
      </c>
      <c r="Y75" s="883"/>
      <c r="Z75" s="883"/>
      <c r="AA75" s="883"/>
      <c r="AB75" s="883"/>
      <c r="AC75" s="883"/>
      <c r="AD75" s="883"/>
      <c r="AE75" s="180"/>
      <c r="AF75" s="526"/>
      <c r="AG75" s="1415">
        <f>'PDYG-200'!$D$32</f>
        <v>0.23190745024205595</v>
      </c>
      <c r="AH75" s="1415">
        <f>'PDYG-200'!$E$32</f>
        <v>0.30353035303530351</v>
      </c>
      <c r="AI75" s="1415">
        <f>'PDYG-200'!$F$32</f>
        <v>0.46456219672264054</v>
      </c>
      <c r="AK75" s="526"/>
      <c r="AL75" s="526"/>
      <c r="AM75" s="526"/>
      <c r="AN75" s="526"/>
      <c r="AO75" s="526"/>
      <c r="AP75" s="526"/>
      <c r="AQ75" s="569"/>
    </row>
    <row r="76" spans="2:43">
      <c r="B76" s="48"/>
      <c r="C76" s="887" t="s">
        <v>307</v>
      </c>
      <c r="D76" s="883">
        <f>MCDO800!$M76*D$152</f>
        <v>465.89066277891919</v>
      </c>
      <c r="E76" s="883">
        <f>MCDO800!$M76*E$152</f>
        <v>466.08509895272823</v>
      </c>
      <c r="F76" s="883">
        <f>MCDO800!$M76*F$152</f>
        <v>457.28200742692076</v>
      </c>
      <c r="G76" s="883">
        <f>MCDO800!$M76*G$152</f>
        <v>464.48742615276342</v>
      </c>
      <c r="H76" s="883">
        <f>MCDO800!$M76*H$152</f>
        <v>444.36129271436386</v>
      </c>
      <c r="I76" s="883">
        <f>MCDO800!$M76*I$152</f>
        <v>446.44351197430473</v>
      </c>
      <c r="J76" s="180">
        <f t="shared" si="219"/>
        <v>2744.55</v>
      </c>
      <c r="K76" s="883">
        <f t="shared" ref="K76:K84" si="234">D76*$AG76</f>
        <v>108.04351569664067</v>
      </c>
      <c r="L76" s="883">
        <f t="shared" si="228"/>
        <v>108.08860689394355</v>
      </c>
      <c r="M76" s="883">
        <f t="shared" si="229"/>
        <v>106.04710438394608</v>
      </c>
      <c r="N76" s="883">
        <f t="shared" si="230"/>
        <v>107.71809466858262</v>
      </c>
      <c r="O76" s="883">
        <f t="shared" si="231"/>
        <v>103.05069437965199</v>
      </c>
      <c r="P76" s="883">
        <f t="shared" si="232"/>
        <v>103.53357653906978</v>
      </c>
      <c r="Q76" s="180">
        <f t="shared" si="220"/>
        <v>636.48159256183476</v>
      </c>
      <c r="R76" s="883">
        <f t="shared" si="233"/>
        <v>357.84714708227852</v>
      </c>
      <c r="S76" s="883">
        <f t="shared" si="221"/>
        <v>357.99649205878467</v>
      </c>
      <c r="T76" s="883">
        <f t="shared" si="222"/>
        <v>351.23490304297468</v>
      </c>
      <c r="U76" s="883">
        <f t="shared" si="223"/>
        <v>356.76933148418078</v>
      </c>
      <c r="V76" s="883">
        <f t="shared" si="224"/>
        <v>341.31059833471187</v>
      </c>
      <c r="W76" s="883">
        <f t="shared" si="225"/>
        <v>342.90993543523496</v>
      </c>
      <c r="X76" s="180">
        <f t="shared" si="226"/>
        <v>2108.0684074381652</v>
      </c>
      <c r="Y76" s="883"/>
      <c r="Z76" s="883"/>
      <c r="AA76" s="883"/>
      <c r="AB76" s="883"/>
      <c r="AC76" s="883"/>
      <c r="AD76" s="883"/>
      <c r="AE76" s="180"/>
      <c r="AF76" s="526"/>
      <c r="AG76" s="1415">
        <f>'PDYG-200'!$D$32</f>
        <v>0.23190745024205595</v>
      </c>
      <c r="AH76" s="1415">
        <f>'PDYG-200'!$E$32</f>
        <v>0.30353035303530351</v>
      </c>
      <c r="AI76" s="1415">
        <f>'PDYG-200'!$F$32</f>
        <v>0.46456219672264054</v>
      </c>
      <c r="AK76" s="526"/>
      <c r="AL76" s="526"/>
      <c r="AM76" s="526"/>
      <c r="AN76" s="526"/>
      <c r="AO76" s="526"/>
      <c r="AP76" s="526"/>
      <c r="AQ76" s="569"/>
    </row>
    <row r="77" spans="2:43">
      <c r="B77" s="48"/>
      <c r="C77" s="887" t="s">
        <v>624</v>
      </c>
      <c r="D77" s="883">
        <f>MCDO800!$M77*D$152</f>
        <v>2139.6137541080457</v>
      </c>
      <c r="E77" s="883">
        <f>MCDO800!$M77*E$152</f>
        <v>2140.5067067791651</v>
      </c>
      <c r="F77" s="883">
        <f>MCDO800!$M77*F$152</f>
        <v>2100.0783032671857</v>
      </c>
      <c r="G77" s="883">
        <f>MCDO800!$M77*G$152</f>
        <v>2133.1693571165229</v>
      </c>
      <c r="H77" s="883">
        <f>MCDO800!$M77*H$152</f>
        <v>2040.7396190639101</v>
      </c>
      <c r="I77" s="883">
        <f>MCDO800!$M77*I$152</f>
        <v>2050.3022596651713</v>
      </c>
      <c r="J77" s="180">
        <f t="shared" si="219"/>
        <v>12604.410000000002</v>
      </c>
      <c r="K77" s="883">
        <f t="shared" si="234"/>
        <v>496.19237021803013</v>
      </c>
      <c r="L77" s="883">
        <f t="shared" si="228"/>
        <v>496.39945259517629</v>
      </c>
      <c r="M77" s="883">
        <f t="shared" si="229"/>
        <v>487.02380461935616</v>
      </c>
      <c r="N77" s="883">
        <f t="shared" si="230"/>
        <v>494.6978665433785</v>
      </c>
      <c r="O77" s="883">
        <f t="shared" si="231"/>
        <v>473.26272166505595</v>
      </c>
      <c r="P77" s="883">
        <f t="shared" si="232"/>
        <v>475.4803692644756</v>
      </c>
      <c r="Q77" s="180">
        <f t="shared" si="220"/>
        <v>2923.0565849054724</v>
      </c>
      <c r="R77" s="883">
        <f t="shared" si="233"/>
        <v>1643.4213838900155</v>
      </c>
      <c r="S77" s="883">
        <f t="shared" si="221"/>
        <v>1644.107254183989</v>
      </c>
      <c r="T77" s="883">
        <f t="shared" si="222"/>
        <v>1613.0544986478294</v>
      </c>
      <c r="U77" s="883">
        <f t="shared" si="223"/>
        <v>1638.4714905731444</v>
      </c>
      <c r="V77" s="883">
        <f t="shared" si="224"/>
        <v>1567.4768973988541</v>
      </c>
      <c r="W77" s="883">
        <f t="shared" si="225"/>
        <v>1574.8218904006958</v>
      </c>
      <c r="X77" s="180">
        <f t="shared" si="226"/>
        <v>9681.3534150945288</v>
      </c>
      <c r="Y77" s="883"/>
      <c r="Z77" s="883"/>
      <c r="AA77" s="883"/>
      <c r="AB77" s="883"/>
      <c r="AC77" s="883"/>
      <c r="AD77" s="883"/>
      <c r="AE77" s="180"/>
      <c r="AF77" s="526"/>
      <c r="AG77" s="1415">
        <f>'PDYG-200'!$D$32</f>
        <v>0.23190745024205595</v>
      </c>
      <c r="AH77" s="1415">
        <f>'PDYG-200'!$E$32</f>
        <v>0.30353035303530351</v>
      </c>
      <c r="AI77" s="1415">
        <f>'PDYG-200'!$F$32</f>
        <v>0.46456219672264054</v>
      </c>
      <c r="AK77" s="526"/>
      <c r="AL77" s="526"/>
      <c r="AM77" s="526"/>
      <c r="AN77" s="526"/>
      <c r="AO77" s="526"/>
      <c r="AP77" s="526"/>
      <c r="AQ77" s="569"/>
    </row>
    <row r="78" spans="2:43">
      <c r="B78" s="48" t="s">
        <v>749</v>
      </c>
      <c r="C78" s="882" t="s">
        <v>1210</v>
      </c>
      <c r="D78" s="881">
        <f>SUBTOTAL(9,D79:D84)</f>
        <v>29839927.199260026</v>
      </c>
      <c r="E78" s="881">
        <f t="shared" ref="E78:W78" si="235">SUBTOTAL(9,E79:E84)</f>
        <v>29852380.681879222</v>
      </c>
      <c r="F78" s="881">
        <f t="shared" si="235"/>
        <v>29288549.656179599</v>
      </c>
      <c r="G78" s="881">
        <f t="shared" si="235"/>
        <v>29750051.007026285</v>
      </c>
      <c r="H78" s="881">
        <f t="shared" si="235"/>
        <v>28460988.133299138</v>
      </c>
      <c r="I78" s="881">
        <f t="shared" si="235"/>
        <v>28594352.624355748</v>
      </c>
      <c r="J78" s="180">
        <f t="shared" si="219"/>
        <v>175786249.30200005</v>
      </c>
      <c r="K78" s="881">
        <f t="shared" si="235"/>
        <v>6920101.4321889663</v>
      </c>
      <c r="L78" s="881">
        <f t="shared" si="235"/>
        <v>6922989.4875898184</v>
      </c>
      <c r="M78" s="881">
        <f t="shared" si="235"/>
        <v>6792232.8720524535</v>
      </c>
      <c r="N78" s="881">
        <f t="shared" si="235"/>
        <v>6899258.4736105744</v>
      </c>
      <c r="O78" s="881">
        <f t="shared" si="235"/>
        <v>6600315.1893628156</v>
      </c>
      <c r="P78" s="881">
        <f t="shared" si="235"/>
        <v>6631243.4084365824</v>
      </c>
      <c r="Q78" s="180">
        <f t="shared" si="220"/>
        <v>40766140.863241211</v>
      </c>
      <c r="R78" s="881">
        <f t="shared" si="235"/>
        <v>22919825.767071057</v>
      </c>
      <c r="S78" s="881">
        <f t="shared" si="235"/>
        <v>22929391.194289405</v>
      </c>
      <c r="T78" s="881">
        <f t="shared" si="235"/>
        <v>22496316.784127139</v>
      </c>
      <c r="U78" s="881">
        <f t="shared" si="235"/>
        <v>22850792.533415705</v>
      </c>
      <c r="V78" s="881">
        <f t="shared" si="235"/>
        <v>21860672.943936329</v>
      </c>
      <c r="W78" s="881">
        <f t="shared" si="235"/>
        <v>21963109.215919159</v>
      </c>
      <c r="X78" s="180">
        <f t="shared" si="226"/>
        <v>135020108.43875879</v>
      </c>
      <c r="Y78" s="881"/>
      <c r="Z78" s="881"/>
      <c r="AA78" s="881"/>
      <c r="AB78" s="881"/>
      <c r="AC78" s="881"/>
      <c r="AD78" s="881"/>
      <c r="AE78" s="180"/>
      <c r="AF78" s="526"/>
      <c r="AG78" s="1415">
        <f>'PDYG-200'!$D$32</f>
        <v>0.23190745024205595</v>
      </c>
      <c r="AH78" s="1415">
        <f>'PDYG-200'!$E$32</f>
        <v>0.30353035303530351</v>
      </c>
      <c r="AI78" s="1415">
        <f>'PDYG-200'!$F$32</f>
        <v>0.46456219672264054</v>
      </c>
      <c r="AK78" s="526"/>
      <c r="AL78" s="526"/>
      <c r="AM78" s="526"/>
      <c r="AN78" s="526"/>
      <c r="AO78" s="526"/>
      <c r="AP78" s="526"/>
      <c r="AQ78" s="569"/>
    </row>
    <row r="79" spans="2:43">
      <c r="C79" s="887" t="s">
        <v>304</v>
      </c>
      <c r="D79" s="883">
        <f>MCDO800!$M79*D$152</f>
        <v>27165300.282842707</v>
      </c>
      <c r="E79" s="883">
        <f>MCDO800!$M79*E$152</f>
        <v>27176637.528830562</v>
      </c>
      <c r="F79" s="883">
        <f>MCDO800!$M79*F$152</f>
        <v>26663344.08077237</v>
      </c>
      <c r="G79" s="883">
        <f>MCDO800!$M79*G$152</f>
        <v>27083479.917330265</v>
      </c>
      <c r="H79" s="883">
        <f>MCDO800!$M79*H$152</f>
        <v>25909958.956155457</v>
      </c>
      <c r="I79" s="883">
        <f>MCDO800!$M79*I$152</f>
        <v>26031369.656068657</v>
      </c>
      <c r="J79" s="180">
        <f t="shared" si="219"/>
        <v>160030090.42200002</v>
      </c>
      <c r="K79" s="883">
        <f t="shared" si="234"/>
        <v>6299835.5236538537</v>
      </c>
      <c r="L79" s="883">
        <f t="shared" ref="L79:P84" si="236">E79*$AG79</f>
        <v>6302464.7154636635</v>
      </c>
      <c r="M79" s="883">
        <f t="shared" si="236"/>
        <v>6183428.1406985354</v>
      </c>
      <c r="N79" s="883">
        <f t="shared" si="236"/>
        <v>6280860.7713099895</v>
      </c>
      <c r="O79" s="883">
        <f t="shared" si="236"/>
        <v>6008712.5173983332</v>
      </c>
      <c r="P79" s="883">
        <f t="shared" si="236"/>
        <v>6036868.5632473072</v>
      </c>
      <c r="Q79" s="180">
        <f t="shared" si="220"/>
        <v>37112170.231771685</v>
      </c>
      <c r="R79" s="883">
        <f t="shared" si="233"/>
        <v>20865464.759188853</v>
      </c>
      <c r="S79" s="883">
        <f t="shared" si="221"/>
        <v>20874172.813366897</v>
      </c>
      <c r="T79" s="883">
        <f t="shared" si="222"/>
        <v>20479915.940073833</v>
      </c>
      <c r="U79" s="883">
        <f t="shared" si="223"/>
        <v>20802619.146020275</v>
      </c>
      <c r="V79" s="883">
        <f t="shared" si="224"/>
        <v>19901246.438757122</v>
      </c>
      <c r="W79" s="883">
        <f t="shared" si="225"/>
        <v>19994501.092821348</v>
      </c>
      <c r="X79" s="180">
        <f t="shared" si="226"/>
        <v>122917920.19022833</v>
      </c>
      <c r="Y79" s="883"/>
      <c r="Z79" s="883"/>
      <c r="AA79" s="883"/>
      <c r="AB79" s="883"/>
      <c r="AC79" s="883"/>
      <c r="AD79" s="883"/>
      <c r="AE79" s="180"/>
      <c r="AF79" s="526"/>
      <c r="AG79" s="1415">
        <f>'PDYG-200'!$D$32</f>
        <v>0.23190745024205595</v>
      </c>
      <c r="AH79" s="1415">
        <f>'PDYG-200'!$E$32</f>
        <v>0.30353035303530351</v>
      </c>
      <c r="AI79" s="1415">
        <f>'PDYG-200'!$F$32</f>
        <v>0.46456219672264054</v>
      </c>
      <c r="AK79" s="526"/>
      <c r="AL79" s="526"/>
      <c r="AM79" s="526"/>
      <c r="AN79" s="526"/>
      <c r="AO79" s="526"/>
      <c r="AP79" s="526"/>
      <c r="AQ79" s="569"/>
    </row>
    <row r="80" spans="2:43">
      <c r="C80" s="889" t="s">
        <v>642</v>
      </c>
      <c r="D80" s="883">
        <f>MCDO800!$M80*D$152</f>
        <v>0</v>
      </c>
      <c r="E80" s="883">
        <f>MCDO800!$M80*E$152</f>
        <v>0</v>
      </c>
      <c r="F80" s="883">
        <f>MCDO800!$M80*F$152</f>
        <v>0</v>
      </c>
      <c r="G80" s="883">
        <f>MCDO800!$M80*G$152</f>
        <v>0</v>
      </c>
      <c r="H80" s="883">
        <f>MCDO800!$M80*H$152</f>
        <v>0</v>
      </c>
      <c r="I80" s="883">
        <f>MCDO800!$M80*I$152</f>
        <v>0</v>
      </c>
      <c r="J80" s="180">
        <f t="shared" si="219"/>
        <v>0</v>
      </c>
      <c r="K80" s="883">
        <f>D80*$AG80</f>
        <v>0</v>
      </c>
      <c r="L80" s="883">
        <f t="shared" si="236"/>
        <v>0</v>
      </c>
      <c r="M80" s="883">
        <f t="shared" si="236"/>
        <v>0</v>
      </c>
      <c r="N80" s="883">
        <f t="shared" si="236"/>
        <v>0</v>
      </c>
      <c r="O80" s="883">
        <f t="shared" si="236"/>
        <v>0</v>
      </c>
      <c r="P80" s="883">
        <f t="shared" si="236"/>
        <v>0</v>
      </c>
      <c r="Q80" s="180">
        <f t="shared" si="220"/>
        <v>0</v>
      </c>
      <c r="R80" s="883">
        <f t="shared" si="233"/>
        <v>0</v>
      </c>
      <c r="S80" s="883">
        <f t="shared" si="221"/>
        <v>0</v>
      </c>
      <c r="T80" s="883">
        <f t="shared" si="222"/>
        <v>0</v>
      </c>
      <c r="U80" s="883">
        <f t="shared" si="223"/>
        <v>0</v>
      </c>
      <c r="V80" s="883">
        <f t="shared" si="224"/>
        <v>0</v>
      </c>
      <c r="W80" s="883">
        <f t="shared" si="225"/>
        <v>0</v>
      </c>
      <c r="X80" s="180">
        <f t="shared" si="226"/>
        <v>0</v>
      </c>
      <c r="Y80" s="883"/>
      <c r="Z80" s="883"/>
      <c r="AA80" s="883"/>
      <c r="AB80" s="883"/>
      <c r="AC80" s="883"/>
      <c r="AD80" s="883"/>
      <c r="AE80" s="180"/>
      <c r="AF80" s="526"/>
      <c r="AG80" s="1415">
        <f>'PDYG-200'!$D$32</f>
        <v>0.23190745024205595</v>
      </c>
      <c r="AH80" s="1415">
        <f>'PDYG-200'!$E$32</f>
        <v>0.30353035303530351</v>
      </c>
      <c r="AI80" s="1415">
        <f>'PDYG-200'!$F$32</f>
        <v>0.46456219672264054</v>
      </c>
      <c r="AK80" s="526"/>
      <c r="AL80" s="526"/>
      <c r="AM80" s="526"/>
      <c r="AN80" s="526"/>
      <c r="AO80" s="526"/>
      <c r="AP80" s="526"/>
      <c r="AQ80" s="569"/>
    </row>
    <row r="81" spans="2:43">
      <c r="C81" s="889" t="s">
        <v>1177</v>
      </c>
      <c r="D81" s="883">
        <f>MCDO800!$M81*D$152</f>
        <v>2651995.2542550224</v>
      </c>
      <c r="E81" s="883">
        <f>MCDO800!$M81*E$152</f>
        <v>2653102.0457221908</v>
      </c>
      <c r="F81" s="883">
        <f>MCDO800!$M81*F$152</f>
        <v>2602992.0975855128</v>
      </c>
      <c r="G81" s="883">
        <f>MCDO800!$M81*G$152</f>
        <v>2644007.5928347125</v>
      </c>
      <c r="H81" s="883">
        <f>MCDO800!$M81*H$152</f>
        <v>2529443.3514164053</v>
      </c>
      <c r="I81" s="883">
        <f>MCDO800!$M81*I$152</f>
        <v>2541295.9941861578</v>
      </c>
      <c r="J81" s="180">
        <f t="shared" si="219"/>
        <v>15622836.336000001</v>
      </c>
      <c r="K81" s="883">
        <f>D81*$AG81</f>
        <v>615017.45746831514</v>
      </c>
      <c r="L81" s="883">
        <f t="shared" si="236"/>
        <v>615274.13065541582</v>
      </c>
      <c r="M81" s="883">
        <f t="shared" si="236"/>
        <v>603653.26035127719</v>
      </c>
      <c r="N81" s="883">
        <f t="shared" si="236"/>
        <v>613165.05927493423</v>
      </c>
      <c r="O81" s="883">
        <f t="shared" si="236"/>
        <v>586596.75815869926</v>
      </c>
      <c r="P81" s="883">
        <f t="shared" si="236"/>
        <v>589345.47432206245</v>
      </c>
      <c r="Q81" s="180">
        <f t="shared" si="220"/>
        <v>3623052.1402307041</v>
      </c>
      <c r="R81" s="883">
        <f t="shared" si="233"/>
        <v>2036977.7967867074</v>
      </c>
      <c r="S81" s="883">
        <f t="shared" si="221"/>
        <v>2037827.9150667749</v>
      </c>
      <c r="T81" s="883">
        <f t="shared" si="222"/>
        <v>1999338.8372342356</v>
      </c>
      <c r="U81" s="883">
        <f t="shared" si="223"/>
        <v>2030842.5335597782</v>
      </c>
      <c r="V81" s="883">
        <f t="shared" si="224"/>
        <v>1942846.5932577061</v>
      </c>
      <c r="W81" s="883">
        <f t="shared" si="225"/>
        <v>1951950.5198640954</v>
      </c>
      <c r="X81" s="180">
        <f t="shared" si="226"/>
        <v>11999784.195769299</v>
      </c>
      <c r="Y81" s="883"/>
      <c r="Z81" s="883"/>
      <c r="AA81" s="883"/>
      <c r="AB81" s="883"/>
      <c r="AC81" s="883"/>
      <c r="AD81" s="883"/>
      <c r="AE81" s="180"/>
      <c r="AF81" s="526"/>
      <c r="AG81" s="1415">
        <f>'PDYG-200'!$D$32</f>
        <v>0.23190745024205595</v>
      </c>
      <c r="AH81" s="1415">
        <f>'PDYG-200'!$E$32</f>
        <v>0.30353035303530351</v>
      </c>
      <c r="AI81" s="1415">
        <f>'PDYG-200'!$F$32</f>
        <v>0.46456219672264054</v>
      </c>
      <c r="AK81" s="526"/>
      <c r="AL81" s="526"/>
      <c r="AM81" s="526"/>
      <c r="AN81" s="526"/>
      <c r="AO81" s="526"/>
      <c r="AP81" s="526"/>
      <c r="AQ81" s="569"/>
    </row>
    <row r="82" spans="2:43">
      <c r="C82" s="887" t="s">
        <v>305</v>
      </c>
      <c r="D82" s="883">
        <f>MCDO800!$M82*D$152</f>
        <v>19819.598371183343</v>
      </c>
      <c r="E82" s="883">
        <f>MCDO800!$M82*E$152</f>
        <v>19827.869940419649</v>
      </c>
      <c r="F82" s="883">
        <f>MCDO800!$M82*F$152</f>
        <v>19453.37490884812</v>
      </c>
      <c r="G82" s="883">
        <f>MCDO800!$M82*G$152</f>
        <v>19759.902849096135</v>
      </c>
      <c r="H82" s="883">
        <f>MCDO800!$M82*H$152</f>
        <v>18903.710799367913</v>
      </c>
      <c r="I82" s="883">
        <f>MCDO800!$M82*I$152</f>
        <v>18992.291131084832</v>
      </c>
      <c r="J82" s="180">
        <f t="shared" si="219"/>
        <v>116756.74799999999</v>
      </c>
      <c r="K82" s="883">
        <f t="shared" si="234"/>
        <v>4596.3125230827345</v>
      </c>
      <c r="L82" s="883">
        <f t="shared" si="236"/>
        <v>4598.2307616138269</v>
      </c>
      <c r="M82" s="883">
        <f t="shared" si="236"/>
        <v>4511.3825737137549</v>
      </c>
      <c r="N82" s="883">
        <f t="shared" si="236"/>
        <v>4582.4686867646215</v>
      </c>
      <c r="O82" s="883">
        <f t="shared" si="236"/>
        <v>4383.9113715946296</v>
      </c>
      <c r="P82" s="883">
        <f t="shared" si="236"/>
        <v>4404.4538104646963</v>
      </c>
      <c r="Q82" s="180">
        <f t="shared" si="220"/>
        <v>27076.759727234265</v>
      </c>
      <c r="R82" s="883">
        <f t="shared" si="233"/>
        <v>15223.285848100608</v>
      </c>
      <c r="S82" s="883">
        <f t="shared" si="221"/>
        <v>15229.639178805821</v>
      </c>
      <c r="T82" s="883">
        <f t="shared" si="222"/>
        <v>14941.992335134364</v>
      </c>
      <c r="U82" s="883">
        <f t="shared" si="223"/>
        <v>15177.434162331514</v>
      </c>
      <c r="V82" s="883">
        <f t="shared" si="224"/>
        <v>14519.799427773283</v>
      </c>
      <c r="W82" s="883">
        <f t="shared" si="225"/>
        <v>14587.837320620136</v>
      </c>
      <c r="X82" s="180">
        <f t="shared" si="226"/>
        <v>89679.988272765724</v>
      </c>
      <c r="Y82" s="883"/>
      <c r="Z82" s="883"/>
      <c r="AA82" s="883"/>
      <c r="AB82" s="883"/>
      <c r="AC82" s="883"/>
      <c r="AD82" s="883"/>
      <c r="AE82" s="180"/>
      <c r="AF82" s="526"/>
      <c r="AG82" s="1415">
        <f>'PDYG-200'!$D$32</f>
        <v>0.23190745024205595</v>
      </c>
      <c r="AH82" s="1415">
        <f>'PDYG-200'!$E$32</f>
        <v>0.30353035303530351</v>
      </c>
      <c r="AI82" s="1415">
        <f>'PDYG-200'!$F$32</f>
        <v>0.46456219672264054</v>
      </c>
      <c r="AK82" s="526"/>
      <c r="AL82" s="526"/>
      <c r="AM82" s="526"/>
      <c r="AN82" s="526"/>
      <c r="AO82" s="526"/>
      <c r="AP82" s="526"/>
      <c r="AQ82" s="569"/>
    </row>
    <row r="83" spans="2:43">
      <c r="C83" s="887" t="s">
        <v>307</v>
      </c>
      <c r="D83" s="883">
        <f>MCDO800!$M83*D$152</f>
        <v>157.27075457546317</v>
      </c>
      <c r="E83" s="883">
        <f>MCDO800!$M83*E$152</f>
        <v>157.33639041282751</v>
      </c>
      <c r="F83" s="883">
        <f>MCDO800!$M83*F$152</f>
        <v>154.36472998374182</v>
      </c>
      <c r="G83" s="883">
        <f>MCDO800!$M83*G$152</f>
        <v>156.79706385642817</v>
      </c>
      <c r="H83" s="883">
        <f>MCDO800!$M83*H$152</f>
        <v>150.00308311068056</v>
      </c>
      <c r="I83" s="883">
        <f>MCDO800!$M83*I$152</f>
        <v>150.70597806085874</v>
      </c>
      <c r="J83" s="180">
        <f t="shared" si="219"/>
        <v>926.47800000000007</v>
      </c>
      <c r="K83" s="883">
        <f t="shared" si="234"/>
        <v>36.47225969123982</v>
      </c>
      <c r="L83" s="883">
        <f t="shared" si="236"/>
        <v>36.487481130927485</v>
      </c>
      <c r="M83" s="883">
        <f t="shared" si="236"/>
        <v>35.798330937833008</v>
      </c>
      <c r="N83" s="883">
        <f t="shared" si="236"/>
        <v>36.362407284385085</v>
      </c>
      <c r="O83" s="883">
        <f t="shared" si="236"/>
        <v>34.786832532645136</v>
      </c>
      <c r="P83" s="883">
        <f t="shared" si="236"/>
        <v>34.949839108328973</v>
      </c>
      <c r="Q83" s="180">
        <f t="shared" si="220"/>
        <v>214.85715068535953</v>
      </c>
      <c r="R83" s="883">
        <f t="shared" si="233"/>
        <v>120.79849488422335</v>
      </c>
      <c r="S83" s="883">
        <f t="shared" si="221"/>
        <v>120.84890928190003</v>
      </c>
      <c r="T83" s="883">
        <f t="shared" si="222"/>
        <v>118.56639904590881</v>
      </c>
      <c r="U83" s="883">
        <f t="shared" si="223"/>
        <v>120.43465657204308</v>
      </c>
      <c r="V83" s="883">
        <f t="shared" si="224"/>
        <v>115.21625057803543</v>
      </c>
      <c r="W83" s="883">
        <f t="shared" si="225"/>
        <v>115.75613895252977</v>
      </c>
      <c r="X83" s="180">
        <f t="shared" si="226"/>
        <v>711.62084931464051</v>
      </c>
      <c r="Y83" s="883"/>
      <c r="Z83" s="883"/>
      <c r="AA83" s="883"/>
      <c r="AB83" s="883"/>
      <c r="AC83" s="883"/>
      <c r="AD83" s="883"/>
      <c r="AE83" s="180"/>
      <c r="AF83" s="526"/>
      <c r="AG83" s="1415">
        <f>'PDYG-200'!$D$32</f>
        <v>0.23190745024205595</v>
      </c>
      <c r="AH83" s="1415">
        <f>'PDYG-200'!$E$32</f>
        <v>0.30353035303530351</v>
      </c>
      <c r="AI83" s="1415">
        <f>'PDYG-200'!$F$32</f>
        <v>0.46456219672264054</v>
      </c>
      <c r="AK83" s="526"/>
      <c r="AL83" s="526"/>
      <c r="AM83" s="526"/>
      <c r="AN83" s="526"/>
      <c r="AO83" s="526"/>
      <c r="AP83" s="526"/>
      <c r="AQ83" s="569"/>
    </row>
    <row r="84" spans="2:43">
      <c r="C84" s="887" t="s">
        <v>624</v>
      </c>
      <c r="D84" s="883">
        <f>MCDO800!$M84*D$152</f>
        <v>2654.793036537968</v>
      </c>
      <c r="E84" s="883">
        <f>MCDO800!$M84*E$152</f>
        <v>2655.900995639789</v>
      </c>
      <c r="F84" s="883">
        <f>MCDO800!$M84*F$152</f>
        <v>2605.738182881702</v>
      </c>
      <c r="G84" s="883">
        <f>MCDO800!$M84*G$152</f>
        <v>2646.7969483538586</v>
      </c>
      <c r="H84" s="883">
        <f>MCDO800!$M84*H$152</f>
        <v>2532.1118448018869</v>
      </c>
      <c r="I84" s="883">
        <f>MCDO800!$M84*I$152</f>
        <v>2543.9769917847948</v>
      </c>
      <c r="J84" s="180">
        <f t="shared" si="219"/>
        <v>15639.317999999999</v>
      </c>
      <c r="K84" s="883">
        <f t="shared" si="234"/>
        <v>615.6662840238854</v>
      </c>
      <c r="L84" s="883">
        <f t="shared" si="236"/>
        <v>615.92322799416127</v>
      </c>
      <c r="M84" s="883">
        <f t="shared" si="236"/>
        <v>604.29009799046355</v>
      </c>
      <c r="N84" s="883">
        <f t="shared" si="236"/>
        <v>613.81193160119801</v>
      </c>
      <c r="O84" s="883">
        <f t="shared" si="236"/>
        <v>587.21560165571407</v>
      </c>
      <c r="P84" s="883">
        <f t="shared" si="236"/>
        <v>589.96721763926746</v>
      </c>
      <c r="Q84" s="180">
        <f t="shared" si="220"/>
        <v>3626.8743609046896</v>
      </c>
      <c r="R84" s="883">
        <f t="shared" si="233"/>
        <v>2039.1267525140825</v>
      </c>
      <c r="S84" s="883">
        <f t="shared" si="221"/>
        <v>2039.9777676456279</v>
      </c>
      <c r="T84" s="883">
        <f t="shared" si="222"/>
        <v>2001.4480848912385</v>
      </c>
      <c r="U84" s="883">
        <f t="shared" si="223"/>
        <v>2032.9850167526606</v>
      </c>
      <c r="V84" s="883">
        <f t="shared" si="224"/>
        <v>1944.8962431461728</v>
      </c>
      <c r="W84" s="883">
        <f t="shared" si="225"/>
        <v>1954.0097741455274</v>
      </c>
      <c r="X84" s="180">
        <f t="shared" si="226"/>
        <v>12012.443639095309</v>
      </c>
      <c r="Y84" s="883"/>
      <c r="Z84" s="883"/>
      <c r="AA84" s="883"/>
      <c r="AB84" s="883"/>
      <c r="AC84" s="883"/>
      <c r="AD84" s="883"/>
      <c r="AE84" s="180"/>
      <c r="AF84" s="526"/>
      <c r="AG84" s="1415">
        <f>'PDYG-200'!$D$32</f>
        <v>0.23190745024205595</v>
      </c>
      <c r="AH84" s="1415">
        <f>'PDYG-200'!$E$32</f>
        <v>0.30353035303530351</v>
      </c>
      <c r="AI84" s="1415">
        <f>'PDYG-200'!$F$32</f>
        <v>0.46456219672264054</v>
      </c>
      <c r="AK84" s="526"/>
      <c r="AL84" s="526"/>
      <c r="AM84" s="526"/>
      <c r="AN84" s="526"/>
      <c r="AO84" s="526"/>
      <c r="AP84" s="526"/>
      <c r="AQ84" s="569"/>
    </row>
    <row r="85" spans="2:43">
      <c r="C85" s="887"/>
      <c r="D85" s="883">
        <f>MCDO800!$M85*D$152</f>
        <v>0</v>
      </c>
      <c r="E85" s="883">
        <f>MCDO800!$M85*E$152</f>
        <v>0</v>
      </c>
      <c r="F85" s="883">
        <f>MCDO800!$M85*F$152</f>
        <v>0</v>
      </c>
      <c r="G85" s="883">
        <f>MCDO800!$M85*G$152</f>
        <v>0</v>
      </c>
      <c r="H85" s="883">
        <f>MCDO800!$M85*H$152</f>
        <v>0</v>
      </c>
      <c r="I85" s="883">
        <f>MCDO800!$M85*I$152</f>
        <v>0</v>
      </c>
      <c r="J85" s="180">
        <f t="shared" si="219"/>
        <v>0</v>
      </c>
      <c r="K85" s="883"/>
      <c r="L85" s="883"/>
      <c r="M85" s="883"/>
      <c r="N85" s="883"/>
      <c r="O85" s="883"/>
      <c r="P85" s="883"/>
      <c r="Q85" s="180">
        <f t="shared" si="220"/>
        <v>0</v>
      </c>
      <c r="R85" s="883">
        <f t="shared" si="233"/>
        <v>0</v>
      </c>
      <c r="S85" s="883">
        <f t="shared" si="221"/>
        <v>0</v>
      </c>
      <c r="T85" s="883">
        <f t="shared" si="222"/>
        <v>0</v>
      </c>
      <c r="U85" s="883">
        <f t="shared" si="223"/>
        <v>0</v>
      </c>
      <c r="V85" s="883">
        <f t="shared" si="224"/>
        <v>0</v>
      </c>
      <c r="W85" s="883">
        <f t="shared" si="225"/>
        <v>0</v>
      </c>
      <c r="X85" s="180">
        <f t="shared" si="226"/>
        <v>0</v>
      </c>
      <c r="Y85" s="883"/>
      <c r="Z85" s="883"/>
      <c r="AA85" s="883"/>
      <c r="AB85" s="883"/>
      <c r="AC85" s="883"/>
      <c r="AD85" s="883"/>
      <c r="AE85" s="180"/>
      <c r="AF85" s="526"/>
      <c r="AG85" s="1415"/>
      <c r="AH85" s="1415"/>
      <c r="AI85" s="1415"/>
      <c r="AK85" s="526"/>
      <c r="AL85" s="526"/>
      <c r="AM85" s="526"/>
      <c r="AN85" s="526"/>
      <c r="AO85" s="526"/>
      <c r="AP85" s="526"/>
      <c r="AQ85" s="569"/>
    </row>
    <row r="86" spans="2:43">
      <c r="B86" s="48" t="s">
        <v>902</v>
      </c>
      <c r="C86" s="882" t="s">
        <v>898</v>
      </c>
      <c r="D86" s="881">
        <f>SUBTOTAL(9,D87:D91)</f>
        <v>13927385.806721065</v>
      </c>
      <c r="E86" s="881">
        <f t="shared" ref="E86:W86" si="237">SUBTOTAL(9,E87:E91)</f>
        <v>13933198.302707287</v>
      </c>
      <c r="F86" s="881">
        <f t="shared" si="237"/>
        <v>13670037.733571826</v>
      </c>
      <c r="G86" s="881">
        <f t="shared" si="237"/>
        <v>13885437.299416749</v>
      </c>
      <c r="H86" s="881">
        <f t="shared" si="237"/>
        <v>13283784.492034443</v>
      </c>
      <c r="I86" s="881">
        <f t="shared" si="237"/>
        <v>13346030.579548635</v>
      </c>
      <c r="J86" s="180">
        <f t="shared" si="219"/>
        <v>82045874.214000016</v>
      </c>
      <c r="K86" s="881">
        <f t="shared" si="237"/>
        <v>3229864.5309740817</v>
      </c>
      <c r="L86" s="881">
        <f t="shared" si="237"/>
        <v>3231212.4920977885</v>
      </c>
      <c r="M86" s="881">
        <f t="shared" si="237"/>
        <v>3170183.5955053354</v>
      </c>
      <c r="N86" s="881">
        <f t="shared" si="237"/>
        <v>3220136.3596036779</v>
      </c>
      <c r="O86" s="881">
        <f t="shared" si="237"/>
        <v>3080608.5911126719</v>
      </c>
      <c r="P86" s="881">
        <f t="shared" si="237"/>
        <v>3095043.922555632</v>
      </c>
      <c r="Q86" s="180">
        <f t="shared" si="220"/>
        <v>19027049.491849184</v>
      </c>
      <c r="R86" s="881">
        <f t="shared" si="237"/>
        <v>10697521.275746983</v>
      </c>
      <c r="S86" s="881">
        <f t="shared" si="237"/>
        <v>10701985.810609497</v>
      </c>
      <c r="T86" s="881">
        <f t="shared" si="237"/>
        <v>10499854.138066489</v>
      </c>
      <c r="U86" s="881">
        <f t="shared" si="237"/>
        <v>10665300.939813074</v>
      </c>
      <c r="V86" s="881">
        <f t="shared" si="237"/>
        <v>10203175.900921771</v>
      </c>
      <c r="W86" s="881">
        <f t="shared" si="237"/>
        <v>10250986.656993004</v>
      </c>
      <c r="X86" s="180">
        <f t="shared" si="226"/>
        <v>63018824.72215081</v>
      </c>
      <c r="Y86" s="881"/>
      <c r="Z86" s="881"/>
      <c r="AA86" s="881"/>
      <c r="AB86" s="881"/>
      <c r="AC86" s="881"/>
      <c r="AD86" s="881"/>
      <c r="AE86" s="180"/>
      <c r="AF86" s="526"/>
      <c r="AG86" s="1415">
        <f>'PDYG-200'!$D$32</f>
        <v>0.23190745024205595</v>
      </c>
      <c r="AH86" s="1415">
        <f>'PDYG-200'!$E$32</f>
        <v>0.30353035303530351</v>
      </c>
      <c r="AI86" s="1415">
        <f>'PDYG-200'!$F$32</f>
        <v>0.46456219672264054</v>
      </c>
      <c r="AK86" s="526"/>
      <c r="AL86" s="526"/>
      <c r="AM86" s="526"/>
      <c r="AN86" s="526"/>
      <c r="AO86" s="526"/>
      <c r="AP86" s="526"/>
      <c r="AQ86" s="569"/>
    </row>
    <row r="87" spans="2:43">
      <c r="C87" s="887" t="s">
        <v>304</v>
      </c>
      <c r="D87" s="883">
        <f>MCDO800!$M87*D$152</f>
        <v>13227150.921411213</v>
      </c>
      <c r="E87" s="883">
        <f>MCDO800!$M87*E$152</f>
        <v>13232671.179319395</v>
      </c>
      <c r="F87" s="883">
        <f>MCDO800!$M87*F$152</f>
        <v>12982741.67978335</v>
      </c>
      <c r="G87" s="883">
        <f>MCDO800!$M87*G$152</f>
        <v>13187311.482428031</v>
      </c>
      <c r="H87" s="883">
        <f>MCDO800!$M87*H$152</f>
        <v>12615908.306270156</v>
      </c>
      <c r="I87" s="883">
        <f>MCDO800!$M87*I$152</f>
        <v>12675024.812787859</v>
      </c>
      <c r="J87" s="180">
        <f t="shared" si="219"/>
        <v>77920808.381999999</v>
      </c>
      <c r="K87" s="883">
        <f t="shared" ref="K87:P91" si="238">D87*$AG87</f>
        <v>3067474.8441513353</v>
      </c>
      <c r="L87" s="883">
        <f t="shared" si="238"/>
        <v>3068755.0330875004</v>
      </c>
      <c r="M87" s="883">
        <f t="shared" si="238"/>
        <v>3010794.520109823</v>
      </c>
      <c r="N87" s="883">
        <f t="shared" si="238"/>
        <v>3058235.7814376717</v>
      </c>
      <c r="O87" s="883">
        <f t="shared" si="238"/>
        <v>2925723.1277946867</v>
      </c>
      <c r="P87" s="883">
        <f t="shared" si="238"/>
        <v>2939432.6860884246</v>
      </c>
      <c r="Q87" s="180">
        <f t="shared" si="220"/>
        <v>18070415.992669441</v>
      </c>
      <c r="R87" s="883">
        <f t="shared" si="233"/>
        <v>10159676.077259878</v>
      </c>
      <c r="S87" s="883">
        <f t="shared" si="221"/>
        <v>10163916.146231893</v>
      </c>
      <c r="T87" s="883">
        <f t="shared" si="222"/>
        <v>9971947.1596735269</v>
      </c>
      <c r="U87" s="883">
        <f t="shared" si="223"/>
        <v>10129075.70099036</v>
      </c>
      <c r="V87" s="883">
        <f t="shared" si="224"/>
        <v>9690185.1784754694</v>
      </c>
      <c r="W87" s="883">
        <f t="shared" si="225"/>
        <v>9735592.1266994346</v>
      </c>
      <c r="X87" s="180">
        <f t="shared" si="226"/>
        <v>59850392.389330566</v>
      </c>
      <c r="Y87" s="883"/>
      <c r="Z87" s="883"/>
      <c r="AA87" s="883"/>
      <c r="AB87" s="883"/>
      <c r="AC87" s="883"/>
      <c r="AD87" s="883"/>
      <c r="AE87" s="180"/>
      <c r="AF87" s="526"/>
      <c r="AG87" s="1415">
        <f>'PDYG-200'!$D$32</f>
        <v>0.23190745024205595</v>
      </c>
      <c r="AH87" s="1415">
        <f>'PDYG-200'!$E$32</f>
        <v>0.30353035303530351</v>
      </c>
      <c r="AI87" s="1415">
        <f>'PDYG-200'!$F$32</f>
        <v>0.46456219672264054</v>
      </c>
      <c r="AK87" s="526"/>
      <c r="AL87" s="526"/>
      <c r="AM87" s="526"/>
      <c r="AN87" s="526"/>
      <c r="AO87" s="526"/>
      <c r="AP87" s="526"/>
      <c r="AQ87" s="569"/>
    </row>
    <row r="88" spans="2:43">
      <c r="C88" s="888" t="s">
        <v>644</v>
      </c>
      <c r="D88" s="883">
        <f>MCDO800!$M88*D$152</f>
        <v>700234.88530985173</v>
      </c>
      <c r="E88" s="883">
        <f>MCDO800!$M88*E$152</f>
        <v>700527.12338789168</v>
      </c>
      <c r="F88" s="883">
        <f>MCDO800!$M88*F$152</f>
        <v>687296.05378847569</v>
      </c>
      <c r="G88" s="883">
        <f>MCDO800!$M88*G$152</f>
        <v>698125.81698871858</v>
      </c>
      <c r="H88" s="883">
        <f>MCDO800!$M88*H$152</f>
        <v>667876.18576428655</v>
      </c>
      <c r="I88" s="883">
        <f>MCDO800!$M88*I$152</f>
        <v>671005.7667607757</v>
      </c>
      <c r="J88" s="180">
        <f t="shared" si="219"/>
        <v>4125065.8320000004</v>
      </c>
      <c r="K88" s="883">
        <f t="shared" si="238"/>
        <v>162389.68682274618</v>
      </c>
      <c r="L88" s="883">
        <f t="shared" si="238"/>
        <v>162457.45901028809</v>
      </c>
      <c r="M88" s="883">
        <f t="shared" si="238"/>
        <v>159389.07539551234</v>
      </c>
      <c r="N88" s="883">
        <f t="shared" si="238"/>
        <v>161900.5781660059</v>
      </c>
      <c r="O88" s="883">
        <f t="shared" si="238"/>
        <v>154885.46331798538</v>
      </c>
      <c r="P88" s="883">
        <f t="shared" si="238"/>
        <v>155611.2364672072</v>
      </c>
      <c r="Q88" s="180">
        <f t="shared" si="220"/>
        <v>956633.49917974521</v>
      </c>
      <c r="R88" s="883">
        <f t="shared" si="233"/>
        <v>537845.19848710555</v>
      </c>
      <c r="S88" s="883">
        <f t="shared" si="221"/>
        <v>538069.66437760356</v>
      </c>
      <c r="T88" s="883">
        <f t="shared" si="222"/>
        <v>527906.9783929633</v>
      </c>
      <c r="U88" s="883">
        <f t="shared" si="223"/>
        <v>536225.23882271268</v>
      </c>
      <c r="V88" s="883">
        <f t="shared" si="224"/>
        <v>512990.72244630114</v>
      </c>
      <c r="W88" s="883">
        <f t="shared" si="225"/>
        <v>515394.5302935685</v>
      </c>
      <c r="X88" s="180">
        <f t="shared" si="226"/>
        <v>3168432.3328202544</v>
      </c>
      <c r="Y88" s="883"/>
      <c r="Z88" s="883"/>
      <c r="AA88" s="883"/>
      <c r="AB88" s="883"/>
      <c r="AC88" s="883"/>
      <c r="AD88" s="883"/>
      <c r="AE88" s="180"/>
      <c r="AF88" s="526"/>
      <c r="AG88" s="1415">
        <f>'PDYG-200'!$D$32</f>
        <v>0.23190745024205595</v>
      </c>
      <c r="AH88" s="1415">
        <f>'PDYG-200'!$E$32</f>
        <v>0.30353035303530351</v>
      </c>
      <c r="AI88" s="1415">
        <f>'PDYG-200'!$F$32</f>
        <v>0.46456219672264054</v>
      </c>
      <c r="AK88" s="526"/>
      <c r="AL88" s="526"/>
      <c r="AM88" s="526"/>
      <c r="AN88" s="526"/>
      <c r="AO88" s="526"/>
      <c r="AP88" s="526"/>
      <c r="AQ88" s="569"/>
    </row>
    <row r="89" spans="2:43">
      <c r="C89" s="887" t="s">
        <v>305</v>
      </c>
      <c r="D89" s="883">
        <f>MCDO800!$M89*D$152</f>
        <v>0</v>
      </c>
      <c r="E89" s="883">
        <f>MCDO800!$M89*E$152</f>
        <v>0</v>
      </c>
      <c r="F89" s="883">
        <f>MCDO800!$M89*F$152</f>
        <v>0</v>
      </c>
      <c r="G89" s="883">
        <f>MCDO800!$M89*G$152</f>
        <v>0</v>
      </c>
      <c r="H89" s="883">
        <f>MCDO800!$M89*H$152</f>
        <v>0</v>
      </c>
      <c r="I89" s="883">
        <f>MCDO800!$M89*I$152</f>
        <v>0</v>
      </c>
      <c r="J89" s="180">
        <f t="shared" si="219"/>
        <v>0</v>
      </c>
      <c r="K89" s="883">
        <f t="shared" si="238"/>
        <v>0</v>
      </c>
      <c r="L89" s="883">
        <f t="shared" si="238"/>
        <v>0</v>
      </c>
      <c r="M89" s="883">
        <f t="shared" si="238"/>
        <v>0</v>
      </c>
      <c r="N89" s="883">
        <f t="shared" si="238"/>
        <v>0</v>
      </c>
      <c r="O89" s="883">
        <f t="shared" si="238"/>
        <v>0</v>
      </c>
      <c r="P89" s="883">
        <f t="shared" si="238"/>
        <v>0</v>
      </c>
      <c r="Q89" s="180">
        <f t="shared" si="220"/>
        <v>0</v>
      </c>
      <c r="R89" s="883">
        <f t="shared" si="233"/>
        <v>0</v>
      </c>
      <c r="S89" s="883">
        <f t="shared" si="221"/>
        <v>0</v>
      </c>
      <c r="T89" s="883">
        <f t="shared" si="222"/>
        <v>0</v>
      </c>
      <c r="U89" s="883">
        <f t="shared" si="223"/>
        <v>0</v>
      </c>
      <c r="V89" s="883">
        <f t="shared" si="224"/>
        <v>0</v>
      </c>
      <c r="W89" s="883">
        <f t="shared" si="225"/>
        <v>0</v>
      </c>
      <c r="X89" s="180">
        <f t="shared" si="226"/>
        <v>0</v>
      </c>
      <c r="Y89" s="883"/>
      <c r="Z89" s="883"/>
      <c r="AA89" s="883"/>
      <c r="AB89" s="883"/>
      <c r="AC89" s="883"/>
      <c r="AD89" s="883"/>
      <c r="AE89" s="180"/>
      <c r="AF89" s="526"/>
      <c r="AG89" s="1415">
        <f>'PDYG-200'!$D$32</f>
        <v>0.23190745024205595</v>
      </c>
      <c r="AH89" s="1415">
        <f>'PDYG-200'!$E$32</f>
        <v>0.30353035303530351</v>
      </c>
      <c r="AI89" s="1415">
        <f>'PDYG-200'!$F$32</f>
        <v>0.46456219672264054</v>
      </c>
      <c r="AK89" s="526"/>
      <c r="AL89" s="526"/>
      <c r="AM89" s="526"/>
      <c r="AN89" s="526"/>
      <c r="AO89" s="526"/>
      <c r="AP89" s="526"/>
      <c r="AQ89" s="569"/>
    </row>
    <row r="90" spans="2:43">
      <c r="C90" s="887" t="s">
        <v>307</v>
      </c>
      <c r="D90" s="883">
        <f>MCDO800!$M90*D$152</f>
        <v>0</v>
      </c>
      <c r="E90" s="883">
        <f>MCDO800!$M90*E$152</f>
        <v>0</v>
      </c>
      <c r="F90" s="883">
        <f>MCDO800!$M90*F$152</f>
        <v>0</v>
      </c>
      <c r="G90" s="883">
        <f>MCDO800!$M90*G$152</f>
        <v>0</v>
      </c>
      <c r="H90" s="883">
        <f>MCDO800!$M90*H$152</f>
        <v>0</v>
      </c>
      <c r="I90" s="883">
        <f>MCDO800!$M90*I$152</f>
        <v>0</v>
      </c>
      <c r="J90" s="180">
        <f t="shared" si="219"/>
        <v>0</v>
      </c>
      <c r="K90" s="883">
        <f t="shared" si="238"/>
        <v>0</v>
      </c>
      <c r="L90" s="883">
        <f t="shared" si="238"/>
        <v>0</v>
      </c>
      <c r="M90" s="883">
        <f t="shared" si="238"/>
        <v>0</v>
      </c>
      <c r="N90" s="883">
        <f t="shared" si="238"/>
        <v>0</v>
      </c>
      <c r="O90" s="883">
        <f t="shared" si="238"/>
        <v>0</v>
      </c>
      <c r="P90" s="883">
        <f t="shared" si="238"/>
        <v>0</v>
      </c>
      <c r="Q90" s="180">
        <f t="shared" si="220"/>
        <v>0</v>
      </c>
      <c r="R90" s="883">
        <f t="shared" si="233"/>
        <v>0</v>
      </c>
      <c r="S90" s="883">
        <f t="shared" si="221"/>
        <v>0</v>
      </c>
      <c r="T90" s="883">
        <f t="shared" si="222"/>
        <v>0</v>
      </c>
      <c r="U90" s="883">
        <f t="shared" si="223"/>
        <v>0</v>
      </c>
      <c r="V90" s="883">
        <f t="shared" si="224"/>
        <v>0</v>
      </c>
      <c r="W90" s="883">
        <f t="shared" si="225"/>
        <v>0</v>
      </c>
      <c r="X90" s="180">
        <f t="shared" si="226"/>
        <v>0</v>
      </c>
      <c r="Y90" s="883"/>
      <c r="Z90" s="883"/>
      <c r="AA90" s="883"/>
      <c r="AB90" s="883"/>
      <c r="AC90" s="883"/>
      <c r="AD90" s="883"/>
      <c r="AE90" s="180"/>
      <c r="AF90" s="526"/>
      <c r="AG90" s="1415">
        <f>'PDYG-200'!$D$32</f>
        <v>0.23190745024205595</v>
      </c>
      <c r="AH90" s="1415">
        <f>'PDYG-200'!$E$32</f>
        <v>0.30353035303530351</v>
      </c>
      <c r="AI90" s="1415">
        <f>'PDYG-200'!$F$32</f>
        <v>0.46456219672264054</v>
      </c>
      <c r="AK90" s="526"/>
      <c r="AL90" s="526"/>
      <c r="AM90" s="526"/>
      <c r="AN90" s="526"/>
      <c r="AO90" s="526"/>
      <c r="AP90" s="526"/>
      <c r="AQ90" s="569"/>
    </row>
    <row r="91" spans="2:43">
      <c r="C91" s="887" t="s">
        <v>624</v>
      </c>
      <c r="D91" s="883">
        <f>MCDO800!$M91*D$152</f>
        <v>0</v>
      </c>
      <c r="E91" s="883">
        <f>MCDO800!$M91*E$152</f>
        <v>0</v>
      </c>
      <c r="F91" s="883">
        <f>MCDO800!$M91*F$152</f>
        <v>0</v>
      </c>
      <c r="G91" s="883">
        <f>MCDO800!$M91*G$152</f>
        <v>0</v>
      </c>
      <c r="H91" s="883">
        <f>MCDO800!$M91*H$152</f>
        <v>0</v>
      </c>
      <c r="I91" s="883">
        <f>MCDO800!$M91*I$152</f>
        <v>0</v>
      </c>
      <c r="J91" s="180">
        <f t="shared" si="219"/>
        <v>0</v>
      </c>
      <c r="K91" s="883">
        <f t="shared" si="238"/>
        <v>0</v>
      </c>
      <c r="L91" s="883">
        <f t="shared" si="238"/>
        <v>0</v>
      </c>
      <c r="M91" s="883">
        <f t="shared" si="238"/>
        <v>0</v>
      </c>
      <c r="N91" s="883">
        <f t="shared" si="238"/>
        <v>0</v>
      </c>
      <c r="O91" s="883">
        <f t="shared" si="238"/>
        <v>0</v>
      </c>
      <c r="P91" s="883">
        <f t="shared" si="238"/>
        <v>0</v>
      </c>
      <c r="Q91" s="180">
        <f t="shared" si="220"/>
        <v>0</v>
      </c>
      <c r="R91" s="883">
        <f t="shared" si="233"/>
        <v>0</v>
      </c>
      <c r="S91" s="883">
        <f t="shared" si="221"/>
        <v>0</v>
      </c>
      <c r="T91" s="883">
        <f t="shared" si="222"/>
        <v>0</v>
      </c>
      <c r="U91" s="883">
        <f t="shared" si="223"/>
        <v>0</v>
      </c>
      <c r="V91" s="883">
        <f t="shared" si="224"/>
        <v>0</v>
      </c>
      <c r="W91" s="883">
        <f t="shared" si="225"/>
        <v>0</v>
      </c>
      <c r="X91" s="180">
        <f t="shared" si="226"/>
        <v>0</v>
      </c>
      <c r="Y91" s="883"/>
      <c r="Z91" s="883"/>
      <c r="AA91" s="883"/>
      <c r="AB91" s="883"/>
      <c r="AC91" s="883"/>
      <c r="AD91" s="883"/>
      <c r="AE91" s="180"/>
      <c r="AF91" s="526"/>
      <c r="AG91" s="1415">
        <f>'PDYG-200'!$D$32</f>
        <v>0.23190745024205595</v>
      </c>
      <c r="AH91" s="1415">
        <f>'PDYG-200'!$E$32</f>
        <v>0.30353035303530351</v>
      </c>
      <c r="AI91" s="1415">
        <f>'PDYG-200'!$F$32</f>
        <v>0.46456219672264054</v>
      </c>
      <c r="AK91" s="526"/>
      <c r="AL91" s="526"/>
      <c r="AM91" s="526"/>
      <c r="AN91" s="526"/>
      <c r="AO91" s="526"/>
      <c r="AP91" s="526"/>
      <c r="AQ91" s="569"/>
    </row>
    <row r="92" spans="2:43">
      <c r="B92" s="48" t="s">
        <v>902</v>
      </c>
      <c r="C92" s="882" t="s">
        <v>1208</v>
      </c>
      <c r="D92" s="881">
        <f>SUBTOTAL(9,D93:D98)</f>
        <v>1118634.8309842597</v>
      </c>
      <c r="E92" s="881">
        <f t="shared" ref="E92:W92" si="239">SUBTOTAL(9,E93:E98)</f>
        <v>1119101.6853211308</v>
      </c>
      <c r="F92" s="881">
        <f t="shared" si="239"/>
        <v>1097964.8702101067</v>
      </c>
      <c r="G92" s="881">
        <f t="shared" si="239"/>
        <v>1115265.5654214607</v>
      </c>
      <c r="H92" s="881">
        <f t="shared" si="239"/>
        <v>1066941.3647539869</v>
      </c>
      <c r="I92" s="881">
        <f t="shared" si="239"/>
        <v>1071940.9133090554</v>
      </c>
      <c r="J92" s="180">
        <f t="shared" si="219"/>
        <v>6589849.2300000004</v>
      </c>
      <c r="K92" s="881">
        <f t="shared" si="239"/>
        <v>259419.75140551288</v>
      </c>
      <c r="L92" s="881">
        <f t="shared" si="239"/>
        <v>259528.01840441112</v>
      </c>
      <c r="M92" s="881">
        <f t="shared" si="239"/>
        <v>254626.23350577572</v>
      </c>
      <c r="N92" s="881">
        <f t="shared" si="239"/>
        <v>258638.39361965581</v>
      </c>
      <c r="O92" s="881">
        <f t="shared" si="239"/>
        <v>247431.65145787649</v>
      </c>
      <c r="P92" s="881">
        <f t="shared" si="239"/>
        <v>248591.08401564375</v>
      </c>
      <c r="Q92" s="180">
        <f t="shared" si="220"/>
        <v>1528235.1324088757</v>
      </c>
      <c r="R92" s="881">
        <f t="shared" si="239"/>
        <v>859215.07957874693</v>
      </c>
      <c r="S92" s="881">
        <f t="shared" si="239"/>
        <v>859573.66691671975</v>
      </c>
      <c r="T92" s="881">
        <f t="shared" si="239"/>
        <v>843338.6367043308</v>
      </c>
      <c r="U92" s="881">
        <f t="shared" si="239"/>
        <v>856627.17180180491</v>
      </c>
      <c r="V92" s="881">
        <f t="shared" si="239"/>
        <v>819509.71329611051</v>
      </c>
      <c r="W92" s="881">
        <f t="shared" si="239"/>
        <v>823349.82929341157</v>
      </c>
      <c r="X92" s="180">
        <f t="shared" si="226"/>
        <v>5061614.0975911245</v>
      </c>
      <c r="Y92" s="881"/>
      <c r="Z92" s="881"/>
      <c r="AA92" s="881"/>
      <c r="AB92" s="881"/>
      <c r="AC92" s="881"/>
      <c r="AD92" s="881"/>
      <c r="AE92" s="180"/>
      <c r="AF92" s="526"/>
      <c r="AG92" s="1415">
        <f>'PDYG-200'!$D$32</f>
        <v>0.23190745024205595</v>
      </c>
      <c r="AH92" s="1415">
        <f>'PDYG-200'!$E$32</f>
        <v>0.30353035303530351</v>
      </c>
      <c r="AI92" s="1415">
        <f>'PDYG-200'!$F$32</f>
        <v>0.46456219672264054</v>
      </c>
      <c r="AK92" s="526"/>
      <c r="AL92" s="526"/>
      <c r="AM92" s="526"/>
      <c r="AN92" s="526"/>
      <c r="AO92" s="526"/>
      <c r="AP92" s="526"/>
      <c r="AQ92" s="569"/>
    </row>
    <row r="93" spans="2:43">
      <c r="C93" s="887" t="s">
        <v>304</v>
      </c>
      <c r="D93" s="883">
        <f>MCDO800!$M93*D$152</f>
        <v>988750.60996717832</v>
      </c>
      <c r="E93" s="883">
        <f>MCDO800!$M93*E$152</f>
        <v>989163.25804281619</v>
      </c>
      <c r="F93" s="883">
        <f>MCDO800!$M93*F$152</f>
        <v>970480.62966855022</v>
      </c>
      <c r="G93" s="883">
        <f>MCDO800!$M93*G$152</f>
        <v>985772.54841564607</v>
      </c>
      <c r="H93" s="883">
        <f>MCDO800!$M93*H$152</f>
        <v>943059.2504182111</v>
      </c>
      <c r="I93" s="883">
        <f>MCDO800!$M93*I$152</f>
        <v>947478.3034875982</v>
      </c>
      <c r="J93" s="180">
        <f t="shared" si="219"/>
        <v>5824704.5999999996</v>
      </c>
      <c r="K93" s="883">
        <f t="shared" ref="K93:K98" si="240">D93*$AG93</f>
        <v>229298.63288276587</v>
      </c>
      <c r="L93" s="883">
        <f t="shared" ref="L93:L98" si="241">E93*$AG93</f>
        <v>229394.32904583434</v>
      </c>
      <c r="M93" s="883">
        <f t="shared" ref="M93:M98" si="242">F93*$AG93</f>
        <v>225061.68833573844</v>
      </c>
      <c r="N93" s="883">
        <f t="shared" ref="N93:N98" si="243">G93*$AG93</f>
        <v>228607.99822168614</v>
      </c>
      <c r="O93" s="883">
        <f t="shared" ref="O93:O98" si="244">H93*$AG93</f>
        <v>218702.46619167188</v>
      </c>
      <c r="P93" s="883">
        <f t="shared" ref="P93:P98" si="245">I93*$AG93</f>
        <v>219727.27752147775</v>
      </c>
      <c r="Q93" s="180">
        <f t="shared" si="220"/>
        <v>1350792.3921991743</v>
      </c>
      <c r="R93" s="883">
        <f t="shared" si="233"/>
        <v>759451.97708441247</v>
      </c>
      <c r="S93" s="883">
        <f t="shared" si="221"/>
        <v>759768.92899698182</v>
      </c>
      <c r="T93" s="883">
        <f t="shared" si="222"/>
        <v>745418.94133281172</v>
      </c>
      <c r="U93" s="883">
        <f t="shared" si="223"/>
        <v>757164.55019395996</v>
      </c>
      <c r="V93" s="883">
        <f t="shared" si="224"/>
        <v>724356.7842265392</v>
      </c>
      <c r="W93" s="883">
        <f t="shared" si="225"/>
        <v>727751.02596612042</v>
      </c>
      <c r="X93" s="180">
        <f t="shared" si="226"/>
        <v>4473912.2078008251</v>
      </c>
      <c r="Y93" s="883"/>
      <c r="Z93" s="883"/>
      <c r="AA93" s="883"/>
      <c r="AB93" s="883"/>
      <c r="AC93" s="883"/>
      <c r="AD93" s="883"/>
      <c r="AE93" s="180"/>
      <c r="AF93" s="526"/>
      <c r="AG93" s="1415">
        <f>'PDYG-200'!$D$32</f>
        <v>0.23190745024205595</v>
      </c>
      <c r="AH93" s="1415">
        <f>'PDYG-200'!$E$32</f>
        <v>0.30353035303530351</v>
      </c>
      <c r="AI93" s="1415">
        <f>'PDYG-200'!$F$32</f>
        <v>0.46456219672264054</v>
      </c>
      <c r="AK93" s="526"/>
      <c r="AL93" s="526"/>
      <c r="AM93" s="526"/>
      <c r="AN93" s="526"/>
      <c r="AO93" s="526"/>
      <c r="AP93" s="526"/>
      <c r="AQ93" s="569"/>
    </row>
    <row r="94" spans="2:43">
      <c r="C94" s="889" t="s">
        <v>1207</v>
      </c>
      <c r="D94" s="883">
        <f>MCDO800!$M94*D$152</f>
        <v>120589.39750635796</v>
      </c>
      <c r="E94" s="883">
        <f>MCDO800!$M94*E$152</f>
        <v>120639.72463872249</v>
      </c>
      <c r="F94" s="883">
        <f>MCDO800!$M94*F$152</f>
        <v>118361.16533693584</v>
      </c>
      <c r="G94" s="883">
        <f>MCDO800!$M94*G$152</f>
        <v>120226.18898378819</v>
      </c>
      <c r="H94" s="883">
        <f>MCDO800!$M94*H$152</f>
        <v>115016.81584247485</v>
      </c>
      <c r="I94" s="883">
        <f>MCDO800!$M94*I$152</f>
        <v>115555.76969172072</v>
      </c>
      <c r="J94" s="180">
        <f t="shared" si="219"/>
        <v>710389.06200000003</v>
      </c>
      <c r="K94" s="883">
        <f t="shared" si="240"/>
        <v>27965.579701925213</v>
      </c>
      <c r="L94" s="883">
        <f t="shared" si="241"/>
        <v>27977.250938869867</v>
      </c>
      <c r="M94" s="883">
        <f t="shared" si="242"/>
        <v>27448.836060967205</v>
      </c>
      <c r="N94" s="883">
        <f t="shared" si="243"/>
        <v>27881.348939549873</v>
      </c>
      <c r="O94" s="883">
        <f t="shared" si="244"/>
        <v>26673.256496988448</v>
      </c>
      <c r="P94" s="883">
        <f t="shared" si="245"/>
        <v>26798.2439099652</v>
      </c>
      <c r="Q94" s="180">
        <f t="shared" si="220"/>
        <v>164744.51604826582</v>
      </c>
      <c r="R94" s="883">
        <f t="shared" si="233"/>
        <v>92623.817804432736</v>
      </c>
      <c r="S94" s="883">
        <f t="shared" si="221"/>
        <v>92662.47369985262</v>
      </c>
      <c r="T94" s="883">
        <f t="shared" si="222"/>
        <v>90912.32927596863</v>
      </c>
      <c r="U94" s="883">
        <f t="shared" si="223"/>
        <v>92344.840044238314</v>
      </c>
      <c r="V94" s="883">
        <f t="shared" si="224"/>
        <v>88343.559345486399</v>
      </c>
      <c r="W94" s="883">
        <f t="shared" si="225"/>
        <v>88757.525781755525</v>
      </c>
      <c r="X94" s="180">
        <f t="shared" si="226"/>
        <v>545644.5459517343</v>
      </c>
      <c r="Y94" s="883"/>
      <c r="Z94" s="883"/>
      <c r="AA94" s="883"/>
      <c r="AB94" s="883"/>
      <c r="AC94" s="883"/>
      <c r="AD94" s="883"/>
      <c r="AE94" s="180"/>
      <c r="AF94" s="526"/>
      <c r="AG94" s="1415">
        <f>'PDYG-200'!$D$32</f>
        <v>0.23190745024205595</v>
      </c>
      <c r="AH94" s="1415">
        <f>'PDYG-200'!$E$32</f>
        <v>0.30353035303530351</v>
      </c>
      <c r="AI94" s="1415">
        <f>'PDYG-200'!$F$32</f>
        <v>0.46456219672264054</v>
      </c>
      <c r="AK94" s="526"/>
      <c r="AL94" s="526"/>
      <c r="AM94" s="526"/>
      <c r="AN94" s="526"/>
      <c r="AO94" s="526"/>
      <c r="AP94" s="526"/>
      <c r="AQ94" s="569"/>
    </row>
    <row r="95" spans="2:43">
      <c r="C95" s="889" t="s">
        <v>1177</v>
      </c>
      <c r="D95" s="883">
        <f>MCDO800!$M95*D$152</f>
        <v>9294.8235107234977</v>
      </c>
      <c r="E95" s="883">
        <f>MCDO800!$M95*E$152</f>
        <v>9298.7026395922239</v>
      </c>
      <c r="F95" s="883">
        <f>MCDO800!$M95*F$152</f>
        <v>9123.0752046205253</v>
      </c>
      <c r="G95" s="883">
        <f>MCDO800!$M95*G$152</f>
        <v>9266.8280220264205</v>
      </c>
      <c r="H95" s="883">
        <f>MCDO800!$M95*H$152</f>
        <v>8865.2984933009975</v>
      </c>
      <c r="I95" s="883">
        <f>MCDO800!$M95*I$152</f>
        <v>8906.8401297363343</v>
      </c>
      <c r="J95" s="180">
        <f t="shared" si="219"/>
        <v>54755.567999999999</v>
      </c>
      <c r="K95" s="883">
        <f t="shared" si="240"/>
        <v>2155.5388208218014</v>
      </c>
      <c r="L95" s="883">
        <f t="shared" si="241"/>
        <v>2156.438419706908</v>
      </c>
      <c r="M95" s="883">
        <f t="shared" si="242"/>
        <v>2115.7091090700687</v>
      </c>
      <c r="N95" s="883">
        <f t="shared" si="243"/>
        <v>2149.0464584197816</v>
      </c>
      <c r="O95" s="883">
        <f t="shared" si="244"/>
        <v>2055.9287692161747</v>
      </c>
      <c r="P95" s="883">
        <f t="shared" si="245"/>
        <v>2065.5625842007762</v>
      </c>
      <c r="Q95" s="180">
        <f t="shared" si="220"/>
        <v>12698.22416143551</v>
      </c>
      <c r="R95" s="883">
        <f t="shared" si="233"/>
        <v>7139.2846899016968</v>
      </c>
      <c r="S95" s="883">
        <f t="shared" si="221"/>
        <v>7142.2642198853155</v>
      </c>
      <c r="T95" s="883">
        <f t="shared" si="222"/>
        <v>7007.3660955504565</v>
      </c>
      <c r="U95" s="883">
        <f t="shared" si="223"/>
        <v>7117.7815636066389</v>
      </c>
      <c r="V95" s="883">
        <f t="shared" si="224"/>
        <v>6809.3697240848232</v>
      </c>
      <c r="W95" s="883">
        <f t="shared" si="225"/>
        <v>6841.2775455355586</v>
      </c>
      <c r="X95" s="180">
        <f t="shared" si="226"/>
        <v>42057.343838564484</v>
      </c>
      <c r="Y95" s="883"/>
      <c r="Z95" s="883"/>
      <c r="AA95" s="883"/>
      <c r="AB95" s="883"/>
      <c r="AC95" s="883"/>
      <c r="AD95" s="883"/>
      <c r="AE95" s="180"/>
      <c r="AF95" s="526"/>
      <c r="AG95" s="1415">
        <f>'PDYG-200'!$D$32</f>
        <v>0.23190745024205595</v>
      </c>
      <c r="AH95" s="1415">
        <f>'PDYG-200'!$E$32</f>
        <v>0.30353035303530351</v>
      </c>
      <c r="AI95" s="1415">
        <f>'PDYG-200'!$F$32</f>
        <v>0.46456219672264054</v>
      </c>
      <c r="AK95" s="526"/>
      <c r="AL95" s="526"/>
      <c r="AM95" s="526"/>
      <c r="AN95" s="526"/>
      <c r="AO95" s="526"/>
      <c r="AP95" s="526"/>
      <c r="AQ95" s="569"/>
    </row>
    <row r="96" spans="2:43">
      <c r="C96" s="887" t="s">
        <v>305</v>
      </c>
      <c r="D96" s="883">
        <f>MCDO800!$M96*D$152</f>
        <v>0</v>
      </c>
      <c r="E96" s="883">
        <f>MCDO800!$M96*E$152</f>
        <v>0</v>
      </c>
      <c r="F96" s="883">
        <f>MCDO800!$M96*F$152</f>
        <v>0</v>
      </c>
      <c r="G96" s="883">
        <f>MCDO800!$M96*G$152</f>
        <v>0</v>
      </c>
      <c r="H96" s="883">
        <f>MCDO800!$M96*H$152</f>
        <v>0</v>
      </c>
      <c r="I96" s="883">
        <f>MCDO800!$M96*I$152</f>
        <v>0</v>
      </c>
      <c r="J96" s="180">
        <f t="shared" si="219"/>
        <v>0</v>
      </c>
      <c r="K96" s="883">
        <f t="shared" si="240"/>
        <v>0</v>
      </c>
      <c r="L96" s="883">
        <f t="shared" si="241"/>
        <v>0</v>
      </c>
      <c r="M96" s="883">
        <f t="shared" si="242"/>
        <v>0</v>
      </c>
      <c r="N96" s="883">
        <f t="shared" si="243"/>
        <v>0</v>
      </c>
      <c r="O96" s="883">
        <f t="shared" si="244"/>
        <v>0</v>
      </c>
      <c r="P96" s="883">
        <f t="shared" si="245"/>
        <v>0</v>
      </c>
      <c r="Q96" s="180">
        <f t="shared" si="220"/>
        <v>0</v>
      </c>
      <c r="R96" s="883">
        <f t="shared" si="233"/>
        <v>0</v>
      </c>
      <c r="S96" s="883">
        <f t="shared" si="221"/>
        <v>0</v>
      </c>
      <c r="T96" s="883">
        <f t="shared" si="222"/>
        <v>0</v>
      </c>
      <c r="U96" s="883">
        <f t="shared" si="223"/>
        <v>0</v>
      </c>
      <c r="V96" s="883">
        <f t="shared" si="224"/>
        <v>0</v>
      </c>
      <c r="W96" s="883">
        <f t="shared" si="225"/>
        <v>0</v>
      </c>
      <c r="X96" s="180">
        <f t="shared" si="226"/>
        <v>0</v>
      </c>
      <c r="Y96" s="883"/>
      <c r="Z96" s="883"/>
      <c r="AA96" s="883"/>
      <c r="AB96" s="883"/>
      <c r="AC96" s="883"/>
      <c r="AD96" s="883"/>
      <c r="AE96" s="180"/>
      <c r="AF96" s="526"/>
      <c r="AG96" s="1415">
        <f>'PDYG-200'!$D$32</f>
        <v>0.23190745024205595</v>
      </c>
      <c r="AH96" s="1415">
        <f>'PDYG-200'!$E$32</f>
        <v>0.30353035303530351</v>
      </c>
      <c r="AI96" s="1415">
        <f>'PDYG-200'!$F$32</f>
        <v>0.46456219672264054</v>
      </c>
      <c r="AK96" s="526"/>
      <c r="AL96" s="526"/>
      <c r="AM96" s="526"/>
      <c r="AN96" s="526"/>
      <c r="AO96" s="526"/>
      <c r="AP96" s="526"/>
      <c r="AQ96" s="569"/>
    </row>
    <row r="97" spans="2:43">
      <c r="C97" s="887" t="s">
        <v>307</v>
      </c>
      <c r="D97" s="883">
        <f>MCDO800!$M97*D$152</f>
        <v>0</v>
      </c>
      <c r="E97" s="883">
        <f>MCDO800!$M97*E$152</f>
        <v>0</v>
      </c>
      <c r="F97" s="883">
        <f>MCDO800!$M97*F$152</f>
        <v>0</v>
      </c>
      <c r="G97" s="883">
        <f>MCDO800!$M97*G$152</f>
        <v>0</v>
      </c>
      <c r="H97" s="883">
        <f>MCDO800!$M97*H$152</f>
        <v>0</v>
      </c>
      <c r="I97" s="883">
        <f>MCDO800!$M97*I$152</f>
        <v>0</v>
      </c>
      <c r="J97" s="180">
        <f t="shared" si="219"/>
        <v>0</v>
      </c>
      <c r="K97" s="883">
        <f t="shared" si="240"/>
        <v>0</v>
      </c>
      <c r="L97" s="883">
        <f t="shared" si="241"/>
        <v>0</v>
      </c>
      <c r="M97" s="883">
        <f t="shared" si="242"/>
        <v>0</v>
      </c>
      <c r="N97" s="883">
        <f t="shared" si="243"/>
        <v>0</v>
      </c>
      <c r="O97" s="883">
        <f t="shared" si="244"/>
        <v>0</v>
      </c>
      <c r="P97" s="883">
        <f t="shared" si="245"/>
        <v>0</v>
      </c>
      <c r="Q97" s="180">
        <f t="shared" si="220"/>
        <v>0</v>
      </c>
      <c r="R97" s="883">
        <f t="shared" si="233"/>
        <v>0</v>
      </c>
      <c r="S97" s="883">
        <f t="shared" si="221"/>
        <v>0</v>
      </c>
      <c r="T97" s="883">
        <f t="shared" si="222"/>
        <v>0</v>
      </c>
      <c r="U97" s="883">
        <f t="shared" si="223"/>
        <v>0</v>
      </c>
      <c r="V97" s="883">
        <f t="shared" si="224"/>
        <v>0</v>
      </c>
      <c r="W97" s="883">
        <f t="shared" si="225"/>
        <v>0</v>
      </c>
      <c r="X97" s="180">
        <f t="shared" si="226"/>
        <v>0</v>
      </c>
      <c r="Y97" s="883"/>
      <c r="Z97" s="883"/>
      <c r="AA97" s="883"/>
      <c r="AB97" s="883"/>
      <c r="AC97" s="883"/>
      <c r="AD97" s="883"/>
      <c r="AE97" s="180"/>
      <c r="AF97" s="526"/>
      <c r="AG97" s="1415">
        <f>'PDYG-200'!$D$32</f>
        <v>0.23190745024205595</v>
      </c>
      <c r="AH97" s="1415">
        <f>'PDYG-200'!$E$32</f>
        <v>0.30353035303530351</v>
      </c>
      <c r="AI97" s="1415">
        <f>'PDYG-200'!$F$32</f>
        <v>0.46456219672264054</v>
      </c>
      <c r="AK97" s="526"/>
      <c r="AL97" s="526"/>
      <c r="AM97" s="526"/>
      <c r="AN97" s="526"/>
      <c r="AO97" s="526"/>
      <c r="AP97" s="526"/>
      <c r="AQ97" s="569"/>
    </row>
    <row r="98" spans="2:43">
      <c r="C98" s="887" t="s">
        <v>624</v>
      </c>
      <c r="D98" s="883">
        <f>MCDO800!$M98*D$152</f>
        <v>0</v>
      </c>
      <c r="E98" s="883">
        <f>MCDO800!$M98*E$152</f>
        <v>0</v>
      </c>
      <c r="F98" s="883">
        <f>MCDO800!$M98*F$152</f>
        <v>0</v>
      </c>
      <c r="G98" s="883">
        <f>MCDO800!$M98*G$152</f>
        <v>0</v>
      </c>
      <c r="H98" s="883">
        <f>MCDO800!$M98*H$152</f>
        <v>0</v>
      </c>
      <c r="I98" s="883">
        <f>MCDO800!$M98*I$152</f>
        <v>0</v>
      </c>
      <c r="J98" s="180">
        <f t="shared" si="219"/>
        <v>0</v>
      </c>
      <c r="K98" s="883">
        <f t="shared" si="240"/>
        <v>0</v>
      </c>
      <c r="L98" s="883">
        <f t="shared" si="241"/>
        <v>0</v>
      </c>
      <c r="M98" s="883">
        <f t="shared" si="242"/>
        <v>0</v>
      </c>
      <c r="N98" s="883">
        <f t="shared" si="243"/>
        <v>0</v>
      </c>
      <c r="O98" s="883">
        <f t="shared" si="244"/>
        <v>0</v>
      </c>
      <c r="P98" s="883">
        <f t="shared" si="245"/>
        <v>0</v>
      </c>
      <c r="Q98" s="180">
        <f t="shared" si="220"/>
        <v>0</v>
      </c>
      <c r="R98" s="883">
        <f t="shared" si="233"/>
        <v>0</v>
      </c>
      <c r="S98" s="883">
        <f t="shared" si="221"/>
        <v>0</v>
      </c>
      <c r="T98" s="883">
        <f t="shared" si="222"/>
        <v>0</v>
      </c>
      <c r="U98" s="883">
        <f t="shared" si="223"/>
        <v>0</v>
      </c>
      <c r="V98" s="883">
        <f t="shared" si="224"/>
        <v>0</v>
      </c>
      <c r="W98" s="883">
        <f t="shared" si="225"/>
        <v>0</v>
      </c>
      <c r="X98" s="180">
        <f t="shared" si="226"/>
        <v>0</v>
      </c>
      <c r="Y98" s="883"/>
      <c r="Z98" s="883"/>
      <c r="AA98" s="883"/>
      <c r="AB98" s="883"/>
      <c r="AC98" s="883"/>
      <c r="AD98" s="883"/>
      <c r="AE98" s="180"/>
      <c r="AF98" s="526"/>
      <c r="AG98" s="1415">
        <f>'PDYG-200'!$D$32</f>
        <v>0.23190745024205595</v>
      </c>
      <c r="AH98" s="1415">
        <f>'PDYG-200'!$E$32</f>
        <v>0.30353035303530351</v>
      </c>
      <c r="AI98" s="1415">
        <f>'PDYG-200'!$F$32</f>
        <v>0.46456219672264054</v>
      </c>
      <c r="AK98" s="526"/>
      <c r="AL98" s="526"/>
      <c r="AM98" s="526"/>
      <c r="AN98" s="526"/>
      <c r="AO98" s="526"/>
      <c r="AP98" s="526"/>
      <c r="AQ98" s="569"/>
    </row>
    <row r="99" spans="2:43">
      <c r="B99" s="48" t="s">
        <v>902</v>
      </c>
      <c r="C99" s="882" t="s">
        <v>1209</v>
      </c>
      <c r="D99" s="881">
        <f>SUBTOTAL(9,D100:D105)</f>
        <v>121513.86391309834</v>
      </c>
      <c r="E99" s="881">
        <f t="shared" ref="E99:W99" si="246">SUBTOTAL(9,E100:E105)</f>
        <v>121564.57686498085</v>
      </c>
      <c r="F99" s="881">
        <f t="shared" si="246"/>
        <v>119268.54959690673</v>
      </c>
      <c r="G99" s="881">
        <f t="shared" si="246"/>
        <v>121147.87094940273</v>
      </c>
      <c r="H99" s="881">
        <f t="shared" si="246"/>
        <v>115898.56154031704</v>
      </c>
      <c r="I99" s="881">
        <f t="shared" si="246"/>
        <v>116441.64713529441</v>
      </c>
      <c r="J99" s="180">
        <f t="shared" si="219"/>
        <v>715835.07000000007</v>
      </c>
      <c r="K99" s="881">
        <f t="shared" si="246"/>
        <v>28179.97034914681</v>
      </c>
      <c r="L99" s="881">
        <f t="shared" si="246"/>
        <v>28191.731060512131</v>
      </c>
      <c r="M99" s="881">
        <f t="shared" si="246"/>
        <v>27659.265231086829</v>
      </c>
      <c r="N99" s="881">
        <f t="shared" si="246"/>
        <v>28095.093854129631</v>
      </c>
      <c r="O99" s="881">
        <f t="shared" si="246"/>
        <v>26877.739893536935</v>
      </c>
      <c r="P99" s="881">
        <f t="shared" si="246"/>
        <v>27003.685489131323</v>
      </c>
      <c r="Q99" s="180">
        <f t="shared" si="220"/>
        <v>166007.48587754366</v>
      </c>
      <c r="R99" s="881">
        <f t="shared" si="246"/>
        <v>93333.893563951526</v>
      </c>
      <c r="S99" s="881">
        <f t="shared" si="246"/>
        <v>93372.845804468714</v>
      </c>
      <c r="T99" s="881">
        <f t="shared" si="246"/>
        <v>91609.284365819884</v>
      </c>
      <c r="U99" s="881">
        <f t="shared" si="246"/>
        <v>93052.777095273093</v>
      </c>
      <c r="V99" s="881">
        <f t="shared" si="246"/>
        <v>89020.82164678011</v>
      </c>
      <c r="W99" s="881">
        <f t="shared" si="246"/>
        <v>89437.961646163079</v>
      </c>
      <c r="X99" s="180">
        <f t="shared" si="226"/>
        <v>549827.58412245638</v>
      </c>
      <c r="Y99" s="881"/>
      <c r="Z99" s="881"/>
      <c r="AA99" s="881"/>
      <c r="AB99" s="881"/>
      <c r="AC99" s="881"/>
      <c r="AD99" s="881"/>
      <c r="AE99" s="180"/>
      <c r="AF99" s="526"/>
      <c r="AG99" s="1415">
        <f>'PDYG-200'!$D$32</f>
        <v>0.23190745024205595</v>
      </c>
      <c r="AH99" s="1415">
        <f>'PDYG-200'!$E$32</f>
        <v>0.30353035303530351</v>
      </c>
      <c r="AI99" s="1415">
        <f>'PDYG-200'!$F$32</f>
        <v>0.46456219672264054</v>
      </c>
      <c r="AK99" s="526"/>
      <c r="AL99" s="526"/>
      <c r="AM99" s="526"/>
      <c r="AN99" s="526"/>
      <c r="AO99" s="526"/>
      <c r="AP99" s="526"/>
      <c r="AQ99" s="569"/>
    </row>
    <row r="100" spans="2:43">
      <c r="C100" s="887" t="s">
        <v>304</v>
      </c>
      <c r="D100" s="883">
        <f>MCDO800!$M100*D$152</f>
        <v>116940.47216957997</v>
      </c>
      <c r="E100" s="883">
        <f>MCDO800!$M100*E$152</f>
        <v>116989.27644875666</v>
      </c>
      <c r="F100" s="883">
        <f>MCDO800!$M100*F$152</f>
        <v>114779.66427615027</v>
      </c>
      <c r="G100" s="883">
        <f>MCDO800!$M100*G$152</f>
        <v>116588.25400609603</v>
      </c>
      <c r="H100" s="883">
        <f>MCDO800!$M100*H$152</f>
        <v>111536.51175138752</v>
      </c>
      <c r="I100" s="883">
        <f>MCDO800!$M100*I$152</f>
        <v>112059.15734802964</v>
      </c>
      <c r="J100" s="180">
        <f t="shared" si="219"/>
        <v>688893.33600000013</v>
      </c>
      <c r="K100" s="883">
        <f t="shared" ref="K100:P105" si="247">D100*$AG100</f>
        <v>27119.366730949394</v>
      </c>
      <c r="L100" s="883">
        <f t="shared" si="247"/>
        <v>27130.684806894162</v>
      </c>
      <c r="M100" s="883">
        <f t="shared" si="247"/>
        <v>26618.259281921208</v>
      </c>
      <c r="N100" s="883">
        <f t="shared" si="247"/>
        <v>27037.684714726896</v>
      </c>
      <c r="O100" s="883">
        <f t="shared" si="247"/>
        <v>25866.148049157389</v>
      </c>
      <c r="P100" s="883">
        <f t="shared" si="247"/>
        <v>25987.3534568549</v>
      </c>
      <c r="Q100" s="180">
        <f t="shared" si="220"/>
        <v>159759.49704050398</v>
      </c>
      <c r="R100" s="883">
        <f t="shared" si="233"/>
        <v>89821.105438630577</v>
      </c>
      <c r="S100" s="883">
        <f t="shared" si="221"/>
        <v>89858.591641862498</v>
      </c>
      <c r="T100" s="883">
        <f t="shared" si="222"/>
        <v>88161.404994229059</v>
      </c>
      <c r="U100" s="883">
        <f t="shared" si="223"/>
        <v>89550.569291369131</v>
      </c>
      <c r="V100" s="883">
        <f t="shared" si="224"/>
        <v>85670.363702230126</v>
      </c>
      <c r="W100" s="883">
        <f t="shared" si="225"/>
        <v>86071.803891174728</v>
      </c>
      <c r="X100" s="180">
        <f t="shared" si="226"/>
        <v>529133.83895949612</v>
      </c>
      <c r="Y100" s="883"/>
      <c r="Z100" s="883"/>
      <c r="AA100" s="883"/>
      <c r="AB100" s="883"/>
      <c r="AC100" s="883"/>
      <c r="AD100" s="883"/>
      <c r="AE100" s="180"/>
      <c r="AF100" s="526"/>
      <c r="AG100" s="1415">
        <f>'PDYG-200'!$D$32</f>
        <v>0.23190745024205595</v>
      </c>
      <c r="AH100" s="1415">
        <f>'PDYG-200'!$E$32</f>
        <v>0.30353035303530351</v>
      </c>
      <c r="AI100" s="1415">
        <f>'PDYG-200'!$F$32</f>
        <v>0.46456219672264054</v>
      </c>
      <c r="AK100" s="526"/>
      <c r="AL100" s="526"/>
      <c r="AM100" s="526"/>
      <c r="AN100" s="526"/>
      <c r="AO100" s="526"/>
      <c r="AP100" s="526"/>
      <c r="AQ100" s="569"/>
    </row>
    <row r="101" spans="2:43">
      <c r="C101" s="889" t="s">
        <v>642</v>
      </c>
      <c r="D101" s="883">
        <f>MCDO800!$M101*D$152</f>
        <v>4573.3917435183694</v>
      </c>
      <c r="E101" s="883">
        <f>MCDO800!$M101*E$152</f>
        <v>4575.3004162241832</v>
      </c>
      <c r="F101" s="883">
        <f>MCDO800!$M101*F$152</f>
        <v>4488.8853207564525</v>
      </c>
      <c r="G101" s="883">
        <f>MCDO800!$M101*G$152</f>
        <v>4559.6169433066971</v>
      </c>
      <c r="H101" s="883">
        <f>MCDO800!$M101*H$152</f>
        <v>4362.0497889295248</v>
      </c>
      <c r="I101" s="883">
        <f>MCDO800!$M101*I$152</f>
        <v>4382.4897872647725</v>
      </c>
      <c r="J101" s="180">
        <f t="shared" si="219"/>
        <v>26941.734000000004</v>
      </c>
      <c r="K101" s="883">
        <f t="shared" si="247"/>
        <v>1060.6036181974157</v>
      </c>
      <c r="L101" s="883">
        <f t="shared" si="247"/>
        <v>1061.0462536179675</v>
      </c>
      <c r="M101" s="883">
        <f t="shared" si="247"/>
        <v>1041.0059491656223</v>
      </c>
      <c r="N101" s="883">
        <f t="shared" si="247"/>
        <v>1057.409139402733</v>
      </c>
      <c r="O101" s="883">
        <f t="shared" si="247"/>
        <v>1011.5918443795445</v>
      </c>
      <c r="P101" s="883">
        <f t="shared" si="247"/>
        <v>1016.3320322764235</v>
      </c>
      <c r="Q101" s="180">
        <f t="shared" si="220"/>
        <v>6247.9888370397066</v>
      </c>
      <c r="R101" s="883">
        <f t="shared" si="233"/>
        <v>3512.7881253209534</v>
      </c>
      <c r="S101" s="883">
        <f t="shared" si="221"/>
        <v>3514.2541626062157</v>
      </c>
      <c r="T101" s="883">
        <f t="shared" si="222"/>
        <v>3447.8793715908305</v>
      </c>
      <c r="U101" s="883">
        <f t="shared" si="223"/>
        <v>3502.2078039039643</v>
      </c>
      <c r="V101" s="883">
        <f t="shared" si="224"/>
        <v>3350.4579445499803</v>
      </c>
      <c r="W101" s="883">
        <f t="shared" si="225"/>
        <v>3366.1577549883491</v>
      </c>
      <c r="X101" s="180">
        <f t="shared" si="226"/>
        <v>20693.745162960291</v>
      </c>
      <c r="Y101" s="883"/>
      <c r="Z101" s="883"/>
      <c r="AA101" s="883"/>
      <c r="AB101" s="883"/>
      <c r="AC101" s="883"/>
      <c r="AD101" s="883"/>
      <c r="AE101" s="180"/>
      <c r="AF101" s="526"/>
      <c r="AG101" s="1415">
        <f>'PDYG-200'!$D$32</f>
        <v>0.23190745024205595</v>
      </c>
      <c r="AH101" s="1415">
        <f>'PDYG-200'!$E$32</f>
        <v>0.30353035303530351</v>
      </c>
      <c r="AI101" s="1415">
        <f>'PDYG-200'!$F$32</f>
        <v>0.46456219672264054</v>
      </c>
      <c r="AK101" s="526"/>
      <c r="AL101" s="526"/>
      <c r="AM101" s="526"/>
      <c r="AN101" s="526"/>
      <c r="AO101" s="526"/>
      <c r="AP101" s="526"/>
      <c r="AQ101" s="569"/>
    </row>
    <row r="102" spans="2:43">
      <c r="C102" s="889" t="s">
        <v>1177</v>
      </c>
      <c r="D102" s="883">
        <f>MCDO800!$M102*D$152</f>
        <v>0</v>
      </c>
      <c r="E102" s="883">
        <f>MCDO800!$M102*E$152</f>
        <v>0</v>
      </c>
      <c r="F102" s="883">
        <f>MCDO800!$M102*F$152</f>
        <v>0</v>
      </c>
      <c r="G102" s="883">
        <f>MCDO800!$M102*G$152</f>
        <v>0</v>
      </c>
      <c r="H102" s="883">
        <f>MCDO800!$M102*H$152</f>
        <v>0</v>
      </c>
      <c r="I102" s="883">
        <f>MCDO800!$M102*I$152</f>
        <v>0</v>
      </c>
      <c r="J102" s="180">
        <f t="shared" si="219"/>
        <v>0</v>
      </c>
      <c r="K102" s="883">
        <f t="shared" si="247"/>
        <v>0</v>
      </c>
      <c r="L102" s="883">
        <f t="shared" si="247"/>
        <v>0</v>
      </c>
      <c r="M102" s="883">
        <f t="shared" si="247"/>
        <v>0</v>
      </c>
      <c r="N102" s="883">
        <f t="shared" si="247"/>
        <v>0</v>
      </c>
      <c r="O102" s="883">
        <f t="shared" si="247"/>
        <v>0</v>
      </c>
      <c r="P102" s="883">
        <f t="shared" si="247"/>
        <v>0</v>
      </c>
      <c r="Q102" s="180">
        <f t="shared" si="220"/>
        <v>0</v>
      </c>
      <c r="R102" s="883">
        <f t="shared" si="233"/>
        <v>0</v>
      </c>
      <c r="S102" s="883">
        <f t="shared" si="221"/>
        <v>0</v>
      </c>
      <c r="T102" s="883">
        <f t="shared" si="222"/>
        <v>0</v>
      </c>
      <c r="U102" s="883">
        <f t="shared" si="223"/>
        <v>0</v>
      </c>
      <c r="V102" s="883">
        <f t="shared" si="224"/>
        <v>0</v>
      </c>
      <c r="W102" s="883">
        <f t="shared" si="225"/>
        <v>0</v>
      </c>
      <c r="X102" s="180">
        <f t="shared" si="226"/>
        <v>0</v>
      </c>
      <c r="Y102" s="883"/>
      <c r="Z102" s="883"/>
      <c r="AA102" s="883"/>
      <c r="AB102" s="883"/>
      <c r="AC102" s="883"/>
      <c r="AD102" s="883"/>
      <c r="AE102" s="180"/>
      <c r="AF102" s="526"/>
      <c r="AG102" s="1415">
        <f>'PDYG-200'!$D$32</f>
        <v>0.23190745024205595</v>
      </c>
      <c r="AH102" s="1415">
        <f>'PDYG-200'!$E$32</f>
        <v>0.30353035303530351</v>
      </c>
      <c r="AI102" s="1415">
        <f>'PDYG-200'!$F$32</f>
        <v>0.46456219672264054</v>
      </c>
      <c r="AK102" s="526"/>
      <c r="AL102" s="526"/>
      <c r="AM102" s="526"/>
      <c r="AN102" s="526"/>
      <c r="AO102" s="526"/>
      <c r="AP102" s="526"/>
      <c r="AQ102" s="569"/>
    </row>
    <row r="103" spans="2:43">
      <c r="C103" s="887" t="s">
        <v>305</v>
      </c>
      <c r="D103" s="883">
        <f>MCDO800!$M103*D$152</f>
        <v>0</v>
      </c>
      <c r="E103" s="883">
        <f>MCDO800!$M103*E$152</f>
        <v>0</v>
      </c>
      <c r="F103" s="883">
        <f>MCDO800!$M103*F$152</f>
        <v>0</v>
      </c>
      <c r="G103" s="883">
        <f>MCDO800!$M103*G$152</f>
        <v>0</v>
      </c>
      <c r="H103" s="883">
        <f>MCDO800!$M103*H$152</f>
        <v>0</v>
      </c>
      <c r="I103" s="883">
        <f>MCDO800!$M103*I$152</f>
        <v>0</v>
      </c>
      <c r="J103" s="180">
        <f t="shared" si="219"/>
        <v>0</v>
      </c>
      <c r="K103" s="883">
        <f t="shared" si="247"/>
        <v>0</v>
      </c>
      <c r="L103" s="883">
        <f t="shared" si="247"/>
        <v>0</v>
      </c>
      <c r="M103" s="883">
        <f t="shared" si="247"/>
        <v>0</v>
      </c>
      <c r="N103" s="883">
        <f t="shared" si="247"/>
        <v>0</v>
      </c>
      <c r="O103" s="883">
        <f t="shared" si="247"/>
        <v>0</v>
      </c>
      <c r="P103" s="883">
        <f t="shared" si="247"/>
        <v>0</v>
      </c>
      <c r="Q103" s="180">
        <f t="shared" si="220"/>
        <v>0</v>
      </c>
      <c r="R103" s="883">
        <f t="shared" si="233"/>
        <v>0</v>
      </c>
      <c r="S103" s="883">
        <f t="shared" si="221"/>
        <v>0</v>
      </c>
      <c r="T103" s="883">
        <f t="shared" si="222"/>
        <v>0</v>
      </c>
      <c r="U103" s="883">
        <f t="shared" si="223"/>
        <v>0</v>
      </c>
      <c r="V103" s="883">
        <f t="shared" si="224"/>
        <v>0</v>
      </c>
      <c r="W103" s="883">
        <f t="shared" si="225"/>
        <v>0</v>
      </c>
      <c r="X103" s="180">
        <f t="shared" si="226"/>
        <v>0</v>
      </c>
      <c r="Y103" s="883"/>
      <c r="Z103" s="883"/>
      <c r="AA103" s="883"/>
      <c r="AB103" s="883"/>
      <c r="AC103" s="883"/>
      <c r="AD103" s="883"/>
      <c r="AE103" s="180"/>
      <c r="AG103" s="1415">
        <f>'PDYG-200'!$D$32</f>
        <v>0.23190745024205595</v>
      </c>
      <c r="AH103" s="1415">
        <f>'PDYG-200'!$E$32</f>
        <v>0.30353035303530351</v>
      </c>
      <c r="AI103" s="1415">
        <f>'PDYG-200'!$F$32</f>
        <v>0.46456219672264054</v>
      </c>
    </row>
    <row r="104" spans="2:43">
      <c r="C104" s="887" t="s">
        <v>307</v>
      </c>
      <c r="D104" s="883">
        <f>MCDO800!$M104*D$152</f>
        <v>0</v>
      </c>
      <c r="E104" s="883">
        <f>MCDO800!$M104*E$152</f>
        <v>0</v>
      </c>
      <c r="F104" s="883">
        <f>MCDO800!$M104*F$152</f>
        <v>0</v>
      </c>
      <c r="G104" s="883">
        <f>MCDO800!$M104*G$152</f>
        <v>0</v>
      </c>
      <c r="H104" s="883">
        <f>MCDO800!$M104*H$152</f>
        <v>0</v>
      </c>
      <c r="I104" s="883">
        <f>MCDO800!$M104*I$152</f>
        <v>0</v>
      </c>
      <c r="J104" s="180">
        <f t="shared" si="219"/>
        <v>0</v>
      </c>
      <c r="K104" s="883">
        <f t="shared" si="247"/>
        <v>0</v>
      </c>
      <c r="L104" s="883">
        <f t="shared" si="247"/>
        <v>0</v>
      </c>
      <c r="M104" s="883">
        <f t="shared" si="247"/>
        <v>0</v>
      </c>
      <c r="N104" s="883">
        <f t="shared" si="247"/>
        <v>0</v>
      </c>
      <c r="O104" s="883">
        <f t="shared" si="247"/>
        <v>0</v>
      </c>
      <c r="P104" s="883">
        <f t="shared" si="247"/>
        <v>0</v>
      </c>
      <c r="Q104" s="180">
        <f t="shared" si="220"/>
        <v>0</v>
      </c>
      <c r="R104" s="883">
        <f t="shared" si="233"/>
        <v>0</v>
      </c>
      <c r="S104" s="883">
        <f t="shared" si="221"/>
        <v>0</v>
      </c>
      <c r="T104" s="883">
        <f t="shared" si="222"/>
        <v>0</v>
      </c>
      <c r="U104" s="883">
        <f t="shared" si="223"/>
        <v>0</v>
      </c>
      <c r="V104" s="883">
        <f t="shared" si="224"/>
        <v>0</v>
      </c>
      <c r="W104" s="883">
        <f t="shared" si="225"/>
        <v>0</v>
      </c>
      <c r="X104" s="180">
        <f t="shared" si="226"/>
        <v>0</v>
      </c>
      <c r="Y104" s="883"/>
      <c r="Z104" s="883"/>
      <c r="AA104" s="883"/>
      <c r="AB104" s="883"/>
      <c r="AC104" s="883"/>
      <c r="AD104" s="883"/>
      <c r="AE104" s="180"/>
      <c r="AG104" s="1415">
        <f>'PDYG-200'!$D$32</f>
        <v>0.23190745024205595</v>
      </c>
      <c r="AH104" s="1415">
        <f>'PDYG-200'!$E$32</f>
        <v>0.30353035303530351</v>
      </c>
      <c r="AI104" s="1415">
        <f>'PDYG-200'!$F$32</f>
        <v>0.46456219672264054</v>
      </c>
    </row>
    <row r="105" spans="2:43">
      <c r="C105" s="887" t="s">
        <v>624</v>
      </c>
      <c r="D105" s="883">
        <f>MCDO800!$M105*D$152</f>
        <v>0</v>
      </c>
      <c r="E105" s="883">
        <f>MCDO800!$M105*E$152</f>
        <v>0</v>
      </c>
      <c r="F105" s="883">
        <f>MCDO800!$M105*F$152</f>
        <v>0</v>
      </c>
      <c r="G105" s="883">
        <f>MCDO800!$M105*G$152</f>
        <v>0</v>
      </c>
      <c r="H105" s="883">
        <f>MCDO800!$M105*H$152</f>
        <v>0</v>
      </c>
      <c r="I105" s="883">
        <f>MCDO800!$M105*I$152</f>
        <v>0</v>
      </c>
      <c r="J105" s="180">
        <f t="shared" si="219"/>
        <v>0</v>
      </c>
      <c r="K105" s="883">
        <f t="shared" si="247"/>
        <v>0</v>
      </c>
      <c r="L105" s="883">
        <f t="shared" si="247"/>
        <v>0</v>
      </c>
      <c r="M105" s="883">
        <f t="shared" si="247"/>
        <v>0</v>
      </c>
      <c r="N105" s="883">
        <f t="shared" si="247"/>
        <v>0</v>
      </c>
      <c r="O105" s="883">
        <f t="shared" si="247"/>
        <v>0</v>
      </c>
      <c r="P105" s="883">
        <f t="shared" si="247"/>
        <v>0</v>
      </c>
      <c r="Q105" s="180">
        <f t="shared" si="220"/>
        <v>0</v>
      </c>
      <c r="R105" s="883">
        <f t="shared" si="233"/>
        <v>0</v>
      </c>
      <c r="S105" s="883">
        <f t="shared" si="221"/>
        <v>0</v>
      </c>
      <c r="T105" s="883">
        <f t="shared" si="222"/>
        <v>0</v>
      </c>
      <c r="U105" s="883">
        <f t="shared" si="223"/>
        <v>0</v>
      </c>
      <c r="V105" s="883">
        <f t="shared" si="224"/>
        <v>0</v>
      </c>
      <c r="W105" s="883">
        <f t="shared" si="225"/>
        <v>0</v>
      </c>
      <c r="X105" s="180">
        <f t="shared" si="226"/>
        <v>0</v>
      </c>
      <c r="Y105" s="883"/>
      <c r="Z105" s="883"/>
      <c r="AA105" s="883"/>
      <c r="AB105" s="883"/>
      <c r="AC105" s="883"/>
      <c r="AD105" s="883"/>
      <c r="AE105" s="180"/>
      <c r="AG105" s="1415">
        <f>'PDYG-200'!$D$32</f>
        <v>0.23190745024205595</v>
      </c>
      <c r="AH105" s="1415">
        <f>'PDYG-200'!$E$32</f>
        <v>0.30353035303530351</v>
      </c>
      <c r="AI105" s="1415">
        <f>'PDYG-200'!$F$32</f>
        <v>0.46456219672264054</v>
      </c>
    </row>
    <row r="106" spans="2:43">
      <c r="C106" s="884"/>
      <c r="D106" s="883"/>
      <c r="E106" s="883"/>
      <c r="F106" s="883"/>
      <c r="G106" s="883"/>
      <c r="H106" s="883"/>
      <c r="I106" s="883"/>
      <c r="J106" s="180">
        <f t="shared" si="219"/>
        <v>0</v>
      </c>
      <c r="K106" s="883"/>
      <c r="L106" s="883"/>
      <c r="M106" s="883"/>
      <c r="N106" s="883"/>
      <c r="O106" s="883"/>
      <c r="P106" s="883"/>
      <c r="Q106" s="180">
        <f t="shared" si="220"/>
        <v>0</v>
      </c>
      <c r="R106" s="883">
        <f t="shared" si="233"/>
        <v>0</v>
      </c>
      <c r="S106" s="883">
        <f t="shared" si="221"/>
        <v>0</v>
      </c>
      <c r="T106" s="883">
        <f t="shared" si="222"/>
        <v>0</v>
      </c>
      <c r="U106" s="883">
        <f t="shared" si="223"/>
        <v>0</v>
      </c>
      <c r="V106" s="883">
        <f t="shared" si="224"/>
        <v>0</v>
      </c>
      <c r="W106" s="883">
        <f t="shared" si="225"/>
        <v>0</v>
      </c>
      <c r="X106" s="180">
        <f t="shared" si="226"/>
        <v>0</v>
      </c>
      <c r="Y106" s="883"/>
      <c r="Z106" s="883"/>
      <c r="AA106" s="883"/>
      <c r="AB106" s="883"/>
      <c r="AC106" s="883"/>
      <c r="AD106" s="883"/>
      <c r="AE106" s="180"/>
      <c r="AG106" s="1412"/>
      <c r="AH106" s="1412"/>
      <c r="AI106" s="1412"/>
    </row>
    <row r="107" spans="2:43" s="52" customFormat="1">
      <c r="B107" s="37"/>
      <c r="C107" s="880" t="s">
        <v>322</v>
      </c>
      <c r="D107" s="881">
        <f>SUBTOTAL(9,D5:D106)</f>
        <v>283277659.15800005</v>
      </c>
      <c r="E107" s="881">
        <f t="shared" ref="E107:AD107" si="248">SUBTOTAL(9,E5:E106)</f>
        <v>283395883.08599997</v>
      </c>
      <c r="F107" s="881">
        <f t="shared" si="248"/>
        <v>278043298.54199994</v>
      </c>
      <c r="G107" s="881">
        <f t="shared" si="248"/>
        <v>282424442.68799996</v>
      </c>
      <c r="H107" s="881">
        <f t="shared" si="248"/>
        <v>270187056.48600006</v>
      </c>
      <c r="I107" s="881">
        <f t="shared" si="248"/>
        <v>271453117.91400003</v>
      </c>
      <c r="J107" s="180">
        <f t="shared" si="219"/>
        <v>1668781457.8740001</v>
      </c>
      <c r="K107" s="881">
        <f t="shared" si="248"/>
        <v>77852887.180652499</v>
      </c>
      <c r="L107" s="881">
        <f t="shared" si="248"/>
        <v>77885378.532621503</v>
      </c>
      <c r="M107" s="881">
        <f t="shared" si="248"/>
        <v>76414333.615533546</v>
      </c>
      <c r="N107" s="881">
        <f t="shared" si="248"/>
        <v>77618398.637584835</v>
      </c>
      <c r="O107" s="881">
        <f t="shared" si="248"/>
        <v>74255211.26092346</v>
      </c>
      <c r="P107" s="881">
        <f t="shared" si="248"/>
        <v>74603161.529260322</v>
      </c>
      <c r="Q107" s="180">
        <f t="shared" si="220"/>
        <v>458629370.75657618</v>
      </c>
      <c r="R107" s="881">
        <f t="shared" si="248"/>
        <v>193427717.74858099</v>
      </c>
      <c r="S107" s="881">
        <f t="shared" si="248"/>
        <v>193508443.53339756</v>
      </c>
      <c r="T107" s="881">
        <f t="shared" si="248"/>
        <v>189853586.21795484</v>
      </c>
      <c r="U107" s="881">
        <f t="shared" si="248"/>
        <v>192845123.59590545</v>
      </c>
      <c r="V107" s="881">
        <f t="shared" si="248"/>
        <v>184489178.89020023</v>
      </c>
      <c r="W107" s="881">
        <f t="shared" si="248"/>
        <v>185353672.26417461</v>
      </c>
      <c r="X107" s="180">
        <f t="shared" si="226"/>
        <v>1139477722.2502136</v>
      </c>
      <c r="Y107" s="881">
        <f t="shared" si="248"/>
        <v>11997054.228766423</v>
      </c>
      <c r="Z107" s="881">
        <f t="shared" si="248"/>
        <v>12002061.019980974</v>
      </c>
      <c r="AA107" s="881">
        <f t="shared" si="248"/>
        <v>11775378.708511543</v>
      </c>
      <c r="AB107" s="881">
        <f t="shared" si="248"/>
        <v>11960920.45450961</v>
      </c>
      <c r="AC107" s="881">
        <f t="shared" si="248"/>
        <v>11442666.334876321</v>
      </c>
      <c r="AD107" s="881">
        <f t="shared" si="248"/>
        <v>11496284.120565113</v>
      </c>
      <c r="AE107" s="180">
        <f t="shared" ref="AE107" si="249">SUM(Y107:AD107)</f>
        <v>70674364.867209986</v>
      </c>
      <c r="AG107" s="1412"/>
      <c r="AH107" s="1412"/>
      <c r="AI107" s="1412"/>
    </row>
    <row r="108" spans="2:43">
      <c r="C108" s="959" t="s">
        <v>87</v>
      </c>
      <c r="D108" s="883">
        <f>'AP602'!G43</f>
        <v>6366423</v>
      </c>
      <c r="E108" s="883">
        <f>'AP602'!H43</f>
        <v>6431729</v>
      </c>
      <c r="F108" s="883">
        <f>'AP602'!I43</f>
        <v>6497035</v>
      </c>
      <c r="G108" s="883">
        <f>'AP602'!J43</f>
        <v>6562341</v>
      </c>
      <c r="H108" s="883">
        <f>'AP602'!K43</f>
        <v>6627647</v>
      </c>
      <c r="I108" s="883">
        <f>'AP602'!L43</f>
        <v>6692953</v>
      </c>
      <c r="J108" s="180">
        <f t="shared" si="219"/>
        <v>39178128</v>
      </c>
      <c r="K108" s="883"/>
      <c r="L108" s="883"/>
      <c r="M108" s="883"/>
      <c r="N108" s="883"/>
      <c r="O108" s="883"/>
      <c r="P108" s="883"/>
      <c r="Q108" s="180">
        <f t="shared" si="220"/>
        <v>0</v>
      </c>
      <c r="R108" s="883">
        <f t="shared" si="233"/>
        <v>6366423</v>
      </c>
      <c r="S108" s="883">
        <f t="shared" si="221"/>
        <v>6431729</v>
      </c>
      <c r="T108" s="883">
        <f t="shared" si="222"/>
        <v>6497035</v>
      </c>
      <c r="U108" s="883">
        <f t="shared" si="223"/>
        <v>6562341</v>
      </c>
      <c r="V108" s="883">
        <f t="shared" si="224"/>
        <v>6627647</v>
      </c>
      <c r="W108" s="883">
        <f t="shared" si="225"/>
        <v>6692953</v>
      </c>
      <c r="X108" s="180">
        <f t="shared" si="226"/>
        <v>39178128</v>
      </c>
      <c r="Y108" s="883"/>
      <c r="Z108" s="883"/>
      <c r="AA108" s="883"/>
      <c r="AB108" s="883"/>
      <c r="AC108" s="883"/>
      <c r="AD108" s="883"/>
      <c r="AE108" s="180"/>
      <c r="AG108" s="1412"/>
      <c r="AH108" s="1412"/>
      <c r="AI108" s="1412"/>
    </row>
    <row r="109" spans="2:43" s="52" customFormat="1">
      <c r="B109" s="37"/>
      <c r="C109" s="880" t="s">
        <v>112</v>
      </c>
      <c r="D109" s="881">
        <f t="shared" ref="D109:I109" si="250">D107+D108</f>
        <v>289644082.15800005</v>
      </c>
      <c r="E109" s="881">
        <f t="shared" si="250"/>
        <v>289827612.08599997</v>
      </c>
      <c r="F109" s="881">
        <f t="shared" si="250"/>
        <v>284540333.54199994</v>
      </c>
      <c r="G109" s="881">
        <f t="shared" si="250"/>
        <v>288986783.68799996</v>
      </c>
      <c r="H109" s="881">
        <f t="shared" si="250"/>
        <v>276814703.48600006</v>
      </c>
      <c r="I109" s="881">
        <f t="shared" si="250"/>
        <v>278146070.91400003</v>
      </c>
      <c r="J109" s="180">
        <f t="shared" si="219"/>
        <v>1707959585.8740001</v>
      </c>
      <c r="K109" s="881">
        <f t="shared" ref="K109:AD109" si="251">K107+K108</f>
        <v>77852887.180652499</v>
      </c>
      <c r="L109" s="881">
        <f t="shared" si="251"/>
        <v>77885378.532621503</v>
      </c>
      <c r="M109" s="881">
        <f t="shared" si="251"/>
        <v>76414333.615533546</v>
      </c>
      <c r="N109" s="881">
        <f t="shared" si="251"/>
        <v>77618398.637584835</v>
      </c>
      <c r="O109" s="881">
        <f t="shared" si="251"/>
        <v>74255211.26092346</v>
      </c>
      <c r="P109" s="881">
        <f t="shared" si="251"/>
        <v>74603161.529260322</v>
      </c>
      <c r="Q109" s="180">
        <f t="shared" si="220"/>
        <v>458629370.75657618</v>
      </c>
      <c r="R109" s="881">
        <f t="shared" si="251"/>
        <v>199794140.74858099</v>
      </c>
      <c r="S109" s="881">
        <f t="shared" si="251"/>
        <v>199940172.53339756</v>
      </c>
      <c r="T109" s="881">
        <f t="shared" si="251"/>
        <v>196350621.21795484</v>
      </c>
      <c r="U109" s="881">
        <f t="shared" si="251"/>
        <v>199407464.59590545</v>
      </c>
      <c r="V109" s="881">
        <f t="shared" si="251"/>
        <v>191116825.89020023</v>
      </c>
      <c r="W109" s="881">
        <f t="shared" si="251"/>
        <v>192046625.26417461</v>
      </c>
      <c r="X109" s="180">
        <f t="shared" si="226"/>
        <v>1178655850.2502136</v>
      </c>
      <c r="Y109" s="881">
        <f t="shared" si="251"/>
        <v>11997054.228766423</v>
      </c>
      <c r="Z109" s="881">
        <f t="shared" si="251"/>
        <v>12002061.019980974</v>
      </c>
      <c r="AA109" s="881">
        <f t="shared" si="251"/>
        <v>11775378.708511543</v>
      </c>
      <c r="AB109" s="881">
        <f t="shared" si="251"/>
        <v>11960920.45450961</v>
      </c>
      <c r="AC109" s="881">
        <f t="shared" si="251"/>
        <v>11442666.334876321</v>
      </c>
      <c r="AD109" s="881">
        <f t="shared" si="251"/>
        <v>11496284.120565113</v>
      </c>
      <c r="AE109" s="180">
        <f t="shared" ref="AE109" si="252">SUM(Y109:AD109)</f>
        <v>70674364.867209986</v>
      </c>
      <c r="AG109" s="1412"/>
      <c r="AH109" s="1412"/>
      <c r="AI109" s="1412"/>
    </row>
    <row r="110" spans="2:43">
      <c r="C110" s="56"/>
      <c r="D110" s="588">
        <f t="shared" ref="D110:J110" si="253">D109-K109-R109-Y109</f>
        <v>1.3783574104309082E-7</v>
      </c>
      <c r="E110" s="588">
        <f t="shared" si="253"/>
        <v>-6.7055225372314453E-8</v>
      </c>
      <c r="F110" s="588">
        <f t="shared" si="253"/>
        <v>1.862645149230957E-8</v>
      </c>
      <c r="G110" s="588">
        <f t="shared" si="253"/>
        <v>6.5192580223083496E-8</v>
      </c>
      <c r="H110" s="588">
        <f t="shared" si="253"/>
        <v>6.7055225372314453E-8</v>
      </c>
      <c r="I110" s="588">
        <f t="shared" si="253"/>
        <v>-2.6077032089233398E-8</v>
      </c>
      <c r="J110" s="588">
        <f t="shared" si="253"/>
        <v>4.0233135223388672E-7</v>
      </c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G110" s="1412"/>
      <c r="AH110" s="1412"/>
      <c r="AI110" s="1412"/>
    </row>
    <row r="111" spans="2:43">
      <c r="C111" s="56"/>
      <c r="D111" s="588"/>
      <c r="E111" s="588"/>
      <c r="F111" s="588"/>
      <c r="G111" s="588"/>
      <c r="H111" s="588"/>
      <c r="I111" s="588"/>
      <c r="J111" s="588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G111" s="1412"/>
      <c r="AH111" s="1412"/>
      <c r="AI111" s="1412"/>
    </row>
    <row r="112" spans="2:43" s="51" customFormat="1" ht="15.75">
      <c r="B112" s="37"/>
      <c r="C112" s="960"/>
      <c r="D112" s="961" t="s">
        <v>159</v>
      </c>
      <c r="E112" s="962"/>
      <c r="F112" s="962"/>
      <c r="G112" s="962"/>
      <c r="H112" s="962"/>
      <c r="I112" s="962"/>
      <c r="J112" s="967"/>
      <c r="K112" s="961" t="s">
        <v>1201</v>
      </c>
      <c r="L112" s="962" t="s">
        <v>1201</v>
      </c>
      <c r="M112" s="962" t="s">
        <v>1201</v>
      </c>
      <c r="N112" s="962" t="s">
        <v>1201</v>
      </c>
      <c r="O112" s="962" t="s">
        <v>1201</v>
      </c>
      <c r="P112" s="962" t="s">
        <v>1201</v>
      </c>
      <c r="Q112" s="967" t="s">
        <v>1201</v>
      </c>
      <c r="R112" s="961" t="s">
        <v>1202</v>
      </c>
      <c r="S112" s="962" t="s">
        <v>1202</v>
      </c>
      <c r="T112" s="962" t="s">
        <v>1202</v>
      </c>
      <c r="U112" s="962" t="s">
        <v>1202</v>
      </c>
      <c r="V112" s="962" t="s">
        <v>1202</v>
      </c>
      <c r="W112" s="962" t="s">
        <v>1202</v>
      </c>
      <c r="X112" s="967" t="s">
        <v>1202</v>
      </c>
      <c r="Y112" s="961"/>
      <c r="Z112" s="962"/>
      <c r="AA112" s="962"/>
      <c r="AB112" s="962"/>
      <c r="AC112" s="962"/>
      <c r="AD112" s="962"/>
      <c r="AE112" s="967"/>
      <c r="AG112" s="1415"/>
      <c r="AH112" s="1415"/>
      <c r="AI112" s="1415"/>
      <c r="AQ112" s="1166"/>
    </row>
    <row r="113" spans="1:35">
      <c r="C113" s="963" t="s">
        <v>1203</v>
      </c>
      <c r="D113" s="966">
        <f t="shared" ref="D113:I113" si="254">D4</f>
        <v>46204</v>
      </c>
      <c r="E113" s="966">
        <f t="shared" si="254"/>
        <v>46235</v>
      </c>
      <c r="F113" s="966">
        <f t="shared" si="254"/>
        <v>46266</v>
      </c>
      <c r="G113" s="966">
        <f t="shared" si="254"/>
        <v>46296</v>
      </c>
      <c r="H113" s="966">
        <f t="shared" si="254"/>
        <v>46327</v>
      </c>
      <c r="I113" s="966">
        <f t="shared" si="254"/>
        <v>46357</v>
      </c>
      <c r="J113" s="966" t="s">
        <v>111</v>
      </c>
      <c r="K113" s="966">
        <f t="shared" ref="K113:P113" si="255">K4</f>
        <v>46204</v>
      </c>
      <c r="L113" s="966">
        <f t="shared" si="255"/>
        <v>46235</v>
      </c>
      <c r="M113" s="966">
        <f t="shared" si="255"/>
        <v>46266</v>
      </c>
      <c r="N113" s="966">
        <f t="shared" si="255"/>
        <v>46296</v>
      </c>
      <c r="O113" s="966">
        <f t="shared" si="255"/>
        <v>46327</v>
      </c>
      <c r="P113" s="966">
        <f t="shared" si="255"/>
        <v>46357</v>
      </c>
      <c r="Q113" s="966" t="s">
        <v>111</v>
      </c>
      <c r="R113" s="966">
        <f t="shared" ref="R113:W113" si="256">R4</f>
        <v>46204</v>
      </c>
      <c r="S113" s="966">
        <f t="shared" si="256"/>
        <v>46235</v>
      </c>
      <c r="T113" s="966">
        <f t="shared" si="256"/>
        <v>46266</v>
      </c>
      <c r="U113" s="966">
        <f t="shared" si="256"/>
        <v>46296</v>
      </c>
      <c r="V113" s="966">
        <f t="shared" si="256"/>
        <v>46327</v>
      </c>
      <c r="W113" s="966">
        <f t="shared" si="256"/>
        <v>46357</v>
      </c>
      <c r="X113" s="966" t="s">
        <v>111</v>
      </c>
      <c r="Y113" s="966"/>
      <c r="Z113" s="966"/>
      <c r="AA113" s="966"/>
      <c r="AB113" s="966"/>
      <c r="AC113" s="966"/>
      <c r="AD113" s="966"/>
      <c r="AE113" s="966"/>
      <c r="AG113" s="1415"/>
      <c r="AH113" s="1415"/>
      <c r="AI113" s="1415"/>
    </row>
    <row r="114" spans="1:35" ht="15.75">
      <c r="A114" s="57"/>
      <c r="C114" s="965" t="s">
        <v>446</v>
      </c>
      <c r="D114" s="881">
        <f t="shared" ref="D114:I114" si="257">SUBTOTAL(9,D115:D121)</f>
        <v>17268332.541759007</v>
      </c>
      <c r="E114" s="881">
        <f t="shared" si="257"/>
        <v>16229949.018786004</v>
      </c>
      <c r="F114" s="881">
        <f t="shared" si="257"/>
        <v>16485745.008673802</v>
      </c>
      <c r="G114" s="881">
        <f t="shared" si="257"/>
        <v>18803315.771971203</v>
      </c>
      <c r="H114" s="881">
        <f t="shared" si="257"/>
        <v>15389811.806873403</v>
      </c>
      <c r="I114" s="881">
        <f t="shared" si="257"/>
        <v>17783802.858857226</v>
      </c>
      <c r="J114" s="180">
        <f>SUM(D114:I114)</f>
        <v>101960957.00692065</v>
      </c>
      <c r="K114" s="881">
        <f t="shared" ref="K114:P114" si="258">SUBTOTAL(9,K115:K121)</f>
        <v>8759395.8652832061</v>
      </c>
      <c r="L114" s="881">
        <f t="shared" si="258"/>
        <v>8251471.5551543375</v>
      </c>
      <c r="M114" s="881">
        <f t="shared" si="258"/>
        <v>8128329.8495596275</v>
      </c>
      <c r="N114" s="881">
        <f t="shared" si="258"/>
        <v>9378084.7584673688</v>
      </c>
      <c r="O114" s="881">
        <f t="shared" si="258"/>
        <v>6997743.8668513177</v>
      </c>
      <c r="P114" s="881">
        <f t="shared" si="258"/>
        <v>8615168.276978828</v>
      </c>
      <c r="Q114" s="180">
        <f>SUM(K114:P114)</f>
        <v>50130194.172294684</v>
      </c>
      <c r="R114" s="881">
        <f t="shared" ref="R114:R146" si="259">D114-K114</f>
        <v>8508936.6764758006</v>
      </c>
      <c r="S114" s="881">
        <f t="shared" ref="S114:S146" si="260">E114-L114</f>
        <v>7978477.4636316663</v>
      </c>
      <c r="T114" s="881">
        <f t="shared" ref="T114:T146" si="261">F114-M114</f>
        <v>8357415.1591141745</v>
      </c>
      <c r="U114" s="881">
        <f t="shared" ref="U114:U146" si="262">G114-N114</f>
        <v>9425231.0135038346</v>
      </c>
      <c r="V114" s="881">
        <f t="shared" ref="V114:V146" si="263">H114-O114</f>
        <v>8392067.9400220849</v>
      </c>
      <c r="W114" s="881">
        <f t="shared" ref="W114:W146" si="264">I114-P114</f>
        <v>9168634.5818783976</v>
      </c>
      <c r="X114" s="180">
        <f>SUM(R114:W114)</f>
        <v>51830762.834625959</v>
      </c>
      <c r="Y114" s="881"/>
      <c r="Z114" s="881"/>
      <c r="AA114" s="881"/>
      <c r="AB114" s="881"/>
      <c r="AC114" s="881"/>
      <c r="AD114" s="881"/>
      <c r="AE114" s="180"/>
      <c r="AG114" s="1415">
        <f>'PDYG-200'!$D$29</f>
        <v>0.23334667728120814</v>
      </c>
      <c r="AH114" s="1415">
        <f>'PDYG-200'!$E$29</f>
        <v>0.29057094290570945</v>
      </c>
      <c r="AI114" s="1415">
        <f>'PDYG-200'!$F$29</f>
        <v>0.47608237981308243</v>
      </c>
    </row>
    <row r="115" spans="1:35">
      <c r="A115" s="57"/>
      <c r="B115" s="48" t="s">
        <v>870</v>
      </c>
      <c r="C115" s="882" t="s">
        <v>279</v>
      </c>
      <c r="D115" s="881">
        <f t="shared" ref="D115:P115" si="265">SUBTOTAL(9,D116)</f>
        <v>9985222.8816570006</v>
      </c>
      <c r="E115" s="881">
        <f t="shared" si="265"/>
        <v>9038392.9902179986</v>
      </c>
      <c r="F115" s="881">
        <f t="shared" si="265"/>
        <v>9135751.0046777986</v>
      </c>
      <c r="G115" s="881">
        <f t="shared" si="265"/>
        <v>10475366.075753398</v>
      </c>
      <c r="H115" s="881">
        <f t="shared" si="265"/>
        <v>7277709.1957289996</v>
      </c>
      <c r="I115" s="881">
        <f t="shared" si="265"/>
        <v>9384385.2113825995</v>
      </c>
      <c r="J115" s="180">
        <f t="shared" ref="J115:J146" si="266">SUM(D115:I115)</f>
        <v>55296827.359417796</v>
      </c>
      <c r="K115" s="881">
        <f t="shared" si="265"/>
        <v>7600061.8154664002</v>
      </c>
      <c r="L115" s="881">
        <f t="shared" si="265"/>
        <v>7114403.3485265998</v>
      </c>
      <c r="M115" s="881">
        <f t="shared" si="265"/>
        <v>6952729.5273078</v>
      </c>
      <c r="N115" s="881">
        <f t="shared" si="265"/>
        <v>7964645.6118671997</v>
      </c>
      <c r="O115" s="881">
        <f t="shared" si="265"/>
        <v>5636798.7313409997</v>
      </c>
      <c r="P115" s="881">
        <f t="shared" si="265"/>
        <v>7184348.1246330002</v>
      </c>
      <c r="Q115" s="180">
        <f t="shared" ref="Q115:Q146" si="267">SUM(K115:P115)</f>
        <v>42452987.159142002</v>
      </c>
      <c r="R115" s="881">
        <f t="shared" si="259"/>
        <v>2385161.0661906004</v>
      </c>
      <c r="S115" s="881">
        <f t="shared" si="260"/>
        <v>1923989.6416913988</v>
      </c>
      <c r="T115" s="881">
        <f t="shared" si="261"/>
        <v>2183021.4773699986</v>
      </c>
      <c r="U115" s="881">
        <f t="shared" si="262"/>
        <v>2510720.4638861986</v>
      </c>
      <c r="V115" s="881">
        <f t="shared" si="263"/>
        <v>1640910.4643879998</v>
      </c>
      <c r="W115" s="881">
        <f t="shared" si="264"/>
        <v>2200037.0867495993</v>
      </c>
      <c r="X115" s="180">
        <f t="shared" ref="X115:X146" si="268">SUM(R115:W115)</f>
        <v>12843840.200275797</v>
      </c>
      <c r="Y115" s="881"/>
      <c r="Z115" s="881"/>
      <c r="AA115" s="881"/>
      <c r="AB115" s="881"/>
      <c r="AC115" s="881"/>
      <c r="AD115" s="881"/>
      <c r="AE115" s="180"/>
      <c r="AG115" s="1415">
        <f>'PDYG-200'!$D$29</f>
        <v>0.23334667728120814</v>
      </c>
      <c r="AH115" s="1415">
        <f>'PDYG-200'!$E$29</f>
        <v>0.29057094290570945</v>
      </c>
      <c r="AI115" s="1415">
        <f>'PDYG-200'!$F$29</f>
        <v>0.47608237981308243</v>
      </c>
    </row>
    <row r="116" spans="1:35">
      <c r="A116" s="57"/>
      <c r="B116" s="48"/>
      <c r="C116" s="887" t="s">
        <v>971</v>
      </c>
      <c r="D116" s="883">
        <f>F821EVE!D116*$D$154</f>
        <v>9985222.8816570006</v>
      </c>
      <c r="E116" s="883">
        <f>F821EVE!E116*$D$154</f>
        <v>9038392.9902179986</v>
      </c>
      <c r="F116" s="883">
        <f>F821EVE!F116*$D$154</f>
        <v>9135751.0046777986</v>
      </c>
      <c r="G116" s="883">
        <f>F821EVE!G116*$D$154</f>
        <v>10475366.075753398</v>
      </c>
      <c r="H116" s="883">
        <f>F821EVE!H116*$D$154</f>
        <v>7277709.1957289996</v>
      </c>
      <c r="I116" s="883">
        <f>F821EVE!I116*$D$154</f>
        <v>9384385.2113825995</v>
      </c>
      <c r="J116" s="180">
        <f t="shared" si="266"/>
        <v>55296827.359417796</v>
      </c>
      <c r="K116" s="883">
        <f>F821EVE!K116*$D$154</f>
        <v>7600061.8154664002</v>
      </c>
      <c r="L116" s="883">
        <f>F821EVE!L116*$D$154</f>
        <v>7114403.3485265998</v>
      </c>
      <c r="M116" s="883">
        <f>F821EVE!M116*$D$154</f>
        <v>6952729.5273078</v>
      </c>
      <c r="N116" s="883">
        <f>F821EVE!N116*$D$154</f>
        <v>7964645.6118671997</v>
      </c>
      <c r="O116" s="883">
        <f>F821EVE!O116*$D$154</f>
        <v>5636798.7313409997</v>
      </c>
      <c r="P116" s="883">
        <f>F821EVE!P116*$D$154</f>
        <v>7184348.1246330002</v>
      </c>
      <c r="Q116" s="180">
        <f t="shared" si="267"/>
        <v>42452987.159142002</v>
      </c>
      <c r="R116" s="883">
        <f t="shared" si="259"/>
        <v>2385161.0661906004</v>
      </c>
      <c r="S116" s="883">
        <f t="shared" si="260"/>
        <v>1923989.6416913988</v>
      </c>
      <c r="T116" s="883">
        <f t="shared" si="261"/>
        <v>2183021.4773699986</v>
      </c>
      <c r="U116" s="883">
        <f t="shared" si="262"/>
        <v>2510720.4638861986</v>
      </c>
      <c r="V116" s="883">
        <f t="shared" si="263"/>
        <v>1640910.4643879998</v>
      </c>
      <c r="W116" s="883">
        <f t="shared" si="264"/>
        <v>2200037.0867495993</v>
      </c>
      <c r="X116" s="180">
        <f t="shared" si="268"/>
        <v>12843840.200275797</v>
      </c>
      <c r="Y116" s="883"/>
      <c r="Z116" s="883"/>
      <c r="AA116" s="883"/>
      <c r="AB116" s="883"/>
      <c r="AC116" s="883"/>
      <c r="AD116" s="883"/>
      <c r="AE116" s="180"/>
      <c r="AG116" s="1415">
        <f>'PDYG-200'!$D$29</f>
        <v>0.23334667728120814</v>
      </c>
      <c r="AH116" s="1415">
        <f>'PDYG-200'!$E$29</f>
        <v>0.29057094290570945</v>
      </c>
      <c r="AI116" s="1415">
        <f>'PDYG-200'!$F$29</f>
        <v>0.47608237981308243</v>
      </c>
    </row>
    <row r="117" spans="1:35">
      <c r="A117" s="57"/>
      <c r="B117" s="48" t="s">
        <v>871</v>
      </c>
      <c r="C117" s="882" t="s">
        <v>278</v>
      </c>
      <c r="D117" s="881">
        <f t="shared" ref="D117:I117" si="269">SUBTOTAL(9,D118:D119)</f>
        <v>4766998.5601019999</v>
      </c>
      <c r="E117" s="881">
        <f t="shared" si="269"/>
        <v>4675444.928568</v>
      </c>
      <c r="F117" s="881">
        <f t="shared" si="269"/>
        <v>4833882.9039959991</v>
      </c>
      <c r="G117" s="881">
        <f t="shared" si="269"/>
        <v>5811838.5962177999</v>
      </c>
      <c r="H117" s="881">
        <f t="shared" si="269"/>
        <v>5595991.5111443987</v>
      </c>
      <c r="I117" s="881">
        <f t="shared" si="269"/>
        <v>5883306.5474746209</v>
      </c>
      <c r="J117" s="180">
        <f t="shared" si="266"/>
        <v>31567463.047502816</v>
      </c>
      <c r="K117" s="881">
        <f t="shared" ref="K117:P117" si="270">SUBTOTAL(9,K118:K119)</f>
        <v>1159334.0498168063</v>
      </c>
      <c r="L117" s="881">
        <f t="shared" si="270"/>
        <v>1137068.2066277375</v>
      </c>
      <c r="M117" s="881">
        <f t="shared" si="270"/>
        <v>1175600.322251827</v>
      </c>
      <c r="N117" s="881">
        <f t="shared" si="270"/>
        <v>1413439.1466001689</v>
      </c>
      <c r="O117" s="881">
        <f t="shared" si="270"/>
        <v>1360945.135510318</v>
      </c>
      <c r="P117" s="881">
        <f t="shared" si="270"/>
        <v>1430820.1523458278</v>
      </c>
      <c r="Q117" s="180">
        <f t="shared" si="267"/>
        <v>7677207.013152685</v>
      </c>
      <c r="R117" s="881">
        <f t="shared" si="259"/>
        <v>3607664.5102851936</v>
      </c>
      <c r="S117" s="881">
        <f t="shared" si="260"/>
        <v>3538376.7219402622</v>
      </c>
      <c r="T117" s="881">
        <f t="shared" si="261"/>
        <v>3658282.5817441721</v>
      </c>
      <c r="U117" s="881">
        <f t="shared" si="262"/>
        <v>4398399.4496176308</v>
      </c>
      <c r="V117" s="881">
        <f t="shared" si="263"/>
        <v>4235046.3756340807</v>
      </c>
      <c r="W117" s="881">
        <f t="shared" si="264"/>
        <v>4452486.3951287931</v>
      </c>
      <c r="X117" s="180">
        <f t="shared" si="268"/>
        <v>23890256.034350134</v>
      </c>
      <c r="Y117" s="881"/>
      <c r="Z117" s="881"/>
      <c r="AA117" s="881"/>
      <c r="AB117" s="881"/>
      <c r="AC117" s="881"/>
      <c r="AD117" s="881"/>
      <c r="AE117" s="180"/>
      <c r="AG117" s="1415">
        <f>'PDYG-200'!$D$29</f>
        <v>0.23334667728120814</v>
      </c>
      <c r="AH117" s="1415">
        <f>'PDYG-200'!$E$29</f>
        <v>0.29057094290570945</v>
      </c>
      <c r="AI117" s="1415">
        <f>'PDYG-200'!$F$29</f>
        <v>0.47608237981308243</v>
      </c>
    </row>
    <row r="118" spans="1:35">
      <c r="A118" s="57"/>
      <c r="B118" s="48"/>
      <c r="C118" s="887" t="s">
        <v>969</v>
      </c>
      <c r="D118" s="883">
        <f>F821EVE!D118*$D$154</f>
        <v>0</v>
      </c>
      <c r="E118" s="883">
        <f>F821EVE!E118*$D$154</f>
        <v>0</v>
      </c>
      <c r="F118" s="883">
        <f>F821EVE!F118*$D$154</f>
        <v>0</v>
      </c>
      <c r="G118" s="883">
        <f>F821EVE!G118*$D$154</f>
        <v>0</v>
      </c>
      <c r="H118" s="883">
        <f>F821EVE!H118*$D$154</f>
        <v>0</v>
      </c>
      <c r="I118" s="883">
        <f>F821EVE!I118*$D$154</f>
        <v>0</v>
      </c>
      <c r="J118" s="180">
        <f>SUM(D118:I118)</f>
        <v>0</v>
      </c>
      <c r="K118" s="883">
        <f>F821EVE!K118*$D$154</f>
        <v>0</v>
      </c>
      <c r="L118" s="883">
        <f>F821EVE!L118*$D$154</f>
        <v>0</v>
      </c>
      <c r="M118" s="883">
        <f>F821EVE!M118*$D$154</f>
        <v>0</v>
      </c>
      <c r="N118" s="883">
        <f>F821EVE!N118*$D$154</f>
        <v>0</v>
      </c>
      <c r="O118" s="883">
        <f>F821EVE!O118*$D$154</f>
        <v>0</v>
      </c>
      <c r="P118" s="883">
        <f>F821EVE!P118*$D$154</f>
        <v>0</v>
      </c>
      <c r="Q118" s="180">
        <f t="shared" si="267"/>
        <v>0</v>
      </c>
      <c r="R118" s="883">
        <f t="shared" si="259"/>
        <v>0</v>
      </c>
      <c r="S118" s="883">
        <f t="shared" si="260"/>
        <v>0</v>
      </c>
      <c r="T118" s="883">
        <f t="shared" si="261"/>
        <v>0</v>
      </c>
      <c r="U118" s="883">
        <f t="shared" si="262"/>
        <v>0</v>
      </c>
      <c r="V118" s="883">
        <f t="shared" si="263"/>
        <v>0</v>
      </c>
      <c r="W118" s="883">
        <f t="shared" si="264"/>
        <v>0</v>
      </c>
      <c r="X118" s="180">
        <f t="shared" si="268"/>
        <v>0</v>
      </c>
      <c r="Y118" s="883"/>
      <c r="Z118" s="883"/>
      <c r="AA118" s="883"/>
      <c r="AB118" s="883"/>
      <c r="AC118" s="883"/>
      <c r="AD118" s="883"/>
      <c r="AE118" s="180"/>
      <c r="AG118" s="1415">
        <f>'PDYG-200'!$D$29</f>
        <v>0.23334667728120814</v>
      </c>
      <c r="AH118" s="1415">
        <f>'PDYG-200'!$E$29</f>
        <v>0.29057094290570945</v>
      </c>
      <c r="AI118" s="1415">
        <f>'PDYG-200'!$F$29</f>
        <v>0.47608237981308243</v>
      </c>
    </row>
    <row r="119" spans="1:35">
      <c r="A119" s="57"/>
      <c r="B119" s="48"/>
      <c r="C119" s="887" t="s">
        <v>970</v>
      </c>
      <c r="D119" s="883">
        <f>F821EVE!D119*$D$154</f>
        <v>4766998.5601019999</v>
      </c>
      <c r="E119" s="883">
        <f>F821EVE!E119*$D$154</f>
        <v>4675444.928568</v>
      </c>
      <c r="F119" s="883">
        <f>F821EVE!F119*$D$154</f>
        <v>4833882.9039959991</v>
      </c>
      <c r="G119" s="883">
        <f>F821EVE!G119*$D$154</f>
        <v>5811838.5962177999</v>
      </c>
      <c r="H119" s="883">
        <f>F821EVE!H119*$D$154</f>
        <v>5595991.5111443987</v>
      </c>
      <c r="I119" s="883">
        <f>F821EVE!I119*$D$154</f>
        <v>5883306.5474746209</v>
      </c>
      <c r="J119" s="180">
        <f t="shared" si="266"/>
        <v>31567463.047502816</v>
      </c>
      <c r="K119" s="883">
        <f>F821EVE!K119*$D$154</f>
        <v>1159334.0498168063</v>
      </c>
      <c r="L119" s="883">
        <f>F821EVE!L119*$D$154</f>
        <v>1137068.2066277375</v>
      </c>
      <c r="M119" s="883">
        <f>F821EVE!M119*$D$154</f>
        <v>1175600.322251827</v>
      </c>
      <c r="N119" s="883">
        <f>F821EVE!N119*$D$154</f>
        <v>1413439.1466001689</v>
      </c>
      <c r="O119" s="883">
        <f>F821EVE!O119*$D$154</f>
        <v>1360945.135510318</v>
      </c>
      <c r="P119" s="883">
        <f>F821EVE!P119*$D$154</f>
        <v>1430820.1523458278</v>
      </c>
      <c r="Q119" s="180">
        <f t="shared" si="267"/>
        <v>7677207.013152685</v>
      </c>
      <c r="R119" s="883">
        <f t="shared" si="259"/>
        <v>3607664.5102851936</v>
      </c>
      <c r="S119" s="883">
        <f t="shared" si="260"/>
        <v>3538376.7219402622</v>
      </c>
      <c r="T119" s="883">
        <f t="shared" si="261"/>
        <v>3658282.5817441721</v>
      </c>
      <c r="U119" s="883">
        <f t="shared" si="262"/>
        <v>4398399.4496176308</v>
      </c>
      <c r="V119" s="883">
        <f t="shared" si="263"/>
        <v>4235046.3756340807</v>
      </c>
      <c r="W119" s="883">
        <f t="shared" si="264"/>
        <v>4452486.3951287931</v>
      </c>
      <c r="X119" s="180">
        <f t="shared" si="268"/>
        <v>23890256.034350134</v>
      </c>
      <c r="Y119" s="883"/>
      <c r="Z119" s="883"/>
      <c r="AA119" s="883"/>
      <c r="AB119" s="883"/>
      <c r="AC119" s="883"/>
      <c r="AD119" s="883"/>
      <c r="AE119" s="180"/>
      <c r="AG119" s="1415">
        <f>'PDYG-200'!$D$29</f>
        <v>0.23334667728120814</v>
      </c>
      <c r="AH119" s="1415">
        <f>'PDYG-200'!$E$29</f>
        <v>0.29057094290570945</v>
      </c>
      <c r="AI119" s="1415">
        <f>'PDYG-200'!$F$29</f>
        <v>0.47608237981308243</v>
      </c>
    </row>
    <row r="120" spans="1:35">
      <c r="A120" s="57"/>
      <c r="B120" s="48" t="s">
        <v>893</v>
      </c>
      <c r="C120" s="887" t="s">
        <v>1482</v>
      </c>
      <c r="D120" s="1956">
        <f t="shared" ref="D120:G120" si="271">E120</f>
        <v>2516111.1000000047</v>
      </c>
      <c r="E120" s="1956">
        <f t="shared" si="271"/>
        <v>2516111.1000000047</v>
      </c>
      <c r="F120" s="1956">
        <f t="shared" si="271"/>
        <v>2516111.1000000047</v>
      </c>
      <c r="G120" s="1956">
        <f t="shared" si="271"/>
        <v>2516111.1000000047</v>
      </c>
      <c r="H120" s="1956">
        <f>I120</f>
        <v>2516111.1000000047</v>
      </c>
      <c r="I120" s="881">
        <f>F821EVE!I120*$D$154</f>
        <v>2516111.1000000047</v>
      </c>
      <c r="J120" s="180">
        <f t="shared" si="266"/>
        <v>15096666.600000029</v>
      </c>
      <c r="K120" s="883">
        <f>F821EVE!K120*$D$154</f>
        <v>0</v>
      </c>
      <c r="L120" s="883">
        <f>F821EVE!L120*$D$154</f>
        <v>0</v>
      </c>
      <c r="M120" s="883">
        <f>F821EVE!M120*$D$154</f>
        <v>0</v>
      </c>
      <c r="N120" s="883">
        <f>F821EVE!N120*$D$154</f>
        <v>0</v>
      </c>
      <c r="O120" s="883">
        <f>F821EVE!O120*$D$154</f>
        <v>0</v>
      </c>
      <c r="P120" s="883">
        <f>F821EVE!P120*$D$154</f>
        <v>0</v>
      </c>
      <c r="Q120" s="180">
        <f t="shared" si="267"/>
        <v>0</v>
      </c>
      <c r="R120" s="881">
        <f t="shared" si="259"/>
        <v>2516111.1000000047</v>
      </c>
      <c r="S120" s="881">
        <f t="shared" si="260"/>
        <v>2516111.1000000047</v>
      </c>
      <c r="T120" s="881">
        <f t="shared" si="261"/>
        <v>2516111.1000000047</v>
      </c>
      <c r="U120" s="881">
        <f t="shared" si="262"/>
        <v>2516111.1000000047</v>
      </c>
      <c r="V120" s="881">
        <f t="shared" si="263"/>
        <v>2516111.1000000047</v>
      </c>
      <c r="W120" s="881">
        <f t="shared" si="264"/>
        <v>2516111.1000000047</v>
      </c>
      <c r="X120" s="180">
        <f t="shared" si="268"/>
        <v>15096666.600000029</v>
      </c>
      <c r="Y120" s="881"/>
      <c r="Z120" s="881"/>
      <c r="AA120" s="881"/>
      <c r="AB120" s="881"/>
      <c r="AC120" s="881"/>
      <c r="AD120" s="881"/>
      <c r="AE120" s="180"/>
      <c r="AG120" s="1415">
        <f>'PDYG-200'!$D$29</f>
        <v>0.23334667728120814</v>
      </c>
      <c r="AH120" s="1415">
        <f>'PDYG-200'!$E$29</f>
        <v>0.29057094290570945</v>
      </c>
      <c r="AI120" s="1415">
        <f>'PDYG-200'!$F$29</f>
        <v>0.47608237981308243</v>
      </c>
    </row>
    <row r="121" spans="1:35">
      <c r="A121" s="57"/>
      <c r="B121" s="48"/>
      <c r="C121" s="887"/>
      <c r="D121" s="881"/>
      <c r="E121" s="881"/>
      <c r="F121" s="881"/>
      <c r="G121" s="881"/>
      <c r="H121" s="881"/>
      <c r="I121" s="881"/>
      <c r="J121" s="180">
        <f t="shared" si="266"/>
        <v>0</v>
      </c>
      <c r="K121" s="881"/>
      <c r="L121" s="881"/>
      <c r="M121" s="881"/>
      <c r="N121" s="881"/>
      <c r="O121" s="881"/>
      <c r="P121" s="881"/>
      <c r="Q121" s="180">
        <f t="shared" si="267"/>
        <v>0</v>
      </c>
      <c r="R121" s="881">
        <f t="shared" si="259"/>
        <v>0</v>
      </c>
      <c r="S121" s="881">
        <f t="shared" si="260"/>
        <v>0</v>
      </c>
      <c r="T121" s="881">
        <f t="shared" si="261"/>
        <v>0</v>
      </c>
      <c r="U121" s="881">
        <f t="shared" si="262"/>
        <v>0</v>
      </c>
      <c r="V121" s="881">
        <f t="shared" si="263"/>
        <v>0</v>
      </c>
      <c r="W121" s="881">
        <f t="shared" si="264"/>
        <v>0</v>
      </c>
      <c r="X121" s="180">
        <f t="shared" si="268"/>
        <v>0</v>
      </c>
      <c r="Y121" s="881"/>
      <c r="Z121" s="881"/>
      <c r="AA121" s="881"/>
      <c r="AB121" s="881"/>
      <c r="AC121" s="881"/>
      <c r="AD121" s="881"/>
      <c r="AE121" s="180"/>
      <c r="AG121" s="1415"/>
      <c r="AH121" s="1415"/>
      <c r="AI121" s="1415"/>
    </row>
    <row r="122" spans="1:35" ht="15.75">
      <c r="A122" s="57"/>
      <c r="B122" s="48"/>
      <c r="C122" s="965" t="s">
        <v>630</v>
      </c>
      <c r="D122" s="881">
        <f t="shared" ref="D122:I122" si="272">SUBTOTAL(9,D123:D134)</f>
        <v>54268145.567596003</v>
      </c>
      <c r="E122" s="881">
        <f t="shared" si="272"/>
        <v>53923401.321818672</v>
      </c>
      <c r="F122" s="881">
        <f t="shared" si="272"/>
        <v>52404733.497893043</v>
      </c>
      <c r="G122" s="881">
        <f t="shared" si="272"/>
        <v>54842648.580462612</v>
      </c>
      <c r="H122" s="881">
        <f t="shared" si="272"/>
        <v>50738140.159808397</v>
      </c>
      <c r="I122" s="881">
        <f t="shared" si="272"/>
        <v>53604178.67031353</v>
      </c>
      <c r="J122" s="180">
        <f t="shared" si="266"/>
        <v>319781247.79789221</v>
      </c>
      <c r="K122" s="881">
        <f t="shared" ref="K122:P122" si="273">SUBTOTAL(9,K123:K134)</f>
        <v>17551783.841056406</v>
      </c>
      <c r="L122" s="881">
        <f t="shared" si="273"/>
        <v>17165606.774785131</v>
      </c>
      <c r="M122" s="881">
        <f t="shared" si="273"/>
        <v>16910342.313587021</v>
      </c>
      <c r="N122" s="881">
        <f t="shared" si="273"/>
        <v>17711778.309616439</v>
      </c>
      <c r="O122" s="881">
        <f t="shared" si="273"/>
        <v>16027507.555215904</v>
      </c>
      <c r="P122" s="881">
        <f t="shared" si="273"/>
        <v>17068760.079033002</v>
      </c>
      <c r="Q122" s="180">
        <f t="shared" si="267"/>
        <v>102435778.87329391</v>
      </c>
      <c r="R122" s="881">
        <f t="shared" si="259"/>
        <v>36716361.726539597</v>
      </c>
      <c r="S122" s="881">
        <f t="shared" si="260"/>
        <v>36757794.547033541</v>
      </c>
      <c r="T122" s="881">
        <f t="shared" si="261"/>
        <v>35494391.184306026</v>
      </c>
      <c r="U122" s="881">
        <f t="shared" si="262"/>
        <v>37130870.270846173</v>
      </c>
      <c r="V122" s="881">
        <f t="shared" si="263"/>
        <v>34710632.604592495</v>
      </c>
      <c r="W122" s="881">
        <f t="shared" si="264"/>
        <v>36535418.591280527</v>
      </c>
      <c r="X122" s="180">
        <f t="shared" si="268"/>
        <v>217345468.92459834</v>
      </c>
      <c r="Y122" s="881"/>
      <c r="Z122" s="881"/>
      <c r="AA122" s="881"/>
      <c r="AB122" s="881"/>
      <c r="AC122" s="881"/>
      <c r="AD122" s="881"/>
      <c r="AE122" s="180"/>
      <c r="AG122" s="1415">
        <f>'PDYG-200'!$D$30</f>
        <v>0.31269606137313216</v>
      </c>
      <c r="AH122" s="1415">
        <f>'PDYG-200'!$E$30</f>
        <v>0.26899999999999996</v>
      </c>
      <c r="AI122" s="1415">
        <f>'PDYG-200'!$F$30</f>
        <v>0.41830393862686788</v>
      </c>
    </row>
    <row r="123" spans="1:35">
      <c r="A123" s="57"/>
      <c r="B123" s="48" t="s">
        <v>872</v>
      </c>
      <c r="C123" s="882" t="s">
        <v>277</v>
      </c>
      <c r="D123" s="881">
        <f t="shared" ref="D123:I123" si="274">SUBTOTAL(9,D124:D127)</f>
        <v>10452886.655632198</v>
      </c>
      <c r="E123" s="881">
        <f t="shared" si="274"/>
        <v>10551067.190694001</v>
      </c>
      <c r="F123" s="881">
        <f t="shared" si="274"/>
        <v>10263728.703051001</v>
      </c>
      <c r="G123" s="881">
        <f t="shared" si="274"/>
        <v>11000798.169669</v>
      </c>
      <c r="H123" s="881">
        <f t="shared" si="274"/>
        <v>10314863.666334001</v>
      </c>
      <c r="I123" s="881">
        <f t="shared" si="274"/>
        <v>10259291.598987423</v>
      </c>
      <c r="J123" s="180">
        <f t="shared" si="266"/>
        <v>62842635.984367624</v>
      </c>
      <c r="K123" s="881">
        <f t="shared" ref="K123:P123" si="275">SUBTOTAL(9,K124:K127)</f>
        <v>3272390.9616474002</v>
      </c>
      <c r="L123" s="881">
        <f t="shared" si="275"/>
        <v>3030563.0814516</v>
      </c>
      <c r="M123" s="881">
        <f t="shared" si="275"/>
        <v>3176588.8509480003</v>
      </c>
      <c r="N123" s="881">
        <f t="shared" si="275"/>
        <v>3423719.2607388003</v>
      </c>
      <c r="O123" s="881">
        <f t="shared" si="275"/>
        <v>2853561.7459926</v>
      </c>
      <c r="P123" s="881">
        <f t="shared" si="275"/>
        <v>2942661.3824878223</v>
      </c>
      <c r="Q123" s="180">
        <f t="shared" si="267"/>
        <v>18699485.283266224</v>
      </c>
      <c r="R123" s="881">
        <f t="shared" si="259"/>
        <v>7180495.6939847972</v>
      </c>
      <c r="S123" s="881">
        <f t="shared" si="260"/>
        <v>7520504.1092424002</v>
      </c>
      <c r="T123" s="881">
        <f t="shared" si="261"/>
        <v>7087139.8521030005</v>
      </c>
      <c r="U123" s="881">
        <f t="shared" si="262"/>
        <v>7577078.9089302002</v>
      </c>
      <c r="V123" s="881">
        <f t="shared" si="263"/>
        <v>7461301.9203414014</v>
      </c>
      <c r="W123" s="881">
        <f t="shared" si="264"/>
        <v>7316630.2164996006</v>
      </c>
      <c r="X123" s="180">
        <f t="shared" si="268"/>
        <v>44143150.701101393</v>
      </c>
      <c r="Y123" s="881"/>
      <c r="Z123" s="881"/>
      <c r="AA123" s="881"/>
      <c r="AB123" s="881"/>
      <c r="AC123" s="881"/>
      <c r="AD123" s="881"/>
      <c r="AE123" s="180"/>
      <c r="AG123" s="1415">
        <f>'PDYG-200'!$D$30</f>
        <v>0.31269606137313216</v>
      </c>
      <c r="AH123" s="1415">
        <f>'PDYG-200'!$E$30</f>
        <v>0.26899999999999996</v>
      </c>
      <c r="AI123" s="1415">
        <f>'PDYG-200'!$F$30</f>
        <v>0.41830393862686788</v>
      </c>
    </row>
    <row r="124" spans="1:35">
      <c r="A124" s="57"/>
      <c r="B124" s="48"/>
      <c r="C124" s="887" t="s">
        <v>972</v>
      </c>
      <c r="D124" s="883">
        <f>F821EVE!D124*$D$154</f>
        <v>6968804.0405282145</v>
      </c>
      <c r="E124" s="883">
        <f>F821EVE!E124*$D$154</f>
        <v>6949598.6367115229</v>
      </c>
      <c r="F124" s="883">
        <f>F821EVE!F124*$D$154</f>
        <v>6622491.1535302503</v>
      </c>
      <c r="G124" s="883">
        <f>F821EVE!G124*$D$154</f>
        <v>6864903.0708755096</v>
      </c>
      <c r="H124" s="883">
        <f>F821EVE!H124*$D$154</f>
        <v>6341012.8899871055</v>
      </c>
      <c r="I124" s="883">
        <f>F821EVE!I124*$D$154</f>
        <v>6299127.9873319361</v>
      </c>
      <c r="J124" s="180">
        <f t="shared" si="266"/>
        <v>40045937.778964542</v>
      </c>
      <c r="K124" s="883">
        <f>F821EVE!K124*$D$154</f>
        <v>2181660.6366270003</v>
      </c>
      <c r="L124" s="883">
        <f>F821EVE!L124*$D$154</f>
        <v>1996120.0775880001</v>
      </c>
      <c r="M124" s="883">
        <f>F821EVE!M124*$D$154</f>
        <v>2049638.3110314</v>
      </c>
      <c r="N124" s="883">
        <f>F821EVE!N124*$D$154</f>
        <v>2136526.8687198004</v>
      </c>
      <c r="O124" s="883">
        <f>F821EVE!O124*$D$154</f>
        <v>1754213.3758655998</v>
      </c>
      <c r="P124" s="883">
        <f>F821EVE!P124*$D$154</f>
        <v>1806771.9874050003</v>
      </c>
      <c r="Q124" s="180">
        <f t="shared" si="267"/>
        <v>11924931.257236801</v>
      </c>
      <c r="R124" s="883">
        <f t="shared" si="259"/>
        <v>4787143.4039012138</v>
      </c>
      <c r="S124" s="883">
        <f t="shared" si="260"/>
        <v>4953478.5591235226</v>
      </c>
      <c r="T124" s="883">
        <f t="shared" si="261"/>
        <v>4572852.8424988501</v>
      </c>
      <c r="U124" s="883">
        <f t="shared" si="262"/>
        <v>4728376.2021557093</v>
      </c>
      <c r="V124" s="883">
        <f t="shared" si="263"/>
        <v>4586799.5141215054</v>
      </c>
      <c r="W124" s="883">
        <f t="shared" si="264"/>
        <v>4492355.9999269359</v>
      </c>
      <c r="X124" s="180">
        <f t="shared" si="268"/>
        <v>28121006.521727737</v>
      </c>
      <c r="Y124" s="883"/>
      <c r="Z124" s="883"/>
      <c r="AA124" s="883"/>
      <c r="AB124" s="883"/>
      <c r="AC124" s="883"/>
      <c r="AD124" s="883"/>
      <c r="AE124" s="180"/>
      <c r="AG124" s="1415">
        <f>'PDYG-200'!$D$30</f>
        <v>0.31269606137313216</v>
      </c>
      <c r="AH124" s="1415">
        <f>'PDYG-200'!$E$30</f>
        <v>0.26899999999999996</v>
      </c>
      <c r="AI124" s="1415">
        <f>'PDYG-200'!$F$30</f>
        <v>0.41830393862686788</v>
      </c>
    </row>
    <row r="125" spans="1:35">
      <c r="A125" s="57"/>
      <c r="B125" s="48"/>
      <c r="C125" s="887" t="s">
        <v>973</v>
      </c>
      <c r="D125" s="883">
        <f>F821EVE!D125*$D$154</f>
        <v>336969.03470348718</v>
      </c>
      <c r="E125" s="883">
        <f>F821EVE!E125*$D$154</f>
        <v>343426.48181500734</v>
      </c>
      <c r="F125" s="883">
        <f>F821EVE!F125*$D$154</f>
        <v>362180.74598203704</v>
      </c>
      <c r="G125" s="883">
        <f>F821EVE!G125*$D$154</f>
        <v>390209.63754315168</v>
      </c>
      <c r="H125" s="883">
        <f>F821EVE!H125*$D$154</f>
        <v>421556.00464967871</v>
      </c>
      <c r="I125" s="883">
        <f>F821EVE!I125*$D$154</f>
        <v>235197.76346743471</v>
      </c>
      <c r="J125" s="180">
        <f t="shared" si="266"/>
        <v>2089539.6681607969</v>
      </c>
      <c r="K125" s="883">
        <f>F821EVE!K125*$D$154</f>
        <v>105491.85692399999</v>
      </c>
      <c r="L125" s="883">
        <f>F821EVE!L125*$D$154</f>
        <v>98641.7390934</v>
      </c>
      <c r="M125" s="883">
        <f>F821EVE!M125*$D$154</f>
        <v>112093.6993758</v>
      </c>
      <c r="N125" s="883">
        <f>F821EVE!N125*$D$154</f>
        <v>121442.8472532</v>
      </c>
      <c r="O125" s="883">
        <f>F821EVE!O125*$D$154</f>
        <v>116621.6178492</v>
      </c>
      <c r="P125" s="883">
        <f>F821EVE!P125*$D$154</f>
        <v>67461.517116000017</v>
      </c>
      <c r="Q125" s="180">
        <f t="shared" si="267"/>
        <v>621753.27761160012</v>
      </c>
      <c r="R125" s="883">
        <f t="shared" si="259"/>
        <v>231477.17777948719</v>
      </c>
      <c r="S125" s="883">
        <f t="shared" si="260"/>
        <v>244784.74272160733</v>
      </c>
      <c r="T125" s="883">
        <f t="shared" si="261"/>
        <v>250087.04660623704</v>
      </c>
      <c r="U125" s="883">
        <f t="shared" si="262"/>
        <v>268766.79028995166</v>
      </c>
      <c r="V125" s="883">
        <f t="shared" si="263"/>
        <v>304934.38680047868</v>
      </c>
      <c r="W125" s="883">
        <f t="shared" si="264"/>
        <v>167736.24635143467</v>
      </c>
      <c r="X125" s="180">
        <f t="shared" si="268"/>
        <v>1467786.3905491966</v>
      </c>
      <c r="Y125" s="883"/>
      <c r="Z125" s="883"/>
      <c r="AA125" s="883"/>
      <c r="AB125" s="883"/>
      <c r="AC125" s="883"/>
      <c r="AD125" s="883"/>
      <c r="AE125" s="180"/>
      <c r="AG125" s="1415">
        <f>'PDYG-200'!$D$30</f>
        <v>0.31269606137313216</v>
      </c>
      <c r="AH125" s="1415">
        <f>'PDYG-200'!$E$30</f>
        <v>0.26899999999999996</v>
      </c>
      <c r="AI125" s="1415">
        <f>'PDYG-200'!$F$30</f>
        <v>0.41830393862686788</v>
      </c>
    </row>
    <row r="126" spans="1:35">
      <c r="A126" s="57"/>
      <c r="B126" s="48"/>
      <c r="C126" s="887" t="s">
        <v>1010</v>
      </c>
      <c r="D126" s="883">
        <f>F821EVE!D126*$D$154</f>
        <v>126164.01949559854</v>
      </c>
      <c r="E126" s="883">
        <f>F821EVE!E126*$D$154</f>
        <v>123298.9468608123</v>
      </c>
      <c r="F126" s="883">
        <f>F821EVE!F126*$D$154</f>
        <v>119048.26692031756</v>
      </c>
      <c r="G126" s="883">
        <f>F821EVE!G126*$D$154</f>
        <v>127638.29277179713</v>
      </c>
      <c r="H126" s="883">
        <f>F821EVE!H126*$D$154</f>
        <v>123188.1404569466</v>
      </c>
      <c r="I126" s="883">
        <f>F821EVE!I126*$D$154</f>
        <v>118069.6459395612</v>
      </c>
      <c r="J126" s="180">
        <f t="shared" si="266"/>
        <v>737407.31244503323</v>
      </c>
      <c r="K126" s="883">
        <f>F821EVE!K126*$D$154</f>
        <v>39497.0318424</v>
      </c>
      <c r="L126" s="883">
        <f>F821EVE!L126*$D$154</f>
        <v>35414.923399200001</v>
      </c>
      <c r="M126" s="883">
        <f>F821EVE!M126*$D$154</f>
        <v>36845.030530800002</v>
      </c>
      <c r="N126" s="883">
        <f>F821EVE!N126*$D$154</f>
        <v>39724.179521400001</v>
      </c>
      <c r="O126" s="883">
        <f>F821EVE!O126*$D$154</f>
        <v>34079.458201200003</v>
      </c>
      <c r="P126" s="883">
        <f>F821EVE!P126*$D$154</f>
        <v>33865.787340000017</v>
      </c>
      <c r="Q126" s="180">
        <f t="shared" si="267"/>
        <v>219426.41083500002</v>
      </c>
      <c r="R126" s="883">
        <f t="shared" si="259"/>
        <v>86666.987653198536</v>
      </c>
      <c r="S126" s="883">
        <f t="shared" si="260"/>
        <v>87884.023461612291</v>
      </c>
      <c r="T126" s="883">
        <f t="shared" si="261"/>
        <v>82203.236389517551</v>
      </c>
      <c r="U126" s="883">
        <f t="shared" si="262"/>
        <v>87914.113250397131</v>
      </c>
      <c r="V126" s="883">
        <f t="shared" si="263"/>
        <v>89108.682255746593</v>
      </c>
      <c r="W126" s="883">
        <f t="shared" si="264"/>
        <v>84203.858599561179</v>
      </c>
      <c r="X126" s="180">
        <f t="shared" si="268"/>
        <v>517980.90161003324</v>
      </c>
      <c r="Y126" s="883"/>
      <c r="Z126" s="883"/>
      <c r="AA126" s="883"/>
      <c r="AB126" s="883"/>
      <c r="AC126" s="883"/>
      <c r="AD126" s="883"/>
      <c r="AE126" s="180"/>
      <c r="AG126" s="1415">
        <f>'PDYG-200'!$D$30</f>
        <v>0.31269606137313216</v>
      </c>
      <c r="AH126" s="1415">
        <f>'PDYG-200'!$E$30</f>
        <v>0.26899999999999996</v>
      </c>
      <c r="AI126" s="1415">
        <f>'PDYG-200'!$F$30</f>
        <v>0.41830393862686788</v>
      </c>
    </row>
    <row r="127" spans="1:35">
      <c r="A127" s="57"/>
      <c r="B127" s="48"/>
      <c r="C127" s="887" t="s">
        <v>1256</v>
      </c>
      <c r="D127" s="883">
        <f>F821EVE!D127*$D$154</f>
        <v>3020949.5609048959</v>
      </c>
      <c r="E127" s="883">
        <f>F821EVE!E127*$D$154</f>
        <v>3134743.1253066584</v>
      </c>
      <c r="F127" s="883">
        <f>F821EVE!F127*$D$154</f>
        <v>3160008.5366183948</v>
      </c>
      <c r="G127" s="883">
        <f>F821EVE!G127*$D$154</f>
        <v>3618047.1684785415</v>
      </c>
      <c r="H127" s="883">
        <f>F821EVE!H127*$D$154</f>
        <v>3429106.6312402706</v>
      </c>
      <c r="I127" s="883">
        <f>F821EVE!I127*$D$154</f>
        <v>3606896.2022484904</v>
      </c>
      <c r="J127" s="180">
        <f>SUM(D127:I127)</f>
        <v>19969751.224797253</v>
      </c>
      <c r="K127" s="883">
        <f>F821EVE!K127*$D$154</f>
        <v>945741.43625399983</v>
      </c>
      <c r="L127" s="883">
        <f>F821EVE!L127*$D$154</f>
        <v>900386.34137099993</v>
      </c>
      <c r="M127" s="883">
        <f>F821EVE!M127*$D$154</f>
        <v>978011.8100099999</v>
      </c>
      <c r="N127" s="883">
        <f>F821EVE!N127*$D$154</f>
        <v>1126025.3652444</v>
      </c>
      <c r="O127" s="883">
        <f>F821EVE!O127*$D$154</f>
        <v>948647.2940766</v>
      </c>
      <c r="P127" s="883">
        <f>F821EVE!P127*$D$154</f>
        <v>1034562.090626822</v>
      </c>
      <c r="Q127" s="180">
        <f>SUM(K127:P127)</f>
        <v>5933374.337582821</v>
      </c>
      <c r="R127" s="883">
        <f t="shared" ref="R127:W127" si="276">D127-K127</f>
        <v>2075208.1246508961</v>
      </c>
      <c r="S127" s="883">
        <f t="shared" si="276"/>
        <v>2234356.7839356586</v>
      </c>
      <c r="T127" s="883">
        <f t="shared" si="276"/>
        <v>2181996.7266083946</v>
      </c>
      <c r="U127" s="883">
        <f t="shared" si="276"/>
        <v>2492021.8032341413</v>
      </c>
      <c r="V127" s="883">
        <f t="shared" si="276"/>
        <v>2480459.3371636705</v>
      </c>
      <c r="W127" s="883">
        <f t="shared" si="276"/>
        <v>2572334.1116216686</v>
      </c>
      <c r="X127" s="180">
        <f>SUM(R127:W127)</f>
        <v>14036376.88721443</v>
      </c>
      <c r="Y127" s="883"/>
      <c r="Z127" s="883"/>
      <c r="AA127" s="883"/>
      <c r="AB127" s="883"/>
      <c r="AC127" s="883"/>
      <c r="AD127" s="883"/>
      <c r="AE127" s="180"/>
      <c r="AG127" s="1415"/>
      <c r="AH127" s="1415"/>
      <c r="AI127" s="1415"/>
    </row>
    <row r="128" spans="1:35">
      <c r="A128" s="57"/>
      <c r="B128" s="48" t="s">
        <v>873</v>
      </c>
      <c r="C128" s="882" t="s">
        <v>276</v>
      </c>
      <c r="D128" s="881">
        <f t="shared" ref="D128:I128" si="277">SUBTOTAL(9,D129:D134)</f>
        <v>43815258.911963798</v>
      </c>
      <c r="E128" s="881">
        <f t="shared" si="277"/>
        <v>43372334.131124675</v>
      </c>
      <c r="F128" s="881">
        <f t="shared" si="277"/>
        <v>42141004.794842042</v>
      </c>
      <c r="G128" s="881">
        <f t="shared" si="277"/>
        <v>43841850.410793602</v>
      </c>
      <c r="H128" s="881">
        <f t="shared" si="277"/>
        <v>40423276.493474394</v>
      </c>
      <c r="I128" s="881">
        <f t="shared" si="277"/>
        <v>43344887.071326107</v>
      </c>
      <c r="J128" s="180">
        <f t="shared" si="266"/>
        <v>256938611.8135246</v>
      </c>
      <c r="K128" s="881">
        <f t="shared" ref="K128:P128" si="278">SUBTOTAL(9,K129:K134)</f>
        <v>14279392.879409004</v>
      </c>
      <c r="L128" s="881">
        <f t="shared" si="278"/>
        <v>14135043.693333529</v>
      </c>
      <c r="M128" s="881">
        <f t="shared" si="278"/>
        <v>13733753.462639023</v>
      </c>
      <c r="N128" s="881">
        <f t="shared" si="278"/>
        <v>14288059.048877638</v>
      </c>
      <c r="O128" s="881">
        <f t="shared" si="278"/>
        <v>13173945.809223305</v>
      </c>
      <c r="P128" s="881">
        <f t="shared" si="278"/>
        <v>14126098.69654518</v>
      </c>
      <c r="Q128" s="180">
        <f t="shared" si="267"/>
        <v>83736293.59002769</v>
      </c>
      <c r="R128" s="881">
        <f t="shared" si="259"/>
        <v>29535866.032554794</v>
      </c>
      <c r="S128" s="881">
        <f t="shared" si="260"/>
        <v>29237290.437791146</v>
      </c>
      <c r="T128" s="881">
        <f t="shared" si="261"/>
        <v>28407251.332203019</v>
      </c>
      <c r="U128" s="881">
        <f t="shared" si="262"/>
        <v>29553791.361915965</v>
      </c>
      <c r="V128" s="881">
        <f t="shared" si="263"/>
        <v>27249330.684251089</v>
      </c>
      <c r="W128" s="881">
        <f t="shared" si="264"/>
        <v>29218788.374780927</v>
      </c>
      <c r="X128" s="180">
        <f t="shared" si="268"/>
        <v>173202318.22349694</v>
      </c>
      <c r="Y128" s="881"/>
      <c r="Z128" s="881"/>
      <c r="AA128" s="881"/>
      <c r="AB128" s="881"/>
      <c r="AC128" s="881"/>
      <c r="AD128" s="881"/>
      <c r="AE128" s="180"/>
      <c r="AG128" s="1415">
        <f>'PDYG-200'!$D$30</f>
        <v>0.31269606137313216</v>
      </c>
      <c r="AH128" s="1415">
        <f>'PDYG-200'!$E$30</f>
        <v>0.26899999999999996</v>
      </c>
      <c r="AI128" s="1415">
        <f>'PDYG-200'!$F$30</f>
        <v>0.41830393862686788</v>
      </c>
    </row>
    <row r="129" spans="1:35">
      <c r="A129" s="57"/>
      <c r="B129" s="48"/>
      <c r="C129" s="887" t="s">
        <v>969</v>
      </c>
      <c r="D129" s="883">
        <f>F821EVE!D129*$D$154</f>
        <v>0</v>
      </c>
      <c r="E129" s="883">
        <f>F821EVE!E129*$D$154</f>
        <v>0</v>
      </c>
      <c r="F129" s="883">
        <f>F821EVE!F129*$D$154</f>
        <v>0</v>
      </c>
      <c r="G129" s="883">
        <f>F821EVE!G129*$D$154</f>
        <v>0</v>
      </c>
      <c r="H129" s="883">
        <f>F821EVE!H129*$D$154</f>
        <v>0</v>
      </c>
      <c r="I129" s="883">
        <f>F821EVE!I129*$D$154</f>
        <v>0</v>
      </c>
      <c r="J129" s="180">
        <f t="shared" si="266"/>
        <v>0</v>
      </c>
      <c r="K129" s="883">
        <f>F821EVE!K129*$D$154</f>
        <v>0</v>
      </c>
      <c r="L129" s="883">
        <f>F821EVE!L129*$D$154</f>
        <v>0</v>
      </c>
      <c r="M129" s="883">
        <f>F821EVE!M129*$D$154</f>
        <v>0</v>
      </c>
      <c r="N129" s="883">
        <f>F821EVE!N129*$D$154</f>
        <v>0</v>
      </c>
      <c r="O129" s="883">
        <f>F821EVE!O129*$D$154</f>
        <v>0</v>
      </c>
      <c r="P129" s="883">
        <f>F821EVE!P129*$D$154</f>
        <v>0</v>
      </c>
      <c r="Q129" s="180">
        <f t="shared" si="267"/>
        <v>0</v>
      </c>
      <c r="R129" s="883">
        <f t="shared" si="259"/>
        <v>0</v>
      </c>
      <c r="S129" s="883">
        <f t="shared" si="260"/>
        <v>0</v>
      </c>
      <c r="T129" s="883">
        <f t="shared" si="261"/>
        <v>0</v>
      </c>
      <c r="U129" s="883">
        <f t="shared" si="262"/>
        <v>0</v>
      </c>
      <c r="V129" s="883">
        <f t="shared" si="263"/>
        <v>0</v>
      </c>
      <c r="W129" s="883">
        <f t="shared" si="264"/>
        <v>0</v>
      </c>
      <c r="X129" s="180">
        <f t="shared" si="268"/>
        <v>0</v>
      </c>
      <c r="Y129" s="883"/>
      <c r="Z129" s="883"/>
      <c r="AA129" s="883"/>
      <c r="AB129" s="883"/>
      <c r="AC129" s="883"/>
      <c r="AD129" s="883"/>
      <c r="AE129" s="180"/>
      <c r="AG129" s="1415">
        <f>'PDYG-200'!$D$30</f>
        <v>0.31269606137313216</v>
      </c>
      <c r="AH129" s="1415">
        <f>'PDYG-200'!$E$30</f>
        <v>0.26899999999999996</v>
      </c>
      <c r="AI129" s="1415">
        <f>'PDYG-200'!$F$30</f>
        <v>0.41830393862686788</v>
      </c>
    </row>
    <row r="130" spans="1:35">
      <c r="A130" s="57"/>
      <c r="B130" s="48"/>
      <c r="C130" s="887" t="s">
        <v>970</v>
      </c>
      <c r="D130" s="883">
        <f>F821EVE!D130*$D$154</f>
        <v>28561650.287422601</v>
      </c>
      <c r="E130" s="883">
        <f>F821EVE!E130*$D$154</f>
        <v>28490721.094706312</v>
      </c>
      <c r="F130" s="883">
        <f>F821EVE!F130*$D$154</f>
        <v>25952246.392240442</v>
      </c>
      <c r="G130" s="883">
        <f>F821EVE!G130*$D$154</f>
        <v>26903006.493499808</v>
      </c>
      <c r="H130" s="883">
        <f>F821EVE!H130*$D$154</f>
        <v>24571800.763736393</v>
      </c>
      <c r="I130" s="883">
        <f>F821EVE!I130*$D$154</f>
        <v>26025514.258152619</v>
      </c>
      <c r="J130" s="180">
        <f t="shared" si="266"/>
        <v>160504939.28975821</v>
      </c>
      <c r="K130" s="883">
        <f>F821EVE!K130*$D$154</f>
        <v>9308241.828671027</v>
      </c>
      <c r="L130" s="883">
        <f>F821EVE!L130*$D$154</f>
        <v>9285126.004764786</v>
      </c>
      <c r="M130" s="883">
        <f>F821EVE!M130*$D$154</f>
        <v>8457837.0992311612</v>
      </c>
      <c r="N130" s="883">
        <f>F821EVE!N130*$D$154</f>
        <v>8767689.8162315879</v>
      </c>
      <c r="O130" s="883">
        <f>F821EVE!O130*$D$154</f>
        <v>8007949.8689016914</v>
      </c>
      <c r="P130" s="883">
        <f>F821EVE!P130*$D$154</f>
        <v>8481715.0967319384</v>
      </c>
      <c r="Q130" s="180">
        <f t="shared" si="267"/>
        <v>52308559.714532189</v>
      </c>
      <c r="R130" s="883">
        <f t="shared" si="259"/>
        <v>19253408.458751574</v>
      </c>
      <c r="S130" s="883">
        <f t="shared" si="260"/>
        <v>19205595.089941524</v>
      </c>
      <c r="T130" s="883">
        <f t="shared" si="261"/>
        <v>17494409.293009281</v>
      </c>
      <c r="U130" s="883">
        <f t="shared" si="262"/>
        <v>18135316.677268222</v>
      </c>
      <c r="V130" s="883">
        <f t="shared" si="263"/>
        <v>16563850.894834701</v>
      </c>
      <c r="W130" s="883">
        <f t="shared" si="264"/>
        <v>17543799.161420681</v>
      </c>
      <c r="X130" s="180">
        <f t="shared" si="268"/>
        <v>108196379.57522598</v>
      </c>
      <c r="Y130" s="883"/>
      <c r="Z130" s="883"/>
      <c r="AA130" s="883"/>
      <c r="AB130" s="883"/>
      <c r="AC130" s="883"/>
      <c r="AD130" s="883"/>
      <c r="AE130" s="180"/>
      <c r="AG130" s="1415">
        <f>'PDYG-200'!$D$30</f>
        <v>0.31269606137313216</v>
      </c>
      <c r="AH130" s="1415">
        <f>'PDYG-200'!$E$30</f>
        <v>0.26899999999999996</v>
      </c>
      <c r="AI130" s="1415">
        <f>'PDYG-200'!$F$30</f>
        <v>0.41830393862686788</v>
      </c>
    </row>
    <row r="131" spans="1:35">
      <c r="A131" s="57"/>
      <c r="B131" s="48"/>
      <c r="C131" s="887" t="s">
        <v>1011</v>
      </c>
      <c r="D131" s="883">
        <f>F821EVE!D131*$D$154</f>
        <v>2012038.4288051997</v>
      </c>
      <c r="E131" s="883">
        <f>F821EVE!E131*$D$154</f>
        <v>1785149.6758848</v>
      </c>
      <c r="F131" s="883">
        <f>F821EVE!F131*$D$154</f>
        <v>1982555.7022817999</v>
      </c>
      <c r="G131" s="883">
        <f>F821EVE!G131*$D$154</f>
        <v>1735268.9591268003</v>
      </c>
      <c r="H131" s="883">
        <f>F821EVE!H131*$D$154</f>
        <v>1657893.4516872005</v>
      </c>
      <c r="I131" s="883">
        <f>F821EVE!I131*$D$154</f>
        <v>1857311.7543908972</v>
      </c>
      <c r="J131" s="180">
        <f t="shared" si="266"/>
        <v>11030217.972176697</v>
      </c>
      <c r="K131" s="883">
        <f>F821EVE!K131*$D$154</f>
        <v>655723.32394761464</v>
      </c>
      <c r="L131" s="883">
        <f>F821EVE!L131*$D$154</f>
        <v>581780.27937085635</v>
      </c>
      <c r="M131" s="883">
        <f>F821EVE!M131*$D$154</f>
        <v>646114.90337363863</v>
      </c>
      <c r="N131" s="883">
        <f>F821EVE!N131*$D$154</f>
        <v>565524.15377942426</v>
      </c>
      <c r="O131" s="883">
        <f>F821EVE!O131*$D$154</f>
        <v>540307.47590485867</v>
      </c>
      <c r="P131" s="883">
        <f>F821EVE!P131*$D$154</f>
        <v>605297.90075599344</v>
      </c>
      <c r="Q131" s="180">
        <f t="shared" si="267"/>
        <v>3594748.0371323861</v>
      </c>
      <c r="R131" s="883">
        <f t="shared" si="259"/>
        <v>1356315.1048575849</v>
      </c>
      <c r="S131" s="883">
        <f t="shared" si="260"/>
        <v>1203369.3965139436</v>
      </c>
      <c r="T131" s="883">
        <f t="shared" si="261"/>
        <v>1336440.7989081612</v>
      </c>
      <c r="U131" s="883">
        <f t="shared" si="262"/>
        <v>1169744.805347376</v>
      </c>
      <c r="V131" s="883">
        <f t="shared" si="263"/>
        <v>1117585.9757823418</v>
      </c>
      <c r="W131" s="883">
        <f t="shared" si="264"/>
        <v>1252013.8536349037</v>
      </c>
      <c r="X131" s="180">
        <f t="shared" si="268"/>
        <v>7435469.935044311</v>
      </c>
      <c r="Y131" s="883"/>
      <c r="Z131" s="883"/>
      <c r="AA131" s="883"/>
      <c r="AB131" s="883"/>
      <c r="AC131" s="883"/>
      <c r="AD131" s="883"/>
      <c r="AE131" s="180"/>
      <c r="AG131" s="1415">
        <f>'PDYG-200'!$D$30</f>
        <v>0.31269606137313216</v>
      </c>
      <c r="AH131" s="1415">
        <f>'PDYG-200'!$E$30</f>
        <v>0.26899999999999996</v>
      </c>
      <c r="AI131" s="1415">
        <f>'PDYG-200'!$F$30</f>
        <v>0.41830393862686788</v>
      </c>
    </row>
    <row r="132" spans="1:35">
      <c r="A132" s="57"/>
      <c r="B132" s="48"/>
      <c r="C132" s="887" t="s">
        <v>1012</v>
      </c>
      <c r="D132" s="883">
        <f>F821EVE!D132*$D$154</f>
        <v>1898587.6805771999</v>
      </c>
      <c r="E132" s="883">
        <f>F821EVE!E132*$D$154</f>
        <v>1961331.6005478001</v>
      </c>
      <c r="F132" s="883">
        <f>F821EVE!F132*$D$154</f>
        <v>1881726.9351246003</v>
      </c>
      <c r="G132" s="883">
        <f>F821EVE!G132*$D$154</f>
        <v>1971237.2558526003</v>
      </c>
      <c r="H132" s="883">
        <f>F821EVE!H132*$D$154</f>
        <v>1744320.9888954002</v>
      </c>
      <c r="I132" s="883">
        <f>F821EVE!I132*$D$154</f>
        <v>1971692.204495579</v>
      </c>
      <c r="J132" s="180">
        <f t="shared" si="266"/>
        <v>11428896.665493179</v>
      </c>
      <c r="K132" s="883">
        <f>F821EVE!K132*$D$154</f>
        <v>618749.72510010947</v>
      </c>
      <c r="L132" s="883">
        <f>F821EVE!L132*$D$154</f>
        <v>639197.9686185281</v>
      </c>
      <c r="M132" s="883">
        <f>F821EVE!M132*$D$154</f>
        <v>613254.80815710733</v>
      </c>
      <c r="N132" s="883">
        <f>F821EVE!N132*$D$154</f>
        <v>642426.22168236249</v>
      </c>
      <c r="O132" s="883">
        <f>F821EVE!O132*$D$154</f>
        <v>568474.21028101095</v>
      </c>
      <c r="P132" s="883">
        <f>F821EVE!P132*$D$154</f>
        <v>642574.48944510927</v>
      </c>
      <c r="Q132" s="180">
        <f t="shared" si="267"/>
        <v>3724677.4232842275</v>
      </c>
      <c r="R132" s="883">
        <f t="shared" si="259"/>
        <v>1279837.9554770906</v>
      </c>
      <c r="S132" s="883">
        <f t="shared" si="260"/>
        <v>1322133.6319292719</v>
      </c>
      <c r="T132" s="883">
        <f t="shared" si="261"/>
        <v>1268472.126967493</v>
      </c>
      <c r="U132" s="883">
        <f t="shared" si="262"/>
        <v>1328811.0341702378</v>
      </c>
      <c r="V132" s="883">
        <f t="shared" si="263"/>
        <v>1175846.7786143892</v>
      </c>
      <c r="W132" s="883">
        <f t="shared" si="264"/>
        <v>1329117.7150504696</v>
      </c>
      <c r="X132" s="180">
        <f t="shared" si="268"/>
        <v>7704219.2422089521</v>
      </c>
      <c r="Y132" s="883"/>
      <c r="Z132" s="883"/>
      <c r="AA132" s="883"/>
      <c r="AB132" s="883"/>
      <c r="AC132" s="883"/>
      <c r="AD132" s="883"/>
      <c r="AE132" s="180"/>
      <c r="AG132" s="1415">
        <f>'PDYG-200'!$D$30</f>
        <v>0.31269606137313216</v>
      </c>
      <c r="AH132" s="1415">
        <f>'PDYG-200'!$E$30</f>
        <v>0.26899999999999996</v>
      </c>
      <c r="AI132" s="1415">
        <f>'PDYG-200'!$F$30</f>
        <v>0.41830393862686788</v>
      </c>
    </row>
    <row r="133" spans="1:35">
      <c r="A133" s="57"/>
      <c r="B133" s="48"/>
      <c r="C133" s="887" t="s">
        <v>1108</v>
      </c>
      <c r="D133" s="883">
        <f>F821EVE!D133*$D$154</f>
        <v>11342982.5151588</v>
      </c>
      <c r="E133" s="883">
        <f>F821EVE!E133*$D$154</f>
        <v>11135131.75998576</v>
      </c>
      <c r="F133" s="883">
        <f>F821EVE!F133*$D$154</f>
        <v>12324475.7651952</v>
      </c>
      <c r="G133" s="883">
        <f>F821EVE!G133*$D$154</f>
        <v>13232337.702314399</v>
      </c>
      <c r="H133" s="883">
        <f>F821EVE!H133*$D$154</f>
        <v>12449261.289155398</v>
      </c>
      <c r="I133" s="883">
        <f>F821EVE!I133*$D$154</f>
        <v>13490368.854287012</v>
      </c>
      <c r="J133" s="180">
        <f t="shared" si="266"/>
        <v>73974557.886096567</v>
      </c>
      <c r="K133" s="883">
        <f>F821EVE!K133*$D$154</f>
        <v>3696678.0016902536</v>
      </c>
      <c r="L133" s="883">
        <f>F821EVE!L133*$D$154</f>
        <v>3628939.4405793594</v>
      </c>
      <c r="M133" s="883">
        <f>F821EVE!M133*$D$154</f>
        <v>4016546.6518771159</v>
      </c>
      <c r="N133" s="883">
        <f>F821EVE!N133*$D$154</f>
        <v>4312418.8571842629</v>
      </c>
      <c r="O133" s="883">
        <f>F821EVE!O133*$D$154</f>
        <v>4057214.2541357442</v>
      </c>
      <c r="P133" s="883">
        <f>F821EVE!P133*$D$154</f>
        <v>4396511.2096121376</v>
      </c>
      <c r="Q133" s="180">
        <f t="shared" si="267"/>
        <v>24108308.415078875</v>
      </c>
      <c r="R133" s="883">
        <f t="shared" si="259"/>
        <v>7646304.5134685468</v>
      </c>
      <c r="S133" s="883">
        <f t="shared" si="260"/>
        <v>7506192.3194064004</v>
      </c>
      <c r="T133" s="883">
        <f t="shared" si="261"/>
        <v>8307929.1133180838</v>
      </c>
      <c r="U133" s="883">
        <f t="shared" si="262"/>
        <v>8919918.8451301362</v>
      </c>
      <c r="V133" s="883">
        <f t="shared" si="263"/>
        <v>8392047.0350196529</v>
      </c>
      <c r="W133" s="883">
        <f t="shared" si="264"/>
        <v>9093857.6446748748</v>
      </c>
      <c r="X133" s="180">
        <f t="shared" si="268"/>
        <v>49866249.471017696</v>
      </c>
      <c r="Y133" s="883"/>
      <c r="Z133" s="883"/>
      <c r="AA133" s="883"/>
      <c r="AB133" s="883"/>
      <c r="AC133" s="883"/>
      <c r="AD133" s="883"/>
      <c r="AE133" s="180"/>
      <c r="AG133" s="1415">
        <f>'PDYG-200'!$D$30</f>
        <v>0.31269606137313216</v>
      </c>
      <c r="AH133" s="1415">
        <f>'PDYG-200'!$E$30</f>
        <v>0.26899999999999996</v>
      </c>
      <c r="AI133" s="1415">
        <f>'PDYG-200'!$F$30</f>
        <v>0.41830393862686788</v>
      </c>
    </row>
    <row r="134" spans="1:35">
      <c r="A134" s="57"/>
      <c r="B134" s="48"/>
      <c r="C134" s="887"/>
      <c r="D134" s="883"/>
      <c r="E134" s="883"/>
      <c r="F134" s="883"/>
      <c r="G134" s="883"/>
      <c r="H134" s="883"/>
      <c r="I134" s="883"/>
      <c r="J134" s="180">
        <f t="shared" si="266"/>
        <v>0</v>
      </c>
      <c r="K134" s="883"/>
      <c r="L134" s="883"/>
      <c r="M134" s="883"/>
      <c r="N134" s="883"/>
      <c r="O134" s="883"/>
      <c r="P134" s="883"/>
      <c r="Q134" s="180">
        <f t="shared" si="267"/>
        <v>0</v>
      </c>
      <c r="R134" s="883">
        <f t="shared" si="259"/>
        <v>0</v>
      </c>
      <c r="S134" s="883">
        <f t="shared" si="260"/>
        <v>0</v>
      </c>
      <c r="T134" s="883">
        <f t="shared" si="261"/>
        <v>0</v>
      </c>
      <c r="U134" s="883">
        <f t="shared" si="262"/>
        <v>0</v>
      </c>
      <c r="V134" s="883">
        <f t="shared" si="263"/>
        <v>0</v>
      </c>
      <c r="W134" s="883">
        <f t="shared" si="264"/>
        <v>0</v>
      </c>
      <c r="X134" s="180">
        <f t="shared" si="268"/>
        <v>0</v>
      </c>
      <c r="Y134" s="883"/>
      <c r="Z134" s="883"/>
      <c r="AA134" s="883"/>
      <c r="AB134" s="883"/>
      <c r="AC134" s="883"/>
      <c r="AD134" s="883"/>
      <c r="AE134" s="180"/>
      <c r="AG134" s="1415"/>
      <c r="AH134" s="1415"/>
      <c r="AI134" s="1415"/>
    </row>
    <row r="135" spans="1:35" ht="15.75">
      <c r="A135" s="57"/>
      <c r="B135" s="48"/>
      <c r="C135" s="965" t="s">
        <v>443</v>
      </c>
      <c r="D135" s="881">
        <f t="shared" ref="D135:I135" si="279">SUBTOTAL(9,D136:D145)</f>
        <v>8795105.5582296029</v>
      </c>
      <c r="E135" s="881">
        <f t="shared" si="279"/>
        <v>8634664.7898642011</v>
      </c>
      <c r="F135" s="881">
        <f t="shared" si="279"/>
        <v>8752103.7719472013</v>
      </c>
      <c r="G135" s="881">
        <f t="shared" si="279"/>
        <v>9219169.634265</v>
      </c>
      <c r="H135" s="881">
        <f t="shared" si="279"/>
        <v>8498064.6649583988</v>
      </c>
      <c r="I135" s="881">
        <f t="shared" si="279"/>
        <v>9527005.2100413982</v>
      </c>
      <c r="J135" s="180">
        <f t="shared" si="266"/>
        <v>53426113.629305802</v>
      </c>
      <c r="K135" s="881">
        <f t="shared" ref="K135:P135" si="280">SUBTOTAL(9,K136:K145)</f>
        <v>3645526.0423340229</v>
      </c>
      <c r="L135" s="881">
        <f t="shared" si="280"/>
        <v>3569866.3783345148</v>
      </c>
      <c r="M135" s="881">
        <f t="shared" si="280"/>
        <v>3625567.3869155971</v>
      </c>
      <c r="N135" s="881">
        <f t="shared" si="280"/>
        <v>3820221.7031298513</v>
      </c>
      <c r="O135" s="881">
        <f t="shared" si="280"/>
        <v>3510666.0686612888</v>
      </c>
      <c r="P135" s="881">
        <f t="shared" si="280"/>
        <v>3940677.299073563</v>
      </c>
      <c r="Q135" s="180">
        <f t="shared" si="267"/>
        <v>22112524.878448837</v>
      </c>
      <c r="R135" s="881">
        <f t="shared" si="259"/>
        <v>5149579.5158955799</v>
      </c>
      <c r="S135" s="881">
        <f t="shared" si="260"/>
        <v>5064798.4115296863</v>
      </c>
      <c r="T135" s="881">
        <f t="shared" si="261"/>
        <v>5126536.3850316042</v>
      </c>
      <c r="U135" s="881">
        <f t="shared" si="262"/>
        <v>5398947.9311351487</v>
      </c>
      <c r="V135" s="881">
        <f t="shared" si="263"/>
        <v>4987398.5962971095</v>
      </c>
      <c r="W135" s="881">
        <f t="shared" si="264"/>
        <v>5586327.9109678352</v>
      </c>
      <c r="X135" s="180">
        <f t="shared" si="268"/>
        <v>31313588.750856958</v>
      </c>
      <c r="Y135" s="881"/>
      <c r="Z135" s="881"/>
      <c r="AA135" s="881"/>
      <c r="AB135" s="881"/>
      <c r="AC135" s="881"/>
      <c r="AD135" s="881"/>
      <c r="AE135" s="180"/>
      <c r="AG135" s="1415">
        <f>'PDYG-200'!$D$31</f>
        <v>0.39972132300720115</v>
      </c>
      <c r="AH135" s="1415">
        <f>'PDYG-200'!$E$31</f>
        <v>0.24340000000000001</v>
      </c>
      <c r="AI135" s="1415">
        <f>'PDYG-200'!$F$31</f>
        <v>0.35687867699279885</v>
      </c>
    </row>
    <row r="136" spans="1:35">
      <c r="A136" s="57"/>
      <c r="B136" s="48" t="s">
        <v>874</v>
      </c>
      <c r="C136" s="882" t="s">
        <v>275</v>
      </c>
      <c r="D136" s="881">
        <f t="shared" ref="D136:P136" si="281">SUBTOTAL(9,D137)</f>
        <v>284720.25630059995</v>
      </c>
      <c r="E136" s="881">
        <f t="shared" si="281"/>
        <v>282190.15856339998</v>
      </c>
      <c r="F136" s="881">
        <f t="shared" si="281"/>
        <v>270270.257904</v>
      </c>
      <c r="G136" s="881">
        <f t="shared" si="281"/>
        <v>280275.01577999996</v>
      </c>
      <c r="H136" s="881">
        <f t="shared" si="281"/>
        <v>271423.51155540004</v>
      </c>
      <c r="I136" s="881">
        <f t="shared" si="281"/>
        <v>281216.32974000031</v>
      </c>
      <c r="J136" s="180">
        <f t="shared" si="266"/>
        <v>1670095.5298434002</v>
      </c>
      <c r="K136" s="881">
        <f t="shared" si="281"/>
        <v>100099.52555040001</v>
      </c>
      <c r="L136" s="881">
        <f t="shared" si="281"/>
        <v>90225.446934599997</v>
      </c>
      <c r="M136" s="881">
        <f t="shared" si="281"/>
        <v>92035.54496520001</v>
      </c>
      <c r="N136" s="881">
        <f t="shared" si="281"/>
        <v>96278.205069000003</v>
      </c>
      <c r="O136" s="881">
        <f t="shared" si="281"/>
        <v>83447.364153600007</v>
      </c>
      <c r="P136" s="881">
        <f t="shared" si="281"/>
        <v>88881.651540000108</v>
      </c>
      <c r="Q136" s="180">
        <f t="shared" si="267"/>
        <v>550967.73821280012</v>
      </c>
      <c r="R136" s="881">
        <f t="shared" si="259"/>
        <v>184620.73075019993</v>
      </c>
      <c r="S136" s="881">
        <f t="shared" si="260"/>
        <v>191964.71162879997</v>
      </c>
      <c r="T136" s="881">
        <f t="shared" si="261"/>
        <v>178234.71293879999</v>
      </c>
      <c r="U136" s="881">
        <f t="shared" si="262"/>
        <v>183996.81071099994</v>
      </c>
      <c r="V136" s="881">
        <f t="shared" si="263"/>
        <v>187976.14740180003</v>
      </c>
      <c r="W136" s="881">
        <f t="shared" si="264"/>
        <v>192334.6782000002</v>
      </c>
      <c r="X136" s="180">
        <f t="shared" si="268"/>
        <v>1119127.7916306001</v>
      </c>
      <c r="Y136" s="881"/>
      <c r="Z136" s="881"/>
      <c r="AA136" s="881"/>
      <c r="AB136" s="881"/>
      <c r="AC136" s="881"/>
      <c r="AD136" s="881"/>
      <c r="AE136" s="180"/>
      <c r="AG136" s="1415">
        <f>'PDYG-200'!$D$31</f>
        <v>0.39972132300720115</v>
      </c>
      <c r="AH136" s="1415">
        <f>'PDYG-200'!$E$31</f>
        <v>0.24340000000000001</v>
      </c>
      <c r="AI136" s="1415">
        <f>'PDYG-200'!$F$31</f>
        <v>0.35687867699279885</v>
      </c>
    </row>
    <row r="137" spans="1:35">
      <c r="A137" s="57"/>
      <c r="B137" s="48"/>
      <c r="C137" s="887" t="s">
        <v>972</v>
      </c>
      <c r="D137" s="883">
        <f>F821EVE!D137*$D$154</f>
        <v>284720.25630059995</v>
      </c>
      <c r="E137" s="883">
        <f>F821EVE!E137*$D$154</f>
        <v>282190.15856339998</v>
      </c>
      <c r="F137" s="883">
        <f>F821EVE!F137*$D$154</f>
        <v>270270.257904</v>
      </c>
      <c r="G137" s="883">
        <f>F821EVE!G137*$D$154</f>
        <v>280275.01577999996</v>
      </c>
      <c r="H137" s="883">
        <f>F821EVE!H137*$D$154</f>
        <v>271423.51155540004</v>
      </c>
      <c r="I137" s="883">
        <f>F821EVE!I137*$D$154</f>
        <v>281216.32974000031</v>
      </c>
      <c r="J137" s="180">
        <f t="shared" si="266"/>
        <v>1670095.5298434002</v>
      </c>
      <c r="K137" s="883">
        <f>F821EVE!K137*$D$154</f>
        <v>100099.52555040001</v>
      </c>
      <c r="L137" s="883">
        <f>F821EVE!L137*$D$154</f>
        <v>90225.446934599997</v>
      </c>
      <c r="M137" s="883">
        <f>F821EVE!M137*$D$154</f>
        <v>92035.54496520001</v>
      </c>
      <c r="N137" s="883">
        <f>F821EVE!N137*$D$154</f>
        <v>96278.205069000003</v>
      </c>
      <c r="O137" s="883">
        <f>F821EVE!O137*$D$154</f>
        <v>83447.364153600007</v>
      </c>
      <c r="P137" s="883">
        <f>F821EVE!P137*$D$154</f>
        <v>88881.651540000108</v>
      </c>
      <c r="Q137" s="180">
        <f t="shared" si="267"/>
        <v>550967.73821280012</v>
      </c>
      <c r="R137" s="883">
        <f t="shared" si="259"/>
        <v>184620.73075019993</v>
      </c>
      <c r="S137" s="883">
        <f t="shared" si="260"/>
        <v>191964.71162879997</v>
      </c>
      <c r="T137" s="883">
        <f t="shared" si="261"/>
        <v>178234.71293879999</v>
      </c>
      <c r="U137" s="883">
        <f t="shared" si="262"/>
        <v>183996.81071099994</v>
      </c>
      <c r="V137" s="883">
        <f t="shared" si="263"/>
        <v>187976.14740180003</v>
      </c>
      <c r="W137" s="883">
        <f t="shared" si="264"/>
        <v>192334.6782000002</v>
      </c>
      <c r="X137" s="180">
        <f t="shared" si="268"/>
        <v>1119127.7916306001</v>
      </c>
      <c r="Y137" s="883"/>
      <c r="Z137" s="883"/>
      <c r="AA137" s="883"/>
      <c r="AB137" s="883"/>
      <c r="AC137" s="883"/>
      <c r="AD137" s="883"/>
      <c r="AE137" s="180"/>
      <c r="AG137" s="1415">
        <f>'PDYG-200'!$D$31</f>
        <v>0.39972132300720115</v>
      </c>
      <c r="AH137" s="1415">
        <f>'PDYG-200'!$E$31</f>
        <v>0.24340000000000001</v>
      </c>
      <c r="AI137" s="1415">
        <f>'PDYG-200'!$F$31</f>
        <v>0.35687867699279885</v>
      </c>
    </row>
    <row r="138" spans="1:35">
      <c r="A138" s="57"/>
      <c r="B138" s="48"/>
      <c r="C138" s="887" t="s">
        <v>1255</v>
      </c>
      <c r="D138" s="883">
        <f>F821EVE!D138*$D$154</f>
        <v>0</v>
      </c>
      <c r="E138" s="883">
        <f>F821EVE!E138*$D$154</f>
        <v>0</v>
      </c>
      <c r="F138" s="883">
        <f>F821EVE!F138*$D$154</f>
        <v>0</v>
      </c>
      <c r="G138" s="883">
        <f>F821EVE!G138*$D$154</f>
        <v>0</v>
      </c>
      <c r="H138" s="883">
        <f>F821EVE!H138*$D$154</f>
        <v>0</v>
      </c>
      <c r="I138" s="883">
        <f>F821EVE!I138*$D$154</f>
        <v>0</v>
      </c>
      <c r="J138" s="180"/>
      <c r="K138" s="883">
        <f>F821EVE!K138*$D$154</f>
        <v>0</v>
      </c>
      <c r="L138" s="883">
        <f>F821EVE!L138*$D$154</f>
        <v>0</v>
      </c>
      <c r="M138" s="883">
        <f>F821EVE!M138*$D$154</f>
        <v>0</v>
      </c>
      <c r="N138" s="883">
        <f>F821EVE!N138*$D$154</f>
        <v>0</v>
      </c>
      <c r="O138" s="883">
        <f>F821EVE!O138*$D$154</f>
        <v>0</v>
      </c>
      <c r="P138" s="883">
        <f>F821EVE!P138*$D$154</f>
        <v>0</v>
      </c>
      <c r="Q138" s="180"/>
      <c r="R138" s="883"/>
      <c r="S138" s="883"/>
      <c r="T138" s="883"/>
      <c r="U138" s="883"/>
      <c r="V138" s="883"/>
      <c r="W138" s="883"/>
      <c r="X138" s="180"/>
      <c r="Y138" s="883"/>
      <c r="Z138" s="883"/>
      <c r="AA138" s="883"/>
      <c r="AB138" s="883"/>
      <c r="AC138" s="883"/>
      <c r="AD138" s="883"/>
      <c r="AE138" s="180"/>
      <c r="AG138" s="1415"/>
      <c r="AH138" s="1415"/>
      <c r="AI138" s="1415"/>
    </row>
    <row r="139" spans="1:35">
      <c r="A139" s="57"/>
      <c r="B139" s="48" t="s">
        <v>875</v>
      </c>
      <c r="C139" s="882" t="s">
        <v>274</v>
      </c>
      <c r="D139" s="881">
        <f t="shared" ref="D139:I139" si="282">SUBTOTAL(9,D140:D145)</f>
        <v>8510385.3019290026</v>
      </c>
      <c r="E139" s="881">
        <f t="shared" si="282"/>
        <v>8352474.6313008023</v>
      </c>
      <c r="F139" s="881">
        <f t="shared" si="282"/>
        <v>8481833.5140432008</v>
      </c>
      <c r="G139" s="881">
        <f t="shared" si="282"/>
        <v>8938894.618485</v>
      </c>
      <c r="H139" s="881">
        <f t="shared" si="282"/>
        <v>8226641.153402999</v>
      </c>
      <c r="I139" s="881">
        <f t="shared" si="282"/>
        <v>9245788.8803013973</v>
      </c>
      <c r="J139" s="180">
        <f t="shared" si="266"/>
        <v>51756018.099462405</v>
      </c>
      <c r="K139" s="881">
        <f t="shared" ref="K139:P139" si="283">SUBTOTAL(9,K140:K145)</f>
        <v>3545426.516783623</v>
      </c>
      <c r="L139" s="881">
        <f t="shared" si="283"/>
        <v>3479640.9313999144</v>
      </c>
      <c r="M139" s="881">
        <f t="shared" si="283"/>
        <v>3533531.841950397</v>
      </c>
      <c r="N139" s="881">
        <f t="shared" si="283"/>
        <v>3723943.4980608514</v>
      </c>
      <c r="O139" s="881">
        <f t="shared" si="283"/>
        <v>3427218.704507689</v>
      </c>
      <c r="P139" s="881">
        <f t="shared" si="283"/>
        <v>3851795.647533562</v>
      </c>
      <c r="Q139" s="180">
        <f t="shared" si="267"/>
        <v>21561557.140236039</v>
      </c>
      <c r="R139" s="881">
        <f t="shared" si="259"/>
        <v>4964958.7851453796</v>
      </c>
      <c r="S139" s="881">
        <f t="shared" si="260"/>
        <v>4872833.6999008879</v>
      </c>
      <c r="T139" s="881">
        <f t="shared" si="261"/>
        <v>4948301.6720928038</v>
      </c>
      <c r="U139" s="881">
        <f t="shared" si="262"/>
        <v>5214951.1204241486</v>
      </c>
      <c r="V139" s="881">
        <f t="shared" si="263"/>
        <v>4799422.4488953101</v>
      </c>
      <c r="W139" s="881">
        <f t="shared" si="264"/>
        <v>5393993.2327678353</v>
      </c>
      <c r="X139" s="180">
        <f t="shared" si="268"/>
        <v>30194460.959226362</v>
      </c>
      <c r="Y139" s="881"/>
      <c r="Z139" s="881"/>
      <c r="AA139" s="881"/>
      <c r="AB139" s="881"/>
      <c r="AC139" s="881"/>
      <c r="AD139" s="881"/>
      <c r="AE139" s="180"/>
      <c r="AG139" s="1415">
        <f>'PDYG-200'!$D$31</f>
        <v>0.39972132300720115</v>
      </c>
      <c r="AH139" s="1415">
        <f>'PDYG-200'!$E$31</f>
        <v>0.24340000000000001</v>
      </c>
      <c r="AI139" s="1415">
        <f>'PDYG-200'!$F$31</f>
        <v>0.35687867699279885</v>
      </c>
    </row>
    <row r="140" spans="1:35">
      <c r="A140" s="57"/>
      <c r="B140" s="58"/>
      <c r="C140" s="887" t="s">
        <v>969</v>
      </c>
      <c r="D140" s="883">
        <f>F821EVE!D140*$D$154</f>
        <v>87732.091899000021</v>
      </c>
      <c r="E140" s="883">
        <f>F821EVE!E140*$D$154</f>
        <v>85428.872413200006</v>
      </c>
      <c r="F140" s="883">
        <f>F821EVE!F140*$D$154</f>
        <v>87200.764768799985</v>
      </c>
      <c r="G140" s="883">
        <f>F821EVE!G140*$D$154</f>
        <v>91276.421621400004</v>
      </c>
      <c r="H140" s="883">
        <f>F821EVE!H140*$D$154</f>
        <v>84138.092388000005</v>
      </c>
      <c r="I140" s="883">
        <f>F821EVE!I140*$D$154</f>
        <v>89079.034343399995</v>
      </c>
      <c r="J140" s="180">
        <f t="shared" si="266"/>
        <v>524855.27743380005</v>
      </c>
      <c r="K140" s="883">
        <f>F821EVE!K140*$D$154</f>
        <v>36549.18948512341</v>
      </c>
      <c r="L140" s="883">
        <f>F821EVE!L140*$D$154</f>
        <v>35589.668247339127</v>
      </c>
      <c r="M140" s="883">
        <f>F821EVE!M140*$D$154</f>
        <v>36327.838602682081</v>
      </c>
      <c r="N140" s="883">
        <f>F821EVE!N140*$D$154</f>
        <v>38025.757247475245</v>
      </c>
      <c r="O140" s="883">
        <f>F821EVE!O140*$D$154</f>
        <v>35051.929288840809</v>
      </c>
      <c r="P140" s="883">
        <f>F821EVE!P140*$D$154</f>
        <v>37110.325707460441</v>
      </c>
      <c r="Q140" s="180">
        <f t="shared" si="267"/>
        <v>218654.70857892113</v>
      </c>
      <c r="R140" s="883">
        <f t="shared" si="259"/>
        <v>51182.902413876611</v>
      </c>
      <c r="S140" s="883">
        <f t="shared" si="260"/>
        <v>49839.20416586088</v>
      </c>
      <c r="T140" s="883">
        <f t="shared" si="261"/>
        <v>50872.926166117904</v>
      </c>
      <c r="U140" s="883">
        <f t="shared" si="262"/>
        <v>53250.664373924759</v>
      </c>
      <c r="V140" s="883">
        <f t="shared" si="263"/>
        <v>49086.163099159196</v>
      </c>
      <c r="W140" s="883">
        <f t="shared" si="264"/>
        <v>51968.708635939554</v>
      </c>
      <c r="X140" s="180">
        <f t="shared" si="268"/>
        <v>306200.56885487889</v>
      </c>
      <c r="Y140" s="883"/>
      <c r="Z140" s="883"/>
      <c r="AA140" s="883"/>
      <c r="AB140" s="883"/>
      <c r="AC140" s="883"/>
      <c r="AD140" s="883"/>
      <c r="AE140" s="180"/>
      <c r="AG140" s="1415">
        <f>'PDYG-200'!$D$31</f>
        <v>0.39972132300720115</v>
      </c>
      <c r="AH140" s="1415">
        <f>'PDYG-200'!$E$31</f>
        <v>0.24340000000000001</v>
      </c>
      <c r="AI140" s="1415">
        <f>'PDYG-200'!$F$31</f>
        <v>0.35687867699279885</v>
      </c>
    </row>
    <row r="141" spans="1:35">
      <c r="A141" s="57"/>
      <c r="B141" s="58"/>
      <c r="C141" s="887" t="s">
        <v>970</v>
      </c>
      <c r="D141" s="883">
        <f>F821EVE!D141*$D$154</f>
        <v>5647476.0021552024</v>
      </c>
      <c r="E141" s="883">
        <f>F821EVE!E141*$D$154</f>
        <v>5512431.4428402018</v>
      </c>
      <c r="F141" s="883">
        <f>F821EVE!F141*$D$154</f>
        <v>5369313.4376796</v>
      </c>
      <c r="G141" s="883">
        <f>F821EVE!G141*$D$154</f>
        <v>5572013.5094724</v>
      </c>
      <c r="H141" s="883">
        <f>F821EVE!H141*$D$154</f>
        <v>5103755.4856337989</v>
      </c>
      <c r="I141" s="883">
        <f>F821EVE!I141*$D$154</f>
        <v>5507594.7772497861</v>
      </c>
      <c r="J141" s="180">
        <f t="shared" si="266"/>
        <v>32712584.655030988</v>
      </c>
      <c r="K141" s="883">
        <f>F821EVE!K141*$D$154</f>
        <v>2352738.5024978579</v>
      </c>
      <c r="L141" s="883">
        <f>F821EVE!L141*$D$154</f>
        <v>2296478.9390872284</v>
      </c>
      <c r="M141" s="883">
        <f>F821EVE!M141*$D$154</f>
        <v>2236855.9781373213</v>
      </c>
      <c r="N141" s="883">
        <f>F821EVE!N141*$D$154</f>
        <v>2321300.8280462017</v>
      </c>
      <c r="O141" s="883">
        <f>F821EVE!O141*$D$154</f>
        <v>2126224.5353150405</v>
      </c>
      <c r="P141" s="883">
        <f>F821EVE!P141*$D$154</f>
        <v>2294463.9842022606</v>
      </c>
      <c r="Q141" s="180">
        <f t="shared" si="267"/>
        <v>13628062.767285911</v>
      </c>
      <c r="R141" s="883">
        <f t="shared" si="259"/>
        <v>3294737.4996573445</v>
      </c>
      <c r="S141" s="883">
        <f t="shared" si="260"/>
        <v>3215952.5037529734</v>
      </c>
      <c r="T141" s="883">
        <f t="shared" si="261"/>
        <v>3132457.4595422787</v>
      </c>
      <c r="U141" s="883">
        <f t="shared" si="262"/>
        <v>3250712.6814261982</v>
      </c>
      <c r="V141" s="883">
        <f t="shared" si="263"/>
        <v>2977530.9503187584</v>
      </c>
      <c r="W141" s="883">
        <f t="shared" si="264"/>
        <v>3213130.7930475255</v>
      </c>
      <c r="X141" s="180">
        <f t="shared" si="268"/>
        <v>19084521.887745079</v>
      </c>
      <c r="Y141" s="883"/>
      <c r="Z141" s="883"/>
      <c r="AA141" s="883"/>
      <c r="AB141" s="883"/>
      <c r="AC141" s="883"/>
      <c r="AD141" s="883"/>
      <c r="AE141" s="180"/>
      <c r="AG141" s="1415">
        <f>'PDYG-200'!$D$31</f>
        <v>0.39972132300720115</v>
      </c>
      <c r="AH141" s="1415">
        <f>'PDYG-200'!$E$31</f>
        <v>0.24340000000000001</v>
      </c>
      <c r="AI141" s="1415">
        <f>'PDYG-200'!$F$31</f>
        <v>0.35687867699279885</v>
      </c>
    </row>
    <row r="142" spans="1:35">
      <c r="A142" s="57"/>
      <c r="B142" s="58"/>
      <c r="C142" s="887" t="s">
        <v>1011</v>
      </c>
      <c r="D142" s="883">
        <f>F821EVE!D142*$D$154</f>
        <v>110947.87088640002</v>
      </c>
      <c r="E142" s="883">
        <f>F821EVE!E142*$D$154</f>
        <v>108303.88519980002</v>
      </c>
      <c r="F142" s="883">
        <f>F821EVE!F142*$D$154</f>
        <v>106445.41588619997</v>
      </c>
      <c r="G142" s="883">
        <f>F821EVE!G142*$D$154</f>
        <v>108230.35054860004</v>
      </c>
      <c r="H142" s="883">
        <f>F821EVE!H142*$D$154</f>
        <v>93524.276813400007</v>
      </c>
      <c r="I142" s="883">
        <f>F821EVE!I142*$D$154</f>
        <v>104766.58333321181</v>
      </c>
      <c r="J142" s="180">
        <f t="shared" si="266"/>
        <v>632218.38266761194</v>
      </c>
      <c r="K142" s="883">
        <f>F821EVE!K142*$D$154</f>
        <v>46220.883011274251</v>
      </c>
      <c r="L142" s="883">
        <f>F821EVE!L142*$D$154</f>
        <v>45119.398574236693</v>
      </c>
      <c r="M142" s="883">
        <f>F821EVE!M142*$D$154</f>
        <v>44345.16025819091</v>
      </c>
      <c r="N142" s="883">
        <f>F821EVE!N142*$D$154</f>
        <v>45088.764038546775</v>
      </c>
      <c r="O142" s="883">
        <f>F821EVE!O142*$D$154</f>
        <v>38962.213720462445</v>
      </c>
      <c r="P142" s="883">
        <f>F821EVE!P142*$D$154</f>
        <v>43645.75861661604</v>
      </c>
      <c r="Q142" s="180">
        <f t="shared" si="267"/>
        <v>263382.17821932706</v>
      </c>
      <c r="R142" s="883">
        <f t="shared" si="259"/>
        <v>64726.987875125771</v>
      </c>
      <c r="S142" s="883">
        <f t="shared" si="260"/>
        <v>63184.486625563324</v>
      </c>
      <c r="T142" s="883">
        <f t="shared" si="261"/>
        <v>62100.255628009065</v>
      </c>
      <c r="U142" s="883">
        <f t="shared" si="262"/>
        <v>63141.586510053261</v>
      </c>
      <c r="V142" s="883">
        <f t="shared" si="263"/>
        <v>54562.063092937562</v>
      </c>
      <c r="W142" s="883">
        <f t="shared" si="264"/>
        <v>61120.824716595765</v>
      </c>
      <c r="X142" s="180">
        <f t="shared" si="268"/>
        <v>368836.20444828476</v>
      </c>
      <c r="Y142" s="883"/>
      <c r="Z142" s="883"/>
      <c r="AA142" s="883"/>
      <c r="AB142" s="883"/>
      <c r="AC142" s="883"/>
      <c r="AD142" s="883"/>
      <c r="AE142" s="180"/>
      <c r="AG142" s="1415">
        <f>'PDYG-200'!$D$31</f>
        <v>0.39972132300720115</v>
      </c>
      <c r="AH142" s="1415">
        <f>'PDYG-200'!$E$31</f>
        <v>0.24340000000000001</v>
      </c>
      <c r="AI142" s="1415">
        <f>'PDYG-200'!$F$31</f>
        <v>0.35687867699279885</v>
      </c>
    </row>
    <row r="143" spans="1:35">
      <c r="A143" s="57"/>
      <c r="B143" s="58"/>
      <c r="C143" s="887" t="s">
        <v>1012</v>
      </c>
      <c r="D143" s="883">
        <f>F821EVE!D143*$D$154</f>
        <v>1144013.2962533999</v>
      </c>
      <c r="E143" s="883">
        <f>F821EVE!E143*$D$154</f>
        <v>1101133.39005</v>
      </c>
      <c r="F143" s="883">
        <f>F821EVE!F143*$D$154</f>
        <v>1085702.122278</v>
      </c>
      <c r="G143" s="883">
        <f>F821EVE!G143*$D$154</f>
        <v>1133516.0387808001</v>
      </c>
      <c r="H143" s="883">
        <f>F821EVE!H143*$D$154</f>
        <v>1002488.4667655999</v>
      </c>
      <c r="I143" s="883">
        <f>F821EVE!I143*$D$154</f>
        <v>1017639.0618811561</v>
      </c>
      <c r="J143" s="180">
        <f t="shared" si="266"/>
        <v>6484492.3760089558</v>
      </c>
      <c r="K143" s="883">
        <f>F821EVE!K143*$D$154</f>
        <v>476595.93921916641</v>
      </c>
      <c r="L143" s="883">
        <f>F821EVE!L143*$D$154</f>
        <v>458732.17029483005</v>
      </c>
      <c r="M143" s="883">
        <f>F821EVE!M143*$D$154</f>
        <v>452303.50414101483</v>
      </c>
      <c r="N143" s="883">
        <f>F821EVE!N143*$D$154</f>
        <v>472222.78175608133</v>
      </c>
      <c r="O143" s="883">
        <f>F821EVE!O143*$D$154</f>
        <v>417636.69525454898</v>
      </c>
      <c r="P143" s="883">
        <f>F821EVE!P143*$D$154</f>
        <v>423948.43317968963</v>
      </c>
      <c r="Q143" s="180">
        <f t="shared" si="267"/>
        <v>2701439.5238453313</v>
      </c>
      <c r="R143" s="883">
        <f t="shared" si="259"/>
        <v>667417.35703423352</v>
      </c>
      <c r="S143" s="883">
        <f t="shared" si="260"/>
        <v>642401.21975516994</v>
      </c>
      <c r="T143" s="883">
        <f t="shared" si="261"/>
        <v>633398.61813698523</v>
      </c>
      <c r="U143" s="883">
        <f t="shared" si="262"/>
        <v>661293.25702471868</v>
      </c>
      <c r="V143" s="883">
        <f t="shared" si="263"/>
        <v>584851.77151105087</v>
      </c>
      <c r="W143" s="883">
        <f t="shared" si="264"/>
        <v>593690.62870146637</v>
      </c>
      <c r="X143" s="180">
        <f t="shared" si="268"/>
        <v>3783052.852163624</v>
      </c>
      <c r="Y143" s="883"/>
      <c r="Z143" s="883"/>
      <c r="AA143" s="883"/>
      <c r="AB143" s="883"/>
      <c r="AC143" s="883"/>
      <c r="AD143" s="883"/>
      <c r="AE143" s="180"/>
      <c r="AG143" s="1415">
        <f>'PDYG-200'!$D$31</f>
        <v>0.39972132300720115</v>
      </c>
      <c r="AH143" s="1415">
        <f>'PDYG-200'!$E$31</f>
        <v>0.24340000000000001</v>
      </c>
      <c r="AI143" s="1415">
        <f>'PDYG-200'!$F$31</f>
        <v>0.35687867699279885</v>
      </c>
    </row>
    <row r="144" spans="1:35">
      <c r="A144" s="57"/>
      <c r="B144" s="58"/>
      <c r="C144" s="887" t="s">
        <v>1108</v>
      </c>
      <c r="D144" s="883">
        <f>F821EVE!D144*$D$154</f>
        <v>1520216.040735</v>
      </c>
      <c r="E144" s="883">
        <f>F821EVE!E144*$D$154</f>
        <v>1545177.0407975996</v>
      </c>
      <c r="F144" s="883">
        <f>F821EVE!F144*$D$154</f>
        <v>1833171.7734306001</v>
      </c>
      <c r="G144" s="883">
        <f>F821EVE!G144*$D$154</f>
        <v>2033858.2980618002</v>
      </c>
      <c r="H144" s="883">
        <f>F821EVE!H144*$D$154</f>
        <v>1942734.8318021998</v>
      </c>
      <c r="I144" s="883">
        <f>F821EVE!I144*$D$154</f>
        <v>2526709.4234938445</v>
      </c>
      <c r="J144" s="180">
        <f>SUM(D144:I144)</f>
        <v>11401867.408321045</v>
      </c>
      <c r="K144" s="883">
        <f>F821EVE!K144*$D$154</f>
        <v>633322.00257020106</v>
      </c>
      <c r="L144" s="883">
        <f>F821EVE!L144*$D$154</f>
        <v>643720.75519628008</v>
      </c>
      <c r="M144" s="883">
        <f>F821EVE!M144*$D$154</f>
        <v>763699.360811188</v>
      </c>
      <c r="N144" s="883">
        <f>F821EVE!N144*$D$154</f>
        <v>847305.36697254586</v>
      </c>
      <c r="O144" s="883">
        <f>F821EVE!O144*$D$154</f>
        <v>809343.33092879655</v>
      </c>
      <c r="P144" s="883">
        <f>F821EVE!P144*$D$154</f>
        <v>1052627.1458275358</v>
      </c>
      <c r="Q144" s="180">
        <f>SUM(K144:P144)</f>
        <v>4750017.962306547</v>
      </c>
      <c r="R144" s="883">
        <f t="shared" ref="R144:W144" si="284">D144-K144</f>
        <v>886894.03816479899</v>
      </c>
      <c r="S144" s="883">
        <f t="shared" si="284"/>
        <v>901456.28560131951</v>
      </c>
      <c r="T144" s="883">
        <f t="shared" si="284"/>
        <v>1069472.4126194119</v>
      </c>
      <c r="U144" s="883">
        <f t="shared" si="284"/>
        <v>1186552.9310892543</v>
      </c>
      <c r="V144" s="883">
        <f t="shared" si="284"/>
        <v>1133391.5008734032</v>
      </c>
      <c r="W144" s="883">
        <f t="shared" si="284"/>
        <v>1474082.2776663087</v>
      </c>
      <c r="X144" s="180">
        <f>SUM(R144:W144)</f>
        <v>6651849.4460144965</v>
      </c>
      <c r="Y144" s="883"/>
      <c r="Z144" s="883"/>
      <c r="AA144" s="883"/>
      <c r="AB144" s="883"/>
      <c r="AC144" s="883"/>
      <c r="AD144" s="883"/>
      <c r="AE144" s="180"/>
      <c r="AG144" s="1415">
        <f>'PDYG-200'!$D$31</f>
        <v>0.39972132300720115</v>
      </c>
      <c r="AH144" s="1415">
        <f>'PDYG-200'!$E$31</f>
        <v>0.24340000000000001</v>
      </c>
      <c r="AI144" s="1415">
        <f>'PDYG-200'!$F$31</f>
        <v>0.35687867699279885</v>
      </c>
    </row>
    <row r="145" spans="1:43">
      <c r="A145" s="57"/>
      <c r="B145" s="58"/>
      <c r="C145" s="882"/>
      <c r="D145" s="883"/>
      <c r="E145" s="883"/>
      <c r="F145" s="883"/>
      <c r="G145" s="883"/>
      <c r="H145" s="883"/>
      <c r="I145" s="883"/>
      <c r="J145" s="180">
        <f t="shared" si="266"/>
        <v>0</v>
      </c>
      <c r="K145" s="883"/>
      <c r="L145" s="883"/>
      <c r="M145" s="883"/>
      <c r="N145" s="883"/>
      <c r="O145" s="883"/>
      <c r="P145" s="883"/>
      <c r="Q145" s="180">
        <f t="shared" si="267"/>
        <v>0</v>
      </c>
      <c r="R145" s="883">
        <f t="shared" si="259"/>
        <v>0</v>
      </c>
      <c r="S145" s="883">
        <f t="shared" si="260"/>
        <v>0</v>
      </c>
      <c r="T145" s="883">
        <f t="shared" si="261"/>
        <v>0</v>
      </c>
      <c r="U145" s="883">
        <f t="shared" si="262"/>
        <v>0</v>
      </c>
      <c r="V145" s="883">
        <f t="shared" si="263"/>
        <v>0</v>
      </c>
      <c r="W145" s="883">
        <f t="shared" si="264"/>
        <v>0</v>
      </c>
      <c r="X145" s="180">
        <f t="shared" si="268"/>
        <v>0</v>
      </c>
      <c r="Y145" s="883"/>
      <c r="Z145" s="883"/>
      <c r="AA145" s="883"/>
      <c r="AB145" s="883"/>
      <c r="AC145" s="883"/>
      <c r="AD145" s="883"/>
      <c r="AE145" s="180"/>
      <c r="AG145" s="1412"/>
      <c r="AH145" s="1412"/>
      <c r="AI145" s="1412"/>
    </row>
    <row r="146" spans="1:43">
      <c r="A146" s="57"/>
      <c r="B146" s="58"/>
      <c r="C146" s="880" t="s">
        <v>112</v>
      </c>
      <c r="D146" s="881">
        <f t="shared" ref="D146:I146" si="285">SUBTOTAL(9,D114:D145)</f>
        <v>80331583.667584613</v>
      </c>
      <c r="E146" s="881">
        <f t="shared" si="285"/>
        <v>78788015.130468875</v>
      </c>
      <c r="F146" s="881">
        <f t="shared" si="285"/>
        <v>77642582.278514042</v>
      </c>
      <c r="G146" s="881">
        <f t="shared" si="285"/>
        <v>82865133.986698806</v>
      </c>
      <c r="H146" s="881">
        <f t="shared" si="285"/>
        <v>74626016.631640196</v>
      </c>
      <c r="I146" s="881">
        <f t="shared" si="285"/>
        <v>80914986.739212155</v>
      </c>
      <c r="J146" s="180">
        <f t="shared" si="266"/>
        <v>475168318.43411869</v>
      </c>
      <c r="K146" s="881">
        <f t="shared" ref="K146:P146" si="286">SUBTOTAL(9,K114:K145)</f>
        <v>29956705.748673636</v>
      </c>
      <c r="L146" s="881">
        <f t="shared" si="286"/>
        <v>28986944.708273977</v>
      </c>
      <c r="M146" s="881">
        <f t="shared" si="286"/>
        <v>28664239.55006225</v>
      </c>
      <c r="N146" s="881">
        <f t="shared" si="286"/>
        <v>30910084.771213662</v>
      </c>
      <c r="O146" s="881">
        <f t="shared" si="286"/>
        <v>26535917.490728512</v>
      </c>
      <c r="P146" s="881">
        <f t="shared" si="286"/>
        <v>29624605.6550854</v>
      </c>
      <c r="Q146" s="180">
        <f t="shared" si="267"/>
        <v>174678497.92403746</v>
      </c>
      <c r="R146" s="881">
        <f t="shared" si="259"/>
        <v>50374877.91891098</v>
      </c>
      <c r="S146" s="881">
        <f t="shared" si="260"/>
        <v>49801070.422194898</v>
      </c>
      <c r="T146" s="881">
        <f t="shared" si="261"/>
        <v>48978342.728451788</v>
      </c>
      <c r="U146" s="881">
        <f t="shared" si="262"/>
        <v>51955049.215485141</v>
      </c>
      <c r="V146" s="881">
        <f t="shared" si="263"/>
        <v>48090099.140911683</v>
      </c>
      <c r="W146" s="881">
        <f t="shared" si="264"/>
        <v>51290381.084126756</v>
      </c>
      <c r="X146" s="180">
        <f t="shared" si="268"/>
        <v>300489820.51008129</v>
      </c>
      <c r="Y146" s="881"/>
      <c r="Z146" s="881"/>
      <c r="AA146" s="881"/>
      <c r="AB146" s="881"/>
      <c r="AC146" s="881"/>
      <c r="AD146" s="881"/>
      <c r="AE146" s="180"/>
      <c r="AG146" s="1412"/>
      <c r="AH146" s="1412"/>
      <c r="AI146" s="1412"/>
    </row>
    <row r="147" spans="1:43">
      <c r="D147" s="61">
        <f>D146-K146-R146-Y146</f>
        <v>0</v>
      </c>
      <c r="E147" s="61">
        <f t="shared" ref="E147:J147" si="287">E146-L146-S146-Z146</f>
        <v>0</v>
      </c>
      <c r="F147" s="61">
        <f t="shared" si="287"/>
        <v>0</v>
      </c>
      <c r="G147" s="61">
        <f t="shared" si="287"/>
        <v>0</v>
      </c>
      <c r="H147" s="61">
        <f t="shared" si="287"/>
        <v>0</v>
      </c>
      <c r="I147" s="61">
        <f t="shared" si="287"/>
        <v>0</v>
      </c>
      <c r="J147" s="61">
        <f t="shared" si="287"/>
        <v>-5.9604644775390625E-8</v>
      </c>
      <c r="L147" s="60"/>
      <c r="M147" s="60"/>
      <c r="N147" s="60"/>
      <c r="O147" s="60"/>
      <c r="P147" s="60"/>
      <c r="S147" s="60"/>
      <c r="T147" s="60"/>
      <c r="U147" s="60"/>
      <c r="V147" s="60"/>
      <c r="W147" s="60"/>
      <c r="Z147" s="60"/>
      <c r="AA147" s="60"/>
      <c r="AG147" s="1412"/>
      <c r="AH147" s="1412"/>
      <c r="AI147" s="1412"/>
    </row>
    <row r="148" spans="1:43">
      <c r="D148" s="61">
        <f t="shared" ref="D148:J148" si="288">D114+D122+D135-D146</f>
        <v>0</v>
      </c>
      <c r="E148" s="61">
        <f t="shared" si="288"/>
        <v>0</v>
      </c>
      <c r="F148" s="61">
        <f t="shared" si="288"/>
        <v>0</v>
      </c>
      <c r="G148" s="61">
        <f t="shared" si="288"/>
        <v>0</v>
      </c>
      <c r="H148" s="61">
        <f t="shared" si="288"/>
        <v>0</v>
      </c>
      <c r="I148" s="61">
        <f t="shared" si="288"/>
        <v>0</v>
      </c>
      <c r="J148" s="61">
        <f t="shared" si="288"/>
        <v>0</v>
      </c>
      <c r="L148" s="60"/>
      <c r="M148" s="60"/>
      <c r="N148" s="60"/>
      <c r="O148" s="60"/>
      <c r="P148" s="60"/>
      <c r="S148" s="60"/>
      <c r="T148" s="60"/>
      <c r="U148" s="60"/>
      <c r="V148" s="60"/>
      <c r="W148" s="60"/>
      <c r="Z148" s="60"/>
      <c r="AA148" s="60"/>
      <c r="AG148" s="1412"/>
      <c r="AH148" s="1412"/>
      <c r="AI148" s="1412"/>
    </row>
    <row r="149" spans="1:43">
      <c r="A149" s="57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1646"/>
      <c r="Z149" s="1646"/>
      <c r="AA149" s="1646"/>
      <c r="AB149" s="1646"/>
      <c r="AC149" s="1646"/>
      <c r="AD149" s="1646"/>
      <c r="AE149" s="1646"/>
      <c r="AG149" s="1412"/>
      <c r="AH149" s="1412"/>
      <c r="AI149" s="1412"/>
    </row>
    <row r="150" spans="1:43" ht="18.75">
      <c r="C150" s="59" t="str">
        <f>'PORTADA PORTADA PORTADA'!$B$23</f>
        <v>1 DE JULIO DE 2026</v>
      </c>
      <c r="E150" s="60"/>
      <c r="F150" s="60"/>
      <c r="G150" s="60"/>
      <c r="H150" s="60"/>
      <c r="I150" s="60"/>
      <c r="J150" s="520"/>
      <c r="AG150" s="1412"/>
      <c r="AH150" s="1412"/>
      <c r="AI150" s="1412"/>
    </row>
    <row r="151" spans="1:43">
      <c r="K151" s="1647">
        <f t="shared" ref="K151:Q151" si="289">K109/D109</f>
        <v>0.26878811609271536</v>
      </c>
      <c r="L151" s="1647">
        <f t="shared" si="289"/>
        <v>0.26873001496320764</v>
      </c>
      <c r="M151" s="1647">
        <f t="shared" si="289"/>
        <v>0.26855360948065493</v>
      </c>
      <c r="N151" s="1647">
        <f t="shared" si="289"/>
        <v>0.2685880566821503</v>
      </c>
      <c r="O151" s="1647">
        <f t="shared" si="289"/>
        <v>0.26824879721274969</v>
      </c>
      <c r="P151" s="1647">
        <f t="shared" si="289"/>
        <v>0.2682157662127353</v>
      </c>
      <c r="Q151" s="1648">
        <f t="shared" si="289"/>
        <v>0.268524720695827</v>
      </c>
    </row>
    <row r="152" spans="1:43">
      <c r="C152" s="525" t="s">
        <v>977</v>
      </c>
      <c r="D152" s="560">
        <f t="shared" ref="D152:I152" si="290">D159*$D$154</f>
        <v>283277659.15799999</v>
      </c>
      <c r="E152" s="560">
        <f t="shared" si="290"/>
        <v>283395883.08600003</v>
      </c>
      <c r="F152" s="560">
        <f t="shared" si="290"/>
        <v>278043298.542</v>
      </c>
      <c r="G152" s="560">
        <f t="shared" si="290"/>
        <v>282424442.68800002</v>
      </c>
      <c r="H152" s="560">
        <f t="shared" si="290"/>
        <v>270187056.486</v>
      </c>
      <c r="I152" s="560">
        <f t="shared" si="290"/>
        <v>271453117.91400003</v>
      </c>
      <c r="J152" s="560">
        <f>SUM(D152:I152)</f>
        <v>1668781457.8740001</v>
      </c>
      <c r="K152" s="558">
        <f t="shared" ref="K152:Q152" si="291">K10/D10</f>
        <v>0.31269606137313222</v>
      </c>
      <c r="L152" s="558">
        <f t="shared" si="291"/>
        <v>0.31269606137313211</v>
      </c>
      <c r="M152" s="558">
        <f t="shared" si="291"/>
        <v>0.31269606137313216</v>
      </c>
      <c r="N152" s="558">
        <f t="shared" si="291"/>
        <v>0.31269606137313216</v>
      </c>
      <c r="O152" s="558">
        <f t="shared" si="291"/>
        <v>0.31269606137313216</v>
      </c>
      <c r="P152" s="558">
        <f t="shared" si="291"/>
        <v>0.31269606137313222</v>
      </c>
      <c r="Q152" s="559">
        <f t="shared" si="291"/>
        <v>0.31269606137313227</v>
      </c>
      <c r="S152" s="60"/>
      <c r="T152" s="60"/>
      <c r="Z152" s="60"/>
      <c r="AA152" s="60"/>
    </row>
    <row r="153" spans="1:43" ht="14.25" thickBot="1">
      <c r="C153" s="61" t="s">
        <v>452</v>
      </c>
      <c r="D153" s="61">
        <f t="shared" ref="D153:J153" si="292">D152-D107</f>
        <v>0</v>
      </c>
      <c r="E153" s="61">
        <f t="shared" si="292"/>
        <v>0</v>
      </c>
      <c r="F153" s="61">
        <f t="shared" si="292"/>
        <v>0</v>
      </c>
      <c r="G153" s="61">
        <f t="shared" si="292"/>
        <v>0</v>
      </c>
      <c r="H153" s="61">
        <f t="shared" si="292"/>
        <v>0</v>
      </c>
      <c r="I153" s="61">
        <f t="shared" si="292"/>
        <v>0</v>
      </c>
      <c r="J153" s="61">
        <f t="shared" si="292"/>
        <v>0</v>
      </c>
      <c r="K153" s="558">
        <f t="shared" ref="K153:Q153" si="293">K21/D21</f>
        <v>0.39972132300720115</v>
      </c>
      <c r="L153" s="558">
        <f t="shared" si="293"/>
        <v>0.39972132300720109</v>
      </c>
      <c r="M153" s="558">
        <f t="shared" si="293"/>
        <v>0.3997213230072012</v>
      </c>
      <c r="N153" s="558">
        <f t="shared" si="293"/>
        <v>0.39972132300720109</v>
      </c>
      <c r="O153" s="558">
        <f t="shared" si="293"/>
        <v>0.39972132300720115</v>
      </c>
      <c r="P153" s="558">
        <f t="shared" si="293"/>
        <v>0.39972132300720109</v>
      </c>
      <c r="Q153" s="559">
        <f t="shared" si="293"/>
        <v>0.3997213230072012</v>
      </c>
      <c r="S153" s="60"/>
      <c r="T153" s="60"/>
      <c r="Z153" s="60"/>
      <c r="AA153" s="60"/>
    </row>
    <row r="154" spans="1:43" ht="14.25" thickBot="1">
      <c r="C154" s="61" t="s">
        <v>1229</v>
      </c>
      <c r="D154" s="561">
        <v>1.026</v>
      </c>
      <c r="K154" s="562">
        <f t="shared" ref="K154:Q154" si="294">K14/D14</f>
        <v>0.31269606137313216</v>
      </c>
      <c r="L154" s="562">
        <f t="shared" si="294"/>
        <v>0.31269606137313216</v>
      </c>
      <c r="M154" s="562">
        <f t="shared" si="294"/>
        <v>0.31269606137313211</v>
      </c>
      <c r="N154" s="562">
        <f t="shared" si="294"/>
        <v>0.31269606137313216</v>
      </c>
      <c r="O154" s="562">
        <f t="shared" si="294"/>
        <v>0.31269606137313216</v>
      </c>
      <c r="P154" s="562">
        <f t="shared" si="294"/>
        <v>0.31269606137313222</v>
      </c>
      <c r="Q154" s="258">
        <f t="shared" si="294"/>
        <v>0.31269606137313211</v>
      </c>
      <c r="S154" s="60"/>
      <c r="T154" s="60"/>
      <c r="Z154" s="60"/>
      <c r="AA154" s="60"/>
    </row>
    <row r="155" spans="1:43">
      <c r="C155" s="525"/>
      <c r="D155" s="61"/>
      <c r="E155" s="61"/>
      <c r="F155" s="61"/>
      <c r="G155" s="61"/>
      <c r="H155" s="61"/>
      <c r="I155" s="61"/>
      <c r="J155" s="61"/>
      <c r="K155" s="562">
        <f>AG27</f>
        <v>0.39972132300720115</v>
      </c>
      <c r="L155" s="563">
        <f t="shared" ref="L155:Q155" si="295">K155</f>
        <v>0.39972132300720115</v>
      </c>
      <c r="M155" s="563">
        <f t="shared" si="295"/>
        <v>0.39972132300720115</v>
      </c>
      <c r="N155" s="563">
        <f t="shared" si="295"/>
        <v>0.39972132300720115</v>
      </c>
      <c r="O155" s="563">
        <f t="shared" si="295"/>
        <v>0.39972132300720115</v>
      </c>
      <c r="P155" s="563">
        <f t="shared" si="295"/>
        <v>0.39972132300720115</v>
      </c>
      <c r="Q155" s="564">
        <f t="shared" si="295"/>
        <v>0.39972132300720115</v>
      </c>
      <c r="S155" s="60"/>
      <c r="T155" s="60"/>
      <c r="Z155" s="60"/>
      <c r="AA155" s="60"/>
    </row>
    <row r="156" spans="1:43">
      <c r="C156" s="525"/>
      <c r="D156" s="61"/>
      <c r="E156" s="61"/>
      <c r="F156" s="61"/>
      <c r="G156" s="61"/>
      <c r="H156" s="61"/>
      <c r="I156" s="61"/>
      <c r="J156" s="61"/>
      <c r="S156" s="60"/>
      <c r="T156" s="60"/>
      <c r="Z156" s="60"/>
      <c r="AA156" s="60"/>
    </row>
    <row r="157" spans="1:43" s="1494" customFormat="1" ht="22.5" customHeight="1">
      <c r="B157" s="565"/>
      <c r="C157" s="1512"/>
      <c r="D157" s="1496" t="s">
        <v>810</v>
      </c>
      <c r="E157" s="1496"/>
      <c r="F157" s="1496"/>
      <c r="G157" s="1496"/>
      <c r="H157" s="1496"/>
      <c r="I157" s="1496"/>
      <c r="J157" s="1502"/>
      <c r="K157" s="1496" t="s">
        <v>811</v>
      </c>
      <c r="L157" s="1497"/>
      <c r="M157" s="1497"/>
      <c r="N157" s="1497"/>
      <c r="O157" s="1497"/>
      <c r="P157" s="1497"/>
      <c r="Q157" s="1502"/>
      <c r="R157" s="1496" t="s">
        <v>812</v>
      </c>
      <c r="S157" s="1497"/>
      <c r="T157" s="1497"/>
      <c r="U157" s="1497"/>
      <c r="V157" s="1497"/>
      <c r="W157" s="1497"/>
      <c r="X157" s="1502"/>
      <c r="Y157" s="37"/>
      <c r="Z157" s="60"/>
      <c r="AA157" s="60"/>
      <c r="AB157" s="37"/>
      <c r="AC157" s="37"/>
      <c r="AD157" s="37"/>
      <c r="AE157" s="37"/>
      <c r="AQ157" s="1495"/>
    </row>
    <row r="158" spans="1:43" s="51" customFormat="1" ht="21">
      <c r="C158" s="1513" t="s">
        <v>1733</v>
      </c>
      <c r="D158" s="1388">
        <f>F821EVE!D113</f>
        <v>45839</v>
      </c>
      <c r="E158" s="1388">
        <f>F821EVE!E113</f>
        <v>45870</v>
      </c>
      <c r="F158" s="1388">
        <f>F821EVE!F113</f>
        <v>45901</v>
      </c>
      <c r="G158" s="1388">
        <f>F821EVE!G113</f>
        <v>45931</v>
      </c>
      <c r="H158" s="1388">
        <f>F821EVE!H113</f>
        <v>45962</v>
      </c>
      <c r="I158" s="1388">
        <f>F821EVE!I113</f>
        <v>45992</v>
      </c>
      <c r="J158" s="1503" t="str">
        <f>F821EVE!J113</f>
        <v>TOTAL</v>
      </c>
      <c r="K158" s="1388">
        <f>F821EVE!K113</f>
        <v>45839</v>
      </c>
      <c r="L158" s="1388">
        <f>F821EVE!L113</f>
        <v>45870</v>
      </c>
      <c r="M158" s="1388">
        <f>F821EVE!M113</f>
        <v>45901</v>
      </c>
      <c r="N158" s="1388">
        <f>F821EVE!N113</f>
        <v>45931</v>
      </c>
      <c r="O158" s="1388">
        <f>F821EVE!O113</f>
        <v>45962</v>
      </c>
      <c r="P158" s="1388">
        <f>F821EVE!P113</f>
        <v>45992</v>
      </c>
      <c r="Q158" s="1503" t="s">
        <v>154</v>
      </c>
      <c r="R158" s="1388">
        <f>F821EVE!R113</f>
        <v>45839</v>
      </c>
      <c r="S158" s="1388">
        <f>F821EVE!S113</f>
        <v>45870</v>
      </c>
      <c r="T158" s="1388">
        <f>F821EVE!T113</f>
        <v>45901</v>
      </c>
      <c r="U158" s="1388">
        <f>F821EVE!U113</f>
        <v>45931</v>
      </c>
      <c r="V158" s="1388">
        <f>F821EVE!V113</f>
        <v>45962</v>
      </c>
      <c r="W158" s="1388">
        <f>F821EVE!W113</f>
        <v>45992</v>
      </c>
      <c r="X158" s="1503" t="s">
        <v>154</v>
      </c>
      <c r="Y158" s="37"/>
      <c r="Z158" s="60"/>
      <c r="AA158" s="60"/>
      <c r="AB158" s="37"/>
      <c r="AC158" s="37"/>
      <c r="AD158" s="37"/>
      <c r="AE158" s="37"/>
      <c r="AG158" s="1414"/>
      <c r="AH158" s="1414"/>
      <c r="AI158" s="1414"/>
      <c r="AQ158" s="1166"/>
    </row>
    <row r="159" spans="1:43">
      <c r="C159" s="1514" t="s">
        <v>796</v>
      </c>
      <c r="D159" s="1498">
        <f>F821EVE!D107</f>
        <v>276099083</v>
      </c>
      <c r="E159" s="1498">
        <f>F821EVE!E107</f>
        <v>276214311</v>
      </c>
      <c r="F159" s="1498">
        <f>F821EVE!F107</f>
        <v>270997367</v>
      </c>
      <c r="G159" s="1498">
        <f>F821EVE!G107</f>
        <v>275267488</v>
      </c>
      <c r="H159" s="1498">
        <f>F821EVE!H107</f>
        <v>263340211</v>
      </c>
      <c r="I159" s="1498">
        <f>F821EVE!I107</f>
        <v>264574189</v>
      </c>
      <c r="J159" s="1504">
        <f>F821EVE!J107</f>
        <v>1626492649</v>
      </c>
      <c r="K159" s="1498">
        <f>F821D!D107</f>
        <v>355924</v>
      </c>
      <c r="L159" s="1498">
        <f>F821D!E107</f>
        <v>364001</v>
      </c>
      <c r="M159" s="1498">
        <f>F821D!F107</f>
        <v>361042</v>
      </c>
      <c r="N159" s="1498">
        <f>F821D!G107</f>
        <v>355048</v>
      </c>
      <c r="O159" s="1498">
        <f>F821D!H107</f>
        <v>356762</v>
      </c>
      <c r="P159" s="1498">
        <f>F821D!I107</f>
        <v>353297</v>
      </c>
      <c r="Q159" s="1504">
        <f>AVERAGE(K159:P159)</f>
        <v>357679</v>
      </c>
      <c r="R159" s="1498">
        <f>F821C!D107</f>
        <v>537044</v>
      </c>
      <c r="S159" s="1498">
        <f>F821C!E107</f>
        <v>538060</v>
      </c>
      <c r="T159" s="1498">
        <f>F821C!F107</f>
        <v>537864</v>
      </c>
      <c r="U159" s="1498">
        <f>F821C!G107</f>
        <v>538129</v>
      </c>
      <c r="V159" s="1498">
        <f>F821C!H107</f>
        <v>536651</v>
      </c>
      <c r="W159" s="1498">
        <f>F821C!I107</f>
        <v>538420</v>
      </c>
      <c r="X159" s="1504">
        <f>AVERAGE(R159:W159)</f>
        <v>537694.66666666663</v>
      </c>
      <c r="Z159" s="60"/>
      <c r="AA159" s="60"/>
    </row>
    <row r="160" spans="1:43">
      <c r="C160" s="1514" t="s">
        <v>799</v>
      </c>
      <c r="D160" s="1498">
        <f>F821EVE!D108</f>
        <v>6692707</v>
      </c>
      <c r="E160" s="1498">
        <f>F821EVE!E108</f>
        <v>6693541</v>
      </c>
      <c r="F160" s="1498">
        <f>F821EVE!F108</f>
        <v>6660739</v>
      </c>
      <c r="G160" s="1498">
        <f>F821EVE!G108</f>
        <v>6662419</v>
      </c>
      <c r="H160" s="1498">
        <f>F821EVE!H108</f>
        <v>6629164</v>
      </c>
      <c r="I160" s="1498">
        <f>F821EVE!I108</f>
        <v>6579829</v>
      </c>
      <c r="J160" s="1504">
        <f>F821EVE!J108</f>
        <v>39918399</v>
      </c>
      <c r="K160" s="1498"/>
      <c r="L160" s="1498"/>
      <c r="M160" s="1498"/>
      <c r="N160" s="1498"/>
      <c r="O160" s="1498"/>
      <c r="P160" s="1498"/>
      <c r="Q160" s="1504"/>
      <c r="R160" s="1498"/>
      <c r="S160" s="1498"/>
      <c r="T160" s="1498"/>
      <c r="U160" s="1498"/>
      <c r="V160" s="1498"/>
      <c r="W160" s="1498"/>
      <c r="X160" s="1504"/>
      <c r="Z160" s="60"/>
      <c r="AA160" s="60"/>
    </row>
    <row r="161" spans="3:43">
      <c r="C161" s="1514" t="s">
        <v>797</v>
      </c>
      <c r="D161" s="1498">
        <f>F821EVE!D146</f>
        <v>88736882.514215022</v>
      </c>
      <c r="E161" s="1498">
        <f>F821EVE!E146</f>
        <v>85915695.020995006</v>
      </c>
      <c r="F161" s="1498">
        <f>F821EVE!F146</f>
        <v>85216320.238540009</v>
      </c>
      <c r="G161" s="1498">
        <f>F821EVE!G146</f>
        <v>90843240.803800002</v>
      </c>
      <c r="H161" s="1498">
        <f>F821EVE!H146</f>
        <v>79770451.04869999</v>
      </c>
      <c r="I161" s="1498">
        <f>F821EVE!I146</f>
        <v>78864509.492409497</v>
      </c>
      <c r="J161" s="1504">
        <f>F821EVE!J146</f>
        <v>509347099.1186595</v>
      </c>
      <c r="K161" s="1498">
        <f>F821D!D146</f>
        <v>166258.66476666791</v>
      </c>
      <c r="L161" s="1498">
        <f>F821D!E146</f>
        <v>161866.70589601877</v>
      </c>
      <c r="M161" s="1498">
        <f>F821D!F146</f>
        <v>167838.97260552927</v>
      </c>
      <c r="N161" s="1498">
        <f>F821D!G146</f>
        <v>168562.85253226102</v>
      </c>
      <c r="O161" s="1498">
        <f>F821D!H146</f>
        <v>168968.04421856243</v>
      </c>
      <c r="P161" s="1498">
        <f>F821D!I146</f>
        <v>169596.5380567</v>
      </c>
      <c r="Q161" s="1504">
        <f>AVERAGE(K161:P161)</f>
        <v>167181.96301262322</v>
      </c>
      <c r="R161" s="1498">
        <f>F821C!D146</f>
        <v>281</v>
      </c>
      <c r="S161" s="1498">
        <f>F821C!E146</f>
        <v>279</v>
      </c>
      <c r="T161" s="1498">
        <f>F821C!F146</f>
        <v>283</v>
      </c>
      <c r="U161" s="1498">
        <f>F821C!G146</f>
        <v>287</v>
      </c>
      <c r="V161" s="1498">
        <f>F821C!H146</f>
        <v>292</v>
      </c>
      <c r="W161" s="1498">
        <f>F821C!I146</f>
        <v>297</v>
      </c>
      <c r="X161" s="1504">
        <f>AVERAGE(R161:W161)</f>
        <v>286.5</v>
      </c>
      <c r="Z161" s="60"/>
      <c r="AA161" s="60"/>
    </row>
    <row r="162" spans="3:43">
      <c r="C162" s="1515" t="s">
        <v>798</v>
      </c>
      <c r="D162" s="1499">
        <f t="shared" ref="D162:J162" si="296">SUM(D159:D161)</f>
        <v>371528672.51421499</v>
      </c>
      <c r="E162" s="1499">
        <f t="shared" si="296"/>
        <v>368823547.02099502</v>
      </c>
      <c r="F162" s="1499">
        <f t="shared" si="296"/>
        <v>362874426.23853999</v>
      </c>
      <c r="G162" s="1499">
        <f t="shared" si="296"/>
        <v>372773147.80379999</v>
      </c>
      <c r="H162" s="1499">
        <f t="shared" si="296"/>
        <v>349739826.04869998</v>
      </c>
      <c r="I162" s="1499">
        <f t="shared" si="296"/>
        <v>350018527.49240947</v>
      </c>
      <c r="J162" s="1505">
        <f t="shared" si="296"/>
        <v>2175758147.1186595</v>
      </c>
      <c r="K162" s="1499">
        <f t="shared" ref="K162:P162" si="297">SUM(K159:K161)</f>
        <v>522182.66476666788</v>
      </c>
      <c r="L162" s="1499">
        <f t="shared" si="297"/>
        <v>525867.70589601877</v>
      </c>
      <c r="M162" s="1499">
        <f t="shared" si="297"/>
        <v>528880.97260552924</v>
      </c>
      <c r="N162" s="1499">
        <f t="shared" si="297"/>
        <v>523610.85253226105</v>
      </c>
      <c r="O162" s="1499">
        <f t="shared" si="297"/>
        <v>525730.04421856243</v>
      </c>
      <c r="P162" s="1499">
        <f t="shared" si="297"/>
        <v>522893.53805670002</v>
      </c>
      <c r="Q162" s="1505">
        <f>AVERAGE(K162:P162)</f>
        <v>524860.96301262325</v>
      </c>
      <c r="R162" s="1499">
        <f t="shared" ref="R162:W162" si="298">SUM(R159:R161)</f>
        <v>537325</v>
      </c>
      <c r="S162" s="1499">
        <f t="shared" si="298"/>
        <v>538339</v>
      </c>
      <c r="T162" s="1499">
        <f t="shared" si="298"/>
        <v>538147</v>
      </c>
      <c r="U162" s="1499">
        <f t="shared" si="298"/>
        <v>538416</v>
      </c>
      <c r="V162" s="1499">
        <f t="shared" si="298"/>
        <v>536943</v>
      </c>
      <c r="W162" s="1499">
        <f t="shared" si="298"/>
        <v>538717</v>
      </c>
      <c r="X162" s="1505">
        <f>AVERAGE(R162:W162)</f>
        <v>537981.16666666663</v>
      </c>
      <c r="Z162" s="60"/>
      <c r="AA162" s="60"/>
    </row>
    <row r="163" spans="3:43">
      <c r="C163" s="1514"/>
      <c r="D163" s="61"/>
      <c r="E163" s="61"/>
      <c r="F163" s="61"/>
      <c r="G163" s="61"/>
      <c r="H163" s="61"/>
      <c r="I163" s="61"/>
      <c r="J163" s="1506"/>
      <c r="K163" s="61"/>
      <c r="L163" s="61"/>
      <c r="M163" s="61"/>
      <c r="N163" s="61"/>
      <c r="O163" s="61"/>
      <c r="P163" s="61"/>
      <c r="Q163" s="1506"/>
      <c r="R163" s="61"/>
      <c r="S163" s="61"/>
      <c r="T163" s="61"/>
      <c r="U163" s="61"/>
      <c r="V163" s="61"/>
      <c r="W163" s="61"/>
      <c r="X163" s="1506"/>
      <c r="Z163" s="60"/>
      <c r="AA163" s="60"/>
    </row>
    <row r="164" spans="3:43" s="51" customFormat="1" ht="21">
      <c r="C164" s="1516" t="s">
        <v>1734</v>
      </c>
      <c r="D164" s="1388">
        <f t="shared" ref="D164:P164" si="299">D4</f>
        <v>46204</v>
      </c>
      <c r="E164" s="1388">
        <f t="shared" si="299"/>
        <v>46235</v>
      </c>
      <c r="F164" s="1388">
        <f t="shared" si="299"/>
        <v>46266</v>
      </c>
      <c r="G164" s="1388">
        <f t="shared" si="299"/>
        <v>46296</v>
      </c>
      <c r="H164" s="1388">
        <f t="shared" si="299"/>
        <v>46327</v>
      </c>
      <c r="I164" s="1388">
        <f t="shared" si="299"/>
        <v>46357</v>
      </c>
      <c r="J164" s="1503" t="str">
        <f t="shared" si="299"/>
        <v>TOTAL</v>
      </c>
      <c r="K164" s="1388">
        <f t="shared" si="299"/>
        <v>46204</v>
      </c>
      <c r="L164" s="1388">
        <f t="shared" si="299"/>
        <v>46235</v>
      </c>
      <c r="M164" s="1388">
        <f t="shared" si="299"/>
        <v>46266</v>
      </c>
      <c r="N164" s="1388">
        <f t="shared" si="299"/>
        <v>46296</v>
      </c>
      <c r="O164" s="1388">
        <f t="shared" si="299"/>
        <v>46327</v>
      </c>
      <c r="P164" s="1388">
        <f t="shared" si="299"/>
        <v>46357</v>
      </c>
      <c r="Q164" s="1503" t="s">
        <v>154</v>
      </c>
      <c r="R164" s="1388">
        <f t="shared" ref="R164:W164" si="300">R4</f>
        <v>46204</v>
      </c>
      <c r="S164" s="1388">
        <f t="shared" si="300"/>
        <v>46235</v>
      </c>
      <c r="T164" s="1388">
        <f t="shared" si="300"/>
        <v>46266</v>
      </c>
      <c r="U164" s="1388">
        <f t="shared" si="300"/>
        <v>46296</v>
      </c>
      <c r="V164" s="1388">
        <f t="shared" si="300"/>
        <v>46327</v>
      </c>
      <c r="W164" s="1388">
        <f t="shared" si="300"/>
        <v>46357</v>
      </c>
      <c r="X164" s="1503" t="s">
        <v>154</v>
      </c>
      <c r="Y164" s="37"/>
      <c r="Z164" s="60"/>
      <c r="AA164" s="60"/>
      <c r="AB164" s="37"/>
      <c r="AC164" s="37"/>
      <c r="AD164" s="37"/>
      <c r="AE164" s="37"/>
      <c r="AG164" s="1414"/>
      <c r="AH164" s="1414"/>
      <c r="AI164" s="1414"/>
      <c r="AQ164" s="1166"/>
    </row>
    <row r="165" spans="3:43">
      <c r="C165" s="1517" t="s">
        <v>796</v>
      </c>
      <c r="D165" s="1500">
        <f t="shared" ref="D165:J166" si="301">D107</f>
        <v>283277659.15800005</v>
      </c>
      <c r="E165" s="1500">
        <f t="shared" si="301"/>
        <v>283395883.08599997</v>
      </c>
      <c r="F165" s="1500">
        <f t="shared" si="301"/>
        <v>278043298.54199994</v>
      </c>
      <c r="G165" s="1500">
        <f t="shared" si="301"/>
        <v>282424442.68799996</v>
      </c>
      <c r="H165" s="1500">
        <f t="shared" si="301"/>
        <v>270187056.48600006</v>
      </c>
      <c r="I165" s="1500">
        <f t="shared" si="301"/>
        <v>271453117.91400003</v>
      </c>
      <c r="J165" s="1507">
        <f t="shared" si="301"/>
        <v>1668781457.8740001</v>
      </c>
      <c r="K165" s="1500">
        <f>F801D!D107</f>
        <v>360103.65357176092</v>
      </c>
      <c r="L165" s="1500">
        <f>F801D!E107</f>
        <v>360253.94017774006</v>
      </c>
      <c r="M165" s="1500">
        <f>F801D!F107</f>
        <v>365231.34288170375</v>
      </c>
      <c r="N165" s="1500">
        <f>F801D!G107</f>
        <v>359019.04227850609</v>
      </c>
      <c r="O165" s="1500">
        <f>F801D!H107</f>
        <v>354911.56887206988</v>
      </c>
      <c r="P165" s="1500">
        <f>F801D!I107</f>
        <v>345072.26186550327</v>
      </c>
      <c r="Q165" s="1507">
        <f>AVERAGE(K165:P165)</f>
        <v>357431.96827454731</v>
      </c>
      <c r="R165" s="1500">
        <f>F801C!D107</f>
        <v>551009</v>
      </c>
      <c r="S165" s="1500">
        <f>F801C!E107</f>
        <v>552053</v>
      </c>
      <c r="T165" s="1500">
        <f>F801C!F107</f>
        <v>551850</v>
      </c>
      <c r="U165" s="1500">
        <f>F801C!G107</f>
        <v>552122</v>
      </c>
      <c r="V165" s="1500">
        <f>F801C!H107</f>
        <v>550607</v>
      </c>
      <c r="W165" s="1500">
        <f>F801C!I107</f>
        <v>552421</v>
      </c>
      <c r="X165" s="1507">
        <f>AVERAGE(R165:W165)</f>
        <v>551677</v>
      </c>
      <c r="Z165" s="60"/>
      <c r="AA165" s="60"/>
    </row>
    <row r="166" spans="3:43">
      <c r="C166" s="1517" t="s">
        <v>799</v>
      </c>
      <c r="D166" s="1500">
        <f t="shared" si="301"/>
        <v>6366423</v>
      </c>
      <c r="E166" s="1500">
        <f t="shared" si="301"/>
        <v>6431729</v>
      </c>
      <c r="F166" s="1500">
        <f t="shared" si="301"/>
        <v>6497035</v>
      </c>
      <c r="G166" s="1500">
        <f t="shared" si="301"/>
        <v>6562341</v>
      </c>
      <c r="H166" s="1500">
        <f t="shared" si="301"/>
        <v>6627647</v>
      </c>
      <c r="I166" s="1500">
        <f t="shared" si="301"/>
        <v>6692953</v>
      </c>
      <c r="J166" s="1507">
        <f t="shared" si="301"/>
        <v>39178128</v>
      </c>
      <c r="K166" s="1500"/>
      <c r="L166" s="1500"/>
      <c r="M166" s="1500"/>
      <c r="N166" s="1500"/>
      <c r="O166" s="1500"/>
      <c r="P166" s="1500"/>
      <c r="Q166" s="1507"/>
      <c r="R166" s="1500"/>
      <c r="S166" s="1500"/>
      <c r="T166" s="1500"/>
      <c r="U166" s="1500"/>
      <c r="V166" s="1500"/>
      <c r="W166" s="1500"/>
      <c r="X166" s="1507"/>
      <c r="Z166" s="60"/>
      <c r="AA166" s="60"/>
    </row>
    <row r="167" spans="3:43">
      <c r="C167" s="1517" t="s">
        <v>797</v>
      </c>
      <c r="D167" s="1500">
        <f t="shared" ref="D167:J167" si="302">D146</f>
        <v>80331583.667584613</v>
      </c>
      <c r="E167" s="1500">
        <f t="shared" si="302"/>
        <v>78788015.130468875</v>
      </c>
      <c r="F167" s="1500">
        <f t="shared" si="302"/>
        <v>77642582.278514042</v>
      </c>
      <c r="G167" s="1500">
        <f t="shared" si="302"/>
        <v>82865133.986698806</v>
      </c>
      <c r="H167" s="1500">
        <f t="shared" si="302"/>
        <v>74626016.631640196</v>
      </c>
      <c r="I167" s="1500">
        <f t="shared" si="302"/>
        <v>80914986.739212155</v>
      </c>
      <c r="J167" s="1507">
        <f t="shared" si="302"/>
        <v>475168318.43411869</v>
      </c>
      <c r="K167" s="1500">
        <f>F801D!D146</f>
        <v>169583.8380620013</v>
      </c>
      <c r="L167" s="1500">
        <f>F801D!E146</f>
        <v>165104.04001393917</v>
      </c>
      <c r="M167" s="1500">
        <f>F801D!F146</f>
        <v>171195.75205763991</v>
      </c>
      <c r="N167" s="1500">
        <f>F801D!G146</f>
        <v>171934.10958290624</v>
      </c>
      <c r="O167" s="1500">
        <f>F801D!H146</f>
        <v>172347.4051029337</v>
      </c>
      <c r="P167" s="1500">
        <f>F801D!I146</f>
        <v>172988.46881783401</v>
      </c>
      <c r="Q167" s="1507">
        <f>AVERAGE(K167:P167)</f>
        <v>170525.60227287572</v>
      </c>
      <c r="R167" s="1500">
        <f>F801C!D146</f>
        <v>297</v>
      </c>
      <c r="S167" s="1500">
        <f>F801C!E146</f>
        <v>297</v>
      </c>
      <c r="T167" s="1500">
        <f>F801C!F146</f>
        <v>297</v>
      </c>
      <c r="U167" s="1500">
        <f>F801C!G146</f>
        <v>297</v>
      </c>
      <c r="V167" s="1500">
        <f>F801C!H146</f>
        <v>297</v>
      </c>
      <c r="W167" s="1500">
        <f>F801C!I146</f>
        <v>297</v>
      </c>
      <c r="X167" s="1507">
        <f>AVERAGE(R167:W167)</f>
        <v>297</v>
      </c>
      <c r="Z167" s="60"/>
      <c r="AA167" s="60"/>
    </row>
    <row r="168" spans="3:43">
      <c r="C168" s="1517" t="s">
        <v>798</v>
      </c>
      <c r="D168" s="1501">
        <f t="shared" ref="D168:J168" si="303">SUM(D165:D167)</f>
        <v>369975665.82558465</v>
      </c>
      <c r="E168" s="1501">
        <f t="shared" si="303"/>
        <v>368615627.21646881</v>
      </c>
      <c r="F168" s="1501">
        <f t="shared" si="303"/>
        <v>362182915.82051396</v>
      </c>
      <c r="G168" s="1501">
        <f t="shared" si="303"/>
        <v>371851917.67469877</v>
      </c>
      <c r="H168" s="1501">
        <f t="shared" si="303"/>
        <v>351440720.11764026</v>
      </c>
      <c r="I168" s="1501">
        <f t="shared" si="303"/>
        <v>359061057.65321219</v>
      </c>
      <c r="J168" s="1508">
        <f t="shared" si="303"/>
        <v>2183127904.3081188</v>
      </c>
      <c r="K168" s="1501">
        <f t="shared" ref="K168:P168" si="304">SUM(K165:K167)</f>
        <v>529687.49163376226</v>
      </c>
      <c r="L168" s="1501">
        <f t="shared" si="304"/>
        <v>525357.98019167921</v>
      </c>
      <c r="M168" s="1501">
        <f t="shared" si="304"/>
        <v>536427.09493934363</v>
      </c>
      <c r="N168" s="1501">
        <f t="shared" si="304"/>
        <v>530953.15186141233</v>
      </c>
      <c r="O168" s="1501">
        <f t="shared" si="304"/>
        <v>527258.97397500358</v>
      </c>
      <c r="P168" s="1501">
        <f t="shared" si="304"/>
        <v>518060.73068333731</v>
      </c>
      <c r="Q168" s="1508">
        <f>AVERAGE(K168:P168)</f>
        <v>527957.57054742309</v>
      </c>
      <c r="R168" s="1501">
        <f t="shared" ref="R168:W168" si="305">SUM(R165:R167)</f>
        <v>551306</v>
      </c>
      <c r="S168" s="1501">
        <f t="shared" si="305"/>
        <v>552350</v>
      </c>
      <c r="T168" s="1501">
        <f t="shared" si="305"/>
        <v>552147</v>
      </c>
      <c r="U168" s="1501">
        <f t="shared" si="305"/>
        <v>552419</v>
      </c>
      <c r="V168" s="1501">
        <f t="shared" si="305"/>
        <v>550904</v>
      </c>
      <c r="W168" s="1501">
        <f t="shared" si="305"/>
        <v>552718</v>
      </c>
      <c r="X168" s="1508">
        <f>AVERAGE(R168:W168)</f>
        <v>551974</v>
      </c>
      <c r="Z168" s="60"/>
      <c r="AA168" s="60"/>
    </row>
    <row r="169" spans="3:43">
      <c r="C169" s="1514"/>
      <c r="J169" s="1506"/>
      <c r="Q169" s="1506"/>
      <c r="X169" s="1506"/>
    </row>
    <row r="170" spans="3:43">
      <c r="C170" s="1518" t="s">
        <v>796</v>
      </c>
      <c r="D170" s="566">
        <f t="shared" ref="D170:I173" si="306">D165/D159-1</f>
        <v>2.6000000000000245E-2</v>
      </c>
      <c r="E170" s="566">
        <f t="shared" si="306"/>
        <v>2.5999999999999801E-2</v>
      </c>
      <c r="F170" s="566">
        <f t="shared" si="306"/>
        <v>2.5999999999999801E-2</v>
      </c>
      <c r="G170" s="566">
        <f t="shared" si="306"/>
        <v>2.5999999999999801E-2</v>
      </c>
      <c r="H170" s="566">
        <f t="shared" si="306"/>
        <v>2.6000000000000245E-2</v>
      </c>
      <c r="I170" s="566">
        <f t="shared" ref="I170:X170" si="307">I165/I159-1</f>
        <v>2.6000000000000023E-2</v>
      </c>
      <c r="J170" s="1509">
        <f t="shared" si="307"/>
        <v>2.6000000000000023E-2</v>
      </c>
      <c r="K170" s="566">
        <f t="shared" si="307"/>
        <v>1.1743106876077158E-2</v>
      </c>
      <c r="L170" s="566">
        <f t="shared" si="307"/>
        <v>-1.029409211035115E-2</v>
      </c>
      <c r="M170" s="566">
        <f t="shared" si="307"/>
        <v>1.160347793803429E-2</v>
      </c>
      <c r="N170" s="566">
        <f t="shared" si="307"/>
        <v>1.1184522313901546E-2</v>
      </c>
      <c r="O170" s="566">
        <f t="shared" si="307"/>
        <v>-5.1867382959230879E-3</v>
      </c>
      <c r="P170" s="566">
        <f t="shared" si="307"/>
        <v>-2.3279954640137657E-2</v>
      </c>
      <c r="Q170" s="1509">
        <f t="shared" si="307"/>
        <v>-6.9065202444840157E-4</v>
      </c>
      <c r="R170" s="566">
        <f t="shared" si="307"/>
        <v>2.6003455955191823E-2</v>
      </c>
      <c r="S170" s="566">
        <f t="shared" si="307"/>
        <v>2.6006393339032874E-2</v>
      </c>
      <c r="T170" s="566">
        <f t="shared" si="307"/>
        <v>2.6002855740484554E-2</v>
      </c>
      <c r="U170" s="566">
        <f t="shared" si="307"/>
        <v>2.6003058746137064E-2</v>
      </c>
      <c r="V170" s="566">
        <f t="shared" si="307"/>
        <v>2.6005728117528992E-2</v>
      </c>
      <c r="W170" s="566">
        <f t="shared" si="307"/>
        <v>2.6003863155157791E-2</v>
      </c>
      <c r="X170" s="1509">
        <f t="shared" si="307"/>
        <v>2.6004225446412121E-2</v>
      </c>
    </row>
    <row r="171" spans="3:43">
      <c r="C171" s="1518" t="s">
        <v>799</v>
      </c>
      <c r="D171" s="566">
        <f t="shared" si="306"/>
        <v>-4.8752171580199177E-2</v>
      </c>
      <c r="E171" s="566">
        <f t="shared" si="306"/>
        <v>-3.9114125094624752E-2</v>
      </c>
      <c r="F171" s="566">
        <f t="shared" si="306"/>
        <v>-2.4577453042372577E-2</v>
      </c>
      <c r="G171" s="566">
        <f t="shared" si="306"/>
        <v>-1.5021270802691888E-2</v>
      </c>
      <c r="H171" s="566">
        <f t="shared" si="306"/>
        <v>-2.2883730135503377E-4</v>
      </c>
      <c r="I171" s="566">
        <f t="shared" si="306"/>
        <v>1.7192544061555459E-2</v>
      </c>
      <c r="J171" s="1509">
        <f>J166/J160-1</f>
        <v>-1.8544606460795143E-2</v>
      </c>
      <c r="K171" s="567"/>
      <c r="L171" s="567"/>
      <c r="M171" s="567"/>
      <c r="N171" s="567"/>
      <c r="O171" s="567"/>
      <c r="P171" s="567"/>
      <c r="Q171" s="1511"/>
      <c r="R171" s="567"/>
      <c r="S171" s="567"/>
      <c r="T171" s="567"/>
      <c r="U171" s="567"/>
      <c r="V171" s="567"/>
      <c r="W171" s="567"/>
      <c r="X171" s="1511"/>
    </row>
    <row r="172" spans="3:43">
      <c r="C172" s="1518" t="s">
        <v>797</v>
      </c>
      <c r="D172" s="566">
        <f t="shared" si="306"/>
        <v>-9.472159274114611E-2</v>
      </c>
      <c r="E172" s="566">
        <f t="shared" si="306"/>
        <v>-8.2961324921882573E-2</v>
      </c>
      <c r="F172" s="566">
        <f t="shared" si="306"/>
        <v>-8.8876613526908232E-2</v>
      </c>
      <c r="G172" s="566">
        <f t="shared" si="306"/>
        <v>-8.7822789527423728E-2</v>
      </c>
      <c r="H172" s="566">
        <f t="shared" si="306"/>
        <v>-6.4490476729523682E-2</v>
      </c>
      <c r="I172" s="566">
        <f t="shared" si="306"/>
        <v>2.6000000000000245E-2</v>
      </c>
      <c r="J172" s="1509">
        <f>J167/J161-1</f>
        <v>-6.7103122298490581E-2</v>
      </c>
      <c r="K172" s="566">
        <f>K167/K161-1</f>
        <v>2.000000000000024E-2</v>
      </c>
      <c r="L172" s="566">
        <f t="shared" ref="L172:X173" si="308">L167/L161-1</f>
        <v>2.000000000000024E-2</v>
      </c>
      <c r="M172" s="566">
        <f t="shared" si="308"/>
        <v>2.000000000000024E-2</v>
      </c>
      <c r="N172" s="566">
        <f t="shared" si="308"/>
        <v>2.0000000000000018E-2</v>
      </c>
      <c r="O172" s="566">
        <f t="shared" si="308"/>
        <v>2.000000000000024E-2</v>
      </c>
      <c r="P172" s="566">
        <f t="shared" si="308"/>
        <v>2.0000000000000018E-2</v>
      </c>
      <c r="Q172" s="1509">
        <f t="shared" ref="Q172:X172" si="309">Q167/Q161-1</f>
        <v>2.000000000000024E-2</v>
      </c>
      <c r="R172" s="566">
        <f t="shared" si="309"/>
        <v>5.6939501779359469E-2</v>
      </c>
      <c r="S172" s="566">
        <f t="shared" si="309"/>
        <v>6.4516129032258007E-2</v>
      </c>
      <c r="T172" s="566">
        <f t="shared" si="309"/>
        <v>4.9469964664310861E-2</v>
      </c>
      <c r="U172" s="566">
        <f t="shared" si="309"/>
        <v>3.4843205574912828E-2</v>
      </c>
      <c r="V172" s="566">
        <f t="shared" si="309"/>
        <v>1.7123287671232834E-2</v>
      </c>
      <c r="W172" s="566">
        <f t="shared" si="309"/>
        <v>0</v>
      </c>
      <c r="X172" s="1509">
        <f t="shared" si="309"/>
        <v>3.6649214659685958E-2</v>
      </c>
    </row>
    <row r="173" spans="3:43">
      <c r="C173" s="1518" t="s">
        <v>798</v>
      </c>
      <c r="D173" s="566">
        <f>D168/D162-1</f>
        <v>-4.1800453195733889E-3</v>
      </c>
      <c r="E173" s="566">
        <f t="shared" si="306"/>
        <v>-5.6373788009356218E-4</v>
      </c>
      <c r="F173" s="566">
        <f t="shared" si="306"/>
        <v>-1.9056466039617526E-3</v>
      </c>
      <c r="G173" s="566">
        <f t="shared" si="306"/>
        <v>-2.4712888643634301E-3</v>
      </c>
      <c r="H173" s="566">
        <f t="shared" si="306"/>
        <v>4.8633125033448188E-3</v>
      </c>
      <c r="I173" s="566">
        <f t="shared" si="306"/>
        <v>2.58344328958382E-2</v>
      </c>
      <c r="J173" s="1509">
        <f>J168/J162-1</f>
        <v>3.3872134176398117E-3</v>
      </c>
      <c r="K173" s="566">
        <f>K168/K162-1</f>
        <v>1.4372033722045874E-2</v>
      </c>
      <c r="L173" s="566">
        <f t="shared" si="308"/>
        <v>-9.6930406378736844E-4</v>
      </c>
      <c r="M173" s="566">
        <f t="shared" si="308"/>
        <v>1.4268091923667514E-2</v>
      </c>
      <c r="N173" s="566">
        <f t="shared" si="308"/>
        <v>1.4022435351832119E-2</v>
      </c>
      <c r="O173" s="566">
        <f t="shared" si="308"/>
        <v>2.9082031229805683E-3</v>
      </c>
      <c r="P173" s="566">
        <f t="shared" si="308"/>
        <v>-9.2424308614016404E-3</v>
      </c>
      <c r="Q173" s="1509">
        <f>Q168/Q162-1</f>
        <v>5.8998625407875593E-3</v>
      </c>
      <c r="R173" s="566">
        <f t="shared" si="308"/>
        <v>2.6019634299539351E-2</v>
      </c>
      <c r="S173" s="566">
        <f t="shared" si="308"/>
        <v>2.6026351425402883E-2</v>
      </c>
      <c r="T173" s="566">
        <f t="shared" si="308"/>
        <v>2.6015196591266054E-2</v>
      </c>
      <c r="U173" s="566">
        <f t="shared" si="308"/>
        <v>2.6007770942914066E-2</v>
      </c>
      <c r="V173" s="566">
        <f t="shared" si="308"/>
        <v>2.6000897674427259E-2</v>
      </c>
      <c r="W173" s="566">
        <f t="shared" si="308"/>
        <v>2.5989526968705379E-2</v>
      </c>
      <c r="X173" s="1509">
        <f t="shared" si="308"/>
        <v>2.600989439840995E-2</v>
      </c>
    </row>
    <row r="174" spans="3:43">
      <c r="C174" s="1518"/>
      <c r="D174" s="569"/>
      <c r="E174" s="569"/>
      <c r="F174" s="569"/>
      <c r="G174" s="569"/>
      <c r="H174" s="569"/>
      <c r="I174" s="569"/>
      <c r="J174" s="1510"/>
      <c r="K174" s="569"/>
      <c r="L174" s="569"/>
      <c r="M174" s="569"/>
      <c r="N174" s="569"/>
      <c r="O174" s="569"/>
      <c r="P174" s="569"/>
      <c r="Q174" s="1510"/>
      <c r="R174" s="569"/>
      <c r="S174" s="569"/>
      <c r="T174" s="569"/>
      <c r="U174" s="569"/>
      <c r="V174" s="569"/>
      <c r="W174" s="569"/>
      <c r="X174" s="1510"/>
    </row>
    <row r="175" spans="3:43">
      <c r="C175" s="1514"/>
      <c r="D175" s="520">
        <f t="shared" ref="D175:J175" si="310">D168-D162</f>
        <v>-1553006.6886303425</v>
      </c>
      <c r="E175" s="520">
        <f t="shared" si="310"/>
        <v>-207919.80452620983</v>
      </c>
      <c r="F175" s="520">
        <f t="shared" si="310"/>
        <v>-691510.41802603006</v>
      </c>
      <c r="G175" s="520">
        <f t="shared" si="310"/>
        <v>-921230.12910121679</v>
      </c>
      <c r="H175" s="520">
        <f t="shared" si="310"/>
        <v>1700894.0689402819</v>
      </c>
      <c r="I175" s="520">
        <f t="shared" si="310"/>
        <v>9042530.160802722</v>
      </c>
      <c r="J175" s="1519">
        <f t="shared" si="310"/>
        <v>7369757.1894593239</v>
      </c>
      <c r="K175" s="520">
        <f t="shared" ref="K175:P175" si="311">K168-K162</f>
        <v>7504.8268670943798</v>
      </c>
      <c r="L175" s="520">
        <f t="shared" si="311"/>
        <v>-509.72570433956571</v>
      </c>
      <c r="M175" s="520">
        <f t="shared" si="311"/>
        <v>7546.12233381439</v>
      </c>
      <c r="N175" s="520">
        <f t="shared" si="311"/>
        <v>7342.299329151283</v>
      </c>
      <c r="O175" s="520">
        <f t="shared" si="311"/>
        <v>1528.9297564411536</v>
      </c>
      <c r="P175" s="520">
        <f t="shared" si="311"/>
        <v>-4832.8073733627098</v>
      </c>
      <c r="Q175" s="1519">
        <f>Q168-Q162</f>
        <v>3096.6075347998412</v>
      </c>
      <c r="R175" s="520">
        <f>R168-R162</f>
        <v>13981</v>
      </c>
      <c r="S175" s="520">
        <f t="shared" ref="S175:X175" si="312">S168-S162</f>
        <v>14011</v>
      </c>
      <c r="T175" s="520">
        <f t="shared" si="312"/>
        <v>14000</v>
      </c>
      <c r="U175" s="520">
        <f t="shared" si="312"/>
        <v>14003</v>
      </c>
      <c r="V175" s="520">
        <f t="shared" si="312"/>
        <v>13961</v>
      </c>
      <c r="W175" s="520">
        <f t="shared" si="312"/>
        <v>14001</v>
      </c>
      <c r="X175" s="1519">
        <f t="shared" si="312"/>
        <v>13992.833333333372</v>
      </c>
    </row>
    <row r="179" spans="2:10">
      <c r="B179" s="74"/>
      <c r="C179" s="74"/>
      <c r="D179" s="91"/>
      <c r="E179" s="91"/>
      <c r="F179" s="91"/>
      <c r="G179" s="91"/>
      <c r="H179" s="91"/>
      <c r="I179" s="91"/>
      <c r="J179" s="62"/>
    </row>
    <row r="180" spans="2:10" s="569" customFormat="1">
      <c r="B180" s="548"/>
      <c r="C180" s="548"/>
      <c r="D180" s="91"/>
      <c r="E180" s="91"/>
      <c r="F180" s="91"/>
      <c r="G180" s="91"/>
      <c r="H180" s="91"/>
      <c r="I180" s="91"/>
      <c r="J180" s="62"/>
    </row>
    <row r="181" spans="2:10">
      <c r="B181" s="74"/>
      <c r="C181" s="74"/>
      <c r="D181" s="91"/>
      <c r="E181" s="91"/>
      <c r="F181" s="91"/>
      <c r="G181" s="91"/>
      <c r="H181" s="91"/>
      <c r="I181" s="91"/>
      <c r="J181" s="62"/>
    </row>
    <row r="182" spans="2:10">
      <c r="B182" s="74"/>
      <c r="C182" s="74"/>
      <c r="D182" s="91"/>
      <c r="E182" s="91"/>
      <c r="F182" s="91"/>
      <c r="G182" s="91"/>
      <c r="H182" s="91"/>
      <c r="I182" s="91"/>
      <c r="J182" s="62"/>
    </row>
    <row r="183" spans="2:10">
      <c r="B183" s="74"/>
      <c r="C183" s="74"/>
      <c r="D183" s="91"/>
      <c r="E183" s="91"/>
      <c r="F183" s="91"/>
      <c r="G183" s="91"/>
      <c r="H183" s="91"/>
      <c r="I183" s="91"/>
      <c r="J183" s="62"/>
    </row>
    <row r="184" spans="2:10">
      <c r="B184" s="74"/>
      <c r="C184" s="74"/>
      <c r="D184" s="91"/>
      <c r="E184" s="91"/>
      <c r="F184" s="91"/>
      <c r="G184" s="91"/>
      <c r="H184" s="91"/>
      <c r="I184" s="91"/>
      <c r="J184" s="62"/>
    </row>
    <row r="185" spans="2:10">
      <c r="B185" s="74"/>
      <c r="C185" s="74"/>
      <c r="D185" s="91"/>
      <c r="E185" s="91"/>
      <c r="F185" s="91"/>
      <c r="G185" s="91"/>
      <c r="H185" s="91"/>
      <c r="I185" s="91"/>
      <c r="J185" s="62"/>
    </row>
    <row r="186" spans="2:10">
      <c r="B186" s="74"/>
      <c r="C186" s="74"/>
      <c r="D186" s="91"/>
      <c r="E186" s="91"/>
      <c r="F186" s="91"/>
      <c r="G186" s="91"/>
      <c r="H186" s="91"/>
      <c r="I186" s="91"/>
      <c r="J186" s="62"/>
    </row>
    <row r="187" spans="2:10" s="569" customFormat="1">
      <c r="B187" s="74"/>
      <c r="C187" s="74"/>
      <c r="D187" s="91"/>
      <c r="E187" s="91"/>
      <c r="F187" s="91"/>
      <c r="G187" s="91"/>
      <c r="H187" s="91"/>
      <c r="I187" s="91"/>
      <c r="J187" s="62"/>
    </row>
    <row r="188" spans="2:10">
      <c r="B188" s="74"/>
      <c r="C188" s="74"/>
      <c r="D188" s="91"/>
      <c r="E188" s="91"/>
      <c r="F188" s="91"/>
      <c r="G188" s="91"/>
      <c r="H188" s="91"/>
      <c r="I188" s="91"/>
      <c r="J188" s="62"/>
    </row>
    <row r="189" spans="2:10">
      <c r="B189" s="74"/>
      <c r="C189" s="74"/>
      <c r="D189" s="91"/>
      <c r="E189" s="91"/>
      <c r="F189" s="91"/>
      <c r="G189" s="91"/>
      <c r="H189" s="91"/>
      <c r="I189" s="91"/>
      <c r="J189" s="62"/>
    </row>
    <row r="190" spans="2:10">
      <c r="B190" s="74"/>
      <c r="C190" s="74"/>
      <c r="D190" s="91"/>
      <c r="E190" s="91"/>
      <c r="F190" s="91"/>
      <c r="G190" s="91"/>
      <c r="H190" s="91"/>
      <c r="I190" s="91"/>
      <c r="J190" s="62"/>
    </row>
    <row r="191" spans="2:10">
      <c r="B191" s="74"/>
      <c r="C191" s="74"/>
      <c r="D191" s="91"/>
      <c r="E191" s="91"/>
      <c r="F191" s="91"/>
      <c r="G191" s="91"/>
      <c r="H191" s="91"/>
      <c r="I191" s="91"/>
      <c r="J191" s="62"/>
    </row>
    <row r="192" spans="2:10">
      <c r="B192" s="74"/>
      <c r="C192" s="74"/>
      <c r="D192" s="91"/>
      <c r="E192" s="91"/>
      <c r="F192" s="91"/>
      <c r="G192" s="91"/>
      <c r="H192" s="91"/>
      <c r="I192" s="91"/>
      <c r="J192" s="62"/>
    </row>
    <row r="193" spans="2:43">
      <c r="B193" s="74"/>
      <c r="C193" s="74"/>
      <c r="D193" s="91"/>
      <c r="E193" s="91"/>
      <c r="F193" s="91"/>
      <c r="G193" s="91"/>
      <c r="H193" s="91"/>
      <c r="I193" s="91"/>
      <c r="J193" s="62"/>
    </row>
    <row r="194" spans="2:43" s="569" customFormat="1">
      <c r="B194" s="74"/>
      <c r="C194" s="74"/>
      <c r="D194" s="91"/>
      <c r="E194" s="91"/>
      <c r="F194" s="91"/>
      <c r="G194" s="91"/>
      <c r="H194" s="91"/>
      <c r="I194" s="91"/>
      <c r="J194" s="62"/>
    </row>
    <row r="195" spans="2:43">
      <c r="B195" s="74"/>
      <c r="C195" s="74"/>
      <c r="D195" s="91"/>
      <c r="E195" s="91"/>
      <c r="F195" s="91"/>
      <c r="G195" s="91"/>
      <c r="H195" s="91"/>
      <c r="I195" s="91"/>
      <c r="J195" s="62"/>
    </row>
    <row r="196" spans="2:43">
      <c r="B196" s="74"/>
      <c r="C196" s="74"/>
      <c r="D196" s="91"/>
      <c r="E196" s="91"/>
      <c r="F196" s="91"/>
      <c r="G196" s="91"/>
      <c r="H196" s="91"/>
      <c r="I196" s="91"/>
      <c r="J196" s="62"/>
    </row>
    <row r="197" spans="2:43">
      <c r="B197" s="74"/>
      <c r="C197" s="74"/>
      <c r="D197" s="91"/>
      <c r="E197" s="91"/>
      <c r="F197" s="91"/>
      <c r="G197" s="91"/>
      <c r="H197" s="91"/>
      <c r="I197" s="91"/>
      <c r="J197" s="62"/>
    </row>
    <row r="198" spans="2:43">
      <c r="B198" s="74"/>
      <c r="C198" s="74"/>
      <c r="D198" s="91"/>
      <c r="E198" s="91"/>
      <c r="F198" s="91"/>
      <c r="G198" s="91"/>
      <c r="H198" s="91"/>
      <c r="I198" s="91"/>
      <c r="J198" s="62"/>
    </row>
    <row r="199" spans="2:43">
      <c r="B199" s="74"/>
      <c r="C199" s="74"/>
      <c r="D199" s="91"/>
      <c r="E199" s="91"/>
      <c r="F199" s="91"/>
      <c r="G199" s="91"/>
      <c r="H199" s="91"/>
      <c r="I199" s="91"/>
      <c r="J199" s="62"/>
    </row>
    <row r="200" spans="2:43" s="569" customFormat="1">
      <c r="B200" s="74"/>
      <c r="C200" s="74"/>
      <c r="D200" s="91"/>
      <c r="E200" s="91"/>
      <c r="F200" s="91"/>
      <c r="G200" s="91"/>
      <c r="H200" s="91"/>
      <c r="I200" s="91"/>
      <c r="J200" s="62"/>
    </row>
    <row r="201" spans="2:43">
      <c r="B201" s="553"/>
      <c r="C201" s="553"/>
      <c r="D201" s="92"/>
      <c r="E201" s="92"/>
      <c r="F201" s="92"/>
      <c r="G201" s="92"/>
      <c r="H201" s="92"/>
      <c r="I201" s="92"/>
      <c r="J201" s="62"/>
    </row>
    <row r="202" spans="2:43">
      <c r="C202" s="570"/>
      <c r="D202" s="571"/>
      <c r="E202" s="571"/>
      <c r="F202" s="571"/>
      <c r="G202" s="571"/>
      <c r="H202" s="571"/>
      <c r="I202" s="571"/>
    </row>
    <row r="204" spans="2:43" s="63" customFormat="1" ht="15">
      <c r="B204" s="48" t="s">
        <v>902</v>
      </c>
      <c r="D204" s="64">
        <f t="shared" ref="D204:J213" si="313">SUMIF($B$4:$B$146,$B204,D$4:D$146)</f>
        <v>15167534.501618423</v>
      </c>
      <c r="E204" s="64">
        <f t="shared" si="313"/>
        <v>15173864.564893398</v>
      </c>
      <c r="F204" s="64">
        <f t="shared" si="313"/>
        <v>14887271.153378841</v>
      </c>
      <c r="G204" s="64">
        <f t="shared" si="313"/>
        <v>15121850.735787611</v>
      </c>
      <c r="H204" s="64">
        <f t="shared" si="313"/>
        <v>14466624.418328747</v>
      </c>
      <c r="I204" s="64">
        <f t="shared" si="313"/>
        <v>14534413.139992986</v>
      </c>
      <c r="J204" s="64">
        <f t="shared" si="313"/>
        <v>89351558.514000013</v>
      </c>
      <c r="AQ204" s="139"/>
    </row>
    <row r="205" spans="2:43" s="63" customFormat="1" ht="15">
      <c r="B205" s="48" t="s">
        <v>751</v>
      </c>
      <c r="D205" s="64">
        <f t="shared" si="313"/>
        <v>92423211.913790002</v>
      </c>
      <c r="E205" s="64">
        <f t="shared" si="313"/>
        <v>92461784.505102828</v>
      </c>
      <c r="F205" s="64">
        <f t="shared" si="313"/>
        <v>90715411.671990693</v>
      </c>
      <c r="G205" s="64">
        <f t="shared" si="313"/>
        <v>92144835.355377316</v>
      </c>
      <c r="H205" s="64">
        <f t="shared" si="313"/>
        <v>88152177.484063476</v>
      </c>
      <c r="I205" s="64">
        <f t="shared" si="313"/>
        <v>88565251.815675661</v>
      </c>
      <c r="J205" s="64">
        <f t="shared" si="313"/>
        <v>544462672.74600005</v>
      </c>
      <c r="AQ205" s="139"/>
    </row>
    <row r="206" spans="2:43" s="63" customFormat="1" ht="15">
      <c r="B206" s="48" t="s">
        <v>750</v>
      </c>
      <c r="D206" s="64">
        <f t="shared" si="313"/>
        <v>32442375.199234422</v>
      </c>
      <c r="E206" s="64">
        <f t="shared" si="313"/>
        <v>32455914.795124564</v>
      </c>
      <c r="F206" s="64">
        <f t="shared" si="313"/>
        <v>31842910.025958434</v>
      </c>
      <c r="G206" s="64">
        <f t="shared" si="313"/>
        <v>32344660.579139847</v>
      </c>
      <c r="H206" s="64">
        <f t="shared" si="313"/>
        <v>30943173.868880838</v>
      </c>
      <c r="I206" s="64">
        <f t="shared" si="313"/>
        <v>31088169.559661891</v>
      </c>
      <c r="J206" s="64">
        <f t="shared" si="313"/>
        <v>191117204.028</v>
      </c>
      <c r="AQ206" s="139"/>
    </row>
    <row r="207" spans="2:43" s="63" customFormat="1" ht="15">
      <c r="B207" s="48" t="s">
        <v>749</v>
      </c>
      <c r="D207" s="64">
        <f t="shared" si="313"/>
        <v>29839927.199260026</v>
      </c>
      <c r="E207" s="64">
        <f t="shared" si="313"/>
        <v>29852380.681879222</v>
      </c>
      <c r="F207" s="64">
        <f t="shared" si="313"/>
        <v>29288549.656179599</v>
      </c>
      <c r="G207" s="64">
        <f t="shared" si="313"/>
        <v>29750051.007026285</v>
      </c>
      <c r="H207" s="64">
        <f t="shared" si="313"/>
        <v>28460988.133299138</v>
      </c>
      <c r="I207" s="64">
        <f t="shared" si="313"/>
        <v>28594352.624355748</v>
      </c>
      <c r="J207" s="64">
        <f t="shared" si="313"/>
        <v>175786249.30200005</v>
      </c>
      <c r="AQ207" s="139"/>
    </row>
    <row r="208" spans="2:43" s="63" customFormat="1" ht="15">
      <c r="B208" s="48" t="s">
        <v>1176</v>
      </c>
      <c r="D208" s="64">
        <f t="shared" si="313"/>
        <v>1000</v>
      </c>
      <c r="E208" s="64">
        <f t="shared" si="313"/>
        <v>1000</v>
      </c>
      <c r="F208" s="64">
        <f t="shared" si="313"/>
        <v>1000</v>
      </c>
      <c r="G208" s="64">
        <f t="shared" si="313"/>
        <v>1000</v>
      </c>
      <c r="H208" s="64">
        <f t="shared" si="313"/>
        <v>1000</v>
      </c>
      <c r="I208" s="64">
        <f t="shared" si="313"/>
        <v>1000</v>
      </c>
      <c r="J208" s="64">
        <f t="shared" si="313"/>
        <v>6000</v>
      </c>
      <c r="AQ208" s="139"/>
    </row>
    <row r="209" spans="2:43" s="63" customFormat="1" ht="15">
      <c r="B209" s="48" t="s">
        <v>274</v>
      </c>
      <c r="D209" s="64">
        <f t="shared" si="313"/>
        <v>60693060.697906084</v>
      </c>
      <c r="E209" s="64">
        <f t="shared" si="313"/>
        <v>60718390.517629169</v>
      </c>
      <c r="F209" s="64">
        <f t="shared" si="313"/>
        <v>59571583.743013479</v>
      </c>
      <c r="G209" s="64">
        <f t="shared" si="313"/>
        <v>60510256.592717968</v>
      </c>
      <c r="H209" s="64">
        <f t="shared" si="313"/>
        <v>57888361.079498395</v>
      </c>
      <c r="I209" s="64">
        <f t="shared" si="313"/>
        <v>58159618.415234938</v>
      </c>
      <c r="J209" s="64">
        <f t="shared" si="313"/>
        <v>357541271.046</v>
      </c>
      <c r="AQ209" s="139"/>
    </row>
    <row r="210" spans="2:43" s="63" customFormat="1" ht="15">
      <c r="B210" s="48" t="s">
        <v>275</v>
      </c>
      <c r="D210" s="64">
        <f t="shared" si="313"/>
        <v>2934886.154671187</v>
      </c>
      <c r="E210" s="64">
        <f t="shared" si="313"/>
        <v>2936111.0086553297</v>
      </c>
      <c r="F210" s="64">
        <f t="shared" si="313"/>
        <v>2880655.7838536771</v>
      </c>
      <c r="G210" s="64">
        <f t="shared" si="313"/>
        <v>2926046.4416765817</v>
      </c>
      <c r="H210" s="64">
        <f t="shared" si="313"/>
        <v>2799261.5217490201</v>
      </c>
      <c r="I210" s="64">
        <f t="shared" si="313"/>
        <v>2812378.4973942055</v>
      </c>
      <c r="J210" s="64">
        <f t="shared" si="313"/>
        <v>17289339.408</v>
      </c>
      <c r="AQ210" s="139"/>
    </row>
    <row r="211" spans="2:43" s="63" customFormat="1" ht="15">
      <c r="B211" s="48" t="s">
        <v>276</v>
      </c>
      <c r="D211" s="64">
        <f t="shared" si="313"/>
        <v>26241516.079364426</v>
      </c>
      <c r="E211" s="64">
        <f t="shared" si="313"/>
        <v>26252467.790547017</v>
      </c>
      <c r="F211" s="64">
        <f t="shared" si="313"/>
        <v>25756629.418417603</v>
      </c>
      <c r="G211" s="64">
        <f t="shared" si="313"/>
        <v>26162478.100219749</v>
      </c>
      <c r="H211" s="64">
        <f t="shared" si="313"/>
        <v>25028863.936138902</v>
      </c>
      <c r="I211" s="64">
        <f t="shared" si="313"/>
        <v>25146145.939312313</v>
      </c>
      <c r="J211" s="64">
        <f t="shared" si="313"/>
        <v>154588101.264</v>
      </c>
      <c r="AQ211" s="139"/>
    </row>
    <row r="212" spans="2:43" s="63" customFormat="1" ht="15">
      <c r="B212" s="48" t="s">
        <v>277</v>
      </c>
      <c r="D212" s="64">
        <f t="shared" si="313"/>
        <v>4409317.4177837307</v>
      </c>
      <c r="E212" s="64">
        <f t="shared" si="313"/>
        <v>4411157.6152298646</v>
      </c>
      <c r="F212" s="64">
        <f t="shared" si="313"/>
        <v>4327842.7349453745</v>
      </c>
      <c r="G212" s="64">
        <f t="shared" si="313"/>
        <v>4396036.8002670044</v>
      </c>
      <c r="H212" s="64">
        <f t="shared" si="313"/>
        <v>4205557.5358978743</v>
      </c>
      <c r="I212" s="64">
        <f t="shared" si="313"/>
        <v>4225264.2318761516</v>
      </c>
      <c r="J212" s="64">
        <f t="shared" si="313"/>
        <v>25975176.335999995</v>
      </c>
      <c r="AQ212" s="139"/>
    </row>
    <row r="213" spans="2:43" s="63" customFormat="1" ht="15">
      <c r="B213" s="48" t="s">
        <v>278</v>
      </c>
      <c r="D213" s="64">
        <f t="shared" si="313"/>
        <v>500</v>
      </c>
      <c r="E213" s="64">
        <f t="shared" si="313"/>
        <v>500</v>
      </c>
      <c r="F213" s="64">
        <f t="shared" si="313"/>
        <v>500</v>
      </c>
      <c r="G213" s="64">
        <f t="shared" si="313"/>
        <v>500</v>
      </c>
      <c r="H213" s="64">
        <f t="shared" si="313"/>
        <v>500</v>
      </c>
      <c r="I213" s="64">
        <f t="shared" si="313"/>
        <v>500</v>
      </c>
      <c r="J213" s="64">
        <f t="shared" si="313"/>
        <v>3000</v>
      </c>
      <c r="AQ213" s="139"/>
    </row>
    <row r="214" spans="2:43" s="63" customFormat="1" ht="15">
      <c r="B214" s="48" t="s">
        <v>279</v>
      </c>
      <c r="D214" s="64">
        <f t="shared" ref="D214:J221" si="314">SUMIF($B$4:$B$146,$B214,D$4:D$146)</f>
        <v>19124329.994371675</v>
      </c>
      <c r="E214" s="64">
        <f t="shared" si="314"/>
        <v>19132311.606938612</v>
      </c>
      <c r="F214" s="64">
        <f t="shared" si="314"/>
        <v>18770944.354262304</v>
      </c>
      <c r="G214" s="64">
        <f t="shared" si="314"/>
        <v>19066727.075787663</v>
      </c>
      <c r="H214" s="64">
        <f t="shared" si="314"/>
        <v>18240548.5081436</v>
      </c>
      <c r="I214" s="64">
        <f t="shared" si="314"/>
        <v>18326023.690496143</v>
      </c>
      <c r="J214" s="64">
        <f t="shared" si="314"/>
        <v>112660885.23</v>
      </c>
      <c r="AQ214" s="139"/>
    </row>
    <row r="215" spans="2:43" s="63" customFormat="1" ht="15">
      <c r="B215" s="48" t="s">
        <v>875</v>
      </c>
      <c r="D215" s="64">
        <f t="shared" si="314"/>
        <v>8510385.3019290026</v>
      </c>
      <c r="E215" s="64">
        <f t="shared" si="314"/>
        <v>8352474.6313008023</v>
      </c>
      <c r="F215" s="64">
        <f t="shared" si="314"/>
        <v>8481833.5140432008</v>
      </c>
      <c r="G215" s="64">
        <f t="shared" si="314"/>
        <v>8938894.618485</v>
      </c>
      <c r="H215" s="64">
        <f t="shared" si="314"/>
        <v>8226641.153402999</v>
      </c>
      <c r="I215" s="64">
        <f t="shared" si="314"/>
        <v>9245788.8803013973</v>
      </c>
      <c r="J215" s="64">
        <f t="shared" si="314"/>
        <v>51756018.099462405</v>
      </c>
      <c r="AQ215" s="139"/>
    </row>
    <row r="216" spans="2:43" s="63" customFormat="1" ht="15">
      <c r="B216" s="48" t="s">
        <v>874</v>
      </c>
      <c r="D216" s="64">
        <f t="shared" si="314"/>
        <v>284720.25630059995</v>
      </c>
      <c r="E216" s="64">
        <f t="shared" si="314"/>
        <v>282190.15856339998</v>
      </c>
      <c r="F216" s="64">
        <f t="shared" si="314"/>
        <v>270270.257904</v>
      </c>
      <c r="G216" s="64">
        <f t="shared" si="314"/>
        <v>280275.01577999996</v>
      </c>
      <c r="H216" s="64">
        <f t="shared" si="314"/>
        <v>271423.51155540004</v>
      </c>
      <c r="I216" s="64">
        <f t="shared" si="314"/>
        <v>281216.32974000031</v>
      </c>
      <c r="J216" s="64">
        <f t="shared" si="314"/>
        <v>1670095.5298434002</v>
      </c>
      <c r="AQ216" s="139"/>
    </row>
    <row r="217" spans="2:43" s="63" customFormat="1" ht="15">
      <c r="B217" s="48" t="s">
        <v>873</v>
      </c>
      <c r="D217" s="64">
        <f t="shared" si="314"/>
        <v>43815258.911963798</v>
      </c>
      <c r="E217" s="64">
        <f t="shared" si="314"/>
        <v>43372334.131124675</v>
      </c>
      <c r="F217" s="64">
        <f t="shared" si="314"/>
        <v>42141004.794842042</v>
      </c>
      <c r="G217" s="64">
        <f t="shared" si="314"/>
        <v>43841850.410793602</v>
      </c>
      <c r="H217" s="64">
        <f t="shared" si="314"/>
        <v>40423276.493474394</v>
      </c>
      <c r="I217" s="64">
        <f t="shared" si="314"/>
        <v>43344887.071326107</v>
      </c>
      <c r="J217" s="64">
        <f t="shared" si="314"/>
        <v>256938611.8135246</v>
      </c>
      <c r="AQ217" s="139"/>
    </row>
    <row r="218" spans="2:43" s="63" customFormat="1" ht="15">
      <c r="B218" s="48" t="s">
        <v>872</v>
      </c>
      <c r="D218" s="64">
        <f t="shared" si="314"/>
        <v>10452886.655632198</v>
      </c>
      <c r="E218" s="64">
        <f t="shared" si="314"/>
        <v>10551067.190694001</v>
      </c>
      <c r="F218" s="64">
        <f t="shared" si="314"/>
        <v>10263728.703051001</v>
      </c>
      <c r="G218" s="64">
        <f t="shared" si="314"/>
        <v>11000798.169669</v>
      </c>
      <c r="H218" s="64">
        <f t="shared" si="314"/>
        <v>10314863.666334001</v>
      </c>
      <c r="I218" s="64">
        <f t="shared" si="314"/>
        <v>10259291.598987423</v>
      </c>
      <c r="J218" s="64">
        <f t="shared" si="314"/>
        <v>62842635.984367624</v>
      </c>
      <c r="AQ218" s="139"/>
    </row>
    <row r="219" spans="2:43" s="63" customFormat="1" ht="15">
      <c r="B219" s="48" t="s">
        <v>871</v>
      </c>
      <c r="D219" s="64">
        <f t="shared" si="314"/>
        <v>4766998.5601019999</v>
      </c>
      <c r="E219" s="64">
        <f t="shared" si="314"/>
        <v>4675444.928568</v>
      </c>
      <c r="F219" s="64">
        <f t="shared" si="314"/>
        <v>4833882.9039959991</v>
      </c>
      <c r="G219" s="64">
        <f t="shared" si="314"/>
        <v>5811838.5962177999</v>
      </c>
      <c r="H219" s="64">
        <f t="shared" si="314"/>
        <v>5595991.5111443987</v>
      </c>
      <c r="I219" s="64">
        <f t="shared" si="314"/>
        <v>5883306.5474746209</v>
      </c>
      <c r="J219" s="64">
        <f t="shared" si="314"/>
        <v>31567463.047502816</v>
      </c>
      <c r="AQ219" s="139"/>
    </row>
    <row r="220" spans="2:43" s="63" customFormat="1" ht="15">
      <c r="B220" s="48" t="s">
        <v>870</v>
      </c>
      <c r="D220" s="64">
        <f t="shared" si="314"/>
        <v>9985222.8816570006</v>
      </c>
      <c r="E220" s="64">
        <f t="shared" si="314"/>
        <v>9038392.9902179986</v>
      </c>
      <c r="F220" s="64">
        <f t="shared" si="314"/>
        <v>9135751.0046777986</v>
      </c>
      <c r="G220" s="64">
        <f t="shared" si="314"/>
        <v>10475366.075753398</v>
      </c>
      <c r="H220" s="64">
        <f t="shared" si="314"/>
        <v>7277709.1957289996</v>
      </c>
      <c r="I220" s="64">
        <f t="shared" si="314"/>
        <v>9384385.2113825995</v>
      </c>
      <c r="J220" s="64">
        <f t="shared" si="314"/>
        <v>55296827.359417796</v>
      </c>
      <c r="AQ220" s="139"/>
    </row>
    <row r="221" spans="2:43" s="63" customFormat="1" ht="15">
      <c r="B221" s="48" t="s">
        <v>890</v>
      </c>
      <c r="D221" s="64">
        <f t="shared" si="314"/>
        <v>2516111.1000000047</v>
      </c>
      <c r="E221" s="64">
        <f t="shared" si="314"/>
        <v>2516111.1000000047</v>
      </c>
      <c r="F221" s="64">
        <f t="shared" si="314"/>
        <v>2516111.1000000047</v>
      </c>
      <c r="G221" s="64">
        <f t="shared" si="314"/>
        <v>2516111.1000000047</v>
      </c>
      <c r="H221" s="64">
        <f t="shared" si="314"/>
        <v>2516111.1000000047</v>
      </c>
      <c r="I221" s="64">
        <f t="shared" si="314"/>
        <v>2516111.1000000047</v>
      </c>
      <c r="J221" s="64">
        <f t="shared" si="314"/>
        <v>15096666.600000029</v>
      </c>
      <c r="AQ221" s="139"/>
    </row>
    <row r="222" spans="2:43" s="63" customFormat="1" ht="15">
      <c r="B222" s="48" t="s">
        <v>111</v>
      </c>
      <c r="D222" s="65">
        <f t="shared" ref="D222:I222" si="315">SUM(D204:D221)</f>
        <v>363609242.82558465</v>
      </c>
      <c r="E222" s="65">
        <f t="shared" si="315"/>
        <v>362183898.21646887</v>
      </c>
      <c r="F222" s="65">
        <f t="shared" si="315"/>
        <v>355685880.82051408</v>
      </c>
      <c r="G222" s="65">
        <f t="shared" si="315"/>
        <v>365289576.67469883</v>
      </c>
      <c r="H222" s="65">
        <f t="shared" si="315"/>
        <v>344813073.1176402</v>
      </c>
      <c r="I222" s="65">
        <f t="shared" si="315"/>
        <v>352368104.65321225</v>
      </c>
      <c r="J222" s="65">
        <f>SUM(J204:J221)</f>
        <v>2143949776.3081191</v>
      </c>
      <c r="AQ222" s="139"/>
    </row>
    <row r="223" spans="2:43" s="63" customFormat="1" ht="17.25" customHeight="1">
      <c r="B223" s="48"/>
      <c r="D223" s="67">
        <f t="shared" ref="D223:J223" si="316">D107</f>
        <v>283277659.15800005</v>
      </c>
      <c r="E223" s="67">
        <f t="shared" si="316"/>
        <v>283395883.08599997</v>
      </c>
      <c r="F223" s="67">
        <f t="shared" si="316"/>
        <v>278043298.54199994</v>
      </c>
      <c r="G223" s="67">
        <f t="shared" si="316"/>
        <v>282424442.68799996</v>
      </c>
      <c r="H223" s="67">
        <f t="shared" si="316"/>
        <v>270187056.48600006</v>
      </c>
      <c r="I223" s="67">
        <f t="shared" si="316"/>
        <v>271453117.91400003</v>
      </c>
      <c r="J223" s="67">
        <f t="shared" si="316"/>
        <v>1668781457.8740001</v>
      </c>
      <c r="AQ223" s="139"/>
    </row>
    <row r="224" spans="2:43">
      <c r="D224" s="67">
        <f t="shared" ref="D224:J224" si="317">D146</f>
        <v>80331583.667584613</v>
      </c>
      <c r="E224" s="67">
        <f t="shared" si="317"/>
        <v>78788015.130468875</v>
      </c>
      <c r="F224" s="67">
        <f t="shared" si="317"/>
        <v>77642582.278514042</v>
      </c>
      <c r="G224" s="67">
        <f t="shared" si="317"/>
        <v>82865133.986698806</v>
      </c>
      <c r="H224" s="67">
        <f t="shared" si="317"/>
        <v>74626016.631640196</v>
      </c>
      <c r="I224" s="67">
        <f t="shared" si="317"/>
        <v>80914986.739212155</v>
      </c>
      <c r="J224" s="67">
        <f t="shared" si="317"/>
        <v>475168318.43411869</v>
      </c>
    </row>
    <row r="225" spans="4:10">
      <c r="D225" s="67">
        <f t="shared" ref="D225:J225" si="318">D223+D224</f>
        <v>363609242.82558465</v>
      </c>
      <c r="E225" s="67">
        <f t="shared" si="318"/>
        <v>362183898.21646881</v>
      </c>
      <c r="F225" s="67">
        <f t="shared" si="318"/>
        <v>355685880.82051396</v>
      </c>
      <c r="G225" s="67">
        <f t="shared" si="318"/>
        <v>365289576.67469877</v>
      </c>
      <c r="H225" s="67">
        <f t="shared" si="318"/>
        <v>344813073.11764026</v>
      </c>
      <c r="I225" s="67">
        <f t="shared" si="318"/>
        <v>352368104.65321219</v>
      </c>
      <c r="J225" s="67">
        <f t="shared" si="318"/>
        <v>2143949776.3081188</v>
      </c>
    </row>
    <row r="226" spans="4:10">
      <c r="D226" s="66">
        <f t="shared" ref="D226:J226" si="319">D222-D225</f>
        <v>0</v>
      </c>
      <c r="E226" s="66">
        <f t="shared" si="319"/>
        <v>0</v>
      </c>
      <c r="F226" s="66">
        <f t="shared" si="319"/>
        <v>0</v>
      </c>
      <c r="G226" s="66">
        <f t="shared" si="319"/>
        <v>0</v>
      </c>
      <c r="H226" s="66">
        <f t="shared" si="319"/>
        <v>0</v>
      </c>
      <c r="I226" s="66">
        <f t="shared" si="319"/>
        <v>0</v>
      </c>
      <c r="J226" s="66">
        <f t="shared" si="319"/>
        <v>0</v>
      </c>
    </row>
  </sheetData>
  <phoneticPr fontId="0" type="noConversion"/>
  <printOptions horizontalCentered="1" verticalCentered="1" headings="1"/>
  <pageMargins left="0.39370078740157483" right="0.39370078740157483" top="0.39370078740157483" bottom="0.39370078740157483" header="0.59055118110236227" footer="0.47244094488188981"/>
  <pageSetup scale="34" fitToHeight="2" orientation="landscape" r:id="rId1"/>
  <headerFooter>
    <oddHeader>&amp;L&amp;"Times New Roman,Negrita"&amp;14Nombre de la Distribuidora: &amp;K06-048ENSA&amp;RASEP FORM: &amp;A</oddHeader>
    <oddFooter>&amp;R&amp;A</oddFooter>
  </headerFooter>
  <rowBreaks count="1" manualBreakCount="1">
    <brk id="110" max="30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Hoja78">
    <tabColor theme="8" tint="0.39997558519241921"/>
  </sheetPr>
  <dimension ref="B1:Q132"/>
  <sheetViews>
    <sheetView zoomScale="70" zoomScaleNormal="70" zoomScaleSheetLayoutView="70" workbookViewId="0">
      <pane xSplit="2" ySplit="3" topLeftCell="C46" activePane="bottomRight" state="frozen"/>
      <selection activeCell="C273" sqref="C273:I289"/>
      <selection pane="topRight" activeCell="C273" sqref="C273:I289"/>
      <selection pane="bottomLeft" activeCell="C273" sqref="C273:I289"/>
      <selection pane="bottomRight" activeCell="F58" sqref="F58"/>
    </sheetView>
  </sheetViews>
  <sheetFormatPr baseColWidth="10" defaultColWidth="8" defaultRowHeight="13.5"/>
  <cols>
    <col min="1" max="1" width="0.875" style="37" customWidth="1"/>
    <col min="2" max="2" width="35.875" style="37" customWidth="1"/>
    <col min="3" max="3" width="10.125" style="37" customWidth="1"/>
    <col min="4" max="4" width="12.25" style="526" customWidth="1"/>
    <col min="5" max="8" width="12.25" style="37" customWidth="1"/>
    <col min="9" max="9" width="10.125" style="37" customWidth="1"/>
    <col min="10" max="10" width="12.875" style="37" customWidth="1"/>
    <col min="11" max="11" width="12.125" style="37" customWidth="1"/>
    <col min="12" max="12" width="10.25" style="37" customWidth="1"/>
    <col min="13" max="14" width="11.875" style="37" customWidth="1"/>
    <col min="15" max="15" width="11.5" style="37" customWidth="1"/>
    <col min="16" max="17" width="13" style="37" customWidth="1"/>
    <col min="18" max="18" width="11.125" style="37" bestFit="1" customWidth="1"/>
    <col min="19" max="19" width="11.125" style="37" customWidth="1"/>
    <col min="20" max="23" width="9.75" style="37" customWidth="1"/>
    <col min="24" max="24" width="11.125" style="37" bestFit="1" customWidth="1"/>
    <col min="25" max="25" width="10.375" style="37" bestFit="1" customWidth="1"/>
    <col min="26" max="16384" width="8" style="37"/>
  </cols>
  <sheetData>
    <row r="1" spans="2:17" s="38" customFormat="1" ht="5.65" customHeight="1">
      <c r="C1" s="272"/>
      <c r="D1" s="1917"/>
    </row>
    <row r="2" spans="2:17" s="531" customFormat="1" ht="32.25" customHeight="1">
      <c r="B2" s="150" t="s">
        <v>778</v>
      </c>
      <c r="C2" s="530" t="s">
        <v>154</v>
      </c>
      <c r="D2" s="1918" t="s">
        <v>2130</v>
      </c>
      <c r="E2" s="530"/>
      <c r="F2" s="530"/>
      <c r="G2" s="530"/>
      <c r="H2" s="530"/>
      <c r="I2" s="530" t="s">
        <v>154</v>
      </c>
      <c r="J2" s="530"/>
      <c r="K2" s="530"/>
      <c r="L2" s="530" t="s">
        <v>108</v>
      </c>
      <c r="M2" s="530"/>
      <c r="N2" s="530"/>
      <c r="O2" s="530" t="s">
        <v>385</v>
      </c>
      <c r="P2" s="530"/>
      <c r="Q2" s="86">
        <v>6</v>
      </c>
    </row>
    <row r="3" spans="2:17" s="531" customFormat="1" ht="36">
      <c r="B3" s="2386" t="s">
        <v>310</v>
      </c>
      <c r="C3" s="2387" t="s">
        <v>229</v>
      </c>
      <c r="D3" s="2388" t="s">
        <v>2131</v>
      </c>
      <c r="E3" s="2389" t="s">
        <v>2132</v>
      </c>
      <c r="F3" s="2387" t="s">
        <v>1204</v>
      </c>
      <c r="G3" s="2387" t="s">
        <v>1205</v>
      </c>
      <c r="H3" s="2387" t="s">
        <v>1206</v>
      </c>
      <c r="I3" s="2387" t="s">
        <v>161</v>
      </c>
      <c r="J3" s="2387" t="s">
        <v>162</v>
      </c>
      <c r="K3" s="2387" t="s">
        <v>163</v>
      </c>
      <c r="L3" s="2387" t="s">
        <v>189</v>
      </c>
      <c r="M3" s="2388" t="s">
        <v>2128</v>
      </c>
      <c r="N3" s="2389" t="s">
        <v>2129</v>
      </c>
      <c r="O3" s="2387" t="s">
        <v>190</v>
      </c>
      <c r="P3" s="2387" t="s">
        <v>384</v>
      </c>
      <c r="Q3" s="2387" t="s">
        <v>191</v>
      </c>
    </row>
    <row r="4" spans="2:17">
      <c r="B4" s="1994"/>
      <c r="C4" s="1993"/>
      <c r="D4" s="2378"/>
      <c r="E4" s="1993"/>
      <c r="F4" s="1993"/>
      <c r="G4" s="1993"/>
      <c r="H4" s="1993"/>
      <c r="I4" s="1993"/>
      <c r="J4" s="1993"/>
      <c r="K4" s="1993"/>
      <c r="L4" s="2379"/>
      <c r="M4" s="2380"/>
      <c r="N4" s="2379"/>
      <c r="O4" s="2379"/>
      <c r="P4" s="2379"/>
      <c r="Q4" s="2379"/>
    </row>
    <row r="5" spans="2:17" s="525" customFormat="1">
      <c r="B5" s="2373" t="s">
        <v>446</v>
      </c>
      <c r="C5" s="2374">
        <f>F821C!J5</f>
        <v>3</v>
      </c>
      <c r="D5" s="2375">
        <f>F821ENE!J5</f>
        <v>109808855</v>
      </c>
      <c r="E5" s="2374">
        <f>F821EVE!J5</f>
        <v>109808855</v>
      </c>
      <c r="F5" s="2374">
        <f>F821EVE!Q5</f>
        <v>25556505</v>
      </c>
      <c r="G5" s="2374">
        <f>F821EVE!X5</f>
        <v>84252350</v>
      </c>
      <c r="H5" s="2374">
        <f>F821EVE!AE5</f>
        <v>0</v>
      </c>
      <c r="I5" s="2374">
        <f>J5</f>
        <v>27633.666666666668</v>
      </c>
      <c r="J5" s="2374">
        <f>F821D!AH5</f>
        <v>27633.666666666668</v>
      </c>
      <c r="K5" s="2374">
        <f>F821D!AI5</f>
        <v>27646.166666666668</v>
      </c>
      <c r="L5" s="2376">
        <f t="shared" ref="L5:N7" si="0">C5/C$107</f>
        <v>5.5793746636876946E-6</v>
      </c>
      <c r="M5" s="2377">
        <f t="shared" si="0"/>
        <v>6.7512666022507176E-2</v>
      </c>
      <c r="N5" s="2376">
        <f t="shared" si="0"/>
        <v>6.7512666022507176E-2</v>
      </c>
      <c r="O5" s="2376">
        <f>E5/(I5*24*30.4*$Q$2)</f>
        <v>0.90774271625138592</v>
      </c>
      <c r="P5" s="2376">
        <f>F5/(J5*24*30.4*$Q$2)</f>
        <v>0.21126466774097705</v>
      </c>
      <c r="Q5" s="2376"/>
    </row>
    <row r="6" spans="2:17">
      <c r="B6" s="1992" t="s">
        <v>279</v>
      </c>
      <c r="C6" s="1993">
        <f>F821C!J6</f>
        <v>3</v>
      </c>
      <c r="D6" s="2378">
        <f>F821ENE!J6</f>
        <v>109808855</v>
      </c>
      <c r="E6" s="1993">
        <f>F821EVE!J6</f>
        <v>109808855</v>
      </c>
      <c r="F6" s="1993">
        <f>F821EVE!Q6</f>
        <v>25556505</v>
      </c>
      <c r="G6" s="1993">
        <f>F821EVE!X6</f>
        <v>84252350</v>
      </c>
      <c r="H6" s="1993">
        <f>F821EVE!AE6</f>
        <v>0</v>
      </c>
      <c r="I6" s="1993">
        <f t="shared" ref="I6:I77" si="1">J6</f>
        <v>27633.666666666668</v>
      </c>
      <c r="J6" s="1993">
        <f>F821D!AH6</f>
        <v>27633.666666666668</v>
      </c>
      <c r="K6" s="1993">
        <f>F821D!AI6</f>
        <v>27646.166666666668</v>
      </c>
      <c r="L6" s="2379">
        <f t="shared" si="0"/>
        <v>5.5793746636876946E-6</v>
      </c>
      <c r="M6" s="2380">
        <f t="shared" si="0"/>
        <v>6.7512666022507176E-2</v>
      </c>
      <c r="N6" s="2379">
        <f t="shared" si="0"/>
        <v>6.7512666022507176E-2</v>
      </c>
      <c r="O6" s="2379">
        <f>E6/(MAX(J6:K6)*24*30.4*$Q$2)</f>
        <v>0.90733228741725669</v>
      </c>
      <c r="P6" s="2379">
        <f>F6/(J6*24*30.4*$Q$2)</f>
        <v>0.21126466774097705</v>
      </c>
      <c r="Q6" s="2379">
        <f>G6/(K6*24*30.4*$Q$2)</f>
        <v>0.69616314135849344</v>
      </c>
    </row>
    <row r="7" spans="2:17">
      <c r="B7" s="1992" t="s">
        <v>278</v>
      </c>
      <c r="C7" s="1993">
        <f>F821C!J7</f>
        <v>0</v>
      </c>
      <c r="D7" s="2378">
        <f>F821ENE!J7</f>
        <v>0</v>
      </c>
      <c r="E7" s="1993">
        <f>F821EVE!J7</f>
        <v>0</v>
      </c>
      <c r="F7" s="1993">
        <f>F821EVE!Q7</f>
        <v>0</v>
      </c>
      <c r="G7" s="1993">
        <f>F821EVE!X7</f>
        <v>0</v>
      </c>
      <c r="H7" s="1993">
        <f>F821EVE!AE7</f>
        <v>0</v>
      </c>
      <c r="I7" s="1993">
        <f t="shared" si="1"/>
        <v>0</v>
      </c>
      <c r="J7" s="1993">
        <f>F821D!AH7</f>
        <v>0</v>
      </c>
      <c r="K7" s="1993">
        <f>F821D!AI7</f>
        <v>0</v>
      </c>
      <c r="L7" s="2379">
        <f t="shared" si="0"/>
        <v>0</v>
      </c>
      <c r="M7" s="2380">
        <f t="shared" si="0"/>
        <v>0</v>
      </c>
      <c r="N7" s="2379">
        <f t="shared" si="0"/>
        <v>0</v>
      </c>
      <c r="O7" s="2379"/>
      <c r="P7" s="2379"/>
      <c r="Q7" s="2379"/>
    </row>
    <row r="8" spans="2:17">
      <c r="B8" s="1994"/>
      <c r="C8" s="1993">
        <f>F821C!J8</f>
        <v>0</v>
      </c>
      <c r="D8" s="2378">
        <f>F821ENE!J8</f>
        <v>0</v>
      </c>
      <c r="E8" s="1993">
        <f>F821EVE!J8</f>
        <v>0</v>
      </c>
      <c r="F8" s="1993">
        <f>F821EVE!Q8</f>
        <v>0</v>
      </c>
      <c r="G8" s="1993">
        <f>F821EVE!X8</f>
        <v>0</v>
      </c>
      <c r="H8" s="1993">
        <f>F821EVE!AE8</f>
        <v>0</v>
      </c>
      <c r="I8" s="1993">
        <f t="shared" si="1"/>
        <v>0</v>
      </c>
      <c r="J8" s="1993">
        <f>F821D!AH8</f>
        <v>0</v>
      </c>
      <c r="K8" s="1993">
        <f>F821D!AI8</f>
        <v>0</v>
      </c>
      <c r="L8" s="2379"/>
      <c r="M8" s="2380"/>
      <c r="N8" s="2379"/>
      <c r="O8" s="2379"/>
      <c r="P8" s="2379"/>
      <c r="Q8" s="2379"/>
    </row>
    <row r="9" spans="2:17" s="525" customFormat="1">
      <c r="B9" s="2373" t="s">
        <v>630</v>
      </c>
      <c r="C9" s="2374">
        <f>F821C!J9</f>
        <v>431.66666666666669</v>
      </c>
      <c r="D9" s="2375">
        <f>F821ENE!J9</f>
        <v>175987600</v>
      </c>
      <c r="E9" s="2374">
        <f>F821EVE!J9</f>
        <v>175987600</v>
      </c>
      <c r="F9" s="2374">
        <f>F821EVE!Q9</f>
        <v>55461603.397600003</v>
      </c>
      <c r="G9" s="2374">
        <f>F821EVE!X9</f>
        <v>120525996.60239999</v>
      </c>
      <c r="H9" s="2374">
        <f>F821EVE!AE9</f>
        <v>0</v>
      </c>
      <c r="I9" s="2374">
        <f t="shared" si="1"/>
        <v>92873.5</v>
      </c>
      <c r="J9" s="2374">
        <f>F821D!AH9</f>
        <v>92873.5</v>
      </c>
      <c r="K9" s="2374">
        <f>F821D!AI9</f>
        <v>9956</v>
      </c>
      <c r="L9" s="2376">
        <f t="shared" ref="L9:N12" si="2">C9/C$107</f>
        <v>8.0281002105284051E-4</v>
      </c>
      <c r="M9" s="2377">
        <f t="shared" si="2"/>
        <v>0.10820067346028318</v>
      </c>
      <c r="N9" s="2376">
        <f t="shared" si="2"/>
        <v>0.10820067346028318</v>
      </c>
      <c r="O9" s="2376">
        <f>E9/(I9*24*30.4*$Q$2)</f>
        <v>0.43286670320633897</v>
      </c>
      <c r="P9" s="2376">
        <f>F9/(J9*24*30.4*$Q$2)</f>
        <v>0.13641575552627913</v>
      </c>
      <c r="Q9" s="2379"/>
    </row>
    <row r="10" spans="2:17">
      <c r="B10" s="1992" t="s">
        <v>277</v>
      </c>
      <c r="C10" s="1993">
        <f>F821C!J10</f>
        <v>25.5</v>
      </c>
      <c r="D10" s="2378">
        <f>F821ENE!J10</f>
        <v>25316936</v>
      </c>
      <c r="E10" s="1993">
        <f>F821EVE!J10</f>
        <v>25316936</v>
      </c>
      <c r="F10" s="1993">
        <f>F821EVE!Q10</f>
        <v>6358034</v>
      </c>
      <c r="G10" s="1993">
        <f>F821EVE!X10</f>
        <v>18958902</v>
      </c>
      <c r="H10" s="1993">
        <f>F821EVE!AE10</f>
        <v>0</v>
      </c>
      <c r="I10" s="1993">
        <f t="shared" si="1"/>
        <v>10051.166666666666</v>
      </c>
      <c r="J10" s="1993">
        <f>F821D!AH10</f>
        <v>10051.166666666666</v>
      </c>
      <c r="K10" s="1993">
        <f>F821D!AI10</f>
        <v>9956</v>
      </c>
      <c r="L10" s="2379">
        <f t="shared" si="2"/>
        <v>4.7424684641345399E-5</v>
      </c>
      <c r="M10" s="2380">
        <f t="shared" si="2"/>
        <v>1.5565355315663649E-2</v>
      </c>
      <c r="N10" s="2379">
        <f t="shared" si="2"/>
        <v>1.5565355315663649E-2</v>
      </c>
      <c r="O10" s="2376">
        <f>E10/(MAX(J10:K10)*24*30.4*$Q$2)</f>
        <v>0.57538507647565862</v>
      </c>
      <c r="P10" s="2379">
        <f t="shared" ref="P10:Q12" si="3">F10/(J10*24*30.4*$Q$2)</f>
        <v>0.14450081476387341</v>
      </c>
      <c r="Q10" s="2379">
        <f t="shared" si="3"/>
        <v>0.43500296590084098</v>
      </c>
    </row>
    <row r="11" spans="2:17">
      <c r="B11" s="1995" t="s">
        <v>304</v>
      </c>
      <c r="C11" s="1993">
        <f>F821C!J11</f>
        <v>24.666666666666668</v>
      </c>
      <c r="D11" s="2378">
        <f>F821ENE!J11</f>
        <v>21925436</v>
      </c>
      <c r="E11" s="1993">
        <f>F821EVE!J11</f>
        <v>21925436</v>
      </c>
      <c r="F11" s="1993">
        <f>F821EVE!Q11</f>
        <v>5513834</v>
      </c>
      <c r="G11" s="1993">
        <f>F821EVE!X11</f>
        <v>16411602</v>
      </c>
      <c r="H11" s="1993">
        <f>F821EVE!AE11</f>
        <v>0</v>
      </c>
      <c r="I11" s="1993">
        <f t="shared" ref="I11:I12" si="4">J11</f>
        <v>9022</v>
      </c>
      <c r="J11" s="1993">
        <f>F821D!AH11</f>
        <v>9022</v>
      </c>
      <c r="K11" s="1993">
        <f>F821D!AI11</f>
        <v>8919.6666666666661</v>
      </c>
      <c r="L11" s="2379">
        <f t="shared" si="2"/>
        <v>4.5874858345876602E-5</v>
      </c>
      <c r="M11" s="2380">
        <f t="shared" si="2"/>
        <v>1.3480193724502963E-2</v>
      </c>
      <c r="N11" s="2379">
        <f t="shared" si="2"/>
        <v>1.3480193724502963E-2</v>
      </c>
      <c r="O11" s="2379">
        <f>E11/(MAX(J11:K11)*24*30.4*$Q$2)</f>
        <v>0.55514871623101947</v>
      </c>
      <c r="P11" s="2379">
        <f t="shared" si="3"/>
        <v>0.1396094411354441</v>
      </c>
      <c r="Q11" s="2379">
        <f t="shared" si="3"/>
        <v>0.42030666391632132</v>
      </c>
    </row>
    <row r="12" spans="2:17">
      <c r="B12" s="1997" t="s">
        <v>306</v>
      </c>
      <c r="C12" s="1993">
        <f>F821C!J12</f>
        <v>0.83333333333333337</v>
      </c>
      <c r="D12" s="2378">
        <f>F821ENE!J12</f>
        <v>3391500</v>
      </c>
      <c r="E12" s="1993">
        <f>F821EVE!J12</f>
        <v>3391500</v>
      </c>
      <c r="F12" s="1993">
        <f>F821EVE!Q12</f>
        <v>844200</v>
      </c>
      <c r="G12" s="1993">
        <f>F821EVE!X12</f>
        <v>2547300</v>
      </c>
      <c r="H12" s="1993">
        <f>F821EVE!AE12</f>
        <v>0</v>
      </c>
      <c r="I12" s="1993">
        <f t="shared" si="4"/>
        <v>1029.1666666666667</v>
      </c>
      <c r="J12" s="1993">
        <f>F821D!AH12</f>
        <v>1029.1666666666667</v>
      </c>
      <c r="K12" s="1993">
        <f>F821D!AI12</f>
        <v>1036.3333333333333</v>
      </c>
      <c r="L12" s="2379">
        <f t="shared" si="2"/>
        <v>1.5498262954688041E-6</v>
      </c>
      <c r="M12" s="2380">
        <f t="shared" si="2"/>
        <v>2.0851615911606867E-3</v>
      </c>
      <c r="N12" s="2379">
        <f t="shared" si="2"/>
        <v>2.0851615911606867E-3</v>
      </c>
      <c r="O12" s="2379">
        <f>E12/(MAX(J12:K12)*24*30.4*$Q$2)</f>
        <v>0.74757759729816664</v>
      </c>
      <c r="P12" s="2379">
        <f t="shared" si="3"/>
        <v>0.18738014063498828</v>
      </c>
      <c r="Q12" s="2379">
        <f t="shared" si="3"/>
        <v>0.56149326657750842</v>
      </c>
    </row>
    <row r="13" spans="2:17">
      <c r="B13" s="1997"/>
      <c r="C13" s="1993"/>
      <c r="D13" s="2378"/>
      <c r="E13" s="1993"/>
      <c r="F13" s="1993"/>
      <c r="G13" s="1993"/>
      <c r="H13" s="1993"/>
      <c r="I13" s="1993"/>
      <c r="J13" s="1993"/>
      <c r="K13" s="1993"/>
      <c r="L13" s="2379"/>
      <c r="M13" s="2380"/>
      <c r="N13" s="2379"/>
      <c r="O13" s="2379"/>
      <c r="P13" s="2379"/>
      <c r="Q13" s="2379"/>
    </row>
    <row r="14" spans="2:17">
      <c r="B14" s="1996" t="s">
        <v>276</v>
      </c>
      <c r="C14" s="1993">
        <f>F821C!J14</f>
        <v>406.16666666666669</v>
      </c>
      <c r="D14" s="2378">
        <f>F821ENE!J14</f>
        <v>150670664</v>
      </c>
      <c r="E14" s="1993">
        <f>F821EVE!J14</f>
        <v>150670664</v>
      </c>
      <c r="F14" s="1993">
        <f>F821EVE!Q14</f>
        <v>49103569.397600003</v>
      </c>
      <c r="G14" s="1993">
        <f>F821EVE!X14</f>
        <v>101567094.60239999</v>
      </c>
      <c r="H14" s="1993">
        <f>F821EVE!AE14</f>
        <v>0</v>
      </c>
      <c r="I14" s="1993">
        <f t="shared" si="1"/>
        <v>82822.333333333328</v>
      </c>
      <c r="J14" s="1993">
        <f>F821D!AH14</f>
        <v>82822.333333333328</v>
      </c>
      <c r="K14" s="1993">
        <f>F821D!AI14</f>
        <v>0</v>
      </c>
      <c r="L14" s="2381">
        <f t="shared" ref="L14:N18" si="5">C14/C$107</f>
        <v>7.5538533641149514E-4</v>
      </c>
      <c r="M14" s="2382">
        <f t="shared" si="5"/>
        <v>9.2635318144619533E-2</v>
      </c>
      <c r="N14" s="2381">
        <f t="shared" si="5"/>
        <v>9.2635318144619533E-2</v>
      </c>
      <c r="O14" s="2376">
        <f>E14/(I14*24*30.4*$Q$2)</f>
        <v>0.41557093447899718</v>
      </c>
      <c r="P14" s="2376">
        <f>F14/(J14*24*30.4*$Q$2)</f>
        <v>0.13543456754670519</v>
      </c>
      <c r="Q14" s="2381"/>
    </row>
    <row r="15" spans="2:17">
      <c r="B15" s="1995" t="s">
        <v>304</v>
      </c>
      <c r="C15" s="1993">
        <f>F821C!J15</f>
        <v>400.16666666666669</v>
      </c>
      <c r="D15" s="2378">
        <f>F821ENE!J15</f>
        <v>150052494</v>
      </c>
      <c r="E15" s="1993">
        <f>F821EVE!J15</f>
        <v>150052494</v>
      </c>
      <c r="F15" s="1993">
        <f>F821EVE!Q15</f>
        <v>48902107.794599995</v>
      </c>
      <c r="G15" s="1993">
        <f>F821EVE!X15</f>
        <v>101150386.20539999</v>
      </c>
      <c r="H15" s="1993">
        <f>F821EVE!AE15</f>
        <v>0</v>
      </c>
      <c r="I15" s="1993">
        <f t="shared" si="1"/>
        <v>82262.833333333328</v>
      </c>
      <c r="J15" s="1993">
        <f>F821D!AH15</f>
        <v>82262.833333333328</v>
      </c>
      <c r="K15" s="1993">
        <f>F821D!AI15</f>
        <v>0</v>
      </c>
      <c r="L15" s="2379">
        <f t="shared" si="5"/>
        <v>7.4422658708411967E-4</v>
      </c>
      <c r="M15" s="2380">
        <f t="shared" si="5"/>
        <v>9.2255254945206949E-2</v>
      </c>
      <c r="N15" s="2379">
        <f t="shared" si="5"/>
        <v>9.2255254945206949E-2</v>
      </c>
      <c r="O15" s="2379">
        <f>E15/(I15*24*30.4*$Q$2)</f>
        <v>0.416680789980724</v>
      </c>
      <c r="P15" s="2379">
        <f>F15/(J15*24*30.4*$Q$2)</f>
        <v>0.13579626945471793</v>
      </c>
      <c r="Q15" s="2379"/>
    </row>
    <row r="16" spans="2:17">
      <c r="B16" s="1997" t="s">
        <v>306</v>
      </c>
      <c r="C16" s="1993">
        <f>F821C!J16</f>
        <v>0</v>
      </c>
      <c r="D16" s="2378">
        <f>F821ENE!J16</f>
        <v>0</v>
      </c>
      <c r="E16" s="1993">
        <f>F821EVE!J16</f>
        <v>0</v>
      </c>
      <c r="F16" s="1993">
        <f>F821EVE!Q16</f>
        <v>0</v>
      </c>
      <c r="G16" s="1993">
        <f>F821EVE!X16</f>
        <v>0</v>
      </c>
      <c r="H16" s="1993">
        <f>F821EVE!AE16</f>
        <v>0</v>
      </c>
      <c r="I16" s="1993">
        <f t="shared" si="1"/>
        <v>0</v>
      </c>
      <c r="J16" s="1993">
        <f>F821D!AH16</f>
        <v>0</v>
      </c>
      <c r="K16" s="1993">
        <f>F821D!AI16</f>
        <v>0</v>
      </c>
      <c r="L16" s="2379">
        <f t="shared" si="5"/>
        <v>0</v>
      </c>
      <c r="M16" s="2380">
        <f t="shared" si="5"/>
        <v>0</v>
      </c>
      <c r="N16" s="2379">
        <f t="shared" si="5"/>
        <v>0</v>
      </c>
      <c r="O16" s="2379"/>
      <c r="P16" s="2379"/>
      <c r="Q16" s="2379"/>
    </row>
    <row r="17" spans="2:17">
      <c r="B17" s="1995" t="s">
        <v>305</v>
      </c>
      <c r="C17" s="1993">
        <f>F821C!J17</f>
        <v>6</v>
      </c>
      <c r="D17" s="2378">
        <f>F821ENE!J17</f>
        <v>618170</v>
      </c>
      <c r="E17" s="1993">
        <f>F821EVE!J17</f>
        <v>618170</v>
      </c>
      <c r="F17" s="1993">
        <f>F821EVE!Q17</f>
        <v>201461.603</v>
      </c>
      <c r="G17" s="1993">
        <f>F821EVE!X17</f>
        <v>416708.397</v>
      </c>
      <c r="H17" s="1993">
        <f>F821EVE!AE17</f>
        <v>0</v>
      </c>
      <c r="I17" s="1993">
        <f t="shared" si="1"/>
        <v>559.5</v>
      </c>
      <c r="J17" s="1993">
        <f>F821D!AH17</f>
        <v>559.5</v>
      </c>
      <c r="K17" s="1993">
        <f>F821D!AI17</f>
        <v>0</v>
      </c>
      <c r="L17" s="2379">
        <f t="shared" si="5"/>
        <v>1.1158749327375389E-5</v>
      </c>
      <c r="M17" s="2380">
        <f t="shared" si="5"/>
        <v>3.8006319941259075E-4</v>
      </c>
      <c r="N17" s="2379">
        <f t="shared" si="5"/>
        <v>3.8006319941259075E-4</v>
      </c>
      <c r="O17" s="2379">
        <f>E17/(I17*24*30.4*$Q$2)</f>
        <v>0.25238977601137191</v>
      </c>
      <c r="P17" s="2379">
        <f>F17/(J17*24*30.4*$Q$2)</f>
        <v>8.2253828002106108E-2</v>
      </c>
      <c r="Q17" s="2379"/>
    </row>
    <row r="18" spans="2:17">
      <c r="B18" s="1995" t="s">
        <v>307</v>
      </c>
      <c r="C18" s="1993">
        <f>F821C!J18</f>
        <v>0</v>
      </c>
      <c r="D18" s="2378">
        <f>F821ENE!J18</f>
        <v>0</v>
      </c>
      <c r="E18" s="1993">
        <f>F821EVE!J18</f>
        <v>0</v>
      </c>
      <c r="F18" s="1993">
        <f>F821EVE!Q18</f>
        <v>0</v>
      </c>
      <c r="G18" s="1993">
        <f>F821EVE!X18</f>
        <v>0</v>
      </c>
      <c r="H18" s="1993">
        <f>F821EVE!AE18</f>
        <v>0</v>
      </c>
      <c r="I18" s="1993">
        <f t="shared" si="1"/>
        <v>0</v>
      </c>
      <c r="J18" s="1993">
        <f>F821D!AH18</f>
        <v>0</v>
      </c>
      <c r="K18" s="1993">
        <f>F821D!AI18</f>
        <v>0</v>
      </c>
      <c r="L18" s="2379">
        <f t="shared" si="5"/>
        <v>0</v>
      </c>
      <c r="M18" s="2380">
        <f t="shared" si="5"/>
        <v>0</v>
      </c>
      <c r="N18" s="2379">
        <f t="shared" si="5"/>
        <v>0</v>
      </c>
      <c r="O18" s="2379"/>
      <c r="P18" s="2379"/>
      <c r="Q18" s="2379"/>
    </row>
    <row r="19" spans="2:17">
      <c r="B19" s="1994"/>
      <c r="C19" s="1993"/>
      <c r="D19" s="2378"/>
      <c r="E19" s="1993"/>
      <c r="F19" s="1993"/>
      <c r="G19" s="1993"/>
      <c r="H19" s="1993"/>
      <c r="I19" s="1993">
        <f t="shared" si="1"/>
        <v>0</v>
      </c>
      <c r="J19" s="1993"/>
      <c r="K19" s="1993"/>
      <c r="L19" s="2379"/>
      <c r="M19" s="2380"/>
      <c r="N19" s="2379"/>
      <c r="O19" s="2379"/>
      <c r="P19" s="2379"/>
      <c r="Q19" s="2379"/>
    </row>
    <row r="20" spans="2:17" s="525" customFormat="1">
      <c r="B20" s="2373" t="s">
        <v>443</v>
      </c>
      <c r="C20" s="2374">
        <f>F821C!J20</f>
        <v>537260</v>
      </c>
      <c r="D20" s="2375">
        <f>F821ENE!J20</f>
        <v>1340696194</v>
      </c>
      <c r="E20" s="2374">
        <f>F821EVE!J20</f>
        <v>1340696194</v>
      </c>
      <c r="F20" s="2374">
        <f>F821EVE!Q20</f>
        <v>384810093.96409994</v>
      </c>
      <c r="G20" s="2374">
        <f>F821EVE!X20</f>
        <v>955886100.03590012</v>
      </c>
      <c r="H20" s="2374">
        <f>F821EVE!AE20</f>
        <v>0</v>
      </c>
      <c r="I20" s="2374">
        <f t="shared" si="1"/>
        <v>237171.83333333334</v>
      </c>
      <c r="J20" s="2374">
        <f>F821D!AH20</f>
        <v>237171.83333333334</v>
      </c>
      <c r="K20" s="2374">
        <f>F821D!AI20</f>
        <v>5828.5</v>
      </c>
      <c r="L20" s="2376">
        <f t="shared" ref="L20:N24" si="6">C20/C$107</f>
        <v>0.99919161060428352</v>
      </c>
      <c r="M20" s="2377">
        <f t="shared" si="6"/>
        <v>0.82428666051720967</v>
      </c>
      <c r="N20" s="2376">
        <f t="shared" si="6"/>
        <v>0.82428666051720967</v>
      </c>
      <c r="O20" s="2376">
        <f>(E20-E65-E71-E78-E86-E92-E99)/(I20*24*30.4*$Q$2)</f>
        <v>0.376263624096007</v>
      </c>
      <c r="P20" s="2376">
        <f>(F20-F65-F71-F78-F86-F92-F99)/(J20*24*30.4*$Q$2)</f>
        <v>0.1494685226762375</v>
      </c>
      <c r="Q20" s="2376"/>
    </row>
    <row r="21" spans="2:17" s="52" customFormat="1">
      <c r="B21" s="1992" t="s">
        <v>275</v>
      </c>
      <c r="C21" s="1646">
        <f>F821C!J21</f>
        <v>90.166666666666671</v>
      </c>
      <c r="D21" s="2375">
        <f>F821ENE!J21</f>
        <v>16851208</v>
      </c>
      <c r="E21" s="1646">
        <f>F821EVE!J21</f>
        <v>16851208</v>
      </c>
      <c r="F21" s="1646">
        <f>F821EVE!Q21</f>
        <v>3887474</v>
      </c>
      <c r="G21" s="1646">
        <f>F821EVE!X21</f>
        <v>12963734</v>
      </c>
      <c r="H21" s="1646">
        <f>F821EVE!AE21</f>
        <v>0</v>
      </c>
      <c r="I21" s="1646">
        <f t="shared" si="1"/>
        <v>5299.333333333333</v>
      </c>
      <c r="J21" s="1646">
        <f>F821D!AH21</f>
        <v>5299.333333333333</v>
      </c>
      <c r="K21" s="1646">
        <f>F821D!AI21</f>
        <v>5828.5</v>
      </c>
      <c r="L21" s="2383">
        <f t="shared" si="6"/>
        <v>1.6769120516972461E-4</v>
      </c>
      <c r="M21" s="2377">
        <f t="shared" si="6"/>
        <v>1.0360457522116966E-2</v>
      </c>
      <c r="N21" s="2383">
        <f t="shared" si="6"/>
        <v>1.0360457522116966E-2</v>
      </c>
      <c r="O21" s="2383">
        <f>E21/(MAX(J21:K21)*24*30.4*$Q$2)</f>
        <v>0.66044729041155414</v>
      </c>
      <c r="P21" s="2383">
        <f t="shared" ref="P21:Q24" si="7">F21/(J21*24*30.4*$Q$2)</f>
        <v>0.16757536877087045</v>
      </c>
      <c r="Q21" s="2383">
        <f t="shared" si="7"/>
        <v>0.50808600747887855</v>
      </c>
    </row>
    <row r="22" spans="2:17">
      <c r="B22" s="1995" t="s">
        <v>304</v>
      </c>
      <c r="C22" s="1993">
        <f>F821C!J22</f>
        <v>84.166666666666671</v>
      </c>
      <c r="D22" s="2378">
        <f>F821ENE!J22</f>
        <v>16707107</v>
      </c>
      <c r="E22" s="1993">
        <f>F821EVE!J22</f>
        <v>16707107</v>
      </c>
      <c r="F22" s="1993">
        <f>F821EVE!Q22</f>
        <v>3862697</v>
      </c>
      <c r="G22" s="1993">
        <f>F821EVE!X22</f>
        <v>12844410</v>
      </c>
      <c r="H22" s="1993">
        <f>F821EVE!AE22</f>
        <v>0</v>
      </c>
      <c r="I22" s="1993">
        <f t="shared" ref="I22:I24" si="8">J22</f>
        <v>5176.666666666667</v>
      </c>
      <c r="J22" s="1993">
        <f>F821D!AH22</f>
        <v>5176.666666666667</v>
      </c>
      <c r="K22" s="1993">
        <f>F821D!AI22</f>
        <v>5672.333333333333</v>
      </c>
      <c r="L22" s="2379">
        <f t="shared" si="6"/>
        <v>1.5653245584234922E-4</v>
      </c>
      <c r="M22" s="2380">
        <f t="shared" si="6"/>
        <v>1.0271861363942753E-2</v>
      </c>
      <c r="N22" s="2379">
        <f t="shared" si="6"/>
        <v>1.0271861363942753E-2</v>
      </c>
      <c r="O22" s="2379">
        <f>E22/(MAX(J22:K22)*24*30.4*$Q$2)</f>
        <v>0.67282703590269388</v>
      </c>
      <c r="P22" s="2379">
        <f t="shared" si="7"/>
        <v>0.17045288865071564</v>
      </c>
      <c r="Q22" s="2379">
        <f t="shared" si="7"/>
        <v>0.51726886696894436</v>
      </c>
    </row>
    <row r="23" spans="2:17">
      <c r="B23" s="1997" t="s">
        <v>306</v>
      </c>
      <c r="C23" s="1993">
        <f>F821C!J23</f>
        <v>5</v>
      </c>
      <c r="D23" s="2378">
        <f>F821ENE!J23</f>
        <v>89221</v>
      </c>
      <c r="E23" s="1993">
        <f>F821EVE!J23</f>
        <v>89221</v>
      </c>
      <c r="F23" s="1993">
        <f>F821EVE!Q23</f>
        <v>11017</v>
      </c>
      <c r="G23" s="1993">
        <f>F821EVE!X23</f>
        <v>78204</v>
      </c>
      <c r="H23" s="1993">
        <f>F821EVE!AE23</f>
        <v>0</v>
      </c>
      <c r="I23" s="1993">
        <f t="shared" si="8"/>
        <v>79.166666666666671</v>
      </c>
      <c r="J23" s="1993">
        <f>F821D!AH23</f>
        <v>79.166666666666671</v>
      </c>
      <c r="K23" s="1993">
        <f>F821D!AI23</f>
        <v>124.5</v>
      </c>
      <c r="L23" s="2379">
        <f t="shared" si="6"/>
        <v>9.2989577728128246E-6</v>
      </c>
      <c r="M23" s="2380">
        <f t="shared" si="6"/>
        <v>5.4854843675349438E-5</v>
      </c>
      <c r="N23" s="2379">
        <f t="shared" si="6"/>
        <v>5.4854843675349438E-5</v>
      </c>
      <c r="O23" s="2379">
        <f>E23/(MAX(J23:K23)*24*30.4*$Q$2)</f>
        <v>0.16370489267009561</v>
      </c>
      <c r="P23" s="2379">
        <f t="shared" si="7"/>
        <v>3.1789589104339794E-2</v>
      </c>
      <c r="Q23" s="2379">
        <f t="shared" si="7"/>
        <v>0.14349062918340028</v>
      </c>
    </row>
    <row r="24" spans="2:17">
      <c r="B24" s="1995" t="s">
        <v>305</v>
      </c>
      <c r="C24" s="1993">
        <f>F821C!J24</f>
        <v>1</v>
      </c>
      <c r="D24" s="2378">
        <f>F821ENE!J24</f>
        <v>54880</v>
      </c>
      <c r="E24" s="1993">
        <f>F821EVE!J24</f>
        <v>54880</v>
      </c>
      <c r="F24" s="1993">
        <f>F821EVE!Q24</f>
        <v>13760</v>
      </c>
      <c r="G24" s="1993">
        <f>F821EVE!X24</f>
        <v>41120</v>
      </c>
      <c r="H24" s="1993">
        <f>F821EVE!AE24</f>
        <v>0</v>
      </c>
      <c r="I24" s="1993">
        <f t="shared" si="8"/>
        <v>43.5</v>
      </c>
      <c r="J24" s="1993">
        <f>F821D!AH24</f>
        <v>43.5</v>
      </c>
      <c r="K24" s="1993">
        <f>F821D!AI24</f>
        <v>31.666666666666668</v>
      </c>
      <c r="L24" s="2379">
        <f t="shared" si="6"/>
        <v>1.8597915545625648E-6</v>
      </c>
      <c r="M24" s="2380">
        <f t="shared" si="6"/>
        <v>3.3741314498864357E-5</v>
      </c>
      <c r="N24" s="2379">
        <f t="shared" si="6"/>
        <v>3.3741314498864357E-5</v>
      </c>
      <c r="O24" s="2379">
        <f>E24/(MAX(J24:K24)*24*30.4*$Q$2)</f>
        <v>0.28819654500235264</v>
      </c>
      <c r="P24" s="2379">
        <f t="shared" si="7"/>
        <v>7.2259192041406212E-2</v>
      </c>
      <c r="Q24" s="2379">
        <f t="shared" si="7"/>
        <v>0.29662973222530009</v>
      </c>
    </row>
    <row r="25" spans="2:17">
      <c r="B25" s="1995"/>
      <c r="C25" s="1993"/>
      <c r="D25" s="2378"/>
      <c r="E25" s="1993"/>
      <c r="F25" s="1993"/>
      <c r="G25" s="1993"/>
      <c r="H25" s="1993"/>
      <c r="I25" s="1993"/>
      <c r="J25" s="1993"/>
      <c r="K25" s="1993"/>
      <c r="L25" s="2379"/>
      <c r="M25" s="2380"/>
      <c r="N25" s="2379"/>
      <c r="O25" s="2379"/>
      <c r="P25" s="2379"/>
      <c r="Q25" s="2379"/>
    </row>
    <row r="26" spans="2:17" s="52" customFormat="1">
      <c r="B26" s="1992" t="s">
        <v>1736</v>
      </c>
      <c r="C26" s="1646">
        <f>F821C!J26</f>
        <v>5404.333333333333</v>
      </c>
      <c r="D26" s="2375">
        <f>F821ENE!J26</f>
        <v>348480771</v>
      </c>
      <c r="E26" s="1646">
        <f>F821EVE!J26</f>
        <v>348480771</v>
      </c>
      <c r="F26" s="1646">
        <f>F821EVE!Q26</f>
        <v>145177089.19859999</v>
      </c>
      <c r="G26" s="1646">
        <f>F821EVE!X26</f>
        <v>203303681.80139998</v>
      </c>
      <c r="H26" s="1646">
        <f>F821EVE!AE26</f>
        <v>0</v>
      </c>
      <c r="I26" s="1646">
        <f t="shared" ref="I26" si="9">J26</f>
        <v>231872.5</v>
      </c>
      <c r="J26" s="1646">
        <f>F821D!AH26</f>
        <v>231872.5</v>
      </c>
      <c r="K26" s="1646">
        <f>F821D!AI26</f>
        <v>0</v>
      </c>
      <c r="L26" s="2384">
        <f t="shared" ref="L26:L48" si="10">C26/C$107</f>
        <v>1.0050933491374286E-2</v>
      </c>
      <c r="M26" s="2385">
        <f t="shared" ref="M26:M48" si="11">D26/D$107</f>
        <v>0.21425290253494408</v>
      </c>
      <c r="N26" s="2384">
        <f t="shared" ref="N26:N48" si="12">E26/E$107</f>
        <v>0.21425290253494408</v>
      </c>
      <c r="O26" s="2376">
        <f t="shared" ref="O26:P28" si="13">E26/(I26*24*30.4*$Q$2)</f>
        <v>0.34331556903814919</v>
      </c>
      <c r="P26" s="2383">
        <f t="shared" si="13"/>
        <v>0.14302526606129295</v>
      </c>
      <c r="Q26" s="2383">
        <f>(E26+E33+E38+E43)/((I26+I33+I38+I43)*24*30.4*$Q$2)</f>
        <v>0.34330749787650111</v>
      </c>
    </row>
    <row r="27" spans="2:17">
      <c r="B27" s="1996" t="s">
        <v>627</v>
      </c>
      <c r="C27" s="1993">
        <f>F821C!J27</f>
        <v>3740.3333333333335</v>
      </c>
      <c r="D27" s="2378">
        <f>F821ENE!J27</f>
        <v>203257538</v>
      </c>
      <c r="E27" s="1993">
        <f>F821EVE!J27</f>
        <v>203257538</v>
      </c>
      <c r="F27" s="1993">
        <f>F821EVE!Q27</f>
        <v>84677090.330799997</v>
      </c>
      <c r="G27" s="1993">
        <f>F821EVE!X27</f>
        <v>118580447.66919999</v>
      </c>
      <c r="H27" s="1993">
        <f>F821EVE!AE27</f>
        <v>0</v>
      </c>
      <c r="I27" s="1993">
        <f t="shared" si="1"/>
        <v>97507.5</v>
      </c>
      <c r="J27" s="1993">
        <f>F821D!AH27</f>
        <v>97507.5</v>
      </c>
      <c r="K27" s="1993">
        <f>F821D!AI27</f>
        <v>0</v>
      </c>
      <c r="L27" s="2381">
        <f t="shared" si="10"/>
        <v>6.9562403445821803E-3</v>
      </c>
      <c r="M27" s="2382">
        <f t="shared" si="11"/>
        <v>0.12496677321288036</v>
      </c>
      <c r="N27" s="2381">
        <f t="shared" si="12"/>
        <v>0.12496677321288036</v>
      </c>
      <c r="O27" s="2376">
        <f t="shared" si="13"/>
        <v>0.47618154897516507</v>
      </c>
      <c r="P27" s="2376">
        <f t="shared" si="13"/>
        <v>0.19837723330305376</v>
      </c>
      <c r="Q27" s="2376">
        <f>(E27+E34+E39+E44)/((I27+I34+I39+I44)*24*30.4*$Q$2)</f>
        <v>0.34331556903814919</v>
      </c>
    </row>
    <row r="28" spans="2:17">
      <c r="B28" s="1995" t="s">
        <v>304</v>
      </c>
      <c r="C28" s="1993">
        <f>F821C!J28</f>
        <v>3728</v>
      </c>
      <c r="D28" s="2378">
        <f>F821ENE!J28</f>
        <v>202817897</v>
      </c>
      <c r="E28" s="1993">
        <f>F821EVE!J28</f>
        <v>202817897</v>
      </c>
      <c r="F28" s="1993">
        <f>F821EVE!Q28</f>
        <v>84493935.890200004</v>
      </c>
      <c r="G28" s="1993">
        <f>F821EVE!X28</f>
        <v>118323961.1098</v>
      </c>
      <c r="H28" s="1993">
        <f>F821EVE!AE28</f>
        <v>0</v>
      </c>
      <c r="I28" s="1993">
        <f t="shared" si="1"/>
        <v>97236.666666666672</v>
      </c>
      <c r="J28" s="1993">
        <f>F821D!AH28</f>
        <v>97236.666666666672</v>
      </c>
      <c r="K28" s="1993">
        <f>F821D!AI28</f>
        <v>0</v>
      </c>
      <c r="L28" s="2379">
        <f t="shared" si="10"/>
        <v>6.9333029154092412E-3</v>
      </c>
      <c r="M28" s="2380">
        <f t="shared" si="11"/>
        <v>0.12469647319014721</v>
      </c>
      <c r="N28" s="2379">
        <f t="shared" si="12"/>
        <v>0.12469647319014721</v>
      </c>
      <c r="O28" s="2379">
        <f t="shared" si="13"/>
        <v>0.47647502004589393</v>
      </c>
      <c r="P28" s="2379">
        <f t="shared" si="13"/>
        <v>0.19849949335111941</v>
      </c>
      <c r="Q28" s="2379"/>
    </row>
    <row r="29" spans="2:17">
      <c r="B29" s="1995" t="s">
        <v>628</v>
      </c>
      <c r="C29" s="1993">
        <f>F821C!J29</f>
        <v>6.5</v>
      </c>
      <c r="D29" s="2378">
        <f>F821ENE!J29</f>
        <v>23400</v>
      </c>
      <c r="E29" s="1993">
        <f>F821EVE!J29</f>
        <v>23400</v>
      </c>
      <c r="F29" s="1993">
        <f>F821EVE!Q29</f>
        <v>9748.44</v>
      </c>
      <c r="G29" s="1993">
        <f>F821EVE!X29</f>
        <v>13651.56</v>
      </c>
      <c r="H29" s="1993">
        <f>F821EVE!AE29</f>
        <v>0</v>
      </c>
      <c r="I29" s="1993">
        <f t="shared" si="1"/>
        <v>0</v>
      </c>
      <c r="J29" s="1993">
        <f>F821D!AH29</f>
        <v>0</v>
      </c>
      <c r="K29" s="1993">
        <f>F821D!AI29</f>
        <v>0</v>
      </c>
      <c r="L29" s="2379">
        <f t="shared" si="10"/>
        <v>1.2088645104656672E-5</v>
      </c>
      <c r="M29" s="2380">
        <f t="shared" si="11"/>
        <v>1.4386784972183419E-5</v>
      </c>
      <c r="N29" s="2379">
        <f t="shared" si="12"/>
        <v>1.4386784972183419E-5</v>
      </c>
      <c r="O29" s="2379"/>
      <c r="P29" s="2379"/>
      <c r="Q29" s="2379"/>
    </row>
    <row r="30" spans="2:17">
      <c r="B30" s="1995" t="s">
        <v>629</v>
      </c>
      <c r="C30" s="1993">
        <f>F821C!J30</f>
        <v>0</v>
      </c>
      <c r="D30" s="2378">
        <f>F821ENE!J30</f>
        <v>93240</v>
      </c>
      <c r="E30" s="1993">
        <f>F821EVE!J30</f>
        <v>93240</v>
      </c>
      <c r="F30" s="1993">
        <f>F821EVE!Q30</f>
        <v>38843.784</v>
      </c>
      <c r="G30" s="1993">
        <f>F821EVE!X30</f>
        <v>54396.215999999993</v>
      </c>
      <c r="H30" s="1993">
        <f>F821EVE!AE30</f>
        <v>0</v>
      </c>
      <c r="I30" s="1993">
        <f t="shared" si="1"/>
        <v>110.66666666666667</v>
      </c>
      <c r="J30" s="1993">
        <f>F821D!AH30</f>
        <v>110.66666666666667</v>
      </c>
      <c r="K30" s="1993">
        <f>F821D!AI30</f>
        <v>0</v>
      </c>
      <c r="L30" s="2379">
        <f t="shared" si="10"/>
        <v>0</v>
      </c>
      <c r="M30" s="2380">
        <f t="shared" si="11"/>
        <v>5.7325804735315471E-5</v>
      </c>
      <c r="N30" s="2379">
        <f t="shared" si="12"/>
        <v>5.7325804735315471E-5</v>
      </c>
      <c r="O30" s="2379">
        <f>E30/(I30*24*30.4*$Q$2)</f>
        <v>0.19246393468611289</v>
      </c>
      <c r="P30" s="2379">
        <f>F30/(J30*24*30.4*$Q$2)</f>
        <v>8.0180475190234635E-2</v>
      </c>
      <c r="Q30" s="2379"/>
    </row>
    <row r="31" spans="2:17">
      <c r="B31" s="1995" t="s">
        <v>305</v>
      </c>
      <c r="C31" s="1993">
        <f>F821C!J31</f>
        <v>3.8333333333333335</v>
      </c>
      <c r="D31" s="2378">
        <f>F821ENE!J31</f>
        <v>245722</v>
      </c>
      <c r="E31" s="1993">
        <f>F821EVE!J31</f>
        <v>245722</v>
      </c>
      <c r="F31" s="1993">
        <f>F821EVE!Q31</f>
        <v>102367.78519999998</v>
      </c>
      <c r="G31" s="1993">
        <f>F821EVE!X31</f>
        <v>143354.21480000002</v>
      </c>
      <c r="H31" s="1993">
        <f>F821EVE!AE31</f>
        <v>0</v>
      </c>
      <c r="I31" s="1993">
        <f t="shared" si="1"/>
        <v>94.333333333333329</v>
      </c>
      <c r="J31" s="1993">
        <f>F821D!AH31</f>
        <v>94.333333333333329</v>
      </c>
      <c r="K31" s="1993">
        <f>F821D!AI31</f>
        <v>0</v>
      </c>
      <c r="L31" s="2379">
        <f t="shared" si="10"/>
        <v>7.1292009591564987E-6</v>
      </c>
      <c r="M31" s="2380">
        <f t="shared" si="11"/>
        <v>1.5107476824507924E-4</v>
      </c>
      <c r="N31" s="2379">
        <f t="shared" si="12"/>
        <v>1.5107476824507924E-4</v>
      </c>
      <c r="O31" s="2379">
        <f>E31/(I31*24*30.4*$Q$2)</f>
        <v>0.59503537443431909</v>
      </c>
      <c r="P31" s="2379">
        <f>F31/(J31*24*30.4*$Q$2)</f>
        <v>0.24789173698933728</v>
      </c>
      <c r="Q31" s="2379"/>
    </row>
    <row r="32" spans="2:17">
      <c r="B32" s="1995" t="s">
        <v>307</v>
      </c>
      <c r="C32" s="1993">
        <f>F821C!J32</f>
        <v>1</v>
      </c>
      <c r="D32" s="2378">
        <f>F821ENE!J32</f>
        <v>42640</v>
      </c>
      <c r="E32" s="1993">
        <f>F821EVE!J32</f>
        <v>42640</v>
      </c>
      <c r="F32" s="1993">
        <f>F821EVE!Q32</f>
        <v>17763.824000000001</v>
      </c>
      <c r="G32" s="1993">
        <f>F821EVE!X32</f>
        <v>24876.175999999999</v>
      </c>
      <c r="H32" s="1993">
        <f>F821EVE!AE32</f>
        <v>0</v>
      </c>
      <c r="I32" s="1993">
        <f t="shared" si="1"/>
        <v>37.333333333333336</v>
      </c>
      <c r="J32" s="1993">
        <f>F821D!AH32</f>
        <v>37.333333333333336</v>
      </c>
      <c r="K32" s="1993">
        <f>F821D!AI32</f>
        <v>0</v>
      </c>
      <c r="L32" s="2379">
        <f t="shared" si="10"/>
        <v>1.8597915545625648E-6</v>
      </c>
      <c r="M32" s="2380">
        <f t="shared" si="11"/>
        <v>2.6215919282645339E-5</v>
      </c>
      <c r="N32" s="2379">
        <f t="shared" si="12"/>
        <v>2.6215919282645339E-5</v>
      </c>
      <c r="O32" s="2379"/>
      <c r="P32" s="2379"/>
      <c r="Q32" s="2379"/>
    </row>
    <row r="33" spans="2:17">
      <c r="B33" s="1995" t="s">
        <v>624</v>
      </c>
      <c r="C33" s="1993">
        <f>F821C!J33</f>
        <v>1</v>
      </c>
      <c r="D33" s="2378">
        <f>F821ENE!J33</f>
        <v>34639</v>
      </c>
      <c r="E33" s="1993">
        <f>F821EVE!J33</f>
        <v>34639</v>
      </c>
      <c r="F33" s="1993">
        <f>F821EVE!Q33</f>
        <v>14430.607400000003</v>
      </c>
      <c r="G33" s="1993">
        <f>F821EVE!X33</f>
        <v>20208.392599999999</v>
      </c>
      <c r="H33" s="1993">
        <f>F821EVE!AE33</f>
        <v>0</v>
      </c>
      <c r="I33" s="1993">
        <f t="shared" si="1"/>
        <v>28.5</v>
      </c>
      <c r="J33" s="1993">
        <f>F821D!AH33</f>
        <v>28.5</v>
      </c>
      <c r="K33" s="1993">
        <f>F821D!AI33</f>
        <v>0</v>
      </c>
      <c r="L33" s="2379">
        <f t="shared" si="10"/>
        <v>1.8597915545625648E-6</v>
      </c>
      <c r="M33" s="2380">
        <f t="shared" si="11"/>
        <v>2.1296745497925701E-5</v>
      </c>
      <c r="N33" s="2379">
        <f t="shared" si="12"/>
        <v>2.1296745497925701E-5</v>
      </c>
      <c r="O33" s="2379">
        <f t="shared" ref="O33:P35" si="14">E33/(I33*24*30.4*$Q$2)</f>
        <v>0.2776415179029445</v>
      </c>
      <c r="P33" s="2379">
        <f t="shared" si="14"/>
        <v>0.11566545635836671</v>
      </c>
      <c r="Q33" s="2379"/>
    </row>
    <row r="34" spans="2:17" s="52" customFormat="1">
      <c r="B34" s="1996" t="s">
        <v>631</v>
      </c>
      <c r="C34" s="1646">
        <f>F821C!J34</f>
        <v>1297.6666666666667</v>
      </c>
      <c r="D34" s="2375">
        <f>F821ENE!J34</f>
        <v>92754671</v>
      </c>
      <c r="E34" s="1646">
        <f>F821EVE!J34</f>
        <v>92754671</v>
      </c>
      <c r="F34" s="1646">
        <f>F821EVE!Q34</f>
        <v>38641595.938600004</v>
      </c>
      <c r="G34" s="1646">
        <f>F821EVE!X34</f>
        <v>54113075.061399996</v>
      </c>
      <c r="H34" s="1646">
        <f>F821EVE!AE34</f>
        <v>0</v>
      </c>
      <c r="I34" s="1646">
        <f t="shared" si="1"/>
        <v>76647</v>
      </c>
      <c r="J34" s="1646">
        <f>F821D!AH34</f>
        <v>76647</v>
      </c>
      <c r="K34" s="1646">
        <f>F821D!AI34</f>
        <v>0</v>
      </c>
      <c r="L34" s="2383">
        <f t="shared" si="10"/>
        <v>2.4133895073040219E-3</v>
      </c>
      <c r="M34" s="2377">
        <f t="shared" si="11"/>
        <v>5.7027414822334067E-2</v>
      </c>
      <c r="N34" s="2383">
        <f t="shared" si="12"/>
        <v>5.7027414822334067E-2</v>
      </c>
      <c r="O34" s="2376">
        <f t="shared" si="14"/>
        <v>0.27644233497406695</v>
      </c>
      <c r="P34" s="2376">
        <f t="shared" si="14"/>
        <v>0.11516587675019631</v>
      </c>
      <c r="Q34" s="2383"/>
    </row>
    <row r="35" spans="2:17">
      <c r="B35" s="1995" t="s">
        <v>304</v>
      </c>
      <c r="C35" s="1993">
        <f>F821C!J35</f>
        <v>1295.1666666666667</v>
      </c>
      <c r="D35" s="2378">
        <f>F821ENE!J35</f>
        <v>92686031</v>
      </c>
      <c r="E35" s="1993">
        <f>F821EVE!J35</f>
        <v>92686031</v>
      </c>
      <c r="F35" s="1993">
        <f>F821EVE!Q35</f>
        <v>38613000.514600009</v>
      </c>
      <c r="G35" s="1993">
        <f>F821EVE!X35</f>
        <v>54073030.485399991</v>
      </c>
      <c r="H35" s="1993">
        <f>F821EVE!AE35</f>
        <v>0</v>
      </c>
      <c r="I35" s="1993">
        <f t="shared" si="1"/>
        <v>76523</v>
      </c>
      <c r="J35" s="1993">
        <f>F821D!AH35</f>
        <v>76523</v>
      </c>
      <c r="K35" s="1993">
        <f>F821D!AI35</f>
        <v>0</v>
      </c>
      <c r="L35" s="2379">
        <f t="shared" si="10"/>
        <v>2.4087400284176154E-3</v>
      </c>
      <c r="M35" s="2380">
        <f t="shared" si="11"/>
        <v>5.6985213586415659E-2</v>
      </c>
      <c r="N35" s="2379">
        <f t="shared" si="12"/>
        <v>5.6985213586415659E-2</v>
      </c>
      <c r="O35" s="2379">
        <f t="shared" si="14"/>
        <v>0.27668538640926138</v>
      </c>
      <c r="P35" s="2379">
        <f t="shared" si="14"/>
        <v>0.11526713197809832</v>
      </c>
      <c r="Q35" s="2379"/>
    </row>
    <row r="36" spans="2:17">
      <c r="B36" s="1997" t="s">
        <v>306</v>
      </c>
      <c r="C36" s="1993">
        <f>F821C!J36</f>
        <v>0</v>
      </c>
      <c r="D36" s="2378">
        <f>F821ENE!J36</f>
        <v>0</v>
      </c>
      <c r="E36" s="1993">
        <f>F821EVE!J36</f>
        <v>0</v>
      </c>
      <c r="F36" s="1993">
        <f>F821EVE!Q36</f>
        <v>0</v>
      </c>
      <c r="G36" s="1993">
        <f>F821EVE!X36</f>
        <v>0</v>
      </c>
      <c r="H36" s="1993">
        <f>F821EVE!AE36</f>
        <v>0</v>
      </c>
      <c r="I36" s="1993">
        <f t="shared" si="1"/>
        <v>0</v>
      </c>
      <c r="J36" s="1993">
        <f>F821D!AH36</f>
        <v>0</v>
      </c>
      <c r="K36" s="1993">
        <f>F821D!AI36</f>
        <v>0</v>
      </c>
      <c r="L36" s="2379">
        <f t="shared" si="10"/>
        <v>0</v>
      </c>
      <c r="M36" s="2380">
        <f t="shared" si="11"/>
        <v>0</v>
      </c>
      <c r="N36" s="2379">
        <f t="shared" si="12"/>
        <v>0</v>
      </c>
      <c r="O36" s="2379"/>
      <c r="P36" s="2379"/>
      <c r="Q36" s="2379"/>
    </row>
    <row r="37" spans="2:17">
      <c r="B37" s="1995" t="s">
        <v>305</v>
      </c>
      <c r="C37" s="1993">
        <f>F821C!J37</f>
        <v>2.5</v>
      </c>
      <c r="D37" s="2378">
        <f>F821ENE!J37</f>
        <v>68640</v>
      </c>
      <c r="E37" s="1993">
        <f>F821EVE!J37</f>
        <v>68640</v>
      </c>
      <c r="F37" s="1993">
        <f>F821EVE!Q37</f>
        <v>28595.424000000003</v>
      </c>
      <c r="G37" s="1993">
        <f>F821EVE!X37</f>
        <v>40044.576000000001</v>
      </c>
      <c r="H37" s="1993">
        <f>F821EVE!AE37</f>
        <v>0</v>
      </c>
      <c r="I37" s="1993">
        <f t="shared" si="1"/>
        <v>124</v>
      </c>
      <c r="J37" s="1993">
        <f>F821D!AH37</f>
        <v>124</v>
      </c>
      <c r="K37" s="1993">
        <f>F821D!AI37</f>
        <v>0</v>
      </c>
      <c r="L37" s="2379">
        <f t="shared" si="10"/>
        <v>4.6494788864064123E-6</v>
      </c>
      <c r="M37" s="2380">
        <f t="shared" si="11"/>
        <v>4.2201235918404696E-5</v>
      </c>
      <c r="N37" s="2379">
        <f t="shared" si="12"/>
        <v>4.2201235918404696E-5</v>
      </c>
      <c r="O37" s="2379">
        <f>E37/(I37*24*30.4*$Q$2)</f>
        <v>0.12645019807583477</v>
      </c>
      <c r="P37" s="2379">
        <f>F37/(J37*24*30.4*$Q$2)</f>
        <v>5.2679152518392773E-2</v>
      </c>
      <c r="Q37" s="2379"/>
    </row>
    <row r="38" spans="2:17">
      <c r="B38" s="1995" t="s">
        <v>307</v>
      </c>
      <c r="C38" s="1993">
        <f>F821C!J38</f>
        <v>0</v>
      </c>
      <c r="D38" s="2378">
        <f>F821ENE!J38</f>
        <v>0</v>
      </c>
      <c r="E38" s="1993">
        <f>F821EVE!J38</f>
        <v>0</v>
      </c>
      <c r="F38" s="1993">
        <f>F821EVE!Q38</f>
        <v>0</v>
      </c>
      <c r="G38" s="1993">
        <f>F821EVE!X38</f>
        <v>0</v>
      </c>
      <c r="H38" s="1993">
        <f>F821EVE!AE38</f>
        <v>0</v>
      </c>
      <c r="I38" s="1993">
        <f t="shared" si="1"/>
        <v>0</v>
      </c>
      <c r="J38" s="1993">
        <f>F821D!AH38</f>
        <v>0</v>
      </c>
      <c r="K38" s="1993">
        <f>F821D!AI38</f>
        <v>0</v>
      </c>
      <c r="L38" s="2379">
        <f t="shared" si="10"/>
        <v>0</v>
      </c>
      <c r="M38" s="2380">
        <f t="shared" si="11"/>
        <v>0</v>
      </c>
      <c r="N38" s="2379">
        <f t="shared" si="12"/>
        <v>0</v>
      </c>
      <c r="O38" s="2379"/>
      <c r="P38" s="2379"/>
      <c r="Q38" s="2379"/>
    </row>
    <row r="39" spans="2:17" s="52" customFormat="1">
      <c r="B39" s="1996" t="s">
        <v>632</v>
      </c>
      <c r="C39" s="1646">
        <f>F821C!J39</f>
        <v>238.83333333333334</v>
      </c>
      <c r="D39" s="2375">
        <f>F821ENE!J39</f>
        <v>26094603</v>
      </c>
      <c r="E39" s="1646">
        <f>F821EVE!J39</f>
        <v>26094603</v>
      </c>
      <c r="F39" s="1646">
        <f>F821EVE!Q39</f>
        <v>10871011.6098</v>
      </c>
      <c r="G39" s="1646">
        <f>F821EVE!X39</f>
        <v>15223591.3902</v>
      </c>
      <c r="H39" s="1646">
        <f>F821EVE!AE39</f>
        <v>0</v>
      </c>
      <c r="I39" s="1646">
        <f t="shared" si="1"/>
        <v>27884</v>
      </c>
      <c r="J39" s="1646">
        <f>F821D!AH39</f>
        <v>27884</v>
      </c>
      <c r="K39" s="1646">
        <f>F821D!AI39</f>
        <v>0</v>
      </c>
      <c r="L39" s="2383">
        <f t="shared" si="10"/>
        <v>4.4418021628135922E-4</v>
      </c>
      <c r="M39" s="2377">
        <f t="shared" si="11"/>
        <v>1.6043480439978306E-2</v>
      </c>
      <c r="N39" s="2383">
        <f t="shared" si="12"/>
        <v>1.6043480439978306E-2</v>
      </c>
      <c r="O39" s="2376">
        <f>E39/(I39*24*30.4*$Q$2)</f>
        <v>0.21377629412232887</v>
      </c>
      <c r="P39" s="2376">
        <f>F39/(J39*24*30.4*$Q$2)</f>
        <v>8.9059204131362202E-2</v>
      </c>
      <c r="Q39" s="2383"/>
    </row>
    <row r="40" spans="2:17">
      <c r="B40" s="1995" t="s">
        <v>304</v>
      </c>
      <c r="C40" s="1993">
        <f>F821C!J40</f>
        <v>238.83333333333334</v>
      </c>
      <c r="D40" s="2378">
        <f>F821ENE!J40</f>
        <v>26094603</v>
      </c>
      <c r="E40" s="1993">
        <f>F821EVE!J40</f>
        <v>26094603</v>
      </c>
      <c r="F40" s="1993">
        <f>F821EVE!Q40</f>
        <v>10871011.6098</v>
      </c>
      <c r="G40" s="1993">
        <f>F821EVE!X40</f>
        <v>15223591.3902</v>
      </c>
      <c r="H40" s="1993">
        <f>F821EVE!AE40</f>
        <v>0</v>
      </c>
      <c r="I40" s="1993">
        <f t="shared" si="1"/>
        <v>27884</v>
      </c>
      <c r="J40" s="1993">
        <f>F821D!AH40</f>
        <v>27884</v>
      </c>
      <c r="K40" s="1993">
        <f>F821D!AI40</f>
        <v>0</v>
      </c>
      <c r="L40" s="2379">
        <f t="shared" si="10"/>
        <v>4.4418021628135922E-4</v>
      </c>
      <c r="M40" s="2380">
        <f t="shared" si="11"/>
        <v>1.6043480439978306E-2</v>
      </c>
      <c r="N40" s="2379">
        <f t="shared" si="12"/>
        <v>1.6043480439978306E-2</v>
      </c>
      <c r="O40" s="2379">
        <f>E40/(I40*24*30.4*$Q$2)</f>
        <v>0.21377629412232887</v>
      </c>
      <c r="P40" s="2379">
        <f>F40/(J40*24*30.4*$Q$2)</f>
        <v>8.9059204131362202E-2</v>
      </c>
      <c r="Q40" s="2379"/>
    </row>
    <row r="41" spans="2:17">
      <c r="B41" s="1997" t="s">
        <v>306</v>
      </c>
      <c r="C41" s="1993">
        <f>F821C!J41</f>
        <v>0</v>
      </c>
      <c r="D41" s="2378">
        <f>F821ENE!J41</f>
        <v>0</v>
      </c>
      <c r="E41" s="1993">
        <f>F821EVE!J41</f>
        <v>0</v>
      </c>
      <c r="F41" s="1993">
        <f>F821EVE!Q41</f>
        <v>0</v>
      </c>
      <c r="G41" s="1993">
        <f>F821EVE!X41</f>
        <v>0</v>
      </c>
      <c r="H41" s="1993">
        <f>F821EVE!AE41</f>
        <v>0</v>
      </c>
      <c r="I41" s="1993">
        <f t="shared" si="1"/>
        <v>0</v>
      </c>
      <c r="J41" s="1993">
        <f>F821D!AH41</f>
        <v>0</v>
      </c>
      <c r="K41" s="1993">
        <f>F821D!AI41</f>
        <v>0</v>
      </c>
      <c r="L41" s="2379">
        <f t="shared" si="10"/>
        <v>0</v>
      </c>
      <c r="M41" s="2380">
        <f t="shared" si="11"/>
        <v>0</v>
      </c>
      <c r="N41" s="2379">
        <f t="shared" si="12"/>
        <v>0</v>
      </c>
      <c r="O41" s="2379"/>
      <c r="P41" s="2379"/>
      <c r="Q41" s="2379"/>
    </row>
    <row r="42" spans="2:17">
      <c r="B42" s="1995" t="s">
        <v>305</v>
      </c>
      <c r="C42" s="1993">
        <f>F821C!J42</f>
        <v>0</v>
      </c>
      <c r="D42" s="2378">
        <f>F821ENE!J42</f>
        <v>0</v>
      </c>
      <c r="E42" s="1993">
        <f>F821EVE!J42</f>
        <v>0</v>
      </c>
      <c r="F42" s="1993">
        <f>F821EVE!Q42</f>
        <v>0</v>
      </c>
      <c r="G42" s="1993">
        <f>F821EVE!X42</f>
        <v>0</v>
      </c>
      <c r="H42" s="1993">
        <f>F821EVE!AE42</f>
        <v>0</v>
      </c>
      <c r="I42" s="1993">
        <f t="shared" si="1"/>
        <v>0</v>
      </c>
      <c r="J42" s="1993">
        <f>F821D!AH42</f>
        <v>0</v>
      </c>
      <c r="K42" s="1993">
        <f>F821D!AI42</f>
        <v>0</v>
      </c>
      <c r="L42" s="2379">
        <f t="shared" si="10"/>
        <v>0</v>
      </c>
      <c r="M42" s="2380">
        <f t="shared" si="11"/>
        <v>0</v>
      </c>
      <c r="N42" s="2379">
        <f t="shared" si="12"/>
        <v>0</v>
      </c>
      <c r="O42" s="2379"/>
      <c r="P42" s="2379"/>
      <c r="Q42" s="2379"/>
    </row>
    <row r="43" spans="2:17">
      <c r="B43" s="1995" t="s">
        <v>307</v>
      </c>
      <c r="C43" s="1993">
        <f>F821C!J43</f>
        <v>0</v>
      </c>
      <c r="D43" s="2378">
        <f>F821ENE!J43</f>
        <v>0</v>
      </c>
      <c r="E43" s="1993">
        <f>F821EVE!J43</f>
        <v>0</v>
      </c>
      <c r="F43" s="1993">
        <f>F821EVE!Q43</f>
        <v>0</v>
      </c>
      <c r="G43" s="1993">
        <f>F821EVE!X43</f>
        <v>0</v>
      </c>
      <c r="H43" s="1993">
        <f>F821EVE!AE43</f>
        <v>0</v>
      </c>
      <c r="I43" s="1993">
        <f t="shared" si="1"/>
        <v>0</v>
      </c>
      <c r="J43" s="1993">
        <f>F821D!AH43</f>
        <v>0</v>
      </c>
      <c r="K43" s="1993">
        <f>F821D!AI43</f>
        <v>0</v>
      </c>
      <c r="L43" s="2379">
        <f t="shared" si="10"/>
        <v>0</v>
      </c>
      <c r="M43" s="2380">
        <f t="shared" si="11"/>
        <v>0</v>
      </c>
      <c r="N43" s="2379">
        <f t="shared" si="12"/>
        <v>0</v>
      </c>
      <c r="O43" s="2379"/>
      <c r="P43" s="2379"/>
      <c r="Q43" s="2379"/>
    </row>
    <row r="44" spans="2:17" s="52" customFormat="1">
      <c r="B44" s="1996" t="s">
        <v>633</v>
      </c>
      <c r="C44" s="1646">
        <f>F821C!J44</f>
        <v>127.5</v>
      </c>
      <c r="D44" s="2375">
        <f>F821ENE!J44</f>
        <v>26373959</v>
      </c>
      <c r="E44" s="1646">
        <f>F821EVE!J44</f>
        <v>26373959</v>
      </c>
      <c r="F44" s="1646">
        <f>F821EVE!Q44</f>
        <v>10987391.319400001</v>
      </c>
      <c r="G44" s="1646">
        <f>F821EVE!X44</f>
        <v>15386567.680599999</v>
      </c>
      <c r="H44" s="1646">
        <f>F821EVE!AE44</f>
        <v>0</v>
      </c>
      <c r="I44" s="1646">
        <f t="shared" si="1"/>
        <v>29834</v>
      </c>
      <c r="J44" s="1646">
        <f>F821D!AH44</f>
        <v>29834</v>
      </c>
      <c r="K44" s="1646">
        <f>F821D!AI44</f>
        <v>0</v>
      </c>
      <c r="L44" s="2383">
        <f t="shared" si="10"/>
        <v>2.3712342320672701E-4</v>
      </c>
      <c r="M44" s="2377">
        <f t="shared" si="11"/>
        <v>1.6215234059751352E-2</v>
      </c>
      <c r="N44" s="2383">
        <f t="shared" si="12"/>
        <v>1.6215234059751352E-2</v>
      </c>
      <c r="O44" s="2376">
        <f>E44/(I44*24*30.4*$Q$2)</f>
        <v>0.20194251729697701</v>
      </c>
      <c r="P44" s="2376">
        <f>F44/(J44*24*30.4*$Q$2)</f>
        <v>8.4129252705920629E-2</v>
      </c>
      <c r="Q44" s="2383"/>
    </row>
    <row r="45" spans="2:17">
      <c r="B45" s="1995" t="s">
        <v>304</v>
      </c>
      <c r="C45" s="1993">
        <f>F821C!J45</f>
        <v>127.5</v>
      </c>
      <c r="D45" s="2378">
        <f>F821ENE!J45</f>
        <v>26373959</v>
      </c>
      <c r="E45" s="1993">
        <f>F821EVE!J45</f>
        <v>26373959</v>
      </c>
      <c r="F45" s="1993">
        <f>F821EVE!Q45</f>
        <v>10987391.319400001</v>
      </c>
      <c r="G45" s="1993">
        <f>F821EVE!X45</f>
        <v>15386567.680599999</v>
      </c>
      <c r="H45" s="1993">
        <f>F821EVE!AE45</f>
        <v>0</v>
      </c>
      <c r="I45" s="1993">
        <f t="shared" si="1"/>
        <v>29834</v>
      </c>
      <c r="J45" s="1993">
        <f>F821D!AH45</f>
        <v>29834</v>
      </c>
      <c r="K45" s="1993">
        <f>F821D!AI45</f>
        <v>0</v>
      </c>
      <c r="L45" s="2379">
        <f t="shared" si="10"/>
        <v>2.3712342320672701E-4</v>
      </c>
      <c r="M45" s="2380">
        <f t="shared" si="11"/>
        <v>1.6215234059751352E-2</v>
      </c>
      <c r="N45" s="2379">
        <f t="shared" si="12"/>
        <v>1.6215234059751352E-2</v>
      </c>
      <c r="O45" s="2379">
        <f>E45/(I45*24*30.4*$Q$2)</f>
        <v>0.20194251729697701</v>
      </c>
      <c r="P45" s="2379">
        <f>F45/(J45*24*30.4*$Q$2)</f>
        <v>8.4129252705920629E-2</v>
      </c>
      <c r="Q45" s="2379"/>
    </row>
    <row r="46" spans="2:17">
      <c r="B46" s="1997" t="s">
        <v>306</v>
      </c>
      <c r="C46" s="1993">
        <f>F821C!J46</f>
        <v>0</v>
      </c>
      <c r="D46" s="2378">
        <f>F821ENE!J46</f>
        <v>0</v>
      </c>
      <c r="E46" s="1993">
        <f>F821EVE!J46</f>
        <v>0</v>
      </c>
      <c r="F46" s="1993">
        <f>F821EVE!Q46</f>
        <v>0</v>
      </c>
      <c r="G46" s="1993">
        <f>F821EVE!X46</f>
        <v>0</v>
      </c>
      <c r="H46" s="1993">
        <f>F821EVE!AE46</f>
        <v>0</v>
      </c>
      <c r="I46" s="1993">
        <f t="shared" si="1"/>
        <v>0</v>
      </c>
      <c r="J46" s="1993">
        <f>F821D!AH46</f>
        <v>0</v>
      </c>
      <c r="K46" s="1993">
        <f>F821D!AI46</f>
        <v>0</v>
      </c>
      <c r="L46" s="2379">
        <f t="shared" si="10"/>
        <v>0</v>
      </c>
      <c r="M46" s="2380">
        <f t="shared" si="11"/>
        <v>0</v>
      </c>
      <c r="N46" s="2379">
        <f t="shared" si="12"/>
        <v>0</v>
      </c>
      <c r="O46" s="2379"/>
      <c r="P46" s="2379"/>
      <c r="Q46" s="2379"/>
    </row>
    <row r="47" spans="2:17">
      <c r="B47" s="1995" t="s">
        <v>305</v>
      </c>
      <c r="C47" s="1993">
        <f>F821C!J47</f>
        <v>0</v>
      </c>
      <c r="D47" s="2378">
        <f>F821ENE!J47</f>
        <v>0</v>
      </c>
      <c r="E47" s="1993">
        <f>F821EVE!J47</f>
        <v>0</v>
      </c>
      <c r="F47" s="1993">
        <f>F821EVE!Q47</f>
        <v>0</v>
      </c>
      <c r="G47" s="1993">
        <f>F821EVE!X47</f>
        <v>0</v>
      </c>
      <c r="H47" s="1993">
        <f>F821EVE!AE47</f>
        <v>0</v>
      </c>
      <c r="I47" s="1993">
        <f t="shared" si="1"/>
        <v>0</v>
      </c>
      <c r="J47" s="1993">
        <f>F821D!AH47</f>
        <v>0</v>
      </c>
      <c r="K47" s="1993">
        <f>F821D!AI47</f>
        <v>0</v>
      </c>
      <c r="L47" s="2379">
        <f t="shared" si="10"/>
        <v>0</v>
      </c>
      <c r="M47" s="2380">
        <f t="shared" si="11"/>
        <v>0</v>
      </c>
      <c r="N47" s="2379">
        <f t="shared" si="12"/>
        <v>0</v>
      </c>
      <c r="O47" s="2379"/>
      <c r="P47" s="2379"/>
      <c r="Q47" s="2379"/>
    </row>
    <row r="48" spans="2:17">
      <c r="B48" s="1995" t="s">
        <v>307</v>
      </c>
      <c r="C48" s="1993">
        <f>F821C!J48</f>
        <v>0</v>
      </c>
      <c r="D48" s="2378">
        <f>F821ENE!J48</f>
        <v>0</v>
      </c>
      <c r="E48" s="1993">
        <f>F821EVE!J48</f>
        <v>0</v>
      </c>
      <c r="F48" s="1993">
        <f>F821EVE!Q48</f>
        <v>0</v>
      </c>
      <c r="G48" s="1993">
        <f>F821EVE!X48</f>
        <v>0</v>
      </c>
      <c r="H48" s="1993">
        <f>F821EVE!AE48</f>
        <v>0</v>
      </c>
      <c r="I48" s="1993">
        <f t="shared" si="1"/>
        <v>0</v>
      </c>
      <c r="J48" s="1993">
        <f>F821D!AH48</f>
        <v>0</v>
      </c>
      <c r="K48" s="1993">
        <f>F821D!AI48</f>
        <v>0</v>
      </c>
      <c r="L48" s="2379">
        <f t="shared" si="10"/>
        <v>0</v>
      </c>
      <c r="M48" s="2380">
        <f t="shared" si="11"/>
        <v>0</v>
      </c>
      <c r="N48" s="2379">
        <f t="shared" si="12"/>
        <v>0</v>
      </c>
      <c r="O48" s="2379"/>
      <c r="P48" s="2379"/>
      <c r="Q48" s="2379"/>
    </row>
    <row r="49" spans="2:17">
      <c r="B49" s="1994"/>
      <c r="C49" s="1993"/>
      <c r="D49" s="2378"/>
      <c r="E49" s="1993"/>
      <c r="F49" s="1993"/>
      <c r="G49" s="1993"/>
      <c r="H49" s="1993"/>
      <c r="I49" s="1993"/>
      <c r="J49" s="1993"/>
      <c r="K49" s="1993"/>
      <c r="L49" s="2379"/>
      <c r="M49" s="2380"/>
      <c r="N49" s="2379"/>
      <c r="O49" s="2379"/>
      <c r="P49" s="2379"/>
      <c r="Q49" s="2379"/>
    </row>
    <row r="50" spans="2:17" s="52" customFormat="1">
      <c r="B50" s="1996" t="s">
        <v>1176</v>
      </c>
      <c r="C50" s="1646">
        <f>F821C!J50</f>
        <v>0</v>
      </c>
      <c r="D50" s="2375">
        <f>F821ENE!J50</f>
        <v>0</v>
      </c>
      <c r="E50" s="1646">
        <f>F821EVE!J50</f>
        <v>0</v>
      </c>
      <c r="F50" s="1646">
        <f>F821EVE!Q50</f>
        <v>0</v>
      </c>
      <c r="G50" s="1646">
        <f>F821EVE!X50</f>
        <v>0</v>
      </c>
      <c r="H50" s="1646">
        <f>F821EVE!AE50</f>
        <v>0</v>
      </c>
      <c r="I50" s="1646">
        <f t="shared" ref="I50:I56" si="15">J50</f>
        <v>0</v>
      </c>
      <c r="J50" s="1646">
        <f>F821D!AH50</f>
        <v>0</v>
      </c>
      <c r="K50" s="1646">
        <f>F821D!AI50</f>
        <v>0</v>
      </c>
      <c r="L50" s="2384">
        <f t="shared" ref="L50:L56" si="16">C50/C$107</f>
        <v>0</v>
      </c>
      <c r="M50" s="2385">
        <f t="shared" ref="M50:N56" si="17">D50/D$107</f>
        <v>0</v>
      </c>
      <c r="N50" s="2384">
        <f t="shared" si="17"/>
        <v>0</v>
      </c>
      <c r="O50" s="2384"/>
      <c r="P50" s="2384"/>
      <c r="Q50" s="2384"/>
    </row>
    <row r="51" spans="2:17">
      <c r="B51" s="1995" t="s">
        <v>304</v>
      </c>
      <c r="C51" s="1993">
        <f>F821C!J51</f>
        <v>0</v>
      </c>
      <c r="D51" s="2378">
        <f>F821ENE!J51</f>
        <v>0</v>
      </c>
      <c r="E51" s="1993">
        <f>F821EVE!J51</f>
        <v>0</v>
      </c>
      <c r="F51" s="1993">
        <f>F821EVE!Q51</f>
        <v>0</v>
      </c>
      <c r="G51" s="1993">
        <f>F821EVE!X51</f>
        <v>0</v>
      </c>
      <c r="H51" s="1993">
        <f>F821EVE!AE51</f>
        <v>0</v>
      </c>
      <c r="I51" s="1993">
        <f t="shared" si="15"/>
        <v>0</v>
      </c>
      <c r="J51" s="1993">
        <f>F821D!AH51</f>
        <v>0</v>
      </c>
      <c r="K51" s="1993">
        <f>F821D!AI51</f>
        <v>0</v>
      </c>
      <c r="L51" s="2379">
        <f t="shared" si="16"/>
        <v>0</v>
      </c>
      <c r="M51" s="2380">
        <f t="shared" si="17"/>
        <v>0</v>
      </c>
      <c r="N51" s="2379">
        <f t="shared" si="17"/>
        <v>0</v>
      </c>
      <c r="O51" s="2379"/>
      <c r="P51" s="2379"/>
      <c r="Q51" s="2379"/>
    </row>
    <row r="52" spans="2:17">
      <c r="B52" s="1998" t="s">
        <v>642</v>
      </c>
      <c r="C52" s="1993">
        <f>F821C!J52</f>
        <v>0</v>
      </c>
      <c r="D52" s="2378">
        <f>F821ENE!J52</f>
        <v>0</v>
      </c>
      <c r="E52" s="1993">
        <f>F821EVE!J52</f>
        <v>0</v>
      </c>
      <c r="F52" s="1993">
        <f>F821EVE!Q52</f>
        <v>0</v>
      </c>
      <c r="G52" s="1993">
        <f>F821EVE!X52</f>
        <v>0</v>
      </c>
      <c r="H52" s="1993">
        <f>F821EVE!AE52</f>
        <v>0</v>
      </c>
      <c r="I52" s="1993">
        <f t="shared" si="15"/>
        <v>0</v>
      </c>
      <c r="J52" s="1993">
        <f>F821D!AH52</f>
        <v>0</v>
      </c>
      <c r="K52" s="1993">
        <f>F821D!AI52</f>
        <v>0</v>
      </c>
      <c r="L52" s="2379">
        <f t="shared" si="16"/>
        <v>0</v>
      </c>
      <c r="M52" s="2380">
        <f t="shared" si="17"/>
        <v>0</v>
      </c>
      <c r="N52" s="2379">
        <f t="shared" si="17"/>
        <v>0</v>
      </c>
      <c r="O52" s="2379"/>
      <c r="P52" s="2379"/>
      <c r="Q52" s="2379"/>
    </row>
    <row r="53" spans="2:17">
      <c r="B53" s="1998" t="s">
        <v>1177</v>
      </c>
      <c r="C53" s="1993">
        <f>F821C!J53</f>
        <v>0</v>
      </c>
      <c r="D53" s="2378">
        <f>F821ENE!J53</f>
        <v>0</v>
      </c>
      <c r="E53" s="1993">
        <f>F821EVE!J53</f>
        <v>0</v>
      </c>
      <c r="F53" s="1993">
        <f>F821EVE!Q53</f>
        <v>0</v>
      </c>
      <c r="G53" s="1993">
        <f>F821EVE!X53</f>
        <v>0</v>
      </c>
      <c r="H53" s="1993">
        <f>F821EVE!AE53</f>
        <v>0</v>
      </c>
      <c r="I53" s="1993">
        <f t="shared" si="15"/>
        <v>0</v>
      </c>
      <c r="J53" s="1993">
        <f>F821D!AH53</f>
        <v>0</v>
      </c>
      <c r="K53" s="1993">
        <f>F821D!AI53</f>
        <v>0</v>
      </c>
      <c r="L53" s="2379">
        <f t="shared" si="16"/>
        <v>0</v>
      </c>
      <c r="M53" s="2380">
        <f t="shared" si="17"/>
        <v>0</v>
      </c>
      <c r="N53" s="2379">
        <f t="shared" si="17"/>
        <v>0</v>
      </c>
      <c r="O53" s="2379"/>
      <c r="P53" s="2379"/>
      <c r="Q53" s="2379"/>
    </row>
    <row r="54" spans="2:17">
      <c r="B54" s="1995" t="s">
        <v>305</v>
      </c>
      <c r="C54" s="1993">
        <f>F821C!J54</f>
        <v>0</v>
      </c>
      <c r="D54" s="2378">
        <f>F821ENE!J54</f>
        <v>0</v>
      </c>
      <c r="E54" s="1993">
        <f>F821EVE!J54</f>
        <v>0</v>
      </c>
      <c r="F54" s="1993">
        <f>F821EVE!Q54</f>
        <v>0</v>
      </c>
      <c r="G54" s="1993">
        <f>F821EVE!X54</f>
        <v>0</v>
      </c>
      <c r="H54" s="1993">
        <f>F821EVE!AE54</f>
        <v>0</v>
      </c>
      <c r="I54" s="1993">
        <f t="shared" si="15"/>
        <v>0</v>
      </c>
      <c r="J54" s="1993">
        <f>F821D!AH54</f>
        <v>0</v>
      </c>
      <c r="K54" s="1993">
        <f>F821D!AI54</f>
        <v>0</v>
      </c>
      <c r="L54" s="2379">
        <f t="shared" si="16"/>
        <v>0</v>
      </c>
      <c r="M54" s="2380">
        <f t="shared" si="17"/>
        <v>0</v>
      </c>
      <c r="N54" s="2379">
        <f t="shared" si="17"/>
        <v>0</v>
      </c>
      <c r="O54" s="2379"/>
      <c r="P54" s="2379"/>
      <c r="Q54" s="2379"/>
    </row>
    <row r="55" spans="2:17">
      <c r="B55" s="1995" t="s">
        <v>307</v>
      </c>
      <c r="C55" s="1993">
        <f>F821C!J55</f>
        <v>0</v>
      </c>
      <c r="D55" s="2378">
        <f>F821ENE!J55</f>
        <v>0</v>
      </c>
      <c r="E55" s="1993">
        <f>F821EVE!J55</f>
        <v>0</v>
      </c>
      <c r="F55" s="1993">
        <f>F821EVE!Q55</f>
        <v>0</v>
      </c>
      <c r="G55" s="1993">
        <f>F821EVE!X55</f>
        <v>0</v>
      </c>
      <c r="H55" s="1993">
        <f>F821EVE!AE55</f>
        <v>0</v>
      </c>
      <c r="I55" s="1993">
        <f t="shared" si="15"/>
        <v>0</v>
      </c>
      <c r="J55" s="1993">
        <f>F821D!AH55</f>
        <v>0</v>
      </c>
      <c r="K55" s="1993">
        <f>F821D!AI55</f>
        <v>0</v>
      </c>
      <c r="L55" s="2379">
        <f t="shared" si="16"/>
        <v>0</v>
      </c>
      <c r="M55" s="2380">
        <f t="shared" si="17"/>
        <v>0</v>
      </c>
      <c r="N55" s="2379">
        <f t="shared" si="17"/>
        <v>0</v>
      </c>
      <c r="O55" s="2379"/>
      <c r="P55" s="2379"/>
      <c r="Q55" s="2379"/>
    </row>
    <row r="56" spans="2:17">
      <c r="B56" s="1995" t="s">
        <v>624</v>
      </c>
      <c r="C56" s="1993">
        <f>F821C!J56</f>
        <v>0</v>
      </c>
      <c r="D56" s="2378">
        <f>F821ENE!J56</f>
        <v>0</v>
      </c>
      <c r="E56" s="1993">
        <f>F821EVE!J56</f>
        <v>0</v>
      </c>
      <c r="F56" s="1993">
        <f>F821EVE!Q56</f>
        <v>0</v>
      </c>
      <c r="G56" s="1993">
        <f>F821EVE!X56</f>
        <v>0</v>
      </c>
      <c r="H56" s="1993">
        <f>F821EVE!AE56</f>
        <v>0</v>
      </c>
      <c r="I56" s="1993">
        <f t="shared" si="15"/>
        <v>0</v>
      </c>
      <c r="J56" s="1993">
        <f>F821D!AH56</f>
        <v>0</v>
      </c>
      <c r="K56" s="1993">
        <f>F821D!AI56</f>
        <v>0</v>
      </c>
      <c r="L56" s="2379">
        <f t="shared" si="16"/>
        <v>0</v>
      </c>
      <c r="M56" s="2380">
        <f t="shared" si="17"/>
        <v>0</v>
      </c>
      <c r="N56" s="2379">
        <f t="shared" si="17"/>
        <v>0</v>
      </c>
      <c r="O56" s="2379"/>
      <c r="P56" s="2379"/>
      <c r="Q56" s="2379"/>
    </row>
    <row r="57" spans="2:17">
      <c r="B57" s="1995"/>
      <c r="C57" s="1993"/>
      <c r="D57" s="2378"/>
      <c r="E57" s="1993"/>
      <c r="F57" s="1993"/>
      <c r="G57" s="1993"/>
      <c r="H57" s="1993"/>
      <c r="I57" s="1993"/>
      <c r="J57" s="1993"/>
      <c r="K57" s="1993"/>
      <c r="L57" s="2379"/>
      <c r="M57" s="2380"/>
      <c r="N57" s="2379"/>
      <c r="O57" s="2379"/>
      <c r="P57" s="2379"/>
      <c r="Q57" s="2379"/>
    </row>
    <row r="58" spans="2:17" s="52" customFormat="1">
      <c r="B58" s="1992" t="s">
        <v>755</v>
      </c>
      <c r="C58" s="1646">
        <f>F821C!J58</f>
        <v>0</v>
      </c>
      <c r="D58" s="2375">
        <f>F821ENE!J58</f>
        <v>975364215</v>
      </c>
      <c r="E58" s="1646">
        <f>F821EVE!J58</f>
        <v>975364215</v>
      </c>
      <c r="F58" s="1646">
        <f>F821EVE!Q58</f>
        <v>235745530.76550001</v>
      </c>
      <c r="G58" s="1646">
        <f>F821EVE!X58</f>
        <v>739618684.23449993</v>
      </c>
      <c r="H58" s="1646">
        <f>F821EVE!AE58</f>
        <v>0</v>
      </c>
      <c r="I58" s="1646">
        <f t="shared" ref="I58:I64" si="18">J58</f>
        <v>0</v>
      </c>
      <c r="J58" s="1646">
        <f>F821D!AH58</f>
        <v>0</v>
      </c>
      <c r="K58" s="1646">
        <f>F821D!AI58</f>
        <v>0</v>
      </c>
      <c r="L58" s="2384">
        <f t="shared" ref="L58:L84" si="19">C58/C$107</f>
        <v>0</v>
      </c>
      <c r="M58" s="2385">
        <f t="shared" ref="M58:M84" si="20">D58/D$107</f>
        <v>0.59967330046014855</v>
      </c>
      <c r="N58" s="2384">
        <f t="shared" ref="N58:N84" si="21">E58/E$107</f>
        <v>0.59967330046014855</v>
      </c>
      <c r="O58" s="2384"/>
      <c r="P58" s="2384"/>
      <c r="Q58" s="2384"/>
    </row>
    <row r="59" spans="2:17" s="52" customFormat="1">
      <c r="B59" s="1996" t="s">
        <v>2186</v>
      </c>
      <c r="C59" s="1646">
        <f>F821C!J59</f>
        <v>0</v>
      </c>
      <c r="D59" s="2375">
        <f>F821ENE!J59</f>
        <v>25321252</v>
      </c>
      <c r="E59" s="1646">
        <f>F821EVE!J59</f>
        <v>25321252</v>
      </c>
      <c r="F59" s="1646">
        <f>F821EVE!Q59</f>
        <v>6120146.6084000003</v>
      </c>
      <c r="G59" s="1646">
        <f>F821EVE!X59</f>
        <v>19201105.391600002</v>
      </c>
      <c r="H59" s="1646">
        <f>F821EVE!AE59</f>
        <v>0</v>
      </c>
      <c r="I59" s="1646">
        <f t="shared" si="18"/>
        <v>0</v>
      </c>
      <c r="J59" s="1646">
        <f>F821D!AH59</f>
        <v>0</v>
      </c>
      <c r="K59" s="1646">
        <f>F821D!AI59</f>
        <v>0</v>
      </c>
      <c r="L59" s="2384">
        <f t="shared" si="19"/>
        <v>0</v>
      </c>
      <c r="M59" s="2385">
        <f t="shared" si="20"/>
        <v>1.5568008878225185E-2</v>
      </c>
      <c r="N59" s="2384">
        <f t="shared" si="21"/>
        <v>1.5568008878225185E-2</v>
      </c>
      <c r="O59" s="2384"/>
      <c r="P59" s="2384"/>
      <c r="Q59" s="2384"/>
    </row>
    <row r="60" spans="2:17" s="52" customFormat="1">
      <c r="B60" s="1995" t="s">
        <v>304</v>
      </c>
      <c r="C60" s="1993">
        <f>F821C!J60</f>
        <v>0</v>
      </c>
      <c r="D60" s="2378">
        <f>F821ENE!J60</f>
        <v>16894154</v>
      </c>
      <c r="E60" s="1993">
        <f>F821EVE!J60</f>
        <v>16894154</v>
      </c>
      <c r="F60" s="1993">
        <f>F821EVE!Q60</f>
        <v>4083317.0218000002</v>
      </c>
      <c r="G60" s="1993">
        <f>F821EVE!X60</f>
        <v>12810836.9782</v>
      </c>
      <c r="H60" s="1993">
        <f>F821EVE!AE60</f>
        <v>0</v>
      </c>
      <c r="I60" s="1993">
        <f t="shared" si="18"/>
        <v>0</v>
      </c>
      <c r="J60" s="1993">
        <f>F821D!AH60</f>
        <v>0</v>
      </c>
      <c r="K60" s="1993">
        <f>F821D!AI60</f>
        <v>0</v>
      </c>
      <c r="L60" s="2381">
        <f t="shared" si="19"/>
        <v>0</v>
      </c>
      <c r="M60" s="2382">
        <f t="shared" si="20"/>
        <v>1.0386861576280017E-2</v>
      </c>
      <c r="N60" s="2381">
        <f t="shared" si="21"/>
        <v>1.0386861576280017E-2</v>
      </c>
      <c r="O60" s="2381"/>
      <c r="P60" s="2381"/>
      <c r="Q60" s="2381"/>
    </row>
    <row r="61" spans="2:17" s="52" customFormat="1">
      <c r="B61" s="1997" t="s">
        <v>306</v>
      </c>
      <c r="C61" s="1993">
        <f>F821C!J61</f>
        <v>0</v>
      </c>
      <c r="D61" s="2378">
        <f>F821ENE!J61</f>
        <v>8425181</v>
      </c>
      <c r="E61" s="1993">
        <f>F821EVE!J61</f>
        <v>8425181</v>
      </c>
      <c r="F61" s="1993">
        <f>F821EVE!Q61</f>
        <v>2036366.2477000002</v>
      </c>
      <c r="G61" s="1993">
        <f>F821EVE!X61</f>
        <v>6388814.7522999998</v>
      </c>
      <c r="H61" s="1993">
        <f>F821EVE!AE61</f>
        <v>0</v>
      </c>
      <c r="I61" s="1993">
        <f t="shared" si="18"/>
        <v>0</v>
      </c>
      <c r="J61" s="1993">
        <f>F821D!AH61</f>
        <v>0</v>
      </c>
      <c r="K61" s="1993">
        <f>F821D!AI61</f>
        <v>0</v>
      </c>
      <c r="L61" s="2381">
        <f t="shared" si="19"/>
        <v>0</v>
      </c>
      <c r="M61" s="2382">
        <f t="shared" si="20"/>
        <v>5.1799686922532166E-3</v>
      </c>
      <c r="N61" s="2381">
        <f t="shared" si="21"/>
        <v>5.1799686922532166E-3</v>
      </c>
      <c r="O61" s="2381"/>
      <c r="P61" s="2381"/>
      <c r="Q61" s="2381"/>
    </row>
    <row r="62" spans="2:17" s="52" customFormat="1">
      <c r="B62" s="1995" t="s">
        <v>305</v>
      </c>
      <c r="C62" s="1993">
        <f>F821C!J62</f>
        <v>0</v>
      </c>
      <c r="D62" s="2378">
        <f>F821ENE!J62</f>
        <v>1177</v>
      </c>
      <c r="E62" s="1993">
        <f>F821EVE!J62</f>
        <v>1177</v>
      </c>
      <c r="F62" s="1993">
        <f>F821EVE!Q62</f>
        <v>284.48090000000002</v>
      </c>
      <c r="G62" s="1993">
        <f>F821EVE!X62</f>
        <v>892.51910000000009</v>
      </c>
      <c r="H62" s="1993">
        <f>F821EVE!AE62</f>
        <v>0</v>
      </c>
      <c r="I62" s="1993">
        <f t="shared" si="18"/>
        <v>0</v>
      </c>
      <c r="J62" s="1993">
        <f>F821D!AH62</f>
        <v>0</v>
      </c>
      <c r="K62" s="1993">
        <f>F821D!AI62</f>
        <v>0</v>
      </c>
      <c r="L62" s="2381">
        <f t="shared" si="19"/>
        <v>0</v>
      </c>
      <c r="M62" s="2382">
        <f t="shared" si="20"/>
        <v>7.2364298770341387E-7</v>
      </c>
      <c r="N62" s="2381">
        <f t="shared" si="21"/>
        <v>7.2364298770341387E-7</v>
      </c>
      <c r="O62" s="2381"/>
      <c r="P62" s="2381"/>
      <c r="Q62" s="2381"/>
    </row>
    <row r="63" spans="2:17" s="52" customFormat="1">
      <c r="B63" s="1995" t="s">
        <v>307</v>
      </c>
      <c r="C63" s="1993">
        <f>F821C!J63</f>
        <v>0</v>
      </c>
      <c r="D63" s="2378">
        <f>F821ENE!J63</f>
        <v>90</v>
      </c>
      <c r="E63" s="1993">
        <f>F821EVE!J63</f>
        <v>90</v>
      </c>
      <c r="F63" s="1993">
        <f>F821EVE!Q63</f>
        <v>21.752999999999997</v>
      </c>
      <c r="G63" s="1993">
        <f>F821EVE!X63</f>
        <v>68.247</v>
      </c>
      <c r="H63" s="1993">
        <f>F821EVE!AE63</f>
        <v>0</v>
      </c>
      <c r="I63" s="1993">
        <f t="shared" si="18"/>
        <v>0</v>
      </c>
      <c r="J63" s="1993">
        <f>F821D!AH63</f>
        <v>0</v>
      </c>
      <c r="K63" s="1993">
        <f>F821D!AI63</f>
        <v>0</v>
      </c>
      <c r="L63" s="2381">
        <f t="shared" si="19"/>
        <v>0</v>
      </c>
      <c r="M63" s="2382">
        <f t="shared" si="20"/>
        <v>5.533378835455161E-8</v>
      </c>
      <c r="N63" s="2381">
        <f t="shared" si="21"/>
        <v>5.533378835455161E-8</v>
      </c>
      <c r="O63" s="2381"/>
      <c r="P63" s="2381"/>
      <c r="Q63" s="2381"/>
    </row>
    <row r="64" spans="2:17" s="52" customFormat="1">
      <c r="B64" s="1995" t="s">
        <v>624</v>
      </c>
      <c r="C64" s="1993">
        <f>F821C!J64</f>
        <v>0</v>
      </c>
      <c r="D64" s="2378">
        <f>F821ENE!J64</f>
        <v>650</v>
      </c>
      <c r="E64" s="1993">
        <f>F821EVE!J64</f>
        <v>650</v>
      </c>
      <c r="F64" s="1993">
        <f>F821EVE!Q64</f>
        <v>157.10499999999999</v>
      </c>
      <c r="G64" s="1993">
        <f>F821EVE!X64</f>
        <v>492.89500000000004</v>
      </c>
      <c r="H64" s="1993">
        <f>F821EVE!AE64</f>
        <v>0</v>
      </c>
      <c r="I64" s="1993">
        <f t="shared" si="18"/>
        <v>0</v>
      </c>
      <c r="J64" s="1993">
        <f>F821D!AH64</f>
        <v>0</v>
      </c>
      <c r="K64" s="1993">
        <f>F821D!AI64</f>
        <v>0</v>
      </c>
      <c r="L64" s="2381">
        <f t="shared" si="19"/>
        <v>0</v>
      </c>
      <c r="M64" s="2382">
        <f t="shared" si="20"/>
        <v>3.9963291589398385E-7</v>
      </c>
      <c r="N64" s="2381">
        <f t="shared" si="21"/>
        <v>3.9963291589398385E-7</v>
      </c>
      <c r="O64" s="2381"/>
      <c r="P64" s="2381"/>
      <c r="Q64" s="2381"/>
    </row>
    <row r="65" spans="2:17" s="52" customFormat="1">
      <c r="B65" s="1996" t="s">
        <v>634</v>
      </c>
      <c r="C65" s="1646">
        <f>F821C!J65</f>
        <v>309198.33333333331</v>
      </c>
      <c r="D65" s="2375">
        <f>F821ENE!J65</f>
        <v>505349969</v>
      </c>
      <c r="E65" s="1646">
        <f>F821EVE!J65</f>
        <v>257875549</v>
      </c>
      <c r="F65" s="1646">
        <f>F821EVE!Q65</f>
        <v>62328520.193300001</v>
      </c>
      <c r="G65" s="1646">
        <f>F821EVE!X65</f>
        <v>195547028.80670002</v>
      </c>
      <c r="H65" s="1646">
        <f>F821EVE!AE65</f>
        <v>0</v>
      </c>
      <c r="I65" s="1646">
        <f t="shared" si="1"/>
        <v>0</v>
      </c>
      <c r="J65" s="1646">
        <f>F821D!AH65</f>
        <v>0</v>
      </c>
      <c r="K65" s="1646">
        <f>F821D!AI65</f>
        <v>0</v>
      </c>
      <c r="L65" s="2384">
        <f t="shared" si="19"/>
        <v>0.5750444490181541</v>
      </c>
      <c r="M65" s="2385">
        <f t="shared" si="20"/>
        <v>0.31069920255139133</v>
      </c>
      <c r="N65" s="2384">
        <f t="shared" si="21"/>
        <v>0.15854701166866447</v>
      </c>
      <c r="O65" s="2384"/>
      <c r="P65" s="2384"/>
      <c r="Q65" s="2384"/>
    </row>
    <row r="66" spans="2:17">
      <c r="B66" s="1995" t="s">
        <v>304</v>
      </c>
      <c r="C66" s="1993">
        <f>F821C!J66</f>
        <v>221440.83333333334</v>
      </c>
      <c r="D66" s="2378">
        <f>F821ENE!J66</f>
        <v>325323189</v>
      </c>
      <c r="E66" s="1993">
        <f>F821EVE!J66</f>
        <v>171150319</v>
      </c>
      <c r="F66" s="1993">
        <f>F821EVE!Q66</f>
        <v>41367032.102299996</v>
      </c>
      <c r="G66" s="1993">
        <f>F821EVE!X66</f>
        <v>129783286.89770001</v>
      </c>
      <c r="H66" s="1993">
        <f>F821EVE!AE66</f>
        <v>0</v>
      </c>
      <c r="I66" s="1993">
        <f t="shared" si="1"/>
        <v>0</v>
      </c>
      <c r="J66" s="1993">
        <f>F821D!AH66</f>
        <v>0</v>
      </c>
      <c r="K66" s="1993">
        <f>F821D!AI66</f>
        <v>0</v>
      </c>
      <c r="L66" s="2379">
        <f t="shared" si="19"/>
        <v>0.41183379166862982</v>
      </c>
      <c r="M66" s="2380">
        <f t="shared" si="20"/>
        <v>0.20001516096615324</v>
      </c>
      <c r="N66" s="2379">
        <f t="shared" si="21"/>
        <v>0.1052266169817777</v>
      </c>
      <c r="O66" s="2379"/>
      <c r="P66" s="2379"/>
      <c r="Q66" s="2379"/>
    </row>
    <row r="67" spans="2:17">
      <c r="B67" s="1997" t="s">
        <v>306</v>
      </c>
      <c r="C67" s="1993">
        <f>F821C!J67</f>
        <v>87744.5</v>
      </c>
      <c r="D67" s="2378">
        <f>F821ENE!J67</f>
        <v>179982615</v>
      </c>
      <c r="E67" s="1993">
        <f>F821EVE!J67</f>
        <v>86715595</v>
      </c>
      <c r="F67" s="1993">
        <f>F821EVE!Q67</f>
        <v>20959159.311500002</v>
      </c>
      <c r="G67" s="1993">
        <f>F821EVE!X67</f>
        <v>65756435.688500002</v>
      </c>
      <c r="H67" s="1993">
        <f>F821EVE!AE67</f>
        <v>0</v>
      </c>
      <c r="I67" s="1993">
        <f t="shared" si="1"/>
        <v>0</v>
      </c>
      <c r="J67" s="1993">
        <f>F821D!AH67</f>
        <v>0</v>
      </c>
      <c r="K67" s="1993">
        <f>F821D!AI67</f>
        <v>0</v>
      </c>
      <c r="L67" s="2379">
        <f t="shared" si="19"/>
        <v>0.16318648005931496</v>
      </c>
      <c r="M67" s="2380">
        <f t="shared" si="20"/>
        <v>0.11065688806565273</v>
      </c>
      <c r="N67" s="2379">
        <f t="shared" si="21"/>
        <v>5.3314470897433484E-2</v>
      </c>
      <c r="O67" s="2379"/>
      <c r="P67" s="2379"/>
      <c r="Q67" s="2379"/>
    </row>
    <row r="68" spans="2:17">
      <c r="B68" s="1995" t="s">
        <v>305</v>
      </c>
      <c r="C68" s="1993">
        <f>F821C!J68</f>
        <v>7.5</v>
      </c>
      <c r="D68" s="2378">
        <f>F821ENE!J68</f>
        <v>29204</v>
      </c>
      <c r="E68" s="1993">
        <f>F821EVE!J68</f>
        <v>6564</v>
      </c>
      <c r="F68" s="1993">
        <f>F821EVE!Q68</f>
        <v>1586.5188000000001</v>
      </c>
      <c r="G68" s="1993">
        <f>F821EVE!X68</f>
        <v>4977.4812000000002</v>
      </c>
      <c r="H68" s="1993">
        <f>F821EVE!AE68</f>
        <v>0</v>
      </c>
      <c r="I68" s="1993">
        <f t="shared" si="1"/>
        <v>0</v>
      </c>
      <c r="J68" s="1993">
        <f>F821D!AH68</f>
        <v>0</v>
      </c>
      <c r="K68" s="1993">
        <f>F821D!AI68</f>
        <v>0</v>
      </c>
      <c r="L68" s="2379">
        <f t="shared" si="19"/>
        <v>1.3948436659219236E-5</v>
      </c>
      <c r="M68" s="2380">
        <f t="shared" si="20"/>
        <v>1.795519950118139E-5</v>
      </c>
      <c r="N68" s="2379">
        <f t="shared" si="21"/>
        <v>4.0356776306586305E-6</v>
      </c>
      <c r="O68" s="2379"/>
      <c r="P68" s="2379"/>
      <c r="Q68" s="2379"/>
    </row>
    <row r="69" spans="2:17">
      <c r="B69" s="1995" t="s">
        <v>307</v>
      </c>
      <c r="C69" s="1993">
        <f>F821C!J69</f>
        <v>0.5</v>
      </c>
      <c r="D69" s="2378">
        <f>F821ENE!J69</f>
        <v>2011</v>
      </c>
      <c r="E69" s="1993">
        <f>F821EVE!J69</f>
        <v>271</v>
      </c>
      <c r="F69" s="1993">
        <f>F821EVE!Q69</f>
        <v>65.500699999999995</v>
      </c>
      <c r="G69" s="1993">
        <f>F821EVE!X69</f>
        <v>205.49930000000001</v>
      </c>
      <c r="H69" s="1993">
        <f>F821EVE!AE69</f>
        <v>0</v>
      </c>
      <c r="I69" s="1993">
        <f t="shared" si="1"/>
        <v>0</v>
      </c>
      <c r="J69" s="1993">
        <f>F821D!AH69</f>
        <v>0</v>
      </c>
      <c r="K69" s="1993">
        <f>F821D!AI69</f>
        <v>0</v>
      </c>
      <c r="L69" s="2379">
        <f t="shared" si="19"/>
        <v>9.298957772812824E-7</v>
      </c>
      <c r="M69" s="2380">
        <f t="shared" si="20"/>
        <v>1.2364027597889255E-6</v>
      </c>
      <c r="N69" s="2379">
        <f t="shared" si="21"/>
        <v>1.6661618493426095E-7</v>
      </c>
      <c r="O69" s="2379"/>
      <c r="P69" s="2379"/>
      <c r="Q69" s="2379"/>
    </row>
    <row r="70" spans="2:17">
      <c r="B70" s="1995" t="s">
        <v>624</v>
      </c>
      <c r="C70" s="1993">
        <f>F821C!J70</f>
        <v>5</v>
      </c>
      <c r="D70" s="2378">
        <f>F821ENE!J70</f>
        <v>12950</v>
      </c>
      <c r="E70" s="1993">
        <f>F821EVE!J70</f>
        <v>2800</v>
      </c>
      <c r="F70" s="1993">
        <f>F821EVE!Q70</f>
        <v>676.76</v>
      </c>
      <c r="G70" s="1993">
        <f>F821EVE!X70</f>
        <v>2123.2399999999998</v>
      </c>
      <c r="H70" s="1993">
        <f>F821EVE!AE70</f>
        <v>0</v>
      </c>
      <c r="I70" s="1993">
        <f t="shared" si="1"/>
        <v>0</v>
      </c>
      <c r="J70" s="1993">
        <f>F821D!AH70</f>
        <v>0</v>
      </c>
      <c r="K70" s="1993">
        <f>F821D!AI70</f>
        <v>0</v>
      </c>
      <c r="L70" s="2379">
        <f t="shared" si="19"/>
        <v>9.2989577728128246E-6</v>
      </c>
      <c r="M70" s="2380">
        <f t="shared" si="20"/>
        <v>7.9619173243493703E-6</v>
      </c>
      <c r="N70" s="2379">
        <f t="shared" si="21"/>
        <v>1.7214956376971612E-6</v>
      </c>
      <c r="O70" s="2379"/>
      <c r="P70" s="2379"/>
      <c r="Q70" s="2379"/>
    </row>
    <row r="71" spans="2:17" s="52" customFormat="1">
      <c r="B71" s="1996" t="s">
        <v>635</v>
      </c>
      <c r="C71" s="1646">
        <f>F821C!J71</f>
        <v>109157.16666666667</v>
      </c>
      <c r="D71" s="2375">
        <f>F821ENE!J71</f>
        <v>186274078</v>
      </c>
      <c r="E71" s="1646">
        <f>F821EVE!J71</f>
        <v>288554168</v>
      </c>
      <c r="F71" s="1646">
        <f>F821EVE!Q71</f>
        <v>69743542.405600011</v>
      </c>
      <c r="G71" s="1646">
        <f>F821EVE!X71</f>
        <v>218810625.59440002</v>
      </c>
      <c r="H71" s="1646">
        <f>F821EVE!AE71</f>
        <v>0</v>
      </c>
      <c r="I71" s="1646">
        <f t="shared" si="1"/>
        <v>0</v>
      </c>
      <c r="J71" s="1646">
        <f>F821D!AH71</f>
        <v>0</v>
      </c>
      <c r="K71" s="1646">
        <f>F821D!AI71</f>
        <v>0</v>
      </c>
      <c r="L71" s="2384">
        <f t="shared" si="19"/>
        <v>0.20300957668664499</v>
      </c>
      <c r="M71" s="2385">
        <f t="shared" si="20"/>
        <v>0.11452500453323598</v>
      </c>
      <c r="N71" s="2384">
        <f t="shared" si="21"/>
        <v>0.17740883623261922</v>
      </c>
      <c r="O71" s="2384"/>
      <c r="P71" s="2384"/>
      <c r="Q71" s="2384"/>
    </row>
    <row r="72" spans="2:17">
      <c r="B72" s="1995" t="s">
        <v>304</v>
      </c>
      <c r="C72" s="1993">
        <f>F821C!J72</f>
        <v>63154</v>
      </c>
      <c r="D72" s="2378">
        <f>F821ENE!J72</f>
        <v>124611295</v>
      </c>
      <c r="E72" s="1993">
        <f>F821EVE!J72</f>
        <v>166889825</v>
      </c>
      <c r="F72" s="1993">
        <f>F821EVE!Q72</f>
        <v>40337270.702500001</v>
      </c>
      <c r="G72" s="1993">
        <f>F821EVE!X72</f>
        <v>126552554.2975</v>
      </c>
      <c r="H72" s="1993">
        <f>F821EVE!AE72</f>
        <v>0</v>
      </c>
      <c r="I72" s="1993">
        <f t="shared" si="1"/>
        <v>0</v>
      </c>
      <c r="J72" s="1993">
        <f>F821D!AH72</f>
        <v>0</v>
      </c>
      <c r="K72" s="1993">
        <f>F821D!AI72</f>
        <v>0</v>
      </c>
      <c r="L72" s="2379">
        <f t="shared" si="19"/>
        <v>0.11745327583684421</v>
      </c>
      <c r="M72" s="2380">
        <f t="shared" si="20"/>
        <v>7.6613500267962167E-2</v>
      </c>
      <c r="N72" s="2379">
        <f t="shared" si="21"/>
        <v>0.10260718061197951</v>
      </c>
      <c r="O72" s="2379"/>
      <c r="P72" s="2379"/>
      <c r="Q72" s="2379"/>
    </row>
    <row r="73" spans="2:17">
      <c r="B73" s="1998" t="s">
        <v>642</v>
      </c>
      <c r="C73" s="1993">
        <f>F821C!J73</f>
        <v>45997.5</v>
      </c>
      <c r="D73" s="2378">
        <f>F821ENE!J73</f>
        <v>52286914</v>
      </c>
      <c r="E73" s="1993">
        <f>F821EVE!J73</f>
        <v>119053064</v>
      </c>
      <c r="F73" s="1993">
        <f>F821EVE!Q73</f>
        <v>28775125.568799999</v>
      </c>
      <c r="G73" s="1993">
        <f>F821EVE!X73</f>
        <v>90277938.431199998</v>
      </c>
      <c r="H73" s="1993">
        <f>F821EVE!AE73</f>
        <v>0</v>
      </c>
      <c r="I73" s="1993">
        <f t="shared" si="1"/>
        <v>0</v>
      </c>
      <c r="J73" s="1993">
        <f>F821D!AH73</f>
        <v>0</v>
      </c>
      <c r="K73" s="1993">
        <f>F821D!AI73</f>
        <v>0</v>
      </c>
      <c r="L73" s="2379">
        <f t="shared" si="19"/>
        <v>8.5545762030991568E-2</v>
      </c>
      <c r="M73" s="2380">
        <f t="shared" si="20"/>
        <v>3.2147033699873796E-2</v>
      </c>
      <c r="N73" s="2379">
        <f t="shared" si="21"/>
        <v>7.31961894037432E-2</v>
      </c>
      <c r="O73" s="2379"/>
      <c r="P73" s="2379"/>
      <c r="Q73" s="2379"/>
    </row>
    <row r="74" spans="2:17">
      <c r="B74" s="1998" t="s">
        <v>643</v>
      </c>
      <c r="C74" s="1993">
        <f>F821C!J74</f>
        <v>0</v>
      </c>
      <c r="D74" s="2378">
        <f>F821ENE!J74</f>
        <v>9332072</v>
      </c>
      <c r="E74" s="1993">
        <f>F821EVE!J74</f>
        <v>2595122</v>
      </c>
      <c r="F74" s="1993">
        <f>F821EVE!Q74</f>
        <v>627240.98739999998</v>
      </c>
      <c r="G74" s="1993">
        <f>F821EVE!X74</f>
        <v>1967881.0126</v>
      </c>
      <c r="H74" s="1993">
        <f>F821EVE!AE74</f>
        <v>0</v>
      </c>
      <c r="I74" s="1993">
        <f t="shared" si="1"/>
        <v>0</v>
      </c>
      <c r="J74" s="1993">
        <f>F821D!AH74</f>
        <v>0</v>
      </c>
      <c r="K74" s="1993">
        <f>F821D!AI74</f>
        <v>0</v>
      </c>
      <c r="L74" s="2379">
        <f t="shared" si="19"/>
        <v>0</v>
      </c>
      <c r="M74" s="2380">
        <f t="shared" si="20"/>
        <v>5.7375432995270797E-3</v>
      </c>
      <c r="N74" s="2379">
        <f t="shared" si="21"/>
        <v>1.5955325722471188E-3</v>
      </c>
      <c r="O74" s="2379"/>
      <c r="P74" s="2379"/>
      <c r="Q74" s="2379"/>
    </row>
    <row r="75" spans="2:17">
      <c r="B75" s="1995" t="s">
        <v>305</v>
      </c>
      <c r="C75" s="1993">
        <f>F821C!J75</f>
        <v>3.8333333333333335</v>
      </c>
      <c r="D75" s="2378">
        <f>F821ENE!J75</f>
        <v>28837</v>
      </c>
      <c r="E75" s="1993">
        <f>F821EVE!J75</f>
        <v>11507</v>
      </c>
      <c r="F75" s="1993">
        <f>F821EVE!Q75</f>
        <v>2781.2419</v>
      </c>
      <c r="G75" s="1993">
        <f>F821EVE!X75</f>
        <v>8725.7580999999991</v>
      </c>
      <c r="H75" s="1993">
        <f>F821EVE!AE75</f>
        <v>0</v>
      </c>
      <c r="I75" s="1993">
        <f t="shared" si="1"/>
        <v>0</v>
      </c>
      <c r="J75" s="1993">
        <f>F821D!AH75</f>
        <v>0</v>
      </c>
      <c r="K75" s="1993">
        <f>F821D!AI75</f>
        <v>0</v>
      </c>
      <c r="L75" s="2379">
        <f t="shared" si="19"/>
        <v>7.1292009591564987E-6</v>
      </c>
      <c r="M75" s="2380">
        <f t="shared" si="20"/>
        <v>1.7729560608668942E-5</v>
      </c>
      <c r="N75" s="2379">
        <f t="shared" si="21"/>
        <v>7.0747322510647264E-6</v>
      </c>
      <c r="O75" s="2379"/>
      <c r="P75" s="2379"/>
      <c r="Q75" s="2379"/>
    </row>
    <row r="76" spans="2:17">
      <c r="B76" s="1995" t="s">
        <v>307</v>
      </c>
      <c r="C76" s="1993">
        <f>F821C!J76</f>
        <v>0.16666666666666666</v>
      </c>
      <c r="D76" s="2378">
        <f>F821ENE!J76</f>
        <v>2675</v>
      </c>
      <c r="E76" s="1993">
        <f>F821EVE!J76</f>
        <v>715</v>
      </c>
      <c r="F76" s="1993">
        <f>F821EVE!Q76</f>
        <v>172.81549999999999</v>
      </c>
      <c r="G76" s="1993">
        <f>F821EVE!X76</f>
        <v>542.18450000000007</v>
      </c>
      <c r="H76" s="1993">
        <f>F821EVE!AE76</f>
        <v>0</v>
      </c>
      <c r="I76" s="1993">
        <f t="shared" si="1"/>
        <v>0</v>
      </c>
      <c r="J76" s="1993">
        <f>F821D!AH76</f>
        <v>0</v>
      </c>
      <c r="K76" s="1993">
        <f>F821D!AI76</f>
        <v>0</v>
      </c>
      <c r="L76" s="2379">
        <f t="shared" si="19"/>
        <v>3.099652590937608E-7</v>
      </c>
      <c r="M76" s="2380">
        <f t="shared" si="20"/>
        <v>1.6446431538713951E-6</v>
      </c>
      <c r="N76" s="2379">
        <f t="shared" si="21"/>
        <v>4.3959620748338222E-7</v>
      </c>
      <c r="O76" s="2379"/>
      <c r="P76" s="2379"/>
      <c r="Q76" s="2379"/>
    </row>
    <row r="77" spans="2:17">
      <c r="B77" s="1995" t="s">
        <v>624</v>
      </c>
      <c r="C77" s="1993">
        <f>F821C!J77</f>
        <v>1.6666666666666667</v>
      </c>
      <c r="D77" s="2378">
        <f>F821ENE!J77</f>
        <v>12285</v>
      </c>
      <c r="E77" s="1993">
        <f>F821EVE!J77</f>
        <v>3935</v>
      </c>
      <c r="F77" s="1993">
        <f>F821EVE!Q77</f>
        <v>951.08949999999993</v>
      </c>
      <c r="G77" s="1993">
        <f>F821EVE!X77</f>
        <v>2983.9105</v>
      </c>
      <c r="H77" s="1993">
        <f>F821EVE!AE77</f>
        <v>0</v>
      </c>
      <c r="I77" s="1993">
        <f t="shared" si="1"/>
        <v>0</v>
      </c>
      <c r="J77" s="1993">
        <f>F821D!AH77</f>
        <v>0</v>
      </c>
      <c r="K77" s="1993">
        <f>F821D!AI77</f>
        <v>0</v>
      </c>
      <c r="L77" s="2379">
        <f t="shared" si="19"/>
        <v>3.0996525909376082E-6</v>
      </c>
      <c r="M77" s="2380">
        <f t="shared" si="20"/>
        <v>7.5530621103962951E-6</v>
      </c>
      <c r="N77" s="2379">
        <f t="shared" si="21"/>
        <v>2.4193161908351177E-6</v>
      </c>
      <c r="O77" s="2379"/>
      <c r="P77" s="2379"/>
      <c r="Q77" s="2379"/>
    </row>
    <row r="78" spans="2:17" s="52" customFormat="1">
      <c r="B78" s="1996" t="s">
        <v>636</v>
      </c>
      <c r="C78" s="1646">
        <f>F821C!J78</f>
        <v>32572.166666666668</v>
      </c>
      <c r="D78" s="2375">
        <f>F821ENE!J78</f>
        <v>171331627</v>
      </c>
      <c r="E78" s="1646">
        <f>F821EVE!J78</f>
        <v>316525957</v>
      </c>
      <c r="F78" s="1646">
        <f>F821EVE!Q78</f>
        <v>76504323.806899995</v>
      </c>
      <c r="G78" s="1646">
        <f>F821EVE!X78</f>
        <v>240021633.19310001</v>
      </c>
      <c r="H78" s="1646">
        <f>F821EVE!AE78</f>
        <v>0</v>
      </c>
      <c r="I78" s="1646">
        <f t="shared" ref="I78:I84" si="22">J78</f>
        <v>0</v>
      </c>
      <c r="J78" s="1646">
        <f>F821D!AH78</f>
        <v>0</v>
      </c>
      <c r="K78" s="1646">
        <f>F821D!AI78</f>
        <v>0</v>
      </c>
      <c r="L78" s="2383">
        <f t="shared" si="19"/>
        <v>6.0577440480470958E-2</v>
      </c>
      <c r="M78" s="2385">
        <f t="shared" si="20"/>
        <v>0.10533808874287756</v>
      </c>
      <c r="N78" s="2384">
        <f t="shared" si="21"/>
        <v>0.19460644792622114</v>
      </c>
      <c r="O78" s="2383"/>
      <c r="P78" s="2383"/>
      <c r="Q78" s="2383"/>
    </row>
    <row r="79" spans="2:17">
      <c r="B79" s="1995" t="s">
        <v>304</v>
      </c>
      <c r="C79" s="1993">
        <f>F821C!J79</f>
        <v>25096</v>
      </c>
      <c r="D79" s="2378">
        <f>F821ENE!J79</f>
        <v>155974747</v>
      </c>
      <c r="E79" s="1993">
        <f>F821EVE!J79</f>
        <v>267869087</v>
      </c>
      <c r="F79" s="1993">
        <f>F821EVE!Q79</f>
        <v>64743958.3279</v>
      </c>
      <c r="G79" s="1993">
        <f>F821EVE!X79</f>
        <v>203125128.67210001</v>
      </c>
      <c r="H79" s="1993">
        <f>F821EVE!AE79</f>
        <v>0</v>
      </c>
      <c r="I79" s="1993">
        <f t="shared" si="22"/>
        <v>0</v>
      </c>
      <c r="J79" s="1993">
        <f>F821D!AH79</f>
        <v>0</v>
      </c>
      <c r="K79" s="1993">
        <f>F821D!AI79</f>
        <v>0</v>
      </c>
      <c r="L79" s="2379">
        <f t="shared" si="19"/>
        <v>4.6673328853302123E-2</v>
      </c>
      <c r="M79" s="2380">
        <f t="shared" si="20"/>
        <v>9.5896373768363713E-2</v>
      </c>
      <c r="N79" s="2379">
        <f t="shared" si="21"/>
        <v>0.16469123740872191</v>
      </c>
      <c r="O79" s="2379"/>
      <c r="P79" s="2379"/>
      <c r="Q79" s="2379"/>
    </row>
    <row r="80" spans="2:17">
      <c r="B80" s="1998" t="s">
        <v>642</v>
      </c>
      <c r="C80" s="1993">
        <f>F821C!J80</f>
        <v>7462.333333333333</v>
      </c>
      <c r="D80" s="2378">
        <f>F821ENE!J80</f>
        <v>0</v>
      </c>
      <c r="E80" s="1993">
        <f>F821EVE!J80</f>
        <v>26500870</v>
      </c>
      <c r="F80" s="1993">
        <f>F821EVE!Q80</f>
        <v>6405260.2789999992</v>
      </c>
      <c r="G80" s="1993">
        <f>F821EVE!X80</f>
        <v>20095609.720999997</v>
      </c>
      <c r="H80" s="1993">
        <f>F821EVE!AE80</f>
        <v>0</v>
      </c>
      <c r="I80" s="1993">
        <f t="shared" si="22"/>
        <v>0</v>
      </c>
      <c r="J80" s="1993">
        <f>F821D!AH80</f>
        <v>0</v>
      </c>
      <c r="K80" s="1993">
        <f>F821D!AI80</f>
        <v>0</v>
      </c>
      <c r="L80" s="2379">
        <f t="shared" si="19"/>
        <v>1.3878384510664045E-2</v>
      </c>
      <c r="M80" s="2380">
        <f t="shared" si="20"/>
        <v>0</v>
      </c>
      <c r="N80" s="2379">
        <f t="shared" si="21"/>
        <v>1.6293261464349847E-2</v>
      </c>
      <c r="O80" s="2379"/>
      <c r="P80" s="2379"/>
      <c r="Q80" s="2379"/>
    </row>
    <row r="81" spans="2:17">
      <c r="B81" s="1998" t="s">
        <v>643</v>
      </c>
      <c r="C81" s="1993">
        <f>F821C!J81</f>
        <v>0</v>
      </c>
      <c r="D81" s="2378">
        <f>F821ENE!J81</f>
        <v>15226936</v>
      </c>
      <c r="E81" s="1993">
        <f>F821EVE!J81</f>
        <v>21963886</v>
      </c>
      <c r="F81" s="1993">
        <f>F821EVE!Q81</f>
        <v>5308671.246199999</v>
      </c>
      <c r="G81" s="1993">
        <f>F821EVE!X81</f>
        <v>16655214.753799999</v>
      </c>
      <c r="H81" s="1993">
        <f>F821EVE!AE81</f>
        <v>0</v>
      </c>
      <c r="I81" s="1993">
        <f t="shared" si="22"/>
        <v>0</v>
      </c>
      <c r="J81" s="1993">
        <f>F821D!AH81</f>
        <v>0</v>
      </c>
      <c r="K81" s="1993">
        <f>F821D!AI81</f>
        <v>0</v>
      </c>
      <c r="L81" s="2379">
        <f t="shared" si="19"/>
        <v>0</v>
      </c>
      <c r="M81" s="2380">
        <f t="shared" si="20"/>
        <v>9.3618228212478082E-3</v>
      </c>
      <c r="N81" s="2379">
        <f t="shared" si="21"/>
        <v>1.3503833548527768E-2</v>
      </c>
      <c r="O81" s="2379"/>
      <c r="P81" s="2379"/>
      <c r="Q81" s="2379"/>
    </row>
    <row r="82" spans="2:17">
      <c r="B82" s="1995" t="s">
        <v>305</v>
      </c>
      <c r="C82" s="1993">
        <f>F821C!J82</f>
        <v>8.8333333333333339</v>
      </c>
      <c r="D82" s="2378">
        <f>F821ENE!J82</f>
        <v>113798</v>
      </c>
      <c r="E82" s="1993">
        <f>F821EVE!J82</f>
        <v>153768</v>
      </c>
      <c r="F82" s="1993">
        <f>F821EVE!Q82</f>
        <v>37165.725600000005</v>
      </c>
      <c r="G82" s="1993">
        <f>F821EVE!X82</f>
        <v>116602.27439999999</v>
      </c>
      <c r="H82" s="1993">
        <f>F821EVE!AE82</f>
        <v>0</v>
      </c>
      <c r="I82" s="1993">
        <f t="shared" si="22"/>
        <v>0</v>
      </c>
      <c r="J82" s="1993">
        <f>F821D!AH81</f>
        <v>0</v>
      </c>
      <c r="K82" s="1993">
        <f>F821D!AI81</f>
        <v>0</v>
      </c>
      <c r="L82" s="2379">
        <f t="shared" si="19"/>
        <v>1.6428158731969323E-5</v>
      </c>
      <c r="M82" s="2380">
        <f t="shared" si="20"/>
        <v>6.9965271635236262E-5</v>
      </c>
      <c r="N82" s="2379">
        <f t="shared" si="21"/>
        <v>9.4539621863363251E-5</v>
      </c>
      <c r="O82" s="2379"/>
      <c r="P82" s="2379"/>
      <c r="Q82" s="2379"/>
    </row>
    <row r="83" spans="2:17">
      <c r="B83" s="1995" t="s">
        <v>307</v>
      </c>
      <c r="C83" s="1993">
        <f>F821C!J83</f>
        <v>0.83333333333333337</v>
      </c>
      <c r="D83" s="2378">
        <f>F821ENE!J83</f>
        <v>903</v>
      </c>
      <c r="E83" s="1993">
        <f>F821EVE!J83</f>
        <v>4603</v>
      </c>
      <c r="F83" s="1993">
        <f>F821EVE!Q83</f>
        <v>1112.5451</v>
      </c>
      <c r="G83" s="1993">
        <f>F821EVE!X83</f>
        <v>3490.4549000000002</v>
      </c>
      <c r="H83" s="1993">
        <f>F821EVE!AE83</f>
        <v>0</v>
      </c>
      <c r="I83" s="1993">
        <f t="shared" si="22"/>
        <v>0</v>
      </c>
      <c r="J83" s="1993">
        <f>F821D!AH83</f>
        <v>0</v>
      </c>
      <c r="K83" s="1993">
        <f>F821D!AI83</f>
        <v>0</v>
      </c>
      <c r="L83" s="2379">
        <f t="shared" si="19"/>
        <v>1.5498262954688041E-6</v>
      </c>
      <c r="M83" s="2380">
        <f t="shared" si="20"/>
        <v>5.5518234315733447E-7</v>
      </c>
      <c r="N83" s="2379">
        <f t="shared" si="21"/>
        <v>2.8300158644000117E-6</v>
      </c>
      <c r="O83" s="2379"/>
      <c r="P83" s="2379"/>
      <c r="Q83" s="2379"/>
    </row>
    <row r="84" spans="2:17">
      <c r="B84" s="1995" t="s">
        <v>624</v>
      </c>
      <c r="C84" s="1993">
        <f>F821C!J84</f>
        <v>4.166666666666667</v>
      </c>
      <c r="D84" s="2378">
        <f>F821ENE!J84</f>
        <v>15243</v>
      </c>
      <c r="E84" s="1993">
        <f>F821EVE!J84</f>
        <v>33743</v>
      </c>
      <c r="F84" s="1993">
        <f>F821EVE!Q84</f>
        <v>8155.6830999999993</v>
      </c>
      <c r="G84" s="1993">
        <f>F821EVE!X84</f>
        <v>25587.316899999998</v>
      </c>
      <c r="H84" s="1993">
        <f>F821EVE!AE84</f>
        <v>0</v>
      </c>
      <c r="I84" s="1993">
        <f t="shared" si="22"/>
        <v>0</v>
      </c>
      <c r="J84" s="1993">
        <f>F821D!AH84</f>
        <v>0</v>
      </c>
      <c r="K84" s="1993">
        <f>F821D!AI84</f>
        <v>0</v>
      </c>
      <c r="L84" s="2379">
        <f t="shared" si="19"/>
        <v>7.7491314773440197E-6</v>
      </c>
      <c r="M84" s="2380">
        <f t="shared" si="20"/>
        <v>9.3716992876492237E-6</v>
      </c>
      <c r="N84" s="2379">
        <f t="shared" si="21"/>
        <v>2.0745866893862612E-5</v>
      </c>
      <c r="O84" s="2379"/>
      <c r="P84" s="2379"/>
      <c r="Q84" s="2379"/>
    </row>
    <row r="85" spans="2:17">
      <c r="B85" s="1995"/>
      <c r="C85" s="1993"/>
      <c r="D85" s="2378">
        <f>F821ENE!J85</f>
        <v>0</v>
      </c>
      <c r="E85" s="1993">
        <f>F821EVE!J85</f>
        <v>0</v>
      </c>
      <c r="F85" s="1993"/>
      <c r="G85" s="1993"/>
      <c r="H85" s="1993"/>
      <c r="I85" s="1993"/>
      <c r="J85" s="1993"/>
      <c r="K85" s="1993"/>
      <c r="L85" s="2379"/>
      <c r="M85" s="2380"/>
      <c r="N85" s="2379"/>
      <c r="O85" s="2379"/>
      <c r="P85" s="2379"/>
      <c r="Q85" s="2379"/>
    </row>
    <row r="86" spans="2:17" s="52" customFormat="1">
      <c r="B86" s="1996" t="s">
        <v>898</v>
      </c>
      <c r="C86" s="1646">
        <f>F821C!J86</f>
        <v>71751.666666666672</v>
      </c>
      <c r="D86" s="2375">
        <f>F821ENE!J86</f>
        <v>79966739</v>
      </c>
      <c r="E86" s="1646">
        <f>F821EVE!J86</f>
        <v>79966739</v>
      </c>
      <c r="F86" s="1646">
        <f>F821EVE!Q86</f>
        <v>19327960.816300001</v>
      </c>
      <c r="G86" s="1646">
        <f>F821EVE!X86</f>
        <v>60638778.183700003</v>
      </c>
      <c r="H86" s="1646">
        <f>F821EVE!AE86</f>
        <v>0</v>
      </c>
      <c r="I86" s="1646">
        <f>J86</f>
        <v>0</v>
      </c>
      <c r="J86" s="1646">
        <f>F821D!AH86</f>
        <v>0</v>
      </c>
      <c r="K86" s="1646">
        <f>F821D!AI86</f>
        <v>0</v>
      </c>
      <c r="L86" s="2383">
        <f t="shared" ref="L86:L105" si="23">C86/C$107</f>
        <v>0.13344314369245497</v>
      </c>
      <c r="M86" s="2385">
        <f t="shared" ref="M86:M105" si="24">D86/D$107</f>
        <v>4.916514012477409E-2</v>
      </c>
      <c r="N86" s="2384">
        <f t="shared" ref="N86:N105" si="25">E86/E$107</f>
        <v>4.916514012477409E-2</v>
      </c>
      <c r="O86" s="2383"/>
      <c r="P86" s="2383"/>
      <c r="Q86" s="2383"/>
    </row>
    <row r="87" spans="2:17">
      <c r="B87" s="1995" t="s">
        <v>304</v>
      </c>
      <c r="C87" s="1993">
        <f>F821C!J87</f>
        <v>69473.333333333328</v>
      </c>
      <c r="D87" s="2378">
        <f>F821ENE!J87</f>
        <v>75946207</v>
      </c>
      <c r="E87" s="1993">
        <f>F821EVE!J87</f>
        <v>75946207</v>
      </c>
      <c r="F87" s="1993">
        <f>F821EVE!Q87</f>
        <v>18356198.231900003</v>
      </c>
      <c r="G87" s="1993">
        <f>F821EVE!X87</f>
        <v>57590008.768100001</v>
      </c>
      <c r="H87" s="1993">
        <f>F821EVE!AE87</f>
        <v>0</v>
      </c>
      <c r="I87" s="1993">
        <f t="shared" ref="I87:I105" si="26">J87</f>
        <v>0</v>
      </c>
      <c r="J87" s="1993">
        <f>F821D!AH87</f>
        <v>0</v>
      </c>
      <c r="K87" s="1993">
        <f>F821D!AI87</f>
        <v>0</v>
      </c>
      <c r="L87" s="2379">
        <f t="shared" si="23"/>
        <v>0.12920591860064323</v>
      </c>
      <c r="M87" s="2380">
        <f t="shared" si="24"/>
        <v>4.6693237160766288E-2</v>
      </c>
      <c r="N87" s="2379">
        <f t="shared" si="25"/>
        <v>4.6693237160766288E-2</v>
      </c>
      <c r="O87" s="2379"/>
      <c r="P87" s="2379"/>
      <c r="Q87" s="2379"/>
    </row>
    <row r="88" spans="2:17">
      <c r="B88" s="1997" t="s">
        <v>306</v>
      </c>
      <c r="C88" s="1993">
        <f>F821C!J88</f>
        <v>2278.3333333333335</v>
      </c>
      <c r="D88" s="2378">
        <f>F821ENE!J88</f>
        <v>4020532</v>
      </c>
      <c r="E88" s="1993">
        <f>F821EVE!J88</f>
        <v>4020532</v>
      </c>
      <c r="F88" s="1993">
        <f>F821EVE!Q88</f>
        <v>971762.58440000005</v>
      </c>
      <c r="G88" s="1993">
        <f>F821EVE!X88</f>
        <v>3048769.4155999999</v>
      </c>
      <c r="H88" s="1993">
        <f>F821EVE!AE88</f>
        <v>0</v>
      </c>
      <c r="I88" s="1993">
        <f t="shared" si="26"/>
        <v>0</v>
      </c>
      <c r="J88" s="1993">
        <f>F821D!AH88</f>
        <v>0</v>
      </c>
      <c r="K88" s="1993">
        <f>F821D!AI88</f>
        <v>0</v>
      </c>
      <c r="L88" s="2379">
        <f t="shared" si="23"/>
        <v>4.23722509181171E-3</v>
      </c>
      <c r="M88" s="2380">
        <f t="shared" si="24"/>
        <v>2.4719029640078009E-3</v>
      </c>
      <c r="N88" s="2379">
        <f t="shared" si="25"/>
        <v>2.4719029640078009E-3</v>
      </c>
      <c r="O88" s="2379"/>
      <c r="P88" s="2379"/>
      <c r="Q88" s="2379"/>
    </row>
    <row r="89" spans="2:17">
      <c r="B89" s="1995" t="s">
        <v>305</v>
      </c>
      <c r="C89" s="1993">
        <f>F821C!J89</f>
        <v>0</v>
      </c>
      <c r="D89" s="2378">
        <f>F821ENE!J89</f>
        <v>0</v>
      </c>
      <c r="E89" s="1993">
        <f>F821EVE!J89</f>
        <v>0</v>
      </c>
      <c r="F89" s="1993">
        <f>F821EVE!Q89</f>
        <v>0</v>
      </c>
      <c r="G89" s="1993">
        <f>F821EVE!X89</f>
        <v>0</v>
      </c>
      <c r="H89" s="1993">
        <f>F821EVE!AE89</f>
        <v>0</v>
      </c>
      <c r="I89" s="1993">
        <f t="shared" si="26"/>
        <v>0</v>
      </c>
      <c r="J89" s="1993">
        <f>F821D!AH89</f>
        <v>0</v>
      </c>
      <c r="K89" s="1993">
        <f>F821D!AI89</f>
        <v>0</v>
      </c>
      <c r="L89" s="2379">
        <f t="shared" si="23"/>
        <v>0</v>
      </c>
      <c r="M89" s="2380">
        <f t="shared" si="24"/>
        <v>0</v>
      </c>
      <c r="N89" s="2379">
        <f t="shared" si="25"/>
        <v>0</v>
      </c>
      <c r="O89" s="2379"/>
      <c r="P89" s="2379"/>
      <c r="Q89" s="2379"/>
    </row>
    <row r="90" spans="2:17">
      <c r="B90" s="1995" t="s">
        <v>307</v>
      </c>
      <c r="C90" s="1993">
        <f>F821C!J90</f>
        <v>0</v>
      </c>
      <c r="D90" s="2378">
        <f>F821ENE!J90</f>
        <v>0</v>
      </c>
      <c r="E90" s="1993">
        <f>F821EVE!J90</f>
        <v>0</v>
      </c>
      <c r="F90" s="1993">
        <f>F821EVE!Q90</f>
        <v>0</v>
      </c>
      <c r="G90" s="1993">
        <f>F821EVE!X90</f>
        <v>0</v>
      </c>
      <c r="H90" s="1993">
        <f>F821EVE!AE90</f>
        <v>0</v>
      </c>
      <c r="I90" s="1993">
        <f t="shared" si="26"/>
        <v>0</v>
      </c>
      <c r="J90" s="1993">
        <f>F821D!AH90</f>
        <v>0</v>
      </c>
      <c r="K90" s="1993">
        <f>F821D!AI90</f>
        <v>0</v>
      </c>
      <c r="L90" s="2379">
        <f t="shared" si="23"/>
        <v>0</v>
      </c>
      <c r="M90" s="2380">
        <f t="shared" si="24"/>
        <v>0</v>
      </c>
      <c r="N90" s="2379">
        <f t="shared" si="25"/>
        <v>0</v>
      </c>
      <c r="O90" s="2379"/>
      <c r="P90" s="2379"/>
      <c r="Q90" s="2379"/>
    </row>
    <row r="91" spans="2:17">
      <c r="B91" s="1995" t="s">
        <v>624</v>
      </c>
      <c r="C91" s="1993">
        <f>F821C!J91</f>
        <v>0</v>
      </c>
      <c r="D91" s="2378">
        <f>F821ENE!J91</f>
        <v>0</v>
      </c>
      <c r="E91" s="1993">
        <f>F821EVE!J91</f>
        <v>0</v>
      </c>
      <c r="F91" s="1993">
        <f>F821EVE!Q91</f>
        <v>0</v>
      </c>
      <c r="G91" s="1993">
        <f>F821EVE!X91</f>
        <v>0</v>
      </c>
      <c r="H91" s="1993">
        <f>F821EVE!AE91</f>
        <v>0</v>
      </c>
      <c r="I91" s="1993">
        <f t="shared" si="26"/>
        <v>0</v>
      </c>
      <c r="J91" s="1993">
        <f>F821D!AH91</f>
        <v>0</v>
      </c>
      <c r="K91" s="1993">
        <f>F821D!AI91</f>
        <v>0</v>
      </c>
      <c r="L91" s="2379">
        <f t="shared" si="23"/>
        <v>0</v>
      </c>
      <c r="M91" s="2380">
        <f t="shared" si="24"/>
        <v>0</v>
      </c>
      <c r="N91" s="2379">
        <f t="shared" si="25"/>
        <v>0</v>
      </c>
      <c r="O91" s="2379"/>
      <c r="P91" s="2379"/>
      <c r="Q91" s="2379"/>
    </row>
    <row r="92" spans="2:17">
      <c r="B92" s="1996" t="s">
        <v>899</v>
      </c>
      <c r="C92" s="1646">
        <f>F821C!J92</f>
        <v>8806.5</v>
      </c>
      <c r="D92" s="2375">
        <f>F821ENE!J92</f>
        <v>6422855</v>
      </c>
      <c r="E92" s="1646">
        <f>F821EVE!J92</f>
        <v>6422855</v>
      </c>
      <c r="F92" s="1646">
        <f>F821EVE!Q92</f>
        <v>1552404.0535000002</v>
      </c>
      <c r="G92" s="1646">
        <f>F821EVE!X92</f>
        <v>4870450.9464999996</v>
      </c>
      <c r="H92" s="1646">
        <f>F821EVE!AE92</f>
        <v>0</v>
      </c>
      <c r="I92" s="1993">
        <f t="shared" si="26"/>
        <v>0</v>
      </c>
      <c r="J92" s="1993">
        <f>F821D!AH92</f>
        <v>0</v>
      </c>
      <c r="K92" s="1993">
        <f>F821D!AI92</f>
        <v>0</v>
      </c>
      <c r="L92" s="2383">
        <f t="shared" si="23"/>
        <v>1.6378254325255227E-2</v>
      </c>
      <c r="M92" s="2385">
        <f t="shared" si="24"/>
        <v>3.9488988800219288E-3</v>
      </c>
      <c r="N92" s="2384">
        <f t="shared" si="25"/>
        <v>3.9488988800219288E-3</v>
      </c>
      <c r="O92" s="2379"/>
      <c r="P92" s="2379"/>
      <c r="Q92" s="2379"/>
    </row>
    <row r="93" spans="2:17">
      <c r="B93" s="1995" t="s">
        <v>304</v>
      </c>
      <c r="C93" s="1993">
        <f>F821C!J93</f>
        <v>7997.833333333333</v>
      </c>
      <c r="D93" s="2378">
        <f>F821ENE!J93</f>
        <v>5677100</v>
      </c>
      <c r="E93" s="1993">
        <f>F821EVE!J93</f>
        <v>5677100</v>
      </c>
      <c r="F93" s="1993">
        <f>F821EVE!Q93</f>
        <v>1372155.07</v>
      </c>
      <c r="G93" s="1993">
        <f>F821EVE!X93</f>
        <v>4304944.93</v>
      </c>
      <c r="H93" s="1993">
        <f>F821EVE!AE93</f>
        <v>0</v>
      </c>
      <c r="I93" s="1993">
        <f t="shared" si="26"/>
        <v>0</v>
      </c>
      <c r="J93" s="1993">
        <f>F821D!AH93</f>
        <v>0</v>
      </c>
      <c r="K93" s="1993">
        <f>F821D!AI93</f>
        <v>0</v>
      </c>
      <c r="L93" s="2379">
        <f t="shared" si="23"/>
        <v>1.4874302888132299E-2</v>
      </c>
      <c r="M93" s="2380">
        <f t="shared" si="24"/>
        <v>3.4903938874180549E-3</v>
      </c>
      <c r="N93" s="2379">
        <f t="shared" si="25"/>
        <v>3.4903938874180549E-3</v>
      </c>
      <c r="O93" s="2379"/>
      <c r="P93" s="2379"/>
      <c r="Q93" s="2379"/>
    </row>
    <row r="94" spans="2:17">
      <c r="B94" s="1998" t="s">
        <v>642</v>
      </c>
      <c r="C94" s="1993">
        <f>F821C!J94</f>
        <v>808.66666666666663</v>
      </c>
      <c r="D94" s="2378">
        <f>F821ENE!J94</f>
        <v>692387</v>
      </c>
      <c r="E94" s="1993">
        <f>F821EVE!J94</f>
        <v>692387</v>
      </c>
      <c r="F94" s="1993">
        <f>F821EVE!Q94</f>
        <v>167349.93790000002</v>
      </c>
      <c r="G94" s="1993">
        <f>F821EVE!X94</f>
        <v>525037.06209999998</v>
      </c>
      <c r="H94" s="1993">
        <f>F821EVE!AE94</f>
        <v>0</v>
      </c>
      <c r="I94" s="1993">
        <f t="shared" si="26"/>
        <v>0</v>
      </c>
      <c r="J94" s="1993">
        <f>F821D!AH94</f>
        <v>0</v>
      </c>
      <c r="K94" s="1993">
        <f>F821D!AI94</f>
        <v>0</v>
      </c>
      <c r="L94" s="2379">
        <f t="shared" si="23"/>
        <v>1.5039514371229274E-3</v>
      </c>
      <c r="M94" s="2380">
        <f t="shared" si="24"/>
        <v>4.2569328574936584E-4</v>
      </c>
      <c r="N94" s="2379">
        <f t="shared" si="25"/>
        <v>4.2569328574936584E-4</v>
      </c>
      <c r="O94" s="2379"/>
      <c r="P94" s="2379"/>
      <c r="Q94" s="2379"/>
    </row>
    <row r="95" spans="2:17">
      <c r="B95" s="1998" t="s">
        <v>643</v>
      </c>
      <c r="C95" s="1993">
        <f>F821C!J95</f>
        <v>0</v>
      </c>
      <c r="D95" s="2378">
        <f>F821ENE!J95</f>
        <v>53368</v>
      </c>
      <c r="E95" s="1993">
        <f>F821EVE!J95</f>
        <v>53368</v>
      </c>
      <c r="F95" s="1993">
        <f>F821EVE!Q95</f>
        <v>12899.045599999999</v>
      </c>
      <c r="G95" s="1993">
        <f>F821EVE!X95</f>
        <v>40468.954400000002</v>
      </c>
      <c r="H95" s="1993">
        <f>F821EVE!AE95</f>
        <v>0</v>
      </c>
      <c r="I95" s="1993">
        <f t="shared" si="26"/>
        <v>0</v>
      </c>
      <c r="J95" s="1993">
        <f>F821D!AH95</f>
        <v>0</v>
      </c>
      <c r="K95" s="1993">
        <f>F821D!AI95</f>
        <v>0</v>
      </c>
      <c r="L95" s="2379">
        <f t="shared" si="23"/>
        <v>0</v>
      </c>
      <c r="M95" s="2380">
        <f t="shared" si="24"/>
        <v>3.281170685450789E-5</v>
      </c>
      <c r="N95" s="2379">
        <f t="shared" si="25"/>
        <v>3.281170685450789E-5</v>
      </c>
      <c r="O95" s="2379"/>
      <c r="P95" s="2379"/>
      <c r="Q95" s="2379"/>
    </row>
    <row r="96" spans="2:17">
      <c r="B96" s="1995" t="s">
        <v>305</v>
      </c>
      <c r="C96" s="1993">
        <f>F821C!J96</f>
        <v>0</v>
      </c>
      <c r="D96" s="2378">
        <f>F821ENE!J96</f>
        <v>0</v>
      </c>
      <c r="E96" s="1993">
        <f>F821EVE!J96</f>
        <v>0</v>
      </c>
      <c r="F96" s="1993">
        <f>F821EVE!Q96</f>
        <v>0</v>
      </c>
      <c r="G96" s="1993">
        <f>F821EVE!X96</f>
        <v>0</v>
      </c>
      <c r="H96" s="1993">
        <f>F821EVE!AE96</f>
        <v>0</v>
      </c>
      <c r="I96" s="1993">
        <f t="shared" si="26"/>
        <v>0</v>
      </c>
      <c r="J96" s="1993">
        <f>F821D!AH96</f>
        <v>0</v>
      </c>
      <c r="K96" s="1993">
        <f>F821D!AI96</f>
        <v>0</v>
      </c>
      <c r="L96" s="2379">
        <f t="shared" si="23"/>
        <v>0</v>
      </c>
      <c r="M96" s="2380">
        <f t="shared" si="24"/>
        <v>0</v>
      </c>
      <c r="N96" s="2379">
        <f t="shared" si="25"/>
        <v>0</v>
      </c>
      <c r="O96" s="2379"/>
      <c r="P96" s="2379"/>
      <c r="Q96" s="2379"/>
    </row>
    <row r="97" spans="2:17">
      <c r="B97" s="1995" t="s">
        <v>307</v>
      </c>
      <c r="C97" s="1993">
        <f>F821C!J97</f>
        <v>0</v>
      </c>
      <c r="D97" s="2378">
        <f>F821ENE!J97</f>
        <v>0</v>
      </c>
      <c r="E97" s="1993">
        <f>F821EVE!J97</f>
        <v>0</v>
      </c>
      <c r="F97" s="1993">
        <f>F821EVE!Q97</f>
        <v>0</v>
      </c>
      <c r="G97" s="1993">
        <f>F821EVE!X97</f>
        <v>0</v>
      </c>
      <c r="H97" s="1993">
        <f>F821EVE!AE97</f>
        <v>0</v>
      </c>
      <c r="I97" s="1993">
        <f t="shared" si="26"/>
        <v>0</v>
      </c>
      <c r="J97" s="1993">
        <f>F821D!AH97</f>
        <v>0</v>
      </c>
      <c r="K97" s="1993">
        <f>F821D!AI97</f>
        <v>0</v>
      </c>
      <c r="L97" s="2379">
        <f t="shared" si="23"/>
        <v>0</v>
      </c>
      <c r="M97" s="2380">
        <f t="shared" si="24"/>
        <v>0</v>
      </c>
      <c r="N97" s="2379">
        <f t="shared" si="25"/>
        <v>0</v>
      </c>
      <c r="O97" s="2379"/>
      <c r="P97" s="2379"/>
      <c r="Q97" s="2379"/>
    </row>
    <row r="98" spans="2:17">
      <c r="B98" s="1995" t="s">
        <v>624</v>
      </c>
      <c r="C98" s="1993">
        <f>F821C!J98</f>
        <v>0</v>
      </c>
      <c r="D98" s="2378">
        <f>F821ENE!J98</f>
        <v>0</v>
      </c>
      <c r="E98" s="1993">
        <f>F821EVE!J98</f>
        <v>0</v>
      </c>
      <c r="F98" s="1993">
        <f>F821EVE!Q98</f>
        <v>0</v>
      </c>
      <c r="G98" s="1993">
        <f>F821EVE!X98</f>
        <v>0</v>
      </c>
      <c r="H98" s="1993">
        <f>F821EVE!AE98</f>
        <v>0</v>
      </c>
      <c r="I98" s="1993">
        <f t="shared" si="26"/>
        <v>0</v>
      </c>
      <c r="J98" s="1993">
        <f>F821D!AH98</f>
        <v>0</v>
      </c>
      <c r="K98" s="1993">
        <f>F821D!AI98</f>
        <v>0</v>
      </c>
      <c r="L98" s="2379">
        <f t="shared" si="23"/>
        <v>0</v>
      </c>
      <c r="M98" s="2380">
        <f t="shared" si="24"/>
        <v>0</v>
      </c>
      <c r="N98" s="2379">
        <f t="shared" si="25"/>
        <v>0</v>
      </c>
      <c r="O98" s="2379"/>
      <c r="P98" s="2379"/>
      <c r="Q98" s="2379"/>
    </row>
    <row r="99" spans="2:17">
      <c r="B99" s="1996" t="s">
        <v>900</v>
      </c>
      <c r="C99" s="1646">
        <f>F821C!J99</f>
        <v>279.66666666666669</v>
      </c>
      <c r="D99" s="2375">
        <f>F821ENE!J99</f>
        <v>697695</v>
      </c>
      <c r="E99" s="1646">
        <f>F821EVE!J99</f>
        <v>697695</v>
      </c>
      <c r="F99" s="1646">
        <f>F821EVE!Q99</f>
        <v>168632.88150000002</v>
      </c>
      <c r="G99" s="1646">
        <f>F821EVE!X99</f>
        <v>529062.11849999998</v>
      </c>
      <c r="H99" s="1646">
        <f>F821EVE!AE99</f>
        <v>0</v>
      </c>
      <c r="I99" s="1993">
        <f t="shared" si="26"/>
        <v>0</v>
      </c>
      <c r="J99" s="1993">
        <f>F821D!AH99</f>
        <v>0</v>
      </c>
      <c r="K99" s="1993">
        <f>F821D!AI99</f>
        <v>0</v>
      </c>
      <c r="L99" s="2384">
        <f t="shared" si="23"/>
        <v>5.2012170475933066E-4</v>
      </c>
      <c r="M99" s="2385">
        <f t="shared" si="24"/>
        <v>4.2895674962254316E-4</v>
      </c>
      <c r="N99" s="2384">
        <f t="shared" si="25"/>
        <v>4.2895674962254316E-4</v>
      </c>
      <c r="O99" s="2379"/>
      <c r="P99" s="2379"/>
      <c r="Q99" s="2379"/>
    </row>
    <row r="100" spans="2:17">
      <c r="B100" s="1995" t="s">
        <v>304</v>
      </c>
      <c r="C100" s="1993">
        <f>F821C!J100</f>
        <v>255.83333333333334</v>
      </c>
      <c r="D100" s="2378">
        <f>F821ENE!J100</f>
        <v>671436</v>
      </c>
      <c r="E100" s="1993">
        <f>F821EVE!J100</f>
        <v>671436</v>
      </c>
      <c r="F100" s="1993">
        <f>F821EVE!Q100</f>
        <v>162286.08120000002</v>
      </c>
      <c r="G100" s="1993">
        <f>F821EVE!X100</f>
        <v>509149.91879999998</v>
      </c>
      <c r="H100" s="1993">
        <f>F821EVE!AE100</f>
        <v>0</v>
      </c>
      <c r="I100" s="1993">
        <f t="shared" si="26"/>
        <v>0</v>
      </c>
      <c r="J100" s="1993">
        <f>F821D!AH100</f>
        <v>0</v>
      </c>
      <c r="K100" s="1993">
        <f>F821D!AI100</f>
        <v>0</v>
      </c>
      <c r="L100" s="2379">
        <f t="shared" si="23"/>
        <v>4.7579667270892281E-4</v>
      </c>
      <c r="M100" s="2380">
        <f t="shared" si="24"/>
        <v>4.1281219464029686E-4</v>
      </c>
      <c r="N100" s="2379">
        <f t="shared" si="25"/>
        <v>4.1281219464029686E-4</v>
      </c>
      <c r="O100" s="2379"/>
      <c r="P100" s="2379"/>
      <c r="Q100" s="2379"/>
    </row>
    <row r="101" spans="2:17">
      <c r="B101" s="1998" t="s">
        <v>642</v>
      </c>
      <c r="C101" s="1993">
        <f>F821C!J101</f>
        <v>23.833333333333332</v>
      </c>
      <c r="D101" s="2378">
        <f>F821ENE!J101</f>
        <v>26259</v>
      </c>
      <c r="E101" s="1993">
        <f>F821EVE!J101</f>
        <v>26259</v>
      </c>
      <c r="F101" s="1993">
        <f>F821EVE!Q101</f>
        <v>6346.8002999999999</v>
      </c>
      <c r="G101" s="1993">
        <f>F821EVE!X101</f>
        <v>19912.199699999997</v>
      </c>
      <c r="H101" s="1993">
        <f>F821EVE!AE101</f>
        <v>0</v>
      </c>
      <c r="I101" s="1993">
        <f t="shared" si="26"/>
        <v>0</v>
      </c>
      <c r="J101" s="1993">
        <f>F821D!AH101</f>
        <v>0</v>
      </c>
      <c r="K101" s="1993">
        <f>F821D!AI101</f>
        <v>0</v>
      </c>
      <c r="L101" s="2379">
        <f t="shared" si="23"/>
        <v>4.4325032050407792E-5</v>
      </c>
      <c r="M101" s="2380">
        <f t="shared" si="24"/>
        <v>1.614455498224634E-5</v>
      </c>
      <c r="N101" s="2379">
        <f t="shared" si="25"/>
        <v>1.614455498224634E-5</v>
      </c>
      <c r="O101" s="2379"/>
      <c r="P101" s="2379"/>
      <c r="Q101" s="2379"/>
    </row>
    <row r="102" spans="2:17">
      <c r="B102" s="1998" t="s">
        <v>643</v>
      </c>
      <c r="C102" s="1993">
        <f>F821C!J102</f>
        <v>0</v>
      </c>
      <c r="D102" s="2378">
        <f>F821ENE!J102</f>
        <v>0</v>
      </c>
      <c r="E102" s="1993">
        <f>F821EVE!J102</f>
        <v>0</v>
      </c>
      <c r="F102" s="1993">
        <f>F821EVE!Q102</f>
        <v>0</v>
      </c>
      <c r="G102" s="1993">
        <f>F821EVE!X102</f>
        <v>0</v>
      </c>
      <c r="H102" s="1993">
        <f>F821EVE!AE102</f>
        <v>0</v>
      </c>
      <c r="I102" s="1993">
        <f t="shared" si="26"/>
        <v>0</v>
      </c>
      <c r="J102" s="1993">
        <f>F821D!AH102</f>
        <v>0</v>
      </c>
      <c r="K102" s="1993">
        <f>F821D!AI102</f>
        <v>0</v>
      </c>
      <c r="L102" s="2379">
        <f t="shared" si="23"/>
        <v>0</v>
      </c>
      <c r="M102" s="2380">
        <f t="shared" si="24"/>
        <v>0</v>
      </c>
      <c r="N102" s="2379">
        <f t="shared" si="25"/>
        <v>0</v>
      </c>
      <c r="O102" s="2379"/>
      <c r="P102" s="2379"/>
      <c r="Q102" s="2379"/>
    </row>
    <row r="103" spans="2:17">
      <c r="B103" s="1995" t="s">
        <v>305</v>
      </c>
      <c r="C103" s="1993">
        <f>F821C!J103</f>
        <v>0</v>
      </c>
      <c r="D103" s="2378">
        <f>F821ENE!J103</f>
        <v>0</v>
      </c>
      <c r="E103" s="1993">
        <f>F821EVE!J103</f>
        <v>0</v>
      </c>
      <c r="F103" s="1993">
        <f>F821EVE!Q103</f>
        <v>0</v>
      </c>
      <c r="G103" s="1993">
        <f>F821EVE!X103</f>
        <v>0</v>
      </c>
      <c r="H103" s="1993">
        <f>F821EVE!AE103</f>
        <v>0</v>
      </c>
      <c r="I103" s="1993">
        <f t="shared" si="26"/>
        <v>0</v>
      </c>
      <c r="J103" s="1993">
        <f>F821D!AH103</f>
        <v>0</v>
      </c>
      <c r="K103" s="1993">
        <f>F821D!AI103</f>
        <v>0</v>
      </c>
      <c r="L103" s="2379">
        <f t="shared" si="23"/>
        <v>0</v>
      </c>
      <c r="M103" s="2380">
        <f t="shared" si="24"/>
        <v>0</v>
      </c>
      <c r="N103" s="2379">
        <f t="shared" si="25"/>
        <v>0</v>
      </c>
      <c r="O103" s="2379"/>
      <c r="P103" s="2379"/>
      <c r="Q103" s="2379"/>
    </row>
    <row r="104" spans="2:17">
      <c r="B104" s="1995" t="s">
        <v>307</v>
      </c>
      <c r="C104" s="1993">
        <f>F821C!J104</f>
        <v>0</v>
      </c>
      <c r="D104" s="2378">
        <f>F821ENE!J104</f>
        <v>0</v>
      </c>
      <c r="E104" s="1993">
        <f>F821EVE!J104</f>
        <v>0</v>
      </c>
      <c r="F104" s="1993">
        <f>F821EVE!Q104</f>
        <v>0</v>
      </c>
      <c r="G104" s="1993">
        <f>F821EVE!X104</f>
        <v>0</v>
      </c>
      <c r="H104" s="1993">
        <f>F821EVE!AE104</f>
        <v>0</v>
      </c>
      <c r="I104" s="1993">
        <f t="shared" si="26"/>
        <v>0</v>
      </c>
      <c r="J104" s="1993">
        <f>F821D!AH104</f>
        <v>0</v>
      </c>
      <c r="K104" s="1993">
        <f>F821D!AI104</f>
        <v>0</v>
      </c>
      <c r="L104" s="2379">
        <f t="shared" si="23"/>
        <v>0</v>
      </c>
      <c r="M104" s="2380">
        <f t="shared" si="24"/>
        <v>0</v>
      </c>
      <c r="N104" s="2379">
        <f t="shared" si="25"/>
        <v>0</v>
      </c>
      <c r="O104" s="2379"/>
      <c r="P104" s="2379"/>
      <c r="Q104" s="2379"/>
    </row>
    <row r="105" spans="2:17">
      <c r="B105" s="1995" t="s">
        <v>624</v>
      </c>
      <c r="C105" s="1993">
        <f>F821C!J105</f>
        <v>0</v>
      </c>
      <c r="D105" s="2378">
        <f>F821ENE!J105</f>
        <v>0</v>
      </c>
      <c r="E105" s="1993">
        <f>F821EVE!J105</f>
        <v>0</v>
      </c>
      <c r="F105" s="1993">
        <f>F821EVE!Q105</f>
        <v>0</v>
      </c>
      <c r="G105" s="1993">
        <f>F821EVE!X105</f>
        <v>0</v>
      </c>
      <c r="H105" s="1993">
        <f>F821EVE!AE105</f>
        <v>0</v>
      </c>
      <c r="I105" s="1993">
        <f t="shared" si="26"/>
        <v>0</v>
      </c>
      <c r="J105" s="1993">
        <f>F821D!AH105</f>
        <v>0</v>
      </c>
      <c r="K105" s="1993">
        <f>F821D!AI105</f>
        <v>0</v>
      </c>
      <c r="L105" s="2379">
        <f t="shared" si="23"/>
        <v>0</v>
      </c>
      <c r="M105" s="2380">
        <f t="shared" si="24"/>
        <v>0</v>
      </c>
      <c r="N105" s="2379">
        <f t="shared" si="25"/>
        <v>0</v>
      </c>
      <c r="O105" s="2379"/>
      <c r="P105" s="2379"/>
      <c r="Q105" s="2379"/>
    </row>
    <row r="106" spans="2:17">
      <c r="B106" s="1995"/>
      <c r="C106" s="1993"/>
      <c r="D106" s="2378"/>
      <c r="E106" s="1993"/>
      <c r="F106" s="1993"/>
      <c r="G106" s="1993"/>
      <c r="H106" s="1993"/>
      <c r="I106" s="1993"/>
      <c r="J106" s="1993"/>
      <c r="K106" s="1993"/>
      <c r="L106" s="2379"/>
      <c r="M106" s="2380"/>
      <c r="N106" s="2379"/>
      <c r="O106" s="2379"/>
      <c r="P106" s="2379"/>
      <c r="Q106" s="2379"/>
    </row>
    <row r="107" spans="2:17" s="525" customFormat="1">
      <c r="B107" s="2373" t="s">
        <v>111</v>
      </c>
      <c r="C107" s="2374">
        <f t="shared" ref="C107:K107" si="27">C5+C9+C20</f>
        <v>537694.66666666663</v>
      </c>
      <c r="D107" s="2375">
        <f t="shared" ref="D107" si="28">D5+D9+D20</f>
        <v>1626492649</v>
      </c>
      <c r="E107" s="2374">
        <f t="shared" si="27"/>
        <v>1626492649</v>
      </c>
      <c r="F107" s="2374">
        <f t="shared" si="27"/>
        <v>465828202.36169994</v>
      </c>
      <c r="G107" s="2374">
        <f t="shared" si="27"/>
        <v>1160664446.6383002</v>
      </c>
      <c r="H107" s="2374">
        <f>H5+H9+H20</f>
        <v>0</v>
      </c>
      <c r="I107" s="2374">
        <f t="shared" si="27"/>
        <v>357679</v>
      </c>
      <c r="J107" s="2374">
        <f t="shared" si="27"/>
        <v>357679</v>
      </c>
      <c r="K107" s="2374">
        <f t="shared" si="27"/>
        <v>43430.666666666672</v>
      </c>
      <c r="L107" s="2376">
        <f>C107/C$107</f>
        <v>1</v>
      </c>
      <c r="M107" s="2377">
        <f>D107/D$107</f>
        <v>1</v>
      </c>
      <c r="N107" s="2376">
        <f>E107/E$107</f>
        <v>1</v>
      </c>
      <c r="O107" s="2376">
        <f>(E107-E65-E71-E78-E86-E92-E99)/(I107*24*30.4*$Q$2)</f>
        <v>0.43202211743969721</v>
      </c>
      <c r="P107" s="2376">
        <f>(F107-F65-F71-F78-F86-F92-F99)/(J107*24*30.4*$Q$2)</f>
        <v>0.15085355759330654</v>
      </c>
      <c r="Q107" s="2376"/>
    </row>
    <row r="108" spans="2:17">
      <c r="M108" s="526"/>
    </row>
    <row r="109" spans="2:17">
      <c r="M109" s="526"/>
    </row>
    <row r="110" spans="2:17" ht="18.75">
      <c r="B110" s="59" t="str">
        <f>'PORTADA PORTADA PORTADA'!$B$23</f>
        <v>1 DE JULIO DE 2026</v>
      </c>
      <c r="M110" s="526"/>
    </row>
    <row r="111" spans="2:17">
      <c r="M111" s="526"/>
    </row>
    <row r="112" spans="2:17">
      <c r="M112" s="526"/>
    </row>
    <row r="113" spans="13:13">
      <c r="M113" s="526"/>
    </row>
    <row r="114" spans="13:13">
      <c r="M114" s="526"/>
    </row>
    <row r="115" spans="13:13">
      <c r="M115" s="526"/>
    </row>
    <row r="116" spans="13:13">
      <c r="M116" s="526"/>
    </row>
    <row r="117" spans="13:13">
      <c r="M117" s="526"/>
    </row>
    <row r="118" spans="13:13">
      <c r="M118" s="526"/>
    </row>
    <row r="119" spans="13:13">
      <c r="M119" s="526"/>
    </row>
    <row r="120" spans="13:13">
      <c r="M120" s="526"/>
    </row>
    <row r="121" spans="13:13">
      <c r="M121" s="526"/>
    </row>
    <row r="122" spans="13:13">
      <c r="M122" s="526"/>
    </row>
    <row r="123" spans="13:13">
      <c r="M123" s="526"/>
    </row>
    <row r="124" spans="13:13">
      <c r="M124" s="526"/>
    </row>
    <row r="125" spans="13:13">
      <c r="M125" s="526"/>
    </row>
    <row r="126" spans="13:13">
      <c r="M126" s="526"/>
    </row>
    <row r="127" spans="13:13">
      <c r="M127" s="526"/>
    </row>
    <row r="128" spans="13:13">
      <c r="M128" s="526"/>
    </row>
    <row r="129" spans="13:13">
      <c r="M129" s="526"/>
    </row>
    <row r="130" spans="13:13">
      <c r="M130" s="526"/>
    </row>
    <row r="131" spans="13:13">
      <c r="M131" s="526"/>
    </row>
    <row r="132" spans="13:13">
      <c r="M132" s="526"/>
    </row>
  </sheetData>
  <phoneticPr fontId="0" type="noConversion"/>
  <printOptions horizontalCentered="1" verticalCentered="1"/>
  <pageMargins left="0.19685039370078741" right="0.19685039370078741" top="0.19685039370078741" bottom="0.19685039370078741" header="0.39370078740157483" footer="0.19685039370078741"/>
  <pageSetup scale="43" orientation="portrait" r:id="rId1"/>
  <headerFooter>
    <oddHeader>&amp;L&amp;"Times New Roman,Negrita"&amp;14Nombre de la Distribuidora: &amp;K06-048ENSA&amp;RASEP FORM: &amp;A</oddHeader>
    <oddFooter>&amp;R&amp;A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Hoja82">
    <tabColor theme="5" tint="0.59999389629810485"/>
    <pageSetUpPr fitToPage="1"/>
  </sheetPr>
  <dimension ref="A1:Q205"/>
  <sheetViews>
    <sheetView view="pageBreakPreview" topLeftCell="A39" zoomScale="70" zoomScaleNormal="100" zoomScaleSheetLayoutView="70" workbookViewId="0">
      <selection activeCell="C59" sqref="C59"/>
    </sheetView>
  </sheetViews>
  <sheetFormatPr baseColWidth="10" defaultColWidth="11" defaultRowHeight="13.5"/>
  <cols>
    <col min="1" max="1" width="3.75" style="37" customWidth="1"/>
    <col min="2" max="2" width="6.125" style="37" bestFit="1" customWidth="1"/>
    <col min="3" max="3" width="34.5" style="37" customWidth="1"/>
    <col min="4" max="10" width="9" style="37" customWidth="1"/>
    <col min="11" max="16" width="11" style="37"/>
    <col min="17" max="17" width="3.625" style="37" customWidth="1"/>
    <col min="18" max="16384" width="11" style="37"/>
  </cols>
  <sheetData>
    <row r="1" spans="2:17" s="38" customFormat="1"/>
    <row r="2" spans="2:17" s="38" customFormat="1" ht="13.5" customHeight="1">
      <c r="C2" s="246" t="s">
        <v>686</v>
      </c>
    </row>
    <row r="3" spans="2:17" ht="15.75">
      <c r="C3" s="1030" t="s">
        <v>641</v>
      </c>
      <c r="D3" s="1031"/>
      <c r="E3" s="1031"/>
      <c r="F3" s="1031"/>
      <c r="G3" s="1031"/>
      <c r="H3" s="1031"/>
      <c r="I3" s="1031"/>
      <c r="J3" s="1031"/>
    </row>
    <row r="4" spans="2:17" ht="15">
      <c r="C4" s="150" t="s">
        <v>310</v>
      </c>
      <c r="D4" s="1016">
        <v>45839</v>
      </c>
      <c r="E4" s="1016">
        <v>45870</v>
      </c>
      <c r="F4" s="1016">
        <v>45901</v>
      </c>
      <c r="G4" s="1016">
        <v>45931</v>
      </c>
      <c r="H4" s="1016">
        <v>45962</v>
      </c>
      <c r="I4" s="1016">
        <v>45992</v>
      </c>
      <c r="J4" s="966" t="s">
        <v>154</v>
      </c>
    </row>
    <row r="5" spans="2:17">
      <c r="C5" s="880" t="s">
        <v>446</v>
      </c>
      <c r="D5" s="881">
        <v>3</v>
      </c>
      <c r="E5" s="881">
        <v>3</v>
      </c>
      <c r="F5" s="881">
        <v>3</v>
      </c>
      <c r="G5" s="881">
        <v>3</v>
      </c>
      <c r="H5" s="881">
        <v>3</v>
      </c>
      <c r="I5" s="881">
        <v>3</v>
      </c>
      <c r="J5" s="180">
        <f>AVERAGE(D5:I5)</f>
        <v>3</v>
      </c>
    </row>
    <row r="6" spans="2:17">
      <c r="B6" s="48" t="s">
        <v>279</v>
      </c>
      <c r="C6" s="882" t="s">
        <v>279</v>
      </c>
      <c r="D6" s="883">
        <v>3</v>
      </c>
      <c r="E6" s="883">
        <v>3</v>
      </c>
      <c r="F6" s="883">
        <v>3</v>
      </c>
      <c r="G6" s="883">
        <v>3</v>
      </c>
      <c r="H6" s="883">
        <v>3</v>
      </c>
      <c r="I6" s="883">
        <v>3</v>
      </c>
      <c r="J6" s="180">
        <f t="shared" ref="J6:J69" si="0">AVERAGE(D6:I6)</f>
        <v>3</v>
      </c>
    </row>
    <row r="7" spans="2:17">
      <c r="B7" s="48" t="s">
        <v>278</v>
      </c>
      <c r="C7" s="882" t="s">
        <v>278</v>
      </c>
      <c r="D7" s="883">
        <v>0</v>
      </c>
      <c r="E7" s="883">
        <v>0</v>
      </c>
      <c r="F7" s="883">
        <v>0</v>
      </c>
      <c r="G7" s="883">
        <v>0</v>
      </c>
      <c r="H7" s="883">
        <v>0</v>
      </c>
      <c r="I7" s="883">
        <v>0</v>
      </c>
      <c r="J7" s="180">
        <f t="shared" si="0"/>
        <v>0</v>
      </c>
    </row>
    <row r="8" spans="2:17">
      <c r="B8" s="48"/>
      <c r="C8" s="884"/>
      <c r="D8" s="883"/>
      <c r="E8" s="883"/>
      <c r="F8" s="883"/>
      <c r="G8" s="883"/>
      <c r="H8" s="883"/>
      <c r="I8" s="883"/>
      <c r="J8" s="180"/>
    </row>
    <row r="9" spans="2:17">
      <c r="B9" s="48"/>
      <c r="C9" s="880" t="s">
        <v>630</v>
      </c>
      <c r="D9" s="881">
        <v>425</v>
      </c>
      <c r="E9" s="881">
        <v>431</v>
      </c>
      <c r="F9" s="881">
        <v>435</v>
      </c>
      <c r="G9" s="881">
        <v>438</v>
      </c>
      <c r="H9" s="881">
        <v>432</v>
      </c>
      <c r="I9" s="881">
        <v>429</v>
      </c>
      <c r="J9" s="180">
        <f t="shared" si="0"/>
        <v>431.66666666666669</v>
      </c>
    </row>
    <row r="10" spans="2:17">
      <c r="B10" s="48" t="s">
        <v>277</v>
      </c>
      <c r="C10" s="882" t="s">
        <v>277</v>
      </c>
      <c r="D10" s="881">
        <v>26</v>
      </c>
      <c r="E10" s="881">
        <v>26</v>
      </c>
      <c r="F10" s="881">
        <v>26</v>
      </c>
      <c r="G10" s="881">
        <v>26</v>
      </c>
      <c r="H10" s="881">
        <v>26</v>
      </c>
      <c r="I10" s="881">
        <v>23</v>
      </c>
      <c r="J10" s="180">
        <f t="shared" si="0"/>
        <v>25.5</v>
      </c>
    </row>
    <row r="11" spans="2:17">
      <c r="B11" s="48"/>
      <c r="C11" s="887" t="s">
        <v>304</v>
      </c>
      <c r="D11" s="883">
        <v>25</v>
      </c>
      <c r="E11" s="883">
        <v>25</v>
      </c>
      <c r="F11" s="883">
        <v>25</v>
      </c>
      <c r="G11" s="883">
        <v>25</v>
      </c>
      <c r="H11" s="883">
        <v>25</v>
      </c>
      <c r="I11" s="883">
        <v>23</v>
      </c>
      <c r="J11" s="180">
        <f t="shared" si="0"/>
        <v>24.666666666666668</v>
      </c>
    </row>
    <row r="12" spans="2:17">
      <c r="B12" s="48"/>
      <c r="C12" s="887" t="s">
        <v>305</v>
      </c>
      <c r="D12" s="883">
        <v>1</v>
      </c>
      <c r="E12" s="883">
        <v>1</v>
      </c>
      <c r="F12" s="883">
        <v>1</v>
      </c>
      <c r="G12" s="883">
        <v>1</v>
      </c>
      <c r="H12" s="883">
        <v>1</v>
      </c>
      <c r="I12" s="883">
        <v>0</v>
      </c>
      <c r="J12" s="180">
        <f t="shared" si="0"/>
        <v>0.83333333333333337</v>
      </c>
    </row>
    <row r="13" spans="2:17">
      <c r="B13" s="48"/>
      <c r="C13" s="887"/>
      <c r="D13" s="883"/>
      <c r="E13" s="883"/>
      <c r="F13" s="883"/>
      <c r="G13" s="883"/>
      <c r="H13" s="883"/>
      <c r="I13" s="883"/>
      <c r="J13" s="180"/>
    </row>
    <row r="14" spans="2:17">
      <c r="B14" s="48" t="s">
        <v>276</v>
      </c>
      <c r="C14" s="885" t="s">
        <v>276</v>
      </c>
      <c r="D14" s="881">
        <v>399</v>
      </c>
      <c r="E14" s="881">
        <v>405</v>
      </c>
      <c r="F14" s="881">
        <v>409</v>
      </c>
      <c r="G14" s="881">
        <v>412</v>
      </c>
      <c r="H14" s="881">
        <v>406</v>
      </c>
      <c r="I14" s="881">
        <v>406</v>
      </c>
      <c r="J14" s="180">
        <f t="shared" si="0"/>
        <v>406.16666666666669</v>
      </c>
      <c r="Q14" s="975"/>
    </row>
    <row r="15" spans="2:17">
      <c r="B15" s="48"/>
      <c r="C15" s="887" t="s">
        <v>304</v>
      </c>
      <c r="D15" s="883">
        <v>394</v>
      </c>
      <c r="E15" s="883">
        <v>399</v>
      </c>
      <c r="F15" s="883">
        <v>403</v>
      </c>
      <c r="G15" s="883">
        <v>408</v>
      </c>
      <c r="H15" s="883">
        <v>399</v>
      </c>
      <c r="I15" s="883">
        <v>398</v>
      </c>
      <c r="J15" s="180">
        <f t="shared" si="0"/>
        <v>400.16666666666669</v>
      </c>
    </row>
    <row r="16" spans="2:17">
      <c r="B16" s="48"/>
      <c r="C16" s="888" t="s">
        <v>306</v>
      </c>
      <c r="D16" s="883">
        <v>0</v>
      </c>
      <c r="E16" s="883">
        <v>0</v>
      </c>
      <c r="F16" s="883">
        <v>0</v>
      </c>
      <c r="G16" s="883">
        <v>0</v>
      </c>
      <c r="H16" s="883">
        <v>0</v>
      </c>
      <c r="I16" s="883">
        <v>0</v>
      </c>
      <c r="J16" s="180">
        <f t="shared" si="0"/>
        <v>0</v>
      </c>
    </row>
    <row r="17" spans="2:10">
      <c r="B17" s="48"/>
      <c r="C17" s="887" t="s">
        <v>305</v>
      </c>
      <c r="D17" s="883">
        <v>5</v>
      </c>
      <c r="E17" s="883">
        <v>6</v>
      </c>
      <c r="F17" s="883">
        <v>6</v>
      </c>
      <c r="G17" s="883">
        <v>4</v>
      </c>
      <c r="H17" s="883">
        <v>7</v>
      </c>
      <c r="I17" s="883">
        <v>8</v>
      </c>
      <c r="J17" s="180">
        <f t="shared" si="0"/>
        <v>6</v>
      </c>
    </row>
    <row r="18" spans="2:10">
      <c r="B18" s="48"/>
      <c r="C18" s="887" t="s">
        <v>307</v>
      </c>
      <c r="D18" s="883">
        <v>0</v>
      </c>
      <c r="E18" s="883">
        <v>0</v>
      </c>
      <c r="F18" s="883">
        <v>0</v>
      </c>
      <c r="G18" s="883">
        <v>0</v>
      </c>
      <c r="H18" s="883">
        <v>0</v>
      </c>
      <c r="I18" s="883">
        <v>0</v>
      </c>
      <c r="J18" s="180">
        <f t="shared" si="0"/>
        <v>0</v>
      </c>
    </row>
    <row r="19" spans="2:10">
      <c r="B19" s="48"/>
      <c r="C19" s="884"/>
      <c r="D19" s="883"/>
      <c r="E19" s="883"/>
      <c r="F19" s="883"/>
      <c r="G19" s="883"/>
      <c r="H19" s="883"/>
      <c r="I19" s="883"/>
      <c r="J19" s="180"/>
    </row>
    <row r="20" spans="2:10">
      <c r="B20" s="48"/>
      <c r="C20" s="880" t="s">
        <v>443</v>
      </c>
      <c r="D20" s="881">
        <v>536616</v>
      </c>
      <c r="E20" s="881">
        <v>537626</v>
      </c>
      <c r="F20" s="881">
        <v>537426</v>
      </c>
      <c r="G20" s="881">
        <v>537688</v>
      </c>
      <c r="H20" s="881">
        <v>536216</v>
      </c>
      <c r="I20" s="881">
        <v>537988</v>
      </c>
      <c r="J20" s="180">
        <f t="shared" si="0"/>
        <v>537260</v>
      </c>
    </row>
    <row r="21" spans="2:10">
      <c r="B21" s="48" t="s">
        <v>275</v>
      </c>
      <c r="C21" s="882" t="s">
        <v>275</v>
      </c>
      <c r="D21" s="881">
        <v>93</v>
      </c>
      <c r="E21" s="881">
        <v>92</v>
      </c>
      <c r="F21" s="881">
        <v>90</v>
      </c>
      <c r="G21" s="881">
        <v>91</v>
      </c>
      <c r="H21" s="881">
        <v>87</v>
      </c>
      <c r="I21" s="881">
        <v>88</v>
      </c>
      <c r="J21" s="180">
        <f t="shared" si="0"/>
        <v>90.166666666666671</v>
      </c>
    </row>
    <row r="22" spans="2:10">
      <c r="B22" s="48"/>
      <c r="C22" s="887" t="s">
        <v>304</v>
      </c>
      <c r="D22" s="883">
        <v>86</v>
      </c>
      <c r="E22" s="883">
        <v>86</v>
      </c>
      <c r="F22" s="883">
        <v>84</v>
      </c>
      <c r="G22" s="883">
        <v>85</v>
      </c>
      <c r="H22" s="883">
        <v>82</v>
      </c>
      <c r="I22" s="883">
        <v>82</v>
      </c>
      <c r="J22" s="180">
        <f t="shared" si="0"/>
        <v>84.166666666666671</v>
      </c>
    </row>
    <row r="23" spans="2:10">
      <c r="B23" s="48"/>
      <c r="C23" s="888" t="s">
        <v>306</v>
      </c>
      <c r="D23" s="883">
        <v>6</v>
      </c>
      <c r="E23" s="883">
        <v>5</v>
      </c>
      <c r="F23" s="883">
        <v>5</v>
      </c>
      <c r="G23" s="883">
        <v>5</v>
      </c>
      <c r="H23" s="883">
        <v>4</v>
      </c>
      <c r="I23" s="883">
        <v>5</v>
      </c>
      <c r="J23" s="180">
        <f t="shared" si="0"/>
        <v>5</v>
      </c>
    </row>
    <row r="24" spans="2:10">
      <c r="B24" s="48"/>
      <c r="C24" s="887" t="s">
        <v>305</v>
      </c>
      <c r="D24" s="883">
        <v>1</v>
      </c>
      <c r="E24" s="883">
        <v>1</v>
      </c>
      <c r="F24" s="883">
        <v>1</v>
      </c>
      <c r="G24" s="883">
        <v>1</v>
      </c>
      <c r="H24" s="883">
        <v>1</v>
      </c>
      <c r="I24" s="883">
        <v>1</v>
      </c>
      <c r="J24" s="180">
        <f t="shared" si="0"/>
        <v>1</v>
      </c>
    </row>
    <row r="25" spans="2:10">
      <c r="B25" s="48"/>
      <c r="C25" s="887"/>
      <c r="D25" s="883"/>
      <c r="E25" s="883"/>
      <c r="F25" s="883"/>
      <c r="G25" s="883"/>
      <c r="H25" s="883"/>
      <c r="I25" s="883"/>
      <c r="J25" s="180"/>
    </row>
    <row r="26" spans="2:10">
      <c r="B26" s="48"/>
      <c r="C26" s="885" t="s">
        <v>1736</v>
      </c>
      <c r="D26" s="881">
        <v>5370</v>
      </c>
      <c r="E26" s="881">
        <v>5366</v>
      </c>
      <c r="F26" s="881">
        <v>5369</v>
      </c>
      <c r="G26" s="881">
        <v>5426</v>
      </c>
      <c r="H26" s="881">
        <v>5439</v>
      </c>
      <c r="I26" s="881">
        <v>5456</v>
      </c>
      <c r="J26" s="180">
        <f t="shared" si="0"/>
        <v>5404.333333333333</v>
      </c>
    </row>
    <row r="27" spans="2:10">
      <c r="B27" s="48" t="s">
        <v>274</v>
      </c>
      <c r="C27" s="885" t="s">
        <v>627</v>
      </c>
      <c r="D27" s="881">
        <v>3659</v>
      </c>
      <c r="E27" s="881">
        <v>3648</v>
      </c>
      <c r="F27" s="881">
        <v>3703</v>
      </c>
      <c r="G27" s="881">
        <v>3718</v>
      </c>
      <c r="H27" s="881">
        <v>3830</v>
      </c>
      <c r="I27" s="881">
        <v>3884</v>
      </c>
      <c r="J27" s="180">
        <f t="shared" si="0"/>
        <v>3740.3333333333335</v>
      </c>
    </row>
    <row r="28" spans="2:10">
      <c r="B28" s="48"/>
      <c r="C28" s="887" t="s">
        <v>304</v>
      </c>
      <c r="D28" s="883">
        <v>3646</v>
      </c>
      <c r="E28" s="883">
        <v>3636</v>
      </c>
      <c r="F28" s="883">
        <v>3690</v>
      </c>
      <c r="G28" s="883">
        <v>3706</v>
      </c>
      <c r="H28" s="883">
        <v>3818</v>
      </c>
      <c r="I28" s="883">
        <v>3872</v>
      </c>
      <c r="J28" s="180">
        <f t="shared" si="0"/>
        <v>3728</v>
      </c>
    </row>
    <row r="29" spans="2:10">
      <c r="B29" s="48"/>
      <c r="C29" s="888" t="s">
        <v>628</v>
      </c>
      <c r="D29" s="883">
        <v>6</v>
      </c>
      <c r="E29" s="883">
        <v>6</v>
      </c>
      <c r="F29" s="883">
        <v>7</v>
      </c>
      <c r="G29" s="883">
        <v>7</v>
      </c>
      <c r="H29" s="883">
        <v>7</v>
      </c>
      <c r="I29" s="883">
        <v>6</v>
      </c>
      <c r="J29" s="180">
        <f t="shared" si="0"/>
        <v>6.5</v>
      </c>
    </row>
    <row r="30" spans="2:10">
      <c r="B30" s="48"/>
      <c r="C30" s="888" t="s">
        <v>629</v>
      </c>
      <c r="D30" s="883"/>
      <c r="E30" s="883"/>
      <c r="F30" s="883"/>
      <c r="G30" s="883"/>
      <c r="H30" s="883"/>
      <c r="I30" s="883"/>
      <c r="J30" s="180"/>
    </row>
    <row r="31" spans="2:10">
      <c r="B31" s="48"/>
      <c r="C31" s="887" t="s">
        <v>305</v>
      </c>
      <c r="D31" s="883">
        <v>5</v>
      </c>
      <c r="E31" s="883">
        <v>4</v>
      </c>
      <c r="F31" s="883">
        <v>4</v>
      </c>
      <c r="G31" s="883">
        <v>3</v>
      </c>
      <c r="H31" s="883">
        <v>3</v>
      </c>
      <c r="I31" s="883">
        <v>4</v>
      </c>
      <c r="J31" s="180">
        <f t="shared" si="0"/>
        <v>3.8333333333333335</v>
      </c>
    </row>
    <row r="32" spans="2:10">
      <c r="B32" s="48"/>
      <c r="C32" s="887" t="s">
        <v>307</v>
      </c>
      <c r="D32" s="883">
        <v>1</v>
      </c>
      <c r="E32" s="883">
        <v>1</v>
      </c>
      <c r="F32" s="883">
        <v>1</v>
      </c>
      <c r="G32" s="883">
        <v>1</v>
      </c>
      <c r="H32" s="883">
        <v>1</v>
      </c>
      <c r="I32" s="883">
        <v>1</v>
      </c>
      <c r="J32" s="180">
        <f t="shared" si="0"/>
        <v>1</v>
      </c>
    </row>
    <row r="33" spans="2:10">
      <c r="B33" s="48"/>
      <c r="C33" s="887" t="s">
        <v>624</v>
      </c>
      <c r="D33" s="883">
        <v>1</v>
      </c>
      <c r="E33" s="883">
        <v>1</v>
      </c>
      <c r="F33" s="883">
        <v>1</v>
      </c>
      <c r="G33" s="883">
        <v>1</v>
      </c>
      <c r="H33" s="883">
        <v>1</v>
      </c>
      <c r="I33" s="883">
        <v>1</v>
      </c>
      <c r="J33" s="180">
        <f t="shared" si="0"/>
        <v>1</v>
      </c>
    </row>
    <row r="34" spans="2:10">
      <c r="B34" s="48" t="s">
        <v>274</v>
      </c>
      <c r="C34" s="885" t="s">
        <v>631</v>
      </c>
      <c r="D34" s="881">
        <v>1313</v>
      </c>
      <c r="E34" s="881">
        <v>1337</v>
      </c>
      <c r="F34" s="881">
        <v>1308</v>
      </c>
      <c r="G34" s="881">
        <v>1327</v>
      </c>
      <c r="H34" s="881">
        <v>1265</v>
      </c>
      <c r="I34" s="881">
        <v>1236</v>
      </c>
      <c r="J34" s="180">
        <f t="shared" si="0"/>
        <v>1297.6666666666667</v>
      </c>
    </row>
    <row r="35" spans="2:10">
      <c r="B35" s="48"/>
      <c r="C35" s="887" t="s">
        <v>304</v>
      </c>
      <c r="D35" s="883">
        <v>1311</v>
      </c>
      <c r="E35" s="883">
        <v>1335</v>
      </c>
      <c r="F35" s="883">
        <v>1305</v>
      </c>
      <c r="G35" s="883">
        <v>1324</v>
      </c>
      <c r="H35" s="883">
        <v>1263</v>
      </c>
      <c r="I35" s="883">
        <v>1233</v>
      </c>
      <c r="J35" s="180">
        <f t="shared" si="0"/>
        <v>1295.1666666666667</v>
      </c>
    </row>
    <row r="36" spans="2:10">
      <c r="B36" s="48"/>
      <c r="C36" s="888" t="s">
        <v>306</v>
      </c>
      <c r="D36" s="883">
        <v>0</v>
      </c>
      <c r="E36" s="883">
        <v>0</v>
      </c>
      <c r="F36" s="883">
        <v>0</v>
      </c>
      <c r="G36" s="883">
        <v>0</v>
      </c>
      <c r="H36" s="883">
        <v>0</v>
      </c>
      <c r="I36" s="883">
        <v>0</v>
      </c>
      <c r="J36" s="180">
        <f t="shared" si="0"/>
        <v>0</v>
      </c>
    </row>
    <row r="37" spans="2:10">
      <c r="B37" s="48"/>
      <c r="C37" s="887" t="s">
        <v>305</v>
      </c>
      <c r="D37" s="883">
        <v>2</v>
      </c>
      <c r="E37" s="883">
        <v>2</v>
      </c>
      <c r="F37" s="883">
        <v>3</v>
      </c>
      <c r="G37" s="883">
        <v>3</v>
      </c>
      <c r="H37" s="883">
        <v>2</v>
      </c>
      <c r="I37" s="883">
        <v>3</v>
      </c>
      <c r="J37" s="180">
        <f t="shared" si="0"/>
        <v>2.5</v>
      </c>
    </row>
    <row r="38" spans="2:10">
      <c r="B38" s="48"/>
      <c r="C38" s="887" t="s">
        <v>307</v>
      </c>
      <c r="D38" s="883">
        <v>0</v>
      </c>
      <c r="E38" s="883">
        <v>0</v>
      </c>
      <c r="F38" s="883">
        <v>0</v>
      </c>
      <c r="G38" s="883">
        <v>0</v>
      </c>
      <c r="H38" s="883">
        <v>0</v>
      </c>
      <c r="I38" s="883">
        <v>0</v>
      </c>
      <c r="J38" s="180">
        <f t="shared" si="0"/>
        <v>0</v>
      </c>
    </row>
    <row r="39" spans="2:10">
      <c r="B39" s="48" t="s">
        <v>274</v>
      </c>
      <c r="C39" s="885" t="s">
        <v>632</v>
      </c>
      <c r="D39" s="881">
        <v>261</v>
      </c>
      <c r="E39" s="881">
        <v>251</v>
      </c>
      <c r="F39" s="881">
        <v>234</v>
      </c>
      <c r="G39" s="881">
        <v>248</v>
      </c>
      <c r="H39" s="881">
        <v>224</v>
      </c>
      <c r="I39" s="881">
        <v>215</v>
      </c>
      <c r="J39" s="180">
        <f t="shared" si="0"/>
        <v>238.83333333333334</v>
      </c>
    </row>
    <row r="40" spans="2:10">
      <c r="B40" s="48"/>
      <c r="C40" s="887" t="s">
        <v>304</v>
      </c>
      <c r="D40" s="883">
        <v>261</v>
      </c>
      <c r="E40" s="883">
        <v>251</v>
      </c>
      <c r="F40" s="883">
        <v>234</v>
      </c>
      <c r="G40" s="883">
        <v>248</v>
      </c>
      <c r="H40" s="883">
        <v>224</v>
      </c>
      <c r="I40" s="883">
        <v>215</v>
      </c>
      <c r="J40" s="180">
        <f t="shared" si="0"/>
        <v>238.83333333333334</v>
      </c>
    </row>
    <row r="41" spans="2:10">
      <c r="B41" s="48"/>
      <c r="C41" s="888" t="s">
        <v>306</v>
      </c>
      <c r="D41" s="883">
        <v>0</v>
      </c>
      <c r="E41" s="883">
        <v>0</v>
      </c>
      <c r="F41" s="883">
        <v>0</v>
      </c>
      <c r="G41" s="883">
        <v>0</v>
      </c>
      <c r="H41" s="883">
        <v>0</v>
      </c>
      <c r="I41" s="883">
        <v>0</v>
      </c>
      <c r="J41" s="180">
        <f t="shared" si="0"/>
        <v>0</v>
      </c>
    </row>
    <row r="42" spans="2:10">
      <c r="B42" s="48"/>
      <c r="C42" s="887" t="s">
        <v>305</v>
      </c>
      <c r="D42" s="883">
        <v>0</v>
      </c>
      <c r="E42" s="883">
        <v>0</v>
      </c>
      <c r="F42" s="883">
        <v>0</v>
      </c>
      <c r="G42" s="883">
        <v>0</v>
      </c>
      <c r="H42" s="883">
        <v>0</v>
      </c>
      <c r="I42" s="883">
        <v>0</v>
      </c>
      <c r="J42" s="180">
        <f t="shared" si="0"/>
        <v>0</v>
      </c>
    </row>
    <row r="43" spans="2:10">
      <c r="B43" s="48"/>
      <c r="C43" s="887" t="s">
        <v>307</v>
      </c>
      <c r="D43" s="883">
        <v>0</v>
      </c>
      <c r="E43" s="883">
        <v>0</v>
      </c>
      <c r="F43" s="883">
        <v>0</v>
      </c>
      <c r="G43" s="883">
        <v>0</v>
      </c>
      <c r="H43" s="883">
        <v>0</v>
      </c>
      <c r="I43" s="883">
        <v>0</v>
      </c>
      <c r="J43" s="180">
        <f t="shared" si="0"/>
        <v>0</v>
      </c>
    </row>
    <row r="44" spans="2:10">
      <c r="B44" s="48" t="s">
        <v>274</v>
      </c>
      <c r="C44" s="885" t="s">
        <v>633</v>
      </c>
      <c r="D44" s="881">
        <v>137</v>
      </c>
      <c r="E44" s="881">
        <v>130</v>
      </c>
      <c r="F44" s="881">
        <v>124</v>
      </c>
      <c r="G44" s="881">
        <v>133</v>
      </c>
      <c r="H44" s="881">
        <v>120</v>
      </c>
      <c r="I44" s="881">
        <v>121</v>
      </c>
      <c r="J44" s="180">
        <f t="shared" si="0"/>
        <v>127.5</v>
      </c>
    </row>
    <row r="45" spans="2:10">
      <c r="B45" s="48"/>
      <c r="C45" s="887" t="s">
        <v>304</v>
      </c>
      <c r="D45" s="883">
        <v>137</v>
      </c>
      <c r="E45" s="883">
        <v>130</v>
      </c>
      <c r="F45" s="883">
        <v>124</v>
      </c>
      <c r="G45" s="883">
        <v>133</v>
      </c>
      <c r="H45" s="883">
        <v>120</v>
      </c>
      <c r="I45" s="883">
        <v>121</v>
      </c>
      <c r="J45" s="180">
        <f t="shared" si="0"/>
        <v>127.5</v>
      </c>
    </row>
    <row r="46" spans="2:10">
      <c r="B46" s="48"/>
      <c r="C46" s="888" t="s">
        <v>306</v>
      </c>
      <c r="D46" s="883">
        <v>0</v>
      </c>
      <c r="E46" s="883">
        <v>0</v>
      </c>
      <c r="F46" s="883">
        <v>0</v>
      </c>
      <c r="G46" s="883">
        <v>0</v>
      </c>
      <c r="H46" s="883">
        <v>0</v>
      </c>
      <c r="I46" s="883">
        <v>0</v>
      </c>
      <c r="J46" s="180">
        <f t="shared" si="0"/>
        <v>0</v>
      </c>
    </row>
    <row r="47" spans="2:10">
      <c r="B47" s="48"/>
      <c r="C47" s="887" t="s">
        <v>305</v>
      </c>
      <c r="D47" s="883">
        <v>0</v>
      </c>
      <c r="E47" s="883">
        <v>0</v>
      </c>
      <c r="F47" s="883">
        <v>0</v>
      </c>
      <c r="G47" s="883">
        <v>0</v>
      </c>
      <c r="H47" s="883">
        <v>0</v>
      </c>
      <c r="I47" s="883">
        <v>0</v>
      </c>
      <c r="J47" s="180">
        <f t="shared" si="0"/>
        <v>0</v>
      </c>
    </row>
    <row r="48" spans="2:10">
      <c r="B48" s="48"/>
      <c r="C48" s="887" t="s">
        <v>307</v>
      </c>
      <c r="D48" s="883">
        <v>0</v>
      </c>
      <c r="E48" s="883">
        <v>0</v>
      </c>
      <c r="F48" s="883">
        <v>0</v>
      </c>
      <c r="G48" s="883">
        <v>0</v>
      </c>
      <c r="H48" s="883">
        <v>0</v>
      </c>
      <c r="I48" s="883">
        <v>0</v>
      </c>
      <c r="J48" s="180">
        <f t="shared" si="0"/>
        <v>0</v>
      </c>
    </row>
    <row r="49" spans="2:10">
      <c r="B49" s="48"/>
      <c r="C49" s="884"/>
      <c r="D49" s="883"/>
      <c r="E49" s="883"/>
      <c r="F49" s="883"/>
      <c r="G49" s="883"/>
      <c r="H49" s="883"/>
      <c r="I49" s="883"/>
      <c r="J49" s="180"/>
    </row>
    <row r="50" spans="2:10">
      <c r="B50" s="48" t="s">
        <v>1176</v>
      </c>
      <c r="C50" s="885" t="s">
        <v>1176</v>
      </c>
      <c r="D50" s="881">
        <v>0</v>
      </c>
      <c r="E50" s="881">
        <v>0</v>
      </c>
      <c r="F50" s="881">
        <v>0</v>
      </c>
      <c r="G50" s="881">
        <v>0</v>
      </c>
      <c r="H50" s="881">
        <v>0</v>
      </c>
      <c r="I50" s="881">
        <v>0</v>
      </c>
      <c r="J50" s="180">
        <f t="shared" si="0"/>
        <v>0</v>
      </c>
    </row>
    <row r="51" spans="2:10">
      <c r="B51" s="48"/>
      <c r="C51" s="887" t="s">
        <v>304</v>
      </c>
      <c r="D51" s="883">
        <v>0</v>
      </c>
      <c r="E51" s="883">
        <v>0</v>
      </c>
      <c r="F51" s="883">
        <v>0</v>
      </c>
      <c r="G51" s="883">
        <v>0</v>
      </c>
      <c r="H51" s="883">
        <v>0</v>
      </c>
      <c r="I51" s="883">
        <v>0</v>
      </c>
      <c r="J51" s="180">
        <f t="shared" si="0"/>
        <v>0</v>
      </c>
    </row>
    <row r="52" spans="2:10">
      <c r="B52" s="48"/>
      <c r="C52" s="889" t="s">
        <v>642</v>
      </c>
      <c r="D52" s="883"/>
      <c r="E52" s="883"/>
      <c r="F52" s="883"/>
      <c r="G52" s="883"/>
      <c r="H52" s="883"/>
      <c r="I52" s="883"/>
      <c r="J52" s="180"/>
    </row>
    <row r="53" spans="2:10">
      <c r="B53" s="48"/>
      <c r="C53" s="889" t="s">
        <v>1177</v>
      </c>
      <c r="D53" s="883">
        <v>0</v>
      </c>
      <c r="E53" s="883">
        <v>0</v>
      </c>
      <c r="F53" s="883">
        <v>0</v>
      </c>
      <c r="G53" s="883">
        <v>0</v>
      </c>
      <c r="H53" s="883">
        <v>0</v>
      </c>
      <c r="I53" s="883">
        <v>0</v>
      </c>
      <c r="J53" s="180">
        <f t="shared" si="0"/>
        <v>0</v>
      </c>
    </row>
    <row r="54" spans="2:10">
      <c r="B54" s="48"/>
      <c r="C54" s="887" t="s">
        <v>305</v>
      </c>
      <c r="D54" s="883"/>
      <c r="E54" s="883"/>
      <c r="F54" s="883"/>
      <c r="G54" s="883"/>
      <c r="H54" s="883"/>
      <c r="I54" s="883"/>
      <c r="J54" s="180"/>
    </row>
    <row r="55" spans="2:10">
      <c r="B55" s="48"/>
      <c r="C55" s="887" t="s">
        <v>307</v>
      </c>
      <c r="D55" s="883"/>
      <c r="E55" s="883"/>
      <c r="F55" s="883"/>
      <c r="G55" s="883"/>
      <c r="H55" s="883"/>
      <c r="I55" s="883"/>
      <c r="J55" s="180"/>
    </row>
    <row r="56" spans="2:10">
      <c r="B56" s="48"/>
      <c r="C56" s="887" t="s">
        <v>624</v>
      </c>
      <c r="D56" s="883"/>
      <c r="E56" s="883"/>
      <c r="F56" s="883"/>
      <c r="G56" s="883"/>
      <c r="H56" s="883"/>
      <c r="I56" s="883"/>
      <c r="J56" s="180"/>
    </row>
    <row r="57" spans="2:10">
      <c r="B57" s="48"/>
      <c r="C57" s="887"/>
      <c r="D57" s="883"/>
      <c r="E57" s="883"/>
      <c r="F57" s="883"/>
      <c r="G57" s="883"/>
      <c r="H57" s="883"/>
      <c r="I57" s="883"/>
      <c r="J57" s="180"/>
    </row>
    <row r="58" spans="2:10">
      <c r="B58" s="48"/>
      <c r="C58" s="885" t="s">
        <v>755</v>
      </c>
      <c r="D58" s="881"/>
      <c r="E58" s="881"/>
      <c r="F58" s="881"/>
      <c r="G58" s="881"/>
      <c r="H58" s="881"/>
      <c r="I58" s="881"/>
      <c r="J58" s="180"/>
    </row>
    <row r="59" spans="2:10">
      <c r="B59" s="48" t="s">
        <v>751</v>
      </c>
      <c r="C59" s="1405" t="s">
        <v>2186</v>
      </c>
      <c r="D59" s="881"/>
      <c r="E59" s="881"/>
      <c r="F59" s="881"/>
      <c r="G59" s="881"/>
      <c r="H59" s="881"/>
      <c r="I59" s="881"/>
      <c r="J59" s="180"/>
    </row>
    <row r="60" spans="2:10">
      <c r="B60" s="48"/>
      <c r="C60" s="887" t="s">
        <v>304</v>
      </c>
      <c r="D60" s="883"/>
      <c r="E60" s="883"/>
      <c r="F60" s="883"/>
      <c r="G60" s="883"/>
      <c r="H60" s="883"/>
      <c r="I60" s="883"/>
      <c r="J60" s="180"/>
    </row>
    <row r="61" spans="2:10">
      <c r="B61" s="48"/>
      <c r="C61" s="888" t="s">
        <v>306</v>
      </c>
      <c r="D61" s="883"/>
      <c r="E61" s="883"/>
      <c r="F61" s="883"/>
      <c r="G61" s="883"/>
      <c r="H61" s="883"/>
      <c r="I61" s="883"/>
      <c r="J61" s="180"/>
    </row>
    <row r="62" spans="2:10">
      <c r="B62" s="48"/>
      <c r="C62" s="887" t="s">
        <v>305</v>
      </c>
      <c r="D62" s="883"/>
      <c r="E62" s="883"/>
      <c r="F62" s="883"/>
      <c r="G62" s="883"/>
      <c r="H62" s="883"/>
      <c r="I62" s="883"/>
      <c r="J62" s="180"/>
    </row>
    <row r="63" spans="2:10">
      <c r="B63" s="48"/>
      <c r="C63" s="887" t="s">
        <v>307</v>
      </c>
      <c r="D63" s="883"/>
      <c r="E63" s="883"/>
      <c r="F63" s="883"/>
      <c r="G63" s="883"/>
      <c r="H63" s="883"/>
      <c r="I63" s="883"/>
      <c r="J63" s="180"/>
    </row>
    <row r="64" spans="2:10">
      <c r="B64" s="48"/>
      <c r="C64" s="887" t="s">
        <v>624</v>
      </c>
      <c r="D64" s="883"/>
      <c r="E64" s="883"/>
      <c r="F64" s="883"/>
      <c r="G64" s="883"/>
      <c r="H64" s="883"/>
      <c r="I64" s="883"/>
      <c r="J64" s="180"/>
    </row>
    <row r="65" spans="2:10">
      <c r="B65" s="48" t="s">
        <v>751</v>
      </c>
      <c r="C65" s="885" t="s">
        <v>634</v>
      </c>
      <c r="D65" s="881">
        <v>307534</v>
      </c>
      <c r="E65" s="881">
        <v>305702</v>
      </c>
      <c r="F65" s="881">
        <v>308952</v>
      </c>
      <c r="G65" s="881">
        <v>307242</v>
      </c>
      <c r="H65" s="881">
        <v>312556</v>
      </c>
      <c r="I65" s="881">
        <v>313204</v>
      </c>
      <c r="J65" s="180">
        <f t="shared" si="0"/>
        <v>309198.33333333331</v>
      </c>
    </row>
    <row r="66" spans="2:10">
      <c r="B66" s="48"/>
      <c r="C66" s="887" t="s">
        <v>304</v>
      </c>
      <c r="D66" s="883">
        <v>221637</v>
      </c>
      <c r="E66" s="883">
        <v>219762</v>
      </c>
      <c r="F66" s="883">
        <v>221569</v>
      </c>
      <c r="G66" s="883">
        <v>220046</v>
      </c>
      <c r="H66" s="883">
        <v>222917</v>
      </c>
      <c r="I66" s="883">
        <v>222714</v>
      </c>
      <c r="J66" s="180">
        <f t="shared" si="0"/>
        <v>221440.83333333334</v>
      </c>
    </row>
    <row r="67" spans="2:10">
      <c r="B67" s="48"/>
      <c r="C67" s="888" t="s">
        <v>306</v>
      </c>
      <c r="D67" s="883">
        <v>85884</v>
      </c>
      <c r="E67" s="883">
        <v>85928</v>
      </c>
      <c r="F67" s="883">
        <v>87371</v>
      </c>
      <c r="G67" s="883">
        <v>87183</v>
      </c>
      <c r="H67" s="883">
        <v>89626</v>
      </c>
      <c r="I67" s="883">
        <v>90475</v>
      </c>
      <c r="J67" s="180">
        <f t="shared" si="0"/>
        <v>87744.5</v>
      </c>
    </row>
    <row r="68" spans="2:10">
      <c r="B68" s="48"/>
      <c r="C68" s="887" t="s">
        <v>305</v>
      </c>
      <c r="D68" s="883">
        <v>7</v>
      </c>
      <c r="E68" s="883">
        <v>7</v>
      </c>
      <c r="F68" s="883">
        <v>6</v>
      </c>
      <c r="G68" s="883">
        <v>8</v>
      </c>
      <c r="H68" s="883">
        <v>8</v>
      </c>
      <c r="I68" s="883">
        <v>9</v>
      </c>
      <c r="J68" s="180">
        <f t="shared" si="0"/>
        <v>7.5</v>
      </c>
    </row>
    <row r="69" spans="2:10">
      <c r="B69" s="48"/>
      <c r="C69" s="887" t="s">
        <v>307</v>
      </c>
      <c r="D69" s="883">
        <v>0</v>
      </c>
      <c r="E69" s="883">
        <v>0</v>
      </c>
      <c r="F69" s="883">
        <v>0</v>
      </c>
      <c r="G69" s="883">
        <v>1</v>
      </c>
      <c r="H69" s="883">
        <v>1</v>
      </c>
      <c r="I69" s="883">
        <v>1</v>
      </c>
      <c r="J69" s="180">
        <f t="shared" si="0"/>
        <v>0.5</v>
      </c>
    </row>
    <row r="70" spans="2:10">
      <c r="B70" s="48"/>
      <c r="C70" s="887" t="s">
        <v>624</v>
      </c>
      <c r="D70" s="883">
        <v>6</v>
      </c>
      <c r="E70" s="883">
        <v>5</v>
      </c>
      <c r="F70" s="883">
        <v>6</v>
      </c>
      <c r="G70" s="883">
        <v>4</v>
      </c>
      <c r="H70" s="883">
        <v>4</v>
      </c>
      <c r="I70" s="883">
        <v>5</v>
      </c>
      <c r="J70" s="180">
        <f t="shared" ref="J70:J107" si="1">AVERAGE(D70:I70)</f>
        <v>5</v>
      </c>
    </row>
    <row r="71" spans="2:10">
      <c r="B71" s="48" t="s">
        <v>750</v>
      </c>
      <c r="C71" s="885" t="s">
        <v>635</v>
      </c>
      <c r="D71" s="881">
        <v>111649</v>
      </c>
      <c r="E71" s="881">
        <v>112832</v>
      </c>
      <c r="F71" s="881">
        <v>109861</v>
      </c>
      <c r="G71" s="881">
        <v>110192</v>
      </c>
      <c r="H71" s="881">
        <v>106348</v>
      </c>
      <c r="I71" s="881">
        <v>104061</v>
      </c>
      <c r="J71" s="180">
        <f t="shared" si="1"/>
        <v>109157.16666666667</v>
      </c>
    </row>
    <row r="72" spans="2:10">
      <c r="B72" s="48"/>
      <c r="C72" s="887" t="s">
        <v>304</v>
      </c>
      <c r="D72" s="883">
        <v>65017</v>
      </c>
      <c r="E72" s="883">
        <v>65872</v>
      </c>
      <c r="F72" s="883">
        <v>63598</v>
      </c>
      <c r="G72" s="883">
        <v>63699</v>
      </c>
      <c r="H72" s="883">
        <v>61086</v>
      </c>
      <c r="I72" s="883">
        <v>59652</v>
      </c>
      <c r="J72" s="180">
        <f t="shared" si="1"/>
        <v>63154</v>
      </c>
    </row>
    <row r="73" spans="2:10">
      <c r="B73" s="48"/>
      <c r="C73" s="889" t="s">
        <v>642</v>
      </c>
      <c r="D73" s="883">
        <v>46629</v>
      </c>
      <c r="E73" s="883">
        <v>46955</v>
      </c>
      <c r="F73" s="883">
        <v>46258</v>
      </c>
      <c r="G73" s="883">
        <v>46487</v>
      </c>
      <c r="H73" s="883">
        <v>45253</v>
      </c>
      <c r="I73" s="883">
        <v>44403</v>
      </c>
      <c r="J73" s="180">
        <f t="shared" si="1"/>
        <v>45997.5</v>
      </c>
    </row>
    <row r="74" spans="2:10">
      <c r="B74" s="48"/>
      <c r="C74" s="889" t="s">
        <v>1177</v>
      </c>
      <c r="D74" s="883"/>
      <c r="E74" s="883"/>
      <c r="F74" s="883"/>
      <c r="G74" s="883"/>
      <c r="H74" s="883"/>
      <c r="I74" s="883"/>
      <c r="J74" s="180"/>
    </row>
    <row r="75" spans="2:10">
      <c r="B75" s="48"/>
      <c r="C75" s="887" t="s">
        <v>305</v>
      </c>
      <c r="D75" s="883">
        <v>3</v>
      </c>
      <c r="E75" s="883">
        <v>3</v>
      </c>
      <c r="F75" s="883">
        <v>4</v>
      </c>
      <c r="G75" s="883">
        <v>3</v>
      </c>
      <c r="H75" s="883">
        <v>5</v>
      </c>
      <c r="I75" s="883">
        <v>5</v>
      </c>
      <c r="J75" s="180">
        <f t="shared" si="1"/>
        <v>3.8333333333333335</v>
      </c>
    </row>
    <row r="76" spans="2:10">
      <c r="B76" s="48"/>
      <c r="C76" s="887" t="s">
        <v>307</v>
      </c>
      <c r="D76" s="883">
        <v>0</v>
      </c>
      <c r="E76" s="883">
        <v>0</v>
      </c>
      <c r="F76" s="883">
        <v>0</v>
      </c>
      <c r="G76" s="883">
        <v>0</v>
      </c>
      <c r="H76" s="883">
        <v>1</v>
      </c>
      <c r="I76" s="883">
        <v>0</v>
      </c>
      <c r="J76" s="180">
        <f t="shared" si="1"/>
        <v>0.16666666666666666</v>
      </c>
    </row>
    <row r="77" spans="2:10">
      <c r="B77" s="48"/>
      <c r="C77" s="887" t="s">
        <v>624</v>
      </c>
      <c r="D77" s="883">
        <v>0</v>
      </c>
      <c r="E77" s="883">
        <v>2</v>
      </c>
      <c r="F77" s="883">
        <v>1</v>
      </c>
      <c r="G77" s="883">
        <v>3</v>
      </c>
      <c r="H77" s="883">
        <v>3</v>
      </c>
      <c r="I77" s="883">
        <v>1</v>
      </c>
      <c r="J77" s="180">
        <f t="shared" si="1"/>
        <v>1.6666666666666667</v>
      </c>
    </row>
    <row r="78" spans="2:10">
      <c r="B78" s="48" t="s">
        <v>749</v>
      </c>
      <c r="C78" s="885" t="s">
        <v>636</v>
      </c>
      <c r="D78" s="881">
        <v>34133</v>
      </c>
      <c r="E78" s="881">
        <v>33745</v>
      </c>
      <c r="F78" s="881">
        <v>32740</v>
      </c>
      <c r="G78" s="881">
        <v>33054</v>
      </c>
      <c r="H78" s="881">
        <v>30433</v>
      </c>
      <c r="I78" s="881">
        <v>31328</v>
      </c>
      <c r="J78" s="180">
        <f t="shared" si="1"/>
        <v>32572.166666666668</v>
      </c>
    </row>
    <row r="79" spans="2:10">
      <c r="C79" s="887" t="s">
        <v>304</v>
      </c>
      <c r="D79" s="883">
        <v>26069</v>
      </c>
      <c r="E79" s="883">
        <v>25849</v>
      </c>
      <c r="F79" s="883">
        <v>25223</v>
      </c>
      <c r="G79" s="883">
        <v>25444</v>
      </c>
      <c r="H79" s="883">
        <v>23683</v>
      </c>
      <c r="I79" s="883">
        <v>24308</v>
      </c>
      <c r="J79" s="180">
        <f t="shared" si="1"/>
        <v>25096</v>
      </c>
    </row>
    <row r="80" spans="2:10">
      <c r="C80" s="889" t="s">
        <v>642</v>
      </c>
      <c r="D80" s="883">
        <v>8048</v>
      </c>
      <c r="E80" s="883">
        <v>7880</v>
      </c>
      <c r="F80" s="883">
        <v>7502</v>
      </c>
      <c r="G80" s="883">
        <v>7596</v>
      </c>
      <c r="H80" s="883">
        <v>6739</v>
      </c>
      <c r="I80" s="883">
        <v>7009</v>
      </c>
      <c r="J80" s="180">
        <f t="shared" si="1"/>
        <v>7462.333333333333</v>
      </c>
    </row>
    <row r="81" spans="2:10">
      <c r="C81" s="889" t="s">
        <v>1177</v>
      </c>
      <c r="D81" s="883"/>
      <c r="E81" s="883"/>
      <c r="F81" s="883"/>
      <c r="G81" s="883"/>
      <c r="H81" s="883"/>
      <c r="I81" s="883"/>
      <c r="J81" s="180"/>
    </row>
    <row r="82" spans="2:10">
      <c r="C82" s="887" t="s">
        <v>305</v>
      </c>
      <c r="D82" s="883">
        <v>11</v>
      </c>
      <c r="E82" s="883">
        <v>11</v>
      </c>
      <c r="F82" s="883">
        <v>10</v>
      </c>
      <c r="G82" s="883">
        <v>9</v>
      </c>
      <c r="H82" s="883">
        <v>7</v>
      </c>
      <c r="I82" s="883">
        <v>5</v>
      </c>
      <c r="J82" s="180">
        <f t="shared" si="1"/>
        <v>8.8333333333333339</v>
      </c>
    </row>
    <row r="83" spans="2:10">
      <c r="C83" s="887" t="s">
        <v>307</v>
      </c>
      <c r="D83" s="883">
        <v>1</v>
      </c>
      <c r="E83" s="883">
        <v>1</v>
      </c>
      <c r="F83" s="883">
        <v>1</v>
      </c>
      <c r="G83" s="883">
        <v>1</v>
      </c>
      <c r="H83" s="883">
        <v>0</v>
      </c>
      <c r="I83" s="883">
        <v>1</v>
      </c>
      <c r="J83" s="180">
        <f t="shared" si="1"/>
        <v>0.83333333333333337</v>
      </c>
    </row>
    <row r="84" spans="2:10">
      <c r="C84" s="887" t="s">
        <v>624</v>
      </c>
      <c r="D84" s="883">
        <v>4</v>
      </c>
      <c r="E84" s="883">
        <v>4</v>
      </c>
      <c r="F84" s="883">
        <v>4</v>
      </c>
      <c r="G84" s="883">
        <v>4</v>
      </c>
      <c r="H84" s="883">
        <v>4</v>
      </c>
      <c r="I84" s="883">
        <v>5</v>
      </c>
      <c r="J84" s="180">
        <f t="shared" si="1"/>
        <v>4.166666666666667</v>
      </c>
    </row>
    <row r="85" spans="2:10">
      <c r="C85" s="887"/>
      <c r="D85" s="883"/>
      <c r="E85" s="883"/>
      <c r="F85" s="883"/>
      <c r="G85" s="883"/>
      <c r="H85" s="883"/>
      <c r="I85" s="883"/>
      <c r="J85" s="180"/>
    </row>
    <row r="86" spans="2:10">
      <c r="B86" s="48" t="s">
        <v>902</v>
      </c>
      <c r="C86" s="885" t="s">
        <v>898</v>
      </c>
      <c r="D86" s="881">
        <v>67961</v>
      </c>
      <c r="E86" s="881">
        <v>70464</v>
      </c>
      <c r="F86" s="881">
        <v>71950</v>
      </c>
      <c r="G86" s="881">
        <v>72652</v>
      </c>
      <c r="H86" s="881">
        <v>73578</v>
      </c>
      <c r="I86" s="881">
        <v>73905</v>
      </c>
      <c r="J86" s="180">
        <f t="shared" si="1"/>
        <v>71751.666666666672</v>
      </c>
    </row>
    <row r="87" spans="2:10">
      <c r="C87" s="887" t="s">
        <v>304</v>
      </c>
      <c r="D87" s="883">
        <v>65819</v>
      </c>
      <c r="E87" s="883">
        <v>68225</v>
      </c>
      <c r="F87" s="883">
        <v>69650</v>
      </c>
      <c r="G87" s="883">
        <v>70344</v>
      </c>
      <c r="H87" s="883">
        <v>71220</v>
      </c>
      <c r="I87" s="883">
        <v>71582</v>
      </c>
      <c r="J87" s="180">
        <f t="shared" si="1"/>
        <v>69473.333333333328</v>
      </c>
    </row>
    <row r="88" spans="2:10">
      <c r="C88" s="888" t="s">
        <v>306</v>
      </c>
      <c r="D88" s="883">
        <v>2142</v>
      </c>
      <c r="E88" s="883">
        <v>2239</v>
      </c>
      <c r="F88" s="883">
        <v>2300</v>
      </c>
      <c r="G88" s="883">
        <v>2308</v>
      </c>
      <c r="H88" s="883">
        <v>2358</v>
      </c>
      <c r="I88" s="883">
        <v>2323</v>
      </c>
      <c r="J88" s="180">
        <f t="shared" si="1"/>
        <v>2278.3333333333335</v>
      </c>
    </row>
    <row r="89" spans="2:10">
      <c r="C89" s="887" t="s">
        <v>305</v>
      </c>
      <c r="D89" s="883"/>
      <c r="E89" s="883"/>
      <c r="F89" s="883"/>
      <c r="G89" s="883"/>
      <c r="H89" s="883"/>
      <c r="I89" s="883"/>
      <c r="J89" s="180"/>
    </row>
    <row r="90" spans="2:10">
      <c r="C90" s="887" t="s">
        <v>307</v>
      </c>
      <c r="D90" s="883"/>
      <c r="E90" s="883"/>
      <c r="F90" s="883"/>
      <c r="G90" s="883"/>
      <c r="H90" s="883"/>
      <c r="I90" s="883"/>
      <c r="J90" s="180"/>
    </row>
    <row r="91" spans="2:10">
      <c r="C91" s="887" t="s">
        <v>624</v>
      </c>
      <c r="D91" s="883"/>
      <c r="E91" s="883"/>
      <c r="F91" s="883"/>
      <c r="G91" s="883"/>
      <c r="H91" s="883"/>
      <c r="I91" s="883"/>
      <c r="J91" s="180"/>
    </row>
    <row r="92" spans="2:10">
      <c r="B92" s="48" t="s">
        <v>902</v>
      </c>
      <c r="C92" s="885" t="s">
        <v>899</v>
      </c>
      <c r="D92" s="881">
        <v>9583</v>
      </c>
      <c r="E92" s="881">
        <v>9136</v>
      </c>
      <c r="F92" s="881">
        <v>8202</v>
      </c>
      <c r="G92" s="881">
        <v>8744</v>
      </c>
      <c r="H92" s="881">
        <v>7550</v>
      </c>
      <c r="I92" s="881">
        <v>9624</v>
      </c>
      <c r="J92" s="180">
        <f t="shared" si="1"/>
        <v>8806.5</v>
      </c>
    </row>
    <row r="93" spans="2:10">
      <c r="C93" s="887" t="s">
        <v>304</v>
      </c>
      <c r="D93" s="883">
        <v>8731</v>
      </c>
      <c r="E93" s="883">
        <v>8349</v>
      </c>
      <c r="F93" s="883">
        <v>7409</v>
      </c>
      <c r="G93" s="883">
        <v>7922</v>
      </c>
      <c r="H93" s="883">
        <v>6856</v>
      </c>
      <c r="I93" s="883">
        <v>8720</v>
      </c>
      <c r="J93" s="180">
        <f t="shared" si="1"/>
        <v>7997.833333333333</v>
      </c>
    </row>
    <row r="94" spans="2:10">
      <c r="C94" s="889" t="s">
        <v>642</v>
      </c>
      <c r="D94" s="883">
        <v>852</v>
      </c>
      <c r="E94" s="883">
        <v>787</v>
      </c>
      <c r="F94" s="883">
        <v>793</v>
      </c>
      <c r="G94" s="883">
        <v>822</v>
      </c>
      <c r="H94" s="883">
        <v>694</v>
      </c>
      <c r="I94" s="883">
        <v>904</v>
      </c>
      <c r="J94" s="180">
        <f t="shared" si="1"/>
        <v>808.66666666666663</v>
      </c>
    </row>
    <row r="95" spans="2:10">
      <c r="C95" s="889" t="s">
        <v>1177</v>
      </c>
      <c r="D95" s="883"/>
      <c r="E95" s="883"/>
      <c r="F95" s="883"/>
      <c r="G95" s="883"/>
      <c r="H95" s="883"/>
      <c r="I95" s="883"/>
      <c r="J95" s="180"/>
    </row>
    <row r="96" spans="2:10">
      <c r="C96" s="887" t="s">
        <v>305</v>
      </c>
      <c r="D96" s="883"/>
      <c r="E96" s="883"/>
      <c r="F96" s="883"/>
      <c r="G96" s="883"/>
      <c r="H96" s="883"/>
      <c r="I96" s="883"/>
      <c r="J96" s="180"/>
    </row>
    <row r="97" spans="1:10">
      <c r="C97" s="887" t="s">
        <v>307</v>
      </c>
      <c r="D97" s="883"/>
      <c r="E97" s="883"/>
      <c r="F97" s="883"/>
      <c r="G97" s="883"/>
      <c r="H97" s="883"/>
      <c r="I97" s="883"/>
      <c r="J97" s="180"/>
    </row>
    <row r="98" spans="1:10">
      <c r="C98" s="887" t="s">
        <v>624</v>
      </c>
      <c r="D98" s="883"/>
      <c r="E98" s="883"/>
      <c r="F98" s="883"/>
      <c r="G98" s="883"/>
      <c r="H98" s="883"/>
      <c r="I98" s="883"/>
      <c r="J98" s="180"/>
    </row>
    <row r="99" spans="1:10">
      <c r="B99" s="48" t="s">
        <v>902</v>
      </c>
      <c r="C99" s="885" t="s">
        <v>900</v>
      </c>
      <c r="D99" s="881">
        <v>293</v>
      </c>
      <c r="E99" s="881">
        <v>289</v>
      </c>
      <c r="F99" s="881">
        <v>262</v>
      </c>
      <c r="G99" s="881">
        <v>287</v>
      </c>
      <c r="H99" s="881">
        <v>225</v>
      </c>
      <c r="I99" s="881">
        <v>322</v>
      </c>
      <c r="J99" s="180">
        <f t="shared" si="1"/>
        <v>279.66666666666669</v>
      </c>
    </row>
    <row r="100" spans="1:10">
      <c r="C100" s="887" t="s">
        <v>304</v>
      </c>
      <c r="D100" s="883">
        <v>262</v>
      </c>
      <c r="E100" s="883">
        <v>270</v>
      </c>
      <c r="F100" s="883">
        <v>240</v>
      </c>
      <c r="G100" s="883">
        <v>265</v>
      </c>
      <c r="H100" s="883">
        <v>209</v>
      </c>
      <c r="I100" s="883">
        <v>289</v>
      </c>
      <c r="J100" s="180">
        <f t="shared" si="1"/>
        <v>255.83333333333334</v>
      </c>
    </row>
    <row r="101" spans="1:10">
      <c r="C101" s="889" t="s">
        <v>642</v>
      </c>
      <c r="D101" s="883">
        <v>31</v>
      </c>
      <c r="E101" s="883">
        <v>19</v>
      </c>
      <c r="F101" s="883">
        <v>22</v>
      </c>
      <c r="G101" s="883">
        <v>22</v>
      </c>
      <c r="H101" s="883">
        <v>16</v>
      </c>
      <c r="I101" s="883">
        <v>33</v>
      </c>
      <c r="J101" s="180">
        <f t="shared" si="1"/>
        <v>23.833333333333332</v>
      </c>
    </row>
    <row r="102" spans="1:10">
      <c r="C102" s="889" t="s">
        <v>1177</v>
      </c>
      <c r="D102" s="883"/>
      <c r="E102" s="883"/>
      <c r="F102" s="883"/>
      <c r="G102" s="883"/>
      <c r="H102" s="883"/>
      <c r="I102" s="883"/>
      <c r="J102" s="180"/>
    </row>
    <row r="103" spans="1:10">
      <c r="C103" s="887" t="s">
        <v>305</v>
      </c>
      <c r="D103" s="883"/>
      <c r="E103" s="883"/>
      <c r="F103" s="883"/>
      <c r="G103" s="883"/>
      <c r="H103" s="883"/>
      <c r="I103" s="883"/>
      <c r="J103" s="180"/>
    </row>
    <row r="104" spans="1:10">
      <c r="C104" s="887" t="s">
        <v>307</v>
      </c>
      <c r="D104" s="883"/>
      <c r="E104" s="883"/>
      <c r="F104" s="883"/>
      <c r="G104" s="883"/>
      <c r="H104" s="883"/>
      <c r="I104" s="883"/>
      <c r="J104" s="180"/>
    </row>
    <row r="105" spans="1:10">
      <c r="C105" s="887" t="s">
        <v>624</v>
      </c>
      <c r="D105" s="883"/>
      <c r="E105" s="883"/>
      <c r="F105" s="883"/>
      <c r="G105" s="883"/>
      <c r="H105" s="883"/>
      <c r="I105" s="883"/>
      <c r="J105" s="180"/>
    </row>
    <row r="106" spans="1:10">
      <c r="C106" s="884"/>
      <c r="D106" s="883"/>
      <c r="E106" s="883"/>
      <c r="F106" s="883"/>
      <c r="G106" s="883"/>
      <c r="H106" s="883"/>
      <c r="I106" s="883"/>
      <c r="J106" s="180"/>
    </row>
    <row r="107" spans="1:10">
      <c r="C107" s="880" t="s">
        <v>111</v>
      </c>
      <c r="D107" s="881">
        <v>537044</v>
      </c>
      <c r="E107" s="881">
        <v>538060</v>
      </c>
      <c r="F107" s="881">
        <v>537864</v>
      </c>
      <c r="G107" s="881">
        <v>538129</v>
      </c>
      <c r="H107" s="881">
        <v>536651</v>
      </c>
      <c r="I107" s="881">
        <v>538420</v>
      </c>
      <c r="J107" s="180">
        <f t="shared" si="1"/>
        <v>537694.66666666663</v>
      </c>
    </row>
    <row r="110" spans="1:10">
      <c r="E110" s="60"/>
      <c r="F110" s="60"/>
      <c r="G110" s="60"/>
      <c r="H110" s="60"/>
      <c r="I110" s="60"/>
    </row>
    <row r="111" spans="1:10">
      <c r="D111" s="60"/>
      <c r="E111" s="60"/>
      <c r="F111" s="60"/>
      <c r="G111" s="60"/>
      <c r="H111" s="60"/>
      <c r="I111" s="60"/>
    </row>
    <row r="112" spans="1:10">
      <c r="A112" s="532"/>
      <c r="C112" s="1030" t="s">
        <v>363</v>
      </c>
      <c r="D112" s="1032"/>
      <c r="E112" s="1032"/>
      <c r="F112" s="1032"/>
      <c r="G112" s="1032"/>
      <c r="H112" s="1032"/>
      <c r="I112" s="1032"/>
      <c r="J112" s="1032"/>
    </row>
    <row r="113" spans="1:10">
      <c r="A113" s="56"/>
      <c r="C113" s="150" t="s">
        <v>310</v>
      </c>
      <c r="D113" s="1023">
        <f t="shared" ref="D113:I113" si="2">D4</f>
        <v>45839</v>
      </c>
      <c r="E113" s="1023">
        <f t="shared" si="2"/>
        <v>45870</v>
      </c>
      <c r="F113" s="1023">
        <f t="shared" si="2"/>
        <v>45901</v>
      </c>
      <c r="G113" s="1023">
        <f t="shared" si="2"/>
        <v>45931</v>
      </c>
      <c r="H113" s="1023">
        <f t="shared" si="2"/>
        <v>45962</v>
      </c>
      <c r="I113" s="1023">
        <f t="shared" si="2"/>
        <v>45992</v>
      </c>
      <c r="J113" s="1023" t="s">
        <v>154</v>
      </c>
    </row>
    <row r="114" spans="1:10" ht="15.75">
      <c r="A114" s="57"/>
      <c r="C114" s="965" t="s">
        <v>446</v>
      </c>
      <c r="D114" s="881">
        <f t="shared" ref="D114:I114" si="3">D115+D117</f>
        <v>2</v>
      </c>
      <c r="E114" s="881">
        <f t="shared" si="3"/>
        <v>2</v>
      </c>
      <c r="F114" s="881">
        <f t="shared" si="3"/>
        <v>2</v>
      </c>
      <c r="G114" s="881">
        <f t="shared" si="3"/>
        <v>2</v>
      </c>
      <c r="H114" s="881">
        <f t="shared" si="3"/>
        <v>2</v>
      </c>
      <c r="I114" s="881">
        <f t="shared" si="3"/>
        <v>2</v>
      </c>
      <c r="J114" s="180">
        <f t="shared" ref="J114:J119" si="4">AVERAGE(D114:I114)</f>
        <v>2</v>
      </c>
    </row>
    <row r="115" spans="1:10">
      <c r="A115" s="57"/>
      <c r="B115" s="48" t="s">
        <v>870</v>
      </c>
      <c r="C115" s="882" t="s">
        <v>279</v>
      </c>
      <c r="D115" s="881">
        <f t="shared" ref="D115:I115" si="5">D116</f>
        <v>1</v>
      </c>
      <c r="E115" s="881">
        <f t="shared" si="5"/>
        <v>1</v>
      </c>
      <c r="F115" s="881">
        <f t="shared" si="5"/>
        <v>1</v>
      </c>
      <c r="G115" s="881">
        <f t="shared" si="5"/>
        <v>1</v>
      </c>
      <c r="H115" s="881">
        <f t="shared" si="5"/>
        <v>1</v>
      </c>
      <c r="I115" s="881">
        <f t="shared" si="5"/>
        <v>1</v>
      </c>
      <c r="J115" s="180">
        <f t="shared" si="4"/>
        <v>1</v>
      </c>
    </row>
    <row r="116" spans="1:10">
      <c r="A116" s="57"/>
      <c r="B116" s="48"/>
      <c r="C116" s="887" t="s">
        <v>1611</v>
      </c>
      <c r="D116" s="883">
        <f t="shared" ref="D116:I116" si="6">D163</f>
        <v>1</v>
      </c>
      <c r="E116" s="883">
        <f t="shared" si="6"/>
        <v>1</v>
      </c>
      <c r="F116" s="883">
        <f t="shared" si="6"/>
        <v>1</v>
      </c>
      <c r="G116" s="883">
        <f t="shared" si="6"/>
        <v>1</v>
      </c>
      <c r="H116" s="883">
        <f t="shared" si="6"/>
        <v>1</v>
      </c>
      <c r="I116" s="883">
        <f t="shared" si="6"/>
        <v>1</v>
      </c>
      <c r="J116" s="180">
        <f t="shared" si="4"/>
        <v>1</v>
      </c>
    </row>
    <row r="117" spans="1:10">
      <c r="A117" s="57"/>
      <c r="B117" s="48" t="s">
        <v>871</v>
      </c>
      <c r="C117" s="882" t="s">
        <v>278</v>
      </c>
      <c r="D117" s="881">
        <f t="shared" ref="D117:I117" si="7">D118+D119</f>
        <v>1</v>
      </c>
      <c r="E117" s="881">
        <f t="shared" si="7"/>
        <v>1</v>
      </c>
      <c r="F117" s="881">
        <f t="shared" si="7"/>
        <v>1</v>
      </c>
      <c r="G117" s="881">
        <f t="shared" si="7"/>
        <v>1</v>
      </c>
      <c r="H117" s="881">
        <f t="shared" si="7"/>
        <v>1</v>
      </c>
      <c r="I117" s="881">
        <f t="shared" si="7"/>
        <v>1</v>
      </c>
      <c r="J117" s="180">
        <f t="shared" si="4"/>
        <v>1</v>
      </c>
    </row>
    <row r="118" spans="1:10">
      <c r="A118" s="57"/>
      <c r="B118" s="48"/>
      <c r="C118" s="887" t="s">
        <v>1612</v>
      </c>
      <c r="D118" s="883">
        <f t="shared" ref="D118:I119" si="8">D165</f>
        <v>0</v>
      </c>
      <c r="E118" s="883">
        <f t="shared" si="8"/>
        <v>0</v>
      </c>
      <c r="F118" s="883">
        <f t="shared" si="8"/>
        <v>0</v>
      </c>
      <c r="G118" s="883">
        <f t="shared" si="8"/>
        <v>0</v>
      </c>
      <c r="H118" s="883">
        <f t="shared" si="8"/>
        <v>0</v>
      </c>
      <c r="I118" s="883">
        <f t="shared" si="8"/>
        <v>0</v>
      </c>
      <c r="J118" s="180">
        <f t="shared" si="4"/>
        <v>0</v>
      </c>
    </row>
    <row r="119" spans="1:10">
      <c r="A119" s="57"/>
      <c r="B119" s="48"/>
      <c r="C119" s="887" t="s">
        <v>304</v>
      </c>
      <c r="D119" s="883">
        <f t="shared" si="8"/>
        <v>1</v>
      </c>
      <c r="E119" s="883">
        <f t="shared" si="8"/>
        <v>1</v>
      </c>
      <c r="F119" s="883">
        <f t="shared" si="8"/>
        <v>1</v>
      </c>
      <c r="G119" s="883">
        <f t="shared" si="8"/>
        <v>1</v>
      </c>
      <c r="H119" s="883">
        <f t="shared" si="8"/>
        <v>1</v>
      </c>
      <c r="I119" s="883">
        <f t="shared" si="8"/>
        <v>1</v>
      </c>
      <c r="J119" s="180">
        <f t="shared" si="4"/>
        <v>1</v>
      </c>
    </row>
    <row r="120" spans="1:10">
      <c r="A120" s="57"/>
      <c r="B120" s="48" t="s">
        <v>893</v>
      </c>
      <c r="C120" s="882" t="s">
        <v>942</v>
      </c>
      <c r="D120" s="881"/>
      <c r="E120" s="881"/>
      <c r="F120" s="881"/>
      <c r="G120" s="881"/>
      <c r="H120" s="881"/>
      <c r="I120" s="881"/>
      <c r="J120" s="180"/>
    </row>
    <row r="121" spans="1:10">
      <c r="A121" s="57"/>
      <c r="B121" s="48"/>
      <c r="C121" s="887"/>
      <c r="D121" s="883"/>
      <c r="E121" s="883"/>
      <c r="F121" s="883"/>
      <c r="G121" s="883"/>
      <c r="H121" s="883"/>
      <c r="I121" s="883"/>
      <c r="J121" s="180"/>
    </row>
    <row r="122" spans="1:10" ht="15.75">
      <c r="A122" s="57"/>
      <c r="B122" s="48"/>
      <c r="C122" s="965" t="s">
        <v>630</v>
      </c>
      <c r="D122" s="881">
        <f t="shared" ref="D122:I122" si="9">D123+D128</f>
        <v>178</v>
      </c>
      <c r="E122" s="881">
        <f t="shared" si="9"/>
        <v>176</v>
      </c>
      <c r="F122" s="881">
        <f t="shared" si="9"/>
        <v>178</v>
      </c>
      <c r="G122" s="881">
        <f t="shared" si="9"/>
        <v>180</v>
      </c>
      <c r="H122" s="881">
        <f t="shared" si="9"/>
        <v>181</v>
      </c>
      <c r="I122" s="881">
        <f t="shared" si="9"/>
        <v>183</v>
      </c>
      <c r="J122" s="180">
        <f>AVERAGE(D122:I122)</f>
        <v>179.33333333333334</v>
      </c>
    </row>
    <row r="123" spans="1:10">
      <c r="A123" s="57"/>
      <c r="B123" s="48" t="s">
        <v>872</v>
      </c>
      <c r="C123" s="882" t="s">
        <v>277</v>
      </c>
      <c r="D123" s="881">
        <f t="shared" ref="D123:I123" si="10">SUM(D124:D127)</f>
        <v>29</v>
      </c>
      <c r="E123" s="881">
        <f t="shared" si="10"/>
        <v>28</v>
      </c>
      <c r="F123" s="881">
        <f t="shared" si="10"/>
        <v>29</v>
      </c>
      <c r="G123" s="881">
        <f t="shared" si="10"/>
        <v>29</v>
      </c>
      <c r="H123" s="881">
        <f t="shared" si="10"/>
        <v>29</v>
      </c>
      <c r="I123" s="881">
        <f t="shared" si="10"/>
        <v>31</v>
      </c>
      <c r="J123" s="180">
        <f>AVERAGE(D123:I123)</f>
        <v>29.166666666666668</v>
      </c>
    </row>
    <row r="124" spans="1:10">
      <c r="A124" s="57"/>
      <c r="B124" s="48"/>
      <c r="C124" s="887" t="s">
        <v>1611</v>
      </c>
      <c r="D124" s="883">
        <f t="shared" ref="D124:I124" si="11">D167</f>
        <v>29</v>
      </c>
      <c r="E124" s="883">
        <f t="shared" si="11"/>
        <v>28</v>
      </c>
      <c r="F124" s="883">
        <f t="shared" si="11"/>
        <v>29</v>
      </c>
      <c r="G124" s="883">
        <f t="shared" si="11"/>
        <v>29</v>
      </c>
      <c r="H124" s="883">
        <f t="shared" si="11"/>
        <v>29</v>
      </c>
      <c r="I124" s="883">
        <f t="shared" si="11"/>
        <v>31</v>
      </c>
      <c r="J124" s="180">
        <f>AVERAGE(D124:I124)</f>
        <v>29.166666666666668</v>
      </c>
    </row>
    <row r="125" spans="1:10">
      <c r="A125" s="57"/>
      <c r="B125" s="48"/>
      <c r="C125" s="887"/>
      <c r="D125" s="883"/>
      <c r="E125" s="883"/>
      <c r="F125" s="883"/>
      <c r="G125" s="883"/>
      <c r="H125" s="883"/>
      <c r="I125" s="883"/>
      <c r="J125" s="180"/>
    </row>
    <row r="126" spans="1:10">
      <c r="A126" s="57"/>
      <c r="B126" s="48"/>
      <c r="C126" s="887"/>
      <c r="D126" s="883"/>
      <c r="E126" s="883"/>
      <c r="F126" s="883"/>
      <c r="G126" s="883"/>
      <c r="H126" s="883"/>
      <c r="I126" s="883"/>
      <c r="J126" s="180"/>
    </row>
    <row r="127" spans="1:10">
      <c r="A127" s="57"/>
      <c r="B127" s="48"/>
      <c r="C127" s="887"/>
      <c r="D127" s="883"/>
      <c r="E127" s="883"/>
      <c r="F127" s="883"/>
      <c r="G127" s="883"/>
      <c r="H127" s="883"/>
      <c r="I127" s="883"/>
      <c r="J127" s="180"/>
    </row>
    <row r="128" spans="1:10">
      <c r="A128" s="57"/>
      <c r="B128" s="48" t="s">
        <v>873</v>
      </c>
      <c r="C128" s="882" t="s">
        <v>276</v>
      </c>
      <c r="D128" s="881">
        <f t="shared" ref="D128:I128" si="12">SUM(D129:D133)</f>
        <v>149</v>
      </c>
      <c r="E128" s="881">
        <f t="shared" si="12"/>
        <v>148</v>
      </c>
      <c r="F128" s="881">
        <f t="shared" si="12"/>
        <v>149</v>
      </c>
      <c r="G128" s="881">
        <f t="shared" si="12"/>
        <v>151</v>
      </c>
      <c r="H128" s="881">
        <f t="shared" si="12"/>
        <v>152</v>
      </c>
      <c r="I128" s="881">
        <f t="shared" si="12"/>
        <v>152</v>
      </c>
      <c r="J128" s="180">
        <f t="shared" ref="J128:J146" si="13">AVERAGE(D128:I128)</f>
        <v>150.16666666666666</v>
      </c>
    </row>
    <row r="129" spans="1:10">
      <c r="A129" s="57"/>
      <c r="B129" s="48"/>
      <c r="C129" s="887" t="s">
        <v>304</v>
      </c>
      <c r="D129" s="883">
        <f t="shared" ref="D129:I130" si="14">D169</f>
        <v>0</v>
      </c>
      <c r="E129" s="883">
        <f t="shared" si="14"/>
        <v>0</v>
      </c>
      <c r="F129" s="883">
        <f t="shared" si="14"/>
        <v>0</v>
      </c>
      <c r="G129" s="883">
        <f t="shared" si="14"/>
        <v>0</v>
      </c>
      <c r="H129" s="883">
        <f t="shared" si="14"/>
        <v>0</v>
      </c>
      <c r="I129" s="883">
        <f t="shared" si="14"/>
        <v>0</v>
      </c>
      <c r="J129" s="180">
        <f t="shared" si="13"/>
        <v>0</v>
      </c>
    </row>
    <row r="130" spans="1:10">
      <c r="A130" s="57"/>
      <c r="B130" s="48"/>
      <c r="C130" s="887" t="s">
        <v>304</v>
      </c>
      <c r="D130" s="883">
        <f t="shared" si="14"/>
        <v>149</v>
      </c>
      <c r="E130" s="883">
        <f t="shared" si="14"/>
        <v>148</v>
      </c>
      <c r="F130" s="883">
        <f t="shared" si="14"/>
        <v>149</v>
      </c>
      <c r="G130" s="883">
        <f t="shared" si="14"/>
        <v>151</v>
      </c>
      <c r="H130" s="883">
        <f t="shared" si="14"/>
        <v>152</v>
      </c>
      <c r="I130" s="883">
        <f t="shared" si="14"/>
        <v>152</v>
      </c>
      <c r="J130" s="180">
        <f t="shared" si="13"/>
        <v>150.16666666666666</v>
      </c>
    </row>
    <row r="131" spans="1:10">
      <c r="A131" s="57"/>
      <c r="B131" s="48"/>
      <c r="C131" s="887"/>
      <c r="D131" s="883"/>
      <c r="E131" s="883"/>
      <c r="F131" s="883"/>
      <c r="G131" s="883"/>
      <c r="H131" s="883"/>
      <c r="I131" s="883"/>
      <c r="J131" s="180"/>
    </row>
    <row r="132" spans="1:10">
      <c r="A132" s="57"/>
      <c r="B132" s="48"/>
      <c r="C132" s="887"/>
      <c r="D132" s="883"/>
      <c r="E132" s="883"/>
      <c r="F132" s="883"/>
      <c r="G132" s="883"/>
      <c r="H132" s="883"/>
      <c r="I132" s="883"/>
      <c r="J132" s="180"/>
    </row>
    <row r="133" spans="1:10">
      <c r="A133" s="57"/>
      <c r="B133" s="48"/>
      <c r="C133" s="887"/>
      <c r="D133" s="883"/>
      <c r="E133" s="883"/>
      <c r="F133" s="883"/>
      <c r="G133" s="883"/>
      <c r="H133" s="883"/>
      <c r="I133" s="883"/>
      <c r="J133" s="180"/>
    </row>
    <row r="134" spans="1:10">
      <c r="A134" s="57"/>
      <c r="B134" s="48"/>
      <c r="C134" s="887"/>
      <c r="D134" s="883"/>
      <c r="E134" s="883"/>
      <c r="F134" s="883"/>
      <c r="G134" s="883"/>
      <c r="H134" s="883"/>
      <c r="I134" s="883"/>
      <c r="J134" s="180"/>
    </row>
    <row r="135" spans="1:10" ht="15.75">
      <c r="A135" s="57"/>
      <c r="B135" s="48"/>
      <c r="C135" s="965" t="s">
        <v>443</v>
      </c>
      <c r="D135" s="881">
        <f t="shared" ref="D135:I135" si="15">D136+D139</f>
        <v>101</v>
      </c>
      <c r="E135" s="881">
        <f t="shared" si="15"/>
        <v>101</v>
      </c>
      <c r="F135" s="881">
        <f t="shared" si="15"/>
        <v>103</v>
      </c>
      <c r="G135" s="881">
        <f t="shared" si="15"/>
        <v>105</v>
      </c>
      <c r="H135" s="881">
        <f t="shared" si="15"/>
        <v>109</v>
      </c>
      <c r="I135" s="881">
        <f t="shared" si="15"/>
        <v>112</v>
      </c>
      <c r="J135" s="180">
        <f t="shared" si="13"/>
        <v>105.16666666666667</v>
      </c>
    </row>
    <row r="136" spans="1:10">
      <c r="A136" s="57"/>
      <c r="B136" s="48" t="s">
        <v>874</v>
      </c>
      <c r="C136" s="882" t="s">
        <v>275</v>
      </c>
      <c r="D136" s="881">
        <f t="shared" ref="D136:I136" si="16">D137</f>
        <v>3</v>
      </c>
      <c r="E136" s="881">
        <f t="shared" si="16"/>
        <v>3</v>
      </c>
      <c r="F136" s="881">
        <f t="shared" si="16"/>
        <v>3</v>
      </c>
      <c r="G136" s="881">
        <f t="shared" si="16"/>
        <v>3</v>
      </c>
      <c r="H136" s="881">
        <f t="shared" si="16"/>
        <v>3</v>
      </c>
      <c r="I136" s="881">
        <f t="shared" si="16"/>
        <v>3</v>
      </c>
      <c r="J136" s="180">
        <f t="shared" si="13"/>
        <v>3</v>
      </c>
    </row>
    <row r="137" spans="1:10">
      <c r="A137" s="57"/>
      <c r="B137" s="48"/>
      <c r="C137" s="887" t="s">
        <v>1613</v>
      </c>
      <c r="D137" s="883">
        <f t="shared" ref="D137:I137" si="17">D171</f>
        <v>3</v>
      </c>
      <c r="E137" s="883">
        <f t="shared" si="17"/>
        <v>3</v>
      </c>
      <c r="F137" s="883">
        <f t="shared" si="17"/>
        <v>3</v>
      </c>
      <c r="G137" s="883">
        <f t="shared" si="17"/>
        <v>3</v>
      </c>
      <c r="H137" s="883">
        <f t="shared" si="17"/>
        <v>3</v>
      </c>
      <c r="I137" s="883">
        <f t="shared" si="17"/>
        <v>3</v>
      </c>
      <c r="J137" s="180">
        <f t="shared" si="13"/>
        <v>3</v>
      </c>
    </row>
    <row r="138" spans="1:10">
      <c r="A138" s="57"/>
      <c r="B138" s="48"/>
      <c r="C138" s="887"/>
      <c r="D138" s="883"/>
      <c r="E138" s="883"/>
      <c r="F138" s="883"/>
      <c r="G138" s="883"/>
      <c r="H138" s="883"/>
      <c r="I138" s="883"/>
      <c r="J138" s="180"/>
    </row>
    <row r="139" spans="1:10">
      <c r="A139" s="57"/>
      <c r="B139" s="48" t="s">
        <v>875</v>
      </c>
      <c r="C139" s="882" t="s">
        <v>274</v>
      </c>
      <c r="D139" s="881">
        <f t="shared" ref="D139:I139" si="18">SUM(D140:D144)</f>
        <v>98</v>
      </c>
      <c r="E139" s="881">
        <f t="shared" si="18"/>
        <v>98</v>
      </c>
      <c r="F139" s="881">
        <f t="shared" si="18"/>
        <v>100</v>
      </c>
      <c r="G139" s="881">
        <f t="shared" si="18"/>
        <v>102</v>
      </c>
      <c r="H139" s="881">
        <f t="shared" si="18"/>
        <v>106</v>
      </c>
      <c r="I139" s="881">
        <f t="shared" si="18"/>
        <v>109</v>
      </c>
      <c r="J139" s="180">
        <f t="shared" si="13"/>
        <v>102.16666666666667</v>
      </c>
    </row>
    <row r="140" spans="1:10">
      <c r="A140" s="57"/>
      <c r="B140" s="58"/>
      <c r="C140" s="887" t="s">
        <v>1612</v>
      </c>
      <c r="D140" s="883">
        <f t="shared" ref="D140:I141" si="19">D173</f>
        <v>1</v>
      </c>
      <c r="E140" s="883">
        <f t="shared" si="19"/>
        <v>1</v>
      </c>
      <c r="F140" s="883">
        <f t="shared" si="19"/>
        <v>1</v>
      </c>
      <c r="G140" s="883">
        <f t="shared" si="19"/>
        <v>1</v>
      </c>
      <c r="H140" s="883">
        <f t="shared" si="19"/>
        <v>1</v>
      </c>
      <c r="I140" s="883">
        <f t="shared" si="19"/>
        <v>1</v>
      </c>
      <c r="J140" s="180">
        <f t="shared" si="13"/>
        <v>1</v>
      </c>
    </row>
    <row r="141" spans="1:10">
      <c r="A141" s="57"/>
      <c r="B141" s="58"/>
      <c r="C141" s="887" t="s">
        <v>1612</v>
      </c>
      <c r="D141" s="883">
        <f t="shared" si="19"/>
        <v>97</v>
      </c>
      <c r="E141" s="883">
        <f t="shared" si="19"/>
        <v>97</v>
      </c>
      <c r="F141" s="883">
        <f t="shared" si="19"/>
        <v>99</v>
      </c>
      <c r="G141" s="883">
        <f t="shared" si="19"/>
        <v>101</v>
      </c>
      <c r="H141" s="883">
        <f t="shared" si="19"/>
        <v>105</v>
      </c>
      <c r="I141" s="883">
        <f t="shared" si="19"/>
        <v>108</v>
      </c>
      <c r="J141" s="180">
        <f t="shared" si="13"/>
        <v>101.16666666666667</v>
      </c>
    </row>
    <row r="142" spans="1:10">
      <c r="A142" s="57"/>
      <c r="B142" s="58"/>
      <c r="C142" s="887"/>
      <c r="D142" s="883"/>
      <c r="E142" s="883"/>
      <c r="F142" s="883"/>
      <c r="G142" s="883"/>
      <c r="H142" s="883"/>
      <c r="I142" s="883"/>
      <c r="J142" s="180"/>
    </row>
    <row r="143" spans="1:10">
      <c r="A143" s="57"/>
      <c r="B143" s="58"/>
      <c r="C143" s="887"/>
      <c r="D143" s="883"/>
      <c r="E143" s="883"/>
      <c r="F143" s="883"/>
      <c r="G143" s="883"/>
      <c r="H143" s="883"/>
      <c r="I143" s="883"/>
      <c r="J143" s="180"/>
    </row>
    <row r="144" spans="1:10">
      <c r="A144" s="57"/>
      <c r="B144" s="58"/>
      <c r="C144" s="887"/>
      <c r="D144" s="883"/>
      <c r="E144" s="883"/>
      <c r="F144" s="883"/>
      <c r="G144" s="883"/>
      <c r="H144" s="883"/>
      <c r="I144" s="883"/>
      <c r="J144" s="180"/>
    </row>
    <row r="145" spans="1:10">
      <c r="A145" s="57"/>
      <c r="B145" s="58"/>
      <c r="C145" s="887"/>
      <c r="D145" s="883"/>
      <c r="E145" s="883"/>
      <c r="F145" s="883"/>
      <c r="G145" s="883"/>
      <c r="H145" s="883"/>
      <c r="I145" s="883"/>
      <c r="J145" s="180"/>
    </row>
    <row r="146" spans="1:10">
      <c r="A146" s="57"/>
      <c r="B146" s="58"/>
      <c r="C146" s="880" t="s">
        <v>111</v>
      </c>
      <c r="D146" s="881">
        <f t="shared" ref="D146:I146" si="20">D114+D122+D135</f>
        <v>281</v>
      </c>
      <c r="E146" s="881">
        <f t="shared" si="20"/>
        <v>279</v>
      </c>
      <c r="F146" s="881">
        <f t="shared" si="20"/>
        <v>283</v>
      </c>
      <c r="G146" s="881">
        <f t="shared" si="20"/>
        <v>287</v>
      </c>
      <c r="H146" s="881">
        <f t="shared" si="20"/>
        <v>292</v>
      </c>
      <c r="I146" s="881">
        <f t="shared" si="20"/>
        <v>297</v>
      </c>
      <c r="J146" s="180">
        <f t="shared" si="13"/>
        <v>286.5</v>
      </c>
    </row>
    <row r="147" spans="1:10">
      <c r="B147" s="58"/>
      <c r="E147" s="60"/>
    </row>
    <row r="148" spans="1:10">
      <c r="B148" s="58"/>
      <c r="E148" s="60"/>
    </row>
    <row r="149" spans="1:10">
      <c r="C149" s="880" t="s">
        <v>111</v>
      </c>
      <c r="D149" s="881">
        <f t="shared" ref="D149:J149" si="21">D107+D146</f>
        <v>537325</v>
      </c>
      <c r="E149" s="881">
        <f t="shared" si="21"/>
        <v>538339</v>
      </c>
      <c r="F149" s="881">
        <f t="shared" si="21"/>
        <v>538147</v>
      </c>
      <c r="G149" s="881">
        <f t="shared" si="21"/>
        <v>538416</v>
      </c>
      <c r="H149" s="881">
        <f t="shared" si="21"/>
        <v>536943</v>
      </c>
      <c r="I149" s="881">
        <f t="shared" si="21"/>
        <v>538717</v>
      </c>
      <c r="J149" s="180">
        <f t="shared" si="21"/>
        <v>537981.16666666663</v>
      </c>
    </row>
    <row r="150" spans="1:10">
      <c r="E150" s="60"/>
    </row>
    <row r="151" spans="1:10">
      <c r="C151" s="52" t="str">
        <f>'PORTADA PORTADA PORTADA'!$B$23</f>
        <v>1 DE JULIO DE 2026</v>
      </c>
    </row>
    <row r="153" spans="1:10">
      <c r="C153" s="37" t="s">
        <v>273</v>
      </c>
      <c r="D153" s="60"/>
      <c r="E153" s="60"/>
      <c r="F153" s="60"/>
      <c r="G153" s="60"/>
      <c r="H153" s="60"/>
      <c r="I153" s="60"/>
      <c r="J153" s="60"/>
    </row>
    <row r="154" spans="1:10">
      <c r="C154" s="37" t="s">
        <v>274</v>
      </c>
      <c r="D154" s="60"/>
      <c r="E154" s="60"/>
      <c r="F154" s="60"/>
      <c r="G154" s="60"/>
      <c r="H154" s="60"/>
      <c r="I154" s="60"/>
      <c r="J154" s="60"/>
    </row>
    <row r="155" spans="1:10">
      <c r="C155" s="37" t="s">
        <v>275</v>
      </c>
      <c r="D155" s="60"/>
      <c r="E155" s="60"/>
      <c r="F155" s="60"/>
      <c r="G155" s="60"/>
      <c r="H155" s="60"/>
      <c r="I155" s="60"/>
      <c r="J155" s="60"/>
    </row>
    <row r="156" spans="1:10">
      <c r="C156" s="37" t="s">
        <v>276</v>
      </c>
      <c r="D156" s="60"/>
      <c r="E156" s="60"/>
      <c r="F156" s="60"/>
      <c r="G156" s="60"/>
      <c r="H156" s="60"/>
      <c r="I156" s="60"/>
      <c r="J156" s="60"/>
    </row>
    <row r="157" spans="1:10">
      <c r="C157" s="37" t="s">
        <v>277</v>
      </c>
      <c r="D157" s="60"/>
      <c r="E157" s="60"/>
      <c r="F157" s="60"/>
      <c r="G157" s="60"/>
      <c r="H157" s="60"/>
      <c r="I157" s="60"/>
      <c r="J157" s="60"/>
    </row>
    <row r="158" spans="1:10">
      <c r="C158" s="37" t="s">
        <v>278</v>
      </c>
      <c r="D158" s="60"/>
      <c r="E158" s="60"/>
      <c r="F158" s="60"/>
      <c r="G158" s="60"/>
      <c r="H158" s="60"/>
      <c r="I158" s="60"/>
      <c r="J158" s="60"/>
    </row>
    <row r="159" spans="1:10">
      <c r="C159" s="37" t="s">
        <v>279</v>
      </c>
      <c r="D159" s="60"/>
      <c r="E159" s="60"/>
      <c r="F159" s="60"/>
      <c r="G159" s="60"/>
      <c r="H159" s="60"/>
      <c r="I159" s="60"/>
      <c r="J159" s="60"/>
    </row>
    <row r="160" spans="1:10">
      <c r="C160" s="52" t="s">
        <v>111</v>
      </c>
      <c r="D160" s="60"/>
      <c r="E160" s="60"/>
      <c r="F160" s="60"/>
      <c r="G160" s="60"/>
      <c r="H160" s="60"/>
      <c r="I160" s="60"/>
      <c r="J160" s="520"/>
    </row>
    <row r="162" spans="3:9">
      <c r="C162" s="574" t="s">
        <v>813</v>
      </c>
      <c r="D162" s="575">
        <f t="shared" ref="D162:I162" si="22">D4</f>
        <v>45839</v>
      </c>
      <c r="E162" s="575">
        <f t="shared" si="22"/>
        <v>45870</v>
      </c>
      <c r="F162" s="575">
        <f t="shared" si="22"/>
        <v>45901</v>
      </c>
      <c r="G162" s="575">
        <f t="shared" si="22"/>
        <v>45931</v>
      </c>
      <c r="H162" s="575">
        <f t="shared" si="22"/>
        <v>45962</v>
      </c>
      <c r="I162" s="575">
        <f t="shared" si="22"/>
        <v>45992</v>
      </c>
    </row>
    <row r="163" spans="3:9">
      <c r="C163" s="576" t="s">
        <v>963</v>
      </c>
      <c r="D163" s="577">
        <f>1</f>
        <v>1</v>
      </c>
      <c r="E163" s="577">
        <f>1</f>
        <v>1</v>
      </c>
      <c r="F163" s="577">
        <f>1</f>
        <v>1</v>
      </c>
      <c r="G163" s="577">
        <f>1</f>
        <v>1</v>
      </c>
      <c r="H163" s="577">
        <f>1</f>
        <v>1</v>
      </c>
      <c r="I163" s="577">
        <f>1</f>
        <v>1</v>
      </c>
    </row>
    <row r="164" spans="3:9">
      <c r="C164" s="576" t="s">
        <v>964</v>
      </c>
      <c r="D164" s="577"/>
      <c r="E164" s="577"/>
      <c r="F164" s="577"/>
      <c r="G164" s="577"/>
      <c r="H164" s="577"/>
      <c r="I164" s="577"/>
    </row>
    <row r="165" spans="3:9">
      <c r="C165" s="576" t="s">
        <v>806</v>
      </c>
      <c r="D165" s="577">
        <v>0</v>
      </c>
      <c r="E165" s="577">
        <v>0</v>
      </c>
      <c r="F165" s="577">
        <v>0</v>
      </c>
      <c r="G165" s="577">
        <v>0</v>
      </c>
      <c r="H165" s="577">
        <v>0</v>
      </c>
      <c r="I165" s="577">
        <v>0</v>
      </c>
    </row>
    <row r="166" spans="3:9">
      <c r="C166" s="576" t="s">
        <v>809</v>
      </c>
      <c r="D166" s="577">
        <v>1</v>
      </c>
      <c r="E166" s="577">
        <v>1</v>
      </c>
      <c r="F166" s="577">
        <v>1</v>
      </c>
      <c r="G166" s="577">
        <v>1</v>
      </c>
      <c r="H166" s="577">
        <v>1</v>
      </c>
      <c r="I166" s="577">
        <v>1</v>
      </c>
    </row>
    <row r="167" spans="3:9">
      <c r="C167" s="576" t="s">
        <v>807</v>
      </c>
      <c r="D167" s="577">
        <v>29</v>
      </c>
      <c r="E167" s="577">
        <v>28</v>
      </c>
      <c r="F167" s="577">
        <v>29</v>
      </c>
      <c r="G167" s="577">
        <v>29</v>
      </c>
      <c r="H167" s="577">
        <v>29</v>
      </c>
      <c r="I167" s="577">
        <v>31</v>
      </c>
    </row>
    <row r="168" spans="3:9">
      <c r="C168" s="576" t="s">
        <v>808</v>
      </c>
      <c r="D168" s="577"/>
      <c r="E168" s="577"/>
      <c r="F168" s="577"/>
      <c r="G168" s="577"/>
      <c r="H168" s="577"/>
      <c r="I168" s="577"/>
    </row>
    <row r="169" spans="3:9">
      <c r="C169" s="576" t="s">
        <v>1351</v>
      </c>
      <c r="D169" s="577">
        <v>0</v>
      </c>
      <c r="E169" s="577">
        <v>0</v>
      </c>
      <c r="F169" s="577">
        <v>0</v>
      </c>
      <c r="G169" s="577">
        <v>0</v>
      </c>
      <c r="H169" s="577">
        <v>0</v>
      </c>
      <c r="I169" s="577">
        <v>0</v>
      </c>
    </row>
    <row r="170" spans="3:9">
      <c r="C170" s="576" t="s">
        <v>1352</v>
      </c>
      <c r="D170" s="577">
        <v>149</v>
      </c>
      <c r="E170" s="577">
        <v>148</v>
      </c>
      <c r="F170" s="577">
        <v>149</v>
      </c>
      <c r="G170" s="577">
        <v>151</v>
      </c>
      <c r="H170" s="577">
        <v>152</v>
      </c>
      <c r="I170" s="577">
        <v>152</v>
      </c>
    </row>
    <row r="171" spans="3:9">
      <c r="C171" s="576" t="s">
        <v>928</v>
      </c>
      <c r="D171" s="577">
        <v>3</v>
      </c>
      <c r="E171" s="577">
        <v>3</v>
      </c>
      <c r="F171" s="577">
        <v>3</v>
      </c>
      <c r="G171" s="577">
        <v>3</v>
      </c>
      <c r="H171" s="577">
        <v>3</v>
      </c>
      <c r="I171" s="577">
        <v>3</v>
      </c>
    </row>
    <row r="172" spans="3:9">
      <c r="C172" s="576" t="s">
        <v>929</v>
      </c>
      <c r="D172" s="577"/>
      <c r="E172" s="577"/>
      <c r="F172" s="577"/>
      <c r="G172" s="577"/>
      <c r="H172" s="577"/>
      <c r="I172" s="577"/>
    </row>
    <row r="173" spans="3:9">
      <c r="C173" s="576" t="s">
        <v>1353</v>
      </c>
      <c r="D173" s="577">
        <v>1</v>
      </c>
      <c r="E173" s="577">
        <v>1</v>
      </c>
      <c r="F173" s="577">
        <v>1</v>
      </c>
      <c r="G173" s="577">
        <v>1</v>
      </c>
      <c r="H173" s="577">
        <v>1</v>
      </c>
      <c r="I173" s="577">
        <v>1</v>
      </c>
    </row>
    <row r="174" spans="3:9">
      <c r="C174" s="576" t="s">
        <v>1354</v>
      </c>
      <c r="D174" s="577">
        <v>97</v>
      </c>
      <c r="E174" s="577">
        <v>97</v>
      </c>
      <c r="F174" s="577">
        <v>99</v>
      </c>
      <c r="G174" s="577">
        <v>101</v>
      </c>
      <c r="H174" s="577">
        <v>105</v>
      </c>
      <c r="I174" s="577">
        <v>108</v>
      </c>
    </row>
    <row r="175" spans="3:9">
      <c r="C175" s="74"/>
      <c r="D175" s="92">
        <f t="shared" ref="D175:I175" si="23">SUM(D163:D174)</f>
        <v>281</v>
      </c>
      <c r="E175" s="92">
        <f t="shared" si="23"/>
        <v>279</v>
      </c>
      <c r="F175" s="92">
        <f t="shared" si="23"/>
        <v>283</v>
      </c>
      <c r="G175" s="92">
        <f t="shared" si="23"/>
        <v>287</v>
      </c>
      <c r="H175" s="92">
        <f t="shared" si="23"/>
        <v>292</v>
      </c>
      <c r="I175" s="92">
        <f t="shared" si="23"/>
        <v>297</v>
      </c>
    </row>
    <row r="176" spans="3:9">
      <c r="C176" s="74"/>
      <c r="D176" s="578">
        <f t="shared" ref="D176:I176" si="24">D175-D146</f>
        <v>0</v>
      </c>
      <c r="E176" s="578">
        <f t="shared" si="24"/>
        <v>0</v>
      </c>
      <c r="F176" s="578">
        <f t="shared" si="24"/>
        <v>0</v>
      </c>
      <c r="G176" s="578">
        <f t="shared" si="24"/>
        <v>0</v>
      </c>
      <c r="H176" s="578">
        <f t="shared" si="24"/>
        <v>0</v>
      </c>
      <c r="I176" s="578">
        <f t="shared" si="24"/>
        <v>0</v>
      </c>
    </row>
    <row r="184" spans="2:10">
      <c r="D184" s="520">
        <f>SUM(D186:D189)</f>
        <v>531153</v>
      </c>
      <c r="E184" s="520">
        <f t="shared" ref="E184:J184" si="25">SUM(E186:E189)</f>
        <v>532168</v>
      </c>
      <c r="F184" s="520">
        <f t="shared" si="25"/>
        <v>531967</v>
      </c>
      <c r="G184" s="520">
        <f t="shared" si="25"/>
        <v>532171</v>
      </c>
      <c r="H184" s="520">
        <f t="shared" si="25"/>
        <v>530690</v>
      </c>
      <c r="I184" s="520">
        <f t="shared" si="25"/>
        <v>532444</v>
      </c>
      <c r="J184" s="520">
        <f t="shared" si="25"/>
        <v>531765.5</v>
      </c>
    </row>
    <row r="186" spans="2:10" s="63" customFormat="1" ht="15">
      <c r="B186" s="48" t="s">
        <v>902</v>
      </c>
      <c r="D186" s="64">
        <f t="shared" ref="D186:J195" si="26">SUMIF($B$4:$B$146,$B186,D$4:D$146)</f>
        <v>77837</v>
      </c>
      <c r="E186" s="64">
        <f t="shared" si="26"/>
        <v>79889</v>
      </c>
      <c r="F186" s="64">
        <f t="shared" si="26"/>
        <v>80414</v>
      </c>
      <c r="G186" s="64">
        <f t="shared" si="26"/>
        <v>81683</v>
      </c>
      <c r="H186" s="64">
        <f t="shared" si="26"/>
        <v>81353</v>
      </c>
      <c r="I186" s="64">
        <f t="shared" si="26"/>
        <v>83851</v>
      </c>
      <c r="J186" s="64">
        <f t="shared" si="26"/>
        <v>80837.833333333343</v>
      </c>
    </row>
    <row r="187" spans="2:10" s="63" customFormat="1" ht="15">
      <c r="B187" s="48" t="s">
        <v>751</v>
      </c>
      <c r="D187" s="64">
        <f t="shared" si="26"/>
        <v>307534</v>
      </c>
      <c r="E187" s="64">
        <f t="shared" si="26"/>
        <v>305702</v>
      </c>
      <c r="F187" s="64">
        <f t="shared" si="26"/>
        <v>308952</v>
      </c>
      <c r="G187" s="64">
        <f t="shared" si="26"/>
        <v>307242</v>
      </c>
      <c r="H187" s="64">
        <f t="shared" si="26"/>
        <v>312556</v>
      </c>
      <c r="I187" s="64">
        <f t="shared" si="26"/>
        <v>313204</v>
      </c>
      <c r="J187" s="64">
        <f t="shared" si="26"/>
        <v>309198.33333333331</v>
      </c>
    </row>
    <row r="188" spans="2:10" s="63" customFormat="1" ht="15">
      <c r="B188" s="48" t="s">
        <v>750</v>
      </c>
      <c r="D188" s="64">
        <f t="shared" si="26"/>
        <v>111649</v>
      </c>
      <c r="E188" s="64">
        <f t="shared" si="26"/>
        <v>112832</v>
      </c>
      <c r="F188" s="64">
        <f t="shared" si="26"/>
        <v>109861</v>
      </c>
      <c r="G188" s="64">
        <f t="shared" si="26"/>
        <v>110192</v>
      </c>
      <c r="H188" s="64">
        <f t="shared" si="26"/>
        <v>106348</v>
      </c>
      <c r="I188" s="64">
        <f t="shared" si="26"/>
        <v>104061</v>
      </c>
      <c r="J188" s="64">
        <f t="shared" si="26"/>
        <v>109157.16666666667</v>
      </c>
    </row>
    <row r="189" spans="2:10" s="63" customFormat="1" ht="15">
      <c r="B189" s="48" t="s">
        <v>749</v>
      </c>
      <c r="D189" s="64">
        <f t="shared" si="26"/>
        <v>34133</v>
      </c>
      <c r="E189" s="64">
        <f t="shared" si="26"/>
        <v>33745</v>
      </c>
      <c r="F189" s="64">
        <f t="shared" si="26"/>
        <v>32740</v>
      </c>
      <c r="G189" s="64">
        <f t="shared" si="26"/>
        <v>33054</v>
      </c>
      <c r="H189" s="64">
        <f t="shared" si="26"/>
        <v>30433</v>
      </c>
      <c r="I189" s="64">
        <f t="shared" si="26"/>
        <v>31328</v>
      </c>
      <c r="J189" s="64">
        <f t="shared" si="26"/>
        <v>32572.166666666668</v>
      </c>
    </row>
    <row r="190" spans="2:10" s="63" customFormat="1" ht="15">
      <c r="B190" s="48" t="s">
        <v>1176</v>
      </c>
      <c r="D190" s="64">
        <f t="shared" si="26"/>
        <v>0</v>
      </c>
      <c r="E190" s="64">
        <f t="shared" si="26"/>
        <v>0</v>
      </c>
      <c r="F190" s="64">
        <f t="shared" si="26"/>
        <v>0</v>
      </c>
      <c r="G190" s="64">
        <f t="shared" si="26"/>
        <v>0</v>
      </c>
      <c r="H190" s="64">
        <f t="shared" si="26"/>
        <v>0</v>
      </c>
      <c r="I190" s="64">
        <f t="shared" si="26"/>
        <v>0</v>
      </c>
      <c r="J190" s="64">
        <f t="shared" si="26"/>
        <v>0</v>
      </c>
    </row>
    <row r="191" spans="2:10" s="63" customFormat="1" ht="15">
      <c r="B191" s="48" t="s">
        <v>274</v>
      </c>
      <c r="D191" s="64">
        <f t="shared" si="26"/>
        <v>5370</v>
      </c>
      <c r="E191" s="64">
        <f t="shared" si="26"/>
        <v>5366</v>
      </c>
      <c r="F191" s="64">
        <f t="shared" si="26"/>
        <v>5369</v>
      </c>
      <c r="G191" s="64">
        <f t="shared" si="26"/>
        <v>5426</v>
      </c>
      <c r="H191" s="64">
        <f t="shared" si="26"/>
        <v>5439</v>
      </c>
      <c r="I191" s="64">
        <f t="shared" si="26"/>
        <v>5456</v>
      </c>
      <c r="J191" s="64">
        <f t="shared" si="26"/>
        <v>5404.333333333333</v>
      </c>
    </row>
    <row r="192" spans="2:10" s="63" customFormat="1" ht="15">
      <c r="B192" s="48" t="s">
        <v>275</v>
      </c>
      <c r="D192" s="64">
        <f t="shared" si="26"/>
        <v>93</v>
      </c>
      <c r="E192" s="64">
        <f t="shared" si="26"/>
        <v>92</v>
      </c>
      <c r="F192" s="64">
        <f t="shared" si="26"/>
        <v>90</v>
      </c>
      <c r="G192" s="64">
        <f t="shared" si="26"/>
        <v>91</v>
      </c>
      <c r="H192" s="64">
        <f t="shared" si="26"/>
        <v>87</v>
      </c>
      <c r="I192" s="64">
        <f t="shared" si="26"/>
        <v>88</v>
      </c>
      <c r="J192" s="64">
        <f t="shared" si="26"/>
        <v>90.166666666666671</v>
      </c>
    </row>
    <row r="193" spans="2:10" s="63" customFormat="1" ht="15">
      <c r="B193" s="48" t="s">
        <v>276</v>
      </c>
      <c r="D193" s="64">
        <f t="shared" si="26"/>
        <v>399</v>
      </c>
      <c r="E193" s="64">
        <f t="shared" si="26"/>
        <v>405</v>
      </c>
      <c r="F193" s="64">
        <f t="shared" si="26"/>
        <v>409</v>
      </c>
      <c r="G193" s="64">
        <f t="shared" si="26"/>
        <v>412</v>
      </c>
      <c r="H193" s="64">
        <f t="shared" si="26"/>
        <v>406</v>
      </c>
      <c r="I193" s="64">
        <f t="shared" si="26"/>
        <v>406</v>
      </c>
      <c r="J193" s="64">
        <f t="shared" si="26"/>
        <v>406.16666666666669</v>
      </c>
    </row>
    <row r="194" spans="2:10" s="63" customFormat="1" ht="15">
      <c r="B194" s="48" t="s">
        <v>277</v>
      </c>
      <c r="D194" s="64">
        <f t="shared" si="26"/>
        <v>26</v>
      </c>
      <c r="E194" s="64">
        <f t="shared" si="26"/>
        <v>26</v>
      </c>
      <c r="F194" s="64">
        <f t="shared" si="26"/>
        <v>26</v>
      </c>
      <c r="G194" s="64">
        <f t="shared" si="26"/>
        <v>26</v>
      </c>
      <c r="H194" s="64">
        <f t="shared" si="26"/>
        <v>26</v>
      </c>
      <c r="I194" s="64">
        <f t="shared" si="26"/>
        <v>23</v>
      </c>
      <c r="J194" s="64">
        <f t="shared" si="26"/>
        <v>25.5</v>
      </c>
    </row>
    <row r="195" spans="2:10" s="63" customFormat="1" ht="15">
      <c r="B195" s="48" t="s">
        <v>278</v>
      </c>
      <c r="D195" s="64">
        <f t="shared" si="26"/>
        <v>0</v>
      </c>
      <c r="E195" s="64">
        <f t="shared" si="26"/>
        <v>0</v>
      </c>
      <c r="F195" s="64">
        <f t="shared" si="26"/>
        <v>0</v>
      </c>
      <c r="G195" s="64">
        <f t="shared" si="26"/>
        <v>0</v>
      </c>
      <c r="H195" s="64">
        <f t="shared" si="26"/>
        <v>0</v>
      </c>
      <c r="I195" s="64">
        <f t="shared" si="26"/>
        <v>0</v>
      </c>
      <c r="J195" s="64">
        <f t="shared" si="26"/>
        <v>0</v>
      </c>
    </row>
    <row r="196" spans="2:10" s="63" customFormat="1" ht="15">
      <c r="B196" s="48" t="s">
        <v>279</v>
      </c>
      <c r="D196" s="64">
        <f t="shared" ref="D196:J203" si="27">SUMIF($B$4:$B$146,$B196,D$4:D$146)</f>
        <v>3</v>
      </c>
      <c r="E196" s="64">
        <f t="shared" si="27"/>
        <v>3</v>
      </c>
      <c r="F196" s="64">
        <f t="shared" si="27"/>
        <v>3</v>
      </c>
      <c r="G196" s="64">
        <f t="shared" si="27"/>
        <v>3</v>
      </c>
      <c r="H196" s="64">
        <f t="shared" si="27"/>
        <v>3</v>
      </c>
      <c r="I196" s="64">
        <f t="shared" si="27"/>
        <v>3</v>
      </c>
      <c r="J196" s="64">
        <f t="shared" si="27"/>
        <v>3</v>
      </c>
    </row>
    <row r="197" spans="2:10" s="63" customFormat="1" ht="15">
      <c r="B197" s="48" t="s">
        <v>875</v>
      </c>
      <c r="D197" s="64">
        <f t="shared" si="27"/>
        <v>98</v>
      </c>
      <c r="E197" s="64">
        <f t="shared" si="27"/>
        <v>98</v>
      </c>
      <c r="F197" s="64">
        <f t="shared" si="27"/>
        <v>100</v>
      </c>
      <c r="G197" s="64">
        <f t="shared" si="27"/>
        <v>102</v>
      </c>
      <c r="H197" s="64">
        <f t="shared" si="27"/>
        <v>106</v>
      </c>
      <c r="I197" s="64">
        <f t="shared" si="27"/>
        <v>109</v>
      </c>
      <c r="J197" s="64">
        <f t="shared" si="27"/>
        <v>102.16666666666667</v>
      </c>
    </row>
    <row r="198" spans="2:10" s="63" customFormat="1" ht="15">
      <c r="B198" s="48" t="s">
        <v>874</v>
      </c>
      <c r="D198" s="64">
        <f t="shared" si="27"/>
        <v>3</v>
      </c>
      <c r="E198" s="64">
        <f t="shared" si="27"/>
        <v>3</v>
      </c>
      <c r="F198" s="64">
        <f t="shared" si="27"/>
        <v>3</v>
      </c>
      <c r="G198" s="64">
        <f t="shared" si="27"/>
        <v>3</v>
      </c>
      <c r="H198" s="64">
        <f t="shared" si="27"/>
        <v>3</v>
      </c>
      <c r="I198" s="64">
        <f t="shared" si="27"/>
        <v>3</v>
      </c>
      <c r="J198" s="64">
        <f t="shared" si="27"/>
        <v>3</v>
      </c>
    </row>
    <row r="199" spans="2:10" s="63" customFormat="1" ht="15">
      <c r="B199" s="48" t="s">
        <v>873</v>
      </c>
      <c r="D199" s="64">
        <f t="shared" si="27"/>
        <v>149</v>
      </c>
      <c r="E199" s="64">
        <f t="shared" si="27"/>
        <v>148</v>
      </c>
      <c r="F199" s="64">
        <f t="shared" si="27"/>
        <v>149</v>
      </c>
      <c r="G199" s="64">
        <f t="shared" si="27"/>
        <v>151</v>
      </c>
      <c r="H199" s="64">
        <f t="shared" si="27"/>
        <v>152</v>
      </c>
      <c r="I199" s="64">
        <f t="shared" si="27"/>
        <v>152</v>
      </c>
      <c r="J199" s="64">
        <f t="shared" si="27"/>
        <v>150.16666666666666</v>
      </c>
    </row>
    <row r="200" spans="2:10" s="63" customFormat="1" ht="15">
      <c r="B200" s="48" t="s">
        <v>872</v>
      </c>
      <c r="D200" s="64">
        <f t="shared" si="27"/>
        <v>29</v>
      </c>
      <c r="E200" s="64">
        <f t="shared" si="27"/>
        <v>28</v>
      </c>
      <c r="F200" s="64">
        <f t="shared" si="27"/>
        <v>29</v>
      </c>
      <c r="G200" s="64">
        <f t="shared" si="27"/>
        <v>29</v>
      </c>
      <c r="H200" s="64">
        <f t="shared" si="27"/>
        <v>29</v>
      </c>
      <c r="I200" s="64">
        <f t="shared" si="27"/>
        <v>31</v>
      </c>
      <c r="J200" s="64">
        <f t="shared" si="27"/>
        <v>29.166666666666668</v>
      </c>
    </row>
    <row r="201" spans="2:10" s="63" customFormat="1" ht="15">
      <c r="B201" s="48" t="s">
        <v>871</v>
      </c>
      <c r="D201" s="64">
        <f t="shared" si="27"/>
        <v>1</v>
      </c>
      <c r="E201" s="64">
        <f t="shared" si="27"/>
        <v>1</v>
      </c>
      <c r="F201" s="64">
        <f t="shared" si="27"/>
        <v>1</v>
      </c>
      <c r="G201" s="64">
        <f t="shared" si="27"/>
        <v>1</v>
      </c>
      <c r="H201" s="64">
        <f t="shared" si="27"/>
        <v>1</v>
      </c>
      <c r="I201" s="64">
        <f t="shared" si="27"/>
        <v>1</v>
      </c>
      <c r="J201" s="64">
        <f t="shared" si="27"/>
        <v>1</v>
      </c>
    </row>
    <row r="202" spans="2:10" s="63" customFormat="1" ht="15">
      <c r="B202" s="48" t="s">
        <v>870</v>
      </c>
      <c r="D202" s="64">
        <f t="shared" si="27"/>
        <v>1</v>
      </c>
      <c r="E202" s="64">
        <f t="shared" si="27"/>
        <v>1</v>
      </c>
      <c r="F202" s="64">
        <f t="shared" si="27"/>
        <v>1</v>
      </c>
      <c r="G202" s="64">
        <f t="shared" si="27"/>
        <v>1</v>
      </c>
      <c r="H202" s="64">
        <f t="shared" si="27"/>
        <v>1</v>
      </c>
      <c r="I202" s="64">
        <f t="shared" si="27"/>
        <v>1</v>
      </c>
      <c r="J202" s="64">
        <f t="shared" si="27"/>
        <v>1</v>
      </c>
    </row>
    <row r="203" spans="2:10" s="63" customFormat="1" ht="15">
      <c r="B203" s="48" t="s">
        <v>890</v>
      </c>
      <c r="D203" s="64">
        <f t="shared" si="27"/>
        <v>0</v>
      </c>
      <c r="E203" s="64">
        <f t="shared" si="27"/>
        <v>0</v>
      </c>
      <c r="F203" s="64">
        <f t="shared" si="27"/>
        <v>0</v>
      </c>
      <c r="G203" s="64">
        <f t="shared" si="27"/>
        <v>0</v>
      </c>
      <c r="H203" s="64">
        <f t="shared" si="27"/>
        <v>0</v>
      </c>
      <c r="I203" s="64">
        <f t="shared" si="27"/>
        <v>0</v>
      </c>
      <c r="J203" s="64">
        <f t="shared" si="27"/>
        <v>0</v>
      </c>
    </row>
    <row r="204" spans="2:10" s="63" customFormat="1" ht="15">
      <c r="B204" s="48" t="s">
        <v>111</v>
      </c>
      <c r="D204" s="65">
        <f t="shared" ref="D204:J204" si="28">SUM(D186:D203)</f>
        <v>537325</v>
      </c>
      <c r="E204" s="65">
        <f t="shared" si="28"/>
        <v>538339</v>
      </c>
      <c r="F204" s="65">
        <f t="shared" si="28"/>
        <v>538147</v>
      </c>
      <c r="G204" s="65">
        <f t="shared" si="28"/>
        <v>538416</v>
      </c>
      <c r="H204" s="65">
        <f t="shared" si="28"/>
        <v>536943</v>
      </c>
      <c r="I204" s="65">
        <f t="shared" si="28"/>
        <v>538717</v>
      </c>
      <c r="J204" s="65">
        <f t="shared" si="28"/>
        <v>537981.16666666651</v>
      </c>
    </row>
    <row r="205" spans="2:10" s="63" customFormat="1" ht="17.25" customHeight="1">
      <c r="B205" s="48"/>
      <c r="D205" s="66">
        <f t="shared" ref="D205:J205" si="29">D204-D107-D146</f>
        <v>0</v>
      </c>
      <c r="E205" s="66">
        <f t="shared" si="29"/>
        <v>0</v>
      </c>
      <c r="F205" s="66">
        <f t="shared" si="29"/>
        <v>0</v>
      </c>
      <c r="G205" s="66">
        <f t="shared" si="29"/>
        <v>0</v>
      </c>
      <c r="H205" s="66">
        <f t="shared" si="29"/>
        <v>0</v>
      </c>
      <c r="I205" s="66">
        <f t="shared" si="29"/>
        <v>0</v>
      </c>
      <c r="J205" s="66">
        <f t="shared" si="29"/>
        <v>-1.1641532182693481E-10</v>
      </c>
    </row>
  </sheetData>
  <phoneticPr fontId="0" type="noConversion"/>
  <printOptions horizontalCentered="1" verticalCentered="1" headings="1"/>
  <pageMargins left="0.59055118110236227" right="0.59055118110236227" top="0.78740157480314965" bottom="0.59055118110236227" header="0.59055118110236227" footer="0.47244094488188981"/>
  <pageSetup scale="34" orientation="portrait" r:id="rId1"/>
  <headerFooter>
    <oddHeader>&amp;L&amp;"Times New Roman,Negrita"&amp;14Nombre de la Distribuidora: &amp;K06-048ENSA&amp;RASEP FORM: &amp;A</oddHeader>
    <oddFooter>&amp;R&amp;A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Hoja85">
    <tabColor theme="5" tint="0.59999389629810485"/>
    <pageSetUpPr fitToPage="1"/>
  </sheetPr>
  <dimension ref="A1:AI210"/>
  <sheetViews>
    <sheetView view="pageBreakPreview" topLeftCell="A111" zoomScale="70" zoomScaleNormal="70" zoomScaleSheetLayoutView="70" workbookViewId="0">
      <selection activeCell="C59" sqref="C59"/>
    </sheetView>
  </sheetViews>
  <sheetFormatPr baseColWidth="10" defaultColWidth="11" defaultRowHeight="13.5"/>
  <cols>
    <col min="1" max="1" width="2.625" style="37" customWidth="1"/>
    <col min="2" max="2" width="5.625" style="37" bestFit="1" customWidth="1"/>
    <col min="3" max="3" width="31.875" style="37" customWidth="1"/>
    <col min="4" max="24" width="8.875" style="37" customWidth="1"/>
    <col min="25" max="31" width="5.75" style="37" hidden="1" customWidth="1"/>
    <col min="32" max="32" width="3.625" style="37" customWidth="1"/>
    <col min="33" max="35" width="7.875" style="84" bestFit="1" customWidth="1"/>
    <col min="36" max="16384" width="11" style="37"/>
  </cols>
  <sheetData>
    <row r="1" spans="2:35" ht="14.25" thickBot="1"/>
    <row r="2" spans="2:35" s="38" customFormat="1">
      <c r="C2" s="510" t="s">
        <v>686</v>
      </c>
      <c r="H2" s="41"/>
      <c r="I2" s="41"/>
      <c r="J2" s="41"/>
      <c r="O2" s="41"/>
      <c r="P2" s="42"/>
      <c r="Q2" s="41"/>
      <c r="V2" s="41"/>
      <c r="W2" s="42"/>
      <c r="X2" s="41"/>
      <c r="Z2" s="37"/>
      <c r="AA2" s="37"/>
      <c r="AC2" s="41"/>
      <c r="AD2" s="42"/>
      <c r="AE2" s="41"/>
      <c r="AF2" s="41"/>
      <c r="AG2" s="84"/>
      <c r="AH2" s="84"/>
      <c r="AI2" s="84"/>
    </row>
    <row r="3" spans="2:35" ht="12.95" customHeight="1">
      <c r="C3" s="960"/>
      <c r="D3" s="1016"/>
      <c r="E3" s="1016"/>
      <c r="F3" s="1016"/>
      <c r="G3" s="1016"/>
      <c r="H3" s="1016"/>
      <c r="I3" s="1016"/>
      <c r="J3" s="1016"/>
      <c r="K3" s="1016"/>
      <c r="L3" s="1016"/>
      <c r="M3" s="1016"/>
      <c r="N3" s="1016"/>
      <c r="O3" s="1016"/>
      <c r="P3" s="1016"/>
      <c r="Q3" s="1016"/>
      <c r="R3" s="1016"/>
      <c r="S3" s="1016"/>
      <c r="T3" s="1016"/>
      <c r="U3" s="1016"/>
      <c r="V3" s="1016"/>
      <c r="W3" s="1016"/>
      <c r="X3" s="1016"/>
      <c r="Y3" s="1016"/>
      <c r="Z3" s="1016"/>
      <c r="AA3" s="1016"/>
      <c r="AB3" s="1016"/>
      <c r="AC3" s="1016"/>
      <c r="AD3" s="1016"/>
      <c r="AE3" s="1016"/>
      <c r="AF3" s="1398"/>
      <c r="AG3" s="579"/>
      <c r="AH3" s="579"/>
      <c r="AI3" s="579"/>
    </row>
    <row r="4" spans="2:35" s="51" customFormat="1" ht="38.25" customHeight="1">
      <c r="C4" s="963" t="s">
        <v>43</v>
      </c>
      <c r="D4" s="1016">
        <f>F821C!D4</f>
        <v>45839</v>
      </c>
      <c r="E4" s="1016">
        <f>F821C!E4</f>
        <v>45870</v>
      </c>
      <c r="F4" s="1016">
        <f>F821C!F4</f>
        <v>45901</v>
      </c>
      <c r="G4" s="1016">
        <f>F821C!G4</f>
        <v>45931</v>
      </c>
      <c r="H4" s="1016">
        <f>F821C!H4</f>
        <v>45962</v>
      </c>
      <c r="I4" s="1016">
        <f>F821C!I4</f>
        <v>45992</v>
      </c>
      <c r="J4" s="966" t="s">
        <v>154</v>
      </c>
      <c r="K4" s="1016">
        <f>D4</f>
        <v>45839</v>
      </c>
      <c r="L4" s="1016">
        <f t="shared" ref="L4:P19" si="0">E4</f>
        <v>45870</v>
      </c>
      <c r="M4" s="1016">
        <f t="shared" si="0"/>
        <v>45901</v>
      </c>
      <c r="N4" s="1016">
        <f t="shared" si="0"/>
        <v>45931</v>
      </c>
      <c r="O4" s="1016">
        <f t="shared" si="0"/>
        <v>45962</v>
      </c>
      <c r="P4" s="1016">
        <f t="shared" si="0"/>
        <v>45992</v>
      </c>
      <c r="Q4" s="966" t="s">
        <v>154</v>
      </c>
      <c r="R4" s="1016">
        <f>D4</f>
        <v>45839</v>
      </c>
      <c r="S4" s="1016">
        <f t="shared" ref="S4:W4" si="1">E4</f>
        <v>45870</v>
      </c>
      <c r="T4" s="1016">
        <f t="shared" si="1"/>
        <v>45901</v>
      </c>
      <c r="U4" s="1016">
        <f t="shared" si="1"/>
        <v>45931</v>
      </c>
      <c r="V4" s="1016">
        <f t="shared" si="1"/>
        <v>45962</v>
      </c>
      <c r="W4" s="1016">
        <f t="shared" si="1"/>
        <v>45992</v>
      </c>
      <c r="X4" s="966" t="s">
        <v>154</v>
      </c>
      <c r="Y4" s="966"/>
      <c r="Z4" s="966"/>
      <c r="AA4" s="966"/>
      <c r="AB4" s="966"/>
      <c r="AC4" s="966"/>
      <c r="AD4" s="966"/>
      <c r="AE4" s="966"/>
      <c r="AF4" s="1390"/>
      <c r="AG4" s="580"/>
      <c r="AH4" s="580"/>
      <c r="AI4" s="580"/>
    </row>
    <row r="5" spans="2:35" s="52" customFormat="1">
      <c r="B5" s="37"/>
      <c r="C5" s="880" t="s">
        <v>446</v>
      </c>
      <c r="D5" s="881">
        <v>28506</v>
      </c>
      <c r="E5" s="881">
        <v>27886</v>
      </c>
      <c r="F5" s="881">
        <v>27315</v>
      </c>
      <c r="G5" s="881">
        <v>27588</v>
      </c>
      <c r="H5" s="881">
        <v>27180</v>
      </c>
      <c r="I5" s="881">
        <v>27327</v>
      </c>
      <c r="J5" s="180">
        <f>AVERAGE(D5:I5)</f>
        <v>27633.666666666668</v>
      </c>
      <c r="K5" s="881">
        <f>D5</f>
        <v>28506</v>
      </c>
      <c r="L5" s="881">
        <f t="shared" si="0"/>
        <v>27886</v>
      </c>
      <c r="M5" s="881">
        <f t="shared" si="0"/>
        <v>27315</v>
      </c>
      <c r="N5" s="881">
        <f t="shared" si="0"/>
        <v>27588</v>
      </c>
      <c r="O5" s="881">
        <f t="shared" si="0"/>
        <v>27180</v>
      </c>
      <c r="P5" s="881">
        <f t="shared" si="0"/>
        <v>27327</v>
      </c>
      <c r="Q5" s="180">
        <f>AVERAGE(K5:P5)</f>
        <v>27633.666666666668</v>
      </c>
      <c r="R5" s="881">
        <v>28107</v>
      </c>
      <c r="S5" s="881">
        <v>27928</v>
      </c>
      <c r="T5" s="881">
        <v>27379</v>
      </c>
      <c r="U5" s="881">
        <v>27624</v>
      </c>
      <c r="V5" s="881">
        <v>27553</v>
      </c>
      <c r="W5" s="881">
        <v>27286</v>
      </c>
      <c r="X5" s="180">
        <f>AVERAGE(R5:W5)</f>
        <v>27646.166666666668</v>
      </c>
      <c r="Y5" s="881"/>
      <c r="Z5" s="881"/>
      <c r="AA5" s="881"/>
      <c r="AB5" s="881"/>
      <c r="AC5" s="881"/>
      <c r="AD5" s="881"/>
      <c r="AE5" s="180"/>
      <c r="AF5" s="1389"/>
      <c r="AG5" s="340">
        <f t="shared" ref="AG5:AG48" si="2">J5</f>
        <v>27633.666666666668</v>
      </c>
      <c r="AH5" s="340">
        <f t="shared" ref="AH5:AH48" si="3">Q5</f>
        <v>27633.666666666668</v>
      </c>
      <c r="AI5" s="340">
        <f t="shared" ref="AI5:AI48" si="4">X5</f>
        <v>27646.166666666668</v>
      </c>
    </row>
    <row r="6" spans="2:35">
      <c r="B6" s="48" t="s">
        <v>279</v>
      </c>
      <c r="C6" s="882" t="s">
        <v>279</v>
      </c>
      <c r="D6" s="883">
        <v>28506</v>
      </c>
      <c r="E6" s="883">
        <v>27886</v>
      </c>
      <c r="F6" s="883">
        <v>27315</v>
      </c>
      <c r="G6" s="883">
        <v>27588</v>
      </c>
      <c r="H6" s="883">
        <v>27180</v>
      </c>
      <c r="I6" s="883">
        <v>27327</v>
      </c>
      <c r="J6" s="180">
        <f>AVERAGE(D6:I6)</f>
        <v>27633.666666666668</v>
      </c>
      <c r="K6" s="881">
        <f t="shared" ref="K6:K69" si="5">D6</f>
        <v>28506</v>
      </c>
      <c r="L6" s="881">
        <f t="shared" si="0"/>
        <v>27886</v>
      </c>
      <c r="M6" s="881">
        <f t="shared" si="0"/>
        <v>27315</v>
      </c>
      <c r="N6" s="881">
        <f t="shared" si="0"/>
        <v>27588</v>
      </c>
      <c r="O6" s="881">
        <f t="shared" si="0"/>
        <v>27180</v>
      </c>
      <c r="P6" s="881">
        <f t="shared" si="0"/>
        <v>27327</v>
      </c>
      <c r="Q6" s="180">
        <f>AVERAGE(K6:P6)</f>
        <v>27633.666666666668</v>
      </c>
      <c r="R6" s="883">
        <v>28107</v>
      </c>
      <c r="S6" s="883">
        <v>27928</v>
      </c>
      <c r="T6" s="883">
        <v>27379</v>
      </c>
      <c r="U6" s="883">
        <v>27624</v>
      </c>
      <c r="V6" s="883">
        <v>27553</v>
      </c>
      <c r="W6" s="883">
        <v>27286</v>
      </c>
      <c r="X6" s="180">
        <f>AVERAGE(R6:W6)</f>
        <v>27646.166666666668</v>
      </c>
      <c r="Y6" s="883"/>
      <c r="Z6" s="883"/>
      <c r="AA6" s="883"/>
      <c r="AB6" s="883"/>
      <c r="AC6" s="883"/>
      <c r="AD6" s="883"/>
      <c r="AE6" s="180"/>
      <c r="AF6" s="1389"/>
      <c r="AG6" s="340">
        <f t="shared" si="2"/>
        <v>27633.666666666668</v>
      </c>
      <c r="AH6" s="340">
        <f t="shared" si="3"/>
        <v>27633.666666666668</v>
      </c>
      <c r="AI6" s="340">
        <f>X6</f>
        <v>27646.166666666668</v>
      </c>
    </row>
    <row r="7" spans="2:35">
      <c r="B7" s="48" t="s">
        <v>278</v>
      </c>
      <c r="C7" s="882" t="s">
        <v>278</v>
      </c>
      <c r="D7" s="883">
        <v>0</v>
      </c>
      <c r="E7" s="883">
        <v>0</v>
      </c>
      <c r="F7" s="883">
        <v>0</v>
      </c>
      <c r="G7" s="883">
        <v>0</v>
      </c>
      <c r="H7" s="883">
        <v>0</v>
      </c>
      <c r="I7" s="883">
        <v>0</v>
      </c>
      <c r="J7" s="180">
        <f>AVERAGE(D7:I7)</f>
        <v>0</v>
      </c>
      <c r="K7" s="881">
        <f t="shared" si="5"/>
        <v>0</v>
      </c>
      <c r="L7" s="881">
        <f t="shared" si="0"/>
        <v>0</v>
      </c>
      <c r="M7" s="881">
        <f t="shared" si="0"/>
        <v>0</v>
      </c>
      <c r="N7" s="881">
        <f t="shared" si="0"/>
        <v>0</v>
      </c>
      <c r="O7" s="881">
        <f t="shared" si="0"/>
        <v>0</v>
      </c>
      <c r="P7" s="881">
        <f t="shared" si="0"/>
        <v>0</v>
      </c>
      <c r="Q7" s="180">
        <f>AVERAGE(K7:P7)</f>
        <v>0</v>
      </c>
      <c r="R7" s="883">
        <v>0</v>
      </c>
      <c r="S7" s="883">
        <v>0</v>
      </c>
      <c r="T7" s="883">
        <v>0</v>
      </c>
      <c r="U7" s="883">
        <v>0</v>
      </c>
      <c r="V7" s="883">
        <v>0</v>
      </c>
      <c r="W7" s="883">
        <v>0</v>
      </c>
      <c r="X7" s="180">
        <f>AVERAGE(R7:W7)</f>
        <v>0</v>
      </c>
      <c r="Y7" s="883"/>
      <c r="Z7" s="883"/>
      <c r="AA7" s="883"/>
      <c r="AB7" s="883"/>
      <c r="AC7" s="883"/>
      <c r="AD7" s="883"/>
      <c r="AE7" s="180"/>
      <c r="AF7" s="1389"/>
      <c r="AG7" s="340">
        <f t="shared" si="2"/>
        <v>0</v>
      </c>
      <c r="AH7" s="340">
        <f t="shared" si="3"/>
        <v>0</v>
      </c>
      <c r="AI7" s="340">
        <f t="shared" si="4"/>
        <v>0</v>
      </c>
    </row>
    <row r="8" spans="2:35">
      <c r="B8" s="48"/>
      <c r="C8" s="884"/>
      <c r="D8" s="883"/>
      <c r="E8" s="883"/>
      <c r="F8" s="883"/>
      <c r="G8" s="883"/>
      <c r="H8" s="883"/>
      <c r="I8" s="883"/>
      <c r="J8" s="180"/>
      <c r="K8" s="881">
        <f t="shared" si="5"/>
        <v>0</v>
      </c>
      <c r="L8" s="881">
        <f t="shared" si="0"/>
        <v>0</v>
      </c>
      <c r="M8" s="881">
        <f t="shared" si="0"/>
        <v>0</v>
      </c>
      <c r="N8" s="881">
        <f t="shared" si="0"/>
        <v>0</v>
      </c>
      <c r="O8" s="881">
        <f t="shared" si="0"/>
        <v>0</v>
      </c>
      <c r="P8" s="881">
        <f t="shared" si="0"/>
        <v>0</v>
      </c>
      <c r="Q8" s="180"/>
      <c r="R8" s="883"/>
      <c r="S8" s="883"/>
      <c r="T8" s="883"/>
      <c r="U8" s="883"/>
      <c r="V8" s="883"/>
      <c r="W8" s="883"/>
      <c r="X8" s="180"/>
      <c r="Y8" s="883"/>
      <c r="Z8" s="883"/>
      <c r="AA8" s="883"/>
      <c r="AB8" s="883"/>
      <c r="AC8" s="883"/>
      <c r="AD8" s="883"/>
      <c r="AE8" s="180"/>
      <c r="AF8" s="1389"/>
      <c r="AG8" s="340">
        <f t="shared" si="2"/>
        <v>0</v>
      </c>
      <c r="AH8" s="340">
        <f t="shared" si="3"/>
        <v>0</v>
      </c>
      <c r="AI8" s="340">
        <f t="shared" si="4"/>
        <v>0</v>
      </c>
    </row>
    <row r="9" spans="2:35" s="52" customFormat="1">
      <c r="B9" s="48"/>
      <c r="C9" s="880" t="s">
        <v>630</v>
      </c>
      <c r="D9" s="881">
        <v>95368</v>
      </c>
      <c r="E9" s="881">
        <v>96333</v>
      </c>
      <c r="F9" s="881">
        <v>95618</v>
      </c>
      <c r="G9" s="881">
        <v>88918</v>
      </c>
      <c r="H9" s="881">
        <v>91133</v>
      </c>
      <c r="I9" s="881">
        <v>89871</v>
      </c>
      <c r="J9" s="180">
        <f>AVERAGE(D9:I9)</f>
        <v>92873.5</v>
      </c>
      <c r="K9" s="881">
        <f t="shared" si="5"/>
        <v>95368</v>
      </c>
      <c r="L9" s="881">
        <f t="shared" si="0"/>
        <v>96333</v>
      </c>
      <c r="M9" s="881">
        <f t="shared" si="0"/>
        <v>95618</v>
      </c>
      <c r="N9" s="881">
        <f t="shared" si="0"/>
        <v>88918</v>
      </c>
      <c r="O9" s="881">
        <f t="shared" si="0"/>
        <v>91133</v>
      </c>
      <c r="P9" s="881">
        <f t="shared" si="0"/>
        <v>89871</v>
      </c>
      <c r="Q9" s="180">
        <f>AVERAGE(K9:P9)</f>
        <v>92873.5</v>
      </c>
      <c r="R9" s="881">
        <v>12067</v>
      </c>
      <c r="S9" s="881">
        <v>12498</v>
      </c>
      <c r="T9" s="881">
        <v>12876</v>
      </c>
      <c r="U9" s="881">
        <v>3601</v>
      </c>
      <c r="V9" s="881">
        <v>9972</v>
      </c>
      <c r="W9" s="881">
        <v>8722</v>
      </c>
      <c r="X9" s="180">
        <f>AVERAGE(R9:W9)</f>
        <v>9956</v>
      </c>
      <c r="Y9" s="881"/>
      <c r="Z9" s="881"/>
      <c r="AA9" s="881"/>
      <c r="AB9" s="881"/>
      <c r="AC9" s="881"/>
      <c r="AD9" s="881"/>
      <c r="AE9" s="180"/>
      <c r="AF9" s="1389"/>
      <c r="AG9" s="340">
        <f t="shared" si="2"/>
        <v>92873.5</v>
      </c>
      <c r="AH9" s="340">
        <f t="shared" si="3"/>
        <v>92873.5</v>
      </c>
      <c r="AI9" s="340">
        <f t="shared" si="4"/>
        <v>9956</v>
      </c>
    </row>
    <row r="10" spans="2:35">
      <c r="B10" s="48" t="s">
        <v>277</v>
      </c>
      <c r="C10" s="882" t="s">
        <v>277</v>
      </c>
      <c r="D10" s="881">
        <v>12542</v>
      </c>
      <c r="E10" s="881">
        <v>12756</v>
      </c>
      <c r="F10" s="881">
        <v>13164</v>
      </c>
      <c r="G10" s="881">
        <v>3519</v>
      </c>
      <c r="H10" s="881">
        <v>9799</v>
      </c>
      <c r="I10" s="881">
        <v>8527</v>
      </c>
      <c r="J10" s="180">
        <f>AVERAGE(D10:I10)</f>
        <v>10051.166666666666</v>
      </c>
      <c r="K10" s="881">
        <f t="shared" si="5"/>
        <v>12542</v>
      </c>
      <c r="L10" s="881">
        <f t="shared" si="0"/>
        <v>12756</v>
      </c>
      <c r="M10" s="881">
        <f t="shared" si="0"/>
        <v>13164</v>
      </c>
      <c r="N10" s="881">
        <f t="shared" si="0"/>
        <v>3519</v>
      </c>
      <c r="O10" s="881">
        <f t="shared" si="0"/>
        <v>9799</v>
      </c>
      <c r="P10" s="881">
        <f t="shared" si="0"/>
        <v>8527</v>
      </c>
      <c r="Q10" s="180">
        <f>AVERAGE(K10:P10)</f>
        <v>10051.166666666666</v>
      </c>
      <c r="R10" s="881">
        <v>12067</v>
      </c>
      <c r="S10" s="881">
        <v>12498</v>
      </c>
      <c r="T10" s="881">
        <v>12876</v>
      </c>
      <c r="U10" s="881">
        <v>3601</v>
      </c>
      <c r="V10" s="881">
        <v>9972</v>
      </c>
      <c r="W10" s="881">
        <v>8722</v>
      </c>
      <c r="X10" s="180">
        <f>AVERAGE(R10:W10)</f>
        <v>9956</v>
      </c>
      <c r="Y10" s="883"/>
      <c r="Z10" s="883"/>
      <c r="AA10" s="883"/>
      <c r="AB10" s="883"/>
      <c r="AC10" s="883"/>
      <c r="AD10" s="883"/>
      <c r="AE10" s="180"/>
      <c r="AF10" s="1389"/>
      <c r="AG10" s="340">
        <f t="shared" si="2"/>
        <v>10051.166666666666</v>
      </c>
      <c r="AH10" s="340">
        <f t="shared" si="3"/>
        <v>10051.166666666666</v>
      </c>
      <c r="AI10" s="340">
        <f t="shared" si="4"/>
        <v>9956</v>
      </c>
    </row>
    <row r="11" spans="2:35">
      <c r="B11" s="48"/>
      <c r="C11" s="887" t="s">
        <v>304</v>
      </c>
      <c r="D11" s="883">
        <v>11324</v>
      </c>
      <c r="E11" s="883">
        <v>11506</v>
      </c>
      <c r="F11" s="883">
        <v>11904</v>
      </c>
      <c r="G11" s="883">
        <v>2280</v>
      </c>
      <c r="H11" s="883">
        <v>8591</v>
      </c>
      <c r="I11" s="883">
        <v>8527</v>
      </c>
      <c r="J11" s="180">
        <f>AVERAGE(D11:I11)</f>
        <v>9022</v>
      </c>
      <c r="K11" s="881">
        <f t="shared" si="5"/>
        <v>11324</v>
      </c>
      <c r="L11" s="881">
        <f t="shared" si="0"/>
        <v>11506</v>
      </c>
      <c r="M11" s="881">
        <f t="shared" si="0"/>
        <v>11904</v>
      </c>
      <c r="N11" s="881">
        <f t="shared" si="0"/>
        <v>2280</v>
      </c>
      <c r="O11" s="881">
        <f t="shared" si="0"/>
        <v>8591</v>
      </c>
      <c r="P11" s="881">
        <f t="shared" si="0"/>
        <v>8527</v>
      </c>
      <c r="Q11" s="180">
        <f>AVERAGE(K11:P11)</f>
        <v>9022</v>
      </c>
      <c r="R11" s="883">
        <v>11027</v>
      </c>
      <c r="S11" s="883">
        <v>11406</v>
      </c>
      <c r="T11" s="883">
        <v>11752</v>
      </c>
      <c r="U11" s="883">
        <v>1805</v>
      </c>
      <c r="V11" s="883">
        <v>8806</v>
      </c>
      <c r="W11" s="883">
        <v>8722</v>
      </c>
      <c r="X11" s="180">
        <f>AVERAGE(R11:W11)</f>
        <v>8919.6666666666661</v>
      </c>
      <c r="Y11" s="883"/>
      <c r="Z11" s="883"/>
      <c r="AA11" s="883"/>
      <c r="AB11" s="883"/>
      <c r="AC11" s="883"/>
      <c r="AD11" s="883"/>
      <c r="AE11" s="180"/>
      <c r="AF11" s="1389"/>
      <c r="AG11" s="340">
        <f t="shared" ref="AG11:AG12" si="6">J11</f>
        <v>9022</v>
      </c>
      <c r="AH11" s="340">
        <f t="shared" ref="AH11:AH12" si="7">Q11</f>
        <v>9022</v>
      </c>
      <c r="AI11" s="340">
        <f t="shared" ref="AI11:AI12" si="8">X11</f>
        <v>8919.6666666666661</v>
      </c>
    </row>
    <row r="12" spans="2:35">
      <c r="B12" s="48"/>
      <c r="C12" s="887" t="s">
        <v>305</v>
      </c>
      <c r="D12" s="883">
        <v>1218</v>
      </c>
      <c r="E12" s="883">
        <v>1250</v>
      </c>
      <c r="F12" s="883">
        <v>1260</v>
      </c>
      <c r="G12" s="883">
        <v>1239</v>
      </c>
      <c r="H12" s="883">
        <v>1208</v>
      </c>
      <c r="I12" s="883">
        <v>0</v>
      </c>
      <c r="J12" s="180">
        <f>AVERAGE(D12:I12)</f>
        <v>1029.1666666666667</v>
      </c>
      <c r="K12" s="881">
        <f t="shared" si="5"/>
        <v>1218</v>
      </c>
      <c r="L12" s="881">
        <f t="shared" si="0"/>
        <v>1250</v>
      </c>
      <c r="M12" s="881">
        <f t="shared" si="0"/>
        <v>1260</v>
      </c>
      <c r="N12" s="881">
        <f t="shared" si="0"/>
        <v>1239</v>
      </c>
      <c r="O12" s="881">
        <f t="shared" si="0"/>
        <v>1208</v>
      </c>
      <c r="P12" s="881">
        <f t="shared" si="0"/>
        <v>0</v>
      </c>
      <c r="Q12" s="180">
        <f>AVERAGE(K12:P12)</f>
        <v>1029.1666666666667</v>
      </c>
      <c r="R12" s="883">
        <v>1040</v>
      </c>
      <c r="S12" s="883">
        <v>1092</v>
      </c>
      <c r="T12" s="883">
        <v>1124</v>
      </c>
      <c r="U12" s="883">
        <v>1796</v>
      </c>
      <c r="V12" s="883">
        <v>1166</v>
      </c>
      <c r="W12" s="883">
        <v>0</v>
      </c>
      <c r="X12" s="180">
        <f>AVERAGE(R12:W12)</f>
        <v>1036.3333333333333</v>
      </c>
      <c r="Y12" s="883"/>
      <c r="Z12" s="883"/>
      <c r="AA12" s="883"/>
      <c r="AB12" s="883"/>
      <c r="AC12" s="883"/>
      <c r="AD12" s="883"/>
      <c r="AE12" s="180"/>
      <c r="AF12" s="1389"/>
      <c r="AG12" s="340">
        <f t="shared" si="6"/>
        <v>1029.1666666666667</v>
      </c>
      <c r="AH12" s="340">
        <f t="shared" si="7"/>
        <v>1029.1666666666667</v>
      </c>
      <c r="AI12" s="340">
        <f t="shared" si="8"/>
        <v>1036.3333333333333</v>
      </c>
    </row>
    <row r="13" spans="2:35">
      <c r="B13" s="48"/>
      <c r="C13" s="887"/>
      <c r="D13" s="883"/>
      <c r="E13" s="883"/>
      <c r="F13" s="883"/>
      <c r="G13" s="883"/>
      <c r="H13" s="883"/>
      <c r="I13" s="883"/>
      <c r="J13" s="180"/>
      <c r="K13" s="881">
        <f t="shared" si="5"/>
        <v>0</v>
      </c>
      <c r="L13" s="881">
        <f t="shared" si="0"/>
        <v>0</v>
      </c>
      <c r="M13" s="881">
        <f t="shared" si="0"/>
        <v>0</v>
      </c>
      <c r="N13" s="881">
        <f t="shared" si="0"/>
        <v>0</v>
      </c>
      <c r="O13" s="881">
        <f t="shared" si="0"/>
        <v>0</v>
      </c>
      <c r="P13" s="881">
        <f t="shared" si="0"/>
        <v>0</v>
      </c>
      <c r="Q13" s="180"/>
      <c r="R13" s="883"/>
      <c r="S13" s="883"/>
      <c r="T13" s="883"/>
      <c r="U13" s="883"/>
      <c r="V13" s="883"/>
      <c r="W13" s="883"/>
      <c r="X13" s="180"/>
      <c r="Y13" s="883"/>
      <c r="Z13" s="883"/>
      <c r="AA13" s="883"/>
      <c r="AB13" s="883"/>
      <c r="AC13" s="883"/>
      <c r="AD13" s="883"/>
      <c r="AE13" s="180"/>
      <c r="AF13" s="1389"/>
      <c r="AG13" s="340"/>
      <c r="AH13" s="340"/>
      <c r="AI13" s="340"/>
    </row>
    <row r="14" spans="2:35" s="544" customFormat="1">
      <c r="B14" s="48" t="s">
        <v>276</v>
      </c>
      <c r="C14" s="885" t="s">
        <v>276</v>
      </c>
      <c r="D14" s="881">
        <v>82826</v>
      </c>
      <c r="E14" s="881">
        <v>83577</v>
      </c>
      <c r="F14" s="881">
        <v>82454</v>
      </c>
      <c r="G14" s="881">
        <v>85399</v>
      </c>
      <c r="H14" s="881">
        <v>81334</v>
      </c>
      <c r="I14" s="881">
        <v>81344</v>
      </c>
      <c r="J14" s="180">
        <f>AVERAGE(D14:I14)</f>
        <v>82822.333333333328</v>
      </c>
      <c r="K14" s="881">
        <f t="shared" si="5"/>
        <v>82826</v>
      </c>
      <c r="L14" s="881">
        <f t="shared" si="0"/>
        <v>83577</v>
      </c>
      <c r="M14" s="881">
        <f t="shared" si="0"/>
        <v>82454</v>
      </c>
      <c r="N14" s="881">
        <f t="shared" si="0"/>
        <v>85399</v>
      </c>
      <c r="O14" s="881">
        <f t="shared" si="0"/>
        <v>81334</v>
      </c>
      <c r="P14" s="881">
        <f t="shared" si="0"/>
        <v>81344</v>
      </c>
      <c r="Q14" s="180">
        <f>AVERAGE(K14:P14)</f>
        <v>82822.333333333328</v>
      </c>
      <c r="R14" s="881">
        <v>0</v>
      </c>
      <c r="S14" s="881">
        <v>0</v>
      </c>
      <c r="T14" s="881">
        <v>0</v>
      </c>
      <c r="U14" s="881">
        <v>0</v>
      </c>
      <c r="V14" s="881">
        <v>0</v>
      </c>
      <c r="W14" s="881">
        <v>0</v>
      </c>
      <c r="X14" s="180">
        <f t="shared" ref="X14:X24" si="9">AVERAGE(R14:W14)</f>
        <v>0</v>
      </c>
      <c r="Y14" s="881"/>
      <c r="Z14" s="881"/>
      <c r="AA14" s="881"/>
      <c r="AB14" s="881"/>
      <c r="AC14" s="881"/>
      <c r="AD14" s="881"/>
      <c r="AE14" s="881"/>
      <c r="AF14" s="975"/>
      <c r="AG14" s="340">
        <f t="shared" ref="AG14" si="10">J14</f>
        <v>82822.333333333328</v>
      </c>
      <c r="AH14" s="340">
        <f t="shared" ref="AH14" si="11">Q14</f>
        <v>82822.333333333328</v>
      </c>
      <c r="AI14" s="340">
        <f t="shared" ref="AI14" si="12">X14</f>
        <v>0</v>
      </c>
    </row>
    <row r="15" spans="2:35">
      <c r="B15" s="48"/>
      <c r="C15" s="887" t="s">
        <v>304</v>
      </c>
      <c r="D15" s="883">
        <v>82648</v>
      </c>
      <c r="E15" s="883">
        <v>83065</v>
      </c>
      <c r="F15" s="883">
        <v>82236</v>
      </c>
      <c r="G15" s="883">
        <v>85083</v>
      </c>
      <c r="H15" s="883">
        <v>80209</v>
      </c>
      <c r="I15" s="883">
        <v>80336</v>
      </c>
      <c r="J15" s="180">
        <f>AVERAGE(D15:I15)</f>
        <v>82262.833333333328</v>
      </c>
      <c r="K15" s="881">
        <f t="shared" si="5"/>
        <v>82648</v>
      </c>
      <c r="L15" s="881">
        <f t="shared" si="0"/>
        <v>83065</v>
      </c>
      <c r="M15" s="881">
        <f t="shared" si="0"/>
        <v>82236</v>
      </c>
      <c r="N15" s="881">
        <f t="shared" si="0"/>
        <v>85083</v>
      </c>
      <c r="O15" s="881">
        <f t="shared" si="0"/>
        <v>80209</v>
      </c>
      <c r="P15" s="881">
        <f t="shared" si="0"/>
        <v>80336</v>
      </c>
      <c r="Q15" s="180">
        <f>AVERAGE(K15:P15)</f>
        <v>82262.833333333328</v>
      </c>
      <c r="R15" s="883">
        <v>0</v>
      </c>
      <c r="S15" s="883">
        <v>0</v>
      </c>
      <c r="T15" s="883">
        <v>0</v>
      </c>
      <c r="U15" s="883">
        <v>0</v>
      </c>
      <c r="V15" s="883">
        <v>0</v>
      </c>
      <c r="W15" s="883">
        <v>0</v>
      </c>
      <c r="X15" s="180">
        <f t="shared" si="9"/>
        <v>0</v>
      </c>
      <c r="Y15" s="883"/>
      <c r="Z15" s="883"/>
      <c r="AA15" s="883"/>
      <c r="AB15" s="883"/>
      <c r="AC15" s="883"/>
      <c r="AD15" s="883"/>
      <c r="AE15" s="180"/>
      <c r="AF15" s="1389"/>
      <c r="AG15" s="340">
        <f t="shared" si="2"/>
        <v>82262.833333333328</v>
      </c>
      <c r="AH15" s="340">
        <f t="shared" si="3"/>
        <v>82262.833333333328</v>
      </c>
      <c r="AI15" s="340">
        <f t="shared" si="4"/>
        <v>0</v>
      </c>
    </row>
    <row r="16" spans="2:35">
      <c r="B16" s="48"/>
      <c r="C16" s="888" t="s">
        <v>306</v>
      </c>
      <c r="D16" s="883">
        <v>0</v>
      </c>
      <c r="E16" s="883">
        <v>0</v>
      </c>
      <c r="F16" s="883">
        <v>0</v>
      </c>
      <c r="G16" s="883">
        <v>0</v>
      </c>
      <c r="H16" s="883">
        <v>0</v>
      </c>
      <c r="I16" s="883">
        <v>0</v>
      </c>
      <c r="J16" s="180">
        <f>AVERAGE(D16:I16)</f>
        <v>0</v>
      </c>
      <c r="K16" s="881">
        <f t="shared" si="5"/>
        <v>0</v>
      </c>
      <c r="L16" s="881">
        <f t="shared" si="0"/>
        <v>0</v>
      </c>
      <c r="M16" s="881">
        <f t="shared" si="0"/>
        <v>0</v>
      </c>
      <c r="N16" s="881">
        <f t="shared" si="0"/>
        <v>0</v>
      </c>
      <c r="O16" s="881">
        <f t="shared" si="0"/>
        <v>0</v>
      </c>
      <c r="P16" s="881">
        <f t="shared" si="0"/>
        <v>0</v>
      </c>
      <c r="Q16" s="180">
        <f>AVERAGE(K16:P16)</f>
        <v>0</v>
      </c>
      <c r="R16" s="883">
        <v>0</v>
      </c>
      <c r="S16" s="883">
        <v>0</v>
      </c>
      <c r="T16" s="883">
        <v>0</v>
      </c>
      <c r="U16" s="883">
        <v>0</v>
      </c>
      <c r="V16" s="883">
        <v>0</v>
      </c>
      <c r="W16" s="883">
        <v>0</v>
      </c>
      <c r="X16" s="180">
        <f t="shared" si="9"/>
        <v>0</v>
      </c>
      <c r="Y16" s="883"/>
      <c r="Z16" s="883"/>
      <c r="AA16" s="883"/>
      <c r="AB16" s="883"/>
      <c r="AC16" s="883"/>
      <c r="AD16" s="883"/>
      <c r="AE16" s="180"/>
      <c r="AF16" s="1389"/>
      <c r="AG16" s="340">
        <f t="shared" si="2"/>
        <v>0</v>
      </c>
      <c r="AH16" s="340">
        <f t="shared" si="3"/>
        <v>0</v>
      </c>
      <c r="AI16" s="340">
        <f t="shared" si="4"/>
        <v>0</v>
      </c>
    </row>
    <row r="17" spans="2:35">
      <c r="B17" s="48"/>
      <c r="C17" s="887" t="s">
        <v>305</v>
      </c>
      <c r="D17" s="883">
        <v>178</v>
      </c>
      <c r="E17" s="883">
        <v>512</v>
      </c>
      <c r="F17" s="883">
        <v>218</v>
      </c>
      <c r="G17" s="883">
        <v>316</v>
      </c>
      <c r="H17" s="883">
        <v>1125</v>
      </c>
      <c r="I17" s="883">
        <v>1008</v>
      </c>
      <c r="J17" s="180">
        <f>AVERAGE(D17:I17)</f>
        <v>559.5</v>
      </c>
      <c r="K17" s="881">
        <f t="shared" si="5"/>
        <v>178</v>
      </c>
      <c r="L17" s="881">
        <f t="shared" si="0"/>
        <v>512</v>
      </c>
      <c r="M17" s="881">
        <f t="shared" si="0"/>
        <v>218</v>
      </c>
      <c r="N17" s="881">
        <f t="shared" si="0"/>
        <v>316</v>
      </c>
      <c r="O17" s="881">
        <f t="shared" si="0"/>
        <v>1125</v>
      </c>
      <c r="P17" s="881">
        <f t="shared" si="0"/>
        <v>1008</v>
      </c>
      <c r="Q17" s="180">
        <f>AVERAGE(K17:P17)</f>
        <v>559.5</v>
      </c>
      <c r="R17" s="883">
        <v>0</v>
      </c>
      <c r="S17" s="883">
        <v>0</v>
      </c>
      <c r="T17" s="883">
        <v>0</v>
      </c>
      <c r="U17" s="883">
        <v>0</v>
      </c>
      <c r="V17" s="883">
        <v>0</v>
      </c>
      <c r="W17" s="883">
        <v>0</v>
      </c>
      <c r="X17" s="180">
        <f t="shared" si="9"/>
        <v>0</v>
      </c>
      <c r="Y17" s="883"/>
      <c r="Z17" s="883"/>
      <c r="AA17" s="883"/>
      <c r="AB17" s="883"/>
      <c r="AC17" s="883"/>
      <c r="AD17" s="883"/>
      <c r="AE17" s="180"/>
      <c r="AF17" s="1389"/>
      <c r="AG17" s="340">
        <f t="shared" si="2"/>
        <v>559.5</v>
      </c>
      <c r="AH17" s="340">
        <f t="shared" si="3"/>
        <v>559.5</v>
      </c>
      <c r="AI17" s="340">
        <f t="shared" si="4"/>
        <v>0</v>
      </c>
    </row>
    <row r="18" spans="2:35">
      <c r="B18" s="48"/>
      <c r="C18" s="887" t="s">
        <v>307</v>
      </c>
      <c r="D18" s="883">
        <v>0</v>
      </c>
      <c r="E18" s="883">
        <v>0</v>
      </c>
      <c r="F18" s="883">
        <v>0</v>
      </c>
      <c r="G18" s="883">
        <v>0</v>
      </c>
      <c r="H18" s="883">
        <v>0</v>
      </c>
      <c r="I18" s="883">
        <v>0</v>
      </c>
      <c r="J18" s="180">
        <f>AVERAGE(D18:I18)</f>
        <v>0</v>
      </c>
      <c r="K18" s="881">
        <f t="shared" si="5"/>
        <v>0</v>
      </c>
      <c r="L18" s="881">
        <f t="shared" si="0"/>
        <v>0</v>
      </c>
      <c r="M18" s="881">
        <f t="shared" si="0"/>
        <v>0</v>
      </c>
      <c r="N18" s="881">
        <f t="shared" si="0"/>
        <v>0</v>
      </c>
      <c r="O18" s="881">
        <f t="shared" si="0"/>
        <v>0</v>
      </c>
      <c r="P18" s="881">
        <f t="shared" si="0"/>
        <v>0</v>
      </c>
      <c r="Q18" s="180">
        <f>AVERAGE(K18:P18)</f>
        <v>0</v>
      </c>
      <c r="R18" s="883">
        <v>0</v>
      </c>
      <c r="S18" s="883">
        <v>0</v>
      </c>
      <c r="T18" s="883">
        <v>0</v>
      </c>
      <c r="U18" s="883">
        <v>0</v>
      </c>
      <c r="V18" s="883">
        <v>0</v>
      </c>
      <c r="W18" s="883">
        <v>0</v>
      </c>
      <c r="X18" s="180">
        <f t="shared" si="9"/>
        <v>0</v>
      </c>
      <c r="Y18" s="883"/>
      <c r="Z18" s="883"/>
      <c r="AA18" s="883"/>
      <c r="AB18" s="883"/>
      <c r="AC18" s="883"/>
      <c r="AD18" s="883"/>
      <c r="AE18" s="180"/>
      <c r="AF18" s="1389"/>
      <c r="AG18" s="340">
        <f t="shared" si="2"/>
        <v>0</v>
      </c>
      <c r="AH18" s="340">
        <f t="shared" si="3"/>
        <v>0</v>
      </c>
      <c r="AI18" s="340">
        <f t="shared" si="4"/>
        <v>0</v>
      </c>
    </row>
    <row r="19" spans="2:35">
      <c r="B19" s="48"/>
      <c r="C19" s="884"/>
      <c r="D19" s="883"/>
      <c r="E19" s="883"/>
      <c r="F19" s="883"/>
      <c r="G19" s="883"/>
      <c r="H19" s="883"/>
      <c r="I19" s="883"/>
      <c r="J19" s="180"/>
      <c r="K19" s="881">
        <f t="shared" si="5"/>
        <v>0</v>
      </c>
      <c r="L19" s="881">
        <f t="shared" si="0"/>
        <v>0</v>
      </c>
      <c r="M19" s="881">
        <f t="shared" si="0"/>
        <v>0</v>
      </c>
      <c r="N19" s="881">
        <f t="shared" si="0"/>
        <v>0</v>
      </c>
      <c r="O19" s="881">
        <f t="shared" si="0"/>
        <v>0</v>
      </c>
      <c r="P19" s="881">
        <f t="shared" si="0"/>
        <v>0</v>
      </c>
      <c r="Q19" s="180"/>
      <c r="R19" s="883"/>
      <c r="S19" s="883"/>
      <c r="T19" s="883"/>
      <c r="U19" s="883"/>
      <c r="V19" s="883"/>
      <c r="W19" s="883"/>
      <c r="X19" s="180" t="e">
        <f t="shared" si="9"/>
        <v>#DIV/0!</v>
      </c>
      <c r="Y19" s="883"/>
      <c r="Z19" s="883"/>
      <c r="AA19" s="883"/>
      <c r="AB19" s="883"/>
      <c r="AC19" s="883"/>
      <c r="AD19" s="883"/>
      <c r="AE19" s="180"/>
      <c r="AF19" s="1389"/>
      <c r="AG19" s="340">
        <f t="shared" si="2"/>
        <v>0</v>
      </c>
      <c r="AH19" s="340">
        <f t="shared" si="3"/>
        <v>0</v>
      </c>
      <c r="AI19" s="340" t="e">
        <f t="shared" si="4"/>
        <v>#DIV/0!</v>
      </c>
    </row>
    <row r="20" spans="2:35" s="52" customFormat="1">
      <c r="B20" s="48"/>
      <c r="C20" s="880" t="s">
        <v>443</v>
      </c>
      <c r="D20" s="881">
        <v>232050</v>
      </c>
      <c r="E20" s="881">
        <v>239782</v>
      </c>
      <c r="F20" s="881">
        <v>238109</v>
      </c>
      <c r="G20" s="881">
        <v>238542</v>
      </c>
      <c r="H20" s="881">
        <v>238449</v>
      </c>
      <c r="I20" s="881">
        <v>236099</v>
      </c>
      <c r="J20" s="180">
        <f>AVERAGE(D20:I20)</f>
        <v>237171.83333333334</v>
      </c>
      <c r="K20" s="881">
        <f t="shared" si="5"/>
        <v>232050</v>
      </c>
      <c r="L20" s="881">
        <f t="shared" ref="L20:L83" si="13">E20</f>
        <v>239782</v>
      </c>
      <c r="M20" s="881">
        <f t="shared" ref="M20:M83" si="14">F20</f>
        <v>238109</v>
      </c>
      <c r="N20" s="881">
        <f t="shared" ref="N20:N83" si="15">G20</f>
        <v>238542</v>
      </c>
      <c r="O20" s="881">
        <f t="shared" ref="O20:O83" si="16">H20</f>
        <v>238449</v>
      </c>
      <c r="P20" s="881">
        <f t="shared" ref="P20:P83" si="17">I20</f>
        <v>236099</v>
      </c>
      <c r="Q20" s="180">
        <f>AVERAGE(K20:P20)</f>
        <v>237171.83333333334</v>
      </c>
      <c r="R20" s="881">
        <v>5647</v>
      </c>
      <c r="S20" s="881">
        <v>5826</v>
      </c>
      <c r="T20" s="881">
        <v>5772</v>
      </c>
      <c r="U20" s="881">
        <v>5571</v>
      </c>
      <c r="V20" s="881">
        <v>6007</v>
      </c>
      <c r="W20" s="881">
        <v>6148</v>
      </c>
      <c r="X20" s="180">
        <f t="shared" si="9"/>
        <v>5828.5</v>
      </c>
      <c r="Y20" s="881"/>
      <c r="Z20" s="881"/>
      <c r="AA20" s="881"/>
      <c r="AB20" s="881"/>
      <c r="AC20" s="881"/>
      <c r="AD20" s="881"/>
      <c r="AE20" s="180"/>
      <c r="AF20" s="1389"/>
      <c r="AG20" s="340">
        <f t="shared" si="2"/>
        <v>237171.83333333334</v>
      </c>
      <c r="AH20" s="340">
        <f t="shared" si="3"/>
        <v>237171.83333333334</v>
      </c>
      <c r="AI20" s="340">
        <f t="shared" si="4"/>
        <v>5828.5</v>
      </c>
    </row>
    <row r="21" spans="2:35">
      <c r="B21" s="48" t="s">
        <v>275</v>
      </c>
      <c r="C21" s="882" t="s">
        <v>275</v>
      </c>
      <c r="D21" s="881">
        <v>5184</v>
      </c>
      <c r="E21" s="881">
        <v>5220</v>
      </c>
      <c r="F21" s="881">
        <v>5209</v>
      </c>
      <c r="G21" s="881">
        <v>5142</v>
      </c>
      <c r="H21" s="881">
        <v>5439</v>
      </c>
      <c r="I21" s="881">
        <v>5602</v>
      </c>
      <c r="J21" s="180">
        <f>AVERAGE(D21:I21)</f>
        <v>5299.333333333333</v>
      </c>
      <c r="K21" s="881">
        <f t="shared" si="5"/>
        <v>5184</v>
      </c>
      <c r="L21" s="881">
        <f t="shared" si="13"/>
        <v>5220</v>
      </c>
      <c r="M21" s="881">
        <f t="shared" si="14"/>
        <v>5209</v>
      </c>
      <c r="N21" s="881">
        <f t="shared" si="15"/>
        <v>5142</v>
      </c>
      <c r="O21" s="881">
        <f t="shared" si="16"/>
        <v>5439</v>
      </c>
      <c r="P21" s="881">
        <f t="shared" si="17"/>
        <v>5602</v>
      </c>
      <c r="Q21" s="180">
        <f>AVERAGE(K21:P21)</f>
        <v>5299.333333333333</v>
      </c>
      <c r="R21" s="881">
        <v>5647</v>
      </c>
      <c r="S21" s="881">
        <v>5826</v>
      </c>
      <c r="T21" s="881">
        <v>5772</v>
      </c>
      <c r="U21" s="881">
        <v>5571</v>
      </c>
      <c r="V21" s="881">
        <v>6007</v>
      </c>
      <c r="W21" s="881">
        <v>6148</v>
      </c>
      <c r="X21" s="180">
        <f t="shared" si="9"/>
        <v>5828.5</v>
      </c>
      <c r="Y21" s="883"/>
      <c r="Z21" s="883"/>
      <c r="AA21" s="883"/>
      <c r="AB21" s="883"/>
      <c r="AC21" s="883"/>
      <c r="AD21" s="883"/>
      <c r="AE21" s="180"/>
      <c r="AF21" s="1389"/>
      <c r="AG21" s="340">
        <f t="shared" si="2"/>
        <v>5299.333333333333</v>
      </c>
      <c r="AH21" s="340">
        <f t="shared" si="3"/>
        <v>5299.333333333333</v>
      </c>
      <c r="AI21" s="340">
        <f t="shared" si="4"/>
        <v>5828.5</v>
      </c>
    </row>
    <row r="22" spans="2:35">
      <c r="B22" s="48"/>
      <c r="C22" s="887" t="s">
        <v>304</v>
      </c>
      <c r="D22" s="883">
        <v>5071</v>
      </c>
      <c r="E22" s="883">
        <v>5098</v>
      </c>
      <c r="F22" s="883">
        <v>5070</v>
      </c>
      <c r="G22" s="883">
        <v>5037</v>
      </c>
      <c r="H22" s="883">
        <v>5315</v>
      </c>
      <c r="I22" s="883">
        <v>5469</v>
      </c>
      <c r="J22" s="180">
        <f>AVERAGE(D22:I22)</f>
        <v>5176.666666666667</v>
      </c>
      <c r="K22" s="881">
        <f t="shared" si="5"/>
        <v>5071</v>
      </c>
      <c r="L22" s="881">
        <f t="shared" si="13"/>
        <v>5098</v>
      </c>
      <c r="M22" s="881">
        <f t="shared" si="14"/>
        <v>5070</v>
      </c>
      <c r="N22" s="881">
        <f t="shared" si="15"/>
        <v>5037</v>
      </c>
      <c r="O22" s="881">
        <f t="shared" si="16"/>
        <v>5315</v>
      </c>
      <c r="P22" s="881">
        <f t="shared" si="17"/>
        <v>5469</v>
      </c>
      <c r="Q22" s="180">
        <f>AVERAGE(K22:P22)</f>
        <v>5176.666666666667</v>
      </c>
      <c r="R22" s="883">
        <v>5509</v>
      </c>
      <c r="S22" s="883">
        <v>5676</v>
      </c>
      <c r="T22" s="883">
        <v>5629</v>
      </c>
      <c r="U22" s="883">
        <v>5424</v>
      </c>
      <c r="V22" s="883">
        <v>5842</v>
      </c>
      <c r="W22" s="883">
        <v>5954</v>
      </c>
      <c r="X22" s="180">
        <f t="shared" si="9"/>
        <v>5672.333333333333</v>
      </c>
      <c r="Y22" s="883"/>
      <c r="Z22" s="883"/>
      <c r="AA22" s="883"/>
      <c r="AB22" s="883"/>
      <c r="AC22" s="883"/>
      <c r="AD22" s="883"/>
      <c r="AE22" s="180"/>
      <c r="AF22" s="1389"/>
      <c r="AG22" s="340">
        <f t="shared" ref="AG22:AG24" si="18">J22</f>
        <v>5176.666666666667</v>
      </c>
      <c r="AH22" s="340">
        <f t="shared" ref="AH22:AH24" si="19">Q22</f>
        <v>5176.666666666667</v>
      </c>
      <c r="AI22" s="340">
        <f t="shared" ref="AI22:AI24" si="20">X22</f>
        <v>5672.333333333333</v>
      </c>
    </row>
    <row r="23" spans="2:35">
      <c r="B23" s="48"/>
      <c r="C23" s="888" t="s">
        <v>306</v>
      </c>
      <c r="D23" s="883">
        <v>86</v>
      </c>
      <c r="E23" s="883">
        <v>66</v>
      </c>
      <c r="F23" s="883">
        <v>77</v>
      </c>
      <c r="G23" s="883">
        <v>86</v>
      </c>
      <c r="H23" s="883">
        <v>78</v>
      </c>
      <c r="I23" s="883">
        <v>82</v>
      </c>
      <c r="J23" s="180">
        <f>AVERAGE(D23:I23)</f>
        <v>79.166666666666671</v>
      </c>
      <c r="K23" s="881">
        <f t="shared" si="5"/>
        <v>86</v>
      </c>
      <c r="L23" s="881">
        <f t="shared" si="13"/>
        <v>66</v>
      </c>
      <c r="M23" s="881">
        <f t="shared" si="14"/>
        <v>77</v>
      </c>
      <c r="N23" s="881">
        <f t="shared" si="15"/>
        <v>86</v>
      </c>
      <c r="O23" s="881">
        <f t="shared" si="16"/>
        <v>78</v>
      </c>
      <c r="P23" s="881">
        <f t="shared" si="17"/>
        <v>82</v>
      </c>
      <c r="Q23" s="180">
        <f>AVERAGE(K23:P23)</f>
        <v>79.166666666666671</v>
      </c>
      <c r="R23" s="883">
        <v>114</v>
      </c>
      <c r="S23" s="883">
        <v>124</v>
      </c>
      <c r="T23" s="883">
        <v>121</v>
      </c>
      <c r="U23" s="883">
        <v>125</v>
      </c>
      <c r="V23" s="883">
        <v>119</v>
      </c>
      <c r="W23" s="883">
        <v>144</v>
      </c>
      <c r="X23" s="180">
        <f t="shared" si="9"/>
        <v>124.5</v>
      </c>
      <c r="Y23" s="883"/>
      <c r="Z23" s="883"/>
      <c r="AA23" s="883"/>
      <c r="AB23" s="883"/>
      <c r="AC23" s="883"/>
      <c r="AD23" s="883"/>
      <c r="AE23" s="180"/>
      <c r="AF23" s="1389"/>
      <c r="AG23" s="340">
        <f t="shared" si="18"/>
        <v>79.166666666666671</v>
      </c>
      <c r="AH23" s="340">
        <f t="shared" si="19"/>
        <v>79.166666666666671</v>
      </c>
      <c r="AI23" s="340">
        <f t="shared" si="20"/>
        <v>124.5</v>
      </c>
    </row>
    <row r="24" spans="2:35">
      <c r="B24" s="48"/>
      <c r="C24" s="887" t="s">
        <v>305</v>
      </c>
      <c r="D24" s="883">
        <v>27</v>
      </c>
      <c r="E24" s="883">
        <v>56</v>
      </c>
      <c r="F24" s="883">
        <v>62</v>
      </c>
      <c r="G24" s="883">
        <v>19</v>
      </c>
      <c r="H24" s="883">
        <v>46</v>
      </c>
      <c r="I24" s="883">
        <v>51</v>
      </c>
      <c r="J24" s="180">
        <f>AVERAGE(D24:I24)</f>
        <v>43.5</v>
      </c>
      <c r="K24" s="881">
        <f t="shared" si="5"/>
        <v>27</v>
      </c>
      <c r="L24" s="881">
        <f t="shared" si="13"/>
        <v>56</v>
      </c>
      <c r="M24" s="881">
        <f t="shared" si="14"/>
        <v>62</v>
      </c>
      <c r="N24" s="881">
        <f t="shared" si="15"/>
        <v>19</v>
      </c>
      <c r="O24" s="881">
        <f t="shared" si="16"/>
        <v>46</v>
      </c>
      <c r="P24" s="881">
        <f t="shared" si="17"/>
        <v>51</v>
      </c>
      <c r="Q24" s="180">
        <f>AVERAGE(K24:P24)</f>
        <v>43.5</v>
      </c>
      <c r="R24" s="883">
        <v>24</v>
      </c>
      <c r="S24" s="883">
        <v>26</v>
      </c>
      <c r="T24" s="883">
        <v>22</v>
      </c>
      <c r="U24" s="883">
        <v>22</v>
      </c>
      <c r="V24" s="883">
        <v>46</v>
      </c>
      <c r="W24" s="883">
        <v>50</v>
      </c>
      <c r="X24" s="180">
        <f t="shared" si="9"/>
        <v>31.666666666666668</v>
      </c>
      <c r="Y24" s="883"/>
      <c r="Z24" s="883"/>
      <c r="AA24" s="883"/>
      <c r="AB24" s="883"/>
      <c r="AC24" s="883"/>
      <c r="AD24" s="883"/>
      <c r="AE24" s="180"/>
      <c r="AF24" s="1389"/>
      <c r="AG24" s="340">
        <f t="shared" si="18"/>
        <v>43.5</v>
      </c>
      <c r="AH24" s="340">
        <f t="shared" si="19"/>
        <v>43.5</v>
      </c>
      <c r="AI24" s="340">
        <f t="shared" si="20"/>
        <v>31.666666666666668</v>
      </c>
    </row>
    <row r="25" spans="2:35">
      <c r="B25" s="48"/>
      <c r="C25" s="887"/>
      <c r="D25" s="883"/>
      <c r="E25" s="883"/>
      <c r="F25" s="883"/>
      <c r="G25" s="883"/>
      <c r="H25" s="883"/>
      <c r="I25" s="883"/>
      <c r="J25" s="180"/>
      <c r="K25" s="881">
        <f t="shared" si="5"/>
        <v>0</v>
      </c>
      <c r="L25" s="881">
        <f t="shared" si="13"/>
        <v>0</v>
      </c>
      <c r="M25" s="881">
        <f t="shared" si="14"/>
        <v>0</v>
      </c>
      <c r="N25" s="881">
        <f t="shared" si="15"/>
        <v>0</v>
      </c>
      <c r="O25" s="881">
        <f t="shared" si="16"/>
        <v>0</v>
      </c>
      <c r="P25" s="881">
        <f t="shared" si="17"/>
        <v>0</v>
      </c>
      <c r="Q25" s="180"/>
      <c r="R25" s="883"/>
      <c r="S25" s="883"/>
      <c r="T25" s="883"/>
      <c r="U25" s="883"/>
      <c r="V25" s="883"/>
      <c r="W25" s="883"/>
      <c r="X25" s="180"/>
      <c r="Y25" s="883"/>
      <c r="Z25" s="883"/>
      <c r="AA25" s="883"/>
      <c r="AB25" s="883"/>
      <c r="AC25" s="883"/>
      <c r="AD25" s="883"/>
      <c r="AE25" s="180"/>
      <c r="AF25" s="1389"/>
      <c r="AG25" s="340"/>
      <c r="AH25" s="340"/>
      <c r="AI25" s="340"/>
    </row>
    <row r="26" spans="2:35">
      <c r="B26" s="48"/>
      <c r="C26" s="885" t="s">
        <v>1736</v>
      </c>
      <c r="D26" s="881">
        <v>226866</v>
      </c>
      <c r="E26" s="881">
        <v>234562</v>
      </c>
      <c r="F26" s="881">
        <v>232900</v>
      </c>
      <c r="G26" s="881">
        <v>233400</v>
      </c>
      <c r="H26" s="881">
        <v>233010</v>
      </c>
      <c r="I26" s="881">
        <v>230497</v>
      </c>
      <c r="J26" s="180">
        <f t="shared" ref="J26:J48" si="21">AVERAGE(D26:I26)</f>
        <v>231872.5</v>
      </c>
      <c r="K26" s="881">
        <f t="shared" si="5"/>
        <v>226866</v>
      </c>
      <c r="L26" s="881">
        <f t="shared" si="13"/>
        <v>234562</v>
      </c>
      <c r="M26" s="881">
        <f t="shared" si="14"/>
        <v>232900</v>
      </c>
      <c r="N26" s="881">
        <f t="shared" si="15"/>
        <v>233400</v>
      </c>
      <c r="O26" s="881">
        <f t="shared" si="16"/>
        <v>233010</v>
      </c>
      <c r="P26" s="881">
        <f t="shared" si="17"/>
        <v>230497</v>
      </c>
      <c r="Q26" s="180">
        <f t="shared" ref="Q26:Q48" si="22">AVERAGE(K26:P26)</f>
        <v>231872.5</v>
      </c>
      <c r="R26" s="881">
        <v>0</v>
      </c>
      <c r="S26" s="881">
        <v>0</v>
      </c>
      <c r="T26" s="881">
        <v>0</v>
      </c>
      <c r="U26" s="881">
        <v>0</v>
      </c>
      <c r="V26" s="881">
        <v>0</v>
      </c>
      <c r="W26" s="881">
        <v>0</v>
      </c>
      <c r="X26" s="180">
        <f t="shared" ref="X26:X48" si="23">AVERAGE(R26:W26)</f>
        <v>0</v>
      </c>
      <c r="Y26" s="883"/>
      <c r="Z26" s="883"/>
      <c r="AA26" s="883"/>
      <c r="AB26" s="883"/>
      <c r="AC26" s="883"/>
      <c r="AD26" s="883"/>
      <c r="AE26" s="180"/>
      <c r="AF26" s="1389"/>
      <c r="AG26" s="340">
        <f t="shared" ref="AG26" si="24">J26</f>
        <v>231872.5</v>
      </c>
      <c r="AH26" s="340">
        <f t="shared" ref="AH26" si="25">Q26</f>
        <v>231872.5</v>
      </c>
      <c r="AI26" s="340">
        <f t="shared" ref="AI26" si="26">X26</f>
        <v>0</v>
      </c>
    </row>
    <row r="27" spans="2:35" s="544" customFormat="1">
      <c r="B27" s="48" t="s">
        <v>274</v>
      </c>
      <c r="C27" s="885" t="s">
        <v>627</v>
      </c>
      <c r="D27" s="881">
        <v>94883</v>
      </c>
      <c r="E27" s="881">
        <v>94727</v>
      </c>
      <c r="F27" s="881">
        <v>96855</v>
      </c>
      <c r="G27" s="881">
        <v>95005</v>
      </c>
      <c r="H27" s="881">
        <v>100296</v>
      </c>
      <c r="I27" s="881">
        <v>103279</v>
      </c>
      <c r="J27" s="180">
        <f t="shared" si="21"/>
        <v>97507.5</v>
      </c>
      <c r="K27" s="881">
        <f t="shared" si="5"/>
        <v>94883</v>
      </c>
      <c r="L27" s="881">
        <f t="shared" si="13"/>
        <v>94727</v>
      </c>
      <c r="M27" s="881">
        <f t="shared" si="14"/>
        <v>96855</v>
      </c>
      <c r="N27" s="881">
        <f t="shared" si="15"/>
        <v>95005</v>
      </c>
      <c r="O27" s="881">
        <f t="shared" si="16"/>
        <v>100296</v>
      </c>
      <c r="P27" s="881">
        <f t="shared" si="17"/>
        <v>103279</v>
      </c>
      <c r="Q27" s="180">
        <f t="shared" si="22"/>
        <v>97507.5</v>
      </c>
      <c r="R27" s="881">
        <v>0</v>
      </c>
      <c r="S27" s="881">
        <v>0</v>
      </c>
      <c r="T27" s="881">
        <v>0</v>
      </c>
      <c r="U27" s="881">
        <v>0</v>
      </c>
      <c r="V27" s="881">
        <v>0</v>
      </c>
      <c r="W27" s="881">
        <v>0</v>
      </c>
      <c r="X27" s="180">
        <f t="shared" si="23"/>
        <v>0</v>
      </c>
      <c r="Y27" s="991"/>
      <c r="Z27" s="991"/>
      <c r="AA27" s="991"/>
      <c r="AB27" s="991"/>
      <c r="AC27" s="991"/>
      <c r="AD27" s="991"/>
      <c r="AE27" s="180"/>
      <c r="AF27" s="1389"/>
      <c r="AG27" s="340">
        <f t="shared" si="2"/>
        <v>97507.5</v>
      </c>
      <c r="AH27" s="340">
        <f t="shared" si="3"/>
        <v>97507.5</v>
      </c>
      <c r="AI27" s="340">
        <f t="shared" si="4"/>
        <v>0</v>
      </c>
    </row>
    <row r="28" spans="2:35">
      <c r="B28" s="48"/>
      <c r="C28" s="887" t="s">
        <v>304</v>
      </c>
      <c r="D28" s="883">
        <v>94625</v>
      </c>
      <c r="E28" s="883">
        <v>94477</v>
      </c>
      <c r="F28" s="883">
        <v>96581</v>
      </c>
      <c r="G28" s="883">
        <v>94738</v>
      </c>
      <c r="H28" s="883">
        <v>100005</v>
      </c>
      <c r="I28" s="883">
        <v>102994</v>
      </c>
      <c r="J28" s="180">
        <f t="shared" si="21"/>
        <v>97236.666666666672</v>
      </c>
      <c r="K28" s="881">
        <f t="shared" si="5"/>
        <v>94625</v>
      </c>
      <c r="L28" s="881">
        <f t="shared" si="13"/>
        <v>94477</v>
      </c>
      <c r="M28" s="881">
        <f t="shared" si="14"/>
        <v>96581</v>
      </c>
      <c r="N28" s="881">
        <f t="shared" si="15"/>
        <v>94738</v>
      </c>
      <c r="O28" s="881">
        <f t="shared" si="16"/>
        <v>100005</v>
      </c>
      <c r="P28" s="881">
        <f t="shared" si="17"/>
        <v>102994</v>
      </c>
      <c r="Q28" s="180">
        <f t="shared" si="22"/>
        <v>97236.666666666672</v>
      </c>
      <c r="R28" s="883">
        <v>0</v>
      </c>
      <c r="S28" s="883">
        <v>0</v>
      </c>
      <c r="T28" s="883">
        <v>0</v>
      </c>
      <c r="U28" s="883">
        <v>0</v>
      </c>
      <c r="V28" s="883">
        <v>0</v>
      </c>
      <c r="W28" s="883">
        <v>0</v>
      </c>
      <c r="X28" s="180">
        <f t="shared" si="23"/>
        <v>0</v>
      </c>
      <c r="Y28" s="883"/>
      <c r="Z28" s="883"/>
      <c r="AA28" s="883"/>
      <c r="AB28" s="883"/>
      <c r="AC28" s="883"/>
      <c r="AD28" s="883"/>
      <c r="AE28" s="180"/>
      <c r="AF28" s="1389"/>
      <c r="AG28" s="340">
        <f t="shared" si="2"/>
        <v>97236.666666666672</v>
      </c>
      <c r="AH28" s="340">
        <f t="shared" si="3"/>
        <v>97236.666666666672</v>
      </c>
      <c r="AI28" s="340">
        <f t="shared" si="4"/>
        <v>0</v>
      </c>
    </row>
    <row r="29" spans="2:35">
      <c r="B29" s="48"/>
      <c r="C29" s="888" t="s">
        <v>628</v>
      </c>
      <c r="D29" s="883">
        <v>0</v>
      </c>
      <c r="E29" s="883">
        <v>0</v>
      </c>
      <c r="F29" s="883">
        <v>0</v>
      </c>
      <c r="G29" s="883">
        <v>0</v>
      </c>
      <c r="H29" s="883">
        <v>0</v>
      </c>
      <c r="I29" s="883">
        <v>0</v>
      </c>
      <c r="J29" s="180">
        <f t="shared" si="21"/>
        <v>0</v>
      </c>
      <c r="K29" s="881">
        <f t="shared" si="5"/>
        <v>0</v>
      </c>
      <c r="L29" s="881">
        <f t="shared" si="13"/>
        <v>0</v>
      </c>
      <c r="M29" s="881">
        <f t="shared" si="14"/>
        <v>0</v>
      </c>
      <c r="N29" s="881">
        <f t="shared" si="15"/>
        <v>0</v>
      </c>
      <c r="O29" s="881">
        <f t="shared" si="16"/>
        <v>0</v>
      </c>
      <c r="P29" s="881">
        <f t="shared" si="17"/>
        <v>0</v>
      </c>
      <c r="Q29" s="180">
        <f t="shared" si="22"/>
        <v>0</v>
      </c>
      <c r="R29" s="883">
        <v>0</v>
      </c>
      <c r="S29" s="883">
        <v>0</v>
      </c>
      <c r="T29" s="883">
        <v>0</v>
      </c>
      <c r="U29" s="883">
        <v>0</v>
      </c>
      <c r="V29" s="883">
        <v>0</v>
      </c>
      <c r="W29" s="883">
        <v>0</v>
      </c>
      <c r="X29" s="180">
        <f t="shared" si="23"/>
        <v>0</v>
      </c>
      <c r="Y29" s="883"/>
      <c r="Z29" s="883"/>
      <c r="AA29" s="883"/>
      <c r="AB29" s="883"/>
      <c r="AC29" s="883"/>
      <c r="AD29" s="883"/>
      <c r="AE29" s="180"/>
      <c r="AF29" s="1389"/>
      <c r="AG29" s="340">
        <f t="shared" si="2"/>
        <v>0</v>
      </c>
      <c r="AH29" s="340">
        <f t="shared" si="3"/>
        <v>0</v>
      </c>
      <c r="AI29" s="340">
        <f t="shared" si="4"/>
        <v>0</v>
      </c>
    </row>
    <row r="30" spans="2:35">
      <c r="B30" s="48"/>
      <c r="C30" s="888" t="s">
        <v>629</v>
      </c>
      <c r="D30" s="883">
        <v>92</v>
      </c>
      <c r="E30" s="883">
        <v>113</v>
      </c>
      <c r="F30" s="883">
        <v>122</v>
      </c>
      <c r="G30" s="883">
        <v>120</v>
      </c>
      <c r="H30" s="883">
        <v>111</v>
      </c>
      <c r="I30" s="883">
        <v>106</v>
      </c>
      <c r="J30" s="180">
        <f t="shared" si="21"/>
        <v>110.66666666666667</v>
      </c>
      <c r="K30" s="881">
        <f t="shared" si="5"/>
        <v>92</v>
      </c>
      <c r="L30" s="881">
        <f t="shared" si="13"/>
        <v>113</v>
      </c>
      <c r="M30" s="881">
        <f t="shared" si="14"/>
        <v>122</v>
      </c>
      <c r="N30" s="881">
        <f t="shared" si="15"/>
        <v>120</v>
      </c>
      <c r="O30" s="881">
        <f t="shared" si="16"/>
        <v>111</v>
      </c>
      <c r="P30" s="881">
        <f t="shared" si="17"/>
        <v>106</v>
      </c>
      <c r="Q30" s="180">
        <f t="shared" si="22"/>
        <v>110.66666666666667</v>
      </c>
      <c r="R30" s="883">
        <v>0</v>
      </c>
      <c r="S30" s="883">
        <v>0</v>
      </c>
      <c r="T30" s="883">
        <v>0</v>
      </c>
      <c r="U30" s="883">
        <v>0</v>
      </c>
      <c r="V30" s="883">
        <v>0</v>
      </c>
      <c r="W30" s="883">
        <v>0</v>
      </c>
      <c r="X30" s="180">
        <f t="shared" si="23"/>
        <v>0</v>
      </c>
      <c r="Y30" s="883"/>
      <c r="Z30" s="883"/>
      <c r="AA30" s="883"/>
      <c r="AB30" s="883"/>
      <c r="AC30" s="883"/>
      <c r="AD30" s="883"/>
      <c r="AE30" s="180"/>
      <c r="AF30" s="1389"/>
      <c r="AG30" s="340">
        <f t="shared" si="2"/>
        <v>110.66666666666667</v>
      </c>
      <c r="AH30" s="340">
        <f t="shared" si="3"/>
        <v>110.66666666666667</v>
      </c>
      <c r="AI30" s="340">
        <f t="shared" si="4"/>
        <v>0</v>
      </c>
    </row>
    <row r="31" spans="2:35">
      <c r="B31" s="48"/>
      <c r="C31" s="887" t="s">
        <v>305</v>
      </c>
      <c r="D31" s="883">
        <v>103</v>
      </c>
      <c r="E31" s="883">
        <v>71</v>
      </c>
      <c r="F31" s="883">
        <v>83</v>
      </c>
      <c r="G31" s="883">
        <v>77</v>
      </c>
      <c r="H31" s="883">
        <v>111</v>
      </c>
      <c r="I31" s="883">
        <v>121</v>
      </c>
      <c r="J31" s="180">
        <f t="shared" si="21"/>
        <v>94.333333333333329</v>
      </c>
      <c r="K31" s="881">
        <f t="shared" si="5"/>
        <v>103</v>
      </c>
      <c r="L31" s="881">
        <f t="shared" si="13"/>
        <v>71</v>
      </c>
      <c r="M31" s="881">
        <f t="shared" si="14"/>
        <v>83</v>
      </c>
      <c r="N31" s="881">
        <f t="shared" si="15"/>
        <v>77</v>
      </c>
      <c r="O31" s="881">
        <f t="shared" si="16"/>
        <v>111</v>
      </c>
      <c r="P31" s="881">
        <f t="shared" si="17"/>
        <v>121</v>
      </c>
      <c r="Q31" s="180">
        <f t="shared" si="22"/>
        <v>94.333333333333329</v>
      </c>
      <c r="R31" s="883">
        <v>0</v>
      </c>
      <c r="S31" s="883">
        <v>0</v>
      </c>
      <c r="T31" s="883">
        <v>0</v>
      </c>
      <c r="U31" s="883">
        <v>0</v>
      </c>
      <c r="V31" s="883">
        <v>0</v>
      </c>
      <c r="W31" s="883">
        <v>0</v>
      </c>
      <c r="X31" s="180">
        <f t="shared" si="23"/>
        <v>0</v>
      </c>
      <c r="Y31" s="883"/>
      <c r="Z31" s="883"/>
      <c r="AA31" s="883"/>
      <c r="AB31" s="883"/>
      <c r="AC31" s="883"/>
      <c r="AD31" s="883"/>
      <c r="AE31" s="180"/>
      <c r="AF31" s="1389"/>
      <c r="AG31" s="340">
        <f t="shared" si="2"/>
        <v>94.333333333333329</v>
      </c>
      <c r="AH31" s="340">
        <f t="shared" si="3"/>
        <v>94.333333333333329</v>
      </c>
      <c r="AI31" s="340">
        <f t="shared" si="4"/>
        <v>0</v>
      </c>
    </row>
    <row r="32" spans="2:35">
      <c r="B32" s="48"/>
      <c r="C32" s="887" t="s">
        <v>307</v>
      </c>
      <c r="D32" s="883">
        <v>38</v>
      </c>
      <c r="E32" s="883">
        <v>38</v>
      </c>
      <c r="F32" s="883">
        <v>38</v>
      </c>
      <c r="G32" s="883">
        <v>38</v>
      </c>
      <c r="H32" s="883">
        <v>37</v>
      </c>
      <c r="I32" s="883">
        <v>35</v>
      </c>
      <c r="J32" s="180">
        <f t="shared" si="21"/>
        <v>37.333333333333336</v>
      </c>
      <c r="K32" s="881">
        <f t="shared" si="5"/>
        <v>38</v>
      </c>
      <c r="L32" s="881">
        <f t="shared" si="13"/>
        <v>38</v>
      </c>
      <c r="M32" s="881">
        <f t="shared" si="14"/>
        <v>38</v>
      </c>
      <c r="N32" s="881">
        <f t="shared" si="15"/>
        <v>38</v>
      </c>
      <c r="O32" s="881">
        <f t="shared" si="16"/>
        <v>37</v>
      </c>
      <c r="P32" s="881">
        <f t="shared" si="17"/>
        <v>35</v>
      </c>
      <c r="Q32" s="180">
        <f t="shared" si="22"/>
        <v>37.333333333333336</v>
      </c>
      <c r="R32" s="883">
        <v>0</v>
      </c>
      <c r="S32" s="883">
        <v>0</v>
      </c>
      <c r="T32" s="883">
        <v>0</v>
      </c>
      <c r="U32" s="883">
        <v>0</v>
      </c>
      <c r="V32" s="883">
        <v>0</v>
      </c>
      <c r="W32" s="883">
        <v>0</v>
      </c>
      <c r="X32" s="180">
        <f t="shared" si="23"/>
        <v>0</v>
      </c>
      <c r="Y32" s="883"/>
      <c r="Z32" s="883"/>
      <c r="AA32" s="883"/>
      <c r="AB32" s="883"/>
      <c r="AC32" s="883"/>
      <c r="AD32" s="883"/>
      <c r="AE32" s="180"/>
      <c r="AF32" s="1389"/>
      <c r="AG32" s="340">
        <f t="shared" si="2"/>
        <v>37.333333333333336</v>
      </c>
      <c r="AH32" s="340">
        <f t="shared" si="3"/>
        <v>37.333333333333336</v>
      </c>
      <c r="AI32" s="340">
        <f t="shared" si="4"/>
        <v>0</v>
      </c>
    </row>
    <row r="33" spans="2:35">
      <c r="B33" s="48"/>
      <c r="C33" s="887" t="s">
        <v>624</v>
      </c>
      <c r="D33" s="883">
        <v>25</v>
      </c>
      <c r="E33" s="883">
        <v>28</v>
      </c>
      <c r="F33" s="883">
        <v>31</v>
      </c>
      <c r="G33" s="883">
        <v>32</v>
      </c>
      <c r="H33" s="883">
        <v>32</v>
      </c>
      <c r="I33" s="883">
        <v>23</v>
      </c>
      <c r="J33" s="180">
        <f t="shared" si="21"/>
        <v>28.5</v>
      </c>
      <c r="K33" s="881">
        <f t="shared" si="5"/>
        <v>25</v>
      </c>
      <c r="L33" s="881">
        <f t="shared" si="13"/>
        <v>28</v>
      </c>
      <c r="M33" s="881">
        <f t="shared" si="14"/>
        <v>31</v>
      </c>
      <c r="N33" s="881">
        <f t="shared" si="15"/>
        <v>32</v>
      </c>
      <c r="O33" s="881">
        <f t="shared" si="16"/>
        <v>32</v>
      </c>
      <c r="P33" s="881">
        <f t="shared" si="17"/>
        <v>23</v>
      </c>
      <c r="Q33" s="180">
        <f t="shared" si="22"/>
        <v>28.5</v>
      </c>
      <c r="R33" s="883">
        <v>0</v>
      </c>
      <c r="S33" s="883">
        <v>0</v>
      </c>
      <c r="T33" s="883">
        <v>0</v>
      </c>
      <c r="U33" s="883">
        <v>0</v>
      </c>
      <c r="V33" s="883">
        <v>0</v>
      </c>
      <c r="W33" s="883">
        <v>0</v>
      </c>
      <c r="X33" s="180">
        <f t="shared" si="23"/>
        <v>0</v>
      </c>
      <c r="Y33" s="883"/>
      <c r="Z33" s="883"/>
      <c r="AA33" s="883"/>
      <c r="AB33" s="883"/>
      <c r="AC33" s="883"/>
      <c r="AD33" s="883"/>
      <c r="AE33" s="180"/>
      <c r="AF33" s="1389"/>
      <c r="AG33" s="340">
        <f t="shared" si="2"/>
        <v>28.5</v>
      </c>
      <c r="AH33" s="340">
        <f t="shared" si="3"/>
        <v>28.5</v>
      </c>
      <c r="AI33" s="340">
        <f t="shared" si="4"/>
        <v>0</v>
      </c>
    </row>
    <row r="34" spans="2:35">
      <c r="B34" s="48" t="s">
        <v>274</v>
      </c>
      <c r="C34" s="885" t="s">
        <v>631</v>
      </c>
      <c r="D34" s="881">
        <v>68898</v>
      </c>
      <c r="E34" s="881">
        <v>79821</v>
      </c>
      <c r="F34" s="881">
        <v>80461</v>
      </c>
      <c r="G34" s="881">
        <v>78935</v>
      </c>
      <c r="H34" s="881">
        <v>77739</v>
      </c>
      <c r="I34" s="881">
        <v>74028</v>
      </c>
      <c r="J34" s="180">
        <f t="shared" si="21"/>
        <v>76647</v>
      </c>
      <c r="K34" s="881">
        <f t="shared" si="5"/>
        <v>68898</v>
      </c>
      <c r="L34" s="881">
        <f t="shared" si="13"/>
        <v>79821</v>
      </c>
      <c r="M34" s="881">
        <f t="shared" si="14"/>
        <v>80461</v>
      </c>
      <c r="N34" s="881">
        <f t="shared" si="15"/>
        <v>78935</v>
      </c>
      <c r="O34" s="881">
        <f t="shared" si="16"/>
        <v>77739</v>
      </c>
      <c r="P34" s="881">
        <f t="shared" si="17"/>
        <v>74028</v>
      </c>
      <c r="Q34" s="180">
        <f t="shared" si="22"/>
        <v>76647</v>
      </c>
      <c r="R34" s="881">
        <v>0</v>
      </c>
      <c r="S34" s="881">
        <v>0</v>
      </c>
      <c r="T34" s="881">
        <v>0</v>
      </c>
      <c r="U34" s="881">
        <v>0</v>
      </c>
      <c r="V34" s="881">
        <v>0</v>
      </c>
      <c r="W34" s="881">
        <v>0</v>
      </c>
      <c r="X34" s="180">
        <f t="shared" si="23"/>
        <v>0</v>
      </c>
      <c r="Y34" s="991"/>
      <c r="Z34" s="991"/>
      <c r="AA34" s="991"/>
      <c r="AB34" s="991"/>
      <c r="AC34" s="991"/>
      <c r="AD34" s="991"/>
      <c r="AE34" s="180"/>
      <c r="AF34" s="1389"/>
      <c r="AG34" s="340">
        <f t="shared" si="2"/>
        <v>76647</v>
      </c>
      <c r="AH34" s="340">
        <f t="shared" si="3"/>
        <v>76647</v>
      </c>
      <c r="AI34" s="340">
        <f t="shared" si="4"/>
        <v>0</v>
      </c>
    </row>
    <row r="35" spans="2:35">
      <c r="B35" s="48"/>
      <c r="C35" s="887" t="s">
        <v>304</v>
      </c>
      <c r="D35" s="883">
        <v>68780</v>
      </c>
      <c r="E35" s="883">
        <v>79703</v>
      </c>
      <c r="F35" s="883">
        <v>80315</v>
      </c>
      <c r="G35" s="883">
        <v>78785</v>
      </c>
      <c r="H35" s="883">
        <v>77643</v>
      </c>
      <c r="I35" s="883">
        <v>73912</v>
      </c>
      <c r="J35" s="180">
        <f t="shared" si="21"/>
        <v>76523</v>
      </c>
      <c r="K35" s="881">
        <f t="shared" si="5"/>
        <v>68780</v>
      </c>
      <c r="L35" s="881">
        <f t="shared" si="13"/>
        <v>79703</v>
      </c>
      <c r="M35" s="881">
        <f t="shared" si="14"/>
        <v>80315</v>
      </c>
      <c r="N35" s="881">
        <f t="shared" si="15"/>
        <v>78785</v>
      </c>
      <c r="O35" s="881">
        <f t="shared" si="16"/>
        <v>77643</v>
      </c>
      <c r="P35" s="881">
        <f t="shared" si="17"/>
        <v>73912</v>
      </c>
      <c r="Q35" s="180">
        <f t="shared" si="22"/>
        <v>76523</v>
      </c>
      <c r="R35" s="883">
        <v>0</v>
      </c>
      <c r="S35" s="883">
        <v>0</v>
      </c>
      <c r="T35" s="883">
        <v>0</v>
      </c>
      <c r="U35" s="883">
        <v>0</v>
      </c>
      <c r="V35" s="883">
        <v>0</v>
      </c>
      <c r="W35" s="883">
        <v>0</v>
      </c>
      <c r="X35" s="180">
        <f t="shared" si="23"/>
        <v>0</v>
      </c>
      <c r="Y35" s="883"/>
      <c r="Z35" s="883"/>
      <c r="AA35" s="883"/>
      <c r="AB35" s="883"/>
      <c r="AC35" s="883"/>
      <c r="AD35" s="883"/>
      <c r="AE35" s="180"/>
      <c r="AF35" s="1389"/>
      <c r="AG35" s="340">
        <f t="shared" si="2"/>
        <v>76523</v>
      </c>
      <c r="AH35" s="340">
        <f t="shared" si="3"/>
        <v>76523</v>
      </c>
      <c r="AI35" s="340">
        <f t="shared" si="4"/>
        <v>0</v>
      </c>
    </row>
    <row r="36" spans="2:35">
      <c r="B36" s="48"/>
      <c r="C36" s="888" t="s">
        <v>306</v>
      </c>
      <c r="D36" s="883">
        <v>0</v>
      </c>
      <c r="E36" s="883">
        <v>0</v>
      </c>
      <c r="F36" s="883">
        <v>0</v>
      </c>
      <c r="G36" s="883">
        <v>0</v>
      </c>
      <c r="H36" s="883">
        <v>0</v>
      </c>
      <c r="I36" s="883">
        <v>0</v>
      </c>
      <c r="J36" s="180">
        <f t="shared" si="21"/>
        <v>0</v>
      </c>
      <c r="K36" s="881">
        <f t="shared" si="5"/>
        <v>0</v>
      </c>
      <c r="L36" s="881">
        <f t="shared" si="13"/>
        <v>0</v>
      </c>
      <c r="M36" s="881">
        <f t="shared" si="14"/>
        <v>0</v>
      </c>
      <c r="N36" s="881">
        <f t="shared" si="15"/>
        <v>0</v>
      </c>
      <c r="O36" s="881">
        <f t="shared" si="16"/>
        <v>0</v>
      </c>
      <c r="P36" s="881">
        <f t="shared" si="17"/>
        <v>0</v>
      </c>
      <c r="Q36" s="180">
        <f t="shared" si="22"/>
        <v>0</v>
      </c>
      <c r="R36" s="883">
        <v>0</v>
      </c>
      <c r="S36" s="883">
        <v>0</v>
      </c>
      <c r="T36" s="883">
        <v>0</v>
      </c>
      <c r="U36" s="883">
        <v>0</v>
      </c>
      <c r="V36" s="883">
        <v>0</v>
      </c>
      <c r="W36" s="883">
        <v>0</v>
      </c>
      <c r="X36" s="180">
        <f t="shared" si="23"/>
        <v>0</v>
      </c>
      <c r="Y36" s="883"/>
      <c r="Z36" s="883"/>
      <c r="AA36" s="883"/>
      <c r="AB36" s="883"/>
      <c r="AC36" s="883"/>
      <c r="AD36" s="883"/>
      <c r="AE36" s="180"/>
      <c r="AF36" s="1389"/>
      <c r="AG36" s="340">
        <f t="shared" si="2"/>
        <v>0</v>
      </c>
      <c r="AH36" s="340">
        <f t="shared" si="3"/>
        <v>0</v>
      </c>
      <c r="AI36" s="340">
        <f t="shared" si="4"/>
        <v>0</v>
      </c>
    </row>
    <row r="37" spans="2:35">
      <c r="B37" s="48"/>
      <c r="C37" s="887" t="s">
        <v>305</v>
      </c>
      <c r="D37" s="883">
        <v>118</v>
      </c>
      <c r="E37" s="883">
        <v>118</v>
      </c>
      <c r="F37" s="883">
        <v>146</v>
      </c>
      <c r="G37" s="883">
        <v>150</v>
      </c>
      <c r="H37" s="883">
        <v>96</v>
      </c>
      <c r="I37" s="883">
        <v>116</v>
      </c>
      <c r="J37" s="180">
        <f t="shared" si="21"/>
        <v>124</v>
      </c>
      <c r="K37" s="881">
        <f t="shared" si="5"/>
        <v>118</v>
      </c>
      <c r="L37" s="881">
        <f t="shared" si="13"/>
        <v>118</v>
      </c>
      <c r="M37" s="881">
        <f t="shared" si="14"/>
        <v>146</v>
      </c>
      <c r="N37" s="881">
        <f t="shared" si="15"/>
        <v>150</v>
      </c>
      <c r="O37" s="881">
        <f t="shared" si="16"/>
        <v>96</v>
      </c>
      <c r="P37" s="881">
        <f t="shared" si="17"/>
        <v>116</v>
      </c>
      <c r="Q37" s="180">
        <f t="shared" si="22"/>
        <v>124</v>
      </c>
      <c r="R37" s="883">
        <v>0</v>
      </c>
      <c r="S37" s="883">
        <v>0</v>
      </c>
      <c r="T37" s="883">
        <v>0</v>
      </c>
      <c r="U37" s="883">
        <v>0</v>
      </c>
      <c r="V37" s="883">
        <v>0</v>
      </c>
      <c r="W37" s="883">
        <v>0</v>
      </c>
      <c r="X37" s="180">
        <f t="shared" si="23"/>
        <v>0</v>
      </c>
      <c r="Y37" s="883"/>
      <c r="Z37" s="883"/>
      <c r="AA37" s="883"/>
      <c r="AB37" s="883"/>
      <c r="AC37" s="883"/>
      <c r="AD37" s="883"/>
      <c r="AE37" s="180"/>
      <c r="AF37" s="1389"/>
      <c r="AG37" s="340">
        <f t="shared" si="2"/>
        <v>124</v>
      </c>
      <c r="AH37" s="340">
        <f t="shared" si="3"/>
        <v>124</v>
      </c>
      <c r="AI37" s="340">
        <f t="shared" si="4"/>
        <v>0</v>
      </c>
    </row>
    <row r="38" spans="2:35">
      <c r="B38" s="48"/>
      <c r="C38" s="887" t="s">
        <v>307</v>
      </c>
      <c r="D38" s="883">
        <v>0</v>
      </c>
      <c r="E38" s="883">
        <v>0</v>
      </c>
      <c r="F38" s="883">
        <v>0</v>
      </c>
      <c r="G38" s="883">
        <v>0</v>
      </c>
      <c r="H38" s="883">
        <v>0</v>
      </c>
      <c r="I38" s="883">
        <v>0</v>
      </c>
      <c r="J38" s="180">
        <f t="shared" si="21"/>
        <v>0</v>
      </c>
      <c r="K38" s="881">
        <f t="shared" si="5"/>
        <v>0</v>
      </c>
      <c r="L38" s="881">
        <f t="shared" si="13"/>
        <v>0</v>
      </c>
      <c r="M38" s="881">
        <f t="shared" si="14"/>
        <v>0</v>
      </c>
      <c r="N38" s="881">
        <f t="shared" si="15"/>
        <v>0</v>
      </c>
      <c r="O38" s="881">
        <f t="shared" si="16"/>
        <v>0</v>
      </c>
      <c r="P38" s="881">
        <f t="shared" si="17"/>
        <v>0</v>
      </c>
      <c r="Q38" s="180">
        <f t="shared" si="22"/>
        <v>0</v>
      </c>
      <c r="R38" s="883">
        <v>0</v>
      </c>
      <c r="S38" s="883">
        <v>0</v>
      </c>
      <c r="T38" s="883">
        <v>0</v>
      </c>
      <c r="U38" s="883">
        <v>0</v>
      </c>
      <c r="V38" s="883">
        <v>0</v>
      </c>
      <c r="W38" s="883">
        <v>0</v>
      </c>
      <c r="X38" s="180">
        <f t="shared" si="23"/>
        <v>0</v>
      </c>
      <c r="Y38" s="883"/>
      <c r="Z38" s="883"/>
      <c r="AA38" s="883"/>
      <c r="AB38" s="883"/>
      <c r="AC38" s="883"/>
      <c r="AD38" s="883"/>
      <c r="AE38" s="180"/>
      <c r="AF38" s="1389"/>
      <c r="AG38" s="340">
        <f t="shared" si="2"/>
        <v>0</v>
      </c>
      <c r="AH38" s="340">
        <f t="shared" si="3"/>
        <v>0</v>
      </c>
      <c r="AI38" s="340">
        <f t="shared" si="4"/>
        <v>0</v>
      </c>
    </row>
    <row r="39" spans="2:35">
      <c r="B39" s="48" t="s">
        <v>274</v>
      </c>
      <c r="C39" s="885" t="s">
        <v>632</v>
      </c>
      <c r="D39" s="881">
        <v>30836</v>
      </c>
      <c r="E39" s="881">
        <v>29653</v>
      </c>
      <c r="F39" s="881">
        <v>26384</v>
      </c>
      <c r="G39" s="881">
        <v>28912</v>
      </c>
      <c r="H39" s="881">
        <v>26100</v>
      </c>
      <c r="I39" s="881">
        <v>25419</v>
      </c>
      <c r="J39" s="180">
        <f t="shared" si="21"/>
        <v>27884</v>
      </c>
      <c r="K39" s="881">
        <f t="shared" si="5"/>
        <v>30836</v>
      </c>
      <c r="L39" s="881">
        <f t="shared" si="13"/>
        <v>29653</v>
      </c>
      <c r="M39" s="881">
        <f t="shared" si="14"/>
        <v>26384</v>
      </c>
      <c r="N39" s="881">
        <f t="shared" si="15"/>
        <v>28912</v>
      </c>
      <c r="O39" s="881">
        <f t="shared" si="16"/>
        <v>26100</v>
      </c>
      <c r="P39" s="881">
        <f t="shared" si="17"/>
        <v>25419</v>
      </c>
      <c r="Q39" s="180">
        <f t="shared" si="22"/>
        <v>27884</v>
      </c>
      <c r="R39" s="881">
        <v>0</v>
      </c>
      <c r="S39" s="881">
        <v>0</v>
      </c>
      <c r="T39" s="881">
        <v>0</v>
      </c>
      <c r="U39" s="881">
        <v>0</v>
      </c>
      <c r="V39" s="881">
        <v>0</v>
      </c>
      <c r="W39" s="881">
        <v>0</v>
      </c>
      <c r="X39" s="180">
        <f t="shared" si="23"/>
        <v>0</v>
      </c>
      <c r="Y39" s="991"/>
      <c r="Z39" s="991"/>
      <c r="AA39" s="991"/>
      <c r="AB39" s="991"/>
      <c r="AC39" s="991"/>
      <c r="AD39" s="991"/>
      <c r="AE39" s="180"/>
      <c r="AF39" s="1389"/>
      <c r="AG39" s="340">
        <f t="shared" si="2"/>
        <v>27884</v>
      </c>
      <c r="AH39" s="340">
        <f t="shared" si="3"/>
        <v>27884</v>
      </c>
      <c r="AI39" s="340">
        <f t="shared" si="4"/>
        <v>0</v>
      </c>
    </row>
    <row r="40" spans="2:35">
      <c r="B40" s="48"/>
      <c r="C40" s="887" t="s">
        <v>304</v>
      </c>
      <c r="D40" s="883">
        <v>30836</v>
      </c>
      <c r="E40" s="883">
        <v>29653</v>
      </c>
      <c r="F40" s="883">
        <v>26384</v>
      </c>
      <c r="G40" s="883">
        <v>28912</v>
      </c>
      <c r="H40" s="883">
        <v>26100</v>
      </c>
      <c r="I40" s="883">
        <v>25419</v>
      </c>
      <c r="J40" s="180">
        <f t="shared" si="21"/>
        <v>27884</v>
      </c>
      <c r="K40" s="881">
        <f t="shared" si="5"/>
        <v>30836</v>
      </c>
      <c r="L40" s="881">
        <f t="shared" si="13"/>
        <v>29653</v>
      </c>
      <c r="M40" s="881">
        <f t="shared" si="14"/>
        <v>26384</v>
      </c>
      <c r="N40" s="881">
        <f t="shared" si="15"/>
        <v>28912</v>
      </c>
      <c r="O40" s="881">
        <f t="shared" si="16"/>
        <v>26100</v>
      </c>
      <c r="P40" s="881">
        <f t="shared" si="17"/>
        <v>25419</v>
      </c>
      <c r="Q40" s="180">
        <f t="shared" si="22"/>
        <v>27884</v>
      </c>
      <c r="R40" s="883">
        <v>0</v>
      </c>
      <c r="S40" s="883">
        <v>0</v>
      </c>
      <c r="T40" s="883">
        <v>0</v>
      </c>
      <c r="U40" s="883">
        <v>0</v>
      </c>
      <c r="V40" s="883">
        <v>0</v>
      </c>
      <c r="W40" s="883">
        <v>0</v>
      </c>
      <c r="X40" s="180">
        <f t="shared" si="23"/>
        <v>0</v>
      </c>
      <c r="Y40" s="883"/>
      <c r="Z40" s="883"/>
      <c r="AA40" s="883"/>
      <c r="AB40" s="883"/>
      <c r="AC40" s="883"/>
      <c r="AD40" s="883"/>
      <c r="AE40" s="180"/>
      <c r="AF40" s="1389"/>
      <c r="AG40" s="340">
        <f t="shared" si="2"/>
        <v>27884</v>
      </c>
      <c r="AH40" s="340">
        <f t="shared" si="3"/>
        <v>27884</v>
      </c>
      <c r="AI40" s="340">
        <f t="shared" si="4"/>
        <v>0</v>
      </c>
    </row>
    <row r="41" spans="2:35">
      <c r="B41" s="48"/>
      <c r="C41" s="888" t="s">
        <v>306</v>
      </c>
      <c r="D41" s="883">
        <v>0</v>
      </c>
      <c r="E41" s="883">
        <v>0</v>
      </c>
      <c r="F41" s="883">
        <v>0</v>
      </c>
      <c r="G41" s="883">
        <v>0</v>
      </c>
      <c r="H41" s="883">
        <v>0</v>
      </c>
      <c r="I41" s="883">
        <v>0</v>
      </c>
      <c r="J41" s="180">
        <f t="shared" si="21"/>
        <v>0</v>
      </c>
      <c r="K41" s="881">
        <f t="shared" si="5"/>
        <v>0</v>
      </c>
      <c r="L41" s="881">
        <f t="shared" si="13"/>
        <v>0</v>
      </c>
      <c r="M41" s="881">
        <f t="shared" si="14"/>
        <v>0</v>
      </c>
      <c r="N41" s="881">
        <f t="shared" si="15"/>
        <v>0</v>
      </c>
      <c r="O41" s="881">
        <f t="shared" si="16"/>
        <v>0</v>
      </c>
      <c r="P41" s="881">
        <f t="shared" si="17"/>
        <v>0</v>
      </c>
      <c r="Q41" s="180">
        <f t="shared" si="22"/>
        <v>0</v>
      </c>
      <c r="R41" s="883">
        <v>0</v>
      </c>
      <c r="S41" s="883">
        <v>0</v>
      </c>
      <c r="T41" s="883">
        <v>0</v>
      </c>
      <c r="U41" s="883">
        <v>0</v>
      </c>
      <c r="V41" s="883">
        <v>0</v>
      </c>
      <c r="W41" s="883">
        <v>0</v>
      </c>
      <c r="X41" s="180">
        <f t="shared" si="23"/>
        <v>0</v>
      </c>
      <c r="Y41" s="883"/>
      <c r="Z41" s="883"/>
      <c r="AA41" s="883"/>
      <c r="AB41" s="883"/>
      <c r="AC41" s="883"/>
      <c r="AD41" s="883"/>
      <c r="AE41" s="180"/>
      <c r="AF41" s="1389"/>
      <c r="AG41" s="340">
        <f t="shared" si="2"/>
        <v>0</v>
      </c>
      <c r="AH41" s="340">
        <f t="shared" si="3"/>
        <v>0</v>
      </c>
      <c r="AI41" s="340">
        <f t="shared" si="4"/>
        <v>0</v>
      </c>
    </row>
    <row r="42" spans="2:35">
      <c r="B42" s="48"/>
      <c r="C42" s="887" t="s">
        <v>305</v>
      </c>
      <c r="D42" s="883">
        <v>0</v>
      </c>
      <c r="E42" s="883">
        <v>0</v>
      </c>
      <c r="F42" s="883">
        <v>0</v>
      </c>
      <c r="G42" s="883">
        <v>0</v>
      </c>
      <c r="H42" s="883">
        <v>0</v>
      </c>
      <c r="I42" s="883">
        <v>0</v>
      </c>
      <c r="J42" s="180">
        <f t="shared" si="21"/>
        <v>0</v>
      </c>
      <c r="K42" s="881">
        <f t="shared" si="5"/>
        <v>0</v>
      </c>
      <c r="L42" s="881">
        <f t="shared" si="13"/>
        <v>0</v>
      </c>
      <c r="M42" s="881">
        <f t="shared" si="14"/>
        <v>0</v>
      </c>
      <c r="N42" s="881">
        <f t="shared" si="15"/>
        <v>0</v>
      </c>
      <c r="O42" s="881">
        <f t="shared" si="16"/>
        <v>0</v>
      </c>
      <c r="P42" s="881">
        <f t="shared" si="17"/>
        <v>0</v>
      </c>
      <c r="Q42" s="180">
        <f t="shared" si="22"/>
        <v>0</v>
      </c>
      <c r="R42" s="883">
        <v>0</v>
      </c>
      <c r="S42" s="883">
        <v>0</v>
      </c>
      <c r="T42" s="883">
        <v>0</v>
      </c>
      <c r="U42" s="883">
        <v>0</v>
      </c>
      <c r="V42" s="883">
        <v>0</v>
      </c>
      <c r="W42" s="883">
        <v>0</v>
      </c>
      <c r="X42" s="180">
        <f t="shared" si="23"/>
        <v>0</v>
      </c>
      <c r="Y42" s="883"/>
      <c r="Z42" s="883"/>
      <c r="AA42" s="883"/>
      <c r="AB42" s="883"/>
      <c r="AC42" s="883"/>
      <c r="AD42" s="883"/>
      <c r="AE42" s="180"/>
      <c r="AF42" s="1389"/>
      <c r="AG42" s="340">
        <f t="shared" si="2"/>
        <v>0</v>
      </c>
      <c r="AH42" s="340">
        <f t="shared" si="3"/>
        <v>0</v>
      </c>
      <c r="AI42" s="340">
        <f t="shared" si="4"/>
        <v>0</v>
      </c>
    </row>
    <row r="43" spans="2:35">
      <c r="B43" s="48"/>
      <c r="C43" s="887" t="s">
        <v>307</v>
      </c>
      <c r="D43" s="883">
        <v>0</v>
      </c>
      <c r="E43" s="883">
        <v>0</v>
      </c>
      <c r="F43" s="883">
        <v>0</v>
      </c>
      <c r="G43" s="883">
        <v>0</v>
      </c>
      <c r="H43" s="883">
        <v>0</v>
      </c>
      <c r="I43" s="883">
        <v>0</v>
      </c>
      <c r="J43" s="180">
        <f t="shared" si="21"/>
        <v>0</v>
      </c>
      <c r="K43" s="881">
        <f t="shared" si="5"/>
        <v>0</v>
      </c>
      <c r="L43" s="881">
        <f t="shared" si="13"/>
        <v>0</v>
      </c>
      <c r="M43" s="881">
        <f t="shared" si="14"/>
        <v>0</v>
      </c>
      <c r="N43" s="881">
        <f t="shared" si="15"/>
        <v>0</v>
      </c>
      <c r="O43" s="881">
        <f t="shared" si="16"/>
        <v>0</v>
      </c>
      <c r="P43" s="881">
        <f t="shared" si="17"/>
        <v>0</v>
      </c>
      <c r="Q43" s="180">
        <f t="shared" si="22"/>
        <v>0</v>
      </c>
      <c r="R43" s="883">
        <v>0</v>
      </c>
      <c r="S43" s="883">
        <v>0</v>
      </c>
      <c r="T43" s="883">
        <v>0</v>
      </c>
      <c r="U43" s="883">
        <v>0</v>
      </c>
      <c r="V43" s="883">
        <v>0</v>
      </c>
      <c r="W43" s="883">
        <v>0</v>
      </c>
      <c r="X43" s="180">
        <f t="shared" si="23"/>
        <v>0</v>
      </c>
      <c r="Y43" s="883"/>
      <c r="Z43" s="883"/>
      <c r="AA43" s="883"/>
      <c r="AB43" s="883"/>
      <c r="AC43" s="883"/>
      <c r="AD43" s="883"/>
      <c r="AE43" s="180"/>
      <c r="AF43" s="1389"/>
      <c r="AG43" s="340">
        <f t="shared" si="2"/>
        <v>0</v>
      </c>
      <c r="AH43" s="340">
        <f t="shared" si="3"/>
        <v>0</v>
      </c>
      <c r="AI43" s="340">
        <f t="shared" si="4"/>
        <v>0</v>
      </c>
    </row>
    <row r="44" spans="2:35">
      <c r="B44" s="48" t="s">
        <v>274</v>
      </c>
      <c r="C44" s="885" t="s">
        <v>633</v>
      </c>
      <c r="D44" s="881">
        <v>32249</v>
      </c>
      <c r="E44" s="881">
        <v>30361</v>
      </c>
      <c r="F44" s="881">
        <v>29200</v>
      </c>
      <c r="G44" s="881">
        <v>30548</v>
      </c>
      <c r="H44" s="881">
        <v>28875</v>
      </c>
      <c r="I44" s="881">
        <v>27771</v>
      </c>
      <c r="J44" s="180">
        <f t="shared" si="21"/>
        <v>29834</v>
      </c>
      <c r="K44" s="881">
        <f t="shared" si="5"/>
        <v>32249</v>
      </c>
      <c r="L44" s="881">
        <f t="shared" si="13"/>
        <v>30361</v>
      </c>
      <c r="M44" s="881">
        <f t="shared" si="14"/>
        <v>29200</v>
      </c>
      <c r="N44" s="881">
        <f t="shared" si="15"/>
        <v>30548</v>
      </c>
      <c r="O44" s="881">
        <f t="shared" si="16"/>
        <v>28875</v>
      </c>
      <c r="P44" s="881">
        <f t="shared" si="17"/>
        <v>27771</v>
      </c>
      <c r="Q44" s="180">
        <f t="shared" si="22"/>
        <v>29834</v>
      </c>
      <c r="R44" s="881">
        <v>0</v>
      </c>
      <c r="S44" s="881">
        <v>0</v>
      </c>
      <c r="T44" s="881">
        <v>0</v>
      </c>
      <c r="U44" s="881">
        <v>0</v>
      </c>
      <c r="V44" s="881">
        <v>0</v>
      </c>
      <c r="W44" s="881">
        <v>0</v>
      </c>
      <c r="X44" s="180">
        <f t="shared" si="23"/>
        <v>0</v>
      </c>
      <c r="Y44" s="991"/>
      <c r="Z44" s="991"/>
      <c r="AA44" s="991"/>
      <c r="AB44" s="991"/>
      <c r="AC44" s="991"/>
      <c r="AD44" s="991"/>
      <c r="AE44" s="180"/>
      <c r="AF44" s="1389"/>
      <c r="AG44" s="340">
        <f t="shared" si="2"/>
        <v>29834</v>
      </c>
      <c r="AH44" s="340">
        <f t="shared" si="3"/>
        <v>29834</v>
      </c>
      <c r="AI44" s="340">
        <f t="shared" si="4"/>
        <v>0</v>
      </c>
    </row>
    <row r="45" spans="2:35">
      <c r="B45" s="48"/>
      <c r="C45" s="887" t="s">
        <v>304</v>
      </c>
      <c r="D45" s="883">
        <v>32249</v>
      </c>
      <c r="E45" s="883">
        <v>30361</v>
      </c>
      <c r="F45" s="883">
        <v>29200</v>
      </c>
      <c r="G45" s="883">
        <v>30548</v>
      </c>
      <c r="H45" s="883">
        <v>28875</v>
      </c>
      <c r="I45" s="883">
        <v>27771</v>
      </c>
      <c r="J45" s="180">
        <f t="shared" si="21"/>
        <v>29834</v>
      </c>
      <c r="K45" s="881">
        <f t="shared" si="5"/>
        <v>32249</v>
      </c>
      <c r="L45" s="881">
        <f t="shared" si="13"/>
        <v>30361</v>
      </c>
      <c r="M45" s="881">
        <f t="shared" si="14"/>
        <v>29200</v>
      </c>
      <c r="N45" s="881">
        <f t="shared" si="15"/>
        <v>30548</v>
      </c>
      <c r="O45" s="881">
        <f t="shared" si="16"/>
        <v>28875</v>
      </c>
      <c r="P45" s="881">
        <f t="shared" si="17"/>
        <v>27771</v>
      </c>
      <c r="Q45" s="180">
        <f t="shared" si="22"/>
        <v>29834</v>
      </c>
      <c r="R45" s="883">
        <v>0</v>
      </c>
      <c r="S45" s="883">
        <v>0</v>
      </c>
      <c r="T45" s="883">
        <v>0</v>
      </c>
      <c r="U45" s="883">
        <v>0</v>
      </c>
      <c r="V45" s="883">
        <v>0</v>
      </c>
      <c r="W45" s="883">
        <v>0</v>
      </c>
      <c r="X45" s="180">
        <f t="shared" si="23"/>
        <v>0</v>
      </c>
      <c r="Y45" s="883"/>
      <c r="Z45" s="883"/>
      <c r="AA45" s="883"/>
      <c r="AB45" s="883"/>
      <c r="AC45" s="883"/>
      <c r="AD45" s="883"/>
      <c r="AE45" s="180"/>
      <c r="AF45" s="1389"/>
      <c r="AG45" s="340">
        <f t="shared" si="2"/>
        <v>29834</v>
      </c>
      <c r="AH45" s="340">
        <f t="shared" si="3"/>
        <v>29834</v>
      </c>
      <c r="AI45" s="340">
        <f t="shared" si="4"/>
        <v>0</v>
      </c>
    </row>
    <row r="46" spans="2:35">
      <c r="B46" s="48"/>
      <c r="C46" s="888" t="s">
        <v>306</v>
      </c>
      <c r="D46" s="883">
        <v>0</v>
      </c>
      <c r="E46" s="883">
        <v>0</v>
      </c>
      <c r="F46" s="883">
        <v>0</v>
      </c>
      <c r="G46" s="883">
        <v>0</v>
      </c>
      <c r="H46" s="883">
        <v>0</v>
      </c>
      <c r="I46" s="883">
        <v>0</v>
      </c>
      <c r="J46" s="180">
        <f t="shared" si="21"/>
        <v>0</v>
      </c>
      <c r="K46" s="881">
        <f t="shared" si="5"/>
        <v>0</v>
      </c>
      <c r="L46" s="881">
        <f t="shared" si="13"/>
        <v>0</v>
      </c>
      <c r="M46" s="881">
        <f t="shared" si="14"/>
        <v>0</v>
      </c>
      <c r="N46" s="881">
        <f t="shared" si="15"/>
        <v>0</v>
      </c>
      <c r="O46" s="881">
        <f t="shared" si="16"/>
        <v>0</v>
      </c>
      <c r="P46" s="881">
        <f t="shared" si="17"/>
        <v>0</v>
      </c>
      <c r="Q46" s="180">
        <f t="shared" si="22"/>
        <v>0</v>
      </c>
      <c r="R46" s="883">
        <v>0</v>
      </c>
      <c r="S46" s="883">
        <v>0</v>
      </c>
      <c r="T46" s="883">
        <v>0</v>
      </c>
      <c r="U46" s="883">
        <v>0</v>
      </c>
      <c r="V46" s="883">
        <v>0</v>
      </c>
      <c r="W46" s="883">
        <v>0</v>
      </c>
      <c r="X46" s="180">
        <f t="shared" si="23"/>
        <v>0</v>
      </c>
      <c r="Y46" s="883"/>
      <c r="Z46" s="883"/>
      <c r="AA46" s="883"/>
      <c r="AB46" s="883"/>
      <c r="AC46" s="883"/>
      <c r="AD46" s="883"/>
      <c r="AE46" s="180"/>
      <c r="AF46" s="1389"/>
      <c r="AG46" s="340">
        <f t="shared" si="2"/>
        <v>0</v>
      </c>
      <c r="AH46" s="340">
        <f t="shared" si="3"/>
        <v>0</v>
      </c>
      <c r="AI46" s="340">
        <f t="shared" si="4"/>
        <v>0</v>
      </c>
    </row>
    <row r="47" spans="2:35">
      <c r="B47" s="48"/>
      <c r="C47" s="887" t="s">
        <v>305</v>
      </c>
      <c r="D47" s="883">
        <v>0</v>
      </c>
      <c r="E47" s="883">
        <v>0</v>
      </c>
      <c r="F47" s="883">
        <v>0</v>
      </c>
      <c r="G47" s="883">
        <v>0</v>
      </c>
      <c r="H47" s="883">
        <v>0</v>
      </c>
      <c r="I47" s="883">
        <v>0</v>
      </c>
      <c r="J47" s="180">
        <f t="shared" si="21"/>
        <v>0</v>
      </c>
      <c r="K47" s="881">
        <f t="shared" si="5"/>
        <v>0</v>
      </c>
      <c r="L47" s="881">
        <f t="shared" si="13"/>
        <v>0</v>
      </c>
      <c r="M47" s="881">
        <f t="shared" si="14"/>
        <v>0</v>
      </c>
      <c r="N47" s="881">
        <f t="shared" si="15"/>
        <v>0</v>
      </c>
      <c r="O47" s="881">
        <f t="shared" si="16"/>
        <v>0</v>
      </c>
      <c r="P47" s="881">
        <f t="shared" si="17"/>
        <v>0</v>
      </c>
      <c r="Q47" s="180">
        <f t="shared" si="22"/>
        <v>0</v>
      </c>
      <c r="R47" s="883">
        <v>0</v>
      </c>
      <c r="S47" s="883">
        <v>0</v>
      </c>
      <c r="T47" s="883">
        <v>0</v>
      </c>
      <c r="U47" s="883">
        <v>0</v>
      </c>
      <c r="V47" s="883">
        <v>0</v>
      </c>
      <c r="W47" s="883">
        <v>0</v>
      </c>
      <c r="X47" s="180">
        <f t="shared" si="23"/>
        <v>0</v>
      </c>
      <c r="Y47" s="883"/>
      <c r="Z47" s="883"/>
      <c r="AA47" s="883"/>
      <c r="AB47" s="883"/>
      <c r="AC47" s="883"/>
      <c r="AD47" s="883"/>
      <c r="AE47" s="180"/>
      <c r="AF47" s="1389"/>
      <c r="AG47" s="340">
        <f t="shared" si="2"/>
        <v>0</v>
      </c>
      <c r="AH47" s="340">
        <f t="shared" si="3"/>
        <v>0</v>
      </c>
      <c r="AI47" s="340">
        <f t="shared" si="4"/>
        <v>0</v>
      </c>
    </row>
    <row r="48" spans="2:35">
      <c r="B48" s="52"/>
      <c r="C48" s="887" t="s">
        <v>307</v>
      </c>
      <c r="D48" s="883">
        <v>0</v>
      </c>
      <c r="E48" s="883">
        <v>0</v>
      </c>
      <c r="F48" s="883">
        <v>0</v>
      </c>
      <c r="G48" s="883">
        <v>0</v>
      </c>
      <c r="H48" s="883">
        <v>0</v>
      </c>
      <c r="I48" s="883">
        <v>0</v>
      </c>
      <c r="J48" s="180">
        <f t="shared" si="21"/>
        <v>0</v>
      </c>
      <c r="K48" s="881">
        <f t="shared" si="5"/>
        <v>0</v>
      </c>
      <c r="L48" s="881">
        <f t="shared" si="13"/>
        <v>0</v>
      </c>
      <c r="M48" s="881">
        <f t="shared" si="14"/>
        <v>0</v>
      </c>
      <c r="N48" s="881">
        <f t="shared" si="15"/>
        <v>0</v>
      </c>
      <c r="O48" s="881">
        <f t="shared" si="16"/>
        <v>0</v>
      </c>
      <c r="P48" s="881">
        <f t="shared" si="17"/>
        <v>0</v>
      </c>
      <c r="Q48" s="180">
        <f t="shared" si="22"/>
        <v>0</v>
      </c>
      <c r="R48" s="883">
        <v>0</v>
      </c>
      <c r="S48" s="883">
        <v>0</v>
      </c>
      <c r="T48" s="883">
        <v>0</v>
      </c>
      <c r="U48" s="883">
        <v>0</v>
      </c>
      <c r="V48" s="883">
        <v>0</v>
      </c>
      <c r="W48" s="883">
        <v>0</v>
      </c>
      <c r="X48" s="180">
        <f t="shared" si="23"/>
        <v>0</v>
      </c>
      <c r="Y48" s="883"/>
      <c r="Z48" s="883"/>
      <c r="AA48" s="883"/>
      <c r="AB48" s="883"/>
      <c r="AC48" s="883"/>
      <c r="AD48" s="883"/>
      <c r="AE48" s="180"/>
      <c r="AF48" s="1389"/>
      <c r="AG48" s="520">
        <f t="shared" si="2"/>
        <v>0</v>
      </c>
      <c r="AH48" s="520">
        <f t="shared" si="3"/>
        <v>0</v>
      </c>
      <c r="AI48" s="520">
        <f t="shared" si="4"/>
        <v>0</v>
      </c>
    </row>
    <row r="49" spans="2:35" s="801" customFormat="1" hidden="1">
      <c r="B49" s="799"/>
      <c r="C49" s="997"/>
      <c r="D49" s="993"/>
      <c r="E49" s="993"/>
      <c r="F49" s="993"/>
      <c r="G49" s="993"/>
      <c r="H49" s="993"/>
      <c r="I49" s="993"/>
      <c r="J49" s="1033"/>
      <c r="K49" s="881">
        <f t="shared" si="5"/>
        <v>0</v>
      </c>
      <c r="L49" s="881">
        <f t="shared" si="13"/>
        <v>0</v>
      </c>
      <c r="M49" s="881">
        <f t="shared" si="14"/>
        <v>0</v>
      </c>
      <c r="N49" s="881">
        <f t="shared" si="15"/>
        <v>0</v>
      </c>
      <c r="O49" s="881">
        <f t="shared" si="16"/>
        <v>0</v>
      </c>
      <c r="P49" s="881">
        <f t="shared" si="17"/>
        <v>0</v>
      </c>
      <c r="Q49" s="1033"/>
      <c r="R49" s="993"/>
      <c r="S49" s="993"/>
      <c r="T49" s="993"/>
      <c r="U49" s="993"/>
      <c r="V49" s="993"/>
      <c r="W49" s="993"/>
      <c r="X49" s="1033"/>
      <c r="Y49" s="993"/>
      <c r="Z49" s="993"/>
      <c r="AA49" s="993"/>
      <c r="AB49" s="993"/>
      <c r="AC49" s="993"/>
      <c r="AD49" s="993"/>
      <c r="AE49" s="1033"/>
      <c r="AF49" s="1399"/>
      <c r="AG49" s="800"/>
      <c r="AH49" s="800"/>
      <c r="AI49" s="800"/>
    </row>
    <row r="50" spans="2:35" s="801" customFormat="1" hidden="1">
      <c r="B50" s="799"/>
      <c r="C50" s="992"/>
      <c r="D50" s="1403">
        <v>0</v>
      </c>
      <c r="E50" s="1403">
        <v>0</v>
      </c>
      <c r="F50" s="1403">
        <v>0</v>
      </c>
      <c r="G50" s="1403">
        <v>0</v>
      </c>
      <c r="H50" s="1403">
        <v>0</v>
      </c>
      <c r="I50" s="1403">
        <v>0</v>
      </c>
      <c r="J50" s="1033"/>
      <c r="K50" s="881">
        <f t="shared" si="5"/>
        <v>0</v>
      </c>
      <c r="L50" s="881">
        <f t="shared" si="13"/>
        <v>0</v>
      </c>
      <c r="M50" s="881">
        <f t="shared" si="14"/>
        <v>0</v>
      </c>
      <c r="N50" s="881">
        <f t="shared" si="15"/>
        <v>0</v>
      </c>
      <c r="O50" s="881">
        <f t="shared" si="16"/>
        <v>0</v>
      </c>
      <c r="P50" s="881">
        <f t="shared" si="17"/>
        <v>0</v>
      </c>
      <c r="Q50" s="1033"/>
      <c r="R50" s="1403">
        <v>0</v>
      </c>
      <c r="S50" s="1403">
        <v>0</v>
      </c>
      <c r="T50" s="1403">
        <v>0</v>
      </c>
      <c r="U50" s="1403">
        <v>0</v>
      </c>
      <c r="V50" s="1403">
        <v>0</v>
      </c>
      <c r="W50" s="1403">
        <v>0</v>
      </c>
      <c r="X50" s="1033"/>
      <c r="Y50" s="993"/>
      <c r="Z50" s="993"/>
      <c r="AA50" s="993"/>
      <c r="AB50" s="993"/>
      <c r="AC50" s="993"/>
      <c r="AD50" s="993"/>
      <c r="AE50" s="1033"/>
      <c r="AF50" s="1399"/>
      <c r="AG50" s="800"/>
      <c r="AH50" s="800"/>
      <c r="AI50" s="800"/>
    </row>
    <row r="51" spans="2:35" s="801" customFormat="1" hidden="1">
      <c r="B51" s="799"/>
      <c r="C51" s="994"/>
      <c r="D51" s="993">
        <v>0</v>
      </c>
      <c r="E51" s="993">
        <v>0</v>
      </c>
      <c r="F51" s="993">
        <v>0</v>
      </c>
      <c r="G51" s="993">
        <v>0</v>
      </c>
      <c r="H51" s="993">
        <v>0</v>
      </c>
      <c r="I51" s="993">
        <v>0</v>
      </c>
      <c r="J51" s="1033"/>
      <c r="K51" s="881">
        <f t="shared" si="5"/>
        <v>0</v>
      </c>
      <c r="L51" s="881">
        <f t="shared" si="13"/>
        <v>0</v>
      </c>
      <c r="M51" s="881">
        <f t="shared" si="14"/>
        <v>0</v>
      </c>
      <c r="N51" s="881">
        <f t="shared" si="15"/>
        <v>0</v>
      </c>
      <c r="O51" s="881">
        <f t="shared" si="16"/>
        <v>0</v>
      </c>
      <c r="P51" s="881">
        <f t="shared" si="17"/>
        <v>0</v>
      </c>
      <c r="Q51" s="1033"/>
      <c r="R51" s="993">
        <v>0</v>
      </c>
      <c r="S51" s="993">
        <v>0</v>
      </c>
      <c r="T51" s="993">
        <v>0</v>
      </c>
      <c r="U51" s="993">
        <v>0</v>
      </c>
      <c r="V51" s="993">
        <v>0</v>
      </c>
      <c r="W51" s="993">
        <v>0</v>
      </c>
      <c r="X51" s="1033"/>
      <c r="Y51" s="993"/>
      <c r="Z51" s="993"/>
      <c r="AA51" s="993"/>
      <c r="AB51" s="993"/>
      <c r="AC51" s="993"/>
      <c r="AD51" s="993"/>
      <c r="AE51" s="1033"/>
      <c r="AF51" s="1399"/>
      <c r="AG51" s="800"/>
      <c r="AH51" s="800"/>
      <c r="AI51" s="800"/>
    </row>
    <row r="52" spans="2:35" s="801" customFormat="1" hidden="1">
      <c r="B52" s="799"/>
      <c r="C52" s="994"/>
      <c r="D52" s="993"/>
      <c r="E52" s="993"/>
      <c r="F52" s="993"/>
      <c r="G52" s="993"/>
      <c r="H52" s="993"/>
      <c r="I52" s="993"/>
      <c r="J52" s="1033"/>
      <c r="K52" s="881">
        <f t="shared" si="5"/>
        <v>0</v>
      </c>
      <c r="L52" s="881">
        <f t="shared" si="13"/>
        <v>0</v>
      </c>
      <c r="M52" s="881">
        <f t="shared" si="14"/>
        <v>0</v>
      </c>
      <c r="N52" s="881">
        <f t="shared" si="15"/>
        <v>0</v>
      </c>
      <c r="O52" s="881">
        <f t="shared" si="16"/>
        <v>0</v>
      </c>
      <c r="P52" s="881">
        <f t="shared" si="17"/>
        <v>0</v>
      </c>
      <c r="Q52" s="1033"/>
      <c r="R52" s="993"/>
      <c r="S52" s="993"/>
      <c r="T52" s="993"/>
      <c r="U52" s="993"/>
      <c r="V52" s="993"/>
      <c r="W52" s="993"/>
      <c r="X52" s="1033"/>
      <c r="Y52" s="993"/>
      <c r="Z52" s="993"/>
      <c r="AA52" s="993"/>
      <c r="AB52" s="993"/>
      <c r="AC52" s="993"/>
      <c r="AD52" s="993"/>
      <c r="AE52" s="1033"/>
      <c r="AF52" s="1399"/>
      <c r="AG52" s="800"/>
      <c r="AH52" s="800"/>
      <c r="AI52" s="800"/>
    </row>
    <row r="53" spans="2:35" s="801" customFormat="1" hidden="1">
      <c r="B53" s="799"/>
      <c r="C53" s="995"/>
      <c r="D53" s="993">
        <v>0</v>
      </c>
      <c r="E53" s="993">
        <v>0</v>
      </c>
      <c r="F53" s="993">
        <v>0</v>
      </c>
      <c r="G53" s="993">
        <v>0</v>
      </c>
      <c r="H53" s="993">
        <v>0</v>
      </c>
      <c r="I53" s="993">
        <v>0</v>
      </c>
      <c r="J53" s="1033"/>
      <c r="K53" s="881">
        <f t="shared" si="5"/>
        <v>0</v>
      </c>
      <c r="L53" s="881">
        <f t="shared" si="13"/>
        <v>0</v>
      </c>
      <c r="M53" s="881">
        <f t="shared" si="14"/>
        <v>0</v>
      </c>
      <c r="N53" s="881">
        <f t="shared" si="15"/>
        <v>0</v>
      </c>
      <c r="O53" s="881">
        <f t="shared" si="16"/>
        <v>0</v>
      </c>
      <c r="P53" s="881">
        <f t="shared" si="17"/>
        <v>0</v>
      </c>
      <c r="Q53" s="1033"/>
      <c r="R53" s="993">
        <v>0</v>
      </c>
      <c r="S53" s="993">
        <v>0</v>
      </c>
      <c r="T53" s="993">
        <v>0</v>
      </c>
      <c r="U53" s="993">
        <v>0</v>
      </c>
      <c r="V53" s="993">
        <v>0</v>
      </c>
      <c r="W53" s="993">
        <v>0</v>
      </c>
      <c r="X53" s="1033"/>
      <c r="Y53" s="993"/>
      <c r="Z53" s="993"/>
      <c r="AA53" s="993"/>
      <c r="AB53" s="993"/>
      <c r="AC53" s="993"/>
      <c r="AD53" s="993"/>
      <c r="AE53" s="1033"/>
      <c r="AF53" s="1399"/>
      <c r="AG53" s="800"/>
      <c r="AH53" s="800"/>
      <c r="AI53" s="800"/>
    </row>
    <row r="54" spans="2:35" s="801" customFormat="1" hidden="1">
      <c r="B54" s="799"/>
      <c r="C54" s="995"/>
      <c r="D54" s="993"/>
      <c r="E54" s="993"/>
      <c r="F54" s="993"/>
      <c r="G54" s="993"/>
      <c r="H54" s="993"/>
      <c r="I54" s="993"/>
      <c r="J54" s="1033"/>
      <c r="K54" s="881">
        <f t="shared" si="5"/>
        <v>0</v>
      </c>
      <c r="L54" s="881">
        <f t="shared" si="13"/>
        <v>0</v>
      </c>
      <c r="M54" s="881">
        <f t="shared" si="14"/>
        <v>0</v>
      </c>
      <c r="N54" s="881">
        <f t="shared" si="15"/>
        <v>0</v>
      </c>
      <c r="O54" s="881">
        <f t="shared" si="16"/>
        <v>0</v>
      </c>
      <c r="P54" s="881">
        <f t="shared" si="17"/>
        <v>0</v>
      </c>
      <c r="Q54" s="1033"/>
      <c r="R54" s="993"/>
      <c r="S54" s="993"/>
      <c r="T54" s="993"/>
      <c r="U54" s="993"/>
      <c r="V54" s="993"/>
      <c r="W54" s="993"/>
      <c r="X54" s="1033"/>
      <c r="Y54" s="993"/>
      <c r="Z54" s="993"/>
      <c r="AA54" s="993"/>
      <c r="AB54" s="993"/>
      <c r="AC54" s="993"/>
      <c r="AD54" s="993"/>
      <c r="AE54" s="1033"/>
      <c r="AF54" s="1399"/>
      <c r="AG54" s="800"/>
      <c r="AH54" s="800"/>
      <c r="AI54" s="800"/>
    </row>
    <row r="55" spans="2:35" s="801" customFormat="1" hidden="1">
      <c r="B55" s="799"/>
      <c r="C55" s="994"/>
      <c r="D55" s="993"/>
      <c r="E55" s="993"/>
      <c r="F55" s="993"/>
      <c r="G55" s="993"/>
      <c r="H55" s="993"/>
      <c r="I55" s="993"/>
      <c r="J55" s="1033"/>
      <c r="K55" s="881">
        <f t="shared" si="5"/>
        <v>0</v>
      </c>
      <c r="L55" s="881">
        <f t="shared" si="13"/>
        <v>0</v>
      </c>
      <c r="M55" s="881">
        <f t="shared" si="14"/>
        <v>0</v>
      </c>
      <c r="N55" s="881">
        <f t="shared" si="15"/>
        <v>0</v>
      </c>
      <c r="O55" s="881">
        <f t="shared" si="16"/>
        <v>0</v>
      </c>
      <c r="P55" s="881">
        <f t="shared" si="17"/>
        <v>0</v>
      </c>
      <c r="Q55" s="1033"/>
      <c r="R55" s="993"/>
      <c r="S55" s="993"/>
      <c r="T55" s="993"/>
      <c r="U55" s="993"/>
      <c r="V55" s="993"/>
      <c r="W55" s="993"/>
      <c r="X55" s="1033"/>
      <c r="Y55" s="993"/>
      <c r="Z55" s="993"/>
      <c r="AA55" s="993"/>
      <c r="AB55" s="993"/>
      <c r="AC55" s="993"/>
      <c r="AD55" s="993"/>
      <c r="AE55" s="1033"/>
      <c r="AF55" s="1399"/>
      <c r="AG55" s="800"/>
      <c r="AH55" s="800"/>
      <c r="AI55" s="800"/>
    </row>
    <row r="56" spans="2:35" s="801" customFormat="1" hidden="1">
      <c r="B56" s="799"/>
      <c r="C56" s="994"/>
      <c r="D56" s="993"/>
      <c r="E56" s="993"/>
      <c r="F56" s="993"/>
      <c r="G56" s="993"/>
      <c r="H56" s="993"/>
      <c r="I56" s="993"/>
      <c r="J56" s="1033"/>
      <c r="K56" s="881">
        <f t="shared" si="5"/>
        <v>0</v>
      </c>
      <c r="L56" s="881">
        <f t="shared" si="13"/>
        <v>0</v>
      </c>
      <c r="M56" s="881">
        <f t="shared" si="14"/>
        <v>0</v>
      </c>
      <c r="N56" s="881">
        <f t="shared" si="15"/>
        <v>0</v>
      </c>
      <c r="O56" s="881">
        <f t="shared" si="16"/>
        <v>0</v>
      </c>
      <c r="P56" s="881">
        <f t="shared" si="17"/>
        <v>0</v>
      </c>
      <c r="Q56" s="1033"/>
      <c r="R56" s="993"/>
      <c r="S56" s="993"/>
      <c r="T56" s="993"/>
      <c r="U56" s="993"/>
      <c r="V56" s="993"/>
      <c r="W56" s="993"/>
      <c r="X56" s="1033"/>
      <c r="Y56" s="993"/>
      <c r="Z56" s="993"/>
      <c r="AA56" s="993"/>
      <c r="AB56" s="993"/>
      <c r="AC56" s="993"/>
      <c r="AD56" s="993"/>
      <c r="AE56" s="1033"/>
      <c r="AF56" s="1399"/>
      <c r="AG56" s="800"/>
      <c r="AH56" s="800"/>
      <c r="AI56" s="800"/>
    </row>
    <row r="57" spans="2:35" s="801" customFormat="1" hidden="1">
      <c r="B57" s="799"/>
      <c r="C57" s="994"/>
      <c r="D57" s="993"/>
      <c r="E57" s="993"/>
      <c r="F57" s="993"/>
      <c r="G57" s="993"/>
      <c r="H57" s="993"/>
      <c r="I57" s="993"/>
      <c r="J57" s="1033"/>
      <c r="K57" s="881">
        <f t="shared" si="5"/>
        <v>0</v>
      </c>
      <c r="L57" s="881">
        <f t="shared" si="13"/>
        <v>0</v>
      </c>
      <c r="M57" s="881">
        <f t="shared" si="14"/>
        <v>0</v>
      </c>
      <c r="N57" s="881">
        <f t="shared" si="15"/>
        <v>0</v>
      </c>
      <c r="O57" s="881">
        <f t="shared" si="16"/>
        <v>0</v>
      </c>
      <c r="P57" s="881">
        <f t="shared" si="17"/>
        <v>0</v>
      </c>
      <c r="Q57" s="1033"/>
      <c r="R57" s="993"/>
      <c r="S57" s="993"/>
      <c r="T57" s="993"/>
      <c r="U57" s="993"/>
      <c r="V57" s="993"/>
      <c r="W57" s="993"/>
      <c r="X57" s="1033"/>
      <c r="Y57" s="993"/>
      <c r="Z57" s="993"/>
      <c r="AA57" s="993"/>
      <c r="AB57" s="993"/>
      <c r="AC57" s="993"/>
      <c r="AD57" s="993"/>
      <c r="AE57" s="1033"/>
      <c r="AF57" s="1399"/>
      <c r="AG57" s="800"/>
      <c r="AH57" s="800"/>
      <c r="AI57" s="800"/>
    </row>
    <row r="58" spans="2:35" s="801" customFormat="1" hidden="1">
      <c r="B58" s="799"/>
      <c r="C58" s="992"/>
      <c r="D58" s="1403"/>
      <c r="E58" s="1403"/>
      <c r="F58" s="1403"/>
      <c r="G58" s="1403"/>
      <c r="H58" s="1403"/>
      <c r="I58" s="1403"/>
      <c r="J58" s="1033"/>
      <c r="K58" s="881">
        <f t="shared" si="5"/>
        <v>0</v>
      </c>
      <c r="L58" s="881">
        <f t="shared" si="13"/>
        <v>0</v>
      </c>
      <c r="M58" s="881">
        <f t="shared" si="14"/>
        <v>0</v>
      </c>
      <c r="N58" s="881">
        <f t="shared" si="15"/>
        <v>0</v>
      </c>
      <c r="O58" s="881">
        <f t="shared" si="16"/>
        <v>0</v>
      </c>
      <c r="P58" s="881">
        <f t="shared" si="17"/>
        <v>0</v>
      </c>
      <c r="Q58" s="1033"/>
      <c r="R58" s="1403"/>
      <c r="S58" s="1403"/>
      <c r="T58" s="1403"/>
      <c r="U58" s="1403"/>
      <c r="V58" s="1403"/>
      <c r="W58" s="1403"/>
      <c r="X58" s="1033"/>
      <c r="Y58" s="993"/>
      <c r="Z58" s="993"/>
      <c r="AA58" s="993"/>
      <c r="AB58" s="993"/>
      <c r="AC58" s="993"/>
      <c r="AD58" s="993"/>
      <c r="AE58" s="1033"/>
      <c r="AF58" s="1399"/>
      <c r="AG58" s="800"/>
      <c r="AH58" s="800"/>
      <c r="AI58" s="800"/>
    </row>
    <row r="59" spans="2:35" s="801" customFormat="1" hidden="1">
      <c r="B59" s="799"/>
      <c r="C59" s="992"/>
      <c r="D59" s="1403"/>
      <c r="E59" s="1403"/>
      <c r="F59" s="1403"/>
      <c r="G59" s="1403"/>
      <c r="H59" s="1403"/>
      <c r="I59" s="1403"/>
      <c r="J59" s="1033"/>
      <c r="K59" s="881">
        <f t="shared" si="5"/>
        <v>0</v>
      </c>
      <c r="L59" s="881">
        <f t="shared" si="13"/>
        <v>0</v>
      </c>
      <c r="M59" s="881">
        <f t="shared" si="14"/>
        <v>0</v>
      </c>
      <c r="N59" s="881">
        <f t="shared" si="15"/>
        <v>0</v>
      </c>
      <c r="O59" s="881">
        <f t="shared" si="16"/>
        <v>0</v>
      </c>
      <c r="P59" s="881">
        <f t="shared" si="17"/>
        <v>0</v>
      </c>
      <c r="Q59" s="1033"/>
      <c r="R59" s="1403"/>
      <c r="S59" s="1403"/>
      <c r="T59" s="1403"/>
      <c r="U59" s="1403"/>
      <c r="V59" s="1403"/>
      <c r="W59" s="1403"/>
      <c r="X59" s="1033"/>
      <c r="Y59" s="993"/>
      <c r="Z59" s="993"/>
      <c r="AA59" s="993"/>
      <c r="AB59" s="993"/>
      <c r="AC59" s="993"/>
      <c r="AD59" s="993"/>
      <c r="AE59" s="1033"/>
      <c r="AF59" s="1399"/>
    </row>
    <row r="60" spans="2:35" s="801" customFormat="1" hidden="1">
      <c r="B60" s="799"/>
      <c r="C60" s="994"/>
      <c r="D60" s="993"/>
      <c r="E60" s="993"/>
      <c r="F60" s="993"/>
      <c r="G60" s="993"/>
      <c r="H60" s="993"/>
      <c r="I60" s="993"/>
      <c r="J60" s="1033"/>
      <c r="K60" s="881">
        <f t="shared" si="5"/>
        <v>0</v>
      </c>
      <c r="L60" s="881">
        <f t="shared" si="13"/>
        <v>0</v>
      </c>
      <c r="M60" s="881">
        <f t="shared" si="14"/>
        <v>0</v>
      </c>
      <c r="N60" s="881">
        <f t="shared" si="15"/>
        <v>0</v>
      </c>
      <c r="O60" s="881">
        <f t="shared" si="16"/>
        <v>0</v>
      </c>
      <c r="P60" s="881">
        <f t="shared" si="17"/>
        <v>0</v>
      </c>
      <c r="Q60" s="1033"/>
      <c r="R60" s="993"/>
      <c r="S60" s="993"/>
      <c r="T60" s="993"/>
      <c r="U60" s="993"/>
      <c r="V60" s="993"/>
      <c r="W60" s="993"/>
      <c r="X60" s="1033"/>
      <c r="Y60" s="993"/>
      <c r="Z60" s="993"/>
      <c r="AA60" s="993"/>
      <c r="AB60" s="993"/>
      <c r="AC60" s="993"/>
      <c r="AD60" s="993"/>
      <c r="AE60" s="1033"/>
      <c r="AF60" s="1399"/>
    </row>
    <row r="61" spans="2:35" s="801" customFormat="1" hidden="1">
      <c r="B61" s="799"/>
      <c r="C61" s="994"/>
      <c r="D61" s="993"/>
      <c r="E61" s="993"/>
      <c r="F61" s="993"/>
      <c r="G61" s="993"/>
      <c r="H61" s="993"/>
      <c r="I61" s="993"/>
      <c r="J61" s="1033"/>
      <c r="K61" s="881">
        <f t="shared" si="5"/>
        <v>0</v>
      </c>
      <c r="L61" s="881">
        <f t="shared" si="13"/>
        <v>0</v>
      </c>
      <c r="M61" s="881">
        <f t="shared" si="14"/>
        <v>0</v>
      </c>
      <c r="N61" s="881">
        <f t="shared" si="15"/>
        <v>0</v>
      </c>
      <c r="O61" s="881">
        <f t="shared" si="16"/>
        <v>0</v>
      </c>
      <c r="P61" s="881">
        <f t="shared" si="17"/>
        <v>0</v>
      </c>
      <c r="Q61" s="1033"/>
      <c r="R61" s="993"/>
      <c r="S61" s="993"/>
      <c r="T61" s="993"/>
      <c r="U61" s="993"/>
      <c r="V61" s="993"/>
      <c r="W61" s="993"/>
      <c r="X61" s="1033"/>
      <c r="Y61" s="993"/>
      <c r="Z61" s="993"/>
      <c r="AA61" s="993"/>
      <c r="AB61" s="993"/>
      <c r="AC61" s="993"/>
      <c r="AD61" s="993"/>
      <c r="AE61" s="1033"/>
      <c r="AF61" s="1399"/>
    </row>
    <row r="62" spans="2:35" s="801" customFormat="1" hidden="1">
      <c r="B62" s="799"/>
      <c r="C62" s="996"/>
      <c r="D62" s="993"/>
      <c r="E62" s="993"/>
      <c r="F62" s="993"/>
      <c r="G62" s="993"/>
      <c r="H62" s="993"/>
      <c r="I62" s="993"/>
      <c r="J62" s="1033"/>
      <c r="K62" s="881">
        <f t="shared" si="5"/>
        <v>0</v>
      </c>
      <c r="L62" s="881">
        <f t="shared" si="13"/>
        <v>0</v>
      </c>
      <c r="M62" s="881">
        <f t="shared" si="14"/>
        <v>0</v>
      </c>
      <c r="N62" s="881">
        <f t="shared" si="15"/>
        <v>0</v>
      </c>
      <c r="O62" s="881">
        <f t="shared" si="16"/>
        <v>0</v>
      </c>
      <c r="P62" s="881">
        <f t="shared" si="17"/>
        <v>0</v>
      </c>
      <c r="Q62" s="1033"/>
      <c r="R62" s="993"/>
      <c r="S62" s="993"/>
      <c r="T62" s="993"/>
      <c r="U62" s="993"/>
      <c r="V62" s="993"/>
      <c r="W62" s="993"/>
      <c r="X62" s="1033"/>
      <c r="Y62" s="993"/>
      <c r="Z62" s="993"/>
      <c r="AA62" s="993"/>
      <c r="AB62" s="993"/>
      <c r="AC62" s="993"/>
      <c r="AD62" s="993"/>
      <c r="AE62" s="1033"/>
      <c r="AF62" s="1399"/>
    </row>
    <row r="63" spans="2:35" s="801" customFormat="1" hidden="1">
      <c r="B63" s="799"/>
      <c r="C63" s="994"/>
      <c r="D63" s="993"/>
      <c r="E63" s="993"/>
      <c r="F63" s="993"/>
      <c r="G63" s="993"/>
      <c r="H63" s="993"/>
      <c r="I63" s="993"/>
      <c r="J63" s="1033"/>
      <c r="K63" s="881">
        <f t="shared" si="5"/>
        <v>0</v>
      </c>
      <c r="L63" s="881">
        <f t="shared" si="13"/>
        <v>0</v>
      </c>
      <c r="M63" s="881">
        <f t="shared" si="14"/>
        <v>0</v>
      </c>
      <c r="N63" s="881">
        <f t="shared" si="15"/>
        <v>0</v>
      </c>
      <c r="O63" s="881">
        <f t="shared" si="16"/>
        <v>0</v>
      </c>
      <c r="P63" s="881">
        <f t="shared" si="17"/>
        <v>0</v>
      </c>
      <c r="Q63" s="1033"/>
      <c r="R63" s="993"/>
      <c r="S63" s="993"/>
      <c r="T63" s="993"/>
      <c r="U63" s="993"/>
      <c r="V63" s="993"/>
      <c r="W63" s="993"/>
      <c r="X63" s="1033"/>
      <c r="Y63" s="993"/>
      <c r="Z63" s="993"/>
      <c r="AA63" s="993"/>
      <c r="AB63" s="993"/>
      <c r="AC63" s="993"/>
      <c r="AD63" s="993"/>
      <c r="AE63" s="1033"/>
      <c r="AF63" s="1399"/>
    </row>
    <row r="64" spans="2:35" s="801" customFormat="1" hidden="1">
      <c r="B64" s="799"/>
      <c r="C64" s="994"/>
      <c r="D64" s="993"/>
      <c r="E64" s="993"/>
      <c r="F64" s="993"/>
      <c r="G64" s="993"/>
      <c r="H64" s="993"/>
      <c r="I64" s="993"/>
      <c r="J64" s="1033"/>
      <c r="K64" s="881">
        <f t="shared" si="5"/>
        <v>0</v>
      </c>
      <c r="L64" s="881">
        <f t="shared" si="13"/>
        <v>0</v>
      </c>
      <c r="M64" s="881">
        <f t="shared" si="14"/>
        <v>0</v>
      </c>
      <c r="N64" s="881">
        <f t="shared" si="15"/>
        <v>0</v>
      </c>
      <c r="O64" s="881">
        <f t="shared" si="16"/>
        <v>0</v>
      </c>
      <c r="P64" s="881">
        <f t="shared" si="17"/>
        <v>0</v>
      </c>
      <c r="Q64" s="1033"/>
      <c r="R64" s="993"/>
      <c r="S64" s="993"/>
      <c r="T64" s="993"/>
      <c r="U64" s="993"/>
      <c r="V64" s="993"/>
      <c r="W64" s="993"/>
      <c r="X64" s="1033"/>
      <c r="Y64" s="993"/>
      <c r="Z64" s="993"/>
      <c r="AA64" s="993"/>
      <c r="AB64" s="993"/>
      <c r="AC64" s="993"/>
      <c r="AD64" s="993"/>
      <c r="AE64" s="1033"/>
      <c r="AF64" s="1399"/>
    </row>
    <row r="65" spans="2:32" s="801" customFormat="1" hidden="1">
      <c r="B65" s="799"/>
      <c r="C65" s="992"/>
      <c r="D65" s="1403">
        <v>0</v>
      </c>
      <c r="E65" s="1403">
        <v>0</v>
      </c>
      <c r="F65" s="1403">
        <v>0</v>
      </c>
      <c r="G65" s="1403">
        <v>0</v>
      </c>
      <c r="H65" s="1403">
        <v>0</v>
      </c>
      <c r="I65" s="1403">
        <v>0</v>
      </c>
      <c r="J65" s="1033"/>
      <c r="K65" s="881">
        <f t="shared" si="5"/>
        <v>0</v>
      </c>
      <c r="L65" s="881">
        <f t="shared" si="13"/>
        <v>0</v>
      </c>
      <c r="M65" s="881">
        <f t="shared" si="14"/>
        <v>0</v>
      </c>
      <c r="N65" s="881">
        <f t="shared" si="15"/>
        <v>0</v>
      </c>
      <c r="O65" s="881">
        <f t="shared" si="16"/>
        <v>0</v>
      </c>
      <c r="P65" s="881">
        <f t="shared" si="17"/>
        <v>0</v>
      </c>
      <c r="Q65" s="1033"/>
      <c r="R65" s="1403">
        <v>0</v>
      </c>
      <c r="S65" s="1403">
        <v>0</v>
      </c>
      <c r="T65" s="1403">
        <v>0</v>
      </c>
      <c r="U65" s="1403">
        <v>0</v>
      </c>
      <c r="V65" s="1403">
        <v>0</v>
      </c>
      <c r="W65" s="1403">
        <v>0</v>
      </c>
      <c r="X65" s="1033"/>
      <c r="Y65" s="993"/>
      <c r="Z65" s="993"/>
      <c r="AA65" s="993"/>
      <c r="AB65" s="993"/>
      <c r="AC65" s="993"/>
      <c r="AD65" s="993"/>
      <c r="AE65" s="1033"/>
      <c r="AF65" s="1399"/>
    </row>
    <row r="66" spans="2:32" s="801" customFormat="1" hidden="1">
      <c r="B66" s="799"/>
      <c r="C66" s="994"/>
      <c r="D66" s="993">
        <v>0</v>
      </c>
      <c r="E66" s="993">
        <v>0</v>
      </c>
      <c r="F66" s="993">
        <v>0</v>
      </c>
      <c r="G66" s="993">
        <v>0</v>
      </c>
      <c r="H66" s="993">
        <v>0</v>
      </c>
      <c r="I66" s="993">
        <v>0</v>
      </c>
      <c r="J66" s="1033"/>
      <c r="K66" s="881">
        <f t="shared" si="5"/>
        <v>0</v>
      </c>
      <c r="L66" s="881">
        <f t="shared" si="13"/>
        <v>0</v>
      </c>
      <c r="M66" s="881">
        <f t="shared" si="14"/>
        <v>0</v>
      </c>
      <c r="N66" s="881">
        <f t="shared" si="15"/>
        <v>0</v>
      </c>
      <c r="O66" s="881">
        <f t="shared" si="16"/>
        <v>0</v>
      </c>
      <c r="P66" s="881">
        <f t="shared" si="17"/>
        <v>0</v>
      </c>
      <c r="Q66" s="1033"/>
      <c r="R66" s="993">
        <v>0</v>
      </c>
      <c r="S66" s="993">
        <v>0</v>
      </c>
      <c r="T66" s="993">
        <v>0</v>
      </c>
      <c r="U66" s="993">
        <v>0</v>
      </c>
      <c r="V66" s="993">
        <v>0</v>
      </c>
      <c r="W66" s="993">
        <v>0</v>
      </c>
      <c r="X66" s="1033"/>
      <c r="Y66" s="993"/>
      <c r="Z66" s="993"/>
      <c r="AA66" s="993"/>
      <c r="AB66" s="993"/>
      <c r="AC66" s="993"/>
      <c r="AD66" s="993"/>
      <c r="AE66" s="1033"/>
      <c r="AF66" s="1399"/>
    </row>
    <row r="67" spans="2:32" s="801" customFormat="1" hidden="1">
      <c r="B67" s="799"/>
      <c r="C67" s="994"/>
      <c r="D67" s="993">
        <v>0</v>
      </c>
      <c r="E67" s="993">
        <v>0</v>
      </c>
      <c r="F67" s="993">
        <v>0</v>
      </c>
      <c r="G67" s="993">
        <v>0</v>
      </c>
      <c r="H67" s="993">
        <v>0</v>
      </c>
      <c r="I67" s="993">
        <v>0</v>
      </c>
      <c r="J67" s="1033"/>
      <c r="K67" s="881">
        <f t="shared" si="5"/>
        <v>0</v>
      </c>
      <c r="L67" s="881">
        <f t="shared" si="13"/>
        <v>0</v>
      </c>
      <c r="M67" s="881">
        <f t="shared" si="14"/>
        <v>0</v>
      </c>
      <c r="N67" s="881">
        <f t="shared" si="15"/>
        <v>0</v>
      </c>
      <c r="O67" s="881">
        <f t="shared" si="16"/>
        <v>0</v>
      </c>
      <c r="P67" s="881">
        <f t="shared" si="17"/>
        <v>0</v>
      </c>
      <c r="Q67" s="1033"/>
      <c r="R67" s="993">
        <v>0</v>
      </c>
      <c r="S67" s="993">
        <v>0</v>
      </c>
      <c r="T67" s="993">
        <v>0</v>
      </c>
      <c r="U67" s="993">
        <v>0</v>
      </c>
      <c r="V67" s="993">
        <v>0</v>
      </c>
      <c r="W67" s="993">
        <v>0</v>
      </c>
      <c r="X67" s="1033"/>
      <c r="Y67" s="993"/>
      <c r="Z67" s="993"/>
      <c r="AA67" s="993"/>
      <c r="AB67" s="993"/>
      <c r="AC67" s="993"/>
      <c r="AD67" s="993"/>
      <c r="AE67" s="1033"/>
      <c r="AF67" s="1399"/>
    </row>
    <row r="68" spans="2:32" s="801" customFormat="1" hidden="1">
      <c r="B68" s="799"/>
      <c r="C68" s="996"/>
      <c r="D68" s="993">
        <v>0</v>
      </c>
      <c r="E68" s="993">
        <v>0</v>
      </c>
      <c r="F68" s="993">
        <v>0</v>
      </c>
      <c r="G68" s="993">
        <v>0</v>
      </c>
      <c r="H68" s="993">
        <v>0</v>
      </c>
      <c r="I68" s="993">
        <v>0</v>
      </c>
      <c r="J68" s="1033"/>
      <c r="K68" s="881">
        <f t="shared" si="5"/>
        <v>0</v>
      </c>
      <c r="L68" s="881">
        <f t="shared" si="13"/>
        <v>0</v>
      </c>
      <c r="M68" s="881">
        <f t="shared" si="14"/>
        <v>0</v>
      </c>
      <c r="N68" s="881">
        <f t="shared" si="15"/>
        <v>0</v>
      </c>
      <c r="O68" s="881">
        <f t="shared" si="16"/>
        <v>0</v>
      </c>
      <c r="P68" s="881">
        <f t="shared" si="17"/>
        <v>0</v>
      </c>
      <c r="Q68" s="1033"/>
      <c r="R68" s="993">
        <v>0</v>
      </c>
      <c r="S68" s="993">
        <v>0</v>
      </c>
      <c r="T68" s="993">
        <v>0</v>
      </c>
      <c r="U68" s="993">
        <v>0</v>
      </c>
      <c r="V68" s="993">
        <v>0</v>
      </c>
      <c r="W68" s="993">
        <v>0</v>
      </c>
      <c r="X68" s="1033"/>
      <c r="Y68" s="993"/>
      <c r="Z68" s="993"/>
      <c r="AA68" s="993"/>
      <c r="AB68" s="993"/>
      <c r="AC68" s="993"/>
      <c r="AD68" s="993"/>
      <c r="AE68" s="1033"/>
      <c r="AF68" s="1399"/>
    </row>
    <row r="69" spans="2:32" s="801" customFormat="1" hidden="1">
      <c r="B69" s="799"/>
      <c r="C69" s="994"/>
      <c r="D69" s="993">
        <v>0</v>
      </c>
      <c r="E69" s="993">
        <v>0</v>
      </c>
      <c r="F69" s="993">
        <v>0</v>
      </c>
      <c r="G69" s="993">
        <v>0</v>
      </c>
      <c r="H69" s="993">
        <v>0</v>
      </c>
      <c r="I69" s="993">
        <v>0</v>
      </c>
      <c r="J69" s="1033"/>
      <c r="K69" s="881">
        <f t="shared" si="5"/>
        <v>0</v>
      </c>
      <c r="L69" s="881">
        <f t="shared" si="13"/>
        <v>0</v>
      </c>
      <c r="M69" s="881">
        <f t="shared" si="14"/>
        <v>0</v>
      </c>
      <c r="N69" s="881">
        <f t="shared" si="15"/>
        <v>0</v>
      </c>
      <c r="O69" s="881">
        <f t="shared" si="16"/>
        <v>0</v>
      </c>
      <c r="P69" s="881">
        <f t="shared" si="17"/>
        <v>0</v>
      </c>
      <c r="Q69" s="1033"/>
      <c r="R69" s="993">
        <v>0</v>
      </c>
      <c r="S69" s="993">
        <v>0</v>
      </c>
      <c r="T69" s="993">
        <v>0</v>
      </c>
      <c r="U69" s="993">
        <v>0</v>
      </c>
      <c r="V69" s="993">
        <v>0</v>
      </c>
      <c r="W69" s="993">
        <v>0</v>
      </c>
      <c r="X69" s="1033"/>
      <c r="Y69" s="993"/>
      <c r="Z69" s="993"/>
      <c r="AA69" s="993"/>
      <c r="AB69" s="993"/>
      <c r="AC69" s="993"/>
      <c r="AD69" s="993"/>
      <c r="AE69" s="1033"/>
      <c r="AF69" s="1399"/>
    </row>
    <row r="70" spans="2:32" s="801" customFormat="1" hidden="1">
      <c r="B70" s="799"/>
      <c r="C70" s="994"/>
      <c r="D70" s="993">
        <v>0</v>
      </c>
      <c r="E70" s="993">
        <v>0</v>
      </c>
      <c r="F70" s="993">
        <v>0</v>
      </c>
      <c r="G70" s="993">
        <v>0</v>
      </c>
      <c r="H70" s="993">
        <v>0</v>
      </c>
      <c r="I70" s="993">
        <v>0</v>
      </c>
      <c r="J70" s="1033"/>
      <c r="K70" s="881">
        <f t="shared" ref="K70:K107" si="27">D70</f>
        <v>0</v>
      </c>
      <c r="L70" s="881">
        <f t="shared" si="13"/>
        <v>0</v>
      </c>
      <c r="M70" s="881">
        <f t="shared" si="14"/>
        <v>0</v>
      </c>
      <c r="N70" s="881">
        <f t="shared" si="15"/>
        <v>0</v>
      </c>
      <c r="O70" s="881">
        <f t="shared" si="16"/>
        <v>0</v>
      </c>
      <c r="P70" s="881">
        <f t="shared" si="17"/>
        <v>0</v>
      </c>
      <c r="Q70" s="1033"/>
      <c r="R70" s="993">
        <v>0</v>
      </c>
      <c r="S70" s="993">
        <v>0</v>
      </c>
      <c r="T70" s="993">
        <v>0</v>
      </c>
      <c r="U70" s="993">
        <v>0</v>
      </c>
      <c r="V70" s="993">
        <v>0</v>
      </c>
      <c r="W70" s="993">
        <v>0</v>
      </c>
      <c r="X70" s="1033"/>
      <c r="Y70" s="993"/>
      <c r="Z70" s="993"/>
      <c r="AA70" s="993"/>
      <c r="AB70" s="993"/>
      <c r="AC70" s="993"/>
      <c r="AD70" s="993"/>
      <c r="AE70" s="1033"/>
      <c r="AF70" s="1399"/>
    </row>
    <row r="71" spans="2:32" s="801" customFormat="1" hidden="1">
      <c r="B71" s="799"/>
      <c r="C71" s="992"/>
      <c r="D71" s="1403">
        <v>0</v>
      </c>
      <c r="E71" s="1403">
        <v>0</v>
      </c>
      <c r="F71" s="1403">
        <v>0</v>
      </c>
      <c r="G71" s="1403">
        <v>0</v>
      </c>
      <c r="H71" s="1403">
        <v>0</v>
      </c>
      <c r="I71" s="1403">
        <v>0</v>
      </c>
      <c r="J71" s="1033"/>
      <c r="K71" s="881">
        <f t="shared" si="27"/>
        <v>0</v>
      </c>
      <c r="L71" s="881">
        <f t="shared" si="13"/>
        <v>0</v>
      </c>
      <c r="M71" s="881">
        <f t="shared" si="14"/>
        <v>0</v>
      </c>
      <c r="N71" s="881">
        <f t="shared" si="15"/>
        <v>0</v>
      </c>
      <c r="O71" s="881">
        <f t="shared" si="16"/>
        <v>0</v>
      </c>
      <c r="P71" s="881">
        <f t="shared" si="17"/>
        <v>0</v>
      </c>
      <c r="Q71" s="1033"/>
      <c r="R71" s="1403">
        <v>0</v>
      </c>
      <c r="S71" s="1403">
        <v>0</v>
      </c>
      <c r="T71" s="1403">
        <v>0</v>
      </c>
      <c r="U71" s="1403">
        <v>0</v>
      </c>
      <c r="V71" s="1403">
        <v>0</v>
      </c>
      <c r="W71" s="1403">
        <v>0</v>
      </c>
      <c r="X71" s="1033"/>
      <c r="Y71" s="993"/>
      <c r="Z71" s="993"/>
      <c r="AA71" s="993"/>
      <c r="AB71" s="993"/>
      <c r="AC71" s="993"/>
      <c r="AD71" s="993"/>
      <c r="AE71" s="1033"/>
      <c r="AF71" s="1399"/>
    </row>
    <row r="72" spans="2:32" s="801" customFormat="1" hidden="1">
      <c r="B72" s="799"/>
      <c r="C72" s="994"/>
      <c r="D72" s="993">
        <v>0</v>
      </c>
      <c r="E72" s="993">
        <v>0</v>
      </c>
      <c r="F72" s="993">
        <v>0</v>
      </c>
      <c r="G72" s="993">
        <v>0</v>
      </c>
      <c r="H72" s="993">
        <v>0</v>
      </c>
      <c r="I72" s="993">
        <v>0</v>
      </c>
      <c r="J72" s="1033"/>
      <c r="K72" s="881">
        <f t="shared" si="27"/>
        <v>0</v>
      </c>
      <c r="L72" s="881">
        <f t="shared" si="13"/>
        <v>0</v>
      </c>
      <c r="M72" s="881">
        <f t="shared" si="14"/>
        <v>0</v>
      </c>
      <c r="N72" s="881">
        <f t="shared" si="15"/>
        <v>0</v>
      </c>
      <c r="O72" s="881">
        <f t="shared" si="16"/>
        <v>0</v>
      </c>
      <c r="P72" s="881">
        <f t="shared" si="17"/>
        <v>0</v>
      </c>
      <c r="Q72" s="1033"/>
      <c r="R72" s="993">
        <v>0</v>
      </c>
      <c r="S72" s="993">
        <v>0</v>
      </c>
      <c r="T72" s="993">
        <v>0</v>
      </c>
      <c r="U72" s="993">
        <v>0</v>
      </c>
      <c r="V72" s="993">
        <v>0</v>
      </c>
      <c r="W72" s="993">
        <v>0</v>
      </c>
      <c r="X72" s="1033"/>
      <c r="Y72" s="993"/>
      <c r="Z72" s="993"/>
      <c r="AA72" s="993"/>
      <c r="AB72" s="993"/>
      <c r="AC72" s="993"/>
      <c r="AD72" s="993"/>
      <c r="AE72" s="1033"/>
      <c r="AF72" s="1399"/>
    </row>
    <row r="73" spans="2:32" s="801" customFormat="1" hidden="1">
      <c r="B73" s="799"/>
      <c r="C73" s="994"/>
      <c r="D73" s="993">
        <v>0</v>
      </c>
      <c r="E73" s="993">
        <v>0</v>
      </c>
      <c r="F73" s="993">
        <v>0</v>
      </c>
      <c r="G73" s="993">
        <v>0</v>
      </c>
      <c r="H73" s="993">
        <v>0</v>
      </c>
      <c r="I73" s="993">
        <v>0</v>
      </c>
      <c r="J73" s="1033"/>
      <c r="K73" s="881">
        <f t="shared" si="27"/>
        <v>0</v>
      </c>
      <c r="L73" s="881">
        <f t="shared" si="13"/>
        <v>0</v>
      </c>
      <c r="M73" s="881">
        <f t="shared" si="14"/>
        <v>0</v>
      </c>
      <c r="N73" s="881">
        <f t="shared" si="15"/>
        <v>0</v>
      </c>
      <c r="O73" s="881">
        <f t="shared" si="16"/>
        <v>0</v>
      </c>
      <c r="P73" s="881">
        <f t="shared" si="17"/>
        <v>0</v>
      </c>
      <c r="Q73" s="1033"/>
      <c r="R73" s="993">
        <v>0</v>
      </c>
      <c r="S73" s="993">
        <v>0</v>
      </c>
      <c r="T73" s="993">
        <v>0</v>
      </c>
      <c r="U73" s="993">
        <v>0</v>
      </c>
      <c r="V73" s="993">
        <v>0</v>
      </c>
      <c r="W73" s="993">
        <v>0</v>
      </c>
      <c r="X73" s="1033"/>
      <c r="Y73" s="993"/>
      <c r="Z73" s="993"/>
      <c r="AA73" s="993"/>
      <c r="AB73" s="993"/>
      <c r="AC73" s="993"/>
      <c r="AD73" s="993"/>
      <c r="AE73" s="1033"/>
      <c r="AF73" s="1399"/>
    </row>
    <row r="74" spans="2:32" s="801" customFormat="1" hidden="1">
      <c r="B74" s="799"/>
      <c r="C74" s="995"/>
      <c r="D74" s="993">
        <v>0</v>
      </c>
      <c r="E74" s="993">
        <v>0</v>
      </c>
      <c r="F74" s="993">
        <v>0</v>
      </c>
      <c r="G74" s="993">
        <v>0</v>
      </c>
      <c r="H74" s="993">
        <v>0</v>
      </c>
      <c r="I74" s="993">
        <v>0</v>
      </c>
      <c r="J74" s="1033"/>
      <c r="K74" s="881">
        <f t="shared" si="27"/>
        <v>0</v>
      </c>
      <c r="L74" s="881">
        <f t="shared" si="13"/>
        <v>0</v>
      </c>
      <c r="M74" s="881">
        <f t="shared" si="14"/>
        <v>0</v>
      </c>
      <c r="N74" s="881">
        <f t="shared" si="15"/>
        <v>0</v>
      </c>
      <c r="O74" s="881">
        <f t="shared" si="16"/>
        <v>0</v>
      </c>
      <c r="P74" s="881">
        <f t="shared" si="17"/>
        <v>0</v>
      </c>
      <c r="Q74" s="1033"/>
      <c r="R74" s="993">
        <v>0</v>
      </c>
      <c r="S74" s="993">
        <v>0</v>
      </c>
      <c r="T74" s="993">
        <v>0</v>
      </c>
      <c r="U74" s="993">
        <v>0</v>
      </c>
      <c r="V74" s="993">
        <v>0</v>
      </c>
      <c r="W74" s="993">
        <v>0</v>
      </c>
      <c r="X74" s="1033"/>
      <c r="Y74" s="993"/>
      <c r="Z74" s="993"/>
      <c r="AA74" s="993"/>
      <c r="AB74" s="993"/>
      <c r="AC74" s="993"/>
      <c r="AD74" s="993"/>
      <c r="AE74" s="1033"/>
      <c r="AF74" s="1399"/>
    </row>
    <row r="75" spans="2:32" s="801" customFormat="1" hidden="1">
      <c r="B75" s="799"/>
      <c r="C75" s="995"/>
      <c r="D75" s="993">
        <v>0</v>
      </c>
      <c r="E75" s="993">
        <v>0</v>
      </c>
      <c r="F75" s="993">
        <v>0</v>
      </c>
      <c r="G75" s="993">
        <v>0</v>
      </c>
      <c r="H75" s="993">
        <v>0</v>
      </c>
      <c r="I75" s="993">
        <v>0</v>
      </c>
      <c r="J75" s="1033"/>
      <c r="K75" s="881">
        <f t="shared" si="27"/>
        <v>0</v>
      </c>
      <c r="L75" s="881">
        <f t="shared" si="13"/>
        <v>0</v>
      </c>
      <c r="M75" s="881">
        <f t="shared" si="14"/>
        <v>0</v>
      </c>
      <c r="N75" s="881">
        <f t="shared" si="15"/>
        <v>0</v>
      </c>
      <c r="O75" s="881">
        <f t="shared" si="16"/>
        <v>0</v>
      </c>
      <c r="P75" s="881">
        <f t="shared" si="17"/>
        <v>0</v>
      </c>
      <c r="Q75" s="1033"/>
      <c r="R75" s="993">
        <v>0</v>
      </c>
      <c r="S75" s="993">
        <v>0</v>
      </c>
      <c r="T75" s="993">
        <v>0</v>
      </c>
      <c r="U75" s="993">
        <v>0</v>
      </c>
      <c r="V75" s="993">
        <v>0</v>
      </c>
      <c r="W75" s="993">
        <v>0</v>
      </c>
      <c r="X75" s="1033"/>
      <c r="Y75" s="993"/>
      <c r="Z75" s="993"/>
      <c r="AA75" s="993"/>
      <c r="AB75" s="993"/>
      <c r="AC75" s="993"/>
      <c r="AD75" s="993"/>
      <c r="AE75" s="1033"/>
      <c r="AF75" s="1399"/>
    </row>
    <row r="76" spans="2:32" s="801" customFormat="1" hidden="1">
      <c r="B76" s="799"/>
      <c r="C76" s="994"/>
      <c r="D76" s="993">
        <v>0</v>
      </c>
      <c r="E76" s="993">
        <v>0</v>
      </c>
      <c r="F76" s="993">
        <v>0</v>
      </c>
      <c r="G76" s="993">
        <v>0</v>
      </c>
      <c r="H76" s="993">
        <v>0</v>
      </c>
      <c r="I76" s="993">
        <v>0</v>
      </c>
      <c r="J76" s="1033"/>
      <c r="K76" s="881">
        <f t="shared" si="27"/>
        <v>0</v>
      </c>
      <c r="L76" s="881">
        <f t="shared" si="13"/>
        <v>0</v>
      </c>
      <c r="M76" s="881">
        <f t="shared" si="14"/>
        <v>0</v>
      </c>
      <c r="N76" s="881">
        <f t="shared" si="15"/>
        <v>0</v>
      </c>
      <c r="O76" s="881">
        <f t="shared" si="16"/>
        <v>0</v>
      </c>
      <c r="P76" s="881">
        <f t="shared" si="17"/>
        <v>0</v>
      </c>
      <c r="Q76" s="1033"/>
      <c r="R76" s="993">
        <v>0</v>
      </c>
      <c r="S76" s="993">
        <v>0</v>
      </c>
      <c r="T76" s="993">
        <v>0</v>
      </c>
      <c r="U76" s="993">
        <v>0</v>
      </c>
      <c r="V76" s="993">
        <v>0</v>
      </c>
      <c r="W76" s="993">
        <v>0</v>
      </c>
      <c r="X76" s="1033"/>
      <c r="Y76" s="993"/>
      <c r="Z76" s="993"/>
      <c r="AA76" s="993"/>
      <c r="AB76" s="993"/>
      <c r="AC76" s="993"/>
      <c r="AD76" s="993"/>
      <c r="AE76" s="1033"/>
      <c r="AF76" s="1399"/>
    </row>
    <row r="77" spans="2:32" s="801" customFormat="1" hidden="1">
      <c r="B77" s="799"/>
      <c r="C77" s="994"/>
      <c r="D77" s="993">
        <v>0</v>
      </c>
      <c r="E77" s="993">
        <v>0</v>
      </c>
      <c r="F77" s="993">
        <v>0</v>
      </c>
      <c r="G77" s="993">
        <v>0</v>
      </c>
      <c r="H77" s="993">
        <v>0</v>
      </c>
      <c r="I77" s="993">
        <v>0</v>
      </c>
      <c r="J77" s="1033"/>
      <c r="K77" s="881">
        <f t="shared" si="27"/>
        <v>0</v>
      </c>
      <c r="L77" s="881">
        <f t="shared" si="13"/>
        <v>0</v>
      </c>
      <c r="M77" s="881">
        <f t="shared" si="14"/>
        <v>0</v>
      </c>
      <c r="N77" s="881">
        <f t="shared" si="15"/>
        <v>0</v>
      </c>
      <c r="O77" s="881">
        <f t="shared" si="16"/>
        <v>0</v>
      </c>
      <c r="P77" s="881">
        <f t="shared" si="17"/>
        <v>0</v>
      </c>
      <c r="Q77" s="1033"/>
      <c r="R77" s="993">
        <v>0</v>
      </c>
      <c r="S77" s="993">
        <v>0</v>
      </c>
      <c r="T77" s="993">
        <v>0</v>
      </c>
      <c r="U77" s="993">
        <v>0</v>
      </c>
      <c r="V77" s="993">
        <v>0</v>
      </c>
      <c r="W77" s="993">
        <v>0</v>
      </c>
      <c r="X77" s="1033"/>
      <c r="Y77" s="993"/>
      <c r="Z77" s="993"/>
      <c r="AA77" s="993"/>
      <c r="AB77" s="993"/>
      <c r="AC77" s="993"/>
      <c r="AD77" s="993"/>
      <c r="AE77" s="1033"/>
      <c r="AF77" s="1399"/>
    </row>
    <row r="78" spans="2:32" s="801" customFormat="1" hidden="1">
      <c r="B78" s="799"/>
      <c r="C78" s="992"/>
      <c r="D78" s="1403">
        <v>0</v>
      </c>
      <c r="E78" s="1403">
        <v>0</v>
      </c>
      <c r="F78" s="1403">
        <v>0</v>
      </c>
      <c r="G78" s="1403">
        <v>0</v>
      </c>
      <c r="H78" s="1403">
        <v>0</v>
      </c>
      <c r="I78" s="1403">
        <v>0</v>
      </c>
      <c r="J78" s="1033"/>
      <c r="K78" s="881">
        <f t="shared" si="27"/>
        <v>0</v>
      </c>
      <c r="L78" s="881">
        <f t="shared" si="13"/>
        <v>0</v>
      </c>
      <c r="M78" s="881">
        <f t="shared" si="14"/>
        <v>0</v>
      </c>
      <c r="N78" s="881">
        <f t="shared" si="15"/>
        <v>0</v>
      </c>
      <c r="O78" s="881">
        <f t="shared" si="16"/>
        <v>0</v>
      </c>
      <c r="P78" s="881">
        <f t="shared" si="17"/>
        <v>0</v>
      </c>
      <c r="Q78" s="1033"/>
      <c r="R78" s="1403">
        <v>0</v>
      </c>
      <c r="S78" s="1403">
        <v>0</v>
      </c>
      <c r="T78" s="1403">
        <v>0</v>
      </c>
      <c r="U78" s="1403">
        <v>0</v>
      </c>
      <c r="V78" s="1403">
        <v>0</v>
      </c>
      <c r="W78" s="1403">
        <v>0</v>
      </c>
      <c r="X78" s="1033"/>
      <c r="Y78" s="993"/>
      <c r="Z78" s="993"/>
      <c r="AA78" s="993"/>
      <c r="AB78" s="993"/>
      <c r="AC78" s="993"/>
      <c r="AD78" s="993"/>
      <c r="AE78" s="1033"/>
      <c r="AF78" s="1399"/>
    </row>
    <row r="79" spans="2:32" s="801" customFormat="1" hidden="1">
      <c r="C79" s="994"/>
      <c r="D79" s="993">
        <v>0</v>
      </c>
      <c r="E79" s="993">
        <v>0</v>
      </c>
      <c r="F79" s="993">
        <v>0</v>
      </c>
      <c r="G79" s="993">
        <v>0</v>
      </c>
      <c r="H79" s="993">
        <v>0</v>
      </c>
      <c r="I79" s="993">
        <v>0</v>
      </c>
      <c r="J79" s="1033"/>
      <c r="K79" s="881">
        <f t="shared" si="27"/>
        <v>0</v>
      </c>
      <c r="L79" s="881">
        <f t="shared" si="13"/>
        <v>0</v>
      </c>
      <c r="M79" s="881">
        <f t="shared" si="14"/>
        <v>0</v>
      </c>
      <c r="N79" s="881">
        <f t="shared" si="15"/>
        <v>0</v>
      </c>
      <c r="O79" s="881">
        <f t="shared" si="16"/>
        <v>0</v>
      </c>
      <c r="P79" s="881">
        <f t="shared" si="17"/>
        <v>0</v>
      </c>
      <c r="Q79" s="1033"/>
      <c r="R79" s="993">
        <v>0</v>
      </c>
      <c r="S79" s="993">
        <v>0</v>
      </c>
      <c r="T79" s="993">
        <v>0</v>
      </c>
      <c r="U79" s="993">
        <v>0</v>
      </c>
      <c r="V79" s="993">
        <v>0</v>
      </c>
      <c r="W79" s="993">
        <v>0</v>
      </c>
      <c r="X79" s="1033"/>
      <c r="Y79" s="993"/>
      <c r="Z79" s="993"/>
      <c r="AA79" s="993"/>
      <c r="AB79" s="993"/>
      <c r="AC79" s="993"/>
      <c r="AD79" s="993"/>
      <c r="AE79" s="1033"/>
      <c r="AF79" s="1399"/>
    </row>
    <row r="80" spans="2:32" s="801" customFormat="1" hidden="1">
      <c r="C80" s="994"/>
      <c r="D80" s="993">
        <v>0</v>
      </c>
      <c r="E80" s="993">
        <v>0</v>
      </c>
      <c r="F80" s="993">
        <v>0</v>
      </c>
      <c r="G80" s="993">
        <v>0</v>
      </c>
      <c r="H80" s="993">
        <v>0</v>
      </c>
      <c r="I80" s="993">
        <v>0</v>
      </c>
      <c r="J80" s="1033"/>
      <c r="K80" s="881">
        <f t="shared" si="27"/>
        <v>0</v>
      </c>
      <c r="L80" s="881">
        <f t="shared" si="13"/>
        <v>0</v>
      </c>
      <c r="M80" s="881">
        <f t="shared" si="14"/>
        <v>0</v>
      </c>
      <c r="N80" s="881">
        <f t="shared" si="15"/>
        <v>0</v>
      </c>
      <c r="O80" s="881">
        <f t="shared" si="16"/>
        <v>0</v>
      </c>
      <c r="P80" s="881">
        <f t="shared" si="17"/>
        <v>0</v>
      </c>
      <c r="Q80" s="1033"/>
      <c r="R80" s="993">
        <v>0</v>
      </c>
      <c r="S80" s="993">
        <v>0</v>
      </c>
      <c r="T80" s="993">
        <v>0</v>
      </c>
      <c r="U80" s="993">
        <v>0</v>
      </c>
      <c r="V80" s="993">
        <v>0</v>
      </c>
      <c r="W80" s="993">
        <v>0</v>
      </c>
      <c r="X80" s="1033"/>
      <c r="Y80" s="993"/>
      <c r="Z80" s="993"/>
      <c r="AA80" s="993"/>
      <c r="AB80" s="993"/>
      <c r="AC80" s="993"/>
      <c r="AD80" s="993"/>
      <c r="AE80" s="1033"/>
      <c r="AF80" s="1399"/>
    </row>
    <row r="81" spans="2:32" s="801" customFormat="1" hidden="1">
      <c r="C81" s="995"/>
      <c r="D81" s="993">
        <v>0</v>
      </c>
      <c r="E81" s="993">
        <v>0</v>
      </c>
      <c r="F81" s="993">
        <v>0</v>
      </c>
      <c r="G81" s="993">
        <v>0</v>
      </c>
      <c r="H81" s="993">
        <v>0</v>
      </c>
      <c r="I81" s="993">
        <v>0</v>
      </c>
      <c r="J81" s="1033"/>
      <c r="K81" s="881">
        <f t="shared" si="27"/>
        <v>0</v>
      </c>
      <c r="L81" s="881">
        <f t="shared" si="13"/>
        <v>0</v>
      </c>
      <c r="M81" s="881">
        <f t="shared" si="14"/>
        <v>0</v>
      </c>
      <c r="N81" s="881">
        <f t="shared" si="15"/>
        <v>0</v>
      </c>
      <c r="O81" s="881">
        <f t="shared" si="16"/>
        <v>0</v>
      </c>
      <c r="P81" s="881">
        <f t="shared" si="17"/>
        <v>0</v>
      </c>
      <c r="Q81" s="1033"/>
      <c r="R81" s="993">
        <v>0</v>
      </c>
      <c r="S81" s="993">
        <v>0</v>
      </c>
      <c r="T81" s="993">
        <v>0</v>
      </c>
      <c r="U81" s="993">
        <v>0</v>
      </c>
      <c r="V81" s="993">
        <v>0</v>
      </c>
      <c r="W81" s="993">
        <v>0</v>
      </c>
      <c r="X81" s="1033"/>
      <c r="Y81" s="993"/>
      <c r="Z81" s="993"/>
      <c r="AA81" s="993"/>
      <c r="AB81" s="993"/>
      <c r="AC81" s="993"/>
      <c r="AD81" s="993"/>
      <c r="AE81" s="1033"/>
      <c r="AF81" s="1399"/>
    </row>
    <row r="82" spans="2:32" s="801" customFormat="1" hidden="1">
      <c r="C82" s="995"/>
      <c r="D82" s="993">
        <v>0</v>
      </c>
      <c r="E82" s="993">
        <v>0</v>
      </c>
      <c r="F82" s="993">
        <v>0</v>
      </c>
      <c r="G82" s="993">
        <v>0</v>
      </c>
      <c r="H82" s="993">
        <v>0</v>
      </c>
      <c r="I82" s="993">
        <v>0</v>
      </c>
      <c r="J82" s="1033"/>
      <c r="K82" s="881">
        <f t="shared" si="27"/>
        <v>0</v>
      </c>
      <c r="L82" s="881">
        <f t="shared" si="13"/>
        <v>0</v>
      </c>
      <c r="M82" s="881">
        <f t="shared" si="14"/>
        <v>0</v>
      </c>
      <c r="N82" s="881">
        <f t="shared" si="15"/>
        <v>0</v>
      </c>
      <c r="O82" s="881">
        <f t="shared" si="16"/>
        <v>0</v>
      </c>
      <c r="P82" s="881">
        <f t="shared" si="17"/>
        <v>0</v>
      </c>
      <c r="Q82" s="1033"/>
      <c r="R82" s="993">
        <v>0</v>
      </c>
      <c r="S82" s="993">
        <v>0</v>
      </c>
      <c r="T82" s="993">
        <v>0</v>
      </c>
      <c r="U82" s="993">
        <v>0</v>
      </c>
      <c r="V82" s="993">
        <v>0</v>
      </c>
      <c r="W82" s="993">
        <v>0</v>
      </c>
      <c r="X82" s="1033"/>
      <c r="Y82" s="993"/>
      <c r="Z82" s="993"/>
      <c r="AA82" s="993"/>
      <c r="AB82" s="993"/>
      <c r="AC82" s="993"/>
      <c r="AD82" s="993"/>
      <c r="AE82" s="1033"/>
      <c r="AF82" s="1399"/>
    </row>
    <row r="83" spans="2:32" s="801" customFormat="1" hidden="1">
      <c r="C83" s="994"/>
      <c r="D83" s="993">
        <v>0</v>
      </c>
      <c r="E83" s="993">
        <v>0</v>
      </c>
      <c r="F83" s="993">
        <v>0</v>
      </c>
      <c r="G83" s="993">
        <v>0</v>
      </c>
      <c r="H83" s="993">
        <v>0</v>
      </c>
      <c r="I83" s="993">
        <v>0</v>
      </c>
      <c r="J83" s="1033"/>
      <c r="K83" s="881">
        <f t="shared" si="27"/>
        <v>0</v>
      </c>
      <c r="L83" s="881">
        <f t="shared" si="13"/>
        <v>0</v>
      </c>
      <c r="M83" s="881">
        <f t="shared" si="14"/>
        <v>0</v>
      </c>
      <c r="N83" s="881">
        <f t="shared" si="15"/>
        <v>0</v>
      </c>
      <c r="O83" s="881">
        <f t="shared" si="16"/>
        <v>0</v>
      </c>
      <c r="P83" s="881">
        <f t="shared" si="17"/>
        <v>0</v>
      </c>
      <c r="Q83" s="1033"/>
      <c r="R83" s="993">
        <v>0</v>
      </c>
      <c r="S83" s="993">
        <v>0</v>
      </c>
      <c r="T83" s="993">
        <v>0</v>
      </c>
      <c r="U83" s="993">
        <v>0</v>
      </c>
      <c r="V83" s="993">
        <v>0</v>
      </c>
      <c r="W83" s="993">
        <v>0</v>
      </c>
      <c r="X83" s="1033"/>
      <c r="Y83" s="993"/>
      <c r="Z83" s="993"/>
      <c r="AA83" s="993"/>
      <c r="AB83" s="993"/>
      <c r="AC83" s="993"/>
      <c r="AD83" s="993"/>
      <c r="AE83" s="1033"/>
      <c r="AF83" s="1399"/>
    </row>
    <row r="84" spans="2:32" s="801" customFormat="1" hidden="1">
      <c r="C84" s="994"/>
      <c r="D84" s="993">
        <v>0</v>
      </c>
      <c r="E84" s="993">
        <v>0</v>
      </c>
      <c r="F84" s="993">
        <v>0</v>
      </c>
      <c r="G84" s="993">
        <v>0</v>
      </c>
      <c r="H84" s="993">
        <v>0</v>
      </c>
      <c r="I84" s="993">
        <v>0</v>
      </c>
      <c r="J84" s="1033"/>
      <c r="K84" s="881">
        <f t="shared" si="27"/>
        <v>0</v>
      </c>
      <c r="L84" s="881">
        <f t="shared" ref="L84:L107" si="28">E84</f>
        <v>0</v>
      </c>
      <c r="M84" s="881">
        <f t="shared" ref="M84:M107" si="29">F84</f>
        <v>0</v>
      </c>
      <c r="N84" s="881">
        <f t="shared" ref="N84:N107" si="30">G84</f>
        <v>0</v>
      </c>
      <c r="O84" s="881">
        <f t="shared" ref="O84:O107" si="31">H84</f>
        <v>0</v>
      </c>
      <c r="P84" s="881">
        <f t="shared" ref="P84:P107" si="32">I84</f>
        <v>0</v>
      </c>
      <c r="Q84" s="1033"/>
      <c r="R84" s="993">
        <v>0</v>
      </c>
      <c r="S84" s="993">
        <v>0</v>
      </c>
      <c r="T84" s="993">
        <v>0</v>
      </c>
      <c r="U84" s="993">
        <v>0</v>
      </c>
      <c r="V84" s="993">
        <v>0</v>
      </c>
      <c r="W84" s="993">
        <v>0</v>
      </c>
      <c r="X84" s="1033"/>
      <c r="Y84" s="993"/>
      <c r="Z84" s="993"/>
      <c r="AA84" s="993"/>
      <c r="AB84" s="993"/>
      <c r="AC84" s="993"/>
      <c r="AD84" s="993"/>
      <c r="AE84" s="1033"/>
      <c r="AF84" s="1399"/>
    </row>
    <row r="85" spans="2:32" s="801" customFormat="1" hidden="1">
      <c r="C85" s="994"/>
      <c r="D85" s="993"/>
      <c r="E85" s="993"/>
      <c r="F85" s="993"/>
      <c r="G85" s="993"/>
      <c r="H85" s="993"/>
      <c r="I85" s="993"/>
      <c r="J85" s="1033"/>
      <c r="K85" s="881">
        <f t="shared" si="27"/>
        <v>0</v>
      </c>
      <c r="L85" s="881">
        <f t="shared" si="28"/>
        <v>0</v>
      </c>
      <c r="M85" s="881">
        <f t="shared" si="29"/>
        <v>0</v>
      </c>
      <c r="N85" s="881">
        <f t="shared" si="30"/>
        <v>0</v>
      </c>
      <c r="O85" s="881">
        <f t="shared" si="31"/>
        <v>0</v>
      </c>
      <c r="P85" s="881">
        <f t="shared" si="32"/>
        <v>0</v>
      </c>
      <c r="Q85" s="1033"/>
      <c r="R85" s="993"/>
      <c r="S85" s="993"/>
      <c r="T85" s="993"/>
      <c r="U85" s="993"/>
      <c r="V85" s="993"/>
      <c r="W85" s="993"/>
      <c r="X85" s="1033"/>
      <c r="Y85" s="993"/>
      <c r="Z85" s="993"/>
      <c r="AA85" s="993"/>
      <c r="AB85" s="993"/>
      <c r="AC85" s="993"/>
      <c r="AD85" s="993"/>
      <c r="AE85" s="1033"/>
      <c r="AF85" s="1399"/>
    </row>
    <row r="86" spans="2:32" s="801" customFormat="1" hidden="1">
      <c r="B86" s="799"/>
      <c r="C86" s="992"/>
      <c r="D86" s="1403">
        <v>0</v>
      </c>
      <c r="E86" s="1403">
        <v>0</v>
      </c>
      <c r="F86" s="1403">
        <v>0</v>
      </c>
      <c r="G86" s="1403">
        <v>0</v>
      </c>
      <c r="H86" s="1403">
        <v>0</v>
      </c>
      <c r="I86" s="1403">
        <v>0</v>
      </c>
      <c r="J86" s="1033"/>
      <c r="K86" s="881">
        <f t="shared" si="27"/>
        <v>0</v>
      </c>
      <c r="L86" s="881">
        <f t="shared" si="28"/>
        <v>0</v>
      </c>
      <c r="M86" s="881">
        <f t="shared" si="29"/>
        <v>0</v>
      </c>
      <c r="N86" s="881">
        <f t="shared" si="30"/>
        <v>0</v>
      </c>
      <c r="O86" s="881">
        <f t="shared" si="31"/>
        <v>0</v>
      </c>
      <c r="P86" s="881">
        <f t="shared" si="32"/>
        <v>0</v>
      </c>
      <c r="Q86" s="1033"/>
      <c r="R86" s="1403">
        <v>0</v>
      </c>
      <c r="S86" s="1403">
        <v>0</v>
      </c>
      <c r="T86" s="1403">
        <v>0</v>
      </c>
      <c r="U86" s="1403">
        <v>0</v>
      </c>
      <c r="V86" s="1403">
        <v>0</v>
      </c>
      <c r="W86" s="1403">
        <v>0</v>
      </c>
      <c r="X86" s="1033"/>
      <c r="Y86" s="993"/>
      <c r="Z86" s="993"/>
      <c r="AA86" s="993"/>
      <c r="AB86" s="993"/>
      <c r="AC86" s="993"/>
      <c r="AD86" s="993"/>
      <c r="AE86" s="1033"/>
      <c r="AF86" s="1399"/>
    </row>
    <row r="87" spans="2:32" s="801" customFormat="1" hidden="1">
      <c r="C87" s="994"/>
      <c r="D87" s="993">
        <v>0</v>
      </c>
      <c r="E87" s="993">
        <v>0</v>
      </c>
      <c r="F87" s="993">
        <v>0</v>
      </c>
      <c r="G87" s="993">
        <v>0</v>
      </c>
      <c r="H87" s="993">
        <v>0</v>
      </c>
      <c r="I87" s="993">
        <v>0</v>
      </c>
      <c r="J87" s="1033"/>
      <c r="K87" s="881">
        <f t="shared" si="27"/>
        <v>0</v>
      </c>
      <c r="L87" s="881">
        <f t="shared" si="28"/>
        <v>0</v>
      </c>
      <c r="M87" s="881">
        <f t="shared" si="29"/>
        <v>0</v>
      </c>
      <c r="N87" s="881">
        <f t="shared" si="30"/>
        <v>0</v>
      </c>
      <c r="O87" s="881">
        <f t="shared" si="31"/>
        <v>0</v>
      </c>
      <c r="P87" s="881">
        <f t="shared" si="32"/>
        <v>0</v>
      </c>
      <c r="Q87" s="1033"/>
      <c r="R87" s="993">
        <v>0</v>
      </c>
      <c r="S87" s="993">
        <v>0</v>
      </c>
      <c r="T87" s="993">
        <v>0</v>
      </c>
      <c r="U87" s="993">
        <v>0</v>
      </c>
      <c r="V87" s="993">
        <v>0</v>
      </c>
      <c r="W87" s="993">
        <v>0</v>
      </c>
      <c r="X87" s="1033"/>
      <c r="Y87" s="993"/>
      <c r="Z87" s="993"/>
      <c r="AA87" s="993"/>
      <c r="AB87" s="993"/>
      <c r="AC87" s="993"/>
      <c r="AD87" s="993"/>
      <c r="AE87" s="1033"/>
      <c r="AF87" s="1399"/>
    </row>
    <row r="88" spans="2:32" s="801" customFormat="1" hidden="1">
      <c r="C88" s="994"/>
      <c r="D88" s="993">
        <v>0</v>
      </c>
      <c r="E88" s="993">
        <v>0</v>
      </c>
      <c r="F88" s="993">
        <v>0</v>
      </c>
      <c r="G88" s="993">
        <v>0</v>
      </c>
      <c r="H88" s="993">
        <v>0</v>
      </c>
      <c r="I88" s="993">
        <v>0</v>
      </c>
      <c r="J88" s="1033"/>
      <c r="K88" s="881">
        <f t="shared" si="27"/>
        <v>0</v>
      </c>
      <c r="L88" s="881">
        <f t="shared" si="28"/>
        <v>0</v>
      </c>
      <c r="M88" s="881">
        <f t="shared" si="29"/>
        <v>0</v>
      </c>
      <c r="N88" s="881">
        <f t="shared" si="30"/>
        <v>0</v>
      </c>
      <c r="O88" s="881">
        <f t="shared" si="31"/>
        <v>0</v>
      </c>
      <c r="P88" s="881">
        <f t="shared" si="32"/>
        <v>0</v>
      </c>
      <c r="Q88" s="1033"/>
      <c r="R88" s="993">
        <v>0</v>
      </c>
      <c r="S88" s="993">
        <v>0</v>
      </c>
      <c r="T88" s="993">
        <v>0</v>
      </c>
      <c r="U88" s="993">
        <v>0</v>
      </c>
      <c r="V88" s="993">
        <v>0</v>
      </c>
      <c r="W88" s="993">
        <v>0</v>
      </c>
      <c r="X88" s="1033"/>
      <c r="Y88" s="993"/>
      <c r="Z88" s="993"/>
      <c r="AA88" s="993"/>
      <c r="AB88" s="993"/>
      <c r="AC88" s="993"/>
      <c r="AD88" s="993"/>
      <c r="AE88" s="1033"/>
      <c r="AF88" s="1399"/>
    </row>
    <row r="89" spans="2:32" s="801" customFormat="1" hidden="1">
      <c r="C89" s="996"/>
      <c r="D89" s="993"/>
      <c r="E89" s="993"/>
      <c r="F89" s="993"/>
      <c r="G89" s="993"/>
      <c r="H89" s="993"/>
      <c r="I89" s="993"/>
      <c r="J89" s="1033"/>
      <c r="K89" s="881">
        <f t="shared" si="27"/>
        <v>0</v>
      </c>
      <c r="L89" s="881">
        <f t="shared" si="28"/>
        <v>0</v>
      </c>
      <c r="M89" s="881">
        <f t="shared" si="29"/>
        <v>0</v>
      </c>
      <c r="N89" s="881">
        <f t="shared" si="30"/>
        <v>0</v>
      </c>
      <c r="O89" s="881">
        <f t="shared" si="31"/>
        <v>0</v>
      </c>
      <c r="P89" s="881">
        <f t="shared" si="32"/>
        <v>0</v>
      </c>
      <c r="Q89" s="1033"/>
      <c r="R89" s="993"/>
      <c r="S89" s="993"/>
      <c r="T89" s="993"/>
      <c r="U89" s="993"/>
      <c r="V89" s="993"/>
      <c r="W89" s="993"/>
      <c r="X89" s="1033"/>
      <c r="Y89" s="993"/>
      <c r="Z89" s="993"/>
      <c r="AA89" s="993"/>
      <c r="AB89" s="993"/>
      <c r="AC89" s="993"/>
      <c r="AD89" s="993"/>
      <c r="AE89" s="1033"/>
      <c r="AF89" s="1399"/>
    </row>
    <row r="90" spans="2:32" s="801" customFormat="1" hidden="1">
      <c r="C90" s="994"/>
      <c r="D90" s="993"/>
      <c r="E90" s="993"/>
      <c r="F90" s="993"/>
      <c r="G90" s="993"/>
      <c r="H90" s="993"/>
      <c r="I90" s="993"/>
      <c r="J90" s="1033"/>
      <c r="K90" s="881">
        <f t="shared" si="27"/>
        <v>0</v>
      </c>
      <c r="L90" s="881">
        <f t="shared" si="28"/>
        <v>0</v>
      </c>
      <c r="M90" s="881">
        <f t="shared" si="29"/>
        <v>0</v>
      </c>
      <c r="N90" s="881">
        <f t="shared" si="30"/>
        <v>0</v>
      </c>
      <c r="O90" s="881">
        <f t="shared" si="31"/>
        <v>0</v>
      </c>
      <c r="P90" s="881">
        <f t="shared" si="32"/>
        <v>0</v>
      </c>
      <c r="Q90" s="1033"/>
      <c r="R90" s="993"/>
      <c r="S90" s="993"/>
      <c r="T90" s="993"/>
      <c r="U90" s="993"/>
      <c r="V90" s="993"/>
      <c r="W90" s="993"/>
      <c r="X90" s="1033"/>
      <c r="Y90" s="993"/>
      <c r="Z90" s="993"/>
      <c r="AA90" s="993"/>
      <c r="AB90" s="993"/>
      <c r="AC90" s="993"/>
      <c r="AD90" s="993"/>
      <c r="AE90" s="1033"/>
      <c r="AF90" s="1399"/>
    </row>
    <row r="91" spans="2:32" s="801" customFormat="1" hidden="1">
      <c r="C91" s="994"/>
      <c r="D91" s="993"/>
      <c r="E91" s="993"/>
      <c r="F91" s="993"/>
      <c r="G91" s="993"/>
      <c r="H91" s="993"/>
      <c r="I91" s="993"/>
      <c r="J91" s="1033"/>
      <c r="K91" s="881">
        <f t="shared" si="27"/>
        <v>0</v>
      </c>
      <c r="L91" s="881">
        <f t="shared" si="28"/>
        <v>0</v>
      </c>
      <c r="M91" s="881">
        <f t="shared" si="29"/>
        <v>0</v>
      </c>
      <c r="N91" s="881">
        <f t="shared" si="30"/>
        <v>0</v>
      </c>
      <c r="O91" s="881">
        <f t="shared" si="31"/>
        <v>0</v>
      </c>
      <c r="P91" s="881">
        <f t="shared" si="32"/>
        <v>0</v>
      </c>
      <c r="Q91" s="1033"/>
      <c r="R91" s="993"/>
      <c r="S91" s="993"/>
      <c r="T91" s="993"/>
      <c r="U91" s="993"/>
      <c r="V91" s="993"/>
      <c r="W91" s="993"/>
      <c r="X91" s="1033"/>
      <c r="Y91" s="993"/>
      <c r="Z91" s="993"/>
      <c r="AA91" s="993"/>
      <c r="AB91" s="993"/>
      <c r="AC91" s="993"/>
      <c r="AD91" s="993"/>
      <c r="AE91" s="1033"/>
      <c r="AF91" s="1399"/>
    </row>
    <row r="92" spans="2:32" s="801" customFormat="1" hidden="1">
      <c r="B92" s="799"/>
      <c r="C92" s="992"/>
      <c r="D92" s="1403">
        <v>0</v>
      </c>
      <c r="E92" s="1403">
        <v>0</v>
      </c>
      <c r="F92" s="1403">
        <v>0</v>
      </c>
      <c r="G92" s="1403">
        <v>0</v>
      </c>
      <c r="H92" s="1403">
        <v>0</v>
      </c>
      <c r="I92" s="1403">
        <v>0</v>
      </c>
      <c r="J92" s="1033"/>
      <c r="K92" s="881">
        <f t="shared" si="27"/>
        <v>0</v>
      </c>
      <c r="L92" s="881">
        <f t="shared" si="28"/>
        <v>0</v>
      </c>
      <c r="M92" s="881">
        <f t="shared" si="29"/>
        <v>0</v>
      </c>
      <c r="N92" s="881">
        <f t="shared" si="30"/>
        <v>0</v>
      </c>
      <c r="O92" s="881">
        <f t="shared" si="31"/>
        <v>0</v>
      </c>
      <c r="P92" s="881">
        <f t="shared" si="32"/>
        <v>0</v>
      </c>
      <c r="Q92" s="1033"/>
      <c r="R92" s="1403">
        <v>0</v>
      </c>
      <c r="S92" s="1403">
        <v>0</v>
      </c>
      <c r="T92" s="1403">
        <v>0</v>
      </c>
      <c r="U92" s="1403">
        <v>0</v>
      </c>
      <c r="V92" s="1403">
        <v>0</v>
      </c>
      <c r="W92" s="1403">
        <v>0</v>
      </c>
      <c r="X92" s="1033"/>
      <c r="Y92" s="993"/>
      <c r="Z92" s="993"/>
      <c r="AA92" s="993"/>
      <c r="AB92" s="993"/>
      <c r="AC92" s="993"/>
      <c r="AD92" s="993"/>
      <c r="AE92" s="1033"/>
      <c r="AF92" s="1399"/>
    </row>
    <row r="93" spans="2:32" s="801" customFormat="1" hidden="1">
      <c r="C93" s="994"/>
      <c r="D93" s="993">
        <v>0</v>
      </c>
      <c r="E93" s="993">
        <v>0</v>
      </c>
      <c r="F93" s="993">
        <v>0</v>
      </c>
      <c r="G93" s="993">
        <v>0</v>
      </c>
      <c r="H93" s="993">
        <v>0</v>
      </c>
      <c r="I93" s="993">
        <v>0</v>
      </c>
      <c r="J93" s="1033"/>
      <c r="K93" s="881">
        <f t="shared" si="27"/>
        <v>0</v>
      </c>
      <c r="L93" s="881">
        <f t="shared" si="28"/>
        <v>0</v>
      </c>
      <c r="M93" s="881">
        <f t="shared" si="29"/>
        <v>0</v>
      </c>
      <c r="N93" s="881">
        <f t="shared" si="30"/>
        <v>0</v>
      </c>
      <c r="O93" s="881">
        <f t="shared" si="31"/>
        <v>0</v>
      </c>
      <c r="P93" s="881">
        <f t="shared" si="32"/>
        <v>0</v>
      </c>
      <c r="Q93" s="1033"/>
      <c r="R93" s="993">
        <v>0</v>
      </c>
      <c r="S93" s="993">
        <v>0</v>
      </c>
      <c r="T93" s="993">
        <v>0</v>
      </c>
      <c r="U93" s="993">
        <v>0</v>
      </c>
      <c r="V93" s="993">
        <v>0</v>
      </c>
      <c r="W93" s="993">
        <v>0</v>
      </c>
      <c r="X93" s="1033"/>
      <c r="Y93" s="993"/>
      <c r="Z93" s="993"/>
      <c r="AA93" s="993"/>
      <c r="AB93" s="993"/>
      <c r="AC93" s="993"/>
      <c r="AD93" s="993"/>
      <c r="AE93" s="1033"/>
      <c r="AF93" s="1399"/>
    </row>
    <row r="94" spans="2:32" s="801" customFormat="1" hidden="1">
      <c r="C94" s="994"/>
      <c r="D94" s="993">
        <v>0</v>
      </c>
      <c r="E94" s="993">
        <v>0</v>
      </c>
      <c r="F94" s="993">
        <v>0</v>
      </c>
      <c r="G94" s="993">
        <v>0</v>
      </c>
      <c r="H94" s="993">
        <v>0</v>
      </c>
      <c r="I94" s="993">
        <v>0</v>
      </c>
      <c r="J94" s="1033"/>
      <c r="K94" s="881">
        <f t="shared" si="27"/>
        <v>0</v>
      </c>
      <c r="L94" s="881">
        <f t="shared" si="28"/>
        <v>0</v>
      </c>
      <c r="M94" s="881">
        <f t="shared" si="29"/>
        <v>0</v>
      </c>
      <c r="N94" s="881">
        <f t="shared" si="30"/>
        <v>0</v>
      </c>
      <c r="O94" s="881">
        <f t="shared" si="31"/>
        <v>0</v>
      </c>
      <c r="P94" s="881">
        <f t="shared" si="32"/>
        <v>0</v>
      </c>
      <c r="Q94" s="1033"/>
      <c r="R94" s="993">
        <v>0</v>
      </c>
      <c r="S94" s="993">
        <v>0</v>
      </c>
      <c r="T94" s="993">
        <v>0</v>
      </c>
      <c r="U94" s="993">
        <v>0</v>
      </c>
      <c r="V94" s="993">
        <v>0</v>
      </c>
      <c r="W94" s="993">
        <v>0</v>
      </c>
      <c r="X94" s="1033"/>
      <c r="Y94" s="993"/>
      <c r="Z94" s="993"/>
      <c r="AA94" s="993"/>
      <c r="AB94" s="993"/>
      <c r="AC94" s="993"/>
      <c r="AD94" s="993"/>
      <c r="AE94" s="1033"/>
      <c r="AF94" s="1399"/>
    </row>
    <row r="95" spans="2:32" s="801" customFormat="1" hidden="1">
      <c r="C95" s="995"/>
      <c r="D95" s="993">
        <v>0</v>
      </c>
      <c r="E95" s="993">
        <v>0</v>
      </c>
      <c r="F95" s="993">
        <v>0</v>
      </c>
      <c r="G95" s="993">
        <v>0</v>
      </c>
      <c r="H95" s="993">
        <v>0</v>
      </c>
      <c r="I95" s="993">
        <v>0</v>
      </c>
      <c r="J95" s="1033"/>
      <c r="K95" s="881">
        <f t="shared" si="27"/>
        <v>0</v>
      </c>
      <c r="L95" s="881">
        <f t="shared" si="28"/>
        <v>0</v>
      </c>
      <c r="M95" s="881">
        <f t="shared" si="29"/>
        <v>0</v>
      </c>
      <c r="N95" s="881">
        <f t="shared" si="30"/>
        <v>0</v>
      </c>
      <c r="O95" s="881">
        <f t="shared" si="31"/>
        <v>0</v>
      </c>
      <c r="P95" s="881">
        <f t="shared" si="32"/>
        <v>0</v>
      </c>
      <c r="Q95" s="1033"/>
      <c r="R95" s="993">
        <v>0</v>
      </c>
      <c r="S95" s="993">
        <v>0</v>
      </c>
      <c r="T95" s="993">
        <v>0</v>
      </c>
      <c r="U95" s="993">
        <v>0</v>
      </c>
      <c r="V95" s="993">
        <v>0</v>
      </c>
      <c r="W95" s="993">
        <v>0</v>
      </c>
      <c r="X95" s="1033"/>
      <c r="Y95" s="993"/>
      <c r="Z95" s="993"/>
      <c r="AA95" s="993"/>
      <c r="AB95" s="993"/>
      <c r="AC95" s="993"/>
      <c r="AD95" s="993"/>
      <c r="AE95" s="1033"/>
      <c r="AF95" s="1399"/>
    </row>
    <row r="96" spans="2:32" s="801" customFormat="1" hidden="1">
      <c r="C96" s="995"/>
      <c r="D96" s="993"/>
      <c r="E96" s="993"/>
      <c r="F96" s="993"/>
      <c r="G96" s="993"/>
      <c r="H96" s="993"/>
      <c r="I96" s="993"/>
      <c r="J96" s="1033"/>
      <c r="K96" s="881">
        <f t="shared" si="27"/>
        <v>0</v>
      </c>
      <c r="L96" s="881">
        <f t="shared" si="28"/>
        <v>0</v>
      </c>
      <c r="M96" s="881">
        <f t="shared" si="29"/>
        <v>0</v>
      </c>
      <c r="N96" s="881">
        <f t="shared" si="30"/>
        <v>0</v>
      </c>
      <c r="O96" s="881">
        <f t="shared" si="31"/>
        <v>0</v>
      </c>
      <c r="P96" s="881">
        <f t="shared" si="32"/>
        <v>0</v>
      </c>
      <c r="Q96" s="1033"/>
      <c r="R96" s="993"/>
      <c r="S96" s="993"/>
      <c r="T96" s="993"/>
      <c r="U96" s="993"/>
      <c r="V96" s="993"/>
      <c r="W96" s="993"/>
      <c r="X96" s="1033"/>
      <c r="Y96" s="993"/>
      <c r="Z96" s="993"/>
      <c r="AA96" s="993"/>
      <c r="AB96" s="993"/>
      <c r="AC96" s="993"/>
      <c r="AD96" s="993"/>
      <c r="AE96" s="1033"/>
      <c r="AF96" s="1399"/>
    </row>
    <row r="97" spans="1:32" s="801" customFormat="1" hidden="1">
      <c r="C97" s="994"/>
      <c r="D97" s="993"/>
      <c r="E97" s="993"/>
      <c r="F97" s="993"/>
      <c r="G97" s="993"/>
      <c r="H97" s="993"/>
      <c r="I97" s="993"/>
      <c r="J97" s="1033"/>
      <c r="K97" s="881">
        <f t="shared" si="27"/>
        <v>0</v>
      </c>
      <c r="L97" s="881">
        <f t="shared" si="28"/>
        <v>0</v>
      </c>
      <c r="M97" s="881">
        <f t="shared" si="29"/>
        <v>0</v>
      </c>
      <c r="N97" s="881">
        <f t="shared" si="30"/>
        <v>0</v>
      </c>
      <c r="O97" s="881">
        <f t="shared" si="31"/>
        <v>0</v>
      </c>
      <c r="P97" s="881">
        <f t="shared" si="32"/>
        <v>0</v>
      </c>
      <c r="Q97" s="1033"/>
      <c r="R97" s="993"/>
      <c r="S97" s="993"/>
      <c r="T97" s="993"/>
      <c r="U97" s="993"/>
      <c r="V97" s="993"/>
      <c r="W97" s="993"/>
      <c r="X97" s="1033"/>
      <c r="Y97" s="993"/>
      <c r="Z97" s="993"/>
      <c r="AA97" s="993"/>
      <c r="AB97" s="993"/>
      <c r="AC97" s="993"/>
      <c r="AD97" s="993"/>
      <c r="AE97" s="1033"/>
      <c r="AF97" s="1399"/>
    </row>
    <row r="98" spans="1:32" s="801" customFormat="1" hidden="1">
      <c r="C98" s="994"/>
      <c r="D98" s="993"/>
      <c r="E98" s="993"/>
      <c r="F98" s="993"/>
      <c r="G98" s="993"/>
      <c r="H98" s="993"/>
      <c r="I98" s="993"/>
      <c r="J98" s="1033"/>
      <c r="K98" s="881">
        <f t="shared" si="27"/>
        <v>0</v>
      </c>
      <c r="L98" s="881">
        <f t="shared" si="28"/>
        <v>0</v>
      </c>
      <c r="M98" s="881">
        <f t="shared" si="29"/>
        <v>0</v>
      </c>
      <c r="N98" s="881">
        <f t="shared" si="30"/>
        <v>0</v>
      </c>
      <c r="O98" s="881">
        <f t="shared" si="31"/>
        <v>0</v>
      </c>
      <c r="P98" s="881">
        <f t="shared" si="32"/>
        <v>0</v>
      </c>
      <c r="Q98" s="1033"/>
      <c r="R98" s="993"/>
      <c r="S98" s="993"/>
      <c r="T98" s="993"/>
      <c r="U98" s="993"/>
      <c r="V98" s="993"/>
      <c r="W98" s="993"/>
      <c r="X98" s="1033"/>
      <c r="Y98" s="993"/>
      <c r="Z98" s="993"/>
      <c r="AA98" s="993"/>
      <c r="AB98" s="993"/>
      <c r="AC98" s="993"/>
      <c r="AD98" s="993"/>
      <c r="AE98" s="1033"/>
      <c r="AF98" s="1399"/>
    </row>
    <row r="99" spans="1:32" s="801" customFormat="1" hidden="1">
      <c r="B99" s="799"/>
      <c r="C99" s="992"/>
      <c r="D99" s="1403">
        <v>0</v>
      </c>
      <c r="E99" s="1403">
        <v>0</v>
      </c>
      <c r="F99" s="1403">
        <v>0</v>
      </c>
      <c r="G99" s="1403">
        <v>0</v>
      </c>
      <c r="H99" s="1403">
        <v>0</v>
      </c>
      <c r="I99" s="1403">
        <v>0</v>
      </c>
      <c r="J99" s="1033"/>
      <c r="K99" s="881">
        <f t="shared" si="27"/>
        <v>0</v>
      </c>
      <c r="L99" s="881">
        <f t="shared" si="28"/>
        <v>0</v>
      </c>
      <c r="M99" s="881">
        <f t="shared" si="29"/>
        <v>0</v>
      </c>
      <c r="N99" s="881">
        <f t="shared" si="30"/>
        <v>0</v>
      </c>
      <c r="O99" s="881">
        <f t="shared" si="31"/>
        <v>0</v>
      </c>
      <c r="P99" s="881">
        <f t="shared" si="32"/>
        <v>0</v>
      </c>
      <c r="Q99" s="1033"/>
      <c r="R99" s="1403">
        <v>0</v>
      </c>
      <c r="S99" s="1403">
        <v>0</v>
      </c>
      <c r="T99" s="1403">
        <v>0</v>
      </c>
      <c r="U99" s="1403">
        <v>0</v>
      </c>
      <c r="V99" s="1403">
        <v>0</v>
      </c>
      <c r="W99" s="1403">
        <v>0</v>
      </c>
      <c r="X99" s="1033"/>
      <c r="Y99" s="993"/>
      <c r="Z99" s="993"/>
      <c r="AA99" s="993"/>
      <c r="AB99" s="993"/>
      <c r="AC99" s="993"/>
      <c r="AD99" s="993"/>
      <c r="AE99" s="1033"/>
      <c r="AF99" s="1399"/>
    </row>
    <row r="100" spans="1:32" s="801" customFormat="1" hidden="1">
      <c r="C100" s="994"/>
      <c r="D100" s="993">
        <v>0</v>
      </c>
      <c r="E100" s="993">
        <v>0</v>
      </c>
      <c r="F100" s="993">
        <v>0</v>
      </c>
      <c r="G100" s="993">
        <v>0</v>
      </c>
      <c r="H100" s="993">
        <v>0</v>
      </c>
      <c r="I100" s="993">
        <v>0</v>
      </c>
      <c r="J100" s="1033"/>
      <c r="K100" s="881">
        <f t="shared" si="27"/>
        <v>0</v>
      </c>
      <c r="L100" s="881">
        <f t="shared" si="28"/>
        <v>0</v>
      </c>
      <c r="M100" s="881">
        <f t="shared" si="29"/>
        <v>0</v>
      </c>
      <c r="N100" s="881">
        <f t="shared" si="30"/>
        <v>0</v>
      </c>
      <c r="O100" s="881">
        <f t="shared" si="31"/>
        <v>0</v>
      </c>
      <c r="P100" s="881">
        <f t="shared" si="32"/>
        <v>0</v>
      </c>
      <c r="Q100" s="1033"/>
      <c r="R100" s="993">
        <v>0</v>
      </c>
      <c r="S100" s="993">
        <v>0</v>
      </c>
      <c r="T100" s="993">
        <v>0</v>
      </c>
      <c r="U100" s="993">
        <v>0</v>
      </c>
      <c r="V100" s="993">
        <v>0</v>
      </c>
      <c r="W100" s="993">
        <v>0</v>
      </c>
      <c r="X100" s="1033"/>
      <c r="Y100" s="993"/>
      <c r="Z100" s="993"/>
      <c r="AA100" s="993"/>
      <c r="AB100" s="993"/>
      <c r="AC100" s="993"/>
      <c r="AD100" s="993"/>
      <c r="AE100" s="1033"/>
      <c r="AF100" s="1399"/>
    </row>
    <row r="101" spans="1:32" s="801" customFormat="1" hidden="1">
      <c r="C101" s="994"/>
      <c r="D101" s="993">
        <v>0</v>
      </c>
      <c r="E101" s="993">
        <v>0</v>
      </c>
      <c r="F101" s="993">
        <v>0</v>
      </c>
      <c r="G101" s="993">
        <v>0</v>
      </c>
      <c r="H101" s="993">
        <v>0</v>
      </c>
      <c r="I101" s="993">
        <v>0</v>
      </c>
      <c r="J101" s="1033"/>
      <c r="K101" s="881">
        <f t="shared" si="27"/>
        <v>0</v>
      </c>
      <c r="L101" s="881">
        <f t="shared" si="28"/>
        <v>0</v>
      </c>
      <c r="M101" s="881">
        <f t="shared" si="29"/>
        <v>0</v>
      </c>
      <c r="N101" s="881">
        <f t="shared" si="30"/>
        <v>0</v>
      </c>
      <c r="O101" s="881">
        <f t="shared" si="31"/>
        <v>0</v>
      </c>
      <c r="P101" s="881">
        <f t="shared" si="32"/>
        <v>0</v>
      </c>
      <c r="Q101" s="1033"/>
      <c r="R101" s="993">
        <v>0</v>
      </c>
      <c r="S101" s="993">
        <v>0</v>
      </c>
      <c r="T101" s="993">
        <v>0</v>
      </c>
      <c r="U101" s="993">
        <v>0</v>
      </c>
      <c r="V101" s="993">
        <v>0</v>
      </c>
      <c r="W101" s="993">
        <v>0</v>
      </c>
      <c r="X101" s="1033"/>
      <c r="Y101" s="993"/>
      <c r="Z101" s="993"/>
      <c r="AA101" s="993"/>
      <c r="AB101" s="993"/>
      <c r="AC101" s="993"/>
      <c r="AD101" s="993"/>
      <c r="AE101" s="1033"/>
      <c r="AF101" s="1399"/>
    </row>
    <row r="102" spans="1:32" s="801" customFormat="1" hidden="1">
      <c r="C102" s="995"/>
      <c r="D102" s="993"/>
      <c r="E102" s="993"/>
      <c r="F102" s="993"/>
      <c r="G102" s="993"/>
      <c r="H102" s="993"/>
      <c r="I102" s="993"/>
      <c r="J102" s="1033"/>
      <c r="K102" s="881">
        <f t="shared" si="27"/>
        <v>0</v>
      </c>
      <c r="L102" s="881">
        <f t="shared" si="28"/>
        <v>0</v>
      </c>
      <c r="M102" s="881">
        <f t="shared" si="29"/>
        <v>0</v>
      </c>
      <c r="N102" s="881">
        <f t="shared" si="30"/>
        <v>0</v>
      </c>
      <c r="O102" s="881">
        <f t="shared" si="31"/>
        <v>0</v>
      </c>
      <c r="P102" s="881">
        <f t="shared" si="32"/>
        <v>0</v>
      </c>
      <c r="Q102" s="1033"/>
      <c r="R102" s="993"/>
      <c r="S102" s="993"/>
      <c r="T102" s="993"/>
      <c r="U102" s="993"/>
      <c r="V102" s="993"/>
      <c r="W102" s="993"/>
      <c r="X102" s="1033"/>
      <c r="Y102" s="993"/>
      <c r="Z102" s="993"/>
      <c r="AA102" s="993"/>
      <c r="AB102" s="993"/>
      <c r="AC102" s="993"/>
      <c r="AD102" s="993"/>
      <c r="AE102" s="1033"/>
      <c r="AF102" s="1399"/>
    </row>
    <row r="103" spans="1:32" s="801" customFormat="1" hidden="1">
      <c r="C103" s="995"/>
      <c r="D103" s="993"/>
      <c r="E103" s="993"/>
      <c r="F103" s="993"/>
      <c r="G103" s="993"/>
      <c r="H103" s="993"/>
      <c r="I103" s="993"/>
      <c r="J103" s="1033"/>
      <c r="K103" s="881">
        <f t="shared" si="27"/>
        <v>0</v>
      </c>
      <c r="L103" s="881">
        <f t="shared" si="28"/>
        <v>0</v>
      </c>
      <c r="M103" s="881">
        <f t="shared" si="29"/>
        <v>0</v>
      </c>
      <c r="N103" s="881">
        <f t="shared" si="30"/>
        <v>0</v>
      </c>
      <c r="O103" s="881">
        <f t="shared" si="31"/>
        <v>0</v>
      </c>
      <c r="P103" s="881">
        <f t="shared" si="32"/>
        <v>0</v>
      </c>
      <c r="Q103" s="1033"/>
      <c r="R103" s="993"/>
      <c r="S103" s="993"/>
      <c r="T103" s="993"/>
      <c r="U103" s="993"/>
      <c r="V103" s="993"/>
      <c r="W103" s="993"/>
      <c r="X103" s="1033"/>
      <c r="Y103" s="993"/>
      <c r="Z103" s="993"/>
      <c r="AA103" s="993"/>
      <c r="AB103" s="993"/>
      <c r="AC103" s="993"/>
      <c r="AD103" s="993"/>
      <c r="AE103" s="1033"/>
      <c r="AF103" s="1399"/>
    </row>
    <row r="104" spans="1:32" s="801" customFormat="1" hidden="1">
      <c r="C104" s="994"/>
      <c r="D104" s="993"/>
      <c r="E104" s="993"/>
      <c r="F104" s="993"/>
      <c r="G104" s="993"/>
      <c r="H104" s="993"/>
      <c r="I104" s="993"/>
      <c r="J104" s="1033"/>
      <c r="K104" s="881">
        <f t="shared" si="27"/>
        <v>0</v>
      </c>
      <c r="L104" s="881">
        <f t="shared" si="28"/>
        <v>0</v>
      </c>
      <c r="M104" s="881">
        <f t="shared" si="29"/>
        <v>0</v>
      </c>
      <c r="N104" s="881">
        <f t="shared" si="30"/>
        <v>0</v>
      </c>
      <c r="O104" s="881">
        <f t="shared" si="31"/>
        <v>0</v>
      </c>
      <c r="P104" s="881">
        <f t="shared" si="32"/>
        <v>0</v>
      </c>
      <c r="Q104" s="1033"/>
      <c r="R104" s="993"/>
      <c r="S104" s="993"/>
      <c r="T104" s="993"/>
      <c r="U104" s="993"/>
      <c r="V104" s="993"/>
      <c r="W104" s="993"/>
      <c r="X104" s="1033"/>
      <c r="Y104" s="993"/>
      <c r="Z104" s="993"/>
      <c r="AA104" s="993"/>
      <c r="AB104" s="993"/>
      <c r="AC104" s="993"/>
      <c r="AD104" s="993"/>
      <c r="AE104" s="1033"/>
      <c r="AF104" s="1399"/>
    </row>
    <row r="105" spans="1:32" s="801" customFormat="1" hidden="1">
      <c r="C105" s="994"/>
      <c r="D105" s="993"/>
      <c r="E105" s="993"/>
      <c r="F105" s="993"/>
      <c r="G105" s="993"/>
      <c r="H105" s="993"/>
      <c r="I105" s="993"/>
      <c r="J105" s="1033"/>
      <c r="K105" s="881">
        <f t="shared" si="27"/>
        <v>0</v>
      </c>
      <c r="L105" s="881">
        <f t="shared" si="28"/>
        <v>0</v>
      </c>
      <c r="M105" s="881">
        <f t="shared" si="29"/>
        <v>0</v>
      </c>
      <c r="N105" s="881">
        <f t="shared" si="30"/>
        <v>0</v>
      </c>
      <c r="O105" s="881">
        <f t="shared" si="31"/>
        <v>0</v>
      </c>
      <c r="P105" s="881">
        <f t="shared" si="32"/>
        <v>0</v>
      </c>
      <c r="Q105" s="1033"/>
      <c r="R105" s="993"/>
      <c r="S105" s="993"/>
      <c r="T105" s="993"/>
      <c r="U105" s="993"/>
      <c r="V105" s="993"/>
      <c r="W105" s="993"/>
      <c r="X105" s="1033"/>
      <c r="Y105" s="993"/>
      <c r="Z105" s="993"/>
      <c r="AA105" s="993"/>
      <c r="AB105" s="993"/>
      <c r="AC105" s="993"/>
      <c r="AD105" s="993"/>
      <c r="AE105" s="1033"/>
      <c r="AF105" s="1399"/>
    </row>
    <row r="106" spans="1:32" s="801" customFormat="1" ht="12.95" customHeight="1">
      <c r="C106" s="997"/>
      <c r="D106" s="993"/>
      <c r="E106" s="993"/>
      <c r="F106" s="993"/>
      <c r="G106" s="993"/>
      <c r="H106" s="993"/>
      <c r="I106" s="993"/>
      <c r="J106" s="1033"/>
      <c r="K106" s="881">
        <f t="shared" si="27"/>
        <v>0</v>
      </c>
      <c r="L106" s="881">
        <f t="shared" si="28"/>
        <v>0</v>
      </c>
      <c r="M106" s="881">
        <f t="shared" si="29"/>
        <v>0</v>
      </c>
      <c r="N106" s="881">
        <f t="shared" si="30"/>
        <v>0</v>
      </c>
      <c r="O106" s="881">
        <f t="shared" si="31"/>
        <v>0</v>
      </c>
      <c r="P106" s="881">
        <f t="shared" si="32"/>
        <v>0</v>
      </c>
      <c r="Q106" s="1033"/>
      <c r="R106" s="993"/>
      <c r="S106" s="993"/>
      <c r="T106" s="993"/>
      <c r="U106" s="993"/>
      <c r="V106" s="993"/>
      <c r="W106" s="993"/>
      <c r="X106" s="1033"/>
      <c r="Y106" s="993"/>
      <c r="Z106" s="993"/>
      <c r="AA106" s="993"/>
      <c r="AB106" s="993"/>
      <c r="AC106" s="993"/>
      <c r="AD106" s="993"/>
      <c r="AE106" s="1033"/>
      <c r="AF106" s="1399"/>
    </row>
    <row r="107" spans="1:32">
      <c r="C107" s="880" t="s">
        <v>112</v>
      </c>
      <c r="D107" s="881">
        <v>355924</v>
      </c>
      <c r="E107" s="881">
        <v>364001</v>
      </c>
      <c r="F107" s="881">
        <v>361042</v>
      </c>
      <c r="G107" s="881">
        <v>355048</v>
      </c>
      <c r="H107" s="881">
        <v>356762</v>
      </c>
      <c r="I107" s="881">
        <v>353297</v>
      </c>
      <c r="J107" s="180">
        <f>AVERAGE(D107:I107)</f>
        <v>357679</v>
      </c>
      <c r="K107" s="881">
        <f t="shared" si="27"/>
        <v>355924</v>
      </c>
      <c r="L107" s="881">
        <f t="shared" si="28"/>
        <v>364001</v>
      </c>
      <c r="M107" s="881">
        <f t="shared" si="29"/>
        <v>361042</v>
      </c>
      <c r="N107" s="881">
        <f t="shared" si="30"/>
        <v>355048</v>
      </c>
      <c r="O107" s="881">
        <f t="shared" si="31"/>
        <v>356762</v>
      </c>
      <c r="P107" s="881">
        <f t="shared" si="32"/>
        <v>353297</v>
      </c>
      <c r="Q107" s="180">
        <f>AVERAGE(K107:P107)</f>
        <v>357679</v>
      </c>
      <c r="R107" s="881">
        <v>45821</v>
      </c>
      <c r="S107" s="881">
        <v>46252</v>
      </c>
      <c r="T107" s="881">
        <v>46027</v>
      </c>
      <c r="U107" s="881">
        <v>36796</v>
      </c>
      <c r="V107" s="881">
        <v>43532</v>
      </c>
      <c r="W107" s="881">
        <v>42156</v>
      </c>
      <c r="X107" s="180">
        <f>AVERAGE(R107:W107)</f>
        <v>43430.666666666664</v>
      </c>
      <c r="Y107" s="881"/>
      <c r="Z107" s="881"/>
      <c r="AA107" s="881"/>
      <c r="AB107" s="881"/>
      <c r="AC107" s="881"/>
      <c r="AD107" s="881"/>
      <c r="AE107" s="180"/>
      <c r="AF107" s="1389"/>
    </row>
    <row r="108" spans="1:32">
      <c r="D108" s="37">
        <v>0</v>
      </c>
      <c r="E108" s="37">
        <v>0</v>
      </c>
      <c r="F108" s="37">
        <v>0</v>
      </c>
      <c r="G108" s="37">
        <v>0</v>
      </c>
      <c r="H108" s="37">
        <v>0</v>
      </c>
      <c r="I108" s="37">
        <v>0</v>
      </c>
      <c r="J108" s="180">
        <f>SUM(D108:I108)</f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180">
        <f>SUM(K108:P108)</f>
        <v>0</v>
      </c>
      <c r="X108" s="180">
        <f>SUM(R108:W108)</f>
        <v>0</v>
      </c>
    </row>
    <row r="109" spans="1:32">
      <c r="J109" s="180"/>
      <c r="Q109" s="180"/>
      <c r="X109" s="180"/>
    </row>
    <row r="112" spans="1:32">
      <c r="A112" s="532"/>
      <c r="C112" s="960"/>
      <c r="D112" s="961" t="s">
        <v>161</v>
      </c>
      <c r="E112" s="961"/>
      <c r="F112" s="961"/>
      <c r="G112" s="961"/>
      <c r="H112" s="961"/>
      <c r="I112" s="961"/>
      <c r="J112" s="961"/>
      <c r="K112" s="961" t="s">
        <v>161</v>
      </c>
      <c r="L112" s="961"/>
      <c r="M112" s="961"/>
      <c r="N112" s="961"/>
      <c r="O112" s="961"/>
      <c r="P112" s="961"/>
      <c r="Q112" s="961"/>
      <c r="R112" s="961" t="s">
        <v>161</v>
      </c>
      <c r="S112" s="961"/>
      <c r="T112" s="961"/>
      <c r="U112" s="961"/>
      <c r="V112" s="961"/>
      <c r="W112" s="961"/>
      <c r="X112" s="961"/>
      <c r="Y112" s="961"/>
      <c r="Z112" s="961"/>
      <c r="AA112" s="961"/>
      <c r="AB112" s="961"/>
      <c r="AC112" s="961"/>
      <c r="AD112" s="961"/>
      <c r="AE112" s="961"/>
      <c r="AF112" s="1400"/>
    </row>
    <row r="113" spans="1:32" ht="24">
      <c r="A113" s="56"/>
      <c r="C113" s="963" t="s">
        <v>366</v>
      </c>
      <c r="D113" s="1016">
        <v>45474</v>
      </c>
      <c r="E113" s="1016">
        <v>45505</v>
      </c>
      <c r="F113" s="1016">
        <v>45536</v>
      </c>
      <c r="G113" s="1016">
        <v>45566</v>
      </c>
      <c r="H113" s="1016">
        <v>45597</v>
      </c>
      <c r="I113" s="1016">
        <v>45627</v>
      </c>
      <c r="J113" s="966" t="s">
        <v>154</v>
      </c>
      <c r="K113" s="1016">
        <v>45474</v>
      </c>
      <c r="L113" s="1016">
        <v>45505</v>
      </c>
      <c r="M113" s="1016">
        <v>45536</v>
      </c>
      <c r="N113" s="1016">
        <v>45566</v>
      </c>
      <c r="O113" s="1016">
        <v>45597</v>
      </c>
      <c r="P113" s="1016">
        <v>45627</v>
      </c>
      <c r="Q113" s="966" t="s">
        <v>154</v>
      </c>
      <c r="R113" s="1016">
        <v>45474</v>
      </c>
      <c r="S113" s="1016">
        <v>45505</v>
      </c>
      <c r="T113" s="1016">
        <v>45536</v>
      </c>
      <c r="U113" s="1016">
        <v>45566</v>
      </c>
      <c r="V113" s="1016">
        <v>45597</v>
      </c>
      <c r="W113" s="1016">
        <v>45627</v>
      </c>
      <c r="X113" s="966" t="s">
        <v>154</v>
      </c>
      <c r="Y113" s="966"/>
      <c r="Z113" s="966"/>
      <c r="AA113" s="966"/>
      <c r="AB113" s="966"/>
      <c r="AC113" s="966"/>
      <c r="AD113" s="966"/>
      <c r="AE113" s="966"/>
      <c r="AF113" s="1390"/>
    </row>
    <row r="114" spans="1:32" s="52" customFormat="1" ht="15.75">
      <c r="A114" s="57"/>
      <c r="B114" s="37"/>
      <c r="C114" s="965" t="s">
        <v>446</v>
      </c>
      <c r="D114" s="881">
        <f t="shared" ref="D114:I114" si="33">D115+D117</f>
        <v>25203.122048167901</v>
      </c>
      <c r="E114" s="881">
        <f t="shared" si="33"/>
        <v>24201.3398438</v>
      </c>
      <c r="F114" s="881">
        <f t="shared" si="33"/>
        <v>26840.862030029301</v>
      </c>
      <c r="G114" s="881">
        <f t="shared" si="33"/>
        <v>27417.975057260999</v>
      </c>
      <c r="H114" s="881">
        <f t="shared" si="33"/>
        <v>27662.2914186624</v>
      </c>
      <c r="I114" s="881">
        <f t="shared" si="33"/>
        <v>27119.794956900001</v>
      </c>
      <c r="J114" s="180">
        <f t="shared" ref="J114:J146" si="34">AVERAGE(D114:I114)</f>
        <v>26407.564225803435</v>
      </c>
      <c r="K114" s="881">
        <f t="shared" ref="K114:P114" si="35">K115+K117</f>
        <v>25203.122048167901</v>
      </c>
      <c r="L114" s="881">
        <f t="shared" si="35"/>
        <v>24201.3398438</v>
      </c>
      <c r="M114" s="881">
        <f t="shared" si="35"/>
        <v>26840.862030029301</v>
      </c>
      <c r="N114" s="881">
        <f t="shared" si="35"/>
        <v>27417.975057260999</v>
      </c>
      <c r="O114" s="881">
        <f t="shared" si="35"/>
        <v>27662.2914186624</v>
      </c>
      <c r="P114" s="881">
        <f t="shared" si="35"/>
        <v>27119.794956900001</v>
      </c>
      <c r="Q114" s="180">
        <f t="shared" ref="Q114:Q146" si="36">AVERAGE(K114:P114)</f>
        <v>26407.564225803435</v>
      </c>
      <c r="R114" s="881">
        <f t="shared" ref="R114:W114" si="37">R115+R117</f>
        <v>16364.241210900002</v>
      </c>
      <c r="S114" s="881">
        <f t="shared" si="37"/>
        <v>15962.7548828</v>
      </c>
      <c r="T114" s="881">
        <f t="shared" si="37"/>
        <v>17647.171875</v>
      </c>
      <c r="U114" s="881">
        <f t="shared" si="37"/>
        <v>16605.7714844</v>
      </c>
      <c r="V114" s="881">
        <f t="shared" si="37"/>
        <v>18038.1914063</v>
      </c>
      <c r="W114" s="881">
        <f t="shared" si="37"/>
        <v>15902.2109375</v>
      </c>
      <c r="X114" s="180">
        <f>AVERAGE(R114:W114)</f>
        <v>16753.390299483333</v>
      </c>
      <c r="Y114" s="881"/>
      <c r="Z114" s="881"/>
      <c r="AA114" s="881"/>
      <c r="AB114" s="881"/>
      <c r="AC114" s="881"/>
      <c r="AD114" s="881"/>
      <c r="AE114" s="180"/>
      <c r="AF114" s="1389"/>
    </row>
    <row r="115" spans="1:32" s="52" customFormat="1">
      <c r="A115" s="57"/>
      <c r="B115" s="48" t="s">
        <v>870</v>
      </c>
      <c r="C115" s="882" t="s">
        <v>279</v>
      </c>
      <c r="D115" s="881">
        <f t="shared" ref="D115:I115" si="38">SUM(D116)</f>
        <v>16509.2460938</v>
      </c>
      <c r="E115" s="881">
        <f t="shared" si="38"/>
        <v>15910.3398438</v>
      </c>
      <c r="F115" s="881">
        <f t="shared" si="38"/>
        <v>17633.1796875</v>
      </c>
      <c r="G115" s="881">
        <f t="shared" si="38"/>
        <v>16561.2597656</v>
      </c>
      <c r="H115" s="881">
        <f t="shared" si="38"/>
        <v>17610.0195313</v>
      </c>
      <c r="I115" s="881">
        <f t="shared" si="38"/>
        <v>15906.1855469</v>
      </c>
      <c r="J115" s="180">
        <f t="shared" si="34"/>
        <v>16688.371744816668</v>
      </c>
      <c r="K115" s="881">
        <f t="shared" ref="K115:P115" si="39">SUM(K116)</f>
        <v>16509.2460938</v>
      </c>
      <c r="L115" s="881">
        <f t="shared" si="39"/>
        <v>15910.3398438</v>
      </c>
      <c r="M115" s="881">
        <f t="shared" si="39"/>
        <v>17633.1796875</v>
      </c>
      <c r="N115" s="881">
        <f t="shared" si="39"/>
        <v>16561.2597656</v>
      </c>
      <c r="O115" s="881">
        <f t="shared" si="39"/>
        <v>17610.0195313</v>
      </c>
      <c r="P115" s="881">
        <f t="shared" si="39"/>
        <v>15906.1855469</v>
      </c>
      <c r="Q115" s="180">
        <f t="shared" si="36"/>
        <v>16688.371744816668</v>
      </c>
      <c r="R115" s="881">
        <f t="shared" ref="R115:W115" si="40">SUM(R116)</f>
        <v>16364.241210900002</v>
      </c>
      <c r="S115" s="881">
        <f t="shared" si="40"/>
        <v>15962.7548828</v>
      </c>
      <c r="T115" s="881">
        <f t="shared" si="40"/>
        <v>17647.171875</v>
      </c>
      <c r="U115" s="881">
        <f t="shared" si="40"/>
        <v>16605.7714844</v>
      </c>
      <c r="V115" s="881">
        <f t="shared" si="40"/>
        <v>18038.1914063</v>
      </c>
      <c r="W115" s="881">
        <f t="shared" si="40"/>
        <v>15902.2109375</v>
      </c>
      <c r="X115" s="180">
        <f>AVERAGE(R115:W115)</f>
        <v>16753.390299483333</v>
      </c>
      <c r="Y115" s="881"/>
      <c r="Z115" s="881"/>
      <c r="AA115" s="881"/>
      <c r="AB115" s="881"/>
      <c r="AC115" s="881"/>
      <c r="AD115" s="881"/>
      <c r="AE115" s="180"/>
      <c r="AF115" s="1389"/>
    </row>
    <row r="116" spans="1:32">
      <c r="A116" s="57"/>
      <c r="B116" s="48"/>
      <c r="C116" s="887" t="s">
        <v>971</v>
      </c>
      <c r="D116" s="883">
        <f t="shared" ref="D116:I116" si="41">D163</f>
        <v>16509.2460938</v>
      </c>
      <c r="E116" s="883">
        <f t="shared" si="41"/>
        <v>15910.3398438</v>
      </c>
      <c r="F116" s="883">
        <f t="shared" si="41"/>
        <v>17633.1796875</v>
      </c>
      <c r="G116" s="883">
        <f t="shared" si="41"/>
        <v>16561.2597656</v>
      </c>
      <c r="H116" s="883">
        <f t="shared" si="41"/>
        <v>17610.0195313</v>
      </c>
      <c r="I116" s="883">
        <f t="shared" si="41"/>
        <v>15906.1855469</v>
      </c>
      <c r="J116" s="180">
        <f t="shared" si="34"/>
        <v>16688.371744816668</v>
      </c>
      <c r="K116" s="883">
        <f t="shared" ref="K116:P116" si="42">D116</f>
        <v>16509.2460938</v>
      </c>
      <c r="L116" s="883">
        <f t="shared" si="42"/>
        <v>15910.3398438</v>
      </c>
      <c r="M116" s="883">
        <f t="shared" si="42"/>
        <v>17633.1796875</v>
      </c>
      <c r="N116" s="883">
        <f t="shared" si="42"/>
        <v>16561.2597656</v>
      </c>
      <c r="O116" s="883">
        <f t="shared" si="42"/>
        <v>17610.0195313</v>
      </c>
      <c r="P116" s="883">
        <f t="shared" si="42"/>
        <v>15906.1855469</v>
      </c>
      <c r="Q116" s="180">
        <f t="shared" si="36"/>
        <v>16688.371744816668</v>
      </c>
      <c r="R116" s="883">
        <f t="shared" ref="R116:W116" si="43">D$164</f>
        <v>16364.241210900002</v>
      </c>
      <c r="S116" s="883">
        <f t="shared" si="43"/>
        <v>15962.7548828</v>
      </c>
      <c r="T116" s="883">
        <f t="shared" si="43"/>
        <v>17647.171875</v>
      </c>
      <c r="U116" s="883">
        <f t="shared" si="43"/>
        <v>16605.7714844</v>
      </c>
      <c r="V116" s="883">
        <f t="shared" si="43"/>
        <v>18038.1914063</v>
      </c>
      <c r="W116" s="883">
        <f t="shared" si="43"/>
        <v>15902.2109375</v>
      </c>
      <c r="X116" s="180">
        <f>AVERAGE(R116:W116)</f>
        <v>16753.390299483333</v>
      </c>
      <c r="Y116" s="883"/>
      <c r="Z116" s="883"/>
      <c r="AA116" s="883"/>
      <c r="AB116" s="883"/>
      <c r="AC116" s="883"/>
      <c r="AD116" s="883"/>
      <c r="AE116" s="180"/>
      <c r="AF116" s="1389"/>
    </row>
    <row r="117" spans="1:32">
      <c r="A117" s="57"/>
      <c r="B117" s="48" t="s">
        <v>871</v>
      </c>
      <c r="C117" s="882" t="s">
        <v>278</v>
      </c>
      <c r="D117" s="881">
        <f t="shared" ref="D117:I117" si="44">SUM(D118:D119)</f>
        <v>8693.8759543679007</v>
      </c>
      <c r="E117" s="881">
        <f t="shared" si="44"/>
        <v>8291</v>
      </c>
      <c r="F117" s="881">
        <f t="shared" si="44"/>
        <v>9207.6823425293005</v>
      </c>
      <c r="G117" s="881">
        <f t="shared" si="44"/>
        <v>10856.715291660999</v>
      </c>
      <c r="H117" s="881">
        <f t="shared" si="44"/>
        <v>10052.2718873624</v>
      </c>
      <c r="I117" s="881">
        <f t="shared" si="44"/>
        <v>11213.609410000001</v>
      </c>
      <c r="J117" s="180">
        <f t="shared" si="34"/>
        <v>9719.1924809867687</v>
      </c>
      <c r="K117" s="881">
        <f t="shared" ref="K117:P117" si="45">SUM(K118:K119)</f>
        <v>8693.8759543679007</v>
      </c>
      <c r="L117" s="881">
        <f t="shared" si="45"/>
        <v>8291</v>
      </c>
      <c r="M117" s="881">
        <f t="shared" si="45"/>
        <v>9207.6823425293005</v>
      </c>
      <c r="N117" s="881">
        <f t="shared" si="45"/>
        <v>10856.715291660999</v>
      </c>
      <c r="O117" s="881">
        <f t="shared" si="45"/>
        <v>10052.2718873624</v>
      </c>
      <c r="P117" s="881">
        <f t="shared" si="45"/>
        <v>11213.609410000001</v>
      </c>
      <c r="Q117" s="180">
        <f t="shared" si="36"/>
        <v>9719.1924809867687</v>
      </c>
      <c r="R117" s="881">
        <f t="shared" ref="R117:W117" si="46">SUM(R118:R119)</f>
        <v>0</v>
      </c>
      <c r="S117" s="881">
        <f t="shared" si="46"/>
        <v>0</v>
      </c>
      <c r="T117" s="881">
        <f t="shared" si="46"/>
        <v>0</v>
      </c>
      <c r="U117" s="881">
        <f t="shared" si="46"/>
        <v>0</v>
      </c>
      <c r="V117" s="881">
        <f t="shared" si="46"/>
        <v>0</v>
      </c>
      <c r="W117" s="881">
        <f t="shared" si="46"/>
        <v>0</v>
      </c>
      <c r="X117" s="180">
        <f>AVERAGE(R117:W117)</f>
        <v>0</v>
      </c>
      <c r="Y117" s="881"/>
      <c r="Z117" s="881"/>
      <c r="AA117" s="881"/>
      <c r="AB117" s="881"/>
      <c r="AC117" s="881"/>
      <c r="AD117" s="881"/>
      <c r="AE117" s="180"/>
      <c r="AF117" s="1389"/>
    </row>
    <row r="118" spans="1:32">
      <c r="A118" s="57"/>
      <c r="B118" s="48"/>
      <c r="C118" s="887" t="s">
        <v>969</v>
      </c>
      <c r="D118" s="883">
        <f t="shared" ref="D118:I118" si="47">D165</f>
        <v>0</v>
      </c>
      <c r="E118" s="883">
        <f t="shared" si="47"/>
        <v>0</v>
      </c>
      <c r="F118" s="883">
        <f t="shared" si="47"/>
        <v>0</v>
      </c>
      <c r="G118" s="883">
        <f t="shared" si="47"/>
        <v>0</v>
      </c>
      <c r="H118" s="883">
        <f t="shared" si="47"/>
        <v>0</v>
      </c>
      <c r="I118" s="883">
        <f t="shared" si="47"/>
        <v>0</v>
      </c>
      <c r="J118" s="180">
        <f t="shared" si="34"/>
        <v>0</v>
      </c>
      <c r="K118" s="883">
        <f t="shared" ref="K118:P118" si="48">D118</f>
        <v>0</v>
      </c>
      <c r="L118" s="883">
        <f t="shared" si="48"/>
        <v>0</v>
      </c>
      <c r="M118" s="883">
        <f t="shared" si="48"/>
        <v>0</v>
      </c>
      <c r="N118" s="883">
        <f t="shared" si="48"/>
        <v>0</v>
      </c>
      <c r="O118" s="883">
        <f t="shared" si="48"/>
        <v>0</v>
      </c>
      <c r="P118" s="883">
        <f t="shared" si="48"/>
        <v>0</v>
      </c>
      <c r="Q118" s="180">
        <f t="shared" si="36"/>
        <v>0</v>
      </c>
      <c r="R118" s="883"/>
      <c r="S118" s="883"/>
      <c r="T118" s="883"/>
      <c r="U118" s="883"/>
      <c r="V118" s="883"/>
      <c r="W118" s="883"/>
      <c r="X118" s="180"/>
      <c r="Y118" s="883"/>
      <c r="Z118" s="883"/>
      <c r="AA118" s="883"/>
      <c r="AB118" s="883"/>
      <c r="AC118" s="883"/>
      <c r="AD118" s="883"/>
      <c r="AE118" s="180"/>
      <c r="AF118" s="1389"/>
    </row>
    <row r="119" spans="1:32">
      <c r="A119" s="57"/>
      <c r="B119" s="48"/>
      <c r="C119" s="887" t="s">
        <v>970</v>
      </c>
      <c r="D119" s="883">
        <f>D166</f>
        <v>8693.8759543679007</v>
      </c>
      <c r="E119" s="883">
        <f t="shared" ref="E119:I119" si="49">E166</f>
        <v>8291</v>
      </c>
      <c r="F119" s="883">
        <f t="shared" si="49"/>
        <v>9207.6823425293005</v>
      </c>
      <c r="G119" s="883">
        <f t="shared" si="49"/>
        <v>10856.715291660999</v>
      </c>
      <c r="H119" s="883">
        <f t="shared" si="49"/>
        <v>10052.2718873624</v>
      </c>
      <c r="I119" s="883">
        <f t="shared" si="49"/>
        <v>11213.609410000001</v>
      </c>
      <c r="J119" s="180">
        <f t="shared" si="34"/>
        <v>9719.1924809867687</v>
      </c>
      <c r="K119" s="883">
        <f t="shared" ref="K119" si="50">D119</f>
        <v>8693.8759543679007</v>
      </c>
      <c r="L119" s="883">
        <f t="shared" ref="L119" si="51">E119</f>
        <v>8291</v>
      </c>
      <c r="M119" s="883">
        <f t="shared" ref="M119" si="52">F119</f>
        <v>9207.6823425293005</v>
      </c>
      <c r="N119" s="883">
        <f t="shared" ref="N119" si="53">G119</f>
        <v>10856.715291660999</v>
      </c>
      <c r="O119" s="883">
        <f t="shared" ref="O119" si="54">H119</f>
        <v>10052.2718873624</v>
      </c>
      <c r="P119" s="883">
        <f t="shared" ref="P119" si="55">I119</f>
        <v>11213.609410000001</v>
      </c>
      <c r="Q119" s="180">
        <f t="shared" si="36"/>
        <v>9719.1924809867687</v>
      </c>
      <c r="R119" s="883"/>
      <c r="S119" s="883"/>
      <c r="T119" s="883"/>
      <c r="U119" s="883"/>
      <c r="V119" s="883"/>
      <c r="W119" s="883"/>
      <c r="X119" s="180"/>
      <c r="Y119" s="883"/>
      <c r="Z119" s="883"/>
      <c r="AA119" s="883"/>
      <c r="AB119" s="883"/>
      <c r="AC119" s="883"/>
      <c r="AD119" s="883"/>
      <c r="AE119" s="180"/>
      <c r="AF119" s="1389"/>
    </row>
    <row r="120" spans="1:32">
      <c r="A120" s="57"/>
      <c r="B120" s="48" t="s">
        <v>893</v>
      </c>
      <c r="C120" s="887" t="s">
        <v>901</v>
      </c>
      <c r="D120" s="881"/>
      <c r="E120" s="881"/>
      <c r="F120" s="881"/>
      <c r="G120" s="881"/>
      <c r="H120" s="881"/>
      <c r="I120" s="881"/>
      <c r="J120" s="180"/>
      <c r="K120" s="881"/>
      <c r="L120" s="881"/>
      <c r="M120" s="881"/>
      <c r="N120" s="881"/>
      <c r="O120" s="881"/>
      <c r="P120" s="881"/>
      <c r="Q120" s="180"/>
      <c r="R120" s="881"/>
      <c r="S120" s="881"/>
      <c r="T120" s="881"/>
      <c r="U120" s="881"/>
      <c r="V120" s="881"/>
      <c r="W120" s="881"/>
      <c r="X120" s="180"/>
      <c r="Y120" s="881"/>
      <c r="Z120" s="881"/>
      <c r="AA120" s="881"/>
      <c r="AB120" s="881"/>
      <c r="AC120" s="881"/>
      <c r="AD120" s="881"/>
      <c r="AE120" s="180"/>
      <c r="AF120" s="1389"/>
    </row>
    <row r="121" spans="1:32">
      <c r="A121" s="57"/>
      <c r="B121" s="48"/>
      <c r="C121" s="887"/>
      <c r="D121" s="883"/>
      <c r="E121" s="883"/>
      <c r="F121" s="883"/>
      <c r="G121" s="883"/>
      <c r="H121" s="883"/>
      <c r="I121" s="883"/>
      <c r="J121" s="180"/>
      <c r="K121" s="883"/>
      <c r="L121" s="883"/>
      <c r="M121" s="883"/>
      <c r="N121" s="883"/>
      <c r="O121" s="883"/>
      <c r="P121" s="883"/>
      <c r="Q121" s="180"/>
      <c r="R121" s="883"/>
      <c r="S121" s="883"/>
      <c r="T121" s="883"/>
      <c r="U121" s="883"/>
      <c r="V121" s="883"/>
      <c r="W121" s="883"/>
      <c r="X121" s="180"/>
      <c r="Y121" s="883"/>
      <c r="Z121" s="883"/>
      <c r="AA121" s="883"/>
      <c r="AB121" s="883"/>
      <c r="AC121" s="883"/>
      <c r="AD121" s="883"/>
      <c r="AE121" s="180"/>
      <c r="AF121" s="1389"/>
    </row>
    <row r="122" spans="1:32" ht="15.75">
      <c r="A122" s="57"/>
      <c r="B122" s="48"/>
      <c r="C122" s="965" t="s">
        <v>630</v>
      </c>
      <c r="D122" s="881">
        <f t="shared" ref="D122:I122" si="56">D123+D128</f>
        <v>120217.68533970002</v>
      </c>
      <c r="E122" s="881">
        <f t="shared" si="56"/>
        <v>116939.3844312188</v>
      </c>
      <c r="F122" s="881">
        <f t="shared" si="56"/>
        <v>119625.40137149999</v>
      </c>
      <c r="G122" s="881">
        <f t="shared" si="56"/>
        <v>119627.48214150002</v>
      </c>
      <c r="H122" s="881">
        <f t="shared" si="56"/>
        <v>119248.47217030003</v>
      </c>
      <c r="I122" s="881">
        <f t="shared" si="56"/>
        <v>119436.22888949999</v>
      </c>
      <c r="J122" s="180">
        <f t="shared" si="34"/>
        <v>119182.44239061982</v>
      </c>
      <c r="K122" s="881">
        <f t="shared" ref="K122:P122" si="57">K123+K128</f>
        <v>120217.68533970002</v>
      </c>
      <c r="L122" s="881">
        <f t="shared" si="57"/>
        <v>116939.3844312188</v>
      </c>
      <c r="M122" s="881">
        <f t="shared" si="57"/>
        <v>119625.40137149999</v>
      </c>
      <c r="N122" s="881">
        <f t="shared" si="57"/>
        <v>119627.48214150002</v>
      </c>
      <c r="O122" s="881">
        <f t="shared" si="57"/>
        <v>119248.47217030003</v>
      </c>
      <c r="P122" s="881">
        <f t="shared" si="57"/>
        <v>119436.22888949999</v>
      </c>
      <c r="Q122" s="180">
        <f t="shared" si="36"/>
        <v>119182.44239061982</v>
      </c>
      <c r="R122" s="881">
        <f t="shared" ref="R122:W122" si="58">R123+R128</f>
        <v>22263.409054100001</v>
      </c>
      <c r="S122" s="881">
        <f t="shared" si="58"/>
        <v>21919.338532000002</v>
      </c>
      <c r="T122" s="881">
        <f t="shared" si="58"/>
        <v>22328.589233999995</v>
      </c>
      <c r="U122" s="881">
        <f t="shared" si="58"/>
        <v>22266.1862716</v>
      </c>
      <c r="V122" s="881">
        <f t="shared" si="58"/>
        <v>22195.452999999998</v>
      </c>
      <c r="W122" s="881">
        <f t="shared" si="58"/>
        <v>22498.162554000002</v>
      </c>
      <c r="X122" s="180">
        <f>AVERAGE(R122:W122)</f>
        <v>22245.189774283335</v>
      </c>
      <c r="Y122" s="881"/>
      <c r="Z122" s="881"/>
      <c r="AA122" s="881"/>
      <c r="AB122" s="881"/>
      <c r="AC122" s="881"/>
      <c r="AD122" s="881"/>
      <c r="AE122" s="180"/>
      <c r="AF122" s="1389"/>
    </row>
    <row r="123" spans="1:32">
      <c r="A123" s="57"/>
      <c r="B123" s="48" t="s">
        <v>872</v>
      </c>
      <c r="C123" s="882" t="s">
        <v>277</v>
      </c>
      <c r="D123" s="881">
        <f t="shared" ref="D123:I123" si="59">SUM(D124:D127)</f>
        <v>22747.332337799999</v>
      </c>
      <c r="E123" s="881">
        <f t="shared" si="59"/>
        <v>21996.610279</v>
      </c>
      <c r="F123" s="881">
        <f t="shared" si="59"/>
        <v>22776.186678000002</v>
      </c>
      <c r="G123" s="881">
        <f t="shared" si="59"/>
        <v>22896.450688000004</v>
      </c>
      <c r="H123" s="881">
        <f t="shared" si="59"/>
        <v>22221.815538999996</v>
      </c>
      <c r="I123" s="881">
        <f t="shared" si="59"/>
        <v>22749.256893999998</v>
      </c>
      <c r="J123" s="180">
        <f t="shared" si="34"/>
        <v>22564.608735966667</v>
      </c>
      <c r="K123" s="881">
        <f t="shared" ref="K123:P123" si="60">SUM(K124:K127)</f>
        <v>22747.332337799999</v>
      </c>
      <c r="L123" s="881">
        <f t="shared" si="60"/>
        <v>21996.610279</v>
      </c>
      <c r="M123" s="881">
        <f t="shared" si="60"/>
        <v>22776.186678000002</v>
      </c>
      <c r="N123" s="881">
        <f t="shared" si="60"/>
        <v>22896.450688000004</v>
      </c>
      <c r="O123" s="881">
        <f t="shared" si="60"/>
        <v>22221.815538999996</v>
      </c>
      <c r="P123" s="881">
        <f t="shared" si="60"/>
        <v>22749.256893999998</v>
      </c>
      <c r="Q123" s="180">
        <f t="shared" si="36"/>
        <v>22564.608735966667</v>
      </c>
      <c r="R123" s="881">
        <f t="shared" ref="R123:W123" si="61">SUM(R124:R127)</f>
        <v>22263.409054100001</v>
      </c>
      <c r="S123" s="881">
        <f t="shared" si="61"/>
        <v>21919.338532000002</v>
      </c>
      <c r="T123" s="881">
        <f t="shared" si="61"/>
        <v>22328.589233999995</v>
      </c>
      <c r="U123" s="881">
        <f t="shared" si="61"/>
        <v>22266.1862716</v>
      </c>
      <c r="V123" s="881">
        <f t="shared" si="61"/>
        <v>22195.452999999998</v>
      </c>
      <c r="W123" s="881">
        <f t="shared" si="61"/>
        <v>22498.162554000002</v>
      </c>
      <c r="X123" s="180">
        <f>AVERAGE(R123:W123)</f>
        <v>22245.189774283335</v>
      </c>
      <c r="Y123" s="881"/>
      <c r="Z123" s="881"/>
      <c r="AA123" s="881"/>
      <c r="AB123" s="881"/>
      <c r="AC123" s="881"/>
      <c r="AD123" s="881"/>
      <c r="AE123" s="180"/>
      <c r="AF123" s="1389"/>
    </row>
    <row r="124" spans="1:32">
      <c r="A124" s="57"/>
      <c r="B124" s="48"/>
      <c r="C124" s="887" t="s">
        <v>972</v>
      </c>
      <c r="D124" s="883">
        <f t="shared" ref="D124:I124" si="62">D167</f>
        <v>14503.314373799998</v>
      </c>
      <c r="E124" s="883">
        <f t="shared" si="62"/>
        <v>13663.737730999999</v>
      </c>
      <c r="F124" s="883">
        <f t="shared" si="62"/>
        <v>13758.252522000001</v>
      </c>
      <c r="G124" s="883">
        <f t="shared" si="62"/>
        <v>13591.065206900003</v>
      </c>
      <c r="H124" s="883">
        <f t="shared" si="62"/>
        <v>13437.751921999996</v>
      </c>
      <c r="I124" s="883">
        <f t="shared" si="62"/>
        <v>13193.109880999998</v>
      </c>
      <c r="J124" s="180">
        <f t="shared" si="34"/>
        <v>13691.205272783331</v>
      </c>
      <c r="K124" s="883">
        <f t="shared" ref="K124:P127" si="63">D124</f>
        <v>14503.314373799998</v>
      </c>
      <c r="L124" s="883">
        <f t="shared" si="63"/>
        <v>13663.737730999999</v>
      </c>
      <c r="M124" s="883">
        <f t="shared" si="63"/>
        <v>13758.252522000001</v>
      </c>
      <c r="N124" s="883">
        <f t="shared" si="63"/>
        <v>13591.065206900003</v>
      </c>
      <c r="O124" s="883">
        <f t="shared" si="63"/>
        <v>13437.751921999996</v>
      </c>
      <c r="P124" s="883">
        <f t="shared" si="63"/>
        <v>13193.109880999998</v>
      </c>
      <c r="Q124" s="180">
        <f t="shared" si="36"/>
        <v>13691.205272783331</v>
      </c>
      <c r="R124" s="883">
        <f t="shared" ref="R124:W124" si="64">D$171</f>
        <v>22263.409054100001</v>
      </c>
      <c r="S124" s="883">
        <f t="shared" si="64"/>
        <v>21919.338532000002</v>
      </c>
      <c r="T124" s="883">
        <f t="shared" si="64"/>
        <v>22328.589233999995</v>
      </c>
      <c r="U124" s="883">
        <f t="shared" si="64"/>
        <v>22266.1862716</v>
      </c>
      <c r="V124" s="883">
        <f t="shared" si="64"/>
        <v>22195.452999999998</v>
      </c>
      <c r="W124" s="883">
        <f t="shared" si="64"/>
        <v>22498.162554000002</v>
      </c>
      <c r="X124" s="180">
        <f>AVERAGE(R124:W124)</f>
        <v>22245.189774283335</v>
      </c>
      <c r="Y124" s="883"/>
      <c r="Z124" s="883"/>
      <c r="AA124" s="883"/>
      <c r="AB124" s="883"/>
      <c r="AC124" s="883"/>
      <c r="AD124" s="883"/>
      <c r="AE124" s="180"/>
      <c r="AF124" s="1389"/>
    </row>
    <row r="125" spans="1:32">
      <c r="A125" s="57"/>
      <c r="B125" s="48"/>
      <c r="C125" s="887" t="s">
        <v>973</v>
      </c>
      <c r="D125" s="883">
        <f t="shared" ref="D125:I126" si="65">D168</f>
        <v>1149.30116</v>
      </c>
      <c r="E125" s="883">
        <f t="shared" si="65"/>
        <v>1215.046</v>
      </c>
      <c r="F125" s="883">
        <f t="shared" si="65"/>
        <v>1195.64004</v>
      </c>
      <c r="G125" s="883">
        <f t="shared" si="65"/>
        <v>1304.933</v>
      </c>
      <c r="H125" s="883">
        <f t="shared" si="65"/>
        <v>1256.82032</v>
      </c>
      <c r="I125" s="883">
        <f t="shared" si="65"/>
        <v>1174.0565200000001</v>
      </c>
      <c r="J125" s="180">
        <f t="shared" si="34"/>
        <v>1215.9661733333335</v>
      </c>
      <c r="K125" s="883">
        <f t="shared" si="63"/>
        <v>1149.30116</v>
      </c>
      <c r="L125" s="883">
        <f t="shared" si="63"/>
        <v>1215.046</v>
      </c>
      <c r="M125" s="883">
        <f t="shared" si="63"/>
        <v>1195.64004</v>
      </c>
      <c r="N125" s="883">
        <f t="shared" si="63"/>
        <v>1304.933</v>
      </c>
      <c r="O125" s="883">
        <f t="shared" si="63"/>
        <v>1256.82032</v>
      </c>
      <c r="P125" s="883">
        <f t="shared" si="63"/>
        <v>1174.0565200000001</v>
      </c>
      <c r="Q125" s="180">
        <f t="shared" si="36"/>
        <v>1215.9661733333335</v>
      </c>
      <c r="R125" s="883"/>
      <c r="S125" s="883"/>
      <c r="T125" s="883"/>
      <c r="U125" s="883"/>
      <c r="V125" s="883"/>
      <c r="W125" s="883"/>
      <c r="X125" s="180"/>
      <c r="Y125" s="883"/>
      <c r="Z125" s="883"/>
      <c r="AA125" s="883"/>
      <c r="AB125" s="883"/>
      <c r="AC125" s="883"/>
      <c r="AD125" s="883"/>
      <c r="AE125" s="180"/>
      <c r="AF125" s="1389"/>
    </row>
    <row r="126" spans="1:32">
      <c r="A126" s="57"/>
      <c r="B126" s="48"/>
      <c r="C126" s="887" t="s">
        <v>1010</v>
      </c>
      <c r="D126" s="883">
        <f t="shared" si="65"/>
        <v>236.00847199999998</v>
      </c>
      <c r="E126" s="883">
        <f t="shared" si="65"/>
        <v>234.66396799999998</v>
      </c>
      <c r="F126" s="883">
        <f t="shared" si="65"/>
        <v>230.97087999999999</v>
      </c>
      <c r="G126" s="883">
        <f t="shared" si="65"/>
        <v>232.53092799999999</v>
      </c>
      <c r="H126" s="883">
        <f t="shared" si="65"/>
        <v>228.39986400000001</v>
      </c>
      <c r="I126" s="883">
        <f t="shared" si="65"/>
        <v>226.578464</v>
      </c>
      <c r="J126" s="180">
        <f t="shared" si="34"/>
        <v>231.52542933333334</v>
      </c>
      <c r="K126" s="883">
        <f t="shared" si="63"/>
        <v>236.00847199999998</v>
      </c>
      <c r="L126" s="883">
        <f t="shared" si="63"/>
        <v>234.66396799999998</v>
      </c>
      <c r="M126" s="883">
        <f t="shared" si="63"/>
        <v>230.97087999999999</v>
      </c>
      <c r="N126" s="883">
        <f t="shared" si="63"/>
        <v>232.53092799999999</v>
      </c>
      <c r="O126" s="883">
        <f t="shared" si="63"/>
        <v>228.39986400000001</v>
      </c>
      <c r="P126" s="883">
        <f t="shared" si="63"/>
        <v>226.578464</v>
      </c>
      <c r="Q126" s="180">
        <f t="shared" si="36"/>
        <v>231.52542933333334</v>
      </c>
      <c r="R126" s="883"/>
      <c r="S126" s="883"/>
      <c r="T126" s="883"/>
      <c r="U126" s="883"/>
      <c r="V126" s="883"/>
      <c r="W126" s="883"/>
      <c r="X126" s="180"/>
      <c r="Y126" s="883"/>
      <c r="Z126" s="883"/>
      <c r="AA126" s="883"/>
      <c r="AB126" s="883"/>
      <c r="AC126" s="883"/>
      <c r="AD126" s="883"/>
      <c r="AE126" s="180"/>
      <c r="AF126" s="1389"/>
    </row>
    <row r="127" spans="1:32">
      <c r="A127" s="57"/>
      <c r="B127" s="48"/>
      <c r="C127" s="887" t="s">
        <v>1256</v>
      </c>
      <c r="D127" s="883">
        <f t="shared" ref="D127:I127" si="66">D170</f>
        <v>6858.7083320000002</v>
      </c>
      <c r="E127" s="883">
        <f t="shared" si="66"/>
        <v>6883.1625800000002</v>
      </c>
      <c r="F127" s="883">
        <f t="shared" si="66"/>
        <v>7591.3232360000002</v>
      </c>
      <c r="G127" s="883">
        <f t="shared" si="66"/>
        <v>7767.9215531</v>
      </c>
      <c r="H127" s="883">
        <f t="shared" si="66"/>
        <v>7298.843433</v>
      </c>
      <c r="I127" s="883">
        <f t="shared" si="66"/>
        <v>8155.5120290000004</v>
      </c>
      <c r="J127" s="180">
        <f t="shared" si="34"/>
        <v>7425.9118605166668</v>
      </c>
      <c r="K127" s="883">
        <f t="shared" si="63"/>
        <v>6858.7083320000002</v>
      </c>
      <c r="L127" s="883">
        <f t="shared" si="63"/>
        <v>6883.1625800000002</v>
      </c>
      <c r="M127" s="883">
        <f t="shared" si="63"/>
        <v>7591.3232360000002</v>
      </c>
      <c r="N127" s="883">
        <f t="shared" si="63"/>
        <v>7767.9215531</v>
      </c>
      <c r="O127" s="883">
        <f t="shared" si="63"/>
        <v>7298.843433</v>
      </c>
      <c r="P127" s="883">
        <f t="shared" si="63"/>
        <v>8155.5120290000004</v>
      </c>
      <c r="Q127" s="180">
        <f t="shared" si="36"/>
        <v>7425.9118605166668</v>
      </c>
      <c r="R127" s="883"/>
      <c r="S127" s="883"/>
      <c r="T127" s="883"/>
      <c r="U127" s="883"/>
      <c r="V127" s="883"/>
      <c r="W127" s="883"/>
      <c r="X127" s="180"/>
      <c r="Y127" s="883"/>
      <c r="Z127" s="883"/>
      <c r="AA127" s="883"/>
      <c r="AB127" s="883"/>
      <c r="AC127" s="883"/>
      <c r="AD127" s="883"/>
      <c r="AE127" s="180"/>
      <c r="AF127" s="1389"/>
    </row>
    <row r="128" spans="1:32" s="544" customFormat="1">
      <c r="A128" s="57"/>
      <c r="B128" s="48" t="s">
        <v>873</v>
      </c>
      <c r="C128" s="882" t="s">
        <v>276</v>
      </c>
      <c r="D128" s="881">
        <f t="shared" ref="D128:I128" si="67">SUM(D129:D133)</f>
        <v>97470.353001900017</v>
      </c>
      <c r="E128" s="881">
        <f t="shared" si="67"/>
        <v>94942.774152218801</v>
      </c>
      <c r="F128" s="881">
        <f t="shared" si="67"/>
        <v>96849.214693499991</v>
      </c>
      <c r="G128" s="881">
        <f t="shared" si="67"/>
        <v>96731.031453500022</v>
      </c>
      <c r="H128" s="881">
        <f t="shared" si="67"/>
        <v>97026.656631300037</v>
      </c>
      <c r="I128" s="881">
        <f t="shared" si="67"/>
        <v>96686.971995500004</v>
      </c>
      <c r="J128" s="180">
        <f t="shared" si="34"/>
        <v>96617.83365465315</v>
      </c>
      <c r="K128" s="881">
        <f t="shared" ref="K128:P128" si="68">SUM(K129:K133)</f>
        <v>97470.353001900017</v>
      </c>
      <c r="L128" s="881">
        <f t="shared" si="68"/>
        <v>94942.774152218801</v>
      </c>
      <c r="M128" s="881">
        <f t="shared" si="68"/>
        <v>96849.214693499991</v>
      </c>
      <c r="N128" s="881">
        <f t="shared" si="68"/>
        <v>96731.031453500022</v>
      </c>
      <c r="O128" s="881">
        <f t="shared" si="68"/>
        <v>97026.656631300037</v>
      </c>
      <c r="P128" s="881">
        <f t="shared" si="68"/>
        <v>96686.971995500004</v>
      </c>
      <c r="Q128" s="180">
        <f t="shared" si="36"/>
        <v>96617.83365465315</v>
      </c>
      <c r="R128" s="881">
        <f t="shared" ref="R128:W128" si="69">SUM(R129:R133)</f>
        <v>0</v>
      </c>
      <c r="S128" s="881">
        <f t="shared" si="69"/>
        <v>0</v>
      </c>
      <c r="T128" s="881">
        <f t="shared" si="69"/>
        <v>0</v>
      </c>
      <c r="U128" s="881">
        <f t="shared" si="69"/>
        <v>0</v>
      </c>
      <c r="V128" s="881">
        <f t="shared" si="69"/>
        <v>0</v>
      </c>
      <c r="W128" s="881">
        <f t="shared" si="69"/>
        <v>0</v>
      </c>
      <c r="X128" s="180">
        <f>AVERAGE(R128:W128)</f>
        <v>0</v>
      </c>
      <c r="Y128" s="881"/>
      <c r="Z128" s="881"/>
      <c r="AA128" s="881"/>
      <c r="AB128" s="881"/>
      <c r="AC128" s="881"/>
      <c r="AD128" s="881"/>
      <c r="AE128" s="180"/>
      <c r="AF128" s="1389"/>
    </row>
    <row r="129" spans="1:32">
      <c r="A129" s="57"/>
      <c r="B129" s="48"/>
      <c r="C129" s="887" t="s">
        <v>969</v>
      </c>
      <c r="D129" s="883">
        <f t="shared" ref="D129:I129" si="70">D172</f>
        <v>0</v>
      </c>
      <c r="E129" s="883">
        <f t="shared" si="70"/>
        <v>0</v>
      </c>
      <c r="F129" s="883">
        <f t="shared" si="70"/>
        <v>0</v>
      </c>
      <c r="G129" s="883">
        <f t="shared" si="70"/>
        <v>0</v>
      </c>
      <c r="H129" s="883">
        <f t="shared" si="70"/>
        <v>0</v>
      </c>
      <c r="I129" s="883">
        <f t="shared" si="70"/>
        <v>0</v>
      </c>
      <c r="J129" s="180">
        <f t="shared" si="34"/>
        <v>0</v>
      </c>
      <c r="K129" s="883">
        <f t="shared" ref="K129:P133" si="71">D129</f>
        <v>0</v>
      </c>
      <c r="L129" s="883">
        <f t="shared" si="71"/>
        <v>0</v>
      </c>
      <c r="M129" s="883">
        <f t="shared" si="71"/>
        <v>0</v>
      </c>
      <c r="N129" s="883">
        <f t="shared" si="71"/>
        <v>0</v>
      </c>
      <c r="O129" s="883">
        <f t="shared" si="71"/>
        <v>0</v>
      </c>
      <c r="P129" s="883">
        <f t="shared" si="71"/>
        <v>0</v>
      </c>
      <c r="Q129" s="180">
        <f t="shared" si="36"/>
        <v>0</v>
      </c>
      <c r="R129" s="883"/>
      <c r="S129" s="883"/>
      <c r="T129" s="883"/>
      <c r="U129" s="883"/>
      <c r="V129" s="883"/>
      <c r="W129" s="883"/>
      <c r="X129" s="180"/>
      <c r="Y129" s="883"/>
      <c r="Z129" s="883"/>
      <c r="AA129" s="883"/>
      <c r="AB129" s="883"/>
      <c r="AC129" s="883"/>
      <c r="AD129" s="883"/>
      <c r="AE129" s="180"/>
      <c r="AF129" s="1389"/>
    </row>
    <row r="130" spans="1:32">
      <c r="A130" s="57"/>
      <c r="B130" s="48"/>
      <c r="C130" s="887" t="s">
        <v>970</v>
      </c>
      <c r="D130" s="883">
        <f t="shared" ref="D130:I133" si="72">D173</f>
        <v>65418.861818000012</v>
      </c>
      <c r="E130" s="883">
        <f t="shared" si="72"/>
        <v>63070.739697999998</v>
      </c>
      <c r="F130" s="883">
        <f t="shared" si="72"/>
        <v>58878.196520499994</v>
      </c>
      <c r="G130" s="883">
        <f t="shared" si="72"/>
        <v>59755.803244000024</v>
      </c>
      <c r="H130" s="883">
        <f t="shared" si="72"/>
        <v>59478.521467500039</v>
      </c>
      <c r="I130" s="883">
        <f t="shared" si="72"/>
        <v>57811.732730000018</v>
      </c>
      <c r="J130" s="180">
        <f t="shared" si="34"/>
        <v>60735.642579666666</v>
      </c>
      <c r="K130" s="883">
        <f t="shared" si="71"/>
        <v>65418.861818000012</v>
      </c>
      <c r="L130" s="883">
        <f t="shared" si="71"/>
        <v>63070.739697999998</v>
      </c>
      <c r="M130" s="883">
        <f t="shared" si="71"/>
        <v>58878.196520499994</v>
      </c>
      <c r="N130" s="883">
        <f t="shared" si="71"/>
        <v>59755.803244000024</v>
      </c>
      <c r="O130" s="883">
        <f t="shared" si="71"/>
        <v>59478.521467500039</v>
      </c>
      <c r="P130" s="883">
        <f t="shared" si="71"/>
        <v>57811.732730000018</v>
      </c>
      <c r="Q130" s="180">
        <f t="shared" si="36"/>
        <v>60735.642579666666</v>
      </c>
      <c r="R130" s="883"/>
      <c r="S130" s="883"/>
      <c r="T130" s="883"/>
      <c r="U130" s="883"/>
      <c r="V130" s="883"/>
      <c r="W130" s="883"/>
      <c r="X130" s="180"/>
      <c r="Y130" s="883"/>
      <c r="Z130" s="883"/>
      <c r="AA130" s="883"/>
      <c r="AB130" s="883"/>
      <c r="AC130" s="883"/>
      <c r="AD130" s="883"/>
      <c r="AE130" s="180"/>
      <c r="AF130" s="1389"/>
    </row>
    <row r="131" spans="1:32">
      <c r="A131" s="57"/>
      <c r="B131" s="48"/>
      <c r="C131" s="887" t="s">
        <v>1011</v>
      </c>
      <c r="D131" s="883">
        <f t="shared" si="72"/>
        <v>5086.9316039999994</v>
      </c>
      <c r="E131" s="883">
        <f t="shared" si="72"/>
        <v>4788.2794169999997</v>
      </c>
      <c r="F131" s="883">
        <f t="shared" si="72"/>
        <v>5759.8150569999998</v>
      </c>
      <c r="G131" s="883">
        <f t="shared" si="72"/>
        <v>4841.883041</v>
      </c>
      <c r="H131" s="883">
        <f t="shared" si="72"/>
        <v>4659.2932677999997</v>
      </c>
      <c r="I131" s="883">
        <f t="shared" si="72"/>
        <v>5273.400936</v>
      </c>
      <c r="J131" s="180">
        <f t="shared" si="34"/>
        <v>5068.2672204666669</v>
      </c>
      <c r="K131" s="883">
        <f t="shared" si="71"/>
        <v>5086.9316039999994</v>
      </c>
      <c r="L131" s="883">
        <f t="shared" si="71"/>
        <v>4788.2794169999997</v>
      </c>
      <c r="M131" s="883">
        <f t="shared" si="71"/>
        <v>5759.8150569999998</v>
      </c>
      <c r="N131" s="883">
        <f t="shared" si="71"/>
        <v>4841.883041</v>
      </c>
      <c r="O131" s="883">
        <f t="shared" si="71"/>
        <v>4659.2932677999997</v>
      </c>
      <c r="P131" s="883">
        <f t="shared" si="71"/>
        <v>5273.400936</v>
      </c>
      <c r="Q131" s="180">
        <f t="shared" si="36"/>
        <v>5068.2672204666669</v>
      </c>
      <c r="R131" s="883"/>
      <c r="S131" s="883"/>
      <c r="T131" s="883"/>
      <c r="U131" s="883"/>
      <c r="V131" s="883"/>
      <c r="W131" s="883"/>
      <c r="X131" s="180"/>
      <c r="Y131" s="883"/>
      <c r="Z131" s="883"/>
      <c r="AA131" s="883"/>
      <c r="AB131" s="883"/>
      <c r="AC131" s="883"/>
      <c r="AD131" s="883"/>
      <c r="AE131" s="180"/>
      <c r="AF131" s="1389"/>
    </row>
    <row r="132" spans="1:32">
      <c r="A132" s="57"/>
      <c r="B132" s="48"/>
      <c r="C132" s="887" t="s">
        <v>1012</v>
      </c>
      <c r="D132" s="883">
        <f t="shared" si="72"/>
        <v>3591.2502600000003</v>
      </c>
      <c r="E132" s="883">
        <f t="shared" si="72"/>
        <v>3626.7445900000002</v>
      </c>
      <c r="F132" s="883">
        <f t="shared" si="72"/>
        <v>3649.0967800000003</v>
      </c>
      <c r="G132" s="883">
        <f t="shared" si="72"/>
        <v>3555.9530300000001</v>
      </c>
      <c r="H132" s="883">
        <f t="shared" si="72"/>
        <v>3554.8645999999999</v>
      </c>
      <c r="I132" s="883">
        <f t="shared" si="72"/>
        <v>3504.6412799999998</v>
      </c>
      <c r="J132" s="180">
        <f t="shared" si="34"/>
        <v>3580.4250900000002</v>
      </c>
      <c r="K132" s="883">
        <f t="shared" si="71"/>
        <v>3591.2502600000003</v>
      </c>
      <c r="L132" s="883">
        <f t="shared" si="71"/>
        <v>3626.7445900000002</v>
      </c>
      <c r="M132" s="883">
        <f t="shared" si="71"/>
        <v>3649.0967800000003</v>
      </c>
      <c r="N132" s="883">
        <f t="shared" si="71"/>
        <v>3555.9530300000001</v>
      </c>
      <c r="O132" s="883">
        <f t="shared" si="71"/>
        <v>3554.8645999999999</v>
      </c>
      <c r="P132" s="883">
        <f t="shared" si="71"/>
        <v>3504.6412799999998</v>
      </c>
      <c r="Q132" s="180">
        <f t="shared" si="36"/>
        <v>3580.4250900000002</v>
      </c>
      <c r="R132" s="883"/>
      <c r="S132" s="883"/>
      <c r="T132" s="883"/>
      <c r="U132" s="883"/>
      <c r="V132" s="883"/>
      <c r="W132" s="883"/>
      <c r="X132" s="180"/>
      <c r="Y132" s="883"/>
      <c r="Z132" s="883"/>
      <c r="AA132" s="883"/>
      <c r="AB132" s="883"/>
      <c r="AC132" s="883"/>
      <c r="AD132" s="883"/>
      <c r="AE132" s="180"/>
      <c r="AF132" s="1389"/>
    </row>
    <row r="133" spans="1:32">
      <c r="A133" s="57"/>
      <c r="B133" s="48"/>
      <c r="C133" s="887" t="s">
        <v>1108</v>
      </c>
      <c r="D133" s="883">
        <f t="shared" si="72"/>
        <v>23373.309319900003</v>
      </c>
      <c r="E133" s="883">
        <f t="shared" si="72"/>
        <v>23457.0104472188</v>
      </c>
      <c r="F133" s="883">
        <f t="shared" si="72"/>
        <v>28562.106335999997</v>
      </c>
      <c r="G133" s="883">
        <f t="shared" si="72"/>
        <v>28577.392138499999</v>
      </c>
      <c r="H133" s="883">
        <f t="shared" si="72"/>
        <v>29333.977296000001</v>
      </c>
      <c r="I133" s="883">
        <f t="shared" si="72"/>
        <v>30097.197049499991</v>
      </c>
      <c r="J133" s="180">
        <f t="shared" si="34"/>
        <v>27233.498764519798</v>
      </c>
      <c r="K133" s="883">
        <f t="shared" si="71"/>
        <v>23373.309319900003</v>
      </c>
      <c r="L133" s="883">
        <f t="shared" si="71"/>
        <v>23457.0104472188</v>
      </c>
      <c r="M133" s="883">
        <f t="shared" si="71"/>
        <v>28562.106335999997</v>
      </c>
      <c r="N133" s="883">
        <f t="shared" si="71"/>
        <v>28577.392138499999</v>
      </c>
      <c r="O133" s="883">
        <f t="shared" si="71"/>
        <v>29333.977296000001</v>
      </c>
      <c r="P133" s="883">
        <f t="shared" si="71"/>
        <v>30097.197049499991</v>
      </c>
      <c r="Q133" s="180">
        <f t="shared" si="36"/>
        <v>27233.498764519798</v>
      </c>
      <c r="R133" s="883"/>
      <c r="S133" s="883"/>
      <c r="T133" s="883"/>
      <c r="U133" s="883"/>
      <c r="V133" s="883"/>
      <c r="W133" s="883"/>
      <c r="X133" s="180"/>
      <c r="Y133" s="883"/>
      <c r="Z133" s="883"/>
      <c r="AA133" s="883"/>
      <c r="AB133" s="883"/>
      <c r="AC133" s="883"/>
      <c r="AD133" s="883"/>
      <c r="AE133" s="180"/>
      <c r="AF133" s="1389"/>
    </row>
    <row r="134" spans="1:32">
      <c r="A134" s="57"/>
      <c r="B134" s="48"/>
      <c r="C134" s="887"/>
      <c r="D134" s="883"/>
      <c r="E134" s="883"/>
      <c r="F134" s="883"/>
      <c r="G134" s="883"/>
      <c r="H134" s="883"/>
      <c r="I134" s="883"/>
      <c r="J134" s="180"/>
      <c r="K134" s="883"/>
      <c r="L134" s="883"/>
      <c r="M134" s="883"/>
      <c r="N134" s="883"/>
      <c r="O134" s="883"/>
      <c r="P134" s="883"/>
      <c r="Q134" s="180"/>
      <c r="R134" s="883"/>
      <c r="S134" s="883"/>
      <c r="T134" s="883"/>
      <c r="U134" s="883"/>
      <c r="V134" s="883"/>
      <c r="W134" s="883"/>
      <c r="X134" s="180"/>
      <c r="Y134" s="883"/>
      <c r="Z134" s="883"/>
      <c r="AA134" s="883"/>
      <c r="AB134" s="883"/>
      <c r="AC134" s="883"/>
      <c r="AD134" s="883"/>
      <c r="AE134" s="180"/>
      <c r="AF134" s="1389"/>
    </row>
    <row r="135" spans="1:32" ht="15.75">
      <c r="A135" s="57"/>
      <c r="B135" s="48"/>
      <c r="C135" s="965" t="s">
        <v>443</v>
      </c>
      <c r="D135" s="881">
        <f t="shared" ref="D135:I135" si="73">D136+D139</f>
        <v>20837.857378800003</v>
      </c>
      <c r="E135" s="881">
        <f t="shared" si="73"/>
        <v>20725.981620999999</v>
      </c>
      <c r="F135" s="881">
        <f t="shared" si="73"/>
        <v>21372.709203999995</v>
      </c>
      <c r="G135" s="881">
        <f t="shared" si="73"/>
        <v>21517.395333500004</v>
      </c>
      <c r="H135" s="881">
        <f t="shared" si="73"/>
        <v>22057.280629599998</v>
      </c>
      <c r="I135" s="881">
        <f t="shared" si="73"/>
        <v>23040.5142103</v>
      </c>
      <c r="J135" s="180">
        <f t="shared" si="34"/>
        <v>21591.956396199999</v>
      </c>
      <c r="K135" s="881">
        <f t="shared" ref="K135:P135" si="74">K136+K139</f>
        <v>20837.857378800003</v>
      </c>
      <c r="L135" s="881">
        <f t="shared" si="74"/>
        <v>20725.981620999999</v>
      </c>
      <c r="M135" s="881">
        <f t="shared" si="74"/>
        <v>21372.709203999995</v>
      </c>
      <c r="N135" s="881">
        <f t="shared" si="74"/>
        <v>21517.395333500004</v>
      </c>
      <c r="O135" s="881">
        <f t="shared" si="74"/>
        <v>22057.280629599998</v>
      </c>
      <c r="P135" s="881">
        <f t="shared" si="74"/>
        <v>23040.5142103</v>
      </c>
      <c r="Q135" s="180">
        <f t="shared" si="36"/>
        <v>21591.956396199999</v>
      </c>
      <c r="R135" s="881">
        <f t="shared" ref="R135:W135" si="75">R136+R139</f>
        <v>625.77484800000002</v>
      </c>
      <c r="S135" s="881">
        <f t="shared" si="75"/>
        <v>601.27473600000008</v>
      </c>
      <c r="T135" s="881">
        <f t="shared" si="75"/>
        <v>599.9108040000001</v>
      </c>
      <c r="U135" s="881">
        <f t="shared" si="75"/>
        <v>632.99432400000001</v>
      </c>
      <c r="V135" s="881">
        <f t="shared" si="75"/>
        <v>631.48250399999995</v>
      </c>
      <c r="W135" s="881">
        <f t="shared" si="75"/>
        <v>623.18151599999999</v>
      </c>
      <c r="X135" s="180">
        <f>AVERAGE(R135:W135)</f>
        <v>619.1031220000001</v>
      </c>
      <c r="Y135" s="881"/>
      <c r="Z135" s="881"/>
      <c r="AA135" s="881"/>
      <c r="AB135" s="881"/>
      <c r="AC135" s="881"/>
      <c r="AD135" s="881"/>
      <c r="AE135" s="180"/>
      <c r="AF135" s="1389"/>
    </row>
    <row r="136" spans="1:32">
      <c r="A136" s="57"/>
      <c r="B136" s="48" t="s">
        <v>874</v>
      </c>
      <c r="C136" s="882" t="s">
        <v>275</v>
      </c>
      <c r="D136" s="881">
        <f t="shared" ref="D136:I136" si="76">SUM(D137:D138)</f>
        <v>647.77270799999997</v>
      </c>
      <c r="E136" s="881">
        <f t="shared" si="76"/>
        <v>602.91906000000006</v>
      </c>
      <c r="F136" s="881">
        <f t="shared" si="76"/>
        <v>622.25013599999988</v>
      </c>
      <c r="G136" s="881">
        <f t="shared" si="76"/>
        <v>621.71137199999998</v>
      </c>
      <c r="H136" s="881">
        <f t="shared" si="76"/>
        <v>641.41425599999991</v>
      </c>
      <c r="I136" s="881">
        <f t="shared" si="76"/>
        <v>636.113472</v>
      </c>
      <c r="J136" s="180">
        <f t="shared" si="34"/>
        <v>628.69683399999997</v>
      </c>
      <c r="K136" s="881">
        <f t="shared" ref="K136:P136" si="77">SUM(K137:K138)</f>
        <v>647.77270799999997</v>
      </c>
      <c r="L136" s="881">
        <f t="shared" si="77"/>
        <v>602.91906000000006</v>
      </c>
      <c r="M136" s="881">
        <f t="shared" si="77"/>
        <v>622.25013599999988</v>
      </c>
      <c r="N136" s="881">
        <f t="shared" si="77"/>
        <v>621.71137199999998</v>
      </c>
      <c r="O136" s="881">
        <f t="shared" si="77"/>
        <v>641.41425599999991</v>
      </c>
      <c r="P136" s="881">
        <f t="shared" si="77"/>
        <v>636.113472</v>
      </c>
      <c r="Q136" s="180">
        <f t="shared" si="36"/>
        <v>628.69683399999997</v>
      </c>
      <c r="R136" s="881">
        <f t="shared" ref="R136:W136" si="78">SUM(R137:R138)</f>
        <v>625.77484800000002</v>
      </c>
      <c r="S136" s="881">
        <f t="shared" si="78"/>
        <v>601.27473600000008</v>
      </c>
      <c r="T136" s="881">
        <f t="shared" si="78"/>
        <v>599.9108040000001</v>
      </c>
      <c r="U136" s="881">
        <f t="shared" si="78"/>
        <v>632.99432400000001</v>
      </c>
      <c r="V136" s="881">
        <f t="shared" si="78"/>
        <v>631.48250399999995</v>
      </c>
      <c r="W136" s="881">
        <f t="shared" si="78"/>
        <v>623.18151599999999</v>
      </c>
      <c r="X136" s="180">
        <f>AVERAGE(R136:W136)</f>
        <v>619.1031220000001</v>
      </c>
      <c r="Y136" s="881"/>
      <c r="Z136" s="881"/>
      <c r="AA136" s="881"/>
      <c r="AB136" s="881"/>
      <c r="AC136" s="881"/>
      <c r="AD136" s="881"/>
      <c r="AE136" s="180"/>
      <c r="AF136" s="1389"/>
    </row>
    <row r="137" spans="1:32">
      <c r="A137" s="57"/>
      <c r="B137" s="48"/>
      <c r="C137" s="887" t="s">
        <v>972</v>
      </c>
      <c r="D137" s="883">
        <f t="shared" ref="D137:I137" si="79">D177</f>
        <v>647.77270799999997</v>
      </c>
      <c r="E137" s="883">
        <f t="shared" si="79"/>
        <v>602.91906000000006</v>
      </c>
      <c r="F137" s="883">
        <f t="shared" si="79"/>
        <v>622.25013599999988</v>
      </c>
      <c r="G137" s="883">
        <f t="shared" si="79"/>
        <v>621.71137199999998</v>
      </c>
      <c r="H137" s="883">
        <f t="shared" si="79"/>
        <v>641.41425599999991</v>
      </c>
      <c r="I137" s="883">
        <f t="shared" si="79"/>
        <v>636.113472</v>
      </c>
      <c r="J137" s="180">
        <f t="shared" si="34"/>
        <v>628.69683399999997</v>
      </c>
      <c r="K137" s="883">
        <f t="shared" ref="K137:P138" si="80">D137</f>
        <v>647.77270799999997</v>
      </c>
      <c r="L137" s="883">
        <f t="shared" si="80"/>
        <v>602.91906000000006</v>
      </c>
      <c r="M137" s="883">
        <f t="shared" si="80"/>
        <v>622.25013599999988</v>
      </c>
      <c r="N137" s="883">
        <f t="shared" si="80"/>
        <v>621.71137199999998</v>
      </c>
      <c r="O137" s="883">
        <f t="shared" si="80"/>
        <v>641.41425599999991</v>
      </c>
      <c r="P137" s="883">
        <f t="shared" si="80"/>
        <v>636.113472</v>
      </c>
      <c r="Q137" s="180">
        <f t="shared" si="36"/>
        <v>628.69683399999997</v>
      </c>
      <c r="R137" s="883">
        <f t="shared" ref="R137:W137" si="81">D$178</f>
        <v>625.77484800000002</v>
      </c>
      <c r="S137" s="883">
        <f t="shared" si="81"/>
        <v>601.27473600000008</v>
      </c>
      <c r="T137" s="883">
        <f t="shared" si="81"/>
        <v>599.9108040000001</v>
      </c>
      <c r="U137" s="883">
        <f t="shared" si="81"/>
        <v>632.99432400000001</v>
      </c>
      <c r="V137" s="883">
        <f t="shared" si="81"/>
        <v>631.48250399999995</v>
      </c>
      <c r="W137" s="883">
        <f t="shared" si="81"/>
        <v>623.18151599999999</v>
      </c>
      <c r="X137" s="180">
        <f>AVERAGE(R137:W137)</f>
        <v>619.1031220000001</v>
      </c>
      <c r="Y137" s="883"/>
      <c r="Z137" s="883"/>
      <c r="AA137" s="883"/>
      <c r="AB137" s="883"/>
      <c r="AC137" s="883"/>
      <c r="AD137" s="883"/>
      <c r="AE137" s="180"/>
      <c r="AF137" s="1389"/>
    </row>
    <row r="138" spans="1:32">
      <c r="A138" s="57"/>
      <c r="B138" s="48"/>
      <c r="C138" s="887"/>
      <c r="D138" s="883"/>
      <c r="E138" s="883"/>
      <c r="F138" s="883"/>
      <c r="G138" s="883"/>
      <c r="H138" s="883"/>
      <c r="I138" s="883"/>
      <c r="J138" s="180"/>
      <c r="K138" s="883">
        <f t="shared" si="80"/>
        <v>0</v>
      </c>
      <c r="L138" s="883">
        <f t="shared" si="80"/>
        <v>0</v>
      </c>
      <c r="M138" s="883">
        <f t="shared" si="80"/>
        <v>0</v>
      </c>
      <c r="N138" s="883">
        <f t="shared" si="80"/>
        <v>0</v>
      </c>
      <c r="O138" s="883">
        <f t="shared" si="80"/>
        <v>0</v>
      </c>
      <c r="P138" s="883">
        <f t="shared" si="80"/>
        <v>0</v>
      </c>
      <c r="Q138" s="180"/>
      <c r="R138" s="883"/>
      <c r="S138" s="883"/>
      <c r="T138" s="883"/>
      <c r="U138" s="883"/>
      <c r="V138" s="883"/>
      <c r="W138" s="883"/>
      <c r="X138" s="180"/>
      <c r="Y138" s="883"/>
      <c r="Z138" s="883"/>
      <c r="AA138" s="883"/>
      <c r="AB138" s="883"/>
      <c r="AC138" s="883"/>
      <c r="AD138" s="883"/>
      <c r="AE138" s="180"/>
      <c r="AF138" s="1389"/>
    </row>
    <row r="139" spans="1:32">
      <c r="A139" s="57"/>
      <c r="B139" s="48" t="s">
        <v>875</v>
      </c>
      <c r="C139" s="882" t="s">
        <v>274</v>
      </c>
      <c r="D139" s="881">
        <f t="shared" ref="D139:I139" si="82">SUM(D140:D144)</f>
        <v>20190.084670800003</v>
      </c>
      <c r="E139" s="881">
        <f t="shared" si="82"/>
        <v>20123.062560999999</v>
      </c>
      <c r="F139" s="881">
        <f t="shared" si="82"/>
        <v>20750.459067999996</v>
      </c>
      <c r="G139" s="881">
        <f t="shared" si="82"/>
        <v>20895.683961500003</v>
      </c>
      <c r="H139" s="881">
        <f t="shared" si="82"/>
        <v>21415.866373599998</v>
      </c>
      <c r="I139" s="881">
        <f t="shared" si="82"/>
        <v>22404.400738299999</v>
      </c>
      <c r="J139" s="180">
        <f t="shared" si="34"/>
        <v>20963.259562200001</v>
      </c>
      <c r="K139" s="881">
        <f t="shared" ref="K139:P139" si="83">SUM(K140:K144)</f>
        <v>20190.084670800003</v>
      </c>
      <c r="L139" s="881">
        <f t="shared" si="83"/>
        <v>20123.062560999999</v>
      </c>
      <c r="M139" s="881">
        <f t="shared" si="83"/>
        <v>20750.459067999996</v>
      </c>
      <c r="N139" s="881">
        <f t="shared" si="83"/>
        <v>20895.683961500003</v>
      </c>
      <c r="O139" s="881">
        <f t="shared" si="83"/>
        <v>21415.866373599998</v>
      </c>
      <c r="P139" s="881">
        <f t="shared" si="83"/>
        <v>22404.400738299999</v>
      </c>
      <c r="Q139" s="180">
        <f t="shared" si="36"/>
        <v>20963.259562200001</v>
      </c>
      <c r="R139" s="881">
        <f t="shared" ref="R139:W139" si="84">SUM(R140:R144)</f>
        <v>0</v>
      </c>
      <c r="S139" s="881">
        <f t="shared" si="84"/>
        <v>0</v>
      </c>
      <c r="T139" s="881">
        <f t="shared" si="84"/>
        <v>0</v>
      </c>
      <c r="U139" s="881">
        <f t="shared" si="84"/>
        <v>0</v>
      </c>
      <c r="V139" s="881">
        <f t="shared" si="84"/>
        <v>0</v>
      </c>
      <c r="W139" s="881">
        <f t="shared" si="84"/>
        <v>0</v>
      </c>
      <c r="X139" s="180">
        <f>AVERAGE(R139:W139)</f>
        <v>0</v>
      </c>
      <c r="Y139" s="881"/>
      <c r="Z139" s="881"/>
      <c r="AA139" s="881"/>
      <c r="AB139" s="881"/>
      <c r="AC139" s="881"/>
      <c r="AD139" s="881"/>
      <c r="AE139" s="180"/>
      <c r="AF139" s="1389"/>
    </row>
    <row r="140" spans="1:32">
      <c r="A140" s="57"/>
      <c r="B140" s="58"/>
      <c r="C140" s="887" t="s">
        <v>969</v>
      </c>
      <c r="D140" s="883">
        <f t="shared" ref="D140:I140" si="85">D179</f>
        <v>160.06794740000001</v>
      </c>
      <c r="E140" s="883">
        <f t="shared" si="85"/>
        <v>163.02423099999999</v>
      </c>
      <c r="F140" s="883">
        <f t="shared" si="85"/>
        <v>157</v>
      </c>
      <c r="G140" s="883">
        <f t="shared" si="85"/>
        <v>163.56889340000001</v>
      </c>
      <c r="H140" s="883">
        <f t="shared" si="85"/>
        <v>156.0579376</v>
      </c>
      <c r="I140" s="883">
        <f t="shared" si="85"/>
        <v>160.36770630000001</v>
      </c>
      <c r="J140" s="180">
        <f t="shared" si="34"/>
        <v>160.01445261666666</v>
      </c>
      <c r="K140" s="883">
        <f t="shared" ref="K140:P144" si="86">D140</f>
        <v>160.06794740000001</v>
      </c>
      <c r="L140" s="883">
        <f t="shared" si="86"/>
        <v>163.02423099999999</v>
      </c>
      <c r="M140" s="883">
        <f t="shared" si="86"/>
        <v>157</v>
      </c>
      <c r="N140" s="883">
        <f t="shared" si="86"/>
        <v>163.56889340000001</v>
      </c>
      <c r="O140" s="883">
        <f t="shared" si="86"/>
        <v>156.0579376</v>
      </c>
      <c r="P140" s="883">
        <f t="shared" si="86"/>
        <v>160.36770630000001</v>
      </c>
      <c r="Q140" s="180">
        <f t="shared" si="36"/>
        <v>160.01445261666666</v>
      </c>
      <c r="R140" s="883"/>
      <c r="S140" s="883"/>
      <c r="T140" s="883"/>
      <c r="U140" s="883"/>
      <c r="V140" s="883"/>
      <c r="W140" s="883"/>
      <c r="X140" s="180"/>
      <c r="Y140" s="883"/>
      <c r="Z140" s="883"/>
      <c r="AA140" s="883"/>
      <c r="AB140" s="883"/>
      <c r="AC140" s="883"/>
      <c r="AD140" s="883"/>
      <c r="AE140" s="180"/>
      <c r="AF140" s="1389"/>
    </row>
    <row r="141" spans="1:32">
      <c r="A141" s="57"/>
      <c r="B141" s="58"/>
      <c r="C141" s="887" t="s">
        <v>970</v>
      </c>
      <c r="D141" s="883">
        <f t="shared" ref="D141:I144" si="87">D180</f>
        <v>13323.048172700002</v>
      </c>
      <c r="E141" s="883">
        <f t="shared" si="87"/>
        <v>13177.214099999999</v>
      </c>
      <c r="F141" s="883">
        <f t="shared" si="87"/>
        <v>13033.424563999997</v>
      </c>
      <c r="G141" s="883">
        <f t="shared" si="87"/>
        <v>12909.096574100002</v>
      </c>
      <c r="H141" s="883">
        <f t="shared" si="87"/>
        <v>12906.045914</v>
      </c>
      <c r="I141" s="883">
        <f t="shared" si="87"/>
        <v>13193.409701999999</v>
      </c>
      <c r="J141" s="180">
        <f t="shared" si="34"/>
        <v>13090.373171133333</v>
      </c>
      <c r="K141" s="883">
        <f t="shared" si="86"/>
        <v>13323.048172700002</v>
      </c>
      <c r="L141" s="883">
        <f t="shared" si="86"/>
        <v>13177.214099999999</v>
      </c>
      <c r="M141" s="883">
        <f t="shared" si="86"/>
        <v>13033.424563999997</v>
      </c>
      <c r="N141" s="883">
        <f t="shared" si="86"/>
        <v>12909.096574100002</v>
      </c>
      <c r="O141" s="883">
        <f t="shared" si="86"/>
        <v>12906.045914</v>
      </c>
      <c r="P141" s="883">
        <f t="shared" si="86"/>
        <v>13193.409701999999</v>
      </c>
      <c r="Q141" s="180">
        <f t="shared" si="36"/>
        <v>13090.373171133333</v>
      </c>
      <c r="R141" s="883"/>
      <c r="S141" s="883"/>
      <c r="T141" s="883"/>
      <c r="U141" s="883"/>
      <c r="V141" s="883"/>
      <c r="W141" s="883"/>
      <c r="X141" s="180"/>
      <c r="Y141" s="883"/>
      <c r="Z141" s="883"/>
      <c r="AA141" s="883"/>
      <c r="AB141" s="883"/>
      <c r="AC141" s="883"/>
      <c r="AD141" s="883"/>
      <c r="AE141" s="180"/>
      <c r="AF141" s="1389"/>
    </row>
    <row r="142" spans="1:32">
      <c r="A142" s="57"/>
      <c r="B142" s="58"/>
      <c r="C142" s="887" t="s">
        <v>1011</v>
      </c>
      <c r="D142" s="883">
        <f t="shared" si="87"/>
        <v>347.681262</v>
      </c>
      <c r="E142" s="883">
        <f t="shared" si="87"/>
        <v>362.91689399999996</v>
      </c>
      <c r="F142" s="883">
        <f t="shared" si="87"/>
        <v>339.148188</v>
      </c>
      <c r="G142" s="883">
        <f t="shared" si="87"/>
        <v>334.33499400000005</v>
      </c>
      <c r="H142" s="883">
        <f t="shared" si="87"/>
        <v>342.72206399999999</v>
      </c>
      <c r="I142" s="883">
        <f t="shared" si="87"/>
        <v>321.64259400000003</v>
      </c>
      <c r="J142" s="180">
        <f t="shared" si="34"/>
        <v>341.40766600000006</v>
      </c>
      <c r="K142" s="883">
        <f t="shared" si="86"/>
        <v>347.681262</v>
      </c>
      <c r="L142" s="883">
        <f t="shared" si="86"/>
        <v>362.91689399999996</v>
      </c>
      <c r="M142" s="883">
        <f t="shared" si="86"/>
        <v>339.148188</v>
      </c>
      <c r="N142" s="883">
        <f t="shared" si="86"/>
        <v>334.33499400000005</v>
      </c>
      <c r="O142" s="883">
        <f t="shared" si="86"/>
        <v>342.72206399999999</v>
      </c>
      <c r="P142" s="883">
        <f t="shared" si="86"/>
        <v>321.64259400000003</v>
      </c>
      <c r="Q142" s="180">
        <f t="shared" si="36"/>
        <v>341.40766600000006</v>
      </c>
      <c r="R142" s="883"/>
      <c r="S142" s="883"/>
      <c r="T142" s="883"/>
      <c r="U142" s="883"/>
      <c r="V142" s="883"/>
      <c r="W142" s="883"/>
      <c r="X142" s="180"/>
      <c r="Y142" s="883"/>
      <c r="Z142" s="883"/>
      <c r="AA142" s="883"/>
      <c r="AB142" s="883"/>
      <c r="AC142" s="883"/>
      <c r="AD142" s="883"/>
      <c r="AE142" s="180"/>
      <c r="AF142" s="1389"/>
    </row>
    <row r="143" spans="1:32">
      <c r="A143" s="57"/>
      <c r="B143" s="58"/>
      <c r="C143" s="887" t="s">
        <v>1012</v>
      </c>
      <c r="D143" s="883">
        <f t="shared" si="87"/>
        <v>2507.8290087</v>
      </c>
      <c r="E143" s="883">
        <f t="shared" si="87"/>
        <v>2529.3692720000008</v>
      </c>
      <c r="F143" s="883">
        <f t="shared" si="87"/>
        <v>2457.8310799999999</v>
      </c>
      <c r="G143" s="883">
        <f t="shared" si="87"/>
        <v>2434.5320000000002</v>
      </c>
      <c r="H143" s="883">
        <f t="shared" si="87"/>
        <v>2468.4036999999994</v>
      </c>
      <c r="I143" s="883">
        <f t="shared" si="87"/>
        <v>2374.4474139999998</v>
      </c>
      <c r="J143" s="180">
        <f t="shared" si="34"/>
        <v>2462.0687457833333</v>
      </c>
      <c r="K143" s="883">
        <f t="shared" si="86"/>
        <v>2507.8290087</v>
      </c>
      <c r="L143" s="883">
        <f t="shared" si="86"/>
        <v>2529.3692720000008</v>
      </c>
      <c r="M143" s="883">
        <f t="shared" si="86"/>
        <v>2457.8310799999999</v>
      </c>
      <c r="N143" s="883">
        <f t="shared" si="86"/>
        <v>2434.5320000000002</v>
      </c>
      <c r="O143" s="883">
        <f t="shared" si="86"/>
        <v>2468.4036999999994</v>
      </c>
      <c r="P143" s="883">
        <f t="shared" si="86"/>
        <v>2374.4474139999998</v>
      </c>
      <c r="Q143" s="180">
        <f t="shared" si="36"/>
        <v>2462.0687457833333</v>
      </c>
      <c r="R143" s="883"/>
      <c r="S143" s="883"/>
      <c r="T143" s="883"/>
      <c r="U143" s="883"/>
      <c r="V143" s="883"/>
      <c r="W143" s="883"/>
      <c r="X143" s="180"/>
      <c r="Y143" s="883"/>
      <c r="Z143" s="883"/>
      <c r="AA143" s="883"/>
      <c r="AB143" s="883"/>
      <c r="AC143" s="883"/>
      <c r="AD143" s="883"/>
      <c r="AE143" s="180"/>
      <c r="AF143" s="1389"/>
    </row>
    <row r="144" spans="1:32">
      <c r="A144" s="57"/>
      <c r="B144" s="58"/>
      <c r="C144" s="887" t="s">
        <v>1108</v>
      </c>
      <c r="D144" s="883">
        <f t="shared" si="87"/>
        <v>3851.4582800000003</v>
      </c>
      <c r="E144" s="883">
        <f t="shared" si="87"/>
        <v>3890.5380640000003</v>
      </c>
      <c r="F144" s="883">
        <f t="shared" si="87"/>
        <v>4763.0552360000001</v>
      </c>
      <c r="G144" s="883">
        <f t="shared" si="87"/>
        <v>5054.151499999999</v>
      </c>
      <c r="H144" s="883">
        <f t="shared" si="87"/>
        <v>5542.6367579999996</v>
      </c>
      <c r="I144" s="883">
        <f t="shared" si="87"/>
        <v>6354.5333220000002</v>
      </c>
      <c r="J144" s="180">
        <f t="shared" si="34"/>
        <v>4909.3955266666662</v>
      </c>
      <c r="K144" s="883">
        <f t="shared" si="86"/>
        <v>3851.4582800000003</v>
      </c>
      <c r="L144" s="883">
        <f t="shared" si="86"/>
        <v>3890.5380640000003</v>
      </c>
      <c r="M144" s="883">
        <f t="shared" si="86"/>
        <v>4763.0552360000001</v>
      </c>
      <c r="N144" s="883">
        <f t="shared" si="86"/>
        <v>5054.151499999999</v>
      </c>
      <c r="O144" s="883">
        <f t="shared" si="86"/>
        <v>5542.6367579999996</v>
      </c>
      <c r="P144" s="883">
        <f t="shared" si="86"/>
        <v>6354.5333220000002</v>
      </c>
      <c r="Q144" s="180">
        <f t="shared" si="36"/>
        <v>4909.3955266666662</v>
      </c>
      <c r="R144" s="883"/>
      <c r="S144" s="883"/>
      <c r="T144" s="883"/>
      <c r="U144" s="883"/>
      <c r="V144" s="883"/>
      <c r="W144" s="883"/>
      <c r="X144" s="180"/>
      <c r="Y144" s="883"/>
      <c r="Z144" s="883"/>
      <c r="AA144" s="883"/>
      <c r="AB144" s="883"/>
      <c r="AC144" s="883"/>
      <c r="AD144" s="883"/>
      <c r="AE144" s="180"/>
      <c r="AF144" s="1389"/>
    </row>
    <row r="145" spans="1:32">
      <c r="A145" s="57"/>
      <c r="B145" s="58"/>
      <c r="C145" s="887"/>
      <c r="D145" s="883"/>
      <c r="E145" s="883"/>
      <c r="F145" s="883"/>
      <c r="G145" s="883"/>
      <c r="H145" s="883"/>
      <c r="I145" s="883"/>
      <c r="J145" s="180"/>
      <c r="K145" s="883"/>
      <c r="L145" s="883"/>
      <c r="M145" s="883"/>
      <c r="N145" s="883"/>
      <c r="O145" s="883"/>
      <c r="P145" s="883"/>
      <c r="Q145" s="180"/>
      <c r="R145" s="883"/>
      <c r="S145" s="883"/>
      <c r="T145" s="883"/>
      <c r="U145" s="883"/>
      <c r="V145" s="883"/>
      <c r="W145" s="883"/>
      <c r="X145" s="180"/>
      <c r="Y145" s="883"/>
      <c r="Z145" s="883"/>
      <c r="AA145" s="883"/>
      <c r="AB145" s="883"/>
      <c r="AC145" s="883"/>
      <c r="AD145" s="883"/>
      <c r="AE145" s="180"/>
      <c r="AF145" s="1389"/>
    </row>
    <row r="146" spans="1:32">
      <c r="A146" s="57"/>
      <c r="B146" s="58"/>
      <c r="C146" s="880" t="s">
        <v>112</v>
      </c>
      <c r="D146" s="881">
        <f t="shared" ref="D146:I146" si="88">D114+D122+D135</f>
        <v>166258.66476666791</v>
      </c>
      <c r="E146" s="881">
        <f t="shared" si="88"/>
        <v>161866.70589601877</v>
      </c>
      <c r="F146" s="881">
        <f t="shared" si="88"/>
        <v>167838.97260552927</v>
      </c>
      <c r="G146" s="881">
        <f t="shared" si="88"/>
        <v>168562.85253226102</v>
      </c>
      <c r="H146" s="881">
        <f t="shared" si="88"/>
        <v>168968.04421856243</v>
      </c>
      <c r="I146" s="881">
        <f t="shared" si="88"/>
        <v>169596.5380567</v>
      </c>
      <c r="J146" s="180">
        <f t="shared" si="34"/>
        <v>167181.96301262322</v>
      </c>
      <c r="K146" s="881">
        <f t="shared" ref="K146:P146" si="89">K114+K122+K135</f>
        <v>166258.66476666791</v>
      </c>
      <c r="L146" s="881">
        <f t="shared" si="89"/>
        <v>161866.70589601877</v>
      </c>
      <c r="M146" s="881">
        <f t="shared" si="89"/>
        <v>167838.97260552927</v>
      </c>
      <c r="N146" s="881">
        <f t="shared" si="89"/>
        <v>168562.85253226102</v>
      </c>
      <c r="O146" s="881">
        <f t="shared" si="89"/>
        <v>168968.04421856243</v>
      </c>
      <c r="P146" s="881">
        <f t="shared" si="89"/>
        <v>169596.5380567</v>
      </c>
      <c r="Q146" s="180">
        <f t="shared" si="36"/>
        <v>167181.96301262322</v>
      </c>
      <c r="R146" s="881">
        <f t="shared" ref="R146:W146" si="90">R114+R122+R135</f>
        <v>39253.425113000005</v>
      </c>
      <c r="S146" s="881">
        <f t="shared" si="90"/>
        <v>38483.368150800001</v>
      </c>
      <c r="T146" s="881">
        <f t="shared" si="90"/>
        <v>40575.671912999998</v>
      </c>
      <c r="U146" s="881">
        <f t="shared" si="90"/>
        <v>39504.952080000003</v>
      </c>
      <c r="V146" s="881">
        <f t="shared" si="90"/>
        <v>40865.126910299994</v>
      </c>
      <c r="W146" s="881">
        <f t="shared" si="90"/>
        <v>39023.555007499999</v>
      </c>
      <c r="X146" s="180">
        <f>AVERAGE(R146:W146)</f>
        <v>39617.683195766665</v>
      </c>
      <c r="Y146" s="881"/>
      <c r="Z146" s="881"/>
      <c r="AA146" s="881"/>
      <c r="AB146" s="881"/>
      <c r="AC146" s="881"/>
      <c r="AD146" s="881"/>
      <c r="AE146" s="180"/>
      <c r="AF146" s="1389"/>
    </row>
    <row r="149" spans="1:32">
      <c r="C149" s="179" t="s">
        <v>112</v>
      </c>
      <c r="D149" s="180">
        <f t="shared" ref="D149:X149" si="91">D146+D107</f>
        <v>522182.66476666788</v>
      </c>
      <c r="E149" s="180">
        <f t="shared" si="91"/>
        <v>525867.70589601877</v>
      </c>
      <c r="F149" s="180">
        <f t="shared" si="91"/>
        <v>528880.97260552924</v>
      </c>
      <c r="G149" s="180">
        <f t="shared" si="91"/>
        <v>523610.85253226105</v>
      </c>
      <c r="H149" s="180">
        <f t="shared" si="91"/>
        <v>525730.04421856243</v>
      </c>
      <c r="I149" s="180">
        <f t="shared" si="91"/>
        <v>522893.53805670002</v>
      </c>
      <c r="J149" s="180">
        <f t="shared" si="91"/>
        <v>524860.96301262325</v>
      </c>
      <c r="K149" s="180">
        <f t="shared" si="91"/>
        <v>522182.66476666788</v>
      </c>
      <c r="L149" s="180">
        <f t="shared" si="91"/>
        <v>525867.70589601877</v>
      </c>
      <c r="M149" s="180">
        <f t="shared" si="91"/>
        <v>528880.97260552924</v>
      </c>
      <c r="N149" s="180">
        <f t="shared" si="91"/>
        <v>523610.85253226105</v>
      </c>
      <c r="O149" s="180">
        <f t="shared" si="91"/>
        <v>525730.04421856243</v>
      </c>
      <c r="P149" s="180">
        <f t="shared" si="91"/>
        <v>522893.53805670002</v>
      </c>
      <c r="Q149" s="180">
        <f t="shared" si="91"/>
        <v>524860.96301262325</v>
      </c>
      <c r="R149" s="180">
        <f t="shared" si="91"/>
        <v>85074.425113000005</v>
      </c>
      <c r="S149" s="180">
        <f t="shared" si="91"/>
        <v>84735.368150800001</v>
      </c>
      <c r="T149" s="180">
        <f t="shared" si="91"/>
        <v>86602.671912999998</v>
      </c>
      <c r="U149" s="180">
        <f t="shared" si="91"/>
        <v>76300.952080000003</v>
      </c>
      <c r="V149" s="180">
        <f t="shared" si="91"/>
        <v>84397.126910299994</v>
      </c>
      <c r="W149" s="180">
        <f t="shared" si="91"/>
        <v>81179.555007499992</v>
      </c>
      <c r="X149" s="180">
        <f t="shared" si="91"/>
        <v>83048.34986243333</v>
      </c>
      <c r="Y149" s="1032"/>
      <c r="Z149" s="1032"/>
      <c r="AA149" s="1032"/>
      <c r="AB149" s="1032"/>
      <c r="AC149" s="1032"/>
      <c r="AD149" s="1032"/>
      <c r="AE149" s="180"/>
      <c r="AF149" s="1389"/>
    </row>
    <row r="151" spans="1:32" ht="18.75">
      <c r="C151" s="59" t="s">
        <v>1254</v>
      </c>
    </row>
    <row r="153" spans="1:32">
      <c r="C153" s="37" t="s">
        <v>273</v>
      </c>
      <c r="D153" s="60"/>
      <c r="E153" s="60"/>
      <c r="F153" s="60"/>
      <c r="G153" s="60"/>
      <c r="H153" s="60"/>
      <c r="I153" s="60"/>
      <c r="J153" s="60"/>
      <c r="Q153" s="60"/>
      <c r="X153" s="60"/>
      <c r="AE153" s="60"/>
      <c r="AF153" s="60"/>
    </row>
    <row r="154" spans="1:32">
      <c r="C154" s="37" t="s">
        <v>274</v>
      </c>
      <c r="D154" s="60"/>
      <c r="E154" s="60"/>
      <c r="F154" s="60"/>
      <c r="G154" s="60"/>
      <c r="H154" s="60"/>
      <c r="I154" s="60"/>
      <c r="J154" s="60"/>
      <c r="Q154" s="60"/>
      <c r="X154" s="60"/>
      <c r="AE154" s="60"/>
      <c r="AF154" s="60"/>
    </row>
    <row r="155" spans="1:32">
      <c r="C155" s="37" t="s">
        <v>275</v>
      </c>
      <c r="D155" s="60"/>
      <c r="E155" s="60"/>
      <c r="F155" s="60"/>
      <c r="G155" s="60"/>
      <c r="H155" s="60"/>
      <c r="I155" s="60"/>
      <c r="J155" s="60"/>
      <c r="Q155" s="60"/>
      <c r="X155" s="60"/>
      <c r="AE155" s="60"/>
      <c r="AF155" s="60"/>
    </row>
    <row r="156" spans="1:32">
      <c r="C156" s="37" t="s">
        <v>276</v>
      </c>
      <c r="D156" s="60"/>
      <c r="E156" s="60"/>
      <c r="F156" s="60"/>
      <c r="G156" s="60"/>
      <c r="H156" s="60"/>
      <c r="I156" s="60"/>
      <c r="J156" s="60"/>
      <c r="Q156" s="60"/>
      <c r="X156" s="60"/>
      <c r="AE156" s="60"/>
      <c r="AF156" s="60"/>
    </row>
    <row r="157" spans="1:32">
      <c r="C157" s="37" t="s">
        <v>277</v>
      </c>
      <c r="D157" s="60"/>
      <c r="E157" s="60"/>
      <c r="F157" s="60"/>
      <c r="G157" s="60"/>
      <c r="H157" s="60"/>
      <c r="I157" s="60"/>
      <c r="J157" s="60"/>
      <c r="Q157" s="60"/>
      <c r="X157" s="60"/>
      <c r="AE157" s="60"/>
      <c r="AF157" s="60"/>
    </row>
    <row r="158" spans="1:32">
      <c r="C158" s="37" t="s">
        <v>278</v>
      </c>
      <c r="D158" s="60"/>
      <c r="E158" s="60"/>
      <c r="F158" s="60"/>
      <c r="G158" s="60"/>
      <c r="H158" s="60"/>
      <c r="I158" s="60"/>
      <c r="J158" s="60"/>
      <c r="Q158" s="60"/>
      <c r="X158" s="60"/>
      <c r="AE158" s="60"/>
      <c r="AF158" s="60"/>
    </row>
    <row r="159" spans="1:32">
      <c r="C159" s="37" t="s">
        <v>279</v>
      </c>
      <c r="D159" s="60"/>
      <c r="E159" s="60"/>
      <c r="F159" s="60"/>
      <c r="G159" s="60"/>
      <c r="H159" s="60"/>
      <c r="I159" s="60"/>
      <c r="J159" s="60"/>
      <c r="Q159" s="60"/>
      <c r="X159" s="60"/>
      <c r="AE159" s="60"/>
      <c r="AF159" s="60"/>
    </row>
    <row r="162" spans="3:32">
      <c r="C162" s="547" t="s">
        <v>711</v>
      </c>
      <c r="D162" s="581">
        <v>45658</v>
      </c>
      <c r="E162" s="581">
        <v>45689</v>
      </c>
      <c r="F162" s="581">
        <v>45717</v>
      </c>
      <c r="G162" s="581">
        <v>45748</v>
      </c>
      <c r="H162" s="581">
        <v>45778</v>
      </c>
      <c r="I162" s="581">
        <v>45809</v>
      </c>
    </row>
    <row r="163" spans="3:32">
      <c r="C163" s="74" t="s">
        <v>963</v>
      </c>
      <c r="D163" s="91">
        <v>16509.2460938</v>
      </c>
      <c r="E163" s="91">
        <v>15910.3398438</v>
      </c>
      <c r="F163" s="91">
        <v>17633.1796875</v>
      </c>
      <c r="G163" s="91">
        <v>16561.2597656</v>
      </c>
      <c r="H163" s="91">
        <v>17610.0195313</v>
      </c>
      <c r="I163" s="91">
        <v>15906.1855469</v>
      </c>
      <c r="J163" s="62">
        <f>AVERAGE(D163:I163)</f>
        <v>16688.371744816668</v>
      </c>
      <c r="Q163" s="62"/>
      <c r="X163" s="62"/>
      <c r="AE163" s="62"/>
      <c r="AF163" s="62"/>
    </row>
    <row r="164" spans="3:32">
      <c r="C164" s="548" t="s">
        <v>964</v>
      </c>
      <c r="D164" s="549">
        <v>16364.241210900002</v>
      </c>
      <c r="E164" s="549">
        <v>15962.7548828</v>
      </c>
      <c r="F164" s="549">
        <v>17647.171875</v>
      </c>
      <c r="G164" s="549">
        <v>16605.7714844</v>
      </c>
      <c r="H164" s="549">
        <v>18038.1914063</v>
      </c>
      <c r="I164" s="549">
        <v>15902.2109375</v>
      </c>
      <c r="J164" s="62">
        <f t="shared" ref="J164:J185" si="92">AVERAGE(D164:I164)</f>
        <v>16753.390299483333</v>
      </c>
      <c r="Q164" s="62"/>
      <c r="X164" s="62"/>
      <c r="AE164" s="62"/>
      <c r="AF164" s="62"/>
    </row>
    <row r="165" spans="3:32">
      <c r="C165" s="74" t="s">
        <v>806</v>
      </c>
      <c r="D165" s="91">
        <v>0</v>
      </c>
      <c r="E165" s="91">
        <v>0</v>
      </c>
      <c r="F165" s="91">
        <v>0</v>
      </c>
      <c r="G165" s="91">
        <v>0</v>
      </c>
      <c r="H165" s="91">
        <v>0</v>
      </c>
      <c r="I165" s="91">
        <v>0</v>
      </c>
      <c r="J165" s="62">
        <f t="shared" si="92"/>
        <v>0</v>
      </c>
      <c r="Q165" s="62"/>
      <c r="X165" s="62"/>
      <c r="AE165" s="62"/>
      <c r="AF165" s="62"/>
    </row>
    <row r="166" spans="3:32">
      <c r="C166" s="74" t="s">
        <v>809</v>
      </c>
      <c r="D166" s="91">
        <v>8693.8759543679007</v>
      </c>
      <c r="E166" s="91">
        <v>8291</v>
      </c>
      <c r="F166" s="91">
        <v>9207.6823425293005</v>
      </c>
      <c r="G166" s="91">
        <v>10856.715291660999</v>
      </c>
      <c r="H166" s="91">
        <v>10052.2718873624</v>
      </c>
      <c r="I166" s="91">
        <v>11213.609410000001</v>
      </c>
      <c r="J166" s="62">
        <f t="shared" si="92"/>
        <v>9719.1924809867687</v>
      </c>
      <c r="Q166" s="62"/>
      <c r="X166" s="62"/>
      <c r="AE166" s="62"/>
      <c r="AF166" s="62"/>
    </row>
    <row r="167" spans="3:32">
      <c r="C167" s="74" t="s">
        <v>807</v>
      </c>
      <c r="D167" s="91">
        <v>14503.314373799998</v>
      </c>
      <c r="E167" s="91">
        <v>13663.737730999999</v>
      </c>
      <c r="F167" s="91">
        <v>13758.252522000001</v>
      </c>
      <c r="G167" s="91">
        <v>13591.065206900003</v>
      </c>
      <c r="H167" s="91">
        <v>13437.751921999996</v>
      </c>
      <c r="I167" s="91">
        <v>13193.109880999998</v>
      </c>
      <c r="J167" s="62">
        <f t="shared" si="92"/>
        <v>13691.205272783331</v>
      </c>
      <c r="Q167" s="62"/>
      <c r="X167" s="62"/>
      <c r="AE167" s="62"/>
      <c r="AF167" s="62"/>
    </row>
    <row r="168" spans="3:32">
      <c r="C168" s="74" t="s">
        <v>974</v>
      </c>
      <c r="D168" s="91">
        <v>1149.30116</v>
      </c>
      <c r="E168" s="91">
        <v>1215.046</v>
      </c>
      <c r="F168" s="91">
        <v>1195.64004</v>
      </c>
      <c r="G168" s="91">
        <v>1304.933</v>
      </c>
      <c r="H168" s="91">
        <v>1256.82032</v>
      </c>
      <c r="I168" s="91">
        <v>1174.0565200000001</v>
      </c>
      <c r="J168" s="62">
        <f t="shared" si="92"/>
        <v>1215.9661733333335</v>
      </c>
      <c r="Q168" s="62"/>
      <c r="X168" s="62"/>
      <c r="AE168" s="62"/>
      <c r="AF168" s="62"/>
    </row>
    <row r="169" spans="3:32">
      <c r="C169" s="550" t="s">
        <v>1005</v>
      </c>
      <c r="D169" s="91">
        <v>236.00847199999998</v>
      </c>
      <c r="E169" s="91">
        <v>234.66396799999998</v>
      </c>
      <c r="F169" s="91">
        <v>230.97087999999999</v>
      </c>
      <c r="G169" s="91">
        <v>232.53092799999999</v>
      </c>
      <c r="H169" s="91">
        <v>228.39986400000001</v>
      </c>
      <c r="I169" s="91">
        <v>226.578464</v>
      </c>
      <c r="J169" s="62">
        <f t="shared" si="92"/>
        <v>231.52542933333334</v>
      </c>
      <c r="Q169" s="62"/>
      <c r="X169" s="62"/>
      <c r="AE169" s="62"/>
      <c r="AF169" s="62"/>
    </row>
    <row r="170" spans="3:32">
      <c r="C170" s="550" t="s">
        <v>1260</v>
      </c>
      <c r="D170" s="91">
        <v>6858.7083320000002</v>
      </c>
      <c r="E170" s="91">
        <v>6883.1625800000002</v>
      </c>
      <c r="F170" s="91">
        <v>7591.3232360000002</v>
      </c>
      <c r="G170" s="91">
        <v>7767.9215531</v>
      </c>
      <c r="H170" s="91">
        <v>7298.843433</v>
      </c>
      <c r="I170" s="91">
        <v>8155.5120290000004</v>
      </c>
      <c r="J170" s="62">
        <f t="shared" si="92"/>
        <v>7425.9118605166668</v>
      </c>
      <c r="Q170" s="62"/>
      <c r="X170" s="62"/>
      <c r="AE170" s="62"/>
      <c r="AF170" s="62"/>
    </row>
    <row r="171" spans="3:32" s="557" customFormat="1">
      <c r="C171" s="548" t="s">
        <v>808</v>
      </c>
      <c r="D171" s="551">
        <v>22263.409054100001</v>
      </c>
      <c r="E171" s="551">
        <v>21919.338532000002</v>
      </c>
      <c r="F171" s="551">
        <v>22328.589233999995</v>
      </c>
      <c r="G171" s="551">
        <v>22266.1862716</v>
      </c>
      <c r="H171" s="551">
        <v>22195.452999999998</v>
      </c>
      <c r="I171" s="551">
        <v>22498.162554000002</v>
      </c>
      <c r="J171" s="62">
        <f t="shared" si="92"/>
        <v>22245.189774283335</v>
      </c>
      <c r="Q171" s="62"/>
      <c r="X171" s="62"/>
      <c r="AE171" s="62"/>
      <c r="AF171" s="62"/>
    </row>
    <row r="172" spans="3:32">
      <c r="C172" s="552" t="s">
        <v>1057</v>
      </c>
      <c r="D172" s="91">
        <v>0</v>
      </c>
      <c r="E172" s="91">
        <v>0</v>
      </c>
      <c r="F172" s="91">
        <v>0</v>
      </c>
      <c r="G172" s="91">
        <v>0</v>
      </c>
      <c r="H172" s="91">
        <v>0</v>
      </c>
      <c r="I172" s="91">
        <v>0</v>
      </c>
      <c r="J172" s="62">
        <f t="shared" si="92"/>
        <v>0</v>
      </c>
      <c r="Q172" s="62"/>
      <c r="X172" s="62"/>
      <c r="AE172" s="62"/>
      <c r="AF172" s="62"/>
    </row>
    <row r="173" spans="3:32">
      <c r="C173" s="552" t="s">
        <v>1344</v>
      </c>
      <c r="D173" s="91">
        <v>65418.861818000012</v>
      </c>
      <c r="E173" s="91">
        <v>63070.739697999998</v>
      </c>
      <c r="F173" s="91">
        <v>58878.196520499994</v>
      </c>
      <c r="G173" s="91">
        <v>59755.803244000024</v>
      </c>
      <c r="H173" s="91">
        <v>59478.521467500039</v>
      </c>
      <c r="I173" s="91">
        <v>57811.732730000018</v>
      </c>
      <c r="J173" s="62">
        <f t="shared" si="92"/>
        <v>60735.642579666666</v>
      </c>
      <c r="Q173" s="62"/>
      <c r="X173" s="62"/>
      <c r="AE173" s="62"/>
      <c r="AF173" s="62"/>
    </row>
    <row r="174" spans="3:32">
      <c r="C174" s="552" t="s">
        <v>1345</v>
      </c>
      <c r="D174" s="91">
        <v>5086.9316039999994</v>
      </c>
      <c r="E174" s="91">
        <v>4788.2794169999997</v>
      </c>
      <c r="F174" s="91">
        <v>5759.8150569999998</v>
      </c>
      <c r="G174" s="91">
        <v>4841.883041</v>
      </c>
      <c r="H174" s="91">
        <v>4659.2932677999997</v>
      </c>
      <c r="I174" s="91">
        <v>5273.400936</v>
      </c>
      <c r="J174" s="62">
        <f t="shared" si="92"/>
        <v>5068.2672204666669</v>
      </c>
      <c r="Q174" s="62"/>
      <c r="X174" s="62"/>
      <c r="AE174" s="62"/>
      <c r="AF174" s="62"/>
    </row>
    <row r="175" spans="3:32">
      <c r="C175" s="552" t="s">
        <v>1346</v>
      </c>
      <c r="D175" s="91">
        <v>3591.2502600000003</v>
      </c>
      <c r="E175" s="91">
        <v>3626.7445900000002</v>
      </c>
      <c r="F175" s="91">
        <v>3649.0967800000003</v>
      </c>
      <c r="G175" s="91">
        <v>3555.9530300000001</v>
      </c>
      <c r="H175" s="91">
        <v>3554.8645999999999</v>
      </c>
      <c r="I175" s="91">
        <v>3504.6412799999998</v>
      </c>
      <c r="J175" s="62">
        <f t="shared" si="92"/>
        <v>3580.4250900000002</v>
      </c>
      <c r="Q175" s="62"/>
      <c r="X175" s="62"/>
      <c r="AE175" s="62"/>
      <c r="AF175" s="62"/>
    </row>
    <row r="176" spans="3:32">
      <c r="C176" s="552" t="s">
        <v>1347</v>
      </c>
      <c r="D176" s="91">
        <v>23373.309319900003</v>
      </c>
      <c r="E176" s="91">
        <v>23457.0104472188</v>
      </c>
      <c r="F176" s="91">
        <v>28562.106335999997</v>
      </c>
      <c r="G176" s="91">
        <v>28577.392138499999</v>
      </c>
      <c r="H176" s="91">
        <v>29333.977296000001</v>
      </c>
      <c r="I176" s="91">
        <v>30097.197049499991</v>
      </c>
      <c r="J176" s="62">
        <f t="shared" si="92"/>
        <v>27233.498764519798</v>
      </c>
      <c r="Q176" s="62"/>
      <c r="X176" s="62"/>
      <c r="AE176" s="62"/>
      <c r="AF176" s="62"/>
    </row>
    <row r="177" spans="2:32">
      <c r="C177" s="74" t="s">
        <v>928</v>
      </c>
      <c r="D177" s="91">
        <v>647.77270799999997</v>
      </c>
      <c r="E177" s="91">
        <v>602.91906000000006</v>
      </c>
      <c r="F177" s="91">
        <v>622.25013599999988</v>
      </c>
      <c r="G177" s="91">
        <v>621.71137199999998</v>
      </c>
      <c r="H177" s="91">
        <v>641.41425599999991</v>
      </c>
      <c r="I177" s="91">
        <v>636.113472</v>
      </c>
      <c r="J177" s="62">
        <f t="shared" si="92"/>
        <v>628.69683399999997</v>
      </c>
      <c r="Q177" s="62"/>
      <c r="X177" s="62"/>
      <c r="AE177" s="62"/>
      <c r="AF177" s="62"/>
    </row>
    <row r="178" spans="2:32" s="557" customFormat="1">
      <c r="C178" s="548" t="s">
        <v>929</v>
      </c>
      <c r="D178" s="551">
        <v>625.77484800000002</v>
      </c>
      <c r="E178" s="551">
        <v>601.27473600000008</v>
      </c>
      <c r="F178" s="551">
        <v>599.9108040000001</v>
      </c>
      <c r="G178" s="551">
        <v>632.99432400000001</v>
      </c>
      <c r="H178" s="551">
        <v>631.48250399999995</v>
      </c>
      <c r="I178" s="551">
        <v>623.18151599999999</v>
      </c>
      <c r="J178" s="62">
        <f t="shared" si="92"/>
        <v>619.1031220000001</v>
      </c>
      <c r="Q178" s="62"/>
      <c r="X178" s="62"/>
      <c r="AE178" s="62"/>
      <c r="AF178" s="62"/>
    </row>
    <row r="179" spans="2:32">
      <c r="C179" s="74" t="s">
        <v>1006</v>
      </c>
      <c r="D179" s="91">
        <v>160.06794740000001</v>
      </c>
      <c r="E179" s="91">
        <v>163.02423099999999</v>
      </c>
      <c r="F179" s="91">
        <v>157</v>
      </c>
      <c r="G179" s="91">
        <v>163.56889340000001</v>
      </c>
      <c r="H179" s="91">
        <v>156.0579376</v>
      </c>
      <c r="I179" s="91">
        <v>160.36770630000001</v>
      </c>
      <c r="J179" s="62">
        <f t="shared" si="92"/>
        <v>160.01445261666666</v>
      </c>
      <c r="Q179" s="62"/>
      <c r="X179" s="62"/>
      <c r="AE179" s="62"/>
      <c r="AF179" s="62"/>
    </row>
    <row r="180" spans="2:32">
      <c r="C180" s="74" t="s">
        <v>1348</v>
      </c>
      <c r="D180" s="91">
        <v>13323.048172700002</v>
      </c>
      <c r="E180" s="91">
        <v>13177.214099999999</v>
      </c>
      <c r="F180" s="91">
        <v>13033.424563999997</v>
      </c>
      <c r="G180" s="91">
        <v>12909.096574100002</v>
      </c>
      <c r="H180" s="91">
        <v>12906.045914</v>
      </c>
      <c r="I180" s="91">
        <v>13193.409701999999</v>
      </c>
      <c r="J180" s="62">
        <f t="shared" si="92"/>
        <v>13090.373171133333</v>
      </c>
      <c r="Q180" s="62"/>
      <c r="X180" s="62"/>
      <c r="AE180" s="62"/>
      <c r="AF180" s="62"/>
    </row>
    <row r="181" spans="2:32">
      <c r="C181" s="74" t="s">
        <v>1349</v>
      </c>
      <c r="D181" s="91">
        <v>347.681262</v>
      </c>
      <c r="E181" s="91">
        <v>362.91689399999996</v>
      </c>
      <c r="F181" s="91">
        <v>339.148188</v>
      </c>
      <c r="G181" s="91">
        <v>334.33499400000005</v>
      </c>
      <c r="H181" s="91">
        <v>342.72206399999999</v>
      </c>
      <c r="I181" s="91">
        <v>321.64259400000003</v>
      </c>
      <c r="J181" s="62">
        <f t="shared" si="92"/>
        <v>341.40766600000006</v>
      </c>
      <c r="Q181" s="62"/>
      <c r="X181" s="62"/>
      <c r="AE181" s="62"/>
      <c r="AF181" s="62"/>
    </row>
    <row r="182" spans="2:32">
      <c r="C182" s="74" t="s">
        <v>1350</v>
      </c>
      <c r="D182" s="91">
        <v>2507.8290087</v>
      </c>
      <c r="E182" s="91">
        <v>2529.3692720000008</v>
      </c>
      <c r="F182" s="91">
        <v>2457.8310799999999</v>
      </c>
      <c r="G182" s="91">
        <v>2434.5320000000002</v>
      </c>
      <c r="H182" s="91">
        <v>2468.4036999999994</v>
      </c>
      <c r="I182" s="91">
        <v>2374.4474139999998</v>
      </c>
      <c r="J182" s="62">
        <f t="shared" si="92"/>
        <v>2462.0687457833333</v>
      </c>
      <c r="Q182" s="62"/>
      <c r="X182" s="62"/>
      <c r="AE182" s="62"/>
      <c r="AF182" s="62"/>
    </row>
    <row r="183" spans="2:32">
      <c r="C183" s="74" t="s">
        <v>1350</v>
      </c>
      <c r="D183" s="91">
        <v>3851.4582800000003</v>
      </c>
      <c r="E183" s="91">
        <v>3890.5380640000003</v>
      </c>
      <c r="F183" s="91">
        <v>4763.0552360000001</v>
      </c>
      <c r="G183" s="91">
        <v>5054.151499999999</v>
      </c>
      <c r="H183" s="91">
        <v>5542.6367579999996</v>
      </c>
      <c r="I183" s="91">
        <v>6354.5333220000002</v>
      </c>
      <c r="J183" s="62">
        <f t="shared" si="92"/>
        <v>4909.3955266666662</v>
      </c>
      <c r="Q183" s="62"/>
      <c r="X183" s="62"/>
      <c r="AE183" s="62"/>
      <c r="AF183" s="62"/>
    </row>
    <row r="184" spans="2:32">
      <c r="C184" s="553" t="s">
        <v>975</v>
      </c>
      <c r="D184" s="92">
        <f t="shared" ref="D184:I184" si="93">SUM(D163:D183)-D185</f>
        <v>166258.66476666796</v>
      </c>
      <c r="E184" s="92">
        <f t="shared" si="93"/>
        <v>161866.70589601877</v>
      </c>
      <c r="F184" s="92">
        <f t="shared" si="93"/>
        <v>167838.97260552924</v>
      </c>
      <c r="G184" s="92">
        <f t="shared" si="93"/>
        <v>168562.85253226099</v>
      </c>
      <c r="H184" s="92">
        <f t="shared" si="93"/>
        <v>168968.04421856243</v>
      </c>
      <c r="I184" s="92">
        <f t="shared" si="93"/>
        <v>169596.53805670002</v>
      </c>
      <c r="J184" s="62">
        <f t="shared" si="92"/>
        <v>167181.96301262322</v>
      </c>
      <c r="Q184" s="62"/>
      <c r="X184" s="62"/>
      <c r="AE184" s="62"/>
      <c r="AF184" s="62"/>
    </row>
    <row r="185" spans="2:32">
      <c r="C185" s="554" t="s">
        <v>976</v>
      </c>
      <c r="D185" s="582">
        <f t="shared" ref="D185:I185" si="94">SUM(D164,D171,D178)</f>
        <v>39253.425113000005</v>
      </c>
      <c r="E185" s="582">
        <f t="shared" si="94"/>
        <v>38483.368150800001</v>
      </c>
      <c r="F185" s="582">
        <f t="shared" si="94"/>
        <v>40575.671912999998</v>
      </c>
      <c r="G185" s="582">
        <f t="shared" si="94"/>
        <v>39504.952080000003</v>
      </c>
      <c r="H185" s="582">
        <f t="shared" si="94"/>
        <v>40865.126910299994</v>
      </c>
      <c r="I185" s="582">
        <f t="shared" si="94"/>
        <v>39023.555007499999</v>
      </c>
      <c r="J185" s="62">
        <f t="shared" si="92"/>
        <v>39617.683195766665</v>
      </c>
      <c r="Q185" s="62"/>
      <c r="X185" s="62"/>
      <c r="AE185" s="62"/>
      <c r="AF185" s="62"/>
    </row>
    <row r="186" spans="2:32">
      <c r="C186" s="797"/>
      <c r="D186" s="578">
        <f t="shared" ref="D186:J186" si="95">D184-D146</f>
        <v>0</v>
      </c>
      <c r="E186" s="578">
        <f t="shared" si="95"/>
        <v>0</v>
      </c>
      <c r="F186" s="578">
        <f t="shared" si="95"/>
        <v>0</v>
      </c>
      <c r="G186" s="578">
        <f t="shared" si="95"/>
        <v>0</v>
      </c>
      <c r="H186" s="578">
        <f t="shared" si="95"/>
        <v>0</v>
      </c>
      <c r="I186" s="578">
        <f t="shared" si="95"/>
        <v>0</v>
      </c>
      <c r="J186" s="578">
        <f t="shared" si="95"/>
        <v>0</v>
      </c>
      <c r="Q186" s="798"/>
      <c r="X186" s="798"/>
      <c r="AE186" s="798"/>
      <c r="AF186" s="798"/>
    </row>
    <row r="187" spans="2:32">
      <c r="C187" s="797"/>
      <c r="D187" s="578">
        <f t="shared" ref="D187:J187" si="96">D185-R146</f>
        <v>0</v>
      </c>
      <c r="E187" s="578">
        <f t="shared" si="96"/>
        <v>0</v>
      </c>
      <c r="F187" s="578">
        <f t="shared" si="96"/>
        <v>0</v>
      </c>
      <c r="G187" s="578">
        <f t="shared" si="96"/>
        <v>0</v>
      </c>
      <c r="H187" s="578">
        <f t="shared" si="96"/>
        <v>0</v>
      </c>
      <c r="I187" s="578">
        <f t="shared" si="96"/>
        <v>0</v>
      </c>
      <c r="J187" s="578">
        <f t="shared" si="96"/>
        <v>0</v>
      </c>
      <c r="Q187" s="798"/>
      <c r="X187" s="798"/>
      <c r="AE187" s="798"/>
      <c r="AF187" s="798"/>
    </row>
    <row r="188" spans="2:32">
      <c r="D188" s="583"/>
      <c r="E188" s="583"/>
      <c r="F188" s="583"/>
      <c r="G188" s="583"/>
      <c r="H188" s="583"/>
      <c r="I188" s="583"/>
    </row>
    <row r="189" spans="2:32">
      <c r="D189" s="583"/>
      <c r="E189" s="583"/>
      <c r="F189" s="583"/>
      <c r="G189" s="583"/>
      <c r="H189" s="583"/>
      <c r="I189" s="583"/>
    </row>
    <row r="190" spans="2:32" s="63" customFormat="1" ht="15">
      <c r="B190" s="48" t="s">
        <v>902</v>
      </c>
      <c r="C190" s="64"/>
      <c r="D190" s="64">
        <f t="shared" ref="D190:I199" si="97">SUMIF($B$4:$B$146,$B190,D$4:D$146)</f>
        <v>0</v>
      </c>
      <c r="E190" s="64">
        <f t="shared" si="97"/>
        <v>0</v>
      </c>
      <c r="F190" s="64">
        <f t="shared" si="97"/>
        <v>0</v>
      </c>
      <c r="G190" s="64">
        <f t="shared" si="97"/>
        <v>0</v>
      </c>
      <c r="H190" s="64">
        <f t="shared" si="97"/>
        <v>0</v>
      </c>
      <c r="I190" s="64">
        <f t="shared" si="97"/>
        <v>0</v>
      </c>
      <c r="J190" s="65">
        <f>AVERAGE(D190:I190)</f>
        <v>0</v>
      </c>
      <c r="Q190" s="65"/>
      <c r="X190" s="65"/>
      <c r="AE190" s="65"/>
      <c r="AF190" s="65"/>
    </row>
    <row r="191" spans="2:32" s="63" customFormat="1" ht="15">
      <c r="B191" s="48" t="s">
        <v>751</v>
      </c>
      <c r="C191" s="64"/>
      <c r="D191" s="64">
        <f t="shared" si="97"/>
        <v>0</v>
      </c>
      <c r="E191" s="64">
        <f t="shared" si="97"/>
        <v>0</v>
      </c>
      <c r="F191" s="64">
        <f t="shared" si="97"/>
        <v>0</v>
      </c>
      <c r="G191" s="64">
        <f t="shared" si="97"/>
        <v>0</v>
      </c>
      <c r="H191" s="64">
        <f t="shared" si="97"/>
        <v>0</v>
      </c>
      <c r="I191" s="64">
        <f t="shared" si="97"/>
        <v>0</v>
      </c>
      <c r="J191" s="65">
        <f t="shared" ref="J191:J207" si="98">AVERAGE(D191:I191)</f>
        <v>0</v>
      </c>
      <c r="Q191" s="65"/>
      <c r="X191" s="65"/>
      <c r="AE191" s="65"/>
      <c r="AF191" s="65"/>
    </row>
    <row r="192" spans="2:32" s="63" customFormat="1" ht="15">
      <c r="B192" s="48" t="s">
        <v>750</v>
      </c>
      <c r="C192" s="64"/>
      <c r="D192" s="64">
        <f t="shared" si="97"/>
        <v>0</v>
      </c>
      <c r="E192" s="64">
        <f t="shared" si="97"/>
        <v>0</v>
      </c>
      <c r="F192" s="64">
        <f t="shared" si="97"/>
        <v>0</v>
      </c>
      <c r="G192" s="64">
        <f t="shared" si="97"/>
        <v>0</v>
      </c>
      <c r="H192" s="64">
        <f t="shared" si="97"/>
        <v>0</v>
      </c>
      <c r="I192" s="64">
        <f t="shared" si="97"/>
        <v>0</v>
      </c>
      <c r="J192" s="65">
        <f t="shared" si="98"/>
        <v>0</v>
      </c>
      <c r="Q192" s="65"/>
      <c r="X192" s="65"/>
      <c r="AE192" s="65"/>
      <c r="AF192" s="65"/>
    </row>
    <row r="193" spans="2:32" s="63" customFormat="1" ht="15">
      <c r="B193" s="48" t="s">
        <v>749</v>
      </c>
      <c r="C193" s="64"/>
      <c r="D193" s="64">
        <f t="shared" si="97"/>
        <v>0</v>
      </c>
      <c r="E193" s="64">
        <f t="shared" si="97"/>
        <v>0</v>
      </c>
      <c r="F193" s="64">
        <f t="shared" si="97"/>
        <v>0</v>
      </c>
      <c r="G193" s="64">
        <f t="shared" si="97"/>
        <v>0</v>
      </c>
      <c r="H193" s="64">
        <f t="shared" si="97"/>
        <v>0</v>
      </c>
      <c r="I193" s="64">
        <f t="shared" si="97"/>
        <v>0</v>
      </c>
      <c r="J193" s="65">
        <f t="shared" si="98"/>
        <v>0</v>
      </c>
      <c r="Q193" s="65"/>
      <c r="X193" s="65"/>
      <c r="AE193" s="65"/>
      <c r="AF193" s="65"/>
    </row>
    <row r="194" spans="2:32" s="63" customFormat="1" ht="15">
      <c r="B194" s="48" t="s">
        <v>1176</v>
      </c>
      <c r="C194" s="64"/>
      <c r="D194" s="64">
        <f t="shared" si="97"/>
        <v>0</v>
      </c>
      <c r="E194" s="64">
        <f t="shared" si="97"/>
        <v>0</v>
      </c>
      <c r="F194" s="64">
        <f t="shared" si="97"/>
        <v>0</v>
      </c>
      <c r="G194" s="64">
        <f t="shared" si="97"/>
        <v>0</v>
      </c>
      <c r="H194" s="64">
        <f t="shared" si="97"/>
        <v>0</v>
      </c>
      <c r="I194" s="64">
        <f t="shared" si="97"/>
        <v>0</v>
      </c>
      <c r="J194" s="65">
        <f t="shared" si="98"/>
        <v>0</v>
      </c>
      <c r="Q194" s="65"/>
      <c r="X194" s="65"/>
      <c r="AE194" s="65"/>
      <c r="AF194" s="65"/>
    </row>
    <row r="195" spans="2:32" s="63" customFormat="1" ht="15">
      <c r="B195" s="48" t="s">
        <v>274</v>
      </c>
      <c r="C195" s="64"/>
      <c r="D195" s="64">
        <f t="shared" si="97"/>
        <v>226866</v>
      </c>
      <c r="E195" s="64">
        <f t="shared" si="97"/>
        <v>234562</v>
      </c>
      <c r="F195" s="64">
        <f t="shared" si="97"/>
        <v>232900</v>
      </c>
      <c r="G195" s="64">
        <f t="shared" si="97"/>
        <v>233400</v>
      </c>
      <c r="H195" s="64">
        <f t="shared" si="97"/>
        <v>233010</v>
      </c>
      <c r="I195" s="64">
        <f t="shared" si="97"/>
        <v>230497</v>
      </c>
      <c r="J195" s="65">
        <f t="shared" si="98"/>
        <v>231872.5</v>
      </c>
      <c r="Q195" s="65"/>
      <c r="X195" s="65"/>
      <c r="AE195" s="65"/>
      <c r="AF195" s="65"/>
    </row>
    <row r="196" spans="2:32" s="63" customFormat="1" ht="15">
      <c r="B196" s="48" t="s">
        <v>275</v>
      </c>
      <c r="C196" s="64"/>
      <c r="D196" s="64">
        <f t="shared" si="97"/>
        <v>5184</v>
      </c>
      <c r="E196" s="64">
        <f t="shared" si="97"/>
        <v>5220</v>
      </c>
      <c r="F196" s="64">
        <f t="shared" si="97"/>
        <v>5209</v>
      </c>
      <c r="G196" s="64">
        <f t="shared" si="97"/>
        <v>5142</v>
      </c>
      <c r="H196" s="64">
        <f t="shared" si="97"/>
        <v>5439</v>
      </c>
      <c r="I196" s="64">
        <f t="shared" si="97"/>
        <v>5602</v>
      </c>
      <c r="J196" s="65">
        <f t="shared" si="98"/>
        <v>5299.333333333333</v>
      </c>
      <c r="Q196" s="65"/>
      <c r="X196" s="65"/>
      <c r="AE196" s="65"/>
      <c r="AF196" s="65"/>
    </row>
    <row r="197" spans="2:32" s="63" customFormat="1" ht="15">
      <c r="B197" s="48" t="s">
        <v>276</v>
      </c>
      <c r="C197" s="64"/>
      <c r="D197" s="64">
        <f t="shared" si="97"/>
        <v>82826</v>
      </c>
      <c r="E197" s="64">
        <f t="shared" si="97"/>
        <v>83577</v>
      </c>
      <c r="F197" s="64">
        <f t="shared" si="97"/>
        <v>82454</v>
      </c>
      <c r="G197" s="64">
        <f t="shared" si="97"/>
        <v>85399</v>
      </c>
      <c r="H197" s="64">
        <f t="shared" si="97"/>
        <v>81334</v>
      </c>
      <c r="I197" s="64">
        <f t="shared" si="97"/>
        <v>81344</v>
      </c>
      <c r="J197" s="65">
        <f t="shared" si="98"/>
        <v>82822.333333333328</v>
      </c>
      <c r="Q197" s="65"/>
      <c r="X197" s="65"/>
      <c r="AE197" s="65"/>
      <c r="AF197" s="65"/>
    </row>
    <row r="198" spans="2:32" s="63" customFormat="1" ht="15">
      <c r="B198" s="48" t="s">
        <v>277</v>
      </c>
      <c r="C198" s="64"/>
      <c r="D198" s="64">
        <f t="shared" si="97"/>
        <v>12542</v>
      </c>
      <c r="E198" s="64">
        <f t="shared" si="97"/>
        <v>12756</v>
      </c>
      <c r="F198" s="64">
        <f t="shared" si="97"/>
        <v>13164</v>
      </c>
      <c r="G198" s="64">
        <f t="shared" si="97"/>
        <v>3519</v>
      </c>
      <c r="H198" s="64">
        <f t="shared" si="97"/>
        <v>9799</v>
      </c>
      <c r="I198" s="64">
        <f t="shared" si="97"/>
        <v>8527</v>
      </c>
      <c r="J198" s="65">
        <f t="shared" si="98"/>
        <v>10051.166666666666</v>
      </c>
      <c r="Q198" s="65"/>
      <c r="X198" s="65"/>
      <c r="AE198" s="65"/>
      <c r="AF198" s="65"/>
    </row>
    <row r="199" spans="2:32" s="63" customFormat="1" ht="15">
      <c r="B199" s="48" t="s">
        <v>278</v>
      </c>
      <c r="C199" s="64"/>
      <c r="D199" s="64">
        <f t="shared" si="97"/>
        <v>0</v>
      </c>
      <c r="E199" s="64">
        <f t="shared" si="97"/>
        <v>0</v>
      </c>
      <c r="F199" s="64">
        <f t="shared" si="97"/>
        <v>0</v>
      </c>
      <c r="G199" s="64">
        <f t="shared" si="97"/>
        <v>0</v>
      </c>
      <c r="H199" s="64">
        <f t="shared" si="97"/>
        <v>0</v>
      </c>
      <c r="I199" s="64">
        <f t="shared" si="97"/>
        <v>0</v>
      </c>
      <c r="J199" s="65">
        <f t="shared" si="98"/>
        <v>0</v>
      </c>
      <c r="Q199" s="65"/>
      <c r="X199" s="65"/>
      <c r="AE199" s="65"/>
      <c r="AF199" s="65"/>
    </row>
    <row r="200" spans="2:32" s="63" customFormat="1" ht="15">
      <c r="B200" s="48" t="s">
        <v>279</v>
      </c>
      <c r="C200" s="64"/>
      <c r="D200" s="64">
        <f t="shared" ref="D200:I207" si="99">SUMIF($B$4:$B$146,$B200,D$4:D$146)</f>
        <v>28506</v>
      </c>
      <c r="E200" s="64">
        <f t="shared" si="99"/>
        <v>27886</v>
      </c>
      <c r="F200" s="64">
        <f t="shared" si="99"/>
        <v>27315</v>
      </c>
      <c r="G200" s="64">
        <f t="shared" si="99"/>
        <v>27588</v>
      </c>
      <c r="H200" s="64">
        <f t="shared" si="99"/>
        <v>27180</v>
      </c>
      <c r="I200" s="64">
        <f t="shared" si="99"/>
        <v>27327</v>
      </c>
      <c r="J200" s="65">
        <f t="shared" si="98"/>
        <v>27633.666666666668</v>
      </c>
      <c r="Q200" s="65"/>
      <c r="X200" s="65"/>
      <c r="AE200" s="65"/>
      <c r="AF200" s="65"/>
    </row>
    <row r="201" spans="2:32" s="63" customFormat="1" ht="15">
      <c r="B201" s="48" t="s">
        <v>875</v>
      </c>
      <c r="C201" s="64"/>
      <c r="D201" s="64">
        <f t="shared" si="99"/>
        <v>20190.084670800003</v>
      </c>
      <c r="E201" s="64">
        <f t="shared" si="99"/>
        <v>20123.062560999999</v>
      </c>
      <c r="F201" s="64">
        <f t="shared" si="99"/>
        <v>20750.459067999996</v>
      </c>
      <c r="G201" s="64">
        <f t="shared" si="99"/>
        <v>20895.683961500003</v>
      </c>
      <c r="H201" s="64">
        <f t="shared" si="99"/>
        <v>21415.866373599998</v>
      </c>
      <c r="I201" s="64">
        <f t="shared" si="99"/>
        <v>22404.400738299999</v>
      </c>
      <c r="J201" s="65">
        <f t="shared" si="98"/>
        <v>20963.259562200001</v>
      </c>
      <c r="Q201" s="65"/>
      <c r="X201" s="65"/>
      <c r="AE201" s="65"/>
      <c r="AF201" s="65"/>
    </row>
    <row r="202" spans="2:32" s="63" customFormat="1" ht="15">
      <c r="B202" s="48" t="s">
        <v>874</v>
      </c>
      <c r="C202" s="64"/>
      <c r="D202" s="64">
        <f t="shared" si="99"/>
        <v>647.77270799999997</v>
      </c>
      <c r="E202" s="64">
        <f t="shared" si="99"/>
        <v>602.91906000000006</v>
      </c>
      <c r="F202" s="64">
        <f t="shared" si="99"/>
        <v>622.25013599999988</v>
      </c>
      <c r="G202" s="64">
        <f t="shared" si="99"/>
        <v>621.71137199999998</v>
      </c>
      <c r="H202" s="64">
        <f t="shared" si="99"/>
        <v>641.41425599999991</v>
      </c>
      <c r="I202" s="64">
        <f t="shared" si="99"/>
        <v>636.113472</v>
      </c>
      <c r="J202" s="65">
        <f t="shared" si="98"/>
        <v>628.69683399999997</v>
      </c>
      <c r="Q202" s="65"/>
      <c r="X202" s="65"/>
      <c r="AE202" s="65"/>
      <c r="AF202" s="65"/>
    </row>
    <row r="203" spans="2:32" s="63" customFormat="1" ht="15">
      <c r="B203" s="48" t="s">
        <v>873</v>
      </c>
      <c r="C203" s="64"/>
      <c r="D203" s="64">
        <f t="shared" si="99"/>
        <v>97470.353001900017</v>
      </c>
      <c r="E203" s="64">
        <f t="shared" si="99"/>
        <v>94942.774152218801</v>
      </c>
      <c r="F203" s="64">
        <f t="shared" si="99"/>
        <v>96849.214693499991</v>
      </c>
      <c r="G203" s="64">
        <f t="shared" si="99"/>
        <v>96731.031453500022</v>
      </c>
      <c r="H203" s="64">
        <f t="shared" si="99"/>
        <v>97026.656631300037</v>
      </c>
      <c r="I203" s="64">
        <f t="shared" si="99"/>
        <v>96686.971995500004</v>
      </c>
      <c r="J203" s="65">
        <f t="shared" si="98"/>
        <v>96617.83365465315</v>
      </c>
      <c r="Q203" s="65"/>
      <c r="X203" s="65"/>
      <c r="AE203" s="65"/>
      <c r="AF203" s="65"/>
    </row>
    <row r="204" spans="2:32" s="63" customFormat="1" ht="15">
      <c r="B204" s="48" t="s">
        <v>872</v>
      </c>
      <c r="C204" s="64"/>
      <c r="D204" s="64">
        <f t="shared" si="99"/>
        <v>22747.332337799999</v>
      </c>
      <c r="E204" s="64">
        <f t="shared" si="99"/>
        <v>21996.610279</v>
      </c>
      <c r="F204" s="64">
        <f t="shared" si="99"/>
        <v>22776.186678000002</v>
      </c>
      <c r="G204" s="64">
        <f t="shared" si="99"/>
        <v>22896.450688000004</v>
      </c>
      <c r="H204" s="64">
        <f t="shared" si="99"/>
        <v>22221.815538999996</v>
      </c>
      <c r="I204" s="64">
        <f t="shared" si="99"/>
        <v>22749.256893999998</v>
      </c>
      <c r="J204" s="65">
        <f t="shared" si="98"/>
        <v>22564.608735966667</v>
      </c>
      <c r="Q204" s="65"/>
      <c r="X204" s="65"/>
      <c r="AE204" s="65"/>
      <c r="AF204" s="65"/>
    </row>
    <row r="205" spans="2:32" s="63" customFormat="1" ht="15">
      <c r="B205" s="48" t="s">
        <v>871</v>
      </c>
      <c r="C205" s="64"/>
      <c r="D205" s="64">
        <f t="shared" si="99"/>
        <v>8693.8759543679007</v>
      </c>
      <c r="E205" s="64">
        <f t="shared" si="99"/>
        <v>8291</v>
      </c>
      <c r="F205" s="64">
        <f t="shared" si="99"/>
        <v>9207.6823425293005</v>
      </c>
      <c r="G205" s="64">
        <f t="shared" si="99"/>
        <v>10856.715291660999</v>
      </c>
      <c r="H205" s="64">
        <f t="shared" si="99"/>
        <v>10052.2718873624</v>
      </c>
      <c r="I205" s="64">
        <f t="shared" si="99"/>
        <v>11213.609410000001</v>
      </c>
      <c r="J205" s="65">
        <f t="shared" si="98"/>
        <v>9719.1924809867687</v>
      </c>
      <c r="Q205" s="65"/>
      <c r="X205" s="65"/>
      <c r="AE205" s="65"/>
      <c r="AF205" s="65"/>
    </row>
    <row r="206" spans="2:32" s="63" customFormat="1" ht="15">
      <c r="B206" s="48" t="s">
        <v>870</v>
      </c>
      <c r="C206" s="64"/>
      <c r="D206" s="64">
        <f t="shared" si="99"/>
        <v>16509.2460938</v>
      </c>
      <c r="E206" s="64">
        <f t="shared" si="99"/>
        <v>15910.3398438</v>
      </c>
      <c r="F206" s="64">
        <f t="shared" si="99"/>
        <v>17633.1796875</v>
      </c>
      <c r="G206" s="64">
        <f t="shared" si="99"/>
        <v>16561.2597656</v>
      </c>
      <c r="H206" s="64">
        <f t="shared" si="99"/>
        <v>17610.0195313</v>
      </c>
      <c r="I206" s="64">
        <f t="shared" si="99"/>
        <v>15906.1855469</v>
      </c>
      <c r="J206" s="65">
        <f t="shared" si="98"/>
        <v>16688.371744816668</v>
      </c>
      <c r="Q206" s="65"/>
      <c r="X206" s="65"/>
      <c r="AE206" s="65"/>
      <c r="AF206" s="65"/>
    </row>
    <row r="207" spans="2:32" s="63" customFormat="1" ht="15">
      <c r="B207" s="48" t="s">
        <v>890</v>
      </c>
      <c r="C207" s="64"/>
      <c r="D207" s="64">
        <f t="shared" si="99"/>
        <v>0</v>
      </c>
      <c r="E207" s="64">
        <f t="shared" si="99"/>
        <v>0</v>
      </c>
      <c r="F207" s="64">
        <f t="shared" si="99"/>
        <v>0</v>
      </c>
      <c r="G207" s="64">
        <f t="shared" si="99"/>
        <v>0</v>
      </c>
      <c r="H207" s="64">
        <f t="shared" si="99"/>
        <v>0</v>
      </c>
      <c r="I207" s="64">
        <f t="shared" si="99"/>
        <v>0</v>
      </c>
      <c r="J207" s="65">
        <f t="shared" si="98"/>
        <v>0</v>
      </c>
      <c r="Q207" s="65"/>
      <c r="X207" s="65"/>
      <c r="AE207" s="65"/>
      <c r="AF207" s="65"/>
    </row>
    <row r="208" spans="2:32" s="63" customFormat="1" ht="15">
      <c r="B208" s="48" t="s">
        <v>111</v>
      </c>
      <c r="C208" s="65"/>
      <c r="D208" s="65">
        <f t="shared" ref="D208:I208" si="100">SUM(D190:D207)</f>
        <v>522182.66476666793</v>
      </c>
      <c r="E208" s="65">
        <f t="shared" si="100"/>
        <v>525867.70589601877</v>
      </c>
      <c r="F208" s="65">
        <f t="shared" si="100"/>
        <v>528880.97260552924</v>
      </c>
      <c r="G208" s="65">
        <f t="shared" si="100"/>
        <v>523610.85253226105</v>
      </c>
      <c r="H208" s="65">
        <f t="shared" si="100"/>
        <v>525730.04421856243</v>
      </c>
      <c r="I208" s="65">
        <f t="shared" si="100"/>
        <v>522893.53805669991</v>
      </c>
      <c r="J208" s="65">
        <f>AVERAGE(J190:J207)</f>
        <v>29158.942389590185</v>
      </c>
      <c r="Q208" s="65"/>
      <c r="X208" s="65"/>
      <c r="AE208" s="65"/>
      <c r="AF208" s="65"/>
    </row>
    <row r="209" spans="4:32" s="63" customFormat="1" ht="17.25" customHeight="1">
      <c r="D209" s="67">
        <f t="shared" ref="D209:I209" si="101">D107+D146</f>
        <v>522182.66476666788</v>
      </c>
      <c r="E209" s="67">
        <f t="shared" si="101"/>
        <v>525867.70589601877</v>
      </c>
      <c r="F209" s="67">
        <f t="shared" si="101"/>
        <v>528880.97260552924</v>
      </c>
      <c r="G209" s="67">
        <f t="shared" si="101"/>
        <v>523610.85253226105</v>
      </c>
      <c r="H209" s="67">
        <f t="shared" si="101"/>
        <v>525730.04421856243</v>
      </c>
      <c r="I209" s="67">
        <f t="shared" si="101"/>
        <v>522893.53805670002</v>
      </c>
      <c r="J209" s="67"/>
      <c r="Q209" s="67"/>
      <c r="X209" s="67"/>
      <c r="AE209" s="67"/>
      <c r="AF209" s="67"/>
    </row>
    <row r="210" spans="4:32">
      <c r="D210" s="68">
        <f t="shared" ref="D210:I210" si="102">D208-D209</f>
        <v>0</v>
      </c>
      <c r="E210" s="68">
        <f t="shared" si="102"/>
        <v>0</v>
      </c>
      <c r="F210" s="68">
        <f t="shared" si="102"/>
        <v>0</v>
      </c>
      <c r="G210" s="68">
        <f t="shared" si="102"/>
        <v>0</v>
      </c>
      <c r="H210" s="68">
        <f t="shared" si="102"/>
        <v>0</v>
      </c>
      <c r="I210" s="68">
        <f t="shared" si="102"/>
        <v>0</v>
      </c>
      <c r="J210" s="68"/>
      <c r="Q210" s="68"/>
      <c r="X210" s="68"/>
      <c r="AE210" s="68"/>
      <c r="AF210" s="68"/>
    </row>
  </sheetData>
  <phoneticPr fontId="0" type="noConversion"/>
  <printOptions horizontalCentered="1" verticalCentered="1"/>
  <pageMargins left="0.19685039370078741" right="0.19685039370078741" top="0.39370078740157483" bottom="0.19685039370078741" header="0.39370078740157483" footer="0.47244094488188981"/>
  <pageSetup scale="44" orientation="landscape" r:id="rId1"/>
  <headerFooter>
    <oddHeader>&amp;L&amp;"Times New Roman,Negrita"&amp;14Nombre de la Distribuidora: &amp;K06-048ENSA&amp;RASEP FORM: &amp;A</oddHeader>
    <oddFooter>&amp;R&amp;A</oddFooter>
  </headerFooter>
  <rowBreaks count="1" manualBreakCount="1">
    <brk id="110" max="16383" man="1"/>
  </rowBreaks>
  <colBreaks count="2" manualBreakCount="2">
    <brk id="10" max="1048575" man="1"/>
    <brk id="17" max="104857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Hoja83">
    <tabColor theme="5" tint="0.59999389629810485"/>
    <pageSetUpPr fitToPage="1"/>
  </sheetPr>
  <dimension ref="A1:AP236"/>
  <sheetViews>
    <sheetView view="pageBreakPreview" zoomScale="70" zoomScaleNormal="70" zoomScaleSheetLayoutView="70" workbookViewId="0">
      <pane xSplit="3" ySplit="4" topLeftCell="D37" activePane="bottomRight" state="frozen"/>
      <selection activeCell="C59" sqref="C59"/>
      <selection pane="topRight" activeCell="C59" sqref="C59"/>
      <selection pane="bottomLeft" activeCell="C59" sqref="C59"/>
      <selection pane="bottomRight" activeCell="C59" sqref="C59"/>
    </sheetView>
  </sheetViews>
  <sheetFormatPr baseColWidth="10" defaultColWidth="11" defaultRowHeight="13.5"/>
  <cols>
    <col min="1" max="1" width="2.375" style="56" bestFit="1" customWidth="1"/>
    <col min="2" max="2" width="9.25" style="56" customWidth="1"/>
    <col min="3" max="3" width="32.5" style="56" customWidth="1"/>
    <col min="4" max="9" width="10.875" style="56" customWidth="1"/>
    <col min="10" max="10" width="11.375" style="56" bestFit="1" customWidth="1"/>
    <col min="11" max="23" width="10.875" style="56" customWidth="1"/>
    <col min="24" max="24" width="11.375" style="56" customWidth="1"/>
    <col min="25" max="31" width="2.25" style="56" customWidth="1"/>
    <col min="32" max="32" width="3.625" style="56" customWidth="1"/>
    <col min="33" max="35" width="6.75" style="969" customWidth="1"/>
    <col min="36" max="16384" width="11" style="56"/>
  </cols>
  <sheetData>
    <row r="1" spans="2:35" ht="14.25" thickBot="1"/>
    <row r="2" spans="2:35" s="585" customFormat="1" ht="13.5" customHeight="1">
      <c r="C2" s="584" t="s">
        <v>686</v>
      </c>
      <c r="J2" s="586"/>
      <c r="Q2" s="586"/>
      <c r="X2" s="586"/>
      <c r="AE2" s="586"/>
      <c r="AF2" s="1386"/>
      <c r="AG2" s="970"/>
      <c r="AH2" s="970"/>
      <c r="AI2" s="970"/>
    </row>
    <row r="3" spans="2:35" ht="12.95" customHeight="1">
      <c r="C3" s="960"/>
      <c r="D3" s="961"/>
      <c r="E3" s="962"/>
      <c r="F3" s="962"/>
      <c r="G3" s="962"/>
      <c r="H3" s="962"/>
      <c r="I3" s="962"/>
      <c r="J3" s="962"/>
      <c r="K3" s="961"/>
      <c r="L3" s="962"/>
      <c r="M3" s="962"/>
      <c r="N3" s="962"/>
      <c r="O3" s="962"/>
      <c r="P3" s="962"/>
      <c r="Q3" s="962"/>
      <c r="R3" s="961"/>
      <c r="S3" s="962"/>
      <c r="T3" s="962"/>
      <c r="U3" s="962"/>
      <c r="V3" s="962"/>
      <c r="W3" s="962"/>
      <c r="X3" s="962"/>
      <c r="Y3" s="961"/>
      <c r="Z3" s="962"/>
      <c r="AA3" s="962"/>
      <c r="AB3" s="962"/>
      <c r="AC3" s="962"/>
      <c r="AD3" s="962"/>
      <c r="AE3" s="962"/>
      <c r="AF3" s="1387"/>
    </row>
    <row r="4" spans="2:35" s="532" customFormat="1" ht="78.75">
      <c r="C4" s="963" t="s">
        <v>1257</v>
      </c>
      <c r="D4" s="964">
        <f>F821C!D4</f>
        <v>45839</v>
      </c>
      <c r="E4" s="964">
        <f>F821C!E4</f>
        <v>45870</v>
      </c>
      <c r="F4" s="964">
        <f>F821C!F4</f>
        <v>45901</v>
      </c>
      <c r="G4" s="964">
        <f>F821C!G4</f>
        <v>45931</v>
      </c>
      <c r="H4" s="964">
        <f>F821C!H4</f>
        <v>45962</v>
      </c>
      <c r="I4" s="964">
        <f>F821C!I4</f>
        <v>45992</v>
      </c>
      <c r="J4" s="964" t="s">
        <v>111</v>
      </c>
      <c r="K4" s="964">
        <f>D4</f>
        <v>45839</v>
      </c>
      <c r="L4" s="964">
        <f t="shared" ref="L4:P4" si="0">E4</f>
        <v>45870</v>
      </c>
      <c r="M4" s="964">
        <f t="shared" si="0"/>
        <v>45901</v>
      </c>
      <c r="N4" s="964">
        <f t="shared" si="0"/>
        <v>45931</v>
      </c>
      <c r="O4" s="964">
        <f t="shared" si="0"/>
        <v>45962</v>
      </c>
      <c r="P4" s="964">
        <f t="shared" si="0"/>
        <v>45992</v>
      </c>
      <c r="Q4" s="964" t="s">
        <v>111</v>
      </c>
      <c r="R4" s="964">
        <f>D4</f>
        <v>45839</v>
      </c>
      <c r="S4" s="964">
        <f t="shared" ref="S4:W4" si="1">E4</f>
        <v>45870</v>
      </c>
      <c r="T4" s="964">
        <f t="shared" si="1"/>
        <v>45901</v>
      </c>
      <c r="U4" s="964">
        <f t="shared" si="1"/>
        <v>45931</v>
      </c>
      <c r="V4" s="964">
        <f t="shared" si="1"/>
        <v>45962</v>
      </c>
      <c r="W4" s="964">
        <f t="shared" si="1"/>
        <v>45992</v>
      </c>
      <c r="X4" s="964" t="s">
        <v>111</v>
      </c>
      <c r="Y4" s="964">
        <f>R4</f>
        <v>45839</v>
      </c>
      <c r="Z4" s="964">
        <f t="shared" ref="Z4:AD4" si="2">S4</f>
        <v>45870</v>
      </c>
      <c r="AA4" s="964">
        <f t="shared" si="2"/>
        <v>45901</v>
      </c>
      <c r="AB4" s="964">
        <f t="shared" si="2"/>
        <v>45931</v>
      </c>
      <c r="AC4" s="964">
        <f t="shared" si="2"/>
        <v>45962</v>
      </c>
      <c r="AD4" s="964">
        <f t="shared" si="2"/>
        <v>45992</v>
      </c>
      <c r="AE4" s="964" t="s">
        <v>111</v>
      </c>
      <c r="AF4" s="1388"/>
      <c r="AG4" s="971"/>
      <c r="AH4" s="971"/>
      <c r="AI4" s="971"/>
    </row>
    <row r="5" spans="2:35" s="587" customFormat="1">
      <c r="C5" s="880" t="s">
        <v>446</v>
      </c>
      <c r="D5" s="881">
        <v>18371399</v>
      </c>
      <c r="E5" s="881">
        <v>18422499</v>
      </c>
      <c r="F5" s="881">
        <v>18003680</v>
      </c>
      <c r="G5" s="881">
        <v>18689952</v>
      </c>
      <c r="H5" s="881">
        <v>17823144</v>
      </c>
      <c r="I5" s="881">
        <v>18498181</v>
      </c>
      <c r="J5" s="180">
        <f>SUM(D5:I5)</f>
        <v>109808855</v>
      </c>
      <c r="K5" s="881">
        <f t="shared" ref="K5:W5" si="3">SUBTOTAL(9,K6:K7)</f>
        <v>4779684</v>
      </c>
      <c r="L5" s="881">
        <f t="shared" si="3"/>
        <v>4536363</v>
      </c>
      <c r="M5" s="881">
        <f t="shared" si="3"/>
        <v>4342310</v>
      </c>
      <c r="N5" s="881">
        <f t="shared" si="3"/>
        <v>4342310</v>
      </c>
      <c r="O5" s="881">
        <f t="shared" si="3"/>
        <v>3485560</v>
      </c>
      <c r="P5" s="881">
        <f t="shared" si="3"/>
        <v>4070278</v>
      </c>
      <c r="Q5" s="180">
        <f>SUM(K5:P5)</f>
        <v>25556505</v>
      </c>
      <c r="R5" s="881">
        <f t="shared" si="3"/>
        <v>13591715</v>
      </c>
      <c r="S5" s="881">
        <f t="shared" si="3"/>
        <v>13886136</v>
      </c>
      <c r="T5" s="881">
        <f t="shared" si="3"/>
        <v>13661370</v>
      </c>
      <c r="U5" s="881">
        <f t="shared" si="3"/>
        <v>14347642</v>
      </c>
      <c r="V5" s="881">
        <f t="shared" si="3"/>
        <v>14337584</v>
      </c>
      <c r="W5" s="881">
        <f t="shared" si="3"/>
        <v>14427903</v>
      </c>
      <c r="X5" s="180">
        <f>SUM(R5:W5)</f>
        <v>84252350</v>
      </c>
      <c r="Y5" s="881"/>
      <c r="Z5" s="881"/>
      <c r="AA5" s="881"/>
      <c r="AB5" s="881"/>
      <c r="AC5" s="881"/>
      <c r="AD5" s="881"/>
      <c r="AE5" s="180"/>
      <c r="AF5" s="1389"/>
      <c r="AG5" s="972"/>
      <c r="AH5" s="972"/>
      <c r="AI5" s="972"/>
    </row>
    <row r="6" spans="2:35">
      <c r="B6" s="48" t="s">
        <v>279</v>
      </c>
      <c r="C6" s="882" t="s">
        <v>279</v>
      </c>
      <c r="D6" s="883">
        <v>18371399</v>
      </c>
      <c r="E6" s="883">
        <v>18422499</v>
      </c>
      <c r="F6" s="883">
        <v>18003680</v>
      </c>
      <c r="G6" s="883">
        <v>18689952</v>
      </c>
      <c r="H6" s="883">
        <v>17823144</v>
      </c>
      <c r="I6" s="883">
        <v>18498181</v>
      </c>
      <c r="J6" s="180">
        <f t="shared" ref="J6:J69" si="4">SUM(D6:I6)</f>
        <v>109808855</v>
      </c>
      <c r="K6" s="974">
        <f>D170</f>
        <v>4779684</v>
      </c>
      <c r="L6" s="974">
        <f t="shared" ref="L6:P6" si="5">E170</f>
        <v>4536363</v>
      </c>
      <c r="M6" s="974">
        <f t="shared" si="5"/>
        <v>4342310</v>
      </c>
      <c r="N6" s="974">
        <f t="shared" si="5"/>
        <v>4342310</v>
      </c>
      <c r="O6" s="974">
        <f t="shared" si="5"/>
        <v>3485560</v>
      </c>
      <c r="P6" s="974">
        <f t="shared" si="5"/>
        <v>4070278</v>
      </c>
      <c r="Q6" s="180">
        <f t="shared" ref="Q6:Q69" si="6">SUM(K6:P6)</f>
        <v>25556505</v>
      </c>
      <c r="R6" s="883">
        <f t="shared" ref="R6:R80" si="7">D6-K6</f>
        <v>13591715</v>
      </c>
      <c r="S6" s="883">
        <f t="shared" ref="S6:S80" si="8">E6-L6</f>
        <v>13886136</v>
      </c>
      <c r="T6" s="883">
        <f t="shared" ref="T6:T80" si="9">F6-M6</f>
        <v>13661370</v>
      </c>
      <c r="U6" s="883">
        <f t="shared" ref="U6:U80" si="10">G6-N6</f>
        <v>14347642</v>
      </c>
      <c r="V6" s="883">
        <f t="shared" ref="V6:V80" si="11">H6-O6</f>
        <v>14337584</v>
      </c>
      <c r="W6" s="883">
        <f t="shared" ref="W6:W80" si="12">I6-P6</f>
        <v>14427903</v>
      </c>
      <c r="X6" s="180">
        <f t="shared" ref="X6:X69" si="13">SUM(R6:W6)</f>
        <v>84252350</v>
      </c>
      <c r="Y6" s="883"/>
      <c r="Z6" s="883"/>
      <c r="AA6" s="883"/>
      <c r="AB6" s="883"/>
      <c r="AC6" s="883"/>
      <c r="AD6" s="883"/>
      <c r="AE6" s="180"/>
      <c r="AF6" s="1389"/>
      <c r="AG6" s="972"/>
      <c r="AH6" s="972"/>
      <c r="AI6" s="972"/>
    </row>
    <row r="7" spans="2:35">
      <c r="B7" s="48" t="s">
        <v>278</v>
      </c>
      <c r="C7" s="882" t="s">
        <v>278</v>
      </c>
      <c r="D7" s="883">
        <v>0</v>
      </c>
      <c r="E7" s="883">
        <v>0</v>
      </c>
      <c r="F7" s="883">
        <v>0</v>
      </c>
      <c r="G7" s="883">
        <v>0</v>
      </c>
      <c r="H7" s="883">
        <v>0</v>
      </c>
      <c r="I7" s="883">
        <v>0</v>
      </c>
      <c r="J7" s="180">
        <f t="shared" si="4"/>
        <v>0</v>
      </c>
      <c r="K7" s="883">
        <f>D7*$AG7</f>
        <v>0</v>
      </c>
      <c r="L7" s="883">
        <f t="shared" ref="L7:P7" si="14">E7*$AG7</f>
        <v>0</v>
      </c>
      <c r="M7" s="883">
        <f t="shared" si="14"/>
        <v>0</v>
      </c>
      <c r="N7" s="883">
        <f t="shared" si="14"/>
        <v>0</v>
      </c>
      <c r="O7" s="883">
        <f t="shared" si="14"/>
        <v>0</v>
      </c>
      <c r="P7" s="883">
        <f t="shared" si="14"/>
        <v>0</v>
      </c>
      <c r="Q7" s="180">
        <f t="shared" si="6"/>
        <v>0</v>
      </c>
      <c r="R7" s="883">
        <f t="shared" si="7"/>
        <v>0</v>
      </c>
      <c r="S7" s="883">
        <f t="shared" si="8"/>
        <v>0</v>
      </c>
      <c r="T7" s="883">
        <f t="shared" si="9"/>
        <v>0</v>
      </c>
      <c r="U7" s="883">
        <f t="shared" si="10"/>
        <v>0</v>
      </c>
      <c r="V7" s="883">
        <f t="shared" si="11"/>
        <v>0</v>
      </c>
      <c r="W7" s="883">
        <f t="shared" si="12"/>
        <v>0</v>
      </c>
      <c r="X7" s="180">
        <f t="shared" si="13"/>
        <v>0</v>
      </c>
      <c r="Y7" s="883"/>
      <c r="Z7" s="883"/>
      <c r="AA7" s="883"/>
      <c r="AB7" s="883"/>
      <c r="AC7" s="883"/>
      <c r="AD7" s="883"/>
      <c r="AE7" s="180"/>
      <c r="AF7" s="1389"/>
      <c r="AG7" s="972">
        <f>'PDYG-200'!D$35</f>
        <v>0.2432</v>
      </c>
      <c r="AH7" s="972">
        <f>'PDYG-200'!E$35</f>
        <v>0.29057094290570945</v>
      </c>
      <c r="AI7" s="972">
        <f>'PDYG-200'!F$35</f>
        <v>0.46622905709429052</v>
      </c>
    </row>
    <row r="8" spans="2:35">
      <c r="B8" s="48"/>
      <c r="C8" s="884"/>
      <c r="D8" s="883">
        <v>0</v>
      </c>
      <c r="E8" s="883">
        <v>0</v>
      </c>
      <c r="F8" s="883">
        <v>0</v>
      </c>
      <c r="G8" s="883">
        <v>0</v>
      </c>
      <c r="H8" s="883">
        <v>0</v>
      </c>
      <c r="I8" s="883">
        <v>0</v>
      </c>
      <c r="J8" s="180">
        <f t="shared" si="4"/>
        <v>0</v>
      </c>
      <c r="K8" s="883"/>
      <c r="L8" s="883"/>
      <c r="M8" s="883"/>
      <c r="N8" s="883"/>
      <c r="O8" s="883"/>
      <c r="P8" s="883"/>
      <c r="Q8" s="180">
        <f t="shared" si="6"/>
        <v>0</v>
      </c>
      <c r="R8" s="883">
        <f t="shared" si="7"/>
        <v>0</v>
      </c>
      <c r="S8" s="883">
        <f t="shared" si="8"/>
        <v>0</v>
      </c>
      <c r="T8" s="883">
        <f t="shared" si="9"/>
        <v>0</v>
      </c>
      <c r="U8" s="883">
        <f t="shared" si="10"/>
        <v>0</v>
      </c>
      <c r="V8" s="883">
        <f t="shared" si="11"/>
        <v>0</v>
      </c>
      <c r="W8" s="883">
        <f t="shared" si="12"/>
        <v>0</v>
      </c>
      <c r="X8" s="180">
        <f t="shared" si="13"/>
        <v>0</v>
      </c>
      <c r="Y8" s="883"/>
      <c r="Z8" s="883"/>
      <c r="AA8" s="883"/>
      <c r="AB8" s="883"/>
      <c r="AC8" s="883"/>
      <c r="AD8" s="883"/>
      <c r="AE8" s="180"/>
      <c r="AF8" s="1389"/>
    </row>
    <row r="9" spans="2:35" s="587" customFormat="1">
      <c r="B9" s="48"/>
      <c r="C9" s="880" t="s">
        <v>630</v>
      </c>
      <c r="D9" s="881">
        <v>29517150</v>
      </c>
      <c r="E9" s="881">
        <v>30290871</v>
      </c>
      <c r="F9" s="881">
        <v>29295222</v>
      </c>
      <c r="G9" s="881">
        <v>30415591</v>
      </c>
      <c r="H9" s="881">
        <v>28618430</v>
      </c>
      <c r="I9" s="881">
        <v>27850336</v>
      </c>
      <c r="J9" s="180">
        <f t="shared" si="4"/>
        <v>175987600</v>
      </c>
      <c r="K9" s="881">
        <f t="shared" ref="K9:W9" si="15">SUBTOTAL(9,K10:K18)</f>
        <v>9437986.0393000022</v>
      </c>
      <c r="L9" s="881">
        <f t="shared" si="15"/>
        <v>9621071.0453999992</v>
      </c>
      <c r="M9" s="881">
        <f t="shared" si="15"/>
        <v>9286411.5734000001</v>
      </c>
      <c r="N9" s="881">
        <f t="shared" si="15"/>
        <v>9731398.6923999991</v>
      </c>
      <c r="O9" s="881">
        <f t="shared" si="15"/>
        <v>8637847.9759000018</v>
      </c>
      <c r="P9" s="881">
        <f t="shared" si="15"/>
        <v>8746888.0712000001</v>
      </c>
      <c r="Q9" s="180">
        <f t="shared" si="6"/>
        <v>55461603.397600003</v>
      </c>
      <c r="R9" s="881">
        <f t="shared" si="15"/>
        <v>20079163.960699998</v>
      </c>
      <c r="S9" s="881">
        <f t="shared" si="15"/>
        <v>20669799.954599999</v>
      </c>
      <c r="T9" s="881">
        <f t="shared" si="15"/>
        <v>20008810.426600002</v>
      </c>
      <c r="U9" s="881">
        <f t="shared" si="15"/>
        <v>20684192.307600003</v>
      </c>
      <c r="V9" s="881">
        <f t="shared" si="15"/>
        <v>19980582.024099998</v>
      </c>
      <c r="W9" s="881">
        <f t="shared" si="15"/>
        <v>19103447.928799998</v>
      </c>
      <c r="X9" s="180">
        <f t="shared" si="13"/>
        <v>120525996.60239999</v>
      </c>
      <c r="Y9" s="881"/>
      <c r="Z9" s="881"/>
      <c r="AA9" s="881"/>
      <c r="AB9" s="881"/>
      <c r="AC9" s="881"/>
      <c r="AD9" s="881"/>
      <c r="AE9" s="180"/>
      <c r="AF9" s="1389"/>
      <c r="AG9" s="972"/>
      <c r="AH9" s="972"/>
      <c r="AI9" s="972"/>
    </row>
    <row r="10" spans="2:35">
      <c r="B10" s="48" t="s">
        <v>277</v>
      </c>
      <c r="C10" s="882" t="s">
        <v>277</v>
      </c>
      <c r="D10" s="881">
        <v>4273523</v>
      </c>
      <c r="E10" s="881">
        <v>4365765</v>
      </c>
      <c r="F10" s="881">
        <v>4346196</v>
      </c>
      <c r="G10" s="881">
        <v>4101155</v>
      </c>
      <c r="H10" s="881">
        <v>4984929</v>
      </c>
      <c r="I10" s="881">
        <v>3245368</v>
      </c>
      <c r="J10" s="180">
        <f t="shared" si="4"/>
        <v>25316936</v>
      </c>
      <c r="K10" s="881">
        <f t="shared" ref="K10:W10" si="16">SUBTOTAL(9,K11:K13)</f>
        <v>1211088</v>
      </c>
      <c r="L10" s="881">
        <f t="shared" si="16"/>
        <v>1172079</v>
      </c>
      <c r="M10" s="881">
        <f t="shared" si="16"/>
        <v>1155524</v>
      </c>
      <c r="N10" s="881">
        <f t="shared" si="16"/>
        <v>1155524</v>
      </c>
      <c r="O10" s="881">
        <f t="shared" si="16"/>
        <v>935690</v>
      </c>
      <c r="P10" s="881">
        <f t="shared" si="16"/>
        <v>728129</v>
      </c>
      <c r="Q10" s="180">
        <f t="shared" si="6"/>
        <v>6358034</v>
      </c>
      <c r="R10" s="881">
        <f t="shared" si="16"/>
        <v>3062435</v>
      </c>
      <c r="S10" s="881">
        <f t="shared" si="16"/>
        <v>3193686</v>
      </c>
      <c r="T10" s="881">
        <f t="shared" si="16"/>
        <v>3190672</v>
      </c>
      <c r="U10" s="881">
        <f t="shared" si="16"/>
        <v>2945631</v>
      </c>
      <c r="V10" s="881">
        <f t="shared" si="16"/>
        <v>4049239</v>
      </c>
      <c r="W10" s="881">
        <f t="shared" si="16"/>
        <v>2517239</v>
      </c>
      <c r="X10" s="180">
        <f t="shared" si="13"/>
        <v>18958902</v>
      </c>
      <c r="Y10" s="881"/>
      <c r="Z10" s="881"/>
      <c r="AA10" s="881"/>
      <c r="AB10" s="881"/>
      <c r="AC10" s="881"/>
      <c r="AD10" s="881"/>
      <c r="AE10" s="180"/>
      <c r="AF10" s="1389"/>
      <c r="AG10" s="972"/>
      <c r="AH10" s="972"/>
      <c r="AI10" s="972"/>
    </row>
    <row r="11" spans="2:35">
      <c r="B11" s="48"/>
      <c r="C11" s="887" t="s">
        <v>304</v>
      </c>
      <c r="D11" s="883">
        <v>3617273</v>
      </c>
      <c r="E11" s="883">
        <v>3690615</v>
      </c>
      <c r="F11" s="883">
        <v>3672096</v>
      </c>
      <c r="G11" s="883">
        <v>3402905</v>
      </c>
      <c r="H11" s="883">
        <v>4297179</v>
      </c>
      <c r="I11" s="883">
        <v>3245368</v>
      </c>
      <c r="J11" s="180">
        <f t="shared" si="4"/>
        <v>21925436</v>
      </c>
      <c r="K11" s="974">
        <f>D172</f>
        <v>1034688</v>
      </c>
      <c r="L11" s="974">
        <f t="shared" ref="L11:P11" si="17">E172</f>
        <v>997779</v>
      </c>
      <c r="M11" s="974">
        <f t="shared" si="17"/>
        <v>980174</v>
      </c>
      <c r="N11" s="974">
        <f t="shared" si="17"/>
        <v>980174</v>
      </c>
      <c r="O11" s="974">
        <f t="shared" si="17"/>
        <v>792890</v>
      </c>
      <c r="P11" s="974">
        <f t="shared" si="17"/>
        <v>728129</v>
      </c>
      <c r="Q11" s="180">
        <f t="shared" si="6"/>
        <v>5513834</v>
      </c>
      <c r="R11" s="883">
        <f t="shared" si="7"/>
        <v>2582585</v>
      </c>
      <c r="S11" s="883">
        <f t="shared" si="8"/>
        <v>2692836</v>
      </c>
      <c r="T11" s="883">
        <f t="shared" si="9"/>
        <v>2691922</v>
      </c>
      <c r="U11" s="883">
        <f t="shared" si="10"/>
        <v>2422731</v>
      </c>
      <c r="V11" s="883">
        <f t="shared" si="11"/>
        <v>3504289</v>
      </c>
      <c r="W11" s="883">
        <f t="shared" si="12"/>
        <v>2517239</v>
      </c>
      <c r="X11" s="180">
        <f t="shared" si="13"/>
        <v>16411602</v>
      </c>
      <c r="Y11" s="883"/>
      <c r="Z11" s="883"/>
      <c r="AA11" s="883"/>
      <c r="AB11" s="883"/>
      <c r="AC11" s="883"/>
      <c r="AD11" s="883"/>
      <c r="AE11" s="180"/>
      <c r="AF11" s="1389"/>
      <c r="AG11" s="972"/>
      <c r="AH11" s="972"/>
      <c r="AI11" s="972"/>
    </row>
    <row r="12" spans="2:35">
      <c r="B12" s="48"/>
      <c r="C12" s="887" t="s">
        <v>305</v>
      </c>
      <c r="D12" s="883">
        <v>656250</v>
      </c>
      <c r="E12" s="883">
        <v>675150</v>
      </c>
      <c r="F12" s="883">
        <v>674100</v>
      </c>
      <c r="G12" s="883">
        <v>698250</v>
      </c>
      <c r="H12" s="883">
        <v>687750</v>
      </c>
      <c r="I12" s="883">
        <v>0</v>
      </c>
      <c r="J12" s="180">
        <f t="shared" si="4"/>
        <v>3391500</v>
      </c>
      <c r="K12" s="974">
        <f>D173</f>
        <v>176400</v>
      </c>
      <c r="L12" s="974">
        <f t="shared" ref="L12:P12" si="18">E173</f>
        <v>174300</v>
      </c>
      <c r="M12" s="974">
        <f t="shared" si="18"/>
        <v>175350</v>
      </c>
      <c r="N12" s="974">
        <f t="shared" si="18"/>
        <v>175350</v>
      </c>
      <c r="O12" s="974">
        <f t="shared" si="18"/>
        <v>142800</v>
      </c>
      <c r="P12" s="974">
        <f t="shared" si="18"/>
        <v>0</v>
      </c>
      <c r="Q12" s="180">
        <f t="shared" si="6"/>
        <v>844200</v>
      </c>
      <c r="R12" s="883">
        <f t="shared" si="7"/>
        <v>479850</v>
      </c>
      <c r="S12" s="883">
        <f t="shared" si="8"/>
        <v>500850</v>
      </c>
      <c r="T12" s="883">
        <f t="shared" si="9"/>
        <v>498750</v>
      </c>
      <c r="U12" s="883">
        <f t="shared" si="10"/>
        <v>522900</v>
      </c>
      <c r="V12" s="883">
        <f t="shared" si="11"/>
        <v>544950</v>
      </c>
      <c r="W12" s="883">
        <f t="shared" si="12"/>
        <v>0</v>
      </c>
      <c r="X12" s="180">
        <f t="shared" si="13"/>
        <v>2547300</v>
      </c>
      <c r="Y12" s="883"/>
      <c r="Z12" s="883"/>
      <c r="AA12" s="883"/>
      <c r="AB12" s="883"/>
      <c r="AC12" s="883"/>
      <c r="AD12" s="883"/>
      <c r="AE12" s="180"/>
      <c r="AF12" s="1389"/>
      <c r="AG12" s="972"/>
      <c r="AH12" s="972"/>
      <c r="AI12" s="972"/>
    </row>
    <row r="13" spans="2:35">
      <c r="B13" s="48"/>
      <c r="C13" s="887"/>
      <c r="D13" s="883">
        <v>0</v>
      </c>
      <c r="E13" s="883">
        <v>0</v>
      </c>
      <c r="F13" s="883">
        <v>0</v>
      </c>
      <c r="G13" s="883">
        <v>0</v>
      </c>
      <c r="H13" s="883">
        <v>0</v>
      </c>
      <c r="I13" s="883">
        <v>0</v>
      </c>
      <c r="J13" s="180">
        <f t="shared" si="4"/>
        <v>0</v>
      </c>
      <c r="K13" s="883"/>
      <c r="L13" s="883"/>
      <c r="M13" s="883"/>
      <c r="N13" s="883"/>
      <c r="O13" s="883"/>
      <c r="P13" s="883"/>
      <c r="Q13" s="180">
        <f t="shared" si="6"/>
        <v>0</v>
      </c>
      <c r="R13" s="883"/>
      <c r="S13" s="883"/>
      <c r="T13" s="883"/>
      <c r="U13" s="883"/>
      <c r="V13" s="883"/>
      <c r="W13" s="883"/>
      <c r="X13" s="180">
        <f t="shared" si="13"/>
        <v>0</v>
      </c>
      <c r="Y13" s="883"/>
      <c r="Z13" s="883"/>
      <c r="AA13" s="883"/>
      <c r="AB13" s="883"/>
      <c r="AC13" s="883"/>
      <c r="AD13" s="883"/>
      <c r="AE13" s="180"/>
      <c r="AF13" s="1389"/>
      <c r="AG13" s="972"/>
      <c r="AH13" s="972"/>
      <c r="AI13" s="972"/>
    </row>
    <row r="14" spans="2:35">
      <c r="B14" s="48" t="s">
        <v>276</v>
      </c>
      <c r="C14" s="882" t="s">
        <v>276</v>
      </c>
      <c r="D14" s="881">
        <v>25243627</v>
      </c>
      <c r="E14" s="881">
        <v>25925106</v>
      </c>
      <c r="F14" s="881">
        <v>24949026</v>
      </c>
      <c r="G14" s="881">
        <v>26314436</v>
      </c>
      <c r="H14" s="881">
        <v>23633501</v>
      </c>
      <c r="I14" s="881">
        <v>24604968</v>
      </c>
      <c r="J14" s="180">
        <f t="shared" si="4"/>
        <v>150670664</v>
      </c>
      <c r="K14" s="881">
        <f t="shared" ref="K14:W14" si="19">SUBTOTAL(9,K15:K18)</f>
        <v>8226898.0393000003</v>
      </c>
      <c r="L14" s="881">
        <f t="shared" si="19"/>
        <v>8448992.0453999992</v>
      </c>
      <c r="M14" s="881">
        <f t="shared" si="19"/>
        <v>8130887.5734000001</v>
      </c>
      <c r="N14" s="881">
        <f t="shared" si="19"/>
        <v>8575874.6923999991</v>
      </c>
      <c r="O14" s="881">
        <f t="shared" si="19"/>
        <v>7702157.9759</v>
      </c>
      <c r="P14" s="881">
        <f t="shared" si="19"/>
        <v>8018759.0712000001</v>
      </c>
      <c r="Q14" s="180">
        <f t="shared" si="6"/>
        <v>49103569.397600003</v>
      </c>
      <c r="R14" s="881">
        <f t="shared" si="19"/>
        <v>17016728.960699998</v>
      </c>
      <c r="S14" s="881">
        <f t="shared" si="19"/>
        <v>17476113.954599999</v>
      </c>
      <c r="T14" s="881">
        <f t="shared" si="19"/>
        <v>16818138.426599998</v>
      </c>
      <c r="U14" s="881">
        <f t="shared" si="19"/>
        <v>17738561.307600003</v>
      </c>
      <c r="V14" s="881">
        <f t="shared" si="19"/>
        <v>15931343.024099998</v>
      </c>
      <c r="W14" s="881">
        <f t="shared" si="19"/>
        <v>16586208.9288</v>
      </c>
      <c r="X14" s="180">
        <f t="shared" si="13"/>
        <v>101567094.60239999</v>
      </c>
      <c r="Y14" s="883"/>
      <c r="Z14" s="883"/>
      <c r="AA14" s="883"/>
      <c r="AB14" s="883"/>
      <c r="AC14" s="883"/>
      <c r="AD14" s="883"/>
      <c r="AE14" s="180"/>
      <c r="AF14" s="975"/>
      <c r="AG14" s="972">
        <f>'PDYG-200'!D$36</f>
        <v>0.32590000000000002</v>
      </c>
      <c r="AH14" s="972">
        <f>'PDYG-200'!E$36</f>
        <v>0.26899999999999996</v>
      </c>
      <c r="AI14" s="972">
        <f>'PDYG-200'!F$36</f>
        <v>0.40510000000000002</v>
      </c>
    </row>
    <row r="15" spans="2:35">
      <c r="B15" s="48"/>
      <c r="C15" s="887" t="s">
        <v>304</v>
      </c>
      <c r="D15" s="883">
        <v>25168167</v>
      </c>
      <c r="E15" s="883">
        <v>25811916</v>
      </c>
      <c r="F15" s="883">
        <v>24868736</v>
      </c>
      <c r="G15" s="883">
        <v>26256056</v>
      </c>
      <c r="H15" s="883">
        <v>23488041</v>
      </c>
      <c r="I15" s="883">
        <v>24459578</v>
      </c>
      <c r="J15" s="180">
        <f t="shared" si="4"/>
        <v>150052494</v>
      </c>
      <c r="K15" s="883">
        <f t="shared" ref="K15:K18" si="20">D15*$AG15</f>
        <v>8202305.6253000004</v>
      </c>
      <c r="L15" s="883">
        <f t="shared" ref="L15:L18" si="21">E15*$AG15</f>
        <v>8412103.4243999999</v>
      </c>
      <c r="M15" s="883">
        <f t="shared" ref="M15:M18" si="22">F15*$AG15</f>
        <v>8104721.0624000002</v>
      </c>
      <c r="N15" s="883">
        <f t="shared" ref="N15:N18" si="23">G15*$AG15</f>
        <v>8556848.6503999997</v>
      </c>
      <c r="O15" s="883">
        <f t="shared" ref="O15:O18" si="24">H15*$AG15</f>
        <v>7654752.5619000001</v>
      </c>
      <c r="P15" s="883">
        <f t="shared" ref="P15:P18" si="25">I15*$AG15</f>
        <v>7971376.4702000003</v>
      </c>
      <c r="Q15" s="180">
        <f t="shared" si="6"/>
        <v>48902107.794599995</v>
      </c>
      <c r="R15" s="883">
        <f t="shared" si="7"/>
        <v>16965861.374699999</v>
      </c>
      <c r="S15" s="883">
        <f t="shared" si="8"/>
        <v>17399812.575599998</v>
      </c>
      <c r="T15" s="883">
        <f t="shared" si="9"/>
        <v>16764014.9376</v>
      </c>
      <c r="U15" s="883">
        <f t="shared" si="10"/>
        <v>17699207.349600002</v>
      </c>
      <c r="V15" s="883">
        <f t="shared" si="11"/>
        <v>15833288.438099999</v>
      </c>
      <c r="W15" s="883">
        <f t="shared" si="12"/>
        <v>16488201.5298</v>
      </c>
      <c r="X15" s="180">
        <f t="shared" si="13"/>
        <v>101150386.20539999</v>
      </c>
      <c r="Y15" s="883"/>
      <c r="Z15" s="883"/>
      <c r="AA15" s="883"/>
      <c r="AB15" s="883"/>
      <c r="AC15" s="883"/>
      <c r="AD15" s="883"/>
      <c r="AE15" s="180"/>
      <c r="AF15" s="1389"/>
      <c r="AG15" s="972">
        <f>'PDYG-200'!D$36</f>
        <v>0.32590000000000002</v>
      </c>
      <c r="AH15" s="972">
        <f>'PDYG-200'!E$36</f>
        <v>0.26899999999999996</v>
      </c>
      <c r="AI15" s="972">
        <f>'PDYG-200'!F$36</f>
        <v>0.40510000000000002</v>
      </c>
    </row>
    <row r="16" spans="2:35">
      <c r="B16" s="48"/>
      <c r="C16" s="888" t="s">
        <v>306</v>
      </c>
      <c r="D16" s="883">
        <v>0</v>
      </c>
      <c r="E16" s="883">
        <v>0</v>
      </c>
      <c r="F16" s="883">
        <v>0</v>
      </c>
      <c r="G16" s="883">
        <v>0</v>
      </c>
      <c r="H16" s="883">
        <v>0</v>
      </c>
      <c r="I16" s="883">
        <v>0</v>
      </c>
      <c r="J16" s="180">
        <f t="shared" si="4"/>
        <v>0</v>
      </c>
      <c r="K16" s="883">
        <f t="shared" si="20"/>
        <v>0</v>
      </c>
      <c r="L16" s="883">
        <f t="shared" si="21"/>
        <v>0</v>
      </c>
      <c r="M16" s="883">
        <f t="shared" si="22"/>
        <v>0</v>
      </c>
      <c r="N16" s="883">
        <f t="shared" si="23"/>
        <v>0</v>
      </c>
      <c r="O16" s="883">
        <f t="shared" si="24"/>
        <v>0</v>
      </c>
      <c r="P16" s="883">
        <f t="shared" si="25"/>
        <v>0</v>
      </c>
      <c r="Q16" s="180">
        <f t="shared" si="6"/>
        <v>0</v>
      </c>
      <c r="R16" s="883">
        <f t="shared" si="7"/>
        <v>0</v>
      </c>
      <c r="S16" s="883">
        <f t="shared" si="8"/>
        <v>0</v>
      </c>
      <c r="T16" s="883">
        <f t="shared" si="9"/>
        <v>0</v>
      </c>
      <c r="U16" s="883">
        <f t="shared" si="10"/>
        <v>0</v>
      </c>
      <c r="V16" s="883">
        <f t="shared" si="11"/>
        <v>0</v>
      </c>
      <c r="W16" s="883">
        <f t="shared" si="12"/>
        <v>0</v>
      </c>
      <c r="X16" s="180">
        <f t="shared" si="13"/>
        <v>0</v>
      </c>
      <c r="Y16" s="883"/>
      <c r="Z16" s="883"/>
      <c r="AA16" s="883"/>
      <c r="AB16" s="883"/>
      <c r="AC16" s="883"/>
      <c r="AD16" s="883"/>
      <c r="AE16" s="180"/>
      <c r="AF16" s="1389"/>
      <c r="AG16" s="972">
        <f>'PDYG-200'!D$36</f>
        <v>0.32590000000000002</v>
      </c>
      <c r="AH16" s="972">
        <f>'PDYG-200'!E$36</f>
        <v>0.26899999999999996</v>
      </c>
      <c r="AI16" s="972">
        <f>'PDYG-200'!F$36</f>
        <v>0.40510000000000002</v>
      </c>
    </row>
    <row r="17" spans="2:35">
      <c r="B17" s="48"/>
      <c r="C17" s="887" t="s">
        <v>305</v>
      </c>
      <c r="D17" s="883">
        <v>75460</v>
      </c>
      <c r="E17" s="883">
        <v>113190</v>
      </c>
      <c r="F17" s="883">
        <v>80290</v>
      </c>
      <c r="G17" s="883">
        <v>58380</v>
      </c>
      <c r="H17" s="883">
        <v>145460</v>
      </c>
      <c r="I17" s="883">
        <v>145390</v>
      </c>
      <c r="J17" s="180">
        <f t="shared" si="4"/>
        <v>618170</v>
      </c>
      <c r="K17" s="883">
        <f t="shared" si="20"/>
        <v>24592.414000000001</v>
      </c>
      <c r="L17" s="883">
        <f t="shared" si="21"/>
        <v>36888.620999999999</v>
      </c>
      <c r="M17" s="883">
        <f t="shared" si="22"/>
        <v>26166.511000000002</v>
      </c>
      <c r="N17" s="883">
        <f t="shared" si="23"/>
        <v>19026.042000000001</v>
      </c>
      <c r="O17" s="883">
        <f t="shared" si="24"/>
        <v>47405.414000000004</v>
      </c>
      <c r="P17" s="883">
        <f t="shared" si="25"/>
        <v>47382.601000000002</v>
      </c>
      <c r="Q17" s="180">
        <f t="shared" si="6"/>
        <v>201461.603</v>
      </c>
      <c r="R17" s="883">
        <f t="shared" si="7"/>
        <v>50867.585999999996</v>
      </c>
      <c r="S17" s="883">
        <f t="shared" si="8"/>
        <v>76301.379000000001</v>
      </c>
      <c r="T17" s="883">
        <f t="shared" si="9"/>
        <v>54123.489000000001</v>
      </c>
      <c r="U17" s="883">
        <f t="shared" si="10"/>
        <v>39353.957999999999</v>
      </c>
      <c r="V17" s="883">
        <f t="shared" si="11"/>
        <v>98054.585999999996</v>
      </c>
      <c r="W17" s="883">
        <f t="shared" si="12"/>
        <v>98007.399000000005</v>
      </c>
      <c r="X17" s="180">
        <f t="shared" si="13"/>
        <v>416708.397</v>
      </c>
      <c r="Y17" s="883"/>
      <c r="Z17" s="883"/>
      <c r="AA17" s="883"/>
      <c r="AB17" s="883"/>
      <c r="AC17" s="883"/>
      <c r="AD17" s="883"/>
      <c r="AE17" s="180"/>
      <c r="AF17" s="1389"/>
      <c r="AG17" s="972">
        <f>'PDYG-200'!D$36</f>
        <v>0.32590000000000002</v>
      </c>
      <c r="AH17" s="972">
        <f>'PDYG-200'!E$36</f>
        <v>0.26899999999999996</v>
      </c>
      <c r="AI17" s="972">
        <f>'PDYG-200'!F$36</f>
        <v>0.40510000000000002</v>
      </c>
    </row>
    <row r="18" spans="2:35">
      <c r="B18" s="48"/>
      <c r="C18" s="887" t="s">
        <v>307</v>
      </c>
      <c r="D18" s="883">
        <v>0</v>
      </c>
      <c r="E18" s="883">
        <v>0</v>
      </c>
      <c r="F18" s="883">
        <v>0</v>
      </c>
      <c r="G18" s="883">
        <v>0</v>
      </c>
      <c r="H18" s="883">
        <v>0</v>
      </c>
      <c r="I18" s="883">
        <v>0</v>
      </c>
      <c r="J18" s="180">
        <f t="shared" si="4"/>
        <v>0</v>
      </c>
      <c r="K18" s="883">
        <f t="shared" si="20"/>
        <v>0</v>
      </c>
      <c r="L18" s="883">
        <f t="shared" si="21"/>
        <v>0</v>
      </c>
      <c r="M18" s="883">
        <f t="shared" si="22"/>
        <v>0</v>
      </c>
      <c r="N18" s="883">
        <f t="shared" si="23"/>
        <v>0</v>
      </c>
      <c r="O18" s="883">
        <f t="shared" si="24"/>
        <v>0</v>
      </c>
      <c r="P18" s="883">
        <f t="shared" si="25"/>
        <v>0</v>
      </c>
      <c r="Q18" s="180">
        <f t="shared" si="6"/>
        <v>0</v>
      </c>
      <c r="R18" s="883">
        <f t="shared" si="7"/>
        <v>0</v>
      </c>
      <c r="S18" s="883">
        <f t="shared" si="8"/>
        <v>0</v>
      </c>
      <c r="T18" s="883">
        <f t="shared" si="9"/>
        <v>0</v>
      </c>
      <c r="U18" s="883">
        <f t="shared" si="10"/>
        <v>0</v>
      </c>
      <c r="V18" s="883">
        <f t="shared" si="11"/>
        <v>0</v>
      </c>
      <c r="W18" s="883">
        <f t="shared" si="12"/>
        <v>0</v>
      </c>
      <c r="X18" s="180">
        <f t="shared" si="13"/>
        <v>0</v>
      </c>
      <c r="Y18" s="883"/>
      <c r="Z18" s="883"/>
      <c r="AA18" s="883"/>
      <c r="AB18" s="883"/>
      <c r="AC18" s="883"/>
      <c r="AD18" s="883"/>
      <c r="AE18" s="180"/>
      <c r="AF18" s="1389"/>
      <c r="AG18" s="972">
        <f>'PDYG-200'!D$36</f>
        <v>0.32590000000000002</v>
      </c>
      <c r="AH18" s="972">
        <f>'PDYG-200'!E$36</f>
        <v>0.26899999999999996</v>
      </c>
      <c r="AI18" s="972">
        <f>'PDYG-200'!F$36</f>
        <v>0.40510000000000002</v>
      </c>
    </row>
    <row r="19" spans="2:35">
      <c r="B19" s="48"/>
      <c r="C19" s="884"/>
      <c r="D19" s="883">
        <v>0</v>
      </c>
      <c r="E19" s="883">
        <v>0</v>
      </c>
      <c r="F19" s="883">
        <v>0</v>
      </c>
      <c r="G19" s="883">
        <v>0</v>
      </c>
      <c r="H19" s="883">
        <v>0</v>
      </c>
      <c r="I19" s="883">
        <v>0</v>
      </c>
      <c r="J19" s="180">
        <f t="shared" si="4"/>
        <v>0</v>
      </c>
      <c r="K19" s="883"/>
      <c r="L19" s="883"/>
      <c r="M19" s="883"/>
      <c r="N19" s="883"/>
      <c r="O19" s="883"/>
      <c r="P19" s="883"/>
      <c r="Q19" s="180">
        <f t="shared" si="6"/>
        <v>0</v>
      </c>
      <c r="R19" s="883">
        <f t="shared" si="7"/>
        <v>0</v>
      </c>
      <c r="S19" s="883">
        <f t="shared" si="8"/>
        <v>0</v>
      </c>
      <c r="T19" s="883">
        <f t="shared" si="9"/>
        <v>0</v>
      </c>
      <c r="U19" s="883">
        <f t="shared" si="10"/>
        <v>0</v>
      </c>
      <c r="V19" s="883">
        <f t="shared" si="11"/>
        <v>0</v>
      </c>
      <c r="W19" s="883">
        <f t="shared" si="12"/>
        <v>0</v>
      </c>
      <c r="X19" s="180">
        <f t="shared" si="13"/>
        <v>0</v>
      </c>
      <c r="Y19" s="883"/>
      <c r="Z19" s="883"/>
      <c r="AA19" s="883"/>
      <c r="AB19" s="883"/>
      <c r="AC19" s="883"/>
      <c r="AD19" s="883"/>
      <c r="AE19" s="180"/>
      <c r="AF19" s="1389"/>
    </row>
    <row r="20" spans="2:35" s="587" customFormat="1">
      <c r="B20" s="48"/>
      <c r="C20" s="880" t="s">
        <v>443</v>
      </c>
      <c r="D20" s="881">
        <v>228210534</v>
      </c>
      <c r="E20" s="881">
        <v>227500941</v>
      </c>
      <c r="F20" s="881">
        <v>223698465</v>
      </c>
      <c r="G20" s="881">
        <v>226161945</v>
      </c>
      <c r="H20" s="881">
        <v>216898637</v>
      </c>
      <c r="I20" s="881">
        <v>218225672</v>
      </c>
      <c r="J20" s="180">
        <f t="shared" si="4"/>
        <v>1340696194</v>
      </c>
      <c r="K20" s="881">
        <f t="shared" ref="K20:W20" si="26">SUBTOTAL(9,K21:K105)</f>
        <v>65709885.996899992</v>
      </c>
      <c r="L20" s="881">
        <f t="shared" si="26"/>
        <v>65410129.602099992</v>
      </c>
      <c r="M20" s="881">
        <f t="shared" si="26"/>
        <v>64092052.634500012</v>
      </c>
      <c r="N20" s="881">
        <f t="shared" si="26"/>
        <v>65049265.288499981</v>
      </c>
      <c r="O20" s="881">
        <f t="shared" si="26"/>
        <v>62100617.908899985</v>
      </c>
      <c r="P20" s="881">
        <f t="shared" si="26"/>
        <v>62448142.533199988</v>
      </c>
      <c r="Q20" s="180">
        <f t="shared" si="6"/>
        <v>384810093.96409994</v>
      </c>
      <c r="R20" s="881">
        <f t="shared" si="26"/>
        <v>162500648.00310001</v>
      </c>
      <c r="S20" s="881">
        <f t="shared" si="26"/>
        <v>162090811.39790002</v>
      </c>
      <c r="T20" s="881">
        <f t="shared" si="26"/>
        <v>159606412.36550003</v>
      </c>
      <c r="U20" s="881">
        <f t="shared" si="26"/>
        <v>161112679.71150002</v>
      </c>
      <c r="V20" s="881">
        <f t="shared" si="26"/>
        <v>154798019.09110001</v>
      </c>
      <c r="W20" s="881">
        <f t="shared" si="26"/>
        <v>155777529.46680003</v>
      </c>
      <c r="X20" s="180">
        <f t="shared" si="13"/>
        <v>955886100.03590012</v>
      </c>
      <c r="Y20" s="881"/>
      <c r="Z20" s="881"/>
      <c r="AA20" s="881"/>
      <c r="AB20" s="881"/>
      <c r="AC20" s="881"/>
      <c r="AD20" s="881"/>
      <c r="AE20" s="180"/>
      <c r="AF20" s="1389"/>
      <c r="AG20" s="972"/>
      <c r="AH20" s="972"/>
      <c r="AI20" s="972"/>
    </row>
    <row r="21" spans="2:35">
      <c r="B21" s="48" t="s">
        <v>275</v>
      </c>
      <c r="C21" s="882" t="s">
        <v>275</v>
      </c>
      <c r="D21" s="881">
        <v>2796078</v>
      </c>
      <c r="E21" s="881">
        <v>2776295</v>
      </c>
      <c r="F21" s="881">
        <v>2745536</v>
      </c>
      <c r="G21" s="881">
        <v>2827585</v>
      </c>
      <c r="H21" s="881">
        <v>2788874</v>
      </c>
      <c r="I21" s="881">
        <v>2916840</v>
      </c>
      <c r="J21" s="180">
        <f t="shared" si="4"/>
        <v>16851208</v>
      </c>
      <c r="K21" s="881">
        <f t="shared" ref="K21:W21" si="27">SUBTOTAL(9,K22:K24)</f>
        <v>725703</v>
      </c>
      <c r="L21" s="881">
        <f t="shared" si="27"/>
        <v>673184</v>
      </c>
      <c r="M21" s="881">
        <f t="shared" si="27"/>
        <v>657731</v>
      </c>
      <c r="N21" s="881">
        <f t="shared" si="27"/>
        <v>657731</v>
      </c>
      <c r="O21" s="881">
        <f t="shared" si="27"/>
        <v>538996</v>
      </c>
      <c r="P21" s="881">
        <f t="shared" si="27"/>
        <v>634129</v>
      </c>
      <c r="Q21" s="180">
        <f t="shared" si="6"/>
        <v>3887474</v>
      </c>
      <c r="R21" s="881">
        <f t="shared" si="27"/>
        <v>2070375</v>
      </c>
      <c r="S21" s="881">
        <f t="shared" si="27"/>
        <v>2103111</v>
      </c>
      <c r="T21" s="881">
        <f t="shared" si="27"/>
        <v>2087805</v>
      </c>
      <c r="U21" s="881">
        <f t="shared" si="27"/>
        <v>2169854</v>
      </c>
      <c r="V21" s="881">
        <f t="shared" si="27"/>
        <v>2249878</v>
      </c>
      <c r="W21" s="881">
        <f t="shared" si="27"/>
        <v>2282711</v>
      </c>
      <c r="X21" s="180">
        <f t="shared" si="13"/>
        <v>12963734</v>
      </c>
      <c r="Y21" s="883"/>
      <c r="Z21" s="883"/>
      <c r="AA21" s="883"/>
      <c r="AB21" s="883"/>
      <c r="AC21" s="883"/>
      <c r="AD21" s="883"/>
      <c r="AE21" s="180"/>
      <c r="AF21" s="1389"/>
      <c r="AG21" s="972"/>
      <c r="AH21" s="972"/>
      <c r="AI21" s="972"/>
    </row>
    <row r="22" spans="2:35">
      <c r="B22" s="48"/>
      <c r="C22" s="887" t="s">
        <v>304</v>
      </c>
      <c r="D22" s="883">
        <v>2765289</v>
      </c>
      <c r="E22" s="883">
        <v>2756863</v>
      </c>
      <c r="F22" s="883">
        <v>2720916</v>
      </c>
      <c r="G22" s="883">
        <v>2801947</v>
      </c>
      <c r="H22" s="883">
        <v>2769333</v>
      </c>
      <c r="I22" s="883">
        <v>2892759</v>
      </c>
      <c r="J22" s="180">
        <f t="shared" si="4"/>
        <v>16707107</v>
      </c>
      <c r="K22" s="974">
        <f>D175</f>
        <v>718761</v>
      </c>
      <c r="L22" s="974">
        <f t="shared" ref="L22:P22" si="28">E175</f>
        <v>670624</v>
      </c>
      <c r="M22" s="974">
        <f t="shared" si="28"/>
        <v>653261</v>
      </c>
      <c r="N22" s="974">
        <f t="shared" si="28"/>
        <v>653261</v>
      </c>
      <c r="O22" s="974">
        <f t="shared" si="28"/>
        <v>535980</v>
      </c>
      <c r="P22" s="974">
        <f t="shared" si="28"/>
        <v>630810</v>
      </c>
      <c r="Q22" s="180">
        <f t="shared" si="6"/>
        <v>3862697</v>
      </c>
      <c r="R22" s="883">
        <f t="shared" si="7"/>
        <v>2046528</v>
      </c>
      <c r="S22" s="883">
        <f t="shared" si="8"/>
        <v>2086239</v>
      </c>
      <c r="T22" s="883">
        <f t="shared" si="9"/>
        <v>2067655</v>
      </c>
      <c r="U22" s="883">
        <f t="shared" si="10"/>
        <v>2148686</v>
      </c>
      <c r="V22" s="883">
        <f t="shared" si="11"/>
        <v>2233353</v>
      </c>
      <c r="W22" s="883">
        <f t="shared" si="12"/>
        <v>2261949</v>
      </c>
      <c r="X22" s="180">
        <f t="shared" si="13"/>
        <v>12844410</v>
      </c>
      <c r="Y22" s="883"/>
      <c r="Z22" s="883"/>
      <c r="AA22" s="883"/>
      <c r="AB22" s="883"/>
      <c r="AC22" s="883"/>
      <c r="AD22" s="883"/>
      <c r="AE22" s="180"/>
      <c r="AF22" s="1389"/>
      <c r="AG22" s="972"/>
      <c r="AH22" s="972"/>
      <c r="AI22" s="972"/>
    </row>
    <row r="23" spans="2:35">
      <c r="B23" s="48"/>
      <c r="C23" s="888" t="s">
        <v>306</v>
      </c>
      <c r="D23" s="883">
        <v>20229</v>
      </c>
      <c r="E23" s="883">
        <v>10632</v>
      </c>
      <c r="F23" s="883">
        <v>15660</v>
      </c>
      <c r="G23" s="883">
        <v>16358</v>
      </c>
      <c r="H23" s="883">
        <v>11381</v>
      </c>
      <c r="I23" s="883">
        <v>14961</v>
      </c>
      <c r="J23" s="180">
        <f t="shared" si="4"/>
        <v>89221</v>
      </c>
      <c r="K23" s="974">
        <f t="shared" ref="K23:P23" si="29">D176</f>
        <v>3902</v>
      </c>
      <c r="L23" s="974">
        <f t="shared" si="29"/>
        <v>0</v>
      </c>
      <c r="M23" s="974">
        <f t="shared" si="29"/>
        <v>2230</v>
      </c>
      <c r="N23" s="974">
        <f t="shared" si="29"/>
        <v>2230</v>
      </c>
      <c r="O23" s="974">
        <f t="shared" si="29"/>
        <v>1416</v>
      </c>
      <c r="P23" s="974">
        <f t="shared" si="29"/>
        <v>1239</v>
      </c>
      <c r="Q23" s="180">
        <f t="shared" si="6"/>
        <v>11017</v>
      </c>
      <c r="R23" s="883">
        <f t="shared" si="7"/>
        <v>16327</v>
      </c>
      <c r="S23" s="883">
        <f t="shared" si="8"/>
        <v>10632</v>
      </c>
      <c r="T23" s="883">
        <f t="shared" si="9"/>
        <v>13430</v>
      </c>
      <c r="U23" s="883">
        <f t="shared" si="10"/>
        <v>14128</v>
      </c>
      <c r="V23" s="883">
        <f t="shared" si="11"/>
        <v>9965</v>
      </c>
      <c r="W23" s="883">
        <f t="shared" si="12"/>
        <v>13722</v>
      </c>
      <c r="X23" s="180">
        <f t="shared" si="13"/>
        <v>78204</v>
      </c>
      <c r="Y23" s="883"/>
      <c r="Z23" s="883"/>
      <c r="AA23" s="883"/>
      <c r="AB23" s="883"/>
      <c r="AC23" s="883"/>
      <c r="AD23" s="883"/>
      <c r="AE23" s="180"/>
      <c r="AF23" s="1389"/>
      <c r="AG23" s="972"/>
      <c r="AH23" s="972"/>
      <c r="AI23" s="972"/>
    </row>
    <row r="24" spans="2:35">
      <c r="B24" s="48"/>
      <c r="C24" s="887" t="s">
        <v>305</v>
      </c>
      <c r="D24" s="883">
        <v>10560</v>
      </c>
      <c r="E24" s="883">
        <v>8800</v>
      </c>
      <c r="F24" s="883">
        <v>8960</v>
      </c>
      <c r="G24" s="883">
        <v>9280</v>
      </c>
      <c r="H24" s="883">
        <v>8160</v>
      </c>
      <c r="I24" s="883">
        <v>9120</v>
      </c>
      <c r="J24" s="180">
        <f t="shared" si="4"/>
        <v>54880</v>
      </c>
      <c r="K24" s="974">
        <f t="shared" ref="K24:P24" si="30">D177</f>
        <v>3040</v>
      </c>
      <c r="L24" s="974">
        <f t="shared" si="30"/>
        <v>2560</v>
      </c>
      <c r="M24" s="974">
        <f t="shared" si="30"/>
        <v>2240</v>
      </c>
      <c r="N24" s="974">
        <f t="shared" si="30"/>
        <v>2240</v>
      </c>
      <c r="O24" s="974">
        <f t="shared" si="30"/>
        <v>1600</v>
      </c>
      <c r="P24" s="974">
        <f t="shared" si="30"/>
        <v>2080</v>
      </c>
      <c r="Q24" s="180">
        <f t="shared" si="6"/>
        <v>13760</v>
      </c>
      <c r="R24" s="883">
        <f t="shared" si="7"/>
        <v>7520</v>
      </c>
      <c r="S24" s="883">
        <f t="shared" si="8"/>
        <v>6240</v>
      </c>
      <c r="T24" s="883">
        <f t="shared" si="9"/>
        <v>6720</v>
      </c>
      <c r="U24" s="883">
        <f t="shared" si="10"/>
        <v>7040</v>
      </c>
      <c r="V24" s="883">
        <f t="shared" si="11"/>
        <v>6560</v>
      </c>
      <c r="W24" s="883">
        <f t="shared" si="12"/>
        <v>7040</v>
      </c>
      <c r="X24" s="180">
        <f t="shared" si="13"/>
        <v>41120</v>
      </c>
      <c r="Y24" s="883"/>
      <c r="Z24" s="883"/>
      <c r="AA24" s="883"/>
      <c r="AB24" s="883"/>
      <c r="AC24" s="883"/>
      <c r="AD24" s="883"/>
      <c r="AE24" s="180"/>
      <c r="AF24" s="1389"/>
      <c r="AG24" s="972"/>
      <c r="AH24" s="972"/>
      <c r="AI24" s="972"/>
    </row>
    <row r="25" spans="2:35">
      <c r="B25" s="48"/>
      <c r="C25" s="887"/>
      <c r="D25" s="883">
        <v>0</v>
      </c>
      <c r="E25" s="883">
        <v>0</v>
      </c>
      <c r="F25" s="883">
        <v>0</v>
      </c>
      <c r="G25" s="883">
        <v>0</v>
      </c>
      <c r="H25" s="883">
        <v>0</v>
      </c>
      <c r="I25" s="883">
        <v>0</v>
      </c>
      <c r="J25" s="180">
        <f t="shared" si="4"/>
        <v>0</v>
      </c>
      <c r="K25" s="883"/>
      <c r="L25" s="883"/>
      <c r="M25" s="883"/>
      <c r="N25" s="883"/>
      <c r="O25" s="883"/>
      <c r="P25" s="883"/>
      <c r="Q25" s="180">
        <f t="shared" si="6"/>
        <v>0</v>
      </c>
      <c r="R25" s="883"/>
      <c r="S25" s="883"/>
      <c r="T25" s="883"/>
      <c r="U25" s="883"/>
      <c r="V25" s="883"/>
      <c r="W25" s="883"/>
      <c r="X25" s="180">
        <f t="shared" si="13"/>
        <v>0</v>
      </c>
      <c r="Y25" s="883"/>
      <c r="Z25" s="883"/>
      <c r="AA25" s="883"/>
      <c r="AB25" s="883"/>
      <c r="AC25" s="883"/>
      <c r="AD25" s="883"/>
      <c r="AE25" s="180"/>
      <c r="AF25" s="1389"/>
      <c r="AG25" s="972"/>
      <c r="AH25" s="972"/>
      <c r="AI25" s="972"/>
    </row>
    <row r="26" spans="2:35">
      <c r="B26" s="48"/>
      <c r="C26" s="882" t="s">
        <v>1736</v>
      </c>
      <c r="D26" s="881">
        <v>60042933</v>
      </c>
      <c r="E26" s="881">
        <v>59582611</v>
      </c>
      <c r="F26" s="881">
        <v>57347048</v>
      </c>
      <c r="G26" s="881">
        <v>59528985</v>
      </c>
      <c r="H26" s="881">
        <v>56096582</v>
      </c>
      <c r="I26" s="881">
        <v>55882612</v>
      </c>
      <c r="J26" s="180">
        <f t="shared" si="4"/>
        <v>348480771</v>
      </c>
      <c r="K26" s="881">
        <f t="shared" ref="K26:W26" si="31">SUBTOTAL(9,K27:K48)</f>
        <v>25013885.887800001</v>
      </c>
      <c r="L26" s="881">
        <f t="shared" si="31"/>
        <v>24822115.742600001</v>
      </c>
      <c r="M26" s="881">
        <f t="shared" si="31"/>
        <v>23890780.196800001</v>
      </c>
      <c r="N26" s="881">
        <f t="shared" si="31"/>
        <v>24799775.151000001</v>
      </c>
      <c r="O26" s="881">
        <f t="shared" si="31"/>
        <v>23369836.061199997</v>
      </c>
      <c r="P26" s="881">
        <f t="shared" si="31"/>
        <v>23280696.159199998</v>
      </c>
      <c r="Q26" s="180">
        <f t="shared" si="6"/>
        <v>145177089.19859999</v>
      </c>
      <c r="R26" s="881">
        <f t="shared" si="31"/>
        <v>35029047.112199992</v>
      </c>
      <c r="S26" s="881">
        <f t="shared" si="31"/>
        <v>34760495.257399991</v>
      </c>
      <c r="T26" s="881">
        <f t="shared" si="31"/>
        <v>33456267.803199999</v>
      </c>
      <c r="U26" s="881">
        <f t="shared" si="31"/>
        <v>34729209.848999999</v>
      </c>
      <c r="V26" s="881">
        <f t="shared" si="31"/>
        <v>32726745.9388</v>
      </c>
      <c r="W26" s="881">
        <f t="shared" si="31"/>
        <v>32601915.840799987</v>
      </c>
      <c r="X26" s="180">
        <f t="shared" si="13"/>
        <v>203303681.80139998</v>
      </c>
      <c r="Y26" s="883"/>
      <c r="Z26" s="883"/>
      <c r="AA26" s="883"/>
      <c r="AB26" s="883"/>
      <c r="AC26" s="883"/>
      <c r="AD26" s="883"/>
      <c r="AE26" s="180"/>
      <c r="AF26" s="1389"/>
      <c r="AG26" s="972"/>
      <c r="AH26" s="972"/>
      <c r="AI26" s="972"/>
    </row>
    <row r="27" spans="2:35">
      <c r="B27" s="48" t="s">
        <v>274</v>
      </c>
      <c r="C27" s="882" t="s">
        <v>627</v>
      </c>
      <c r="D27" s="881">
        <v>34334070</v>
      </c>
      <c r="E27" s="881">
        <v>34330691</v>
      </c>
      <c r="F27" s="881">
        <v>33828732</v>
      </c>
      <c r="G27" s="881">
        <v>34494381</v>
      </c>
      <c r="H27" s="881">
        <v>33266304</v>
      </c>
      <c r="I27" s="881">
        <v>33003360</v>
      </c>
      <c r="J27" s="180">
        <f t="shared" si="4"/>
        <v>203257538</v>
      </c>
      <c r="K27" s="881">
        <f t="shared" ref="K27:W27" si="32">SUBTOTAL(9,K28:K33)</f>
        <v>14303573.561999999</v>
      </c>
      <c r="L27" s="881">
        <f t="shared" si="32"/>
        <v>14302165.8706</v>
      </c>
      <c r="M27" s="881">
        <f t="shared" si="32"/>
        <v>14093049.7512</v>
      </c>
      <c r="N27" s="881">
        <f t="shared" si="32"/>
        <v>14370359.124600001</v>
      </c>
      <c r="O27" s="881">
        <f t="shared" si="32"/>
        <v>13858742.246400002</v>
      </c>
      <c r="P27" s="881">
        <f t="shared" si="32"/>
        <v>13749199.775999999</v>
      </c>
      <c r="Q27" s="180">
        <f t="shared" si="6"/>
        <v>84677090.330799997</v>
      </c>
      <c r="R27" s="881">
        <f t="shared" si="32"/>
        <v>20030496.437999997</v>
      </c>
      <c r="S27" s="881">
        <f t="shared" si="32"/>
        <v>20028525.129399993</v>
      </c>
      <c r="T27" s="881">
        <f t="shared" si="32"/>
        <v>19735682.248799998</v>
      </c>
      <c r="U27" s="881">
        <f t="shared" si="32"/>
        <v>20124021.875399999</v>
      </c>
      <c r="V27" s="881">
        <f t="shared" si="32"/>
        <v>19407561.753600001</v>
      </c>
      <c r="W27" s="881">
        <f t="shared" si="32"/>
        <v>19254160.223999992</v>
      </c>
      <c r="X27" s="180">
        <f t="shared" si="13"/>
        <v>118580447.66919999</v>
      </c>
      <c r="Y27" s="881"/>
      <c r="Z27" s="881"/>
      <c r="AA27" s="881"/>
      <c r="AB27" s="881"/>
      <c r="AC27" s="881"/>
      <c r="AD27" s="881"/>
      <c r="AE27" s="180"/>
      <c r="AF27" s="1389"/>
      <c r="AG27" s="972">
        <f>'PDYG-200'!D$37</f>
        <v>0.41660000000000003</v>
      </c>
      <c r="AH27" s="972">
        <f>'PDYG-200'!E$37</f>
        <v>0.24340000000000001</v>
      </c>
      <c r="AI27" s="972">
        <f>'PDYG-200'!F$37</f>
        <v>0.33999999999999997</v>
      </c>
    </row>
    <row r="28" spans="2:35">
      <c r="B28" s="48"/>
      <c r="C28" s="887" t="s">
        <v>304</v>
      </c>
      <c r="D28" s="883">
        <v>34263685</v>
      </c>
      <c r="E28" s="883">
        <v>34257922</v>
      </c>
      <c r="F28" s="883">
        <v>33747368</v>
      </c>
      <c r="G28" s="883">
        <v>34424513</v>
      </c>
      <c r="H28" s="883">
        <v>33198007</v>
      </c>
      <c r="I28" s="883">
        <v>32926402</v>
      </c>
      <c r="J28" s="180">
        <f t="shared" si="4"/>
        <v>202817897</v>
      </c>
      <c r="K28" s="883">
        <f t="shared" ref="K28:K33" si="33">D28*$AG28</f>
        <v>14274251.171</v>
      </c>
      <c r="L28" s="883">
        <f t="shared" ref="L28:L33" si="34">E28*$AG28</f>
        <v>14271850.305200001</v>
      </c>
      <c r="M28" s="883">
        <f t="shared" ref="M28:M33" si="35">F28*$AG28</f>
        <v>14059153.5088</v>
      </c>
      <c r="N28" s="883">
        <f t="shared" ref="N28:N33" si="36">G28*$AG28</f>
        <v>14341252.115800001</v>
      </c>
      <c r="O28" s="883">
        <f t="shared" ref="O28:O33" si="37">H28*$AG28</f>
        <v>13830289.716200002</v>
      </c>
      <c r="P28" s="883">
        <f t="shared" ref="P28:P33" si="38">I28*$AG28</f>
        <v>13717139.0732</v>
      </c>
      <c r="Q28" s="180">
        <f t="shared" si="6"/>
        <v>84493935.890200004</v>
      </c>
      <c r="R28" s="883">
        <f t="shared" si="7"/>
        <v>19989433.829</v>
      </c>
      <c r="S28" s="883">
        <f t="shared" si="8"/>
        <v>19986071.694799997</v>
      </c>
      <c r="T28" s="883">
        <f t="shared" si="9"/>
        <v>19688214.4912</v>
      </c>
      <c r="U28" s="883">
        <f t="shared" si="10"/>
        <v>20083260.884199999</v>
      </c>
      <c r="V28" s="883">
        <f t="shared" si="11"/>
        <v>19367717.283799998</v>
      </c>
      <c r="W28" s="883">
        <f t="shared" si="12"/>
        <v>19209262.926799998</v>
      </c>
      <c r="X28" s="180">
        <f t="shared" si="13"/>
        <v>118323961.1098</v>
      </c>
      <c r="Y28" s="883"/>
      <c r="Z28" s="883"/>
      <c r="AA28" s="883"/>
      <c r="AB28" s="883"/>
      <c r="AC28" s="883"/>
      <c r="AD28" s="883"/>
      <c r="AE28" s="180"/>
      <c r="AF28" s="1389"/>
      <c r="AG28" s="972">
        <f>'PDYG-200'!D$37</f>
        <v>0.41660000000000003</v>
      </c>
      <c r="AH28" s="972">
        <f>'PDYG-200'!E$37</f>
        <v>0.24340000000000001</v>
      </c>
      <c r="AI28" s="972">
        <f>'PDYG-200'!F$37</f>
        <v>0.33999999999999997</v>
      </c>
    </row>
    <row r="29" spans="2:35">
      <c r="B29" s="48"/>
      <c r="C29" s="888" t="s">
        <v>628</v>
      </c>
      <c r="D29" s="883">
        <v>3600</v>
      </c>
      <c r="E29" s="883">
        <v>3600</v>
      </c>
      <c r="F29" s="883">
        <v>4200</v>
      </c>
      <c r="G29" s="883">
        <v>4200</v>
      </c>
      <c r="H29" s="883">
        <v>4200</v>
      </c>
      <c r="I29" s="883">
        <v>3600</v>
      </c>
      <c r="J29" s="180">
        <f t="shared" si="4"/>
        <v>23400</v>
      </c>
      <c r="K29" s="883">
        <f t="shared" si="33"/>
        <v>1499.76</v>
      </c>
      <c r="L29" s="883">
        <f t="shared" si="34"/>
        <v>1499.76</v>
      </c>
      <c r="M29" s="883">
        <f t="shared" si="35"/>
        <v>1749.72</v>
      </c>
      <c r="N29" s="883">
        <f t="shared" si="36"/>
        <v>1749.72</v>
      </c>
      <c r="O29" s="883">
        <f t="shared" si="37"/>
        <v>1749.72</v>
      </c>
      <c r="P29" s="883">
        <f t="shared" si="38"/>
        <v>1499.76</v>
      </c>
      <c r="Q29" s="180">
        <f t="shared" si="6"/>
        <v>9748.44</v>
      </c>
      <c r="R29" s="883">
        <f t="shared" si="7"/>
        <v>2100.2399999999998</v>
      </c>
      <c r="S29" s="883">
        <f t="shared" si="8"/>
        <v>2100.2399999999998</v>
      </c>
      <c r="T29" s="883">
        <f t="shared" si="9"/>
        <v>2450.2799999999997</v>
      </c>
      <c r="U29" s="883">
        <f t="shared" si="10"/>
        <v>2450.2799999999997</v>
      </c>
      <c r="V29" s="883">
        <f t="shared" si="11"/>
        <v>2450.2799999999997</v>
      </c>
      <c r="W29" s="883">
        <f t="shared" si="12"/>
        <v>2100.2399999999998</v>
      </c>
      <c r="X29" s="180">
        <f t="shared" si="13"/>
        <v>13651.56</v>
      </c>
      <c r="Y29" s="883"/>
      <c r="Z29" s="883"/>
      <c r="AA29" s="883"/>
      <c r="AB29" s="883"/>
      <c r="AC29" s="883"/>
      <c r="AD29" s="883"/>
      <c r="AE29" s="180"/>
      <c r="AF29" s="1389"/>
      <c r="AG29" s="972">
        <f>'PDYG-200'!D$37</f>
        <v>0.41660000000000003</v>
      </c>
      <c r="AH29" s="972">
        <f>'PDYG-200'!E$37</f>
        <v>0.24340000000000001</v>
      </c>
      <c r="AI29" s="972">
        <f>'PDYG-200'!F$37</f>
        <v>0.33999999999999997</v>
      </c>
    </row>
    <row r="30" spans="2:35">
      <c r="B30" s="48"/>
      <c r="C30" s="888" t="s">
        <v>629</v>
      </c>
      <c r="D30" s="883">
        <v>15028</v>
      </c>
      <c r="E30" s="883">
        <v>16331</v>
      </c>
      <c r="F30" s="883">
        <v>16205</v>
      </c>
      <c r="G30" s="883">
        <v>15146</v>
      </c>
      <c r="H30" s="883">
        <v>14956</v>
      </c>
      <c r="I30" s="883">
        <v>15574</v>
      </c>
      <c r="J30" s="180">
        <f t="shared" si="4"/>
        <v>93240</v>
      </c>
      <c r="K30" s="883">
        <f t="shared" si="33"/>
        <v>6260.6648000000005</v>
      </c>
      <c r="L30" s="883">
        <f t="shared" si="34"/>
        <v>6803.4946</v>
      </c>
      <c r="M30" s="883">
        <f t="shared" si="35"/>
        <v>6751.0030000000006</v>
      </c>
      <c r="N30" s="883">
        <f t="shared" si="36"/>
        <v>6309.8236000000006</v>
      </c>
      <c r="O30" s="883">
        <f t="shared" si="37"/>
        <v>6230.6696000000002</v>
      </c>
      <c r="P30" s="883">
        <f t="shared" si="38"/>
        <v>6488.1284000000005</v>
      </c>
      <c r="Q30" s="180">
        <f t="shared" si="6"/>
        <v>38843.784</v>
      </c>
      <c r="R30" s="883">
        <f t="shared" si="7"/>
        <v>8767.3351999999995</v>
      </c>
      <c r="S30" s="883">
        <f t="shared" si="8"/>
        <v>9527.5054</v>
      </c>
      <c r="T30" s="883">
        <f t="shared" si="9"/>
        <v>9453.9969999999994</v>
      </c>
      <c r="U30" s="883">
        <f t="shared" si="10"/>
        <v>8836.1764000000003</v>
      </c>
      <c r="V30" s="883">
        <f t="shared" si="11"/>
        <v>8725.3303999999989</v>
      </c>
      <c r="W30" s="883">
        <f t="shared" si="12"/>
        <v>9085.8715999999986</v>
      </c>
      <c r="X30" s="180">
        <f t="shared" si="13"/>
        <v>54396.215999999993</v>
      </c>
      <c r="Y30" s="883"/>
      <c r="Z30" s="883"/>
      <c r="AA30" s="883"/>
      <c r="AB30" s="883"/>
      <c r="AC30" s="883"/>
      <c r="AD30" s="883"/>
      <c r="AE30" s="180"/>
      <c r="AF30" s="1389"/>
      <c r="AG30" s="972">
        <f>'PDYG-200'!D$37</f>
        <v>0.41660000000000003</v>
      </c>
      <c r="AH30" s="972">
        <f>'PDYG-200'!E$37</f>
        <v>0.24340000000000001</v>
      </c>
      <c r="AI30" s="972">
        <f>'PDYG-200'!F$37</f>
        <v>0.33999999999999997</v>
      </c>
    </row>
    <row r="31" spans="2:35">
      <c r="B31" s="48"/>
      <c r="C31" s="887" t="s">
        <v>305</v>
      </c>
      <c r="D31" s="883">
        <v>38160</v>
      </c>
      <c r="E31" s="883">
        <v>40000</v>
      </c>
      <c r="F31" s="883">
        <v>47480</v>
      </c>
      <c r="G31" s="883">
        <v>37240</v>
      </c>
      <c r="H31" s="883">
        <v>36840</v>
      </c>
      <c r="I31" s="883">
        <v>46002</v>
      </c>
      <c r="J31" s="180">
        <f t="shared" si="4"/>
        <v>245722</v>
      </c>
      <c r="K31" s="883">
        <f t="shared" si="33"/>
        <v>15897.456</v>
      </c>
      <c r="L31" s="883">
        <f t="shared" si="34"/>
        <v>16664</v>
      </c>
      <c r="M31" s="883">
        <f t="shared" si="35"/>
        <v>19780.168000000001</v>
      </c>
      <c r="N31" s="883">
        <f t="shared" si="36"/>
        <v>15514.184000000001</v>
      </c>
      <c r="O31" s="883">
        <f t="shared" si="37"/>
        <v>15347.544000000002</v>
      </c>
      <c r="P31" s="883">
        <f t="shared" si="38"/>
        <v>19164.433199999999</v>
      </c>
      <c r="Q31" s="180">
        <f t="shared" si="6"/>
        <v>102367.78519999998</v>
      </c>
      <c r="R31" s="883">
        <f t="shared" si="7"/>
        <v>22262.544000000002</v>
      </c>
      <c r="S31" s="883">
        <f t="shared" si="8"/>
        <v>23336</v>
      </c>
      <c r="T31" s="883">
        <f t="shared" si="9"/>
        <v>27699.831999999999</v>
      </c>
      <c r="U31" s="883">
        <f t="shared" si="10"/>
        <v>21725.815999999999</v>
      </c>
      <c r="V31" s="883">
        <f t="shared" si="11"/>
        <v>21492.455999999998</v>
      </c>
      <c r="W31" s="883">
        <f t="shared" si="12"/>
        <v>26837.566800000001</v>
      </c>
      <c r="X31" s="180">
        <f t="shared" si="13"/>
        <v>143354.21480000002</v>
      </c>
      <c r="Y31" s="883"/>
      <c r="Z31" s="883"/>
      <c r="AA31" s="883"/>
      <c r="AB31" s="883"/>
      <c r="AC31" s="883"/>
      <c r="AD31" s="883"/>
      <c r="AE31" s="180"/>
      <c r="AF31" s="1389"/>
      <c r="AG31" s="972">
        <f>'PDYG-200'!D$37</f>
        <v>0.41660000000000003</v>
      </c>
      <c r="AH31" s="972">
        <f>'PDYG-200'!E$37</f>
        <v>0.24340000000000001</v>
      </c>
      <c r="AI31" s="972">
        <f>'PDYG-200'!F$37</f>
        <v>0.33999999999999997</v>
      </c>
    </row>
    <row r="32" spans="2:35">
      <c r="B32" s="48"/>
      <c r="C32" s="887" t="s">
        <v>307</v>
      </c>
      <c r="D32" s="883">
        <v>7280</v>
      </c>
      <c r="E32" s="883">
        <v>6480</v>
      </c>
      <c r="F32" s="883">
        <v>7840</v>
      </c>
      <c r="G32" s="883">
        <v>7920</v>
      </c>
      <c r="H32" s="883">
        <v>6960</v>
      </c>
      <c r="I32" s="883">
        <v>6160</v>
      </c>
      <c r="J32" s="180">
        <f t="shared" si="4"/>
        <v>42640</v>
      </c>
      <c r="K32" s="883">
        <f t="shared" si="33"/>
        <v>3032.8480000000004</v>
      </c>
      <c r="L32" s="883">
        <f t="shared" si="34"/>
        <v>2699.5680000000002</v>
      </c>
      <c r="M32" s="883">
        <f t="shared" si="35"/>
        <v>3266.1440000000002</v>
      </c>
      <c r="N32" s="883">
        <f t="shared" si="36"/>
        <v>3299.4720000000002</v>
      </c>
      <c r="O32" s="883">
        <f t="shared" si="37"/>
        <v>2899.5360000000001</v>
      </c>
      <c r="P32" s="883">
        <f t="shared" si="38"/>
        <v>2566.2560000000003</v>
      </c>
      <c r="Q32" s="180">
        <f t="shared" si="6"/>
        <v>17763.824000000001</v>
      </c>
      <c r="R32" s="883">
        <f t="shared" si="7"/>
        <v>4247.152</v>
      </c>
      <c r="S32" s="883">
        <f t="shared" si="8"/>
        <v>3780.4319999999998</v>
      </c>
      <c r="T32" s="883">
        <f t="shared" si="9"/>
        <v>4573.8559999999998</v>
      </c>
      <c r="U32" s="883">
        <f t="shared" si="10"/>
        <v>4620.5280000000002</v>
      </c>
      <c r="V32" s="883">
        <f t="shared" si="11"/>
        <v>4060.4639999999999</v>
      </c>
      <c r="W32" s="883">
        <f t="shared" si="12"/>
        <v>3593.7439999999997</v>
      </c>
      <c r="X32" s="180">
        <f t="shared" si="13"/>
        <v>24876.175999999999</v>
      </c>
      <c r="Y32" s="883"/>
      <c r="Z32" s="883"/>
      <c r="AA32" s="883"/>
      <c r="AB32" s="883"/>
      <c r="AC32" s="883"/>
      <c r="AD32" s="883"/>
      <c r="AE32" s="180"/>
      <c r="AF32" s="1389"/>
      <c r="AG32" s="972">
        <f>'PDYG-200'!D$37</f>
        <v>0.41660000000000003</v>
      </c>
      <c r="AH32" s="972">
        <f>'PDYG-200'!E$37</f>
        <v>0.24340000000000001</v>
      </c>
      <c r="AI32" s="972">
        <f>'PDYG-200'!F$37</f>
        <v>0.33999999999999997</v>
      </c>
    </row>
    <row r="33" spans="2:35">
      <c r="B33" s="48"/>
      <c r="C33" s="887" t="s">
        <v>624</v>
      </c>
      <c r="D33" s="883">
        <v>6317</v>
      </c>
      <c r="E33" s="883">
        <v>6358</v>
      </c>
      <c r="F33" s="883">
        <v>5639</v>
      </c>
      <c r="G33" s="883">
        <v>5362</v>
      </c>
      <c r="H33" s="883">
        <v>5341</v>
      </c>
      <c r="I33" s="883">
        <v>5622</v>
      </c>
      <c r="J33" s="180">
        <f t="shared" si="4"/>
        <v>34639</v>
      </c>
      <c r="K33" s="883">
        <f t="shared" si="33"/>
        <v>2631.6622000000002</v>
      </c>
      <c r="L33" s="883">
        <f t="shared" si="34"/>
        <v>2648.7428</v>
      </c>
      <c r="M33" s="883">
        <f t="shared" si="35"/>
        <v>2349.2074000000002</v>
      </c>
      <c r="N33" s="883">
        <f t="shared" si="36"/>
        <v>2233.8092000000001</v>
      </c>
      <c r="O33" s="883">
        <f t="shared" si="37"/>
        <v>2225.0606000000002</v>
      </c>
      <c r="P33" s="883">
        <f t="shared" si="38"/>
        <v>2342.1251999999999</v>
      </c>
      <c r="Q33" s="180">
        <f t="shared" si="6"/>
        <v>14430.607400000003</v>
      </c>
      <c r="R33" s="883">
        <f t="shared" si="7"/>
        <v>3685.3377999999998</v>
      </c>
      <c r="S33" s="883">
        <f t="shared" si="8"/>
        <v>3709.2572</v>
      </c>
      <c r="T33" s="883">
        <f t="shared" si="9"/>
        <v>3289.7925999999998</v>
      </c>
      <c r="U33" s="883">
        <f t="shared" si="10"/>
        <v>3128.1907999999999</v>
      </c>
      <c r="V33" s="883">
        <f t="shared" si="11"/>
        <v>3115.9393999999998</v>
      </c>
      <c r="W33" s="883">
        <f t="shared" si="12"/>
        <v>3279.8748000000001</v>
      </c>
      <c r="X33" s="180">
        <f t="shared" si="13"/>
        <v>20208.392599999999</v>
      </c>
      <c r="Y33" s="883"/>
      <c r="Z33" s="883"/>
      <c r="AA33" s="883"/>
      <c r="AB33" s="883"/>
      <c r="AC33" s="883"/>
      <c r="AD33" s="883"/>
      <c r="AE33" s="180"/>
      <c r="AF33" s="1389"/>
      <c r="AG33" s="972">
        <f>'PDYG-200'!D$37</f>
        <v>0.41660000000000003</v>
      </c>
      <c r="AH33" s="972">
        <f>'PDYG-200'!E$37</f>
        <v>0.24340000000000001</v>
      </c>
      <c r="AI33" s="972">
        <f>'PDYG-200'!F$37</f>
        <v>0.33999999999999997</v>
      </c>
    </row>
    <row r="34" spans="2:35">
      <c r="B34" s="48" t="s">
        <v>274</v>
      </c>
      <c r="C34" s="882" t="s">
        <v>631</v>
      </c>
      <c r="D34" s="881">
        <v>16004005</v>
      </c>
      <c r="E34" s="881">
        <v>16110147</v>
      </c>
      <c r="F34" s="881">
        <v>15390233</v>
      </c>
      <c r="G34" s="881">
        <v>15939543</v>
      </c>
      <c r="H34" s="881">
        <v>14785467</v>
      </c>
      <c r="I34" s="881">
        <v>14525276</v>
      </c>
      <c r="J34" s="180">
        <f t="shared" si="4"/>
        <v>92754671</v>
      </c>
      <c r="K34" s="881">
        <f t="shared" ref="K34:W34" si="39">SUBTOTAL(9,K35:K38)</f>
        <v>6667268.4830000009</v>
      </c>
      <c r="L34" s="881">
        <f t="shared" si="39"/>
        <v>6711487.2402000008</v>
      </c>
      <c r="M34" s="881">
        <f t="shared" si="39"/>
        <v>6411571.0678000012</v>
      </c>
      <c r="N34" s="881">
        <f t="shared" si="39"/>
        <v>6640413.6138000004</v>
      </c>
      <c r="O34" s="881">
        <f t="shared" si="39"/>
        <v>6159625.5522000007</v>
      </c>
      <c r="P34" s="881">
        <f t="shared" si="39"/>
        <v>6051229.9816000005</v>
      </c>
      <c r="Q34" s="180">
        <f t="shared" si="6"/>
        <v>38641595.938600004</v>
      </c>
      <c r="R34" s="881">
        <f t="shared" si="39"/>
        <v>9336736.5169999991</v>
      </c>
      <c r="S34" s="881">
        <f t="shared" si="39"/>
        <v>9398659.7597999983</v>
      </c>
      <c r="T34" s="881">
        <f t="shared" si="39"/>
        <v>8978661.9321999997</v>
      </c>
      <c r="U34" s="881">
        <f t="shared" si="39"/>
        <v>9299129.3861999996</v>
      </c>
      <c r="V34" s="881">
        <f t="shared" si="39"/>
        <v>8625841.4477999993</v>
      </c>
      <c r="W34" s="881">
        <f t="shared" si="39"/>
        <v>8474046.0184000004</v>
      </c>
      <c r="X34" s="180">
        <f t="shared" si="13"/>
        <v>54113075.061399996</v>
      </c>
      <c r="Y34" s="881"/>
      <c r="Z34" s="881"/>
      <c r="AA34" s="881"/>
      <c r="AB34" s="881"/>
      <c r="AC34" s="881"/>
      <c r="AD34" s="881"/>
      <c r="AE34" s="180"/>
      <c r="AF34" s="1389"/>
      <c r="AG34" s="972">
        <f>'PDYG-200'!D$37</f>
        <v>0.41660000000000003</v>
      </c>
      <c r="AH34" s="972">
        <f>'PDYG-200'!E$37</f>
        <v>0.24340000000000001</v>
      </c>
      <c r="AI34" s="972">
        <f>'PDYG-200'!F$37</f>
        <v>0.33999999999999997</v>
      </c>
    </row>
    <row r="35" spans="2:35">
      <c r="B35" s="48"/>
      <c r="C35" s="887" t="s">
        <v>304</v>
      </c>
      <c r="D35" s="883">
        <v>15993765</v>
      </c>
      <c r="E35" s="883">
        <v>16100147</v>
      </c>
      <c r="F35" s="883">
        <v>15380073</v>
      </c>
      <c r="G35" s="883">
        <v>15926103</v>
      </c>
      <c r="H35" s="883">
        <v>14777947</v>
      </c>
      <c r="I35" s="883">
        <v>14507996</v>
      </c>
      <c r="J35" s="180">
        <f t="shared" si="4"/>
        <v>92686031</v>
      </c>
      <c r="K35" s="883">
        <f t="shared" ref="K35:K38" si="40">D35*$AG35</f>
        <v>6663002.4990000008</v>
      </c>
      <c r="L35" s="883">
        <f t="shared" ref="L35:L38" si="41">E35*$AG35</f>
        <v>6707321.2402000008</v>
      </c>
      <c r="M35" s="883">
        <f t="shared" ref="M35:M38" si="42">F35*$AG35</f>
        <v>6407338.4118000008</v>
      </c>
      <c r="N35" s="883">
        <f t="shared" ref="N35:N38" si="43">G35*$AG35</f>
        <v>6634814.5098000001</v>
      </c>
      <c r="O35" s="883">
        <f t="shared" ref="O35:O38" si="44">H35*$AG35</f>
        <v>6156492.7202000003</v>
      </c>
      <c r="P35" s="883">
        <f t="shared" ref="P35:P38" si="45">I35*$AG35</f>
        <v>6044031.1336000003</v>
      </c>
      <c r="Q35" s="180">
        <f t="shared" si="6"/>
        <v>38613000.514600009</v>
      </c>
      <c r="R35" s="883">
        <f t="shared" si="7"/>
        <v>9330762.5009999983</v>
      </c>
      <c r="S35" s="883">
        <f t="shared" si="8"/>
        <v>9392825.7597999983</v>
      </c>
      <c r="T35" s="883">
        <f t="shared" si="9"/>
        <v>8972734.5881999992</v>
      </c>
      <c r="U35" s="883">
        <f t="shared" si="10"/>
        <v>9291288.4901999999</v>
      </c>
      <c r="V35" s="883">
        <f t="shared" si="11"/>
        <v>8621454.2797999997</v>
      </c>
      <c r="W35" s="883">
        <f t="shared" si="12"/>
        <v>8463964.8663999997</v>
      </c>
      <c r="X35" s="180">
        <f t="shared" si="13"/>
        <v>54073030.485399991</v>
      </c>
      <c r="Y35" s="883"/>
      <c r="Z35" s="883"/>
      <c r="AA35" s="883"/>
      <c r="AB35" s="883"/>
      <c r="AC35" s="883"/>
      <c r="AD35" s="883"/>
      <c r="AE35" s="180"/>
      <c r="AF35" s="1389"/>
      <c r="AG35" s="972">
        <f>'PDYG-200'!D$37</f>
        <v>0.41660000000000003</v>
      </c>
      <c r="AH35" s="972">
        <f>'PDYG-200'!E$37</f>
        <v>0.24340000000000001</v>
      </c>
      <c r="AI35" s="972">
        <f>'PDYG-200'!F$37</f>
        <v>0.33999999999999997</v>
      </c>
    </row>
    <row r="36" spans="2:35">
      <c r="B36" s="48"/>
      <c r="C36" s="888" t="s">
        <v>306</v>
      </c>
      <c r="D36" s="883">
        <v>0</v>
      </c>
      <c r="E36" s="883">
        <v>0</v>
      </c>
      <c r="F36" s="883">
        <v>0</v>
      </c>
      <c r="G36" s="883">
        <v>0</v>
      </c>
      <c r="H36" s="883">
        <v>0</v>
      </c>
      <c r="I36" s="883">
        <v>0</v>
      </c>
      <c r="J36" s="180">
        <f t="shared" si="4"/>
        <v>0</v>
      </c>
      <c r="K36" s="883">
        <f t="shared" si="40"/>
        <v>0</v>
      </c>
      <c r="L36" s="883">
        <f t="shared" si="41"/>
        <v>0</v>
      </c>
      <c r="M36" s="883">
        <f t="shared" si="42"/>
        <v>0</v>
      </c>
      <c r="N36" s="883">
        <f t="shared" si="43"/>
        <v>0</v>
      </c>
      <c r="O36" s="883">
        <f t="shared" si="44"/>
        <v>0</v>
      </c>
      <c r="P36" s="883">
        <f t="shared" si="45"/>
        <v>0</v>
      </c>
      <c r="Q36" s="180">
        <f t="shared" si="6"/>
        <v>0</v>
      </c>
      <c r="R36" s="883">
        <f t="shared" si="7"/>
        <v>0</v>
      </c>
      <c r="S36" s="883">
        <f t="shared" si="8"/>
        <v>0</v>
      </c>
      <c r="T36" s="883">
        <f t="shared" si="9"/>
        <v>0</v>
      </c>
      <c r="U36" s="883">
        <f t="shared" si="10"/>
        <v>0</v>
      </c>
      <c r="V36" s="883">
        <f t="shared" si="11"/>
        <v>0</v>
      </c>
      <c r="W36" s="883">
        <f t="shared" si="12"/>
        <v>0</v>
      </c>
      <c r="X36" s="180">
        <f t="shared" si="13"/>
        <v>0</v>
      </c>
      <c r="Y36" s="883"/>
      <c r="Z36" s="883"/>
      <c r="AA36" s="883"/>
      <c r="AB36" s="883"/>
      <c r="AC36" s="883"/>
      <c r="AD36" s="883"/>
      <c r="AE36" s="180"/>
      <c r="AF36" s="1389"/>
      <c r="AG36" s="972">
        <f>'PDYG-200'!D$37</f>
        <v>0.41660000000000003</v>
      </c>
      <c r="AH36" s="972">
        <f>'PDYG-200'!E$37</f>
        <v>0.24340000000000001</v>
      </c>
      <c r="AI36" s="972">
        <f>'PDYG-200'!F$37</f>
        <v>0.33999999999999997</v>
      </c>
    </row>
    <row r="37" spans="2:35">
      <c r="B37" s="48"/>
      <c r="C37" s="887" t="s">
        <v>305</v>
      </c>
      <c r="D37" s="883">
        <v>10240</v>
      </c>
      <c r="E37" s="883">
        <v>10000</v>
      </c>
      <c r="F37" s="883">
        <v>10160</v>
      </c>
      <c r="G37" s="883">
        <v>13440</v>
      </c>
      <c r="H37" s="883">
        <v>7520</v>
      </c>
      <c r="I37" s="883">
        <v>17280</v>
      </c>
      <c r="J37" s="180">
        <f t="shared" si="4"/>
        <v>68640</v>
      </c>
      <c r="K37" s="883">
        <f t="shared" si="40"/>
        <v>4265.9840000000004</v>
      </c>
      <c r="L37" s="883">
        <f t="shared" si="41"/>
        <v>4166</v>
      </c>
      <c r="M37" s="883">
        <f t="shared" si="42"/>
        <v>4232.6559999999999</v>
      </c>
      <c r="N37" s="883">
        <f t="shared" si="43"/>
        <v>5599.1040000000003</v>
      </c>
      <c r="O37" s="883">
        <f t="shared" si="44"/>
        <v>3132.8320000000003</v>
      </c>
      <c r="P37" s="883">
        <f t="shared" si="45"/>
        <v>7198.8480000000009</v>
      </c>
      <c r="Q37" s="180">
        <f t="shared" si="6"/>
        <v>28595.424000000003</v>
      </c>
      <c r="R37" s="883">
        <f t="shared" si="7"/>
        <v>5974.0159999999996</v>
      </c>
      <c r="S37" s="883">
        <f t="shared" si="8"/>
        <v>5834</v>
      </c>
      <c r="T37" s="883">
        <f t="shared" si="9"/>
        <v>5927.3440000000001</v>
      </c>
      <c r="U37" s="883">
        <f t="shared" si="10"/>
        <v>7840.8959999999997</v>
      </c>
      <c r="V37" s="883">
        <f t="shared" si="11"/>
        <v>4387.1679999999997</v>
      </c>
      <c r="W37" s="883">
        <f t="shared" si="12"/>
        <v>10081.151999999998</v>
      </c>
      <c r="X37" s="180">
        <f t="shared" si="13"/>
        <v>40044.576000000001</v>
      </c>
      <c r="Y37" s="883"/>
      <c r="Z37" s="883"/>
      <c r="AA37" s="883"/>
      <c r="AB37" s="883"/>
      <c r="AC37" s="883"/>
      <c r="AD37" s="883"/>
      <c r="AE37" s="180"/>
      <c r="AF37" s="1389"/>
      <c r="AG37" s="972">
        <f>'PDYG-200'!D$37</f>
        <v>0.41660000000000003</v>
      </c>
      <c r="AH37" s="972">
        <f>'PDYG-200'!E$37</f>
        <v>0.24340000000000001</v>
      </c>
      <c r="AI37" s="972">
        <f>'PDYG-200'!F$37</f>
        <v>0.33999999999999997</v>
      </c>
    </row>
    <row r="38" spans="2:35">
      <c r="B38" s="48"/>
      <c r="C38" s="887" t="s">
        <v>307</v>
      </c>
      <c r="D38" s="883">
        <v>0</v>
      </c>
      <c r="E38" s="883">
        <v>0</v>
      </c>
      <c r="F38" s="883">
        <v>0</v>
      </c>
      <c r="G38" s="883">
        <v>0</v>
      </c>
      <c r="H38" s="883">
        <v>0</v>
      </c>
      <c r="I38" s="883">
        <v>0</v>
      </c>
      <c r="J38" s="180">
        <f t="shared" si="4"/>
        <v>0</v>
      </c>
      <c r="K38" s="883">
        <f t="shared" si="40"/>
        <v>0</v>
      </c>
      <c r="L38" s="883">
        <f t="shared" si="41"/>
        <v>0</v>
      </c>
      <c r="M38" s="883">
        <f t="shared" si="42"/>
        <v>0</v>
      </c>
      <c r="N38" s="883">
        <f t="shared" si="43"/>
        <v>0</v>
      </c>
      <c r="O38" s="883">
        <f t="shared" si="44"/>
        <v>0</v>
      </c>
      <c r="P38" s="883">
        <f t="shared" si="45"/>
        <v>0</v>
      </c>
      <c r="Q38" s="180">
        <f t="shared" si="6"/>
        <v>0</v>
      </c>
      <c r="R38" s="883">
        <f t="shared" si="7"/>
        <v>0</v>
      </c>
      <c r="S38" s="883">
        <f t="shared" si="8"/>
        <v>0</v>
      </c>
      <c r="T38" s="883">
        <f t="shared" si="9"/>
        <v>0</v>
      </c>
      <c r="U38" s="883">
        <f t="shared" si="10"/>
        <v>0</v>
      </c>
      <c r="V38" s="883">
        <f t="shared" si="11"/>
        <v>0</v>
      </c>
      <c r="W38" s="883">
        <f t="shared" si="12"/>
        <v>0</v>
      </c>
      <c r="X38" s="180">
        <f t="shared" si="13"/>
        <v>0</v>
      </c>
      <c r="Y38" s="883"/>
      <c r="Z38" s="883"/>
      <c r="AA38" s="883"/>
      <c r="AB38" s="883"/>
      <c r="AC38" s="883"/>
      <c r="AD38" s="883"/>
      <c r="AE38" s="180"/>
      <c r="AF38" s="1389"/>
      <c r="AG38" s="972">
        <f>'PDYG-200'!D$37</f>
        <v>0.41660000000000003</v>
      </c>
      <c r="AH38" s="972">
        <f>'PDYG-200'!E$37</f>
        <v>0.24340000000000001</v>
      </c>
      <c r="AI38" s="972">
        <f>'PDYG-200'!F$37</f>
        <v>0.33999999999999997</v>
      </c>
    </row>
    <row r="39" spans="2:35">
      <c r="B39" s="48" t="s">
        <v>274</v>
      </c>
      <c r="C39" s="882" t="s">
        <v>632</v>
      </c>
      <c r="D39" s="881">
        <v>4727898</v>
      </c>
      <c r="E39" s="881">
        <v>4557000</v>
      </c>
      <c r="F39" s="881">
        <v>4181320</v>
      </c>
      <c r="G39" s="881">
        <v>4573059</v>
      </c>
      <c r="H39" s="881">
        <v>3941698</v>
      </c>
      <c r="I39" s="881">
        <v>4113628</v>
      </c>
      <c r="J39" s="180">
        <f t="shared" si="4"/>
        <v>26094603</v>
      </c>
      <c r="K39" s="881">
        <f t="shared" ref="K39:W39" si="46">SUBTOTAL(9,K40:K43)</f>
        <v>1969642.3068000001</v>
      </c>
      <c r="L39" s="881">
        <f t="shared" si="46"/>
        <v>1898446.2000000002</v>
      </c>
      <c r="M39" s="881">
        <f t="shared" si="46"/>
        <v>1741937.912</v>
      </c>
      <c r="N39" s="881">
        <f t="shared" si="46"/>
        <v>1905136.3794000002</v>
      </c>
      <c r="O39" s="881">
        <f t="shared" si="46"/>
        <v>1642111.3868000002</v>
      </c>
      <c r="P39" s="881">
        <f t="shared" si="46"/>
        <v>1713737.4248000002</v>
      </c>
      <c r="Q39" s="180">
        <f t="shared" si="6"/>
        <v>10871011.6098</v>
      </c>
      <c r="R39" s="881">
        <f t="shared" si="46"/>
        <v>2758255.6931999996</v>
      </c>
      <c r="S39" s="881">
        <f t="shared" si="46"/>
        <v>2658553.7999999998</v>
      </c>
      <c r="T39" s="881">
        <f t="shared" si="46"/>
        <v>2439382.088</v>
      </c>
      <c r="U39" s="881">
        <f t="shared" si="46"/>
        <v>2667922.6206</v>
      </c>
      <c r="V39" s="881">
        <f t="shared" si="46"/>
        <v>2299586.6131999996</v>
      </c>
      <c r="W39" s="881">
        <f t="shared" si="46"/>
        <v>2399890.5751999998</v>
      </c>
      <c r="X39" s="180">
        <f t="shared" si="13"/>
        <v>15223591.3902</v>
      </c>
      <c r="Y39" s="881"/>
      <c r="Z39" s="881"/>
      <c r="AA39" s="881"/>
      <c r="AB39" s="881"/>
      <c r="AC39" s="881"/>
      <c r="AD39" s="881"/>
      <c r="AE39" s="180"/>
      <c r="AF39" s="1389"/>
      <c r="AG39" s="972">
        <f>'PDYG-200'!D$37</f>
        <v>0.41660000000000003</v>
      </c>
      <c r="AH39" s="972">
        <f>'PDYG-200'!E$37</f>
        <v>0.24340000000000001</v>
      </c>
      <c r="AI39" s="972">
        <f>'PDYG-200'!F$37</f>
        <v>0.33999999999999997</v>
      </c>
    </row>
    <row r="40" spans="2:35">
      <c r="B40" s="48"/>
      <c r="C40" s="887" t="s">
        <v>304</v>
      </c>
      <c r="D40" s="883">
        <v>4727898</v>
      </c>
      <c r="E40" s="883">
        <v>4557000</v>
      </c>
      <c r="F40" s="883">
        <v>4181320</v>
      </c>
      <c r="G40" s="883">
        <v>4573059</v>
      </c>
      <c r="H40" s="883">
        <v>3941698</v>
      </c>
      <c r="I40" s="883">
        <v>4113628</v>
      </c>
      <c r="J40" s="180">
        <f t="shared" si="4"/>
        <v>26094603</v>
      </c>
      <c r="K40" s="883">
        <f t="shared" ref="K40:K43" si="47">D40*$AG40</f>
        <v>1969642.3068000001</v>
      </c>
      <c r="L40" s="883">
        <f t="shared" ref="L40:L43" si="48">E40*$AG40</f>
        <v>1898446.2000000002</v>
      </c>
      <c r="M40" s="883">
        <f t="shared" ref="M40:M43" si="49">F40*$AG40</f>
        <v>1741937.912</v>
      </c>
      <c r="N40" s="883">
        <f t="shared" ref="N40:N43" si="50">G40*$AG40</f>
        <v>1905136.3794000002</v>
      </c>
      <c r="O40" s="883">
        <f t="shared" ref="O40:O43" si="51">H40*$AG40</f>
        <v>1642111.3868000002</v>
      </c>
      <c r="P40" s="883">
        <f t="shared" ref="P40:P43" si="52">I40*$AG40</f>
        <v>1713737.4248000002</v>
      </c>
      <c r="Q40" s="180">
        <f t="shared" si="6"/>
        <v>10871011.6098</v>
      </c>
      <c r="R40" s="883">
        <f t="shared" si="7"/>
        <v>2758255.6931999996</v>
      </c>
      <c r="S40" s="883">
        <f t="shared" si="8"/>
        <v>2658553.7999999998</v>
      </c>
      <c r="T40" s="883">
        <f t="shared" si="9"/>
        <v>2439382.088</v>
      </c>
      <c r="U40" s="883">
        <f t="shared" si="10"/>
        <v>2667922.6206</v>
      </c>
      <c r="V40" s="883">
        <f t="shared" si="11"/>
        <v>2299586.6131999996</v>
      </c>
      <c r="W40" s="883">
        <f t="shared" si="12"/>
        <v>2399890.5751999998</v>
      </c>
      <c r="X40" s="180">
        <f t="shared" si="13"/>
        <v>15223591.3902</v>
      </c>
      <c r="Y40" s="883"/>
      <c r="Z40" s="883"/>
      <c r="AA40" s="883"/>
      <c r="AB40" s="883"/>
      <c r="AC40" s="883"/>
      <c r="AD40" s="883"/>
      <c r="AE40" s="180"/>
      <c r="AF40" s="1389"/>
      <c r="AG40" s="972">
        <f>'PDYG-200'!D$37</f>
        <v>0.41660000000000003</v>
      </c>
      <c r="AH40" s="972">
        <f>'PDYG-200'!E$37</f>
        <v>0.24340000000000001</v>
      </c>
      <c r="AI40" s="972">
        <f>'PDYG-200'!F$37</f>
        <v>0.33999999999999997</v>
      </c>
    </row>
    <row r="41" spans="2:35">
      <c r="B41" s="48"/>
      <c r="C41" s="888" t="s">
        <v>306</v>
      </c>
      <c r="D41" s="883">
        <v>0</v>
      </c>
      <c r="E41" s="883">
        <v>0</v>
      </c>
      <c r="F41" s="883">
        <v>0</v>
      </c>
      <c r="G41" s="883">
        <v>0</v>
      </c>
      <c r="H41" s="883">
        <v>0</v>
      </c>
      <c r="I41" s="883">
        <v>0</v>
      </c>
      <c r="J41" s="180">
        <f t="shared" si="4"/>
        <v>0</v>
      </c>
      <c r="K41" s="883">
        <f t="shared" si="47"/>
        <v>0</v>
      </c>
      <c r="L41" s="883">
        <f t="shared" si="48"/>
        <v>0</v>
      </c>
      <c r="M41" s="883">
        <f t="shared" si="49"/>
        <v>0</v>
      </c>
      <c r="N41" s="883">
        <f t="shared" si="50"/>
        <v>0</v>
      </c>
      <c r="O41" s="883">
        <f t="shared" si="51"/>
        <v>0</v>
      </c>
      <c r="P41" s="883">
        <f t="shared" si="52"/>
        <v>0</v>
      </c>
      <c r="Q41" s="180">
        <f t="shared" si="6"/>
        <v>0</v>
      </c>
      <c r="R41" s="883">
        <f t="shared" si="7"/>
        <v>0</v>
      </c>
      <c r="S41" s="883">
        <f t="shared" si="8"/>
        <v>0</v>
      </c>
      <c r="T41" s="883">
        <f t="shared" si="9"/>
        <v>0</v>
      </c>
      <c r="U41" s="883">
        <f t="shared" si="10"/>
        <v>0</v>
      </c>
      <c r="V41" s="883">
        <f t="shared" si="11"/>
        <v>0</v>
      </c>
      <c r="W41" s="883">
        <f t="shared" si="12"/>
        <v>0</v>
      </c>
      <c r="X41" s="180">
        <f t="shared" si="13"/>
        <v>0</v>
      </c>
      <c r="Y41" s="883"/>
      <c r="Z41" s="883"/>
      <c r="AA41" s="883"/>
      <c r="AB41" s="883"/>
      <c r="AC41" s="883"/>
      <c r="AD41" s="883"/>
      <c r="AE41" s="180"/>
      <c r="AF41" s="1389"/>
      <c r="AG41" s="972">
        <f>'PDYG-200'!D$37</f>
        <v>0.41660000000000003</v>
      </c>
      <c r="AH41" s="972">
        <f>'PDYG-200'!E$37</f>
        <v>0.24340000000000001</v>
      </c>
      <c r="AI41" s="972">
        <f>'PDYG-200'!F$37</f>
        <v>0.33999999999999997</v>
      </c>
    </row>
    <row r="42" spans="2:35">
      <c r="B42" s="48"/>
      <c r="C42" s="887" t="s">
        <v>305</v>
      </c>
      <c r="D42" s="883">
        <v>0</v>
      </c>
      <c r="E42" s="883">
        <v>0</v>
      </c>
      <c r="F42" s="883">
        <v>0</v>
      </c>
      <c r="G42" s="883">
        <v>0</v>
      </c>
      <c r="H42" s="883">
        <v>0</v>
      </c>
      <c r="I42" s="883">
        <v>0</v>
      </c>
      <c r="J42" s="180">
        <f t="shared" si="4"/>
        <v>0</v>
      </c>
      <c r="K42" s="883">
        <f t="shared" si="47"/>
        <v>0</v>
      </c>
      <c r="L42" s="883">
        <f t="shared" si="48"/>
        <v>0</v>
      </c>
      <c r="M42" s="883">
        <f t="shared" si="49"/>
        <v>0</v>
      </c>
      <c r="N42" s="883">
        <f t="shared" si="50"/>
        <v>0</v>
      </c>
      <c r="O42" s="883">
        <f t="shared" si="51"/>
        <v>0</v>
      </c>
      <c r="P42" s="883">
        <f t="shared" si="52"/>
        <v>0</v>
      </c>
      <c r="Q42" s="180">
        <f t="shared" si="6"/>
        <v>0</v>
      </c>
      <c r="R42" s="883">
        <f t="shared" si="7"/>
        <v>0</v>
      </c>
      <c r="S42" s="883">
        <f t="shared" si="8"/>
        <v>0</v>
      </c>
      <c r="T42" s="883">
        <f t="shared" si="9"/>
        <v>0</v>
      </c>
      <c r="U42" s="883">
        <f t="shared" si="10"/>
        <v>0</v>
      </c>
      <c r="V42" s="883">
        <f t="shared" si="11"/>
        <v>0</v>
      </c>
      <c r="W42" s="883">
        <f t="shared" si="12"/>
        <v>0</v>
      </c>
      <c r="X42" s="180">
        <f t="shared" si="13"/>
        <v>0</v>
      </c>
      <c r="Y42" s="883"/>
      <c r="Z42" s="883"/>
      <c r="AA42" s="883"/>
      <c r="AB42" s="883"/>
      <c r="AC42" s="883"/>
      <c r="AD42" s="883"/>
      <c r="AE42" s="180"/>
      <c r="AF42" s="1389"/>
      <c r="AG42" s="972">
        <f>'PDYG-200'!D$37</f>
        <v>0.41660000000000003</v>
      </c>
      <c r="AH42" s="972">
        <f>'PDYG-200'!E$37</f>
        <v>0.24340000000000001</v>
      </c>
      <c r="AI42" s="972">
        <f>'PDYG-200'!F$37</f>
        <v>0.33999999999999997</v>
      </c>
    </row>
    <row r="43" spans="2:35">
      <c r="B43" s="48"/>
      <c r="C43" s="887" t="s">
        <v>307</v>
      </c>
      <c r="D43" s="883">
        <v>0</v>
      </c>
      <c r="E43" s="883">
        <v>0</v>
      </c>
      <c r="F43" s="883">
        <v>0</v>
      </c>
      <c r="G43" s="883">
        <v>0</v>
      </c>
      <c r="H43" s="883">
        <v>0</v>
      </c>
      <c r="I43" s="883">
        <v>0</v>
      </c>
      <c r="J43" s="180">
        <f t="shared" si="4"/>
        <v>0</v>
      </c>
      <c r="K43" s="883">
        <f t="shared" si="47"/>
        <v>0</v>
      </c>
      <c r="L43" s="883">
        <f t="shared" si="48"/>
        <v>0</v>
      </c>
      <c r="M43" s="883">
        <f t="shared" si="49"/>
        <v>0</v>
      </c>
      <c r="N43" s="883">
        <f t="shared" si="50"/>
        <v>0</v>
      </c>
      <c r="O43" s="883">
        <f t="shared" si="51"/>
        <v>0</v>
      </c>
      <c r="P43" s="883">
        <f t="shared" si="52"/>
        <v>0</v>
      </c>
      <c r="Q43" s="180">
        <f t="shared" si="6"/>
        <v>0</v>
      </c>
      <c r="R43" s="883">
        <f t="shared" si="7"/>
        <v>0</v>
      </c>
      <c r="S43" s="883">
        <f t="shared" si="8"/>
        <v>0</v>
      </c>
      <c r="T43" s="883">
        <f t="shared" si="9"/>
        <v>0</v>
      </c>
      <c r="U43" s="883">
        <f t="shared" si="10"/>
        <v>0</v>
      </c>
      <c r="V43" s="883">
        <f t="shared" si="11"/>
        <v>0</v>
      </c>
      <c r="W43" s="883">
        <f t="shared" si="12"/>
        <v>0</v>
      </c>
      <c r="X43" s="180">
        <f t="shared" si="13"/>
        <v>0</v>
      </c>
      <c r="Y43" s="883"/>
      <c r="Z43" s="883"/>
      <c r="AA43" s="883"/>
      <c r="AB43" s="883"/>
      <c r="AC43" s="883"/>
      <c r="AD43" s="883"/>
      <c r="AE43" s="180"/>
      <c r="AF43" s="1389"/>
      <c r="AG43" s="972">
        <f>'PDYG-200'!D$37</f>
        <v>0.41660000000000003</v>
      </c>
      <c r="AH43" s="972">
        <f>'PDYG-200'!E$37</f>
        <v>0.24340000000000001</v>
      </c>
      <c r="AI43" s="972">
        <f>'PDYG-200'!F$37</f>
        <v>0.33999999999999997</v>
      </c>
    </row>
    <row r="44" spans="2:35">
      <c r="B44" s="48" t="s">
        <v>274</v>
      </c>
      <c r="C44" s="882" t="s">
        <v>633</v>
      </c>
      <c r="D44" s="881">
        <v>4976960</v>
      </c>
      <c r="E44" s="881">
        <v>4584773</v>
      </c>
      <c r="F44" s="881">
        <v>3946763</v>
      </c>
      <c r="G44" s="881">
        <v>4522002</v>
      </c>
      <c r="H44" s="881">
        <v>4103113</v>
      </c>
      <c r="I44" s="881">
        <v>4240348</v>
      </c>
      <c r="J44" s="180">
        <f t="shared" si="4"/>
        <v>26373959</v>
      </c>
      <c r="K44" s="881">
        <f t="shared" ref="K44:W44" si="53">SUBTOTAL(9,K45:K48)</f>
        <v>2073401.5360000001</v>
      </c>
      <c r="L44" s="881">
        <f t="shared" si="53"/>
        <v>1910016.4318000001</v>
      </c>
      <c r="M44" s="881">
        <f t="shared" si="53"/>
        <v>1644221.4658000001</v>
      </c>
      <c r="N44" s="881">
        <f t="shared" si="53"/>
        <v>1883866.0332000002</v>
      </c>
      <c r="O44" s="881">
        <f t="shared" si="53"/>
        <v>1709356.8758</v>
      </c>
      <c r="P44" s="881">
        <f t="shared" si="53"/>
        <v>1766528.9768000001</v>
      </c>
      <c r="Q44" s="180">
        <f t="shared" si="6"/>
        <v>10987391.319400001</v>
      </c>
      <c r="R44" s="881">
        <f t="shared" si="53"/>
        <v>2903558.4639999997</v>
      </c>
      <c r="S44" s="881">
        <f t="shared" si="53"/>
        <v>2674756.5681999996</v>
      </c>
      <c r="T44" s="881">
        <f t="shared" si="53"/>
        <v>2302541.5341999996</v>
      </c>
      <c r="U44" s="881">
        <f t="shared" si="53"/>
        <v>2638135.9667999996</v>
      </c>
      <c r="V44" s="881">
        <f t="shared" si="53"/>
        <v>2393756.1242</v>
      </c>
      <c r="W44" s="881">
        <f t="shared" si="53"/>
        <v>2473819.0231999997</v>
      </c>
      <c r="X44" s="180">
        <f t="shared" si="13"/>
        <v>15386567.680599999</v>
      </c>
      <c r="Y44" s="881"/>
      <c r="Z44" s="881"/>
      <c r="AA44" s="881"/>
      <c r="AB44" s="881"/>
      <c r="AC44" s="881"/>
      <c r="AD44" s="881"/>
      <c r="AE44" s="180"/>
      <c r="AF44" s="1389"/>
      <c r="AG44" s="972">
        <f>'PDYG-200'!D$37</f>
        <v>0.41660000000000003</v>
      </c>
      <c r="AH44" s="972">
        <f>'PDYG-200'!E$37</f>
        <v>0.24340000000000001</v>
      </c>
      <c r="AI44" s="972">
        <f>'PDYG-200'!F$37</f>
        <v>0.33999999999999997</v>
      </c>
    </row>
    <row r="45" spans="2:35">
      <c r="B45" s="48"/>
      <c r="C45" s="887" t="s">
        <v>304</v>
      </c>
      <c r="D45" s="883">
        <v>4976960</v>
      </c>
      <c r="E45" s="883">
        <v>4584773</v>
      </c>
      <c r="F45" s="883">
        <v>3946763</v>
      </c>
      <c r="G45" s="883">
        <v>4522002</v>
      </c>
      <c r="H45" s="883">
        <v>4103113</v>
      </c>
      <c r="I45" s="883">
        <v>4240348</v>
      </c>
      <c r="J45" s="180">
        <f t="shared" si="4"/>
        <v>26373959</v>
      </c>
      <c r="K45" s="883">
        <f t="shared" ref="K45:K48" si="54">D45*$AG45</f>
        <v>2073401.5360000001</v>
      </c>
      <c r="L45" s="883">
        <f t="shared" ref="L45:L48" si="55">E45*$AG45</f>
        <v>1910016.4318000001</v>
      </c>
      <c r="M45" s="883">
        <f t="shared" ref="M45:M48" si="56">F45*$AG45</f>
        <v>1644221.4658000001</v>
      </c>
      <c r="N45" s="883">
        <f t="shared" ref="N45:N48" si="57">G45*$AG45</f>
        <v>1883866.0332000002</v>
      </c>
      <c r="O45" s="883">
        <f t="shared" ref="O45:O48" si="58">H45*$AG45</f>
        <v>1709356.8758</v>
      </c>
      <c r="P45" s="883">
        <f t="shared" ref="P45:P48" si="59">I45*$AG45</f>
        <v>1766528.9768000001</v>
      </c>
      <c r="Q45" s="180">
        <f t="shared" si="6"/>
        <v>10987391.319400001</v>
      </c>
      <c r="R45" s="883">
        <f t="shared" si="7"/>
        <v>2903558.4639999997</v>
      </c>
      <c r="S45" s="883">
        <f t="shared" si="8"/>
        <v>2674756.5681999996</v>
      </c>
      <c r="T45" s="883">
        <f t="shared" si="9"/>
        <v>2302541.5341999996</v>
      </c>
      <c r="U45" s="883">
        <f t="shared" si="10"/>
        <v>2638135.9667999996</v>
      </c>
      <c r="V45" s="883">
        <f t="shared" si="11"/>
        <v>2393756.1242</v>
      </c>
      <c r="W45" s="883">
        <f t="shared" si="12"/>
        <v>2473819.0231999997</v>
      </c>
      <c r="X45" s="180">
        <f t="shared" si="13"/>
        <v>15386567.680599999</v>
      </c>
      <c r="Y45" s="883"/>
      <c r="Z45" s="883"/>
      <c r="AA45" s="883"/>
      <c r="AB45" s="883"/>
      <c r="AC45" s="883"/>
      <c r="AD45" s="883"/>
      <c r="AE45" s="180"/>
      <c r="AF45" s="1389"/>
      <c r="AG45" s="972">
        <f>'PDYG-200'!D$37</f>
        <v>0.41660000000000003</v>
      </c>
      <c r="AH45" s="972">
        <f>'PDYG-200'!E$37</f>
        <v>0.24340000000000001</v>
      </c>
      <c r="AI45" s="972">
        <f>'PDYG-200'!F$37</f>
        <v>0.33999999999999997</v>
      </c>
    </row>
    <row r="46" spans="2:35">
      <c r="B46" s="48"/>
      <c r="C46" s="888" t="s">
        <v>306</v>
      </c>
      <c r="D46" s="883">
        <v>0</v>
      </c>
      <c r="E46" s="883">
        <v>0</v>
      </c>
      <c r="F46" s="883">
        <v>0</v>
      </c>
      <c r="G46" s="883">
        <v>0</v>
      </c>
      <c r="H46" s="883">
        <v>0</v>
      </c>
      <c r="I46" s="883">
        <v>0</v>
      </c>
      <c r="J46" s="180">
        <f t="shared" si="4"/>
        <v>0</v>
      </c>
      <c r="K46" s="883">
        <f t="shared" si="54"/>
        <v>0</v>
      </c>
      <c r="L46" s="883">
        <f t="shared" si="55"/>
        <v>0</v>
      </c>
      <c r="M46" s="883">
        <f t="shared" si="56"/>
        <v>0</v>
      </c>
      <c r="N46" s="883">
        <f t="shared" si="57"/>
        <v>0</v>
      </c>
      <c r="O46" s="883">
        <f t="shared" si="58"/>
        <v>0</v>
      </c>
      <c r="P46" s="883">
        <f t="shared" si="59"/>
        <v>0</v>
      </c>
      <c r="Q46" s="180">
        <f t="shared" si="6"/>
        <v>0</v>
      </c>
      <c r="R46" s="883">
        <f t="shared" si="7"/>
        <v>0</v>
      </c>
      <c r="S46" s="883">
        <f t="shared" si="8"/>
        <v>0</v>
      </c>
      <c r="T46" s="883">
        <f t="shared" si="9"/>
        <v>0</v>
      </c>
      <c r="U46" s="883">
        <f t="shared" si="10"/>
        <v>0</v>
      </c>
      <c r="V46" s="883">
        <f t="shared" si="11"/>
        <v>0</v>
      </c>
      <c r="W46" s="883">
        <f t="shared" si="12"/>
        <v>0</v>
      </c>
      <c r="X46" s="180">
        <f t="shared" si="13"/>
        <v>0</v>
      </c>
      <c r="Y46" s="883"/>
      <c r="Z46" s="883"/>
      <c r="AA46" s="883"/>
      <c r="AB46" s="883"/>
      <c r="AC46" s="883"/>
      <c r="AD46" s="883"/>
      <c r="AE46" s="180"/>
      <c r="AF46" s="1389"/>
      <c r="AG46" s="972">
        <f>'PDYG-200'!D$37</f>
        <v>0.41660000000000003</v>
      </c>
      <c r="AH46" s="972">
        <f>'PDYG-200'!E$37</f>
        <v>0.24340000000000001</v>
      </c>
      <c r="AI46" s="972">
        <f>'PDYG-200'!F$37</f>
        <v>0.33999999999999997</v>
      </c>
    </row>
    <row r="47" spans="2:35">
      <c r="B47" s="48"/>
      <c r="C47" s="887" t="s">
        <v>305</v>
      </c>
      <c r="D47" s="883">
        <v>0</v>
      </c>
      <c r="E47" s="883">
        <v>0</v>
      </c>
      <c r="F47" s="883">
        <v>0</v>
      </c>
      <c r="G47" s="883">
        <v>0</v>
      </c>
      <c r="H47" s="883">
        <v>0</v>
      </c>
      <c r="I47" s="883">
        <v>0</v>
      </c>
      <c r="J47" s="180">
        <f t="shared" si="4"/>
        <v>0</v>
      </c>
      <c r="K47" s="883">
        <f t="shared" si="54"/>
        <v>0</v>
      </c>
      <c r="L47" s="883">
        <f t="shared" si="55"/>
        <v>0</v>
      </c>
      <c r="M47" s="883">
        <f t="shared" si="56"/>
        <v>0</v>
      </c>
      <c r="N47" s="883">
        <f t="shared" si="57"/>
        <v>0</v>
      </c>
      <c r="O47" s="883">
        <f t="shared" si="58"/>
        <v>0</v>
      </c>
      <c r="P47" s="883">
        <f t="shared" si="59"/>
        <v>0</v>
      </c>
      <c r="Q47" s="180">
        <f t="shared" si="6"/>
        <v>0</v>
      </c>
      <c r="R47" s="883">
        <f t="shared" si="7"/>
        <v>0</v>
      </c>
      <c r="S47" s="883">
        <f t="shared" si="8"/>
        <v>0</v>
      </c>
      <c r="T47" s="883">
        <f t="shared" si="9"/>
        <v>0</v>
      </c>
      <c r="U47" s="883">
        <f t="shared" si="10"/>
        <v>0</v>
      </c>
      <c r="V47" s="883">
        <f t="shared" si="11"/>
        <v>0</v>
      </c>
      <c r="W47" s="883">
        <f t="shared" si="12"/>
        <v>0</v>
      </c>
      <c r="X47" s="180">
        <f t="shared" si="13"/>
        <v>0</v>
      </c>
      <c r="Y47" s="883"/>
      <c r="Z47" s="883"/>
      <c r="AA47" s="883"/>
      <c r="AB47" s="883"/>
      <c r="AC47" s="883"/>
      <c r="AD47" s="883"/>
      <c r="AE47" s="180"/>
      <c r="AF47" s="1389"/>
      <c r="AG47" s="972">
        <f>'PDYG-200'!D$37</f>
        <v>0.41660000000000003</v>
      </c>
      <c r="AH47" s="972">
        <f>'PDYG-200'!E$37</f>
        <v>0.24340000000000001</v>
      </c>
      <c r="AI47" s="972">
        <f>'PDYG-200'!F$37</f>
        <v>0.33999999999999997</v>
      </c>
    </row>
    <row r="48" spans="2:35">
      <c r="B48" s="48"/>
      <c r="C48" s="887" t="s">
        <v>307</v>
      </c>
      <c r="D48" s="883">
        <v>0</v>
      </c>
      <c r="E48" s="883">
        <v>0</v>
      </c>
      <c r="F48" s="883">
        <v>0</v>
      </c>
      <c r="G48" s="883">
        <v>0</v>
      </c>
      <c r="H48" s="883">
        <v>0</v>
      </c>
      <c r="I48" s="883">
        <v>0</v>
      </c>
      <c r="J48" s="180">
        <f t="shared" si="4"/>
        <v>0</v>
      </c>
      <c r="K48" s="883">
        <f t="shared" si="54"/>
        <v>0</v>
      </c>
      <c r="L48" s="883">
        <f t="shared" si="55"/>
        <v>0</v>
      </c>
      <c r="M48" s="883">
        <f t="shared" si="56"/>
        <v>0</v>
      </c>
      <c r="N48" s="883">
        <f t="shared" si="57"/>
        <v>0</v>
      </c>
      <c r="O48" s="883">
        <f t="shared" si="58"/>
        <v>0</v>
      </c>
      <c r="P48" s="883">
        <f t="shared" si="59"/>
        <v>0</v>
      </c>
      <c r="Q48" s="180">
        <f t="shared" si="6"/>
        <v>0</v>
      </c>
      <c r="R48" s="883">
        <f t="shared" si="7"/>
        <v>0</v>
      </c>
      <c r="S48" s="883">
        <f t="shared" si="8"/>
        <v>0</v>
      </c>
      <c r="T48" s="883">
        <f t="shared" si="9"/>
        <v>0</v>
      </c>
      <c r="U48" s="883">
        <f t="shared" si="10"/>
        <v>0</v>
      </c>
      <c r="V48" s="883">
        <f t="shared" si="11"/>
        <v>0</v>
      </c>
      <c r="W48" s="883">
        <f t="shared" si="12"/>
        <v>0</v>
      </c>
      <c r="X48" s="180">
        <f t="shared" si="13"/>
        <v>0</v>
      </c>
      <c r="Y48" s="883"/>
      <c r="Z48" s="883"/>
      <c r="AA48" s="883"/>
      <c r="AB48" s="883"/>
      <c r="AC48" s="883"/>
      <c r="AD48" s="883"/>
      <c r="AE48" s="180"/>
      <c r="AF48" s="1389"/>
      <c r="AG48" s="972">
        <f>'PDYG-200'!D$37</f>
        <v>0.41660000000000003</v>
      </c>
      <c r="AH48" s="972">
        <f>'PDYG-200'!E$37</f>
        <v>0.24340000000000001</v>
      </c>
      <c r="AI48" s="972">
        <f>'PDYG-200'!F$37</f>
        <v>0.33999999999999997</v>
      </c>
    </row>
    <row r="49" spans="2:35">
      <c r="B49" s="48"/>
      <c r="C49" s="884"/>
      <c r="D49" s="883">
        <v>0</v>
      </c>
      <c r="E49" s="883">
        <v>0</v>
      </c>
      <c r="F49" s="883">
        <v>0</v>
      </c>
      <c r="G49" s="883">
        <v>0</v>
      </c>
      <c r="H49" s="883">
        <v>0</v>
      </c>
      <c r="I49" s="883">
        <v>0</v>
      </c>
      <c r="J49" s="180">
        <f t="shared" si="4"/>
        <v>0</v>
      </c>
      <c r="K49" s="883"/>
      <c r="L49" s="883"/>
      <c r="M49" s="883"/>
      <c r="N49" s="883"/>
      <c r="O49" s="883"/>
      <c r="P49" s="883"/>
      <c r="Q49" s="180">
        <f t="shared" si="6"/>
        <v>0</v>
      </c>
      <c r="R49" s="883">
        <f t="shared" si="7"/>
        <v>0</v>
      </c>
      <c r="S49" s="883">
        <f t="shared" si="8"/>
        <v>0</v>
      </c>
      <c r="T49" s="883">
        <f t="shared" si="9"/>
        <v>0</v>
      </c>
      <c r="U49" s="883">
        <f t="shared" si="10"/>
        <v>0</v>
      </c>
      <c r="V49" s="883">
        <f t="shared" si="11"/>
        <v>0</v>
      </c>
      <c r="W49" s="883">
        <f t="shared" si="12"/>
        <v>0</v>
      </c>
      <c r="X49" s="180">
        <f t="shared" si="13"/>
        <v>0</v>
      </c>
      <c r="Y49" s="883"/>
      <c r="Z49" s="883"/>
      <c r="AA49" s="883"/>
      <c r="AB49" s="883"/>
      <c r="AC49" s="883"/>
      <c r="AD49" s="883"/>
      <c r="AE49" s="180"/>
      <c r="AF49" s="1389"/>
      <c r="AG49" s="972"/>
      <c r="AH49" s="972"/>
      <c r="AI49" s="972"/>
    </row>
    <row r="50" spans="2:35">
      <c r="B50" s="48" t="s">
        <v>1176</v>
      </c>
      <c r="C50" s="882" t="s">
        <v>1176</v>
      </c>
      <c r="D50" s="881">
        <v>0</v>
      </c>
      <c r="E50" s="881">
        <v>0</v>
      </c>
      <c r="F50" s="881">
        <v>0</v>
      </c>
      <c r="G50" s="881">
        <v>0</v>
      </c>
      <c r="H50" s="881">
        <v>0</v>
      </c>
      <c r="I50" s="881">
        <v>0</v>
      </c>
      <c r="J50" s="180">
        <f t="shared" si="4"/>
        <v>0</v>
      </c>
      <c r="K50" s="881">
        <f t="shared" ref="K50:W50" si="60">SUBTOTAL(9,K51:K56)</f>
        <v>0</v>
      </c>
      <c r="L50" s="881">
        <f t="shared" si="60"/>
        <v>0</v>
      </c>
      <c r="M50" s="881">
        <f t="shared" si="60"/>
        <v>0</v>
      </c>
      <c r="N50" s="881">
        <f t="shared" si="60"/>
        <v>0</v>
      </c>
      <c r="O50" s="881">
        <f t="shared" si="60"/>
        <v>0</v>
      </c>
      <c r="P50" s="881">
        <f t="shared" si="60"/>
        <v>0</v>
      </c>
      <c r="Q50" s="180">
        <f t="shared" si="6"/>
        <v>0</v>
      </c>
      <c r="R50" s="881">
        <f t="shared" si="60"/>
        <v>0</v>
      </c>
      <c r="S50" s="881">
        <f t="shared" si="60"/>
        <v>0</v>
      </c>
      <c r="T50" s="881">
        <f t="shared" si="60"/>
        <v>0</v>
      </c>
      <c r="U50" s="881">
        <f t="shared" si="60"/>
        <v>0</v>
      </c>
      <c r="V50" s="881">
        <f t="shared" si="60"/>
        <v>0</v>
      </c>
      <c r="W50" s="881">
        <f t="shared" si="60"/>
        <v>0</v>
      </c>
      <c r="X50" s="180">
        <f t="shared" si="13"/>
        <v>0</v>
      </c>
      <c r="Y50" s="881"/>
      <c r="Z50" s="881"/>
      <c r="AA50" s="881"/>
      <c r="AB50" s="881"/>
      <c r="AC50" s="881"/>
      <c r="AD50" s="881"/>
      <c r="AE50" s="180"/>
      <c r="AF50" s="1389"/>
      <c r="AG50" s="972">
        <f>'PDYG-200'!D$38</f>
        <v>0.2417</v>
      </c>
      <c r="AH50" s="972">
        <f>'PDYG-200'!E$38</f>
        <v>0.30353035303530351</v>
      </c>
      <c r="AI50" s="972">
        <f>'PDYG-200'!F$38</f>
        <v>0.45476964696469646</v>
      </c>
    </row>
    <row r="51" spans="2:35">
      <c r="B51" s="48"/>
      <c r="C51" s="887" t="s">
        <v>304</v>
      </c>
      <c r="D51" s="883">
        <v>0</v>
      </c>
      <c r="E51" s="883">
        <v>0</v>
      </c>
      <c r="F51" s="883">
        <v>0</v>
      </c>
      <c r="G51" s="883">
        <v>0</v>
      </c>
      <c r="H51" s="883">
        <v>0</v>
      </c>
      <c r="I51" s="883">
        <v>0</v>
      </c>
      <c r="J51" s="180">
        <f t="shared" si="4"/>
        <v>0</v>
      </c>
      <c r="K51" s="883">
        <v>0</v>
      </c>
      <c r="L51" s="883">
        <v>0</v>
      </c>
      <c r="M51" s="883">
        <v>0</v>
      </c>
      <c r="N51" s="883">
        <v>0</v>
      </c>
      <c r="O51" s="883">
        <v>0</v>
      </c>
      <c r="P51" s="883">
        <v>0</v>
      </c>
      <c r="Q51" s="180">
        <f t="shared" si="6"/>
        <v>0</v>
      </c>
      <c r="R51" s="883">
        <f t="shared" si="7"/>
        <v>0</v>
      </c>
      <c r="S51" s="883">
        <f t="shared" si="8"/>
        <v>0</v>
      </c>
      <c r="T51" s="883">
        <f t="shared" si="9"/>
        <v>0</v>
      </c>
      <c r="U51" s="883">
        <f t="shared" si="10"/>
        <v>0</v>
      </c>
      <c r="V51" s="883">
        <f t="shared" si="11"/>
        <v>0</v>
      </c>
      <c r="W51" s="883">
        <f t="shared" si="12"/>
        <v>0</v>
      </c>
      <c r="X51" s="180">
        <f t="shared" si="13"/>
        <v>0</v>
      </c>
      <c r="Y51" s="883"/>
      <c r="Z51" s="883"/>
      <c r="AA51" s="883"/>
      <c r="AB51" s="883"/>
      <c r="AC51" s="883"/>
      <c r="AD51" s="883"/>
      <c r="AE51" s="180"/>
      <c r="AF51" s="1389"/>
      <c r="AG51" s="972">
        <f>'PDYG-200'!D$38</f>
        <v>0.2417</v>
      </c>
      <c r="AH51" s="972">
        <f>'PDYG-200'!E$38</f>
        <v>0.30353035303530351</v>
      </c>
      <c r="AI51" s="972">
        <f>'PDYG-200'!F$38</f>
        <v>0.45476964696469646</v>
      </c>
    </row>
    <row r="52" spans="2:35">
      <c r="B52" s="48"/>
      <c r="C52" s="889" t="s">
        <v>642</v>
      </c>
      <c r="D52" s="883">
        <v>0</v>
      </c>
      <c r="E52" s="883">
        <v>0</v>
      </c>
      <c r="F52" s="883">
        <v>0</v>
      </c>
      <c r="G52" s="883">
        <v>0</v>
      </c>
      <c r="H52" s="883">
        <v>0</v>
      </c>
      <c r="I52" s="883">
        <v>0</v>
      </c>
      <c r="J52" s="180">
        <f t="shared" si="4"/>
        <v>0</v>
      </c>
      <c r="K52" s="883">
        <v>0</v>
      </c>
      <c r="L52" s="883">
        <v>0</v>
      </c>
      <c r="M52" s="883">
        <v>0</v>
      </c>
      <c r="N52" s="883">
        <v>0</v>
      </c>
      <c r="O52" s="883">
        <v>0</v>
      </c>
      <c r="P52" s="883">
        <v>0</v>
      </c>
      <c r="Q52" s="180">
        <f t="shared" si="6"/>
        <v>0</v>
      </c>
      <c r="R52" s="883">
        <f t="shared" si="7"/>
        <v>0</v>
      </c>
      <c r="S52" s="883">
        <f t="shared" si="8"/>
        <v>0</v>
      </c>
      <c r="T52" s="883">
        <f t="shared" si="9"/>
        <v>0</v>
      </c>
      <c r="U52" s="883">
        <f t="shared" si="10"/>
        <v>0</v>
      </c>
      <c r="V52" s="883">
        <f t="shared" si="11"/>
        <v>0</v>
      </c>
      <c r="W52" s="883">
        <f t="shared" si="12"/>
        <v>0</v>
      </c>
      <c r="X52" s="180">
        <f t="shared" si="13"/>
        <v>0</v>
      </c>
      <c r="Y52" s="883"/>
      <c r="Z52" s="883"/>
      <c r="AA52" s="883"/>
      <c r="AB52" s="883"/>
      <c r="AC52" s="883"/>
      <c r="AD52" s="883"/>
      <c r="AE52" s="180"/>
      <c r="AF52" s="1389"/>
      <c r="AG52" s="972">
        <f>'PDYG-200'!D$38</f>
        <v>0.2417</v>
      </c>
      <c r="AH52" s="972">
        <f>'PDYG-200'!E$38</f>
        <v>0.30353035303530351</v>
      </c>
      <c r="AI52" s="972">
        <f>'PDYG-200'!F$38</f>
        <v>0.45476964696469646</v>
      </c>
    </row>
    <row r="53" spans="2:35">
      <c r="B53" s="48"/>
      <c r="C53" s="889" t="s">
        <v>1177</v>
      </c>
      <c r="D53" s="883">
        <v>0</v>
      </c>
      <c r="E53" s="883">
        <v>0</v>
      </c>
      <c r="F53" s="883">
        <v>0</v>
      </c>
      <c r="G53" s="883">
        <v>0</v>
      </c>
      <c r="H53" s="883">
        <v>0</v>
      </c>
      <c r="I53" s="883">
        <v>0</v>
      </c>
      <c r="J53" s="180">
        <f t="shared" si="4"/>
        <v>0</v>
      </c>
      <c r="K53" s="883">
        <v>0</v>
      </c>
      <c r="L53" s="883">
        <v>0</v>
      </c>
      <c r="M53" s="883">
        <v>0</v>
      </c>
      <c r="N53" s="883">
        <v>0</v>
      </c>
      <c r="O53" s="883">
        <v>0</v>
      </c>
      <c r="P53" s="883">
        <v>0</v>
      </c>
      <c r="Q53" s="180">
        <f t="shared" si="6"/>
        <v>0</v>
      </c>
      <c r="R53" s="883">
        <f t="shared" si="7"/>
        <v>0</v>
      </c>
      <c r="S53" s="883">
        <f t="shared" si="8"/>
        <v>0</v>
      </c>
      <c r="T53" s="883">
        <f t="shared" si="9"/>
        <v>0</v>
      </c>
      <c r="U53" s="883">
        <f t="shared" si="10"/>
        <v>0</v>
      </c>
      <c r="V53" s="883">
        <f t="shared" si="11"/>
        <v>0</v>
      </c>
      <c r="W53" s="883">
        <f t="shared" si="12"/>
        <v>0</v>
      </c>
      <c r="X53" s="180">
        <f t="shared" si="13"/>
        <v>0</v>
      </c>
      <c r="Y53" s="883"/>
      <c r="Z53" s="883"/>
      <c r="AA53" s="883"/>
      <c r="AB53" s="883"/>
      <c r="AC53" s="883"/>
      <c r="AD53" s="883"/>
      <c r="AE53" s="180"/>
      <c r="AF53" s="1389"/>
      <c r="AG53" s="972">
        <f>'PDYG-200'!D$38</f>
        <v>0.2417</v>
      </c>
      <c r="AH53" s="972">
        <f>'PDYG-200'!E$38</f>
        <v>0.30353035303530351</v>
      </c>
      <c r="AI53" s="972">
        <f>'PDYG-200'!F$38</f>
        <v>0.45476964696469646</v>
      </c>
    </row>
    <row r="54" spans="2:35">
      <c r="B54" s="48"/>
      <c r="C54" s="887" t="s">
        <v>305</v>
      </c>
      <c r="D54" s="883">
        <v>0</v>
      </c>
      <c r="E54" s="883">
        <v>0</v>
      </c>
      <c r="F54" s="883">
        <v>0</v>
      </c>
      <c r="G54" s="883">
        <v>0</v>
      </c>
      <c r="H54" s="883">
        <v>0</v>
      </c>
      <c r="I54" s="883">
        <v>0</v>
      </c>
      <c r="J54" s="180">
        <f t="shared" si="4"/>
        <v>0</v>
      </c>
      <c r="K54" s="883">
        <v>0</v>
      </c>
      <c r="L54" s="883">
        <v>0</v>
      </c>
      <c r="M54" s="883">
        <v>0</v>
      </c>
      <c r="N54" s="883">
        <v>0</v>
      </c>
      <c r="O54" s="883">
        <v>0</v>
      </c>
      <c r="P54" s="883">
        <v>0</v>
      </c>
      <c r="Q54" s="180">
        <f t="shared" si="6"/>
        <v>0</v>
      </c>
      <c r="R54" s="883">
        <f t="shared" si="7"/>
        <v>0</v>
      </c>
      <c r="S54" s="883">
        <f t="shared" si="8"/>
        <v>0</v>
      </c>
      <c r="T54" s="883">
        <f t="shared" si="9"/>
        <v>0</v>
      </c>
      <c r="U54" s="883">
        <f t="shared" si="10"/>
        <v>0</v>
      </c>
      <c r="V54" s="883">
        <f t="shared" si="11"/>
        <v>0</v>
      </c>
      <c r="W54" s="883">
        <f t="shared" si="12"/>
        <v>0</v>
      </c>
      <c r="X54" s="180">
        <f t="shared" si="13"/>
        <v>0</v>
      </c>
      <c r="Y54" s="883"/>
      <c r="Z54" s="883"/>
      <c r="AA54" s="883"/>
      <c r="AB54" s="883"/>
      <c r="AC54" s="883"/>
      <c r="AD54" s="883"/>
      <c r="AE54" s="180"/>
      <c r="AF54" s="1389"/>
      <c r="AG54" s="972">
        <f>'PDYG-200'!D$38</f>
        <v>0.2417</v>
      </c>
      <c r="AH54" s="972">
        <f>'PDYG-200'!E$38</f>
        <v>0.30353035303530351</v>
      </c>
      <c r="AI54" s="972">
        <f>'PDYG-200'!F$38</f>
        <v>0.45476964696469646</v>
      </c>
    </row>
    <row r="55" spans="2:35">
      <c r="B55" s="48"/>
      <c r="C55" s="887" t="s">
        <v>307</v>
      </c>
      <c r="D55" s="883">
        <v>0</v>
      </c>
      <c r="E55" s="883">
        <v>0</v>
      </c>
      <c r="F55" s="883">
        <v>0</v>
      </c>
      <c r="G55" s="883">
        <v>0</v>
      </c>
      <c r="H55" s="883">
        <v>0</v>
      </c>
      <c r="I55" s="883">
        <v>0</v>
      </c>
      <c r="J55" s="180">
        <f t="shared" si="4"/>
        <v>0</v>
      </c>
      <c r="K55" s="883">
        <v>0</v>
      </c>
      <c r="L55" s="883">
        <v>0</v>
      </c>
      <c r="M55" s="883">
        <v>0</v>
      </c>
      <c r="N55" s="883">
        <v>0</v>
      </c>
      <c r="O55" s="883">
        <v>0</v>
      </c>
      <c r="P55" s="883">
        <v>0</v>
      </c>
      <c r="Q55" s="180">
        <f t="shared" si="6"/>
        <v>0</v>
      </c>
      <c r="R55" s="883">
        <f t="shared" si="7"/>
        <v>0</v>
      </c>
      <c r="S55" s="883">
        <f t="shared" si="8"/>
        <v>0</v>
      </c>
      <c r="T55" s="883">
        <f t="shared" si="9"/>
        <v>0</v>
      </c>
      <c r="U55" s="883">
        <f t="shared" si="10"/>
        <v>0</v>
      </c>
      <c r="V55" s="883">
        <f t="shared" si="11"/>
        <v>0</v>
      </c>
      <c r="W55" s="883">
        <f t="shared" si="12"/>
        <v>0</v>
      </c>
      <c r="X55" s="180">
        <f t="shared" si="13"/>
        <v>0</v>
      </c>
      <c r="Y55" s="883"/>
      <c r="Z55" s="883"/>
      <c r="AA55" s="883"/>
      <c r="AB55" s="883"/>
      <c r="AC55" s="883"/>
      <c r="AD55" s="883"/>
      <c r="AE55" s="180"/>
      <c r="AF55" s="1389"/>
      <c r="AG55" s="972">
        <f>'PDYG-200'!D$38</f>
        <v>0.2417</v>
      </c>
      <c r="AH55" s="972">
        <f>'PDYG-200'!E$38</f>
        <v>0.30353035303530351</v>
      </c>
      <c r="AI55" s="972">
        <f>'PDYG-200'!F$38</f>
        <v>0.45476964696469646</v>
      </c>
    </row>
    <row r="56" spans="2:35">
      <c r="B56" s="48"/>
      <c r="C56" s="887" t="s">
        <v>624</v>
      </c>
      <c r="D56" s="883">
        <v>0</v>
      </c>
      <c r="E56" s="883">
        <v>0</v>
      </c>
      <c r="F56" s="883">
        <v>0</v>
      </c>
      <c r="G56" s="883">
        <v>0</v>
      </c>
      <c r="H56" s="883">
        <v>0</v>
      </c>
      <c r="I56" s="883">
        <v>0</v>
      </c>
      <c r="J56" s="180">
        <f t="shared" si="4"/>
        <v>0</v>
      </c>
      <c r="K56" s="883">
        <v>0</v>
      </c>
      <c r="L56" s="883">
        <v>0</v>
      </c>
      <c r="M56" s="883">
        <v>0</v>
      </c>
      <c r="N56" s="883">
        <v>0</v>
      </c>
      <c r="O56" s="883">
        <v>0</v>
      </c>
      <c r="P56" s="883">
        <v>0</v>
      </c>
      <c r="Q56" s="180">
        <f t="shared" si="6"/>
        <v>0</v>
      </c>
      <c r="R56" s="883">
        <f t="shared" si="7"/>
        <v>0</v>
      </c>
      <c r="S56" s="883">
        <f t="shared" si="8"/>
        <v>0</v>
      </c>
      <c r="T56" s="883">
        <f t="shared" si="9"/>
        <v>0</v>
      </c>
      <c r="U56" s="883">
        <f t="shared" si="10"/>
        <v>0</v>
      </c>
      <c r="V56" s="883">
        <f t="shared" si="11"/>
        <v>0</v>
      </c>
      <c r="W56" s="883">
        <f t="shared" si="12"/>
        <v>0</v>
      </c>
      <c r="X56" s="180">
        <f t="shared" si="13"/>
        <v>0</v>
      </c>
      <c r="Y56" s="883"/>
      <c r="Z56" s="883"/>
      <c r="AA56" s="883"/>
      <c r="AB56" s="883"/>
      <c r="AC56" s="883"/>
      <c r="AD56" s="883"/>
      <c r="AE56" s="180"/>
      <c r="AF56" s="1389"/>
      <c r="AG56" s="972">
        <f>'PDYG-200'!D$38</f>
        <v>0.2417</v>
      </c>
      <c r="AH56" s="972">
        <f>'PDYG-200'!E$38</f>
        <v>0.30353035303530351</v>
      </c>
      <c r="AI56" s="972">
        <f>'PDYG-200'!F$38</f>
        <v>0.45476964696469646</v>
      </c>
    </row>
    <row r="57" spans="2:35">
      <c r="B57" s="48"/>
      <c r="C57" s="887"/>
      <c r="D57" s="883">
        <v>0</v>
      </c>
      <c r="E57" s="883">
        <v>0</v>
      </c>
      <c r="F57" s="883">
        <v>0</v>
      </c>
      <c r="G57" s="883">
        <v>0</v>
      </c>
      <c r="H57" s="883">
        <v>0</v>
      </c>
      <c r="I57" s="883">
        <v>0</v>
      </c>
      <c r="J57" s="180">
        <f t="shared" si="4"/>
        <v>0</v>
      </c>
      <c r="K57" s="883"/>
      <c r="L57" s="883"/>
      <c r="M57" s="883"/>
      <c r="N57" s="883"/>
      <c r="O57" s="883"/>
      <c r="P57" s="883"/>
      <c r="Q57" s="180">
        <f t="shared" si="6"/>
        <v>0</v>
      </c>
      <c r="R57" s="883"/>
      <c r="S57" s="883"/>
      <c r="T57" s="883"/>
      <c r="U57" s="883"/>
      <c r="V57" s="883"/>
      <c r="W57" s="883"/>
      <c r="X57" s="180">
        <f t="shared" si="13"/>
        <v>0</v>
      </c>
      <c r="Y57" s="883"/>
      <c r="Z57" s="883"/>
      <c r="AA57" s="883"/>
      <c r="AB57" s="883"/>
      <c r="AC57" s="883"/>
      <c r="AD57" s="883"/>
      <c r="AE57" s="180"/>
      <c r="AF57" s="1389"/>
      <c r="AG57" s="972"/>
      <c r="AH57" s="972"/>
      <c r="AI57" s="972"/>
    </row>
    <row r="58" spans="2:35">
      <c r="B58" s="48"/>
      <c r="C58" s="882" t="s">
        <v>755</v>
      </c>
      <c r="D58" s="881">
        <v>165371523</v>
      </c>
      <c r="E58" s="881">
        <v>165142035</v>
      </c>
      <c r="F58" s="881">
        <v>163605881</v>
      </c>
      <c r="G58" s="881">
        <v>163805375</v>
      </c>
      <c r="H58" s="881">
        <v>158013181</v>
      </c>
      <c r="I58" s="881">
        <v>159426220</v>
      </c>
      <c r="J58" s="180">
        <f t="shared" si="4"/>
        <v>975364215</v>
      </c>
      <c r="K58" s="881">
        <f t="shared" ref="K58:W58" si="61">SUBTOTAL(9,K59:K105)</f>
        <v>39970297.109099999</v>
      </c>
      <c r="L58" s="881">
        <f t="shared" si="61"/>
        <v>39914829.859499998</v>
      </c>
      <c r="M58" s="881">
        <f t="shared" si="61"/>
        <v>39543541.437700003</v>
      </c>
      <c r="N58" s="881">
        <f t="shared" si="61"/>
        <v>39591759.137499988</v>
      </c>
      <c r="O58" s="881">
        <f t="shared" si="61"/>
        <v>38191785.847699992</v>
      </c>
      <c r="P58" s="881">
        <f t="shared" si="61"/>
        <v>38533317.373999998</v>
      </c>
      <c r="Q58" s="180">
        <f t="shared" si="6"/>
        <v>235745530.76550001</v>
      </c>
      <c r="R58" s="881">
        <f t="shared" si="61"/>
        <v>125401225.89089999</v>
      </c>
      <c r="S58" s="881">
        <f t="shared" si="61"/>
        <v>125227205.14049999</v>
      </c>
      <c r="T58" s="881">
        <f t="shared" si="61"/>
        <v>124062339.56229998</v>
      </c>
      <c r="U58" s="881">
        <f t="shared" si="61"/>
        <v>124213615.86249997</v>
      </c>
      <c r="V58" s="881">
        <f t="shared" si="61"/>
        <v>119821395.1523</v>
      </c>
      <c r="W58" s="881">
        <f t="shared" si="61"/>
        <v>120892902.62599999</v>
      </c>
      <c r="X58" s="180">
        <f t="shared" si="13"/>
        <v>739618684.23449993</v>
      </c>
      <c r="Y58" s="883"/>
      <c r="Z58" s="883"/>
      <c r="AA58" s="883"/>
      <c r="AB58" s="883"/>
      <c r="AC58" s="883"/>
      <c r="AD58" s="883"/>
      <c r="AE58" s="180"/>
      <c r="AF58" s="1389"/>
      <c r="AG58" s="972"/>
      <c r="AH58" s="972"/>
      <c r="AI58" s="972"/>
    </row>
    <row r="59" spans="2:35" s="1409" customFormat="1">
      <c r="B59" s="1404" t="s">
        <v>751</v>
      </c>
      <c r="C59" s="1405" t="s">
        <v>2186</v>
      </c>
      <c r="D59" s="1406">
        <v>4223664</v>
      </c>
      <c r="E59" s="1406">
        <v>4219992</v>
      </c>
      <c r="F59" s="1406">
        <v>4221318</v>
      </c>
      <c r="G59" s="1406">
        <v>4217384</v>
      </c>
      <c r="H59" s="1406">
        <v>4219958</v>
      </c>
      <c r="I59" s="1406">
        <v>4218936</v>
      </c>
      <c r="J59" s="1407">
        <f t="shared" si="4"/>
        <v>25321252</v>
      </c>
      <c r="K59" s="1406">
        <f t="shared" ref="K59:W59" si="62">SUBTOTAL(9,K60:K64)</f>
        <v>1020859.5888</v>
      </c>
      <c r="L59" s="1406">
        <f t="shared" si="62"/>
        <v>1019972.0664</v>
      </c>
      <c r="M59" s="1406">
        <f t="shared" si="62"/>
        <v>1020292.5606000001</v>
      </c>
      <c r="N59" s="1406">
        <f t="shared" si="62"/>
        <v>1019341.7128000001</v>
      </c>
      <c r="O59" s="1406">
        <f t="shared" si="62"/>
        <v>1019963.8486</v>
      </c>
      <c r="P59" s="1406">
        <f t="shared" si="62"/>
        <v>1019716.8312000001</v>
      </c>
      <c r="Q59" s="1407">
        <f t="shared" si="6"/>
        <v>6120146.6084000003</v>
      </c>
      <c r="R59" s="1406">
        <f t="shared" si="62"/>
        <v>3202804.4111999995</v>
      </c>
      <c r="S59" s="1406">
        <f t="shared" si="62"/>
        <v>3200019.9336000006</v>
      </c>
      <c r="T59" s="1406">
        <f t="shared" si="62"/>
        <v>3201025.4394000005</v>
      </c>
      <c r="U59" s="1406">
        <f t="shared" si="62"/>
        <v>3198042.2872000001</v>
      </c>
      <c r="V59" s="1406">
        <f t="shared" si="62"/>
        <v>3199994.1514000003</v>
      </c>
      <c r="W59" s="1406">
        <f t="shared" si="62"/>
        <v>3199219.1688000006</v>
      </c>
      <c r="X59" s="1407">
        <f t="shared" si="13"/>
        <v>19201105.391600002</v>
      </c>
      <c r="Y59" s="974"/>
      <c r="Z59" s="974"/>
      <c r="AA59" s="974"/>
      <c r="AB59" s="974"/>
      <c r="AC59" s="974"/>
      <c r="AD59" s="974"/>
      <c r="AE59" s="1407"/>
      <c r="AF59" s="1408"/>
      <c r="AG59" s="972">
        <f>'PDYG-200'!D$38</f>
        <v>0.2417</v>
      </c>
      <c r="AH59" s="972">
        <f>'PDYG-200'!E$38</f>
        <v>0.30353035303530351</v>
      </c>
      <c r="AI59" s="972">
        <f>'PDYG-200'!F$38</f>
        <v>0.45476964696469646</v>
      </c>
    </row>
    <row r="60" spans="2:35" s="1409" customFormat="1">
      <c r="B60" s="1404"/>
      <c r="C60" s="1410" t="s">
        <v>304</v>
      </c>
      <c r="D60" s="974">
        <v>2825213</v>
      </c>
      <c r="E60" s="974">
        <v>2819541</v>
      </c>
      <c r="F60" s="974">
        <v>2818140</v>
      </c>
      <c r="G60" s="974">
        <v>2812904</v>
      </c>
      <c r="H60" s="974">
        <v>2810994</v>
      </c>
      <c r="I60" s="974">
        <v>2807362</v>
      </c>
      <c r="J60" s="1407">
        <f t="shared" si="4"/>
        <v>16894154</v>
      </c>
      <c r="K60" s="883">
        <f t="shared" ref="K60:K64" si="63">D60*$AG60</f>
        <v>682853.98210000002</v>
      </c>
      <c r="L60" s="883">
        <f t="shared" ref="L60:L64" si="64">E60*$AG60</f>
        <v>681483.05969999998</v>
      </c>
      <c r="M60" s="883">
        <f t="shared" ref="M60:M64" si="65">F60*$AG60</f>
        <v>681144.43799999997</v>
      </c>
      <c r="N60" s="883">
        <f t="shared" ref="N60:N64" si="66">G60*$AG60</f>
        <v>679878.89679999999</v>
      </c>
      <c r="O60" s="883">
        <f t="shared" ref="O60:O64" si="67">H60*$AG60</f>
        <v>679417.24979999999</v>
      </c>
      <c r="P60" s="883">
        <f t="shared" ref="P60:P64" si="68">I60*$AG60</f>
        <v>678539.39540000004</v>
      </c>
      <c r="Q60" s="180">
        <f t="shared" ref="Q60:Q64" si="69">SUM(K60:P60)</f>
        <v>4083317.0218000002</v>
      </c>
      <c r="R60" s="883">
        <f t="shared" ref="R60:R64" si="70">D60-K60</f>
        <v>2142359.0178999999</v>
      </c>
      <c r="S60" s="883">
        <f t="shared" ref="S60:S64" si="71">E60-L60</f>
        <v>2138057.9402999999</v>
      </c>
      <c r="T60" s="883">
        <f t="shared" ref="T60:T64" si="72">F60-M60</f>
        <v>2136995.5619999999</v>
      </c>
      <c r="U60" s="883">
        <f t="shared" ref="U60:U64" si="73">G60-N60</f>
        <v>2133025.1031999998</v>
      </c>
      <c r="V60" s="883">
        <f t="shared" ref="V60:V64" si="74">H60-O60</f>
        <v>2131576.7502000001</v>
      </c>
      <c r="W60" s="883">
        <f t="shared" ref="W60:W64" si="75">I60-P60</f>
        <v>2128822.6046000002</v>
      </c>
      <c r="X60" s="180">
        <f t="shared" ref="X60:X64" si="76">SUM(R60:W60)</f>
        <v>12810836.9782</v>
      </c>
      <c r="Y60" s="974"/>
      <c r="Z60" s="974"/>
      <c r="AA60" s="974"/>
      <c r="AB60" s="974"/>
      <c r="AC60" s="974"/>
      <c r="AD60" s="974"/>
      <c r="AE60" s="1407"/>
      <c r="AF60" s="1408"/>
      <c r="AG60" s="972">
        <f>'PDYG-200'!D$38</f>
        <v>0.2417</v>
      </c>
      <c r="AH60" s="972">
        <f>'PDYG-200'!E$38</f>
        <v>0.30353035303530351</v>
      </c>
      <c r="AI60" s="972">
        <f>'PDYG-200'!F$38</f>
        <v>0.45476964696469646</v>
      </c>
    </row>
    <row r="61" spans="2:35" s="1409" customFormat="1">
      <c r="B61" s="1404"/>
      <c r="C61" s="1411" t="s">
        <v>306</v>
      </c>
      <c r="D61" s="974">
        <v>1398131</v>
      </c>
      <c r="E61" s="974">
        <v>1400128</v>
      </c>
      <c r="F61" s="974">
        <v>1402862</v>
      </c>
      <c r="G61" s="974">
        <v>1404164</v>
      </c>
      <c r="H61" s="974">
        <v>1408639</v>
      </c>
      <c r="I61" s="974">
        <v>1411257</v>
      </c>
      <c r="J61" s="1407">
        <f t="shared" si="4"/>
        <v>8425181</v>
      </c>
      <c r="K61" s="883">
        <f t="shared" si="63"/>
        <v>337928.26270000002</v>
      </c>
      <c r="L61" s="883">
        <f t="shared" si="64"/>
        <v>338410.9376</v>
      </c>
      <c r="M61" s="883">
        <f t="shared" si="65"/>
        <v>339071.74540000001</v>
      </c>
      <c r="N61" s="883">
        <f t="shared" si="66"/>
        <v>339386.4388</v>
      </c>
      <c r="O61" s="883">
        <f t="shared" si="67"/>
        <v>340468.04629999999</v>
      </c>
      <c r="P61" s="883">
        <f t="shared" si="68"/>
        <v>341100.81689999998</v>
      </c>
      <c r="Q61" s="180">
        <f t="shared" si="69"/>
        <v>2036366.2477000002</v>
      </c>
      <c r="R61" s="883">
        <f t="shared" si="70"/>
        <v>1060202.7372999999</v>
      </c>
      <c r="S61" s="883">
        <f t="shared" si="71"/>
        <v>1061717.0623999999</v>
      </c>
      <c r="T61" s="883">
        <f t="shared" si="72"/>
        <v>1063790.2546000001</v>
      </c>
      <c r="U61" s="883">
        <f t="shared" si="73"/>
        <v>1064777.5611999999</v>
      </c>
      <c r="V61" s="883">
        <f t="shared" si="74"/>
        <v>1068170.9537</v>
      </c>
      <c r="W61" s="883">
        <f t="shared" si="75"/>
        <v>1070156.1831</v>
      </c>
      <c r="X61" s="180">
        <f t="shared" si="76"/>
        <v>6388814.7522999998</v>
      </c>
      <c r="Y61" s="974"/>
      <c r="Z61" s="974"/>
      <c r="AA61" s="974"/>
      <c r="AB61" s="974"/>
      <c r="AC61" s="974"/>
      <c r="AD61" s="974"/>
      <c r="AE61" s="1407"/>
      <c r="AF61" s="1408"/>
      <c r="AG61" s="972">
        <f>'PDYG-200'!D$38</f>
        <v>0.2417</v>
      </c>
      <c r="AH61" s="972">
        <f>'PDYG-200'!E$38</f>
        <v>0.30353035303530351</v>
      </c>
      <c r="AI61" s="972">
        <f>'PDYG-200'!F$38</f>
        <v>0.45476964696469646</v>
      </c>
    </row>
    <row r="62" spans="2:35" s="1409" customFormat="1">
      <c r="B62" s="1404"/>
      <c r="C62" s="1410" t="s">
        <v>305</v>
      </c>
      <c r="D62" s="974">
        <v>210</v>
      </c>
      <c r="E62" s="974">
        <v>203</v>
      </c>
      <c r="F62" s="974">
        <v>196</v>
      </c>
      <c r="G62" s="974">
        <v>186</v>
      </c>
      <c r="H62" s="974">
        <v>195</v>
      </c>
      <c r="I62" s="974">
        <v>187</v>
      </c>
      <c r="J62" s="1407">
        <f t="shared" si="4"/>
        <v>1177</v>
      </c>
      <c r="K62" s="883">
        <f t="shared" si="63"/>
        <v>50.756999999999998</v>
      </c>
      <c r="L62" s="883">
        <f t="shared" si="64"/>
        <v>49.065100000000001</v>
      </c>
      <c r="M62" s="883">
        <f t="shared" si="65"/>
        <v>47.373199999999997</v>
      </c>
      <c r="N62" s="883">
        <f t="shared" si="66"/>
        <v>44.956200000000003</v>
      </c>
      <c r="O62" s="883">
        <f t="shared" si="67"/>
        <v>47.131500000000003</v>
      </c>
      <c r="P62" s="883">
        <f t="shared" si="68"/>
        <v>45.197899999999997</v>
      </c>
      <c r="Q62" s="180">
        <f t="shared" si="69"/>
        <v>284.48090000000002</v>
      </c>
      <c r="R62" s="883">
        <f t="shared" si="70"/>
        <v>159.24299999999999</v>
      </c>
      <c r="S62" s="883">
        <f t="shared" si="71"/>
        <v>153.9349</v>
      </c>
      <c r="T62" s="883">
        <f t="shared" si="72"/>
        <v>148.6268</v>
      </c>
      <c r="U62" s="883">
        <f t="shared" si="73"/>
        <v>141.0438</v>
      </c>
      <c r="V62" s="883">
        <f t="shared" si="74"/>
        <v>147.86849999999998</v>
      </c>
      <c r="W62" s="883">
        <f t="shared" si="75"/>
        <v>141.8021</v>
      </c>
      <c r="X62" s="180">
        <f t="shared" si="76"/>
        <v>892.51910000000009</v>
      </c>
      <c r="Y62" s="974"/>
      <c r="Z62" s="974"/>
      <c r="AA62" s="974"/>
      <c r="AB62" s="974"/>
      <c r="AC62" s="974"/>
      <c r="AD62" s="974"/>
      <c r="AE62" s="1407"/>
      <c r="AF62" s="1408"/>
      <c r="AG62" s="972">
        <f>'PDYG-200'!D$38</f>
        <v>0.2417</v>
      </c>
      <c r="AH62" s="972">
        <f>'PDYG-200'!E$38</f>
        <v>0.30353035303530351</v>
      </c>
      <c r="AI62" s="972">
        <f>'PDYG-200'!F$38</f>
        <v>0.45476964696469646</v>
      </c>
    </row>
    <row r="63" spans="2:35" s="1409" customFormat="1">
      <c r="B63" s="1404"/>
      <c r="C63" s="1410" t="s">
        <v>307</v>
      </c>
      <c r="D63" s="974">
        <v>10</v>
      </c>
      <c r="E63" s="974">
        <v>10</v>
      </c>
      <c r="F63" s="974">
        <v>10</v>
      </c>
      <c r="G63" s="974">
        <v>20</v>
      </c>
      <c r="H63" s="974">
        <v>20</v>
      </c>
      <c r="I63" s="974">
        <v>20</v>
      </c>
      <c r="J63" s="1407">
        <f t="shared" si="4"/>
        <v>90</v>
      </c>
      <c r="K63" s="883">
        <f t="shared" si="63"/>
        <v>2.4169999999999998</v>
      </c>
      <c r="L63" s="883">
        <f t="shared" si="64"/>
        <v>2.4169999999999998</v>
      </c>
      <c r="M63" s="883">
        <f t="shared" si="65"/>
        <v>2.4169999999999998</v>
      </c>
      <c r="N63" s="883">
        <f t="shared" si="66"/>
        <v>4.8339999999999996</v>
      </c>
      <c r="O63" s="883">
        <f t="shared" si="67"/>
        <v>4.8339999999999996</v>
      </c>
      <c r="P63" s="883">
        <f t="shared" si="68"/>
        <v>4.8339999999999996</v>
      </c>
      <c r="Q63" s="180">
        <f t="shared" si="69"/>
        <v>21.752999999999997</v>
      </c>
      <c r="R63" s="883">
        <f t="shared" si="70"/>
        <v>7.5830000000000002</v>
      </c>
      <c r="S63" s="883">
        <f t="shared" si="71"/>
        <v>7.5830000000000002</v>
      </c>
      <c r="T63" s="883">
        <f t="shared" si="72"/>
        <v>7.5830000000000002</v>
      </c>
      <c r="U63" s="883">
        <f t="shared" si="73"/>
        <v>15.166</v>
      </c>
      <c r="V63" s="883">
        <f t="shared" si="74"/>
        <v>15.166</v>
      </c>
      <c r="W63" s="883">
        <f t="shared" si="75"/>
        <v>15.166</v>
      </c>
      <c r="X63" s="180">
        <f t="shared" si="76"/>
        <v>68.247</v>
      </c>
      <c r="Y63" s="974"/>
      <c r="Z63" s="974"/>
      <c r="AA63" s="974"/>
      <c r="AB63" s="974"/>
      <c r="AC63" s="974"/>
      <c r="AD63" s="974"/>
      <c r="AE63" s="1407"/>
      <c r="AF63" s="1408"/>
      <c r="AG63" s="972">
        <f>'PDYG-200'!D$38</f>
        <v>0.2417</v>
      </c>
      <c r="AH63" s="972">
        <f>'PDYG-200'!E$38</f>
        <v>0.30353035303530351</v>
      </c>
      <c r="AI63" s="972">
        <f>'PDYG-200'!F$38</f>
        <v>0.45476964696469646</v>
      </c>
    </row>
    <row r="64" spans="2:35" s="1409" customFormat="1">
      <c r="B64" s="1404"/>
      <c r="C64" s="1410" t="s">
        <v>624</v>
      </c>
      <c r="D64" s="974">
        <v>100</v>
      </c>
      <c r="E64" s="974">
        <v>110</v>
      </c>
      <c r="F64" s="974">
        <v>110</v>
      </c>
      <c r="G64" s="974">
        <v>110</v>
      </c>
      <c r="H64" s="974">
        <v>110</v>
      </c>
      <c r="I64" s="974">
        <v>110</v>
      </c>
      <c r="J64" s="1407">
        <f t="shared" si="4"/>
        <v>650</v>
      </c>
      <c r="K64" s="883">
        <f t="shared" si="63"/>
        <v>24.169999999999998</v>
      </c>
      <c r="L64" s="883">
        <f t="shared" si="64"/>
        <v>26.587</v>
      </c>
      <c r="M64" s="883">
        <f t="shared" si="65"/>
        <v>26.587</v>
      </c>
      <c r="N64" s="883">
        <f t="shared" si="66"/>
        <v>26.587</v>
      </c>
      <c r="O64" s="883">
        <f t="shared" si="67"/>
        <v>26.587</v>
      </c>
      <c r="P64" s="883">
        <f t="shared" si="68"/>
        <v>26.587</v>
      </c>
      <c r="Q64" s="180">
        <f t="shared" si="69"/>
        <v>157.10499999999999</v>
      </c>
      <c r="R64" s="883">
        <f t="shared" si="70"/>
        <v>75.83</v>
      </c>
      <c r="S64" s="883">
        <f t="shared" si="71"/>
        <v>83.412999999999997</v>
      </c>
      <c r="T64" s="883">
        <f t="shared" si="72"/>
        <v>83.412999999999997</v>
      </c>
      <c r="U64" s="883">
        <f t="shared" si="73"/>
        <v>83.412999999999997</v>
      </c>
      <c r="V64" s="883">
        <f t="shared" si="74"/>
        <v>83.412999999999997</v>
      </c>
      <c r="W64" s="883">
        <f t="shared" si="75"/>
        <v>83.412999999999997</v>
      </c>
      <c r="X64" s="180">
        <f t="shared" si="76"/>
        <v>492.89500000000004</v>
      </c>
      <c r="Y64" s="974"/>
      <c r="Z64" s="974"/>
      <c r="AA64" s="974"/>
      <c r="AB64" s="974"/>
      <c r="AC64" s="974"/>
      <c r="AD64" s="974"/>
      <c r="AE64" s="1407"/>
      <c r="AF64" s="1408"/>
      <c r="AG64" s="972">
        <f>'PDYG-200'!D$38</f>
        <v>0.2417</v>
      </c>
      <c r="AH64" s="972">
        <f>'PDYG-200'!E$38</f>
        <v>0.30353035303530351</v>
      </c>
      <c r="AI64" s="972">
        <f>'PDYG-200'!F$38</f>
        <v>0.45476964696469646</v>
      </c>
    </row>
    <row r="65" spans="2:42">
      <c r="B65" s="48" t="s">
        <v>751</v>
      </c>
      <c r="C65" s="882" t="s">
        <v>634</v>
      </c>
      <c r="D65" s="881">
        <v>42583135</v>
      </c>
      <c r="E65" s="881">
        <v>42359326</v>
      </c>
      <c r="F65" s="881">
        <v>42995372</v>
      </c>
      <c r="G65" s="881">
        <v>42754555</v>
      </c>
      <c r="H65" s="881">
        <v>43867527</v>
      </c>
      <c r="I65" s="881">
        <v>43315634</v>
      </c>
      <c r="J65" s="180">
        <f t="shared" si="4"/>
        <v>257875549</v>
      </c>
      <c r="K65" s="881">
        <f t="shared" ref="K65:W65" si="77">SUBTOTAL(9,K66:K70)</f>
        <v>10292343.729500001</v>
      </c>
      <c r="L65" s="881">
        <f t="shared" si="77"/>
        <v>10238249.0942</v>
      </c>
      <c r="M65" s="881">
        <f t="shared" si="77"/>
        <v>10391981.4124</v>
      </c>
      <c r="N65" s="881">
        <f t="shared" si="77"/>
        <v>10333775.943500001</v>
      </c>
      <c r="O65" s="881">
        <f t="shared" si="77"/>
        <v>10602781.275900001</v>
      </c>
      <c r="P65" s="881">
        <f t="shared" si="77"/>
        <v>10469388.737800002</v>
      </c>
      <c r="Q65" s="180">
        <f t="shared" si="6"/>
        <v>62328520.193300001</v>
      </c>
      <c r="R65" s="881">
        <f t="shared" si="77"/>
        <v>32290791.270500001</v>
      </c>
      <c r="S65" s="881">
        <f t="shared" si="77"/>
        <v>32121076.9058</v>
      </c>
      <c r="T65" s="881">
        <f t="shared" si="77"/>
        <v>32603390.5876</v>
      </c>
      <c r="U65" s="881">
        <f t="shared" si="77"/>
        <v>32420779.056499999</v>
      </c>
      <c r="V65" s="881">
        <f t="shared" si="77"/>
        <v>33264745.724100001</v>
      </c>
      <c r="W65" s="881">
        <f t="shared" si="77"/>
        <v>32846245.262199998</v>
      </c>
      <c r="X65" s="180">
        <f t="shared" si="13"/>
        <v>195547028.80670002</v>
      </c>
      <c r="Y65" s="881"/>
      <c r="Z65" s="881"/>
      <c r="AA65" s="881"/>
      <c r="AB65" s="881"/>
      <c r="AC65" s="881"/>
      <c r="AD65" s="881"/>
      <c r="AE65" s="180"/>
      <c r="AF65" s="1389"/>
      <c r="AG65" s="972">
        <f>'PDYG-200'!D$38</f>
        <v>0.2417</v>
      </c>
      <c r="AH65" s="972">
        <f>'PDYG-200'!E$38</f>
        <v>0.30353035303530351</v>
      </c>
      <c r="AI65" s="972">
        <f>'PDYG-200'!F$38</f>
        <v>0.45476964696469646</v>
      </c>
      <c r="AK65" s="1409"/>
      <c r="AL65" s="1409"/>
      <c r="AM65" s="1409"/>
      <c r="AN65" s="1409"/>
      <c r="AO65" s="1409"/>
      <c r="AP65" s="1409"/>
    </row>
    <row r="66" spans="2:42">
      <c r="B66" s="48"/>
      <c r="C66" s="887" t="s">
        <v>304</v>
      </c>
      <c r="D66" s="883">
        <v>28381246</v>
      </c>
      <c r="E66" s="883">
        <v>28133371</v>
      </c>
      <c r="F66" s="883">
        <v>28574997</v>
      </c>
      <c r="G66" s="883">
        <v>28355223</v>
      </c>
      <c r="H66" s="883">
        <v>29143016</v>
      </c>
      <c r="I66" s="883">
        <v>28562466</v>
      </c>
      <c r="J66" s="180">
        <f t="shared" si="4"/>
        <v>171150319</v>
      </c>
      <c r="K66" s="883">
        <f t="shared" ref="K66:K70" si="78">D66*$AG66</f>
        <v>6859747.1582000004</v>
      </c>
      <c r="L66" s="883">
        <f t="shared" ref="L66:L70" si="79">E66*$AG66</f>
        <v>6799835.7707000002</v>
      </c>
      <c r="M66" s="883">
        <f t="shared" ref="M66:M70" si="80">F66*$AG66</f>
        <v>6906576.7748999996</v>
      </c>
      <c r="N66" s="883">
        <f t="shared" ref="N66:N70" si="81">G66*$AG66</f>
        <v>6853457.3991</v>
      </c>
      <c r="O66" s="883">
        <f t="shared" ref="O66:O70" si="82">H66*$AG66</f>
        <v>7043866.9671999998</v>
      </c>
      <c r="P66" s="883">
        <f t="shared" ref="P66:P70" si="83">I66*$AG66</f>
        <v>6903548.0322000002</v>
      </c>
      <c r="Q66" s="180">
        <f t="shared" si="6"/>
        <v>41367032.102299996</v>
      </c>
      <c r="R66" s="883">
        <f t="shared" si="7"/>
        <v>21521498.841800001</v>
      </c>
      <c r="S66" s="883">
        <f t="shared" si="8"/>
        <v>21333535.2293</v>
      </c>
      <c r="T66" s="883">
        <f t="shared" si="9"/>
        <v>21668420.225099999</v>
      </c>
      <c r="U66" s="883">
        <f t="shared" si="10"/>
        <v>21501765.600900002</v>
      </c>
      <c r="V66" s="883">
        <f t="shared" si="11"/>
        <v>22099149.0328</v>
      </c>
      <c r="W66" s="883">
        <f t="shared" si="12"/>
        <v>21658917.967799999</v>
      </c>
      <c r="X66" s="180">
        <f t="shared" si="13"/>
        <v>129783286.89770001</v>
      </c>
      <c r="Y66" s="883"/>
      <c r="Z66" s="883"/>
      <c r="AA66" s="883"/>
      <c r="AB66" s="883"/>
      <c r="AC66" s="883"/>
      <c r="AD66" s="883"/>
      <c r="AE66" s="180"/>
      <c r="AF66" s="1389"/>
      <c r="AG66" s="972">
        <f>'PDYG-200'!D$38</f>
        <v>0.2417</v>
      </c>
      <c r="AH66" s="972">
        <f>'PDYG-200'!E$38</f>
        <v>0.30353035303530351</v>
      </c>
      <c r="AI66" s="972">
        <f>'PDYG-200'!F$38</f>
        <v>0.45476964696469646</v>
      </c>
      <c r="AK66" s="1409"/>
      <c r="AL66" s="1409"/>
      <c r="AM66" s="1409"/>
      <c r="AN66" s="1409"/>
      <c r="AO66" s="1409"/>
      <c r="AP66" s="1409"/>
    </row>
    <row r="67" spans="2:42">
      <c r="B67" s="48"/>
      <c r="C67" s="888" t="s">
        <v>306</v>
      </c>
      <c r="D67" s="883">
        <v>14200217</v>
      </c>
      <c r="E67" s="883">
        <v>14224872</v>
      </c>
      <c r="F67" s="883">
        <v>14418704</v>
      </c>
      <c r="G67" s="883">
        <v>14397820</v>
      </c>
      <c r="H67" s="883">
        <v>14722996</v>
      </c>
      <c r="I67" s="883">
        <v>14750986</v>
      </c>
      <c r="J67" s="180">
        <f t="shared" si="4"/>
        <v>86715595</v>
      </c>
      <c r="K67" s="883">
        <f t="shared" si="78"/>
        <v>3432192.4489000002</v>
      </c>
      <c r="L67" s="883">
        <f t="shared" si="79"/>
        <v>3438151.5624000002</v>
      </c>
      <c r="M67" s="883">
        <f t="shared" si="80"/>
        <v>3485000.7568000001</v>
      </c>
      <c r="N67" s="883">
        <f t="shared" si="81"/>
        <v>3479953.094</v>
      </c>
      <c r="O67" s="883">
        <f t="shared" si="82"/>
        <v>3558548.1332</v>
      </c>
      <c r="P67" s="883">
        <f t="shared" si="83"/>
        <v>3565313.3161999998</v>
      </c>
      <c r="Q67" s="180">
        <f t="shared" si="6"/>
        <v>20959159.311500002</v>
      </c>
      <c r="R67" s="883">
        <f t="shared" si="7"/>
        <v>10768024.551100001</v>
      </c>
      <c r="S67" s="883">
        <f t="shared" si="8"/>
        <v>10786720.4376</v>
      </c>
      <c r="T67" s="883">
        <f t="shared" si="9"/>
        <v>10933703.2432</v>
      </c>
      <c r="U67" s="883">
        <f t="shared" si="10"/>
        <v>10917866.905999999</v>
      </c>
      <c r="V67" s="883">
        <f t="shared" si="11"/>
        <v>11164447.866799999</v>
      </c>
      <c r="W67" s="883">
        <f t="shared" si="12"/>
        <v>11185672.683800001</v>
      </c>
      <c r="X67" s="180">
        <f t="shared" si="13"/>
        <v>65756435.688500002</v>
      </c>
      <c r="Y67" s="883"/>
      <c r="Z67" s="883"/>
      <c r="AA67" s="883"/>
      <c r="AB67" s="883"/>
      <c r="AC67" s="883"/>
      <c r="AD67" s="883"/>
      <c r="AE67" s="180"/>
      <c r="AF67" s="1389"/>
      <c r="AG67" s="972">
        <f>'PDYG-200'!D$38</f>
        <v>0.2417</v>
      </c>
      <c r="AH67" s="972">
        <f>'PDYG-200'!E$38</f>
        <v>0.30353035303530351</v>
      </c>
      <c r="AI67" s="972">
        <f>'PDYG-200'!F$38</f>
        <v>0.45476964696469646</v>
      </c>
      <c r="AK67" s="1409"/>
      <c r="AL67" s="1409"/>
      <c r="AM67" s="1409"/>
      <c r="AN67" s="1409"/>
      <c r="AO67" s="1409"/>
      <c r="AP67" s="1409"/>
    </row>
    <row r="68" spans="2:42">
      <c r="B68" s="48"/>
      <c r="C68" s="887" t="s">
        <v>305</v>
      </c>
      <c r="D68" s="883">
        <v>980</v>
      </c>
      <c r="E68" s="883">
        <v>876</v>
      </c>
      <c r="F68" s="883">
        <v>934</v>
      </c>
      <c r="G68" s="883">
        <v>1058</v>
      </c>
      <c r="H68" s="883">
        <v>1165</v>
      </c>
      <c r="I68" s="883">
        <v>1551</v>
      </c>
      <c r="J68" s="180">
        <f t="shared" si="4"/>
        <v>6564</v>
      </c>
      <c r="K68" s="883">
        <f t="shared" si="78"/>
        <v>236.86599999999999</v>
      </c>
      <c r="L68" s="883">
        <f t="shared" si="79"/>
        <v>211.72919999999999</v>
      </c>
      <c r="M68" s="883">
        <f t="shared" si="80"/>
        <v>225.74780000000001</v>
      </c>
      <c r="N68" s="883">
        <f t="shared" si="81"/>
        <v>255.71860000000001</v>
      </c>
      <c r="O68" s="883">
        <f t="shared" si="82"/>
        <v>281.58049999999997</v>
      </c>
      <c r="P68" s="883">
        <f t="shared" si="83"/>
        <v>374.87669999999997</v>
      </c>
      <c r="Q68" s="180">
        <f t="shared" si="6"/>
        <v>1586.5188000000001</v>
      </c>
      <c r="R68" s="883">
        <f t="shared" si="7"/>
        <v>743.13400000000001</v>
      </c>
      <c r="S68" s="883">
        <f t="shared" si="8"/>
        <v>664.27080000000001</v>
      </c>
      <c r="T68" s="883">
        <f t="shared" si="9"/>
        <v>708.25220000000002</v>
      </c>
      <c r="U68" s="883">
        <f t="shared" si="10"/>
        <v>802.28139999999996</v>
      </c>
      <c r="V68" s="883">
        <f t="shared" si="11"/>
        <v>883.41949999999997</v>
      </c>
      <c r="W68" s="883">
        <f t="shared" si="12"/>
        <v>1176.1233</v>
      </c>
      <c r="X68" s="180">
        <f t="shared" si="13"/>
        <v>4977.4812000000002</v>
      </c>
      <c r="Y68" s="883"/>
      <c r="Z68" s="883"/>
      <c r="AA68" s="883"/>
      <c r="AB68" s="883"/>
      <c r="AC68" s="883"/>
      <c r="AD68" s="883"/>
      <c r="AE68" s="180"/>
      <c r="AF68" s="1389"/>
      <c r="AG68" s="972">
        <f>'PDYG-200'!D$38</f>
        <v>0.2417</v>
      </c>
      <c r="AH68" s="972">
        <f>'PDYG-200'!E$38</f>
        <v>0.30353035303530351</v>
      </c>
      <c r="AI68" s="972">
        <f>'PDYG-200'!F$38</f>
        <v>0.45476964696469646</v>
      </c>
      <c r="AK68" s="1409"/>
      <c r="AL68" s="1409"/>
      <c r="AM68" s="1409"/>
      <c r="AN68" s="1409"/>
      <c r="AO68" s="1409"/>
      <c r="AP68" s="1409"/>
    </row>
    <row r="69" spans="2:42">
      <c r="B69" s="48"/>
      <c r="C69" s="887" t="s">
        <v>307</v>
      </c>
      <c r="D69" s="883">
        <v>0</v>
      </c>
      <c r="E69" s="883">
        <v>0</v>
      </c>
      <c r="F69" s="883">
        <v>0</v>
      </c>
      <c r="G69" s="883">
        <v>134</v>
      </c>
      <c r="H69" s="883">
        <v>58</v>
      </c>
      <c r="I69" s="883">
        <v>79</v>
      </c>
      <c r="J69" s="180">
        <f t="shared" si="4"/>
        <v>271</v>
      </c>
      <c r="K69" s="883">
        <f t="shared" si="78"/>
        <v>0</v>
      </c>
      <c r="L69" s="883">
        <f t="shared" si="79"/>
        <v>0</v>
      </c>
      <c r="M69" s="883">
        <f t="shared" si="80"/>
        <v>0</v>
      </c>
      <c r="N69" s="883">
        <f t="shared" si="81"/>
        <v>32.387799999999999</v>
      </c>
      <c r="O69" s="883">
        <f t="shared" si="82"/>
        <v>14.018599999999999</v>
      </c>
      <c r="P69" s="883">
        <f t="shared" si="83"/>
        <v>19.0943</v>
      </c>
      <c r="Q69" s="180">
        <f t="shared" si="6"/>
        <v>65.500699999999995</v>
      </c>
      <c r="R69" s="883">
        <f t="shared" si="7"/>
        <v>0</v>
      </c>
      <c r="S69" s="883">
        <f t="shared" si="8"/>
        <v>0</v>
      </c>
      <c r="T69" s="883">
        <f t="shared" si="9"/>
        <v>0</v>
      </c>
      <c r="U69" s="883">
        <f t="shared" si="10"/>
        <v>101.6122</v>
      </c>
      <c r="V69" s="883">
        <f t="shared" si="11"/>
        <v>43.981400000000001</v>
      </c>
      <c r="W69" s="883">
        <f t="shared" si="12"/>
        <v>59.905699999999996</v>
      </c>
      <c r="X69" s="180">
        <f t="shared" si="13"/>
        <v>205.49930000000001</v>
      </c>
      <c r="Y69" s="883"/>
      <c r="Z69" s="883"/>
      <c r="AA69" s="883"/>
      <c r="AB69" s="883"/>
      <c r="AC69" s="883"/>
      <c r="AD69" s="883"/>
      <c r="AE69" s="180"/>
      <c r="AF69" s="1389"/>
      <c r="AG69" s="972">
        <f>'PDYG-200'!D$38</f>
        <v>0.2417</v>
      </c>
      <c r="AH69" s="972">
        <f>'PDYG-200'!E$38</f>
        <v>0.30353035303530351</v>
      </c>
      <c r="AI69" s="972">
        <f>'PDYG-200'!F$38</f>
        <v>0.45476964696469646</v>
      </c>
      <c r="AK69" s="1409"/>
      <c r="AL69" s="1409"/>
      <c r="AM69" s="1409"/>
      <c r="AN69" s="1409"/>
      <c r="AO69" s="1409"/>
      <c r="AP69" s="1409"/>
    </row>
    <row r="70" spans="2:42">
      <c r="B70" s="48"/>
      <c r="C70" s="887" t="s">
        <v>624</v>
      </c>
      <c r="D70" s="883">
        <v>692</v>
      </c>
      <c r="E70" s="883">
        <v>207</v>
      </c>
      <c r="F70" s="883">
        <v>737</v>
      </c>
      <c r="G70" s="883">
        <v>320</v>
      </c>
      <c r="H70" s="883">
        <v>292</v>
      </c>
      <c r="I70" s="883">
        <v>552</v>
      </c>
      <c r="J70" s="180">
        <f t="shared" ref="J70:J109" si="84">SUM(D70:I70)</f>
        <v>2800</v>
      </c>
      <c r="K70" s="883">
        <f t="shared" si="78"/>
        <v>167.25639999999999</v>
      </c>
      <c r="L70" s="883">
        <f t="shared" si="79"/>
        <v>50.0319</v>
      </c>
      <c r="M70" s="883">
        <f t="shared" si="80"/>
        <v>178.13290000000001</v>
      </c>
      <c r="N70" s="883">
        <f t="shared" si="81"/>
        <v>77.343999999999994</v>
      </c>
      <c r="O70" s="883">
        <f t="shared" si="82"/>
        <v>70.576399999999992</v>
      </c>
      <c r="P70" s="883">
        <f t="shared" si="83"/>
        <v>133.41839999999999</v>
      </c>
      <c r="Q70" s="180">
        <f t="shared" ref="Q70:Q109" si="85">SUM(K70:P70)</f>
        <v>676.76</v>
      </c>
      <c r="R70" s="883">
        <f t="shared" si="7"/>
        <v>524.74360000000001</v>
      </c>
      <c r="S70" s="883">
        <f t="shared" si="8"/>
        <v>156.96809999999999</v>
      </c>
      <c r="T70" s="883">
        <f t="shared" si="9"/>
        <v>558.86709999999994</v>
      </c>
      <c r="U70" s="883">
        <f t="shared" si="10"/>
        <v>242.65600000000001</v>
      </c>
      <c r="V70" s="883">
        <f t="shared" si="11"/>
        <v>221.42360000000002</v>
      </c>
      <c r="W70" s="883">
        <f t="shared" si="12"/>
        <v>418.58159999999998</v>
      </c>
      <c r="X70" s="180">
        <f t="shared" ref="X70:X109" si="86">SUM(R70:W70)</f>
        <v>2123.2399999999998</v>
      </c>
      <c r="Y70" s="883"/>
      <c r="Z70" s="883"/>
      <c r="AA70" s="883"/>
      <c r="AB70" s="883"/>
      <c r="AC70" s="883"/>
      <c r="AD70" s="883"/>
      <c r="AE70" s="180"/>
      <c r="AF70" s="1389"/>
      <c r="AG70" s="972">
        <f>'PDYG-200'!D$38</f>
        <v>0.2417</v>
      </c>
      <c r="AH70" s="972">
        <f>'PDYG-200'!E$38</f>
        <v>0.30353035303530351</v>
      </c>
      <c r="AI70" s="972">
        <f>'PDYG-200'!F$38</f>
        <v>0.45476964696469646</v>
      </c>
      <c r="AK70" s="1409"/>
      <c r="AL70" s="1409"/>
      <c r="AM70" s="1409"/>
      <c r="AN70" s="1409"/>
      <c r="AO70" s="1409"/>
      <c r="AP70" s="1409"/>
    </row>
    <row r="71" spans="2:42">
      <c r="B71" s="48" t="s">
        <v>750</v>
      </c>
      <c r="C71" s="882" t="s">
        <v>635</v>
      </c>
      <c r="D71" s="881">
        <v>49250315</v>
      </c>
      <c r="E71" s="881">
        <v>49791736</v>
      </c>
      <c r="F71" s="881">
        <v>48506495</v>
      </c>
      <c r="G71" s="881">
        <v>48473458</v>
      </c>
      <c r="H71" s="881">
        <v>46806378</v>
      </c>
      <c r="I71" s="881">
        <v>45725786</v>
      </c>
      <c r="J71" s="180">
        <f t="shared" si="84"/>
        <v>288554168</v>
      </c>
      <c r="K71" s="881">
        <f t="shared" ref="K71:W71" si="87">SUBTOTAL(9,K72:K77)</f>
        <v>11903801.135499999</v>
      </c>
      <c r="L71" s="881">
        <f t="shared" si="87"/>
        <v>12034662.5912</v>
      </c>
      <c r="M71" s="881">
        <f t="shared" si="87"/>
        <v>11724019.841500001</v>
      </c>
      <c r="N71" s="881">
        <f t="shared" si="87"/>
        <v>11716034.798600001</v>
      </c>
      <c r="O71" s="881">
        <f t="shared" si="87"/>
        <v>11313101.5626</v>
      </c>
      <c r="P71" s="881">
        <f t="shared" si="87"/>
        <v>11051922.476200001</v>
      </c>
      <c r="Q71" s="180">
        <f t="shared" si="85"/>
        <v>69743542.405600011</v>
      </c>
      <c r="R71" s="881">
        <f t="shared" si="87"/>
        <v>37346513.864500001</v>
      </c>
      <c r="S71" s="881">
        <f t="shared" si="87"/>
        <v>37757073.408800006</v>
      </c>
      <c r="T71" s="881">
        <f t="shared" si="87"/>
        <v>36782475.158499993</v>
      </c>
      <c r="U71" s="881">
        <f t="shared" si="87"/>
        <v>36757423.201400004</v>
      </c>
      <c r="V71" s="881">
        <f t="shared" si="87"/>
        <v>35493276.437399998</v>
      </c>
      <c r="W71" s="881">
        <f t="shared" si="87"/>
        <v>34673863.523799993</v>
      </c>
      <c r="X71" s="180">
        <f t="shared" si="86"/>
        <v>218810625.59440002</v>
      </c>
      <c r="Y71" s="881"/>
      <c r="Z71" s="881"/>
      <c r="AA71" s="881"/>
      <c r="AB71" s="881"/>
      <c r="AC71" s="881"/>
      <c r="AD71" s="881"/>
      <c r="AE71" s="180"/>
      <c r="AF71" s="1389"/>
      <c r="AG71" s="972">
        <f>'PDYG-200'!D$38</f>
        <v>0.2417</v>
      </c>
      <c r="AH71" s="972">
        <f>'PDYG-200'!E$38</f>
        <v>0.30353035303530351</v>
      </c>
      <c r="AI71" s="972">
        <f>'PDYG-200'!F$38</f>
        <v>0.45476964696469646</v>
      </c>
      <c r="AK71" s="1409"/>
      <c r="AL71" s="1409"/>
      <c r="AM71" s="1409"/>
      <c r="AN71" s="1409"/>
      <c r="AO71" s="1409"/>
      <c r="AP71" s="1409"/>
    </row>
    <row r="72" spans="2:42">
      <c r="B72" s="48"/>
      <c r="C72" s="887" t="s">
        <v>304</v>
      </c>
      <c r="D72" s="883">
        <v>28619170</v>
      </c>
      <c r="E72" s="883">
        <v>28992078</v>
      </c>
      <c r="F72" s="883">
        <v>28093284</v>
      </c>
      <c r="G72" s="883">
        <v>28012077</v>
      </c>
      <c r="H72" s="883">
        <v>26944209</v>
      </c>
      <c r="I72" s="883">
        <v>26229007</v>
      </c>
      <c r="J72" s="180">
        <f t="shared" si="84"/>
        <v>166889825</v>
      </c>
      <c r="K72" s="883">
        <f t="shared" ref="K72:K77" si="88">D72*$AG72</f>
        <v>6917253.3889999995</v>
      </c>
      <c r="L72" s="883">
        <f t="shared" ref="L72:L77" si="89">E72*$AG72</f>
        <v>7007385.2526000002</v>
      </c>
      <c r="M72" s="883">
        <f t="shared" ref="M72:M77" si="90">F72*$AG72</f>
        <v>6790146.7428000001</v>
      </c>
      <c r="N72" s="883">
        <f t="shared" ref="N72:N77" si="91">G72*$AG72</f>
        <v>6770519.0109000001</v>
      </c>
      <c r="O72" s="883">
        <f t="shared" ref="O72:O77" si="92">H72*$AG72</f>
        <v>6512415.3152999999</v>
      </c>
      <c r="P72" s="883">
        <f t="shared" ref="P72:P77" si="93">I72*$AG72</f>
        <v>6339550.9918999998</v>
      </c>
      <c r="Q72" s="180">
        <f t="shared" si="85"/>
        <v>40337270.702500001</v>
      </c>
      <c r="R72" s="883">
        <f t="shared" si="7"/>
        <v>21701916.611000001</v>
      </c>
      <c r="S72" s="883">
        <f t="shared" si="8"/>
        <v>21984692.747400001</v>
      </c>
      <c r="T72" s="883">
        <f t="shared" si="9"/>
        <v>21303137.257199999</v>
      </c>
      <c r="U72" s="883">
        <f t="shared" si="10"/>
        <v>21241557.989100002</v>
      </c>
      <c r="V72" s="883">
        <f t="shared" si="11"/>
        <v>20431793.684700001</v>
      </c>
      <c r="W72" s="883">
        <f t="shared" si="12"/>
        <v>19889456.008099999</v>
      </c>
      <c r="X72" s="180">
        <f t="shared" si="86"/>
        <v>126552554.2975</v>
      </c>
      <c r="Y72" s="883"/>
      <c r="Z72" s="883"/>
      <c r="AA72" s="883"/>
      <c r="AB72" s="883"/>
      <c r="AC72" s="883"/>
      <c r="AD72" s="883"/>
      <c r="AE72" s="180"/>
      <c r="AF72" s="1389"/>
      <c r="AG72" s="972">
        <f>'PDYG-200'!D$38</f>
        <v>0.2417</v>
      </c>
      <c r="AH72" s="972">
        <f>'PDYG-200'!E$38</f>
        <v>0.30353035303530351</v>
      </c>
      <c r="AI72" s="972">
        <f>'PDYG-200'!F$38</f>
        <v>0.45476964696469646</v>
      </c>
      <c r="AK72" s="1409"/>
      <c r="AL72" s="1409"/>
      <c r="AM72" s="1409"/>
      <c r="AN72" s="1409"/>
      <c r="AO72" s="1409"/>
      <c r="AP72" s="1409"/>
    </row>
    <row r="73" spans="2:42">
      <c r="B73" s="48"/>
      <c r="C73" s="889" t="s">
        <v>642</v>
      </c>
      <c r="D73" s="883">
        <v>20176500</v>
      </c>
      <c r="E73" s="883">
        <v>20333417</v>
      </c>
      <c r="F73" s="883">
        <v>19980426</v>
      </c>
      <c r="G73" s="883">
        <v>20030642</v>
      </c>
      <c r="H73" s="883">
        <v>19453048</v>
      </c>
      <c r="I73" s="883">
        <v>19079031</v>
      </c>
      <c r="J73" s="180">
        <f t="shared" si="84"/>
        <v>119053064</v>
      </c>
      <c r="K73" s="883">
        <f t="shared" si="88"/>
        <v>4876660.05</v>
      </c>
      <c r="L73" s="883">
        <f t="shared" si="89"/>
        <v>4914586.8888999997</v>
      </c>
      <c r="M73" s="883">
        <f t="shared" si="90"/>
        <v>4829268.9642000003</v>
      </c>
      <c r="N73" s="883">
        <f t="shared" si="91"/>
        <v>4841406.1714000003</v>
      </c>
      <c r="O73" s="883">
        <f t="shared" si="92"/>
        <v>4701801.7016000003</v>
      </c>
      <c r="P73" s="883">
        <f t="shared" si="93"/>
        <v>4611401.7927000001</v>
      </c>
      <c r="Q73" s="180">
        <f t="shared" si="85"/>
        <v>28775125.568799999</v>
      </c>
      <c r="R73" s="883">
        <f t="shared" si="7"/>
        <v>15299839.949999999</v>
      </c>
      <c r="S73" s="883">
        <f t="shared" si="8"/>
        <v>15418830.111099999</v>
      </c>
      <c r="T73" s="883">
        <f t="shared" si="9"/>
        <v>15151157.035799999</v>
      </c>
      <c r="U73" s="883">
        <f t="shared" si="10"/>
        <v>15189235.828600001</v>
      </c>
      <c r="V73" s="883">
        <f t="shared" si="11"/>
        <v>14751246.2984</v>
      </c>
      <c r="W73" s="883">
        <f t="shared" si="12"/>
        <v>14467629.2073</v>
      </c>
      <c r="X73" s="180">
        <f t="shared" si="86"/>
        <v>90277938.431199998</v>
      </c>
      <c r="Y73" s="883"/>
      <c r="Z73" s="883"/>
      <c r="AA73" s="883"/>
      <c r="AB73" s="883"/>
      <c r="AC73" s="883"/>
      <c r="AD73" s="883"/>
      <c r="AE73" s="180"/>
      <c r="AF73" s="1389"/>
      <c r="AG73" s="972">
        <f>'PDYG-200'!D$38</f>
        <v>0.2417</v>
      </c>
      <c r="AH73" s="972">
        <f>'PDYG-200'!E$38</f>
        <v>0.30353035303530351</v>
      </c>
      <c r="AI73" s="972">
        <f>'PDYG-200'!F$38</f>
        <v>0.45476964696469646</v>
      </c>
      <c r="AK73" s="1409"/>
      <c r="AL73" s="1409"/>
      <c r="AM73" s="1409"/>
      <c r="AN73" s="1409"/>
      <c r="AO73" s="1409"/>
      <c r="AP73" s="1409"/>
    </row>
    <row r="74" spans="2:42">
      <c r="B74" s="48"/>
      <c r="C74" s="889" t="s">
        <v>1177</v>
      </c>
      <c r="D74" s="883">
        <v>453288</v>
      </c>
      <c r="E74" s="883">
        <v>464229</v>
      </c>
      <c r="F74" s="883">
        <v>430367</v>
      </c>
      <c r="G74" s="883">
        <v>427996</v>
      </c>
      <c r="H74" s="883">
        <v>404564</v>
      </c>
      <c r="I74" s="883">
        <v>414678</v>
      </c>
      <c r="J74" s="180">
        <f t="shared" si="84"/>
        <v>2595122</v>
      </c>
      <c r="K74" s="883">
        <f t="shared" si="88"/>
        <v>109559.7096</v>
      </c>
      <c r="L74" s="883">
        <f t="shared" si="89"/>
        <v>112204.1493</v>
      </c>
      <c r="M74" s="883">
        <f t="shared" si="90"/>
        <v>104019.70389999999</v>
      </c>
      <c r="N74" s="883">
        <f t="shared" si="91"/>
        <v>103446.6332</v>
      </c>
      <c r="O74" s="883">
        <f t="shared" si="92"/>
        <v>97783.118799999997</v>
      </c>
      <c r="P74" s="883">
        <f t="shared" si="93"/>
        <v>100227.67260000001</v>
      </c>
      <c r="Q74" s="180">
        <f t="shared" si="85"/>
        <v>627240.98739999998</v>
      </c>
      <c r="R74" s="883">
        <f t="shared" si="7"/>
        <v>343728.2904</v>
      </c>
      <c r="S74" s="883">
        <f t="shared" si="8"/>
        <v>352024.85070000001</v>
      </c>
      <c r="T74" s="883">
        <f t="shared" si="9"/>
        <v>326347.29610000004</v>
      </c>
      <c r="U74" s="883">
        <f t="shared" si="10"/>
        <v>324549.36680000002</v>
      </c>
      <c r="V74" s="883">
        <f t="shared" si="11"/>
        <v>306780.8812</v>
      </c>
      <c r="W74" s="883">
        <f t="shared" si="12"/>
        <v>314450.32740000001</v>
      </c>
      <c r="X74" s="180">
        <f t="shared" si="86"/>
        <v>1967881.0126</v>
      </c>
      <c r="Y74" s="883"/>
      <c r="Z74" s="883"/>
      <c r="AA74" s="883"/>
      <c r="AB74" s="883"/>
      <c r="AC74" s="883"/>
      <c r="AD74" s="883"/>
      <c r="AE74" s="180"/>
      <c r="AF74" s="1389"/>
      <c r="AG74" s="972">
        <f>'PDYG-200'!D$38</f>
        <v>0.2417</v>
      </c>
      <c r="AH74" s="972">
        <f>'PDYG-200'!E$38</f>
        <v>0.30353035303530351</v>
      </c>
      <c r="AI74" s="972">
        <f>'PDYG-200'!F$38</f>
        <v>0.45476964696469646</v>
      </c>
      <c r="AK74" s="1409"/>
      <c r="AL74" s="1409"/>
      <c r="AM74" s="1409"/>
      <c r="AN74" s="1409"/>
      <c r="AO74" s="1409"/>
      <c r="AP74" s="1409"/>
    </row>
    <row r="75" spans="2:42">
      <c r="B75" s="48"/>
      <c r="C75" s="887" t="s">
        <v>305</v>
      </c>
      <c r="D75" s="883">
        <v>1357</v>
      </c>
      <c r="E75" s="883">
        <v>1402</v>
      </c>
      <c r="F75" s="883">
        <v>2110</v>
      </c>
      <c r="G75" s="883">
        <v>1333</v>
      </c>
      <c r="H75" s="883">
        <v>2657</v>
      </c>
      <c r="I75" s="883">
        <v>2648</v>
      </c>
      <c r="J75" s="180">
        <f t="shared" si="84"/>
        <v>11507</v>
      </c>
      <c r="K75" s="883">
        <f t="shared" si="88"/>
        <v>327.98689999999999</v>
      </c>
      <c r="L75" s="883">
        <f t="shared" si="89"/>
        <v>338.86340000000001</v>
      </c>
      <c r="M75" s="883">
        <f t="shared" si="90"/>
        <v>509.98700000000002</v>
      </c>
      <c r="N75" s="883">
        <f t="shared" si="91"/>
        <v>322.18610000000001</v>
      </c>
      <c r="O75" s="883">
        <f t="shared" si="92"/>
        <v>642.19690000000003</v>
      </c>
      <c r="P75" s="883">
        <f t="shared" si="93"/>
        <v>640.02160000000003</v>
      </c>
      <c r="Q75" s="180">
        <f t="shared" si="85"/>
        <v>2781.2419</v>
      </c>
      <c r="R75" s="883">
        <f t="shared" si="7"/>
        <v>1029.0131000000001</v>
      </c>
      <c r="S75" s="883">
        <f t="shared" si="8"/>
        <v>1063.1366</v>
      </c>
      <c r="T75" s="883">
        <f t="shared" si="9"/>
        <v>1600.0129999999999</v>
      </c>
      <c r="U75" s="883">
        <f t="shared" si="10"/>
        <v>1010.8139</v>
      </c>
      <c r="V75" s="883">
        <f t="shared" si="11"/>
        <v>2014.8031000000001</v>
      </c>
      <c r="W75" s="883">
        <f t="shared" si="12"/>
        <v>2007.9784</v>
      </c>
      <c r="X75" s="180">
        <f t="shared" si="86"/>
        <v>8725.7580999999991</v>
      </c>
      <c r="Y75" s="883"/>
      <c r="Z75" s="883"/>
      <c r="AA75" s="883"/>
      <c r="AB75" s="883"/>
      <c r="AC75" s="883"/>
      <c r="AD75" s="883"/>
      <c r="AE75" s="180"/>
      <c r="AF75" s="1389"/>
      <c r="AG75" s="972">
        <f>'PDYG-200'!D$38</f>
        <v>0.2417</v>
      </c>
      <c r="AH75" s="972">
        <f>'PDYG-200'!E$38</f>
        <v>0.30353035303530351</v>
      </c>
      <c r="AI75" s="972">
        <f>'PDYG-200'!F$38</f>
        <v>0.45476964696469646</v>
      </c>
      <c r="AK75" s="1409"/>
      <c r="AL75" s="1409"/>
      <c r="AM75" s="1409"/>
      <c r="AN75" s="1409"/>
      <c r="AO75" s="1409"/>
      <c r="AP75" s="1409"/>
    </row>
    <row r="76" spans="2:42">
      <c r="B76" s="48"/>
      <c r="C76" s="887" t="s">
        <v>307</v>
      </c>
      <c r="D76" s="883">
        <v>0</v>
      </c>
      <c r="E76" s="883">
        <v>0</v>
      </c>
      <c r="F76" s="883">
        <v>0</v>
      </c>
      <c r="G76" s="883">
        <v>0</v>
      </c>
      <c r="H76" s="883">
        <v>715</v>
      </c>
      <c r="I76" s="883">
        <v>0</v>
      </c>
      <c r="J76" s="180">
        <f t="shared" si="84"/>
        <v>715</v>
      </c>
      <c r="K76" s="883">
        <f t="shared" si="88"/>
        <v>0</v>
      </c>
      <c r="L76" s="883">
        <f t="shared" si="89"/>
        <v>0</v>
      </c>
      <c r="M76" s="883">
        <f t="shared" si="90"/>
        <v>0</v>
      </c>
      <c r="N76" s="883">
        <f t="shared" si="91"/>
        <v>0</v>
      </c>
      <c r="O76" s="883">
        <f t="shared" si="92"/>
        <v>172.81549999999999</v>
      </c>
      <c r="P76" s="883">
        <f t="shared" si="93"/>
        <v>0</v>
      </c>
      <c r="Q76" s="180">
        <f t="shared" si="85"/>
        <v>172.81549999999999</v>
      </c>
      <c r="R76" s="883">
        <f t="shared" si="7"/>
        <v>0</v>
      </c>
      <c r="S76" s="883">
        <f t="shared" si="8"/>
        <v>0</v>
      </c>
      <c r="T76" s="883">
        <f t="shared" si="9"/>
        <v>0</v>
      </c>
      <c r="U76" s="883">
        <f t="shared" si="10"/>
        <v>0</v>
      </c>
      <c r="V76" s="883">
        <f t="shared" si="11"/>
        <v>542.18450000000007</v>
      </c>
      <c r="W76" s="883">
        <f t="shared" si="12"/>
        <v>0</v>
      </c>
      <c r="X76" s="180">
        <f t="shared" si="86"/>
        <v>542.18450000000007</v>
      </c>
      <c r="Y76" s="883"/>
      <c r="Z76" s="883"/>
      <c r="AA76" s="883"/>
      <c r="AB76" s="883"/>
      <c r="AC76" s="883"/>
      <c r="AD76" s="883"/>
      <c r="AE76" s="180"/>
      <c r="AF76" s="1389"/>
      <c r="AG76" s="972">
        <f>'PDYG-200'!D$38</f>
        <v>0.2417</v>
      </c>
      <c r="AH76" s="972">
        <f>'PDYG-200'!E$38</f>
        <v>0.30353035303530351</v>
      </c>
      <c r="AI76" s="972">
        <f>'PDYG-200'!F$38</f>
        <v>0.45476964696469646</v>
      </c>
      <c r="AK76" s="1409"/>
      <c r="AL76" s="1409"/>
      <c r="AM76" s="1409"/>
      <c r="AN76" s="1409"/>
      <c r="AO76" s="1409"/>
      <c r="AP76" s="1409"/>
    </row>
    <row r="77" spans="2:42">
      <c r="B77" s="48"/>
      <c r="C77" s="887" t="s">
        <v>624</v>
      </c>
      <c r="D77" s="883">
        <v>0</v>
      </c>
      <c r="E77" s="883">
        <v>610</v>
      </c>
      <c r="F77" s="883">
        <v>308</v>
      </c>
      <c r="G77" s="883">
        <v>1410</v>
      </c>
      <c r="H77" s="883">
        <v>1185</v>
      </c>
      <c r="I77" s="883">
        <v>422</v>
      </c>
      <c r="J77" s="180">
        <f t="shared" si="84"/>
        <v>3935</v>
      </c>
      <c r="K77" s="883">
        <f t="shared" si="88"/>
        <v>0</v>
      </c>
      <c r="L77" s="883">
        <f t="shared" si="89"/>
        <v>147.43700000000001</v>
      </c>
      <c r="M77" s="883">
        <f t="shared" si="90"/>
        <v>74.443600000000004</v>
      </c>
      <c r="N77" s="883">
        <f t="shared" si="91"/>
        <v>340.79700000000003</v>
      </c>
      <c r="O77" s="883">
        <f t="shared" si="92"/>
        <v>286.41449999999998</v>
      </c>
      <c r="P77" s="883">
        <f t="shared" si="93"/>
        <v>101.9974</v>
      </c>
      <c r="Q77" s="180">
        <f t="shared" si="85"/>
        <v>951.08949999999993</v>
      </c>
      <c r="R77" s="883">
        <f t="shared" si="7"/>
        <v>0</v>
      </c>
      <c r="S77" s="883">
        <f t="shared" si="8"/>
        <v>462.56299999999999</v>
      </c>
      <c r="T77" s="883">
        <f t="shared" si="9"/>
        <v>233.5564</v>
      </c>
      <c r="U77" s="883">
        <f t="shared" si="10"/>
        <v>1069.203</v>
      </c>
      <c r="V77" s="883">
        <f t="shared" si="11"/>
        <v>898.58550000000002</v>
      </c>
      <c r="W77" s="883">
        <f t="shared" si="12"/>
        <v>320.00260000000003</v>
      </c>
      <c r="X77" s="180">
        <f t="shared" si="86"/>
        <v>2983.9105</v>
      </c>
      <c r="Y77" s="883"/>
      <c r="Z77" s="883"/>
      <c r="AA77" s="883"/>
      <c r="AB77" s="883"/>
      <c r="AC77" s="883"/>
      <c r="AD77" s="883"/>
      <c r="AE77" s="180"/>
      <c r="AF77" s="1389"/>
      <c r="AG77" s="972">
        <f>'PDYG-200'!D$38</f>
        <v>0.2417</v>
      </c>
      <c r="AH77" s="972">
        <f>'PDYG-200'!E$38</f>
        <v>0.30353035303530351</v>
      </c>
      <c r="AI77" s="972">
        <f>'PDYG-200'!F$38</f>
        <v>0.45476964696469646</v>
      </c>
      <c r="AK77" s="1409"/>
      <c r="AL77" s="1409"/>
      <c r="AM77" s="1409"/>
      <c r="AN77" s="1409"/>
      <c r="AO77" s="1409"/>
      <c r="AP77" s="1409"/>
    </row>
    <row r="78" spans="2:42">
      <c r="B78" s="48" t="s">
        <v>749</v>
      </c>
      <c r="C78" s="882" t="s">
        <v>636</v>
      </c>
      <c r="D78" s="881">
        <v>54613850</v>
      </c>
      <c r="E78" s="881">
        <v>54327073</v>
      </c>
      <c r="F78" s="881">
        <v>52998131</v>
      </c>
      <c r="G78" s="881">
        <v>53736809</v>
      </c>
      <c r="H78" s="881">
        <v>49483276</v>
      </c>
      <c r="I78" s="881">
        <v>51366818</v>
      </c>
      <c r="J78" s="180">
        <f t="shared" si="84"/>
        <v>316525957</v>
      </c>
      <c r="K78" s="881">
        <f t="shared" ref="K78:W78" si="94">SUBTOTAL(9,K79:K84)</f>
        <v>13200167.545</v>
      </c>
      <c r="L78" s="881">
        <f t="shared" si="94"/>
        <v>13130853.544099998</v>
      </c>
      <c r="M78" s="881">
        <f t="shared" si="94"/>
        <v>12809648.262699999</v>
      </c>
      <c r="N78" s="881">
        <f t="shared" si="94"/>
        <v>12988186.735300001</v>
      </c>
      <c r="O78" s="881">
        <f t="shared" si="94"/>
        <v>11960107.8092</v>
      </c>
      <c r="P78" s="881">
        <f t="shared" si="94"/>
        <v>12415359.910599999</v>
      </c>
      <c r="Q78" s="180">
        <f t="shared" si="85"/>
        <v>76504323.806899995</v>
      </c>
      <c r="R78" s="881">
        <f t="shared" si="94"/>
        <v>41413682.455000006</v>
      </c>
      <c r="S78" s="881">
        <f t="shared" si="94"/>
        <v>41196219.455900006</v>
      </c>
      <c r="T78" s="881">
        <f t="shared" si="94"/>
        <v>40188482.737299994</v>
      </c>
      <c r="U78" s="881">
        <f t="shared" si="94"/>
        <v>40748622.264700003</v>
      </c>
      <c r="V78" s="881">
        <f t="shared" si="94"/>
        <v>37523168.190800004</v>
      </c>
      <c r="W78" s="881">
        <f t="shared" si="94"/>
        <v>38951458.089400001</v>
      </c>
      <c r="X78" s="180">
        <f t="shared" si="86"/>
        <v>240021633.19310001</v>
      </c>
      <c r="Y78" s="881"/>
      <c r="Z78" s="881"/>
      <c r="AA78" s="881"/>
      <c r="AB78" s="881"/>
      <c r="AC78" s="881"/>
      <c r="AD78" s="881"/>
      <c r="AE78" s="180"/>
      <c r="AF78" s="1389"/>
      <c r="AG78" s="972">
        <f>'PDYG-200'!D$38</f>
        <v>0.2417</v>
      </c>
      <c r="AH78" s="972">
        <f>'PDYG-200'!E$38</f>
        <v>0.30353035303530351</v>
      </c>
      <c r="AI78" s="972">
        <f>'PDYG-200'!F$38</f>
        <v>0.45476964696469646</v>
      </c>
      <c r="AK78" s="1409"/>
      <c r="AL78" s="1409"/>
      <c r="AM78" s="1409"/>
      <c r="AN78" s="1409"/>
      <c r="AO78" s="1409"/>
      <c r="AP78" s="1409"/>
    </row>
    <row r="79" spans="2:42">
      <c r="B79" s="37"/>
      <c r="C79" s="887" t="s">
        <v>304</v>
      </c>
      <c r="D79" s="883">
        <v>45882571</v>
      </c>
      <c r="E79" s="883">
        <v>45801977</v>
      </c>
      <c r="F79" s="883">
        <v>44890326</v>
      </c>
      <c r="G79" s="883">
        <v>45498616</v>
      </c>
      <c r="H79" s="883">
        <v>42195892</v>
      </c>
      <c r="I79" s="883">
        <v>43599705</v>
      </c>
      <c r="J79" s="180">
        <f t="shared" si="84"/>
        <v>267869087</v>
      </c>
      <c r="K79" s="883">
        <f t="shared" ref="K79:K84" si="95">D79*$AG79</f>
        <v>11089817.410700001</v>
      </c>
      <c r="L79" s="883">
        <f t="shared" ref="L79:L84" si="96">E79*$AG79</f>
        <v>11070337.8409</v>
      </c>
      <c r="M79" s="883">
        <f t="shared" ref="M79:M84" si="97">F79*$AG79</f>
        <v>10849991.794199999</v>
      </c>
      <c r="N79" s="883">
        <f t="shared" ref="N79:N84" si="98">G79*$AG79</f>
        <v>10997015.487199999</v>
      </c>
      <c r="O79" s="883">
        <f t="shared" ref="O79:O84" si="99">H79*$AG79</f>
        <v>10198747.0964</v>
      </c>
      <c r="P79" s="883">
        <f t="shared" ref="P79:P84" si="100">I79*$AG79</f>
        <v>10538048.6985</v>
      </c>
      <c r="Q79" s="180">
        <f t="shared" si="85"/>
        <v>64743958.3279</v>
      </c>
      <c r="R79" s="883">
        <f t="shared" si="7"/>
        <v>34792753.589299999</v>
      </c>
      <c r="S79" s="883">
        <f t="shared" si="8"/>
        <v>34731639.159099996</v>
      </c>
      <c r="T79" s="883">
        <f t="shared" si="9"/>
        <v>34040334.205799997</v>
      </c>
      <c r="U79" s="883">
        <f t="shared" si="10"/>
        <v>34501600.512800001</v>
      </c>
      <c r="V79" s="883">
        <f t="shared" si="11"/>
        <v>31997144.9036</v>
      </c>
      <c r="W79" s="883">
        <f t="shared" si="12"/>
        <v>33061656.3015</v>
      </c>
      <c r="X79" s="180">
        <f t="shared" si="86"/>
        <v>203125128.67210001</v>
      </c>
      <c r="Y79" s="883"/>
      <c r="Z79" s="883"/>
      <c r="AA79" s="883"/>
      <c r="AB79" s="883"/>
      <c r="AC79" s="883"/>
      <c r="AD79" s="883"/>
      <c r="AE79" s="180"/>
      <c r="AF79" s="1389"/>
      <c r="AG79" s="972">
        <f>'PDYG-200'!D$38</f>
        <v>0.2417</v>
      </c>
      <c r="AH79" s="972">
        <f>'PDYG-200'!E$38</f>
        <v>0.30353035303530351</v>
      </c>
      <c r="AI79" s="972">
        <f>'PDYG-200'!F$38</f>
        <v>0.45476964696469646</v>
      </c>
      <c r="AK79" s="1409"/>
      <c r="AL79" s="1409"/>
      <c r="AM79" s="1409"/>
      <c r="AN79" s="1409"/>
      <c r="AO79" s="1409"/>
      <c r="AP79" s="1409"/>
    </row>
    <row r="80" spans="2:42">
      <c r="B80" s="37"/>
      <c r="C80" s="889" t="s">
        <v>642</v>
      </c>
      <c r="D80" s="883">
        <v>4761030</v>
      </c>
      <c r="E80" s="883">
        <v>4666230</v>
      </c>
      <c r="F80" s="883">
        <v>4440130</v>
      </c>
      <c r="G80" s="883">
        <v>4495480</v>
      </c>
      <c r="H80" s="883">
        <v>3986950</v>
      </c>
      <c r="I80" s="883">
        <v>4151050</v>
      </c>
      <c r="J80" s="180">
        <f t="shared" si="84"/>
        <v>26500870</v>
      </c>
      <c r="K80" s="883">
        <f t="shared" si="95"/>
        <v>1150740.9509999999</v>
      </c>
      <c r="L80" s="883">
        <f t="shared" si="96"/>
        <v>1127827.791</v>
      </c>
      <c r="M80" s="883">
        <f t="shared" si="97"/>
        <v>1073179.4210000001</v>
      </c>
      <c r="N80" s="883">
        <f t="shared" si="98"/>
        <v>1086557.5160000001</v>
      </c>
      <c r="O80" s="883">
        <f t="shared" si="99"/>
        <v>963645.81499999994</v>
      </c>
      <c r="P80" s="883">
        <f t="shared" si="100"/>
        <v>1003308.785</v>
      </c>
      <c r="Q80" s="180">
        <f t="shared" si="85"/>
        <v>6405260.2789999992</v>
      </c>
      <c r="R80" s="883">
        <f t="shared" si="7"/>
        <v>3610289.0490000001</v>
      </c>
      <c r="S80" s="883">
        <f t="shared" si="8"/>
        <v>3538402.2089999998</v>
      </c>
      <c r="T80" s="883">
        <f t="shared" si="9"/>
        <v>3366950.5789999999</v>
      </c>
      <c r="U80" s="883">
        <f t="shared" si="10"/>
        <v>3408922.4840000002</v>
      </c>
      <c r="V80" s="883">
        <f t="shared" si="11"/>
        <v>3023304.1850000001</v>
      </c>
      <c r="W80" s="883">
        <f t="shared" si="12"/>
        <v>3147741.2149999999</v>
      </c>
      <c r="X80" s="180">
        <f t="shared" si="86"/>
        <v>20095609.720999997</v>
      </c>
      <c r="Y80" s="883"/>
      <c r="Z80" s="883"/>
      <c r="AA80" s="883"/>
      <c r="AB80" s="883"/>
      <c r="AC80" s="883"/>
      <c r="AD80" s="883"/>
      <c r="AE80" s="180"/>
      <c r="AF80" s="1389"/>
      <c r="AG80" s="972">
        <f>'PDYG-200'!D$38</f>
        <v>0.2417</v>
      </c>
      <c r="AH80" s="972">
        <f>'PDYG-200'!E$38</f>
        <v>0.30353035303530351</v>
      </c>
      <c r="AI80" s="972">
        <f>'PDYG-200'!F$38</f>
        <v>0.45476964696469646</v>
      </c>
      <c r="AK80" s="1409"/>
      <c r="AL80" s="1409"/>
      <c r="AM80" s="1409"/>
      <c r="AN80" s="1409"/>
      <c r="AO80" s="1409"/>
      <c r="AP80" s="1409"/>
    </row>
    <row r="81" spans="2:42">
      <c r="B81" s="37"/>
      <c r="C81" s="889" t="s">
        <v>1177</v>
      </c>
      <c r="D81" s="883">
        <v>3932826</v>
      </c>
      <c r="E81" s="883">
        <v>3818951</v>
      </c>
      <c r="F81" s="883">
        <v>3632747</v>
      </c>
      <c r="G81" s="883">
        <v>3709655</v>
      </c>
      <c r="H81" s="883">
        <v>3270550</v>
      </c>
      <c r="I81" s="883">
        <v>3599157</v>
      </c>
      <c r="J81" s="180">
        <f t="shared" si="84"/>
        <v>21963886</v>
      </c>
      <c r="K81" s="883">
        <f t="shared" si="95"/>
        <v>950564.0442</v>
      </c>
      <c r="L81" s="883">
        <f t="shared" si="96"/>
        <v>923040.45669999998</v>
      </c>
      <c r="M81" s="883">
        <f t="shared" si="97"/>
        <v>878034.94990000001</v>
      </c>
      <c r="N81" s="883">
        <f t="shared" si="98"/>
        <v>896623.61349999998</v>
      </c>
      <c r="O81" s="883">
        <f t="shared" si="99"/>
        <v>790491.93499999994</v>
      </c>
      <c r="P81" s="883">
        <f t="shared" si="100"/>
        <v>869916.24690000003</v>
      </c>
      <c r="Q81" s="180">
        <f t="shared" si="85"/>
        <v>5308671.246199999</v>
      </c>
      <c r="R81" s="883">
        <f t="shared" ref="R81:R109" si="101">D81-K81</f>
        <v>2982261.9558000001</v>
      </c>
      <c r="S81" s="883">
        <f t="shared" ref="S81:S109" si="102">E81-L81</f>
        <v>2895910.5433</v>
      </c>
      <c r="T81" s="883">
        <f t="shared" ref="T81:T109" si="103">F81-M81</f>
        <v>2754712.0501000001</v>
      </c>
      <c r="U81" s="883">
        <f t="shared" ref="U81:U109" si="104">G81-N81</f>
        <v>2813031.3865</v>
      </c>
      <c r="V81" s="883">
        <f t="shared" ref="V81:V109" si="105">H81-O81</f>
        <v>2480058.0649999999</v>
      </c>
      <c r="W81" s="883">
        <f t="shared" ref="W81:W109" si="106">I81-P81</f>
        <v>2729240.7530999999</v>
      </c>
      <c r="X81" s="180">
        <f t="shared" si="86"/>
        <v>16655214.753799999</v>
      </c>
      <c r="Y81" s="883"/>
      <c r="Z81" s="883"/>
      <c r="AA81" s="883"/>
      <c r="AB81" s="883"/>
      <c r="AC81" s="883"/>
      <c r="AD81" s="883"/>
      <c r="AE81" s="180"/>
      <c r="AF81" s="1389"/>
      <c r="AG81" s="972">
        <f>'PDYG-200'!D$38</f>
        <v>0.2417</v>
      </c>
      <c r="AH81" s="972">
        <f>'PDYG-200'!E$38</f>
        <v>0.30353035303530351</v>
      </c>
      <c r="AI81" s="972">
        <f>'PDYG-200'!F$38</f>
        <v>0.45476964696469646</v>
      </c>
      <c r="AK81" s="1409"/>
      <c r="AL81" s="1409"/>
      <c r="AM81" s="1409"/>
      <c r="AN81" s="1409"/>
      <c r="AO81" s="1409"/>
      <c r="AP81" s="1409"/>
    </row>
    <row r="82" spans="2:42">
      <c r="B82" s="37"/>
      <c r="C82" s="887" t="s">
        <v>305</v>
      </c>
      <c r="D82" s="883">
        <v>31255</v>
      </c>
      <c r="E82" s="883">
        <v>33691</v>
      </c>
      <c r="F82" s="883">
        <v>28390</v>
      </c>
      <c r="G82" s="883">
        <v>26488</v>
      </c>
      <c r="H82" s="883">
        <v>23574</v>
      </c>
      <c r="I82" s="883">
        <v>10370</v>
      </c>
      <c r="J82" s="180">
        <f t="shared" si="84"/>
        <v>153768</v>
      </c>
      <c r="K82" s="883">
        <f t="shared" si="95"/>
        <v>7554.3334999999997</v>
      </c>
      <c r="L82" s="883">
        <f t="shared" si="96"/>
        <v>8143.1147000000001</v>
      </c>
      <c r="M82" s="883">
        <f t="shared" si="97"/>
        <v>6861.8630000000003</v>
      </c>
      <c r="N82" s="883">
        <f t="shared" si="98"/>
        <v>6402.1495999999997</v>
      </c>
      <c r="O82" s="883">
        <f t="shared" si="99"/>
        <v>5697.8357999999998</v>
      </c>
      <c r="P82" s="883">
        <f t="shared" si="100"/>
        <v>2506.4290000000001</v>
      </c>
      <c r="Q82" s="180">
        <f t="shared" si="85"/>
        <v>37165.725600000005</v>
      </c>
      <c r="R82" s="883">
        <f t="shared" si="101"/>
        <v>23700.666499999999</v>
      </c>
      <c r="S82" s="883">
        <f t="shared" si="102"/>
        <v>25547.885300000002</v>
      </c>
      <c r="T82" s="883">
        <f t="shared" si="103"/>
        <v>21528.136999999999</v>
      </c>
      <c r="U82" s="883">
        <f t="shared" si="104"/>
        <v>20085.850399999999</v>
      </c>
      <c r="V82" s="883">
        <f t="shared" si="105"/>
        <v>17876.164199999999</v>
      </c>
      <c r="W82" s="883">
        <f t="shared" si="106"/>
        <v>7863.5709999999999</v>
      </c>
      <c r="X82" s="180">
        <f t="shared" si="86"/>
        <v>116602.27439999999</v>
      </c>
      <c r="Y82" s="883"/>
      <c r="Z82" s="883"/>
      <c r="AA82" s="883"/>
      <c r="AB82" s="883"/>
      <c r="AC82" s="883"/>
      <c r="AD82" s="883"/>
      <c r="AE82" s="180"/>
      <c r="AF82" s="1389"/>
      <c r="AG82" s="972">
        <f>'PDYG-200'!D$38</f>
        <v>0.2417</v>
      </c>
      <c r="AH82" s="972">
        <f>'PDYG-200'!E$38</f>
        <v>0.30353035303530351</v>
      </c>
      <c r="AI82" s="972">
        <f>'PDYG-200'!F$38</f>
        <v>0.45476964696469646</v>
      </c>
      <c r="AK82" s="1409"/>
      <c r="AL82" s="1409"/>
      <c r="AM82" s="1409"/>
      <c r="AN82" s="1409"/>
      <c r="AO82" s="1409"/>
      <c r="AP82" s="1409"/>
    </row>
    <row r="83" spans="2:42">
      <c r="B83" s="37"/>
      <c r="C83" s="887" t="s">
        <v>307</v>
      </c>
      <c r="D83" s="883">
        <v>980</v>
      </c>
      <c r="E83" s="883">
        <v>819</v>
      </c>
      <c r="F83" s="883">
        <v>961</v>
      </c>
      <c r="G83" s="883">
        <v>911</v>
      </c>
      <c r="H83" s="883">
        <v>0</v>
      </c>
      <c r="I83" s="883">
        <v>932</v>
      </c>
      <c r="J83" s="180">
        <f t="shared" si="84"/>
        <v>4603</v>
      </c>
      <c r="K83" s="883">
        <f t="shared" si="95"/>
        <v>236.86599999999999</v>
      </c>
      <c r="L83" s="883">
        <f t="shared" si="96"/>
        <v>197.95230000000001</v>
      </c>
      <c r="M83" s="883">
        <f t="shared" si="97"/>
        <v>232.27369999999999</v>
      </c>
      <c r="N83" s="883">
        <f t="shared" si="98"/>
        <v>220.18870000000001</v>
      </c>
      <c r="O83" s="883">
        <f t="shared" si="99"/>
        <v>0</v>
      </c>
      <c r="P83" s="883">
        <f t="shared" si="100"/>
        <v>225.26439999999999</v>
      </c>
      <c r="Q83" s="180">
        <f t="shared" si="85"/>
        <v>1112.5451</v>
      </c>
      <c r="R83" s="883">
        <f t="shared" si="101"/>
        <v>743.13400000000001</v>
      </c>
      <c r="S83" s="883">
        <f t="shared" si="102"/>
        <v>621.04769999999996</v>
      </c>
      <c r="T83" s="883">
        <f t="shared" si="103"/>
        <v>728.72630000000004</v>
      </c>
      <c r="U83" s="883">
        <f t="shared" si="104"/>
        <v>690.81129999999996</v>
      </c>
      <c r="V83" s="883">
        <f t="shared" si="105"/>
        <v>0</v>
      </c>
      <c r="W83" s="883">
        <f t="shared" si="106"/>
        <v>706.73559999999998</v>
      </c>
      <c r="X83" s="180">
        <f t="shared" si="86"/>
        <v>3490.4549000000002</v>
      </c>
      <c r="Y83" s="883"/>
      <c r="Z83" s="883"/>
      <c r="AA83" s="883"/>
      <c r="AB83" s="883"/>
      <c r="AC83" s="883"/>
      <c r="AD83" s="883"/>
      <c r="AE83" s="180"/>
      <c r="AF83" s="1389"/>
      <c r="AG83" s="972">
        <f>'PDYG-200'!D$38</f>
        <v>0.2417</v>
      </c>
      <c r="AH83" s="972">
        <f>'PDYG-200'!E$38</f>
        <v>0.30353035303530351</v>
      </c>
      <c r="AI83" s="972">
        <f>'PDYG-200'!F$38</f>
        <v>0.45476964696469646</v>
      </c>
      <c r="AK83" s="1409"/>
      <c r="AL83" s="1409"/>
      <c r="AM83" s="1409"/>
      <c r="AN83" s="1409"/>
      <c r="AO83" s="1409"/>
      <c r="AP83" s="1409"/>
    </row>
    <row r="84" spans="2:42">
      <c r="B84" s="37"/>
      <c r="C84" s="887" t="s">
        <v>624</v>
      </c>
      <c r="D84" s="883">
        <v>5188</v>
      </c>
      <c r="E84" s="883">
        <v>5405</v>
      </c>
      <c r="F84" s="883">
        <v>5577</v>
      </c>
      <c r="G84" s="883">
        <v>5659</v>
      </c>
      <c r="H84" s="883">
        <v>6310</v>
      </c>
      <c r="I84" s="883">
        <v>5604</v>
      </c>
      <c r="J84" s="180">
        <f t="shared" si="84"/>
        <v>33743</v>
      </c>
      <c r="K84" s="883">
        <f t="shared" si="95"/>
        <v>1253.9395999999999</v>
      </c>
      <c r="L84" s="883">
        <f t="shared" si="96"/>
        <v>1306.3885</v>
      </c>
      <c r="M84" s="883">
        <f t="shared" si="97"/>
        <v>1347.9609</v>
      </c>
      <c r="N84" s="883">
        <f t="shared" si="98"/>
        <v>1367.7802999999999</v>
      </c>
      <c r="O84" s="883">
        <f t="shared" si="99"/>
        <v>1525.127</v>
      </c>
      <c r="P84" s="883">
        <f t="shared" si="100"/>
        <v>1354.4867999999999</v>
      </c>
      <c r="Q84" s="180">
        <f t="shared" si="85"/>
        <v>8155.6830999999993</v>
      </c>
      <c r="R84" s="883">
        <f t="shared" si="101"/>
        <v>3934.0604000000003</v>
      </c>
      <c r="S84" s="883">
        <f t="shared" si="102"/>
        <v>4098.6115</v>
      </c>
      <c r="T84" s="883">
        <f t="shared" si="103"/>
        <v>4229.0391</v>
      </c>
      <c r="U84" s="883">
        <f t="shared" si="104"/>
        <v>4291.2196999999996</v>
      </c>
      <c r="V84" s="883">
        <f t="shared" si="105"/>
        <v>4784.8729999999996</v>
      </c>
      <c r="W84" s="883">
        <f t="shared" si="106"/>
        <v>4249.5132000000003</v>
      </c>
      <c r="X84" s="180">
        <f t="shared" si="86"/>
        <v>25587.316899999998</v>
      </c>
      <c r="Y84" s="883"/>
      <c r="Z84" s="883"/>
      <c r="AA84" s="883"/>
      <c r="AB84" s="883"/>
      <c r="AC84" s="883"/>
      <c r="AD84" s="883"/>
      <c r="AE84" s="180"/>
      <c r="AF84" s="1389"/>
      <c r="AG84" s="972">
        <f>'PDYG-200'!D$38</f>
        <v>0.2417</v>
      </c>
      <c r="AH84" s="972">
        <f>'PDYG-200'!E$38</f>
        <v>0.30353035303530351</v>
      </c>
      <c r="AI84" s="972">
        <f>'PDYG-200'!F$38</f>
        <v>0.45476964696469646</v>
      </c>
      <c r="AK84" s="1409"/>
      <c r="AL84" s="1409"/>
      <c r="AM84" s="1409"/>
      <c r="AN84" s="1409"/>
      <c r="AO84" s="1409"/>
      <c r="AP84" s="1409"/>
    </row>
    <row r="85" spans="2:42">
      <c r="B85" s="37"/>
      <c r="C85" s="887"/>
      <c r="D85" s="883">
        <v>0</v>
      </c>
      <c r="E85" s="883">
        <v>0</v>
      </c>
      <c r="F85" s="883">
        <v>0</v>
      </c>
      <c r="G85" s="883">
        <v>0</v>
      </c>
      <c r="H85" s="883">
        <v>0</v>
      </c>
      <c r="I85" s="883">
        <v>0</v>
      </c>
      <c r="J85" s="180">
        <f t="shared" si="84"/>
        <v>0</v>
      </c>
      <c r="K85" s="883"/>
      <c r="L85" s="883"/>
      <c r="M85" s="883"/>
      <c r="N85" s="883"/>
      <c r="O85" s="883"/>
      <c r="P85" s="883"/>
      <c r="Q85" s="180">
        <f t="shared" si="85"/>
        <v>0</v>
      </c>
      <c r="R85" s="883">
        <f t="shared" si="101"/>
        <v>0</v>
      </c>
      <c r="S85" s="883">
        <f t="shared" si="102"/>
        <v>0</v>
      </c>
      <c r="T85" s="883">
        <f t="shared" si="103"/>
        <v>0</v>
      </c>
      <c r="U85" s="883">
        <f t="shared" si="104"/>
        <v>0</v>
      </c>
      <c r="V85" s="883">
        <f t="shared" si="105"/>
        <v>0</v>
      </c>
      <c r="W85" s="883">
        <f t="shared" si="106"/>
        <v>0</v>
      </c>
      <c r="X85" s="180">
        <f t="shared" si="86"/>
        <v>0</v>
      </c>
      <c r="Y85" s="883"/>
      <c r="Z85" s="883"/>
      <c r="AA85" s="883"/>
      <c r="AB85" s="883"/>
      <c r="AC85" s="883"/>
      <c r="AD85" s="883"/>
      <c r="AE85" s="180"/>
      <c r="AF85" s="1389"/>
      <c r="AG85" s="972">
        <f>'PDYG-200'!D$38</f>
        <v>0.2417</v>
      </c>
      <c r="AH85" s="972">
        <f>'PDYG-200'!E$38</f>
        <v>0.30353035303530351</v>
      </c>
      <c r="AI85" s="972">
        <f>'PDYG-200'!F$38</f>
        <v>0.45476964696469646</v>
      </c>
      <c r="AK85" s="1409"/>
      <c r="AL85" s="1409"/>
      <c r="AM85" s="1409"/>
      <c r="AN85" s="1409"/>
      <c r="AO85" s="1409"/>
      <c r="AP85" s="1409"/>
    </row>
    <row r="86" spans="2:42">
      <c r="B86" s="48" t="s">
        <v>902</v>
      </c>
      <c r="C86" s="882" t="s">
        <v>898</v>
      </c>
      <c r="D86" s="881">
        <v>13382744</v>
      </c>
      <c r="E86" s="881">
        <v>13211586</v>
      </c>
      <c r="F86" s="881">
        <v>13706143</v>
      </c>
      <c r="G86" s="881">
        <v>13399120</v>
      </c>
      <c r="H86" s="881">
        <v>12694591</v>
      </c>
      <c r="I86" s="881">
        <v>13572555</v>
      </c>
      <c r="J86" s="180">
        <f t="shared" si="84"/>
        <v>79966739</v>
      </c>
      <c r="K86" s="881">
        <f t="shared" ref="K86:W86" si="107">SUBTOTAL(9,K87:K91)</f>
        <v>3234609.2248</v>
      </c>
      <c r="L86" s="881">
        <f t="shared" si="107"/>
        <v>3193240.3362000003</v>
      </c>
      <c r="M86" s="881">
        <f t="shared" si="107"/>
        <v>3312774.7631000001</v>
      </c>
      <c r="N86" s="881">
        <f t="shared" si="107"/>
        <v>3238567.304</v>
      </c>
      <c r="O86" s="881">
        <f t="shared" si="107"/>
        <v>3068282.6447000001</v>
      </c>
      <c r="P86" s="881">
        <f t="shared" si="107"/>
        <v>3280486.5435000001</v>
      </c>
      <c r="Q86" s="180">
        <f t="shared" si="85"/>
        <v>19327960.816300001</v>
      </c>
      <c r="R86" s="881">
        <f t="shared" si="107"/>
        <v>10148134.7752</v>
      </c>
      <c r="S86" s="881">
        <f t="shared" si="107"/>
        <v>10018345.663799999</v>
      </c>
      <c r="T86" s="881">
        <f t="shared" si="107"/>
        <v>10393368.2369</v>
      </c>
      <c r="U86" s="881">
        <f t="shared" si="107"/>
        <v>10160552.696</v>
      </c>
      <c r="V86" s="881">
        <f t="shared" si="107"/>
        <v>9626308.3552999999</v>
      </c>
      <c r="W86" s="881">
        <f t="shared" si="107"/>
        <v>10292068.456500001</v>
      </c>
      <c r="X86" s="180">
        <f t="shared" si="86"/>
        <v>60638778.183700003</v>
      </c>
      <c r="Y86" s="881"/>
      <c r="Z86" s="881"/>
      <c r="AA86" s="881"/>
      <c r="AB86" s="881"/>
      <c r="AC86" s="881"/>
      <c r="AD86" s="881"/>
      <c r="AE86" s="180"/>
      <c r="AF86" s="1389"/>
      <c r="AG86" s="972">
        <f>'PDYG-200'!D$38</f>
        <v>0.2417</v>
      </c>
      <c r="AH86" s="972">
        <f>'PDYG-200'!E$38</f>
        <v>0.30353035303530351</v>
      </c>
      <c r="AI86" s="972">
        <f>'PDYG-200'!F$38</f>
        <v>0.45476964696469646</v>
      </c>
      <c r="AK86" s="1409"/>
      <c r="AL86" s="1409"/>
      <c r="AM86" s="1409"/>
      <c r="AN86" s="1409"/>
      <c r="AO86" s="1409"/>
      <c r="AP86" s="1409"/>
    </row>
    <row r="87" spans="2:42">
      <c r="B87" s="37"/>
      <c r="C87" s="887" t="s">
        <v>304</v>
      </c>
      <c r="D87" s="883">
        <v>12711993</v>
      </c>
      <c r="E87" s="883">
        <v>12566280</v>
      </c>
      <c r="F87" s="883">
        <v>13027063</v>
      </c>
      <c r="G87" s="883">
        <v>12714073</v>
      </c>
      <c r="H87" s="883">
        <v>12060436</v>
      </c>
      <c r="I87" s="883">
        <v>12866362</v>
      </c>
      <c r="J87" s="180">
        <f t="shared" si="84"/>
        <v>75946207</v>
      </c>
      <c r="K87" s="883">
        <f t="shared" ref="K87:K91" si="108">D87*$AG87</f>
        <v>3072488.7080999999</v>
      </c>
      <c r="L87" s="883">
        <f t="shared" ref="L87:L91" si="109">E87*$AG87</f>
        <v>3037269.8760000002</v>
      </c>
      <c r="M87" s="883">
        <f t="shared" ref="M87:M91" si="110">F87*$AG87</f>
        <v>3148641.1271000002</v>
      </c>
      <c r="N87" s="883">
        <f t="shared" ref="N87:N91" si="111">G87*$AG87</f>
        <v>3072991.4441</v>
      </c>
      <c r="O87" s="883">
        <f t="shared" ref="O87:O91" si="112">H87*$AG87</f>
        <v>2915007.3812000002</v>
      </c>
      <c r="P87" s="883">
        <f t="shared" ref="P87:P91" si="113">I87*$AG87</f>
        <v>3109799.6954000001</v>
      </c>
      <c r="Q87" s="180">
        <f t="shared" si="85"/>
        <v>18356198.231900003</v>
      </c>
      <c r="R87" s="883">
        <f t="shared" si="101"/>
        <v>9639504.2918999996</v>
      </c>
      <c r="S87" s="883">
        <f t="shared" si="102"/>
        <v>9529010.1239999998</v>
      </c>
      <c r="T87" s="883">
        <f t="shared" si="103"/>
        <v>9878421.8728999998</v>
      </c>
      <c r="U87" s="883">
        <f t="shared" si="104"/>
        <v>9641081.5559</v>
      </c>
      <c r="V87" s="883">
        <f t="shared" si="105"/>
        <v>9145428.6187999994</v>
      </c>
      <c r="W87" s="883">
        <f t="shared" si="106"/>
        <v>9756562.3046000004</v>
      </c>
      <c r="X87" s="180">
        <f t="shared" si="86"/>
        <v>57590008.768100001</v>
      </c>
      <c r="Y87" s="883"/>
      <c r="Z87" s="883"/>
      <c r="AA87" s="883"/>
      <c r="AB87" s="883"/>
      <c r="AC87" s="883"/>
      <c r="AD87" s="883"/>
      <c r="AE87" s="180"/>
      <c r="AF87" s="1389"/>
      <c r="AG87" s="972">
        <f>'PDYG-200'!D$38</f>
        <v>0.2417</v>
      </c>
      <c r="AH87" s="972">
        <f>'PDYG-200'!E$38</f>
        <v>0.30353035303530351</v>
      </c>
      <c r="AI87" s="972">
        <f>'PDYG-200'!F$38</f>
        <v>0.45476964696469646</v>
      </c>
      <c r="AK87" s="1409"/>
      <c r="AL87" s="1409"/>
      <c r="AM87" s="1409"/>
      <c r="AN87" s="1409"/>
      <c r="AO87" s="1409"/>
      <c r="AP87" s="1409"/>
    </row>
    <row r="88" spans="2:42">
      <c r="B88" s="37"/>
      <c r="C88" s="888" t="s">
        <v>306</v>
      </c>
      <c r="D88" s="883">
        <v>670751</v>
      </c>
      <c r="E88" s="883">
        <v>645306</v>
      </c>
      <c r="F88" s="883">
        <v>679080</v>
      </c>
      <c r="G88" s="883">
        <v>685047</v>
      </c>
      <c r="H88" s="883">
        <v>634155</v>
      </c>
      <c r="I88" s="883">
        <v>706193</v>
      </c>
      <c r="J88" s="180">
        <f t="shared" si="84"/>
        <v>4020532</v>
      </c>
      <c r="K88" s="883">
        <f t="shared" si="108"/>
        <v>162120.51670000001</v>
      </c>
      <c r="L88" s="883">
        <f t="shared" si="109"/>
        <v>155970.4602</v>
      </c>
      <c r="M88" s="883">
        <f t="shared" si="110"/>
        <v>164133.636</v>
      </c>
      <c r="N88" s="883">
        <f t="shared" si="111"/>
        <v>165575.85990000001</v>
      </c>
      <c r="O88" s="883">
        <f t="shared" si="112"/>
        <v>153275.2635</v>
      </c>
      <c r="P88" s="883">
        <f t="shared" si="113"/>
        <v>170686.8481</v>
      </c>
      <c r="Q88" s="180">
        <f t="shared" si="85"/>
        <v>971762.58440000005</v>
      </c>
      <c r="R88" s="883">
        <f t="shared" si="101"/>
        <v>508630.48329999996</v>
      </c>
      <c r="S88" s="883">
        <f t="shared" si="102"/>
        <v>489335.53980000003</v>
      </c>
      <c r="T88" s="883">
        <f t="shared" si="103"/>
        <v>514946.364</v>
      </c>
      <c r="U88" s="883">
        <f t="shared" si="104"/>
        <v>519471.14009999996</v>
      </c>
      <c r="V88" s="883">
        <f t="shared" si="105"/>
        <v>480879.7365</v>
      </c>
      <c r="W88" s="883">
        <f t="shared" si="106"/>
        <v>535506.15189999994</v>
      </c>
      <c r="X88" s="180">
        <f t="shared" si="86"/>
        <v>3048769.4155999999</v>
      </c>
      <c r="Y88" s="883"/>
      <c r="Z88" s="883"/>
      <c r="AA88" s="883"/>
      <c r="AB88" s="883"/>
      <c r="AC88" s="883"/>
      <c r="AD88" s="883"/>
      <c r="AE88" s="180"/>
      <c r="AF88" s="1389"/>
      <c r="AG88" s="972">
        <f>'PDYG-200'!D$38</f>
        <v>0.2417</v>
      </c>
      <c r="AH88" s="972">
        <f>'PDYG-200'!E$38</f>
        <v>0.30353035303530351</v>
      </c>
      <c r="AI88" s="972">
        <f>'PDYG-200'!F$38</f>
        <v>0.45476964696469646</v>
      </c>
      <c r="AK88" s="1409"/>
      <c r="AL88" s="1409"/>
      <c r="AM88" s="1409"/>
      <c r="AN88" s="1409"/>
      <c r="AO88" s="1409"/>
      <c r="AP88" s="1409"/>
    </row>
    <row r="89" spans="2:42">
      <c r="B89" s="37"/>
      <c r="C89" s="887" t="s">
        <v>305</v>
      </c>
      <c r="D89" s="883">
        <v>0</v>
      </c>
      <c r="E89" s="883">
        <v>0</v>
      </c>
      <c r="F89" s="883">
        <v>0</v>
      </c>
      <c r="G89" s="883">
        <v>0</v>
      </c>
      <c r="H89" s="883">
        <v>0</v>
      </c>
      <c r="I89" s="883">
        <v>0</v>
      </c>
      <c r="J89" s="180">
        <f t="shared" si="84"/>
        <v>0</v>
      </c>
      <c r="K89" s="883">
        <f t="shared" si="108"/>
        <v>0</v>
      </c>
      <c r="L89" s="883">
        <f t="shared" si="109"/>
        <v>0</v>
      </c>
      <c r="M89" s="883">
        <f t="shared" si="110"/>
        <v>0</v>
      </c>
      <c r="N89" s="883">
        <f t="shared" si="111"/>
        <v>0</v>
      </c>
      <c r="O89" s="883">
        <f t="shared" si="112"/>
        <v>0</v>
      </c>
      <c r="P89" s="883">
        <f t="shared" si="113"/>
        <v>0</v>
      </c>
      <c r="Q89" s="180">
        <f t="shared" si="85"/>
        <v>0</v>
      </c>
      <c r="R89" s="883">
        <f t="shared" si="101"/>
        <v>0</v>
      </c>
      <c r="S89" s="883">
        <f t="shared" si="102"/>
        <v>0</v>
      </c>
      <c r="T89" s="883">
        <f t="shared" si="103"/>
        <v>0</v>
      </c>
      <c r="U89" s="883">
        <f t="shared" si="104"/>
        <v>0</v>
      </c>
      <c r="V89" s="883">
        <f t="shared" si="105"/>
        <v>0</v>
      </c>
      <c r="W89" s="883">
        <f t="shared" si="106"/>
        <v>0</v>
      </c>
      <c r="X89" s="180">
        <f t="shared" si="86"/>
        <v>0</v>
      </c>
      <c r="Y89" s="883"/>
      <c r="Z89" s="883"/>
      <c r="AA89" s="883"/>
      <c r="AB89" s="883"/>
      <c r="AC89" s="883"/>
      <c r="AD89" s="883"/>
      <c r="AE89" s="180"/>
      <c r="AF89" s="1389"/>
      <c r="AG89" s="972">
        <f>'PDYG-200'!D$38</f>
        <v>0.2417</v>
      </c>
      <c r="AH89" s="972">
        <f>'PDYG-200'!E$38</f>
        <v>0.30353035303530351</v>
      </c>
      <c r="AI89" s="972">
        <f>'PDYG-200'!F$38</f>
        <v>0.45476964696469646</v>
      </c>
      <c r="AK89" s="1409"/>
      <c r="AL89" s="1409"/>
      <c r="AM89" s="1409"/>
      <c r="AN89" s="1409"/>
      <c r="AO89" s="1409"/>
      <c r="AP89" s="1409"/>
    </row>
    <row r="90" spans="2:42">
      <c r="B90" s="37"/>
      <c r="C90" s="887" t="s">
        <v>307</v>
      </c>
      <c r="D90" s="883">
        <v>0</v>
      </c>
      <c r="E90" s="883">
        <v>0</v>
      </c>
      <c r="F90" s="883">
        <v>0</v>
      </c>
      <c r="G90" s="883">
        <v>0</v>
      </c>
      <c r="H90" s="883">
        <v>0</v>
      </c>
      <c r="I90" s="883">
        <v>0</v>
      </c>
      <c r="J90" s="180">
        <f t="shared" si="84"/>
        <v>0</v>
      </c>
      <c r="K90" s="883">
        <f t="shared" si="108"/>
        <v>0</v>
      </c>
      <c r="L90" s="883">
        <f t="shared" si="109"/>
        <v>0</v>
      </c>
      <c r="M90" s="883">
        <f t="shared" si="110"/>
        <v>0</v>
      </c>
      <c r="N90" s="883">
        <f t="shared" si="111"/>
        <v>0</v>
      </c>
      <c r="O90" s="883">
        <f t="shared" si="112"/>
        <v>0</v>
      </c>
      <c r="P90" s="883">
        <f t="shared" si="113"/>
        <v>0</v>
      </c>
      <c r="Q90" s="180">
        <f t="shared" si="85"/>
        <v>0</v>
      </c>
      <c r="R90" s="883">
        <f t="shared" si="101"/>
        <v>0</v>
      </c>
      <c r="S90" s="883">
        <f t="shared" si="102"/>
        <v>0</v>
      </c>
      <c r="T90" s="883">
        <f t="shared" si="103"/>
        <v>0</v>
      </c>
      <c r="U90" s="883">
        <f t="shared" si="104"/>
        <v>0</v>
      </c>
      <c r="V90" s="883">
        <f t="shared" si="105"/>
        <v>0</v>
      </c>
      <c r="W90" s="883">
        <f t="shared" si="106"/>
        <v>0</v>
      </c>
      <c r="X90" s="180">
        <f t="shared" si="86"/>
        <v>0</v>
      </c>
      <c r="Y90" s="883"/>
      <c r="Z90" s="883"/>
      <c r="AA90" s="883"/>
      <c r="AB90" s="883"/>
      <c r="AC90" s="883"/>
      <c r="AD90" s="883"/>
      <c r="AE90" s="180"/>
      <c r="AF90" s="1389"/>
      <c r="AG90" s="972">
        <f>'PDYG-200'!D$38</f>
        <v>0.2417</v>
      </c>
      <c r="AH90" s="972">
        <f>'PDYG-200'!E$38</f>
        <v>0.30353035303530351</v>
      </c>
      <c r="AI90" s="972">
        <f>'PDYG-200'!F$38</f>
        <v>0.45476964696469646</v>
      </c>
      <c r="AK90" s="1409"/>
      <c r="AL90" s="1409"/>
      <c r="AM90" s="1409"/>
      <c r="AN90" s="1409"/>
      <c r="AO90" s="1409"/>
      <c r="AP90" s="1409"/>
    </row>
    <row r="91" spans="2:42">
      <c r="B91" s="37"/>
      <c r="C91" s="887" t="s">
        <v>624</v>
      </c>
      <c r="D91" s="883">
        <v>0</v>
      </c>
      <c r="E91" s="883">
        <v>0</v>
      </c>
      <c r="F91" s="883">
        <v>0</v>
      </c>
      <c r="G91" s="883">
        <v>0</v>
      </c>
      <c r="H91" s="883">
        <v>0</v>
      </c>
      <c r="I91" s="883">
        <v>0</v>
      </c>
      <c r="J91" s="180">
        <f t="shared" si="84"/>
        <v>0</v>
      </c>
      <c r="K91" s="883">
        <f t="shared" si="108"/>
        <v>0</v>
      </c>
      <c r="L91" s="883">
        <f t="shared" si="109"/>
        <v>0</v>
      </c>
      <c r="M91" s="883">
        <f t="shared" si="110"/>
        <v>0</v>
      </c>
      <c r="N91" s="883">
        <f t="shared" si="111"/>
        <v>0</v>
      </c>
      <c r="O91" s="883">
        <f t="shared" si="112"/>
        <v>0</v>
      </c>
      <c r="P91" s="883">
        <f t="shared" si="113"/>
        <v>0</v>
      </c>
      <c r="Q91" s="180">
        <f t="shared" si="85"/>
        <v>0</v>
      </c>
      <c r="R91" s="883">
        <f t="shared" si="101"/>
        <v>0</v>
      </c>
      <c r="S91" s="883">
        <f t="shared" si="102"/>
        <v>0</v>
      </c>
      <c r="T91" s="883">
        <f t="shared" si="103"/>
        <v>0</v>
      </c>
      <c r="U91" s="883">
        <f t="shared" si="104"/>
        <v>0</v>
      </c>
      <c r="V91" s="883">
        <f t="shared" si="105"/>
        <v>0</v>
      </c>
      <c r="W91" s="883">
        <f t="shared" si="106"/>
        <v>0</v>
      </c>
      <c r="X91" s="180">
        <f t="shared" si="86"/>
        <v>0</v>
      </c>
      <c r="Y91" s="883"/>
      <c r="Z91" s="883"/>
      <c r="AA91" s="883"/>
      <c r="AB91" s="883"/>
      <c r="AC91" s="883"/>
      <c r="AD91" s="883"/>
      <c r="AE91" s="180"/>
      <c r="AF91" s="1389"/>
      <c r="AG91" s="972">
        <f>'PDYG-200'!D$38</f>
        <v>0.2417</v>
      </c>
      <c r="AH91" s="972">
        <f>'PDYG-200'!E$38</f>
        <v>0.30353035303530351</v>
      </c>
      <c r="AI91" s="972">
        <f>'PDYG-200'!F$38</f>
        <v>0.45476964696469646</v>
      </c>
      <c r="AK91" s="1409"/>
      <c r="AL91" s="1409"/>
      <c r="AM91" s="1409"/>
      <c r="AN91" s="1409"/>
      <c r="AO91" s="1409"/>
      <c r="AP91" s="1409"/>
    </row>
    <row r="92" spans="2:42">
      <c r="B92" s="48" t="s">
        <v>902</v>
      </c>
      <c r="C92" s="882" t="s">
        <v>899</v>
      </c>
      <c r="D92" s="881">
        <v>1192402</v>
      </c>
      <c r="E92" s="881">
        <v>1108565</v>
      </c>
      <c r="F92" s="881">
        <v>1038419</v>
      </c>
      <c r="G92" s="881">
        <v>1117342</v>
      </c>
      <c r="H92" s="881">
        <v>857662</v>
      </c>
      <c r="I92" s="881">
        <v>1108465</v>
      </c>
      <c r="J92" s="180">
        <f t="shared" si="84"/>
        <v>6422855</v>
      </c>
      <c r="K92" s="881">
        <f t="shared" ref="K92:W92" si="114">SUBTOTAL(9,K93:K98)</f>
        <v>288203.56339999998</v>
      </c>
      <c r="L92" s="881">
        <f t="shared" si="114"/>
        <v>267940.1605</v>
      </c>
      <c r="M92" s="881">
        <f t="shared" si="114"/>
        <v>250985.87230000002</v>
      </c>
      <c r="N92" s="881">
        <f t="shared" si="114"/>
        <v>270061.56140000001</v>
      </c>
      <c r="O92" s="881">
        <f t="shared" si="114"/>
        <v>207296.90539999999</v>
      </c>
      <c r="P92" s="881">
        <f t="shared" si="114"/>
        <v>267915.99050000001</v>
      </c>
      <c r="Q92" s="180">
        <f t="shared" si="85"/>
        <v>1552404.0535000002</v>
      </c>
      <c r="R92" s="881">
        <f t="shared" si="114"/>
        <v>904198.43660000002</v>
      </c>
      <c r="S92" s="881">
        <f t="shared" si="114"/>
        <v>840624.8395</v>
      </c>
      <c r="T92" s="881">
        <f t="shared" si="114"/>
        <v>787433.12770000007</v>
      </c>
      <c r="U92" s="881">
        <f t="shared" si="114"/>
        <v>847280.43859999999</v>
      </c>
      <c r="V92" s="881">
        <f t="shared" si="114"/>
        <v>650365.09460000007</v>
      </c>
      <c r="W92" s="881">
        <f t="shared" si="114"/>
        <v>840549.00950000004</v>
      </c>
      <c r="X92" s="180">
        <f t="shared" si="86"/>
        <v>4870450.9464999996</v>
      </c>
      <c r="Y92" s="881"/>
      <c r="Z92" s="881"/>
      <c r="AA92" s="881"/>
      <c r="AB92" s="881"/>
      <c r="AC92" s="881"/>
      <c r="AD92" s="881"/>
      <c r="AE92" s="180"/>
      <c r="AF92" s="1389"/>
      <c r="AG92" s="972">
        <f>'PDYG-200'!D$38</f>
        <v>0.2417</v>
      </c>
      <c r="AH92" s="972">
        <f>'PDYG-200'!E$38</f>
        <v>0.30353035303530351</v>
      </c>
      <c r="AI92" s="972">
        <f>'PDYG-200'!F$38</f>
        <v>0.45476964696469646</v>
      </c>
      <c r="AK92" s="1409"/>
      <c r="AL92" s="1409"/>
      <c r="AM92" s="1409"/>
      <c r="AN92" s="1409"/>
      <c r="AO92" s="1409"/>
      <c r="AP92" s="1409"/>
    </row>
    <row r="93" spans="2:42">
      <c r="B93" s="37"/>
      <c r="C93" s="887" t="s">
        <v>304</v>
      </c>
      <c r="D93" s="883">
        <v>1058644</v>
      </c>
      <c r="E93" s="883">
        <v>987208</v>
      </c>
      <c r="F93" s="883">
        <v>909890</v>
      </c>
      <c r="G93" s="883">
        <v>990623</v>
      </c>
      <c r="H93" s="883">
        <v>754946</v>
      </c>
      <c r="I93" s="883">
        <v>975789</v>
      </c>
      <c r="J93" s="180">
        <f t="shared" si="84"/>
        <v>5677100</v>
      </c>
      <c r="K93" s="883">
        <f t="shared" ref="K93:K98" si="115">D93*$AG93</f>
        <v>255874.2548</v>
      </c>
      <c r="L93" s="883">
        <f t="shared" ref="L93:L98" si="116">E93*$AG93</f>
        <v>238608.17360000001</v>
      </c>
      <c r="M93" s="883">
        <f t="shared" ref="M93:M98" si="117">F93*$AG93</f>
        <v>219920.413</v>
      </c>
      <c r="N93" s="883">
        <f t="shared" ref="N93:N98" si="118">G93*$AG93</f>
        <v>239433.5791</v>
      </c>
      <c r="O93" s="883">
        <f t="shared" ref="O93:O98" si="119">H93*$AG93</f>
        <v>182470.44819999998</v>
      </c>
      <c r="P93" s="883">
        <f t="shared" ref="P93:P98" si="120">I93*$AG93</f>
        <v>235848.20129999999</v>
      </c>
      <c r="Q93" s="180">
        <f t="shared" si="85"/>
        <v>1372155.07</v>
      </c>
      <c r="R93" s="883">
        <f t="shared" si="101"/>
        <v>802769.7452</v>
      </c>
      <c r="S93" s="883">
        <f t="shared" si="102"/>
        <v>748599.82640000002</v>
      </c>
      <c r="T93" s="883">
        <f t="shared" si="103"/>
        <v>689969.58700000006</v>
      </c>
      <c r="U93" s="883">
        <f t="shared" si="104"/>
        <v>751189.42090000003</v>
      </c>
      <c r="V93" s="883">
        <f t="shared" si="105"/>
        <v>572475.55180000002</v>
      </c>
      <c r="W93" s="883">
        <f t="shared" si="106"/>
        <v>739940.79870000004</v>
      </c>
      <c r="X93" s="180">
        <f t="shared" si="86"/>
        <v>4304944.93</v>
      </c>
      <c r="Y93" s="883"/>
      <c r="Z93" s="883"/>
      <c r="AA93" s="883"/>
      <c r="AB93" s="883"/>
      <c r="AC93" s="883"/>
      <c r="AD93" s="883"/>
      <c r="AE93" s="180"/>
      <c r="AF93" s="1389"/>
      <c r="AG93" s="972">
        <f>'PDYG-200'!D$38</f>
        <v>0.2417</v>
      </c>
      <c r="AH93" s="972">
        <f>'PDYG-200'!E$38</f>
        <v>0.30353035303530351</v>
      </c>
      <c r="AI93" s="972">
        <f>'PDYG-200'!F$38</f>
        <v>0.45476964696469646</v>
      </c>
      <c r="AK93" s="1409"/>
      <c r="AL93" s="1409"/>
      <c r="AM93" s="1409"/>
      <c r="AN93" s="1409"/>
      <c r="AO93" s="1409"/>
      <c r="AP93" s="1409"/>
    </row>
    <row r="94" spans="2:42">
      <c r="B94" s="37"/>
      <c r="C94" s="889" t="s">
        <v>642</v>
      </c>
      <c r="D94" s="883">
        <v>122345</v>
      </c>
      <c r="E94" s="883">
        <v>113118</v>
      </c>
      <c r="F94" s="883">
        <v>120326</v>
      </c>
      <c r="G94" s="883">
        <v>117562</v>
      </c>
      <c r="H94" s="883">
        <v>95560</v>
      </c>
      <c r="I94" s="883">
        <v>123476</v>
      </c>
      <c r="J94" s="180">
        <f t="shared" si="84"/>
        <v>692387</v>
      </c>
      <c r="K94" s="883">
        <f t="shared" si="115"/>
        <v>29570.786499999998</v>
      </c>
      <c r="L94" s="883">
        <f t="shared" si="116"/>
        <v>27340.620599999998</v>
      </c>
      <c r="M94" s="883">
        <f t="shared" si="117"/>
        <v>29082.7942</v>
      </c>
      <c r="N94" s="883">
        <f t="shared" si="118"/>
        <v>28414.735400000001</v>
      </c>
      <c r="O94" s="883">
        <f t="shared" si="119"/>
        <v>23096.851999999999</v>
      </c>
      <c r="P94" s="883">
        <f t="shared" si="120"/>
        <v>29844.1492</v>
      </c>
      <c r="Q94" s="180">
        <f t="shared" si="85"/>
        <v>167349.93790000002</v>
      </c>
      <c r="R94" s="883">
        <f t="shared" si="101"/>
        <v>92774.213499999998</v>
      </c>
      <c r="S94" s="883">
        <f t="shared" si="102"/>
        <v>85777.379400000005</v>
      </c>
      <c r="T94" s="883">
        <f t="shared" si="103"/>
        <v>91243.205799999996</v>
      </c>
      <c r="U94" s="883">
        <f t="shared" si="104"/>
        <v>89147.264599999995</v>
      </c>
      <c r="V94" s="883">
        <f t="shared" si="105"/>
        <v>72463.148000000001</v>
      </c>
      <c r="W94" s="883">
        <f t="shared" si="106"/>
        <v>93631.8508</v>
      </c>
      <c r="X94" s="180">
        <f t="shared" si="86"/>
        <v>525037.06209999998</v>
      </c>
      <c r="Y94" s="883"/>
      <c r="Z94" s="883"/>
      <c r="AA94" s="883"/>
      <c r="AB94" s="883"/>
      <c r="AC94" s="883"/>
      <c r="AD94" s="883"/>
      <c r="AE94" s="180"/>
      <c r="AF94" s="1389"/>
      <c r="AG94" s="972">
        <f>'PDYG-200'!D$38</f>
        <v>0.2417</v>
      </c>
      <c r="AH94" s="972">
        <f>'PDYG-200'!E$38</f>
        <v>0.30353035303530351</v>
      </c>
      <c r="AI94" s="972">
        <f>'PDYG-200'!F$38</f>
        <v>0.45476964696469646</v>
      </c>
      <c r="AK94" s="1409"/>
      <c r="AL94" s="1409"/>
      <c r="AM94" s="1409"/>
      <c r="AN94" s="1409"/>
      <c r="AO94" s="1409"/>
      <c r="AP94" s="1409"/>
    </row>
    <row r="95" spans="2:42">
      <c r="B95" s="37"/>
      <c r="C95" s="889" t="s">
        <v>1177</v>
      </c>
      <c r="D95" s="883">
        <v>11413</v>
      </c>
      <c r="E95" s="883">
        <v>8239</v>
      </c>
      <c r="F95" s="883">
        <v>8203</v>
      </c>
      <c r="G95" s="883">
        <v>9157</v>
      </c>
      <c r="H95" s="883">
        <v>7156</v>
      </c>
      <c r="I95" s="883">
        <v>9200</v>
      </c>
      <c r="J95" s="180">
        <f t="shared" si="84"/>
        <v>53368</v>
      </c>
      <c r="K95" s="883">
        <f t="shared" si="115"/>
        <v>2758.5221000000001</v>
      </c>
      <c r="L95" s="883">
        <f t="shared" si="116"/>
        <v>1991.3662999999999</v>
      </c>
      <c r="M95" s="883">
        <f t="shared" si="117"/>
        <v>1982.6650999999999</v>
      </c>
      <c r="N95" s="883">
        <f t="shared" si="118"/>
        <v>2213.2469000000001</v>
      </c>
      <c r="O95" s="883">
        <f t="shared" si="119"/>
        <v>1729.6052</v>
      </c>
      <c r="P95" s="883">
        <f t="shared" si="120"/>
        <v>2223.64</v>
      </c>
      <c r="Q95" s="180">
        <f t="shared" si="85"/>
        <v>12899.045599999999</v>
      </c>
      <c r="R95" s="883">
        <f t="shared" si="101"/>
        <v>8654.4778999999999</v>
      </c>
      <c r="S95" s="883">
        <f t="shared" si="102"/>
        <v>6247.6337000000003</v>
      </c>
      <c r="T95" s="883">
        <f t="shared" si="103"/>
        <v>6220.3348999999998</v>
      </c>
      <c r="U95" s="883">
        <f t="shared" si="104"/>
        <v>6943.7530999999999</v>
      </c>
      <c r="V95" s="883">
        <f t="shared" si="105"/>
        <v>5426.3948</v>
      </c>
      <c r="W95" s="883">
        <f t="shared" si="106"/>
        <v>6976.3600000000006</v>
      </c>
      <c r="X95" s="180">
        <f t="shared" si="86"/>
        <v>40468.954400000002</v>
      </c>
      <c r="Y95" s="883"/>
      <c r="Z95" s="883"/>
      <c r="AA95" s="883"/>
      <c r="AB95" s="883"/>
      <c r="AC95" s="883"/>
      <c r="AD95" s="883"/>
      <c r="AE95" s="180"/>
      <c r="AF95" s="1389"/>
      <c r="AG95" s="972">
        <f>'PDYG-200'!D$38</f>
        <v>0.2417</v>
      </c>
      <c r="AH95" s="972">
        <f>'PDYG-200'!E$38</f>
        <v>0.30353035303530351</v>
      </c>
      <c r="AI95" s="972">
        <f>'PDYG-200'!F$38</f>
        <v>0.45476964696469646</v>
      </c>
      <c r="AK95" s="1409"/>
      <c r="AL95" s="1409"/>
      <c r="AM95" s="1409"/>
      <c r="AN95" s="1409"/>
      <c r="AO95" s="1409"/>
      <c r="AP95" s="1409"/>
    </row>
    <row r="96" spans="2:42">
      <c r="B96" s="37"/>
      <c r="C96" s="887" t="s">
        <v>305</v>
      </c>
      <c r="D96" s="883">
        <v>0</v>
      </c>
      <c r="E96" s="883">
        <v>0</v>
      </c>
      <c r="F96" s="883">
        <v>0</v>
      </c>
      <c r="G96" s="883">
        <v>0</v>
      </c>
      <c r="H96" s="883">
        <v>0</v>
      </c>
      <c r="I96" s="883">
        <v>0</v>
      </c>
      <c r="J96" s="180">
        <f t="shared" si="84"/>
        <v>0</v>
      </c>
      <c r="K96" s="883">
        <f t="shared" si="115"/>
        <v>0</v>
      </c>
      <c r="L96" s="883">
        <f t="shared" si="116"/>
        <v>0</v>
      </c>
      <c r="M96" s="883">
        <f t="shared" si="117"/>
        <v>0</v>
      </c>
      <c r="N96" s="883">
        <f t="shared" si="118"/>
        <v>0</v>
      </c>
      <c r="O96" s="883">
        <f t="shared" si="119"/>
        <v>0</v>
      </c>
      <c r="P96" s="883">
        <f t="shared" si="120"/>
        <v>0</v>
      </c>
      <c r="Q96" s="180">
        <f t="shared" si="85"/>
        <v>0</v>
      </c>
      <c r="R96" s="883">
        <f t="shared" si="101"/>
        <v>0</v>
      </c>
      <c r="S96" s="883">
        <f t="shared" si="102"/>
        <v>0</v>
      </c>
      <c r="T96" s="883">
        <f t="shared" si="103"/>
        <v>0</v>
      </c>
      <c r="U96" s="883">
        <f t="shared" si="104"/>
        <v>0</v>
      </c>
      <c r="V96" s="883">
        <f t="shared" si="105"/>
        <v>0</v>
      </c>
      <c r="W96" s="883">
        <f t="shared" si="106"/>
        <v>0</v>
      </c>
      <c r="X96" s="180">
        <f t="shared" si="86"/>
        <v>0</v>
      </c>
      <c r="Y96" s="883"/>
      <c r="Z96" s="883"/>
      <c r="AA96" s="883"/>
      <c r="AB96" s="883"/>
      <c r="AC96" s="883"/>
      <c r="AD96" s="883"/>
      <c r="AE96" s="180"/>
      <c r="AF96" s="1389"/>
      <c r="AG96" s="972">
        <f>'PDYG-200'!D$38</f>
        <v>0.2417</v>
      </c>
      <c r="AH96" s="972">
        <f>'PDYG-200'!E$38</f>
        <v>0.30353035303530351</v>
      </c>
      <c r="AI96" s="972">
        <f>'PDYG-200'!F$38</f>
        <v>0.45476964696469646</v>
      </c>
      <c r="AK96" s="1409"/>
      <c r="AL96" s="1409"/>
      <c r="AM96" s="1409"/>
      <c r="AN96" s="1409"/>
      <c r="AO96" s="1409"/>
      <c r="AP96" s="1409"/>
    </row>
    <row r="97" spans="2:42">
      <c r="B97" s="37"/>
      <c r="C97" s="887" t="s">
        <v>307</v>
      </c>
      <c r="D97" s="883">
        <v>0</v>
      </c>
      <c r="E97" s="883">
        <v>0</v>
      </c>
      <c r="F97" s="883">
        <v>0</v>
      </c>
      <c r="G97" s="883">
        <v>0</v>
      </c>
      <c r="H97" s="883">
        <v>0</v>
      </c>
      <c r="I97" s="883">
        <v>0</v>
      </c>
      <c r="J97" s="180">
        <f t="shared" si="84"/>
        <v>0</v>
      </c>
      <c r="K97" s="883">
        <f t="shared" si="115"/>
        <v>0</v>
      </c>
      <c r="L97" s="883">
        <f t="shared" si="116"/>
        <v>0</v>
      </c>
      <c r="M97" s="883">
        <f t="shared" si="117"/>
        <v>0</v>
      </c>
      <c r="N97" s="883">
        <f t="shared" si="118"/>
        <v>0</v>
      </c>
      <c r="O97" s="883">
        <f t="shared" si="119"/>
        <v>0</v>
      </c>
      <c r="P97" s="883">
        <f t="shared" si="120"/>
        <v>0</v>
      </c>
      <c r="Q97" s="180">
        <f t="shared" si="85"/>
        <v>0</v>
      </c>
      <c r="R97" s="883">
        <f t="shared" si="101"/>
        <v>0</v>
      </c>
      <c r="S97" s="883">
        <f t="shared" si="102"/>
        <v>0</v>
      </c>
      <c r="T97" s="883">
        <f t="shared" si="103"/>
        <v>0</v>
      </c>
      <c r="U97" s="883">
        <f t="shared" si="104"/>
        <v>0</v>
      </c>
      <c r="V97" s="883">
        <f t="shared" si="105"/>
        <v>0</v>
      </c>
      <c r="W97" s="883">
        <f t="shared" si="106"/>
        <v>0</v>
      </c>
      <c r="X97" s="180">
        <f t="shared" si="86"/>
        <v>0</v>
      </c>
      <c r="Y97" s="883"/>
      <c r="Z97" s="883"/>
      <c r="AA97" s="883"/>
      <c r="AB97" s="883"/>
      <c r="AC97" s="883"/>
      <c r="AD97" s="883"/>
      <c r="AE97" s="180"/>
      <c r="AF97" s="1389"/>
      <c r="AG97" s="972">
        <f>'PDYG-200'!D$38</f>
        <v>0.2417</v>
      </c>
      <c r="AH97" s="972">
        <f>'PDYG-200'!E$38</f>
        <v>0.30353035303530351</v>
      </c>
      <c r="AI97" s="972">
        <f>'PDYG-200'!F$38</f>
        <v>0.45476964696469646</v>
      </c>
      <c r="AK97" s="1409"/>
      <c r="AL97" s="1409"/>
      <c r="AM97" s="1409"/>
      <c r="AN97" s="1409"/>
      <c r="AO97" s="1409"/>
      <c r="AP97" s="1409"/>
    </row>
    <row r="98" spans="2:42">
      <c r="B98" s="37"/>
      <c r="C98" s="887" t="s">
        <v>624</v>
      </c>
      <c r="D98" s="883">
        <v>0</v>
      </c>
      <c r="E98" s="883">
        <v>0</v>
      </c>
      <c r="F98" s="883">
        <v>0</v>
      </c>
      <c r="G98" s="883">
        <v>0</v>
      </c>
      <c r="H98" s="883">
        <v>0</v>
      </c>
      <c r="I98" s="883">
        <v>0</v>
      </c>
      <c r="J98" s="180">
        <f t="shared" si="84"/>
        <v>0</v>
      </c>
      <c r="K98" s="883">
        <f t="shared" si="115"/>
        <v>0</v>
      </c>
      <c r="L98" s="883">
        <f t="shared" si="116"/>
        <v>0</v>
      </c>
      <c r="M98" s="883">
        <f t="shared" si="117"/>
        <v>0</v>
      </c>
      <c r="N98" s="883">
        <f t="shared" si="118"/>
        <v>0</v>
      </c>
      <c r="O98" s="883">
        <f t="shared" si="119"/>
        <v>0</v>
      </c>
      <c r="P98" s="883">
        <f t="shared" si="120"/>
        <v>0</v>
      </c>
      <c r="Q98" s="180">
        <f t="shared" si="85"/>
        <v>0</v>
      </c>
      <c r="R98" s="883">
        <f t="shared" si="101"/>
        <v>0</v>
      </c>
      <c r="S98" s="883">
        <f t="shared" si="102"/>
        <v>0</v>
      </c>
      <c r="T98" s="883">
        <f t="shared" si="103"/>
        <v>0</v>
      </c>
      <c r="U98" s="883">
        <f t="shared" si="104"/>
        <v>0</v>
      </c>
      <c r="V98" s="883">
        <f t="shared" si="105"/>
        <v>0</v>
      </c>
      <c r="W98" s="883">
        <f t="shared" si="106"/>
        <v>0</v>
      </c>
      <c r="X98" s="180">
        <f t="shared" si="86"/>
        <v>0</v>
      </c>
      <c r="Y98" s="883"/>
      <c r="Z98" s="883"/>
      <c r="AA98" s="883"/>
      <c r="AB98" s="883"/>
      <c r="AC98" s="883"/>
      <c r="AD98" s="883"/>
      <c r="AE98" s="180"/>
      <c r="AF98" s="1389"/>
      <c r="AG98" s="972">
        <f>'PDYG-200'!D$38</f>
        <v>0.2417</v>
      </c>
      <c r="AH98" s="972">
        <f>'PDYG-200'!E$38</f>
        <v>0.30353035303530351</v>
      </c>
      <c r="AI98" s="972">
        <f>'PDYG-200'!F$38</f>
        <v>0.45476964696469646</v>
      </c>
      <c r="AK98" s="1409"/>
      <c r="AL98" s="1409"/>
      <c r="AM98" s="1409"/>
      <c r="AN98" s="1409"/>
      <c r="AO98" s="1409"/>
      <c r="AP98" s="1409"/>
    </row>
    <row r="99" spans="2:42">
      <c r="B99" s="48" t="s">
        <v>902</v>
      </c>
      <c r="C99" s="882" t="s">
        <v>900</v>
      </c>
      <c r="D99" s="881">
        <v>125413</v>
      </c>
      <c r="E99" s="881">
        <v>123757</v>
      </c>
      <c r="F99" s="881">
        <v>140003</v>
      </c>
      <c r="G99" s="881">
        <v>106707</v>
      </c>
      <c r="H99" s="881">
        <v>83789</v>
      </c>
      <c r="I99" s="881">
        <v>118026</v>
      </c>
      <c r="J99" s="180">
        <f t="shared" si="84"/>
        <v>697695</v>
      </c>
      <c r="K99" s="881">
        <f t="shared" ref="K99:W99" si="121">SUBTOTAL(9,K100:K105)</f>
        <v>30312.322100000001</v>
      </c>
      <c r="L99" s="881">
        <f t="shared" si="121"/>
        <v>29912.066900000002</v>
      </c>
      <c r="M99" s="881">
        <f t="shared" si="121"/>
        <v>33838.725100000003</v>
      </c>
      <c r="N99" s="881">
        <f t="shared" si="121"/>
        <v>25791.081900000001</v>
      </c>
      <c r="O99" s="881">
        <f t="shared" si="121"/>
        <v>20251.801300000003</v>
      </c>
      <c r="P99" s="881">
        <f t="shared" si="121"/>
        <v>28526.8842</v>
      </c>
      <c r="Q99" s="180">
        <f t="shared" si="85"/>
        <v>168632.88150000002</v>
      </c>
      <c r="R99" s="881">
        <f t="shared" si="121"/>
        <v>95100.67790000001</v>
      </c>
      <c r="S99" s="881">
        <f t="shared" si="121"/>
        <v>93844.933099999995</v>
      </c>
      <c r="T99" s="881">
        <f t="shared" si="121"/>
        <v>106164.27489999999</v>
      </c>
      <c r="U99" s="881">
        <f t="shared" si="121"/>
        <v>80915.918099999995</v>
      </c>
      <c r="V99" s="881">
        <f t="shared" si="121"/>
        <v>63537.198700000001</v>
      </c>
      <c r="W99" s="881">
        <f t="shared" si="121"/>
        <v>89499.1158</v>
      </c>
      <c r="X99" s="180">
        <f t="shared" si="86"/>
        <v>529062.11849999998</v>
      </c>
      <c r="Y99" s="881"/>
      <c r="Z99" s="881"/>
      <c r="AA99" s="881"/>
      <c r="AB99" s="881"/>
      <c r="AC99" s="881"/>
      <c r="AD99" s="881"/>
      <c r="AE99" s="180"/>
      <c r="AF99" s="1389"/>
      <c r="AG99" s="972">
        <f>'PDYG-200'!D$38</f>
        <v>0.2417</v>
      </c>
      <c r="AH99" s="972">
        <f>'PDYG-200'!E$38</f>
        <v>0.30353035303530351</v>
      </c>
      <c r="AI99" s="972">
        <f>'PDYG-200'!F$38</f>
        <v>0.45476964696469646</v>
      </c>
      <c r="AK99" s="1409"/>
      <c r="AL99" s="1409"/>
      <c r="AM99" s="1409"/>
      <c r="AN99" s="1409"/>
      <c r="AO99" s="1409"/>
      <c r="AP99" s="1409"/>
    </row>
    <row r="100" spans="2:42">
      <c r="B100" s="37"/>
      <c r="C100" s="887" t="s">
        <v>304</v>
      </c>
      <c r="D100" s="883">
        <v>119301</v>
      </c>
      <c r="E100" s="883">
        <v>120528</v>
      </c>
      <c r="F100" s="883">
        <v>135542</v>
      </c>
      <c r="G100" s="883">
        <v>101074</v>
      </c>
      <c r="H100" s="883">
        <v>81331</v>
      </c>
      <c r="I100" s="883">
        <v>113660</v>
      </c>
      <c r="J100" s="180">
        <f t="shared" si="84"/>
        <v>671436</v>
      </c>
      <c r="K100" s="883">
        <f t="shared" ref="K100:K105" si="122">D100*$AG100</f>
        <v>28835.0517</v>
      </c>
      <c r="L100" s="883">
        <f t="shared" ref="L100:L105" si="123">E100*$AG100</f>
        <v>29131.617600000001</v>
      </c>
      <c r="M100" s="883">
        <f t="shared" ref="M100:M105" si="124">F100*$AG100</f>
        <v>32760.501400000001</v>
      </c>
      <c r="N100" s="883">
        <f t="shared" ref="N100:N105" si="125">G100*$AG100</f>
        <v>24429.585800000001</v>
      </c>
      <c r="O100" s="883">
        <f t="shared" ref="O100:O105" si="126">H100*$AG100</f>
        <v>19657.702700000002</v>
      </c>
      <c r="P100" s="883">
        <f t="shared" ref="P100:P105" si="127">I100*$AG100</f>
        <v>27471.621999999999</v>
      </c>
      <c r="Q100" s="180">
        <f t="shared" si="85"/>
        <v>162286.08120000002</v>
      </c>
      <c r="R100" s="883">
        <f t="shared" si="101"/>
        <v>90465.948300000004</v>
      </c>
      <c r="S100" s="883">
        <f t="shared" si="102"/>
        <v>91396.382400000002</v>
      </c>
      <c r="T100" s="883">
        <f t="shared" si="103"/>
        <v>102781.49859999999</v>
      </c>
      <c r="U100" s="883">
        <f t="shared" si="104"/>
        <v>76644.414199999999</v>
      </c>
      <c r="V100" s="883">
        <f t="shared" si="105"/>
        <v>61673.297299999998</v>
      </c>
      <c r="W100" s="883">
        <f t="shared" si="106"/>
        <v>86188.377999999997</v>
      </c>
      <c r="X100" s="180">
        <f t="shared" si="86"/>
        <v>509149.91879999998</v>
      </c>
      <c r="Y100" s="883"/>
      <c r="Z100" s="883"/>
      <c r="AA100" s="883"/>
      <c r="AB100" s="883"/>
      <c r="AC100" s="883"/>
      <c r="AD100" s="883"/>
      <c r="AE100" s="180"/>
      <c r="AF100" s="1389"/>
      <c r="AG100" s="972">
        <f>'PDYG-200'!D$38</f>
        <v>0.2417</v>
      </c>
      <c r="AH100" s="972">
        <f>'PDYG-200'!E$38</f>
        <v>0.30353035303530351</v>
      </c>
      <c r="AI100" s="972">
        <f>'PDYG-200'!F$38</f>
        <v>0.45476964696469646</v>
      </c>
      <c r="AK100" s="1409"/>
      <c r="AL100" s="1409"/>
      <c r="AM100" s="1409"/>
      <c r="AN100" s="1409"/>
      <c r="AO100" s="1409"/>
      <c r="AP100" s="1409"/>
    </row>
    <row r="101" spans="2:42">
      <c r="B101" s="37"/>
      <c r="C101" s="889" t="s">
        <v>642</v>
      </c>
      <c r="D101" s="883">
        <v>6112</v>
      </c>
      <c r="E101" s="883">
        <v>3229</v>
      </c>
      <c r="F101" s="883">
        <v>4461</v>
      </c>
      <c r="G101" s="883">
        <v>5633</v>
      </c>
      <c r="H101" s="883">
        <v>2458</v>
      </c>
      <c r="I101" s="883">
        <v>4366</v>
      </c>
      <c r="J101" s="180">
        <f t="shared" si="84"/>
        <v>26259</v>
      </c>
      <c r="K101" s="883">
        <f t="shared" si="122"/>
        <v>1477.2703999999999</v>
      </c>
      <c r="L101" s="883">
        <f t="shared" si="123"/>
        <v>780.44929999999999</v>
      </c>
      <c r="M101" s="883">
        <f t="shared" si="124"/>
        <v>1078.2237</v>
      </c>
      <c r="N101" s="883">
        <f t="shared" si="125"/>
        <v>1361.4961000000001</v>
      </c>
      <c r="O101" s="883">
        <f t="shared" si="126"/>
        <v>594.09860000000003</v>
      </c>
      <c r="P101" s="883">
        <f t="shared" si="127"/>
        <v>1055.2621999999999</v>
      </c>
      <c r="Q101" s="180">
        <f t="shared" si="85"/>
        <v>6346.8002999999999</v>
      </c>
      <c r="R101" s="883">
        <f t="shared" si="101"/>
        <v>4634.7296000000006</v>
      </c>
      <c r="S101" s="883">
        <f t="shared" si="102"/>
        <v>2448.5506999999998</v>
      </c>
      <c r="T101" s="883">
        <f t="shared" si="103"/>
        <v>3382.7763</v>
      </c>
      <c r="U101" s="883">
        <f t="shared" si="104"/>
        <v>4271.5038999999997</v>
      </c>
      <c r="V101" s="883">
        <f t="shared" si="105"/>
        <v>1863.9014</v>
      </c>
      <c r="W101" s="883">
        <f t="shared" si="106"/>
        <v>3310.7377999999999</v>
      </c>
      <c r="X101" s="180">
        <f t="shared" si="86"/>
        <v>19912.199699999997</v>
      </c>
      <c r="Y101" s="883"/>
      <c r="Z101" s="883"/>
      <c r="AA101" s="883"/>
      <c r="AB101" s="883"/>
      <c r="AC101" s="883"/>
      <c r="AD101" s="883"/>
      <c r="AE101" s="180"/>
      <c r="AF101" s="1389"/>
      <c r="AG101" s="972">
        <f>'PDYG-200'!D$38</f>
        <v>0.2417</v>
      </c>
      <c r="AH101" s="972">
        <f>'PDYG-200'!E$38</f>
        <v>0.30353035303530351</v>
      </c>
      <c r="AI101" s="972">
        <f>'PDYG-200'!F$38</f>
        <v>0.45476964696469646</v>
      </c>
      <c r="AK101" s="1409"/>
      <c r="AL101" s="1409"/>
      <c r="AM101" s="1409"/>
      <c r="AN101" s="1409"/>
      <c r="AO101" s="1409"/>
      <c r="AP101" s="1409"/>
    </row>
    <row r="102" spans="2:42">
      <c r="B102" s="37"/>
      <c r="C102" s="889" t="s">
        <v>1177</v>
      </c>
      <c r="D102" s="883">
        <v>0</v>
      </c>
      <c r="E102" s="883">
        <v>0</v>
      </c>
      <c r="F102" s="883">
        <v>0</v>
      </c>
      <c r="G102" s="883">
        <v>0</v>
      </c>
      <c r="H102" s="883">
        <v>0</v>
      </c>
      <c r="I102" s="883">
        <v>0</v>
      </c>
      <c r="J102" s="180">
        <f t="shared" si="84"/>
        <v>0</v>
      </c>
      <c r="K102" s="883">
        <f t="shared" si="122"/>
        <v>0</v>
      </c>
      <c r="L102" s="883">
        <f t="shared" si="123"/>
        <v>0</v>
      </c>
      <c r="M102" s="883">
        <f t="shared" si="124"/>
        <v>0</v>
      </c>
      <c r="N102" s="883">
        <f t="shared" si="125"/>
        <v>0</v>
      </c>
      <c r="O102" s="883">
        <f t="shared" si="126"/>
        <v>0</v>
      </c>
      <c r="P102" s="883">
        <f t="shared" si="127"/>
        <v>0</v>
      </c>
      <c r="Q102" s="180">
        <f t="shared" si="85"/>
        <v>0</v>
      </c>
      <c r="R102" s="883">
        <f t="shared" si="101"/>
        <v>0</v>
      </c>
      <c r="S102" s="883">
        <f t="shared" si="102"/>
        <v>0</v>
      </c>
      <c r="T102" s="883">
        <f t="shared" si="103"/>
        <v>0</v>
      </c>
      <c r="U102" s="883">
        <f t="shared" si="104"/>
        <v>0</v>
      </c>
      <c r="V102" s="883">
        <f t="shared" si="105"/>
        <v>0</v>
      </c>
      <c r="W102" s="883">
        <f t="shared" si="106"/>
        <v>0</v>
      </c>
      <c r="X102" s="180">
        <f t="shared" si="86"/>
        <v>0</v>
      </c>
      <c r="Y102" s="883"/>
      <c r="Z102" s="883"/>
      <c r="AA102" s="883"/>
      <c r="AB102" s="883"/>
      <c r="AC102" s="883"/>
      <c r="AD102" s="883"/>
      <c r="AE102" s="180"/>
      <c r="AF102" s="1389"/>
      <c r="AG102" s="972">
        <f>'PDYG-200'!D$38</f>
        <v>0.2417</v>
      </c>
      <c r="AH102" s="972">
        <f>'PDYG-200'!E$38</f>
        <v>0.30353035303530351</v>
      </c>
      <c r="AI102" s="972">
        <f>'PDYG-200'!F$38</f>
        <v>0.45476964696469646</v>
      </c>
      <c r="AK102" s="1409"/>
      <c r="AL102" s="1409"/>
      <c r="AM102" s="1409"/>
      <c r="AN102" s="1409"/>
      <c r="AO102" s="1409"/>
      <c r="AP102" s="1409"/>
    </row>
    <row r="103" spans="2:42">
      <c r="B103" s="37"/>
      <c r="C103" s="887" t="s">
        <v>305</v>
      </c>
      <c r="D103" s="883">
        <v>0</v>
      </c>
      <c r="E103" s="883">
        <v>0</v>
      </c>
      <c r="F103" s="883">
        <v>0</v>
      </c>
      <c r="G103" s="883">
        <v>0</v>
      </c>
      <c r="H103" s="883">
        <v>0</v>
      </c>
      <c r="I103" s="883">
        <v>0</v>
      </c>
      <c r="J103" s="180">
        <f t="shared" si="84"/>
        <v>0</v>
      </c>
      <c r="K103" s="883">
        <f t="shared" si="122"/>
        <v>0</v>
      </c>
      <c r="L103" s="883">
        <f t="shared" si="123"/>
        <v>0</v>
      </c>
      <c r="M103" s="883">
        <f t="shared" si="124"/>
        <v>0</v>
      </c>
      <c r="N103" s="883">
        <f t="shared" si="125"/>
        <v>0</v>
      </c>
      <c r="O103" s="883">
        <f t="shared" si="126"/>
        <v>0</v>
      </c>
      <c r="P103" s="883">
        <f t="shared" si="127"/>
        <v>0</v>
      </c>
      <c r="Q103" s="180">
        <f t="shared" si="85"/>
        <v>0</v>
      </c>
      <c r="R103" s="883">
        <f t="shared" si="101"/>
        <v>0</v>
      </c>
      <c r="S103" s="883">
        <f t="shared" si="102"/>
        <v>0</v>
      </c>
      <c r="T103" s="883">
        <f t="shared" si="103"/>
        <v>0</v>
      </c>
      <c r="U103" s="883">
        <f t="shared" si="104"/>
        <v>0</v>
      </c>
      <c r="V103" s="883">
        <f t="shared" si="105"/>
        <v>0</v>
      </c>
      <c r="W103" s="883">
        <f t="shared" si="106"/>
        <v>0</v>
      </c>
      <c r="X103" s="180">
        <f t="shared" si="86"/>
        <v>0</v>
      </c>
      <c r="Y103" s="883"/>
      <c r="Z103" s="883"/>
      <c r="AA103" s="883"/>
      <c r="AB103" s="883"/>
      <c r="AC103" s="883"/>
      <c r="AD103" s="883"/>
      <c r="AE103" s="180"/>
      <c r="AF103" s="1389"/>
      <c r="AG103" s="972">
        <f>'PDYG-200'!D$38</f>
        <v>0.2417</v>
      </c>
      <c r="AH103" s="972">
        <f>'PDYG-200'!E$38</f>
        <v>0.30353035303530351</v>
      </c>
      <c r="AI103" s="972">
        <f>'PDYG-200'!F$38</f>
        <v>0.45476964696469646</v>
      </c>
      <c r="AK103" s="1409"/>
      <c r="AL103" s="1409"/>
      <c r="AM103" s="1409"/>
      <c r="AN103" s="1409"/>
      <c r="AO103" s="1409"/>
      <c r="AP103" s="1409"/>
    </row>
    <row r="104" spans="2:42">
      <c r="B104" s="37"/>
      <c r="C104" s="887" t="s">
        <v>307</v>
      </c>
      <c r="D104" s="883">
        <v>0</v>
      </c>
      <c r="E104" s="883">
        <v>0</v>
      </c>
      <c r="F104" s="883">
        <v>0</v>
      </c>
      <c r="G104" s="883">
        <v>0</v>
      </c>
      <c r="H104" s="883">
        <v>0</v>
      </c>
      <c r="I104" s="883">
        <v>0</v>
      </c>
      <c r="J104" s="180">
        <f t="shared" si="84"/>
        <v>0</v>
      </c>
      <c r="K104" s="883">
        <f t="shared" si="122"/>
        <v>0</v>
      </c>
      <c r="L104" s="883">
        <f t="shared" si="123"/>
        <v>0</v>
      </c>
      <c r="M104" s="883">
        <f t="shared" si="124"/>
        <v>0</v>
      </c>
      <c r="N104" s="883">
        <f t="shared" si="125"/>
        <v>0</v>
      </c>
      <c r="O104" s="883">
        <f t="shared" si="126"/>
        <v>0</v>
      </c>
      <c r="P104" s="883">
        <f t="shared" si="127"/>
        <v>0</v>
      </c>
      <c r="Q104" s="180">
        <f t="shared" si="85"/>
        <v>0</v>
      </c>
      <c r="R104" s="883">
        <f t="shared" si="101"/>
        <v>0</v>
      </c>
      <c r="S104" s="883">
        <f t="shared" si="102"/>
        <v>0</v>
      </c>
      <c r="T104" s="883">
        <f t="shared" si="103"/>
        <v>0</v>
      </c>
      <c r="U104" s="883">
        <f t="shared" si="104"/>
        <v>0</v>
      </c>
      <c r="V104" s="883">
        <f t="shared" si="105"/>
        <v>0</v>
      </c>
      <c r="W104" s="883">
        <f t="shared" si="106"/>
        <v>0</v>
      </c>
      <c r="X104" s="180">
        <f t="shared" si="86"/>
        <v>0</v>
      </c>
      <c r="Y104" s="883"/>
      <c r="Z104" s="883"/>
      <c r="AA104" s="883"/>
      <c r="AB104" s="883"/>
      <c r="AC104" s="883"/>
      <c r="AD104" s="883"/>
      <c r="AE104" s="180"/>
      <c r="AF104" s="1389"/>
      <c r="AG104" s="972">
        <f>'PDYG-200'!D$38</f>
        <v>0.2417</v>
      </c>
      <c r="AH104" s="972">
        <f>'PDYG-200'!E$38</f>
        <v>0.30353035303530351</v>
      </c>
      <c r="AI104" s="972">
        <f>'PDYG-200'!F$38</f>
        <v>0.45476964696469646</v>
      </c>
      <c r="AK104" s="1409"/>
      <c r="AL104" s="1409"/>
      <c r="AM104" s="1409"/>
      <c r="AN104" s="1409"/>
      <c r="AO104" s="1409"/>
      <c r="AP104" s="1409"/>
    </row>
    <row r="105" spans="2:42">
      <c r="B105" s="37"/>
      <c r="C105" s="887" t="s">
        <v>624</v>
      </c>
      <c r="D105" s="883">
        <v>0</v>
      </c>
      <c r="E105" s="883">
        <v>0</v>
      </c>
      <c r="F105" s="883">
        <v>0</v>
      </c>
      <c r="G105" s="883">
        <v>0</v>
      </c>
      <c r="H105" s="883">
        <v>0</v>
      </c>
      <c r="I105" s="883">
        <v>0</v>
      </c>
      <c r="J105" s="180">
        <f t="shared" si="84"/>
        <v>0</v>
      </c>
      <c r="K105" s="883">
        <f t="shared" si="122"/>
        <v>0</v>
      </c>
      <c r="L105" s="883">
        <f t="shared" si="123"/>
        <v>0</v>
      </c>
      <c r="M105" s="883">
        <f t="shared" si="124"/>
        <v>0</v>
      </c>
      <c r="N105" s="883">
        <f t="shared" si="125"/>
        <v>0</v>
      </c>
      <c r="O105" s="883">
        <f t="shared" si="126"/>
        <v>0</v>
      </c>
      <c r="P105" s="883">
        <f t="shared" si="127"/>
        <v>0</v>
      </c>
      <c r="Q105" s="180">
        <f t="shared" si="85"/>
        <v>0</v>
      </c>
      <c r="R105" s="883">
        <f t="shared" si="101"/>
        <v>0</v>
      </c>
      <c r="S105" s="883">
        <f t="shared" si="102"/>
        <v>0</v>
      </c>
      <c r="T105" s="883">
        <f t="shared" si="103"/>
        <v>0</v>
      </c>
      <c r="U105" s="883">
        <f t="shared" si="104"/>
        <v>0</v>
      </c>
      <c r="V105" s="883">
        <f t="shared" si="105"/>
        <v>0</v>
      </c>
      <c r="W105" s="883">
        <f t="shared" si="106"/>
        <v>0</v>
      </c>
      <c r="X105" s="180">
        <f t="shared" si="86"/>
        <v>0</v>
      </c>
      <c r="Y105" s="883"/>
      <c r="Z105" s="883"/>
      <c r="AA105" s="883"/>
      <c r="AB105" s="883"/>
      <c r="AC105" s="883"/>
      <c r="AD105" s="883"/>
      <c r="AE105" s="180"/>
      <c r="AF105" s="1389"/>
      <c r="AG105" s="972">
        <f>'PDYG-200'!D$38</f>
        <v>0.2417</v>
      </c>
      <c r="AH105" s="972">
        <f>'PDYG-200'!E$38</f>
        <v>0.30353035303530351</v>
      </c>
      <c r="AI105" s="972">
        <f>'PDYG-200'!F$38</f>
        <v>0.45476964696469646</v>
      </c>
    </row>
    <row r="106" spans="2:42">
      <c r="B106" s="37"/>
      <c r="C106" s="884"/>
      <c r="D106" s="883">
        <v>0</v>
      </c>
      <c r="E106" s="883">
        <v>0</v>
      </c>
      <c r="F106" s="883">
        <v>0</v>
      </c>
      <c r="G106" s="883">
        <v>0</v>
      </c>
      <c r="H106" s="883">
        <v>0</v>
      </c>
      <c r="I106" s="883">
        <v>0</v>
      </c>
      <c r="J106" s="180">
        <f t="shared" si="84"/>
        <v>0</v>
      </c>
      <c r="K106" s="883"/>
      <c r="L106" s="883"/>
      <c r="M106" s="883"/>
      <c r="N106" s="883"/>
      <c r="O106" s="883"/>
      <c r="P106" s="883"/>
      <c r="Q106" s="180">
        <f t="shared" si="85"/>
        <v>0</v>
      </c>
      <c r="R106" s="883">
        <f t="shared" si="101"/>
        <v>0</v>
      </c>
      <c r="S106" s="883">
        <f t="shared" si="102"/>
        <v>0</v>
      </c>
      <c r="T106" s="883">
        <f t="shared" si="103"/>
        <v>0</v>
      </c>
      <c r="U106" s="883">
        <f t="shared" si="104"/>
        <v>0</v>
      </c>
      <c r="V106" s="883">
        <f t="shared" si="105"/>
        <v>0</v>
      </c>
      <c r="W106" s="883">
        <f t="shared" si="106"/>
        <v>0</v>
      </c>
      <c r="X106" s="180">
        <f t="shared" si="86"/>
        <v>0</v>
      </c>
      <c r="Y106" s="883"/>
      <c r="Z106" s="883"/>
      <c r="AA106" s="883"/>
      <c r="AB106" s="883"/>
      <c r="AC106" s="883"/>
      <c r="AD106" s="883"/>
      <c r="AE106" s="180"/>
      <c r="AF106" s="1389"/>
      <c r="AG106" s="972">
        <f>'PDYG-200'!D$38</f>
        <v>0.2417</v>
      </c>
      <c r="AH106" s="972">
        <f>'PDYG-200'!E$38</f>
        <v>0.30353035303530351</v>
      </c>
      <c r="AI106" s="972">
        <f>'PDYG-200'!F$38</f>
        <v>0.45476964696469646</v>
      </c>
    </row>
    <row r="107" spans="2:42" s="587" customFormat="1">
      <c r="B107" s="37"/>
      <c r="C107" s="179" t="s">
        <v>322</v>
      </c>
      <c r="D107" s="180">
        <v>276099083</v>
      </c>
      <c r="E107" s="180">
        <v>276214311</v>
      </c>
      <c r="F107" s="180">
        <v>270997367</v>
      </c>
      <c r="G107" s="180">
        <v>275267488</v>
      </c>
      <c r="H107" s="180">
        <v>263340211</v>
      </c>
      <c r="I107" s="180">
        <v>264574189</v>
      </c>
      <c r="J107" s="180">
        <f t="shared" si="84"/>
        <v>1626492649</v>
      </c>
      <c r="K107" s="180">
        <f t="shared" ref="K107:W107" si="128">SUBTOTAL(9,K5:K106)</f>
        <v>79927556.036200032</v>
      </c>
      <c r="L107" s="180">
        <f t="shared" si="128"/>
        <v>79567563.647500008</v>
      </c>
      <c r="M107" s="180">
        <f t="shared" si="128"/>
        <v>77720774.207900017</v>
      </c>
      <c r="N107" s="180">
        <f t="shared" si="128"/>
        <v>79122973.980900005</v>
      </c>
      <c r="O107" s="180">
        <f t="shared" si="128"/>
        <v>74224025.884800017</v>
      </c>
      <c r="P107" s="180">
        <f t="shared" si="128"/>
        <v>75265308.604400024</v>
      </c>
      <c r="Q107" s="180">
        <f t="shared" si="85"/>
        <v>465828202.36170012</v>
      </c>
      <c r="R107" s="180">
        <f t="shared" si="128"/>
        <v>196171526.96380004</v>
      </c>
      <c r="S107" s="180">
        <f t="shared" si="128"/>
        <v>196646747.35249999</v>
      </c>
      <c r="T107" s="180">
        <f t="shared" si="128"/>
        <v>193276592.79210004</v>
      </c>
      <c r="U107" s="180">
        <f t="shared" si="128"/>
        <v>196144514.01910004</v>
      </c>
      <c r="V107" s="180">
        <f t="shared" si="128"/>
        <v>189116185.11520001</v>
      </c>
      <c r="W107" s="180">
        <f t="shared" si="128"/>
        <v>189308880.39560002</v>
      </c>
      <c r="X107" s="180">
        <f t="shared" si="86"/>
        <v>1160664446.6383002</v>
      </c>
      <c r="Y107" s="180"/>
      <c r="Z107" s="180"/>
      <c r="AA107" s="180"/>
      <c r="AB107" s="180"/>
      <c r="AC107" s="180"/>
      <c r="AD107" s="180"/>
      <c r="AE107" s="180"/>
      <c r="AF107" s="1389"/>
      <c r="AG107" s="969"/>
      <c r="AH107" s="969"/>
      <c r="AI107" s="969"/>
    </row>
    <row r="108" spans="2:42">
      <c r="B108" s="37"/>
      <c r="C108" s="1247" t="s">
        <v>88</v>
      </c>
      <c r="D108" s="180">
        <f>6692707</f>
        <v>6692707</v>
      </c>
      <c r="E108" s="180">
        <f>6693541</f>
        <v>6693541</v>
      </c>
      <c r="F108" s="180">
        <f>6660739</f>
        <v>6660739</v>
      </c>
      <c r="G108" s="180">
        <f>6662419</f>
        <v>6662419</v>
      </c>
      <c r="H108" s="180">
        <f>6629164</f>
        <v>6629164</v>
      </c>
      <c r="I108" s="180">
        <f>6579829</f>
        <v>6579829</v>
      </c>
      <c r="J108" s="180">
        <f t="shared" si="84"/>
        <v>39918399</v>
      </c>
      <c r="K108" s="1245"/>
      <c r="L108" s="1245"/>
      <c r="M108" s="1245"/>
      <c r="N108" s="1245"/>
      <c r="O108" s="1245"/>
      <c r="P108" s="1245"/>
      <c r="Q108" s="180">
        <f t="shared" si="85"/>
        <v>0</v>
      </c>
      <c r="R108" s="180">
        <f t="shared" si="101"/>
        <v>6692707</v>
      </c>
      <c r="S108" s="180">
        <f t="shared" si="102"/>
        <v>6693541</v>
      </c>
      <c r="T108" s="180">
        <f t="shared" si="103"/>
        <v>6660739</v>
      </c>
      <c r="U108" s="180">
        <f t="shared" si="104"/>
        <v>6662419</v>
      </c>
      <c r="V108" s="180">
        <f t="shared" si="105"/>
        <v>6629164</v>
      </c>
      <c r="W108" s="180">
        <f t="shared" si="106"/>
        <v>6579829</v>
      </c>
      <c r="X108" s="180">
        <f t="shared" si="86"/>
        <v>39918399</v>
      </c>
      <c r="Y108" s="1245"/>
      <c r="Z108" s="1245"/>
      <c r="AA108" s="1245"/>
      <c r="AB108" s="1245"/>
      <c r="AC108" s="1245"/>
      <c r="AD108" s="1245"/>
      <c r="AE108" s="180"/>
      <c r="AF108" s="1389"/>
    </row>
    <row r="109" spans="2:42" s="587" customFormat="1">
      <c r="B109" s="37"/>
      <c r="C109" s="179" t="s">
        <v>112</v>
      </c>
      <c r="D109" s="180">
        <f t="shared" ref="D109:P109" si="129">D107+D108</f>
        <v>282791790</v>
      </c>
      <c r="E109" s="180">
        <f t="shared" si="129"/>
        <v>282907852</v>
      </c>
      <c r="F109" s="180">
        <f t="shared" si="129"/>
        <v>277658106</v>
      </c>
      <c r="G109" s="180">
        <f t="shared" si="129"/>
        <v>281929907</v>
      </c>
      <c r="H109" s="180">
        <f t="shared" si="129"/>
        <v>269969375</v>
      </c>
      <c r="I109" s="180">
        <f t="shared" si="129"/>
        <v>271154018</v>
      </c>
      <c r="J109" s="180">
        <f t="shared" si="84"/>
        <v>1666411048</v>
      </c>
      <c r="K109" s="180">
        <f t="shared" si="129"/>
        <v>79927556.036200032</v>
      </c>
      <c r="L109" s="180">
        <f t="shared" si="129"/>
        <v>79567563.647500008</v>
      </c>
      <c r="M109" s="180">
        <f t="shared" si="129"/>
        <v>77720774.207900017</v>
      </c>
      <c r="N109" s="180">
        <f t="shared" si="129"/>
        <v>79122973.980900005</v>
      </c>
      <c r="O109" s="180">
        <f t="shared" si="129"/>
        <v>74224025.884800017</v>
      </c>
      <c r="P109" s="180">
        <f t="shared" si="129"/>
        <v>75265308.604400024</v>
      </c>
      <c r="Q109" s="180">
        <f t="shared" si="85"/>
        <v>465828202.36170012</v>
      </c>
      <c r="R109" s="180">
        <f t="shared" si="101"/>
        <v>202864233.96379995</v>
      </c>
      <c r="S109" s="180">
        <f t="shared" si="102"/>
        <v>203340288.35249999</v>
      </c>
      <c r="T109" s="180">
        <f t="shared" si="103"/>
        <v>199937331.79209998</v>
      </c>
      <c r="U109" s="180">
        <f t="shared" si="104"/>
        <v>202806933.01910001</v>
      </c>
      <c r="V109" s="180">
        <f t="shared" si="105"/>
        <v>195745349.11519998</v>
      </c>
      <c r="W109" s="180">
        <f t="shared" si="106"/>
        <v>195888709.39559996</v>
      </c>
      <c r="X109" s="180">
        <f t="shared" si="86"/>
        <v>1200582845.6382999</v>
      </c>
      <c r="Y109" s="180"/>
      <c r="Z109" s="180"/>
      <c r="AA109" s="180"/>
      <c r="AB109" s="180"/>
      <c r="AC109" s="180"/>
      <c r="AD109" s="180"/>
      <c r="AE109" s="180"/>
      <c r="AF109" s="1389"/>
      <c r="AG109" s="969"/>
      <c r="AH109" s="969"/>
      <c r="AI109" s="969"/>
    </row>
    <row r="110" spans="2:42">
      <c r="B110" s="37"/>
      <c r="D110" s="1246">
        <f>D109-K109-R109</f>
        <v>0</v>
      </c>
      <c r="E110" s="1246">
        <f t="shared" ref="E110:J110" si="130">E109-L109-S109</f>
        <v>0</v>
      </c>
      <c r="F110" s="1246">
        <f t="shared" si="130"/>
        <v>0</v>
      </c>
      <c r="G110" s="1246">
        <f t="shared" si="130"/>
        <v>0</v>
      </c>
      <c r="H110" s="1246">
        <f t="shared" si="130"/>
        <v>0</v>
      </c>
      <c r="I110" s="1246">
        <f t="shared" si="130"/>
        <v>0</v>
      </c>
      <c r="J110" s="1246">
        <f t="shared" si="130"/>
        <v>0</v>
      </c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</row>
    <row r="111" spans="2:42">
      <c r="B111" s="37"/>
      <c r="D111" s="588"/>
      <c r="E111" s="588"/>
      <c r="F111" s="588"/>
      <c r="G111" s="588"/>
      <c r="H111" s="588"/>
      <c r="I111" s="588"/>
      <c r="J111" s="588"/>
    </row>
    <row r="112" spans="2:42" s="532" customFormat="1" ht="15.75">
      <c r="B112" s="37"/>
      <c r="C112" s="960"/>
      <c r="D112" s="961"/>
      <c r="E112" s="962"/>
      <c r="F112" s="962"/>
      <c r="G112" s="962"/>
      <c r="H112" s="962"/>
      <c r="I112" s="962"/>
      <c r="J112" s="967"/>
      <c r="K112" s="961"/>
      <c r="L112" s="962"/>
      <c r="M112" s="962"/>
      <c r="N112" s="962"/>
      <c r="O112" s="962"/>
      <c r="P112" s="962"/>
      <c r="Q112" s="967"/>
      <c r="R112" s="961"/>
      <c r="S112" s="962"/>
      <c r="T112" s="962"/>
      <c r="U112" s="962"/>
      <c r="V112" s="962"/>
      <c r="W112" s="962"/>
      <c r="X112" s="967"/>
      <c r="Y112" s="961"/>
      <c r="Z112" s="962"/>
      <c r="AA112" s="962"/>
      <c r="AB112" s="962"/>
      <c r="AC112" s="962"/>
      <c r="AD112" s="962"/>
      <c r="AE112" s="967"/>
      <c r="AF112" s="1032"/>
      <c r="AG112" s="972"/>
      <c r="AH112" s="972"/>
      <c r="AI112" s="972"/>
    </row>
    <row r="113" spans="1:35" ht="24">
      <c r="B113" s="37"/>
      <c r="C113" s="963" t="s">
        <v>1258</v>
      </c>
      <c r="D113" s="966">
        <f t="shared" ref="D113:X113" si="131">D4</f>
        <v>45839</v>
      </c>
      <c r="E113" s="966">
        <f t="shared" si="131"/>
        <v>45870</v>
      </c>
      <c r="F113" s="966">
        <f t="shared" si="131"/>
        <v>45901</v>
      </c>
      <c r="G113" s="966">
        <f t="shared" si="131"/>
        <v>45931</v>
      </c>
      <c r="H113" s="966">
        <f t="shared" si="131"/>
        <v>45962</v>
      </c>
      <c r="I113" s="966">
        <f t="shared" si="131"/>
        <v>45992</v>
      </c>
      <c r="J113" s="966" t="str">
        <f t="shared" si="131"/>
        <v>TOTAL</v>
      </c>
      <c r="K113" s="966">
        <f t="shared" si="131"/>
        <v>45839</v>
      </c>
      <c r="L113" s="966">
        <f t="shared" si="131"/>
        <v>45870</v>
      </c>
      <c r="M113" s="966">
        <f t="shared" si="131"/>
        <v>45901</v>
      </c>
      <c r="N113" s="966">
        <f t="shared" si="131"/>
        <v>45931</v>
      </c>
      <c r="O113" s="966">
        <f t="shared" si="131"/>
        <v>45962</v>
      </c>
      <c r="P113" s="966">
        <f t="shared" si="131"/>
        <v>45992</v>
      </c>
      <c r="Q113" s="966" t="str">
        <f t="shared" si="131"/>
        <v>TOTAL</v>
      </c>
      <c r="R113" s="966">
        <f t="shared" si="131"/>
        <v>45839</v>
      </c>
      <c r="S113" s="966">
        <f t="shared" si="131"/>
        <v>45870</v>
      </c>
      <c r="T113" s="966">
        <f t="shared" si="131"/>
        <v>45901</v>
      </c>
      <c r="U113" s="966">
        <f t="shared" si="131"/>
        <v>45931</v>
      </c>
      <c r="V113" s="966">
        <f t="shared" si="131"/>
        <v>45962</v>
      </c>
      <c r="W113" s="966">
        <f t="shared" si="131"/>
        <v>45992</v>
      </c>
      <c r="X113" s="966" t="str">
        <f t="shared" si="131"/>
        <v>TOTAL</v>
      </c>
      <c r="Y113" s="966"/>
      <c r="Z113" s="966"/>
      <c r="AA113" s="966"/>
      <c r="AB113" s="966"/>
      <c r="AC113" s="966"/>
      <c r="AD113" s="966"/>
      <c r="AE113" s="966"/>
      <c r="AF113" s="1390"/>
      <c r="AG113" s="972"/>
      <c r="AH113" s="972"/>
      <c r="AI113" s="972"/>
    </row>
    <row r="114" spans="1:35" ht="15.75">
      <c r="A114" s="57"/>
      <c r="B114" s="37"/>
      <c r="C114" s="965" t="s">
        <v>446</v>
      </c>
      <c r="D114" s="881">
        <f t="shared" ref="D114:I114" si="132">D115+D117+D120</f>
        <v>27271725.471500002</v>
      </c>
      <c r="E114" s="881">
        <f t="shared" si="132"/>
        <v>24942921.033000004</v>
      </c>
      <c r="F114" s="881">
        <f t="shared" si="132"/>
        <v>25609266.369299997</v>
      </c>
      <c r="G114" s="881">
        <f t="shared" si="132"/>
        <v>28404821.4912</v>
      </c>
      <c r="H114" s="881">
        <f t="shared" si="132"/>
        <v>22035358.626900002</v>
      </c>
      <c r="I114" s="881">
        <f t="shared" si="132"/>
        <v>17333141.187970005</v>
      </c>
      <c r="J114" s="180">
        <f>SUM(D114:I114)</f>
        <v>145597234.17987001</v>
      </c>
      <c r="K114" s="881">
        <f t="shared" ref="K114:P114" si="133">K115+K117+K120</f>
        <v>8537422.8706464004</v>
      </c>
      <c r="L114" s="881">
        <f t="shared" si="133"/>
        <v>8042369.9367976002</v>
      </c>
      <c r="M114" s="881">
        <f t="shared" si="133"/>
        <v>7922348.7812471995</v>
      </c>
      <c r="N114" s="881">
        <f t="shared" si="133"/>
        <v>9140433.4877849594</v>
      </c>
      <c r="O114" s="881">
        <f t="shared" si="133"/>
        <v>6820413.1255860794</v>
      </c>
      <c r="P114" s="881">
        <f t="shared" si="133"/>
        <v>8396850.1724939849</v>
      </c>
      <c r="Q114" s="180">
        <f>SUM(K114:P114)</f>
        <v>48859838.374556221</v>
      </c>
      <c r="R114" s="881">
        <f t="shared" ref="R114:W114" si="134">R115+R117+R120</f>
        <v>18734302.6008536</v>
      </c>
      <c r="S114" s="881">
        <f t="shared" si="134"/>
        <v>16900551.096202403</v>
      </c>
      <c r="T114" s="881">
        <f t="shared" si="134"/>
        <v>17686917.588052798</v>
      </c>
      <c r="U114" s="881">
        <f t="shared" si="134"/>
        <v>19264388.003415041</v>
      </c>
      <c r="V114" s="881">
        <f t="shared" si="134"/>
        <v>15214945.501313921</v>
      </c>
      <c r="W114" s="881">
        <f t="shared" si="134"/>
        <v>8936291.0154760219</v>
      </c>
      <c r="X114" s="180">
        <f>SUM(R114:W114)</f>
        <v>96737395.805313796</v>
      </c>
      <c r="Y114" s="881"/>
      <c r="Z114" s="881"/>
      <c r="AA114" s="881"/>
      <c r="AB114" s="881"/>
      <c r="AC114" s="881"/>
      <c r="AD114" s="881"/>
      <c r="AE114" s="180"/>
      <c r="AF114" s="1389"/>
      <c r="AG114" s="972"/>
      <c r="AH114" s="972"/>
      <c r="AI114" s="972"/>
    </row>
    <row r="115" spans="1:35">
      <c r="A115" s="57"/>
      <c r="B115" s="48" t="s">
        <v>870</v>
      </c>
      <c r="C115" s="882" t="s">
        <v>279</v>
      </c>
      <c r="D115" s="881">
        <f t="shared" ref="D115:I115" si="135">D116</f>
        <v>9732186.0445000008</v>
      </c>
      <c r="E115" s="881">
        <f t="shared" si="135"/>
        <v>8809349.8929999992</v>
      </c>
      <c r="F115" s="881">
        <f t="shared" si="135"/>
        <v>8904240.7452999987</v>
      </c>
      <c r="G115" s="881">
        <f t="shared" si="135"/>
        <v>10209908.455899999</v>
      </c>
      <c r="H115" s="881">
        <f t="shared" si="135"/>
        <v>7093283.8164999997</v>
      </c>
      <c r="I115" s="881">
        <f t="shared" si="135"/>
        <v>9146574.2800999992</v>
      </c>
      <c r="J115" s="180">
        <f t="shared" ref="J115:J146" si="136">SUM(D115:I115)</f>
        <v>53895543.23529999</v>
      </c>
      <c r="K115" s="881">
        <f t="shared" ref="K115:P115" si="137">K116</f>
        <v>7407467.6563999997</v>
      </c>
      <c r="L115" s="881">
        <f t="shared" si="137"/>
        <v>6934116.3240999999</v>
      </c>
      <c r="M115" s="881">
        <f t="shared" si="137"/>
        <v>6776539.5002999995</v>
      </c>
      <c r="N115" s="881">
        <f t="shared" si="137"/>
        <v>7762812.4871999994</v>
      </c>
      <c r="O115" s="881">
        <f t="shared" si="137"/>
        <v>5493955.8784999996</v>
      </c>
      <c r="P115" s="881">
        <f t="shared" si="137"/>
        <v>7002288.6205000002</v>
      </c>
      <c r="Q115" s="180">
        <f t="shared" ref="Q115:Q127" si="138">SUM(K115:P115)</f>
        <v>41377180.466999993</v>
      </c>
      <c r="R115" s="881">
        <f t="shared" ref="R115:W115" si="139">R116</f>
        <v>2324718.388100001</v>
      </c>
      <c r="S115" s="881">
        <f t="shared" si="139"/>
        <v>1875233.5688999994</v>
      </c>
      <c r="T115" s="881">
        <f t="shared" si="139"/>
        <v>2127701.2449999992</v>
      </c>
      <c r="U115" s="881">
        <f t="shared" si="139"/>
        <v>2447095.9686999992</v>
      </c>
      <c r="V115" s="881">
        <f t="shared" si="139"/>
        <v>1599327.9380000001</v>
      </c>
      <c r="W115" s="881">
        <f t="shared" si="139"/>
        <v>2144285.659599999</v>
      </c>
      <c r="X115" s="180">
        <f t="shared" ref="X115:X127" si="140">SUM(R115:W115)</f>
        <v>12518362.768299999</v>
      </c>
      <c r="Y115" s="881"/>
      <c r="Z115" s="881"/>
      <c r="AA115" s="881"/>
      <c r="AB115" s="881"/>
      <c r="AC115" s="881"/>
      <c r="AD115" s="881"/>
      <c r="AE115" s="180"/>
      <c r="AF115" s="1389"/>
      <c r="AG115" s="972"/>
      <c r="AH115" s="972"/>
      <c r="AI115" s="972"/>
    </row>
    <row r="116" spans="1:35">
      <c r="A116" s="57"/>
      <c r="B116" s="48"/>
      <c r="C116" s="887" t="s">
        <v>971</v>
      </c>
      <c r="D116" s="883">
        <f t="shared" ref="D116:H116" si="141">SUM(D190:D191)</f>
        <v>9732186.0445000008</v>
      </c>
      <c r="E116" s="883">
        <f t="shared" si="141"/>
        <v>8809349.8929999992</v>
      </c>
      <c r="F116" s="883">
        <f t="shared" si="141"/>
        <v>8904240.7452999987</v>
      </c>
      <c r="G116" s="883">
        <f t="shared" si="141"/>
        <v>10209908.455899999</v>
      </c>
      <c r="H116" s="883">
        <f t="shared" si="141"/>
        <v>7093283.8164999997</v>
      </c>
      <c r="I116" s="883">
        <f t="shared" ref="I116" si="142">SUM(I190:I191)</f>
        <v>9146574.2800999992</v>
      </c>
      <c r="J116" s="180">
        <f t="shared" si="136"/>
        <v>53895543.23529999</v>
      </c>
      <c r="K116" s="883">
        <f t="shared" ref="K116:P116" si="143">D191</f>
        <v>7407467.6563999997</v>
      </c>
      <c r="L116" s="883">
        <f t="shared" si="143"/>
        <v>6934116.3240999999</v>
      </c>
      <c r="M116" s="883">
        <f t="shared" si="143"/>
        <v>6776539.5002999995</v>
      </c>
      <c r="N116" s="883">
        <f t="shared" si="143"/>
        <v>7762812.4871999994</v>
      </c>
      <c r="O116" s="883">
        <f t="shared" si="143"/>
        <v>5493955.8784999996</v>
      </c>
      <c r="P116" s="883">
        <f t="shared" si="143"/>
        <v>7002288.6205000002</v>
      </c>
      <c r="Q116" s="180">
        <f t="shared" si="138"/>
        <v>41377180.466999993</v>
      </c>
      <c r="R116" s="883">
        <f t="shared" ref="R116:W116" si="144">D116-K116</f>
        <v>2324718.388100001</v>
      </c>
      <c r="S116" s="883">
        <f t="shared" si="144"/>
        <v>1875233.5688999994</v>
      </c>
      <c r="T116" s="883">
        <f t="shared" si="144"/>
        <v>2127701.2449999992</v>
      </c>
      <c r="U116" s="883">
        <f t="shared" si="144"/>
        <v>2447095.9686999992</v>
      </c>
      <c r="V116" s="883">
        <f t="shared" si="144"/>
        <v>1599327.9380000001</v>
      </c>
      <c r="W116" s="883">
        <f t="shared" si="144"/>
        <v>2144285.659599999</v>
      </c>
      <c r="X116" s="180">
        <f t="shared" si="140"/>
        <v>12518362.768299999</v>
      </c>
      <c r="Y116" s="883"/>
      <c r="Z116" s="883"/>
      <c r="AA116" s="883"/>
      <c r="AB116" s="883"/>
      <c r="AC116" s="883"/>
      <c r="AD116" s="883"/>
      <c r="AE116" s="180"/>
      <c r="AF116" s="1389"/>
      <c r="AG116" s="972">
        <f>$AG$7</f>
        <v>0.2432</v>
      </c>
      <c r="AH116" s="972">
        <f t="shared" ref="AH116:AI119" si="145">$AG$7</f>
        <v>0.2432</v>
      </c>
      <c r="AI116" s="972">
        <f t="shared" si="145"/>
        <v>0.2432</v>
      </c>
    </row>
    <row r="117" spans="1:35">
      <c r="A117" s="57"/>
      <c r="B117" s="48" t="s">
        <v>871</v>
      </c>
      <c r="C117" s="882" t="s">
        <v>278</v>
      </c>
      <c r="D117" s="881">
        <f t="shared" ref="D117:I117" si="146">SUM(D118:D119)</f>
        <v>4646197.4270000001</v>
      </c>
      <c r="E117" s="881">
        <f t="shared" si="146"/>
        <v>4556963.8679999998</v>
      </c>
      <c r="F117" s="881">
        <f t="shared" si="146"/>
        <v>4711386.845999999</v>
      </c>
      <c r="G117" s="881">
        <f t="shared" si="146"/>
        <v>5664560.0352999996</v>
      </c>
      <c r="H117" s="881">
        <f t="shared" si="146"/>
        <v>5454182.7593999989</v>
      </c>
      <c r="I117" s="881">
        <f t="shared" si="146"/>
        <v>5734216.9078700012</v>
      </c>
      <c r="J117" s="180">
        <f t="shared" si="136"/>
        <v>30767507.843569998</v>
      </c>
      <c r="K117" s="881">
        <f t="shared" ref="K117:P117" si="147">SUM(K118:K119)</f>
        <v>1129955.2142463999</v>
      </c>
      <c r="L117" s="881">
        <f t="shared" si="147"/>
        <v>1108253.6126975999</v>
      </c>
      <c r="M117" s="881">
        <f t="shared" si="147"/>
        <v>1145809.2809471998</v>
      </c>
      <c r="N117" s="881">
        <f t="shared" si="147"/>
        <v>1377621.00058496</v>
      </c>
      <c r="O117" s="881">
        <f t="shared" si="147"/>
        <v>1326457.2470860798</v>
      </c>
      <c r="P117" s="881">
        <f t="shared" si="147"/>
        <v>1394561.5519939843</v>
      </c>
      <c r="Q117" s="180">
        <f t="shared" si="138"/>
        <v>7482657.9075562246</v>
      </c>
      <c r="R117" s="881">
        <f t="shared" ref="R117:W117" si="148">SUM(R118:R119)</f>
        <v>3516242.2127536004</v>
      </c>
      <c r="S117" s="881">
        <f t="shared" si="148"/>
        <v>3448710.2553023999</v>
      </c>
      <c r="T117" s="881">
        <f t="shared" si="148"/>
        <v>3565577.5650527989</v>
      </c>
      <c r="U117" s="881">
        <f t="shared" si="148"/>
        <v>4286939.0347150397</v>
      </c>
      <c r="V117" s="881">
        <f t="shared" si="148"/>
        <v>4127725.5123139191</v>
      </c>
      <c r="W117" s="881">
        <f t="shared" si="148"/>
        <v>4339655.3558760174</v>
      </c>
      <c r="X117" s="180">
        <f t="shared" si="140"/>
        <v>23284849.936013777</v>
      </c>
      <c r="Y117" s="881"/>
      <c r="Z117" s="881"/>
      <c r="AA117" s="881"/>
      <c r="AB117" s="881"/>
      <c r="AC117" s="881"/>
      <c r="AD117" s="881"/>
      <c r="AE117" s="180"/>
      <c r="AF117" s="1389"/>
      <c r="AG117" s="972">
        <f>$AG$7</f>
        <v>0.2432</v>
      </c>
      <c r="AH117" s="972">
        <f t="shared" si="145"/>
        <v>0.2432</v>
      </c>
      <c r="AI117" s="972">
        <f t="shared" si="145"/>
        <v>0.2432</v>
      </c>
    </row>
    <row r="118" spans="1:35">
      <c r="A118" s="57"/>
      <c r="B118" s="48"/>
      <c r="C118" s="887" t="s">
        <v>969</v>
      </c>
      <c r="D118" s="883">
        <f t="shared" ref="D118:H118" si="149">D192</f>
        <v>0</v>
      </c>
      <c r="E118" s="883">
        <f t="shared" si="149"/>
        <v>0</v>
      </c>
      <c r="F118" s="883">
        <f t="shared" si="149"/>
        <v>0</v>
      </c>
      <c r="G118" s="883">
        <f t="shared" si="149"/>
        <v>0</v>
      </c>
      <c r="H118" s="883">
        <f t="shared" si="149"/>
        <v>0</v>
      </c>
      <c r="I118" s="883">
        <f>I192</f>
        <v>0</v>
      </c>
      <c r="J118" s="180">
        <f t="shared" si="136"/>
        <v>0</v>
      </c>
      <c r="K118" s="883">
        <f t="shared" ref="K118:P118" si="150">D118*$AG118</f>
        <v>0</v>
      </c>
      <c r="L118" s="883">
        <f t="shared" si="150"/>
        <v>0</v>
      </c>
      <c r="M118" s="883">
        <f t="shared" si="150"/>
        <v>0</v>
      </c>
      <c r="N118" s="883">
        <f t="shared" si="150"/>
        <v>0</v>
      </c>
      <c r="O118" s="883">
        <f t="shared" si="150"/>
        <v>0</v>
      </c>
      <c r="P118" s="883">
        <f t="shared" si="150"/>
        <v>0</v>
      </c>
      <c r="Q118" s="180">
        <f t="shared" si="138"/>
        <v>0</v>
      </c>
      <c r="R118" s="883">
        <f t="shared" ref="R118:W120" si="151">D118-K118</f>
        <v>0</v>
      </c>
      <c r="S118" s="883">
        <f t="shared" si="151"/>
        <v>0</v>
      </c>
      <c r="T118" s="883">
        <f t="shared" si="151"/>
        <v>0</v>
      </c>
      <c r="U118" s="883">
        <f t="shared" si="151"/>
        <v>0</v>
      </c>
      <c r="V118" s="883">
        <f t="shared" si="151"/>
        <v>0</v>
      </c>
      <c r="W118" s="883">
        <f t="shared" si="151"/>
        <v>0</v>
      </c>
      <c r="X118" s="180">
        <f t="shared" si="140"/>
        <v>0</v>
      </c>
      <c r="Y118" s="883"/>
      <c r="Z118" s="883"/>
      <c r="AA118" s="883"/>
      <c r="AB118" s="883"/>
      <c r="AC118" s="883"/>
      <c r="AD118" s="883"/>
      <c r="AE118" s="180"/>
      <c r="AF118" s="1389"/>
      <c r="AG118" s="972">
        <f>$AG$7</f>
        <v>0.2432</v>
      </c>
      <c r="AH118" s="972">
        <f t="shared" si="145"/>
        <v>0.2432</v>
      </c>
      <c r="AI118" s="972">
        <f t="shared" si="145"/>
        <v>0.2432</v>
      </c>
    </row>
    <row r="119" spans="1:35">
      <c r="A119" s="57"/>
      <c r="B119" s="48"/>
      <c r="C119" s="887" t="s">
        <v>970</v>
      </c>
      <c r="D119" s="883">
        <f>D193</f>
        <v>4646197.4270000001</v>
      </c>
      <c r="E119" s="883">
        <f t="shared" ref="E119:I119" si="152">E193</f>
        <v>4556963.8679999998</v>
      </c>
      <c r="F119" s="883">
        <f t="shared" si="152"/>
        <v>4711386.845999999</v>
      </c>
      <c r="G119" s="883">
        <f t="shared" si="152"/>
        <v>5664560.0352999996</v>
      </c>
      <c r="H119" s="883">
        <f t="shared" si="152"/>
        <v>5454182.7593999989</v>
      </c>
      <c r="I119" s="883">
        <f t="shared" si="152"/>
        <v>5734216.9078700012</v>
      </c>
      <c r="J119" s="180">
        <f>SUM(D119:I119)</f>
        <v>30767507.843569998</v>
      </c>
      <c r="K119" s="883">
        <f t="shared" ref="K119:P119" si="153">D119*$AG119</f>
        <v>1129955.2142463999</v>
      </c>
      <c r="L119" s="883">
        <f t="shared" si="153"/>
        <v>1108253.6126975999</v>
      </c>
      <c r="M119" s="883">
        <f t="shared" si="153"/>
        <v>1145809.2809471998</v>
      </c>
      <c r="N119" s="883">
        <f t="shared" si="153"/>
        <v>1377621.00058496</v>
      </c>
      <c r="O119" s="883">
        <f t="shared" si="153"/>
        <v>1326457.2470860798</v>
      </c>
      <c r="P119" s="883">
        <f t="shared" si="153"/>
        <v>1394561.5519939843</v>
      </c>
      <c r="Q119" s="180">
        <f>SUM(K119:P119)</f>
        <v>7482657.9075562246</v>
      </c>
      <c r="R119" s="883">
        <f t="shared" ref="R119:W119" si="154">D119-K119</f>
        <v>3516242.2127536004</v>
      </c>
      <c r="S119" s="883">
        <f t="shared" si="154"/>
        <v>3448710.2553023999</v>
      </c>
      <c r="T119" s="883">
        <f t="shared" si="154"/>
        <v>3565577.5650527989</v>
      </c>
      <c r="U119" s="883">
        <f t="shared" si="154"/>
        <v>4286939.0347150397</v>
      </c>
      <c r="V119" s="883">
        <f t="shared" si="154"/>
        <v>4127725.5123139191</v>
      </c>
      <c r="W119" s="883">
        <f t="shared" si="154"/>
        <v>4339655.3558760174</v>
      </c>
      <c r="X119" s="180">
        <f>SUM(R119:W119)</f>
        <v>23284849.936013777</v>
      </c>
      <c r="Y119" s="883"/>
      <c r="Z119" s="883"/>
      <c r="AA119" s="883"/>
      <c r="AB119" s="883"/>
      <c r="AC119" s="883"/>
      <c r="AD119" s="883"/>
      <c r="AE119" s="180"/>
      <c r="AF119" s="1389"/>
      <c r="AG119" s="972">
        <f>$AG$7</f>
        <v>0.2432</v>
      </c>
      <c r="AH119" s="972">
        <f t="shared" si="145"/>
        <v>0.2432</v>
      </c>
      <c r="AI119" s="972">
        <f t="shared" si="145"/>
        <v>0.2432</v>
      </c>
    </row>
    <row r="120" spans="1:35">
      <c r="A120" s="57"/>
      <c r="B120" s="48" t="s">
        <v>893</v>
      </c>
      <c r="C120" s="882" t="s">
        <v>1482</v>
      </c>
      <c r="D120" s="881">
        <f t="shared" ref="D120:H120" si="155">D211</f>
        <v>12893341.999999998</v>
      </c>
      <c r="E120" s="881">
        <f t="shared" si="155"/>
        <v>11576607.272000004</v>
      </c>
      <c r="F120" s="881">
        <f t="shared" si="155"/>
        <v>11993638.777999999</v>
      </c>
      <c r="G120" s="881">
        <f t="shared" si="155"/>
        <v>12530353.000000002</v>
      </c>
      <c r="H120" s="881">
        <f t="shared" si="155"/>
        <v>9487892.0510000009</v>
      </c>
      <c r="I120" s="881">
        <f t="shared" ref="I120" si="156">I211</f>
        <v>2452350.0000000047</v>
      </c>
      <c r="J120" s="180">
        <f t="shared" si="136"/>
        <v>60934183.101000004</v>
      </c>
      <c r="K120" s="881">
        <f t="shared" ref="K120:P120" si="157">K211</f>
        <v>0</v>
      </c>
      <c r="L120" s="881">
        <f t="shared" si="157"/>
        <v>0</v>
      </c>
      <c r="M120" s="881">
        <f t="shared" si="157"/>
        <v>0</v>
      </c>
      <c r="N120" s="881">
        <f t="shared" si="157"/>
        <v>0</v>
      </c>
      <c r="O120" s="881">
        <f t="shared" si="157"/>
        <v>0</v>
      </c>
      <c r="P120" s="881">
        <f t="shared" si="157"/>
        <v>0</v>
      </c>
      <c r="Q120" s="180">
        <f t="shared" si="138"/>
        <v>0</v>
      </c>
      <c r="R120" s="881">
        <f>D120-K120</f>
        <v>12893341.999999998</v>
      </c>
      <c r="S120" s="881">
        <f t="shared" si="151"/>
        <v>11576607.272000004</v>
      </c>
      <c r="T120" s="881">
        <f t="shared" si="151"/>
        <v>11993638.777999999</v>
      </c>
      <c r="U120" s="881">
        <f t="shared" si="151"/>
        <v>12530353.000000002</v>
      </c>
      <c r="V120" s="881">
        <f t="shared" si="151"/>
        <v>9487892.0510000009</v>
      </c>
      <c r="W120" s="881">
        <f t="shared" si="151"/>
        <v>2452350.0000000047</v>
      </c>
      <c r="X120" s="180">
        <f t="shared" si="140"/>
        <v>60934183.101000004</v>
      </c>
      <c r="Y120" s="881"/>
      <c r="Z120" s="881"/>
      <c r="AA120" s="881"/>
      <c r="AB120" s="881"/>
      <c r="AC120" s="881"/>
      <c r="AD120" s="881"/>
      <c r="AE120" s="180"/>
      <c r="AF120" s="1389"/>
      <c r="AG120" s="972"/>
      <c r="AH120" s="972"/>
      <c r="AI120" s="972"/>
    </row>
    <row r="121" spans="1:35">
      <c r="A121" s="57"/>
      <c r="B121" s="48"/>
      <c r="C121" s="887"/>
      <c r="D121" s="881"/>
      <c r="E121" s="881"/>
      <c r="F121" s="881"/>
      <c r="G121" s="881"/>
      <c r="H121" s="881"/>
      <c r="I121" s="881"/>
      <c r="J121" s="180">
        <f t="shared" si="136"/>
        <v>0</v>
      </c>
      <c r="K121" s="881"/>
      <c r="L121" s="881"/>
      <c r="M121" s="881"/>
      <c r="N121" s="881"/>
      <c r="O121" s="881"/>
      <c r="P121" s="881"/>
      <c r="Q121" s="180">
        <f t="shared" si="138"/>
        <v>0</v>
      </c>
      <c r="R121" s="881"/>
      <c r="S121" s="881"/>
      <c r="T121" s="881"/>
      <c r="U121" s="881"/>
      <c r="V121" s="881"/>
      <c r="W121" s="881"/>
      <c r="X121" s="180">
        <f t="shared" si="140"/>
        <v>0</v>
      </c>
      <c r="Y121" s="881"/>
      <c r="Z121" s="881"/>
      <c r="AA121" s="881"/>
      <c r="AB121" s="881"/>
      <c r="AC121" s="881"/>
      <c r="AD121" s="881"/>
      <c r="AE121" s="180"/>
      <c r="AF121" s="1389"/>
      <c r="AG121" s="972"/>
      <c r="AH121" s="972"/>
      <c r="AI121" s="972"/>
    </row>
    <row r="122" spans="1:35" ht="15.75">
      <c r="A122" s="57"/>
      <c r="B122" s="48"/>
      <c r="C122" s="965" t="s">
        <v>630</v>
      </c>
      <c r="D122" s="881">
        <f t="shared" ref="D122:I122" si="158">D123+D128</f>
        <v>52892929.403115004</v>
      </c>
      <c r="E122" s="881">
        <f t="shared" si="158"/>
        <v>52556921.366294995</v>
      </c>
      <c r="F122" s="881">
        <f t="shared" si="158"/>
        <v>51076738.302040003</v>
      </c>
      <c r="G122" s="881">
        <f t="shared" si="158"/>
        <v>53452873.860100009</v>
      </c>
      <c r="H122" s="881">
        <f t="shared" si="158"/>
        <v>49452378.323399991</v>
      </c>
      <c r="I122" s="881">
        <f t="shared" si="158"/>
        <v>52245788.177693501</v>
      </c>
      <c r="J122" s="180">
        <f t="shared" si="136"/>
        <v>311677629.43264347</v>
      </c>
      <c r="K122" s="881">
        <f t="shared" ref="K122:P122" si="159">K123+K128</f>
        <v>17107001.794401951</v>
      </c>
      <c r="L122" s="881">
        <f t="shared" si="159"/>
        <v>16730610.89160344</v>
      </c>
      <c r="M122" s="881">
        <f t="shared" si="159"/>
        <v>16481815.120455187</v>
      </c>
      <c r="N122" s="881">
        <f t="shared" si="159"/>
        <v>17262941.822238244</v>
      </c>
      <c r="O122" s="881">
        <f t="shared" si="159"/>
        <v>15621352.39299796</v>
      </c>
      <c r="P122" s="881">
        <f t="shared" si="159"/>
        <v>16636218.400616961</v>
      </c>
      <c r="Q122" s="180">
        <f t="shared" si="138"/>
        <v>99839940.42231375</v>
      </c>
      <c r="R122" s="881">
        <f t="shared" ref="R122:W122" si="160">R123+R128</f>
        <v>35785927.608713053</v>
      </c>
      <c r="S122" s="881">
        <f t="shared" si="160"/>
        <v>35826310.474691562</v>
      </c>
      <c r="T122" s="881">
        <f t="shared" si="160"/>
        <v>34594923.181584813</v>
      </c>
      <c r="U122" s="881">
        <f t="shared" si="160"/>
        <v>36189932.037861764</v>
      </c>
      <c r="V122" s="881">
        <f t="shared" si="160"/>
        <v>33831025.930402033</v>
      </c>
      <c r="W122" s="881">
        <f t="shared" si="160"/>
        <v>35609569.777076542</v>
      </c>
      <c r="X122" s="180">
        <f t="shared" si="140"/>
        <v>211837689.01032978</v>
      </c>
      <c r="Y122" s="881"/>
      <c r="Z122" s="881"/>
      <c r="AA122" s="881"/>
      <c r="AB122" s="881"/>
      <c r="AC122" s="881"/>
      <c r="AD122" s="881"/>
      <c r="AE122" s="180"/>
      <c r="AF122" s="1389"/>
      <c r="AG122" s="972"/>
      <c r="AH122" s="972"/>
      <c r="AI122" s="972"/>
    </row>
    <row r="123" spans="1:35">
      <c r="A123" s="57"/>
      <c r="B123" s="48" t="s">
        <v>872</v>
      </c>
      <c r="C123" s="882" t="s">
        <v>277</v>
      </c>
      <c r="D123" s="881">
        <f t="shared" ref="D123:I123" si="161">SUM(D124:D127)</f>
        <v>10187998.689699996</v>
      </c>
      <c r="E123" s="881">
        <f t="shared" si="161"/>
        <v>10283691.219000001</v>
      </c>
      <c r="F123" s="881">
        <f t="shared" si="161"/>
        <v>10003634.213500001</v>
      </c>
      <c r="G123" s="881">
        <f t="shared" si="161"/>
        <v>10722025.506499998</v>
      </c>
      <c r="H123" s="881">
        <f t="shared" si="161"/>
        <v>10053473.359000001</v>
      </c>
      <c r="I123" s="881">
        <f t="shared" si="161"/>
        <v>9999309.5506700017</v>
      </c>
      <c r="J123" s="180">
        <f t="shared" si="136"/>
        <v>61250132.538369998</v>
      </c>
      <c r="K123" s="881">
        <f t="shared" ref="K123:P123" si="162">SUM(K124:K127)</f>
        <v>3189464.8749000002</v>
      </c>
      <c r="L123" s="881">
        <f t="shared" si="162"/>
        <v>2953765.1865999997</v>
      </c>
      <c r="M123" s="881">
        <f t="shared" si="162"/>
        <v>3096090.4979999997</v>
      </c>
      <c r="N123" s="881">
        <f t="shared" si="162"/>
        <v>3336958.3438000004</v>
      </c>
      <c r="O123" s="881">
        <f t="shared" si="162"/>
        <v>2781249.2651</v>
      </c>
      <c r="P123" s="881">
        <f t="shared" si="162"/>
        <v>2868091.0160700022</v>
      </c>
      <c r="Q123" s="180">
        <f t="shared" si="138"/>
        <v>18225619.184470002</v>
      </c>
      <c r="R123" s="881">
        <f t="shared" ref="R123:W123" si="163">SUM(R124:R127)</f>
        <v>6998533.8147999961</v>
      </c>
      <c r="S123" s="881">
        <f t="shared" si="163"/>
        <v>7329926.0324000008</v>
      </c>
      <c r="T123" s="881">
        <f t="shared" si="163"/>
        <v>6907543.7154999999</v>
      </c>
      <c r="U123" s="881">
        <f t="shared" si="163"/>
        <v>7385067.1626999993</v>
      </c>
      <c r="V123" s="881">
        <f t="shared" si="163"/>
        <v>7272224.0939000007</v>
      </c>
      <c r="W123" s="881">
        <f t="shared" si="163"/>
        <v>7131218.5346000008</v>
      </c>
      <c r="X123" s="180">
        <f t="shared" si="140"/>
        <v>43024513.3539</v>
      </c>
      <c r="Y123" s="881"/>
      <c r="Z123" s="881"/>
      <c r="AA123" s="881"/>
      <c r="AB123" s="881"/>
      <c r="AC123" s="881"/>
      <c r="AD123" s="881"/>
      <c r="AE123" s="180"/>
      <c r="AF123" s="1389"/>
      <c r="AG123" s="972"/>
      <c r="AH123" s="972"/>
      <c r="AI123" s="972"/>
    </row>
    <row r="124" spans="1:35">
      <c r="A124" s="57"/>
      <c r="B124" s="48"/>
      <c r="C124" s="887" t="s">
        <v>972</v>
      </c>
      <c r="D124" s="883">
        <f t="shared" ref="D124:H124" si="164">D194+(D$198*D194/SUM(D$194:D$197))</f>
        <v>6792206.6671814956</v>
      </c>
      <c r="E124" s="883">
        <f t="shared" si="164"/>
        <v>6773487.950011231</v>
      </c>
      <c r="F124" s="883">
        <f t="shared" si="164"/>
        <v>6454669.740282895</v>
      </c>
      <c r="G124" s="883">
        <f t="shared" si="164"/>
        <v>6690938.6655706717</v>
      </c>
      <c r="H124" s="883">
        <f t="shared" si="164"/>
        <v>6180324.4541784655</v>
      </c>
      <c r="I124" s="883">
        <f t="shared" ref="I124" si="165">I194+(I$198*I194/SUM(I$194:I$197))</f>
        <v>6139500.9623118285</v>
      </c>
      <c r="J124" s="180">
        <f t="shared" si="136"/>
        <v>39031128.439536586</v>
      </c>
      <c r="K124" s="883">
        <f t="shared" ref="K124:P126" si="166">D194</f>
        <v>2126374.8895</v>
      </c>
      <c r="L124" s="883">
        <f t="shared" si="166"/>
        <v>1945536.138</v>
      </c>
      <c r="M124" s="883">
        <f t="shared" si="166"/>
        <v>1997698.1588999999</v>
      </c>
      <c r="N124" s="883">
        <f t="shared" si="166"/>
        <v>2082384.8623000004</v>
      </c>
      <c r="O124" s="883">
        <f t="shared" si="166"/>
        <v>1709759.6255999999</v>
      </c>
      <c r="P124" s="883">
        <f t="shared" si="166"/>
        <v>1760986.3425000003</v>
      </c>
      <c r="Q124" s="180">
        <f t="shared" si="138"/>
        <v>11622740.016800001</v>
      </c>
      <c r="R124" s="883">
        <f t="shared" ref="R124:W127" si="167">D124-K124</f>
        <v>4665831.777681496</v>
      </c>
      <c r="S124" s="883">
        <f t="shared" si="167"/>
        <v>4827951.8120112307</v>
      </c>
      <c r="T124" s="883">
        <f t="shared" si="167"/>
        <v>4456971.5813828949</v>
      </c>
      <c r="U124" s="883">
        <f t="shared" si="167"/>
        <v>4608553.8032706715</v>
      </c>
      <c r="V124" s="883">
        <f t="shared" si="167"/>
        <v>4470564.8285784656</v>
      </c>
      <c r="W124" s="883">
        <f t="shared" si="167"/>
        <v>4378514.6198118282</v>
      </c>
      <c r="X124" s="180">
        <f t="shared" si="140"/>
        <v>27408388.422736589</v>
      </c>
      <c r="Y124" s="883"/>
      <c r="Z124" s="883"/>
      <c r="AA124" s="883"/>
      <c r="AB124" s="883"/>
      <c r="AC124" s="883"/>
      <c r="AD124" s="883"/>
      <c r="AE124" s="180"/>
      <c r="AF124" s="1389"/>
      <c r="AG124" s="972">
        <f t="shared" ref="AG124:AI126" si="168">$AG$14</f>
        <v>0.32590000000000002</v>
      </c>
      <c r="AH124" s="972">
        <f t="shared" si="168"/>
        <v>0.32590000000000002</v>
      </c>
      <c r="AI124" s="972">
        <f t="shared" si="168"/>
        <v>0.32590000000000002</v>
      </c>
    </row>
    <row r="125" spans="1:35">
      <c r="A125" s="57"/>
      <c r="B125" s="48"/>
      <c r="C125" s="887" t="s">
        <v>973</v>
      </c>
      <c r="D125" s="883">
        <f t="shared" ref="D125:H125" si="169">D195+(D$198*D195/SUM(D$194:D$197))</f>
        <v>328429.85838546511</v>
      </c>
      <c r="E125" s="883">
        <f t="shared" si="169"/>
        <v>334723.66648636194</v>
      </c>
      <c r="F125" s="883">
        <f t="shared" si="169"/>
        <v>353002.67639574758</v>
      </c>
      <c r="G125" s="883">
        <f t="shared" si="169"/>
        <v>380321.28415511857</v>
      </c>
      <c r="H125" s="883">
        <f t="shared" si="169"/>
        <v>410873.29887882917</v>
      </c>
      <c r="I125" s="883">
        <f t="shared" ref="I125:I126" si="170">I195+(I$198*I195/SUM(I$194:I$197))</f>
        <v>229237.58622556989</v>
      </c>
      <c r="J125" s="180">
        <f t="shared" si="136"/>
        <v>2036588.3705270924</v>
      </c>
      <c r="K125" s="883">
        <f t="shared" si="166"/>
        <v>102818.57399999999</v>
      </c>
      <c r="L125" s="883">
        <f t="shared" si="166"/>
        <v>96142.045899999997</v>
      </c>
      <c r="M125" s="883">
        <f t="shared" si="166"/>
        <v>109253.1183</v>
      </c>
      <c r="N125" s="883">
        <f t="shared" si="166"/>
        <v>118365.34819999999</v>
      </c>
      <c r="O125" s="883">
        <f t="shared" si="166"/>
        <v>113666.2942</v>
      </c>
      <c r="P125" s="883">
        <f t="shared" si="166"/>
        <v>65751.966000000015</v>
      </c>
      <c r="Q125" s="180">
        <f t="shared" si="138"/>
        <v>605997.34660000005</v>
      </c>
      <c r="R125" s="883">
        <f t="shared" si="167"/>
        <v>225611.28438546511</v>
      </c>
      <c r="S125" s="883">
        <f t="shared" si="167"/>
        <v>238581.62058636194</v>
      </c>
      <c r="T125" s="883">
        <f t="shared" si="167"/>
        <v>243749.55809574758</v>
      </c>
      <c r="U125" s="883">
        <f t="shared" si="167"/>
        <v>261955.93595511856</v>
      </c>
      <c r="V125" s="883">
        <f t="shared" si="167"/>
        <v>297207.00467882917</v>
      </c>
      <c r="W125" s="883">
        <f t="shared" si="167"/>
        <v>163485.62022556987</v>
      </c>
      <c r="X125" s="180">
        <f t="shared" si="140"/>
        <v>1430591.0239270923</v>
      </c>
      <c r="Y125" s="883"/>
      <c r="Z125" s="883"/>
      <c r="AA125" s="883"/>
      <c r="AB125" s="883"/>
      <c r="AC125" s="883"/>
      <c r="AD125" s="883"/>
      <c r="AE125" s="180"/>
      <c r="AF125" s="1389"/>
      <c r="AG125" s="972">
        <f t="shared" si="168"/>
        <v>0.32590000000000002</v>
      </c>
      <c r="AH125" s="972">
        <f t="shared" si="168"/>
        <v>0.32590000000000002</v>
      </c>
      <c r="AI125" s="972">
        <f t="shared" si="168"/>
        <v>0.32590000000000002</v>
      </c>
    </row>
    <row r="126" spans="1:35">
      <c r="A126" s="57"/>
      <c r="B126" s="48"/>
      <c r="C126" s="887" t="s">
        <v>1010</v>
      </c>
      <c r="D126" s="883">
        <f t="shared" ref="D126:H126" si="171">D196+(D$198*D196/SUM(D$194:D$197))</f>
        <v>122966.88059999856</v>
      </c>
      <c r="E126" s="883">
        <f t="shared" si="171"/>
        <v>120174.41214504122</v>
      </c>
      <c r="F126" s="883">
        <f t="shared" si="171"/>
        <v>116031.4492400756</v>
      </c>
      <c r="G126" s="883">
        <f t="shared" si="171"/>
        <v>124403.79412455861</v>
      </c>
      <c r="H126" s="883">
        <f t="shared" si="171"/>
        <v>120066.41370072767</v>
      </c>
      <c r="I126" s="883">
        <f t="shared" si="170"/>
        <v>115077.62762140468</v>
      </c>
      <c r="J126" s="180">
        <f t="shared" si="136"/>
        <v>718720.57743180636</v>
      </c>
      <c r="K126" s="883">
        <f t="shared" si="166"/>
        <v>38496.132400000002</v>
      </c>
      <c r="L126" s="883">
        <f t="shared" si="166"/>
        <v>34517.4692</v>
      </c>
      <c r="M126" s="883">
        <f t="shared" si="166"/>
        <v>35911.335800000001</v>
      </c>
      <c r="N126" s="883">
        <f t="shared" si="166"/>
        <v>38717.5239</v>
      </c>
      <c r="O126" s="883">
        <f t="shared" si="166"/>
        <v>33215.8462</v>
      </c>
      <c r="P126" s="883">
        <f t="shared" si="166"/>
        <v>33007.590000000018</v>
      </c>
      <c r="Q126" s="180">
        <f t="shared" si="138"/>
        <v>213865.89750000002</v>
      </c>
      <c r="R126" s="883">
        <f t="shared" si="167"/>
        <v>84470.748199998561</v>
      </c>
      <c r="S126" s="883">
        <f t="shared" si="167"/>
        <v>85656.942945041228</v>
      </c>
      <c r="T126" s="883">
        <f t="shared" si="167"/>
        <v>80120.113440075598</v>
      </c>
      <c r="U126" s="883">
        <f t="shared" si="167"/>
        <v>85686.270224558612</v>
      </c>
      <c r="V126" s="883">
        <f t="shared" si="167"/>
        <v>86850.567500727673</v>
      </c>
      <c r="W126" s="883">
        <f t="shared" si="167"/>
        <v>82070.037621404656</v>
      </c>
      <c r="X126" s="180">
        <f t="shared" si="140"/>
        <v>504854.67993180628</v>
      </c>
      <c r="Y126" s="883"/>
      <c r="Z126" s="883"/>
      <c r="AA126" s="883"/>
      <c r="AB126" s="883"/>
      <c r="AC126" s="883"/>
      <c r="AD126" s="883"/>
      <c r="AE126" s="180"/>
      <c r="AF126" s="1389"/>
      <c r="AG126" s="972">
        <f t="shared" si="168"/>
        <v>0.32590000000000002</v>
      </c>
      <c r="AH126" s="972">
        <f t="shared" si="168"/>
        <v>0.32590000000000002</v>
      </c>
      <c r="AI126" s="972">
        <f t="shared" si="168"/>
        <v>0.32590000000000002</v>
      </c>
    </row>
    <row r="127" spans="1:35">
      <c r="A127" s="57"/>
      <c r="B127" s="48"/>
      <c r="C127" s="887" t="s">
        <v>1259</v>
      </c>
      <c r="D127" s="883">
        <f t="shared" ref="D127:H127" si="172">D197+(D$198*D197/SUM(D$194:D$197))</f>
        <v>2944395.2835330367</v>
      </c>
      <c r="E127" s="883">
        <f t="shared" si="172"/>
        <v>3055305.190357367</v>
      </c>
      <c r="F127" s="883">
        <f t="shared" si="172"/>
        <v>3079930.3475812813</v>
      </c>
      <c r="G127" s="883">
        <f t="shared" si="172"/>
        <v>3526361.7626496507</v>
      </c>
      <c r="H127" s="883">
        <f t="shared" si="172"/>
        <v>3342209.1922419788</v>
      </c>
      <c r="I127" s="883">
        <f t="shared" ref="I127" si="173">I197+(I$198*I197/SUM(I$194:I$197))</f>
        <v>3515493.3745111991</v>
      </c>
      <c r="J127" s="180">
        <f t="shared" si="136"/>
        <v>19463695.15087451</v>
      </c>
      <c r="K127" s="883">
        <f>D197</f>
        <v>921775.27899999986</v>
      </c>
      <c r="L127" s="883">
        <f t="shared" ref="L127:P127" si="174">E197</f>
        <v>877569.5334999999</v>
      </c>
      <c r="M127" s="883">
        <f t="shared" si="174"/>
        <v>953227.88499999989</v>
      </c>
      <c r="N127" s="883">
        <f t="shared" si="174"/>
        <v>1097490.6094</v>
      </c>
      <c r="O127" s="883">
        <f t="shared" si="174"/>
        <v>924607.49910000002</v>
      </c>
      <c r="P127" s="883">
        <f t="shared" si="174"/>
        <v>1008345.1175700019</v>
      </c>
      <c r="Q127" s="180">
        <f t="shared" si="138"/>
        <v>5783015.9235700015</v>
      </c>
      <c r="R127" s="883">
        <f t="shared" si="167"/>
        <v>2022620.0045330368</v>
      </c>
      <c r="S127" s="883">
        <f t="shared" si="167"/>
        <v>2177735.6568573671</v>
      </c>
      <c r="T127" s="883">
        <f t="shared" si="167"/>
        <v>2126702.4625812816</v>
      </c>
      <c r="U127" s="883">
        <f t="shared" si="167"/>
        <v>2428871.1532496507</v>
      </c>
      <c r="V127" s="883">
        <f t="shared" si="167"/>
        <v>2417601.6931419787</v>
      </c>
      <c r="W127" s="883">
        <f t="shared" si="167"/>
        <v>2507148.2569411974</v>
      </c>
      <c r="X127" s="180">
        <f t="shared" si="140"/>
        <v>13680679.227304513</v>
      </c>
      <c r="Y127" s="883"/>
      <c r="Z127" s="883"/>
      <c r="AA127" s="883"/>
      <c r="AB127" s="883"/>
      <c r="AC127" s="883"/>
      <c r="AD127" s="883"/>
      <c r="AE127" s="180"/>
      <c r="AF127" s="1389"/>
      <c r="AG127" s="972"/>
      <c r="AH127" s="972"/>
      <c r="AI127" s="972"/>
    </row>
    <row r="128" spans="1:35">
      <c r="A128" s="57"/>
      <c r="B128" s="48" t="s">
        <v>873</v>
      </c>
      <c r="C128" s="882" t="s">
        <v>276</v>
      </c>
      <c r="D128" s="881">
        <f t="shared" ref="D128:H128" si="175">SUM(D129:D133)</f>
        <v>42704930.713415012</v>
      </c>
      <c r="E128" s="881">
        <f t="shared" si="175"/>
        <v>42273230.147294998</v>
      </c>
      <c r="F128" s="881">
        <f t="shared" si="175"/>
        <v>41073104.088540003</v>
      </c>
      <c r="G128" s="881">
        <f t="shared" si="175"/>
        <v>42730848.35360001</v>
      </c>
      <c r="H128" s="881">
        <f t="shared" si="175"/>
        <v>39398904.964399993</v>
      </c>
      <c r="I128" s="881">
        <f t="shared" ref="I128" si="176">SUM(I129:I133)</f>
        <v>42246478.627023496</v>
      </c>
      <c r="J128" s="180">
        <f t="shared" si="136"/>
        <v>250427496.89427349</v>
      </c>
      <c r="K128" s="881">
        <f t="shared" ref="K128:P128" si="177">SUM(K129:K133)</f>
        <v>13917536.919501953</v>
      </c>
      <c r="L128" s="881">
        <f t="shared" si="177"/>
        <v>13776845.70500344</v>
      </c>
      <c r="M128" s="881">
        <f t="shared" si="177"/>
        <v>13385724.622455187</v>
      </c>
      <c r="N128" s="881">
        <f t="shared" si="177"/>
        <v>13925983.478438243</v>
      </c>
      <c r="O128" s="881">
        <f t="shared" si="177"/>
        <v>12840103.127897959</v>
      </c>
      <c r="P128" s="881">
        <f t="shared" si="177"/>
        <v>13768127.384546958</v>
      </c>
      <c r="Q128" s="180">
        <f t="shared" ref="Q128:Q137" si="178">SUM(K128:P128)</f>
        <v>81614321.237843752</v>
      </c>
      <c r="R128" s="881">
        <f t="shared" ref="R128:W128" si="179">SUM(R129:R133)</f>
        <v>28787393.793913059</v>
      </c>
      <c r="S128" s="881">
        <f t="shared" si="179"/>
        <v>28496384.442291562</v>
      </c>
      <c r="T128" s="881">
        <f t="shared" si="179"/>
        <v>27687379.466084816</v>
      </c>
      <c r="U128" s="881">
        <f t="shared" si="179"/>
        <v>28804864.875161767</v>
      </c>
      <c r="V128" s="881">
        <f t="shared" si="179"/>
        <v>26558801.83650203</v>
      </c>
      <c r="W128" s="881">
        <f t="shared" si="179"/>
        <v>28478351.242476538</v>
      </c>
      <c r="X128" s="180">
        <f t="shared" ref="X128:X137" si="180">SUM(R128:W128)</f>
        <v>168813175.65642977</v>
      </c>
      <c r="Y128" s="881"/>
      <c r="Z128" s="881"/>
      <c r="AA128" s="881"/>
      <c r="AB128" s="881"/>
      <c r="AC128" s="881"/>
      <c r="AD128" s="881"/>
      <c r="AE128" s="180"/>
      <c r="AF128" s="1389"/>
      <c r="AG128" s="972"/>
      <c r="AH128" s="972"/>
      <c r="AI128" s="972"/>
    </row>
    <row r="129" spans="1:35">
      <c r="A129" s="57"/>
      <c r="B129" s="48"/>
      <c r="C129" s="887" t="s">
        <v>969</v>
      </c>
      <c r="D129" s="883">
        <f t="shared" ref="D129:H129" si="181">D199</f>
        <v>0</v>
      </c>
      <c r="E129" s="883">
        <f t="shared" si="181"/>
        <v>0</v>
      </c>
      <c r="F129" s="883">
        <f t="shared" si="181"/>
        <v>0</v>
      </c>
      <c r="G129" s="883">
        <f t="shared" si="181"/>
        <v>0</v>
      </c>
      <c r="H129" s="883">
        <f t="shared" si="181"/>
        <v>0</v>
      </c>
      <c r="I129" s="883">
        <f t="shared" ref="I129" si="182">I199</f>
        <v>0</v>
      </c>
      <c r="J129" s="180">
        <f t="shared" si="136"/>
        <v>0</v>
      </c>
      <c r="K129" s="883">
        <f t="shared" ref="K129:P133" si="183">D129*$AG129</f>
        <v>0</v>
      </c>
      <c r="L129" s="883">
        <f t="shared" si="183"/>
        <v>0</v>
      </c>
      <c r="M129" s="883">
        <f t="shared" si="183"/>
        <v>0</v>
      </c>
      <c r="N129" s="883">
        <f t="shared" si="183"/>
        <v>0</v>
      </c>
      <c r="O129" s="883">
        <f t="shared" si="183"/>
        <v>0</v>
      </c>
      <c r="P129" s="883">
        <f t="shared" si="183"/>
        <v>0</v>
      </c>
      <c r="Q129" s="180">
        <f t="shared" si="178"/>
        <v>0</v>
      </c>
      <c r="R129" s="883">
        <f t="shared" ref="R129:W133" si="184">D129-K129</f>
        <v>0</v>
      </c>
      <c r="S129" s="883">
        <f t="shared" si="184"/>
        <v>0</v>
      </c>
      <c r="T129" s="883">
        <f t="shared" si="184"/>
        <v>0</v>
      </c>
      <c r="U129" s="883">
        <f t="shared" si="184"/>
        <v>0</v>
      </c>
      <c r="V129" s="883">
        <f t="shared" si="184"/>
        <v>0</v>
      </c>
      <c r="W129" s="883">
        <f t="shared" si="184"/>
        <v>0</v>
      </c>
      <c r="X129" s="180">
        <f t="shared" si="180"/>
        <v>0</v>
      </c>
      <c r="Y129" s="883"/>
      <c r="Z129" s="883"/>
      <c r="AA129" s="883"/>
      <c r="AB129" s="883"/>
      <c r="AC129" s="883"/>
      <c r="AD129" s="883"/>
      <c r="AE129" s="180"/>
      <c r="AF129" s="1389"/>
      <c r="AG129" s="972">
        <f>$AG$14</f>
        <v>0.32590000000000002</v>
      </c>
      <c r="AH129" s="972">
        <f>$AG$14</f>
        <v>0.32590000000000002</v>
      </c>
      <c r="AI129" s="972">
        <f>$AG$14</f>
        <v>0.32590000000000002</v>
      </c>
    </row>
    <row r="130" spans="1:35">
      <c r="A130" s="57"/>
      <c r="B130" s="48"/>
      <c r="C130" s="887" t="s">
        <v>970</v>
      </c>
      <c r="D130" s="883">
        <f t="shared" ref="D130:H130" si="185">D200</f>
        <v>27837865.777215011</v>
      </c>
      <c r="E130" s="883">
        <f t="shared" si="185"/>
        <v>27768734.010435</v>
      </c>
      <c r="F130" s="883">
        <f t="shared" si="185"/>
        <v>25294587.126940001</v>
      </c>
      <c r="G130" s="883">
        <f t="shared" si="185"/>
        <v>26221253.892300006</v>
      </c>
      <c r="H130" s="883">
        <f t="shared" si="185"/>
        <v>23949123.551399995</v>
      </c>
      <c r="I130" s="883">
        <f t="shared" ref="I130:I133" si="186">I200</f>
        <v>25365998.302292999</v>
      </c>
      <c r="J130" s="180">
        <f t="shared" si="136"/>
        <v>156437562.66058302</v>
      </c>
      <c r="K130" s="883">
        <f t="shared" si="183"/>
        <v>9072360.4567943737</v>
      </c>
      <c r="L130" s="883">
        <f t="shared" si="183"/>
        <v>9049830.4140007664</v>
      </c>
      <c r="M130" s="883">
        <f t="shared" si="183"/>
        <v>8243505.9446697468</v>
      </c>
      <c r="N130" s="883">
        <f t="shared" si="183"/>
        <v>8545506.6435005721</v>
      </c>
      <c r="O130" s="883">
        <f t="shared" si="183"/>
        <v>7805019.3654012587</v>
      </c>
      <c r="P130" s="883">
        <f t="shared" si="183"/>
        <v>8266778.8467172887</v>
      </c>
      <c r="Q130" s="180">
        <f t="shared" si="178"/>
        <v>50983001.671084009</v>
      </c>
      <c r="R130" s="883">
        <f t="shared" si="184"/>
        <v>18765505.320420638</v>
      </c>
      <c r="S130" s="883">
        <f t="shared" si="184"/>
        <v>18718903.596434236</v>
      </c>
      <c r="T130" s="883">
        <f t="shared" si="184"/>
        <v>17051081.182270255</v>
      </c>
      <c r="U130" s="883">
        <f t="shared" si="184"/>
        <v>17675747.248799436</v>
      </c>
      <c r="V130" s="883">
        <f t="shared" si="184"/>
        <v>16144104.185998736</v>
      </c>
      <c r="W130" s="883">
        <f t="shared" si="184"/>
        <v>17099219.455575712</v>
      </c>
      <c r="X130" s="180">
        <f t="shared" si="180"/>
        <v>105454560.989499</v>
      </c>
      <c r="Y130" s="883"/>
      <c r="Z130" s="883"/>
      <c r="AA130" s="883"/>
      <c r="AB130" s="883"/>
      <c r="AC130" s="883"/>
      <c r="AD130" s="883"/>
      <c r="AE130" s="180"/>
      <c r="AF130" s="1389"/>
      <c r="AG130" s="972">
        <f t="shared" ref="AG130:AI131" si="187">AG129</f>
        <v>0.32590000000000002</v>
      </c>
      <c r="AH130" s="972">
        <f t="shared" si="187"/>
        <v>0.32590000000000002</v>
      </c>
      <c r="AI130" s="972">
        <f t="shared" si="187"/>
        <v>0.32590000000000002</v>
      </c>
    </row>
    <row r="131" spans="1:35">
      <c r="A131" s="57"/>
      <c r="B131" s="48"/>
      <c r="C131" s="887" t="s">
        <v>1011</v>
      </c>
      <c r="D131" s="883">
        <f t="shared" ref="D131:H131" si="188">D201</f>
        <v>1961051.1001999998</v>
      </c>
      <c r="E131" s="883">
        <f t="shared" si="188"/>
        <v>1739911.9648</v>
      </c>
      <c r="F131" s="883">
        <f t="shared" si="188"/>
        <v>1932315.4992999998</v>
      </c>
      <c r="G131" s="883">
        <f t="shared" si="188"/>
        <v>1691295.2818000002</v>
      </c>
      <c r="H131" s="883">
        <f t="shared" si="188"/>
        <v>1615880.5572000004</v>
      </c>
      <c r="I131" s="883">
        <f t="shared" si="186"/>
        <v>1810245.3746499973</v>
      </c>
      <c r="J131" s="180">
        <f t="shared" si="136"/>
        <v>10750699.777949996</v>
      </c>
      <c r="K131" s="883">
        <f t="shared" si="183"/>
        <v>639106.55355517997</v>
      </c>
      <c r="L131" s="883">
        <f t="shared" si="183"/>
        <v>567037.30932831997</v>
      </c>
      <c r="M131" s="883">
        <f t="shared" si="183"/>
        <v>629741.62122186995</v>
      </c>
      <c r="N131" s="883">
        <f t="shared" si="183"/>
        <v>551193.13233862014</v>
      </c>
      <c r="O131" s="883">
        <f t="shared" si="183"/>
        <v>526615.47359148017</v>
      </c>
      <c r="P131" s="883">
        <f t="shared" si="183"/>
        <v>589958.96759843419</v>
      </c>
      <c r="Q131" s="180">
        <f t="shared" si="178"/>
        <v>3503653.0576339043</v>
      </c>
      <c r="R131" s="883">
        <f t="shared" si="184"/>
        <v>1321944.5466448199</v>
      </c>
      <c r="S131" s="883">
        <f t="shared" si="184"/>
        <v>1172874.65547168</v>
      </c>
      <c r="T131" s="883">
        <f t="shared" si="184"/>
        <v>1302573.8780781298</v>
      </c>
      <c r="U131" s="883">
        <f t="shared" si="184"/>
        <v>1140102.1494613802</v>
      </c>
      <c r="V131" s="883">
        <f t="shared" si="184"/>
        <v>1089265.0836085202</v>
      </c>
      <c r="W131" s="883">
        <f t="shared" si="184"/>
        <v>1220286.4070515633</v>
      </c>
      <c r="X131" s="180">
        <f t="shared" si="180"/>
        <v>7247046.7203160934</v>
      </c>
      <c r="Y131" s="883"/>
      <c r="Z131" s="883"/>
      <c r="AA131" s="883"/>
      <c r="AB131" s="883"/>
      <c r="AC131" s="883"/>
      <c r="AD131" s="883"/>
      <c r="AE131" s="180"/>
      <c r="AF131" s="1389"/>
      <c r="AG131" s="972">
        <f t="shared" si="187"/>
        <v>0.32590000000000002</v>
      </c>
      <c r="AH131" s="972">
        <f t="shared" si="187"/>
        <v>0.32590000000000002</v>
      </c>
      <c r="AI131" s="972">
        <f t="shared" si="187"/>
        <v>0.32590000000000002</v>
      </c>
    </row>
    <row r="132" spans="1:35">
      <c r="A132" s="57"/>
      <c r="B132" s="48"/>
      <c r="C132" s="887" t="s">
        <v>1012</v>
      </c>
      <c r="D132" s="883">
        <f t="shared" ref="D132:H132" si="189">D202</f>
        <v>1850475.3221999998</v>
      </c>
      <c r="E132" s="883">
        <f t="shared" si="189"/>
        <v>1911629.2402999999</v>
      </c>
      <c r="F132" s="883">
        <f t="shared" si="189"/>
        <v>1834041.8471000004</v>
      </c>
      <c r="G132" s="883">
        <f t="shared" si="189"/>
        <v>1921283.8751000003</v>
      </c>
      <c r="H132" s="883">
        <f t="shared" si="189"/>
        <v>1700117.9229000001</v>
      </c>
      <c r="I132" s="883">
        <f t="shared" si="186"/>
        <v>1921727.2948299991</v>
      </c>
      <c r="J132" s="180">
        <f t="shared" si="136"/>
        <v>11139275.502429999</v>
      </c>
      <c r="K132" s="883">
        <f t="shared" si="183"/>
        <v>603069.90750497999</v>
      </c>
      <c r="L132" s="883">
        <f t="shared" si="183"/>
        <v>622999.96941377001</v>
      </c>
      <c r="M132" s="883">
        <f t="shared" si="183"/>
        <v>597714.23796989012</v>
      </c>
      <c r="N132" s="883">
        <f t="shared" si="183"/>
        <v>626146.41489509016</v>
      </c>
      <c r="O132" s="883">
        <f t="shared" si="183"/>
        <v>554068.43107311008</v>
      </c>
      <c r="P132" s="883">
        <f t="shared" si="183"/>
        <v>626290.92538509669</v>
      </c>
      <c r="Q132" s="180">
        <f t="shared" si="178"/>
        <v>3630289.8862419371</v>
      </c>
      <c r="R132" s="883">
        <f t="shared" si="184"/>
        <v>1247405.4146950198</v>
      </c>
      <c r="S132" s="883">
        <f t="shared" si="184"/>
        <v>1288629.2708862298</v>
      </c>
      <c r="T132" s="883">
        <f t="shared" si="184"/>
        <v>1236327.6091301101</v>
      </c>
      <c r="U132" s="883">
        <f t="shared" si="184"/>
        <v>1295137.46020491</v>
      </c>
      <c r="V132" s="883">
        <f t="shared" si="184"/>
        <v>1146049.49182689</v>
      </c>
      <c r="W132" s="883">
        <f t="shared" si="184"/>
        <v>1295436.3694449025</v>
      </c>
      <c r="X132" s="180">
        <f t="shared" si="180"/>
        <v>7508985.6161880624</v>
      </c>
      <c r="Y132" s="883"/>
      <c r="Z132" s="883"/>
      <c r="AA132" s="883"/>
      <c r="AB132" s="883"/>
      <c r="AC132" s="883"/>
      <c r="AD132" s="883"/>
      <c r="AE132" s="180"/>
      <c r="AF132" s="1389"/>
      <c r="AG132" s="972">
        <f t="shared" ref="AG132:AI133" si="190">AG131</f>
        <v>0.32590000000000002</v>
      </c>
      <c r="AH132" s="972">
        <f t="shared" si="190"/>
        <v>0.32590000000000002</v>
      </c>
      <c r="AI132" s="972">
        <f t="shared" si="190"/>
        <v>0.32590000000000002</v>
      </c>
    </row>
    <row r="133" spans="1:35">
      <c r="A133" s="57"/>
      <c r="B133" s="48"/>
      <c r="C133" s="887" t="s">
        <v>1108</v>
      </c>
      <c r="D133" s="883">
        <f t="shared" ref="D133:H133" si="191">D203</f>
        <v>11055538.513800001</v>
      </c>
      <c r="E133" s="883">
        <f t="shared" si="191"/>
        <v>10852954.93176</v>
      </c>
      <c r="F133" s="883">
        <f t="shared" si="191"/>
        <v>12012159.6152</v>
      </c>
      <c r="G133" s="883">
        <f t="shared" si="191"/>
        <v>12897015.304399999</v>
      </c>
      <c r="H133" s="883">
        <f t="shared" si="191"/>
        <v>12133782.932899997</v>
      </c>
      <c r="I133" s="883">
        <f t="shared" si="186"/>
        <v>13148507.655250499</v>
      </c>
      <c r="J133" s="180">
        <f t="shared" si="136"/>
        <v>72099958.95331049</v>
      </c>
      <c r="K133" s="883">
        <f t="shared" si="183"/>
        <v>3603000.0016474207</v>
      </c>
      <c r="L133" s="883">
        <f t="shared" si="183"/>
        <v>3536978.0122605842</v>
      </c>
      <c r="M133" s="883">
        <f t="shared" si="183"/>
        <v>3914762.8185936804</v>
      </c>
      <c r="N133" s="883">
        <f t="shared" si="183"/>
        <v>4203137.2877039602</v>
      </c>
      <c r="O133" s="883">
        <f t="shared" si="183"/>
        <v>3954399.8578321091</v>
      </c>
      <c r="P133" s="883">
        <f t="shared" si="183"/>
        <v>4285098.6448461376</v>
      </c>
      <c r="Q133" s="180">
        <f t="shared" si="178"/>
        <v>23497376.62288389</v>
      </c>
      <c r="R133" s="883">
        <f t="shared" si="184"/>
        <v>7452538.5121525805</v>
      </c>
      <c r="S133" s="883">
        <f t="shared" si="184"/>
        <v>7315976.9194994159</v>
      </c>
      <c r="T133" s="883">
        <f t="shared" si="184"/>
        <v>8097396.796606319</v>
      </c>
      <c r="U133" s="883">
        <f t="shared" si="184"/>
        <v>8693878.0166960396</v>
      </c>
      <c r="V133" s="883">
        <f t="shared" si="184"/>
        <v>8179383.0750678871</v>
      </c>
      <c r="W133" s="883">
        <f t="shared" si="184"/>
        <v>8863409.0104043614</v>
      </c>
      <c r="X133" s="180">
        <f t="shared" si="180"/>
        <v>48602582.330426604</v>
      </c>
      <c r="Y133" s="883"/>
      <c r="Z133" s="883"/>
      <c r="AA133" s="883"/>
      <c r="AB133" s="883"/>
      <c r="AC133" s="883"/>
      <c r="AD133" s="883"/>
      <c r="AE133" s="180"/>
      <c r="AF133" s="1389"/>
      <c r="AG133" s="972">
        <f t="shared" si="190"/>
        <v>0.32590000000000002</v>
      </c>
      <c r="AH133" s="972">
        <f t="shared" si="190"/>
        <v>0.32590000000000002</v>
      </c>
      <c r="AI133" s="972">
        <f t="shared" si="190"/>
        <v>0.32590000000000002</v>
      </c>
    </row>
    <row r="134" spans="1:35">
      <c r="A134" s="57"/>
      <c r="B134" s="48"/>
      <c r="C134" s="887"/>
      <c r="D134" s="883"/>
      <c r="E134" s="883"/>
      <c r="F134" s="883"/>
      <c r="G134" s="883"/>
      <c r="H134" s="883"/>
      <c r="I134" s="883"/>
      <c r="J134" s="180">
        <f t="shared" si="136"/>
        <v>0</v>
      </c>
      <c r="K134" s="883"/>
      <c r="L134" s="883"/>
      <c r="M134" s="883"/>
      <c r="N134" s="883"/>
      <c r="O134" s="883"/>
      <c r="P134" s="883"/>
      <c r="Q134" s="180">
        <f t="shared" si="178"/>
        <v>0</v>
      </c>
      <c r="R134" s="883"/>
      <c r="S134" s="883"/>
      <c r="T134" s="883"/>
      <c r="U134" s="883"/>
      <c r="V134" s="883"/>
      <c r="W134" s="883"/>
      <c r="X134" s="180">
        <f t="shared" si="180"/>
        <v>0</v>
      </c>
      <c r="Y134" s="883"/>
      <c r="Z134" s="883"/>
      <c r="AA134" s="883"/>
      <c r="AB134" s="883"/>
      <c r="AC134" s="883"/>
      <c r="AD134" s="883"/>
      <c r="AE134" s="180"/>
      <c r="AF134" s="1389"/>
      <c r="AG134" s="972"/>
      <c r="AH134" s="972"/>
      <c r="AI134" s="972"/>
    </row>
    <row r="135" spans="1:35" ht="15.75">
      <c r="A135" s="57"/>
      <c r="B135" s="48"/>
      <c r="C135" s="965" t="s">
        <v>443</v>
      </c>
      <c r="D135" s="881">
        <f t="shared" ref="D135:H135" si="192">D136+D139</f>
        <v>8572227.6396000031</v>
      </c>
      <c r="E135" s="881">
        <f t="shared" si="192"/>
        <v>8415852.6217</v>
      </c>
      <c r="F135" s="881">
        <f t="shared" si="192"/>
        <v>8530315.5671999995</v>
      </c>
      <c r="G135" s="881">
        <f t="shared" si="192"/>
        <v>8985545.4524999987</v>
      </c>
      <c r="H135" s="881">
        <f t="shared" si="192"/>
        <v>8282714.0983999986</v>
      </c>
      <c r="I135" s="881">
        <f t="shared" ref="I135" si="193">I136+I139</f>
        <v>9285580.1267460026</v>
      </c>
      <c r="J135" s="180">
        <f t="shared" si="136"/>
        <v>52072235.506145999</v>
      </c>
      <c r="K135" s="881">
        <f t="shared" ref="K135:P135" si="194">K136+K139</f>
        <v>3553144.2907739012</v>
      </c>
      <c r="L135" s="881">
        <f t="shared" si="194"/>
        <v>3479401.928201281</v>
      </c>
      <c r="M135" s="881">
        <f t="shared" si="194"/>
        <v>3533691.4102491201</v>
      </c>
      <c r="N135" s="881">
        <f t="shared" si="194"/>
        <v>3723412.9660135</v>
      </c>
      <c r="O135" s="881">
        <f t="shared" si="194"/>
        <v>3421701.8213072992</v>
      </c>
      <c r="P135" s="881">
        <f t="shared" si="194"/>
        <v>3840816.0809683842</v>
      </c>
      <c r="Q135" s="180">
        <f t="shared" si="178"/>
        <v>21552168.497513484</v>
      </c>
      <c r="R135" s="881">
        <f t="shared" ref="R135:W135" si="195">R136+R139</f>
        <v>5019083.348826101</v>
      </c>
      <c r="S135" s="881">
        <f t="shared" si="195"/>
        <v>4936450.6934987195</v>
      </c>
      <c r="T135" s="881">
        <f t="shared" si="195"/>
        <v>4996624.1569508789</v>
      </c>
      <c r="U135" s="881">
        <f t="shared" si="195"/>
        <v>5262132.4864864992</v>
      </c>
      <c r="V135" s="881">
        <f t="shared" si="195"/>
        <v>4861012.277092699</v>
      </c>
      <c r="W135" s="881">
        <f t="shared" si="195"/>
        <v>5444764.045777618</v>
      </c>
      <c r="X135" s="180">
        <f t="shared" si="180"/>
        <v>30520067.008632515</v>
      </c>
      <c r="Y135" s="881"/>
      <c r="Z135" s="881"/>
      <c r="AA135" s="881"/>
      <c r="AB135" s="881"/>
      <c r="AC135" s="881"/>
      <c r="AD135" s="881"/>
      <c r="AE135" s="180"/>
      <c r="AF135" s="1389"/>
      <c r="AG135" s="972"/>
      <c r="AH135" s="972"/>
      <c r="AI135" s="972"/>
    </row>
    <row r="136" spans="1:35">
      <c r="A136" s="57"/>
      <c r="B136" s="48" t="s">
        <v>874</v>
      </c>
      <c r="C136" s="882" t="s">
        <v>275</v>
      </c>
      <c r="D136" s="881">
        <f t="shared" ref="D136:H136" si="196">SUM(D137:D138)</f>
        <v>277505.12309999997</v>
      </c>
      <c r="E136" s="881">
        <f t="shared" si="196"/>
        <v>275039.1409</v>
      </c>
      <c r="F136" s="881">
        <f t="shared" si="196"/>
        <v>263421.304</v>
      </c>
      <c r="G136" s="881">
        <f t="shared" si="196"/>
        <v>273172.52999999997</v>
      </c>
      <c r="H136" s="881">
        <f t="shared" si="196"/>
        <v>264545.33290000004</v>
      </c>
      <c r="I136" s="881">
        <f t="shared" ref="I136" si="197">SUM(I137:I138)</f>
        <v>274089.99000000028</v>
      </c>
      <c r="J136" s="180">
        <f t="shared" si="136"/>
        <v>1627773.4209000003</v>
      </c>
      <c r="K136" s="881">
        <f t="shared" ref="K136:P136" si="198">SUM(K137:K138)</f>
        <v>97562.890400000004</v>
      </c>
      <c r="L136" s="881">
        <f t="shared" si="198"/>
        <v>87939.032099999997</v>
      </c>
      <c r="M136" s="881">
        <f t="shared" si="198"/>
        <v>89703.260200000004</v>
      </c>
      <c r="N136" s="881">
        <f t="shared" si="198"/>
        <v>93838.406499999997</v>
      </c>
      <c r="O136" s="881">
        <f t="shared" si="198"/>
        <v>81332.713600000003</v>
      </c>
      <c r="P136" s="881">
        <f t="shared" si="198"/>
        <v>86629.29000000011</v>
      </c>
      <c r="Q136" s="180">
        <f t="shared" si="178"/>
        <v>537005.5928000001</v>
      </c>
      <c r="R136" s="881">
        <f t="shared" ref="R136:W136" si="199">SUM(R137:R138)</f>
        <v>179942.23269999996</v>
      </c>
      <c r="S136" s="881">
        <f t="shared" si="199"/>
        <v>187100.10879999999</v>
      </c>
      <c r="T136" s="881">
        <f t="shared" si="199"/>
        <v>173718.04379999998</v>
      </c>
      <c r="U136" s="881">
        <f t="shared" si="199"/>
        <v>179334.12349999999</v>
      </c>
      <c r="V136" s="881">
        <f t="shared" si="199"/>
        <v>183212.61930000002</v>
      </c>
      <c r="W136" s="881">
        <f t="shared" si="199"/>
        <v>187460.70000000019</v>
      </c>
      <c r="X136" s="180">
        <f t="shared" si="180"/>
        <v>1090767.8281</v>
      </c>
      <c r="Y136" s="881"/>
      <c r="Z136" s="881"/>
      <c r="AA136" s="881"/>
      <c r="AB136" s="881"/>
      <c r="AC136" s="881"/>
      <c r="AD136" s="881"/>
      <c r="AE136" s="180"/>
      <c r="AF136" s="1389"/>
      <c r="AG136" s="972"/>
      <c r="AH136" s="972"/>
      <c r="AI136" s="972"/>
    </row>
    <row r="137" spans="1:35">
      <c r="A137" s="57"/>
      <c r="B137" s="48"/>
      <c r="C137" s="887" t="s">
        <v>972</v>
      </c>
      <c r="D137" s="883">
        <f t="shared" ref="D137:H137" si="200">SUM(D204:D205)</f>
        <v>277505.12309999997</v>
      </c>
      <c r="E137" s="883">
        <f t="shared" si="200"/>
        <v>275039.1409</v>
      </c>
      <c r="F137" s="883">
        <f t="shared" si="200"/>
        <v>263421.304</v>
      </c>
      <c r="G137" s="883">
        <f t="shared" si="200"/>
        <v>273172.52999999997</v>
      </c>
      <c r="H137" s="883">
        <f t="shared" si="200"/>
        <v>264545.33290000004</v>
      </c>
      <c r="I137" s="883">
        <f t="shared" ref="I137" si="201">SUM(I204:I205)</f>
        <v>274089.99000000028</v>
      </c>
      <c r="J137" s="180">
        <f t="shared" si="136"/>
        <v>1627773.4209000003</v>
      </c>
      <c r="K137" s="883">
        <f t="shared" ref="K137:P137" si="202">D204</f>
        <v>97562.890400000004</v>
      </c>
      <c r="L137" s="883">
        <f t="shared" si="202"/>
        <v>87939.032099999997</v>
      </c>
      <c r="M137" s="883">
        <f t="shared" si="202"/>
        <v>89703.260200000004</v>
      </c>
      <c r="N137" s="883">
        <f t="shared" si="202"/>
        <v>93838.406499999997</v>
      </c>
      <c r="O137" s="883">
        <f t="shared" si="202"/>
        <v>81332.713600000003</v>
      </c>
      <c r="P137" s="883">
        <f t="shared" si="202"/>
        <v>86629.29000000011</v>
      </c>
      <c r="Q137" s="180">
        <f t="shared" si="178"/>
        <v>537005.5928000001</v>
      </c>
      <c r="R137" s="883">
        <f t="shared" ref="R137:W138" si="203">D137-K137</f>
        <v>179942.23269999996</v>
      </c>
      <c r="S137" s="883">
        <f t="shared" si="203"/>
        <v>187100.10879999999</v>
      </c>
      <c r="T137" s="883">
        <f t="shared" si="203"/>
        <v>173718.04379999998</v>
      </c>
      <c r="U137" s="883">
        <f t="shared" si="203"/>
        <v>179334.12349999999</v>
      </c>
      <c r="V137" s="883">
        <f t="shared" si="203"/>
        <v>183212.61930000002</v>
      </c>
      <c r="W137" s="883">
        <f t="shared" si="203"/>
        <v>187460.70000000019</v>
      </c>
      <c r="X137" s="180">
        <f t="shared" si="180"/>
        <v>1090767.8281</v>
      </c>
      <c r="Y137" s="883"/>
      <c r="Z137" s="883"/>
      <c r="AA137" s="883"/>
      <c r="AB137" s="883"/>
      <c r="AC137" s="883"/>
      <c r="AD137" s="883"/>
      <c r="AE137" s="180"/>
      <c r="AF137" s="1389"/>
      <c r="AG137" s="972">
        <f>$AG$27</f>
        <v>0.41660000000000003</v>
      </c>
      <c r="AH137" s="972">
        <f>$AG$27</f>
        <v>0.41660000000000003</v>
      </c>
      <c r="AI137" s="972">
        <f>$AG$27</f>
        <v>0.41660000000000003</v>
      </c>
    </row>
    <row r="138" spans="1:35">
      <c r="A138" s="57"/>
      <c r="B138" s="48"/>
      <c r="C138" s="887"/>
      <c r="D138" s="883"/>
      <c r="E138" s="883"/>
      <c r="F138" s="883"/>
      <c r="G138" s="883"/>
      <c r="H138" s="883"/>
      <c r="I138" s="883"/>
      <c r="J138" s="180"/>
      <c r="K138" s="883"/>
      <c r="L138" s="883"/>
      <c r="M138" s="883"/>
      <c r="N138" s="883"/>
      <c r="O138" s="883"/>
      <c r="P138" s="883"/>
      <c r="Q138" s="180"/>
      <c r="R138" s="883">
        <f t="shared" si="203"/>
        <v>0</v>
      </c>
      <c r="S138" s="883">
        <f t="shared" si="203"/>
        <v>0</v>
      </c>
      <c r="T138" s="883">
        <f t="shared" si="203"/>
        <v>0</v>
      </c>
      <c r="U138" s="883">
        <f t="shared" si="203"/>
        <v>0</v>
      </c>
      <c r="V138" s="883">
        <f t="shared" si="203"/>
        <v>0</v>
      </c>
      <c r="W138" s="883">
        <f t="shared" si="203"/>
        <v>0</v>
      </c>
      <c r="X138" s="180"/>
      <c r="Y138" s="883"/>
      <c r="Z138" s="883"/>
      <c r="AA138" s="883"/>
      <c r="AB138" s="883"/>
      <c r="AC138" s="883"/>
      <c r="AD138" s="883"/>
      <c r="AE138" s="180"/>
      <c r="AF138" s="1389"/>
      <c r="AG138" s="972"/>
      <c r="AH138" s="972"/>
      <c r="AI138" s="972"/>
    </row>
    <row r="139" spans="1:35">
      <c r="A139" s="57"/>
      <c r="B139" s="48" t="s">
        <v>875</v>
      </c>
      <c r="C139" s="882" t="s">
        <v>274</v>
      </c>
      <c r="D139" s="881">
        <f t="shared" ref="D139:H139" si="204">SUM(D140:D144)</f>
        <v>8294722.5165000027</v>
      </c>
      <c r="E139" s="881">
        <f t="shared" si="204"/>
        <v>8140813.480800001</v>
      </c>
      <c r="F139" s="881">
        <f t="shared" si="204"/>
        <v>8266894.2631999999</v>
      </c>
      <c r="G139" s="881">
        <f t="shared" si="204"/>
        <v>8712372.9224999994</v>
      </c>
      <c r="H139" s="881">
        <f t="shared" si="204"/>
        <v>8018168.7654999988</v>
      </c>
      <c r="I139" s="881">
        <f t="shared" ref="I139" si="205">SUM(I140:I144)</f>
        <v>9011490.1367460024</v>
      </c>
      <c r="J139" s="180">
        <f t="shared" si="136"/>
        <v>50444462.085246004</v>
      </c>
      <c r="K139" s="881">
        <f t="shared" ref="K139:P139" si="206">SUM(K140:K144)</f>
        <v>3455581.4003739012</v>
      </c>
      <c r="L139" s="881">
        <f t="shared" si="206"/>
        <v>3391462.896101281</v>
      </c>
      <c r="M139" s="881">
        <f t="shared" si="206"/>
        <v>3443988.1500491202</v>
      </c>
      <c r="N139" s="881">
        <f t="shared" si="206"/>
        <v>3629574.5595135</v>
      </c>
      <c r="O139" s="881">
        <f t="shared" si="206"/>
        <v>3340369.1077072993</v>
      </c>
      <c r="P139" s="881">
        <f t="shared" si="206"/>
        <v>3754186.7909683841</v>
      </c>
      <c r="Q139" s="180">
        <f t="shared" ref="Q139:Q146" si="207">SUM(K139:P139)</f>
        <v>21015162.904713485</v>
      </c>
      <c r="R139" s="881">
        <f t="shared" ref="R139:W139" si="208">SUM(R140:R144)</f>
        <v>4839141.1161261015</v>
      </c>
      <c r="S139" s="881">
        <f t="shared" si="208"/>
        <v>4749350.5846987199</v>
      </c>
      <c r="T139" s="881">
        <f t="shared" si="208"/>
        <v>4822906.1131508788</v>
      </c>
      <c r="U139" s="881">
        <f t="shared" si="208"/>
        <v>5082798.3629864994</v>
      </c>
      <c r="V139" s="881">
        <f t="shared" si="208"/>
        <v>4677799.6577926986</v>
      </c>
      <c r="W139" s="881">
        <f t="shared" si="208"/>
        <v>5257303.3457776178</v>
      </c>
      <c r="X139" s="180">
        <f t="shared" ref="X139:X146" si="209">SUM(R139:W139)</f>
        <v>29429299.180532515</v>
      </c>
      <c r="Y139" s="881"/>
      <c r="Z139" s="881"/>
      <c r="AA139" s="881"/>
      <c r="AB139" s="881"/>
      <c r="AC139" s="881"/>
      <c r="AD139" s="881"/>
      <c r="AE139" s="180"/>
      <c r="AF139" s="1389"/>
      <c r="AG139" s="972"/>
      <c r="AH139" s="972"/>
      <c r="AI139" s="972"/>
    </row>
    <row r="140" spans="1:35">
      <c r="A140" s="57"/>
      <c r="B140" s="58"/>
      <c r="C140" s="887" t="s">
        <v>969</v>
      </c>
      <c r="D140" s="883">
        <f t="shared" ref="D140:H140" si="210">D206</f>
        <v>85508.861500000014</v>
      </c>
      <c r="E140" s="883">
        <f t="shared" si="210"/>
        <v>83264.008200000011</v>
      </c>
      <c r="F140" s="883">
        <f t="shared" si="210"/>
        <v>84990.998799999987</v>
      </c>
      <c r="G140" s="883">
        <f t="shared" si="210"/>
        <v>88963.373900000006</v>
      </c>
      <c r="H140" s="883">
        <f t="shared" si="210"/>
        <v>82005.938000000009</v>
      </c>
      <c r="I140" s="883">
        <f t="shared" ref="I140" si="211">I206</f>
        <v>86821.670899999997</v>
      </c>
      <c r="J140" s="180">
        <f t="shared" si="136"/>
        <v>511554.8513000001</v>
      </c>
      <c r="K140" s="883">
        <f t="shared" ref="K140:P144" si="212">D140*$AG140</f>
        <v>35622.991700900006</v>
      </c>
      <c r="L140" s="883">
        <f t="shared" si="212"/>
        <v>34687.785816120006</v>
      </c>
      <c r="M140" s="883">
        <f t="shared" si="212"/>
        <v>35407.250100079997</v>
      </c>
      <c r="N140" s="883">
        <f t="shared" si="212"/>
        <v>37062.141566740007</v>
      </c>
      <c r="O140" s="883">
        <f t="shared" si="212"/>
        <v>34163.673770800007</v>
      </c>
      <c r="P140" s="883">
        <f t="shared" si="212"/>
        <v>36169.908096940002</v>
      </c>
      <c r="Q140" s="180">
        <f t="shared" si="207"/>
        <v>213113.75105158001</v>
      </c>
      <c r="R140" s="883">
        <f t="shared" ref="R140:W144" si="213">D140-K140</f>
        <v>49885.869799100008</v>
      </c>
      <c r="S140" s="883">
        <f t="shared" si="213"/>
        <v>48576.222383880006</v>
      </c>
      <c r="T140" s="883">
        <f t="shared" si="213"/>
        <v>49583.74869991999</v>
      </c>
      <c r="U140" s="883">
        <f t="shared" si="213"/>
        <v>51901.232333259999</v>
      </c>
      <c r="V140" s="883">
        <f t="shared" si="213"/>
        <v>47842.264229200002</v>
      </c>
      <c r="W140" s="883">
        <f t="shared" si="213"/>
        <v>50651.762803059995</v>
      </c>
      <c r="X140" s="180">
        <f t="shared" si="209"/>
        <v>298441.10024841997</v>
      </c>
      <c r="Y140" s="883"/>
      <c r="Z140" s="883"/>
      <c r="AA140" s="883"/>
      <c r="AB140" s="883"/>
      <c r="AC140" s="883"/>
      <c r="AD140" s="883"/>
      <c r="AE140" s="180"/>
      <c r="AF140" s="1389"/>
      <c r="AG140" s="972">
        <f>$AG$27</f>
        <v>0.41660000000000003</v>
      </c>
      <c r="AH140" s="972">
        <f>$AG$27</f>
        <v>0.41660000000000003</v>
      </c>
      <c r="AI140" s="972">
        <f>$AG$27</f>
        <v>0.41660000000000003</v>
      </c>
    </row>
    <row r="141" spans="1:35">
      <c r="A141" s="57"/>
      <c r="B141" s="58"/>
      <c r="C141" s="887" t="s">
        <v>970</v>
      </c>
      <c r="D141" s="883">
        <f t="shared" ref="D141:H141" si="214">D207</f>
        <v>5504362.5752000026</v>
      </c>
      <c r="E141" s="883">
        <f t="shared" si="214"/>
        <v>5372740.1977000013</v>
      </c>
      <c r="F141" s="883">
        <f t="shared" si="214"/>
        <v>5233248.9645999996</v>
      </c>
      <c r="G141" s="883">
        <f t="shared" si="214"/>
        <v>5430812.3873999994</v>
      </c>
      <c r="H141" s="883">
        <f t="shared" si="214"/>
        <v>4974420.5512999985</v>
      </c>
      <c r="I141" s="883">
        <f t="shared" ref="I141:I144" si="215">I207</f>
        <v>5368026.0986840017</v>
      </c>
      <c r="J141" s="180">
        <f t="shared" si="136"/>
        <v>31883610.774884004</v>
      </c>
      <c r="K141" s="883">
        <f t="shared" si="212"/>
        <v>2293117.4488283214</v>
      </c>
      <c r="L141" s="883">
        <f t="shared" si="212"/>
        <v>2238283.5663618208</v>
      </c>
      <c r="M141" s="883">
        <f t="shared" si="212"/>
        <v>2180171.51865236</v>
      </c>
      <c r="N141" s="883">
        <f t="shared" si="212"/>
        <v>2262476.4405908398</v>
      </c>
      <c r="O141" s="883">
        <f t="shared" si="212"/>
        <v>2072343.6016715795</v>
      </c>
      <c r="P141" s="883">
        <f t="shared" si="212"/>
        <v>2236319.6727117551</v>
      </c>
      <c r="Q141" s="180">
        <f t="shared" si="207"/>
        <v>13282712.248816676</v>
      </c>
      <c r="R141" s="883">
        <f t="shared" si="213"/>
        <v>3211245.1263716812</v>
      </c>
      <c r="S141" s="883">
        <f t="shared" si="213"/>
        <v>3134456.6313381805</v>
      </c>
      <c r="T141" s="883">
        <f t="shared" si="213"/>
        <v>3053077.4459476396</v>
      </c>
      <c r="U141" s="883">
        <f t="shared" si="213"/>
        <v>3168335.9468091596</v>
      </c>
      <c r="V141" s="883">
        <f t="shared" si="213"/>
        <v>2902076.9496284192</v>
      </c>
      <c r="W141" s="883">
        <f t="shared" si="213"/>
        <v>3131706.4259722466</v>
      </c>
      <c r="X141" s="180">
        <f t="shared" si="209"/>
        <v>18600898.526067324</v>
      </c>
      <c r="Y141" s="883"/>
      <c r="Z141" s="883"/>
      <c r="AA141" s="883"/>
      <c r="AB141" s="883"/>
      <c r="AC141" s="883"/>
      <c r="AD141" s="883"/>
      <c r="AE141" s="180"/>
      <c r="AF141" s="1389"/>
      <c r="AG141" s="972">
        <f t="shared" ref="AG141:AI144" si="216">AG28</f>
        <v>0.41660000000000003</v>
      </c>
      <c r="AH141" s="972">
        <f t="shared" si="216"/>
        <v>0.24340000000000001</v>
      </c>
      <c r="AI141" s="972">
        <f t="shared" si="216"/>
        <v>0.33999999999999997</v>
      </c>
    </row>
    <row r="142" spans="1:35">
      <c r="A142" s="57"/>
      <c r="B142" s="58"/>
      <c r="C142" s="887" t="s">
        <v>1011</v>
      </c>
      <c r="D142" s="883">
        <f t="shared" ref="D142:H142" si="217">D208</f>
        <v>108136.32640000002</v>
      </c>
      <c r="E142" s="883">
        <f t="shared" si="217"/>
        <v>105559.34230000002</v>
      </c>
      <c r="F142" s="883">
        <f t="shared" si="217"/>
        <v>103747.96869999997</v>
      </c>
      <c r="G142" s="883">
        <f t="shared" si="217"/>
        <v>105487.67110000004</v>
      </c>
      <c r="H142" s="883">
        <f t="shared" si="217"/>
        <v>91154.265899999999</v>
      </c>
      <c r="I142" s="883">
        <f t="shared" si="215"/>
        <v>102111.67966199981</v>
      </c>
      <c r="J142" s="180">
        <f t="shared" si="136"/>
        <v>616197.25406199985</v>
      </c>
      <c r="K142" s="883">
        <f t="shared" si="212"/>
        <v>45049.593578240012</v>
      </c>
      <c r="L142" s="883">
        <f t="shared" si="212"/>
        <v>43976.022002180012</v>
      </c>
      <c r="M142" s="883">
        <f t="shared" si="212"/>
        <v>43221.403760419991</v>
      </c>
      <c r="N142" s="883">
        <f t="shared" si="212"/>
        <v>43946.163780260016</v>
      </c>
      <c r="O142" s="883">
        <f t="shared" si="212"/>
        <v>37974.867173940002</v>
      </c>
      <c r="P142" s="883">
        <f t="shared" si="212"/>
        <v>42539.725747189121</v>
      </c>
      <c r="Q142" s="180">
        <f t="shared" si="207"/>
        <v>256707.77604222915</v>
      </c>
      <c r="R142" s="883">
        <f t="shared" si="213"/>
        <v>63086.732821760008</v>
      </c>
      <c r="S142" s="883">
        <f t="shared" si="213"/>
        <v>61583.320297820006</v>
      </c>
      <c r="T142" s="883">
        <f t="shared" si="213"/>
        <v>60526.564939579977</v>
      </c>
      <c r="U142" s="883">
        <f t="shared" si="213"/>
        <v>61541.50731974002</v>
      </c>
      <c r="V142" s="883">
        <f t="shared" si="213"/>
        <v>53179.398726059997</v>
      </c>
      <c r="W142" s="883">
        <f t="shared" si="213"/>
        <v>59571.953914810685</v>
      </c>
      <c r="X142" s="180">
        <f t="shared" si="209"/>
        <v>359489.4780197707</v>
      </c>
      <c r="Y142" s="883"/>
      <c r="Z142" s="883"/>
      <c r="AA142" s="883"/>
      <c r="AB142" s="883"/>
      <c r="AC142" s="883"/>
      <c r="AD142" s="883"/>
      <c r="AE142" s="180"/>
      <c r="AF142" s="1389"/>
      <c r="AG142" s="972">
        <f t="shared" si="216"/>
        <v>0.41660000000000003</v>
      </c>
      <c r="AH142" s="972">
        <f t="shared" si="216"/>
        <v>0.24340000000000001</v>
      </c>
      <c r="AI142" s="972">
        <f t="shared" si="216"/>
        <v>0.33999999999999997</v>
      </c>
    </row>
    <row r="143" spans="1:35">
      <c r="A143" s="57"/>
      <c r="B143" s="58"/>
      <c r="C143" s="887" t="s">
        <v>1012</v>
      </c>
      <c r="D143" s="883">
        <f t="shared" ref="D143:H143" si="218">D209</f>
        <v>1115022.7058999999</v>
      </c>
      <c r="E143" s="883">
        <f t="shared" si="218"/>
        <v>1073229.425</v>
      </c>
      <c r="F143" s="883">
        <f t="shared" si="218"/>
        <v>1058189.203</v>
      </c>
      <c r="G143" s="883">
        <f t="shared" si="218"/>
        <v>1104791.4608</v>
      </c>
      <c r="H143" s="883">
        <f t="shared" si="218"/>
        <v>977084.27559999994</v>
      </c>
      <c r="I143" s="883">
        <f t="shared" si="215"/>
        <v>991850.93750600005</v>
      </c>
      <c r="J143" s="180">
        <f t="shared" si="136"/>
        <v>6320168.0078060012</v>
      </c>
      <c r="K143" s="883">
        <f t="shared" si="212"/>
        <v>464518.45927793998</v>
      </c>
      <c r="L143" s="883">
        <f t="shared" si="212"/>
        <v>447107.37845500006</v>
      </c>
      <c r="M143" s="883">
        <f t="shared" si="212"/>
        <v>440841.62196980004</v>
      </c>
      <c r="N143" s="883">
        <f t="shared" si="212"/>
        <v>460256.12256928004</v>
      </c>
      <c r="O143" s="883">
        <f t="shared" si="212"/>
        <v>407053.30921496003</v>
      </c>
      <c r="P143" s="883">
        <f t="shared" si="212"/>
        <v>413205.10056499962</v>
      </c>
      <c r="Q143" s="180">
        <f t="shared" si="207"/>
        <v>2632981.9920519795</v>
      </c>
      <c r="R143" s="883">
        <f t="shared" si="213"/>
        <v>650504.24662205996</v>
      </c>
      <c r="S143" s="883">
        <f t="shared" si="213"/>
        <v>626122.04654500005</v>
      </c>
      <c r="T143" s="883">
        <f t="shared" si="213"/>
        <v>617347.5810302</v>
      </c>
      <c r="U143" s="883">
        <f t="shared" si="213"/>
        <v>644535.33823072002</v>
      </c>
      <c r="V143" s="883">
        <f t="shared" si="213"/>
        <v>570030.96638503997</v>
      </c>
      <c r="W143" s="883">
        <f t="shared" si="213"/>
        <v>578645.83694100042</v>
      </c>
      <c r="X143" s="180">
        <f t="shared" si="209"/>
        <v>3687186.0157540208</v>
      </c>
      <c r="Y143" s="883"/>
      <c r="Z143" s="883"/>
      <c r="AA143" s="883"/>
      <c r="AB143" s="883"/>
      <c r="AC143" s="883"/>
      <c r="AD143" s="883"/>
      <c r="AE143" s="180"/>
      <c r="AF143" s="1389"/>
      <c r="AG143" s="972">
        <f t="shared" si="216"/>
        <v>0.41660000000000003</v>
      </c>
      <c r="AH143" s="972">
        <f t="shared" si="216"/>
        <v>0.24340000000000001</v>
      </c>
      <c r="AI143" s="972">
        <f t="shared" si="216"/>
        <v>0.33999999999999997</v>
      </c>
    </row>
    <row r="144" spans="1:35">
      <c r="A144" s="57"/>
      <c r="B144" s="58"/>
      <c r="C144" s="887" t="s">
        <v>1108</v>
      </c>
      <c r="D144" s="883">
        <f t="shared" ref="D144:H144" si="219">D210</f>
        <v>1481692.0475000001</v>
      </c>
      <c r="E144" s="883">
        <f t="shared" si="219"/>
        <v>1506020.5075999997</v>
      </c>
      <c r="F144" s="883">
        <f t="shared" si="219"/>
        <v>1786717.1281000001</v>
      </c>
      <c r="G144" s="883">
        <f t="shared" si="219"/>
        <v>1982318.0293000001</v>
      </c>
      <c r="H144" s="883">
        <f t="shared" si="219"/>
        <v>1893503.7346999997</v>
      </c>
      <c r="I144" s="883">
        <f t="shared" si="215"/>
        <v>2462679.7499940004</v>
      </c>
      <c r="J144" s="180">
        <f t="shared" si="136"/>
        <v>11112931.197194001</v>
      </c>
      <c r="K144" s="883">
        <f t="shared" si="212"/>
        <v>617272.90698850004</v>
      </c>
      <c r="L144" s="883">
        <f t="shared" si="212"/>
        <v>627408.14346615993</v>
      </c>
      <c r="M144" s="883">
        <f t="shared" si="212"/>
        <v>744346.35556646006</v>
      </c>
      <c r="N144" s="883">
        <f t="shared" si="212"/>
        <v>825833.69100638002</v>
      </c>
      <c r="O144" s="883">
        <f t="shared" si="212"/>
        <v>788833.65587601997</v>
      </c>
      <c r="P144" s="883">
        <f t="shared" si="212"/>
        <v>1025952.3838475007</v>
      </c>
      <c r="Q144" s="180">
        <f t="shared" si="207"/>
        <v>4629647.1367510203</v>
      </c>
      <c r="R144" s="883">
        <f t="shared" si="213"/>
        <v>864419.14051150007</v>
      </c>
      <c r="S144" s="883">
        <f t="shared" si="213"/>
        <v>878612.36413383973</v>
      </c>
      <c r="T144" s="883">
        <f t="shared" si="213"/>
        <v>1042370.77253354</v>
      </c>
      <c r="U144" s="883">
        <f t="shared" si="213"/>
        <v>1156484.3382936199</v>
      </c>
      <c r="V144" s="883">
        <f t="shared" si="213"/>
        <v>1104670.0788239797</v>
      </c>
      <c r="W144" s="883">
        <f t="shared" si="213"/>
        <v>1436727.3661464998</v>
      </c>
      <c r="X144" s="180">
        <f t="shared" si="209"/>
        <v>6483284.0604429785</v>
      </c>
      <c r="Y144" s="883"/>
      <c r="Z144" s="883"/>
      <c r="AA144" s="883"/>
      <c r="AB144" s="883"/>
      <c r="AC144" s="883"/>
      <c r="AD144" s="883"/>
      <c r="AE144" s="180"/>
      <c r="AF144" s="1389"/>
      <c r="AG144" s="972">
        <f t="shared" si="216"/>
        <v>0.41660000000000003</v>
      </c>
      <c r="AH144" s="972">
        <f t="shared" si="216"/>
        <v>0.24340000000000001</v>
      </c>
      <c r="AI144" s="972">
        <f t="shared" si="216"/>
        <v>0.33999999999999997</v>
      </c>
    </row>
    <row r="145" spans="1:32">
      <c r="A145" s="57"/>
      <c r="B145" s="58"/>
      <c r="C145" s="882"/>
      <c r="D145" s="883"/>
      <c r="E145" s="883"/>
      <c r="F145" s="883"/>
      <c r="G145" s="883"/>
      <c r="H145" s="883"/>
      <c r="I145" s="883"/>
      <c r="J145" s="180">
        <f t="shared" si="136"/>
        <v>0</v>
      </c>
      <c r="K145" s="883"/>
      <c r="L145" s="883"/>
      <c r="M145" s="883"/>
      <c r="N145" s="883"/>
      <c r="O145" s="883"/>
      <c r="P145" s="883"/>
      <c r="Q145" s="180">
        <f t="shared" si="207"/>
        <v>0</v>
      </c>
      <c r="R145" s="883"/>
      <c r="S145" s="883"/>
      <c r="T145" s="883"/>
      <c r="U145" s="883"/>
      <c r="V145" s="883"/>
      <c r="W145" s="883"/>
      <c r="X145" s="180">
        <f t="shared" si="209"/>
        <v>0</v>
      </c>
      <c r="Y145" s="883"/>
      <c r="Z145" s="883"/>
      <c r="AA145" s="883"/>
      <c r="AB145" s="883"/>
      <c r="AC145" s="883"/>
      <c r="AD145" s="883"/>
      <c r="AE145" s="180"/>
      <c r="AF145" s="1389"/>
    </row>
    <row r="146" spans="1:32">
      <c r="A146" s="57"/>
      <c r="B146" s="58"/>
      <c r="C146" s="880" t="s">
        <v>112</v>
      </c>
      <c r="D146" s="881">
        <f t="shared" ref="D146:I146" si="220">D114+D122+D135</f>
        <v>88736882.514215022</v>
      </c>
      <c r="E146" s="881">
        <f t="shared" si="220"/>
        <v>85915695.020995006</v>
      </c>
      <c r="F146" s="881">
        <f t="shared" si="220"/>
        <v>85216320.238540009</v>
      </c>
      <c r="G146" s="881">
        <f t="shared" si="220"/>
        <v>90843240.803800002</v>
      </c>
      <c r="H146" s="881">
        <f t="shared" si="220"/>
        <v>79770451.04869999</v>
      </c>
      <c r="I146" s="881">
        <f t="shared" si="220"/>
        <v>78864509.492409497</v>
      </c>
      <c r="J146" s="180">
        <f t="shared" si="136"/>
        <v>509347099.1186595</v>
      </c>
      <c r="K146" s="881">
        <f t="shared" ref="K146:P146" si="221">K114+K122+K135</f>
        <v>29197568.955822255</v>
      </c>
      <c r="L146" s="881">
        <f t="shared" si="221"/>
        <v>28252382.756602321</v>
      </c>
      <c r="M146" s="881">
        <f t="shared" si="221"/>
        <v>27937855.311951507</v>
      </c>
      <c r="N146" s="881">
        <f t="shared" si="221"/>
        <v>30126788.276036702</v>
      </c>
      <c r="O146" s="881">
        <f t="shared" si="221"/>
        <v>25863467.339891337</v>
      </c>
      <c r="P146" s="881">
        <f t="shared" si="221"/>
        <v>28873884.654079329</v>
      </c>
      <c r="Q146" s="180">
        <f t="shared" si="207"/>
        <v>170251947.29438344</v>
      </c>
      <c r="R146" s="881">
        <f t="shared" ref="R146:W146" si="222">R114+R122+R135</f>
        <v>59539313.558392756</v>
      </c>
      <c r="S146" s="881">
        <f t="shared" si="222"/>
        <v>57663312.264392689</v>
      </c>
      <c r="T146" s="881">
        <f t="shared" si="222"/>
        <v>57278464.926588491</v>
      </c>
      <c r="U146" s="881">
        <f t="shared" si="222"/>
        <v>60716452.527763307</v>
      </c>
      <c r="V146" s="881">
        <f t="shared" si="222"/>
        <v>53906983.708808646</v>
      </c>
      <c r="W146" s="881">
        <f t="shared" si="222"/>
        <v>49990624.838330179</v>
      </c>
      <c r="X146" s="180">
        <f t="shared" si="209"/>
        <v>339095151.82427609</v>
      </c>
      <c r="Y146" s="881"/>
      <c r="Z146" s="881"/>
      <c r="AA146" s="881"/>
      <c r="AB146" s="881"/>
      <c r="AC146" s="881"/>
      <c r="AD146" s="881"/>
      <c r="AE146" s="180"/>
      <c r="AF146" s="1389"/>
    </row>
    <row r="147" spans="1:32">
      <c r="D147" s="1246">
        <f>D146-K146-R146</f>
        <v>0</v>
      </c>
      <c r="E147" s="1246">
        <f t="shared" ref="E147" si="223">E146-L146-S146</f>
        <v>0</v>
      </c>
      <c r="F147" s="1246">
        <f t="shared" ref="F147" si="224">F146-M146-T146</f>
        <v>0</v>
      </c>
      <c r="G147" s="1246">
        <f t="shared" ref="G147" si="225">G146-N146-U146</f>
        <v>0</v>
      </c>
      <c r="H147" s="1246">
        <f t="shared" ref="H147" si="226">H146-O146-V146</f>
        <v>0</v>
      </c>
      <c r="I147" s="1246">
        <f t="shared" ref="I147" si="227">I146-P146-W146</f>
        <v>0</v>
      </c>
      <c r="J147" s="1246">
        <f t="shared" ref="J147" si="228">J146-Q146-X146</f>
        <v>0</v>
      </c>
      <c r="L147" s="589"/>
      <c r="M147" s="589"/>
      <c r="N147" s="589"/>
      <c r="O147" s="589"/>
      <c r="P147" s="589"/>
      <c r="S147" s="589"/>
      <c r="T147" s="589"/>
      <c r="U147" s="589"/>
      <c r="V147" s="589"/>
      <c r="W147" s="589"/>
      <c r="Z147" s="589"/>
      <c r="AA147" s="589"/>
    </row>
    <row r="148" spans="1:32">
      <c r="D148" s="588"/>
      <c r="E148" s="588"/>
      <c r="F148" s="588"/>
      <c r="G148" s="588"/>
      <c r="H148" s="588"/>
      <c r="I148" s="588"/>
      <c r="J148" s="588"/>
      <c r="L148" s="589"/>
      <c r="M148" s="589"/>
      <c r="N148" s="589"/>
      <c r="O148" s="589"/>
      <c r="P148" s="589"/>
      <c r="S148" s="589"/>
      <c r="T148" s="589"/>
      <c r="U148" s="589"/>
      <c r="V148" s="589"/>
      <c r="W148" s="589"/>
      <c r="Z148" s="589"/>
      <c r="AA148" s="589"/>
    </row>
    <row r="149" spans="1:32">
      <c r="A149" s="57"/>
      <c r="B149" s="58"/>
      <c r="C149" s="880"/>
      <c r="D149" s="881">
        <f t="shared" ref="D149:X149" si="229">D109+D146</f>
        <v>371528672.51421499</v>
      </c>
      <c r="E149" s="881">
        <f t="shared" si="229"/>
        <v>368823547.02099502</v>
      </c>
      <c r="F149" s="881">
        <f t="shared" si="229"/>
        <v>362874426.23853999</v>
      </c>
      <c r="G149" s="881">
        <f t="shared" si="229"/>
        <v>372773147.80379999</v>
      </c>
      <c r="H149" s="881">
        <f t="shared" si="229"/>
        <v>349739826.04869998</v>
      </c>
      <c r="I149" s="881">
        <f t="shared" si="229"/>
        <v>350018527.49240947</v>
      </c>
      <c r="J149" s="180">
        <f t="shared" si="229"/>
        <v>2175758147.1186595</v>
      </c>
      <c r="K149" s="46">
        <f t="shared" si="229"/>
        <v>109125124.99202229</v>
      </c>
      <c r="L149" s="46">
        <f t="shared" si="229"/>
        <v>107819946.40410233</v>
      </c>
      <c r="M149" s="46">
        <f t="shared" si="229"/>
        <v>105658629.51985152</v>
      </c>
      <c r="N149" s="46">
        <f t="shared" si="229"/>
        <v>109249762.2569367</v>
      </c>
      <c r="O149" s="46">
        <f t="shared" si="229"/>
        <v>100087493.22469136</v>
      </c>
      <c r="P149" s="46">
        <f t="shared" si="229"/>
        <v>104139193.25847936</v>
      </c>
      <c r="Q149" s="47">
        <f t="shared" si="229"/>
        <v>636080149.65608358</v>
      </c>
      <c r="R149" s="46">
        <f t="shared" si="229"/>
        <v>262403547.52219272</v>
      </c>
      <c r="S149" s="46">
        <f t="shared" si="229"/>
        <v>261003600.6168927</v>
      </c>
      <c r="T149" s="46">
        <f t="shared" si="229"/>
        <v>257215796.71868849</v>
      </c>
      <c r="U149" s="46">
        <f t="shared" si="229"/>
        <v>263523385.54686332</v>
      </c>
      <c r="V149" s="46">
        <f t="shared" si="229"/>
        <v>249652332.82400864</v>
      </c>
      <c r="W149" s="46">
        <f t="shared" si="229"/>
        <v>245879334.23393014</v>
      </c>
      <c r="X149" s="47">
        <f t="shared" si="229"/>
        <v>1539677997.4625759</v>
      </c>
      <c r="Y149" s="46"/>
      <c r="Z149" s="46"/>
      <c r="AA149" s="46"/>
      <c r="AB149" s="46"/>
      <c r="AC149" s="46"/>
      <c r="AD149" s="46"/>
      <c r="AE149" s="47"/>
      <c r="AF149" s="1391"/>
    </row>
    <row r="150" spans="1:32" ht="18.75">
      <c r="C150" s="590"/>
      <c r="D150" s="1246">
        <f>D149-K149-R149</f>
        <v>0</v>
      </c>
      <c r="E150" s="1246">
        <f t="shared" ref="E150" si="230">E149-L149-S149</f>
        <v>0</v>
      </c>
      <c r="F150" s="1246">
        <f t="shared" ref="F150" si="231">F149-M149-T149</f>
        <v>0</v>
      </c>
      <c r="G150" s="1246">
        <f t="shared" ref="G150" si="232">G149-N149-U149</f>
        <v>0</v>
      </c>
      <c r="H150" s="1246">
        <f t="shared" ref="H150" si="233">H149-O149-V149</f>
        <v>0</v>
      </c>
      <c r="I150" s="1246">
        <f t="shared" ref="I150" si="234">I149-P149-W149</f>
        <v>0</v>
      </c>
      <c r="J150" s="1246">
        <f t="shared" ref="J150" si="235">J149-Q149-X149</f>
        <v>0</v>
      </c>
    </row>
    <row r="151" spans="1:32">
      <c r="C151" s="56" t="s">
        <v>1254</v>
      </c>
    </row>
    <row r="153" spans="1:32">
      <c r="D153" s="589">
        <f>SUM(D155:D158)</f>
        <v>165371523</v>
      </c>
      <c r="E153" s="589">
        <f t="shared" ref="E153:J153" si="236">SUM(E155:E158)</f>
        <v>165142035</v>
      </c>
      <c r="F153" s="589">
        <f t="shared" si="236"/>
        <v>163605881</v>
      </c>
      <c r="G153" s="589">
        <f t="shared" si="236"/>
        <v>163805375</v>
      </c>
      <c r="H153" s="589">
        <f t="shared" si="236"/>
        <v>158013181</v>
      </c>
      <c r="I153" s="589">
        <f t="shared" si="236"/>
        <v>159426220</v>
      </c>
      <c r="J153" s="589">
        <f t="shared" si="236"/>
        <v>975364215</v>
      </c>
    </row>
    <row r="154" spans="1:32">
      <c r="D154" s="589"/>
      <c r="E154" s="589"/>
      <c r="F154" s="589"/>
      <c r="G154" s="589"/>
      <c r="H154" s="589"/>
      <c r="I154" s="589"/>
      <c r="J154" s="589"/>
    </row>
    <row r="155" spans="1:32">
      <c r="B155" s="56" t="str">
        <f>B65</f>
        <v>BTS 1</v>
      </c>
      <c r="D155" s="589">
        <f t="shared" ref="D155:I165" si="237">SUMIF($B$4:$B$146,$B155,D$4:D$146)</f>
        <v>46806799</v>
      </c>
      <c r="E155" s="589">
        <f t="shared" si="237"/>
        <v>46579318</v>
      </c>
      <c r="F155" s="589">
        <f t="shared" si="237"/>
        <v>47216690</v>
      </c>
      <c r="G155" s="589">
        <f t="shared" si="237"/>
        <v>46971939</v>
      </c>
      <c r="H155" s="589">
        <f t="shared" si="237"/>
        <v>48087485</v>
      </c>
      <c r="I155" s="589">
        <f t="shared" si="237"/>
        <v>47534570</v>
      </c>
      <c r="J155" s="589">
        <f>SUM(D155:I155)</f>
        <v>283196801</v>
      </c>
    </row>
    <row r="156" spans="1:32">
      <c r="B156" s="56" t="s">
        <v>750</v>
      </c>
      <c r="D156" s="589">
        <f t="shared" si="237"/>
        <v>49250315</v>
      </c>
      <c r="E156" s="589">
        <f t="shared" si="237"/>
        <v>49791736</v>
      </c>
      <c r="F156" s="589">
        <f t="shared" si="237"/>
        <v>48506495</v>
      </c>
      <c r="G156" s="589">
        <f t="shared" si="237"/>
        <v>48473458</v>
      </c>
      <c r="H156" s="589">
        <f t="shared" si="237"/>
        <v>46806378</v>
      </c>
      <c r="I156" s="589">
        <f t="shared" si="237"/>
        <v>45725786</v>
      </c>
      <c r="J156" s="589">
        <f t="shared" ref="J156:J165" si="238">SUM(D156:I156)</f>
        <v>288554168</v>
      </c>
    </row>
    <row r="157" spans="1:32">
      <c r="B157" s="56" t="s">
        <v>749</v>
      </c>
      <c r="D157" s="589">
        <f t="shared" si="237"/>
        <v>54613850</v>
      </c>
      <c r="E157" s="589">
        <f t="shared" si="237"/>
        <v>54327073</v>
      </c>
      <c r="F157" s="589">
        <f t="shared" si="237"/>
        <v>52998131</v>
      </c>
      <c r="G157" s="589">
        <f t="shared" si="237"/>
        <v>53736809</v>
      </c>
      <c r="H157" s="589">
        <f t="shared" si="237"/>
        <v>49483276</v>
      </c>
      <c r="I157" s="589">
        <f t="shared" si="237"/>
        <v>51366818</v>
      </c>
      <c r="J157" s="589">
        <f t="shared" si="238"/>
        <v>316525957</v>
      </c>
    </row>
    <row r="158" spans="1:32">
      <c r="B158" s="56" t="str">
        <f>B86</f>
        <v>BTS PP</v>
      </c>
      <c r="D158" s="589">
        <f t="shared" si="237"/>
        <v>14700559</v>
      </c>
      <c r="E158" s="589">
        <f t="shared" si="237"/>
        <v>14443908</v>
      </c>
      <c r="F158" s="589">
        <f t="shared" si="237"/>
        <v>14884565</v>
      </c>
      <c r="G158" s="589">
        <f t="shared" si="237"/>
        <v>14623169</v>
      </c>
      <c r="H158" s="589">
        <f t="shared" si="237"/>
        <v>13636042</v>
      </c>
      <c r="I158" s="589">
        <f t="shared" si="237"/>
        <v>14799046</v>
      </c>
      <c r="J158" s="589">
        <f t="shared" si="238"/>
        <v>87087289</v>
      </c>
    </row>
    <row r="159" spans="1:32">
      <c r="B159" s="56" t="s">
        <v>1176</v>
      </c>
      <c r="D159" s="589">
        <f t="shared" si="237"/>
        <v>0</v>
      </c>
      <c r="E159" s="589">
        <f t="shared" si="237"/>
        <v>0</v>
      </c>
      <c r="F159" s="589">
        <f t="shared" si="237"/>
        <v>0</v>
      </c>
      <c r="G159" s="589">
        <f t="shared" si="237"/>
        <v>0</v>
      </c>
      <c r="H159" s="589">
        <f t="shared" si="237"/>
        <v>0</v>
      </c>
      <c r="I159" s="589">
        <f t="shared" si="237"/>
        <v>0</v>
      </c>
      <c r="J159" s="589">
        <f>SUM(D159:I159)</f>
        <v>0</v>
      </c>
    </row>
    <row r="160" spans="1:32">
      <c r="B160" s="56" t="str">
        <f>B27</f>
        <v>BTD</v>
      </c>
      <c r="D160" s="589">
        <f t="shared" si="237"/>
        <v>60042933</v>
      </c>
      <c r="E160" s="589">
        <f t="shared" si="237"/>
        <v>59582611</v>
      </c>
      <c r="F160" s="589">
        <f t="shared" si="237"/>
        <v>57347048</v>
      </c>
      <c r="G160" s="589">
        <f t="shared" si="237"/>
        <v>59528985</v>
      </c>
      <c r="H160" s="589">
        <f t="shared" si="237"/>
        <v>56096582</v>
      </c>
      <c r="I160" s="589">
        <f t="shared" si="237"/>
        <v>55882612</v>
      </c>
      <c r="J160" s="589">
        <f t="shared" si="238"/>
        <v>348480771</v>
      </c>
    </row>
    <row r="161" spans="2:10">
      <c r="B161" s="56" t="str">
        <f>B21</f>
        <v>BTH</v>
      </c>
      <c r="D161" s="589">
        <f t="shared" si="237"/>
        <v>2796078</v>
      </c>
      <c r="E161" s="589">
        <f t="shared" si="237"/>
        <v>2776295</v>
      </c>
      <c r="F161" s="589">
        <f t="shared" si="237"/>
        <v>2745536</v>
      </c>
      <c r="G161" s="589">
        <f t="shared" si="237"/>
        <v>2827585</v>
      </c>
      <c r="H161" s="589">
        <f t="shared" si="237"/>
        <v>2788874</v>
      </c>
      <c r="I161" s="589">
        <f t="shared" si="237"/>
        <v>2916840</v>
      </c>
      <c r="J161" s="589">
        <f t="shared" si="238"/>
        <v>16851208</v>
      </c>
    </row>
    <row r="162" spans="2:10">
      <c r="B162" s="56" t="str">
        <f>B14</f>
        <v>MTD</v>
      </c>
      <c r="D162" s="589">
        <f t="shared" si="237"/>
        <v>25243627</v>
      </c>
      <c r="E162" s="589">
        <f t="shared" si="237"/>
        <v>25925106</v>
      </c>
      <c r="F162" s="589">
        <f t="shared" si="237"/>
        <v>24949026</v>
      </c>
      <c r="G162" s="589">
        <f t="shared" si="237"/>
        <v>26314436</v>
      </c>
      <c r="H162" s="589">
        <f t="shared" si="237"/>
        <v>23633501</v>
      </c>
      <c r="I162" s="589">
        <f t="shared" si="237"/>
        <v>24604968</v>
      </c>
      <c r="J162" s="589">
        <f t="shared" si="238"/>
        <v>150670664</v>
      </c>
    </row>
    <row r="163" spans="2:10">
      <c r="B163" s="56" t="str">
        <f>B10</f>
        <v>MTH</v>
      </c>
      <c r="D163" s="589">
        <f t="shared" si="237"/>
        <v>4273523</v>
      </c>
      <c r="E163" s="589">
        <f t="shared" si="237"/>
        <v>4365765</v>
      </c>
      <c r="F163" s="589">
        <f t="shared" si="237"/>
        <v>4346196</v>
      </c>
      <c r="G163" s="589">
        <f t="shared" si="237"/>
        <v>4101155</v>
      </c>
      <c r="H163" s="589">
        <f t="shared" si="237"/>
        <v>4984929</v>
      </c>
      <c r="I163" s="589">
        <f t="shared" si="237"/>
        <v>3245368</v>
      </c>
      <c r="J163" s="589">
        <f t="shared" si="238"/>
        <v>25316936</v>
      </c>
    </row>
    <row r="164" spans="2:10">
      <c r="B164" s="56" t="str">
        <f>B7</f>
        <v>ATD</v>
      </c>
      <c r="D164" s="589">
        <f t="shared" si="237"/>
        <v>0</v>
      </c>
      <c r="E164" s="589">
        <f t="shared" si="237"/>
        <v>0</v>
      </c>
      <c r="F164" s="589">
        <f t="shared" si="237"/>
        <v>0</v>
      </c>
      <c r="G164" s="589">
        <f t="shared" si="237"/>
        <v>0</v>
      </c>
      <c r="H164" s="589">
        <f t="shared" si="237"/>
        <v>0</v>
      </c>
      <c r="I164" s="589">
        <f t="shared" si="237"/>
        <v>0</v>
      </c>
      <c r="J164" s="589">
        <f t="shared" si="238"/>
        <v>0</v>
      </c>
    </row>
    <row r="165" spans="2:10">
      <c r="B165" s="56" t="str">
        <f>B6</f>
        <v>ATH</v>
      </c>
      <c r="D165" s="589">
        <f t="shared" si="237"/>
        <v>18371399</v>
      </c>
      <c r="E165" s="589">
        <f t="shared" si="237"/>
        <v>18422499</v>
      </c>
      <c r="F165" s="589">
        <f t="shared" si="237"/>
        <v>18003680</v>
      </c>
      <c r="G165" s="589">
        <f t="shared" si="237"/>
        <v>18689952</v>
      </c>
      <c r="H165" s="589">
        <f t="shared" si="237"/>
        <v>17823144</v>
      </c>
      <c r="I165" s="589">
        <f t="shared" si="237"/>
        <v>18498181</v>
      </c>
      <c r="J165" s="589">
        <f t="shared" si="238"/>
        <v>109808855</v>
      </c>
    </row>
    <row r="166" spans="2:10">
      <c r="D166" s="589">
        <f>SUM(D155:D165)</f>
        <v>276099083</v>
      </c>
      <c r="E166" s="589">
        <f t="shared" ref="E166:J166" si="239">SUM(E155:E165)</f>
        <v>276214311</v>
      </c>
      <c r="F166" s="589">
        <f t="shared" si="239"/>
        <v>270997367</v>
      </c>
      <c r="G166" s="589">
        <f t="shared" si="239"/>
        <v>275267488</v>
      </c>
      <c r="H166" s="589">
        <f t="shared" si="239"/>
        <v>263340211</v>
      </c>
      <c r="I166" s="589">
        <f t="shared" si="239"/>
        <v>264574189</v>
      </c>
      <c r="J166" s="589">
        <f t="shared" si="239"/>
        <v>1626492649</v>
      </c>
    </row>
    <row r="167" spans="2:10">
      <c r="D167" s="968">
        <f t="shared" ref="D167:J167" si="240">D107-D166</f>
        <v>0</v>
      </c>
      <c r="E167" s="968">
        <f t="shared" si="240"/>
        <v>0</v>
      </c>
      <c r="F167" s="968">
        <f t="shared" si="240"/>
        <v>0</v>
      </c>
      <c r="G167" s="968">
        <f t="shared" si="240"/>
        <v>0</v>
      </c>
      <c r="H167" s="968">
        <f t="shared" si="240"/>
        <v>0</v>
      </c>
      <c r="I167" s="968">
        <f t="shared" si="240"/>
        <v>0</v>
      </c>
      <c r="J167" s="968">
        <f t="shared" si="240"/>
        <v>0</v>
      </c>
    </row>
    <row r="168" spans="2:10">
      <c r="D168" s="968"/>
      <c r="E168" s="968"/>
      <c r="F168" s="968"/>
      <c r="G168" s="968"/>
      <c r="H168" s="968"/>
      <c r="I168" s="968"/>
      <c r="J168" s="968"/>
    </row>
    <row r="169" spans="2:10">
      <c r="C169" s="569" t="s">
        <v>1300</v>
      </c>
      <c r="D169" s="589"/>
      <c r="E169" s="589"/>
      <c r="F169" s="589"/>
      <c r="G169" s="589"/>
      <c r="H169" s="589"/>
      <c r="I169" s="589"/>
      <c r="J169" s="589"/>
    </row>
    <row r="170" spans="2:10">
      <c r="C170" s="523" t="s">
        <v>279</v>
      </c>
      <c r="D170" s="534">
        <v>4779684</v>
      </c>
      <c r="E170" s="534">
        <v>4536363</v>
      </c>
      <c r="F170" s="534">
        <v>4342310</v>
      </c>
      <c r="G170" s="534">
        <v>4342310</v>
      </c>
      <c r="H170" s="534">
        <v>3485560</v>
      </c>
      <c r="I170" s="534">
        <v>4070278</v>
      </c>
      <c r="J170" s="523">
        <f>SUM(D170:I170)</f>
        <v>25556505</v>
      </c>
    </row>
    <row r="171" spans="2:10">
      <c r="C171" s="523" t="s">
        <v>277</v>
      </c>
      <c r="D171" s="534">
        <v>1211088</v>
      </c>
      <c r="E171" s="534">
        <v>1172079</v>
      </c>
      <c r="F171" s="534">
        <v>1155524</v>
      </c>
      <c r="G171" s="534">
        <v>1155524</v>
      </c>
      <c r="H171" s="534">
        <v>935690</v>
      </c>
      <c r="I171" s="534">
        <v>728129</v>
      </c>
      <c r="J171" s="523">
        <f t="shared" ref="J171:J177" si="241">SUM(D171:I171)</f>
        <v>6358034</v>
      </c>
    </row>
    <row r="172" spans="2:10">
      <c r="C172" s="523" t="s">
        <v>1833</v>
      </c>
      <c r="D172" s="534">
        <v>1034688</v>
      </c>
      <c r="E172" s="534">
        <v>997779</v>
      </c>
      <c r="F172" s="534">
        <v>980174</v>
      </c>
      <c r="G172" s="534">
        <v>980174</v>
      </c>
      <c r="H172" s="534">
        <v>792890</v>
      </c>
      <c r="I172" s="534">
        <v>728129</v>
      </c>
      <c r="J172" s="523">
        <f t="shared" si="241"/>
        <v>5513834</v>
      </c>
    </row>
    <row r="173" spans="2:10">
      <c r="C173" s="523" t="s">
        <v>1834</v>
      </c>
      <c r="D173" s="534">
        <v>176400</v>
      </c>
      <c r="E173" s="534">
        <v>174300</v>
      </c>
      <c r="F173" s="534">
        <v>175350</v>
      </c>
      <c r="G173" s="534">
        <v>175350</v>
      </c>
      <c r="H173" s="534">
        <v>142800</v>
      </c>
      <c r="I173" s="534">
        <v>0</v>
      </c>
      <c r="J173" s="523">
        <f t="shared" si="241"/>
        <v>844200</v>
      </c>
    </row>
    <row r="174" spans="2:10">
      <c r="C174" s="523" t="s">
        <v>275</v>
      </c>
      <c r="D174" s="534">
        <v>725703</v>
      </c>
      <c r="E174" s="534">
        <v>672809</v>
      </c>
      <c r="F174" s="534">
        <v>657731</v>
      </c>
      <c r="G174" s="534">
        <v>657731</v>
      </c>
      <c r="H174" s="534">
        <v>538996</v>
      </c>
      <c r="I174" s="534">
        <v>634129</v>
      </c>
      <c r="J174" s="523">
        <f t="shared" si="241"/>
        <v>3887099</v>
      </c>
    </row>
    <row r="175" spans="2:10">
      <c r="C175" s="523" t="s">
        <v>1833</v>
      </c>
      <c r="D175" s="534">
        <v>718761</v>
      </c>
      <c r="E175" s="534">
        <v>670624</v>
      </c>
      <c r="F175" s="534">
        <v>653261</v>
      </c>
      <c r="G175" s="534">
        <v>653261</v>
      </c>
      <c r="H175" s="534">
        <v>535980</v>
      </c>
      <c r="I175" s="534">
        <v>630810</v>
      </c>
      <c r="J175" s="523">
        <f t="shared" si="241"/>
        <v>3862697</v>
      </c>
    </row>
    <row r="176" spans="2:10">
      <c r="C176" s="523" t="s">
        <v>1835</v>
      </c>
      <c r="D176" s="534">
        <v>3902</v>
      </c>
      <c r="E176" s="534">
        <f>0</f>
        <v>0</v>
      </c>
      <c r="F176" s="534">
        <v>2230</v>
      </c>
      <c r="G176" s="534">
        <v>2230</v>
      </c>
      <c r="H176" s="534">
        <v>1416</v>
      </c>
      <c r="I176" s="534">
        <v>1239</v>
      </c>
      <c r="J176" s="523">
        <f t="shared" si="241"/>
        <v>11017</v>
      </c>
    </row>
    <row r="177" spans="3:10">
      <c r="C177" s="523" t="s">
        <v>1834</v>
      </c>
      <c r="D177" s="534">
        <v>3040</v>
      </c>
      <c r="E177" s="534">
        <v>2560</v>
      </c>
      <c r="F177" s="534">
        <v>2240</v>
      </c>
      <c r="G177" s="534">
        <v>2240</v>
      </c>
      <c r="H177" s="534">
        <v>1600</v>
      </c>
      <c r="I177" s="534">
        <v>2080</v>
      </c>
      <c r="J177" s="523">
        <f t="shared" si="241"/>
        <v>13760</v>
      </c>
    </row>
    <row r="178" spans="3:10">
      <c r="C178" s="1643" t="s">
        <v>1301</v>
      </c>
      <c r="D178" s="1645"/>
      <c r="E178" s="1645"/>
      <c r="F178" s="1645"/>
      <c r="G178" s="1645"/>
      <c r="H178" s="1645"/>
      <c r="I178" s="1645"/>
      <c r="J178" s="1644"/>
    </row>
    <row r="179" spans="3:10">
      <c r="C179" s="1644" t="s">
        <v>279</v>
      </c>
      <c r="D179" s="1645">
        <v>5289291</v>
      </c>
      <c r="E179" s="1645">
        <v>5386040</v>
      </c>
      <c r="F179" s="1645">
        <v>4982765</v>
      </c>
      <c r="G179" s="1645">
        <v>4982765</v>
      </c>
      <c r="H179" s="1645">
        <v>4438710</v>
      </c>
      <c r="I179" s="1645">
        <v>4464197</v>
      </c>
      <c r="J179" s="1644">
        <f>SUM(D179:I179)</f>
        <v>29543768</v>
      </c>
    </row>
    <row r="180" spans="3:10">
      <c r="C180" s="1644" t="s">
        <v>277</v>
      </c>
      <c r="D180" s="1645">
        <v>1306097</v>
      </c>
      <c r="E180" s="1645">
        <v>1344892</v>
      </c>
      <c r="F180" s="1645">
        <v>1240724</v>
      </c>
      <c r="G180" s="1645">
        <v>1240724</v>
      </c>
      <c r="H180" s="1645">
        <v>1405735</v>
      </c>
      <c r="I180" s="1645">
        <v>908128</v>
      </c>
      <c r="J180" s="1644">
        <f t="shared" ref="J180:J186" si="242">SUM(D180:I180)</f>
        <v>7446300</v>
      </c>
    </row>
    <row r="181" spans="3:10">
      <c r="C181" s="1644" t="s">
        <v>1833</v>
      </c>
      <c r="D181" s="1645">
        <v>1122347</v>
      </c>
      <c r="E181" s="1645">
        <v>1151692</v>
      </c>
      <c r="F181" s="1645">
        <v>1066424</v>
      </c>
      <c r="G181" s="1645">
        <v>1066424</v>
      </c>
      <c r="H181" s="1645">
        <v>1241935</v>
      </c>
      <c r="I181" s="1645">
        <v>908128</v>
      </c>
      <c r="J181" s="1644">
        <f t="shared" si="242"/>
        <v>6556950</v>
      </c>
    </row>
    <row r="182" spans="3:10">
      <c r="C182" s="1644" t="s">
        <v>1834</v>
      </c>
      <c r="D182" s="1645">
        <v>183750</v>
      </c>
      <c r="E182" s="1645">
        <v>193200</v>
      </c>
      <c r="F182" s="1645">
        <v>174300</v>
      </c>
      <c r="G182" s="1645">
        <v>174300</v>
      </c>
      <c r="H182" s="1645">
        <v>163800</v>
      </c>
      <c r="I182" s="1645">
        <v>0</v>
      </c>
      <c r="J182" s="1644">
        <f t="shared" si="242"/>
        <v>889350</v>
      </c>
    </row>
    <row r="183" spans="3:10">
      <c r="C183" s="1644" t="s">
        <v>275</v>
      </c>
      <c r="D183" s="1645">
        <v>820970</v>
      </c>
      <c r="E183" s="1645">
        <v>821641</v>
      </c>
      <c r="F183" s="1645">
        <v>778391</v>
      </c>
      <c r="G183" s="1645">
        <v>778391</v>
      </c>
      <c r="H183" s="1645">
        <v>718069</v>
      </c>
      <c r="I183" s="1645">
        <v>757585</v>
      </c>
      <c r="J183" s="1644">
        <f t="shared" si="242"/>
        <v>4675047</v>
      </c>
    </row>
    <row r="184" spans="3:10">
      <c r="C184" s="1644" t="s">
        <v>1833</v>
      </c>
      <c r="D184" s="1645">
        <v>810067</v>
      </c>
      <c r="E184" s="1645">
        <v>815731</v>
      </c>
      <c r="F184" s="1645">
        <v>769524</v>
      </c>
      <c r="G184" s="1645">
        <v>769524</v>
      </c>
      <c r="H184" s="1645">
        <v>711374</v>
      </c>
      <c r="I184" s="1645">
        <v>750087</v>
      </c>
      <c r="J184" s="1644">
        <f t="shared" si="242"/>
        <v>4626307</v>
      </c>
    </row>
    <row r="185" spans="3:10">
      <c r="C185" s="1644" t="s">
        <v>1835</v>
      </c>
      <c r="D185" s="1645">
        <v>7703</v>
      </c>
      <c r="E185" s="1645">
        <v>3350</v>
      </c>
      <c r="F185" s="1645">
        <v>6147</v>
      </c>
      <c r="G185" s="1645">
        <v>6147</v>
      </c>
      <c r="H185" s="1645">
        <v>4455</v>
      </c>
      <c r="I185" s="1645">
        <v>5098</v>
      </c>
      <c r="J185" s="1644">
        <f t="shared" si="242"/>
        <v>32900</v>
      </c>
    </row>
    <row r="186" spans="3:10">
      <c r="C186" s="1644" t="s">
        <v>1834</v>
      </c>
      <c r="D186" s="1645">
        <v>3200</v>
      </c>
      <c r="E186" s="1645">
        <v>2560</v>
      </c>
      <c r="F186" s="1645">
        <v>2720</v>
      </c>
      <c r="G186" s="1645">
        <v>2720</v>
      </c>
      <c r="H186" s="1645">
        <v>2240</v>
      </c>
      <c r="I186" s="1645">
        <v>2400</v>
      </c>
      <c r="J186" s="1644">
        <f t="shared" si="242"/>
        <v>15840</v>
      </c>
    </row>
    <row r="187" spans="3:10">
      <c r="D187" s="589"/>
      <c r="E187" s="589"/>
      <c r="F187" s="589"/>
      <c r="G187" s="589"/>
      <c r="H187" s="589"/>
      <c r="I187" s="589"/>
      <c r="J187" s="589"/>
    </row>
    <row r="188" spans="3:10">
      <c r="D188" s="589"/>
      <c r="E188" s="589"/>
      <c r="F188" s="589"/>
      <c r="G188" s="589"/>
      <c r="H188" s="589"/>
      <c r="I188" s="589"/>
      <c r="J188" s="589"/>
    </row>
    <row r="189" spans="3:10" ht="15.75">
      <c r="C189" s="964" t="s">
        <v>1712</v>
      </c>
      <c r="D189" s="964">
        <f>F821C!D4</f>
        <v>45839</v>
      </c>
      <c r="E189" s="964">
        <f>F821C!E4</f>
        <v>45870</v>
      </c>
      <c r="F189" s="964">
        <f>F821C!F4</f>
        <v>45901</v>
      </c>
      <c r="G189" s="964">
        <f>F821C!G4</f>
        <v>45931</v>
      </c>
      <c r="H189" s="964">
        <f>F821C!H4</f>
        <v>45962</v>
      </c>
      <c r="I189" s="964">
        <f>F821C!I4</f>
        <v>45992</v>
      </c>
      <c r="J189" s="964" t="s">
        <v>111</v>
      </c>
    </row>
    <row r="190" spans="3:10">
      <c r="C190" s="56" t="s">
        <v>963</v>
      </c>
      <c r="D190" s="589">
        <v>2324718.3881000001</v>
      </c>
      <c r="E190" s="589">
        <v>1875233.5689000001</v>
      </c>
      <c r="F190" s="589">
        <v>2127701.2450000001</v>
      </c>
      <c r="G190" s="589">
        <v>2447095.9687000001</v>
      </c>
      <c r="H190" s="589">
        <v>1599327.9380000001</v>
      </c>
      <c r="I190" s="589">
        <v>2144285.6595999999</v>
      </c>
      <c r="J190" s="591">
        <f>SUM(D190:I190)</f>
        <v>12518362.768300001</v>
      </c>
    </row>
    <row r="191" spans="3:10">
      <c r="C191" s="56" t="s">
        <v>964</v>
      </c>
      <c r="D191" s="589">
        <v>7407467.6563999997</v>
      </c>
      <c r="E191" s="589">
        <v>6934116.3240999999</v>
      </c>
      <c r="F191" s="589">
        <v>6776539.5002999995</v>
      </c>
      <c r="G191" s="589">
        <v>7762812.4871999994</v>
      </c>
      <c r="H191" s="589">
        <v>5493955.8784999996</v>
      </c>
      <c r="I191" s="589">
        <v>7002288.6205000002</v>
      </c>
      <c r="J191" s="591">
        <f t="shared" ref="J191:J212" si="243">SUM(D191:I191)</f>
        <v>41377180.466999993</v>
      </c>
    </row>
    <row r="192" spans="3:10">
      <c r="C192" s="56" t="s">
        <v>806</v>
      </c>
      <c r="D192" s="589">
        <v>0</v>
      </c>
      <c r="E192" s="589">
        <v>0</v>
      </c>
      <c r="F192" s="589">
        <v>0</v>
      </c>
      <c r="G192" s="589">
        <v>0</v>
      </c>
      <c r="H192" s="589">
        <v>0</v>
      </c>
      <c r="I192" s="589">
        <v>0</v>
      </c>
      <c r="J192" s="591">
        <f>SUM(D192:I192)</f>
        <v>0</v>
      </c>
    </row>
    <row r="193" spans="2:35">
      <c r="C193" s="56" t="s">
        <v>809</v>
      </c>
      <c r="D193" s="589">
        <v>4646197.4270000001</v>
      </c>
      <c r="E193" s="589">
        <v>4556963.8679999998</v>
      </c>
      <c r="F193" s="589">
        <v>4711386.845999999</v>
      </c>
      <c r="G193" s="589">
        <v>5664560.0352999996</v>
      </c>
      <c r="H193" s="589">
        <v>5454182.7593999989</v>
      </c>
      <c r="I193" s="589">
        <v>5734216.9078700012</v>
      </c>
      <c r="J193" s="591">
        <f>SUM(D193:I193)</f>
        <v>30767507.843569998</v>
      </c>
    </row>
    <row r="194" spans="2:35">
      <c r="C194" s="56" t="s">
        <v>807</v>
      </c>
      <c r="D194" s="589">
        <v>2126374.8895</v>
      </c>
      <c r="E194" s="589">
        <v>1945536.138</v>
      </c>
      <c r="F194" s="589">
        <v>1997698.1588999999</v>
      </c>
      <c r="G194" s="589">
        <v>2082384.8623000004</v>
      </c>
      <c r="H194" s="589">
        <v>1709759.6255999999</v>
      </c>
      <c r="I194" s="589">
        <v>1760986.3425000003</v>
      </c>
      <c r="J194" s="591">
        <f t="shared" si="243"/>
        <v>11622740.016800001</v>
      </c>
    </row>
    <row r="195" spans="2:35">
      <c r="C195" s="56" t="s">
        <v>974</v>
      </c>
      <c r="D195" s="589">
        <v>102818.57399999999</v>
      </c>
      <c r="E195" s="589">
        <v>96142.045899999997</v>
      </c>
      <c r="F195" s="589">
        <v>109253.1183</v>
      </c>
      <c r="G195" s="589">
        <v>118365.34819999999</v>
      </c>
      <c r="H195" s="589">
        <v>113666.2942</v>
      </c>
      <c r="I195" s="589">
        <v>65751.966000000015</v>
      </c>
      <c r="J195" s="591">
        <f t="shared" si="243"/>
        <v>605997.34660000005</v>
      </c>
    </row>
    <row r="196" spans="2:35">
      <c r="C196" s="56" t="s">
        <v>1005</v>
      </c>
      <c r="D196" s="589">
        <v>38496.132400000002</v>
      </c>
      <c r="E196" s="589">
        <v>34517.4692</v>
      </c>
      <c r="F196" s="589">
        <v>35911.335800000001</v>
      </c>
      <c r="G196" s="589">
        <v>38717.5239</v>
      </c>
      <c r="H196" s="589">
        <v>33215.8462</v>
      </c>
      <c r="I196" s="589">
        <v>33007.590000000018</v>
      </c>
      <c r="J196" s="591">
        <f t="shared" si="243"/>
        <v>213865.89750000002</v>
      </c>
    </row>
    <row r="197" spans="2:35" s="63" customFormat="1" ht="15">
      <c r="B197" s="48"/>
      <c r="C197" s="63" t="s">
        <v>1260</v>
      </c>
      <c r="D197" s="64">
        <v>921775.27899999986</v>
      </c>
      <c r="E197" s="64">
        <v>877569.5334999999</v>
      </c>
      <c r="F197" s="64">
        <v>953227.88499999989</v>
      </c>
      <c r="G197" s="64">
        <v>1097490.6094</v>
      </c>
      <c r="H197" s="64">
        <v>924607.49910000002</v>
      </c>
      <c r="I197" s="64">
        <v>1008345.1175700019</v>
      </c>
      <c r="J197" s="591">
        <f t="shared" si="243"/>
        <v>5783015.9235700015</v>
      </c>
      <c r="AG197" s="973"/>
      <c r="AH197" s="973"/>
      <c r="AI197" s="973"/>
    </row>
    <row r="198" spans="2:35" s="63" customFormat="1" ht="15">
      <c r="B198" s="48"/>
      <c r="C198" s="63" t="s">
        <v>808</v>
      </c>
      <c r="D198" s="64">
        <v>6998533.814799998</v>
      </c>
      <c r="E198" s="64">
        <v>7329926.0324000008</v>
      </c>
      <c r="F198" s="64">
        <v>6907543.715499999</v>
      </c>
      <c r="G198" s="64">
        <v>7385067.1626999993</v>
      </c>
      <c r="H198" s="64">
        <v>7272224.0939000007</v>
      </c>
      <c r="I198" s="64">
        <v>7131218.5346000008</v>
      </c>
      <c r="J198" s="591">
        <f t="shared" si="243"/>
        <v>43024513.3539</v>
      </c>
      <c r="AG198" s="973"/>
      <c r="AH198" s="973"/>
      <c r="AI198" s="973"/>
    </row>
    <row r="199" spans="2:35" s="63" customFormat="1" ht="15">
      <c r="B199" s="48"/>
      <c r="C199" s="63" t="s">
        <v>1057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0</v>
      </c>
      <c r="J199" s="591">
        <f t="shared" si="243"/>
        <v>0</v>
      </c>
      <c r="AG199" s="973"/>
      <c r="AH199" s="973"/>
      <c r="AI199" s="973"/>
    </row>
    <row r="200" spans="2:35" s="63" customFormat="1" ht="15">
      <c r="B200" s="48"/>
      <c r="C200" s="63" t="s">
        <v>1344</v>
      </c>
      <c r="D200" s="64">
        <v>27837865.777215011</v>
      </c>
      <c r="E200" s="64">
        <v>27768734.010435</v>
      </c>
      <c r="F200" s="64">
        <v>25294587.126940001</v>
      </c>
      <c r="G200" s="64">
        <v>26221253.892300006</v>
      </c>
      <c r="H200" s="64">
        <v>23949123.551399995</v>
      </c>
      <c r="I200" s="64">
        <v>25365998.302292999</v>
      </c>
      <c r="J200" s="591">
        <f t="shared" si="243"/>
        <v>156437562.66058302</v>
      </c>
      <c r="AG200" s="973"/>
      <c r="AH200" s="973"/>
      <c r="AI200" s="973"/>
    </row>
    <row r="201" spans="2:35" s="63" customFormat="1" ht="15">
      <c r="B201" s="48"/>
      <c r="C201" s="63" t="s">
        <v>1345</v>
      </c>
      <c r="D201" s="64">
        <v>1961051.1001999998</v>
      </c>
      <c r="E201" s="64">
        <v>1739911.9648</v>
      </c>
      <c r="F201" s="64">
        <v>1932315.4992999998</v>
      </c>
      <c r="G201" s="64">
        <v>1691295.2818000002</v>
      </c>
      <c r="H201" s="64">
        <v>1615880.5572000004</v>
      </c>
      <c r="I201" s="64">
        <v>1810245.3746499973</v>
      </c>
      <c r="J201" s="591">
        <f t="shared" si="243"/>
        <v>10750699.777949996</v>
      </c>
      <c r="AG201" s="973"/>
      <c r="AH201" s="973"/>
      <c r="AI201" s="973"/>
    </row>
    <row r="202" spans="2:35" s="63" customFormat="1" ht="15">
      <c r="B202" s="48"/>
      <c r="C202" s="63" t="s">
        <v>1346</v>
      </c>
      <c r="D202" s="64">
        <v>1850475.3221999998</v>
      </c>
      <c r="E202" s="64">
        <v>1911629.2402999999</v>
      </c>
      <c r="F202" s="64">
        <v>1834041.8471000004</v>
      </c>
      <c r="G202" s="64">
        <v>1921283.8751000003</v>
      </c>
      <c r="H202" s="64">
        <v>1700117.9229000001</v>
      </c>
      <c r="I202" s="64">
        <v>1921727.2948299991</v>
      </c>
      <c r="J202" s="591">
        <f t="shared" si="243"/>
        <v>11139275.502429999</v>
      </c>
      <c r="AG202" s="973"/>
      <c r="AH202" s="973"/>
      <c r="AI202" s="973"/>
    </row>
    <row r="203" spans="2:35" s="63" customFormat="1" ht="15">
      <c r="B203" s="48"/>
      <c r="C203" s="63" t="s">
        <v>1347</v>
      </c>
      <c r="D203" s="64">
        <v>11055538.513800001</v>
      </c>
      <c r="E203" s="64">
        <v>10852954.93176</v>
      </c>
      <c r="F203" s="64">
        <v>12012159.6152</v>
      </c>
      <c r="G203" s="64">
        <v>12897015.304399999</v>
      </c>
      <c r="H203" s="64">
        <v>12133782.932899997</v>
      </c>
      <c r="I203" s="64">
        <v>13148507.655250499</v>
      </c>
      <c r="J203" s="591">
        <f t="shared" si="243"/>
        <v>72099958.95331049</v>
      </c>
      <c r="AG203" s="973"/>
      <c r="AH203" s="973"/>
      <c r="AI203" s="973"/>
    </row>
    <row r="204" spans="2:35" s="63" customFormat="1" ht="15">
      <c r="B204" s="48"/>
      <c r="C204" s="63" t="s">
        <v>928</v>
      </c>
      <c r="D204" s="64">
        <v>97562.890400000004</v>
      </c>
      <c r="E204" s="64">
        <v>87939.032099999997</v>
      </c>
      <c r="F204" s="64">
        <v>89703.260200000004</v>
      </c>
      <c r="G204" s="64">
        <v>93838.406499999997</v>
      </c>
      <c r="H204" s="64">
        <v>81332.713600000003</v>
      </c>
      <c r="I204" s="64">
        <v>86629.29000000011</v>
      </c>
      <c r="J204" s="591">
        <f t="shared" si="243"/>
        <v>537005.5928000001</v>
      </c>
      <c r="AG204" s="973"/>
      <c r="AH204" s="973"/>
      <c r="AI204" s="973"/>
    </row>
    <row r="205" spans="2:35" s="63" customFormat="1" ht="15">
      <c r="B205" s="48"/>
      <c r="C205" s="63" t="s">
        <v>929</v>
      </c>
      <c r="D205" s="64">
        <v>179942.23269999999</v>
      </c>
      <c r="E205" s="64">
        <v>187100.10880000002</v>
      </c>
      <c r="F205" s="64">
        <v>173718.04379999998</v>
      </c>
      <c r="G205" s="64">
        <v>179334.12349999999</v>
      </c>
      <c r="H205" s="64">
        <v>183212.61930000002</v>
      </c>
      <c r="I205" s="64">
        <v>187460.70000000019</v>
      </c>
      <c r="J205" s="591">
        <f t="shared" si="243"/>
        <v>1090767.8281</v>
      </c>
      <c r="AG205" s="973"/>
      <c r="AH205" s="973"/>
      <c r="AI205" s="973"/>
    </row>
    <row r="206" spans="2:35" s="63" customFormat="1" ht="15">
      <c r="B206" s="48"/>
      <c r="C206" s="63" t="s">
        <v>1006</v>
      </c>
      <c r="D206" s="64">
        <v>85508.861500000014</v>
      </c>
      <c r="E206" s="64">
        <v>83264.008200000011</v>
      </c>
      <c r="F206" s="64">
        <v>84990.998799999987</v>
      </c>
      <c r="G206" s="64">
        <v>88963.373900000006</v>
      </c>
      <c r="H206" s="64">
        <v>82005.938000000009</v>
      </c>
      <c r="I206" s="64">
        <v>86821.670899999997</v>
      </c>
      <c r="J206" s="591">
        <f t="shared" si="243"/>
        <v>511554.8513000001</v>
      </c>
      <c r="AG206" s="973"/>
      <c r="AH206" s="973"/>
      <c r="AI206" s="973"/>
    </row>
    <row r="207" spans="2:35" s="63" customFormat="1" ht="15">
      <c r="B207" s="48"/>
      <c r="C207" s="63" t="s">
        <v>1348</v>
      </c>
      <c r="D207" s="64">
        <v>5504362.5752000026</v>
      </c>
      <c r="E207" s="64">
        <v>5372740.1977000013</v>
      </c>
      <c r="F207" s="64">
        <v>5233248.9645999996</v>
      </c>
      <c r="G207" s="64">
        <v>5430812.3873999994</v>
      </c>
      <c r="H207" s="64">
        <v>4974420.5512999985</v>
      </c>
      <c r="I207" s="64">
        <v>5368026.0986840017</v>
      </c>
      <c r="J207" s="591">
        <f t="shared" si="243"/>
        <v>31883610.774884004</v>
      </c>
      <c r="AG207" s="973"/>
      <c r="AH207" s="973"/>
      <c r="AI207" s="973"/>
    </row>
    <row r="208" spans="2:35" s="63" customFormat="1" ht="15">
      <c r="B208" s="48"/>
      <c r="C208" s="63" t="s">
        <v>1349</v>
      </c>
      <c r="D208" s="64">
        <v>108136.32640000002</v>
      </c>
      <c r="E208" s="64">
        <v>105559.34230000002</v>
      </c>
      <c r="F208" s="64">
        <v>103747.96869999997</v>
      </c>
      <c r="G208" s="64">
        <v>105487.67110000004</v>
      </c>
      <c r="H208" s="64">
        <v>91154.265899999999</v>
      </c>
      <c r="I208" s="64">
        <v>102111.67966199981</v>
      </c>
      <c r="J208" s="591">
        <f t="shared" si="243"/>
        <v>616197.25406199985</v>
      </c>
      <c r="AG208" s="973"/>
      <c r="AH208" s="973"/>
      <c r="AI208" s="973"/>
    </row>
    <row r="209" spans="2:35" s="63" customFormat="1" ht="15">
      <c r="B209" s="48"/>
      <c r="C209" s="63" t="s">
        <v>1350</v>
      </c>
      <c r="D209" s="64">
        <v>1115022.7058999999</v>
      </c>
      <c r="E209" s="64">
        <v>1073229.425</v>
      </c>
      <c r="F209" s="64">
        <v>1058189.203</v>
      </c>
      <c r="G209" s="64">
        <v>1104791.4608</v>
      </c>
      <c r="H209" s="64">
        <v>977084.27559999994</v>
      </c>
      <c r="I209" s="64">
        <v>991850.93750600005</v>
      </c>
      <c r="J209" s="591">
        <f t="shared" si="243"/>
        <v>6320168.0078060012</v>
      </c>
      <c r="AG209" s="973"/>
      <c r="AH209" s="973"/>
      <c r="AI209" s="973"/>
    </row>
    <row r="210" spans="2:35" s="63" customFormat="1" ht="15">
      <c r="B210" s="48"/>
      <c r="C210" s="63" t="s">
        <v>1350</v>
      </c>
      <c r="D210" s="64">
        <v>1481692.0475000001</v>
      </c>
      <c r="E210" s="64">
        <v>1506020.5075999997</v>
      </c>
      <c r="F210" s="64">
        <v>1786717.1281000001</v>
      </c>
      <c r="G210" s="64">
        <v>1982318.0293000001</v>
      </c>
      <c r="H210" s="64">
        <v>1893503.7346999997</v>
      </c>
      <c r="I210" s="64">
        <v>2462679.7499940004</v>
      </c>
      <c r="J210" s="591">
        <f t="shared" si="243"/>
        <v>11112931.197194001</v>
      </c>
      <c r="AG210" s="973"/>
      <c r="AH210" s="973"/>
      <c r="AI210" s="973"/>
    </row>
    <row r="211" spans="2:35" s="63" customFormat="1" ht="15">
      <c r="B211" s="48"/>
      <c r="C211" s="63" t="s">
        <v>1483</v>
      </c>
      <c r="D211" s="64">
        <v>12893341.999999998</v>
      </c>
      <c r="E211" s="64">
        <v>11576607.272000004</v>
      </c>
      <c r="F211" s="64">
        <v>11993638.777999999</v>
      </c>
      <c r="G211" s="64">
        <v>12530353.000000002</v>
      </c>
      <c r="H211" s="64">
        <v>9487892.0510000009</v>
      </c>
      <c r="I211" s="64">
        <v>2452350.0000000047</v>
      </c>
      <c r="J211" s="591">
        <f t="shared" si="243"/>
        <v>60934183.101000004</v>
      </c>
      <c r="AG211" s="973"/>
      <c r="AH211" s="973"/>
      <c r="AI211" s="973"/>
    </row>
    <row r="212" spans="2:35" s="63" customFormat="1" ht="15">
      <c r="B212" s="48"/>
      <c r="C212" s="139" t="s">
        <v>111</v>
      </c>
      <c r="D212" s="65">
        <f t="shared" ref="D212:I212" si="244">SUM(D190:D211)</f>
        <v>88736882.514215007</v>
      </c>
      <c r="E212" s="65">
        <f t="shared" si="244"/>
        <v>85915695.020994991</v>
      </c>
      <c r="F212" s="65">
        <f t="shared" si="244"/>
        <v>85216320.238539994</v>
      </c>
      <c r="G212" s="65">
        <f t="shared" si="244"/>
        <v>90843240.803800017</v>
      </c>
      <c r="H212" s="65">
        <f t="shared" si="244"/>
        <v>79770451.04869999</v>
      </c>
      <c r="I212" s="65">
        <f t="shared" si="244"/>
        <v>78864509.492409512</v>
      </c>
      <c r="J212" s="591">
        <f t="shared" si="243"/>
        <v>509347099.11865956</v>
      </c>
      <c r="AG212" s="973"/>
      <c r="AH212" s="973"/>
      <c r="AI212" s="973"/>
    </row>
    <row r="213" spans="2:35" s="63" customFormat="1" ht="15">
      <c r="B213" s="48"/>
      <c r="D213" s="968">
        <f t="shared" ref="D213:J213" si="245">D146-D212</f>
        <v>0</v>
      </c>
      <c r="E213" s="968">
        <f t="shared" si="245"/>
        <v>0</v>
      </c>
      <c r="F213" s="968">
        <f t="shared" si="245"/>
        <v>0</v>
      </c>
      <c r="G213" s="968">
        <f t="shared" si="245"/>
        <v>0</v>
      </c>
      <c r="H213" s="968">
        <f t="shared" si="245"/>
        <v>0</v>
      </c>
      <c r="I213" s="968">
        <f t="shared" si="245"/>
        <v>0</v>
      </c>
      <c r="J213" s="968">
        <f t="shared" si="245"/>
        <v>0</v>
      </c>
      <c r="AG213" s="973"/>
      <c r="AH213" s="973"/>
      <c r="AI213" s="973"/>
    </row>
    <row r="214" spans="2:35" s="63" customFormat="1" ht="15">
      <c r="B214" s="48"/>
      <c r="D214" s="65"/>
      <c r="E214" s="65"/>
      <c r="F214" s="65"/>
      <c r="G214" s="65"/>
      <c r="H214" s="65"/>
      <c r="I214" s="65"/>
      <c r="J214" s="65"/>
      <c r="AG214" s="973"/>
      <c r="AH214" s="973"/>
      <c r="AI214" s="973"/>
    </row>
    <row r="215" spans="2:35" s="63" customFormat="1" ht="17.25" customHeight="1">
      <c r="B215" s="48"/>
      <c r="D215" s="66"/>
      <c r="E215" s="66"/>
      <c r="F215" s="66"/>
      <c r="G215" s="66"/>
      <c r="H215" s="66"/>
      <c r="I215" s="66"/>
      <c r="J215" s="66"/>
      <c r="AG215" s="973"/>
      <c r="AH215" s="973"/>
      <c r="AI215" s="973"/>
    </row>
    <row r="216" spans="2:35">
      <c r="D216" s="589"/>
      <c r="E216" s="589"/>
      <c r="F216" s="589"/>
      <c r="G216" s="589"/>
      <c r="H216" s="589"/>
      <c r="I216" s="589"/>
      <c r="J216" s="589"/>
    </row>
    <row r="217" spans="2:35">
      <c r="B217" s="56" t="s">
        <v>902</v>
      </c>
      <c r="D217" s="589">
        <f t="shared" ref="D217:J226" si="246">SUMIF($B$4:$B$146,$B217,D$4:D$146)</f>
        <v>14700559</v>
      </c>
      <c r="E217" s="589">
        <f t="shared" si="246"/>
        <v>14443908</v>
      </c>
      <c r="F217" s="589">
        <f t="shared" si="246"/>
        <v>14884565</v>
      </c>
      <c r="G217" s="589">
        <f t="shared" si="246"/>
        <v>14623169</v>
      </c>
      <c r="H217" s="589">
        <f t="shared" si="246"/>
        <v>13636042</v>
      </c>
      <c r="I217" s="589">
        <f t="shared" si="246"/>
        <v>14799046</v>
      </c>
      <c r="J217" s="589">
        <f t="shared" si="246"/>
        <v>87087289</v>
      </c>
    </row>
    <row r="218" spans="2:35">
      <c r="B218" s="56" t="s">
        <v>751</v>
      </c>
      <c r="D218" s="589">
        <f t="shared" si="246"/>
        <v>46806799</v>
      </c>
      <c r="E218" s="589">
        <f t="shared" si="246"/>
        <v>46579318</v>
      </c>
      <c r="F218" s="589">
        <f t="shared" si="246"/>
        <v>47216690</v>
      </c>
      <c r="G218" s="589">
        <f t="shared" si="246"/>
        <v>46971939</v>
      </c>
      <c r="H218" s="589">
        <f t="shared" si="246"/>
        <v>48087485</v>
      </c>
      <c r="I218" s="589">
        <f t="shared" si="246"/>
        <v>47534570</v>
      </c>
      <c r="J218" s="589">
        <f t="shared" si="246"/>
        <v>283196801</v>
      </c>
    </row>
    <row r="219" spans="2:35">
      <c r="B219" s="56" t="s">
        <v>750</v>
      </c>
      <c r="D219" s="589">
        <f t="shared" si="246"/>
        <v>49250315</v>
      </c>
      <c r="E219" s="589">
        <f t="shared" si="246"/>
        <v>49791736</v>
      </c>
      <c r="F219" s="589">
        <f t="shared" si="246"/>
        <v>48506495</v>
      </c>
      <c r="G219" s="589">
        <f t="shared" si="246"/>
        <v>48473458</v>
      </c>
      <c r="H219" s="589">
        <f t="shared" si="246"/>
        <v>46806378</v>
      </c>
      <c r="I219" s="589">
        <f t="shared" si="246"/>
        <v>45725786</v>
      </c>
      <c r="J219" s="589">
        <f t="shared" si="246"/>
        <v>288554168</v>
      </c>
    </row>
    <row r="220" spans="2:35">
      <c r="B220" s="56" t="s">
        <v>749</v>
      </c>
      <c r="D220" s="589">
        <f t="shared" si="246"/>
        <v>54613850</v>
      </c>
      <c r="E220" s="589">
        <f t="shared" si="246"/>
        <v>54327073</v>
      </c>
      <c r="F220" s="589">
        <f t="shared" si="246"/>
        <v>52998131</v>
      </c>
      <c r="G220" s="589">
        <f t="shared" si="246"/>
        <v>53736809</v>
      </c>
      <c r="H220" s="589">
        <f t="shared" si="246"/>
        <v>49483276</v>
      </c>
      <c r="I220" s="589">
        <f t="shared" si="246"/>
        <v>51366818</v>
      </c>
      <c r="J220" s="589">
        <f t="shared" si="246"/>
        <v>316525957</v>
      </c>
    </row>
    <row r="221" spans="2:35">
      <c r="B221" s="56" t="s">
        <v>1176</v>
      </c>
      <c r="D221" s="589">
        <f t="shared" si="246"/>
        <v>0</v>
      </c>
      <c r="E221" s="589">
        <f t="shared" si="246"/>
        <v>0</v>
      </c>
      <c r="F221" s="589">
        <f t="shared" si="246"/>
        <v>0</v>
      </c>
      <c r="G221" s="589">
        <f t="shared" si="246"/>
        <v>0</v>
      </c>
      <c r="H221" s="589">
        <f t="shared" si="246"/>
        <v>0</v>
      </c>
      <c r="I221" s="589">
        <f t="shared" si="246"/>
        <v>0</v>
      </c>
      <c r="J221" s="589">
        <f t="shared" si="246"/>
        <v>0</v>
      </c>
    </row>
    <row r="222" spans="2:35">
      <c r="B222" s="56" t="s">
        <v>274</v>
      </c>
      <c r="D222" s="589">
        <f t="shared" si="246"/>
        <v>60042933</v>
      </c>
      <c r="E222" s="589">
        <f t="shared" si="246"/>
        <v>59582611</v>
      </c>
      <c r="F222" s="589">
        <f t="shared" si="246"/>
        <v>57347048</v>
      </c>
      <c r="G222" s="589">
        <f t="shared" si="246"/>
        <v>59528985</v>
      </c>
      <c r="H222" s="589">
        <f t="shared" si="246"/>
        <v>56096582</v>
      </c>
      <c r="I222" s="589">
        <f t="shared" si="246"/>
        <v>55882612</v>
      </c>
      <c r="J222" s="589">
        <f t="shared" si="246"/>
        <v>348480771</v>
      </c>
    </row>
    <row r="223" spans="2:35">
      <c r="B223" s="56" t="s">
        <v>275</v>
      </c>
      <c r="D223" s="589">
        <f t="shared" si="246"/>
        <v>2796078</v>
      </c>
      <c r="E223" s="589">
        <f t="shared" si="246"/>
        <v>2776295</v>
      </c>
      <c r="F223" s="589">
        <f t="shared" si="246"/>
        <v>2745536</v>
      </c>
      <c r="G223" s="589">
        <f t="shared" si="246"/>
        <v>2827585</v>
      </c>
      <c r="H223" s="589">
        <f t="shared" si="246"/>
        <v>2788874</v>
      </c>
      <c r="I223" s="589">
        <f t="shared" si="246"/>
        <v>2916840</v>
      </c>
      <c r="J223" s="589">
        <f t="shared" si="246"/>
        <v>16851208</v>
      </c>
    </row>
    <row r="224" spans="2:35">
      <c r="B224" s="56" t="s">
        <v>276</v>
      </c>
      <c r="D224" s="589">
        <f t="shared" si="246"/>
        <v>25243627</v>
      </c>
      <c r="E224" s="589">
        <f t="shared" si="246"/>
        <v>25925106</v>
      </c>
      <c r="F224" s="589">
        <f t="shared" si="246"/>
        <v>24949026</v>
      </c>
      <c r="G224" s="589">
        <f t="shared" si="246"/>
        <v>26314436</v>
      </c>
      <c r="H224" s="589">
        <f t="shared" si="246"/>
        <v>23633501</v>
      </c>
      <c r="I224" s="589">
        <f t="shared" si="246"/>
        <v>24604968</v>
      </c>
      <c r="J224" s="589">
        <f t="shared" si="246"/>
        <v>150670664</v>
      </c>
    </row>
    <row r="225" spans="2:10">
      <c r="B225" s="56" t="s">
        <v>277</v>
      </c>
      <c r="D225" s="589">
        <f t="shared" si="246"/>
        <v>4273523</v>
      </c>
      <c r="E225" s="589">
        <f t="shared" si="246"/>
        <v>4365765</v>
      </c>
      <c r="F225" s="589">
        <f t="shared" si="246"/>
        <v>4346196</v>
      </c>
      <c r="G225" s="589">
        <f t="shared" si="246"/>
        <v>4101155</v>
      </c>
      <c r="H225" s="589">
        <f t="shared" si="246"/>
        <v>4984929</v>
      </c>
      <c r="I225" s="589">
        <f t="shared" si="246"/>
        <v>3245368</v>
      </c>
      <c r="J225" s="589">
        <f t="shared" si="246"/>
        <v>25316936</v>
      </c>
    </row>
    <row r="226" spans="2:10">
      <c r="B226" s="56" t="s">
        <v>278</v>
      </c>
      <c r="D226" s="589">
        <f t="shared" si="246"/>
        <v>0</v>
      </c>
      <c r="E226" s="589">
        <f t="shared" si="246"/>
        <v>0</v>
      </c>
      <c r="F226" s="589">
        <f t="shared" si="246"/>
        <v>0</v>
      </c>
      <c r="G226" s="589">
        <f t="shared" si="246"/>
        <v>0</v>
      </c>
      <c r="H226" s="589">
        <f t="shared" si="246"/>
        <v>0</v>
      </c>
      <c r="I226" s="589">
        <f t="shared" si="246"/>
        <v>0</v>
      </c>
      <c r="J226" s="589">
        <f t="shared" si="246"/>
        <v>0</v>
      </c>
    </row>
    <row r="227" spans="2:10">
      <c r="B227" s="56" t="s">
        <v>279</v>
      </c>
      <c r="D227" s="589">
        <f t="shared" ref="D227:J234" si="247">SUMIF($B$4:$B$146,$B227,D$4:D$146)</f>
        <v>18371399</v>
      </c>
      <c r="E227" s="589">
        <f t="shared" si="247"/>
        <v>18422499</v>
      </c>
      <c r="F227" s="589">
        <f t="shared" si="247"/>
        <v>18003680</v>
      </c>
      <c r="G227" s="589">
        <f t="shared" si="247"/>
        <v>18689952</v>
      </c>
      <c r="H227" s="589">
        <f t="shared" si="247"/>
        <v>17823144</v>
      </c>
      <c r="I227" s="589">
        <f t="shared" si="247"/>
        <v>18498181</v>
      </c>
      <c r="J227" s="589">
        <f t="shared" si="247"/>
        <v>109808855</v>
      </c>
    </row>
    <row r="228" spans="2:10">
      <c r="B228" s="56" t="s">
        <v>875</v>
      </c>
      <c r="D228" s="589">
        <f t="shared" si="247"/>
        <v>8294722.5165000027</v>
      </c>
      <c r="E228" s="589">
        <f t="shared" si="247"/>
        <v>8140813.480800001</v>
      </c>
      <c r="F228" s="589">
        <f t="shared" si="247"/>
        <v>8266894.2631999999</v>
      </c>
      <c r="G228" s="589">
        <f t="shared" si="247"/>
        <v>8712372.9224999994</v>
      </c>
      <c r="H228" s="589">
        <f t="shared" si="247"/>
        <v>8018168.7654999988</v>
      </c>
      <c r="I228" s="589">
        <f t="shared" si="247"/>
        <v>9011490.1367460024</v>
      </c>
      <c r="J228" s="589">
        <f t="shared" si="247"/>
        <v>50444462.085246004</v>
      </c>
    </row>
    <row r="229" spans="2:10">
      <c r="B229" s="56" t="s">
        <v>874</v>
      </c>
      <c r="D229" s="589">
        <f t="shared" si="247"/>
        <v>277505.12309999997</v>
      </c>
      <c r="E229" s="589">
        <f t="shared" si="247"/>
        <v>275039.1409</v>
      </c>
      <c r="F229" s="589">
        <f t="shared" si="247"/>
        <v>263421.304</v>
      </c>
      <c r="G229" s="589">
        <f t="shared" si="247"/>
        <v>273172.52999999997</v>
      </c>
      <c r="H229" s="589">
        <f t="shared" si="247"/>
        <v>264545.33290000004</v>
      </c>
      <c r="I229" s="589">
        <f t="shared" si="247"/>
        <v>274089.99000000028</v>
      </c>
      <c r="J229" s="589">
        <f t="shared" si="247"/>
        <v>1627773.4209000003</v>
      </c>
    </row>
    <row r="230" spans="2:10">
      <c r="B230" s="56" t="s">
        <v>873</v>
      </c>
      <c r="D230" s="589">
        <f t="shared" si="247"/>
        <v>42704930.713415012</v>
      </c>
      <c r="E230" s="589">
        <f t="shared" si="247"/>
        <v>42273230.147294998</v>
      </c>
      <c r="F230" s="589">
        <f t="shared" si="247"/>
        <v>41073104.088540003</v>
      </c>
      <c r="G230" s="589">
        <f t="shared" si="247"/>
        <v>42730848.35360001</v>
      </c>
      <c r="H230" s="589">
        <f t="shared" si="247"/>
        <v>39398904.964399993</v>
      </c>
      <c r="I230" s="589">
        <f t="shared" si="247"/>
        <v>42246478.627023496</v>
      </c>
      <c r="J230" s="589">
        <f t="shared" si="247"/>
        <v>250427496.89427349</v>
      </c>
    </row>
    <row r="231" spans="2:10">
      <c r="B231" s="56" t="s">
        <v>872</v>
      </c>
      <c r="D231" s="589">
        <f t="shared" si="247"/>
        <v>10187998.689699996</v>
      </c>
      <c r="E231" s="589">
        <f t="shared" si="247"/>
        <v>10283691.219000001</v>
      </c>
      <c r="F231" s="589">
        <f t="shared" si="247"/>
        <v>10003634.213500001</v>
      </c>
      <c r="G231" s="589">
        <f t="shared" si="247"/>
        <v>10722025.506499998</v>
      </c>
      <c r="H231" s="589">
        <f t="shared" si="247"/>
        <v>10053473.359000001</v>
      </c>
      <c r="I231" s="589">
        <f t="shared" si="247"/>
        <v>9999309.5506700017</v>
      </c>
      <c r="J231" s="589">
        <f t="shared" si="247"/>
        <v>61250132.538369998</v>
      </c>
    </row>
    <row r="232" spans="2:10">
      <c r="B232" s="56" t="s">
        <v>871</v>
      </c>
      <c r="D232" s="589">
        <f t="shared" si="247"/>
        <v>4646197.4270000001</v>
      </c>
      <c r="E232" s="589">
        <f t="shared" si="247"/>
        <v>4556963.8679999998</v>
      </c>
      <c r="F232" s="589">
        <f t="shared" si="247"/>
        <v>4711386.845999999</v>
      </c>
      <c r="G232" s="589">
        <f t="shared" si="247"/>
        <v>5664560.0352999996</v>
      </c>
      <c r="H232" s="589">
        <f t="shared" si="247"/>
        <v>5454182.7593999989</v>
      </c>
      <c r="I232" s="589">
        <f t="shared" si="247"/>
        <v>5734216.9078700012</v>
      </c>
      <c r="J232" s="589">
        <f t="shared" si="247"/>
        <v>30767507.843569998</v>
      </c>
    </row>
    <row r="233" spans="2:10">
      <c r="B233" s="56" t="s">
        <v>870</v>
      </c>
      <c r="D233" s="589">
        <f t="shared" si="247"/>
        <v>9732186.0445000008</v>
      </c>
      <c r="E233" s="589">
        <f t="shared" si="247"/>
        <v>8809349.8929999992</v>
      </c>
      <c r="F233" s="589">
        <f t="shared" si="247"/>
        <v>8904240.7452999987</v>
      </c>
      <c r="G233" s="589">
        <f t="shared" si="247"/>
        <v>10209908.455899999</v>
      </c>
      <c r="H233" s="589">
        <f t="shared" si="247"/>
        <v>7093283.8164999997</v>
      </c>
      <c r="I233" s="589">
        <f t="shared" si="247"/>
        <v>9146574.2800999992</v>
      </c>
      <c r="J233" s="589">
        <f t="shared" si="247"/>
        <v>53895543.23529999</v>
      </c>
    </row>
    <row r="234" spans="2:10">
      <c r="B234" s="56" t="s">
        <v>890</v>
      </c>
      <c r="D234" s="589">
        <f t="shared" si="247"/>
        <v>12893341.999999998</v>
      </c>
      <c r="E234" s="589">
        <f t="shared" si="247"/>
        <v>11576607.272000004</v>
      </c>
      <c r="F234" s="589">
        <f t="shared" si="247"/>
        <v>11993638.777999999</v>
      </c>
      <c r="G234" s="589">
        <f t="shared" si="247"/>
        <v>12530353.000000002</v>
      </c>
      <c r="H234" s="589">
        <f t="shared" si="247"/>
        <v>9487892.0510000009</v>
      </c>
      <c r="I234" s="589">
        <f t="shared" si="247"/>
        <v>2452350.0000000047</v>
      </c>
      <c r="J234" s="589">
        <f t="shared" si="247"/>
        <v>60934183.101000004</v>
      </c>
    </row>
    <row r="235" spans="2:10">
      <c r="B235" s="56" t="s">
        <v>111</v>
      </c>
      <c r="D235" s="589">
        <f t="shared" ref="D235:J235" si="248">SUM(D217:D234)</f>
        <v>364835965.51421499</v>
      </c>
      <c r="E235" s="589">
        <f t="shared" si="248"/>
        <v>362130006.02099496</v>
      </c>
      <c r="F235" s="589">
        <f t="shared" si="248"/>
        <v>356213687.23854005</v>
      </c>
      <c r="G235" s="589">
        <f t="shared" si="248"/>
        <v>366110728.80380005</v>
      </c>
      <c r="H235" s="589">
        <f t="shared" si="248"/>
        <v>343110662.04870003</v>
      </c>
      <c r="I235" s="589">
        <f t="shared" si="248"/>
        <v>343438698.49240953</v>
      </c>
      <c r="J235" s="589">
        <f t="shared" si="248"/>
        <v>2135839748.1186597</v>
      </c>
    </row>
    <row r="236" spans="2:10">
      <c r="D236" s="968">
        <f t="shared" ref="D236:J236" si="249">D235-D107-D146</f>
        <v>0</v>
      </c>
      <c r="E236" s="968">
        <f t="shared" si="249"/>
        <v>0</v>
      </c>
      <c r="F236" s="968">
        <f t="shared" si="249"/>
        <v>0</v>
      </c>
      <c r="G236" s="968">
        <f t="shared" si="249"/>
        <v>0</v>
      </c>
      <c r="H236" s="968">
        <f t="shared" si="249"/>
        <v>0</v>
      </c>
      <c r="I236" s="968">
        <f t="shared" si="249"/>
        <v>0</v>
      </c>
      <c r="J236" s="968">
        <f t="shared" si="249"/>
        <v>0</v>
      </c>
    </row>
  </sheetData>
  <phoneticPr fontId="0" type="noConversion"/>
  <printOptions horizontalCentered="1" verticalCentered="1" headings="1"/>
  <pageMargins left="0.19685039370078741" right="0.19685039370078741" top="0.19685039370078741" bottom="0.19685039370078741" header="0.39370078740157483" footer="0.47244094488188981"/>
  <pageSetup scale="33" orientation="portrait" r:id="rId1"/>
  <headerFooter>
    <oddHeader>&amp;L&amp;"Times New Roman,Negrita"&amp;14Nombre de la Distribuidora: &amp;K06-048ENSA&amp;RASEP FORM: &amp;A</oddHeader>
    <oddFooter>&amp;R&amp;A</oddFooter>
  </headerFooter>
  <colBreaks count="2" manualBreakCount="2">
    <brk id="10" max="1048575" man="1"/>
    <brk id="1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">
    <tabColor theme="8" tint="0.59999389629810485"/>
  </sheetPr>
  <dimension ref="A1:D10"/>
  <sheetViews>
    <sheetView zoomScale="85" zoomScaleNormal="85" zoomScaleSheetLayoutView="85" workbookViewId="0">
      <selection activeCell="E4" sqref="E4"/>
    </sheetView>
  </sheetViews>
  <sheetFormatPr baseColWidth="10" defaultColWidth="10" defaultRowHeight="15"/>
  <cols>
    <col min="1" max="1" width="3.75" style="890" customWidth="1"/>
    <col min="2" max="2" width="41" style="914" customWidth="1"/>
    <col min="3" max="3" width="13.875" style="890" customWidth="1"/>
    <col min="4" max="4" width="12.75" style="890" customWidth="1"/>
    <col min="5" max="5" width="10" style="890"/>
    <col min="6" max="6" width="5.125" style="890" customWidth="1"/>
    <col min="7" max="16384" width="10" style="890"/>
  </cols>
  <sheetData>
    <row r="1" spans="1:4">
      <c r="B1" s="891" t="s">
        <v>311</v>
      </c>
      <c r="C1" s="892"/>
    </row>
    <row r="2" spans="1:4">
      <c r="B2" s="175" t="s">
        <v>709</v>
      </c>
    </row>
    <row r="3" spans="1:4" ht="15.75">
      <c r="A3" s="893"/>
      <c r="B3" s="894" t="s">
        <v>153</v>
      </c>
      <c r="C3" s="895" t="s">
        <v>157</v>
      </c>
      <c r="D3" s="1237"/>
    </row>
    <row r="4" spans="1:4" s="900" customFormat="1" ht="45">
      <c r="A4" s="896">
        <v>1</v>
      </c>
      <c r="B4" s="897" t="s">
        <v>1534</v>
      </c>
      <c r="C4" s="898"/>
      <c r="D4" s="899">
        <f>AjGen500!E37</f>
        <v>155581715.93891835</v>
      </c>
    </row>
    <row r="5" spans="1:4" s="900" customFormat="1" ht="62.25" customHeight="1">
      <c r="A5" s="901">
        <v>2</v>
      </c>
      <c r="B5" s="897" t="s">
        <v>1535</v>
      </c>
      <c r="C5" s="902"/>
      <c r="D5" s="899">
        <f>AjGen500!E38</f>
        <v>140912028.36540282</v>
      </c>
    </row>
    <row r="6" spans="1:4" s="742" customFormat="1" ht="93">
      <c r="A6" s="743">
        <v>3</v>
      </c>
      <c r="B6" s="740" t="s">
        <v>1536</v>
      </c>
      <c r="C6" s="903" t="s">
        <v>1537</v>
      </c>
      <c r="D6" s="904">
        <f>AjGen500!E42</f>
        <v>1500680.084834896</v>
      </c>
    </row>
    <row r="7" spans="1:4" s="900" customFormat="1" ht="148.5">
      <c r="A7" s="901">
        <v>4</v>
      </c>
      <c r="B7" s="897" t="s">
        <v>1538</v>
      </c>
      <c r="C7" s="905" t="s">
        <v>1539</v>
      </c>
      <c r="D7" s="899">
        <f>D4-D5+D6</f>
        <v>16170367.65835043</v>
      </c>
    </row>
    <row r="8" spans="1:4" s="900" customFormat="1" ht="20.25" customHeight="1">
      <c r="A8" s="901">
        <v>5</v>
      </c>
      <c r="B8" s="906" t="s">
        <v>1502</v>
      </c>
      <c r="C8" s="907" t="s">
        <v>228</v>
      </c>
      <c r="D8" s="908">
        <f>'TI700'!C18</f>
        <v>7.47</v>
      </c>
    </row>
    <row r="9" spans="1:4" s="900" customFormat="1" ht="21.75" customHeight="1">
      <c r="A9" s="901">
        <v>6</v>
      </c>
      <c r="B9" s="906" t="s">
        <v>1540</v>
      </c>
      <c r="C9" s="907" t="s">
        <v>133</v>
      </c>
      <c r="D9" s="909">
        <f>1+(D8/100)</f>
        <v>1.0747</v>
      </c>
    </row>
    <row r="10" spans="1:4" s="900" customFormat="1" ht="42" customHeight="1">
      <c r="A10" s="910">
        <v>7</v>
      </c>
      <c r="B10" s="911" t="s">
        <v>1541</v>
      </c>
      <c r="C10" s="912"/>
      <c r="D10" s="913">
        <f>D7+(D7)*D8/100</f>
        <v>17378294.122429207</v>
      </c>
    </row>
  </sheetData>
  <printOptions horizontalCentered="1" verticalCentered="1"/>
  <pageMargins left="0.59055118110236227" right="0.59055118110236227" top="0.78740157480314965" bottom="0.59055118110236227" header="0.59055118110236227" footer="0.47244094488188981"/>
  <pageSetup scale="70" orientation="portrait" r:id="rId1"/>
  <headerFooter>
    <oddHeader>&amp;L&amp;"Times New Roman,Negrita"&amp;14Nombre de la Distribuidora: &amp;K06-048ENSA&amp;RASEP FORM: &amp;A</oddHeader>
    <oddFooter>&amp;R&amp;A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Hoja84">
    <tabColor theme="5" tint="0.59999389629810485"/>
    <pageSetUpPr fitToPage="1"/>
  </sheetPr>
  <dimension ref="A1:AI225"/>
  <sheetViews>
    <sheetView view="pageBreakPreview" zoomScale="70" zoomScaleNormal="70" zoomScaleSheetLayoutView="70" workbookViewId="0">
      <pane xSplit="3" ySplit="4" topLeftCell="D46" activePane="bottomRight" state="frozen"/>
      <selection activeCell="C59" sqref="C59"/>
      <selection pane="topRight" activeCell="C59" sqref="C59"/>
      <selection pane="bottomLeft" activeCell="C59" sqref="C59"/>
      <selection pane="bottomRight" activeCell="C59" sqref="C59"/>
    </sheetView>
  </sheetViews>
  <sheetFormatPr baseColWidth="10" defaultColWidth="11" defaultRowHeight="13.5"/>
  <cols>
    <col min="1" max="1" width="2.375" style="56" bestFit="1" customWidth="1"/>
    <col min="2" max="2" width="9.25" style="56" customWidth="1"/>
    <col min="3" max="3" width="32.5" style="56" customWidth="1"/>
    <col min="4" max="9" width="10.875" style="56" customWidth="1"/>
    <col min="10" max="10" width="11.375" style="56" bestFit="1" customWidth="1"/>
    <col min="11" max="23" width="10.875" style="56" customWidth="1"/>
    <col min="24" max="24" width="11.375" style="56" bestFit="1" customWidth="1"/>
    <col min="25" max="31" width="10.875" style="56" hidden="1" customWidth="1"/>
    <col min="32" max="32" width="3.625" style="56" customWidth="1"/>
    <col min="33" max="33" width="8.25" style="969" bestFit="1" customWidth="1"/>
    <col min="34" max="35" width="6.5" style="969" bestFit="1" customWidth="1"/>
    <col min="36" max="16384" width="11" style="56"/>
  </cols>
  <sheetData>
    <row r="1" spans="2:35" ht="14.25" thickBot="1"/>
    <row r="2" spans="2:35" s="585" customFormat="1" ht="13.5" customHeight="1">
      <c r="C2" s="584"/>
      <c r="J2" s="586" t="s">
        <v>114</v>
      </c>
      <c r="Q2" s="586" t="s">
        <v>114</v>
      </c>
      <c r="X2" s="586" t="s">
        <v>114</v>
      </c>
      <c r="AE2" s="586"/>
      <c r="AF2" s="1386"/>
      <c r="AG2" s="970"/>
      <c r="AH2" s="970"/>
      <c r="AI2" s="970"/>
    </row>
    <row r="3" spans="2:35" ht="12.95" customHeight="1">
      <c r="C3" s="960"/>
      <c r="D3" s="961" t="s">
        <v>159</v>
      </c>
      <c r="E3" s="962"/>
      <c r="F3" s="962"/>
      <c r="G3" s="962"/>
      <c r="H3" s="962"/>
      <c r="I3" s="962"/>
      <c r="J3" s="962"/>
      <c r="K3" s="961" t="s">
        <v>160</v>
      </c>
      <c r="L3" s="962"/>
      <c r="M3" s="962"/>
      <c r="N3" s="962"/>
      <c r="O3" s="962"/>
      <c r="P3" s="962"/>
      <c r="Q3" s="962"/>
      <c r="R3" s="961" t="s">
        <v>183</v>
      </c>
      <c r="S3" s="962"/>
      <c r="T3" s="962"/>
      <c r="U3" s="962"/>
      <c r="V3" s="962"/>
      <c r="W3" s="962"/>
      <c r="X3" s="962"/>
      <c r="Y3" s="961" t="s">
        <v>487</v>
      </c>
      <c r="Z3" s="962"/>
      <c r="AA3" s="962"/>
      <c r="AB3" s="962"/>
      <c r="AC3" s="962"/>
      <c r="AD3" s="962"/>
      <c r="AE3" s="962"/>
      <c r="AF3" s="1387"/>
    </row>
    <row r="4" spans="2:35" s="532" customFormat="1" ht="36">
      <c r="C4" s="963" t="s">
        <v>42</v>
      </c>
      <c r="D4" s="964">
        <f>F821D!D4</f>
        <v>45839</v>
      </c>
      <c r="E4" s="964">
        <f>F821D!E4</f>
        <v>45870</v>
      </c>
      <c r="F4" s="964">
        <f>F821D!F4</f>
        <v>45901</v>
      </c>
      <c r="G4" s="964">
        <f>F821D!G4</f>
        <v>45931</v>
      </c>
      <c r="H4" s="964">
        <f>F821D!H4</f>
        <v>45962</v>
      </c>
      <c r="I4" s="964">
        <f>F821D!I4</f>
        <v>45992</v>
      </c>
      <c r="J4" s="964" t="s">
        <v>111</v>
      </c>
      <c r="K4" s="964">
        <f t="shared" ref="K4:P4" si="0">D4</f>
        <v>45839</v>
      </c>
      <c r="L4" s="964">
        <f t="shared" si="0"/>
        <v>45870</v>
      </c>
      <c r="M4" s="964">
        <f t="shared" si="0"/>
        <v>45901</v>
      </c>
      <c r="N4" s="964">
        <f t="shared" si="0"/>
        <v>45931</v>
      </c>
      <c r="O4" s="964">
        <f t="shared" si="0"/>
        <v>45962</v>
      </c>
      <c r="P4" s="964">
        <f t="shared" si="0"/>
        <v>45992</v>
      </c>
      <c r="Q4" s="964" t="s">
        <v>111</v>
      </c>
      <c r="R4" s="964">
        <f t="shared" ref="R4:T4" si="1">K4</f>
        <v>45839</v>
      </c>
      <c r="S4" s="964">
        <f t="shared" si="1"/>
        <v>45870</v>
      </c>
      <c r="T4" s="964">
        <f t="shared" si="1"/>
        <v>45901</v>
      </c>
      <c r="U4" s="964">
        <f t="shared" ref="U4" si="2">N4</f>
        <v>45931</v>
      </c>
      <c r="V4" s="964">
        <f t="shared" ref="V4" si="3">O4</f>
        <v>45962</v>
      </c>
      <c r="W4" s="964">
        <f t="shared" ref="W4" si="4">P4</f>
        <v>45992</v>
      </c>
      <c r="X4" s="964" t="s">
        <v>111</v>
      </c>
      <c r="Y4" s="964">
        <f t="shared" ref="Y4:AB4" si="5">R4</f>
        <v>45839</v>
      </c>
      <c r="Z4" s="964">
        <f t="shared" si="5"/>
        <v>45870</v>
      </c>
      <c r="AA4" s="964">
        <f t="shared" si="5"/>
        <v>45901</v>
      </c>
      <c r="AB4" s="964">
        <f t="shared" si="5"/>
        <v>45931</v>
      </c>
      <c r="AC4" s="964">
        <f t="shared" ref="AC4" si="6">V4</f>
        <v>45962</v>
      </c>
      <c r="AD4" s="964">
        <f t="shared" ref="AD4" si="7">W4</f>
        <v>45992</v>
      </c>
      <c r="AE4" s="964" t="s">
        <v>111</v>
      </c>
      <c r="AF4" s="1388"/>
      <c r="AG4" s="971"/>
      <c r="AH4" s="971"/>
      <c r="AI4" s="971"/>
    </row>
    <row r="5" spans="2:35" s="587" customFormat="1">
      <c r="C5" s="880" t="s">
        <v>446</v>
      </c>
      <c r="D5" s="881">
        <f>SUBTOTAL(9,D6:D7)</f>
        <v>18371399</v>
      </c>
      <c r="E5" s="881">
        <f t="shared" ref="E5:P5" si="8">SUBTOTAL(9,E6:E7)</f>
        <v>18422499</v>
      </c>
      <c r="F5" s="881">
        <f t="shared" si="8"/>
        <v>18003680</v>
      </c>
      <c r="G5" s="881">
        <f t="shared" si="8"/>
        <v>18689952</v>
      </c>
      <c r="H5" s="881">
        <f t="shared" si="8"/>
        <v>17823144</v>
      </c>
      <c r="I5" s="881">
        <f t="shared" si="8"/>
        <v>18498181</v>
      </c>
      <c r="J5" s="180">
        <f>SUM(D5:I5)</f>
        <v>109808855</v>
      </c>
      <c r="K5" s="881">
        <f t="shared" si="8"/>
        <v>4779684</v>
      </c>
      <c r="L5" s="881">
        <f t="shared" si="8"/>
        <v>4536363</v>
      </c>
      <c r="M5" s="881">
        <f t="shared" si="8"/>
        <v>4342310</v>
      </c>
      <c r="N5" s="881">
        <f t="shared" si="8"/>
        <v>4342310</v>
      </c>
      <c r="O5" s="881">
        <f t="shared" si="8"/>
        <v>3485560</v>
      </c>
      <c r="P5" s="881">
        <f t="shared" si="8"/>
        <v>4070278</v>
      </c>
      <c r="Q5" s="180">
        <f>SUM(K5:P5)</f>
        <v>25556505</v>
      </c>
      <c r="R5" s="881">
        <f t="shared" ref="R5:R36" si="9">D5-K5</f>
        <v>13591715</v>
      </c>
      <c r="S5" s="881">
        <f t="shared" ref="S5:S36" si="10">E5-L5</f>
        <v>13886136</v>
      </c>
      <c r="T5" s="881">
        <f t="shared" ref="T5:T36" si="11">F5-M5</f>
        <v>13661370</v>
      </c>
      <c r="U5" s="881">
        <f t="shared" ref="U5:U36" si="12">G5-N5</f>
        <v>14347642</v>
      </c>
      <c r="V5" s="881">
        <f t="shared" ref="V5:V36" si="13">H5-O5</f>
        <v>14337584</v>
      </c>
      <c r="W5" s="881">
        <f t="shared" ref="W5:W36" si="14">I5-P5</f>
        <v>14427903</v>
      </c>
      <c r="X5" s="180">
        <f>SUM(R5:W5)</f>
        <v>84252350</v>
      </c>
      <c r="Y5" s="881"/>
      <c r="Z5" s="881"/>
      <c r="AA5" s="881"/>
      <c r="AB5" s="881"/>
      <c r="AC5" s="881"/>
      <c r="AD5" s="881"/>
      <c r="AE5" s="180"/>
      <c r="AF5" s="1389"/>
      <c r="AG5" s="972">
        <f>'PDYG-200'!D$29</f>
        <v>0.23334667728120814</v>
      </c>
      <c r="AH5" s="972">
        <f>'PDYG-200'!E$29</f>
        <v>0.29057094290570945</v>
      </c>
      <c r="AI5" s="972">
        <f>'PDYG-200'!F$29</f>
        <v>0.47608237981308243</v>
      </c>
    </row>
    <row r="6" spans="2:35">
      <c r="B6" s="48" t="s">
        <v>279</v>
      </c>
      <c r="C6" s="882" t="s">
        <v>279</v>
      </c>
      <c r="D6" s="883">
        <f>F821EVE!D6</f>
        <v>18371399</v>
      </c>
      <c r="E6" s="883">
        <f>F821EVE!E6</f>
        <v>18422499</v>
      </c>
      <c r="F6" s="883">
        <f>F821EVE!F6</f>
        <v>18003680</v>
      </c>
      <c r="G6" s="883">
        <f>F821EVE!G6</f>
        <v>18689952</v>
      </c>
      <c r="H6" s="883">
        <f>F821EVE!H6</f>
        <v>17823144</v>
      </c>
      <c r="I6" s="883">
        <f>F821EVE!I6</f>
        <v>18498181</v>
      </c>
      <c r="J6" s="180">
        <f t="shared" ref="J6:J69" si="15">SUM(D6:I6)</f>
        <v>109808855</v>
      </c>
      <c r="K6" s="974">
        <f>F821EVE!K6</f>
        <v>4779684</v>
      </c>
      <c r="L6" s="974">
        <f>F821EVE!L6</f>
        <v>4536363</v>
      </c>
      <c r="M6" s="974">
        <f>F821EVE!M6</f>
        <v>4342310</v>
      </c>
      <c r="N6" s="974">
        <f>F821EVE!N6</f>
        <v>4342310</v>
      </c>
      <c r="O6" s="974">
        <f>F821EVE!O6</f>
        <v>3485560</v>
      </c>
      <c r="P6" s="974">
        <f>F821EVE!P6</f>
        <v>4070278</v>
      </c>
      <c r="Q6" s="180">
        <f t="shared" ref="Q6:Q69" si="16">SUM(K6:P6)</f>
        <v>25556505</v>
      </c>
      <c r="R6" s="974">
        <f t="shared" si="9"/>
        <v>13591715</v>
      </c>
      <c r="S6" s="974">
        <f t="shared" si="10"/>
        <v>13886136</v>
      </c>
      <c r="T6" s="974">
        <f t="shared" si="11"/>
        <v>13661370</v>
      </c>
      <c r="U6" s="974">
        <f t="shared" si="12"/>
        <v>14347642</v>
      </c>
      <c r="V6" s="974">
        <f t="shared" si="13"/>
        <v>14337584</v>
      </c>
      <c r="W6" s="974">
        <f t="shared" si="14"/>
        <v>14427903</v>
      </c>
      <c r="X6" s="180">
        <f t="shared" ref="X6:X69" si="17">SUM(R6:W6)</f>
        <v>84252350</v>
      </c>
      <c r="Y6" s="883"/>
      <c r="Z6" s="883"/>
      <c r="AA6" s="883"/>
      <c r="AB6" s="883"/>
      <c r="AC6" s="883"/>
      <c r="AD6" s="883"/>
      <c r="AE6" s="180"/>
      <c r="AF6" s="1389"/>
      <c r="AG6" s="972">
        <f>'PDYG-200'!D$29</f>
        <v>0.23334667728120814</v>
      </c>
      <c r="AH6" s="972">
        <f>'PDYG-200'!E$29</f>
        <v>0.29057094290570945</v>
      </c>
      <c r="AI6" s="972">
        <f>'PDYG-200'!F$29</f>
        <v>0.47608237981308243</v>
      </c>
    </row>
    <row r="7" spans="2:35">
      <c r="B7" s="48" t="s">
        <v>278</v>
      </c>
      <c r="C7" s="882" t="s">
        <v>278</v>
      </c>
      <c r="D7" s="883">
        <f>F821EVE!D7</f>
        <v>0</v>
      </c>
      <c r="E7" s="883">
        <f>F821EVE!E7</f>
        <v>0</v>
      </c>
      <c r="F7" s="883">
        <f>F821EVE!F7</f>
        <v>0</v>
      </c>
      <c r="G7" s="883">
        <f>F821EVE!G7</f>
        <v>0</v>
      </c>
      <c r="H7" s="883">
        <f>F821EVE!H7</f>
        <v>0</v>
      </c>
      <c r="I7" s="883">
        <f>F821EVE!I7</f>
        <v>0</v>
      </c>
      <c r="J7" s="180">
        <f t="shared" si="15"/>
        <v>0</v>
      </c>
      <c r="K7" s="883">
        <f t="shared" ref="K7:P7" si="18">D7*$AG7</f>
        <v>0</v>
      </c>
      <c r="L7" s="883">
        <f t="shared" si="18"/>
        <v>0</v>
      </c>
      <c r="M7" s="883">
        <f t="shared" si="18"/>
        <v>0</v>
      </c>
      <c r="N7" s="883">
        <f t="shared" si="18"/>
        <v>0</v>
      </c>
      <c r="O7" s="883">
        <f t="shared" si="18"/>
        <v>0</v>
      </c>
      <c r="P7" s="883">
        <f t="shared" si="18"/>
        <v>0</v>
      </c>
      <c r="Q7" s="180">
        <f t="shared" si="16"/>
        <v>0</v>
      </c>
      <c r="R7" s="883">
        <f t="shared" si="9"/>
        <v>0</v>
      </c>
      <c r="S7" s="883">
        <f t="shared" si="10"/>
        <v>0</v>
      </c>
      <c r="T7" s="883">
        <f t="shared" si="11"/>
        <v>0</v>
      </c>
      <c r="U7" s="883">
        <f t="shared" si="12"/>
        <v>0</v>
      </c>
      <c r="V7" s="883">
        <f t="shared" si="13"/>
        <v>0</v>
      </c>
      <c r="W7" s="883">
        <f t="shared" si="14"/>
        <v>0</v>
      </c>
      <c r="X7" s="180">
        <f t="shared" si="17"/>
        <v>0</v>
      </c>
      <c r="Y7" s="883"/>
      <c r="Z7" s="883"/>
      <c r="AA7" s="883"/>
      <c r="AB7" s="883"/>
      <c r="AC7" s="883"/>
      <c r="AD7" s="883"/>
      <c r="AE7" s="180"/>
      <c r="AF7" s="1389"/>
      <c r="AG7" s="972">
        <f>'PDYG-200'!D$29</f>
        <v>0.23334667728120814</v>
      </c>
      <c r="AH7" s="972">
        <f>'PDYG-200'!E$29</f>
        <v>0.29057094290570945</v>
      </c>
      <c r="AI7" s="972">
        <f>'PDYG-200'!F$29</f>
        <v>0.47608237981308243</v>
      </c>
    </row>
    <row r="8" spans="2:35">
      <c r="B8" s="48"/>
      <c r="C8" s="884"/>
      <c r="D8" s="883"/>
      <c r="E8" s="883"/>
      <c r="F8" s="883"/>
      <c r="G8" s="883"/>
      <c r="H8" s="883"/>
      <c r="I8" s="883"/>
      <c r="J8" s="180">
        <f t="shared" si="15"/>
        <v>0</v>
      </c>
      <c r="K8" s="883"/>
      <c r="L8" s="883"/>
      <c r="M8" s="883"/>
      <c r="N8" s="883"/>
      <c r="O8" s="883"/>
      <c r="P8" s="883"/>
      <c r="Q8" s="180">
        <f t="shared" si="16"/>
        <v>0</v>
      </c>
      <c r="R8" s="883">
        <f t="shared" si="9"/>
        <v>0</v>
      </c>
      <c r="S8" s="883">
        <f t="shared" si="10"/>
        <v>0</v>
      </c>
      <c r="T8" s="883">
        <f t="shared" si="11"/>
        <v>0</v>
      </c>
      <c r="U8" s="883">
        <f t="shared" si="12"/>
        <v>0</v>
      </c>
      <c r="V8" s="883">
        <f t="shared" si="13"/>
        <v>0</v>
      </c>
      <c r="W8" s="883">
        <f t="shared" si="14"/>
        <v>0</v>
      </c>
      <c r="X8" s="180">
        <f t="shared" si="17"/>
        <v>0</v>
      </c>
      <c r="Y8" s="883"/>
      <c r="Z8" s="883"/>
      <c r="AA8" s="883"/>
      <c r="AB8" s="883"/>
      <c r="AC8" s="883"/>
      <c r="AD8" s="883"/>
      <c r="AE8" s="180"/>
      <c r="AF8" s="1389"/>
    </row>
    <row r="9" spans="2:35" s="587" customFormat="1">
      <c r="B9" s="48"/>
      <c r="C9" s="880" t="s">
        <v>630</v>
      </c>
      <c r="D9" s="881">
        <f>SUBTOTAL(9,D10:D18)</f>
        <v>29517150</v>
      </c>
      <c r="E9" s="881">
        <f t="shared" ref="E9:P9" si="19">SUBTOTAL(9,E10:E18)</f>
        <v>30290871</v>
      </c>
      <c r="F9" s="881">
        <f t="shared" si="19"/>
        <v>29295222</v>
      </c>
      <c r="G9" s="881">
        <f t="shared" si="19"/>
        <v>30415591</v>
      </c>
      <c r="H9" s="881">
        <f t="shared" si="19"/>
        <v>28618430</v>
      </c>
      <c r="I9" s="881">
        <f t="shared" si="19"/>
        <v>27850336</v>
      </c>
      <c r="J9" s="180">
        <f t="shared" si="15"/>
        <v>175987600</v>
      </c>
      <c r="K9" s="881">
        <f t="shared" si="19"/>
        <v>9104670.7376724556</v>
      </c>
      <c r="L9" s="881">
        <f t="shared" si="19"/>
        <v>9278757.536880957</v>
      </c>
      <c r="M9" s="881">
        <f t="shared" si="19"/>
        <v>8956986.1652958691</v>
      </c>
      <c r="N9" s="881">
        <f t="shared" si="19"/>
        <v>9383944.494455358</v>
      </c>
      <c r="O9" s="881">
        <f t="shared" si="19"/>
        <v>8325792.6791579807</v>
      </c>
      <c r="P9" s="881">
        <f t="shared" si="19"/>
        <v>8422005.5838119537</v>
      </c>
      <c r="Q9" s="180">
        <f t="shared" si="16"/>
        <v>53472157.197274573</v>
      </c>
      <c r="R9" s="881">
        <f t="shared" si="9"/>
        <v>20412479.262327544</v>
      </c>
      <c r="S9" s="881">
        <f t="shared" si="10"/>
        <v>21012113.463119045</v>
      </c>
      <c r="T9" s="881">
        <f t="shared" si="11"/>
        <v>20338235.834704131</v>
      </c>
      <c r="U9" s="881">
        <f t="shared" si="12"/>
        <v>21031646.50554464</v>
      </c>
      <c r="V9" s="881">
        <f t="shared" si="13"/>
        <v>20292637.32084202</v>
      </c>
      <c r="W9" s="881">
        <f t="shared" si="14"/>
        <v>19428330.416188046</v>
      </c>
      <c r="X9" s="180">
        <f t="shared" si="17"/>
        <v>122515442.80272542</v>
      </c>
      <c r="Y9" s="881"/>
      <c r="Z9" s="881"/>
      <c r="AA9" s="881"/>
      <c r="AB9" s="881"/>
      <c r="AC9" s="881"/>
      <c r="AD9" s="881"/>
      <c r="AE9" s="180"/>
      <c r="AF9" s="1389"/>
      <c r="AG9" s="972">
        <f>'PDYG-200'!D$30</f>
        <v>0.31269606137313216</v>
      </c>
      <c r="AH9" s="972">
        <f>'PDYG-200'!E$30</f>
        <v>0.26899999999999996</v>
      </c>
      <c r="AI9" s="972">
        <f>'PDYG-200'!F$30</f>
        <v>0.41830393862686788</v>
      </c>
    </row>
    <row r="10" spans="2:35">
      <c r="B10" s="48" t="s">
        <v>277</v>
      </c>
      <c r="C10" s="882" t="s">
        <v>277</v>
      </c>
      <c r="D10" s="881">
        <f>SUBTOTAL(9,D11:D13)</f>
        <v>4273523</v>
      </c>
      <c r="E10" s="881">
        <f t="shared" ref="E10:P10" si="20">SUBTOTAL(9,E11:E13)</f>
        <v>4365765</v>
      </c>
      <c r="F10" s="881">
        <f t="shared" si="20"/>
        <v>4346196</v>
      </c>
      <c r="G10" s="881">
        <f t="shared" si="20"/>
        <v>4101155</v>
      </c>
      <c r="H10" s="881">
        <f t="shared" si="20"/>
        <v>4984929</v>
      </c>
      <c r="I10" s="881">
        <f t="shared" si="20"/>
        <v>3245368</v>
      </c>
      <c r="J10" s="180">
        <f t="shared" si="15"/>
        <v>25316936</v>
      </c>
      <c r="K10" s="881">
        <f t="shared" si="20"/>
        <v>1211088</v>
      </c>
      <c r="L10" s="881">
        <f t="shared" si="20"/>
        <v>1172079</v>
      </c>
      <c r="M10" s="881">
        <f t="shared" si="20"/>
        <v>1155524</v>
      </c>
      <c r="N10" s="881">
        <f t="shared" si="20"/>
        <v>1155524</v>
      </c>
      <c r="O10" s="881">
        <f t="shared" si="20"/>
        <v>935690</v>
      </c>
      <c r="P10" s="881">
        <f t="shared" si="20"/>
        <v>728129</v>
      </c>
      <c r="Q10" s="180">
        <f t="shared" si="16"/>
        <v>6358034</v>
      </c>
      <c r="R10" s="881">
        <f t="shared" si="9"/>
        <v>3062435</v>
      </c>
      <c r="S10" s="881">
        <f t="shared" si="10"/>
        <v>3193686</v>
      </c>
      <c r="T10" s="881">
        <f t="shared" si="11"/>
        <v>3190672</v>
      </c>
      <c r="U10" s="881">
        <f t="shared" si="12"/>
        <v>2945631</v>
      </c>
      <c r="V10" s="881">
        <f t="shared" si="13"/>
        <v>4049239</v>
      </c>
      <c r="W10" s="881">
        <f t="shared" si="14"/>
        <v>2517239</v>
      </c>
      <c r="X10" s="180">
        <f t="shared" si="17"/>
        <v>18958902</v>
      </c>
      <c r="Y10" s="881"/>
      <c r="Z10" s="881"/>
      <c r="AA10" s="881"/>
      <c r="AB10" s="881"/>
      <c r="AC10" s="881"/>
      <c r="AD10" s="881"/>
      <c r="AE10" s="180"/>
      <c r="AF10" s="1389"/>
      <c r="AG10" s="972">
        <f>'PDYG-200'!D$30</f>
        <v>0.31269606137313216</v>
      </c>
      <c r="AH10" s="972">
        <f>'PDYG-200'!E$30</f>
        <v>0.26899999999999996</v>
      </c>
      <c r="AI10" s="972">
        <f>'PDYG-200'!F$30</f>
        <v>0.41830393862686788</v>
      </c>
    </row>
    <row r="11" spans="2:35">
      <c r="B11" s="48"/>
      <c r="C11" s="887" t="s">
        <v>304</v>
      </c>
      <c r="D11" s="883">
        <f>F821EVE!D11</f>
        <v>3617273</v>
      </c>
      <c r="E11" s="883">
        <f>F821EVE!E11</f>
        <v>3690615</v>
      </c>
      <c r="F11" s="883">
        <f>F821EVE!F11</f>
        <v>3672096</v>
      </c>
      <c r="G11" s="883">
        <f>F821EVE!G11</f>
        <v>3402905</v>
      </c>
      <c r="H11" s="883">
        <f>F821EVE!H11</f>
        <v>4297179</v>
      </c>
      <c r="I11" s="883">
        <f>F821EVE!I11</f>
        <v>3245368</v>
      </c>
      <c r="J11" s="180">
        <f t="shared" si="15"/>
        <v>21925436</v>
      </c>
      <c r="K11" s="974">
        <f>F821EVE!K11</f>
        <v>1034688</v>
      </c>
      <c r="L11" s="974">
        <f>F821EVE!L11</f>
        <v>997779</v>
      </c>
      <c r="M11" s="974">
        <f>F821EVE!M11</f>
        <v>980174</v>
      </c>
      <c r="N11" s="974">
        <f>F821EVE!N11</f>
        <v>980174</v>
      </c>
      <c r="O11" s="974">
        <f>F821EVE!O11</f>
        <v>792890</v>
      </c>
      <c r="P11" s="974">
        <f>F821EVE!P11</f>
        <v>728129</v>
      </c>
      <c r="Q11" s="180">
        <f t="shared" si="16"/>
        <v>5513834</v>
      </c>
      <c r="R11" s="974">
        <f t="shared" si="9"/>
        <v>2582585</v>
      </c>
      <c r="S11" s="974">
        <f t="shared" si="10"/>
        <v>2692836</v>
      </c>
      <c r="T11" s="974">
        <f t="shared" si="11"/>
        <v>2691922</v>
      </c>
      <c r="U11" s="974">
        <f t="shared" si="12"/>
        <v>2422731</v>
      </c>
      <c r="V11" s="974">
        <f t="shared" si="13"/>
        <v>3504289</v>
      </c>
      <c r="W11" s="974">
        <f t="shared" si="14"/>
        <v>2517239</v>
      </c>
      <c r="X11" s="180">
        <f t="shared" si="17"/>
        <v>16411602</v>
      </c>
      <c r="Y11" s="883"/>
      <c r="Z11" s="883"/>
      <c r="AA11" s="883"/>
      <c r="AB11" s="883"/>
      <c r="AC11" s="883"/>
      <c r="AD11" s="883"/>
      <c r="AE11" s="180"/>
      <c r="AF11" s="1389"/>
      <c r="AG11" s="972">
        <f>'PDYG-200'!D$30</f>
        <v>0.31269606137313216</v>
      </c>
      <c r="AH11" s="972">
        <f>'PDYG-200'!E$30</f>
        <v>0.26899999999999996</v>
      </c>
      <c r="AI11" s="972">
        <f>'PDYG-200'!F$30</f>
        <v>0.41830393862686788</v>
      </c>
    </row>
    <row r="12" spans="2:35">
      <c r="B12" s="48"/>
      <c r="C12" s="887" t="s">
        <v>305</v>
      </c>
      <c r="D12" s="883">
        <f>F821EVE!D12</f>
        <v>656250</v>
      </c>
      <c r="E12" s="883">
        <f>F821EVE!E12</f>
        <v>675150</v>
      </c>
      <c r="F12" s="883">
        <f>F821EVE!F12</f>
        <v>674100</v>
      </c>
      <c r="G12" s="883">
        <f>F821EVE!G12</f>
        <v>698250</v>
      </c>
      <c r="H12" s="883">
        <f>F821EVE!H12</f>
        <v>687750</v>
      </c>
      <c r="I12" s="883">
        <f>F821EVE!I12</f>
        <v>0</v>
      </c>
      <c r="J12" s="180">
        <f t="shared" si="15"/>
        <v>3391500</v>
      </c>
      <c r="K12" s="974">
        <f>F821EVE!K12</f>
        <v>176400</v>
      </c>
      <c r="L12" s="974">
        <f>F821EVE!L12</f>
        <v>174300</v>
      </c>
      <c r="M12" s="974">
        <f>F821EVE!M12</f>
        <v>175350</v>
      </c>
      <c r="N12" s="974">
        <f>F821EVE!N12</f>
        <v>175350</v>
      </c>
      <c r="O12" s="974">
        <f>F821EVE!O12</f>
        <v>142800</v>
      </c>
      <c r="P12" s="974">
        <f>F821EVE!P12</f>
        <v>0</v>
      </c>
      <c r="Q12" s="180">
        <f t="shared" si="16"/>
        <v>844200</v>
      </c>
      <c r="R12" s="974">
        <f t="shared" si="9"/>
        <v>479850</v>
      </c>
      <c r="S12" s="974">
        <f t="shared" si="10"/>
        <v>500850</v>
      </c>
      <c r="T12" s="974">
        <f t="shared" si="11"/>
        <v>498750</v>
      </c>
      <c r="U12" s="974">
        <f t="shared" si="12"/>
        <v>522900</v>
      </c>
      <c r="V12" s="974">
        <f t="shared" si="13"/>
        <v>544950</v>
      </c>
      <c r="W12" s="974">
        <f t="shared" si="14"/>
        <v>0</v>
      </c>
      <c r="X12" s="180">
        <f t="shared" si="17"/>
        <v>2547300</v>
      </c>
      <c r="Y12" s="883"/>
      <c r="Z12" s="883"/>
      <c r="AA12" s="883"/>
      <c r="AB12" s="883"/>
      <c r="AC12" s="883"/>
      <c r="AD12" s="883"/>
      <c r="AE12" s="180"/>
      <c r="AF12" s="1389"/>
      <c r="AG12" s="972">
        <f>'PDYG-200'!D$30</f>
        <v>0.31269606137313216</v>
      </c>
      <c r="AH12" s="972">
        <f>'PDYG-200'!E$30</f>
        <v>0.26899999999999996</v>
      </c>
      <c r="AI12" s="972">
        <f>'PDYG-200'!F$30</f>
        <v>0.41830393862686788</v>
      </c>
    </row>
    <row r="13" spans="2:35">
      <c r="B13" s="48"/>
      <c r="C13" s="887"/>
      <c r="D13" s="883"/>
      <c r="E13" s="883"/>
      <c r="F13" s="883"/>
      <c r="G13" s="883"/>
      <c r="H13" s="883"/>
      <c r="I13" s="883"/>
      <c r="J13" s="180">
        <f t="shared" si="15"/>
        <v>0</v>
      </c>
      <c r="K13" s="974"/>
      <c r="L13" s="974"/>
      <c r="M13" s="974"/>
      <c r="N13" s="974"/>
      <c r="O13" s="974"/>
      <c r="P13" s="974"/>
      <c r="Q13" s="180">
        <f t="shared" si="16"/>
        <v>0</v>
      </c>
      <c r="R13" s="974">
        <f t="shared" si="9"/>
        <v>0</v>
      </c>
      <c r="S13" s="974">
        <f t="shared" si="10"/>
        <v>0</v>
      </c>
      <c r="T13" s="974">
        <f t="shared" si="11"/>
        <v>0</v>
      </c>
      <c r="U13" s="974">
        <f t="shared" si="12"/>
        <v>0</v>
      </c>
      <c r="V13" s="974">
        <f t="shared" si="13"/>
        <v>0</v>
      </c>
      <c r="W13" s="974">
        <f t="shared" si="14"/>
        <v>0</v>
      </c>
      <c r="X13" s="180">
        <f t="shared" si="17"/>
        <v>0</v>
      </c>
      <c r="Y13" s="883"/>
      <c r="Z13" s="883"/>
      <c r="AA13" s="883"/>
      <c r="AB13" s="883"/>
      <c r="AC13" s="883"/>
      <c r="AD13" s="883"/>
      <c r="AE13" s="180"/>
      <c r="AF13" s="1389"/>
      <c r="AG13" s="972"/>
      <c r="AH13" s="972"/>
      <c r="AI13" s="972"/>
    </row>
    <row r="14" spans="2:35">
      <c r="B14" s="48" t="s">
        <v>276</v>
      </c>
      <c r="C14" s="882" t="s">
        <v>276</v>
      </c>
      <c r="D14" s="881">
        <f>SUBTOTAL(9,D15:D18)</f>
        <v>25243627</v>
      </c>
      <c r="E14" s="881">
        <f t="shared" ref="E14:P14" si="21">SUBTOTAL(9,E15:E18)</f>
        <v>25925106</v>
      </c>
      <c r="F14" s="881">
        <f t="shared" si="21"/>
        <v>24949026</v>
      </c>
      <c r="G14" s="881">
        <f t="shared" si="21"/>
        <v>26314436</v>
      </c>
      <c r="H14" s="881">
        <f t="shared" si="21"/>
        <v>23633501</v>
      </c>
      <c r="I14" s="881">
        <f t="shared" si="21"/>
        <v>24604968</v>
      </c>
      <c r="J14" s="180">
        <f t="shared" si="15"/>
        <v>150670664</v>
      </c>
      <c r="K14" s="881">
        <f t="shared" si="21"/>
        <v>7893582.7376724565</v>
      </c>
      <c r="L14" s="881">
        <f t="shared" si="21"/>
        <v>8106678.536880957</v>
      </c>
      <c r="M14" s="881">
        <f t="shared" si="21"/>
        <v>7801462.16529587</v>
      </c>
      <c r="N14" s="881">
        <f t="shared" si="21"/>
        <v>8228420.494455358</v>
      </c>
      <c r="O14" s="881">
        <f t="shared" si="21"/>
        <v>7390102.6791579807</v>
      </c>
      <c r="P14" s="881">
        <f t="shared" si="21"/>
        <v>7693876.5838119527</v>
      </c>
      <c r="Q14" s="180">
        <f t="shared" si="16"/>
        <v>47114123.197274573</v>
      </c>
      <c r="R14" s="881">
        <f t="shared" si="9"/>
        <v>17350044.262327544</v>
      </c>
      <c r="S14" s="881">
        <f t="shared" si="10"/>
        <v>17818427.463119045</v>
      </c>
      <c r="T14" s="881">
        <f t="shared" si="11"/>
        <v>17147563.834704131</v>
      </c>
      <c r="U14" s="881">
        <f t="shared" si="12"/>
        <v>18086015.50554464</v>
      </c>
      <c r="V14" s="881">
        <f t="shared" si="13"/>
        <v>16243398.32084202</v>
      </c>
      <c r="W14" s="881">
        <f t="shared" si="14"/>
        <v>16911091.416188046</v>
      </c>
      <c r="X14" s="180">
        <f t="shared" si="17"/>
        <v>103556540.80272542</v>
      </c>
      <c r="Y14" s="881"/>
      <c r="Z14" s="881"/>
      <c r="AA14" s="881"/>
      <c r="AB14" s="881"/>
      <c r="AC14" s="881"/>
      <c r="AD14" s="881"/>
      <c r="AE14" s="881"/>
      <c r="AF14" s="975"/>
      <c r="AG14" s="972">
        <f>'PDYG-200'!D$30</f>
        <v>0.31269606137313216</v>
      </c>
      <c r="AH14" s="972">
        <f>'PDYG-200'!E$30</f>
        <v>0.26899999999999996</v>
      </c>
      <c r="AI14" s="972">
        <f>'PDYG-200'!F$30</f>
        <v>0.41830393862686788</v>
      </c>
    </row>
    <row r="15" spans="2:35">
      <c r="B15" s="48"/>
      <c r="C15" s="887" t="s">
        <v>304</v>
      </c>
      <c r="D15" s="883">
        <f>F821EVE!D15</f>
        <v>25168167</v>
      </c>
      <c r="E15" s="883">
        <f>F821EVE!E15</f>
        <v>25811916</v>
      </c>
      <c r="F15" s="883">
        <f>F821EVE!F15</f>
        <v>24868736</v>
      </c>
      <c r="G15" s="883">
        <f>F821EVE!G15</f>
        <v>26256056</v>
      </c>
      <c r="H15" s="883">
        <f>F821EVE!H15</f>
        <v>23488041</v>
      </c>
      <c r="I15" s="883">
        <f>F821EVE!I15</f>
        <v>24459578</v>
      </c>
      <c r="J15" s="180">
        <f t="shared" si="15"/>
        <v>150052494</v>
      </c>
      <c r="K15" s="883">
        <f t="shared" ref="K15:P18" si="22">D15*$AG15</f>
        <v>7869986.6928812396</v>
      </c>
      <c r="L15" s="883">
        <f t="shared" si="22"/>
        <v>8071284.469694132</v>
      </c>
      <c r="M15" s="883">
        <f t="shared" si="22"/>
        <v>7776355.7985282214</v>
      </c>
      <c r="N15" s="883">
        <f t="shared" si="22"/>
        <v>8210165.2983923946</v>
      </c>
      <c r="O15" s="883">
        <f t="shared" si="22"/>
        <v>7344617.9100706447</v>
      </c>
      <c r="P15" s="883">
        <f t="shared" si="22"/>
        <v>7648413.7034489131</v>
      </c>
      <c r="Q15" s="180">
        <f t="shared" si="16"/>
        <v>46920823.873015545</v>
      </c>
      <c r="R15" s="883">
        <f t="shared" si="9"/>
        <v>17298180.307118759</v>
      </c>
      <c r="S15" s="883">
        <f t="shared" si="10"/>
        <v>17740631.53030587</v>
      </c>
      <c r="T15" s="883">
        <f t="shared" si="11"/>
        <v>17092380.201471779</v>
      </c>
      <c r="U15" s="883">
        <f t="shared" si="12"/>
        <v>18045890.701607607</v>
      </c>
      <c r="V15" s="883">
        <f t="shared" si="13"/>
        <v>16143423.089929355</v>
      </c>
      <c r="W15" s="883">
        <f t="shared" si="14"/>
        <v>16811164.296551086</v>
      </c>
      <c r="X15" s="180">
        <f t="shared" si="17"/>
        <v>103131670.12698448</v>
      </c>
      <c r="Y15" s="883"/>
      <c r="Z15" s="883"/>
      <c r="AA15" s="883"/>
      <c r="AB15" s="883"/>
      <c r="AC15" s="883"/>
      <c r="AD15" s="883"/>
      <c r="AE15" s="180"/>
      <c r="AF15" s="1389"/>
      <c r="AG15" s="972">
        <f>'PDYG-200'!D$30</f>
        <v>0.31269606137313216</v>
      </c>
      <c r="AH15" s="972">
        <f>'PDYG-200'!E$30</f>
        <v>0.26899999999999996</v>
      </c>
      <c r="AI15" s="972">
        <f>'PDYG-200'!F$30</f>
        <v>0.41830393862686788</v>
      </c>
    </row>
    <row r="16" spans="2:35">
      <c r="B16" s="48"/>
      <c r="C16" s="888" t="s">
        <v>306</v>
      </c>
      <c r="D16" s="883">
        <f>F821EVE!D16</f>
        <v>0</v>
      </c>
      <c r="E16" s="883">
        <f>F821EVE!E16</f>
        <v>0</v>
      </c>
      <c r="F16" s="883">
        <f>F821EVE!F16</f>
        <v>0</v>
      </c>
      <c r="G16" s="883">
        <f>F821EVE!G16</f>
        <v>0</v>
      </c>
      <c r="H16" s="883">
        <f>F821EVE!H16</f>
        <v>0</v>
      </c>
      <c r="I16" s="883">
        <f>F821EVE!I16</f>
        <v>0</v>
      </c>
      <c r="J16" s="180">
        <f t="shared" si="15"/>
        <v>0</v>
      </c>
      <c r="K16" s="883">
        <f t="shared" si="22"/>
        <v>0</v>
      </c>
      <c r="L16" s="883">
        <f t="shared" si="22"/>
        <v>0</v>
      </c>
      <c r="M16" s="883">
        <f t="shared" si="22"/>
        <v>0</v>
      </c>
      <c r="N16" s="883">
        <f t="shared" si="22"/>
        <v>0</v>
      </c>
      <c r="O16" s="883">
        <f t="shared" si="22"/>
        <v>0</v>
      </c>
      <c r="P16" s="883">
        <f t="shared" si="22"/>
        <v>0</v>
      </c>
      <c r="Q16" s="180">
        <f t="shared" si="16"/>
        <v>0</v>
      </c>
      <c r="R16" s="883">
        <f t="shared" si="9"/>
        <v>0</v>
      </c>
      <c r="S16" s="883">
        <f t="shared" si="10"/>
        <v>0</v>
      </c>
      <c r="T16" s="883">
        <f t="shared" si="11"/>
        <v>0</v>
      </c>
      <c r="U16" s="883">
        <f t="shared" si="12"/>
        <v>0</v>
      </c>
      <c r="V16" s="883">
        <f t="shared" si="13"/>
        <v>0</v>
      </c>
      <c r="W16" s="883">
        <f t="shared" si="14"/>
        <v>0</v>
      </c>
      <c r="X16" s="180">
        <f t="shared" si="17"/>
        <v>0</v>
      </c>
      <c r="Y16" s="883"/>
      <c r="Z16" s="883"/>
      <c r="AA16" s="883"/>
      <c r="AB16" s="883"/>
      <c r="AC16" s="883"/>
      <c r="AD16" s="883"/>
      <c r="AE16" s="180"/>
      <c r="AF16" s="1389"/>
      <c r="AG16" s="972">
        <f>'PDYG-200'!D$30</f>
        <v>0.31269606137313216</v>
      </c>
      <c r="AH16" s="972">
        <f>'PDYG-200'!E$30</f>
        <v>0.26899999999999996</v>
      </c>
      <c r="AI16" s="972">
        <f>'PDYG-200'!F$30</f>
        <v>0.41830393862686788</v>
      </c>
    </row>
    <row r="17" spans="2:35">
      <c r="B17" s="48"/>
      <c r="C17" s="887" t="s">
        <v>305</v>
      </c>
      <c r="D17" s="883">
        <f>F821EVE!D17</f>
        <v>75460</v>
      </c>
      <c r="E17" s="883">
        <f>F821EVE!E17</f>
        <v>113190</v>
      </c>
      <c r="F17" s="883">
        <f>F821EVE!F17</f>
        <v>80290</v>
      </c>
      <c r="G17" s="883">
        <f>F821EVE!G17</f>
        <v>58380</v>
      </c>
      <c r="H17" s="883">
        <f>F821EVE!H17</f>
        <v>145460</v>
      </c>
      <c r="I17" s="883">
        <f>F821EVE!I17</f>
        <v>145390</v>
      </c>
      <c r="J17" s="180">
        <f t="shared" si="15"/>
        <v>618170</v>
      </c>
      <c r="K17" s="883">
        <f t="shared" si="22"/>
        <v>23596.044791216555</v>
      </c>
      <c r="L17" s="883">
        <f t="shared" si="22"/>
        <v>35394.067186824832</v>
      </c>
      <c r="M17" s="883">
        <f t="shared" si="22"/>
        <v>25106.366767648782</v>
      </c>
      <c r="N17" s="883">
        <f t="shared" si="22"/>
        <v>18255.196062963456</v>
      </c>
      <c r="O17" s="883">
        <f t="shared" si="22"/>
        <v>45484.769087335801</v>
      </c>
      <c r="P17" s="883">
        <f t="shared" si="22"/>
        <v>45462.880363039687</v>
      </c>
      <c r="Q17" s="180">
        <f t="shared" si="16"/>
        <v>193299.32425902912</v>
      </c>
      <c r="R17" s="883">
        <f t="shared" si="9"/>
        <v>51863.955208783445</v>
      </c>
      <c r="S17" s="883">
        <f t="shared" si="10"/>
        <v>77795.932813175168</v>
      </c>
      <c r="T17" s="883">
        <f t="shared" si="11"/>
        <v>55183.633232351218</v>
      </c>
      <c r="U17" s="883">
        <f t="shared" si="12"/>
        <v>40124.803937036544</v>
      </c>
      <c r="V17" s="883">
        <f t="shared" si="13"/>
        <v>99975.230912664207</v>
      </c>
      <c r="W17" s="883">
        <f t="shared" si="14"/>
        <v>99927.119636960313</v>
      </c>
      <c r="X17" s="180">
        <f t="shared" si="17"/>
        <v>424870.67574097088</v>
      </c>
      <c r="Y17" s="883"/>
      <c r="Z17" s="883"/>
      <c r="AA17" s="883"/>
      <c r="AB17" s="883"/>
      <c r="AC17" s="883"/>
      <c r="AD17" s="883"/>
      <c r="AE17" s="180"/>
      <c r="AF17" s="1389"/>
      <c r="AG17" s="972">
        <f>'PDYG-200'!D$30</f>
        <v>0.31269606137313216</v>
      </c>
      <c r="AH17" s="972">
        <f>'PDYG-200'!E$30</f>
        <v>0.26899999999999996</v>
      </c>
      <c r="AI17" s="972">
        <f>'PDYG-200'!F$30</f>
        <v>0.41830393862686788</v>
      </c>
    </row>
    <row r="18" spans="2:35">
      <c r="B18" s="48"/>
      <c r="C18" s="887" t="s">
        <v>307</v>
      </c>
      <c r="D18" s="883">
        <f>F821EVE!D18</f>
        <v>0</v>
      </c>
      <c r="E18" s="883">
        <f>F821EVE!E18</f>
        <v>0</v>
      </c>
      <c r="F18" s="883">
        <f>F821EVE!F18</f>
        <v>0</v>
      </c>
      <c r="G18" s="883">
        <f>F821EVE!G18</f>
        <v>0</v>
      </c>
      <c r="H18" s="883">
        <f>F821EVE!H18</f>
        <v>0</v>
      </c>
      <c r="I18" s="883">
        <f>F821EVE!I18</f>
        <v>0</v>
      </c>
      <c r="J18" s="180">
        <f t="shared" si="15"/>
        <v>0</v>
      </c>
      <c r="K18" s="883">
        <f t="shared" si="22"/>
        <v>0</v>
      </c>
      <c r="L18" s="883">
        <f t="shared" si="22"/>
        <v>0</v>
      </c>
      <c r="M18" s="883">
        <f t="shared" si="22"/>
        <v>0</v>
      </c>
      <c r="N18" s="883">
        <f t="shared" si="22"/>
        <v>0</v>
      </c>
      <c r="O18" s="883">
        <f t="shared" si="22"/>
        <v>0</v>
      </c>
      <c r="P18" s="883">
        <f t="shared" si="22"/>
        <v>0</v>
      </c>
      <c r="Q18" s="180">
        <f t="shared" si="16"/>
        <v>0</v>
      </c>
      <c r="R18" s="883">
        <f t="shared" si="9"/>
        <v>0</v>
      </c>
      <c r="S18" s="883">
        <f t="shared" si="10"/>
        <v>0</v>
      </c>
      <c r="T18" s="883">
        <f t="shared" si="11"/>
        <v>0</v>
      </c>
      <c r="U18" s="883">
        <f t="shared" si="12"/>
        <v>0</v>
      </c>
      <c r="V18" s="883">
        <f t="shared" si="13"/>
        <v>0</v>
      </c>
      <c r="W18" s="883">
        <f t="shared" si="14"/>
        <v>0</v>
      </c>
      <c r="X18" s="180">
        <f t="shared" si="17"/>
        <v>0</v>
      </c>
      <c r="Y18" s="883"/>
      <c r="Z18" s="883"/>
      <c r="AA18" s="883"/>
      <c r="AB18" s="883"/>
      <c r="AC18" s="883"/>
      <c r="AD18" s="883"/>
      <c r="AE18" s="180"/>
      <c r="AF18" s="1389"/>
      <c r="AG18" s="972">
        <f>'PDYG-200'!D$30</f>
        <v>0.31269606137313216</v>
      </c>
      <c r="AH18" s="972">
        <f>'PDYG-200'!E$30</f>
        <v>0.26899999999999996</v>
      </c>
      <c r="AI18" s="972">
        <f>'PDYG-200'!F$30</f>
        <v>0.41830393862686788</v>
      </c>
    </row>
    <row r="19" spans="2:35">
      <c r="B19" s="48"/>
      <c r="C19" s="884"/>
      <c r="D19" s="883"/>
      <c r="E19" s="883"/>
      <c r="F19" s="883"/>
      <c r="G19" s="883"/>
      <c r="H19" s="883"/>
      <c r="I19" s="883"/>
      <c r="J19" s="180">
        <f t="shared" si="15"/>
        <v>0</v>
      </c>
      <c r="K19" s="883"/>
      <c r="L19" s="883"/>
      <c r="M19" s="883"/>
      <c r="N19" s="883"/>
      <c r="O19" s="883"/>
      <c r="P19" s="883"/>
      <c r="Q19" s="180">
        <f t="shared" si="16"/>
        <v>0</v>
      </c>
      <c r="R19" s="883">
        <f t="shared" si="9"/>
        <v>0</v>
      </c>
      <c r="S19" s="883">
        <f t="shared" si="10"/>
        <v>0</v>
      </c>
      <c r="T19" s="883">
        <f t="shared" si="11"/>
        <v>0</v>
      </c>
      <c r="U19" s="883">
        <f t="shared" si="12"/>
        <v>0</v>
      </c>
      <c r="V19" s="883">
        <f t="shared" si="13"/>
        <v>0</v>
      </c>
      <c r="W19" s="883">
        <f t="shared" si="14"/>
        <v>0</v>
      </c>
      <c r="X19" s="180">
        <f t="shared" si="17"/>
        <v>0</v>
      </c>
      <c r="Y19" s="883"/>
      <c r="Z19" s="883"/>
      <c r="AA19" s="883"/>
      <c r="AB19" s="883"/>
      <c r="AC19" s="883"/>
      <c r="AD19" s="883"/>
      <c r="AE19" s="180"/>
      <c r="AF19" s="1389"/>
    </row>
    <row r="20" spans="2:35" s="587" customFormat="1">
      <c r="B20" s="48"/>
      <c r="C20" s="880" t="s">
        <v>443</v>
      </c>
      <c r="D20" s="881">
        <f>SUBTOTAL(9,D21:D105)</f>
        <v>228210534</v>
      </c>
      <c r="E20" s="881">
        <f t="shared" ref="E20:P20" si="23">SUBTOTAL(9,E21:E105)</f>
        <v>227500941</v>
      </c>
      <c r="F20" s="881">
        <f t="shared" si="23"/>
        <v>223698465</v>
      </c>
      <c r="G20" s="881">
        <f t="shared" si="23"/>
        <v>226161945</v>
      </c>
      <c r="H20" s="881">
        <f t="shared" si="23"/>
        <v>216898637</v>
      </c>
      <c r="I20" s="881">
        <f t="shared" si="23"/>
        <v>218225672</v>
      </c>
      <c r="J20" s="180">
        <f t="shared" si="15"/>
        <v>1340696194</v>
      </c>
      <c r="K20" s="881">
        <f t="shared" si="23"/>
        <v>63077031.857568227</v>
      </c>
      <c r="L20" s="881">
        <f t="shared" si="23"/>
        <v>62787292.36177776</v>
      </c>
      <c r="M20" s="881">
        <f t="shared" si="23"/>
        <v>61521991.604432695</v>
      </c>
      <c r="N20" s="881">
        <f t="shared" si="23"/>
        <v>62440422.493669651</v>
      </c>
      <c r="O20" s="881">
        <f t="shared" si="23"/>
        <v>59606429.883568436</v>
      </c>
      <c r="P20" s="881">
        <f t="shared" si="23"/>
        <v>59943728.783667155</v>
      </c>
      <c r="Q20" s="180">
        <f t="shared" si="16"/>
        <v>369376896.98468393</v>
      </c>
      <c r="R20" s="881">
        <f t="shared" si="9"/>
        <v>165133502.14243177</v>
      </c>
      <c r="S20" s="881">
        <f t="shared" si="10"/>
        <v>164713648.63822225</v>
      </c>
      <c r="T20" s="881">
        <f t="shared" si="11"/>
        <v>162176473.3955673</v>
      </c>
      <c r="U20" s="881">
        <f t="shared" si="12"/>
        <v>163721522.50633034</v>
      </c>
      <c r="V20" s="881">
        <f t="shared" si="13"/>
        <v>157292207.11643156</v>
      </c>
      <c r="W20" s="881">
        <f t="shared" si="14"/>
        <v>158281943.21633285</v>
      </c>
      <c r="X20" s="180">
        <f t="shared" si="17"/>
        <v>971319297.01531601</v>
      </c>
      <c r="Y20" s="881"/>
      <c r="Z20" s="881"/>
      <c r="AA20" s="881"/>
      <c r="AB20" s="881"/>
      <c r="AC20" s="881"/>
      <c r="AD20" s="881"/>
      <c r="AE20" s="180"/>
      <c r="AF20" s="1389"/>
      <c r="AG20" s="972">
        <f>'PDYG-200'!D$31</f>
        <v>0.39972132300720115</v>
      </c>
      <c r="AH20" s="972">
        <f>'PDYG-200'!E$31</f>
        <v>0.24340000000000001</v>
      </c>
      <c r="AI20" s="972">
        <f>'PDYG-200'!F$31</f>
        <v>0.35687867699279885</v>
      </c>
    </row>
    <row r="21" spans="2:35">
      <c r="B21" s="48" t="s">
        <v>275</v>
      </c>
      <c r="C21" s="882" t="s">
        <v>275</v>
      </c>
      <c r="D21" s="881">
        <f>SUBTOTAL(9,D22:D24)</f>
        <v>2796078</v>
      </c>
      <c r="E21" s="881">
        <f t="shared" ref="E21:P21" si="24">SUBTOTAL(9,E22:E24)</f>
        <v>2776295</v>
      </c>
      <c r="F21" s="881">
        <f t="shared" si="24"/>
        <v>2745536</v>
      </c>
      <c r="G21" s="881">
        <f t="shared" si="24"/>
        <v>2827585</v>
      </c>
      <c r="H21" s="881">
        <f t="shared" si="24"/>
        <v>2788874</v>
      </c>
      <c r="I21" s="881">
        <f t="shared" si="24"/>
        <v>2916840</v>
      </c>
      <c r="J21" s="180">
        <f t="shared" si="15"/>
        <v>16851208</v>
      </c>
      <c r="K21" s="881">
        <f t="shared" si="24"/>
        <v>725703</v>
      </c>
      <c r="L21" s="881">
        <f t="shared" si="24"/>
        <v>673184</v>
      </c>
      <c r="M21" s="881">
        <f t="shared" si="24"/>
        <v>657731</v>
      </c>
      <c r="N21" s="881">
        <f t="shared" si="24"/>
        <v>657731</v>
      </c>
      <c r="O21" s="881">
        <f t="shared" si="24"/>
        <v>538996</v>
      </c>
      <c r="P21" s="881">
        <f t="shared" si="24"/>
        <v>634129</v>
      </c>
      <c r="Q21" s="180">
        <f t="shared" si="16"/>
        <v>3887474</v>
      </c>
      <c r="R21" s="881">
        <f t="shared" si="9"/>
        <v>2070375</v>
      </c>
      <c r="S21" s="881">
        <f t="shared" si="10"/>
        <v>2103111</v>
      </c>
      <c r="T21" s="881">
        <f t="shared" si="11"/>
        <v>2087805</v>
      </c>
      <c r="U21" s="881">
        <f t="shared" si="12"/>
        <v>2169854</v>
      </c>
      <c r="V21" s="881">
        <f t="shared" si="13"/>
        <v>2249878</v>
      </c>
      <c r="W21" s="881">
        <f t="shared" si="14"/>
        <v>2282711</v>
      </c>
      <c r="X21" s="180">
        <f t="shared" si="17"/>
        <v>12963734</v>
      </c>
      <c r="Y21" s="881"/>
      <c r="Z21" s="881"/>
      <c r="AA21" s="881"/>
      <c r="AB21" s="881"/>
      <c r="AC21" s="881"/>
      <c r="AD21" s="881"/>
      <c r="AE21" s="180"/>
      <c r="AF21" s="1389"/>
      <c r="AG21" s="972">
        <f>'PDYG-200'!D$31</f>
        <v>0.39972132300720115</v>
      </c>
      <c r="AH21" s="972">
        <f>'PDYG-200'!E$31</f>
        <v>0.24340000000000001</v>
      </c>
      <c r="AI21" s="972">
        <f>'PDYG-200'!F$31</f>
        <v>0.35687867699279885</v>
      </c>
    </row>
    <row r="22" spans="2:35">
      <c r="B22" s="48"/>
      <c r="C22" s="887" t="s">
        <v>304</v>
      </c>
      <c r="D22" s="883">
        <f>F821EVE!D22</f>
        <v>2765289</v>
      </c>
      <c r="E22" s="883">
        <f>F821EVE!E22</f>
        <v>2756863</v>
      </c>
      <c r="F22" s="883">
        <f>F821EVE!F22</f>
        <v>2720916</v>
      </c>
      <c r="G22" s="883">
        <f>F821EVE!G22</f>
        <v>2801947</v>
      </c>
      <c r="H22" s="883">
        <f>F821EVE!H22</f>
        <v>2769333</v>
      </c>
      <c r="I22" s="883">
        <f>F821EVE!I22</f>
        <v>2892759</v>
      </c>
      <c r="J22" s="180">
        <f t="shared" si="15"/>
        <v>16707107</v>
      </c>
      <c r="K22" s="974">
        <f>F821EVE!K22</f>
        <v>718761</v>
      </c>
      <c r="L22" s="974">
        <f>F821EVE!L22</f>
        <v>670624</v>
      </c>
      <c r="M22" s="974">
        <f>F821EVE!M22</f>
        <v>653261</v>
      </c>
      <c r="N22" s="974">
        <f>F821EVE!N22</f>
        <v>653261</v>
      </c>
      <c r="O22" s="974">
        <f>F821EVE!O22</f>
        <v>535980</v>
      </c>
      <c r="P22" s="974">
        <f>F821EVE!P22</f>
        <v>630810</v>
      </c>
      <c r="Q22" s="180">
        <f t="shared" si="16"/>
        <v>3862697</v>
      </c>
      <c r="R22" s="974">
        <f t="shared" si="9"/>
        <v>2046528</v>
      </c>
      <c r="S22" s="974">
        <f t="shared" si="10"/>
        <v>2086239</v>
      </c>
      <c r="T22" s="974">
        <f t="shared" si="11"/>
        <v>2067655</v>
      </c>
      <c r="U22" s="974">
        <f t="shared" si="12"/>
        <v>2148686</v>
      </c>
      <c r="V22" s="974">
        <f t="shared" si="13"/>
        <v>2233353</v>
      </c>
      <c r="W22" s="974">
        <f t="shared" si="14"/>
        <v>2261949</v>
      </c>
      <c r="X22" s="180">
        <f t="shared" si="17"/>
        <v>12844410</v>
      </c>
      <c r="Y22" s="883"/>
      <c r="Z22" s="883"/>
      <c r="AA22" s="883"/>
      <c r="AB22" s="883"/>
      <c r="AC22" s="883"/>
      <c r="AD22" s="883"/>
      <c r="AE22" s="180"/>
      <c r="AF22" s="1389"/>
      <c r="AG22" s="972">
        <f>'PDYG-200'!D$31</f>
        <v>0.39972132300720115</v>
      </c>
      <c r="AH22" s="972">
        <f>'PDYG-200'!E$31</f>
        <v>0.24340000000000001</v>
      </c>
      <c r="AI22" s="972">
        <f>'PDYG-200'!F$31</f>
        <v>0.35687867699279885</v>
      </c>
    </row>
    <row r="23" spans="2:35">
      <c r="B23" s="48"/>
      <c r="C23" s="888" t="s">
        <v>306</v>
      </c>
      <c r="D23" s="883">
        <f>F821EVE!D23</f>
        <v>20229</v>
      </c>
      <c r="E23" s="883">
        <f>F821EVE!E23</f>
        <v>10632</v>
      </c>
      <c r="F23" s="883">
        <f>F821EVE!F23</f>
        <v>15660</v>
      </c>
      <c r="G23" s="883">
        <f>F821EVE!G23</f>
        <v>16358</v>
      </c>
      <c r="H23" s="883">
        <f>F821EVE!H23</f>
        <v>11381</v>
      </c>
      <c r="I23" s="883">
        <f>F821EVE!I23</f>
        <v>14961</v>
      </c>
      <c r="J23" s="180">
        <f t="shared" si="15"/>
        <v>89221</v>
      </c>
      <c r="K23" s="974">
        <f>F821EVE!K23</f>
        <v>3902</v>
      </c>
      <c r="L23" s="974">
        <f>F821EVE!L23</f>
        <v>0</v>
      </c>
      <c r="M23" s="974">
        <f>F821EVE!M23</f>
        <v>2230</v>
      </c>
      <c r="N23" s="974">
        <f>F821EVE!N23</f>
        <v>2230</v>
      </c>
      <c r="O23" s="974">
        <f>F821EVE!O23</f>
        <v>1416</v>
      </c>
      <c r="P23" s="974">
        <f>F821EVE!P23</f>
        <v>1239</v>
      </c>
      <c r="Q23" s="180">
        <f t="shared" si="16"/>
        <v>11017</v>
      </c>
      <c r="R23" s="974">
        <f t="shared" si="9"/>
        <v>16327</v>
      </c>
      <c r="S23" s="974">
        <f t="shared" si="10"/>
        <v>10632</v>
      </c>
      <c r="T23" s="974">
        <f t="shared" si="11"/>
        <v>13430</v>
      </c>
      <c r="U23" s="974">
        <f t="shared" si="12"/>
        <v>14128</v>
      </c>
      <c r="V23" s="974">
        <f t="shared" si="13"/>
        <v>9965</v>
      </c>
      <c r="W23" s="974">
        <f t="shared" si="14"/>
        <v>13722</v>
      </c>
      <c r="X23" s="180">
        <f t="shared" si="17"/>
        <v>78204</v>
      </c>
      <c r="Y23" s="883"/>
      <c r="Z23" s="883"/>
      <c r="AA23" s="883"/>
      <c r="AB23" s="883"/>
      <c r="AC23" s="883"/>
      <c r="AD23" s="883"/>
      <c r="AE23" s="180"/>
      <c r="AF23" s="1389"/>
      <c r="AG23" s="972">
        <f>'PDYG-200'!D$31</f>
        <v>0.39972132300720115</v>
      </c>
      <c r="AH23" s="972">
        <f>'PDYG-200'!E$31</f>
        <v>0.24340000000000001</v>
      </c>
      <c r="AI23" s="972">
        <f>'PDYG-200'!F$31</f>
        <v>0.35687867699279885</v>
      </c>
    </row>
    <row r="24" spans="2:35">
      <c r="B24" s="48"/>
      <c r="C24" s="887" t="s">
        <v>305</v>
      </c>
      <c r="D24" s="883">
        <f>F821EVE!D24</f>
        <v>10560</v>
      </c>
      <c r="E24" s="883">
        <f>F821EVE!E24</f>
        <v>8800</v>
      </c>
      <c r="F24" s="883">
        <f>F821EVE!F24</f>
        <v>8960</v>
      </c>
      <c r="G24" s="883">
        <f>F821EVE!G24</f>
        <v>9280</v>
      </c>
      <c r="H24" s="883">
        <f>F821EVE!H24</f>
        <v>8160</v>
      </c>
      <c r="I24" s="883">
        <f>F821EVE!I24</f>
        <v>9120</v>
      </c>
      <c r="J24" s="180">
        <f t="shared" si="15"/>
        <v>54880</v>
      </c>
      <c r="K24" s="974">
        <f>F821EVE!K24</f>
        <v>3040</v>
      </c>
      <c r="L24" s="974">
        <f>F821EVE!L24</f>
        <v>2560</v>
      </c>
      <c r="M24" s="974">
        <f>F821EVE!M24</f>
        <v>2240</v>
      </c>
      <c r="N24" s="974">
        <f>F821EVE!N24</f>
        <v>2240</v>
      </c>
      <c r="O24" s="974">
        <f>F821EVE!O24</f>
        <v>1600</v>
      </c>
      <c r="P24" s="974">
        <f>F821EVE!P24</f>
        <v>2080</v>
      </c>
      <c r="Q24" s="180">
        <f t="shared" si="16"/>
        <v>13760</v>
      </c>
      <c r="R24" s="974">
        <f t="shared" si="9"/>
        <v>7520</v>
      </c>
      <c r="S24" s="974">
        <f t="shared" si="10"/>
        <v>6240</v>
      </c>
      <c r="T24" s="974">
        <f t="shared" si="11"/>
        <v>6720</v>
      </c>
      <c r="U24" s="974">
        <f t="shared" si="12"/>
        <v>7040</v>
      </c>
      <c r="V24" s="974">
        <f t="shared" si="13"/>
        <v>6560</v>
      </c>
      <c r="W24" s="974">
        <f t="shared" si="14"/>
        <v>7040</v>
      </c>
      <c r="X24" s="180">
        <f t="shared" si="17"/>
        <v>41120</v>
      </c>
      <c r="Y24" s="883"/>
      <c r="Z24" s="883"/>
      <c r="AA24" s="883"/>
      <c r="AB24" s="883"/>
      <c r="AC24" s="883"/>
      <c r="AD24" s="883"/>
      <c r="AE24" s="180"/>
      <c r="AF24" s="1389"/>
      <c r="AG24" s="972">
        <f>'PDYG-200'!D$31</f>
        <v>0.39972132300720115</v>
      </c>
      <c r="AH24" s="972">
        <f>'PDYG-200'!E$31</f>
        <v>0.24340000000000001</v>
      </c>
      <c r="AI24" s="972">
        <f>'PDYG-200'!F$31</f>
        <v>0.35687867699279885</v>
      </c>
    </row>
    <row r="25" spans="2:35">
      <c r="B25" s="48"/>
      <c r="C25" s="887"/>
      <c r="D25" s="883"/>
      <c r="E25" s="883"/>
      <c r="F25" s="883"/>
      <c r="G25" s="883"/>
      <c r="H25" s="883"/>
      <c r="I25" s="883"/>
      <c r="J25" s="180">
        <f t="shared" si="15"/>
        <v>0</v>
      </c>
      <c r="K25" s="974"/>
      <c r="L25" s="974"/>
      <c r="M25" s="974"/>
      <c r="N25" s="974"/>
      <c r="O25" s="974"/>
      <c r="P25" s="974"/>
      <c r="Q25" s="180">
        <f t="shared" si="16"/>
        <v>0</v>
      </c>
      <c r="R25" s="974">
        <f t="shared" si="9"/>
        <v>0</v>
      </c>
      <c r="S25" s="974">
        <f t="shared" si="10"/>
        <v>0</v>
      </c>
      <c r="T25" s="974">
        <f t="shared" si="11"/>
        <v>0</v>
      </c>
      <c r="U25" s="974">
        <f t="shared" si="12"/>
        <v>0</v>
      </c>
      <c r="V25" s="974">
        <f t="shared" si="13"/>
        <v>0</v>
      </c>
      <c r="W25" s="974">
        <f t="shared" si="14"/>
        <v>0</v>
      </c>
      <c r="X25" s="180">
        <f t="shared" si="17"/>
        <v>0</v>
      </c>
      <c r="Y25" s="883"/>
      <c r="Z25" s="883"/>
      <c r="AA25" s="883"/>
      <c r="AB25" s="883"/>
      <c r="AC25" s="883"/>
      <c r="AD25" s="883"/>
      <c r="AE25" s="180"/>
      <c r="AF25" s="1389"/>
      <c r="AG25" s="972"/>
      <c r="AH25" s="972"/>
      <c r="AI25" s="972"/>
    </row>
    <row r="26" spans="2:35">
      <c r="B26" s="48"/>
      <c r="C26" s="882" t="s">
        <v>1736</v>
      </c>
      <c r="D26" s="881">
        <f>SUBTOTAL(9,D27:D48)</f>
        <v>60042933</v>
      </c>
      <c r="E26" s="881">
        <f t="shared" ref="E26:P26" si="25">SUBTOTAL(9,E27:E48)</f>
        <v>59582611</v>
      </c>
      <c r="F26" s="881">
        <f t="shared" si="25"/>
        <v>57347048</v>
      </c>
      <c r="G26" s="881">
        <f t="shared" si="25"/>
        <v>59528985</v>
      </c>
      <c r="H26" s="881">
        <f t="shared" si="25"/>
        <v>56096582</v>
      </c>
      <c r="I26" s="881">
        <f t="shared" si="25"/>
        <v>55882612</v>
      </c>
      <c r="J26" s="180">
        <f t="shared" si="15"/>
        <v>348480771</v>
      </c>
      <c r="K26" s="881">
        <f t="shared" si="25"/>
        <v>24000440.615992736</v>
      </c>
      <c r="L26" s="881">
        <f t="shared" si="25"/>
        <v>23816440.097143415</v>
      </c>
      <c r="M26" s="881">
        <f t="shared" si="25"/>
        <v>22922837.897117469</v>
      </c>
      <c r="N26" s="881">
        <f t="shared" si="25"/>
        <v>23795004.64147583</v>
      </c>
      <c r="O26" s="881">
        <f t="shared" si="25"/>
        <v>22422999.97322195</v>
      </c>
      <c r="P26" s="881">
        <f t="shared" si="25"/>
        <v>22337471.601738095</v>
      </c>
      <c r="Q26" s="180">
        <f t="shared" si="16"/>
        <v>139295194.82668948</v>
      </c>
      <c r="R26" s="881">
        <f t="shared" si="9"/>
        <v>36042492.38400726</v>
      </c>
      <c r="S26" s="881">
        <f t="shared" si="10"/>
        <v>35766170.902856588</v>
      </c>
      <c r="T26" s="881">
        <f t="shared" si="11"/>
        <v>34424210.102882534</v>
      </c>
      <c r="U26" s="881">
        <f t="shared" si="12"/>
        <v>35733980.358524173</v>
      </c>
      <c r="V26" s="881">
        <f t="shared" si="13"/>
        <v>33673582.02677805</v>
      </c>
      <c r="W26" s="881">
        <f t="shared" si="14"/>
        <v>33545140.398261905</v>
      </c>
      <c r="X26" s="180">
        <f t="shared" si="17"/>
        <v>209185576.17331052</v>
      </c>
      <c r="Y26" s="883"/>
      <c r="Z26" s="883"/>
      <c r="AA26" s="883"/>
      <c r="AB26" s="883"/>
      <c r="AC26" s="883"/>
      <c r="AD26" s="883"/>
      <c r="AE26" s="180"/>
      <c r="AF26" s="1389"/>
      <c r="AG26" s="972"/>
      <c r="AH26" s="972"/>
      <c r="AI26" s="972"/>
    </row>
    <row r="27" spans="2:35">
      <c r="B27" s="48" t="s">
        <v>274</v>
      </c>
      <c r="C27" s="882" t="s">
        <v>627</v>
      </c>
      <c r="D27" s="881">
        <f>SUBTOTAL(9,D28:D33)</f>
        <v>34334070</v>
      </c>
      <c r="E27" s="881">
        <f t="shared" ref="E27:P27" si="26">SUBTOTAL(9,E28:E33)</f>
        <v>34330691</v>
      </c>
      <c r="F27" s="881">
        <f t="shared" si="26"/>
        <v>33828732</v>
      </c>
      <c r="G27" s="881">
        <f t="shared" si="26"/>
        <v>34494381</v>
      </c>
      <c r="H27" s="881">
        <f t="shared" si="26"/>
        <v>33266304</v>
      </c>
      <c r="I27" s="881">
        <f t="shared" si="26"/>
        <v>33003360</v>
      </c>
      <c r="J27" s="180">
        <f t="shared" si="15"/>
        <v>203257538</v>
      </c>
      <c r="K27" s="881">
        <f t="shared" si="26"/>
        <v>13724059.884621853</v>
      </c>
      <c r="L27" s="881">
        <f t="shared" si="26"/>
        <v>13722709.226271411</v>
      </c>
      <c r="M27" s="881">
        <f t="shared" si="26"/>
        <v>13522065.510696042</v>
      </c>
      <c r="N27" s="881">
        <f t="shared" si="26"/>
        <v>13788139.609634461</v>
      </c>
      <c r="O27" s="881">
        <f t="shared" si="26"/>
        <v>13297251.04643975</v>
      </c>
      <c r="P27" s="881">
        <f t="shared" si="26"/>
        <v>13192146.722882941</v>
      </c>
      <c r="Q27" s="180">
        <f t="shared" si="16"/>
        <v>81246372.000546455</v>
      </c>
      <c r="R27" s="881">
        <f t="shared" si="9"/>
        <v>20610010.115378149</v>
      </c>
      <c r="S27" s="881">
        <f t="shared" si="10"/>
        <v>20607981.773728587</v>
      </c>
      <c r="T27" s="881">
        <f t="shared" si="11"/>
        <v>20306666.489303958</v>
      </c>
      <c r="U27" s="881">
        <f t="shared" si="12"/>
        <v>20706241.390365541</v>
      </c>
      <c r="V27" s="881">
        <f t="shared" si="13"/>
        <v>19969052.953560248</v>
      </c>
      <c r="W27" s="881">
        <f t="shared" si="14"/>
        <v>19811213.277117059</v>
      </c>
      <c r="X27" s="180">
        <f t="shared" si="17"/>
        <v>122011165.99945354</v>
      </c>
      <c r="Y27" s="881"/>
      <c r="Z27" s="881"/>
      <c r="AA27" s="881"/>
      <c r="AB27" s="881"/>
      <c r="AC27" s="881"/>
      <c r="AD27" s="881"/>
      <c r="AE27" s="180"/>
      <c r="AF27" s="1389"/>
      <c r="AG27" s="972">
        <f>'PDYG-200'!D$31</f>
        <v>0.39972132300720115</v>
      </c>
      <c r="AH27" s="972">
        <f>'PDYG-200'!E$31</f>
        <v>0.24340000000000001</v>
      </c>
      <c r="AI27" s="972">
        <f>'PDYG-200'!F$31</f>
        <v>0.35687867699279885</v>
      </c>
    </row>
    <row r="28" spans="2:35">
      <c r="B28" s="48"/>
      <c r="C28" s="887" t="s">
        <v>304</v>
      </c>
      <c r="D28" s="883">
        <f>F821EVE!D28</f>
        <v>34263685</v>
      </c>
      <c r="E28" s="883">
        <f>F821EVE!E28</f>
        <v>34257922</v>
      </c>
      <c r="F28" s="883">
        <f>F821EVE!F28</f>
        <v>33747368</v>
      </c>
      <c r="G28" s="883">
        <f>F821EVE!G28</f>
        <v>34424513</v>
      </c>
      <c r="H28" s="883">
        <f>F821EVE!H28</f>
        <v>33198007</v>
      </c>
      <c r="I28" s="883">
        <f>F821EVE!I28</f>
        <v>32926402</v>
      </c>
      <c r="J28" s="180">
        <f t="shared" si="15"/>
        <v>202817897</v>
      </c>
      <c r="K28" s="883">
        <f t="shared" ref="K28:P33" si="27">D28*$AG28</f>
        <v>13695925.499301992</v>
      </c>
      <c r="L28" s="883">
        <f t="shared" si="27"/>
        <v>13693621.905317502</v>
      </c>
      <c r="M28" s="883">
        <f t="shared" si="27"/>
        <v>13489542.584970884</v>
      </c>
      <c r="N28" s="883">
        <f t="shared" si="27"/>
        <v>13760211.880238594</v>
      </c>
      <c r="O28" s="883">
        <f t="shared" si="27"/>
        <v>13269951.279242326</v>
      </c>
      <c r="P28" s="883">
        <f t="shared" si="27"/>
        <v>13161384.969306953</v>
      </c>
      <c r="Q28" s="180">
        <f t="shared" si="16"/>
        <v>81070638.118378252</v>
      </c>
      <c r="R28" s="883">
        <f t="shared" si="9"/>
        <v>20567759.500698008</v>
      </c>
      <c r="S28" s="883">
        <f t="shared" si="10"/>
        <v>20564300.0946825</v>
      </c>
      <c r="T28" s="883">
        <f t="shared" si="11"/>
        <v>20257825.415029116</v>
      </c>
      <c r="U28" s="883">
        <f t="shared" si="12"/>
        <v>20664301.119761407</v>
      </c>
      <c r="V28" s="883">
        <f t="shared" si="13"/>
        <v>19928055.720757674</v>
      </c>
      <c r="W28" s="883">
        <f t="shared" si="14"/>
        <v>19765017.030693047</v>
      </c>
      <c r="X28" s="180">
        <f t="shared" si="17"/>
        <v>121747258.88162175</v>
      </c>
      <c r="Y28" s="883"/>
      <c r="Z28" s="883"/>
      <c r="AA28" s="883"/>
      <c r="AB28" s="883"/>
      <c r="AC28" s="883"/>
      <c r="AD28" s="883"/>
      <c r="AE28" s="180"/>
      <c r="AF28" s="1389"/>
      <c r="AG28" s="972">
        <f>'PDYG-200'!D$31</f>
        <v>0.39972132300720115</v>
      </c>
      <c r="AH28" s="972">
        <f>'PDYG-200'!E$31</f>
        <v>0.24340000000000001</v>
      </c>
      <c r="AI28" s="972">
        <f>'PDYG-200'!F$31</f>
        <v>0.35687867699279885</v>
      </c>
    </row>
    <row r="29" spans="2:35">
      <c r="B29" s="48"/>
      <c r="C29" s="888" t="s">
        <v>628</v>
      </c>
      <c r="D29" s="883">
        <f>F821EVE!D29</f>
        <v>3600</v>
      </c>
      <c r="E29" s="883">
        <f>F821EVE!E29</f>
        <v>3600</v>
      </c>
      <c r="F29" s="883">
        <f>F821EVE!F29</f>
        <v>4200</v>
      </c>
      <c r="G29" s="883">
        <f>F821EVE!G29</f>
        <v>4200</v>
      </c>
      <c r="H29" s="883">
        <f>F821EVE!H29</f>
        <v>4200</v>
      </c>
      <c r="I29" s="883">
        <f>F821EVE!I29</f>
        <v>3600</v>
      </c>
      <c r="J29" s="180">
        <f t="shared" si="15"/>
        <v>23400</v>
      </c>
      <c r="K29" s="883">
        <f t="shared" si="27"/>
        <v>1438.9967628259242</v>
      </c>
      <c r="L29" s="883">
        <f t="shared" si="27"/>
        <v>1438.9967628259242</v>
      </c>
      <c r="M29" s="883">
        <f t="shared" si="27"/>
        <v>1678.8295566302447</v>
      </c>
      <c r="N29" s="883">
        <f t="shared" si="27"/>
        <v>1678.8295566302447</v>
      </c>
      <c r="O29" s="883">
        <f t="shared" si="27"/>
        <v>1678.8295566302447</v>
      </c>
      <c r="P29" s="883">
        <f t="shared" si="27"/>
        <v>1438.9967628259242</v>
      </c>
      <c r="Q29" s="180">
        <f t="shared" si="16"/>
        <v>9353.4789583685069</v>
      </c>
      <c r="R29" s="883">
        <f t="shared" si="9"/>
        <v>2161.0032371740758</v>
      </c>
      <c r="S29" s="883">
        <f t="shared" si="10"/>
        <v>2161.0032371740758</v>
      </c>
      <c r="T29" s="883">
        <f t="shared" si="11"/>
        <v>2521.170443369755</v>
      </c>
      <c r="U29" s="883">
        <f t="shared" si="12"/>
        <v>2521.170443369755</v>
      </c>
      <c r="V29" s="883">
        <f t="shared" si="13"/>
        <v>2521.170443369755</v>
      </c>
      <c r="W29" s="883">
        <f t="shared" si="14"/>
        <v>2161.0032371740758</v>
      </c>
      <c r="X29" s="180">
        <f t="shared" si="17"/>
        <v>14046.521041631493</v>
      </c>
      <c r="Y29" s="883"/>
      <c r="Z29" s="883"/>
      <c r="AA29" s="883"/>
      <c r="AB29" s="883"/>
      <c r="AC29" s="883"/>
      <c r="AD29" s="883"/>
      <c r="AE29" s="180"/>
      <c r="AF29" s="1389"/>
      <c r="AG29" s="972">
        <f>'PDYG-200'!D$31</f>
        <v>0.39972132300720115</v>
      </c>
      <c r="AH29" s="972">
        <f>'PDYG-200'!E$31</f>
        <v>0.24340000000000001</v>
      </c>
      <c r="AI29" s="972">
        <f>'PDYG-200'!F$31</f>
        <v>0.35687867699279885</v>
      </c>
    </row>
    <row r="30" spans="2:35">
      <c r="B30" s="48"/>
      <c r="C30" s="888" t="s">
        <v>629</v>
      </c>
      <c r="D30" s="883">
        <f>F821EVE!D30</f>
        <v>15028</v>
      </c>
      <c r="E30" s="883">
        <f>F821EVE!E30</f>
        <v>16331</v>
      </c>
      <c r="F30" s="883">
        <f>F821EVE!F30</f>
        <v>16205</v>
      </c>
      <c r="G30" s="883">
        <f>F821EVE!G30</f>
        <v>15146</v>
      </c>
      <c r="H30" s="883">
        <f>F821EVE!H30</f>
        <v>14956</v>
      </c>
      <c r="I30" s="883">
        <f>F821EVE!I30</f>
        <v>15574</v>
      </c>
      <c r="J30" s="180">
        <f t="shared" si="15"/>
        <v>93240</v>
      </c>
      <c r="K30" s="883">
        <f t="shared" si="27"/>
        <v>6007.0120421522188</v>
      </c>
      <c r="L30" s="883">
        <f t="shared" si="27"/>
        <v>6527.8489260306023</v>
      </c>
      <c r="M30" s="883">
        <f t="shared" si="27"/>
        <v>6477.4840393316945</v>
      </c>
      <c r="N30" s="883">
        <f t="shared" si="27"/>
        <v>6054.1791582670685</v>
      </c>
      <c r="O30" s="883">
        <f t="shared" si="27"/>
        <v>5978.2321068957008</v>
      </c>
      <c r="P30" s="883">
        <f t="shared" si="27"/>
        <v>6225.2598845141511</v>
      </c>
      <c r="Q30" s="180">
        <f t="shared" si="16"/>
        <v>37270.016157191436</v>
      </c>
      <c r="R30" s="883">
        <f t="shared" si="9"/>
        <v>9020.9879578477812</v>
      </c>
      <c r="S30" s="883">
        <f t="shared" si="10"/>
        <v>9803.1510739693986</v>
      </c>
      <c r="T30" s="883">
        <f t="shared" si="11"/>
        <v>9727.5159606683046</v>
      </c>
      <c r="U30" s="883">
        <f t="shared" si="12"/>
        <v>9091.8208417329315</v>
      </c>
      <c r="V30" s="883">
        <f t="shared" si="13"/>
        <v>8977.7678931042992</v>
      </c>
      <c r="W30" s="883">
        <f t="shared" si="14"/>
        <v>9348.7401154858489</v>
      </c>
      <c r="X30" s="180">
        <f t="shared" si="17"/>
        <v>55969.983842808564</v>
      </c>
      <c r="Y30" s="883"/>
      <c r="Z30" s="883"/>
      <c r="AA30" s="883"/>
      <c r="AB30" s="883"/>
      <c r="AC30" s="883"/>
      <c r="AD30" s="883"/>
      <c r="AE30" s="180"/>
      <c r="AF30" s="1389"/>
      <c r="AG30" s="972">
        <f>'PDYG-200'!D$31</f>
        <v>0.39972132300720115</v>
      </c>
      <c r="AH30" s="972">
        <f>'PDYG-200'!E$31</f>
        <v>0.24340000000000001</v>
      </c>
      <c r="AI30" s="972">
        <f>'PDYG-200'!F$31</f>
        <v>0.35687867699279885</v>
      </c>
    </row>
    <row r="31" spans="2:35">
      <c r="B31" s="48"/>
      <c r="C31" s="887" t="s">
        <v>305</v>
      </c>
      <c r="D31" s="883">
        <f>F821EVE!D31</f>
        <v>38160</v>
      </c>
      <c r="E31" s="883">
        <f>F821EVE!E31</f>
        <v>40000</v>
      </c>
      <c r="F31" s="883">
        <f>F821EVE!F31</f>
        <v>47480</v>
      </c>
      <c r="G31" s="883">
        <f>F821EVE!G31</f>
        <v>37240</v>
      </c>
      <c r="H31" s="883">
        <f>F821EVE!H31</f>
        <v>36840</v>
      </c>
      <c r="I31" s="883">
        <f>F821EVE!I31</f>
        <v>46002</v>
      </c>
      <c r="J31" s="180">
        <f t="shared" si="15"/>
        <v>245722</v>
      </c>
      <c r="K31" s="883">
        <f t="shared" si="27"/>
        <v>15253.365685954795</v>
      </c>
      <c r="L31" s="883">
        <f t="shared" si="27"/>
        <v>15988.852920288045</v>
      </c>
      <c r="M31" s="883">
        <f t="shared" si="27"/>
        <v>18978.76841638191</v>
      </c>
      <c r="N31" s="883">
        <f t="shared" si="27"/>
        <v>14885.622068788171</v>
      </c>
      <c r="O31" s="883">
        <f t="shared" si="27"/>
        <v>14725.73353958529</v>
      </c>
      <c r="P31" s="883">
        <f t="shared" si="27"/>
        <v>18387.980300977266</v>
      </c>
      <c r="Q31" s="180">
        <f t="shared" si="16"/>
        <v>98220.322931975476</v>
      </c>
      <c r="R31" s="883">
        <f t="shared" si="9"/>
        <v>22906.634314045205</v>
      </c>
      <c r="S31" s="883">
        <f t="shared" si="10"/>
        <v>24011.147079711955</v>
      </c>
      <c r="T31" s="883">
        <f t="shared" si="11"/>
        <v>28501.23158361809</v>
      </c>
      <c r="U31" s="883">
        <f t="shared" si="12"/>
        <v>22354.377931211828</v>
      </c>
      <c r="V31" s="883">
        <f t="shared" si="13"/>
        <v>22114.26646041471</v>
      </c>
      <c r="W31" s="883">
        <f t="shared" si="14"/>
        <v>27614.019699022734</v>
      </c>
      <c r="X31" s="180">
        <f t="shared" si="17"/>
        <v>147501.67706802452</v>
      </c>
      <c r="Y31" s="883"/>
      <c r="Z31" s="883"/>
      <c r="AA31" s="883"/>
      <c r="AB31" s="883"/>
      <c r="AC31" s="883"/>
      <c r="AD31" s="883"/>
      <c r="AE31" s="180"/>
      <c r="AF31" s="1389"/>
      <c r="AG31" s="972">
        <f>'PDYG-200'!D$31</f>
        <v>0.39972132300720115</v>
      </c>
      <c r="AH31" s="972">
        <f>'PDYG-200'!E$31</f>
        <v>0.24340000000000001</v>
      </c>
      <c r="AI31" s="972">
        <f>'PDYG-200'!F$31</f>
        <v>0.35687867699279885</v>
      </c>
    </row>
    <row r="32" spans="2:35">
      <c r="B32" s="48"/>
      <c r="C32" s="887" t="s">
        <v>307</v>
      </c>
      <c r="D32" s="883">
        <f>F821EVE!D32</f>
        <v>7280</v>
      </c>
      <c r="E32" s="883">
        <f>F821EVE!E32</f>
        <v>6480</v>
      </c>
      <c r="F32" s="883">
        <f>F821EVE!F32</f>
        <v>7840</v>
      </c>
      <c r="G32" s="883">
        <f>F821EVE!G32</f>
        <v>7920</v>
      </c>
      <c r="H32" s="883">
        <f>F821EVE!H32</f>
        <v>6960</v>
      </c>
      <c r="I32" s="883">
        <f>F821EVE!I32</f>
        <v>6160</v>
      </c>
      <c r="J32" s="180">
        <f t="shared" si="15"/>
        <v>42640</v>
      </c>
      <c r="K32" s="883">
        <f t="shared" si="27"/>
        <v>2909.9712314924245</v>
      </c>
      <c r="L32" s="883">
        <f t="shared" si="27"/>
        <v>2590.1941730866633</v>
      </c>
      <c r="M32" s="883">
        <f t="shared" si="27"/>
        <v>3133.8151723764568</v>
      </c>
      <c r="N32" s="883">
        <f t="shared" si="27"/>
        <v>3165.7928782170329</v>
      </c>
      <c r="O32" s="883">
        <f t="shared" si="27"/>
        <v>2782.0604081301199</v>
      </c>
      <c r="P32" s="883">
        <f t="shared" si="27"/>
        <v>2462.2833497243591</v>
      </c>
      <c r="Q32" s="180">
        <f t="shared" si="16"/>
        <v>17044.117213027057</v>
      </c>
      <c r="R32" s="883">
        <f t="shared" si="9"/>
        <v>4370.0287685075755</v>
      </c>
      <c r="S32" s="883">
        <f t="shared" si="10"/>
        <v>3889.8058269133367</v>
      </c>
      <c r="T32" s="883">
        <f t="shared" si="11"/>
        <v>4706.1848276235432</v>
      </c>
      <c r="U32" s="883">
        <f t="shared" si="12"/>
        <v>4754.2071217829671</v>
      </c>
      <c r="V32" s="883">
        <f t="shared" si="13"/>
        <v>4177.9395918698801</v>
      </c>
      <c r="W32" s="883">
        <f t="shared" si="14"/>
        <v>3697.7166502756409</v>
      </c>
      <c r="X32" s="180">
        <f t="shared" si="17"/>
        <v>25595.882786972943</v>
      </c>
      <c r="Y32" s="883"/>
      <c r="Z32" s="883"/>
      <c r="AA32" s="883"/>
      <c r="AB32" s="883"/>
      <c r="AC32" s="883"/>
      <c r="AD32" s="883"/>
      <c r="AE32" s="180"/>
      <c r="AF32" s="1389"/>
      <c r="AG32" s="972">
        <f>'PDYG-200'!D$31</f>
        <v>0.39972132300720115</v>
      </c>
      <c r="AH32" s="972">
        <f>'PDYG-200'!E$31</f>
        <v>0.24340000000000001</v>
      </c>
      <c r="AI32" s="972">
        <f>'PDYG-200'!F$31</f>
        <v>0.35687867699279885</v>
      </c>
    </row>
    <row r="33" spans="2:35">
      <c r="B33" s="48"/>
      <c r="C33" s="887" t="s">
        <v>624</v>
      </c>
      <c r="D33" s="883">
        <f>F821EVE!D33</f>
        <v>6317</v>
      </c>
      <c r="E33" s="883">
        <f>F821EVE!E33</f>
        <v>6358</v>
      </c>
      <c r="F33" s="883">
        <f>F821EVE!F33</f>
        <v>5639</v>
      </c>
      <c r="G33" s="883">
        <f>F821EVE!G33</f>
        <v>5362</v>
      </c>
      <c r="H33" s="883">
        <f>F821EVE!H33</f>
        <v>5341</v>
      </c>
      <c r="I33" s="883">
        <f>F821EVE!I33</f>
        <v>5622</v>
      </c>
      <c r="J33" s="180">
        <f t="shared" si="15"/>
        <v>34639</v>
      </c>
      <c r="K33" s="883">
        <f t="shared" si="27"/>
        <v>2525.0395974364897</v>
      </c>
      <c r="L33" s="883">
        <f t="shared" si="27"/>
        <v>2541.428171679785</v>
      </c>
      <c r="M33" s="883">
        <f t="shared" si="27"/>
        <v>2254.0285404376073</v>
      </c>
      <c r="N33" s="883">
        <f t="shared" si="27"/>
        <v>2143.3057339646125</v>
      </c>
      <c r="O33" s="883">
        <f t="shared" si="27"/>
        <v>2134.9115861814612</v>
      </c>
      <c r="P33" s="883">
        <f t="shared" si="27"/>
        <v>2247.233277946485</v>
      </c>
      <c r="Q33" s="180">
        <f t="shared" si="16"/>
        <v>13845.946907646439</v>
      </c>
      <c r="R33" s="883">
        <f t="shared" si="9"/>
        <v>3791.9604025635103</v>
      </c>
      <c r="S33" s="883">
        <f t="shared" si="10"/>
        <v>3816.571828320215</v>
      </c>
      <c r="T33" s="883">
        <f t="shared" si="11"/>
        <v>3384.9714595623927</v>
      </c>
      <c r="U33" s="883">
        <f t="shared" si="12"/>
        <v>3218.6942660353875</v>
      </c>
      <c r="V33" s="883">
        <f t="shared" si="13"/>
        <v>3206.0884138185388</v>
      </c>
      <c r="W33" s="883">
        <f t="shared" si="14"/>
        <v>3374.766722053515</v>
      </c>
      <c r="X33" s="180">
        <f t="shared" si="17"/>
        <v>20793.053092353559</v>
      </c>
      <c r="Y33" s="883"/>
      <c r="Z33" s="883"/>
      <c r="AA33" s="883"/>
      <c r="AB33" s="883"/>
      <c r="AC33" s="883"/>
      <c r="AD33" s="883"/>
      <c r="AE33" s="180"/>
      <c r="AF33" s="1389"/>
      <c r="AG33" s="972">
        <f>'PDYG-200'!D$31</f>
        <v>0.39972132300720115</v>
      </c>
      <c r="AH33" s="972">
        <f>'PDYG-200'!E$31</f>
        <v>0.24340000000000001</v>
      </c>
      <c r="AI33" s="972">
        <f>'PDYG-200'!F$31</f>
        <v>0.35687867699279885</v>
      </c>
    </row>
    <row r="34" spans="2:35">
      <c r="B34" s="48" t="s">
        <v>274</v>
      </c>
      <c r="C34" s="882" t="s">
        <v>631</v>
      </c>
      <c r="D34" s="881">
        <f>SUBTOTAL(9,D35:D38)</f>
        <v>16004005</v>
      </c>
      <c r="E34" s="881">
        <f t="shared" ref="E34:P34" si="28">SUBTOTAL(9,E35:E38)</f>
        <v>16110147</v>
      </c>
      <c r="F34" s="881">
        <f t="shared" si="28"/>
        <v>15390233</v>
      </c>
      <c r="G34" s="881">
        <f t="shared" si="28"/>
        <v>15939543</v>
      </c>
      <c r="H34" s="881">
        <f t="shared" si="28"/>
        <v>14785467</v>
      </c>
      <c r="I34" s="881">
        <f t="shared" si="28"/>
        <v>14525276</v>
      </c>
      <c r="J34" s="180">
        <f t="shared" si="15"/>
        <v>92754671</v>
      </c>
      <c r="K34" s="881">
        <f t="shared" si="28"/>
        <v>6397142.0520138619</v>
      </c>
      <c r="L34" s="881">
        <f t="shared" si="28"/>
        <v>6439569.2726804921</v>
      </c>
      <c r="M34" s="881">
        <f t="shared" si="28"/>
        <v>6151804.2961490862</v>
      </c>
      <c r="N34" s="881">
        <f t="shared" si="28"/>
        <v>6371375.2160901716</v>
      </c>
      <c r="O34" s="881">
        <f t="shared" si="28"/>
        <v>5910066.4305193136</v>
      </c>
      <c r="P34" s="881">
        <f t="shared" si="28"/>
        <v>5806062.539764747</v>
      </c>
      <c r="Q34" s="180">
        <f t="shared" si="16"/>
        <v>37076019.807217672</v>
      </c>
      <c r="R34" s="881">
        <f t="shared" si="9"/>
        <v>9606862.9479861371</v>
      </c>
      <c r="S34" s="881">
        <f t="shared" si="10"/>
        <v>9670577.7273195088</v>
      </c>
      <c r="T34" s="881">
        <f t="shared" si="11"/>
        <v>9238428.7038509138</v>
      </c>
      <c r="U34" s="881">
        <f t="shared" si="12"/>
        <v>9568167.7839098275</v>
      </c>
      <c r="V34" s="881">
        <f t="shared" si="13"/>
        <v>8875400.5694806874</v>
      </c>
      <c r="W34" s="881">
        <f t="shared" si="14"/>
        <v>8719213.460235253</v>
      </c>
      <c r="X34" s="180">
        <f t="shared" si="17"/>
        <v>55678651.192782328</v>
      </c>
      <c r="Y34" s="881"/>
      <c r="Z34" s="881"/>
      <c r="AA34" s="881"/>
      <c r="AB34" s="881"/>
      <c r="AC34" s="881"/>
      <c r="AD34" s="881"/>
      <c r="AE34" s="180"/>
      <c r="AF34" s="1389"/>
      <c r="AG34" s="972">
        <f>'PDYG-200'!D$31</f>
        <v>0.39972132300720115</v>
      </c>
      <c r="AH34" s="972">
        <f>'PDYG-200'!E$31</f>
        <v>0.24340000000000001</v>
      </c>
      <c r="AI34" s="972">
        <f>'PDYG-200'!F$31</f>
        <v>0.35687867699279885</v>
      </c>
    </row>
    <row r="35" spans="2:35">
      <c r="B35" s="48"/>
      <c r="C35" s="887" t="s">
        <v>304</v>
      </c>
      <c r="D35" s="883">
        <f>F821EVE!D35</f>
        <v>15993765</v>
      </c>
      <c r="E35" s="883">
        <f>F821EVE!E35</f>
        <v>16100147</v>
      </c>
      <c r="F35" s="883">
        <f>F821EVE!F35</f>
        <v>15380073</v>
      </c>
      <c r="G35" s="883">
        <f>F821EVE!G35</f>
        <v>15926103</v>
      </c>
      <c r="H35" s="883">
        <f>F821EVE!H35</f>
        <v>14777947</v>
      </c>
      <c r="I35" s="883">
        <f>F821EVE!I35</f>
        <v>14507996</v>
      </c>
      <c r="J35" s="180">
        <f t="shared" si="15"/>
        <v>92686031</v>
      </c>
      <c r="K35" s="883">
        <f t="shared" ref="K35:P38" si="29">D35*$AG35</f>
        <v>6393048.9056662684</v>
      </c>
      <c r="L35" s="883">
        <f t="shared" si="29"/>
        <v>6435572.0594504206</v>
      </c>
      <c r="M35" s="883">
        <f t="shared" si="29"/>
        <v>6147743.1275073327</v>
      </c>
      <c r="N35" s="883">
        <f t="shared" si="29"/>
        <v>6366002.9615089549</v>
      </c>
      <c r="O35" s="883">
        <f t="shared" si="29"/>
        <v>5907060.5261702994</v>
      </c>
      <c r="P35" s="883">
        <f t="shared" si="29"/>
        <v>5799155.3553031823</v>
      </c>
      <c r="Q35" s="180">
        <f t="shared" si="16"/>
        <v>37048582.935606457</v>
      </c>
      <c r="R35" s="883">
        <f t="shared" si="9"/>
        <v>9600716.0943337306</v>
      </c>
      <c r="S35" s="883">
        <f t="shared" si="10"/>
        <v>9664574.9405495785</v>
      </c>
      <c r="T35" s="883">
        <f t="shared" si="11"/>
        <v>9232329.8724926673</v>
      </c>
      <c r="U35" s="883">
        <f t="shared" si="12"/>
        <v>9560100.0384910442</v>
      </c>
      <c r="V35" s="883">
        <f t="shared" si="13"/>
        <v>8870886.4738297015</v>
      </c>
      <c r="W35" s="883">
        <f t="shared" si="14"/>
        <v>8708840.6446968168</v>
      </c>
      <c r="X35" s="180">
        <f t="shared" si="17"/>
        <v>55637448.064393535</v>
      </c>
      <c r="Y35" s="883"/>
      <c r="Z35" s="883"/>
      <c r="AA35" s="883"/>
      <c r="AB35" s="883"/>
      <c r="AC35" s="883"/>
      <c r="AD35" s="883"/>
      <c r="AE35" s="180"/>
      <c r="AF35" s="1389"/>
      <c r="AG35" s="972">
        <f>'PDYG-200'!D$31</f>
        <v>0.39972132300720115</v>
      </c>
      <c r="AH35" s="972">
        <f>'PDYG-200'!E$31</f>
        <v>0.24340000000000001</v>
      </c>
      <c r="AI35" s="972">
        <f>'PDYG-200'!F$31</f>
        <v>0.35687867699279885</v>
      </c>
    </row>
    <row r="36" spans="2:35">
      <c r="B36" s="48"/>
      <c r="C36" s="888" t="s">
        <v>306</v>
      </c>
      <c r="D36" s="883">
        <f>F821EVE!D36</f>
        <v>0</v>
      </c>
      <c r="E36" s="883">
        <f>F821EVE!E36</f>
        <v>0</v>
      </c>
      <c r="F36" s="883">
        <f>F821EVE!F36</f>
        <v>0</v>
      </c>
      <c r="G36" s="883">
        <f>F821EVE!G36</f>
        <v>0</v>
      </c>
      <c r="H36" s="883">
        <f>F821EVE!H36</f>
        <v>0</v>
      </c>
      <c r="I36" s="883">
        <f>F821EVE!I36</f>
        <v>0</v>
      </c>
      <c r="J36" s="180">
        <f t="shared" si="15"/>
        <v>0</v>
      </c>
      <c r="K36" s="883">
        <f t="shared" si="29"/>
        <v>0</v>
      </c>
      <c r="L36" s="883">
        <f t="shared" si="29"/>
        <v>0</v>
      </c>
      <c r="M36" s="883">
        <f t="shared" si="29"/>
        <v>0</v>
      </c>
      <c r="N36" s="883">
        <f t="shared" si="29"/>
        <v>0</v>
      </c>
      <c r="O36" s="883">
        <f t="shared" si="29"/>
        <v>0</v>
      </c>
      <c r="P36" s="883">
        <f t="shared" si="29"/>
        <v>0</v>
      </c>
      <c r="Q36" s="180">
        <f t="shared" si="16"/>
        <v>0</v>
      </c>
      <c r="R36" s="883">
        <f t="shared" si="9"/>
        <v>0</v>
      </c>
      <c r="S36" s="883">
        <f t="shared" si="10"/>
        <v>0</v>
      </c>
      <c r="T36" s="883">
        <f t="shared" si="11"/>
        <v>0</v>
      </c>
      <c r="U36" s="883">
        <f t="shared" si="12"/>
        <v>0</v>
      </c>
      <c r="V36" s="883">
        <f t="shared" si="13"/>
        <v>0</v>
      </c>
      <c r="W36" s="883">
        <f t="shared" si="14"/>
        <v>0</v>
      </c>
      <c r="X36" s="180">
        <f t="shared" si="17"/>
        <v>0</v>
      </c>
      <c r="Y36" s="883"/>
      <c r="Z36" s="883"/>
      <c r="AA36" s="883"/>
      <c r="AB36" s="883"/>
      <c r="AC36" s="883"/>
      <c r="AD36" s="883"/>
      <c r="AE36" s="180"/>
      <c r="AF36" s="1389"/>
      <c r="AG36" s="972">
        <f>'PDYG-200'!D$31</f>
        <v>0.39972132300720115</v>
      </c>
      <c r="AH36" s="972">
        <f>'PDYG-200'!E$31</f>
        <v>0.24340000000000001</v>
      </c>
      <c r="AI36" s="972">
        <f>'PDYG-200'!F$31</f>
        <v>0.35687867699279885</v>
      </c>
    </row>
    <row r="37" spans="2:35">
      <c r="B37" s="48"/>
      <c r="C37" s="887" t="s">
        <v>305</v>
      </c>
      <c r="D37" s="883">
        <f>F821EVE!D37</f>
        <v>10240</v>
      </c>
      <c r="E37" s="883">
        <f>F821EVE!E37</f>
        <v>10000</v>
      </c>
      <c r="F37" s="883">
        <f>F821EVE!F37</f>
        <v>10160</v>
      </c>
      <c r="G37" s="883">
        <f>F821EVE!G37</f>
        <v>13440</v>
      </c>
      <c r="H37" s="883">
        <f>F821EVE!H37</f>
        <v>7520</v>
      </c>
      <c r="I37" s="883">
        <f>F821EVE!I37</f>
        <v>17280</v>
      </c>
      <c r="J37" s="180">
        <f t="shared" si="15"/>
        <v>68640</v>
      </c>
      <c r="K37" s="883">
        <f t="shared" si="29"/>
        <v>4093.1463475937398</v>
      </c>
      <c r="L37" s="883">
        <f t="shared" si="29"/>
        <v>3997.2132300720114</v>
      </c>
      <c r="M37" s="883">
        <f t="shared" si="29"/>
        <v>4061.1686417531637</v>
      </c>
      <c r="N37" s="883">
        <f t="shared" si="29"/>
        <v>5372.2545812167837</v>
      </c>
      <c r="O37" s="883">
        <f t="shared" si="29"/>
        <v>3005.9043490141526</v>
      </c>
      <c r="P37" s="883">
        <f t="shared" si="29"/>
        <v>6907.1844615644359</v>
      </c>
      <c r="Q37" s="180">
        <f t="shared" si="16"/>
        <v>27436.871611214287</v>
      </c>
      <c r="R37" s="883">
        <f t="shared" ref="R37:R68" si="30">D37-K37</f>
        <v>6146.8536524062602</v>
      </c>
      <c r="S37" s="883">
        <f t="shared" ref="S37:S68" si="31">E37-L37</f>
        <v>6002.7867699279886</v>
      </c>
      <c r="T37" s="883">
        <f t="shared" ref="T37:T68" si="32">F37-M37</f>
        <v>6098.8313582468363</v>
      </c>
      <c r="U37" s="883">
        <f t="shared" ref="U37:U68" si="33">G37-N37</f>
        <v>8067.7454187832163</v>
      </c>
      <c r="V37" s="883">
        <f t="shared" ref="V37:V68" si="34">H37-O37</f>
        <v>4514.0956509858479</v>
      </c>
      <c r="W37" s="883">
        <f t="shared" ref="W37:W68" si="35">I37-P37</f>
        <v>10372.815538435563</v>
      </c>
      <c r="X37" s="180">
        <f t="shared" si="17"/>
        <v>41203.128388785713</v>
      </c>
      <c r="Y37" s="883"/>
      <c r="Z37" s="883"/>
      <c r="AA37" s="883"/>
      <c r="AB37" s="883"/>
      <c r="AC37" s="883"/>
      <c r="AD37" s="883"/>
      <c r="AE37" s="180"/>
      <c r="AF37" s="1389"/>
      <c r="AG37" s="972">
        <f>'PDYG-200'!D$31</f>
        <v>0.39972132300720115</v>
      </c>
      <c r="AH37" s="972">
        <f>'PDYG-200'!E$31</f>
        <v>0.24340000000000001</v>
      </c>
      <c r="AI37" s="972">
        <f>'PDYG-200'!F$31</f>
        <v>0.35687867699279885</v>
      </c>
    </row>
    <row r="38" spans="2:35">
      <c r="B38" s="48"/>
      <c r="C38" s="887" t="s">
        <v>307</v>
      </c>
      <c r="D38" s="883">
        <f>F821EVE!D38</f>
        <v>0</v>
      </c>
      <c r="E38" s="883">
        <f>F821EVE!E38</f>
        <v>0</v>
      </c>
      <c r="F38" s="883">
        <f>F821EVE!F38</f>
        <v>0</v>
      </c>
      <c r="G38" s="883">
        <f>F821EVE!G38</f>
        <v>0</v>
      </c>
      <c r="H38" s="883">
        <f>F821EVE!H38</f>
        <v>0</v>
      </c>
      <c r="I38" s="883">
        <f>F821EVE!I38</f>
        <v>0</v>
      </c>
      <c r="J38" s="180">
        <f t="shared" si="15"/>
        <v>0</v>
      </c>
      <c r="K38" s="883">
        <f t="shared" si="29"/>
        <v>0</v>
      </c>
      <c r="L38" s="883">
        <f t="shared" si="29"/>
        <v>0</v>
      </c>
      <c r="M38" s="883">
        <f t="shared" si="29"/>
        <v>0</v>
      </c>
      <c r="N38" s="883">
        <f t="shared" si="29"/>
        <v>0</v>
      </c>
      <c r="O38" s="883">
        <f t="shared" si="29"/>
        <v>0</v>
      </c>
      <c r="P38" s="883">
        <f t="shared" si="29"/>
        <v>0</v>
      </c>
      <c r="Q38" s="180">
        <f t="shared" si="16"/>
        <v>0</v>
      </c>
      <c r="R38" s="883">
        <f t="shared" si="30"/>
        <v>0</v>
      </c>
      <c r="S38" s="883">
        <f t="shared" si="31"/>
        <v>0</v>
      </c>
      <c r="T38" s="883">
        <f t="shared" si="32"/>
        <v>0</v>
      </c>
      <c r="U38" s="883">
        <f t="shared" si="33"/>
        <v>0</v>
      </c>
      <c r="V38" s="883">
        <f t="shared" si="34"/>
        <v>0</v>
      </c>
      <c r="W38" s="883">
        <f t="shared" si="35"/>
        <v>0</v>
      </c>
      <c r="X38" s="180">
        <f t="shared" si="17"/>
        <v>0</v>
      </c>
      <c r="Y38" s="883"/>
      <c r="Z38" s="883"/>
      <c r="AA38" s="883"/>
      <c r="AB38" s="883"/>
      <c r="AC38" s="883"/>
      <c r="AD38" s="883"/>
      <c r="AE38" s="180"/>
      <c r="AF38" s="1389"/>
      <c r="AG38" s="972">
        <f>'PDYG-200'!D$31</f>
        <v>0.39972132300720115</v>
      </c>
      <c r="AH38" s="972">
        <f>'PDYG-200'!E$31</f>
        <v>0.24340000000000001</v>
      </c>
      <c r="AI38" s="972">
        <f>'PDYG-200'!F$31</f>
        <v>0.35687867699279885</v>
      </c>
    </row>
    <row r="39" spans="2:35">
      <c r="B39" s="48" t="s">
        <v>274</v>
      </c>
      <c r="C39" s="882" t="s">
        <v>632</v>
      </c>
      <c r="D39" s="881">
        <f>SUBTOTAL(9,D40:D43)</f>
        <v>4727898</v>
      </c>
      <c r="E39" s="881">
        <f t="shared" ref="E39:P39" si="36">SUBTOTAL(9,E40:E43)</f>
        <v>4557000</v>
      </c>
      <c r="F39" s="881">
        <f t="shared" si="36"/>
        <v>4181320</v>
      </c>
      <c r="G39" s="881">
        <f t="shared" si="36"/>
        <v>4573059</v>
      </c>
      <c r="H39" s="881">
        <f t="shared" si="36"/>
        <v>3941698</v>
      </c>
      <c r="I39" s="881">
        <f t="shared" si="36"/>
        <v>4113628</v>
      </c>
      <c r="J39" s="180">
        <f t="shared" si="15"/>
        <v>26094603</v>
      </c>
      <c r="K39" s="881">
        <f t="shared" si="36"/>
        <v>1889841.6436031002</v>
      </c>
      <c r="L39" s="881">
        <f t="shared" si="36"/>
        <v>1821530.0689438155</v>
      </c>
      <c r="M39" s="881">
        <f t="shared" si="36"/>
        <v>1671362.7623164703</v>
      </c>
      <c r="N39" s="881">
        <f t="shared" si="36"/>
        <v>1827949.1936699883</v>
      </c>
      <c r="O39" s="881">
        <f t="shared" si="36"/>
        <v>1575580.7394548387</v>
      </c>
      <c r="P39" s="881">
        <f t="shared" si="36"/>
        <v>1644304.8265194669</v>
      </c>
      <c r="Q39" s="180">
        <f t="shared" si="16"/>
        <v>10430569.23450768</v>
      </c>
      <c r="R39" s="881">
        <f t="shared" si="30"/>
        <v>2838056.3563968996</v>
      </c>
      <c r="S39" s="881">
        <f t="shared" si="31"/>
        <v>2735469.9310561847</v>
      </c>
      <c r="T39" s="881">
        <f t="shared" si="32"/>
        <v>2509957.23768353</v>
      </c>
      <c r="U39" s="881">
        <f t="shared" si="33"/>
        <v>2745109.8063300117</v>
      </c>
      <c r="V39" s="881">
        <f t="shared" si="34"/>
        <v>2366117.2605451616</v>
      </c>
      <c r="W39" s="881">
        <f t="shared" si="35"/>
        <v>2469323.1734805331</v>
      </c>
      <c r="X39" s="180">
        <f t="shared" si="17"/>
        <v>15664033.76549232</v>
      </c>
      <c r="Y39" s="881"/>
      <c r="Z39" s="881"/>
      <c r="AA39" s="881"/>
      <c r="AB39" s="881"/>
      <c r="AC39" s="881"/>
      <c r="AD39" s="881"/>
      <c r="AE39" s="180"/>
      <c r="AF39" s="1389"/>
      <c r="AG39" s="972">
        <f>'PDYG-200'!D$31</f>
        <v>0.39972132300720115</v>
      </c>
      <c r="AH39" s="972">
        <f>'PDYG-200'!E$31</f>
        <v>0.24340000000000001</v>
      </c>
      <c r="AI39" s="972">
        <f>'PDYG-200'!F$31</f>
        <v>0.35687867699279885</v>
      </c>
    </row>
    <row r="40" spans="2:35">
      <c r="B40" s="48"/>
      <c r="C40" s="887" t="s">
        <v>304</v>
      </c>
      <c r="D40" s="883">
        <f>F821EVE!D40</f>
        <v>4727898</v>
      </c>
      <c r="E40" s="883">
        <f>F821EVE!E40</f>
        <v>4557000</v>
      </c>
      <c r="F40" s="883">
        <f>F821EVE!F40</f>
        <v>4181320</v>
      </c>
      <c r="G40" s="883">
        <f>F821EVE!G40</f>
        <v>4573059</v>
      </c>
      <c r="H40" s="883">
        <f>F821EVE!H40</f>
        <v>3941698</v>
      </c>
      <c r="I40" s="883">
        <f>F821EVE!I40</f>
        <v>4113628</v>
      </c>
      <c r="J40" s="180">
        <f t="shared" si="15"/>
        <v>26094603</v>
      </c>
      <c r="K40" s="883">
        <f t="shared" ref="K40:P43" si="37">D40*$AG40</f>
        <v>1889841.6436031002</v>
      </c>
      <c r="L40" s="883">
        <f t="shared" si="37"/>
        <v>1821530.0689438155</v>
      </c>
      <c r="M40" s="883">
        <f t="shared" si="37"/>
        <v>1671362.7623164703</v>
      </c>
      <c r="N40" s="883">
        <f t="shared" si="37"/>
        <v>1827949.1936699883</v>
      </c>
      <c r="O40" s="883">
        <f t="shared" si="37"/>
        <v>1575580.7394548387</v>
      </c>
      <c r="P40" s="883">
        <f t="shared" si="37"/>
        <v>1644304.8265194669</v>
      </c>
      <c r="Q40" s="180">
        <f t="shared" si="16"/>
        <v>10430569.23450768</v>
      </c>
      <c r="R40" s="883">
        <f t="shared" si="30"/>
        <v>2838056.3563968996</v>
      </c>
      <c r="S40" s="883">
        <f t="shared" si="31"/>
        <v>2735469.9310561847</v>
      </c>
      <c r="T40" s="883">
        <f t="shared" si="32"/>
        <v>2509957.23768353</v>
      </c>
      <c r="U40" s="883">
        <f t="shared" si="33"/>
        <v>2745109.8063300117</v>
      </c>
      <c r="V40" s="883">
        <f t="shared" si="34"/>
        <v>2366117.2605451616</v>
      </c>
      <c r="W40" s="883">
        <f t="shared" si="35"/>
        <v>2469323.1734805331</v>
      </c>
      <c r="X40" s="180">
        <f t="shared" si="17"/>
        <v>15664033.76549232</v>
      </c>
      <c r="Y40" s="883"/>
      <c r="Z40" s="883"/>
      <c r="AA40" s="883"/>
      <c r="AB40" s="883"/>
      <c r="AC40" s="883"/>
      <c r="AD40" s="883"/>
      <c r="AE40" s="180"/>
      <c r="AF40" s="1389"/>
      <c r="AG40" s="972">
        <f>'PDYG-200'!D$31</f>
        <v>0.39972132300720115</v>
      </c>
      <c r="AH40" s="972">
        <f>'PDYG-200'!E$31</f>
        <v>0.24340000000000001</v>
      </c>
      <c r="AI40" s="972">
        <f>'PDYG-200'!F$31</f>
        <v>0.35687867699279885</v>
      </c>
    </row>
    <row r="41" spans="2:35">
      <c r="B41" s="48"/>
      <c r="C41" s="888" t="s">
        <v>306</v>
      </c>
      <c r="D41" s="883">
        <f>F821EVE!D41</f>
        <v>0</v>
      </c>
      <c r="E41" s="883">
        <f>F821EVE!E41</f>
        <v>0</v>
      </c>
      <c r="F41" s="883">
        <f>F821EVE!F41</f>
        <v>0</v>
      </c>
      <c r="G41" s="883">
        <f>F821EVE!G41</f>
        <v>0</v>
      </c>
      <c r="H41" s="883">
        <f>F821EVE!H41</f>
        <v>0</v>
      </c>
      <c r="I41" s="883">
        <f>F821EVE!I41</f>
        <v>0</v>
      </c>
      <c r="J41" s="180">
        <f t="shared" si="15"/>
        <v>0</v>
      </c>
      <c r="K41" s="883">
        <f t="shared" si="37"/>
        <v>0</v>
      </c>
      <c r="L41" s="883">
        <f t="shared" si="37"/>
        <v>0</v>
      </c>
      <c r="M41" s="883">
        <f t="shared" si="37"/>
        <v>0</v>
      </c>
      <c r="N41" s="883">
        <f t="shared" si="37"/>
        <v>0</v>
      </c>
      <c r="O41" s="883">
        <f t="shared" si="37"/>
        <v>0</v>
      </c>
      <c r="P41" s="883">
        <f t="shared" si="37"/>
        <v>0</v>
      </c>
      <c r="Q41" s="180">
        <f t="shared" si="16"/>
        <v>0</v>
      </c>
      <c r="R41" s="883">
        <f t="shared" si="30"/>
        <v>0</v>
      </c>
      <c r="S41" s="883">
        <f t="shared" si="31"/>
        <v>0</v>
      </c>
      <c r="T41" s="883">
        <f t="shared" si="32"/>
        <v>0</v>
      </c>
      <c r="U41" s="883">
        <f t="shared" si="33"/>
        <v>0</v>
      </c>
      <c r="V41" s="883">
        <f t="shared" si="34"/>
        <v>0</v>
      </c>
      <c r="W41" s="883">
        <f t="shared" si="35"/>
        <v>0</v>
      </c>
      <c r="X41" s="180">
        <f t="shared" si="17"/>
        <v>0</v>
      </c>
      <c r="Y41" s="883"/>
      <c r="Z41" s="883"/>
      <c r="AA41" s="883"/>
      <c r="AB41" s="883"/>
      <c r="AC41" s="883"/>
      <c r="AD41" s="883"/>
      <c r="AE41" s="180"/>
      <c r="AF41" s="1389"/>
      <c r="AG41" s="972">
        <f>'PDYG-200'!D$31</f>
        <v>0.39972132300720115</v>
      </c>
      <c r="AH41" s="972">
        <f>'PDYG-200'!E$31</f>
        <v>0.24340000000000001</v>
      </c>
      <c r="AI41" s="972">
        <f>'PDYG-200'!F$31</f>
        <v>0.35687867699279885</v>
      </c>
    </row>
    <row r="42" spans="2:35">
      <c r="B42" s="48"/>
      <c r="C42" s="887" t="s">
        <v>305</v>
      </c>
      <c r="D42" s="883">
        <f>F821EVE!D42</f>
        <v>0</v>
      </c>
      <c r="E42" s="883">
        <f>F821EVE!E42</f>
        <v>0</v>
      </c>
      <c r="F42" s="883">
        <f>F821EVE!F42</f>
        <v>0</v>
      </c>
      <c r="G42" s="883">
        <f>F821EVE!G42</f>
        <v>0</v>
      </c>
      <c r="H42" s="883">
        <f>F821EVE!H42</f>
        <v>0</v>
      </c>
      <c r="I42" s="883">
        <f>F821EVE!I42</f>
        <v>0</v>
      </c>
      <c r="J42" s="180">
        <f t="shared" si="15"/>
        <v>0</v>
      </c>
      <c r="K42" s="883">
        <f t="shared" si="37"/>
        <v>0</v>
      </c>
      <c r="L42" s="883">
        <f t="shared" si="37"/>
        <v>0</v>
      </c>
      <c r="M42" s="883">
        <f t="shared" si="37"/>
        <v>0</v>
      </c>
      <c r="N42" s="883">
        <f t="shared" si="37"/>
        <v>0</v>
      </c>
      <c r="O42" s="883">
        <f t="shared" si="37"/>
        <v>0</v>
      </c>
      <c r="P42" s="883">
        <f t="shared" si="37"/>
        <v>0</v>
      </c>
      <c r="Q42" s="180">
        <f t="shared" si="16"/>
        <v>0</v>
      </c>
      <c r="R42" s="883">
        <f t="shared" si="30"/>
        <v>0</v>
      </c>
      <c r="S42" s="883">
        <f t="shared" si="31"/>
        <v>0</v>
      </c>
      <c r="T42" s="883">
        <f t="shared" si="32"/>
        <v>0</v>
      </c>
      <c r="U42" s="883">
        <f t="shared" si="33"/>
        <v>0</v>
      </c>
      <c r="V42" s="883">
        <f t="shared" si="34"/>
        <v>0</v>
      </c>
      <c r="W42" s="883">
        <f t="shared" si="35"/>
        <v>0</v>
      </c>
      <c r="X42" s="180">
        <f t="shared" si="17"/>
        <v>0</v>
      </c>
      <c r="Y42" s="883"/>
      <c r="Z42" s="883"/>
      <c r="AA42" s="883"/>
      <c r="AB42" s="883"/>
      <c r="AC42" s="883"/>
      <c r="AD42" s="883"/>
      <c r="AE42" s="180"/>
      <c r="AF42" s="1389"/>
      <c r="AG42" s="972">
        <f>'PDYG-200'!D$31</f>
        <v>0.39972132300720115</v>
      </c>
      <c r="AH42" s="972">
        <f>'PDYG-200'!E$31</f>
        <v>0.24340000000000001</v>
      </c>
      <c r="AI42" s="972">
        <f>'PDYG-200'!F$31</f>
        <v>0.35687867699279885</v>
      </c>
    </row>
    <row r="43" spans="2:35">
      <c r="B43" s="48"/>
      <c r="C43" s="887" t="s">
        <v>307</v>
      </c>
      <c r="D43" s="883">
        <f>F821EVE!D43</f>
        <v>0</v>
      </c>
      <c r="E43" s="883">
        <f>F821EVE!E43</f>
        <v>0</v>
      </c>
      <c r="F43" s="883">
        <f>F821EVE!F43</f>
        <v>0</v>
      </c>
      <c r="G43" s="883">
        <f>F821EVE!G43</f>
        <v>0</v>
      </c>
      <c r="H43" s="883">
        <f>F821EVE!H43</f>
        <v>0</v>
      </c>
      <c r="I43" s="883">
        <f>F821EVE!I43</f>
        <v>0</v>
      </c>
      <c r="J43" s="180">
        <f t="shared" si="15"/>
        <v>0</v>
      </c>
      <c r="K43" s="883">
        <f t="shared" si="37"/>
        <v>0</v>
      </c>
      <c r="L43" s="883">
        <f t="shared" si="37"/>
        <v>0</v>
      </c>
      <c r="M43" s="883">
        <f t="shared" si="37"/>
        <v>0</v>
      </c>
      <c r="N43" s="883">
        <f t="shared" si="37"/>
        <v>0</v>
      </c>
      <c r="O43" s="883">
        <f t="shared" si="37"/>
        <v>0</v>
      </c>
      <c r="P43" s="883">
        <f t="shared" si="37"/>
        <v>0</v>
      </c>
      <c r="Q43" s="180">
        <f t="shared" si="16"/>
        <v>0</v>
      </c>
      <c r="R43" s="883">
        <f t="shared" si="30"/>
        <v>0</v>
      </c>
      <c r="S43" s="883">
        <f t="shared" si="31"/>
        <v>0</v>
      </c>
      <c r="T43" s="883">
        <f t="shared" si="32"/>
        <v>0</v>
      </c>
      <c r="U43" s="883">
        <f t="shared" si="33"/>
        <v>0</v>
      </c>
      <c r="V43" s="883">
        <f t="shared" si="34"/>
        <v>0</v>
      </c>
      <c r="W43" s="883">
        <f t="shared" si="35"/>
        <v>0</v>
      </c>
      <c r="X43" s="180">
        <f t="shared" si="17"/>
        <v>0</v>
      </c>
      <c r="Y43" s="883"/>
      <c r="Z43" s="883"/>
      <c r="AA43" s="883"/>
      <c r="AB43" s="883"/>
      <c r="AC43" s="883"/>
      <c r="AD43" s="883"/>
      <c r="AE43" s="180"/>
      <c r="AF43" s="1389"/>
      <c r="AG43" s="972">
        <f>'PDYG-200'!D$31</f>
        <v>0.39972132300720115</v>
      </c>
      <c r="AH43" s="972">
        <f>'PDYG-200'!E$31</f>
        <v>0.24340000000000001</v>
      </c>
      <c r="AI43" s="972">
        <f>'PDYG-200'!F$31</f>
        <v>0.35687867699279885</v>
      </c>
    </row>
    <row r="44" spans="2:35">
      <c r="B44" s="48" t="s">
        <v>274</v>
      </c>
      <c r="C44" s="882" t="s">
        <v>633</v>
      </c>
      <c r="D44" s="881">
        <f>SUBTOTAL(9,D45:D48)</f>
        <v>4976960</v>
      </c>
      <c r="E44" s="881">
        <f t="shared" ref="E44:P44" si="38">SUBTOTAL(9,E45:E48)</f>
        <v>4584773</v>
      </c>
      <c r="F44" s="881">
        <f t="shared" si="38"/>
        <v>3946763</v>
      </c>
      <c r="G44" s="881">
        <f t="shared" si="38"/>
        <v>4522002</v>
      </c>
      <c r="H44" s="881">
        <f t="shared" si="38"/>
        <v>4103113</v>
      </c>
      <c r="I44" s="881">
        <f t="shared" si="38"/>
        <v>4240348</v>
      </c>
      <c r="J44" s="180">
        <f t="shared" si="15"/>
        <v>26373959</v>
      </c>
      <c r="K44" s="881">
        <f t="shared" si="38"/>
        <v>1989397.0357539197</v>
      </c>
      <c r="L44" s="881">
        <f t="shared" si="38"/>
        <v>1832631.5292476946</v>
      </c>
      <c r="M44" s="881">
        <f t="shared" si="38"/>
        <v>1577605.3279558702</v>
      </c>
      <c r="N44" s="881">
        <f t="shared" si="38"/>
        <v>1807540.6220812097</v>
      </c>
      <c r="O44" s="881">
        <f t="shared" si="38"/>
        <v>1640101.756808046</v>
      </c>
      <c r="P44" s="881">
        <f t="shared" si="38"/>
        <v>1694957.5125709393</v>
      </c>
      <c r="Q44" s="180">
        <f t="shared" si="16"/>
        <v>10542233.78441768</v>
      </c>
      <c r="R44" s="881">
        <f t="shared" si="30"/>
        <v>2987562.9642460803</v>
      </c>
      <c r="S44" s="881">
        <f t="shared" si="31"/>
        <v>2752141.4707523054</v>
      </c>
      <c r="T44" s="881">
        <f t="shared" si="32"/>
        <v>2369157.67204413</v>
      </c>
      <c r="U44" s="881">
        <f t="shared" si="33"/>
        <v>2714461.3779187901</v>
      </c>
      <c r="V44" s="881">
        <f t="shared" si="34"/>
        <v>2463011.2431919537</v>
      </c>
      <c r="W44" s="881">
        <f t="shared" si="35"/>
        <v>2545390.487429061</v>
      </c>
      <c r="X44" s="180">
        <f t="shared" si="17"/>
        <v>15831725.215582319</v>
      </c>
      <c r="Y44" s="881"/>
      <c r="Z44" s="881"/>
      <c r="AA44" s="881"/>
      <c r="AB44" s="881"/>
      <c r="AC44" s="881"/>
      <c r="AD44" s="881"/>
      <c r="AE44" s="180"/>
      <c r="AF44" s="1389"/>
      <c r="AG44" s="972">
        <f>'PDYG-200'!D$31</f>
        <v>0.39972132300720115</v>
      </c>
      <c r="AH44" s="972">
        <f>'PDYG-200'!E$31</f>
        <v>0.24340000000000001</v>
      </c>
      <c r="AI44" s="972">
        <f>'PDYG-200'!F$31</f>
        <v>0.35687867699279885</v>
      </c>
    </row>
    <row r="45" spans="2:35">
      <c r="B45" s="48"/>
      <c r="C45" s="887" t="s">
        <v>304</v>
      </c>
      <c r="D45" s="883">
        <f>F821EVE!D45</f>
        <v>4976960</v>
      </c>
      <c r="E45" s="883">
        <f>F821EVE!E45</f>
        <v>4584773</v>
      </c>
      <c r="F45" s="883">
        <f>F821EVE!F45</f>
        <v>3946763</v>
      </c>
      <c r="G45" s="883">
        <f>F821EVE!G45</f>
        <v>4522002</v>
      </c>
      <c r="H45" s="883">
        <f>F821EVE!H45</f>
        <v>4103113</v>
      </c>
      <c r="I45" s="883">
        <f>F821EVE!I45</f>
        <v>4240348</v>
      </c>
      <c r="J45" s="180">
        <f t="shared" si="15"/>
        <v>26373959</v>
      </c>
      <c r="K45" s="883">
        <f t="shared" ref="K45:P48" si="39">D45*$AG45</f>
        <v>1989397.0357539197</v>
      </c>
      <c r="L45" s="883">
        <f t="shared" si="39"/>
        <v>1832631.5292476946</v>
      </c>
      <c r="M45" s="883">
        <f t="shared" si="39"/>
        <v>1577605.3279558702</v>
      </c>
      <c r="N45" s="883">
        <f t="shared" si="39"/>
        <v>1807540.6220812097</v>
      </c>
      <c r="O45" s="883">
        <f t="shared" si="39"/>
        <v>1640101.756808046</v>
      </c>
      <c r="P45" s="883">
        <f t="shared" si="39"/>
        <v>1694957.5125709393</v>
      </c>
      <c r="Q45" s="180">
        <f t="shared" si="16"/>
        <v>10542233.78441768</v>
      </c>
      <c r="R45" s="883">
        <f t="shared" si="30"/>
        <v>2987562.9642460803</v>
      </c>
      <c r="S45" s="883">
        <f t="shared" si="31"/>
        <v>2752141.4707523054</v>
      </c>
      <c r="T45" s="883">
        <f t="shared" si="32"/>
        <v>2369157.67204413</v>
      </c>
      <c r="U45" s="883">
        <f t="shared" si="33"/>
        <v>2714461.3779187901</v>
      </c>
      <c r="V45" s="883">
        <f t="shared" si="34"/>
        <v>2463011.2431919537</v>
      </c>
      <c r="W45" s="883">
        <f t="shared" si="35"/>
        <v>2545390.487429061</v>
      </c>
      <c r="X45" s="180">
        <f t="shared" si="17"/>
        <v>15831725.215582319</v>
      </c>
      <c r="Y45" s="883"/>
      <c r="Z45" s="883"/>
      <c r="AA45" s="883"/>
      <c r="AB45" s="883"/>
      <c r="AC45" s="883"/>
      <c r="AD45" s="883"/>
      <c r="AE45" s="180"/>
      <c r="AF45" s="1389"/>
      <c r="AG45" s="972">
        <f>'PDYG-200'!D$31</f>
        <v>0.39972132300720115</v>
      </c>
      <c r="AH45" s="972">
        <f>'PDYG-200'!E$31</f>
        <v>0.24340000000000001</v>
      </c>
      <c r="AI45" s="972">
        <f>'PDYG-200'!F$31</f>
        <v>0.35687867699279885</v>
      </c>
    </row>
    <row r="46" spans="2:35">
      <c r="B46" s="48"/>
      <c r="C46" s="888" t="s">
        <v>306</v>
      </c>
      <c r="D46" s="883">
        <f>F821EVE!D46</f>
        <v>0</v>
      </c>
      <c r="E46" s="883">
        <f>F821EVE!E46</f>
        <v>0</v>
      </c>
      <c r="F46" s="883">
        <f>F821EVE!F46</f>
        <v>0</v>
      </c>
      <c r="G46" s="883">
        <f>F821EVE!G46</f>
        <v>0</v>
      </c>
      <c r="H46" s="883">
        <f>F821EVE!H46</f>
        <v>0</v>
      </c>
      <c r="I46" s="883">
        <f>F821EVE!I46</f>
        <v>0</v>
      </c>
      <c r="J46" s="180">
        <f t="shared" si="15"/>
        <v>0</v>
      </c>
      <c r="K46" s="883">
        <f t="shared" si="39"/>
        <v>0</v>
      </c>
      <c r="L46" s="883">
        <f t="shared" si="39"/>
        <v>0</v>
      </c>
      <c r="M46" s="883">
        <f t="shared" si="39"/>
        <v>0</v>
      </c>
      <c r="N46" s="883">
        <f t="shared" si="39"/>
        <v>0</v>
      </c>
      <c r="O46" s="883">
        <f t="shared" si="39"/>
        <v>0</v>
      </c>
      <c r="P46" s="883">
        <f t="shared" si="39"/>
        <v>0</v>
      </c>
      <c r="Q46" s="180">
        <f t="shared" si="16"/>
        <v>0</v>
      </c>
      <c r="R46" s="883">
        <f t="shared" si="30"/>
        <v>0</v>
      </c>
      <c r="S46" s="883">
        <f t="shared" si="31"/>
        <v>0</v>
      </c>
      <c r="T46" s="883">
        <f t="shared" si="32"/>
        <v>0</v>
      </c>
      <c r="U46" s="883">
        <f t="shared" si="33"/>
        <v>0</v>
      </c>
      <c r="V46" s="883">
        <f t="shared" si="34"/>
        <v>0</v>
      </c>
      <c r="W46" s="883">
        <f t="shared" si="35"/>
        <v>0</v>
      </c>
      <c r="X46" s="180">
        <f t="shared" si="17"/>
        <v>0</v>
      </c>
      <c r="Y46" s="883"/>
      <c r="Z46" s="883"/>
      <c r="AA46" s="883"/>
      <c r="AB46" s="883"/>
      <c r="AC46" s="883"/>
      <c r="AD46" s="883"/>
      <c r="AE46" s="180"/>
      <c r="AF46" s="1389"/>
      <c r="AG46" s="972">
        <f>'PDYG-200'!D$31</f>
        <v>0.39972132300720115</v>
      </c>
      <c r="AH46" s="972">
        <f>'PDYG-200'!E$31</f>
        <v>0.24340000000000001</v>
      </c>
      <c r="AI46" s="972">
        <f>'PDYG-200'!F$31</f>
        <v>0.35687867699279885</v>
      </c>
    </row>
    <row r="47" spans="2:35">
      <c r="B47" s="48"/>
      <c r="C47" s="887" t="s">
        <v>305</v>
      </c>
      <c r="D47" s="883">
        <f>F821EVE!D47</f>
        <v>0</v>
      </c>
      <c r="E47" s="883">
        <f>F821EVE!E47</f>
        <v>0</v>
      </c>
      <c r="F47" s="883">
        <f>F821EVE!F47</f>
        <v>0</v>
      </c>
      <c r="G47" s="883">
        <f>F821EVE!G47</f>
        <v>0</v>
      </c>
      <c r="H47" s="883">
        <f>F821EVE!H47</f>
        <v>0</v>
      </c>
      <c r="I47" s="883">
        <f>F821EVE!I47</f>
        <v>0</v>
      </c>
      <c r="J47" s="180">
        <f t="shared" si="15"/>
        <v>0</v>
      </c>
      <c r="K47" s="883">
        <f t="shared" si="39"/>
        <v>0</v>
      </c>
      <c r="L47" s="883">
        <f t="shared" si="39"/>
        <v>0</v>
      </c>
      <c r="M47" s="883">
        <f t="shared" si="39"/>
        <v>0</v>
      </c>
      <c r="N47" s="883">
        <f t="shared" si="39"/>
        <v>0</v>
      </c>
      <c r="O47" s="883">
        <f t="shared" si="39"/>
        <v>0</v>
      </c>
      <c r="P47" s="883">
        <f t="shared" si="39"/>
        <v>0</v>
      </c>
      <c r="Q47" s="180">
        <f t="shared" si="16"/>
        <v>0</v>
      </c>
      <c r="R47" s="883">
        <f t="shared" si="30"/>
        <v>0</v>
      </c>
      <c r="S47" s="883">
        <f t="shared" si="31"/>
        <v>0</v>
      </c>
      <c r="T47" s="883">
        <f t="shared" si="32"/>
        <v>0</v>
      </c>
      <c r="U47" s="883">
        <f t="shared" si="33"/>
        <v>0</v>
      </c>
      <c r="V47" s="883">
        <f t="shared" si="34"/>
        <v>0</v>
      </c>
      <c r="W47" s="883">
        <f t="shared" si="35"/>
        <v>0</v>
      </c>
      <c r="X47" s="180">
        <f t="shared" si="17"/>
        <v>0</v>
      </c>
      <c r="Y47" s="883"/>
      <c r="Z47" s="883"/>
      <c r="AA47" s="883"/>
      <c r="AB47" s="883"/>
      <c r="AC47" s="883"/>
      <c r="AD47" s="883"/>
      <c r="AE47" s="180"/>
      <c r="AF47" s="1389"/>
      <c r="AG47" s="972">
        <f>'PDYG-200'!D$31</f>
        <v>0.39972132300720115</v>
      </c>
      <c r="AH47" s="972">
        <f>'PDYG-200'!E$31</f>
        <v>0.24340000000000001</v>
      </c>
      <c r="AI47" s="972">
        <f>'PDYG-200'!F$31</f>
        <v>0.35687867699279885</v>
      </c>
    </row>
    <row r="48" spans="2:35">
      <c r="B48" s="48"/>
      <c r="C48" s="887" t="s">
        <v>307</v>
      </c>
      <c r="D48" s="883">
        <f>F821EVE!D48</f>
        <v>0</v>
      </c>
      <c r="E48" s="883">
        <f>F821EVE!E48</f>
        <v>0</v>
      </c>
      <c r="F48" s="883">
        <f>F821EVE!F48</f>
        <v>0</v>
      </c>
      <c r="G48" s="883">
        <f>F821EVE!G48</f>
        <v>0</v>
      </c>
      <c r="H48" s="883">
        <f>F821EVE!H48</f>
        <v>0</v>
      </c>
      <c r="I48" s="883">
        <f>F821EVE!I48</f>
        <v>0</v>
      </c>
      <c r="J48" s="180">
        <f t="shared" si="15"/>
        <v>0</v>
      </c>
      <c r="K48" s="883">
        <f t="shared" si="39"/>
        <v>0</v>
      </c>
      <c r="L48" s="883">
        <f t="shared" si="39"/>
        <v>0</v>
      </c>
      <c r="M48" s="883">
        <f t="shared" si="39"/>
        <v>0</v>
      </c>
      <c r="N48" s="883">
        <f t="shared" si="39"/>
        <v>0</v>
      </c>
      <c r="O48" s="883">
        <f t="shared" si="39"/>
        <v>0</v>
      </c>
      <c r="P48" s="883">
        <f t="shared" si="39"/>
        <v>0</v>
      </c>
      <c r="Q48" s="180">
        <f t="shared" si="16"/>
        <v>0</v>
      </c>
      <c r="R48" s="883">
        <f t="shared" si="30"/>
        <v>0</v>
      </c>
      <c r="S48" s="883">
        <f t="shared" si="31"/>
        <v>0</v>
      </c>
      <c r="T48" s="883">
        <f t="shared" si="32"/>
        <v>0</v>
      </c>
      <c r="U48" s="883">
        <f t="shared" si="33"/>
        <v>0</v>
      </c>
      <c r="V48" s="883">
        <f t="shared" si="34"/>
        <v>0</v>
      </c>
      <c r="W48" s="883">
        <f t="shared" si="35"/>
        <v>0</v>
      </c>
      <c r="X48" s="180">
        <f t="shared" si="17"/>
        <v>0</v>
      </c>
      <c r="Y48" s="883"/>
      <c r="Z48" s="883"/>
      <c r="AA48" s="883"/>
      <c r="AB48" s="883"/>
      <c r="AC48" s="883"/>
      <c r="AD48" s="883"/>
      <c r="AE48" s="180"/>
      <c r="AF48" s="1389"/>
      <c r="AG48" s="972">
        <f>'PDYG-200'!D$31</f>
        <v>0.39972132300720115</v>
      </c>
      <c r="AH48" s="972">
        <f>'PDYG-200'!E$31</f>
        <v>0.24340000000000001</v>
      </c>
      <c r="AI48" s="972">
        <f>'PDYG-200'!F$31</f>
        <v>0.35687867699279885</v>
      </c>
    </row>
    <row r="49" spans="2:35">
      <c r="B49" s="48"/>
      <c r="C49" s="884"/>
      <c r="D49" s="883"/>
      <c r="E49" s="883"/>
      <c r="F49" s="883"/>
      <c r="G49" s="883"/>
      <c r="H49" s="883"/>
      <c r="I49" s="883"/>
      <c r="J49" s="180">
        <f t="shared" si="15"/>
        <v>0</v>
      </c>
      <c r="K49" s="883"/>
      <c r="L49" s="883"/>
      <c r="M49" s="883"/>
      <c r="N49" s="883"/>
      <c r="O49" s="883"/>
      <c r="P49" s="883"/>
      <c r="Q49" s="180">
        <f t="shared" si="16"/>
        <v>0</v>
      </c>
      <c r="R49" s="883">
        <f t="shared" si="30"/>
        <v>0</v>
      </c>
      <c r="S49" s="883">
        <f t="shared" si="31"/>
        <v>0</v>
      </c>
      <c r="T49" s="883">
        <f t="shared" si="32"/>
        <v>0</v>
      </c>
      <c r="U49" s="883">
        <f t="shared" si="33"/>
        <v>0</v>
      </c>
      <c r="V49" s="883">
        <f t="shared" si="34"/>
        <v>0</v>
      </c>
      <c r="W49" s="883">
        <f t="shared" si="35"/>
        <v>0</v>
      </c>
      <c r="X49" s="180">
        <f t="shared" si="17"/>
        <v>0</v>
      </c>
      <c r="Y49" s="883"/>
      <c r="Z49" s="883"/>
      <c r="AA49" s="883"/>
      <c r="AB49" s="883"/>
      <c r="AC49" s="883"/>
      <c r="AD49" s="883"/>
      <c r="AE49" s="180"/>
      <c r="AF49" s="1389"/>
      <c r="AG49" s="972"/>
      <c r="AH49" s="972"/>
      <c r="AI49" s="972"/>
    </row>
    <row r="50" spans="2:35">
      <c r="B50" s="48" t="s">
        <v>1176</v>
      </c>
      <c r="C50" s="882" t="s">
        <v>1176</v>
      </c>
      <c r="D50" s="881">
        <f>SUBTOTAL(9,D51:D56)</f>
        <v>0</v>
      </c>
      <c r="E50" s="881">
        <f t="shared" ref="E50:P50" si="40">SUBTOTAL(9,E51:E56)</f>
        <v>0</v>
      </c>
      <c r="F50" s="881">
        <f t="shared" si="40"/>
        <v>0</v>
      </c>
      <c r="G50" s="881">
        <f t="shared" si="40"/>
        <v>0</v>
      </c>
      <c r="H50" s="881">
        <f t="shared" si="40"/>
        <v>0</v>
      </c>
      <c r="I50" s="881">
        <f t="shared" si="40"/>
        <v>0</v>
      </c>
      <c r="J50" s="180">
        <f t="shared" si="15"/>
        <v>0</v>
      </c>
      <c r="K50" s="881">
        <f t="shared" si="40"/>
        <v>0</v>
      </c>
      <c r="L50" s="881">
        <f t="shared" si="40"/>
        <v>0</v>
      </c>
      <c r="M50" s="881">
        <f t="shared" si="40"/>
        <v>0</v>
      </c>
      <c r="N50" s="881">
        <f t="shared" si="40"/>
        <v>0</v>
      </c>
      <c r="O50" s="881">
        <f t="shared" si="40"/>
        <v>0</v>
      </c>
      <c r="P50" s="881">
        <f t="shared" si="40"/>
        <v>0</v>
      </c>
      <c r="Q50" s="180">
        <f t="shared" si="16"/>
        <v>0</v>
      </c>
      <c r="R50" s="881">
        <f t="shared" si="30"/>
        <v>0</v>
      </c>
      <c r="S50" s="881">
        <f t="shared" si="31"/>
        <v>0</v>
      </c>
      <c r="T50" s="881">
        <f t="shared" si="32"/>
        <v>0</v>
      </c>
      <c r="U50" s="881">
        <f t="shared" si="33"/>
        <v>0</v>
      </c>
      <c r="V50" s="881">
        <f t="shared" si="34"/>
        <v>0</v>
      </c>
      <c r="W50" s="881">
        <f t="shared" si="35"/>
        <v>0</v>
      </c>
      <c r="X50" s="180">
        <f t="shared" si="17"/>
        <v>0</v>
      </c>
      <c r="Y50" s="881"/>
      <c r="Z50" s="881"/>
      <c r="AA50" s="881"/>
      <c r="AB50" s="881"/>
      <c r="AC50" s="881"/>
      <c r="AD50" s="881"/>
      <c r="AE50" s="180"/>
      <c r="AF50" s="1389"/>
      <c r="AG50" s="972">
        <f>'PDYG-200'!D$32</f>
        <v>0.23190745024205595</v>
      </c>
      <c r="AH50" s="972">
        <f>'PDYG-200'!E$32</f>
        <v>0.30353035303530351</v>
      </c>
      <c r="AI50" s="972">
        <f>'PDYG-200'!F$32</f>
        <v>0.46456219672264054</v>
      </c>
    </row>
    <row r="51" spans="2:35">
      <c r="B51" s="48"/>
      <c r="C51" s="887" t="s">
        <v>304</v>
      </c>
      <c r="D51" s="883">
        <f>F821EVE!D51</f>
        <v>0</v>
      </c>
      <c r="E51" s="883">
        <f>F821EVE!E51</f>
        <v>0</v>
      </c>
      <c r="F51" s="883">
        <f>F821EVE!F51</f>
        <v>0</v>
      </c>
      <c r="G51" s="883">
        <f>F821EVE!G51</f>
        <v>0</v>
      </c>
      <c r="H51" s="883">
        <f>F821EVE!H51</f>
        <v>0</v>
      </c>
      <c r="I51" s="883">
        <f>F821EVE!I51</f>
        <v>0</v>
      </c>
      <c r="J51" s="180">
        <f t="shared" si="15"/>
        <v>0</v>
      </c>
      <c r="K51" s="974">
        <f>F821EVE!K51</f>
        <v>0</v>
      </c>
      <c r="L51" s="974">
        <f>F821EVE!L51</f>
        <v>0</v>
      </c>
      <c r="M51" s="974">
        <f>F821EVE!M51</f>
        <v>0</v>
      </c>
      <c r="N51" s="974">
        <f>F821EVE!N51</f>
        <v>0</v>
      </c>
      <c r="O51" s="974">
        <f>F821EVE!O51</f>
        <v>0</v>
      </c>
      <c r="P51" s="974">
        <f>F821EVE!P51</f>
        <v>0</v>
      </c>
      <c r="Q51" s="180">
        <f t="shared" si="16"/>
        <v>0</v>
      </c>
      <c r="R51" s="974">
        <f t="shared" si="30"/>
        <v>0</v>
      </c>
      <c r="S51" s="974">
        <f t="shared" si="31"/>
        <v>0</v>
      </c>
      <c r="T51" s="974">
        <f t="shared" si="32"/>
        <v>0</v>
      </c>
      <c r="U51" s="974">
        <f t="shared" si="33"/>
        <v>0</v>
      </c>
      <c r="V51" s="974">
        <f t="shared" si="34"/>
        <v>0</v>
      </c>
      <c r="W51" s="974">
        <f t="shared" si="35"/>
        <v>0</v>
      </c>
      <c r="X51" s="180">
        <f t="shared" si="17"/>
        <v>0</v>
      </c>
      <c r="Y51" s="883"/>
      <c r="Z51" s="883"/>
      <c r="AA51" s="883"/>
      <c r="AB51" s="883"/>
      <c r="AC51" s="883"/>
      <c r="AD51" s="883"/>
      <c r="AE51" s="180"/>
      <c r="AF51" s="1389"/>
      <c r="AG51" s="972">
        <f>'PDYG-200'!D$32</f>
        <v>0.23190745024205595</v>
      </c>
      <c r="AH51" s="972">
        <f>'PDYG-200'!E$32</f>
        <v>0.30353035303530351</v>
      </c>
      <c r="AI51" s="972">
        <f>'PDYG-200'!F$32</f>
        <v>0.46456219672264054</v>
      </c>
    </row>
    <row r="52" spans="2:35">
      <c r="B52" s="48"/>
      <c r="C52" s="889" t="s">
        <v>642</v>
      </c>
      <c r="D52" s="883">
        <f>F821EVE!D52</f>
        <v>0</v>
      </c>
      <c r="E52" s="883">
        <f>F821EVE!E52</f>
        <v>0</v>
      </c>
      <c r="F52" s="883">
        <f>F821EVE!F52</f>
        <v>0</v>
      </c>
      <c r="G52" s="883">
        <f>F821EVE!G52</f>
        <v>0</v>
      </c>
      <c r="H52" s="883">
        <f>F821EVE!H52</f>
        <v>0</v>
      </c>
      <c r="I52" s="883">
        <f>F821EVE!I52</f>
        <v>0</v>
      </c>
      <c r="J52" s="180">
        <f t="shared" si="15"/>
        <v>0</v>
      </c>
      <c r="K52" s="974">
        <f>F821EVE!K52</f>
        <v>0</v>
      </c>
      <c r="L52" s="974">
        <f>F821EVE!L52</f>
        <v>0</v>
      </c>
      <c r="M52" s="974">
        <f>F821EVE!M52</f>
        <v>0</v>
      </c>
      <c r="N52" s="974">
        <f>F821EVE!N52</f>
        <v>0</v>
      </c>
      <c r="O52" s="974">
        <f>F821EVE!O52</f>
        <v>0</v>
      </c>
      <c r="P52" s="974">
        <f>F821EVE!P52</f>
        <v>0</v>
      </c>
      <c r="Q52" s="180">
        <f t="shared" si="16"/>
        <v>0</v>
      </c>
      <c r="R52" s="974">
        <f t="shared" si="30"/>
        <v>0</v>
      </c>
      <c r="S52" s="974">
        <f t="shared" si="31"/>
        <v>0</v>
      </c>
      <c r="T52" s="974">
        <f t="shared" si="32"/>
        <v>0</v>
      </c>
      <c r="U52" s="974">
        <f t="shared" si="33"/>
        <v>0</v>
      </c>
      <c r="V52" s="974">
        <f t="shared" si="34"/>
        <v>0</v>
      </c>
      <c r="W52" s="974">
        <f t="shared" si="35"/>
        <v>0</v>
      </c>
      <c r="X52" s="180">
        <f t="shared" si="17"/>
        <v>0</v>
      </c>
      <c r="Y52" s="883"/>
      <c r="Z52" s="883"/>
      <c r="AA52" s="883"/>
      <c r="AB52" s="883"/>
      <c r="AC52" s="883"/>
      <c r="AD52" s="883"/>
      <c r="AE52" s="180"/>
      <c r="AF52" s="1389"/>
      <c r="AG52" s="972">
        <f>'PDYG-200'!D$32</f>
        <v>0.23190745024205595</v>
      </c>
      <c r="AH52" s="972">
        <f>'PDYG-200'!E$32</f>
        <v>0.30353035303530351</v>
      </c>
      <c r="AI52" s="972">
        <f>'PDYG-200'!F$32</f>
        <v>0.46456219672264054</v>
      </c>
    </row>
    <row r="53" spans="2:35">
      <c r="B53" s="48"/>
      <c r="C53" s="889" t="s">
        <v>1177</v>
      </c>
      <c r="D53" s="883">
        <f>F821EVE!D53</f>
        <v>0</v>
      </c>
      <c r="E53" s="883">
        <f>F821EVE!E53</f>
        <v>0</v>
      </c>
      <c r="F53" s="883">
        <f>F821EVE!F53</f>
        <v>0</v>
      </c>
      <c r="G53" s="883">
        <f>F821EVE!G53</f>
        <v>0</v>
      </c>
      <c r="H53" s="883">
        <f>F821EVE!H53</f>
        <v>0</v>
      </c>
      <c r="I53" s="883">
        <f>F821EVE!I53</f>
        <v>0</v>
      </c>
      <c r="J53" s="180">
        <f t="shared" si="15"/>
        <v>0</v>
      </c>
      <c r="K53" s="974">
        <f>F821EVE!K53</f>
        <v>0</v>
      </c>
      <c r="L53" s="974">
        <f>F821EVE!L53</f>
        <v>0</v>
      </c>
      <c r="M53" s="974">
        <f>F821EVE!M53</f>
        <v>0</v>
      </c>
      <c r="N53" s="974">
        <f>F821EVE!N53</f>
        <v>0</v>
      </c>
      <c r="O53" s="974">
        <f>F821EVE!O53</f>
        <v>0</v>
      </c>
      <c r="P53" s="974">
        <f>F821EVE!P53</f>
        <v>0</v>
      </c>
      <c r="Q53" s="180">
        <f t="shared" si="16"/>
        <v>0</v>
      </c>
      <c r="R53" s="974">
        <f t="shared" si="30"/>
        <v>0</v>
      </c>
      <c r="S53" s="974">
        <f t="shared" si="31"/>
        <v>0</v>
      </c>
      <c r="T53" s="974">
        <f t="shared" si="32"/>
        <v>0</v>
      </c>
      <c r="U53" s="974">
        <f t="shared" si="33"/>
        <v>0</v>
      </c>
      <c r="V53" s="974">
        <f t="shared" si="34"/>
        <v>0</v>
      </c>
      <c r="W53" s="974">
        <f t="shared" si="35"/>
        <v>0</v>
      </c>
      <c r="X53" s="180">
        <f t="shared" si="17"/>
        <v>0</v>
      </c>
      <c r="Y53" s="883"/>
      <c r="Z53" s="883"/>
      <c r="AA53" s="883"/>
      <c r="AB53" s="883"/>
      <c r="AC53" s="883"/>
      <c r="AD53" s="883"/>
      <c r="AE53" s="180"/>
      <c r="AF53" s="1389"/>
      <c r="AG53" s="972">
        <f>'PDYG-200'!D$32</f>
        <v>0.23190745024205595</v>
      </c>
      <c r="AH53" s="972">
        <f>'PDYG-200'!E$32</f>
        <v>0.30353035303530351</v>
      </c>
      <c r="AI53" s="972">
        <f>'PDYG-200'!F$32</f>
        <v>0.46456219672264054</v>
      </c>
    </row>
    <row r="54" spans="2:35">
      <c r="B54" s="48"/>
      <c r="C54" s="887" t="s">
        <v>305</v>
      </c>
      <c r="D54" s="883">
        <f>F821EVE!D54</f>
        <v>0</v>
      </c>
      <c r="E54" s="883">
        <f>F821EVE!E54</f>
        <v>0</v>
      </c>
      <c r="F54" s="883">
        <f>F821EVE!F54</f>
        <v>0</v>
      </c>
      <c r="G54" s="883">
        <f>F821EVE!G54</f>
        <v>0</v>
      </c>
      <c r="H54" s="883">
        <f>F821EVE!H54</f>
        <v>0</v>
      </c>
      <c r="I54" s="883">
        <f>F821EVE!I54</f>
        <v>0</v>
      </c>
      <c r="J54" s="180">
        <f t="shared" si="15"/>
        <v>0</v>
      </c>
      <c r="K54" s="974">
        <f>F821EVE!K54</f>
        <v>0</v>
      </c>
      <c r="L54" s="974">
        <f>F821EVE!L54</f>
        <v>0</v>
      </c>
      <c r="M54" s="974">
        <f>F821EVE!M54</f>
        <v>0</v>
      </c>
      <c r="N54" s="974">
        <f>F821EVE!N54</f>
        <v>0</v>
      </c>
      <c r="O54" s="974">
        <f>F821EVE!O54</f>
        <v>0</v>
      </c>
      <c r="P54" s="974">
        <f>F821EVE!P54</f>
        <v>0</v>
      </c>
      <c r="Q54" s="180">
        <f t="shared" si="16"/>
        <v>0</v>
      </c>
      <c r="R54" s="974">
        <f t="shared" si="30"/>
        <v>0</v>
      </c>
      <c r="S54" s="974">
        <f t="shared" si="31"/>
        <v>0</v>
      </c>
      <c r="T54" s="974">
        <f t="shared" si="32"/>
        <v>0</v>
      </c>
      <c r="U54" s="974">
        <f t="shared" si="33"/>
        <v>0</v>
      </c>
      <c r="V54" s="974">
        <f t="shared" si="34"/>
        <v>0</v>
      </c>
      <c r="W54" s="974">
        <f t="shared" si="35"/>
        <v>0</v>
      </c>
      <c r="X54" s="180">
        <f t="shared" si="17"/>
        <v>0</v>
      </c>
      <c r="Y54" s="883"/>
      <c r="Z54" s="883"/>
      <c r="AA54" s="883"/>
      <c r="AB54" s="883"/>
      <c r="AC54" s="883"/>
      <c r="AD54" s="883"/>
      <c r="AE54" s="180"/>
      <c r="AF54" s="1389"/>
      <c r="AG54" s="972">
        <f>'PDYG-200'!D$32</f>
        <v>0.23190745024205595</v>
      </c>
      <c r="AH54" s="972">
        <f>'PDYG-200'!E$32</f>
        <v>0.30353035303530351</v>
      </c>
      <c r="AI54" s="972">
        <f>'PDYG-200'!F$32</f>
        <v>0.46456219672264054</v>
      </c>
    </row>
    <row r="55" spans="2:35">
      <c r="B55" s="48"/>
      <c r="C55" s="887" t="s">
        <v>307</v>
      </c>
      <c r="D55" s="883">
        <f>F821EVE!D55</f>
        <v>0</v>
      </c>
      <c r="E55" s="883">
        <f>F821EVE!E55</f>
        <v>0</v>
      </c>
      <c r="F55" s="883">
        <f>F821EVE!F55</f>
        <v>0</v>
      </c>
      <c r="G55" s="883">
        <f>F821EVE!G55</f>
        <v>0</v>
      </c>
      <c r="H55" s="883">
        <f>F821EVE!H55</f>
        <v>0</v>
      </c>
      <c r="I55" s="883">
        <f>F821EVE!I55</f>
        <v>0</v>
      </c>
      <c r="J55" s="180">
        <f t="shared" si="15"/>
        <v>0</v>
      </c>
      <c r="K55" s="974">
        <f>F821EVE!K55</f>
        <v>0</v>
      </c>
      <c r="L55" s="974">
        <f>F821EVE!L55</f>
        <v>0</v>
      </c>
      <c r="M55" s="974">
        <f>F821EVE!M55</f>
        <v>0</v>
      </c>
      <c r="N55" s="974">
        <f>F821EVE!N55</f>
        <v>0</v>
      </c>
      <c r="O55" s="974">
        <f>F821EVE!O55</f>
        <v>0</v>
      </c>
      <c r="P55" s="974">
        <f>F821EVE!P55</f>
        <v>0</v>
      </c>
      <c r="Q55" s="180">
        <f t="shared" si="16"/>
        <v>0</v>
      </c>
      <c r="R55" s="974">
        <f t="shared" si="30"/>
        <v>0</v>
      </c>
      <c r="S55" s="974">
        <f t="shared" si="31"/>
        <v>0</v>
      </c>
      <c r="T55" s="974">
        <f t="shared" si="32"/>
        <v>0</v>
      </c>
      <c r="U55" s="974">
        <f t="shared" si="33"/>
        <v>0</v>
      </c>
      <c r="V55" s="974">
        <f t="shared" si="34"/>
        <v>0</v>
      </c>
      <c r="W55" s="974">
        <f t="shared" si="35"/>
        <v>0</v>
      </c>
      <c r="X55" s="180">
        <f t="shared" si="17"/>
        <v>0</v>
      </c>
      <c r="Y55" s="883"/>
      <c r="Z55" s="883"/>
      <c r="AA55" s="883"/>
      <c r="AB55" s="883"/>
      <c r="AC55" s="883"/>
      <c r="AD55" s="883"/>
      <c r="AE55" s="180"/>
      <c r="AF55" s="1389"/>
      <c r="AG55" s="972">
        <f>'PDYG-200'!D$32</f>
        <v>0.23190745024205595</v>
      </c>
      <c r="AH55" s="972">
        <f>'PDYG-200'!E$32</f>
        <v>0.30353035303530351</v>
      </c>
      <c r="AI55" s="972">
        <f>'PDYG-200'!F$32</f>
        <v>0.46456219672264054</v>
      </c>
    </row>
    <row r="56" spans="2:35">
      <c r="B56" s="48"/>
      <c r="C56" s="887" t="s">
        <v>624</v>
      </c>
      <c r="D56" s="883">
        <f>F821EVE!D56</f>
        <v>0</v>
      </c>
      <c r="E56" s="883">
        <f>F821EVE!E56</f>
        <v>0</v>
      </c>
      <c r="F56" s="883">
        <f>F821EVE!F56</f>
        <v>0</v>
      </c>
      <c r="G56" s="883">
        <f>F821EVE!G56</f>
        <v>0</v>
      </c>
      <c r="H56" s="883">
        <f>F821EVE!H56</f>
        <v>0</v>
      </c>
      <c r="I56" s="883">
        <f>F821EVE!I56</f>
        <v>0</v>
      </c>
      <c r="J56" s="180">
        <f t="shared" si="15"/>
        <v>0</v>
      </c>
      <c r="K56" s="974">
        <f>F821EVE!K56</f>
        <v>0</v>
      </c>
      <c r="L56" s="974">
        <f>F821EVE!L56</f>
        <v>0</v>
      </c>
      <c r="M56" s="974">
        <f>F821EVE!M56</f>
        <v>0</v>
      </c>
      <c r="N56" s="974">
        <f>F821EVE!N56</f>
        <v>0</v>
      </c>
      <c r="O56" s="974">
        <f>F821EVE!O56</f>
        <v>0</v>
      </c>
      <c r="P56" s="974">
        <f>F821EVE!P56</f>
        <v>0</v>
      </c>
      <c r="Q56" s="180">
        <f t="shared" si="16"/>
        <v>0</v>
      </c>
      <c r="R56" s="974">
        <f t="shared" si="30"/>
        <v>0</v>
      </c>
      <c r="S56" s="974">
        <f t="shared" si="31"/>
        <v>0</v>
      </c>
      <c r="T56" s="974">
        <f t="shared" si="32"/>
        <v>0</v>
      </c>
      <c r="U56" s="974">
        <f t="shared" si="33"/>
        <v>0</v>
      </c>
      <c r="V56" s="974">
        <f t="shared" si="34"/>
        <v>0</v>
      </c>
      <c r="W56" s="974">
        <f t="shared" si="35"/>
        <v>0</v>
      </c>
      <c r="X56" s="180">
        <f t="shared" si="17"/>
        <v>0</v>
      </c>
      <c r="Y56" s="883"/>
      <c r="Z56" s="883"/>
      <c r="AA56" s="883"/>
      <c r="AB56" s="883"/>
      <c r="AC56" s="883"/>
      <c r="AD56" s="883"/>
      <c r="AE56" s="180"/>
      <c r="AF56" s="1389"/>
      <c r="AG56" s="972">
        <f>'PDYG-200'!D$32</f>
        <v>0.23190745024205595</v>
      </c>
      <c r="AH56" s="972">
        <f>'PDYG-200'!E$32</f>
        <v>0.30353035303530351</v>
      </c>
      <c r="AI56" s="972">
        <f>'PDYG-200'!F$32</f>
        <v>0.46456219672264054</v>
      </c>
    </row>
    <row r="57" spans="2:35">
      <c r="B57" s="48"/>
      <c r="C57" s="887"/>
      <c r="D57" s="883"/>
      <c r="E57" s="883"/>
      <c r="F57" s="883"/>
      <c r="G57" s="883"/>
      <c r="H57" s="883"/>
      <c r="I57" s="883"/>
      <c r="J57" s="180">
        <f t="shared" si="15"/>
        <v>0</v>
      </c>
      <c r="K57" s="974"/>
      <c r="L57" s="974"/>
      <c r="M57" s="974"/>
      <c r="N57" s="974"/>
      <c r="O57" s="974"/>
      <c r="P57" s="974"/>
      <c r="Q57" s="180">
        <f t="shared" si="16"/>
        <v>0</v>
      </c>
      <c r="R57" s="974">
        <f t="shared" si="30"/>
        <v>0</v>
      </c>
      <c r="S57" s="974">
        <f t="shared" si="31"/>
        <v>0</v>
      </c>
      <c r="T57" s="974">
        <f t="shared" si="32"/>
        <v>0</v>
      </c>
      <c r="U57" s="974">
        <f t="shared" si="33"/>
        <v>0</v>
      </c>
      <c r="V57" s="974">
        <f t="shared" si="34"/>
        <v>0</v>
      </c>
      <c r="W57" s="974">
        <f t="shared" si="35"/>
        <v>0</v>
      </c>
      <c r="X57" s="180">
        <f t="shared" si="17"/>
        <v>0</v>
      </c>
      <c r="Y57" s="883"/>
      <c r="Z57" s="883"/>
      <c r="AA57" s="883"/>
      <c r="AB57" s="883"/>
      <c r="AC57" s="883"/>
      <c r="AD57" s="883"/>
      <c r="AE57" s="180"/>
      <c r="AF57" s="1389"/>
      <c r="AG57" s="972"/>
      <c r="AH57" s="972"/>
      <c r="AI57" s="972"/>
    </row>
    <row r="58" spans="2:35">
      <c r="B58" s="48"/>
      <c r="C58" s="882" t="s">
        <v>755</v>
      </c>
      <c r="D58" s="881">
        <f>SUBTOTAL(9,D59:D105)</f>
        <v>165371523</v>
      </c>
      <c r="E58" s="881">
        <f t="shared" ref="E58:P58" si="41">SUBTOTAL(9,E59:E105)</f>
        <v>165142035</v>
      </c>
      <c r="F58" s="881">
        <f t="shared" si="41"/>
        <v>163605881</v>
      </c>
      <c r="G58" s="881">
        <f t="shared" si="41"/>
        <v>163805375</v>
      </c>
      <c r="H58" s="881">
        <f t="shared" si="41"/>
        <v>158013181</v>
      </c>
      <c r="I58" s="881">
        <f t="shared" si="41"/>
        <v>159426220</v>
      </c>
      <c r="J58" s="180">
        <f t="shared" si="15"/>
        <v>975364215</v>
      </c>
      <c r="K58" s="881">
        <f t="shared" si="41"/>
        <v>38350888.241575494</v>
      </c>
      <c r="L58" s="881">
        <f t="shared" si="41"/>
        <v>38297668.264634363</v>
      </c>
      <c r="M58" s="881">
        <f t="shared" si="41"/>
        <v>37941422.707315236</v>
      </c>
      <c r="N58" s="881">
        <f t="shared" si="41"/>
        <v>37987686.852193817</v>
      </c>
      <c r="O58" s="881">
        <f t="shared" si="41"/>
        <v>36644433.910346471</v>
      </c>
      <c r="P58" s="881">
        <f t="shared" si="41"/>
        <v>36972128.181929067</v>
      </c>
      <c r="Q58" s="180">
        <f t="shared" si="16"/>
        <v>226194228.15799445</v>
      </c>
      <c r="R58" s="881">
        <f t="shared" si="30"/>
        <v>127020634.75842451</v>
      </c>
      <c r="S58" s="881">
        <f t="shared" si="31"/>
        <v>126844366.73536563</v>
      </c>
      <c r="T58" s="881">
        <f t="shared" si="32"/>
        <v>125664458.29268476</v>
      </c>
      <c r="U58" s="881">
        <f t="shared" si="33"/>
        <v>125817688.14780618</v>
      </c>
      <c r="V58" s="881">
        <f t="shared" si="34"/>
        <v>121368747.08965352</v>
      </c>
      <c r="W58" s="881">
        <f t="shared" si="35"/>
        <v>122454091.81807093</v>
      </c>
      <c r="X58" s="180">
        <f t="shared" si="17"/>
        <v>749169986.84200549</v>
      </c>
      <c r="Y58" s="883"/>
      <c r="Z58" s="883"/>
      <c r="AA58" s="883"/>
      <c r="AB58" s="883"/>
      <c r="AC58" s="883"/>
      <c r="AD58" s="883"/>
      <c r="AE58" s="180"/>
      <c r="AF58" s="1389"/>
      <c r="AG58" s="972"/>
      <c r="AH58" s="972"/>
      <c r="AI58" s="972"/>
    </row>
    <row r="59" spans="2:35">
      <c r="B59" s="48" t="s">
        <v>751</v>
      </c>
      <c r="C59" s="1405" t="s">
        <v>2186</v>
      </c>
      <c r="D59" s="881">
        <f>SUBTOTAL(9,D60:D64)</f>
        <v>4223664</v>
      </c>
      <c r="E59" s="881">
        <f t="shared" ref="E59:P59" si="42">SUBTOTAL(9,E60:E64)</f>
        <v>4219992</v>
      </c>
      <c r="F59" s="881">
        <f t="shared" si="42"/>
        <v>4221318</v>
      </c>
      <c r="G59" s="881">
        <f t="shared" si="42"/>
        <v>4217384</v>
      </c>
      <c r="H59" s="881">
        <f t="shared" si="42"/>
        <v>4219958</v>
      </c>
      <c r="I59" s="881">
        <f t="shared" si="42"/>
        <v>4218936</v>
      </c>
      <c r="J59" s="180">
        <f t="shared" si="15"/>
        <v>25321252</v>
      </c>
      <c r="K59" s="881">
        <f t="shared" si="42"/>
        <v>979499.14891916292</v>
      </c>
      <c r="L59" s="881">
        <f t="shared" si="42"/>
        <v>978647.58476187405</v>
      </c>
      <c r="M59" s="881">
        <f t="shared" si="42"/>
        <v>978955.09404089511</v>
      </c>
      <c r="N59" s="881">
        <f t="shared" si="42"/>
        <v>978042.77013164281</v>
      </c>
      <c r="O59" s="881">
        <f t="shared" si="42"/>
        <v>978639.69990856585</v>
      </c>
      <c r="P59" s="881">
        <f t="shared" si="42"/>
        <v>978402.69049441861</v>
      </c>
      <c r="Q59" s="180">
        <f t="shared" si="16"/>
        <v>5872186.9882565588</v>
      </c>
      <c r="R59" s="881">
        <f t="shared" si="30"/>
        <v>3244164.8510808372</v>
      </c>
      <c r="S59" s="881">
        <f t="shared" si="31"/>
        <v>3241344.4152381262</v>
      </c>
      <c r="T59" s="881">
        <f t="shared" si="32"/>
        <v>3242362.9059591051</v>
      </c>
      <c r="U59" s="881">
        <f t="shared" si="33"/>
        <v>3239341.2298683571</v>
      </c>
      <c r="V59" s="881">
        <f t="shared" si="34"/>
        <v>3241318.3000914343</v>
      </c>
      <c r="W59" s="881">
        <f t="shared" si="35"/>
        <v>3240533.3095055814</v>
      </c>
      <c r="X59" s="180">
        <f t="shared" si="17"/>
        <v>19449065.011743441</v>
      </c>
      <c r="Y59" s="883"/>
      <c r="Z59" s="883"/>
      <c r="AA59" s="883"/>
      <c r="AB59" s="883"/>
      <c r="AC59" s="883"/>
      <c r="AD59" s="883"/>
      <c r="AE59" s="180"/>
      <c r="AF59" s="1389"/>
      <c r="AG59" s="972"/>
      <c r="AH59" s="972"/>
      <c r="AI59" s="972"/>
    </row>
    <row r="60" spans="2:35">
      <c r="B60" s="48"/>
      <c r="C60" s="887" t="s">
        <v>304</v>
      </c>
      <c r="D60" s="883">
        <f>F821EVE!D60</f>
        <v>2825213</v>
      </c>
      <c r="E60" s="883">
        <f>F821EVE!E60</f>
        <v>2819541</v>
      </c>
      <c r="F60" s="883">
        <f>F821EVE!F60</f>
        <v>2818140</v>
      </c>
      <c r="G60" s="883">
        <f>F821EVE!G60</f>
        <v>2812904</v>
      </c>
      <c r="H60" s="883">
        <f>F821EVE!H60</f>
        <v>2810994</v>
      </c>
      <c r="I60" s="883">
        <f>F821EVE!I60</f>
        <v>2807362</v>
      </c>
      <c r="J60" s="180">
        <f t="shared" ref="J60:J64" si="43">SUM(D60:I60)</f>
        <v>16894154</v>
      </c>
      <c r="K60" s="883">
        <f t="shared" ref="K60:P64" si="44">D60*$AG60</f>
        <v>655187.94322070957</v>
      </c>
      <c r="L60" s="883">
        <f t="shared" si="44"/>
        <v>653872.56416293664</v>
      </c>
      <c r="M60" s="883">
        <f t="shared" si="44"/>
        <v>653547.66182514757</v>
      </c>
      <c r="N60" s="883">
        <f t="shared" si="44"/>
        <v>652333.39441568009</v>
      </c>
      <c r="O60" s="883">
        <f t="shared" si="44"/>
        <v>651890.45118571783</v>
      </c>
      <c r="P60" s="883">
        <f t="shared" si="44"/>
        <v>651048.16332643863</v>
      </c>
      <c r="Q60" s="180">
        <f t="shared" ref="Q60:Q64" si="45">SUM(K60:P60)</f>
        <v>3917880.1781366304</v>
      </c>
      <c r="R60" s="883">
        <f t="shared" si="30"/>
        <v>2170025.0567792905</v>
      </c>
      <c r="S60" s="883">
        <f t="shared" si="31"/>
        <v>2165668.4358370635</v>
      </c>
      <c r="T60" s="883">
        <f t="shared" si="32"/>
        <v>2164592.3381748525</v>
      </c>
      <c r="U60" s="883">
        <f t="shared" si="33"/>
        <v>2160570.6055843197</v>
      </c>
      <c r="V60" s="883">
        <f t="shared" si="34"/>
        <v>2159103.5488142823</v>
      </c>
      <c r="W60" s="883">
        <f t="shared" si="35"/>
        <v>2156313.8366735615</v>
      </c>
      <c r="X60" s="180">
        <f t="shared" ref="X60:X64" si="46">SUM(R60:W60)</f>
        <v>12976273.821863368</v>
      </c>
      <c r="Y60" s="883"/>
      <c r="Z60" s="883"/>
      <c r="AA60" s="883"/>
      <c r="AB60" s="883"/>
      <c r="AC60" s="883"/>
      <c r="AD60" s="883"/>
      <c r="AE60" s="180"/>
      <c r="AF60" s="1389"/>
      <c r="AG60" s="972">
        <f>'PDYG-200'!D$32</f>
        <v>0.23190745024205595</v>
      </c>
      <c r="AH60" s="972">
        <f>'PDYG-200'!E$32</f>
        <v>0.30353035303530351</v>
      </c>
      <c r="AI60" s="972">
        <f>'PDYG-200'!F$32</f>
        <v>0.46456219672264054</v>
      </c>
    </row>
    <row r="61" spans="2:35">
      <c r="B61" s="48"/>
      <c r="C61" s="888" t="s">
        <v>306</v>
      </c>
      <c r="D61" s="883">
        <f>F821EVE!D61</f>
        <v>1398131</v>
      </c>
      <c r="E61" s="883">
        <f>F821EVE!E61</f>
        <v>1400128</v>
      </c>
      <c r="F61" s="883">
        <f>F821EVE!F61</f>
        <v>1402862</v>
      </c>
      <c r="G61" s="883">
        <f>F821EVE!G61</f>
        <v>1404164</v>
      </c>
      <c r="H61" s="883">
        <f>F821EVE!H61</f>
        <v>1408639</v>
      </c>
      <c r="I61" s="883">
        <f>F821EVE!I61</f>
        <v>1411257</v>
      </c>
      <c r="J61" s="180">
        <f t="shared" si="43"/>
        <v>8425181</v>
      </c>
      <c r="K61" s="883">
        <f t="shared" si="44"/>
        <v>324236.9953143759</v>
      </c>
      <c r="L61" s="883">
        <f t="shared" si="44"/>
        <v>324700.11449250928</v>
      </c>
      <c r="M61" s="883">
        <f t="shared" si="44"/>
        <v>325334.14946147107</v>
      </c>
      <c r="N61" s="883">
        <f t="shared" si="44"/>
        <v>325636.09296168626</v>
      </c>
      <c r="O61" s="883">
        <f t="shared" si="44"/>
        <v>326673.87880151946</v>
      </c>
      <c r="P61" s="883">
        <f t="shared" si="44"/>
        <v>327281.01250625314</v>
      </c>
      <c r="Q61" s="180">
        <f t="shared" si="45"/>
        <v>1953862.2435378151</v>
      </c>
      <c r="R61" s="883">
        <f t="shared" si="30"/>
        <v>1073894.004685624</v>
      </c>
      <c r="S61" s="883">
        <f t="shared" si="31"/>
        <v>1075427.8855074907</v>
      </c>
      <c r="T61" s="883">
        <f t="shared" si="32"/>
        <v>1077527.850538529</v>
      </c>
      <c r="U61" s="883">
        <f t="shared" si="33"/>
        <v>1078527.9070383138</v>
      </c>
      <c r="V61" s="883">
        <f t="shared" si="34"/>
        <v>1081965.1211984805</v>
      </c>
      <c r="W61" s="883">
        <f t="shared" si="35"/>
        <v>1083975.9874937469</v>
      </c>
      <c r="X61" s="180">
        <f t="shared" si="46"/>
        <v>6471318.7564621856</v>
      </c>
      <c r="Y61" s="883"/>
      <c r="Z61" s="883"/>
      <c r="AA61" s="883"/>
      <c r="AB61" s="883"/>
      <c r="AC61" s="883"/>
      <c r="AD61" s="883"/>
      <c r="AE61" s="180"/>
      <c r="AF61" s="1389"/>
      <c r="AG61" s="972">
        <f>'PDYG-200'!D$32</f>
        <v>0.23190745024205595</v>
      </c>
      <c r="AH61" s="972">
        <f>'PDYG-200'!E$32</f>
        <v>0.30353035303530351</v>
      </c>
      <c r="AI61" s="972">
        <f>'PDYG-200'!F$32</f>
        <v>0.46456219672264054</v>
      </c>
    </row>
    <row r="62" spans="2:35">
      <c r="B62" s="48"/>
      <c r="C62" s="887" t="s">
        <v>305</v>
      </c>
      <c r="D62" s="883">
        <f>F821EVE!D62</f>
        <v>210</v>
      </c>
      <c r="E62" s="883">
        <f>F821EVE!E62</f>
        <v>203</v>
      </c>
      <c r="F62" s="883">
        <f>F821EVE!F62</f>
        <v>196</v>
      </c>
      <c r="G62" s="883">
        <f>F821EVE!G62</f>
        <v>186</v>
      </c>
      <c r="H62" s="883">
        <f>F821EVE!H62</f>
        <v>195</v>
      </c>
      <c r="I62" s="883">
        <f>F821EVE!I62</f>
        <v>187</v>
      </c>
      <c r="J62" s="180">
        <f t="shared" si="43"/>
        <v>1177</v>
      </c>
      <c r="K62" s="883">
        <f t="shared" si="44"/>
        <v>48.70056455083175</v>
      </c>
      <c r="L62" s="883">
        <f t="shared" si="44"/>
        <v>47.077212399137359</v>
      </c>
      <c r="M62" s="883">
        <f t="shared" si="44"/>
        <v>45.453860247442968</v>
      </c>
      <c r="N62" s="883">
        <f t="shared" si="44"/>
        <v>43.134785745022405</v>
      </c>
      <c r="O62" s="883">
        <f t="shared" si="44"/>
        <v>45.221952797200906</v>
      </c>
      <c r="P62" s="883">
        <f t="shared" si="44"/>
        <v>43.36669319526446</v>
      </c>
      <c r="Q62" s="180">
        <f t="shared" si="45"/>
        <v>272.95506893489988</v>
      </c>
      <c r="R62" s="883">
        <f t="shared" si="30"/>
        <v>161.29943544916824</v>
      </c>
      <c r="S62" s="883">
        <f t="shared" si="31"/>
        <v>155.92278760086265</v>
      </c>
      <c r="T62" s="883">
        <f t="shared" si="32"/>
        <v>150.54613975255702</v>
      </c>
      <c r="U62" s="883">
        <f t="shared" si="33"/>
        <v>142.86521425497759</v>
      </c>
      <c r="V62" s="883">
        <f t="shared" si="34"/>
        <v>149.77804720279909</v>
      </c>
      <c r="W62" s="883">
        <f t="shared" si="35"/>
        <v>143.63330680473553</v>
      </c>
      <c r="X62" s="180">
        <f t="shared" si="46"/>
        <v>904.04493106510006</v>
      </c>
      <c r="Y62" s="883"/>
      <c r="Z62" s="883"/>
      <c r="AA62" s="883"/>
      <c r="AB62" s="883"/>
      <c r="AC62" s="883"/>
      <c r="AD62" s="883"/>
      <c r="AE62" s="180"/>
      <c r="AF62" s="1389"/>
      <c r="AG62" s="972">
        <f>'PDYG-200'!D$32</f>
        <v>0.23190745024205595</v>
      </c>
      <c r="AH62" s="972">
        <f>'PDYG-200'!E$32</f>
        <v>0.30353035303530351</v>
      </c>
      <c r="AI62" s="972">
        <f>'PDYG-200'!F$32</f>
        <v>0.46456219672264054</v>
      </c>
    </row>
    <row r="63" spans="2:35">
      <c r="B63" s="48"/>
      <c r="C63" s="887" t="s">
        <v>307</v>
      </c>
      <c r="D63" s="883">
        <f>F821EVE!D63</f>
        <v>10</v>
      </c>
      <c r="E63" s="883">
        <f>F821EVE!E63</f>
        <v>10</v>
      </c>
      <c r="F63" s="883">
        <f>F821EVE!F63</f>
        <v>10</v>
      </c>
      <c r="G63" s="883">
        <f>F821EVE!G63</f>
        <v>20</v>
      </c>
      <c r="H63" s="883">
        <f>F821EVE!H63</f>
        <v>20</v>
      </c>
      <c r="I63" s="883">
        <f>F821EVE!I63</f>
        <v>20</v>
      </c>
      <c r="J63" s="180">
        <f t="shared" si="43"/>
        <v>90</v>
      </c>
      <c r="K63" s="883">
        <f t="shared" si="44"/>
        <v>2.3190745024205595</v>
      </c>
      <c r="L63" s="883">
        <f t="shared" si="44"/>
        <v>2.3190745024205595</v>
      </c>
      <c r="M63" s="883">
        <f t="shared" si="44"/>
        <v>2.3190745024205595</v>
      </c>
      <c r="N63" s="883">
        <f t="shared" si="44"/>
        <v>4.6381490048411189</v>
      </c>
      <c r="O63" s="883">
        <f t="shared" si="44"/>
        <v>4.6381490048411189</v>
      </c>
      <c r="P63" s="883">
        <f t="shared" si="44"/>
        <v>4.6381490048411189</v>
      </c>
      <c r="Q63" s="180">
        <f t="shared" si="45"/>
        <v>20.871670521785035</v>
      </c>
      <c r="R63" s="883">
        <f t="shared" si="30"/>
        <v>7.680925497579441</v>
      </c>
      <c r="S63" s="883">
        <f t="shared" si="31"/>
        <v>7.680925497579441</v>
      </c>
      <c r="T63" s="883">
        <f t="shared" si="32"/>
        <v>7.680925497579441</v>
      </c>
      <c r="U63" s="883">
        <f t="shared" si="33"/>
        <v>15.361850995158882</v>
      </c>
      <c r="V63" s="883">
        <f t="shared" si="34"/>
        <v>15.361850995158882</v>
      </c>
      <c r="W63" s="883">
        <f t="shared" si="35"/>
        <v>15.361850995158882</v>
      </c>
      <c r="X63" s="180">
        <f t="shared" si="46"/>
        <v>69.128329478214965</v>
      </c>
      <c r="Y63" s="883"/>
      <c r="Z63" s="883"/>
      <c r="AA63" s="883"/>
      <c r="AB63" s="883"/>
      <c r="AC63" s="883"/>
      <c r="AD63" s="883"/>
      <c r="AE63" s="180"/>
      <c r="AF63" s="1389"/>
      <c r="AG63" s="972">
        <f>'PDYG-200'!D$32</f>
        <v>0.23190745024205595</v>
      </c>
      <c r="AH63" s="972">
        <f>'PDYG-200'!E$32</f>
        <v>0.30353035303530351</v>
      </c>
      <c r="AI63" s="972">
        <f>'PDYG-200'!F$32</f>
        <v>0.46456219672264054</v>
      </c>
    </row>
    <row r="64" spans="2:35">
      <c r="B64" s="48"/>
      <c r="C64" s="887" t="s">
        <v>624</v>
      </c>
      <c r="D64" s="883">
        <f>F821EVE!D64</f>
        <v>100</v>
      </c>
      <c r="E64" s="883">
        <f>F821EVE!E64</f>
        <v>110</v>
      </c>
      <c r="F64" s="883">
        <f>F821EVE!F64</f>
        <v>110</v>
      </c>
      <c r="G64" s="883">
        <f>F821EVE!G64</f>
        <v>110</v>
      </c>
      <c r="H64" s="883">
        <f>F821EVE!H64</f>
        <v>110</v>
      </c>
      <c r="I64" s="883">
        <f>F821EVE!I64</f>
        <v>110</v>
      </c>
      <c r="J64" s="180">
        <f t="shared" si="43"/>
        <v>650</v>
      </c>
      <c r="K64" s="883">
        <f t="shared" si="44"/>
        <v>23.190745024205594</v>
      </c>
      <c r="L64" s="883">
        <f t="shared" si="44"/>
        <v>25.509819526626153</v>
      </c>
      <c r="M64" s="883">
        <f t="shared" si="44"/>
        <v>25.509819526626153</v>
      </c>
      <c r="N64" s="883">
        <f t="shared" si="44"/>
        <v>25.509819526626153</v>
      </c>
      <c r="O64" s="883">
        <f t="shared" si="44"/>
        <v>25.509819526626153</v>
      </c>
      <c r="P64" s="883">
        <f t="shared" si="44"/>
        <v>25.509819526626153</v>
      </c>
      <c r="Q64" s="180">
        <f t="shared" si="45"/>
        <v>150.73984265733637</v>
      </c>
      <c r="R64" s="883">
        <f t="shared" si="30"/>
        <v>76.809254975794403</v>
      </c>
      <c r="S64" s="883">
        <f t="shared" si="31"/>
        <v>84.49018047337384</v>
      </c>
      <c r="T64" s="883">
        <f t="shared" si="32"/>
        <v>84.49018047337384</v>
      </c>
      <c r="U64" s="883">
        <f t="shared" si="33"/>
        <v>84.49018047337384</v>
      </c>
      <c r="V64" s="883">
        <f t="shared" si="34"/>
        <v>84.49018047337384</v>
      </c>
      <c r="W64" s="883">
        <f t="shared" si="35"/>
        <v>84.49018047337384</v>
      </c>
      <c r="X64" s="180">
        <f t="shared" si="46"/>
        <v>499.26015734266355</v>
      </c>
      <c r="Y64" s="883"/>
      <c r="Z64" s="883"/>
      <c r="AA64" s="883"/>
      <c r="AB64" s="883"/>
      <c r="AC64" s="883"/>
      <c r="AD64" s="883"/>
      <c r="AE64" s="180"/>
      <c r="AF64" s="1389"/>
      <c r="AG64" s="972">
        <f>'PDYG-200'!D$32</f>
        <v>0.23190745024205595</v>
      </c>
      <c r="AH64" s="972">
        <f>'PDYG-200'!E$32</f>
        <v>0.30353035303530351</v>
      </c>
      <c r="AI64" s="972">
        <f>'PDYG-200'!F$32</f>
        <v>0.46456219672264054</v>
      </c>
    </row>
    <row r="65" spans="2:35">
      <c r="B65" s="48" t="s">
        <v>751</v>
      </c>
      <c r="C65" s="882" t="s">
        <v>634</v>
      </c>
      <c r="D65" s="881">
        <f>SUBTOTAL(9,D66:D70)</f>
        <v>42583135</v>
      </c>
      <c r="E65" s="881">
        <f t="shared" ref="E65:P65" si="47">SUBTOTAL(9,E66:E70)</f>
        <v>42359326</v>
      </c>
      <c r="F65" s="881">
        <f t="shared" si="47"/>
        <v>42995372</v>
      </c>
      <c r="G65" s="881">
        <f t="shared" si="47"/>
        <v>42754555</v>
      </c>
      <c r="H65" s="881">
        <f t="shared" si="47"/>
        <v>43867527</v>
      </c>
      <c r="I65" s="881">
        <f t="shared" si="47"/>
        <v>43315634</v>
      </c>
      <c r="J65" s="180">
        <f t="shared" si="15"/>
        <v>257875549</v>
      </c>
      <c r="K65" s="881">
        <f t="shared" si="47"/>
        <v>9875346.2611632515</v>
      </c>
      <c r="L65" s="881">
        <f t="shared" si="47"/>
        <v>9823443.2866320238</v>
      </c>
      <c r="M65" s="881">
        <f t="shared" si="47"/>
        <v>9970947.0927286856</v>
      </c>
      <c r="N65" s="881">
        <f t="shared" si="47"/>
        <v>9915099.8362837452</v>
      </c>
      <c r="O65" s="881">
        <f t="shared" si="47"/>
        <v>10173206.334994545</v>
      </c>
      <c r="P65" s="881">
        <f t="shared" si="47"/>
        <v>10045218.236558108</v>
      </c>
      <c r="Q65" s="180">
        <f t="shared" si="16"/>
        <v>59803261.048360363</v>
      </c>
      <c r="R65" s="881">
        <f t="shared" si="30"/>
        <v>32707788.73883675</v>
      </c>
      <c r="S65" s="881">
        <f t="shared" si="31"/>
        <v>32535882.713367976</v>
      </c>
      <c r="T65" s="881">
        <f t="shared" si="32"/>
        <v>33024424.907271314</v>
      </c>
      <c r="U65" s="881">
        <f t="shared" si="33"/>
        <v>32839455.163716257</v>
      </c>
      <c r="V65" s="881">
        <f t="shared" si="34"/>
        <v>33694320.665005453</v>
      </c>
      <c r="W65" s="881">
        <f t="shared" si="35"/>
        <v>33270415.76344189</v>
      </c>
      <c r="X65" s="180">
        <f t="shared" si="17"/>
        <v>198072287.95163965</v>
      </c>
      <c r="Y65" s="881"/>
      <c r="Z65" s="881"/>
      <c r="AA65" s="881"/>
      <c r="AB65" s="881"/>
      <c r="AC65" s="881"/>
      <c r="AD65" s="881"/>
      <c r="AE65" s="180"/>
      <c r="AF65" s="1389"/>
      <c r="AG65" s="972">
        <f>'PDYG-200'!D$32</f>
        <v>0.23190745024205595</v>
      </c>
      <c r="AH65" s="972">
        <f>'PDYG-200'!E$32</f>
        <v>0.30353035303530351</v>
      </c>
      <c r="AI65" s="972">
        <f>'PDYG-200'!F$32</f>
        <v>0.46456219672264054</v>
      </c>
    </row>
    <row r="66" spans="2:35">
      <c r="B66" s="48"/>
      <c r="C66" s="887" t="s">
        <v>304</v>
      </c>
      <c r="D66" s="883">
        <f>F821EVE!D66</f>
        <v>28381246</v>
      </c>
      <c r="E66" s="883">
        <f>F821EVE!E66</f>
        <v>28133371</v>
      </c>
      <c r="F66" s="883">
        <f>F821EVE!F66</f>
        <v>28574997</v>
      </c>
      <c r="G66" s="883">
        <f>F821EVE!G66</f>
        <v>28355223</v>
      </c>
      <c r="H66" s="883">
        <f>F821EVE!H66</f>
        <v>29143016</v>
      </c>
      <c r="I66" s="883">
        <f>F821EVE!I66</f>
        <v>28562466</v>
      </c>
      <c r="J66" s="180">
        <f t="shared" si="15"/>
        <v>171150319</v>
      </c>
      <c r="K66" s="883">
        <f t="shared" ref="K66:P70" si="48">D66*$AG66</f>
        <v>6581822.3945525493</v>
      </c>
      <c r="L66" s="883">
        <f t="shared" si="48"/>
        <v>6524338.3353237994</v>
      </c>
      <c r="M66" s="883">
        <f t="shared" si="48"/>
        <v>6626754.6949443975</v>
      </c>
      <c r="N66" s="883">
        <f t="shared" si="48"/>
        <v>6575787.4669749001</v>
      </c>
      <c r="O66" s="883">
        <f t="shared" si="48"/>
        <v>6758482.5329234404</v>
      </c>
      <c r="P66" s="883">
        <f t="shared" si="48"/>
        <v>6623848.6626854148</v>
      </c>
      <c r="Q66" s="180">
        <f t="shared" si="16"/>
        <v>39691034.087404504</v>
      </c>
      <c r="R66" s="883">
        <f t="shared" si="30"/>
        <v>21799423.605447449</v>
      </c>
      <c r="S66" s="883">
        <f t="shared" si="31"/>
        <v>21609032.664676201</v>
      </c>
      <c r="T66" s="883">
        <f t="shared" si="32"/>
        <v>21948242.305055603</v>
      </c>
      <c r="U66" s="883">
        <f t="shared" si="33"/>
        <v>21779435.533025101</v>
      </c>
      <c r="V66" s="883">
        <f t="shared" si="34"/>
        <v>22384533.467076559</v>
      </c>
      <c r="W66" s="883">
        <f t="shared" si="35"/>
        <v>21938617.337314583</v>
      </c>
      <c r="X66" s="180">
        <f t="shared" si="17"/>
        <v>131459284.91259548</v>
      </c>
      <c r="Y66" s="883"/>
      <c r="Z66" s="883"/>
      <c r="AA66" s="883"/>
      <c r="AB66" s="883"/>
      <c r="AC66" s="883"/>
      <c r="AD66" s="883"/>
      <c r="AE66" s="180"/>
      <c r="AF66" s="1389"/>
      <c r="AG66" s="972">
        <f>'PDYG-200'!D$32</f>
        <v>0.23190745024205595</v>
      </c>
      <c r="AH66" s="972">
        <f>'PDYG-200'!E$32</f>
        <v>0.30353035303530351</v>
      </c>
      <c r="AI66" s="972">
        <f>'PDYG-200'!F$32</f>
        <v>0.46456219672264054</v>
      </c>
    </row>
    <row r="67" spans="2:35">
      <c r="B67" s="48"/>
      <c r="C67" s="888" t="s">
        <v>306</v>
      </c>
      <c r="D67" s="883">
        <f>F821EVE!D67</f>
        <v>14200217</v>
      </c>
      <c r="E67" s="883">
        <f>F821EVE!E67</f>
        <v>14224872</v>
      </c>
      <c r="F67" s="883">
        <f>F821EVE!F67</f>
        <v>14418704</v>
      </c>
      <c r="G67" s="883">
        <f>F821EVE!G67</f>
        <v>14397820</v>
      </c>
      <c r="H67" s="883">
        <f>F821EVE!H67</f>
        <v>14722996</v>
      </c>
      <c r="I67" s="883">
        <f>F821EVE!I67</f>
        <v>14750986</v>
      </c>
      <c r="J67" s="180">
        <f t="shared" si="15"/>
        <v>86715595</v>
      </c>
      <c r="K67" s="883">
        <f t="shared" si="48"/>
        <v>3293136.1173538971</v>
      </c>
      <c r="L67" s="883">
        <f t="shared" si="48"/>
        <v>3298853.7955396147</v>
      </c>
      <c r="M67" s="883">
        <f t="shared" si="48"/>
        <v>3343804.8804349331</v>
      </c>
      <c r="N67" s="883">
        <f t="shared" si="48"/>
        <v>3338961.7252440779</v>
      </c>
      <c r="O67" s="883">
        <f t="shared" si="48"/>
        <v>3414372.4622839889</v>
      </c>
      <c r="P67" s="883">
        <f t="shared" si="48"/>
        <v>3420863.5518162637</v>
      </c>
      <c r="Q67" s="180">
        <f t="shared" si="16"/>
        <v>20109992.532672778</v>
      </c>
      <c r="R67" s="883">
        <f t="shared" si="30"/>
        <v>10907080.882646102</v>
      </c>
      <c r="S67" s="883">
        <f t="shared" si="31"/>
        <v>10926018.204460386</v>
      </c>
      <c r="T67" s="883">
        <f t="shared" si="32"/>
        <v>11074899.119565066</v>
      </c>
      <c r="U67" s="883">
        <f t="shared" si="33"/>
        <v>11058858.274755921</v>
      </c>
      <c r="V67" s="883">
        <f t="shared" si="34"/>
        <v>11308623.537716011</v>
      </c>
      <c r="W67" s="883">
        <f t="shared" si="35"/>
        <v>11330122.448183736</v>
      </c>
      <c r="X67" s="180">
        <f t="shared" si="17"/>
        <v>66605602.467327222</v>
      </c>
      <c r="Y67" s="883"/>
      <c r="Z67" s="883"/>
      <c r="AA67" s="883"/>
      <c r="AB67" s="883"/>
      <c r="AC67" s="883"/>
      <c r="AD67" s="883"/>
      <c r="AE67" s="180"/>
      <c r="AF67" s="1389"/>
      <c r="AG67" s="972">
        <f>'PDYG-200'!D$32</f>
        <v>0.23190745024205595</v>
      </c>
      <c r="AH67" s="972">
        <f>'PDYG-200'!E$32</f>
        <v>0.30353035303530351</v>
      </c>
      <c r="AI67" s="972">
        <f>'PDYG-200'!F$32</f>
        <v>0.46456219672264054</v>
      </c>
    </row>
    <row r="68" spans="2:35">
      <c r="B68" s="48"/>
      <c r="C68" s="887" t="s">
        <v>305</v>
      </c>
      <c r="D68" s="883">
        <f>F821EVE!D68</f>
        <v>980</v>
      </c>
      <c r="E68" s="883">
        <f>F821EVE!E68</f>
        <v>876</v>
      </c>
      <c r="F68" s="883">
        <f>F821EVE!F68</f>
        <v>934</v>
      </c>
      <c r="G68" s="883">
        <f>F821EVE!G68</f>
        <v>1058</v>
      </c>
      <c r="H68" s="883">
        <f>F821EVE!H68</f>
        <v>1165</v>
      </c>
      <c r="I68" s="883">
        <f>F821EVE!I68</f>
        <v>1551</v>
      </c>
      <c r="J68" s="180">
        <f t="shared" si="15"/>
        <v>6564</v>
      </c>
      <c r="K68" s="883">
        <f t="shared" si="48"/>
        <v>227.26930123721482</v>
      </c>
      <c r="L68" s="883">
        <f t="shared" si="48"/>
        <v>203.150926412041</v>
      </c>
      <c r="M68" s="883">
        <f t="shared" si="48"/>
        <v>216.60155852608025</v>
      </c>
      <c r="N68" s="883">
        <f t="shared" si="48"/>
        <v>245.3580823560952</v>
      </c>
      <c r="O68" s="883">
        <f t="shared" si="48"/>
        <v>270.1721795319952</v>
      </c>
      <c r="P68" s="883">
        <f t="shared" si="48"/>
        <v>359.68845532542878</v>
      </c>
      <c r="Q68" s="180">
        <f t="shared" si="16"/>
        <v>1522.2405033888551</v>
      </c>
      <c r="R68" s="883">
        <f t="shared" si="30"/>
        <v>752.73069876278521</v>
      </c>
      <c r="S68" s="883">
        <f t="shared" si="31"/>
        <v>672.84907358795897</v>
      </c>
      <c r="T68" s="883">
        <f t="shared" si="32"/>
        <v>717.39844147391977</v>
      </c>
      <c r="U68" s="883">
        <f t="shared" si="33"/>
        <v>812.64191764390478</v>
      </c>
      <c r="V68" s="883">
        <f t="shared" si="34"/>
        <v>894.8278204680048</v>
      </c>
      <c r="W68" s="883">
        <f t="shared" si="35"/>
        <v>1191.3115446745712</v>
      </c>
      <c r="X68" s="180">
        <f t="shared" si="17"/>
        <v>5041.7594966111446</v>
      </c>
      <c r="Y68" s="883"/>
      <c r="Z68" s="883"/>
      <c r="AA68" s="883"/>
      <c r="AB68" s="883"/>
      <c r="AC68" s="883"/>
      <c r="AD68" s="883"/>
      <c r="AE68" s="180"/>
      <c r="AF68" s="1389"/>
      <c r="AG68" s="972">
        <f>'PDYG-200'!D$32</f>
        <v>0.23190745024205595</v>
      </c>
      <c r="AH68" s="972">
        <f>'PDYG-200'!E$32</f>
        <v>0.30353035303530351</v>
      </c>
      <c r="AI68" s="972">
        <f>'PDYG-200'!F$32</f>
        <v>0.46456219672264054</v>
      </c>
    </row>
    <row r="69" spans="2:35">
      <c r="B69" s="48"/>
      <c r="C69" s="887" t="s">
        <v>307</v>
      </c>
      <c r="D69" s="883">
        <f>F821EVE!D69</f>
        <v>0</v>
      </c>
      <c r="E69" s="883">
        <f>F821EVE!E69</f>
        <v>0</v>
      </c>
      <c r="F69" s="883">
        <f>F821EVE!F69</f>
        <v>0</v>
      </c>
      <c r="G69" s="883">
        <f>F821EVE!G69</f>
        <v>134</v>
      </c>
      <c r="H69" s="883">
        <f>F821EVE!H69</f>
        <v>58</v>
      </c>
      <c r="I69" s="883">
        <f>F821EVE!I69</f>
        <v>79</v>
      </c>
      <c r="J69" s="180">
        <f t="shared" si="15"/>
        <v>271</v>
      </c>
      <c r="K69" s="883">
        <f t="shared" si="48"/>
        <v>0</v>
      </c>
      <c r="L69" s="883">
        <f t="shared" si="48"/>
        <v>0</v>
      </c>
      <c r="M69" s="883">
        <f t="shared" si="48"/>
        <v>0</v>
      </c>
      <c r="N69" s="883">
        <f t="shared" si="48"/>
        <v>31.075598332435497</v>
      </c>
      <c r="O69" s="883">
        <f t="shared" si="48"/>
        <v>13.450632114039244</v>
      </c>
      <c r="P69" s="883">
        <f t="shared" si="48"/>
        <v>18.320688569122421</v>
      </c>
      <c r="Q69" s="180">
        <f t="shared" si="16"/>
        <v>62.846919015597166</v>
      </c>
      <c r="R69" s="883">
        <f t="shared" ref="R69:R100" si="49">D69-K69</f>
        <v>0</v>
      </c>
      <c r="S69" s="883">
        <f t="shared" ref="S69:S100" si="50">E69-L69</f>
        <v>0</v>
      </c>
      <c r="T69" s="883">
        <f t="shared" ref="T69:T100" si="51">F69-M69</f>
        <v>0</v>
      </c>
      <c r="U69" s="883">
        <f t="shared" ref="U69:U100" si="52">G69-N69</f>
        <v>102.9244016675645</v>
      </c>
      <c r="V69" s="883">
        <f t="shared" ref="V69:V100" si="53">H69-O69</f>
        <v>44.549367885960756</v>
      </c>
      <c r="W69" s="883">
        <f t="shared" ref="W69:W100" si="54">I69-P69</f>
        <v>60.679311430877576</v>
      </c>
      <c r="X69" s="180">
        <f t="shared" si="17"/>
        <v>208.15308098440283</v>
      </c>
      <c r="Y69" s="883"/>
      <c r="Z69" s="883"/>
      <c r="AA69" s="883"/>
      <c r="AB69" s="883"/>
      <c r="AC69" s="883"/>
      <c r="AD69" s="883"/>
      <c r="AE69" s="180"/>
      <c r="AF69" s="1389"/>
      <c r="AG69" s="972">
        <f>'PDYG-200'!D$32</f>
        <v>0.23190745024205595</v>
      </c>
      <c r="AH69" s="972">
        <f>'PDYG-200'!E$32</f>
        <v>0.30353035303530351</v>
      </c>
      <c r="AI69" s="972">
        <f>'PDYG-200'!F$32</f>
        <v>0.46456219672264054</v>
      </c>
    </row>
    <row r="70" spans="2:35">
      <c r="B70" s="48"/>
      <c r="C70" s="887" t="s">
        <v>624</v>
      </c>
      <c r="D70" s="883">
        <f>F821EVE!D70</f>
        <v>692</v>
      </c>
      <c r="E70" s="883">
        <f>F821EVE!E70</f>
        <v>207</v>
      </c>
      <c r="F70" s="883">
        <f>F821EVE!F70</f>
        <v>737</v>
      </c>
      <c r="G70" s="883">
        <f>F821EVE!G70</f>
        <v>320</v>
      </c>
      <c r="H70" s="883">
        <f>F821EVE!H70</f>
        <v>292</v>
      </c>
      <c r="I70" s="883">
        <f>F821EVE!I70</f>
        <v>552</v>
      </c>
      <c r="J70" s="180">
        <f t="shared" ref="J70:J109" si="55">SUM(D70:I70)</f>
        <v>2800</v>
      </c>
      <c r="K70" s="883">
        <f t="shared" si="48"/>
        <v>160.47995556750271</v>
      </c>
      <c r="L70" s="883">
        <f t="shared" si="48"/>
        <v>48.004842200105578</v>
      </c>
      <c r="M70" s="883">
        <f t="shared" si="48"/>
        <v>170.91579082839525</v>
      </c>
      <c r="N70" s="883">
        <f t="shared" si="48"/>
        <v>74.210384077457903</v>
      </c>
      <c r="O70" s="883">
        <f t="shared" si="48"/>
        <v>67.716975470680339</v>
      </c>
      <c r="P70" s="883">
        <f t="shared" si="48"/>
        <v>128.01291253361489</v>
      </c>
      <c r="Q70" s="180">
        <f t="shared" ref="Q70:Q109" si="56">SUM(K70:P70)</f>
        <v>649.34086067775672</v>
      </c>
      <c r="R70" s="883">
        <f t="shared" si="49"/>
        <v>531.52004443249734</v>
      </c>
      <c r="S70" s="883">
        <f t="shared" si="50"/>
        <v>158.99515779989443</v>
      </c>
      <c r="T70" s="883">
        <f t="shared" si="51"/>
        <v>566.0842091716047</v>
      </c>
      <c r="U70" s="883">
        <f t="shared" si="52"/>
        <v>245.78961592254211</v>
      </c>
      <c r="V70" s="883">
        <f t="shared" si="53"/>
        <v>224.28302452931968</v>
      </c>
      <c r="W70" s="883">
        <f t="shared" si="54"/>
        <v>423.98708746638511</v>
      </c>
      <c r="X70" s="180">
        <f t="shared" ref="X70:X109" si="57">SUM(R70:W70)</f>
        <v>2150.6591393222429</v>
      </c>
      <c r="Y70" s="883"/>
      <c r="Z70" s="883"/>
      <c r="AA70" s="883"/>
      <c r="AB70" s="883"/>
      <c r="AC70" s="883"/>
      <c r="AD70" s="883"/>
      <c r="AE70" s="180"/>
      <c r="AF70" s="1389"/>
      <c r="AG70" s="972">
        <f>'PDYG-200'!D$32</f>
        <v>0.23190745024205595</v>
      </c>
      <c r="AH70" s="972">
        <f>'PDYG-200'!E$32</f>
        <v>0.30353035303530351</v>
      </c>
      <c r="AI70" s="972">
        <f>'PDYG-200'!F$32</f>
        <v>0.46456219672264054</v>
      </c>
    </row>
    <row r="71" spans="2:35">
      <c r="B71" s="48" t="s">
        <v>750</v>
      </c>
      <c r="C71" s="882" t="s">
        <v>635</v>
      </c>
      <c r="D71" s="881">
        <f>SUBTOTAL(9,D72:D77)</f>
        <v>49250315</v>
      </c>
      <c r="E71" s="881">
        <f t="shared" ref="E71:P71" si="58">SUBTOTAL(9,E72:E77)</f>
        <v>49791736</v>
      </c>
      <c r="F71" s="881">
        <f t="shared" si="58"/>
        <v>48506495</v>
      </c>
      <c r="G71" s="881">
        <f t="shared" si="58"/>
        <v>48473458</v>
      </c>
      <c r="H71" s="881">
        <f t="shared" si="58"/>
        <v>46806378</v>
      </c>
      <c r="I71" s="881">
        <f t="shared" si="58"/>
        <v>45725786</v>
      </c>
      <c r="J71" s="180">
        <f t="shared" si="55"/>
        <v>288554168</v>
      </c>
      <c r="K71" s="881">
        <f t="shared" si="58"/>
        <v>11421514.975268081</v>
      </c>
      <c r="L71" s="881">
        <f t="shared" si="58"/>
        <v>11547074.538885586</v>
      </c>
      <c r="M71" s="881">
        <f t="shared" si="58"/>
        <v>11249017.575629033</v>
      </c>
      <c r="N71" s="881">
        <f t="shared" si="58"/>
        <v>11241356.04919539</v>
      </c>
      <c r="O71" s="881">
        <f t="shared" si="58"/>
        <v>10854747.777045859</v>
      </c>
      <c r="P71" s="881">
        <f t="shared" si="58"/>
        <v>10604150.441573897</v>
      </c>
      <c r="Q71" s="180">
        <f t="shared" si="56"/>
        <v>66917861.35759785</v>
      </c>
      <c r="R71" s="881">
        <f t="shared" si="49"/>
        <v>37828800.024731919</v>
      </c>
      <c r="S71" s="881">
        <f t="shared" si="50"/>
        <v>38244661.461114414</v>
      </c>
      <c r="T71" s="881">
        <f t="shared" si="51"/>
        <v>37257477.424370967</v>
      </c>
      <c r="U71" s="881">
        <f t="shared" si="52"/>
        <v>37232101.950804606</v>
      </c>
      <c r="V71" s="881">
        <f t="shared" si="53"/>
        <v>35951630.222954139</v>
      </c>
      <c r="W71" s="881">
        <f t="shared" si="54"/>
        <v>35121635.558426104</v>
      </c>
      <c r="X71" s="180">
        <f t="shared" si="57"/>
        <v>221636306.6424022</v>
      </c>
      <c r="Y71" s="881"/>
      <c r="Z71" s="881"/>
      <c r="AA71" s="881"/>
      <c r="AB71" s="881"/>
      <c r="AC71" s="881"/>
      <c r="AD71" s="881"/>
      <c r="AE71" s="180"/>
      <c r="AF71" s="1389"/>
      <c r="AG71" s="972">
        <f>'PDYG-200'!D$32</f>
        <v>0.23190745024205595</v>
      </c>
      <c r="AH71" s="972">
        <f>'PDYG-200'!E$32</f>
        <v>0.30353035303530351</v>
      </c>
      <c r="AI71" s="972">
        <f>'PDYG-200'!F$32</f>
        <v>0.46456219672264054</v>
      </c>
    </row>
    <row r="72" spans="2:35">
      <c r="B72" s="48"/>
      <c r="C72" s="887" t="s">
        <v>304</v>
      </c>
      <c r="D72" s="883">
        <f>F821EVE!D72</f>
        <v>28619170</v>
      </c>
      <c r="E72" s="883">
        <f>F821EVE!E72</f>
        <v>28992078</v>
      </c>
      <c r="F72" s="883">
        <f>F821EVE!F72</f>
        <v>28093284</v>
      </c>
      <c r="G72" s="883">
        <f>F821EVE!G72</f>
        <v>28012077</v>
      </c>
      <c r="H72" s="883">
        <f>F821EVE!H72</f>
        <v>26944209</v>
      </c>
      <c r="I72" s="883">
        <f>F821EVE!I72</f>
        <v>26229007</v>
      </c>
      <c r="J72" s="180">
        <f t="shared" si="55"/>
        <v>166889825</v>
      </c>
      <c r="K72" s="883">
        <f t="shared" ref="K72:P77" si="59">D72*$AG72</f>
        <v>6636998.7427439401</v>
      </c>
      <c r="L72" s="883">
        <f t="shared" si="59"/>
        <v>6723478.8861988047</v>
      </c>
      <c r="M72" s="883">
        <f t="shared" si="59"/>
        <v>6515041.861365946</v>
      </c>
      <c r="N72" s="883">
        <f t="shared" si="59"/>
        <v>6496209.3530541398</v>
      </c>
      <c r="O72" s="883">
        <f t="shared" si="59"/>
        <v>6248562.8079790557</v>
      </c>
      <c r="P72" s="883">
        <f t="shared" si="59"/>
        <v>6082702.1357510369</v>
      </c>
      <c r="Q72" s="180">
        <f t="shared" si="56"/>
        <v>38702993.787092924</v>
      </c>
      <c r="R72" s="883">
        <f t="shared" si="49"/>
        <v>21982171.257256061</v>
      </c>
      <c r="S72" s="883">
        <f t="shared" si="50"/>
        <v>22268599.113801196</v>
      </c>
      <c r="T72" s="883">
        <f t="shared" si="51"/>
        <v>21578242.138634056</v>
      </c>
      <c r="U72" s="883">
        <f t="shared" si="52"/>
        <v>21515867.64694586</v>
      </c>
      <c r="V72" s="883">
        <f t="shared" si="53"/>
        <v>20695646.192020945</v>
      </c>
      <c r="W72" s="883">
        <f t="shared" si="54"/>
        <v>20146304.864248961</v>
      </c>
      <c r="X72" s="180">
        <f t="shared" si="57"/>
        <v>128186831.21290708</v>
      </c>
      <c r="Y72" s="883"/>
      <c r="Z72" s="883"/>
      <c r="AA72" s="883"/>
      <c r="AB72" s="883"/>
      <c r="AC72" s="883"/>
      <c r="AD72" s="883"/>
      <c r="AE72" s="180"/>
      <c r="AF72" s="1389"/>
      <c r="AG72" s="972">
        <f>'PDYG-200'!D$32</f>
        <v>0.23190745024205595</v>
      </c>
      <c r="AH72" s="972">
        <f>'PDYG-200'!E$32</f>
        <v>0.30353035303530351</v>
      </c>
      <c r="AI72" s="972">
        <f>'PDYG-200'!F$32</f>
        <v>0.46456219672264054</v>
      </c>
    </row>
    <row r="73" spans="2:35">
      <c r="B73" s="48"/>
      <c r="C73" s="889" t="s">
        <v>642</v>
      </c>
      <c r="D73" s="883">
        <f>F821EVE!D73</f>
        <v>20176500</v>
      </c>
      <c r="E73" s="883">
        <f>F821EVE!E73</f>
        <v>20333417</v>
      </c>
      <c r="F73" s="883">
        <f>F821EVE!F73</f>
        <v>19980426</v>
      </c>
      <c r="G73" s="883">
        <f>F821EVE!G73</f>
        <v>20030642</v>
      </c>
      <c r="H73" s="883">
        <f>F821EVE!H73</f>
        <v>19453048</v>
      </c>
      <c r="I73" s="883">
        <f>F821EVE!I73</f>
        <v>19079031</v>
      </c>
      <c r="J73" s="180">
        <f t="shared" si="55"/>
        <v>119053064</v>
      </c>
      <c r="K73" s="883">
        <f t="shared" si="59"/>
        <v>4679080.6698088422</v>
      </c>
      <c r="L73" s="883">
        <f t="shared" si="59"/>
        <v>4715470.8911784748</v>
      </c>
      <c r="M73" s="883">
        <f t="shared" si="59"/>
        <v>4633609.6484100809</v>
      </c>
      <c r="N73" s="883">
        <f t="shared" si="59"/>
        <v>4645255.1129314359</v>
      </c>
      <c r="O73" s="883">
        <f t="shared" si="59"/>
        <v>4511306.7611163259</v>
      </c>
      <c r="P73" s="883">
        <f t="shared" si="59"/>
        <v>4424569.4322991427</v>
      </c>
      <c r="Q73" s="180">
        <f t="shared" si="56"/>
        <v>27609292.515744306</v>
      </c>
      <c r="R73" s="883">
        <f t="shared" si="49"/>
        <v>15497419.330191158</v>
      </c>
      <c r="S73" s="883">
        <f t="shared" si="50"/>
        <v>15617946.108821526</v>
      </c>
      <c r="T73" s="883">
        <f t="shared" si="51"/>
        <v>15346816.351589918</v>
      </c>
      <c r="U73" s="883">
        <f t="shared" si="52"/>
        <v>15385386.887068564</v>
      </c>
      <c r="V73" s="883">
        <f t="shared" si="53"/>
        <v>14941741.238883674</v>
      </c>
      <c r="W73" s="883">
        <f t="shared" si="54"/>
        <v>14654461.567700857</v>
      </c>
      <c r="X73" s="180">
        <f t="shared" si="57"/>
        <v>91443771.484255701</v>
      </c>
      <c r="Y73" s="883"/>
      <c r="Z73" s="883"/>
      <c r="AA73" s="883"/>
      <c r="AB73" s="883"/>
      <c r="AC73" s="883"/>
      <c r="AD73" s="883"/>
      <c r="AE73" s="180"/>
      <c r="AF73" s="1389"/>
      <c r="AG73" s="972">
        <f>'PDYG-200'!D$32</f>
        <v>0.23190745024205595</v>
      </c>
      <c r="AH73" s="972">
        <f>'PDYG-200'!E$32</f>
        <v>0.30353035303530351</v>
      </c>
      <c r="AI73" s="972">
        <f>'PDYG-200'!F$32</f>
        <v>0.46456219672264054</v>
      </c>
    </row>
    <row r="74" spans="2:35">
      <c r="B74" s="48"/>
      <c r="C74" s="889" t="s">
        <v>1177</v>
      </c>
      <c r="D74" s="883">
        <f>F821EVE!D74</f>
        <v>453288</v>
      </c>
      <c r="E74" s="883">
        <f>F821EVE!E74</f>
        <v>464229</v>
      </c>
      <c r="F74" s="883">
        <f>F821EVE!F74</f>
        <v>430367</v>
      </c>
      <c r="G74" s="883">
        <f>F821EVE!G74</f>
        <v>427996</v>
      </c>
      <c r="H74" s="883">
        <f>F821EVE!H74</f>
        <v>404564</v>
      </c>
      <c r="I74" s="883">
        <f>F821EVE!I74</f>
        <v>414678</v>
      </c>
      <c r="J74" s="180">
        <f t="shared" si="55"/>
        <v>2595122</v>
      </c>
      <c r="K74" s="883">
        <f t="shared" si="59"/>
        <v>105120.86430532105</v>
      </c>
      <c r="L74" s="883">
        <f t="shared" si="59"/>
        <v>107658.1637184194</v>
      </c>
      <c r="M74" s="883">
        <f t="shared" si="59"/>
        <v>99805.313638322885</v>
      </c>
      <c r="N74" s="883">
        <f t="shared" si="59"/>
        <v>99255.461073798971</v>
      </c>
      <c r="O74" s="883">
        <f t="shared" si="59"/>
        <v>93821.405699727125</v>
      </c>
      <c r="P74" s="883">
        <f t="shared" si="59"/>
        <v>96166.917651475276</v>
      </c>
      <c r="Q74" s="180">
        <f t="shared" si="56"/>
        <v>601828.12608706474</v>
      </c>
      <c r="R74" s="883">
        <f t="shared" si="49"/>
        <v>348167.13569467893</v>
      </c>
      <c r="S74" s="883">
        <f t="shared" si="50"/>
        <v>356570.83628158062</v>
      </c>
      <c r="T74" s="883">
        <f t="shared" si="51"/>
        <v>330561.68636167713</v>
      </c>
      <c r="U74" s="883">
        <f t="shared" si="52"/>
        <v>328740.53892620106</v>
      </c>
      <c r="V74" s="883">
        <f t="shared" si="53"/>
        <v>310742.59430027287</v>
      </c>
      <c r="W74" s="883">
        <f t="shared" si="54"/>
        <v>318511.08234852471</v>
      </c>
      <c r="X74" s="180">
        <f t="shared" si="57"/>
        <v>1993293.8739129351</v>
      </c>
      <c r="Y74" s="883"/>
      <c r="Z74" s="883"/>
      <c r="AA74" s="883"/>
      <c r="AB74" s="883"/>
      <c r="AC74" s="883"/>
      <c r="AD74" s="883"/>
      <c r="AE74" s="180"/>
      <c r="AF74" s="1389"/>
      <c r="AG74" s="972">
        <f>'PDYG-200'!D$32</f>
        <v>0.23190745024205595</v>
      </c>
      <c r="AH74" s="972">
        <f>'PDYG-200'!E$32</f>
        <v>0.30353035303530351</v>
      </c>
      <c r="AI74" s="972">
        <f>'PDYG-200'!F$32</f>
        <v>0.46456219672264054</v>
      </c>
    </row>
    <row r="75" spans="2:35">
      <c r="B75" s="48"/>
      <c r="C75" s="887" t="s">
        <v>305</v>
      </c>
      <c r="D75" s="883">
        <f>F821EVE!D75</f>
        <v>1357</v>
      </c>
      <c r="E75" s="883">
        <f>F821EVE!E75</f>
        <v>1402</v>
      </c>
      <c r="F75" s="883">
        <f>F821EVE!F75</f>
        <v>2110</v>
      </c>
      <c r="G75" s="883">
        <f>F821EVE!G75</f>
        <v>1333</v>
      </c>
      <c r="H75" s="883">
        <f>F821EVE!H75</f>
        <v>2657</v>
      </c>
      <c r="I75" s="883">
        <f>F821EVE!I75</f>
        <v>2648</v>
      </c>
      <c r="J75" s="180">
        <f t="shared" si="55"/>
        <v>11507</v>
      </c>
      <c r="K75" s="883">
        <f t="shared" si="59"/>
        <v>314.6984099784699</v>
      </c>
      <c r="L75" s="883">
        <f t="shared" si="59"/>
        <v>325.13424523936243</v>
      </c>
      <c r="M75" s="883">
        <f t="shared" si="59"/>
        <v>489.32472001073802</v>
      </c>
      <c r="N75" s="883">
        <f t="shared" si="59"/>
        <v>309.13263117266058</v>
      </c>
      <c r="O75" s="883">
        <f t="shared" si="59"/>
        <v>616.17809529314263</v>
      </c>
      <c r="P75" s="883">
        <f t="shared" si="59"/>
        <v>614.0909282409641</v>
      </c>
      <c r="Q75" s="180">
        <f t="shared" si="56"/>
        <v>2668.559029935338</v>
      </c>
      <c r="R75" s="883">
        <f t="shared" si="49"/>
        <v>1042.30159002153</v>
      </c>
      <c r="S75" s="883">
        <f t="shared" si="50"/>
        <v>1076.8657547606376</v>
      </c>
      <c r="T75" s="883">
        <f t="shared" si="51"/>
        <v>1620.675279989262</v>
      </c>
      <c r="U75" s="883">
        <f t="shared" si="52"/>
        <v>1023.8673688273394</v>
      </c>
      <c r="V75" s="883">
        <f t="shared" si="53"/>
        <v>2040.8219047068574</v>
      </c>
      <c r="W75" s="883">
        <f t="shared" si="54"/>
        <v>2033.9090717590359</v>
      </c>
      <c r="X75" s="180">
        <f t="shared" si="57"/>
        <v>8838.4409700646611</v>
      </c>
      <c r="Y75" s="883"/>
      <c r="Z75" s="883"/>
      <c r="AA75" s="883"/>
      <c r="AB75" s="883"/>
      <c r="AC75" s="883"/>
      <c r="AD75" s="883"/>
      <c r="AE75" s="180"/>
      <c r="AF75" s="1389"/>
      <c r="AG75" s="972">
        <f>'PDYG-200'!D$32</f>
        <v>0.23190745024205595</v>
      </c>
      <c r="AH75" s="972">
        <f>'PDYG-200'!E$32</f>
        <v>0.30353035303530351</v>
      </c>
      <c r="AI75" s="972">
        <f>'PDYG-200'!F$32</f>
        <v>0.46456219672264054</v>
      </c>
    </row>
    <row r="76" spans="2:35">
      <c r="B76" s="48"/>
      <c r="C76" s="887" t="s">
        <v>307</v>
      </c>
      <c r="D76" s="883">
        <f>F821EVE!D76</f>
        <v>0</v>
      </c>
      <c r="E76" s="883">
        <f>F821EVE!E76</f>
        <v>0</v>
      </c>
      <c r="F76" s="883">
        <f>F821EVE!F76</f>
        <v>0</v>
      </c>
      <c r="G76" s="883">
        <f>F821EVE!G76</f>
        <v>0</v>
      </c>
      <c r="H76" s="883">
        <f>F821EVE!H76</f>
        <v>715</v>
      </c>
      <c r="I76" s="883">
        <f>F821EVE!I76</f>
        <v>0</v>
      </c>
      <c r="J76" s="180">
        <f t="shared" si="55"/>
        <v>715</v>
      </c>
      <c r="K76" s="883">
        <f t="shared" si="59"/>
        <v>0</v>
      </c>
      <c r="L76" s="883">
        <f t="shared" si="59"/>
        <v>0</v>
      </c>
      <c r="M76" s="883">
        <f t="shared" si="59"/>
        <v>0</v>
      </c>
      <c r="N76" s="883">
        <f t="shared" si="59"/>
        <v>0</v>
      </c>
      <c r="O76" s="883">
        <f t="shared" si="59"/>
        <v>165.81382692307</v>
      </c>
      <c r="P76" s="883">
        <f t="shared" si="59"/>
        <v>0</v>
      </c>
      <c r="Q76" s="180">
        <f t="shared" si="56"/>
        <v>165.81382692307</v>
      </c>
      <c r="R76" s="883">
        <f t="shared" si="49"/>
        <v>0</v>
      </c>
      <c r="S76" s="883">
        <f t="shared" si="50"/>
        <v>0</v>
      </c>
      <c r="T76" s="883">
        <f t="shared" si="51"/>
        <v>0</v>
      </c>
      <c r="U76" s="883">
        <f t="shared" si="52"/>
        <v>0</v>
      </c>
      <c r="V76" s="883">
        <f t="shared" si="53"/>
        <v>549.18617307693</v>
      </c>
      <c r="W76" s="883">
        <f t="shared" si="54"/>
        <v>0</v>
      </c>
      <c r="X76" s="180">
        <f t="shared" si="57"/>
        <v>549.18617307693</v>
      </c>
      <c r="Y76" s="883"/>
      <c r="Z76" s="883"/>
      <c r="AA76" s="883"/>
      <c r="AB76" s="883"/>
      <c r="AC76" s="883"/>
      <c r="AD76" s="883"/>
      <c r="AE76" s="180"/>
      <c r="AF76" s="1389"/>
      <c r="AG76" s="972">
        <f>'PDYG-200'!D$32</f>
        <v>0.23190745024205595</v>
      </c>
      <c r="AH76" s="972">
        <f>'PDYG-200'!E$32</f>
        <v>0.30353035303530351</v>
      </c>
      <c r="AI76" s="972">
        <f>'PDYG-200'!F$32</f>
        <v>0.46456219672264054</v>
      </c>
    </row>
    <row r="77" spans="2:35">
      <c r="B77" s="48"/>
      <c r="C77" s="887" t="s">
        <v>624</v>
      </c>
      <c r="D77" s="883">
        <f>F821EVE!D77</f>
        <v>0</v>
      </c>
      <c r="E77" s="883">
        <f>F821EVE!E77</f>
        <v>610</v>
      </c>
      <c r="F77" s="883">
        <f>F821EVE!F77</f>
        <v>308</v>
      </c>
      <c r="G77" s="883">
        <f>F821EVE!G77</f>
        <v>1410</v>
      </c>
      <c r="H77" s="883">
        <f>F821EVE!H77</f>
        <v>1185</v>
      </c>
      <c r="I77" s="883">
        <f>F821EVE!I77</f>
        <v>422</v>
      </c>
      <c r="J77" s="180">
        <f t="shared" si="55"/>
        <v>3935</v>
      </c>
      <c r="K77" s="883">
        <f t="shared" si="59"/>
        <v>0</v>
      </c>
      <c r="L77" s="883">
        <f t="shared" si="59"/>
        <v>141.46354464765412</v>
      </c>
      <c r="M77" s="883">
        <f t="shared" si="59"/>
        <v>71.42749467455323</v>
      </c>
      <c r="N77" s="883">
        <f t="shared" si="59"/>
        <v>326.98950484129887</v>
      </c>
      <c r="O77" s="883">
        <f t="shared" si="59"/>
        <v>274.81032853683632</v>
      </c>
      <c r="P77" s="883">
        <f t="shared" si="59"/>
        <v>97.86494400214761</v>
      </c>
      <c r="Q77" s="180">
        <f t="shared" si="56"/>
        <v>912.55581670249012</v>
      </c>
      <c r="R77" s="883">
        <f t="shared" si="49"/>
        <v>0</v>
      </c>
      <c r="S77" s="883">
        <f t="shared" si="50"/>
        <v>468.53645535234591</v>
      </c>
      <c r="T77" s="883">
        <f t="shared" si="51"/>
        <v>236.57250532544677</v>
      </c>
      <c r="U77" s="883">
        <f t="shared" si="52"/>
        <v>1083.0104951587011</v>
      </c>
      <c r="V77" s="883">
        <f t="shared" si="53"/>
        <v>910.18967146316368</v>
      </c>
      <c r="W77" s="883">
        <f t="shared" si="54"/>
        <v>324.13505599785242</v>
      </c>
      <c r="X77" s="180">
        <f t="shared" si="57"/>
        <v>3022.4441832975094</v>
      </c>
      <c r="Y77" s="883"/>
      <c r="Z77" s="883"/>
      <c r="AA77" s="883"/>
      <c r="AB77" s="883"/>
      <c r="AC77" s="883"/>
      <c r="AD77" s="883"/>
      <c r="AE77" s="180"/>
      <c r="AF77" s="1389"/>
      <c r="AG77" s="972">
        <f>'PDYG-200'!D$32</f>
        <v>0.23190745024205595</v>
      </c>
      <c r="AH77" s="972">
        <f>'PDYG-200'!E$32</f>
        <v>0.30353035303530351</v>
      </c>
      <c r="AI77" s="972">
        <f>'PDYG-200'!F$32</f>
        <v>0.46456219672264054</v>
      </c>
    </row>
    <row r="78" spans="2:35">
      <c r="B78" s="48" t="s">
        <v>749</v>
      </c>
      <c r="C78" s="882" t="s">
        <v>636</v>
      </c>
      <c r="D78" s="881">
        <f>SUBTOTAL(9,D79:D84)</f>
        <v>54613850</v>
      </c>
      <c r="E78" s="881">
        <f t="shared" ref="E78:P78" si="60">SUBTOTAL(9,E79:E84)</f>
        <v>54327073</v>
      </c>
      <c r="F78" s="881">
        <f t="shared" si="60"/>
        <v>52998131</v>
      </c>
      <c r="G78" s="881">
        <f t="shared" si="60"/>
        <v>53736809</v>
      </c>
      <c r="H78" s="881">
        <f t="shared" si="60"/>
        <v>49483276</v>
      </c>
      <c r="I78" s="881">
        <f t="shared" si="60"/>
        <v>51366818</v>
      </c>
      <c r="J78" s="180">
        <f t="shared" si="55"/>
        <v>316525957</v>
      </c>
      <c r="K78" s="881">
        <f t="shared" si="60"/>
        <v>12665358.701402107</v>
      </c>
      <c r="L78" s="881">
        <f t="shared" si="60"/>
        <v>12598852.978544042</v>
      </c>
      <c r="M78" s="881">
        <f t="shared" si="60"/>
        <v>12290661.427804464</v>
      </c>
      <c r="N78" s="881">
        <f t="shared" si="60"/>
        <v>12461966.359334363</v>
      </c>
      <c r="O78" s="881">
        <f t="shared" si="60"/>
        <v>11475540.366783923</v>
      </c>
      <c r="P78" s="881">
        <f t="shared" si="60"/>
        <v>11912347.789427744</v>
      </c>
      <c r="Q78" s="180">
        <f t="shared" si="56"/>
        <v>73404727.623296648</v>
      </c>
      <c r="R78" s="881">
        <f t="shared" si="49"/>
        <v>41948491.298597895</v>
      </c>
      <c r="S78" s="881">
        <f t="shared" si="50"/>
        <v>41728220.021455958</v>
      </c>
      <c r="T78" s="881">
        <f t="shared" si="51"/>
        <v>40707469.572195537</v>
      </c>
      <c r="U78" s="881">
        <f t="shared" si="52"/>
        <v>41274842.640665635</v>
      </c>
      <c r="V78" s="881">
        <f t="shared" si="53"/>
        <v>38007735.633216076</v>
      </c>
      <c r="W78" s="881">
        <f t="shared" si="54"/>
        <v>39454470.210572258</v>
      </c>
      <c r="X78" s="180">
        <f t="shared" si="57"/>
        <v>243121229.37670332</v>
      </c>
      <c r="Y78" s="881"/>
      <c r="Z78" s="881"/>
      <c r="AA78" s="881"/>
      <c r="AB78" s="881"/>
      <c r="AC78" s="881"/>
      <c r="AD78" s="881"/>
      <c r="AE78" s="180"/>
      <c r="AF78" s="1389"/>
      <c r="AG78" s="972">
        <f>'PDYG-200'!D$32</f>
        <v>0.23190745024205595</v>
      </c>
      <c r="AH78" s="972">
        <f>'PDYG-200'!E$32</f>
        <v>0.30353035303530351</v>
      </c>
      <c r="AI78" s="972">
        <f>'PDYG-200'!F$32</f>
        <v>0.46456219672264054</v>
      </c>
    </row>
    <row r="79" spans="2:35">
      <c r="B79" s="37"/>
      <c r="C79" s="887" t="s">
        <v>304</v>
      </c>
      <c r="D79" s="883">
        <f>F821EVE!D79</f>
        <v>45882571</v>
      </c>
      <c r="E79" s="883">
        <f>F821EVE!E79</f>
        <v>45801977</v>
      </c>
      <c r="F79" s="883">
        <f>F821EVE!F79</f>
        <v>44890326</v>
      </c>
      <c r="G79" s="883">
        <f>F821EVE!G79</f>
        <v>45498616</v>
      </c>
      <c r="H79" s="883">
        <f>F821EVE!H79</f>
        <v>42195892</v>
      </c>
      <c r="I79" s="883">
        <f>F821EVE!I79</f>
        <v>43599705</v>
      </c>
      <c r="J79" s="180">
        <f t="shared" si="55"/>
        <v>267869087</v>
      </c>
      <c r="K79" s="883">
        <f t="shared" ref="K79:P84" si="61">D79*$AG79</f>
        <v>10640510.051160099</v>
      </c>
      <c r="L79" s="883">
        <f t="shared" si="61"/>
        <v>10621819.702115292</v>
      </c>
      <c r="M79" s="883">
        <f t="shared" si="61"/>
        <v>10410401.04319467</v>
      </c>
      <c r="N79" s="883">
        <f t="shared" si="61"/>
        <v>10551468.026102411</v>
      </c>
      <c r="O79" s="883">
        <f t="shared" si="61"/>
        <v>9785541.7244091667</v>
      </c>
      <c r="P79" s="883">
        <f t="shared" si="61"/>
        <v>10111096.417855818</v>
      </c>
      <c r="Q79" s="180">
        <f t="shared" si="56"/>
        <v>62120836.964837447</v>
      </c>
      <c r="R79" s="883">
        <f t="shared" si="49"/>
        <v>35242060.948839903</v>
      </c>
      <c r="S79" s="883">
        <f t="shared" si="50"/>
        <v>35180157.29788471</v>
      </c>
      <c r="T79" s="883">
        <f t="shared" si="51"/>
        <v>34479924.956805333</v>
      </c>
      <c r="U79" s="883">
        <f t="shared" si="52"/>
        <v>34947147.973897591</v>
      </c>
      <c r="V79" s="883">
        <f t="shared" si="53"/>
        <v>32410350.275590833</v>
      </c>
      <c r="W79" s="883">
        <f t="shared" si="54"/>
        <v>33488608.582144182</v>
      </c>
      <c r="X79" s="180">
        <f t="shared" si="57"/>
        <v>205748250.03516254</v>
      </c>
      <c r="Y79" s="883"/>
      <c r="Z79" s="883"/>
      <c r="AA79" s="883"/>
      <c r="AB79" s="883"/>
      <c r="AC79" s="883"/>
      <c r="AD79" s="883"/>
      <c r="AE79" s="180"/>
      <c r="AF79" s="1389"/>
      <c r="AG79" s="972">
        <f>'PDYG-200'!D$32</f>
        <v>0.23190745024205595</v>
      </c>
      <c r="AH79" s="972">
        <f>'PDYG-200'!E$32</f>
        <v>0.30353035303530351</v>
      </c>
      <c r="AI79" s="972">
        <f>'PDYG-200'!F$32</f>
        <v>0.46456219672264054</v>
      </c>
    </row>
    <row r="80" spans="2:35">
      <c r="B80" s="37"/>
      <c r="C80" s="889" t="s">
        <v>642</v>
      </c>
      <c r="D80" s="883">
        <f>F821EVE!D80</f>
        <v>4761030</v>
      </c>
      <c r="E80" s="883">
        <f>F821EVE!E80</f>
        <v>4666230</v>
      </c>
      <c r="F80" s="883">
        <f>F821EVE!F80</f>
        <v>4440130</v>
      </c>
      <c r="G80" s="883">
        <f>F821EVE!G80</f>
        <v>4495480</v>
      </c>
      <c r="H80" s="883">
        <f>F821EVE!H80</f>
        <v>3986950</v>
      </c>
      <c r="I80" s="883">
        <f>F821EVE!I80</f>
        <v>4151050</v>
      </c>
      <c r="J80" s="180">
        <f t="shared" si="55"/>
        <v>26500870</v>
      </c>
      <c r="K80" s="883">
        <f t="shared" si="61"/>
        <v>1104118.3278259356</v>
      </c>
      <c r="L80" s="883">
        <f t="shared" si="61"/>
        <v>1082133.5015429887</v>
      </c>
      <c r="M80" s="883">
        <f t="shared" si="61"/>
        <v>1029699.2270432599</v>
      </c>
      <c r="N80" s="883">
        <f t="shared" si="61"/>
        <v>1042535.3044141576</v>
      </c>
      <c r="O80" s="883">
        <f t="shared" si="61"/>
        <v>924603.40874256496</v>
      </c>
      <c r="P80" s="883">
        <f t="shared" si="61"/>
        <v>962659.42132728628</v>
      </c>
      <c r="Q80" s="180">
        <f t="shared" si="56"/>
        <v>6145749.1908961926</v>
      </c>
      <c r="R80" s="883">
        <f t="shared" si="49"/>
        <v>3656911.6721740644</v>
      </c>
      <c r="S80" s="883">
        <f t="shared" si="50"/>
        <v>3584096.4984570113</v>
      </c>
      <c r="T80" s="883">
        <f t="shared" si="51"/>
        <v>3410430.7729567401</v>
      </c>
      <c r="U80" s="883">
        <f t="shared" si="52"/>
        <v>3452944.6955858422</v>
      </c>
      <c r="V80" s="883">
        <f t="shared" si="53"/>
        <v>3062346.5912574353</v>
      </c>
      <c r="W80" s="883">
        <f t="shared" si="54"/>
        <v>3188390.5786727136</v>
      </c>
      <c r="X80" s="180">
        <f t="shared" si="57"/>
        <v>20355120.809103806</v>
      </c>
      <c r="Y80" s="883"/>
      <c r="Z80" s="883"/>
      <c r="AA80" s="883"/>
      <c r="AB80" s="883"/>
      <c r="AC80" s="883"/>
      <c r="AD80" s="883"/>
      <c r="AE80" s="180"/>
      <c r="AF80" s="1389"/>
      <c r="AG80" s="972">
        <f>'PDYG-200'!D$32</f>
        <v>0.23190745024205595</v>
      </c>
      <c r="AH80" s="972">
        <f>'PDYG-200'!E$32</f>
        <v>0.30353035303530351</v>
      </c>
      <c r="AI80" s="972">
        <f>'PDYG-200'!F$32</f>
        <v>0.46456219672264054</v>
      </c>
    </row>
    <row r="81" spans="2:35">
      <c r="B81" s="37"/>
      <c r="C81" s="889" t="s">
        <v>1177</v>
      </c>
      <c r="D81" s="883">
        <f>F821EVE!D81</f>
        <v>3932826</v>
      </c>
      <c r="E81" s="883">
        <f>F821EVE!E81</f>
        <v>3818951</v>
      </c>
      <c r="F81" s="883">
        <f>F821EVE!F81</f>
        <v>3632747</v>
      </c>
      <c r="G81" s="883">
        <f>F821EVE!G81</f>
        <v>3709655</v>
      </c>
      <c r="H81" s="883">
        <f>F821EVE!H81</f>
        <v>3270550</v>
      </c>
      <c r="I81" s="883">
        <f>F821EVE!I81</f>
        <v>3599157</v>
      </c>
      <c r="J81" s="180">
        <f t="shared" si="55"/>
        <v>21963886</v>
      </c>
      <c r="K81" s="883">
        <f t="shared" si="61"/>
        <v>912051.64990566391</v>
      </c>
      <c r="L81" s="883">
        <f t="shared" si="61"/>
        <v>885643.18900934979</v>
      </c>
      <c r="M81" s="883">
        <f t="shared" si="61"/>
        <v>842461.09414447797</v>
      </c>
      <c r="N81" s="883">
        <f t="shared" si="61"/>
        <v>860296.6323276941</v>
      </c>
      <c r="O81" s="883">
        <f t="shared" si="61"/>
        <v>758464.91138915613</v>
      </c>
      <c r="P81" s="883">
        <f t="shared" si="61"/>
        <v>834671.32289084734</v>
      </c>
      <c r="Q81" s="180">
        <f t="shared" si="56"/>
        <v>5093588.7996671889</v>
      </c>
      <c r="R81" s="883">
        <f t="shared" si="49"/>
        <v>3020774.3500943361</v>
      </c>
      <c r="S81" s="883">
        <f t="shared" si="50"/>
        <v>2933307.8109906502</v>
      </c>
      <c r="T81" s="883">
        <f t="shared" si="51"/>
        <v>2790285.905855522</v>
      </c>
      <c r="U81" s="883">
        <f t="shared" si="52"/>
        <v>2849358.367672306</v>
      </c>
      <c r="V81" s="883">
        <f t="shared" si="53"/>
        <v>2512085.0886108438</v>
      </c>
      <c r="W81" s="883">
        <f t="shared" si="54"/>
        <v>2764485.6771091525</v>
      </c>
      <c r="X81" s="180">
        <f t="shared" si="57"/>
        <v>16870297.200332809</v>
      </c>
      <c r="Y81" s="883"/>
      <c r="Z81" s="883"/>
      <c r="AA81" s="883"/>
      <c r="AB81" s="883"/>
      <c r="AC81" s="883"/>
      <c r="AD81" s="883"/>
      <c r="AE81" s="180"/>
      <c r="AF81" s="1389"/>
      <c r="AG81" s="972">
        <f>'PDYG-200'!D$32</f>
        <v>0.23190745024205595</v>
      </c>
      <c r="AH81" s="972">
        <f>'PDYG-200'!E$32</f>
        <v>0.30353035303530351</v>
      </c>
      <c r="AI81" s="972">
        <f>'PDYG-200'!F$32</f>
        <v>0.46456219672264054</v>
      </c>
    </row>
    <row r="82" spans="2:35">
      <c r="B82" s="37"/>
      <c r="C82" s="887" t="s">
        <v>305</v>
      </c>
      <c r="D82" s="883">
        <f>F821EVE!D82</f>
        <v>31255</v>
      </c>
      <c r="E82" s="883">
        <f>F821EVE!E82</f>
        <v>33691</v>
      </c>
      <c r="F82" s="883">
        <f>F821EVE!F82</f>
        <v>28390</v>
      </c>
      <c r="G82" s="883">
        <f>F821EVE!G82</f>
        <v>26488</v>
      </c>
      <c r="H82" s="883">
        <f>F821EVE!H82</f>
        <v>23574</v>
      </c>
      <c r="I82" s="883">
        <f>F821EVE!I82</f>
        <v>10370</v>
      </c>
      <c r="J82" s="180">
        <f t="shared" si="55"/>
        <v>153768</v>
      </c>
      <c r="K82" s="883">
        <f t="shared" si="61"/>
        <v>7248.2673573154589</v>
      </c>
      <c r="L82" s="883">
        <f t="shared" si="61"/>
        <v>7813.1939061051071</v>
      </c>
      <c r="M82" s="883">
        <f t="shared" si="61"/>
        <v>6583.8525123719683</v>
      </c>
      <c r="N82" s="883">
        <f t="shared" si="61"/>
        <v>6142.7645420115778</v>
      </c>
      <c r="O82" s="883">
        <f t="shared" si="61"/>
        <v>5466.9862320062266</v>
      </c>
      <c r="P82" s="883">
        <f t="shared" si="61"/>
        <v>2404.88025901012</v>
      </c>
      <c r="Q82" s="180">
        <f t="shared" si="56"/>
        <v>35659.944808820459</v>
      </c>
      <c r="R82" s="883">
        <f t="shared" si="49"/>
        <v>24006.732642684539</v>
      </c>
      <c r="S82" s="883">
        <f t="shared" si="50"/>
        <v>25877.806093894891</v>
      </c>
      <c r="T82" s="883">
        <f t="shared" si="51"/>
        <v>21806.147487628034</v>
      </c>
      <c r="U82" s="883">
        <f t="shared" si="52"/>
        <v>20345.235457988423</v>
      </c>
      <c r="V82" s="883">
        <f t="shared" si="53"/>
        <v>18107.013767993772</v>
      </c>
      <c r="W82" s="883">
        <f t="shared" si="54"/>
        <v>7965.1197409898796</v>
      </c>
      <c r="X82" s="180">
        <f t="shared" si="57"/>
        <v>118108.05519117953</v>
      </c>
      <c r="Y82" s="883"/>
      <c r="Z82" s="883"/>
      <c r="AA82" s="883"/>
      <c r="AB82" s="883"/>
      <c r="AC82" s="883"/>
      <c r="AD82" s="883"/>
      <c r="AE82" s="180"/>
      <c r="AF82" s="1389"/>
      <c r="AG82" s="972">
        <f>'PDYG-200'!D$32</f>
        <v>0.23190745024205595</v>
      </c>
      <c r="AH82" s="972">
        <f>'PDYG-200'!E$32</f>
        <v>0.30353035303530351</v>
      </c>
      <c r="AI82" s="972">
        <f>'PDYG-200'!F$32</f>
        <v>0.46456219672264054</v>
      </c>
    </row>
    <row r="83" spans="2:35">
      <c r="B83" s="37"/>
      <c r="C83" s="887" t="s">
        <v>307</v>
      </c>
      <c r="D83" s="883">
        <f>F821EVE!D83</f>
        <v>980</v>
      </c>
      <c r="E83" s="883">
        <f>F821EVE!E83</f>
        <v>819</v>
      </c>
      <c r="F83" s="883">
        <f>F821EVE!F83</f>
        <v>961</v>
      </c>
      <c r="G83" s="883">
        <f>F821EVE!G83</f>
        <v>911</v>
      </c>
      <c r="H83" s="883">
        <f>F821EVE!H83</f>
        <v>0</v>
      </c>
      <c r="I83" s="883">
        <f>F821EVE!I83</f>
        <v>932</v>
      </c>
      <c r="J83" s="180">
        <f t="shared" si="55"/>
        <v>4603</v>
      </c>
      <c r="K83" s="883">
        <f t="shared" si="61"/>
        <v>227.26930123721482</v>
      </c>
      <c r="L83" s="883">
        <f t="shared" si="61"/>
        <v>189.93220174824381</v>
      </c>
      <c r="M83" s="883">
        <f t="shared" si="61"/>
        <v>222.86305968261576</v>
      </c>
      <c r="N83" s="883">
        <f t="shared" si="61"/>
        <v>211.26768717051297</v>
      </c>
      <c r="O83" s="883">
        <f t="shared" si="61"/>
        <v>0</v>
      </c>
      <c r="P83" s="883">
        <f t="shared" si="61"/>
        <v>216.13774362559613</v>
      </c>
      <c r="Q83" s="180">
        <f t="shared" si="56"/>
        <v>1067.4699934641835</v>
      </c>
      <c r="R83" s="883">
        <f t="shared" si="49"/>
        <v>752.73069876278521</v>
      </c>
      <c r="S83" s="883">
        <f t="shared" si="50"/>
        <v>629.06779825175613</v>
      </c>
      <c r="T83" s="883">
        <f t="shared" si="51"/>
        <v>738.13694031738419</v>
      </c>
      <c r="U83" s="883">
        <f t="shared" si="52"/>
        <v>699.732312829487</v>
      </c>
      <c r="V83" s="883">
        <f t="shared" si="53"/>
        <v>0</v>
      </c>
      <c r="W83" s="883">
        <f t="shared" si="54"/>
        <v>715.86225637440384</v>
      </c>
      <c r="X83" s="180">
        <f t="shared" si="57"/>
        <v>3535.5300065358165</v>
      </c>
      <c r="Y83" s="883"/>
      <c r="Z83" s="883"/>
      <c r="AA83" s="883"/>
      <c r="AB83" s="883"/>
      <c r="AC83" s="883"/>
      <c r="AD83" s="883"/>
      <c r="AE83" s="180"/>
      <c r="AF83" s="1389"/>
      <c r="AG83" s="972">
        <f>'PDYG-200'!D$32</f>
        <v>0.23190745024205595</v>
      </c>
      <c r="AH83" s="972">
        <f>'PDYG-200'!E$32</f>
        <v>0.30353035303530351</v>
      </c>
      <c r="AI83" s="972">
        <f>'PDYG-200'!F$32</f>
        <v>0.46456219672264054</v>
      </c>
    </row>
    <row r="84" spans="2:35">
      <c r="B84" s="37"/>
      <c r="C84" s="887" t="s">
        <v>624</v>
      </c>
      <c r="D84" s="883">
        <f>F821EVE!D84</f>
        <v>5188</v>
      </c>
      <c r="E84" s="883">
        <f>F821EVE!E84</f>
        <v>5405</v>
      </c>
      <c r="F84" s="883">
        <f>F821EVE!F84</f>
        <v>5577</v>
      </c>
      <c r="G84" s="883">
        <f>F821EVE!G84</f>
        <v>5659</v>
      </c>
      <c r="H84" s="883">
        <f>F821EVE!H84</f>
        <v>6310</v>
      </c>
      <c r="I84" s="883">
        <f>F821EVE!I84</f>
        <v>5604</v>
      </c>
      <c r="J84" s="180">
        <f t="shared" si="55"/>
        <v>33743</v>
      </c>
      <c r="K84" s="883">
        <f t="shared" si="61"/>
        <v>1203.1358518557863</v>
      </c>
      <c r="L84" s="883">
        <f t="shared" si="61"/>
        <v>1253.4597685583124</v>
      </c>
      <c r="M84" s="883">
        <f t="shared" si="61"/>
        <v>1293.347849999946</v>
      </c>
      <c r="N84" s="883">
        <f t="shared" si="61"/>
        <v>1312.3642609197946</v>
      </c>
      <c r="O84" s="883">
        <f t="shared" si="61"/>
        <v>1463.3360110273729</v>
      </c>
      <c r="P84" s="883">
        <f t="shared" si="61"/>
        <v>1299.6093511564816</v>
      </c>
      <c r="Q84" s="180">
        <f t="shared" si="56"/>
        <v>7825.2530935176928</v>
      </c>
      <c r="R84" s="883">
        <f t="shared" si="49"/>
        <v>3984.8641481442137</v>
      </c>
      <c r="S84" s="883">
        <f t="shared" si="50"/>
        <v>4151.5402314416879</v>
      </c>
      <c r="T84" s="883">
        <f t="shared" si="51"/>
        <v>4283.6521500000545</v>
      </c>
      <c r="U84" s="883">
        <f t="shared" si="52"/>
        <v>4346.6357390802059</v>
      </c>
      <c r="V84" s="883">
        <f t="shared" si="53"/>
        <v>4846.6639889726266</v>
      </c>
      <c r="W84" s="883">
        <f t="shared" si="54"/>
        <v>4304.3906488435186</v>
      </c>
      <c r="X84" s="180">
        <f t="shared" si="57"/>
        <v>25917.746906482309</v>
      </c>
      <c r="Y84" s="883"/>
      <c r="Z84" s="883"/>
      <c r="AA84" s="883"/>
      <c r="AB84" s="883"/>
      <c r="AC84" s="883"/>
      <c r="AD84" s="883"/>
      <c r="AE84" s="180"/>
      <c r="AF84" s="1389"/>
      <c r="AG84" s="972">
        <f>'PDYG-200'!D$32</f>
        <v>0.23190745024205595</v>
      </c>
      <c r="AH84" s="972">
        <f>'PDYG-200'!E$32</f>
        <v>0.30353035303530351</v>
      </c>
      <c r="AI84" s="972">
        <f>'PDYG-200'!F$32</f>
        <v>0.46456219672264054</v>
      </c>
    </row>
    <row r="85" spans="2:35">
      <c r="B85" s="37"/>
      <c r="C85" s="887"/>
      <c r="D85" s="883"/>
      <c r="E85" s="883"/>
      <c r="F85" s="883"/>
      <c r="G85" s="883"/>
      <c r="H85" s="883"/>
      <c r="I85" s="883"/>
      <c r="J85" s="180">
        <f t="shared" si="55"/>
        <v>0</v>
      </c>
      <c r="K85" s="883"/>
      <c r="L85" s="883"/>
      <c r="M85" s="883"/>
      <c r="N85" s="883"/>
      <c r="O85" s="883"/>
      <c r="P85" s="883"/>
      <c r="Q85" s="180">
        <f t="shared" si="56"/>
        <v>0</v>
      </c>
      <c r="R85" s="883">
        <f t="shared" si="49"/>
        <v>0</v>
      </c>
      <c r="S85" s="883">
        <f t="shared" si="50"/>
        <v>0</v>
      </c>
      <c r="T85" s="883">
        <f t="shared" si="51"/>
        <v>0</v>
      </c>
      <c r="U85" s="883">
        <f t="shared" si="52"/>
        <v>0</v>
      </c>
      <c r="V85" s="883">
        <f t="shared" si="53"/>
        <v>0</v>
      </c>
      <c r="W85" s="883">
        <f t="shared" si="54"/>
        <v>0</v>
      </c>
      <c r="X85" s="180">
        <f t="shared" si="57"/>
        <v>0</v>
      </c>
      <c r="Y85" s="883"/>
      <c r="Z85" s="883"/>
      <c r="AA85" s="883"/>
      <c r="AB85" s="883"/>
      <c r="AC85" s="883"/>
      <c r="AD85" s="883"/>
      <c r="AE85" s="180"/>
      <c r="AF85" s="1389"/>
      <c r="AG85" s="972">
        <f>'PDYG-200'!D$32</f>
        <v>0.23190745024205595</v>
      </c>
      <c r="AH85" s="972">
        <f>'PDYG-200'!E$32</f>
        <v>0.30353035303530351</v>
      </c>
      <c r="AI85" s="972">
        <f>'PDYG-200'!F$32</f>
        <v>0.46456219672264054</v>
      </c>
    </row>
    <row r="86" spans="2:35">
      <c r="B86" s="48" t="s">
        <v>902</v>
      </c>
      <c r="C86" s="882" t="s">
        <v>898</v>
      </c>
      <c r="D86" s="881">
        <f>SUBTOTAL(9,D87:D91)</f>
        <v>13382744</v>
      </c>
      <c r="E86" s="881">
        <f t="shared" ref="E86:P86" si="62">SUBTOTAL(9,E87:E91)</f>
        <v>13211586</v>
      </c>
      <c r="F86" s="881">
        <f t="shared" si="62"/>
        <v>13706143</v>
      </c>
      <c r="G86" s="881">
        <f t="shared" si="62"/>
        <v>13399120</v>
      </c>
      <c r="H86" s="881">
        <f t="shared" si="62"/>
        <v>12694591</v>
      </c>
      <c r="I86" s="881">
        <f t="shared" si="62"/>
        <v>13572555</v>
      </c>
      <c r="J86" s="180">
        <f t="shared" si="55"/>
        <v>79966739</v>
      </c>
      <c r="K86" s="881">
        <f t="shared" si="62"/>
        <v>3103558.0382821728</v>
      </c>
      <c r="L86" s="881">
        <f t="shared" si="62"/>
        <v>3063865.2229136433</v>
      </c>
      <c r="M86" s="881">
        <f t="shared" si="62"/>
        <v>3178556.6757830037</v>
      </c>
      <c r="N86" s="881">
        <f t="shared" si="62"/>
        <v>3107355.7546873367</v>
      </c>
      <c r="O86" s="881">
        <f t="shared" si="62"/>
        <v>2943970.2306757513</v>
      </c>
      <c r="P86" s="881">
        <f t="shared" si="62"/>
        <v>3147576.6233200673</v>
      </c>
      <c r="Q86" s="180">
        <f t="shared" si="56"/>
        <v>18544882.545661978</v>
      </c>
      <c r="R86" s="881">
        <f t="shared" si="49"/>
        <v>10279185.961717827</v>
      </c>
      <c r="S86" s="881">
        <f t="shared" si="50"/>
        <v>10147720.777086357</v>
      </c>
      <c r="T86" s="881">
        <f t="shared" si="51"/>
        <v>10527586.324216995</v>
      </c>
      <c r="U86" s="881">
        <f t="shared" si="52"/>
        <v>10291764.245312663</v>
      </c>
      <c r="V86" s="881">
        <f t="shared" si="53"/>
        <v>9750620.7693242487</v>
      </c>
      <c r="W86" s="881">
        <f t="shared" si="54"/>
        <v>10424978.376679933</v>
      </c>
      <c r="X86" s="180">
        <f t="shared" si="57"/>
        <v>61421856.454338029</v>
      </c>
      <c r="Y86" s="881"/>
      <c r="Z86" s="881"/>
      <c r="AA86" s="881"/>
      <c r="AB86" s="881"/>
      <c r="AC86" s="881"/>
      <c r="AD86" s="881"/>
      <c r="AE86" s="180"/>
      <c r="AF86" s="1389"/>
      <c r="AG86" s="972">
        <f>'PDYG-200'!D$32</f>
        <v>0.23190745024205595</v>
      </c>
      <c r="AH86" s="972">
        <f>'PDYG-200'!E$32</f>
        <v>0.30353035303530351</v>
      </c>
      <c r="AI86" s="972">
        <f>'PDYG-200'!F$32</f>
        <v>0.46456219672264054</v>
      </c>
    </row>
    <row r="87" spans="2:35">
      <c r="B87" s="37"/>
      <c r="C87" s="887" t="s">
        <v>304</v>
      </c>
      <c r="D87" s="883">
        <f>F821EVE!D87</f>
        <v>12711993</v>
      </c>
      <c r="E87" s="883">
        <f>F821EVE!E87</f>
        <v>12566280</v>
      </c>
      <c r="F87" s="883">
        <f>F821EVE!F87</f>
        <v>13027063</v>
      </c>
      <c r="G87" s="883">
        <f>F821EVE!G87</f>
        <v>12714073</v>
      </c>
      <c r="H87" s="883">
        <f>F821EVE!H87</f>
        <v>12060436</v>
      </c>
      <c r="I87" s="883">
        <f>F821EVE!I87</f>
        <v>12866362</v>
      </c>
      <c r="J87" s="180">
        <f t="shared" si="55"/>
        <v>75946207</v>
      </c>
      <c r="K87" s="883">
        <f t="shared" ref="K87:P91" si="63">D87*$AG87</f>
        <v>2948005.8841248634</v>
      </c>
      <c r="L87" s="883">
        <f t="shared" si="63"/>
        <v>2914213.953827743</v>
      </c>
      <c r="M87" s="883">
        <f t="shared" si="63"/>
        <v>3021072.9644726282</v>
      </c>
      <c r="N87" s="883">
        <f t="shared" si="63"/>
        <v>2948488.2516213669</v>
      </c>
      <c r="O87" s="883">
        <f t="shared" si="63"/>
        <v>2796904.9615675001</v>
      </c>
      <c r="P87" s="883">
        <f t="shared" si="63"/>
        <v>2983805.2053112793</v>
      </c>
      <c r="Q87" s="180">
        <f t="shared" si="56"/>
        <v>17612491.220925383</v>
      </c>
      <c r="R87" s="883">
        <f t="shared" si="49"/>
        <v>9763987.1158751361</v>
      </c>
      <c r="S87" s="883">
        <f t="shared" si="50"/>
        <v>9652066.0461722575</v>
      </c>
      <c r="T87" s="883">
        <f t="shared" si="51"/>
        <v>10005990.035527371</v>
      </c>
      <c r="U87" s="883">
        <f t="shared" si="52"/>
        <v>9765584.7483786326</v>
      </c>
      <c r="V87" s="883">
        <f t="shared" si="53"/>
        <v>9263531.0384324994</v>
      </c>
      <c r="W87" s="883">
        <f t="shared" si="54"/>
        <v>9882556.7946887203</v>
      </c>
      <c r="X87" s="180">
        <f t="shared" si="57"/>
        <v>58333715.779074624</v>
      </c>
      <c r="Y87" s="883"/>
      <c r="Z87" s="883"/>
      <c r="AA87" s="883"/>
      <c r="AB87" s="883"/>
      <c r="AC87" s="883"/>
      <c r="AD87" s="883"/>
      <c r="AE87" s="180"/>
      <c r="AF87" s="1389"/>
      <c r="AG87" s="972">
        <f>'PDYG-200'!D$32</f>
        <v>0.23190745024205595</v>
      </c>
      <c r="AH87" s="972">
        <f>'PDYG-200'!E$32</f>
        <v>0.30353035303530351</v>
      </c>
      <c r="AI87" s="972">
        <f>'PDYG-200'!F$32</f>
        <v>0.46456219672264054</v>
      </c>
    </row>
    <row r="88" spans="2:35">
      <c r="B88" s="37"/>
      <c r="C88" s="888" t="s">
        <v>306</v>
      </c>
      <c r="D88" s="883">
        <f>F821EVE!D88</f>
        <v>670751</v>
      </c>
      <c r="E88" s="883">
        <f>F821EVE!E88</f>
        <v>645306</v>
      </c>
      <c r="F88" s="883">
        <f>F821EVE!F88</f>
        <v>679080</v>
      </c>
      <c r="G88" s="883">
        <f>F821EVE!G88</f>
        <v>685047</v>
      </c>
      <c r="H88" s="883">
        <f>F821EVE!H88</f>
        <v>634155</v>
      </c>
      <c r="I88" s="883">
        <f>F821EVE!I88</f>
        <v>706193</v>
      </c>
      <c r="J88" s="180">
        <f t="shared" si="55"/>
        <v>4020532</v>
      </c>
      <c r="K88" s="883">
        <f t="shared" si="63"/>
        <v>155552.15415730927</v>
      </c>
      <c r="L88" s="883">
        <f t="shared" si="63"/>
        <v>149651.26908590016</v>
      </c>
      <c r="M88" s="883">
        <f t="shared" si="63"/>
        <v>157483.71131037537</v>
      </c>
      <c r="N88" s="883">
        <f t="shared" si="63"/>
        <v>158867.50306596971</v>
      </c>
      <c r="O88" s="883">
        <f t="shared" si="63"/>
        <v>147065.269108251</v>
      </c>
      <c r="P88" s="883">
        <f t="shared" si="63"/>
        <v>163771.41800878823</v>
      </c>
      <c r="Q88" s="180">
        <f t="shared" si="56"/>
        <v>932391.32473659376</v>
      </c>
      <c r="R88" s="883">
        <f t="shared" si="49"/>
        <v>515198.84584269073</v>
      </c>
      <c r="S88" s="883">
        <f t="shared" si="50"/>
        <v>495654.73091409984</v>
      </c>
      <c r="T88" s="883">
        <f t="shared" si="51"/>
        <v>521596.28868962463</v>
      </c>
      <c r="U88" s="883">
        <f t="shared" si="52"/>
        <v>526179.49693403032</v>
      </c>
      <c r="V88" s="883">
        <f t="shared" si="53"/>
        <v>487089.73089174903</v>
      </c>
      <c r="W88" s="883">
        <f t="shared" si="54"/>
        <v>542421.58199121174</v>
      </c>
      <c r="X88" s="180">
        <f t="shared" si="57"/>
        <v>3088140.6752634058</v>
      </c>
      <c r="Y88" s="883"/>
      <c r="Z88" s="883"/>
      <c r="AA88" s="883"/>
      <c r="AB88" s="883"/>
      <c r="AC88" s="883"/>
      <c r="AD88" s="883"/>
      <c r="AE88" s="180"/>
      <c r="AF88" s="1389"/>
      <c r="AG88" s="972">
        <f>'PDYG-200'!D$32</f>
        <v>0.23190745024205595</v>
      </c>
      <c r="AH88" s="972">
        <f>'PDYG-200'!E$32</f>
        <v>0.30353035303530351</v>
      </c>
      <c r="AI88" s="972">
        <f>'PDYG-200'!F$32</f>
        <v>0.46456219672264054</v>
      </c>
    </row>
    <row r="89" spans="2:35">
      <c r="B89" s="37"/>
      <c r="C89" s="887" t="s">
        <v>305</v>
      </c>
      <c r="D89" s="883">
        <f>F821EVE!D89</f>
        <v>0</v>
      </c>
      <c r="E89" s="883">
        <f>F821EVE!E89</f>
        <v>0</v>
      </c>
      <c r="F89" s="883">
        <f>F821EVE!F89</f>
        <v>0</v>
      </c>
      <c r="G89" s="883">
        <f>F821EVE!G89</f>
        <v>0</v>
      </c>
      <c r="H89" s="883">
        <f>F821EVE!H89</f>
        <v>0</v>
      </c>
      <c r="I89" s="883">
        <f>F821EVE!I89</f>
        <v>0</v>
      </c>
      <c r="J89" s="180">
        <f t="shared" si="55"/>
        <v>0</v>
      </c>
      <c r="K89" s="883">
        <f t="shared" si="63"/>
        <v>0</v>
      </c>
      <c r="L89" s="883">
        <f t="shared" si="63"/>
        <v>0</v>
      </c>
      <c r="M89" s="883">
        <f t="shared" si="63"/>
        <v>0</v>
      </c>
      <c r="N89" s="883">
        <f t="shared" si="63"/>
        <v>0</v>
      </c>
      <c r="O89" s="883">
        <f t="shared" si="63"/>
        <v>0</v>
      </c>
      <c r="P89" s="883">
        <f t="shared" si="63"/>
        <v>0</v>
      </c>
      <c r="Q89" s="180">
        <f t="shared" si="56"/>
        <v>0</v>
      </c>
      <c r="R89" s="883">
        <f t="shared" si="49"/>
        <v>0</v>
      </c>
      <c r="S89" s="883">
        <f t="shared" si="50"/>
        <v>0</v>
      </c>
      <c r="T89" s="883">
        <f t="shared" si="51"/>
        <v>0</v>
      </c>
      <c r="U89" s="883">
        <f t="shared" si="52"/>
        <v>0</v>
      </c>
      <c r="V89" s="883">
        <f t="shared" si="53"/>
        <v>0</v>
      </c>
      <c r="W89" s="883">
        <f t="shared" si="54"/>
        <v>0</v>
      </c>
      <c r="X89" s="180">
        <f t="shared" si="57"/>
        <v>0</v>
      </c>
      <c r="Y89" s="883"/>
      <c r="Z89" s="883"/>
      <c r="AA89" s="883"/>
      <c r="AB89" s="883"/>
      <c r="AC89" s="883"/>
      <c r="AD89" s="883"/>
      <c r="AE89" s="180"/>
      <c r="AF89" s="1389"/>
      <c r="AG89" s="972">
        <f>'PDYG-200'!D$32</f>
        <v>0.23190745024205595</v>
      </c>
      <c r="AH89" s="972">
        <f>'PDYG-200'!E$32</f>
        <v>0.30353035303530351</v>
      </c>
      <c r="AI89" s="972">
        <f>'PDYG-200'!F$32</f>
        <v>0.46456219672264054</v>
      </c>
    </row>
    <row r="90" spans="2:35">
      <c r="B90" s="37"/>
      <c r="C90" s="887" t="s">
        <v>307</v>
      </c>
      <c r="D90" s="883">
        <f>F821EVE!D90</f>
        <v>0</v>
      </c>
      <c r="E90" s="883">
        <f>F821EVE!E90</f>
        <v>0</v>
      </c>
      <c r="F90" s="883">
        <f>F821EVE!F90</f>
        <v>0</v>
      </c>
      <c r="G90" s="883">
        <f>F821EVE!G90</f>
        <v>0</v>
      </c>
      <c r="H90" s="883">
        <f>F821EVE!H90</f>
        <v>0</v>
      </c>
      <c r="I90" s="883">
        <f>F821EVE!I90</f>
        <v>0</v>
      </c>
      <c r="J90" s="180">
        <f t="shared" si="55"/>
        <v>0</v>
      </c>
      <c r="K90" s="883">
        <f t="shared" si="63"/>
        <v>0</v>
      </c>
      <c r="L90" s="883">
        <f t="shared" si="63"/>
        <v>0</v>
      </c>
      <c r="M90" s="883">
        <f t="shared" si="63"/>
        <v>0</v>
      </c>
      <c r="N90" s="883">
        <f t="shared" si="63"/>
        <v>0</v>
      </c>
      <c r="O90" s="883">
        <f t="shared" si="63"/>
        <v>0</v>
      </c>
      <c r="P90" s="883">
        <f t="shared" si="63"/>
        <v>0</v>
      </c>
      <c r="Q90" s="180">
        <f t="shared" si="56"/>
        <v>0</v>
      </c>
      <c r="R90" s="883">
        <f t="shared" si="49"/>
        <v>0</v>
      </c>
      <c r="S90" s="883">
        <f t="shared" si="50"/>
        <v>0</v>
      </c>
      <c r="T90" s="883">
        <f t="shared" si="51"/>
        <v>0</v>
      </c>
      <c r="U90" s="883">
        <f t="shared" si="52"/>
        <v>0</v>
      </c>
      <c r="V90" s="883">
        <f t="shared" si="53"/>
        <v>0</v>
      </c>
      <c r="W90" s="883">
        <f t="shared" si="54"/>
        <v>0</v>
      </c>
      <c r="X90" s="180">
        <f t="shared" si="57"/>
        <v>0</v>
      </c>
      <c r="Y90" s="883"/>
      <c r="Z90" s="883"/>
      <c r="AA90" s="883"/>
      <c r="AB90" s="883"/>
      <c r="AC90" s="883"/>
      <c r="AD90" s="883"/>
      <c r="AE90" s="180"/>
      <c r="AF90" s="1389"/>
      <c r="AG90" s="972">
        <f>'PDYG-200'!D$32</f>
        <v>0.23190745024205595</v>
      </c>
      <c r="AH90" s="972">
        <f>'PDYG-200'!E$32</f>
        <v>0.30353035303530351</v>
      </c>
      <c r="AI90" s="972">
        <f>'PDYG-200'!F$32</f>
        <v>0.46456219672264054</v>
      </c>
    </row>
    <row r="91" spans="2:35">
      <c r="B91" s="37"/>
      <c r="C91" s="887" t="s">
        <v>624</v>
      </c>
      <c r="D91" s="883">
        <f>F821EVE!D91</f>
        <v>0</v>
      </c>
      <c r="E91" s="883">
        <f>F821EVE!E91</f>
        <v>0</v>
      </c>
      <c r="F91" s="883">
        <f>F821EVE!F91</f>
        <v>0</v>
      </c>
      <c r="G91" s="883">
        <f>F821EVE!G91</f>
        <v>0</v>
      </c>
      <c r="H91" s="883">
        <f>F821EVE!H91</f>
        <v>0</v>
      </c>
      <c r="I91" s="883">
        <f>F821EVE!I91</f>
        <v>0</v>
      </c>
      <c r="J91" s="180">
        <f t="shared" si="55"/>
        <v>0</v>
      </c>
      <c r="K91" s="883">
        <f t="shared" si="63"/>
        <v>0</v>
      </c>
      <c r="L91" s="883">
        <f t="shared" si="63"/>
        <v>0</v>
      </c>
      <c r="M91" s="883">
        <f t="shared" si="63"/>
        <v>0</v>
      </c>
      <c r="N91" s="883">
        <f t="shared" si="63"/>
        <v>0</v>
      </c>
      <c r="O91" s="883">
        <f t="shared" si="63"/>
        <v>0</v>
      </c>
      <c r="P91" s="883">
        <f t="shared" si="63"/>
        <v>0</v>
      </c>
      <c r="Q91" s="180">
        <f t="shared" si="56"/>
        <v>0</v>
      </c>
      <c r="R91" s="883">
        <f t="shared" si="49"/>
        <v>0</v>
      </c>
      <c r="S91" s="883">
        <f t="shared" si="50"/>
        <v>0</v>
      </c>
      <c r="T91" s="883">
        <f t="shared" si="51"/>
        <v>0</v>
      </c>
      <c r="U91" s="883">
        <f t="shared" si="52"/>
        <v>0</v>
      </c>
      <c r="V91" s="883">
        <f t="shared" si="53"/>
        <v>0</v>
      </c>
      <c r="W91" s="883">
        <f t="shared" si="54"/>
        <v>0</v>
      </c>
      <c r="X91" s="180">
        <f t="shared" si="57"/>
        <v>0</v>
      </c>
      <c r="Y91" s="883"/>
      <c r="Z91" s="883"/>
      <c r="AA91" s="883"/>
      <c r="AB91" s="883"/>
      <c r="AC91" s="883"/>
      <c r="AD91" s="883"/>
      <c r="AE91" s="180"/>
      <c r="AF91" s="1389"/>
      <c r="AG91" s="972">
        <f>'PDYG-200'!D$32</f>
        <v>0.23190745024205595</v>
      </c>
      <c r="AH91" s="972">
        <f>'PDYG-200'!E$32</f>
        <v>0.30353035303530351</v>
      </c>
      <c r="AI91" s="972">
        <f>'PDYG-200'!F$32</f>
        <v>0.46456219672264054</v>
      </c>
    </row>
    <row r="92" spans="2:35">
      <c r="B92" s="48" t="s">
        <v>902</v>
      </c>
      <c r="C92" s="882" t="s">
        <v>899</v>
      </c>
      <c r="D92" s="881">
        <f>SUBTOTAL(9,D93:D98)</f>
        <v>1192402</v>
      </c>
      <c r="E92" s="881">
        <f t="shared" ref="E92:P92" si="64">SUBTOTAL(9,E93:E98)</f>
        <v>1108565</v>
      </c>
      <c r="F92" s="881">
        <f t="shared" si="64"/>
        <v>1038419</v>
      </c>
      <c r="G92" s="881">
        <f t="shared" si="64"/>
        <v>1117342</v>
      </c>
      <c r="H92" s="881">
        <f t="shared" si="64"/>
        <v>857662</v>
      </c>
      <c r="I92" s="881">
        <f t="shared" si="64"/>
        <v>1108465</v>
      </c>
      <c r="J92" s="180">
        <f t="shared" si="55"/>
        <v>6422855</v>
      </c>
      <c r="K92" s="881">
        <f t="shared" si="64"/>
        <v>276526.90748352796</v>
      </c>
      <c r="L92" s="881">
        <f t="shared" si="64"/>
        <v>257084.48257758474</v>
      </c>
      <c r="M92" s="881">
        <f t="shared" si="64"/>
        <v>240817.10257290548</v>
      </c>
      <c r="N92" s="881">
        <f t="shared" si="64"/>
        <v>259119.93426835927</v>
      </c>
      <c r="O92" s="881">
        <f t="shared" si="64"/>
        <v>198898.20758950221</v>
      </c>
      <c r="P92" s="881">
        <f t="shared" si="64"/>
        <v>257061.29183256056</v>
      </c>
      <c r="Q92" s="180">
        <f t="shared" si="56"/>
        <v>1489507.9263244402</v>
      </c>
      <c r="R92" s="881">
        <f t="shared" si="49"/>
        <v>915875.0925164721</v>
      </c>
      <c r="S92" s="881">
        <f t="shared" si="50"/>
        <v>851480.51742241532</v>
      </c>
      <c r="T92" s="881">
        <f t="shared" si="51"/>
        <v>797601.89742709452</v>
      </c>
      <c r="U92" s="881">
        <f t="shared" si="52"/>
        <v>858222.06573164067</v>
      </c>
      <c r="V92" s="881">
        <f t="shared" si="53"/>
        <v>658763.79241049779</v>
      </c>
      <c r="W92" s="881">
        <f t="shared" si="54"/>
        <v>851403.70816743944</v>
      </c>
      <c r="X92" s="180">
        <f t="shared" si="57"/>
        <v>4933347.0736755598</v>
      </c>
      <c r="Y92" s="881"/>
      <c r="Z92" s="881"/>
      <c r="AA92" s="881"/>
      <c r="AB92" s="881"/>
      <c r="AC92" s="881"/>
      <c r="AD92" s="881"/>
      <c r="AE92" s="180"/>
      <c r="AF92" s="1389"/>
      <c r="AG92" s="972">
        <f>'PDYG-200'!D$32</f>
        <v>0.23190745024205595</v>
      </c>
      <c r="AH92" s="972">
        <f>'PDYG-200'!E$32</f>
        <v>0.30353035303530351</v>
      </c>
      <c r="AI92" s="972">
        <f>'PDYG-200'!F$32</f>
        <v>0.46456219672264054</v>
      </c>
    </row>
    <row r="93" spans="2:35">
      <c r="B93" s="37"/>
      <c r="C93" s="887" t="s">
        <v>304</v>
      </c>
      <c r="D93" s="883">
        <f>F821EVE!D93</f>
        <v>1058644</v>
      </c>
      <c r="E93" s="883">
        <f>F821EVE!E93</f>
        <v>987208</v>
      </c>
      <c r="F93" s="883">
        <f>F821EVE!F93</f>
        <v>909890</v>
      </c>
      <c r="G93" s="883">
        <f>F821EVE!G93</f>
        <v>990623</v>
      </c>
      <c r="H93" s="883">
        <f>F821EVE!H93</f>
        <v>754946</v>
      </c>
      <c r="I93" s="883">
        <f>F821EVE!I93</f>
        <v>975789</v>
      </c>
      <c r="J93" s="180">
        <f t="shared" si="55"/>
        <v>5677100</v>
      </c>
      <c r="K93" s="883">
        <f t="shared" ref="K93:P98" si="65">D93*$AG93</f>
        <v>245507.43075405108</v>
      </c>
      <c r="L93" s="883">
        <f t="shared" si="65"/>
        <v>228940.89013855957</v>
      </c>
      <c r="M93" s="883">
        <f t="shared" si="65"/>
        <v>211010.26990074429</v>
      </c>
      <c r="N93" s="883">
        <f t="shared" si="65"/>
        <v>229732.85408113617</v>
      </c>
      <c r="O93" s="883">
        <f t="shared" si="65"/>
        <v>175077.60193043918</v>
      </c>
      <c r="P93" s="883">
        <f t="shared" si="65"/>
        <v>226292.73896424554</v>
      </c>
      <c r="Q93" s="180">
        <f t="shared" si="56"/>
        <v>1316561.7857691757</v>
      </c>
      <c r="R93" s="883">
        <f t="shared" si="49"/>
        <v>813136.56924594892</v>
      </c>
      <c r="S93" s="883">
        <f t="shared" si="50"/>
        <v>758267.10986144049</v>
      </c>
      <c r="T93" s="883">
        <f t="shared" si="51"/>
        <v>698879.73009925568</v>
      </c>
      <c r="U93" s="883">
        <f t="shared" si="52"/>
        <v>760890.14591886383</v>
      </c>
      <c r="V93" s="883">
        <f t="shared" si="53"/>
        <v>579868.39806956076</v>
      </c>
      <c r="W93" s="883">
        <f t="shared" si="54"/>
        <v>749496.26103575446</v>
      </c>
      <c r="X93" s="180">
        <f t="shared" si="57"/>
        <v>4360538.2142308243</v>
      </c>
      <c r="Y93" s="883"/>
      <c r="Z93" s="883"/>
      <c r="AA93" s="883"/>
      <c r="AB93" s="883"/>
      <c r="AC93" s="883"/>
      <c r="AD93" s="883"/>
      <c r="AE93" s="180"/>
      <c r="AF93" s="1389"/>
      <c r="AG93" s="972">
        <f>'PDYG-200'!D$32</f>
        <v>0.23190745024205595</v>
      </c>
      <c r="AH93" s="972">
        <f>'PDYG-200'!E$32</f>
        <v>0.30353035303530351</v>
      </c>
      <c r="AI93" s="972">
        <f>'PDYG-200'!F$32</f>
        <v>0.46456219672264054</v>
      </c>
    </row>
    <row r="94" spans="2:35">
      <c r="B94" s="37"/>
      <c r="C94" s="889" t="s">
        <v>642</v>
      </c>
      <c r="D94" s="883">
        <f>F821EVE!D94</f>
        <v>122345</v>
      </c>
      <c r="E94" s="883">
        <f>F821EVE!E94</f>
        <v>113118</v>
      </c>
      <c r="F94" s="883">
        <f>F821EVE!F94</f>
        <v>120326</v>
      </c>
      <c r="G94" s="883">
        <f>F821EVE!G94</f>
        <v>117562</v>
      </c>
      <c r="H94" s="883">
        <f>F821EVE!H94</f>
        <v>95560</v>
      </c>
      <c r="I94" s="883">
        <f>F821EVE!I94</f>
        <v>123476</v>
      </c>
      <c r="J94" s="180">
        <f t="shared" si="55"/>
        <v>692387</v>
      </c>
      <c r="K94" s="883">
        <f t="shared" si="65"/>
        <v>28372.716999864333</v>
      </c>
      <c r="L94" s="883">
        <f t="shared" si="65"/>
        <v>26232.906956480885</v>
      </c>
      <c r="M94" s="883">
        <f t="shared" si="65"/>
        <v>27904.495857825623</v>
      </c>
      <c r="N94" s="883">
        <f t="shared" si="65"/>
        <v>27263.50366535658</v>
      </c>
      <c r="O94" s="883">
        <f t="shared" si="65"/>
        <v>22161.075945130866</v>
      </c>
      <c r="P94" s="883">
        <f t="shared" si="65"/>
        <v>28635.004326088099</v>
      </c>
      <c r="Q94" s="180">
        <f t="shared" si="56"/>
        <v>160569.70375074638</v>
      </c>
      <c r="R94" s="883">
        <f t="shared" si="49"/>
        <v>93972.283000135663</v>
      </c>
      <c r="S94" s="883">
        <f t="shared" si="50"/>
        <v>86885.093043519111</v>
      </c>
      <c r="T94" s="883">
        <f t="shared" si="51"/>
        <v>92421.504142174381</v>
      </c>
      <c r="U94" s="883">
        <f t="shared" si="52"/>
        <v>90298.496334643423</v>
      </c>
      <c r="V94" s="883">
        <f t="shared" si="53"/>
        <v>73398.92405486913</v>
      </c>
      <c r="W94" s="883">
        <f t="shared" si="54"/>
        <v>94840.995673911908</v>
      </c>
      <c r="X94" s="180">
        <f t="shared" si="57"/>
        <v>531817.29624925356</v>
      </c>
      <c r="Y94" s="883"/>
      <c r="Z94" s="883"/>
      <c r="AA94" s="883"/>
      <c r="AB94" s="883"/>
      <c r="AC94" s="883"/>
      <c r="AD94" s="883"/>
      <c r="AE94" s="180"/>
      <c r="AF94" s="1389"/>
      <c r="AG94" s="972">
        <f>'PDYG-200'!D$32</f>
        <v>0.23190745024205595</v>
      </c>
      <c r="AH94" s="972">
        <f>'PDYG-200'!E$32</f>
        <v>0.30353035303530351</v>
      </c>
      <c r="AI94" s="972">
        <f>'PDYG-200'!F$32</f>
        <v>0.46456219672264054</v>
      </c>
    </row>
    <row r="95" spans="2:35">
      <c r="B95" s="37"/>
      <c r="C95" s="889" t="s">
        <v>1177</v>
      </c>
      <c r="D95" s="883">
        <f>F821EVE!D95</f>
        <v>11413</v>
      </c>
      <c r="E95" s="883">
        <f>F821EVE!E95</f>
        <v>8239</v>
      </c>
      <c r="F95" s="883">
        <f>F821EVE!F95</f>
        <v>8203</v>
      </c>
      <c r="G95" s="883">
        <f>F821EVE!G95</f>
        <v>9157</v>
      </c>
      <c r="H95" s="883">
        <f>F821EVE!H95</f>
        <v>7156</v>
      </c>
      <c r="I95" s="883">
        <f>F821EVE!I95</f>
        <v>9200</v>
      </c>
      <c r="J95" s="180">
        <f t="shared" si="55"/>
        <v>53368</v>
      </c>
      <c r="K95" s="883">
        <f t="shared" si="65"/>
        <v>2646.7597296125846</v>
      </c>
      <c r="L95" s="883">
        <f t="shared" si="65"/>
        <v>1910.685482544299</v>
      </c>
      <c r="M95" s="883">
        <f t="shared" si="65"/>
        <v>1902.3368143355849</v>
      </c>
      <c r="N95" s="883">
        <f t="shared" si="65"/>
        <v>2123.5765218665065</v>
      </c>
      <c r="O95" s="883">
        <f t="shared" si="65"/>
        <v>1659.5297139321524</v>
      </c>
      <c r="P95" s="883">
        <f t="shared" si="65"/>
        <v>2133.5485422269148</v>
      </c>
      <c r="Q95" s="180">
        <f t="shared" si="56"/>
        <v>12376.436804518042</v>
      </c>
      <c r="R95" s="883">
        <f t="shared" si="49"/>
        <v>8766.2402703874159</v>
      </c>
      <c r="S95" s="883">
        <f t="shared" si="50"/>
        <v>6328.3145174557012</v>
      </c>
      <c r="T95" s="883">
        <f t="shared" si="51"/>
        <v>6300.6631856644153</v>
      </c>
      <c r="U95" s="883">
        <f t="shared" si="52"/>
        <v>7033.4234781334935</v>
      </c>
      <c r="V95" s="883">
        <f t="shared" si="53"/>
        <v>5496.4702860678481</v>
      </c>
      <c r="W95" s="883">
        <f t="shared" si="54"/>
        <v>7066.4514577730852</v>
      </c>
      <c r="X95" s="180">
        <f t="shared" si="57"/>
        <v>40991.563195481962</v>
      </c>
      <c r="Y95" s="883"/>
      <c r="Z95" s="883"/>
      <c r="AA95" s="883"/>
      <c r="AB95" s="883"/>
      <c r="AC95" s="883"/>
      <c r="AD95" s="883"/>
      <c r="AE95" s="180"/>
      <c r="AF95" s="1389"/>
      <c r="AG95" s="972">
        <f>'PDYG-200'!D$32</f>
        <v>0.23190745024205595</v>
      </c>
      <c r="AH95" s="972">
        <f>'PDYG-200'!E$32</f>
        <v>0.30353035303530351</v>
      </c>
      <c r="AI95" s="972">
        <f>'PDYG-200'!F$32</f>
        <v>0.46456219672264054</v>
      </c>
    </row>
    <row r="96" spans="2:35">
      <c r="B96" s="37"/>
      <c r="C96" s="887" t="s">
        <v>305</v>
      </c>
      <c r="D96" s="883">
        <f>F821EVE!D96</f>
        <v>0</v>
      </c>
      <c r="E96" s="883">
        <f>F821EVE!E96</f>
        <v>0</v>
      </c>
      <c r="F96" s="883">
        <f>F821EVE!F96</f>
        <v>0</v>
      </c>
      <c r="G96" s="883">
        <f>F821EVE!G96</f>
        <v>0</v>
      </c>
      <c r="H96" s="883">
        <f>F821EVE!H96</f>
        <v>0</v>
      </c>
      <c r="I96" s="883">
        <f>F821EVE!I96</f>
        <v>0</v>
      </c>
      <c r="J96" s="180">
        <f t="shared" si="55"/>
        <v>0</v>
      </c>
      <c r="K96" s="883">
        <f t="shared" si="65"/>
        <v>0</v>
      </c>
      <c r="L96" s="883">
        <f t="shared" si="65"/>
        <v>0</v>
      </c>
      <c r="M96" s="883">
        <f t="shared" si="65"/>
        <v>0</v>
      </c>
      <c r="N96" s="883">
        <f t="shared" si="65"/>
        <v>0</v>
      </c>
      <c r="O96" s="883">
        <f t="shared" si="65"/>
        <v>0</v>
      </c>
      <c r="P96" s="883">
        <f t="shared" si="65"/>
        <v>0</v>
      </c>
      <c r="Q96" s="180">
        <f t="shared" si="56"/>
        <v>0</v>
      </c>
      <c r="R96" s="883">
        <f t="shared" si="49"/>
        <v>0</v>
      </c>
      <c r="S96" s="883">
        <f t="shared" si="50"/>
        <v>0</v>
      </c>
      <c r="T96" s="883">
        <f t="shared" si="51"/>
        <v>0</v>
      </c>
      <c r="U96" s="883">
        <f t="shared" si="52"/>
        <v>0</v>
      </c>
      <c r="V96" s="883">
        <f t="shared" si="53"/>
        <v>0</v>
      </c>
      <c r="W96" s="883">
        <f t="shared" si="54"/>
        <v>0</v>
      </c>
      <c r="X96" s="180">
        <f t="shared" si="57"/>
        <v>0</v>
      </c>
      <c r="Y96" s="883"/>
      <c r="Z96" s="883"/>
      <c r="AA96" s="883"/>
      <c r="AB96" s="883"/>
      <c r="AC96" s="883"/>
      <c r="AD96" s="883"/>
      <c r="AE96" s="180"/>
      <c r="AF96" s="1389"/>
      <c r="AG96" s="972">
        <f>'PDYG-200'!D$32</f>
        <v>0.23190745024205595</v>
      </c>
      <c r="AH96" s="972">
        <f>'PDYG-200'!E$32</f>
        <v>0.30353035303530351</v>
      </c>
      <c r="AI96" s="972">
        <f>'PDYG-200'!F$32</f>
        <v>0.46456219672264054</v>
      </c>
    </row>
    <row r="97" spans="2:35">
      <c r="B97" s="37"/>
      <c r="C97" s="887" t="s">
        <v>307</v>
      </c>
      <c r="D97" s="883">
        <f>F821EVE!D97</f>
        <v>0</v>
      </c>
      <c r="E97" s="883">
        <f>F821EVE!E97</f>
        <v>0</v>
      </c>
      <c r="F97" s="883">
        <f>F821EVE!F97</f>
        <v>0</v>
      </c>
      <c r="G97" s="883">
        <f>F821EVE!G97</f>
        <v>0</v>
      </c>
      <c r="H97" s="883">
        <f>F821EVE!H97</f>
        <v>0</v>
      </c>
      <c r="I97" s="883">
        <f>F821EVE!I97</f>
        <v>0</v>
      </c>
      <c r="J97" s="180">
        <f t="shared" si="55"/>
        <v>0</v>
      </c>
      <c r="K97" s="883">
        <f t="shared" si="65"/>
        <v>0</v>
      </c>
      <c r="L97" s="883">
        <f t="shared" si="65"/>
        <v>0</v>
      </c>
      <c r="M97" s="883">
        <f t="shared" si="65"/>
        <v>0</v>
      </c>
      <c r="N97" s="883">
        <f t="shared" si="65"/>
        <v>0</v>
      </c>
      <c r="O97" s="883">
        <f t="shared" si="65"/>
        <v>0</v>
      </c>
      <c r="P97" s="883">
        <f t="shared" si="65"/>
        <v>0</v>
      </c>
      <c r="Q97" s="180">
        <f t="shared" si="56"/>
        <v>0</v>
      </c>
      <c r="R97" s="883">
        <f t="shared" si="49"/>
        <v>0</v>
      </c>
      <c r="S97" s="883">
        <f t="shared" si="50"/>
        <v>0</v>
      </c>
      <c r="T97" s="883">
        <f t="shared" si="51"/>
        <v>0</v>
      </c>
      <c r="U97" s="883">
        <f t="shared" si="52"/>
        <v>0</v>
      </c>
      <c r="V97" s="883">
        <f t="shared" si="53"/>
        <v>0</v>
      </c>
      <c r="W97" s="883">
        <f t="shared" si="54"/>
        <v>0</v>
      </c>
      <c r="X97" s="180">
        <f t="shared" si="57"/>
        <v>0</v>
      </c>
      <c r="Y97" s="883"/>
      <c r="Z97" s="883"/>
      <c r="AA97" s="883"/>
      <c r="AB97" s="883"/>
      <c r="AC97" s="883"/>
      <c r="AD97" s="883"/>
      <c r="AE97" s="180"/>
      <c r="AF97" s="1389"/>
      <c r="AG97" s="972">
        <f>'PDYG-200'!D$32</f>
        <v>0.23190745024205595</v>
      </c>
      <c r="AH97" s="972">
        <f>'PDYG-200'!E$32</f>
        <v>0.30353035303530351</v>
      </c>
      <c r="AI97" s="972">
        <f>'PDYG-200'!F$32</f>
        <v>0.46456219672264054</v>
      </c>
    </row>
    <row r="98" spans="2:35">
      <c r="B98" s="37"/>
      <c r="C98" s="887" t="s">
        <v>624</v>
      </c>
      <c r="D98" s="883">
        <f>F821EVE!D98</f>
        <v>0</v>
      </c>
      <c r="E98" s="883">
        <f>F821EVE!E98</f>
        <v>0</v>
      </c>
      <c r="F98" s="883">
        <f>F821EVE!F98</f>
        <v>0</v>
      </c>
      <c r="G98" s="883">
        <f>F821EVE!G98</f>
        <v>0</v>
      </c>
      <c r="H98" s="883">
        <f>F821EVE!H98</f>
        <v>0</v>
      </c>
      <c r="I98" s="883">
        <f>F821EVE!I98</f>
        <v>0</v>
      </c>
      <c r="J98" s="180">
        <f t="shared" si="55"/>
        <v>0</v>
      </c>
      <c r="K98" s="883">
        <f t="shared" si="65"/>
        <v>0</v>
      </c>
      <c r="L98" s="883">
        <f t="shared" si="65"/>
        <v>0</v>
      </c>
      <c r="M98" s="883">
        <f t="shared" si="65"/>
        <v>0</v>
      </c>
      <c r="N98" s="883">
        <f t="shared" si="65"/>
        <v>0</v>
      </c>
      <c r="O98" s="883">
        <f t="shared" si="65"/>
        <v>0</v>
      </c>
      <c r="P98" s="883">
        <f t="shared" si="65"/>
        <v>0</v>
      </c>
      <c r="Q98" s="180">
        <f t="shared" si="56"/>
        <v>0</v>
      </c>
      <c r="R98" s="883">
        <f t="shared" si="49"/>
        <v>0</v>
      </c>
      <c r="S98" s="883">
        <f t="shared" si="50"/>
        <v>0</v>
      </c>
      <c r="T98" s="883">
        <f t="shared" si="51"/>
        <v>0</v>
      </c>
      <c r="U98" s="883">
        <f t="shared" si="52"/>
        <v>0</v>
      </c>
      <c r="V98" s="883">
        <f t="shared" si="53"/>
        <v>0</v>
      </c>
      <c r="W98" s="883">
        <f t="shared" si="54"/>
        <v>0</v>
      </c>
      <c r="X98" s="180">
        <f t="shared" si="57"/>
        <v>0</v>
      </c>
      <c r="Y98" s="883"/>
      <c r="Z98" s="883"/>
      <c r="AA98" s="883"/>
      <c r="AB98" s="883"/>
      <c r="AC98" s="883"/>
      <c r="AD98" s="883"/>
      <c r="AE98" s="180"/>
      <c r="AF98" s="1389"/>
      <c r="AG98" s="972">
        <f>'PDYG-200'!D$32</f>
        <v>0.23190745024205595</v>
      </c>
      <c r="AH98" s="972">
        <f>'PDYG-200'!E$32</f>
        <v>0.30353035303530351</v>
      </c>
      <c r="AI98" s="972">
        <f>'PDYG-200'!F$32</f>
        <v>0.46456219672264054</v>
      </c>
    </row>
    <row r="99" spans="2:35">
      <c r="B99" s="48" t="s">
        <v>902</v>
      </c>
      <c r="C99" s="882" t="s">
        <v>900</v>
      </c>
      <c r="D99" s="881">
        <f>SUBTOTAL(9,D100:D105)</f>
        <v>125413</v>
      </c>
      <c r="E99" s="881">
        <f t="shared" ref="E99:P99" si="66">SUBTOTAL(9,E100:E105)</f>
        <v>123757</v>
      </c>
      <c r="F99" s="881">
        <f t="shared" si="66"/>
        <v>140003</v>
      </c>
      <c r="G99" s="881">
        <f t="shared" si="66"/>
        <v>106707</v>
      </c>
      <c r="H99" s="881">
        <f t="shared" si="66"/>
        <v>83789</v>
      </c>
      <c r="I99" s="881">
        <f t="shared" si="66"/>
        <v>118026</v>
      </c>
      <c r="J99" s="180">
        <f t="shared" si="55"/>
        <v>697695</v>
      </c>
      <c r="K99" s="881">
        <f t="shared" si="66"/>
        <v>29084.209057206965</v>
      </c>
      <c r="L99" s="881">
        <f t="shared" si="66"/>
        <v>28700.170319606117</v>
      </c>
      <c r="M99" s="881">
        <f t="shared" si="66"/>
        <v>32467.738756238559</v>
      </c>
      <c r="N99" s="881">
        <f t="shared" si="66"/>
        <v>24746.148292979065</v>
      </c>
      <c r="O99" s="881">
        <f t="shared" si="66"/>
        <v>19431.293348331626</v>
      </c>
      <c r="P99" s="881">
        <f t="shared" si="66"/>
        <v>27371.108722268895</v>
      </c>
      <c r="Q99" s="180">
        <f t="shared" si="56"/>
        <v>161800.66849663123</v>
      </c>
      <c r="R99" s="881">
        <f t="shared" si="49"/>
        <v>96328.790942793043</v>
      </c>
      <c r="S99" s="881">
        <f t="shared" si="50"/>
        <v>95056.829680393887</v>
      </c>
      <c r="T99" s="881">
        <f t="shared" si="51"/>
        <v>107535.26124376144</v>
      </c>
      <c r="U99" s="881">
        <f t="shared" si="52"/>
        <v>81960.851707020935</v>
      </c>
      <c r="V99" s="881">
        <f t="shared" si="53"/>
        <v>64357.70665166837</v>
      </c>
      <c r="W99" s="881">
        <f t="shared" si="54"/>
        <v>90654.891277731105</v>
      </c>
      <c r="X99" s="180">
        <f t="shared" si="57"/>
        <v>535894.3315033688</v>
      </c>
      <c r="Y99" s="881"/>
      <c r="Z99" s="881"/>
      <c r="AA99" s="881"/>
      <c r="AB99" s="881"/>
      <c r="AC99" s="881"/>
      <c r="AD99" s="881"/>
      <c r="AE99" s="180"/>
      <c r="AF99" s="1389"/>
      <c r="AG99" s="972">
        <f>'PDYG-200'!D$32</f>
        <v>0.23190745024205595</v>
      </c>
      <c r="AH99" s="972">
        <f>'PDYG-200'!E$32</f>
        <v>0.30353035303530351</v>
      </c>
      <c r="AI99" s="972">
        <f>'PDYG-200'!F$32</f>
        <v>0.46456219672264054</v>
      </c>
    </row>
    <row r="100" spans="2:35">
      <c r="B100" s="37"/>
      <c r="C100" s="887" t="s">
        <v>304</v>
      </c>
      <c r="D100" s="883">
        <f>F821EVE!D100</f>
        <v>119301</v>
      </c>
      <c r="E100" s="883">
        <f>F821EVE!E100</f>
        <v>120528</v>
      </c>
      <c r="F100" s="883">
        <f>F821EVE!F100</f>
        <v>135542</v>
      </c>
      <c r="G100" s="883">
        <f>F821EVE!G100</f>
        <v>101074</v>
      </c>
      <c r="H100" s="883">
        <f>F821EVE!H100</f>
        <v>81331</v>
      </c>
      <c r="I100" s="883">
        <f>F821EVE!I100</f>
        <v>113660</v>
      </c>
      <c r="J100" s="180">
        <f t="shared" si="55"/>
        <v>671436</v>
      </c>
      <c r="K100" s="883">
        <f t="shared" ref="K100:P105" si="67">D100*$AG100</f>
        <v>27666.790721327518</v>
      </c>
      <c r="L100" s="883">
        <f t="shared" si="67"/>
        <v>27951.341162774519</v>
      </c>
      <c r="M100" s="883">
        <f t="shared" si="67"/>
        <v>31433.199620708747</v>
      </c>
      <c r="N100" s="883">
        <f t="shared" si="67"/>
        <v>23439.813625765564</v>
      </c>
      <c r="O100" s="883">
        <f t="shared" si="67"/>
        <v>18861.264835636652</v>
      </c>
      <c r="P100" s="883">
        <f t="shared" si="67"/>
        <v>26358.60079451208</v>
      </c>
      <c r="Q100" s="180">
        <f t="shared" si="56"/>
        <v>155711.0107607251</v>
      </c>
      <c r="R100" s="883">
        <f t="shared" si="49"/>
        <v>91634.209278672482</v>
      </c>
      <c r="S100" s="883">
        <f t="shared" si="50"/>
        <v>92576.658837225477</v>
      </c>
      <c r="T100" s="883">
        <f t="shared" si="51"/>
        <v>104108.80037929125</v>
      </c>
      <c r="U100" s="883">
        <f t="shared" si="52"/>
        <v>77634.186374234443</v>
      </c>
      <c r="V100" s="883">
        <f t="shared" si="53"/>
        <v>62469.735164363345</v>
      </c>
      <c r="W100" s="883">
        <f t="shared" si="54"/>
        <v>87301.39920548792</v>
      </c>
      <c r="X100" s="180">
        <f t="shared" si="57"/>
        <v>515724.98923927493</v>
      </c>
      <c r="Y100" s="883"/>
      <c r="Z100" s="883"/>
      <c r="AA100" s="883"/>
      <c r="AB100" s="883"/>
      <c r="AC100" s="883"/>
      <c r="AD100" s="883"/>
      <c r="AE100" s="180"/>
      <c r="AF100" s="1389"/>
      <c r="AG100" s="972">
        <f>'PDYG-200'!D$32</f>
        <v>0.23190745024205595</v>
      </c>
      <c r="AH100" s="972">
        <f>'PDYG-200'!E$32</f>
        <v>0.30353035303530351</v>
      </c>
      <c r="AI100" s="972">
        <f>'PDYG-200'!F$32</f>
        <v>0.46456219672264054</v>
      </c>
    </row>
    <row r="101" spans="2:35">
      <c r="B101" s="37"/>
      <c r="C101" s="889" t="s">
        <v>642</v>
      </c>
      <c r="D101" s="883">
        <f>F821EVE!D101</f>
        <v>6112</v>
      </c>
      <c r="E101" s="883">
        <f>F821EVE!E101</f>
        <v>3229</v>
      </c>
      <c r="F101" s="883">
        <f>F821EVE!F101</f>
        <v>4461</v>
      </c>
      <c r="G101" s="883">
        <f>F821EVE!G101</f>
        <v>5633</v>
      </c>
      <c r="H101" s="883">
        <f>F821EVE!H101</f>
        <v>2458</v>
      </c>
      <c r="I101" s="883">
        <f>F821EVE!I101</f>
        <v>4366</v>
      </c>
      <c r="J101" s="180">
        <f t="shared" si="55"/>
        <v>26259</v>
      </c>
      <c r="K101" s="883">
        <f t="shared" si="67"/>
        <v>1417.418335879446</v>
      </c>
      <c r="L101" s="883">
        <f t="shared" si="67"/>
        <v>748.82915683159865</v>
      </c>
      <c r="M101" s="883">
        <f t="shared" si="67"/>
        <v>1034.5391355298116</v>
      </c>
      <c r="N101" s="883">
        <f t="shared" si="67"/>
        <v>1306.3346672135012</v>
      </c>
      <c r="O101" s="883">
        <f t="shared" si="67"/>
        <v>570.02851269497353</v>
      </c>
      <c r="P101" s="883">
        <f t="shared" si="67"/>
        <v>1012.5079277568162</v>
      </c>
      <c r="Q101" s="180">
        <f t="shared" si="56"/>
        <v>6089.6577359061475</v>
      </c>
      <c r="R101" s="883">
        <f t="shared" ref="R101:R109" si="68">D101-K101</f>
        <v>4694.5816641205538</v>
      </c>
      <c r="S101" s="883">
        <f t="shared" ref="S101:S109" si="69">E101-L101</f>
        <v>2480.1708431684015</v>
      </c>
      <c r="T101" s="883">
        <f t="shared" ref="T101:T109" si="70">F101-M101</f>
        <v>3426.4608644701884</v>
      </c>
      <c r="U101" s="883">
        <f t="shared" ref="U101:U109" si="71">G101-N101</f>
        <v>4326.6653327864988</v>
      </c>
      <c r="V101" s="883">
        <f t="shared" ref="V101:V109" si="72">H101-O101</f>
        <v>1887.9714873050266</v>
      </c>
      <c r="W101" s="883">
        <f t="shared" ref="W101:W109" si="73">I101-P101</f>
        <v>3353.4920722431839</v>
      </c>
      <c r="X101" s="180">
        <f t="shared" si="57"/>
        <v>20169.342264093852</v>
      </c>
      <c r="Y101" s="883"/>
      <c r="Z101" s="883"/>
      <c r="AA101" s="883"/>
      <c r="AB101" s="883"/>
      <c r="AC101" s="883"/>
      <c r="AD101" s="883"/>
      <c r="AE101" s="180"/>
      <c r="AF101" s="1389"/>
      <c r="AG101" s="972">
        <f>'PDYG-200'!D$32</f>
        <v>0.23190745024205595</v>
      </c>
      <c r="AH101" s="972">
        <f>'PDYG-200'!E$32</f>
        <v>0.30353035303530351</v>
      </c>
      <c r="AI101" s="972">
        <f>'PDYG-200'!F$32</f>
        <v>0.46456219672264054</v>
      </c>
    </row>
    <row r="102" spans="2:35">
      <c r="B102" s="37"/>
      <c r="C102" s="889" t="s">
        <v>1177</v>
      </c>
      <c r="D102" s="883">
        <f>F821EVE!D102</f>
        <v>0</v>
      </c>
      <c r="E102" s="883">
        <f>F821EVE!E102</f>
        <v>0</v>
      </c>
      <c r="F102" s="883">
        <f>F821EVE!F102</f>
        <v>0</v>
      </c>
      <c r="G102" s="883">
        <f>F821EVE!G102</f>
        <v>0</v>
      </c>
      <c r="H102" s="883">
        <f>F821EVE!H102</f>
        <v>0</v>
      </c>
      <c r="I102" s="883">
        <f>F821EVE!I102</f>
        <v>0</v>
      </c>
      <c r="J102" s="180">
        <f t="shared" si="55"/>
        <v>0</v>
      </c>
      <c r="K102" s="883">
        <f t="shared" si="67"/>
        <v>0</v>
      </c>
      <c r="L102" s="883">
        <f t="shared" si="67"/>
        <v>0</v>
      </c>
      <c r="M102" s="883">
        <f t="shared" si="67"/>
        <v>0</v>
      </c>
      <c r="N102" s="883">
        <f t="shared" si="67"/>
        <v>0</v>
      </c>
      <c r="O102" s="883">
        <f t="shared" si="67"/>
        <v>0</v>
      </c>
      <c r="P102" s="883">
        <f t="shared" si="67"/>
        <v>0</v>
      </c>
      <c r="Q102" s="180">
        <f t="shared" si="56"/>
        <v>0</v>
      </c>
      <c r="R102" s="883">
        <f t="shared" si="68"/>
        <v>0</v>
      </c>
      <c r="S102" s="883">
        <f t="shared" si="69"/>
        <v>0</v>
      </c>
      <c r="T102" s="883">
        <f t="shared" si="70"/>
        <v>0</v>
      </c>
      <c r="U102" s="883">
        <f t="shared" si="71"/>
        <v>0</v>
      </c>
      <c r="V102" s="883">
        <f t="shared" si="72"/>
        <v>0</v>
      </c>
      <c r="W102" s="883">
        <f t="shared" si="73"/>
        <v>0</v>
      </c>
      <c r="X102" s="180">
        <f t="shared" si="57"/>
        <v>0</v>
      </c>
      <c r="Y102" s="883"/>
      <c r="Z102" s="883"/>
      <c r="AA102" s="883"/>
      <c r="AB102" s="883"/>
      <c r="AC102" s="883"/>
      <c r="AD102" s="883"/>
      <c r="AE102" s="180"/>
      <c r="AF102" s="1389"/>
      <c r="AG102" s="972">
        <f>'PDYG-200'!D$32</f>
        <v>0.23190745024205595</v>
      </c>
      <c r="AH102" s="972">
        <f>'PDYG-200'!E$32</f>
        <v>0.30353035303530351</v>
      </c>
      <c r="AI102" s="972">
        <f>'PDYG-200'!F$32</f>
        <v>0.46456219672264054</v>
      </c>
    </row>
    <row r="103" spans="2:35">
      <c r="B103" s="37"/>
      <c r="C103" s="887" t="s">
        <v>305</v>
      </c>
      <c r="D103" s="883">
        <f>F821EVE!D103</f>
        <v>0</v>
      </c>
      <c r="E103" s="883">
        <f>F821EVE!E103</f>
        <v>0</v>
      </c>
      <c r="F103" s="883">
        <f>F821EVE!F103</f>
        <v>0</v>
      </c>
      <c r="G103" s="883">
        <f>F821EVE!G103</f>
        <v>0</v>
      </c>
      <c r="H103" s="883">
        <f>F821EVE!H103</f>
        <v>0</v>
      </c>
      <c r="I103" s="883">
        <f>F821EVE!I103</f>
        <v>0</v>
      </c>
      <c r="J103" s="180">
        <f t="shared" si="55"/>
        <v>0</v>
      </c>
      <c r="K103" s="883">
        <f t="shared" si="67"/>
        <v>0</v>
      </c>
      <c r="L103" s="883">
        <f t="shared" si="67"/>
        <v>0</v>
      </c>
      <c r="M103" s="883">
        <f t="shared" si="67"/>
        <v>0</v>
      </c>
      <c r="N103" s="883">
        <f t="shared" si="67"/>
        <v>0</v>
      </c>
      <c r="O103" s="883">
        <f t="shared" si="67"/>
        <v>0</v>
      </c>
      <c r="P103" s="883">
        <f t="shared" si="67"/>
        <v>0</v>
      </c>
      <c r="Q103" s="180">
        <f t="shared" si="56"/>
        <v>0</v>
      </c>
      <c r="R103" s="883">
        <f t="shared" si="68"/>
        <v>0</v>
      </c>
      <c r="S103" s="883">
        <f t="shared" si="69"/>
        <v>0</v>
      </c>
      <c r="T103" s="883">
        <f t="shared" si="70"/>
        <v>0</v>
      </c>
      <c r="U103" s="883">
        <f t="shared" si="71"/>
        <v>0</v>
      </c>
      <c r="V103" s="883">
        <f t="shared" si="72"/>
        <v>0</v>
      </c>
      <c r="W103" s="883">
        <f t="shared" si="73"/>
        <v>0</v>
      </c>
      <c r="X103" s="180">
        <f t="shared" si="57"/>
        <v>0</v>
      </c>
      <c r="Y103" s="883"/>
      <c r="Z103" s="883"/>
      <c r="AA103" s="883"/>
      <c r="AB103" s="883"/>
      <c r="AC103" s="883"/>
      <c r="AD103" s="883"/>
      <c r="AE103" s="180"/>
      <c r="AF103" s="1389"/>
      <c r="AG103" s="972">
        <f>'PDYG-200'!D$32</f>
        <v>0.23190745024205595</v>
      </c>
      <c r="AH103" s="972">
        <f>'PDYG-200'!E$32</f>
        <v>0.30353035303530351</v>
      </c>
      <c r="AI103" s="972">
        <f>'PDYG-200'!F$32</f>
        <v>0.46456219672264054</v>
      </c>
    </row>
    <row r="104" spans="2:35">
      <c r="B104" s="37"/>
      <c r="C104" s="887" t="s">
        <v>307</v>
      </c>
      <c r="D104" s="883">
        <f>F821EVE!D104</f>
        <v>0</v>
      </c>
      <c r="E104" s="883">
        <f>F821EVE!E104</f>
        <v>0</v>
      </c>
      <c r="F104" s="883">
        <f>F821EVE!F104</f>
        <v>0</v>
      </c>
      <c r="G104" s="883">
        <f>F821EVE!G104</f>
        <v>0</v>
      </c>
      <c r="H104" s="883">
        <f>F821EVE!H104</f>
        <v>0</v>
      </c>
      <c r="I104" s="883">
        <f>F821EVE!I104</f>
        <v>0</v>
      </c>
      <c r="J104" s="180">
        <f t="shared" si="55"/>
        <v>0</v>
      </c>
      <c r="K104" s="883">
        <f t="shared" si="67"/>
        <v>0</v>
      </c>
      <c r="L104" s="883">
        <f t="shared" si="67"/>
        <v>0</v>
      </c>
      <c r="M104" s="883">
        <f t="shared" si="67"/>
        <v>0</v>
      </c>
      <c r="N104" s="883">
        <f t="shared" si="67"/>
        <v>0</v>
      </c>
      <c r="O104" s="883">
        <f t="shared" si="67"/>
        <v>0</v>
      </c>
      <c r="P104" s="883">
        <f t="shared" si="67"/>
        <v>0</v>
      </c>
      <c r="Q104" s="180">
        <f t="shared" si="56"/>
        <v>0</v>
      </c>
      <c r="R104" s="883">
        <f t="shared" si="68"/>
        <v>0</v>
      </c>
      <c r="S104" s="883">
        <f t="shared" si="69"/>
        <v>0</v>
      </c>
      <c r="T104" s="883">
        <f t="shared" si="70"/>
        <v>0</v>
      </c>
      <c r="U104" s="883">
        <f t="shared" si="71"/>
        <v>0</v>
      </c>
      <c r="V104" s="883">
        <f t="shared" si="72"/>
        <v>0</v>
      </c>
      <c r="W104" s="883">
        <f t="shared" si="73"/>
        <v>0</v>
      </c>
      <c r="X104" s="180">
        <f t="shared" si="57"/>
        <v>0</v>
      </c>
      <c r="Y104" s="883"/>
      <c r="Z104" s="883"/>
      <c r="AA104" s="883"/>
      <c r="AB104" s="883"/>
      <c r="AC104" s="883"/>
      <c r="AD104" s="883"/>
      <c r="AE104" s="180"/>
      <c r="AF104" s="1389"/>
      <c r="AG104" s="972">
        <f>'PDYG-200'!D$32</f>
        <v>0.23190745024205595</v>
      </c>
      <c r="AH104" s="972">
        <f>'PDYG-200'!E$32</f>
        <v>0.30353035303530351</v>
      </c>
      <c r="AI104" s="972">
        <f>'PDYG-200'!F$32</f>
        <v>0.46456219672264054</v>
      </c>
    </row>
    <row r="105" spans="2:35">
      <c r="B105" s="37"/>
      <c r="C105" s="887" t="s">
        <v>624</v>
      </c>
      <c r="D105" s="883">
        <f>F821EVE!D105</f>
        <v>0</v>
      </c>
      <c r="E105" s="883">
        <f>F821EVE!E105</f>
        <v>0</v>
      </c>
      <c r="F105" s="883">
        <f>F821EVE!F105</f>
        <v>0</v>
      </c>
      <c r="G105" s="883">
        <f>F821EVE!G105</f>
        <v>0</v>
      </c>
      <c r="H105" s="883">
        <f>F821EVE!H105</f>
        <v>0</v>
      </c>
      <c r="I105" s="883">
        <f>F821EVE!I105</f>
        <v>0</v>
      </c>
      <c r="J105" s="180">
        <f t="shared" si="55"/>
        <v>0</v>
      </c>
      <c r="K105" s="883">
        <f t="shared" si="67"/>
        <v>0</v>
      </c>
      <c r="L105" s="883">
        <f t="shared" si="67"/>
        <v>0</v>
      </c>
      <c r="M105" s="883">
        <f t="shared" si="67"/>
        <v>0</v>
      </c>
      <c r="N105" s="883">
        <f t="shared" si="67"/>
        <v>0</v>
      </c>
      <c r="O105" s="883">
        <f t="shared" si="67"/>
        <v>0</v>
      </c>
      <c r="P105" s="883">
        <f t="shared" si="67"/>
        <v>0</v>
      </c>
      <c r="Q105" s="180">
        <f t="shared" si="56"/>
        <v>0</v>
      </c>
      <c r="R105" s="883">
        <f t="shared" si="68"/>
        <v>0</v>
      </c>
      <c r="S105" s="883">
        <f t="shared" si="69"/>
        <v>0</v>
      </c>
      <c r="T105" s="883">
        <f t="shared" si="70"/>
        <v>0</v>
      </c>
      <c r="U105" s="883">
        <f t="shared" si="71"/>
        <v>0</v>
      </c>
      <c r="V105" s="883">
        <f t="shared" si="72"/>
        <v>0</v>
      </c>
      <c r="W105" s="883">
        <f t="shared" si="73"/>
        <v>0</v>
      </c>
      <c r="X105" s="180">
        <f t="shared" si="57"/>
        <v>0</v>
      </c>
      <c r="Y105" s="883"/>
      <c r="Z105" s="883"/>
      <c r="AA105" s="883"/>
      <c r="AB105" s="883"/>
      <c r="AC105" s="883"/>
      <c r="AD105" s="883"/>
      <c r="AE105" s="180"/>
      <c r="AF105" s="1389"/>
      <c r="AG105" s="972">
        <f>'PDYG-200'!D$32</f>
        <v>0.23190745024205595</v>
      </c>
      <c r="AH105" s="972">
        <f>'PDYG-200'!E$32</f>
        <v>0.30353035303530351</v>
      </c>
      <c r="AI105" s="972">
        <f>'PDYG-200'!F$32</f>
        <v>0.46456219672264054</v>
      </c>
    </row>
    <row r="106" spans="2:35">
      <c r="B106" s="37"/>
      <c r="C106" s="884"/>
      <c r="D106" s="883"/>
      <c r="E106" s="883"/>
      <c r="F106" s="883"/>
      <c r="G106" s="883"/>
      <c r="H106" s="883"/>
      <c r="I106" s="883"/>
      <c r="J106" s="180">
        <f t="shared" si="55"/>
        <v>0</v>
      </c>
      <c r="K106" s="883"/>
      <c r="L106" s="883"/>
      <c r="M106" s="883"/>
      <c r="N106" s="883"/>
      <c r="O106" s="883"/>
      <c r="P106" s="883"/>
      <c r="Q106" s="180">
        <f t="shared" si="56"/>
        <v>0</v>
      </c>
      <c r="R106" s="883">
        <f t="shared" si="68"/>
        <v>0</v>
      </c>
      <c r="S106" s="883">
        <f t="shared" si="69"/>
        <v>0</v>
      </c>
      <c r="T106" s="883">
        <f t="shared" si="70"/>
        <v>0</v>
      </c>
      <c r="U106" s="883">
        <f t="shared" si="71"/>
        <v>0</v>
      </c>
      <c r="V106" s="883">
        <f t="shared" si="72"/>
        <v>0</v>
      </c>
      <c r="W106" s="883">
        <f t="shared" si="73"/>
        <v>0</v>
      </c>
      <c r="X106" s="180">
        <f t="shared" si="57"/>
        <v>0</v>
      </c>
      <c r="Y106" s="883"/>
      <c r="Z106" s="883"/>
      <c r="AA106" s="883"/>
      <c r="AB106" s="883"/>
      <c r="AC106" s="883"/>
      <c r="AD106" s="883"/>
      <c r="AE106" s="180"/>
      <c r="AF106" s="1389"/>
    </row>
    <row r="107" spans="2:35" s="587" customFormat="1">
      <c r="B107" s="37"/>
      <c r="C107" s="880" t="s">
        <v>322</v>
      </c>
      <c r="D107" s="881">
        <f>SUBTOTAL(9,D5:D106)</f>
        <v>276099083</v>
      </c>
      <c r="E107" s="881">
        <f t="shared" ref="E107:P107" si="74">SUBTOTAL(9,E5:E106)</f>
        <v>276214311</v>
      </c>
      <c r="F107" s="881">
        <f t="shared" si="74"/>
        <v>270997367</v>
      </c>
      <c r="G107" s="881">
        <f t="shared" si="74"/>
        <v>275267488</v>
      </c>
      <c r="H107" s="881">
        <f t="shared" si="74"/>
        <v>263340211</v>
      </c>
      <c r="I107" s="881">
        <f t="shared" si="74"/>
        <v>264574189</v>
      </c>
      <c r="J107" s="180">
        <f t="shared" si="55"/>
        <v>1626492649</v>
      </c>
      <c r="K107" s="881">
        <f t="shared" si="74"/>
        <v>76961386.595240712</v>
      </c>
      <c r="L107" s="881">
        <f t="shared" si="74"/>
        <v>76602412.898658723</v>
      </c>
      <c r="M107" s="881">
        <f t="shared" si="74"/>
        <v>74821287.769728541</v>
      </c>
      <c r="N107" s="881">
        <f t="shared" si="74"/>
        <v>76166676.988125026</v>
      </c>
      <c r="O107" s="881">
        <f t="shared" si="74"/>
        <v>71417782.562726423</v>
      </c>
      <c r="P107" s="881">
        <f t="shared" si="74"/>
        <v>72436012.367479146</v>
      </c>
      <c r="Q107" s="180">
        <f t="shared" si="56"/>
        <v>448405559.18195856</v>
      </c>
      <c r="R107" s="881">
        <f t="shared" si="68"/>
        <v>199137696.40475929</v>
      </c>
      <c r="S107" s="881">
        <f t="shared" si="69"/>
        <v>199611898.10134128</v>
      </c>
      <c r="T107" s="881">
        <f t="shared" si="70"/>
        <v>196176079.23027146</v>
      </c>
      <c r="U107" s="881">
        <f t="shared" si="71"/>
        <v>199100811.01187497</v>
      </c>
      <c r="V107" s="881">
        <f t="shared" si="72"/>
        <v>191922428.43727356</v>
      </c>
      <c r="W107" s="881">
        <f t="shared" si="73"/>
        <v>192138176.63252085</v>
      </c>
      <c r="X107" s="180">
        <f t="shared" si="57"/>
        <v>1178087089.8180413</v>
      </c>
      <c r="Y107" s="881"/>
      <c r="Z107" s="881"/>
      <c r="AA107" s="881"/>
      <c r="AB107" s="881"/>
      <c r="AC107" s="881"/>
      <c r="AD107" s="881"/>
      <c r="AE107" s="180"/>
      <c r="AF107" s="1389"/>
      <c r="AG107" s="969"/>
      <c r="AH107" s="969"/>
      <c r="AI107" s="969"/>
    </row>
    <row r="108" spans="2:35">
      <c r="B108" s="37"/>
      <c r="C108" s="959" t="s">
        <v>88</v>
      </c>
      <c r="D108" s="883">
        <f>F821EVE!D108</f>
        <v>6692707</v>
      </c>
      <c r="E108" s="883">
        <f>F821EVE!E108</f>
        <v>6693541</v>
      </c>
      <c r="F108" s="883">
        <f>F821EVE!F108</f>
        <v>6660739</v>
      </c>
      <c r="G108" s="883">
        <f>F821EVE!G108</f>
        <v>6662419</v>
      </c>
      <c r="H108" s="883">
        <f>F821EVE!H108</f>
        <v>6629164</v>
      </c>
      <c r="I108" s="883">
        <f>F821EVE!I108</f>
        <v>6579829</v>
      </c>
      <c r="J108" s="180">
        <f t="shared" si="55"/>
        <v>39918399</v>
      </c>
      <c r="K108" s="883"/>
      <c r="L108" s="883"/>
      <c r="M108" s="883"/>
      <c r="N108" s="883"/>
      <c r="O108" s="883"/>
      <c r="P108" s="883"/>
      <c r="Q108" s="180">
        <f t="shared" si="56"/>
        <v>0</v>
      </c>
      <c r="R108" s="883">
        <f t="shared" si="68"/>
        <v>6692707</v>
      </c>
      <c r="S108" s="883">
        <f t="shared" si="69"/>
        <v>6693541</v>
      </c>
      <c r="T108" s="883">
        <f t="shared" si="70"/>
        <v>6660739</v>
      </c>
      <c r="U108" s="883">
        <f t="shared" si="71"/>
        <v>6662419</v>
      </c>
      <c r="V108" s="883">
        <f t="shared" si="72"/>
        <v>6629164</v>
      </c>
      <c r="W108" s="883">
        <f t="shared" si="73"/>
        <v>6579829</v>
      </c>
      <c r="X108" s="180">
        <f t="shared" si="57"/>
        <v>39918399</v>
      </c>
      <c r="Y108" s="883"/>
      <c r="Z108" s="883"/>
      <c r="AA108" s="883"/>
      <c r="AB108" s="883"/>
      <c r="AC108" s="883"/>
      <c r="AD108" s="883"/>
      <c r="AE108" s="180"/>
      <c r="AF108" s="1389"/>
    </row>
    <row r="109" spans="2:35" s="587" customFormat="1">
      <c r="B109" s="37"/>
      <c r="C109" s="880" t="s">
        <v>112</v>
      </c>
      <c r="D109" s="881">
        <f>F821EVE!D109</f>
        <v>282791790</v>
      </c>
      <c r="E109" s="881">
        <f>F821EVE!E109</f>
        <v>282907852</v>
      </c>
      <c r="F109" s="881">
        <f>F821EVE!F109</f>
        <v>277658106</v>
      </c>
      <c r="G109" s="881">
        <f>F821EVE!G109</f>
        <v>281929907</v>
      </c>
      <c r="H109" s="881">
        <f>F821EVE!H109</f>
        <v>269969375</v>
      </c>
      <c r="I109" s="881">
        <f>F821EVE!I109</f>
        <v>271154018</v>
      </c>
      <c r="J109" s="180">
        <f t="shared" si="55"/>
        <v>1666411048</v>
      </c>
      <c r="K109" s="881">
        <f>K107+K108</f>
        <v>76961386.595240712</v>
      </c>
      <c r="L109" s="881">
        <f t="shared" ref="L109:P109" si="75">L107+L108</f>
        <v>76602412.898658723</v>
      </c>
      <c r="M109" s="881">
        <f t="shared" si="75"/>
        <v>74821287.769728541</v>
      </c>
      <c r="N109" s="881">
        <f t="shared" si="75"/>
        <v>76166676.988125026</v>
      </c>
      <c r="O109" s="881">
        <f t="shared" si="75"/>
        <v>71417782.562726423</v>
      </c>
      <c r="P109" s="881">
        <f t="shared" si="75"/>
        <v>72436012.367479146</v>
      </c>
      <c r="Q109" s="180">
        <f t="shared" si="56"/>
        <v>448405559.18195856</v>
      </c>
      <c r="R109" s="881">
        <f t="shared" si="68"/>
        <v>205830403.40475929</v>
      </c>
      <c r="S109" s="881">
        <f t="shared" si="69"/>
        <v>206305439.10134128</v>
      </c>
      <c r="T109" s="881">
        <f t="shared" si="70"/>
        <v>202836818.23027146</v>
      </c>
      <c r="U109" s="881">
        <f t="shared" si="71"/>
        <v>205763230.01187497</v>
      </c>
      <c r="V109" s="881">
        <f t="shared" si="72"/>
        <v>198551592.43727356</v>
      </c>
      <c r="W109" s="881">
        <f t="shared" si="73"/>
        <v>198718005.63252085</v>
      </c>
      <c r="X109" s="180">
        <f t="shared" si="57"/>
        <v>1218005488.8180413</v>
      </c>
      <c r="Y109" s="881"/>
      <c r="Z109" s="881"/>
      <c r="AA109" s="881"/>
      <c r="AB109" s="881"/>
      <c r="AC109" s="881"/>
      <c r="AD109" s="881"/>
      <c r="AE109" s="180"/>
      <c r="AF109" s="1389"/>
      <c r="AG109" s="969"/>
      <c r="AH109" s="969"/>
      <c r="AI109" s="969"/>
    </row>
    <row r="110" spans="2:35">
      <c r="B110" s="37"/>
      <c r="D110" s="588">
        <f>D109-F821EVE!D109</f>
        <v>0</v>
      </c>
      <c r="E110" s="588">
        <f>E109-F821EVE!E109</f>
        <v>0</v>
      </c>
      <c r="F110" s="588">
        <f>F109-F821EVE!F109</f>
        <v>0</v>
      </c>
      <c r="G110" s="588">
        <f>G109-F821EVE!G109</f>
        <v>0</v>
      </c>
      <c r="H110" s="588">
        <f>H109-F821EVE!H109</f>
        <v>0</v>
      </c>
      <c r="I110" s="588">
        <f>I109-F821EVE!I109</f>
        <v>0</v>
      </c>
      <c r="J110" s="588"/>
    </row>
    <row r="111" spans="2:35">
      <c r="B111" s="37"/>
      <c r="D111" s="588">
        <f t="shared" ref="D111:I111" si="76">D109-K109-R109-Y109</f>
        <v>0</v>
      </c>
      <c r="E111" s="588">
        <f t="shared" si="76"/>
        <v>0</v>
      </c>
      <c r="F111" s="588">
        <f t="shared" si="76"/>
        <v>0</v>
      </c>
      <c r="G111" s="588">
        <f t="shared" si="76"/>
        <v>0</v>
      </c>
      <c r="H111" s="588">
        <f t="shared" si="76"/>
        <v>0</v>
      </c>
      <c r="I111" s="588">
        <f t="shared" si="76"/>
        <v>0</v>
      </c>
      <c r="J111" s="588"/>
    </row>
    <row r="112" spans="2:35" s="532" customFormat="1" ht="15.75">
      <c r="B112" s="37"/>
      <c r="C112" s="960"/>
      <c r="D112" s="961" t="s">
        <v>159</v>
      </c>
      <c r="E112" s="962"/>
      <c r="F112" s="962"/>
      <c r="G112" s="962"/>
      <c r="H112" s="962"/>
      <c r="I112" s="962"/>
      <c r="J112" s="967"/>
      <c r="K112" s="961" t="s">
        <v>160</v>
      </c>
      <c r="L112" s="962"/>
      <c r="M112" s="962"/>
      <c r="N112" s="962"/>
      <c r="O112" s="962"/>
      <c r="P112" s="962"/>
      <c r="Q112" s="967"/>
      <c r="R112" s="961" t="s">
        <v>183</v>
      </c>
      <c r="S112" s="962"/>
      <c r="T112" s="962"/>
      <c r="U112" s="962"/>
      <c r="V112" s="962"/>
      <c r="W112" s="962"/>
      <c r="X112" s="967"/>
      <c r="Y112" s="961"/>
      <c r="Z112" s="962"/>
      <c r="AA112" s="962"/>
      <c r="AB112" s="962"/>
      <c r="AC112" s="962"/>
      <c r="AD112" s="962"/>
      <c r="AE112" s="967"/>
      <c r="AF112" s="1032"/>
      <c r="AG112" s="972"/>
      <c r="AH112" s="972"/>
      <c r="AI112" s="972"/>
    </row>
    <row r="113" spans="1:35" ht="24">
      <c r="B113" s="37"/>
      <c r="C113" s="963" t="s">
        <v>365</v>
      </c>
      <c r="D113" s="966">
        <f t="shared" ref="D113:I113" si="77">D4</f>
        <v>45839</v>
      </c>
      <c r="E113" s="966">
        <f t="shared" si="77"/>
        <v>45870</v>
      </c>
      <c r="F113" s="966">
        <f t="shared" si="77"/>
        <v>45901</v>
      </c>
      <c r="G113" s="966">
        <f t="shared" si="77"/>
        <v>45931</v>
      </c>
      <c r="H113" s="966">
        <f t="shared" si="77"/>
        <v>45962</v>
      </c>
      <c r="I113" s="966">
        <f t="shared" si="77"/>
        <v>45992</v>
      </c>
      <c r="J113" s="966" t="s">
        <v>111</v>
      </c>
      <c r="K113" s="966">
        <f t="shared" ref="K113:P113" si="78">K4</f>
        <v>45839</v>
      </c>
      <c r="L113" s="966">
        <f t="shared" si="78"/>
        <v>45870</v>
      </c>
      <c r="M113" s="966">
        <f t="shared" si="78"/>
        <v>45901</v>
      </c>
      <c r="N113" s="966">
        <f t="shared" si="78"/>
        <v>45931</v>
      </c>
      <c r="O113" s="966">
        <f t="shared" si="78"/>
        <v>45962</v>
      </c>
      <c r="P113" s="966">
        <f t="shared" si="78"/>
        <v>45992</v>
      </c>
      <c r="Q113" s="966" t="s">
        <v>111</v>
      </c>
      <c r="R113" s="966">
        <f t="shared" ref="R113:W113" si="79">R4</f>
        <v>45839</v>
      </c>
      <c r="S113" s="966">
        <f t="shared" si="79"/>
        <v>45870</v>
      </c>
      <c r="T113" s="966">
        <f t="shared" si="79"/>
        <v>45901</v>
      </c>
      <c r="U113" s="966">
        <f t="shared" si="79"/>
        <v>45931</v>
      </c>
      <c r="V113" s="966">
        <f t="shared" si="79"/>
        <v>45962</v>
      </c>
      <c r="W113" s="966">
        <f t="shared" si="79"/>
        <v>45992</v>
      </c>
      <c r="X113" s="966" t="s">
        <v>111</v>
      </c>
      <c r="Y113" s="966"/>
      <c r="Z113" s="966"/>
      <c r="AA113" s="966"/>
      <c r="AB113" s="966"/>
      <c r="AC113" s="966"/>
      <c r="AD113" s="966"/>
      <c r="AE113" s="966"/>
      <c r="AF113" s="1390"/>
      <c r="AG113" s="972"/>
      <c r="AH113" s="972"/>
      <c r="AI113" s="972"/>
    </row>
    <row r="114" spans="1:35" ht="15.75">
      <c r="A114" s="57"/>
      <c r="B114" s="37"/>
      <c r="C114" s="965" t="s">
        <v>446</v>
      </c>
      <c r="D114" s="881">
        <f>F821EVE!D114</f>
        <v>27271725.471500002</v>
      </c>
      <c r="E114" s="881">
        <f>F821EVE!E114</f>
        <v>24942921.033000004</v>
      </c>
      <c r="F114" s="881">
        <f>F821EVE!F114</f>
        <v>25609266.369299997</v>
      </c>
      <c r="G114" s="881">
        <f>F821EVE!G114</f>
        <v>28404821.4912</v>
      </c>
      <c r="H114" s="881">
        <f>F821EVE!H114</f>
        <v>22035358.626900002</v>
      </c>
      <c r="I114" s="881">
        <f>F821EVE!I114</f>
        <v>17333141.187970005</v>
      </c>
      <c r="J114" s="180">
        <f>SUM(D114:I114)</f>
        <v>145597234.17987001</v>
      </c>
      <c r="K114" s="881">
        <f t="shared" ref="K114:P114" si="80">SUBTOTAL(9,K115:K121)</f>
        <v>3355148.0077495677</v>
      </c>
      <c r="L114" s="881">
        <f t="shared" si="80"/>
        <v>3118984.9036274385</v>
      </c>
      <c r="M114" s="881">
        <f t="shared" si="80"/>
        <v>3177161.4575281935</v>
      </c>
      <c r="N114" s="881">
        <f t="shared" si="80"/>
        <v>3704254.476026753</v>
      </c>
      <c r="O114" s="881">
        <f t="shared" si="80"/>
        <v>2927909.6337832827</v>
      </c>
      <c r="P114" s="881">
        <f t="shared" si="80"/>
        <v>3472383.1790282815</v>
      </c>
      <c r="Q114" s="180">
        <f>SUM(K114:P114)</f>
        <v>19755841.657743517</v>
      </c>
      <c r="R114" s="881">
        <f t="shared" ref="R114:W120" si="81">D114-K114</f>
        <v>23916577.463750433</v>
      </c>
      <c r="S114" s="881">
        <f t="shared" si="81"/>
        <v>21823936.129372567</v>
      </c>
      <c r="T114" s="881">
        <f t="shared" si="81"/>
        <v>22432104.911771804</v>
      </c>
      <c r="U114" s="881">
        <f t="shared" si="81"/>
        <v>24700567.015173249</v>
      </c>
      <c r="V114" s="881">
        <f t="shared" si="81"/>
        <v>19107448.993116722</v>
      </c>
      <c r="W114" s="881">
        <f t="shared" si="81"/>
        <v>13860758.008941723</v>
      </c>
      <c r="X114" s="180">
        <f>SUM(R114:W114)</f>
        <v>125841392.5221265</v>
      </c>
      <c r="Y114" s="881"/>
      <c r="Z114" s="881"/>
      <c r="AA114" s="881"/>
      <c r="AB114" s="881"/>
      <c r="AC114" s="881"/>
      <c r="AD114" s="881"/>
      <c r="AE114" s="180"/>
      <c r="AF114" s="1389"/>
      <c r="AG114" s="972"/>
      <c r="AH114" s="972"/>
      <c r="AI114" s="972"/>
    </row>
    <row r="115" spans="1:35">
      <c r="A115" s="57"/>
      <c r="B115" s="48" t="s">
        <v>870</v>
      </c>
      <c r="C115" s="882" t="s">
        <v>279</v>
      </c>
      <c r="D115" s="881">
        <f>F821EVE!D115</f>
        <v>9732186.0445000008</v>
      </c>
      <c r="E115" s="881">
        <f>F821EVE!E115</f>
        <v>8809349.8929999992</v>
      </c>
      <c r="F115" s="881">
        <f>F821EVE!F115</f>
        <v>8904240.7452999987</v>
      </c>
      <c r="G115" s="881">
        <f>F821EVE!G115</f>
        <v>10209908.455899999</v>
      </c>
      <c r="H115" s="881">
        <f>F821EVE!H115</f>
        <v>7093283.8164999997</v>
      </c>
      <c r="I115" s="881">
        <f>F821EVE!I115</f>
        <v>9146574.2800999992</v>
      </c>
      <c r="J115" s="180">
        <f t="shared" ref="J115:J146" si="82">SUM(D115:I115)</f>
        <v>53895543.23529999</v>
      </c>
      <c r="K115" s="881">
        <f t="shared" ref="K115:P115" si="83">SUBTOTAL(9,K116)</f>
        <v>2270973.2761666193</v>
      </c>
      <c r="L115" s="881">
        <f t="shared" si="83"/>
        <v>2055632.5265391164</v>
      </c>
      <c r="M115" s="881">
        <f t="shared" si="83"/>
        <v>2077774.991627703</v>
      </c>
      <c r="N115" s="881">
        <f t="shared" si="83"/>
        <v>2382448.2135295752</v>
      </c>
      <c r="O115" s="881">
        <f t="shared" si="83"/>
        <v>1655194.2095928418</v>
      </c>
      <c r="P115" s="881">
        <f t="shared" si="83"/>
        <v>2134322.7167670932</v>
      </c>
      <c r="Q115" s="180">
        <f t="shared" ref="Q115:Q146" si="84">SUM(K115:P115)</f>
        <v>12576345.93422295</v>
      </c>
      <c r="R115" s="881">
        <f t="shared" si="81"/>
        <v>7461212.768333381</v>
      </c>
      <c r="S115" s="881">
        <f t="shared" si="81"/>
        <v>6753717.3664608831</v>
      </c>
      <c r="T115" s="881">
        <f t="shared" si="81"/>
        <v>6826465.7536722962</v>
      </c>
      <c r="U115" s="881">
        <f t="shared" si="81"/>
        <v>7827460.2423704229</v>
      </c>
      <c r="V115" s="881">
        <f t="shared" si="81"/>
        <v>5438089.6069071582</v>
      </c>
      <c r="W115" s="881">
        <f t="shared" si="81"/>
        <v>7012251.563332906</v>
      </c>
      <c r="X115" s="180">
        <f t="shared" ref="X115:X146" si="85">SUM(R115:W115)</f>
        <v>41319197.301077046</v>
      </c>
      <c r="Y115" s="881"/>
      <c r="Z115" s="881"/>
      <c r="AA115" s="881"/>
      <c r="AB115" s="881"/>
      <c r="AC115" s="881"/>
      <c r="AD115" s="881"/>
      <c r="AE115" s="180"/>
      <c r="AF115" s="1389"/>
      <c r="AG115" s="972">
        <f>'PDYG-200'!D$29</f>
        <v>0.23334667728120814</v>
      </c>
      <c r="AH115" s="972">
        <f>'PDYG-200'!E$29</f>
        <v>0.29057094290570945</v>
      </c>
      <c r="AI115" s="972">
        <f>'PDYG-200'!F$29</f>
        <v>0.47608237981308243</v>
      </c>
    </row>
    <row r="116" spans="1:35">
      <c r="A116" s="57"/>
      <c r="B116" s="48"/>
      <c r="C116" s="887" t="s">
        <v>971</v>
      </c>
      <c r="D116" s="883">
        <f>F821EVE!D116</f>
        <v>9732186.0445000008</v>
      </c>
      <c r="E116" s="883">
        <f>F821EVE!E116</f>
        <v>8809349.8929999992</v>
      </c>
      <c r="F116" s="883">
        <f>F821EVE!F116</f>
        <v>8904240.7452999987</v>
      </c>
      <c r="G116" s="883">
        <f>F821EVE!G116</f>
        <v>10209908.455899999</v>
      </c>
      <c r="H116" s="883">
        <f>F821EVE!H116</f>
        <v>7093283.8164999997</v>
      </c>
      <c r="I116" s="883">
        <f>F821EVE!I116</f>
        <v>9146574.2800999992</v>
      </c>
      <c r="J116" s="180">
        <f t="shared" si="82"/>
        <v>53895543.23529999</v>
      </c>
      <c r="K116" s="883">
        <f t="shared" ref="K116:P116" si="86">D116*$AG116</f>
        <v>2270973.2761666193</v>
      </c>
      <c r="L116" s="883">
        <f t="shared" si="86"/>
        <v>2055632.5265391164</v>
      </c>
      <c r="M116" s="883">
        <f t="shared" si="86"/>
        <v>2077774.991627703</v>
      </c>
      <c r="N116" s="883">
        <f t="shared" si="86"/>
        <v>2382448.2135295752</v>
      </c>
      <c r="O116" s="883">
        <f t="shared" si="86"/>
        <v>1655194.2095928418</v>
      </c>
      <c r="P116" s="883">
        <f t="shared" si="86"/>
        <v>2134322.7167670932</v>
      </c>
      <c r="Q116" s="180">
        <f t="shared" si="84"/>
        <v>12576345.93422295</v>
      </c>
      <c r="R116" s="883">
        <f t="shared" si="81"/>
        <v>7461212.768333381</v>
      </c>
      <c r="S116" s="883">
        <f t="shared" si="81"/>
        <v>6753717.3664608831</v>
      </c>
      <c r="T116" s="883">
        <f t="shared" si="81"/>
        <v>6826465.7536722962</v>
      </c>
      <c r="U116" s="883">
        <f t="shared" si="81"/>
        <v>7827460.2423704229</v>
      </c>
      <c r="V116" s="883">
        <f t="shared" si="81"/>
        <v>5438089.6069071582</v>
      </c>
      <c r="W116" s="883">
        <f t="shared" si="81"/>
        <v>7012251.563332906</v>
      </c>
      <c r="X116" s="180">
        <f t="shared" si="85"/>
        <v>41319197.301077046</v>
      </c>
      <c r="Y116" s="883"/>
      <c r="Z116" s="883"/>
      <c r="AA116" s="883"/>
      <c r="AB116" s="883"/>
      <c r="AC116" s="883"/>
      <c r="AD116" s="883"/>
      <c r="AE116" s="180"/>
      <c r="AF116" s="1389"/>
      <c r="AG116" s="972">
        <f>'PDYG-200'!D$29</f>
        <v>0.23334667728120814</v>
      </c>
      <c r="AH116" s="972">
        <f>'PDYG-200'!E$29</f>
        <v>0.29057094290570945</v>
      </c>
      <c r="AI116" s="972">
        <f>'PDYG-200'!F$29</f>
        <v>0.47608237981308243</v>
      </c>
    </row>
    <row r="117" spans="1:35">
      <c r="A117" s="57"/>
      <c r="B117" s="48" t="s">
        <v>871</v>
      </c>
      <c r="C117" s="882" t="s">
        <v>278</v>
      </c>
      <c r="D117" s="881">
        <f>F821EVE!D117</f>
        <v>4646197.4270000001</v>
      </c>
      <c r="E117" s="881">
        <f>F821EVE!E117</f>
        <v>4556963.8679999998</v>
      </c>
      <c r="F117" s="881">
        <f>F821EVE!F117</f>
        <v>4711386.845999999</v>
      </c>
      <c r="G117" s="881">
        <f>F821EVE!G117</f>
        <v>5664560.0352999996</v>
      </c>
      <c r="H117" s="881">
        <f>F821EVE!H117</f>
        <v>5454182.7593999989</v>
      </c>
      <c r="I117" s="881">
        <f>F821EVE!I117</f>
        <v>5734216.9078700012</v>
      </c>
      <c r="J117" s="180">
        <f t="shared" si="82"/>
        <v>30767507.843569998</v>
      </c>
      <c r="K117" s="881">
        <f t="shared" ref="K117:M117" si="87">SUBTOTAL(9,K118:K119)</f>
        <v>1084174.7315829487</v>
      </c>
      <c r="L117" s="881">
        <f t="shared" si="87"/>
        <v>1063352.3770883218</v>
      </c>
      <c r="M117" s="881">
        <f t="shared" si="87"/>
        <v>1099386.4659004908</v>
      </c>
      <c r="N117" s="881">
        <f t="shared" ref="N117:P117" si="88">SUBTOTAL(9,N118:N119)</f>
        <v>1321806.262497178</v>
      </c>
      <c r="O117" s="881">
        <f t="shared" si="88"/>
        <v>1272715.4241904409</v>
      </c>
      <c r="P117" s="881">
        <f t="shared" si="88"/>
        <v>1338060.4622611883</v>
      </c>
      <c r="Q117" s="180">
        <f t="shared" si="84"/>
        <v>7179495.7235205695</v>
      </c>
      <c r="R117" s="881">
        <f t="shared" si="81"/>
        <v>3562022.6954170512</v>
      </c>
      <c r="S117" s="881">
        <f t="shared" si="81"/>
        <v>3493611.4909116779</v>
      </c>
      <c r="T117" s="881">
        <f t="shared" si="81"/>
        <v>3612000.380099508</v>
      </c>
      <c r="U117" s="881">
        <f t="shared" si="81"/>
        <v>4342753.7728028214</v>
      </c>
      <c r="V117" s="881">
        <f t="shared" si="81"/>
        <v>4181467.3352095578</v>
      </c>
      <c r="W117" s="881">
        <f t="shared" si="81"/>
        <v>4396156.4456088133</v>
      </c>
      <c r="X117" s="180">
        <f t="shared" si="85"/>
        <v>23588012.120049428</v>
      </c>
      <c r="Y117" s="881"/>
      <c r="Z117" s="881"/>
      <c r="AA117" s="881"/>
      <c r="AB117" s="881"/>
      <c r="AC117" s="881"/>
      <c r="AD117" s="881"/>
      <c r="AE117" s="180"/>
      <c r="AF117" s="1389"/>
      <c r="AG117" s="972">
        <f>'PDYG-200'!D$29</f>
        <v>0.23334667728120814</v>
      </c>
      <c r="AH117" s="972">
        <f>'PDYG-200'!E$29</f>
        <v>0.29057094290570945</v>
      </c>
      <c r="AI117" s="972">
        <f>'PDYG-200'!F$29</f>
        <v>0.47608237981308243</v>
      </c>
    </row>
    <row r="118" spans="1:35">
      <c r="A118" s="57"/>
      <c r="B118" s="48"/>
      <c r="C118" s="887" t="s">
        <v>969</v>
      </c>
      <c r="D118" s="883">
        <f>F821EVE!D118</f>
        <v>0</v>
      </c>
      <c r="E118" s="883">
        <f>F821EVE!E118</f>
        <v>0</v>
      </c>
      <c r="F118" s="883">
        <f>F821EVE!F118</f>
        <v>0</v>
      </c>
      <c r="G118" s="883">
        <f>F821EVE!G118</f>
        <v>0</v>
      </c>
      <c r="H118" s="883">
        <f>F821EVE!H118</f>
        <v>0</v>
      </c>
      <c r="I118" s="883">
        <f>F821EVE!I118</f>
        <v>0</v>
      </c>
      <c r="J118" s="180">
        <f t="shared" si="82"/>
        <v>0</v>
      </c>
      <c r="K118" s="883">
        <f t="shared" ref="K118:P119" si="89">D118*$AG118</f>
        <v>0</v>
      </c>
      <c r="L118" s="883">
        <f t="shared" si="89"/>
        <v>0</v>
      </c>
      <c r="M118" s="883">
        <f t="shared" si="89"/>
        <v>0</v>
      </c>
      <c r="N118" s="883">
        <f t="shared" si="89"/>
        <v>0</v>
      </c>
      <c r="O118" s="883">
        <f t="shared" si="89"/>
        <v>0</v>
      </c>
      <c r="P118" s="883">
        <f t="shared" si="89"/>
        <v>0</v>
      </c>
      <c r="Q118" s="180">
        <f t="shared" si="84"/>
        <v>0</v>
      </c>
      <c r="R118" s="883">
        <f t="shared" si="81"/>
        <v>0</v>
      </c>
      <c r="S118" s="883">
        <f t="shared" si="81"/>
        <v>0</v>
      </c>
      <c r="T118" s="883">
        <f t="shared" si="81"/>
        <v>0</v>
      </c>
      <c r="U118" s="883">
        <f t="shared" si="81"/>
        <v>0</v>
      </c>
      <c r="V118" s="883">
        <f t="shared" si="81"/>
        <v>0</v>
      </c>
      <c r="W118" s="883">
        <f t="shared" si="81"/>
        <v>0</v>
      </c>
      <c r="X118" s="180">
        <f t="shared" si="85"/>
        <v>0</v>
      </c>
      <c r="Y118" s="883"/>
      <c r="Z118" s="883"/>
      <c r="AA118" s="883"/>
      <c r="AB118" s="883"/>
      <c r="AC118" s="883"/>
      <c r="AD118" s="883"/>
      <c r="AE118" s="180"/>
      <c r="AF118" s="1389"/>
      <c r="AG118" s="972">
        <f>'PDYG-200'!D$29</f>
        <v>0.23334667728120814</v>
      </c>
      <c r="AH118" s="972">
        <f>'PDYG-200'!E$29</f>
        <v>0.29057094290570945</v>
      </c>
      <c r="AI118" s="972">
        <f>'PDYG-200'!F$29</f>
        <v>0.47608237981308243</v>
      </c>
    </row>
    <row r="119" spans="1:35">
      <c r="A119" s="57"/>
      <c r="B119" s="48"/>
      <c r="C119" s="887" t="s">
        <v>970</v>
      </c>
      <c r="D119" s="883">
        <f>F821EVE!D119</f>
        <v>4646197.4270000001</v>
      </c>
      <c r="E119" s="883">
        <f>F821EVE!E119</f>
        <v>4556963.8679999998</v>
      </c>
      <c r="F119" s="883">
        <f>F821EVE!F119</f>
        <v>4711386.845999999</v>
      </c>
      <c r="G119" s="883">
        <f>F821EVE!G119</f>
        <v>5664560.0352999996</v>
      </c>
      <c r="H119" s="883">
        <f>F821EVE!H119</f>
        <v>5454182.7593999989</v>
      </c>
      <c r="I119" s="883">
        <f>F821EVE!I119</f>
        <v>5734216.9078700012</v>
      </c>
      <c r="J119" s="180">
        <f t="shared" si="82"/>
        <v>30767507.843569998</v>
      </c>
      <c r="K119" s="883">
        <f t="shared" si="89"/>
        <v>1084174.7315829487</v>
      </c>
      <c r="L119" s="883">
        <f t="shared" si="89"/>
        <v>1063352.3770883218</v>
      </c>
      <c r="M119" s="883">
        <f t="shared" si="89"/>
        <v>1099386.4659004908</v>
      </c>
      <c r="N119" s="883">
        <f t="shared" si="89"/>
        <v>1321806.262497178</v>
      </c>
      <c r="O119" s="883">
        <f t="shared" si="89"/>
        <v>1272715.4241904409</v>
      </c>
      <c r="P119" s="883">
        <f t="shared" si="89"/>
        <v>1338060.4622611883</v>
      </c>
      <c r="Q119" s="180">
        <f t="shared" si="84"/>
        <v>7179495.7235205695</v>
      </c>
      <c r="R119" s="883">
        <f t="shared" si="81"/>
        <v>3562022.6954170512</v>
      </c>
      <c r="S119" s="883">
        <f t="shared" si="81"/>
        <v>3493611.4909116779</v>
      </c>
      <c r="T119" s="883">
        <f t="shared" si="81"/>
        <v>3612000.380099508</v>
      </c>
      <c r="U119" s="883">
        <f t="shared" si="81"/>
        <v>4342753.7728028214</v>
      </c>
      <c r="V119" s="883">
        <f t="shared" si="81"/>
        <v>4181467.3352095578</v>
      </c>
      <c r="W119" s="883">
        <f t="shared" si="81"/>
        <v>4396156.4456088133</v>
      </c>
      <c r="X119" s="180">
        <f t="shared" si="85"/>
        <v>23588012.120049428</v>
      </c>
      <c r="Y119" s="883"/>
      <c r="Z119" s="883"/>
      <c r="AA119" s="883"/>
      <c r="AB119" s="883"/>
      <c r="AC119" s="883"/>
      <c r="AD119" s="883"/>
      <c r="AE119" s="180"/>
      <c r="AF119" s="1389"/>
      <c r="AG119" s="972">
        <f>'PDYG-200'!D$29</f>
        <v>0.23334667728120814</v>
      </c>
      <c r="AH119" s="972">
        <f>'PDYG-200'!E$29</f>
        <v>0.29057094290570945</v>
      </c>
      <c r="AI119" s="972">
        <f>'PDYG-200'!F$29</f>
        <v>0.47608237981308243</v>
      </c>
    </row>
    <row r="120" spans="1:35">
      <c r="A120" s="57"/>
      <c r="B120" s="48" t="s">
        <v>893</v>
      </c>
      <c r="C120" s="887" t="s">
        <v>901</v>
      </c>
      <c r="D120" s="881">
        <f>F821EVE!D120</f>
        <v>12893341.999999998</v>
      </c>
      <c r="E120" s="881">
        <f>F821EVE!E120</f>
        <v>11576607.272000004</v>
      </c>
      <c r="F120" s="881">
        <f>F821EVE!F120</f>
        <v>11993638.777999999</v>
      </c>
      <c r="G120" s="881">
        <f>F821EVE!G120</f>
        <v>12530353.000000002</v>
      </c>
      <c r="H120" s="881">
        <f>F821EVE!H120</f>
        <v>9487892.0510000009</v>
      </c>
      <c r="I120" s="881">
        <f>F821EVE!I120</f>
        <v>2452350.0000000047</v>
      </c>
      <c r="J120" s="180">
        <f t="shared" si="82"/>
        <v>60934183.101000004</v>
      </c>
      <c r="K120" s="881"/>
      <c r="L120" s="881"/>
      <c r="M120" s="881"/>
      <c r="N120" s="881"/>
      <c r="O120" s="881"/>
      <c r="P120" s="881"/>
      <c r="Q120" s="180">
        <f t="shared" si="84"/>
        <v>0</v>
      </c>
      <c r="R120" s="881">
        <f t="shared" si="81"/>
        <v>12893341.999999998</v>
      </c>
      <c r="S120" s="881">
        <f t="shared" si="81"/>
        <v>11576607.272000004</v>
      </c>
      <c r="T120" s="881">
        <f t="shared" si="81"/>
        <v>11993638.777999999</v>
      </c>
      <c r="U120" s="881">
        <f t="shared" si="81"/>
        <v>12530353.000000002</v>
      </c>
      <c r="V120" s="881">
        <f t="shared" si="81"/>
        <v>9487892.0510000009</v>
      </c>
      <c r="W120" s="881">
        <f t="shared" si="81"/>
        <v>2452350.0000000047</v>
      </c>
      <c r="X120" s="180">
        <f t="shared" si="85"/>
        <v>60934183.101000004</v>
      </c>
      <c r="Y120" s="881"/>
      <c r="Z120" s="881"/>
      <c r="AA120" s="881"/>
      <c r="AB120" s="881"/>
      <c r="AC120" s="881"/>
      <c r="AD120" s="881"/>
      <c r="AE120" s="180"/>
      <c r="AF120" s="1389"/>
      <c r="AG120" s="972">
        <f>'PDYG-200'!D$29</f>
        <v>0.23334667728120814</v>
      </c>
      <c r="AH120" s="972">
        <f>'PDYG-200'!E$29</f>
        <v>0.29057094290570945</v>
      </c>
      <c r="AI120" s="972">
        <f>'PDYG-200'!F$29</f>
        <v>0.47608237981308243</v>
      </c>
    </row>
    <row r="121" spans="1:35">
      <c r="A121" s="57"/>
      <c r="B121" s="48"/>
      <c r="C121" s="887"/>
      <c r="D121" s="881"/>
      <c r="E121" s="881"/>
      <c r="F121" s="881"/>
      <c r="G121" s="881"/>
      <c r="H121" s="881"/>
      <c r="I121" s="881"/>
      <c r="J121" s="180"/>
      <c r="K121" s="881"/>
      <c r="L121" s="881"/>
      <c r="M121" s="881"/>
      <c r="N121" s="881"/>
      <c r="O121" s="881"/>
      <c r="P121" s="881"/>
      <c r="Q121" s="180"/>
      <c r="R121" s="881"/>
      <c r="S121" s="881"/>
      <c r="T121" s="881"/>
      <c r="U121" s="881"/>
      <c r="V121" s="881"/>
      <c r="W121" s="881"/>
      <c r="X121" s="180"/>
      <c r="Y121" s="881"/>
      <c r="Z121" s="881"/>
      <c r="AA121" s="881"/>
      <c r="AB121" s="881"/>
      <c r="AC121" s="881"/>
      <c r="AD121" s="881"/>
      <c r="AE121" s="180"/>
      <c r="AF121" s="1389"/>
      <c r="AG121" s="972"/>
      <c r="AH121" s="972"/>
      <c r="AI121" s="972"/>
    </row>
    <row r="122" spans="1:35" ht="15.75">
      <c r="A122" s="57"/>
      <c r="B122" s="48"/>
      <c r="C122" s="965" t="s">
        <v>630</v>
      </c>
      <c r="D122" s="881">
        <f>F821EVE!D122</f>
        <v>52892929.403115004</v>
      </c>
      <c r="E122" s="881">
        <f>F821EVE!E122</f>
        <v>52556921.366294995</v>
      </c>
      <c r="F122" s="881">
        <f>F821EVE!F122</f>
        <v>51076738.302040003</v>
      </c>
      <c r="G122" s="881">
        <f>F821EVE!G122</f>
        <v>53452873.860100009</v>
      </c>
      <c r="H122" s="881">
        <f>F821EVE!H122</f>
        <v>49452378.323399991</v>
      </c>
      <c r="I122" s="881">
        <f>F821EVE!I122</f>
        <v>52245788.177693501</v>
      </c>
      <c r="J122" s="180">
        <f t="shared" si="82"/>
        <v>311677629.43264347</v>
      </c>
      <c r="K122" s="881">
        <f t="shared" ref="K122:P122" si="90">SUBTOTAL(9,K123:K134)</f>
        <v>16543128.510197379</v>
      </c>
      <c r="L122" s="881">
        <f t="shared" si="90"/>
        <v>16172437.755179098</v>
      </c>
      <c r="M122" s="881">
        <f t="shared" si="90"/>
        <v>15939488.374855148</v>
      </c>
      <c r="N122" s="881">
        <f t="shared" si="90"/>
        <v>16698726.323103311</v>
      </c>
      <c r="O122" s="881">
        <f t="shared" si="90"/>
        <v>15101131.669882221</v>
      </c>
      <c r="P122" s="881">
        <f t="shared" si="90"/>
        <v>16078398.489624457</v>
      </c>
      <c r="Q122" s="180">
        <f t="shared" si="84"/>
        <v>96533311.122841612</v>
      </c>
      <c r="R122" s="881">
        <f t="shared" ref="R122:W126" si="91">D122-K122</f>
        <v>36349800.892917626</v>
      </c>
      <c r="S122" s="881">
        <f t="shared" si="91"/>
        <v>36384483.611115895</v>
      </c>
      <c r="T122" s="881">
        <f t="shared" si="91"/>
        <v>35137249.927184857</v>
      </c>
      <c r="U122" s="881">
        <f t="shared" si="91"/>
        <v>36754147.5369967</v>
      </c>
      <c r="V122" s="881">
        <f t="shared" si="91"/>
        <v>34351246.653517768</v>
      </c>
      <c r="W122" s="881">
        <f t="shared" si="91"/>
        <v>36167389.688069046</v>
      </c>
      <c r="X122" s="180">
        <f t="shared" si="85"/>
        <v>215144318.30980188</v>
      </c>
      <c r="Y122" s="881"/>
      <c r="Z122" s="881"/>
      <c r="AA122" s="881"/>
      <c r="AB122" s="881"/>
      <c r="AC122" s="881"/>
      <c r="AD122" s="881"/>
      <c r="AE122" s="180"/>
      <c r="AF122" s="1389"/>
      <c r="AG122" s="972"/>
      <c r="AH122" s="972"/>
      <c r="AI122" s="972"/>
    </row>
    <row r="123" spans="1:35">
      <c r="A123" s="57"/>
      <c r="B123" s="48" t="s">
        <v>872</v>
      </c>
      <c r="C123" s="882" t="s">
        <v>277</v>
      </c>
      <c r="D123" s="881">
        <f>F821EVE!D123</f>
        <v>10187998.689699996</v>
      </c>
      <c r="E123" s="881">
        <f>F821EVE!E123</f>
        <v>10283691.219000001</v>
      </c>
      <c r="F123" s="881">
        <f>F821EVE!F123</f>
        <v>10003634.213500001</v>
      </c>
      <c r="G123" s="881">
        <f>F821EVE!G123</f>
        <v>10722025.506499998</v>
      </c>
      <c r="H123" s="881">
        <f>F821EVE!H123</f>
        <v>10053473.359000001</v>
      </c>
      <c r="I123" s="881">
        <f>F821EVE!I123</f>
        <v>9999309.5506700017</v>
      </c>
      <c r="J123" s="180">
        <f t="shared" si="82"/>
        <v>61250132.538369998</v>
      </c>
      <c r="K123" s="881">
        <f t="shared" ref="K123:M123" si="92">SUBTOTAL(9,K124:K126)</f>
        <v>2267689.5959000001</v>
      </c>
      <c r="L123" s="881">
        <f t="shared" si="92"/>
        <v>2076195.6531</v>
      </c>
      <c r="M123" s="881">
        <f t="shared" si="92"/>
        <v>2142862.6129999999</v>
      </c>
      <c r="N123" s="881">
        <f t="shared" ref="N123:P123" si="93">SUBTOTAL(9,N124:N126)</f>
        <v>2239467.7344000004</v>
      </c>
      <c r="O123" s="881">
        <f t="shared" si="93"/>
        <v>1856641.7659999998</v>
      </c>
      <c r="P123" s="881">
        <f t="shared" si="93"/>
        <v>1859745.8985000004</v>
      </c>
      <c r="Q123" s="180">
        <f t="shared" si="84"/>
        <v>12442603.2609</v>
      </c>
      <c r="R123" s="881">
        <f t="shared" si="91"/>
        <v>7920309.0937999962</v>
      </c>
      <c r="S123" s="881">
        <f t="shared" si="91"/>
        <v>8207495.5659000007</v>
      </c>
      <c r="T123" s="881">
        <f t="shared" si="91"/>
        <v>7860771.6005000006</v>
      </c>
      <c r="U123" s="881">
        <f t="shared" si="91"/>
        <v>8482557.7720999978</v>
      </c>
      <c r="V123" s="881">
        <f t="shared" si="91"/>
        <v>8196831.5930000013</v>
      </c>
      <c r="W123" s="881">
        <f t="shared" si="91"/>
        <v>8139563.6521700015</v>
      </c>
      <c r="X123" s="180">
        <f t="shared" si="85"/>
        <v>48807529.27747</v>
      </c>
      <c r="Y123" s="881"/>
      <c r="Z123" s="881"/>
      <c r="AA123" s="881"/>
      <c r="AB123" s="881"/>
      <c r="AC123" s="881"/>
      <c r="AD123" s="881"/>
      <c r="AE123" s="180"/>
      <c r="AF123" s="1389"/>
      <c r="AG123" s="972"/>
      <c r="AH123" s="972"/>
      <c r="AI123" s="972"/>
    </row>
    <row r="124" spans="1:35">
      <c r="A124" s="57"/>
      <c r="B124" s="48"/>
      <c r="C124" s="887" t="s">
        <v>972</v>
      </c>
      <c r="D124" s="883">
        <f>F821EVE!D124</f>
        <v>6792206.6671814956</v>
      </c>
      <c r="E124" s="883">
        <f>F821EVE!E124</f>
        <v>6773487.950011231</v>
      </c>
      <c r="F124" s="883">
        <f>F821EVE!F124</f>
        <v>6454669.740282895</v>
      </c>
      <c r="G124" s="883">
        <f>F821EVE!G124</f>
        <v>6690938.6655706717</v>
      </c>
      <c r="H124" s="883">
        <f>F821EVE!H124</f>
        <v>6180324.4541784655</v>
      </c>
      <c r="I124" s="883">
        <f>F821EVE!I124</f>
        <v>6139500.9623118285</v>
      </c>
      <c r="J124" s="180">
        <f t="shared" si="82"/>
        <v>39031128.439536586</v>
      </c>
      <c r="K124" s="883">
        <f>F821EVE!K124</f>
        <v>2126374.8895</v>
      </c>
      <c r="L124" s="883">
        <f>F821EVE!L124</f>
        <v>1945536.138</v>
      </c>
      <c r="M124" s="883">
        <f>F821EVE!M124</f>
        <v>1997698.1588999999</v>
      </c>
      <c r="N124" s="883">
        <f>F821EVE!N124</f>
        <v>2082384.8623000004</v>
      </c>
      <c r="O124" s="883">
        <f>F821EVE!O124</f>
        <v>1709759.6255999999</v>
      </c>
      <c r="P124" s="883">
        <f>F821EVE!P124</f>
        <v>1760986.3425000003</v>
      </c>
      <c r="Q124" s="180">
        <f t="shared" si="84"/>
        <v>11622740.016800001</v>
      </c>
      <c r="R124" s="883">
        <f t="shared" si="91"/>
        <v>4665831.777681496</v>
      </c>
      <c r="S124" s="883">
        <f t="shared" si="91"/>
        <v>4827951.8120112307</v>
      </c>
      <c r="T124" s="883">
        <f t="shared" si="91"/>
        <v>4456971.5813828949</v>
      </c>
      <c r="U124" s="883">
        <f t="shared" si="91"/>
        <v>4608553.8032706715</v>
      </c>
      <c r="V124" s="883">
        <f t="shared" si="91"/>
        <v>4470564.8285784656</v>
      </c>
      <c r="W124" s="883">
        <f t="shared" si="91"/>
        <v>4378514.6198118282</v>
      </c>
      <c r="X124" s="180">
        <f t="shared" si="85"/>
        <v>27408388.422736589</v>
      </c>
      <c r="Y124" s="883"/>
      <c r="Z124" s="883"/>
      <c r="AA124" s="883"/>
      <c r="AB124" s="883"/>
      <c r="AC124" s="883"/>
      <c r="AD124" s="883"/>
      <c r="AE124" s="180"/>
      <c r="AF124" s="1389"/>
      <c r="AG124" s="972"/>
      <c r="AH124" s="972"/>
      <c r="AI124" s="972"/>
    </row>
    <row r="125" spans="1:35">
      <c r="A125" s="57"/>
      <c r="B125" s="48"/>
      <c r="C125" s="887" t="s">
        <v>973</v>
      </c>
      <c r="D125" s="883">
        <f>F821EVE!D125</f>
        <v>328429.85838546511</v>
      </c>
      <c r="E125" s="883">
        <f>F821EVE!E125</f>
        <v>334723.66648636194</v>
      </c>
      <c r="F125" s="883">
        <f>F821EVE!F125</f>
        <v>353002.67639574758</v>
      </c>
      <c r="G125" s="883">
        <f>F821EVE!G125</f>
        <v>380321.28415511857</v>
      </c>
      <c r="H125" s="883">
        <f>F821EVE!H125</f>
        <v>410873.29887882917</v>
      </c>
      <c r="I125" s="883">
        <f>F821EVE!I125</f>
        <v>229237.58622556989</v>
      </c>
      <c r="J125" s="180">
        <f t="shared" si="82"/>
        <v>2036588.3705270924</v>
      </c>
      <c r="K125" s="883">
        <f>F821EVE!K125</f>
        <v>102818.57399999999</v>
      </c>
      <c r="L125" s="883">
        <f>F821EVE!L125</f>
        <v>96142.045899999997</v>
      </c>
      <c r="M125" s="883">
        <f>F821EVE!M125</f>
        <v>109253.1183</v>
      </c>
      <c r="N125" s="883">
        <f>F821EVE!N125</f>
        <v>118365.34819999999</v>
      </c>
      <c r="O125" s="883">
        <f>F821EVE!O125</f>
        <v>113666.2942</v>
      </c>
      <c r="P125" s="883">
        <f>F821EVE!P125</f>
        <v>65751.966000000015</v>
      </c>
      <c r="Q125" s="180">
        <f t="shared" si="84"/>
        <v>605997.34660000005</v>
      </c>
      <c r="R125" s="883">
        <f t="shared" si="91"/>
        <v>225611.28438546511</v>
      </c>
      <c r="S125" s="883">
        <f t="shared" si="91"/>
        <v>238581.62058636194</v>
      </c>
      <c r="T125" s="883">
        <f t="shared" si="91"/>
        <v>243749.55809574758</v>
      </c>
      <c r="U125" s="883">
        <f t="shared" si="91"/>
        <v>261955.93595511856</v>
      </c>
      <c r="V125" s="883">
        <f t="shared" si="91"/>
        <v>297207.00467882917</v>
      </c>
      <c r="W125" s="883">
        <f t="shared" si="91"/>
        <v>163485.62022556987</v>
      </c>
      <c r="X125" s="180">
        <f t="shared" si="85"/>
        <v>1430591.0239270923</v>
      </c>
      <c r="Y125" s="883"/>
      <c r="Z125" s="883"/>
      <c r="AA125" s="883"/>
      <c r="AB125" s="883"/>
      <c r="AC125" s="883"/>
      <c r="AD125" s="883"/>
      <c r="AE125" s="180"/>
      <c r="AF125" s="1389"/>
      <c r="AG125" s="972"/>
      <c r="AH125" s="972"/>
      <c r="AI125" s="972"/>
    </row>
    <row r="126" spans="1:35">
      <c r="A126" s="57"/>
      <c r="B126" s="48"/>
      <c r="C126" s="887" t="s">
        <v>1010</v>
      </c>
      <c r="D126" s="883">
        <f>F821EVE!D126</f>
        <v>122966.88059999856</v>
      </c>
      <c r="E126" s="883">
        <f>F821EVE!E126</f>
        <v>120174.41214504122</v>
      </c>
      <c r="F126" s="883">
        <f>F821EVE!F126</f>
        <v>116031.4492400756</v>
      </c>
      <c r="G126" s="883">
        <f>F821EVE!G126</f>
        <v>124403.79412455861</v>
      </c>
      <c r="H126" s="883">
        <f>F821EVE!H126</f>
        <v>120066.41370072767</v>
      </c>
      <c r="I126" s="883">
        <f>F821EVE!I126</f>
        <v>115077.62762140468</v>
      </c>
      <c r="J126" s="180">
        <f t="shared" si="82"/>
        <v>718720.57743180636</v>
      </c>
      <c r="K126" s="883">
        <f>F821EVE!K126</f>
        <v>38496.132400000002</v>
      </c>
      <c r="L126" s="883">
        <f>F821EVE!L126</f>
        <v>34517.4692</v>
      </c>
      <c r="M126" s="883">
        <f>F821EVE!M126</f>
        <v>35911.335800000001</v>
      </c>
      <c r="N126" s="883">
        <f>F821EVE!N126</f>
        <v>38717.5239</v>
      </c>
      <c r="O126" s="883">
        <f>F821EVE!O126</f>
        <v>33215.8462</v>
      </c>
      <c r="P126" s="883">
        <f>F821EVE!P126</f>
        <v>33007.590000000018</v>
      </c>
      <c r="Q126" s="180">
        <f t="shared" si="84"/>
        <v>213865.89750000002</v>
      </c>
      <c r="R126" s="883">
        <f t="shared" si="91"/>
        <v>84470.748199998561</v>
      </c>
      <c r="S126" s="883">
        <f t="shared" si="91"/>
        <v>85656.942945041228</v>
      </c>
      <c r="T126" s="883">
        <f t="shared" si="91"/>
        <v>80120.113440075598</v>
      </c>
      <c r="U126" s="883">
        <f t="shared" si="91"/>
        <v>85686.270224558612</v>
      </c>
      <c r="V126" s="883">
        <f t="shared" si="91"/>
        <v>86850.567500727673</v>
      </c>
      <c r="W126" s="883">
        <f t="shared" si="91"/>
        <v>82070.037621404656</v>
      </c>
      <c r="X126" s="180">
        <f t="shared" si="85"/>
        <v>504854.67993180628</v>
      </c>
      <c r="Y126" s="883"/>
      <c r="Z126" s="883"/>
      <c r="AA126" s="883"/>
      <c r="AB126" s="883"/>
      <c r="AC126" s="883"/>
      <c r="AD126" s="883"/>
      <c r="AE126" s="180"/>
      <c r="AF126" s="1389"/>
      <c r="AG126" s="972"/>
      <c r="AH126" s="972"/>
      <c r="AI126" s="972"/>
    </row>
    <row r="127" spans="1:35">
      <c r="A127" s="57"/>
      <c r="B127" s="48"/>
      <c r="C127" s="887" t="s">
        <v>1256</v>
      </c>
      <c r="D127" s="883">
        <f>F821EVE!D127</f>
        <v>2944395.2835330367</v>
      </c>
      <c r="E127" s="883">
        <f>F821EVE!E127</f>
        <v>3055305.190357367</v>
      </c>
      <c r="F127" s="883">
        <f>F821EVE!F127</f>
        <v>3079930.3475812813</v>
      </c>
      <c r="G127" s="883">
        <f>F821EVE!G127</f>
        <v>3526361.7626496507</v>
      </c>
      <c r="H127" s="883">
        <f>F821EVE!H127</f>
        <v>3342209.1922419788</v>
      </c>
      <c r="I127" s="883">
        <f>F821EVE!I127</f>
        <v>3515493.3745111991</v>
      </c>
      <c r="J127" s="180">
        <f t="shared" ref="J127" si="94">SUM(D127:I127)</f>
        <v>19463695.15087451</v>
      </c>
      <c r="K127" s="883">
        <f>F821EVE!K127</f>
        <v>921775.27899999986</v>
      </c>
      <c r="L127" s="883">
        <f>F821EVE!L127</f>
        <v>877569.5334999999</v>
      </c>
      <c r="M127" s="883">
        <f>F821EVE!M127</f>
        <v>953227.88499999989</v>
      </c>
      <c r="N127" s="883">
        <f>F821EVE!N127</f>
        <v>1097490.6094</v>
      </c>
      <c r="O127" s="883">
        <f>F821EVE!O127</f>
        <v>924607.49910000002</v>
      </c>
      <c r="P127" s="883">
        <f>F821EVE!P127</f>
        <v>1008345.1175700019</v>
      </c>
      <c r="Q127" s="180">
        <f t="shared" ref="Q127" si="95">SUM(K127:P127)</f>
        <v>5783015.9235700015</v>
      </c>
      <c r="R127" s="883">
        <f t="shared" ref="R127" si="96">D127-K127</f>
        <v>2022620.0045330368</v>
      </c>
      <c r="S127" s="883">
        <f t="shared" ref="S127" si="97">E127-L127</f>
        <v>2177735.6568573671</v>
      </c>
      <c r="T127" s="883">
        <f t="shared" ref="T127" si="98">F127-M127</f>
        <v>2126702.4625812816</v>
      </c>
      <c r="U127" s="883">
        <f t="shared" ref="U127" si="99">G127-N127</f>
        <v>2428871.1532496507</v>
      </c>
      <c r="V127" s="883">
        <f t="shared" ref="V127" si="100">H127-O127</f>
        <v>2417601.6931419787</v>
      </c>
      <c r="W127" s="883">
        <f t="shared" ref="W127" si="101">I127-P127</f>
        <v>2507148.2569411974</v>
      </c>
      <c r="X127" s="180">
        <f t="shared" ref="X127" si="102">SUM(R127:W127)</f>
        <v>13680679.227304513</v>
      </c>
      <c r="Y127" s="883"/>
      <c r="Z127" s="883"/>
      <c r="AA127" s="883"/>
      <c r="AB127" s="883"/>
      <c r="AC127" s="883"/>
      <c r="AD127" s="883"/>
      <c r="AE127" s="180"/>
      <c r="AF127" s="1389"/>
      <c r="AG127" s="972"/>
      <c r="AH127" s="972"/>
      <c r="AI127" s="972"/>
    </row>
    <row r="128" spans="1:35">
      <c r="A128" s="57"/>
      <c r="B128" s="48" t="s">
        <v>873</v>
      </c>
      <c r="C128" s="882" t="s">
        <v>276</v>
      </c>
      <c r="D128" s="881">
        <f>F821EVE!D128</f>
        <v>42704930.713415012</v>
      </c>
      <c r="E128" s="881">
        <f>F821EVE!E128</f>
        <v>42273230.147294998</v>
      </c>
      <c r="F128" s="881">
        <f>F821EVE!F128</f>
        <v>41073104.088540003</v>
      </c>
      <c r="G128" s="881">
        <f>F821EVE!G128</f>
        <v>42730848.35360001</v>
      </c>
      <c r="H128" s="881">
        <f>F821EVE!H128</f>
        <v>39398904.964399993</v>
      </c>
      <c r="I128" s="881">
        <f>F821EVE!I128</f>
        <v>42246478.627023496</v>
      </c>
      <c r="J128" s="180">
        <f t="shared" si="82"/>
        <v>250427496.89427349</v>
      </c>
      <c r="K128" s="881">
        <f t="shared" ref="K128:M128" si="103">SUBTOTAL(9,K129:K134)</f>
        <v>13353663.635297377</v>
      </c>
      <c r="L128" s="881">
        <f t="shared" si="103"/>
        <v>13218672.568579098</v>
      </c>
      <c r="M128" s="881">
        <f t="shared" si="103"/>
        <v>12843397.876855148</v>
      </c>
      <c r="N128" s="881">
        <f t="shared" ref="N128:P128" si="104">SUBTOTAL(9,N129:N134)</f>
        <v>13361767.97930331</v>
      </c>
      <c r="O128" s="881">
        <f t="shared" si="104"/>
        <v>12319882.404782221</v>
      </c>
      <c r="P128" s="881">
        <f t="shared" si="104"/>
        <v>13210307.473554455</v>
      </c>
      <c r="Q128" s="180">
        <f t="shared" si="84"/>
        <v>78307691.938371599</v>
      </c>
      <c r="R128" s="881">
        <f t="shared" ref="R128:R137" si="105">D128-K128</f>
        <v>29351267.078117635</v>
      </c>
      <c r="S128" s="881">
        <f t="shared" ref="S128:S137" si="106">E128-L128</f>
        <v>29054557.578715898</v>
      </c>
      <c r="T128" s="881">
        <f t="shared" ref="T128:T137" si="107">F128-M128</f>
        <v>28229706.211684853</v>
      </c>
      <c r="U128" s="881">
        <f t="shared" ref="U128:U137" si="108">G128-N128</f>
        <v>29369080.374296702</v>
      </c>
      <c r="V128" s="881">
        <f t="shared" ref="V128:V137" si="109">H128-O128</f>
        <v>27079022.559617773</v>
      </c>
      <c r="W128" s="881">
        <f t="shared" ref="W128:W137" si="110">I128-P128</f>
        <v>29036171.153469041</v>
      </c>
      <c r="X128" s="180">
        <f t="shared" si="85"/>
        <v>172119804.95590186</v>
      </c>
      <c r="Y128" s="881"/>
      <c r="Z128" s="881"/>
      <c r="AA128" s="881"/>
      <c r="AB128" s="881"/>
      <c r="AC128" s="881"/>
      <c r="AD128" s="881"/>
      <c r="AE128" s="180"/>
      <c r="AF128" s="1389"/>
      <c r="AG128" s="972">
        <f>'PDYG-200'!D$30</f>
        <v>0.31269606137313216</v>
      </c>
      <c r="AH128" s="972">
        <f>'PDYG-200'!E$30</f>
        <v>0.26899999999999996</v>
      </c>
      <c r="AI128" s="972">
        <f>'PDYG-200'!F$30</f>
        <v>0.41830393862686788</v>
      </c>
    </row>
    <row r="129" spans="1:35">
      <c r="A129" s="57"/>
      <c r="B129" s="48"/>
      <c r="C129" s="887" t="s">
        <v>969</v>
      </c>
      <c r="D129" s="883">
        <f>F821EVE!D129</f>
        <v>0</v>
      </c>
      <c r="E129" s="883">
        <f>F821EVE!E129</f>
        <v>0</v>
      </c>
      <c r="F129" s="883">
        <f>F821EVE!F129</f>
        <v>0</v>
      </c>
      <c r="G129" s="883">
        <f>F821EVE!G129</f>
        <v>0</v>
      </c>
      <c r="H129" s="883">
        <f>F821EVE!H129</f>
        <v>0</v>
      </c>
      <c r="I129" s="883">
        <f>F821EVE!I129</f>
        <v>0</v>
      </c>
      <c r="J129" s="180">
        <f t="shared" si="82"/>
        <v>0</v>
      </c>
      <c r="K129" s="883">
        <f t="shared" ref="K129:P133" si="111">D129*$AG129</f>
        <v>0</v>
      </c>
      <c r="L129" s="883">
        <f t="shared" si="111"/>
        <v>0</v>
      </c>
      <c r="M129" s="883">
        <f t="shared" si="111"/>
        <v>0</v>
      </c>
      <c r="N129" s="883">
        <f t="shared" si="111"/>
        <v>0</v>
      </c>
      <c r="O129" s="883">
        <f t="shared" si="111"/>
        <v>0</v>
      </c>
      <c r="P129" s="883">
        <f t="shared" si="111"/>
        <v>0</v>
      </c>
      <c r="Q129" s="180">
        <f t="shared" si="84"/>
        <v>0</v>
      </c>
      <c r="R129" s="883">
        <f t="shared" si="105"/>
        <v>0</v>
      </c>
      <c r="S129" s="883">
        <f t="shared" si="106"/>
        <v>0</v>
      </c>
      <c r="T129" s="883">
        <f t="shared" si="107"/>
        <v>0</v>
      </c>
      <c r="U129" s="883">
        <f t="shared" si="108"/>
        <v>0</v>
      </c>
      <c r="V129" s="883">
        <f t="shared" si="109"/>
        <v>0</v>
      </c>
      <c r="W129" s="883">
        <f t="shared" si="110"/>
        <v>0</v>
      </c>
      <c r="X129" s="180">
        <f t="shared" si="85"/>
        <v>0</v>
      </c>
      <c r="Y129" s="883"/>
      <c r="Z129" s="883"/>
      <c r="AA129" s="883"/>
      <c r="AB129" s="883"/>
      <c r="AC129" s="883"/>
      <c r="AD129" s="883"/>
      <c r="AE129" s="180"/>
      <c r="AF129" s="1389"/>
      <c r="AG129" s="972">
        <f>'PDYG-200'!D$30</f>
        <v>0.31269606137313216</v>
      </c>
      <c r="AH129" s="972">
        <f>'PDYG-200'!E$30</f>
        <v>0.26899999999999996</v>
      </c>
      <c r="AI129" s="972">
        <f>'PDYG-200'!F$30</f>
        <v>0.41830393862686788</v>
      </c>
    </row>
    <row r="130" spans="1:35">
      <c r="A130" s="57"/>
      <c r="B130" s="48"/>
      <c r="C130" s="887" t="s">
        <v>970</v>
      </c>
      <c r="D130" s="883">
        <f>F821EVE!D130</f>
        <v>27837865.777215011</v>
      </c>
      <c r="E130" s="883">
        <f>F821EVE!E130</f>
        <v>27768734.010435</v>
      </c>
      <c r="F130" s="883">
        <f>F821EVE!F130</f>
        <v>25294587.126940001</v>
      </c>
      <c r="G130" s="883">
        <f>F821EVE!G130</f>
        <v>26221253.892300006</v>
      </c>
      <c r="H130" s="883">
        <f>F821EVE!H130</f>
        <v>23949123.551399995</v>
      </c>
      <c r="I130" s="883">
        <f>F821EVE!I130</f>
        <v>25365998.302292999</v>
      </c>
      <c r="J130" s="180">
        <f t="shared" si="82"/>
        <v>156437562.66058302</v>
      </c>
      <c r="K130" s="883">
        <f t="shared" si="111"/>
        <v>8704790.9855690412</v>
      </c>
      <c r="L130" s="883">
        <f t="shared" si="111"/>
        <v>8683173.7543811649</v>
      </c>
      <c r="M130" s="883">
        <f t="shared" si="111"/>
        <v>7909517.7686536694</v>
      </c>
      <c r="N130" s="883">
        <f t="shared" si="111"/>
        <v>8199282.8163871234</v>
      </c>
      <c r="O130" s="883">
        <f t="shared" si="111"/>
        <v>7488796.6078612972</v>
      </c>
      <c r="P130" s="883">
        <f t="shared" si="111"/>
        <v>7931847.7619245779</v>
      </c>
      <c r="Q130" s="180">
        <f t="shared" si="84"/>
        <v>48917409.694776878</v>
      </c>
      <c r="R130" s="883">
        <f t="shared" si="105"/>
        <v>19133074.79164597</v>
      </c>
      <c r="S130" s="883">
        <f t="shared" si="106"/>
        <v>19085560.256053835</v>
      </c>
      <c r="T130" s="883">
        <f t="shared" si="107"/>
        <v>17385069.358286332</v>
      </c>
      <c r="U130" s="883">
        <f t="shared" si="108"/>
        <v>18021971.075912882</v>
      </c>
      <c r="V130" s="883">
        <f t="shared" si="109"/>
        <v>16460326.943538697</v>
      </c>
      <c r="W130" s="883">
        <f t="shared" si="110"/>
        <v>17434150.540368423</v>
      </c>
      <c r="X130" s="180">
        <f t="shared" si="85"/>
        <v>107520152.96580614</v>
      </c>
      <c r="Y130" s="883"/>
      <c r="Z130" s="883"/>
      <c r="AA130" s="883"/>
      <c r="AB130" s="883"/>
      <c r="AC130" s="883"/>
      <c r="AD130" s="883"/>
      <c r="AE130" s="180"/>
      <c r="AF130" s="1389"/>
      <c r="AG130" s="972">
        <f>'PDYG-200'!D$30</f>
        <v>0.31269606137313216</v>
      </c>
      <c r="AH130" s="972">
        <f>'PDYG-200'!E$30</f>
        <v>0.26899999999999996</v>
      </c>
      <c r="AI130" s="972">
        <f>'PDYG-200'!F$30</f>
        <v>0.41830393862686788</v>
      </c>
    </row>
    <row r="131" spans="1:35">
      <c r="A131" s="57"/>
      <c r="B131" s="48"/>
      <c r="C131" s="887" t="s">
        <v>1011</v>
      </c>
      <c r="D131" s="883">
        <f>F821EVE!D131</f>
        <v>1961051.1001999998</v>
      </c>
      <c r="E131" s="883">
        <f>F821EVE!E131</f>
        <v>1739911.9648</v>
      </c>
      <c r="F131" s="883">
        <f>F821EVE!F131</f>
        <v>1932315.4992999998</v>
      </c>
      <c r="G131" s="883">
        <f>F821EVE!G131</f>
        <v>1691295.2818000002</v>
      </c>
      <c r="H131" s="883">
        <f>F821EVE!H131</f>
        <v>1615880.5572000004</v>
      </c>
      <c r="I131" s="883">
        <f>F821EVE!I131</f>
        <v>1810245.3746499973</v>
      </c>
      <c r="J131" s="180">
        <f t="shared" si="82"/>
        <v>10750699.777949996</v>
      </c>
      <c r="K131" s="883">
        <f t="shared" si="111"/>
        <v>613212.95518398751</v>
      </c>
      <c r="L131" s="883">
        <f t="shared" si="111"/>
        <v>544063.6185289477</v>
      </c>
      <c r="M131" s="883">
        <f t="shared" si="111"/>
        <v>604227.44596136722</v>
      </c>
      <c r="N131" s="883">
        <f t="shared" si="111"/>
        <v>528861.37323782174</v>
      </c>
      <c r="O131" s="883">
        <f t="shared" si="111"/>
        <v>505279.48588586232</v>
      </c>
      <c r="P131" s="883">
        <f t="shared" si="111"/>
        <v>566056.59877198422</v>
      </c>
      <c r="Q131" s="180">
        <f t="shared" si="84"/>
        <v>3361701.4775699708</v>
      </c>
      <c r="R131" s="883">
        <f t="shared" si="105"/>
        <v>1347838.1450160122</v>
      </c>
      <c r="S131" s="883">
        <f t="shared" si="106"/>
        <v>1195848.3462710523</v>
      </c>
      <c r="T131" s="883">
        <f t="shared" si="107"/>
        <v>1328088.0533386325</v>
      </c>
      <c r="U131" s="883">
        <f t="shared" si="108"/>
        <v>1162433.9085621785</v>
      </c>
      <c r="V131" s="883">
        <f t="shared" si="109"/>
        <v>1110601.0713141381</v>
      </c>
      <c r="W131" s="883">
        <f t="shared" si="110"/>
        <v>1244188.7758780131</v>
      </c>
      <c r="X131" s="180">
        <f t="shared" si="85"/>
        <v>7388998.3003800269</v>
      </c>
      <c r="Y131" s="883"/>
      <c r="Z131" s="883"/>
      <c r="AA131" s="883"/>
      <c r="AB131" s="883"/>
      <c r="AC131" s="883"/>
      <c r="AD131" s="883"/>
      <c r="AE131" s="180"/>
      <c r="AF131" s="1389"/>
      <c r="AG131" s="972">
        <f>'PDYG-200'!D$30</f>
        <v>0.31269606137313216</v>
      </c>
      <c r="AH131" s="972">
        <f>'PDYG-200'!E$30</f>
        <v>0.26899999999999996</v>
      </c>
      <c r="AI131" s="972">
        <f>'PDYG-200'!F$30</f>
        <v>0.41830393862686788</v>
      </c>
    </row>
    <row r="132" spans="1:35">
      <c r="A132" s="57"/>
      <c r="B132" s="48"/>
      <c r="C132" s="887" t="s">
        <v>1012</v>
      </c>
      <c r="D132" s="883">
        <f>F821EVE!D132</f>
        <v>1850475.3221999998</v>
      </c>
      <c r="E132" s="883">
        <f>F821EVE!E132</f>
        <v>1911629.2402999999</v>
      </c>
      <c r="F132" s="883">
        <f>F821EVE!F132</f>
        <v>1834041.8471000004</v>
      </c>
      <c r="G132" s="883">
        <f>F821EVE!G132</f>
        <v>1921283.8751000003</v>
      </c>
      <c r="H132" s="883">
        <f>F821EVE!H132</f>
        <v>1700117.9229000001</v>
      </c>
      <c r="I132" s="883">
        <f>F821EVE!I132</f>
        <v>1921727.2948299991</v>
      </c>
      <c r="J132" s="180">
        <f t="shared" si="82"/>
        <v>11139275.502429999</v>
      </c>
      <c r="K132" s="883">
        <f t="shared" si="111"/>
        <v>578636.34492011764</v>
      </c>
      <c r="L132" s="883">
        <f t="shared" si="111"/>
        <v>597758.93424752285</v>
      </c>
      <c r="M132" s="883">
        <f t="shared" si="111"/>
        <v>573497.66198167438</v>
      </c>
      <c r="N132" s="883">
        <f t="shared" si="111"/>
        <v>600777.90052347886</v>
      </c>
      <c r="O132" s="883">
        <f t="shared" si="111"/>
        <v>531620.17836070037</v>
      </c>
      <c r="P132" s="883">
        <f t="shared" si="111"/>
        <v>600916.55612658465</v>
      </c>
      <c r="Q132" s="180">
        <f t="shared" si="84"/>
        <v>3483207.5761600793</v>
      </c>
      <c r="R132" s="883">
        <f t="shared" si="105"/>
        <v>1271838.9772798822</v>
      </c>
      <c r="S132" s="883">
        <f t="shared" si="106"/>
        <v>1313870.3060524771</v>
      </c>
      <c r="T132" s="883">
        <f t="shared" si="107"/>
        <v>1260544.185118326</v>
      </c>
      <c r="U132" s="883">
        <f t="shared" si="108"/>
        <v>1320505.9745765214</v>
      </c>
      <c r="V132" s="883">
        <f t="shared" si="109"/>
        <v>1168497.7445392997</v>
      </c>
      <c r="W132" s="883">
        <f t="shared" si="110"/>
        <v>1320810.7387034143</v>
      </c>
      <c r="X132" s="180">
        <f t="shared" si="85"/>
        <v>7656067.9262699205</v>
      </c>
      <c r="Y132" s="883"/>
      <c r="Z132" s="883"/>
      <c r="AA132" s="883"/>
      <c r="AB132" s="883"/>
      <c r="AC132" s="883"/>
      <c r="AD132" s="883"/>
      <c r="AE132" s="180"/>
      <c r="AF132" s="1389"/>
      <c r="AG132" s="972">
        <f>'PDYG-200'!D$30</f>
        <v>0.31269606137313216</v>
      </c>
      <c r="AH132" s="972">
        <f>'PDYG-200'!E$30</f>
        <v>0.26899999999999996</v>
      </c>
      <c r="AI132" s="972">
        <f>'PDYG-200'!F$30</f>
        <v>0.41830393862686788</v>
      </c>
    </row>
    <row r="133" spans="1:35">
      <c r="A133" s="57"/>
      <c r="B133" s="48"/>
      <c r="C133" s="887" t="s">
        <v>1108</v>
      </c>
      <c r="D133" s="883">
        <f>F821EVE!D133</f>
        <v>11055538.513800001</v>
      </c>
      <c r="E133" s="883">
        <f>F821EVE!E133</f>
        <v>10852954.93176</v>
      </c>
      <c r="F133" s="883">
        <f>F821EVE!F133</f>
        <v>12012159.6152</v>
      </c>
      <c r="G133" s="883">
        <f>F821EVE!G133</f>
        <v>12897015.304399999</v>
      </c>
      <c r="H133" s="883">
        <f>F821EVE!H133</f>
        <v>12133782.932899997</v>
      </c>
      <c r="I133" s="883">
        <f>F821EVE!I133</f>
        <v>13148507.655250499</v>
      </c>
      <c r="J133" s="180">
        <f t="shared" si="82"/>
        <v>72099958.95331049</v>
      </c>
      <c r="K133" s="883">
        <f t="shared" si="111"/>
        <v>3457023.3496242315</v>
      </c>
      <c r="L133" s="883">
        <f t="shared" si="111"/>
        <v>3393676.2614214625</v>
      </c>
      <c r="M133" s="883">
        <f t="shared" si="111"/>
        <v>3756155.0002584388</v>
      </c>
      <c r="N133" s="883">
        <f t="shared" si="111"/>
        <v>4032845.8891548868</v>
      </c>
      <c r="O133" s="883">
        <f t="shared" si="111"/>
        <v>3794186.1326743611</v>
      </c>
      <c r="P133" s="883">
        <f t="shared" si="111"/>
        <v>4111486.5567313079</v>
      </c>
      <c r="Q133" s="180">
        <f t="shared" si="84"/>
        <v>22545373.189864688</v>
      </c>
      <c r="R133" s="883">
        <f t="shared" si="105"/>
        <v>7598515.1641757693</v>
      </c>
      <c r="S133" s="883">
        <f t="shared" si="106"/>
        <v>7459278.6703385375</v>
      </c>
      <c r="T133" s="883">
        <f t="shared" si="107"/>
        <v>8256004.6149415616</v>
      </c>
      <c r="U133" s="883">
        <f t="shared" si="108"/>
        <v>8864169.415245112</v>
      </c>
      <c r="V133" s="883">
        <f t="shared" si="109"/>
        <v>8339596.800225636</v>
      </c>
      <c r="W133" s="883">
        <f t="shared" si="110"/>
        <v>9037021.0985191911</v>
      </c>
      <c r="X133" s="180">
        <f t="shared" si="85"/>
        <v>49554585.763445809</v>
      </c>
      <c r="Y133" s="883"/>
      <c r="Z133" s="883"/>
      <c r="AA133" s="883"/>
      <c r="AB133" s="883"/>
      <c r="AC133" s="883"/>
      <c r="AD133" s="883"/>
      <c r="AE133" s="180"/>
      <c r="AF133" s="1389"/>
      <c r="AG133" s="972">
        <f>'PDYG-200'!D$30</f>
        <v>0.31269606137313216</v>
      </c>
      <c r="AH133" s="972">
        <f>'PDYG-200'!E$30</f>
        <v>0.26899999999999996</v>
      </c>
      <c r="AI133" s="972">
        <f>'PDYG-200'!F$30</f>
        <v>0.41830393862686788</v>
      </c>
    </row>
    <row r="134" spans="1:35">
      <c r="A134" s="57"/>
      <c r="B134" s="48"/>
      <c r="C134" s="887"/>
      <c r="D134" s="883">
        <f>F821EVE!D134</f>
        <v>0</v>
      </c>
      <c r="E134" s="883">
        <f>F821EVE!E134</f>
        <v>0</v>
      </c>
      <c r="F134" s="883">
        <f>F821EVE!F134</f>
        <v>0</v>
      </c>
      <c r="G134" s="883">
        <f>F821EVE!G134</f>
        <v>0</v>
      </c>
      <c r="H134" s="883">
        <f>F821EVE!H134</f>
        <v>0</v>
      </c>
      <c r="I134" s="883">
        <f>F821EVE!I134</f>
        <v>0</v>
      </c>
      <c r="J134" s="180">
        <f t="shared" si="82"/>
        <v>0</v>
      </c>
      <c r="K134" s="883"/>
      <c r="L134" s="883"/>
      <c r="M134" s="883"/>
      <c r="N134" s="883"/>
      <c r="O134" s="883"/>
      <c r="P134" s="883"/>
      <c r="Q134" s="180">
        <f t="shared" si="84"/>
        <v>0</v>
      </c>
      <c r="R134" s="883">
        <f t="shared" si="105"/>
        <v>0</v>
      </c>
      <c r="S134" s="883">
        <f t="shared" si="106"/>
        <v>0</v>
      </c>
      <c r="T134" s="883">
        <f t="shared" si="107"/>
        <v>0</v>
      </c>
      <c r="U134" s="883">
        <f t="shared" si="108"/>
        <v>0</v>
      </c>
      <c r="V134" s="883">
        <f t="shared" si="109"/>
        <v>0</v>
      </c>
      <c r="W134" s="883">
        <f t="shared" si="110"/>
        <v>0</v>
      </c>
      <c r="X134" s="180">
        <f t="shared" si="85"/>
        <v>0</v>
      </c>
      <c r="Y134" s="883"/>
      <c r="Z134" s="883"/>
      <c r="AA134" s="883"/>
      <c r="AB134" s="883"/>
      <c r="AC134" s="883"/>
      <c r="AD134" s="883"/>
      <c r="AE134" s="180"/>
      <c r="AF134" s="1389"/>
      <c r="AG134" s="972"/>
      <c r="AH134" s="972"/>
      <c r="AI134" s="972"/>
    </row>
    <row r="135" spans="1:35" ht="15.75">
      <c r="A135" s="57"/>
      <c r="B135" s="48"/>
      <c r="C135" s="965" t="s">
        <v>443</v>
      </c>
      <c r="D135" s="881">
        <f>F821EVE!D135</f>
        <v>8572227.6396000031</v>
      </c>
      <c r="E135" s="881">
        <f>F821EVE!E135</f>
        <v>8415852.6217</v>
      </c>
      <c r="F135" s="881">
        <f>F821EVE!F135</f>
        <v>8530315.5671999995</v>
      </c>
      <c r="G135" s="881">
        <f>F821EVE!G135</f>
        <v>8985545.4524999987</v>
      </c>
      <c r="H135" s="881">
        <f>F821EVE!H135</f>
        <v>8282714.0983999986</v>
      </c>
      <c r="I135" s="881">
        <f>F821EVE!I135</f>
        <v>9285580.1267460026</v>
      </c>
      <c r="J135" s="180">
        <f t="shared" si="82"/>
        <v>52072235.506145999</v>
      </c>
      <c r="K135" s="881">
        <f t="shared" ref="K135:M135" si="112">SUBTOTAL(9,K136:K145)</f>
        <v>3413140.3486730014</v>
      </c>
      <c r="L135" s="881">
        <f t="shared" si="112"/>
        <v>3341995.7670002347</v>
      </c>
      <c r="M135" s="881">
        <f t="shared" si="112"/>
        <v>3394157.1722469451</v>
      </c>
      <c r="N135" s="881">
        <f t="shared" ref="N135:P135" si="113">SUBTOTAL(9,N136:N145)</f>
        <v>3576359.6376138157</v>
      </c>
      <c r="O135" s="881">
        <f t="shared" si="113"/>
        <v>3286365.7406406761</v>
      </c>
      <c r="P135" s="881">
        <f t="shared" si="113"/>
        <v>3688714.0497264564</v>
      </c>
      <c r="Q135" s="180">
        <f t="shared" si="84"/>
        <v>20700732.715901129</v>
      </c>
      <c r="R135" s="881">
        <f t="shared" si="105"/>
        <v>5159087.2909270022</v>
      </c>
      <c r="S135" s="881">
        <f t="shared" si="106"/>
        <v>5073856.8546997653</v>
      </c>
      <c r="T135" s="881">
        <f t="shared" si="107"/>
        <v>5136158.3949530544</v>
      </c>
      <c r="U135" s="881">
        <f t="shared" si="108"/>
        <v>5409185.8148861825</v>
      </c>
      <c r="V135" s="881">
        <f t="shared" si="109"/>
        <v>4996348.357759323</v>
      </c>
      <c r="W135" s="881">
        <f t="shared" si="110"/>
        <v>5596866.0770195462</v>
      </c>
      <c r="X135" s="180">
        <f t="shared" si="85"/>
        <v>31371502.790244874</v>
      </c>
      <c r="Y135" s="881"/>
      <c r="Z135" s="881"/>
      <c r="AA135" s="881"/>
      <c r="AB135" s="881"/>
      <c r="AC135" s="881"/>
      <c r="AD135" s="881"/>
      <c r="AE135" s="180"/>
      <c r="AF135" s="1389"/>
      <c r="AG135" s="972"/>
      <c r="AH135" s="972"/>
      <c r="AI135" s="972"/>
    </row>
    <row r="136" spans="1:35">
      <c r="A136" s="57"/>
      <c r="B136" s="48" t="s">
        <v>874</v>
      </c>
      <c r="C136" s="882" t="s">
        <v>275</v>
      </c>
      <c r="D136" s="881">
        <f>F821EVE!D136</f>
        <v>277505.12309999997</v>
      </c>
      <c r="E136" s="881">
        <f>F821EVE!E136</f>
        <v>275039.1409</v>
      </c>
      <c r="F136" s="881">
        <f>F821EVE!F136</f>
        <v>263421.304</v>
      </c>
      <c r="G136" s="881">
        <f>F821EVE!G136</f>
        <v>273172.52999999997</v>
      </c>
      <c r="H136" s="881">
        <f>F821EVE!H136</f>
        <v>264545.33290000004</v>
      </c>
      <c r="I136" s="881">
        <f>F821EVE!I136</f>
        <v>274089.99000000028</v>
      </c>
      <c r="J136" s="180">
        <f t="shared" si="82"/>
        <v>1627773.4209000003</v>
      </c>
      <c r="K136" s="881">
        <f t="shared" ref="K136:P136" si="114">SUBTOTAL(9,K137)</f>
        <v>97562.890400000004</v>
      </c>
      <c r="L136" s="881">
        <f t="shared" si="114"/>
        <v>87939.032099999997</v>
      </c>
      <c r="M136" s="881">
        <f t="shared" si="114"/>
        <v>89703.260200000004</v>
      </c>
      <c r="N136" s="881">
        <f t="shared" si="114"/>
        <v>93838.406499999997</v>
      </c>
      <c r="O136" s="881">
        <f t="shared" si="114"/>
        <v>81332.713600000003</v>
      </c>
      <c r="P136" s="881">
        <f t="shared" si="114"/>
        <v>86629.29000000011</v>
      </c>
      <c r="Q136" s="180">
        <f t="shared" si="84"/>
        <v>537005.5928000001</v>
      </c>
      <c r="R136" s="881">
        <f t="shared" si="105"/>
        <v>179942.23269999996</v>
      </c>
      <c r="S136" s="881">
        <f t="shared" si="106"/>
        <v>187100.10879999999</v>
      </c>
      <c r="T136" s="881">
        <f t="shared" si="107"/>
        <v>173718.04379999998</v>
      </c>
      <c r="U136" s="881">
        <f t="shared" si="108"/>
        <v>179334.12349999999</v>
      </c>
      <c r="V136" s="881">
        <f t="shared" si="109"/>
        <v>183212.61930000002</v>
      </c>
      <c r="W136" s="881">
        <f t="shared" si="110"/>
        <v>187460.70000000019</v>
      </c>
      <c r="X136" s="180">
        <f t="shared" si="85"/>
        <v>1090767.8281</v>
      </c>
      <c r="Y136" s="881"/>
      <c r="Z136" s="881"/>
      <c r="AA136" s="881"/>
      <c r="AB136" s="881"/>
      <c r="AC136" s="881"/>
      <c r="AD136" s="881"/>
      <c r="AE136" s="180"/>
      <c r="AF136" s="1389"/>
      <c r="AG136" s="972"/>
      <c r="AH136" s="972"/>
      <c r="AI136" s="972"/>
    </row>
    <row r="137" spans="1:35">
      <c r="A137" s="57"/>
      <c r="B137" s="48"/>
      <c r="C137" s="887" t="s">
        <v>972</v>
      </c>
      <c r="D137" s="883">
        <f>F821EVE!D137</f>
        <v>277505.12309999997</v>
      </c>
      <c r="E137" s="883">
        <f>F821EVE!E137</f>
        <v>275039.1409</v>
      </c>
      <c r="F137" s="883">
        <f>F821EVE!F137</f>
        <v>263421.304</v>
      </c>
      <c r="G137" s="883">
        <f>F821EVE!G137</f>
        <v>273172.52999999997</v>
      </c>
      <c r="H137" s="883">
        <f>F821EVE!H137</f>
        <v>264545.33290000004</v>
      </c>
      <c r="I137" s="883">
        <f>F821EVE!I137</f>
        <v>274089.99000000028</v>
      </c>
      <c r="J137" s="180">
        <f t="shared" si="82"/>
        <v>1627773.4209000003</v>
      </c>
      <c r="K137" s="883">
        <f>F821EVE!K137</f>
        <v>97562.890400000004</v>
      </c>
      <c r="L137" s="883">
        <f>F821EVE!L137</f>
        <v>87939.032099999997</v>
      </c>
      <c r="M137" s="883">
        <f>F821EVE!M137</f>
        <v>89703.260200000004</v>
      </c>
      <c r="N137" s="883">
        <f>F821EVE!N137</f>
        <v>93838.406499999997</v>
      </c>
      <c r="O137" s="883">
        <f>F821EVE!O137</f>
        <v>81332.713600000003</v>
      </c>
      <c r="P137" s="883">
        <f>F821EVE!P137</f>
        <v>86629.29000000011</v>
      </c>
      <c r="Q137" s="180">
        <f t="shared" si="84"/>
        <v>537005.5928000001</v>
      </c>
      <c r="R137" s="883">
        <f t="shared" si="105"/>
        <v>179942.23269999996</v>
      </c>
      <c r="S137" s="883">
        <f t="shared" si="106"/>
        <v>187100.10879999999</v>
      </c>
      <c r="T137" s="883">
        <f t="shared" si="107"/>
        <v>173718.04379999998</v>
      </c>
      <c r="U137" s="883">
        <f t="shared" si="108"/>
        <v>179334.12349999999</v>
      </c>
      <c r="V137" s="883">
        <f t="shared" si="109"/>
        <v>183212.61930000002</v>
      </c>
      <c r="W137" s="883">
        <f t="shared" si="110"/>
        <v>187460.70000000019</v>
      </c>
      <c r="X137" s="180">
        <f t="shared" si="85"/>
        <v>1090767.8281</v>
      </c>
      <c r="Y137" s="883"/>
      <c r="Z137" s="883"/>
      <c r="AA137" s="883"/>
      <c r="AB137" s="883"/>
      <c r="AC137" s="883"/>
      <c r="AD137" s="883"/>
      <c r="AE137" s="180"/>
      <c r="AF137" s="1389"/>
      <c r="AG137" s="972"/>
      <c r="AH137" s="972"/>
      <c r="AI137" s="972"/>
    </row>
    <row r="138" spans="1:35">
      <c r="A138" s="57"/>
      <c r="B138" s="48"/>
      <c r="C138" s="887"/>
      <c r="D138" s="883"/>
      <c r="E138" s="883"/>
      <c r="F138" s="883"/>
      <c r="G138" s="883"/>
      <c r="H138" s="883"/>
      <c r="I138" s="883"/>
      <c r="J138" s="180"/>
      <c r="K138" s="883"/>
      <c r="L138" s="883"/>
      <c r="M138" s="883"/>
      <c r="N138" s="883"/>
      <c r="O138" s="883"/>
      <c r="P138" s="883"/>
      <c r="Q138" s="180"/>
      <c r="R138" s="883"/>
      <c r="S138" s="883"/>
      <c r="T138" s="883"/>
      <c r="U138" s="883"/>
      <c r="V138" s="883"/>
      <c r="W138" s="883"/>
      <c r="X138" s="180"/>
      <c r="Y138" s="883"/>
      <c r="Z138" s="883"/>
      <c r="AA138" s="883"/>
      <c r="AB138" s="883"/>
      <c r="AC138" s="883"/>
      <c r="AD138" s="883"/>
      <c r="AE138" s="180"/>
      <c r="AF138" s="1389"/>
      <c r="AG138" s="972"/>
      <c r="AH138" s="972"/>
      <c r="AI138" s="972"/>
    </row>
    <row r="139" spans="1:35">
      <c r="A139" s="57"/>
      <c r="B139" s="48" t="s">
        <v>875</v>
      </c>
      <c r="C139" s="882" t="s">
        <v>274</v>
      </c>
      <c r="D139" s="881">
        <f>F821EVE!D139</f>
        <v>8294722.5165000027</v>
      </c>
      <c r="E139" s="881">
        <f>F821EVE!E139</f>
        <v>8140813.480800001</v>
      </c>
      <c r="F139" s="881">
        <f>F821EVE!F139</f>
        <v>8266894.2631999999</v>
      </c>
      <c r="G139" s="881">
        <f>F821EVE!G139</f>
        <v>8712372.9224999994</v>
      </c>
      <c r="H139" s="881">
        <f>F821EVE!H139</f>
        <v>8018168.7654999988</v>
      </c>
      <c r="I139" s="881">
        <f>F821EVE!I139</f>
        <v>9011490.1367460024</v>
      </c>
      <c r="J139" s="180">
        <f t="shared" si="82"/>
        <v>50444462.085246004</v>
      </c>
      <c r="K139" s="881">
        <f t="shared" ref="K139:M139" si="115">SUBTOTAL(9,K140:K145)</f>
        <v>3315577.4582730015</v>
      </c>
      <c r="L139" s="881">
        <f t="shared" si="115"/>
        <v>3254056.7349002347</v>
      </c>
      <c r="M139" s="881">
        <f t="shared" si="115"/>
        <v>3304453.9120469447</v>
      </c>
      <c r="N139" s="881">
        <f t="shared" ref="N139:P139" si="116">SUBTOTAL(9,N140:N145)</f>
        <v>3482521.2311138157</v>
      </c>
      <c r="O139" s="881">
        <f t="shared" si="116"/>
        <v>3205033.0270406757</v>
      </c>
      <c r="P139" s="881">
        <f t="shared" si="116"/>
        <v>3602084.7597264564</v>
      </c>
      <c r="Q139" s="180">
        <f t="shared" si="84"/>
        <v>20163727.123101126</v>
      </c>
      <c r="R139" s="881">
        <f t="shared" ref="R139:W146" si="117">D139-K139</f>
        <v>4979145.0582270008</v>
      </c>
      <c r="S139" s="881">
        <f t="shared" si="117"/>
        <v>4886756.7458997667</v>
      </c>
      <c r="T139" s="881">
        <f t="shared" si="117"/>
        <v>4962440.3511530552</v>
      </c>
      <c r="U139" s="881">
        <f t="shared" si="117"/>
        <v>5229851.6913861837</v>
      </c>
      <c r="V139" s="881">
        <f t="shared" si="117"/>
        <v>4813135.7384593226</v>
      </c>
      <c r="W139" s="881">
        <f t="shared" si="117"/>
        <v>5409405.377019546</v>
      </c>
      <c r="X139" s="180">
        <f t="shared" si="85"/>
        <v>30280734.962144878</v>
      </c>
      <c r="Y139" s="881"/>
      <c r="Z139" s="881"/>
      <c r="AA139" s="881"/>
      <c r="AB139" s="881"/>
      <c r="AC139" s="881"/>
      <c r="AD139" s="881"/>
      <c r="AE139" s="180"/>
      <c r="AF139" s="1389"/>
      <c r="AG139" s="972">
        <f>'PDYG-200'!D$31</f>
        <v>0.39972132300720115</v>
      </c>
      <c r="AH139" s="972">
        <f>'PDYG-200'!E$31</f>
        <v>0.24340000000000001</v>
      </c>
      <c r="AI139" s="972">
        <f>'PDYG-200'!F$31</f>
        <v>0.35687867699279885</v>
      </c>
    </row>
    <row r="140" spans="1:35">
      <c r="A140" s="57"/>
      <c r="B140" s="58"/>
      <c r="C140" s="887" t="s">
        <v>969</v>
      </c>
      <c r="D140" s="883">
        <f>F821EVE!D140</f>
        <v>85508.861500000014</v>
      </c>
      <c r="E140" s="883">
        <f>F821EVE!E140</f>
        <v>83264.008200000011</v>
      </c>
      <c r="F140" s="883">
        <f>F821EVE!F140</f>
        <v>84990.998799999987</v>
      </c>
      <c r="G140" s="883">
        <f>F821EVE!G140</f>
        <v>88963.373900000006</v>
      </c>
      <c r="H140" s="883">
        <f>F821EVE!H140</f>
        <v>82005.938000000009</v>
      </c>
      <c r="I140" s="883">
        <f>F821EVE!I140</f>
        <v>86821.670899999997</v>
      </c>
      <c r="J140" s="180">
        <f t="shared" si="82"/>
        <v>511554.8513000001</v>
      </c>
      <c r="K140" s="883">
        <f t="shared" ref="K140:P144" si="118">D140*$AG140</f>
        <v>34179.715247619533</v>
      </c>
      <c r="L140" s="883">
        <f t="shared" si="118"/>
        <v>33282.399516586447</v>
      </c>
      <c r="M140" s="883">
        <f t="shared" si="118"/>
        <v>33972.714484039439</v>
      </c>
      <c r="N140" s="883">
        <f t="shared" si="118"/>
        <v>35560.557514492313</v>
      </c>
      <c r="O140" s="883">
        <f t="shared" si="118"/>
        <v>32779.522031806511</v>
      </c>
      <c r="P140" s="883">
        <f t="shared" si="118"/>
        <v>34704.473157843815</v>
      </c>
      <c r="Q140" s="180">
        <f t="shared" si="84"/>
        <v>204479.38195238804</v>
      </c>
      <c r="R140" s="883">
        <f t="shared" si="117"/>
        <v>51329.14625238048</v>
      </c>
      <c r="S140" s="883">
        <f t="shared" si="117"/>
        <v>49981.608683413564</v>
      </c>
      <c r="T140" s="883">
        <f t="shared" si="117"/>
        <v>51018.284315960547</v>
      </c>
      <c r="U140" s="883">
        <f t="shared" si="117"/>
        <v>53402.816385507693</v>
      </c>
      <c r="V140" s="883">
        <f t="shared" si="117"/>
        <v>49226.415968193498</v>
      </c>
      <c r="W140" s="883">
        <f t="shared" si="117"/>
        <v>52117.197742156182</v>
      </c>
      <c r="X140" s="180">
        <f t="shared" si="85"/>
        <v>307075.46934761194</v>
      </c>
      <c r="Y140" s="883"/>
      <c r="Z140" s="883"/>
      <c r="AA140" s="883"/>
      <c r="AB140" s="883"/>
      <c r="AC140" s="883"/>
      <c r="AD140" s="883"/>
      <c r="AE140" s="180"/>
      <c r="AF140" s="1389"/>
      <c r="AG140" s="972">
        <f>'PDYG-200'!D$31</f>
        <v>0.39972132300720115</v>
      </c>
      <c r="AH140" s="972">
        <f>'PDYG-200'!E$31</f>
        <v>0.24340000000000001</v>
      </c>
      <c r="AI140" s="972">
        <f>'PDYG-200'!F$31</f>
        <v>0.35687867699279885</v>
      </c>
    </row>
    <row r="141" spans="1:35">
      <c r="A141" s="57"/>
      <c r="B141" s="58"/>
      <c r="C141" s="887" t="s">
        <v>970</v>
      </c>
      <c r="D141" s="883">
        <f>F821EVE!D141</f>
        <v>5504362.5752000026</v>
      </c>
      <c r="E141" s="883">
        <f>F821EVE!E141</f>
        <v>5372740.1977000013</v>
      </c>
      <c r="F141" s="883">
        <f>F821EVE!F141</f>
        <v>5233248.9645999996</v>
      </c>
      <c r="G141" s="883">
        <f>F821EVE!G141</f>
        <v>5430812.3873999994</v>
      </c>
      <c r="H141" s="883">
        <f>F821EVE!H141</f>
        <v>4974420.5512999985</v>
      </c>
      <c r="I141" s="883">
        <f>F821EVE!I141</f>
        <v>5368026.0986840017</v>
      </c>
      <c r="J141" s="180">
        <f t="shared" si="82"/>
        <v>31883610.774884004</v>
      </c>
      <c r="K141" s="883">
        <f t="shared" si="118"/>
        <v>2200211.0908702696</v>
      </c>
      <c r="L141" s="883">
        <f t="shared" si="118"/>
        <v>2147598.8199986159</v>
      </c>
      <c r="M141" s="883">
        <f t="shared" si="118"/>
        <v>2091841.1997559774</v>
      </c>
      <c r="N141" s="883">
        <f t="shared" si="118"/>
        <v>2170811.5124954246</v>
      </c>
      <c r="O141" s="883">
        <f t="shared" si="118"/>
        <v>1988381.9639598464</v>
      </c>
      <c r="P141" s="883">
        <f t="shared" si="118"/>
        <v>2145714.4941031537</v>
      </c>
      <c r="Q141" s="180">
        <f t="shared" si="84"/>
        <v>12744559.081183288</v>
      </c>
      <c r="R141" s="883">
        <f t="shared" si="117"/>
        <v>3304151.4843297331</v>
      </c>
      <c r="S141" s="883">
        <f t="shared" si="117"/>
        <v>3225141.3777013854</v>
      </c>
      <c r="T141" s="883">
        <f t="shared" si="117"/>
        <v>3141407.7648440222</v>
      </c>
      <c r="U141" s="883">
        <f t="shared" si="117"/>
        <v>3260000.8749045748</v>
      </c>
      <c r="V141" s="883">
        <f t="shared" si="117"/>
        <v>2986038.5873401519</v>
      </c>
      <c r="W141" s="883">
        <f t="shared" si="117"/>
        <v>3222311.604580848</v>
      </c>
      <c r="X141" s="180">
        <f t="shared" si="85"/>
        <v>19139051.693700716</v>
      </c>
      <c r="Y141" s="883"/>
      <c r="Z141" s="883"/>
      <c r="AA141" s="883"/>
      <c r="AB141" s="883"/>
      <c r="AC141" s="883"/>
      <c r="AD141" s="883"/>
      <c r="AE141" s="180"/>
      <c r="AF141" s="1389"/>
      <c r="AG141" s="972">
        <f>'PDYG-200'!D$31</f>
        <v>0.39972132300720115</v>
      </c>
      <c r="AH141" s="972">
        <f>'PDYG-200'!E$31</f>
        <v>0.24340000000000001</v>
      </c>
      <c r="AI141" s="972">
        <f>'PDYG-200'!F$31</f>
        <v>0.35687867699279885</v>
      </c>
    </row>
    <row r="142" spans="1:35">
      <c r="A142" s="57"/>
      <c r="B142" s="58"/>
      <c r="C142" s="887" t="s">
        <v>1011</v>
      </c>
      <c r="D142" s="883">
        <f>F821EVE!D142</f>
        <v>108136.32640000002</v>
      </c>
      <c r="E142" s="883">
        <f>F821EVE!E142</f>
        <v>105559.34230000002</v>
      </c>
      <c r="F142" s="883">
        <f>F821EVE!F142</f>
        <v>103747.96869999997</v>
      </c>
      <c r="G142" s="883">
        <f>F821EVE!G142</f>
        <v>105487.67110000004</v>
      </c>
      <c r="H142" s="883">
        <f>F821EVE!H142</f>
        <v>91154.265899999999</v>
      </c>
      <c r="I142" s="883">
        <f>F821EVE!I142</f>
        <v>102111.67966199981</v>
      </c>
      <c r="J142" s="180">
        <f t="shared" si="82"/>
        <v>616197.25406199985</v>
      </c>
      <c r="K142" s="883">
        <f t="shared" si="118"/>
        <v>43224.39545374654</v>
      </c>
      <c r="L142" s="883">
        <f t="shared" si="118"/>
        <v>42194.319959926019</v>
      </c>
      <c r="M142" s="883">
        <f t="shared" si="118"/>
        <v>41470.27530807368</v>
      </c>
      <c r="N142" s="883">
        <f t="shared" si="118"/>
        <v>42165.671453040515</v>
      </c>
      <c r="O142" s="883">
        <f t="shared" si="118"/>
        <v>36436.303763298201</v>
      </c>
      <c r="P142" s="883">
        <f t="shared" si="118"/>
        <v>40816.215688982076</v>
      </c>
      <c r="Q142" s="180">
        <f t="shared" si="84"/>
        <v>246307.18162706701</v>
      </c>
      <c r="R142" s="883">
        <f t="shared" si="117"/>
        <v>64911.93094625348</v>
      </c>
      <c r="S142" s="883">
        <f t="shared" si="117"/>
        <v>63365.022340074</v>
      </c>
      <c r="T142" s="883">
        <f t="shared" si="117"/>
        <v>62277.693391926288</v>
      </c>
      <c r="U142" s="883">
        <f t="shared" si="117"/>
        <v>63321.999646959521</v>
      </c>
      <c r="V142" s="883">
        <f t="shared" si="117"/>
        <v>54717.962136701797</v>
      </c>
      <c r="W142" s="883">
        <f t="shared" si="117"/>
        <v>61295.46397301773</v>
      </c>
      <c r="X142" s="180">
        <f t="shared" si="85"/>
        <v>369890.07243493281</v>
      </c>
      <c r="Y142" s="883"/>
      <c r="Z142" s="883"/>
      <c r="AA142" s="883"/>
      <c r="AB142" s="883"/>
      <c r="AC142" s="883"/>
      <c r="AD142" s="883"/>
      <c r="AE142" s="180"/>
      <c r="AF142" s="1389"/>
      <c r="AG142" s="972">
        <f>'PDYG-200'!D$31</f>
        <v>0.39972132300720115</v>
      </c>
      <c r="AH142" s="972">
        <f>'PDYG-200'!E$31</f>
        <v>0.24340000000000001</v>
      </c>
      <c r="AI142" s="972">
        <f>'PDYG-200'!F$31</f>
        <v>0.35687867699279885</v>
      </c>
    </row>
    <row r="143" spans="1:35">
      <c r="A143" s="57"/>
      <c r="B143" s="58"/>
      <c r="C143" s="887" t="s">
        <v>1012</v>
      </c>
      <c r="D143" s="883">
        <f>F821EVE!D143</f>
        <v>1115022.7058999999</v>
      </c>
      <c r="E143" s="883">
        <f>F821EVE!E143</f>
        <v>1073229.425</v>
      </c>
      <c r="F143" s="883">
        <f>F821EVE!F143</f>
        <v>1058189.203</v>
      </c>
      <c r="G143" s="883">
        <f>F821EVE!G143</f>
        <v>1104791.4608</v>
      </c>
      <c r="H143" s="883">
        <f>F821EVE!H143</f>
        <v>977084.27559999994</v>
      </c>
      <c r="I143" s="883">
        <f>F821EVE!I143</f>
        <v>991850.93750600005</v>
      </c>
      <c r="J143" s="180">
        <f t="shared" si="82"/>
        <v>6320168.0078060012</v>
      </c>
      <c r="K143" s="883">
        <f t="shared" si="118"/>
        <v>445698.35118541733</v>
      </c>
      <c r="L143" s="883">
        <f t="shared" si="118"/>
        <v>428992.68565125775</v>
      </c>
      <c r="M143" s="883">
        <f t="shared" si="118"/>
        <v>422980.78821509576</v>
      </c>
      <c r="N143" s="883">
        <f t="shared" si="118"/>
        <v>441608.70435803442</v>
      </c>
      <c r="O143" s="883">
        <f t="shared" si="118"/>
        <v>390561.41933236469</v>
      </c>
      <c r="P143" s="883">
        <f t="shared" si="118"/>
        <v>396463.9689658311</v>
      </c>
      <c r="Q143" s="180">
        <f t="shared" si="84"/>
        <v>2526305.9177080011</v>
      </c>
      <c r="R143" s="883">
        <f t="shared" si="117"/>
        <v>669324.35471458267</v>
      </c>
      <c r="S143" s="883">
        <f t="shared" si="117"/>
        <v>644236.7393487423</v>
      </c>
      <c r="T143" s="883">
        <f t="shared" si="117"/>
        <v>635208.41478490422</v>
      </c>
      <c r="U143" s="883">
        <f t="shared" si="117"/>
        <v>663182.75644196558</v>
      </c>
      <c r="V143" s="883">
        <f t="shared" si="117"/>
        <v>586522.85626763524</v>
      </c>
      <c r="W143" s="883">
        <f t="shared" si="117"/>
        <v>595386.96854016895</v>
      </c>
      <c r="X143" s="180">
        <f t="shared" si="85"/>
        <v>3793862.0900979987</v>
      </c>
      <c r="Y143" s="883"/>
      <c r="Z143" s="883"/>
      <c r="AA143" s="883"/>
      <c r="AB143" s="883"/>
      <c r="AC143" s="883"/>
      <c r="AD143" s="883"/>
      <c r="AE143" s="180"/>
      <c r="AF143" s="1389"/>
      <c r="AG143" s="972">
        <f>'PDYG-200'!D$31</f>
        <v>0.39972132300720115</v>
      </c>
      <c r="AH143" s="972">
        <f>'PDYG-200'!E$31</f>
        <v>0.24340000000000001</v>
      </c>
      <c r="AI143" s="972">
        <f>'PDYG-200'!F$31</f>
        <v>0.35687867699279885</v>
      </c>
    </row>
    <row r="144" spans="1:35">
      <c r="A144" s="57"/>
      <c r="B144" s="58"/>
      <c r="C144" s="887" t="s">
        <v>1108</v>
      </c>
      <c r="D144" s="883">
        <f>F821EVE!D144</f>
        <v>1481692.0475000001</v>
      </c>
      <c r="E144" s="883">
        <f>F821EVE!E144</f>
        <v>1506020.5075999997</v>
      </c>
      <c r="F144" s="883">
        <f>F821EVE!F144</f>
        <v>1786717.1281000001</v>
      </c>
      <c r="G144" s="883">
        <f>F821EVE!G144</f>
        <v>1982318.0293000001</v>
      </c>
      <c r="H144" s="883">
        <f>F821EVE!H144</f>
        <v>1893503.7346999997</v>
      </c>
      <c r="I144" s="883">
        <f>F821EVE!I144</f>
        <v>2462679.7499940004</v>
      </c>
      <c r="J144" s="180">
        <f t="shared" si="82"/>
        <v>11112931.197194001</v>
      </c>
      <c r="K144" s="883">
        <f t="shared" si="118"/>
        <v>592263.90551594878</v>
      </c>
      <c r="L144" s="883">
        <f t="shared" si="118"/>
        <v>601988.50977384846</v>
      </c>
      <c r="M144" s="883">
        <f t="shared" si="118"/>
        <v>714188.93428375898</v>
      </c>
      <c r="N144" s="883">
        <f t="shared" si="118"/>
        <v>792374.7852928238</v>
      </c>
      <c r="O144" s="883">
        <f t="shared" si="118"/>
        <v>756873.81795336027</v>
      </c>
      <c r="P144" s="883">
        <f t="shared" si="118"/>
        <v>984385.60781064525</v>
      </c>
      <c r="Q144" s="180">
        <f t="shared" ref="Q144" si="119">SUM(K144:P144)</f>
        <v>4442075.5606303858</v>
      </c>
      <c r="R144" s="883">
        <f t="shared" si="117"/>
        <v>889428.14198405133</v>
      </c>
      <c r="S144" s="883">
        <f t="shared" si="117"/>
        <v>904031.9978261512</v>
      </c>
      <c r="T144" s="883">
        <f t="shared" si="117"/>
        <v>1072528.1938162411</v>
      </c>
      <c r="U144" s="883">
        <f t="shared" si="117"/>
        <v>1189943.2440071763</v>
      </c>
      <c r="V144" s="883">
        <f t="shared" si="117"/>
        <v>1136629.9167466394</v>
      </c>
      <c r="W144" s="883">
        <f t="shared" si="117"/>
        <v>1478294.1421833551</v>
      </c>
      <c r="X144" s="180">
        <f t="shared" si="85"/>
        <v>6670855.636563614</v>
      </c>
      <c r="Y144" s="883"/>
      <c r="Z144" s="883"/>
      <c r="AA144" s="883"/>
      <c r="AB144" s="883"/>
      <c r="AC144" s="883"/>
      <c r="AD144" s="883"/>
      <c r="AE144" s="180"/>
      <c r="AF144" s="1389"/>
      <c r="AG144" s="972">
        <f>'PDYG-200'!D$31</f>
        <v>0.39972132300720115</v>
      </c>
      <c r="AH144" s="972">
        <f>'PDYG-200'!E$31</f>
        <v>0.24340000000000001</v>
      </c>
      <c r="AI144" s="972">
        <f>'PDYG-200'!F$31</f>
        <v>0.35687867699279885</v>
      </c>
    </row>
    <row r="145" spans="1:32">
      <c r="A145" s="57"/>
      <c r="B145" s="58"/>
      <c r="C145" s="882"/>
      <c r="D145" s="883">
        <f>F821EVE!D145</f>
        <v>0</v>
      </c>
      <c r="E145" s="883">
        <f>F821EVE!E145</f>
        <v>0</v>
      </c>
      <c r="F145" s="883">
        <f>F821EVE!F145</f>
        <v>0</v>
      </c>
      <c r="G145" s="883">
        <f>F821EVE!G145</f>
        <v>0</v>
      </c>
      <c r="H145" s="883">
        <f>F821EVE!H145</f>
        <v>0</v>
      </c>
      <c r="I145" s="883">
        <f>F821EVE!I145</f>
        <v>0</v>
      </c>
      <c r="J145" s="180">
        <f t="shared" si="82"/>
        <v>0</v>
      </c>
      <c r="K145" s="883"/>
      <c r="L145" s="883"/>
      <c r="M145" s="883"/>
      <c r="N145" s="883"/>
      <c r="O145" s="883"/>
      <c r="P145" s="883"/>
      <c r="Q145" s="180">
        <f t="shared" si="84"/>
        <v>0</v>
      </c>
      <c r="R145" s="883">
        <f t="shared" si="117"/>
        <v>0</v>
      </c>
      <c r="S145" s="883">
        <f t="shared" si="117"/>
        <v>0</v>
      </c>
      <c r="T145" s="883">
        <f t="shared" si="117"/>
        <v>0</v>
      </c>
      <c r="U145" s="883">
        <f t="shared" si="117"/>
        <v>0</v>
      </c>
      <c r="V145" s="883">
        <f t="shared" si="117"/>
        <v>0</v>
      </c>
      <c r="W145" s="883">
        <f t="shared" si="117"/>
        <v>0</v>
      </c>
      <c r="X145" s="180">
        <f t="shared" si="85"/>
        <v>0</v>
      </c>
      <c r="Y145" s="883"/>
      <c r="Z145" s="883"/>
      <c r="AA145" s="883"/>
      <c r="AB145" s="883"/>
      <c r="AC145" s="883"/>
      <c r="AD145" s="883"/>
      <c r="AE145" s="180"/>
      <c r="AF145" s="1389"/>
    </row>
    <row r="146" spans="1:32">
      <c r="A146" s="57"/>
      <c r="B146" s="58"/>
      <c r="C146" s="880" t="s">
        <v>112</v>
      </c>
      <c r="D146" s="881">
        <f>F821EVE!D146</f>
        <v>88736882.514215022</v>
      </c>
      <c r="E146" s="881">
        <f>F821EVE!E146</f>
        <v>85915695.020995006</v>
      </c>
      <c r="F146" s="881">
        <f>F821EVE!F146</f>
        <v>85216320.238540009</v>
      </c>
      <c r="G146" s="881">
        <f>F821EVE!G146</f>
        <v>90843240.803800002</v>
      </c>
      <c r="H146" s="881">
        <f>F821EVE!H146</f>
        <v>79770451.04869999</v>
      </c>
      <c r="I146" s="881">
        <f>F821EVE!I146</f>
        <v>78864509.492409497</v>
      </c>
      <c r="J146" s="180">
        <f t="shared" si="82"/>
        <v>509347099.1186595</v>
      </c>
      <c r="K146" s="881">
        <f t="shared" ref="K146:P146" si="120">SUBTOTAL(9,K114:K145)</f>
        <v>23311416.866619948</v>
      </c>
      <c r="L146" s="881">
        <f t="shared" si="120"/>
        <v>22633418.425806772</v>
      </c>
      <c r="M146" s="881">
        <f t="shared" si="120"/>
        <v>22510807.004630294</v>
      </c>
      <c r="N146" s="881">
        <f t="shared" si="120"/>
        <v>23979340.436743878</v>
      </c>
      <c r="O146" s="881">
        <f t="shared" si="120"/>
        <v>21315407.044306178</v>
      </c>
      <c r="P146" s="881">
        <f t="shared" si="120"/>
        <v>23239495.718379192</v>
      </c>
      <c r="Q146" s="180">
        <f t="shared" si="84"/>
        <v>136989885.49648625</v>
      </c>
      <c r="R146" s="881">
        <f t="shared" si="117"/>
        <v>65425465.647595078</v>
      </c>
      <c r="S146" s="881">
        <f t="shared" si="117"/>
        <v>63282276.59518823</v>
      </c>
      <c r="T146" s="881">
        <f t="shared" si="117"/>
        <v>62705513.233909711</v>
      </c>
      <c r="U146" s="881">
        <f t="shared" si="117"/>
        <v>66863900.367056124</v>
      </c>
      <c r="V146" s="881">
        <f t="shared" si="117"/>
        <v>58455044.004393816</v>
      </c>
      <c r="W146" s="881">
        <f t="shared" si="117"/>
        <v>55625013.774030305</v>
      </c>
      <c r="X146" s="180">
        <f t="shared" si="85"/>
        <v>372357213.62217331</v>
      </c>
      <c r="Y146" s="881"/>
      <c r="Z146" s="881"/>
      <c r="AA146" s="881"/>
      <c r="AB146" s="881"/>
      <c r="AC146" s="881"/>
      <c r="AD146" s="881"/>
      <c r="AE146" s="180"/>
      <c r="AF146" s="1389"/>
    </row>
    <row r="147" spans="1:32">
      <c r="D147" s="588">
        <f>D146-F821EVE!D146</f>
        <v>0</v>
      </c>
      <c r="E147" s="588">
        <f>E146-F821EVE!E146</f>
        <v>0</v>
      </c>
      <c r="F147" s="588">
        <f>F146-F821EVE!F146</f>
        <v>0</v>
      </c>
      <c r="G147" s="588">
        <f>G146-F821EVE!G146</f>
        <v>0</v>
      </c>
      <c r="H147" s="588">
        <f>H146-F821EVE!H146</f>
        <v>0</v>
      </c>
      <c r="I147" s="588">
        <f>I146-F821EVE!I146</f>
        <v>0</v>
      </c>
      <c r="J147" s="588"/>
      <c r="L147" s="589"/>
      <c r="M147" s="589"/>
      <c r="N147" s="589"/>
      <c r="O147" s="589"/>
      <c r="P147" s="589"/>
      <c r="S147" s="589"/>
      <c r="T147" s="589"/>
      <c r="U147" s="589"/>
      <c r="V147" s="589"/>
      <c r="W147" s="589"/>
      <c r="Z147" s="589"/>
      <c r="AA147" s="589"/>
    </row>
    <row r="148" spans="1:32">
      <c r="D148" s="588">
        <f t="shared" ref="D148:I148" si="121">K146+R146-D146</f>
        <v>0</v>
      </c>
      <c r="E148" s="588">
        <f t="shared" si="121"/>
        <v>0</v>
      </c>
      <c r="F148" s="588">
        <f t="shared" si="121"/>
        <v>0</v>
      </c>
      <c r="G148" s="588">
        <f t="shared" si="121"/>
        <v>0</v>
      </c>
      <c r="H148" s="588">
        <f t="shared" si="121"/>
        <v>0</v>
      </c>
      <c r="I148" s="588">
        <f t="shared" si="121"/>
        <v>0</v>
      </c>
      <c r="J148" s="588"/>
      <c r="L148" s="589"/>
      <c r="M148" s="589"/>
      <c r="N148" s="589"/>
      <c r="O148" s="589"/>
      <c r="P148" s="589"/>
      <c r="S148" s="589"/>
      <c r="T148" s="589"/>
      <c r="U148" s="589"/>
      <c r="V148" s="589"/>
      <c r="W148" s="589"/>
      <c r="Z148" s="589"/>
      <c r="AA148" s="589"/>
    </row>
    <row r="149" spans="1:32">
      <c r="A149" s="57"/>
      <c r="B149" s="58"/>
      <c r="C149" s="880"/>
      <c r="D149" s="881">
        <f t="shared" ref="D149:X149" si="122">D109+D146</f>
        <v>371528672.51421499</v>
      </c>
      <c r="E149" s="881">
        <f t="shared" si="122"/>
        <v>368823547.02099502</v>
      </c>
      <c r="F149" s="881">
        <f t="shared" si="122"/>
        <v>362874426.23853999</v>
      </c>
      <c r="G149" s="881">
        <f t="shared" si="122"/>
        <v>372773147.80379999</v>
      </c>
      <c r="H149" s="881">
        <f t="shared" si="122"/>
        <v>349739826.04869998</v>
      </c>
      <c r="I149" s="881">
        <f t="shared" si="122"/>
        <v>350018527.49240947</v>
      </c>
      <c r="J149" s="180">
        <f t="shared" si="122"/>
        <v>2175758147.1186595</v>
      </c>
      <c r="K149" s="881">
        <f t="shared" si="122"/>
        <v>100272803.46186066</v>
      </c>
      <c r="L149" s="881">
        <f t="shared" si="122"/>
        <v>99235831.324465498</v>
      </c>
      <c r="M149" s="881">
        <f t="shared" si="122"/>
        <v>97332094.774358839</v>
      </c>
      <c r="N149" s="881">
        <f t="shared" si="122"/>
        <v>100146017.42486891</v>
      </c>
      <c r="O149" s="881">
        <f t="shared" si="122"/>
        <v>92733189.607032597</v>
      </c>
      <c r="P149" s="881">
        <f t="shared" si="122"/>
        <v>95675508.085858345</v>
      </c>
      <c r="Q149" s="47">
        <f t="shared" si="122"/>
        <v>585395444.67844486</v>
      </c>
      <c r="R149" s="881">
        <f t="shared" si="122"/>
        <v>271255869.05235434</v>
      </c>
      <c r="S149" s="881">
        <f t="shared" si="122"/>
        <v>269587715.69652951</v>
      </c>
      <c r="T149" s="881">
        <f t="shared" si="122"/>
        <v>265542331.46418118</v>
      </c>
      <c r="U149" s="881">
        <f t="shared" si="122"/>
        <v>272627130.37893111</v>
      </c>
      <c r="V149" s="881">
        <f t="shared" si="122"/>
        <v>257006636.44166738</v>
      </c>
      <c r="W149" s="881">
        <f t="shared" si="122"/>
        <v>254343019.40655115</v>
      </c>
      <c r="X149" s="47">
        <f t="shared" si="122"/>
        <v>1590362702.4402146</v>
      </c>
      <c r="Y149" s="46"/>
      <c r="Z149" s="46"/>
      <c r="AA149" s="46"/>
      <c r="AB149" s="46"/>
      <c r="AC149" s="46"/>
      <c r="AD149" s="46"/>
      <c r="AE149" s="47"/>
      <c r="AF149" s="1391"/>
    </row>
    <row r="150" spans="1:32" ht="18.75">
      <c r="C150" s="590" t="str">
        <f>'PORTADA PORTADA PORTADA'!$B$23</f>
        <v>1 DE JULIO DE 2026</v>
      </c>
      <c r="E150" s="589"/>
      <c r="F150" s="589"/>
      <c r="G150" s="589"/>
      <c r="H150" s="589"/>
      <c r="I150" s="589"/>
      <c r="J150" s="591"/>
    </row>
    <row r="153" spans="1:32">
      <c r="D153" s="589"/>
      <c r="E153" s="589"/>
      <c r="F153" s="589"/>
      <c r="G153" s="589"/>
      <c r="H153" s="589"/>
      <c r="I153" s="589"/>
      <c r="J153" s="589"/>
    </row>
    <row r="154" spans="1:32">
      <c r="D154" s="589"/>
      <c r="E154" s="589"/>
      <c r="F154" s="589"/>
      <c r="G154" s="589"/>
      <c r="H154" s="589"/>
      <c r="I154" s="589"/>
      <c r="J154" s="589"/>
    </row>
    <row r="155" spans="1:32">
      <c r="D155" s="589"/>
      <c r="E155" s="589"/>
      <c r="F155" s="589"/>
      <c r="G155" s="589"/>
      <c r="H155" s="589"/>
      <c r="I155" s="589"/>
      <c r="J155" s="589"/>
    </row>
    <row r="156" spans="1:32">
      <c r="D156" s="589"/>
      <c r="E156" s="589"/>
      <c r="F156" s="589"/>
      <c r="G156" s="589"/>
      <c r="H156" s="589"/>
      <c r="I156" s="589"/>
      <c r="J156" s="589"/>
    </row>
    <row r="157" spans="1:32">
      <c r="D157" s="589"/>
      <c r="E157" s="589"/>
      <c r="F157" s="589"/>
      <c r="G157" s="589"/>
      <c r="H157" s="589"/>
      <c r="I157" s="589"/>
      <c r="J157" s="589"/>
    </row>
    <row r="158" spans="1:32">
      <c r="D158" s="589"/>
      <c r="E158" s="589"/>
      <c r="F158" s="589"/>
      <c r="G158" s="589"/>
      <c r="H158" s="589"/>
      <c r="I158" s="589"/>
      <c r="J158" s="589"/>
    </row>
    <row r="159" spans="1:32">
      <c r="D159" s="589"/>
      <c r="E159" s="589"/>
      <c r="F159" s="589"/>
      <c r="G159" s="589"/>
      <c r="H159" s="589"/>
      <c r="I159" s="589"/>
      <c r="J159" s="589"/>
    </row>
    <row r="160" spans="1:32">
      <c r="D160" s="589"/>
      <c r="E160" s="589"/>
      <c r="F160" s="589"/>
      <c r="G160" s="589"/>
      <c r="H160" s="589"/>
      <c r="I160" s="589"/>
      <c r="J160" s="589"/>
    </row>
    <row r="161" spans="4:10">
      <c r="D161" s="589"/>
      <c r="E161" s="589"/>
      <c r="F161" s="589"/>
      <c r="G161" s="589"/>
      <c r="H161" s="589"/>
      <c r="I161" s="589"/>
      <c r="J161" s="589"/>
    </row>
    <row r="162" spans="4:10">
      <c r="D162" s="589"/>
      <c r="E162" s="589"/>
      <c r="F162" s="589"/>
      <c r="G162" s="589"/>
      <c r="H162" s="589"/>
      <c r="I162" s="589"/>
      <c r="J162" s="589"/>
    </row>
    <row r="163" spans="4:10">
      <c r="D163" s="589"/>
      <c r="E163" s="589"/>
      <c r="F163" s="589"/>
      <c r="G163" s="589"/>
      <c r="H163" s="589"/>
      <c r="I163" s="589"/>
      <c r="J163" s="589"/>
    </row>
    <row r="164" spans="4:10">
      <c r="D164" s="589"/>
      <c r="E164" s="589"/>
      <c r="F164" s="589"/>
      <c r="G164" s="589"/>
      <c r="H164" s="589"/>
      <c r="I164" s="589"/>
      <c r="J164" s="589"/>
    </row>
    <row r="165" spans="4:10">
      <c r="D165" s="589"/>
      <c r="E165" s="589"/>
      <c r="F165" s="589"/>
      <c r="G165" s="589"/>
      <c r="H165" s="589"/>
      <c r="I165" s="589"/>
      <c r="J165" s="589"/>
    </row>
    <row r="166" spans="4:10">
      <c r="D166" s="589"/>
      <c r="E166" s="589"/>
      <c r="F166" s="589"/>
      <c r="G166" s="589"/>
      <c r="H166" s="589"/>
      <c r="I166" s="589"/>
      <c r="J166" s="589"/>
    </row>
    <row r="167" spans="4:10">
      <c r="D167" s="968"/>
      <c r="E167" s="968"/>
      <c r="F167" s="968"/>
      <c r="G167" s="968"/>
      <c r="H167" s="968"/>
      <c r="I167" s="968"/>
      <c r="J167" s="968"/>
    </row>
    <row r="168" spans="4:10">
      <c r="D168" s="589"/>
      <c r="E168" s="589"/>
      <c r="F168" s="589"/>
      <c r="G168" s="589"/>
      <c r="H168" s="589"/>
      <c r="I168" s="589"/>
      <c r="J168" s="589"/>
    </row>
    <row r="169" spans="4:10">
      <c r="D169" s="589"/>
      <c r="E169" s="589"/>
      <c r="F169" s="589"/>
      <c r="G169" s="589"/>
      <c r="H169" s="589"/>
      <c r="I169" s="589"/>
      <c r="J169" s="589"/>
    </row>
    <row r="170" spans="4:10">
      <c r="D170" s="589"/>
      <c r="E170" s="589"/>
      <c r="F170" s="589"/>
      <c r="G170" s="589"/>
      <c r="H170" s="589"/>
      <c r="I170" s="589"/>
      <c r="J170" s="589"/>
    </row>
    <row r="171" spans="4:10">
      <c r="D171" s="589"/>
      <c r="E171" s="589"/>
      <c r="F171" s="589"/>
      <c r="G171" s="589"/>
      <c r="H171" s="589"/>
      <c r="I171" s="589"/>
      <c r="J171" s="589"/>
    </row>
    <row r="172" spans="4:10">
      <c r="D172" s="589"/>
      <c r="E172" s="589"/>
      <c r="F172" s="589"/>
      <c r="G172" s="589"/>
      <c r="H172" s="589"/>
      <c r="I172" s="589"/>
      <c r="J172" s="589"/>
    </row>
    <row r="173" spans="4:10">
      <c r="D173" s="589"/>
      <c r="E173" s="589"/>
      <c r="F173" s="589"/>
      <c r="G173" s="589"/>
      <c r="H173" s="589"/>
      <c r="I173" s="589"/>
      <c r="J173" s="589"/>
    </row>
    <row r="174" spans="4:10">
      <c r="D174" s="589"/>
      <c r="E174" s="589"/>
      <c r="F174" s="589"/>
      <c r="G174" s="589"/>
      <c r="H174" s="589"/>
      <c r="I174" s="589"/>
      <c r="J174" s="589"/>
    </row>
    <row r="175" spans="4:10">
      <c r="D175" s="589"/>
      <c r="E175" s="589"/>
      <c r="F175" s="589"/>
      <c r="G175" s="589"/>
      <c r="H175" s="589"/>
      <c r="I175" s="589"/>
      <c r="J175" s="589"/>
    </row>
    <row r="176" spans="4:10">
      <c r="D176" s="589"/>
      <c r="E176" s="589"/>
      <c r="F176" s="589"/>
      <c r="G176" s="589"/>
      <c r="H176" s="589"/>
      <c r="I176" s="589"/>
      <c r="J176" s="589"/>
    </row>
    <row r="177" spans="2:35">
      <c r="D177" s="589"/>
      <c r="E177" s="589"/>
      <c r="F177" s="589"/>
      <c r="G177" s="589"/>
      <c r="H177" s="589"/>
      <c r="I177" s="589"/>
      <c r="J177" s="589"/>
    </row>
    <row r="178" spans="2:35">
      <c r="D178" s="589"/>
      <c r="E178" s="589"/>
      <c r="F178" s="589"/>
      <c r="G178" s="589"/>
      <c r="H178" s="589"/>
      <c r="I178" s="589"/>
      <c r="J178" s="589"/>
    </row>
    <row r="179" spans="2:35">
      <c r="D179" s="589"/>
      <c r="E179" s="589"/>
      <c r="F179" s="589"/>
      <c r="G179" s="589"/>
      <c r="H179" s="589"/>
      <c r="I179" s="589"/>
      <c r="J179" s="589"/>
    </row>
    <row r="180" spans="2:35">
      <c r="D180" s="589"/>
      <c r="E180" s="589"/>
      <c r="F180" s="589"/>
      <c r="G180" s="589"/>
      <c r="H180" s="589"/>
      <c r="I180" s="589"/>
      <c r="J180" s="589"/>
    </row>
    <row r="181" spans="2:35">
      <c r="D181" s="589"/>
      <c r="E181" s="589"/>
      <c r="F181" s="589"/>
      <c r="G181" s="589"/>
      <c r="H181" s="589"/>
      <c r="I181" s="589"/>
      <c r="J181" s="589"/>
    </row>
    <row r="182" spans="2:35">
      <c r="D182" s="589"/>
      <c r="E182" s="589"/>
      <c r="F182" s="589"/>
      <c r="G182" s="589"/>
      <c r="H182" s="589"/>
      <c r="I182" s="589"/>
      <c r="J182" s="589"/>
    </row>
    <row r="183" spans="2:35">
      <c r="D183" s="589"/>
      <c r="E183" s="589"/>
      <c r="F183" s="589"/>
      <c r="G183" s="589"/>
      <c r="H183" s="589"/>
      <c r="I183" s="589"/>
      <c r="J183" s="589"/>
    </row>
    <row r="184" spans="2:35">
      <c r="D184" s="589"/>
      <c r="E184" s="589"/>
      <c r="F184" s="589"/>
      <c r="G184" s="589"/>
      <c r="H184" s="589"/>
      <c r="I184" s="589"/>
      <c r="J184" s="589"/>
    </row>
    <row r="185" spans="2:35">
      <c r="D185" s="589"/>
      <c r="E185" s="589"/>
      <c r="F185" s="589"/>
      <c r="G185" s="589"/>
      <c r="H185" s="589"/>
      <c r="I185" s="589"/>
      <c r="J185" s="589"/>
    </row>
    <row r="186" spans="2:35" s="63" customFormat="1" ht="15">
      <c r="B186" s="48" t="s">
        <v>902</v>
      </c>
      <c r="D186" s="64">
        <f t="shared" ref="D186:J195" si="123">SUMIF($B$4:$B$146,$B186,D$4:D$146)</f>
        <v>14700559</v>
      </c>
      <c r="E186" s="64">
        <f t="shared" si="123"/>
        <v>14443908</v>
      </c>
      <c r="F186" s="64">
        <f t="shared" si="123"/>
        <v>14884565</v>
      </c>
      <c r="G186" s="64">
        <f t="shared" si="123"/>
        <v>14623169</v>
      </c>
      <c r="H186" s="64">
        <f t="shared" si="123"/>
        <v>13636042</v>
      </c>
      <c r="I186" s="64">
        <f t="shared" si="123"/>
        <v>14799046</v>
      </c>
      <c r="J186" s="64">
        <f t="shared" si="123"/>
        <v>87087289</v>
      </c>
      <c r="AG186" s="973"/>
      <c r="AH186" s="973"/>
      <c r="AI186" s="973"/>
    </row>
    <row r="187" spans="2:35" s="63" customFormat="1" ht="15">
      <c r="B187" s="48" t="s">
        <v>751</v>
      </c>
      <c r="D187" s="64">
        <f t="shared" si="123"/>
        <v>46806799</v>
      </c>
      <c r="E187" s="64">
        <f t="shared" si="123"/>
        <v>46579318</v>
      </c>
      <c r="F187" s="64">
        <f t="shared" si="123"/>
        <v>47216690</v>
      </c>
      <c r="G187" s="64">
        <f t="shared" si="123"/>
        <v>46971939</v>
      </c>
      <c r="H187" s="64">
        <f t="shared" si="123"/>
        <v>48087485</v>
      </c>
      <c r="I187" s="64">
        <f t="shared" si="123"/>
        <v>47534570</v>
      </c>
      <c r="J187" s="64">
        <f t="shared" si="123"/>
        <v>283196801</v>
      </c>
      <c r="AG187" s="973"/>
      <c r="AH187" s="973"/>
      <c r="AI187" s="973"/>
    </row>
    <row r="188" spans="2:35" s="63" customFormat="1" ht="15">
      <c r="B188" s="48" t="s">
        <v>750</v>
      </c>
      <c r="D188" s="64">
        <f t="shared" si="123"/>
        <v>49250315</v>
      </c>
      <c r="E188" s="64">
        <f t="shared" si="123"/>
        <v>49791736</v>
      </c>
      <c r="F188" s="64">
        <f t="shared" si="123"/>
        <v>48506495</v>
      </c>
      <c r="G188" s="64">
        <f t="shared" si="123"/>
        <v>48473458</v>
      </c>
      <c r="H188" s="64">
        <f t="shared" si="123"/>
        <v>46806378</v>
      </c>
      <c r="I188" s="64">
        <f t="shared" si="123"/>
        <v>45725786</v>
      </c>
      <c r="J188" s="64">
        <f t="shared" si="123"/>
        <v>288554168</v>
      </c>
      <c r="AG188" s="973"/>
      <c r="AH188" s="973"/>
      <c r="AI188" s="973"/>
    </row>
    <row r="189" spans="2:35" s="63" customFormat="1" ht="15">
      <c r="B189" s="48" t="s">
        <v>749</v>
      </c>
      <c r="D189" s="64">
        <f t="shared" si="123"/>
        <v>54613850</v>
      </c>
      <c r="E189" s="64">
        <f t="shared" si="123"/>
        <v>54327073</v>
      </c>
      <c r="F189" s="64">
        <f t="shared" si="123"/>
        <v>52998131</v>
      </c>
      <c r="G189" s="64">
        <f t="shared" si="123"/>
        <v>53736809</v>
      </c>
      <c r="H189" s="64">
        <f t="shared" si="123"/>
        <v>49483276</v>
      </c>
      <c r="I189" s="64">
        <f t="shared" si="123"/>
        <v>51366818</v>
      </c>
      <c r="J189" s="64">
        <f t="shared" si="123"/>
        <v>316525957</v>
      </c>
      <c r="AG189" s="973"/>
      <c r="AH189" s="973"/>
      <c r="AI189" s="973"/>
    </row>
    <row r="190" spans="2:35" s="63" customFormat="1" ht="15">
      <c r="B190" s="48" t="s">
        <v>274</v>
      </c>
      <c r="D190" s="64">
        <f t="shared" si="123"/>
        <v>60042933</v>
      </c>
      <c r="E190" s="64">
        <f t="shared" si="123"/>
        <v>59582611</v>
      </c>
      <c r="F190" s="64">
        <f t="shared" si="123"/>
        <v>57347048</v>
      </c>
      <c r="G190" s="64">
        <f t="shared" si="123"/>
        <v>59528985</v>
      </c>
      <c r="H190" s="64">
        <f t="shared" si="123"/>
        <v>56096582</v>
      </c>
      <c r="I190" s="64">
        <f t="shared" si="123"/>
        <v>55882612</v>
      </c>
      <c r="J190" s="64">
        <f t="shared" si="123"/>
        <v>348480771</v>
      </c>
      <c r="AG190" s="973"/>
      <c r="AH190" s="973"/>
      <c r="AI190" s="973"/>
    </row>
    <row r="191" spans="2:35" s="63" customFormat="1" ht="15">
      <c r="B191" s="48" t="s">
        <v>275</v>
      </c>
      <c r="D191" s="64">
        <f t="shared" si="123"/>
        <v>2796078</v>
      </c>
      <c r="E191" s="64">
        <f t="shared" si="123"/>
        <v>2776295</v>
      </c>
      <c r="F191" s="64">
        <f t="shared" si="123"/>
        <v>2745536</v>
      </c>
      <c r="G191" s="64">
        <f t="shared" si="123"/>
        <v>2827585</v>
      </c>
      <c r="H191" s="64">
        <f t="shared" si="123"/>
        <v>2788874</v>
      </c>
      <c r="I191" s="64">
        <f t="shared" si="123"/>
        <v>2916840</v>
      </c>
      <c r="J191" s="64">
        <f t="shared" si="123"/>
        <v>16851208</v>
      </c>
      <c r="AG191" s="973"/>
      <c r="AH191" s="973"/>
      <c r="AI191" s="973"/>
    </row>
    <row r="192" spans="2:35" s="63" customFormat="1" ht="15">
      <c r="B192" s="48" t="s">
        <v>276</v>
      </c>
      <c r="D192" s="64">
        <f t="shared" si="123"/>
        <v>25243627</v>
      </c>
      <c r="E192" s="64">
        <f t="shared" si="123"/>
        <v>25925106</v>
      </c>
      <c r="F192" s="64">
        <f t="shared" si="123"/>
        <v>24949026</v>
      </c>
      <c r="G192" s="64">
        <f t="shared" si="123"/>
        <v>26314436</v>
      </c>
      <c r="H192" s="64">
        <f t="shared" si="123"/>
        <v>23633501</v>
      </c>
      <c r="I192" s="64">
        <f t="shared" si="123"/>
        <v>24604968</v>
      </c>
      <c r="J192" s="64">
        <f t="shared" si="123"/>
        <v>150670664</v>
      </c>
      <c r="AG192" s="973"/>
      <c r="AH192" s="973"/>
      <c r="AI192" s="973"/>
    </row>
    <row r="193" spans="2:35" s="63" customFormat="1" ht="15">
      <c r="B193" s="48" t="s">
        <v>277</v>
      </c>
      <c r="D193" s="64">
        <f t="shared" si="123"/>
        <v>4273523</v>
      </c>
      <c r="E193" s="64">
        <f t="shared" si="123"/>
        <v>4365765</v>
      </c>
      <c r="F193" s="64">
        <f t="shared" si="123"/>
        <v>4346196</v>
      </c>
      <c r="G193" s="64">
        <f t="shared" si="123"/>
        <v>4101155</v>
      </c>
      <c r="H193" s="64">
        <f t="shared" si="123"/>
        <v>4984929</v>
      </c>
      <c r="I193" s="64">
        <f t="shared" si="123"/>
        <v>3245368</v>
      </c>
      <c r="J193" s="64">
        <f t="shared" si="123"/>
        <v>25316936</v>
      </c>
      <c r="AG193" s="973"/>
      <c r="AH193" s="973"/>
      <c r="AI193" s="973"/>
    </row>
    <row r="194" spans="2:35" s="63" customFormat="1" ht="15">
      <c r="B194" s="48" t="s">
        <v>278</v>
      </c>
      <c r="D194" s="64">
        <f t="shared" si="123"/>
        <v>0</v>
      </c>
      <c r="E194" s="64">
        <f t="shared" si="123"/>
        <v>0</v>
      </c>
      <c r="F194" s="64">
        <f t="shared" si="123"/>
        <v>0</v>
      </c>
      <c r="G194" s="64">
        <f t="shared" si="123"/>
        <v>0</v>
      </c>
      <c r="H194" s="64">
        <f t="shared" si="123"/>
        <v>0</v>
      </c>
      <c r="I194" s="64">
        <f t="shared" si="123"/>
        <v>0</v>
      </c>
      <c r="J194" s="64">
        <f t="shared" si="123"/>
        <v>0</v>
      </c>
      <c r="AG194" s="973"/>
      <c r="AH194" s="973"/>
      <c r="AI194" s="973"/>
    </row>
    <row r="195" spans="2:35" s="63" customFormat="1" ht="15">
      <c r="B195" s="48" t="s">
        <v>279</v>
      </c>
      <c r="D195" s="64">
        <f t="shared" si="123"/>
        <v>18371399</v>
      </c>
      <c r="E195" s="64">
        <f t="shared" si="123"/>
        <v>18422499</v>
      </c>
      <c r="F195" s="64">
        <f t="shared" si="123"/>
        <v>18003680</v>
      </c>
      <c r="G195" s="64">
        <f t="shared" si="123"/>
        <v>18689952</v>
      </c>
      <c r="H195" s="64">
        <f t="shared" si="123"/>
        <v>17823144</v>
      </c>
      <c r="I195" s="64">
        <f t="shared" si="123"/>
        <v>18498181</v>
      </c>
      <c r="J195" s="64">
        <f t="shared" si="123"/>
        <v>109808855</v>
      </c>
      <c r="AG195" s="973"/>
      <c r="AH195" s="973"/>
      <c r="AI195" s="973"/>
    </row>
    <row r="196" spans="2:35" s="63" customFormat="1" ht="15">
      <c r="B196" s="48" t="s">
        <v>875</v>
      </c>
      <c r="D196" s="64">
        <f t="shared" ref="D196:J202" si="124">SUMIF($B$4:$B$146,$B196,D$4:D$146)</f>
        <v>8294722.5165000027</v>
      </c>
      <c r="E196" s="64">
        <f t="shared" si="124"/>
        <v>8140813.480800001</v>
      </c>
      <c r="F196" s="64">
        <f t="shared" si="124"/>
        <v>8266894.2631999999</v>
      </c>
      <c r="G196" s="64">
        <f t="shared" si="124"/>
        <v>8712372.9224999994</v>
      </c>
      <c r="H196" s="64">
        <f t="shared" si="124"/>
        <v>8018168.7654999988</v>
      </c>
      <c r="I196" s="64">
        <f t="shared" si="124"/>
        <v>9011490.1367460024</v>
      </c>
      <c r="J196" s="64">
        <f t="shared" si="124"/>
        <v>50444462.085246004</v>
      </c>
      <c r="AG196" s="973"/>
      <c r="AH196" s="973"/>
      <c r="AI196" s="973"/>
    </row>
    <row r="197" spans="2:35" s="63" customFormat="1" ht="15">
      <c r="B197" s="48" t="s">
        <v>874</v>
      </c>
      <c r="D197" s="64">
        <f t="shared" si="124"/>
        <v>277505.12309999997</v>
      </c>
      <c r="E197" s="64">
        <f t="shared" si="124"/>
        <v>275039.1409</v>
      </c>
      <c r="F197" s="64">
        <f t="shared" si="124"/>
        <v>263421.304</v>
      </c>
      <c r="G197" s="64">
        <f t="shared" si="124"/>
        <v>273172.52999999997</v>
      </c>
      <c r="H197" s="64">
        <f t="shared" si="124"/>
        <v>264545.33290000004</v>
      </c>
      <c r="I197" s="64">
        <f t="shared" si="124"/>
        <v>274089.99000000028</v>
      </c>
      <c r="J197" s="64">
        <f t="shared" si="124"/>
        <v>1627773.4209000003</v>
      </c>
      <c r="AG197" s="973"/>
      <c r="AH197" s="973"/>
      <c r="AI197" s="973"/>
    </row>
    <row r="198" spans="2:35" s="63" customFormat="1" ht="15">
      <c r="B198" s="48" t="s">
        <v>873</v>
      </c>
      <c r="D198" s="64">
        <f t="shared" si="124"/>
        <v>42704930.713415012</v>
      </c>
      <c r="E198" s="64">
        <f t="shared" si="124"/>
        <v>42273230.147294998</v>
      </c>
      <c r="F198" s="64">
        <f t="shared" si="124"/>
        <v>41073104.088540003</v>
      </c>
      <c r="G198" s="64">
        <f t="shared" si="124"/>
        <v>42730848.35360001</v>
      </c>
      <c r="H198" s="64">
        <f t="shared" si="124"/>
        <v>39398904.964399993</v>
      </c>
      <c r="I198" s="64">
        <f t="shared" si="124"/>
        <v>42246478.627023496</v>
      </c>
      <c r="J198" s="64">
        <f t="shared" si="124"/>
        <v>250427496.89427349</v>
      </c>
      <c r="AG198" s="973"/>
      <c r="AH198" s="973"/>
      <c r="AI198" s="973"/>
    </row>
    <row r="199" spans="2:35" s="63" customFormat="1" ht="15">
      <c r="B199" s="48" t="s">
        <v>872</v>
      </c>
      <c r="D199" s="64">
        <f t="shared" si="124"/>
        <v>10187998.689699996</v>
      </c>
      <c r="E199" s="64">
        <f t="shared" si="124"/>
        <v>10283691.219000001</v>
      </c>
      <c r="F199" s="64">
        <f t="shared" si="124"/>
        <v>10003634.213500001</v>
      </c>
      <c r="G199" s="64">
        <f t="shared" si="124"/>
        <v>10722025.506499998</v>
      </c>
      <c r="H199" s="64">
        <f t="shared" si="124"/>
        <v>10053473.359000001</v>
      </c>
      <c r="I199" s="64">
        <f t="shared" si="124"/>
        <v>9999309.5506700017</v>
      </c>
      <c r="J199" s="64">
        <f t="shared" si="124"/>
        <v>61250132.538369998</v>
      </c>
      <c r="AG199" s="973"/>
      <c r="AH199" s="973"/>
      <c r="AI199" s="973"/>
    </row>
    <row r="200" spans="2:35" s="63" customFormat="1" ht="15">
      <c r="B200" s="48" t="s">
        <v>871</v>
      </c>
      <c r="D200" s="64">
        <f t="shared" si="124"/>
        <v>4646197.4270000001</v>
      </c>
      <c r="E200" s="64">
        <f t="shared" si="124"/>
        <v>4556963.8679999998</v>
      </c>
      <c r="F200" s="64">
        <f t="shared" si="124"/>
        <v>4711386.845999999</v>
      </c>
      <c r="G200" s="64">
        <f t="shared" si="124"/>
        <v>5664560.0352999996</v>
      </c>
      <c r="H200" s="64">
        <f t="shared" si="124"/>
        <v>5454182.7593999989</v>
      </c>
      <c r="I200" s="64">
        <f t="shared" si="124"/>
        <v>5734216.9078700012</v>
      </c>
      <c r="J200" s="64">
        <f t="shared" si="124"/>
        <v>30767507.843569998</v>
      </c>
      <c r="AG200" s="973"/>
      <c r="AH200" s="973"/>
      <c r="AI200" s="973"/>
    </row>
    <row r="201" spans="2:35" s="63" customFormat="1" ht="15">
      <c r="B201" s="48" t="s">
        <v>870</v>
      </c>
      <c r="D201" s="64">
        <f t="shared" si="124"/>
        <v>9732186.0445000008</v>
      </c>
      <c r="E201" s="64">
        <f t="shared" si="124"/>
        <v>8809349.8929999992</v>
      </c>
      <c r="F201" s="64">
        <f t="shared" si="124"/>
        <v>8904240.7452999987</v>
      </c>
      <c r="G201" s="64">
        <f t="shared" si="124"/>
        <v>10209908.455899999</v>
      </c>
      <c r="H201" s="64">
        <f t="shared" si="124"/>
        <v>7093283.8164999997</v>
      </c>
      <c r="I201" s="64">
        <f t="shared" si="124"/>
        <v>9146574.2800999992</v>
      </c>
      <c r="J201" s="64">
        <f t="shared" si="124"/>
        <v>53895543.23529999</v>
      </c>
      <c r="AG201" s="973"/>
      <c r="AH201" s="973"/>
      <c r="AI201" s="973"/>
    </row>
    <row r="202" spans="2:35" s="63" customFormat="1" ht="15">
      <c r="B202" s="48" t="s">
        <v>890</v>
      </c>
      <c r="D202" s="968">
        <f t="shared" si="124"/>
        <v>12893341.999999998</v>
      </c>
      <c r="E202" s="968">
        <f t="shared" si="124"/>
        <v>11576607.272000004</v>
      </c>
      <c r="F202" s="968">
        <f t="shared" si="124"/>
        <v>11993638.777999999</v>
      </c>
      <c r="G202" s="968">
        <f t="shared" si="124"/>
        <v>12530353.000000002</v>
      </c>
      <c r="H202" s="968">
        <f t="shared" si="124"/>
        <v>9487892.0510000009</v>
      </c>
      <c r="I202" s="968">
        <f t="shared" si="124"/>
        <v>2452350.0000000047</v>
      </c>
      <c r="J202" s="968">
        <f t="shared" si="124"/>
        <v>60934183.101000004</v>
      </c>
      <c r="AG202" s="973"/>
      <c r="AH202" s="973"/>
      <c r="AI202" s="973"/>
    </row>
    <row r="203" spans="2:35" s="63" customFormat="1" ht="15">
      <c r="B203" s="48" t="s">
        <v>111</v>
      </c>
      <c r="D203" s="65">
        <f t="shared" ref="D203:J203" si="125">SUM(D186:D202)</f>
        <v>364835965.51421499</v>
      </c>
      <c r="E203" s="65">
        <f t="shared" si="125"/>
        <v>362130006.02099496</v>
      </c>
      <c r="F203" s="65">
        <f t="shared" si="125"/>
        <v>356213687.23854005</v>
      </c>
      <c r="G203" s="65">
        <f t="shared" ref="G203:I203" si="126">SUM(G186:G202)</f>
        <v>366110728.80380005</v>
      </c>
      <c r="H203" s="65">
        <f t="shared" si="126"/>
        <v>343110662.04870003</v>
      </c>
      <c r="I203" s="65">
        <f t="shared" si="126"/>
        <v>343438698.49240953</v>
      </c>
      <c r="J203" s="65">
        <f t="shared" si="125"/>
        <v>2135839748.1186597</v>
      </c>
      <c r="AG203" s="973"/>
      <c r="AH203" s="973"/>
      <c r="AI203" s="973"/>
    </row>
    <row r="204" spans="2:35" s="63" customFormat="1" ht="17.25" customHeight="1">
      <c r="B204" s="48"/>
      <c r="D204" s="66">
        <f t="shared" ref="D204:J204" si="127">D203-D107-D146</f>
        <v>0</v>
      </c>
      <c r="E204" s="66">
        <f t="shared" si="127"/>
        <v>0</v>
      </c>
      <c r="F204" s="66">
        <f t="shared" si="127"/>
        <v>0</v>
      </c>
      <c r="G204" s="66">
        <f t="shared" si="127"/>
        <v>0</v>
      </c>
      <c r="H204" s="66">
        <f t="shared" si="127"/>
        <v>0</v>
      </c>
      <c r="I204" s="66">
        <f t="shared" si="127"/>
        <v>0</v>
      </c>
      <c r="J204" s="66">
        <f t="shared" si="127"/>
        <v>0</v>
      </c>
      <c r="AG204" s="973"/>
      <c r="AH204" s="973"/>
      <c r="AI204" s="973"/>
    </row>
    <row r="205" spans="2:35">
      <c r="D205" s="589"/>
      <c r="E205" s="589"/>
      <c r="F205" s="589"/>
      <c r="G205" s="589"/>
      <c r="H205" s="589"/>
      <c r="I205" s="589"/>
      <c r="J205" s="589"/>
    </row>
    <row r="206" spans="2:35">
      <c r="D206" s="589"/>
      <c r="E206" s="589"/>
      <c r="F206" s="589"/>
      <c r="G206" s="589"/>
      <c r="H206" s="589"/>
      <c r="I206" s="589"/>
      <c r="J206" s="589"/>
    </row>
    <row r="207" spans="2:35">
      <c r="D207" s="589"/>
      <c r="E207" s="589"/>
      <c r="F207" s="589"/>
      <c r="G207" s="589"/>
      <c r="H207" s="589"/>
      <c r="I207" s="589"/>
      <c r="J207" s="589"/>
    </row>
    <row r="208" spans="2:35">
      <c r="D208" s="589"/>
      <c r="E208" s="589"/>
      <c r="F208" s="589"/>
      <c r="G208" s="589"/>
      <c r="H208" s="589"/>
      <c r="I208" s="589"/>
      <c r="J208" s="589"/>
    </row>
    <row r="209" spans="4:10">
      <c r="D209" s="589"/>
      <c r="E209" s="589"/>
      <c r="F209" s="589"/>
      <c r="G209" s="589"/>
      <c r="H209" s="589"/>
      <c r="I209" s="589"/>
      <c r="J209" s="589"/>
    </row>
    <row r="210" spans="4:10">
      <c r="D210" s="589"/>
      <c r="E210" s="589"/>
      <c r="F210" s="589"/>
      <c r="G210" s="589"/>
      <c r="H210" s="589"/>
      <c r="I210" s="589"/>
      <c r="J210" s="589"/>
    </row>
    <row r="211" spans="4:10">
      <c r="D211" s="589"/>
      <c r="E211" s="589"/>
      <c r="F211" s="589"/>
      <c r="G211" s="589"/>
      <c r="H211" s="589"/>
      <c r="I211" s="589"/>
      <c r="J211" s="589"/>
    </row>
    <row r="212" spans="4:10">
      <c r="D212" s="589"/>
      <c r="E212" s="589"/>
      <c r="F212" s="589"/>
      <c r="G212" s="589"/>
      <c r="H212" s="589"/>
      <c r="I212" s="589"/>
      <c r="J212" s="589"/>
    </row>
    <row r="213" spans="4:10">
      <c r="D213" s="589"/>
      <c r="E213" s="589"/>
      <c r="F213" s="589"/>
      <c r="G213" s="589"/>
      <c r="H213" s="589"/>
      <c r="I213" s="589"/>
      <c r="J213" s="589"/>
    </row>
    <row r="214" spans="4:10">
      <c r="D214" s="589"/>
      <c r="E214" s="589"/>
      <c r="F214" s="589"/>
      <c r="G214" s="589"/>
      <c r="H214" s="589"/>
      <c r="I214" s="589"/>
      <c r="J214" s="589"/>
    </row>
    <row r="215" spans="4:10">
      <c r="D215" s="589"/>
      <c r="E215" s="589"/>
      <c r="F215" s="589"/>
      <c r="G215" s="589"/>
      <c r="H215" s="589"/>
      <c r="I215" s="589"/>
      <c r="J215" s="589"/>
    </row>
    <row r="216" spans="4:10">
      <c r="D216" s="589"/>
      <c r="E216" s="589"/>
      <c r="F216" s="589"/>
      <c r="G216" s="589"/>
      <c r="H216" s="589"/>
      <c r="I216" s="589"/>
      <c r="J216" s="589"/>
    </row>
    <row r="217" spans="4:10">
      <c r="D217" s="589"/>
      <c r="E217" s="589"/>
      <c r="F217" s="589"/>
      <c r="G217" s="589"/>
      <c r="H217" s="589"/>
      <c r="I217" s="589"/>
      <c r="J217" s="589"/>
    </row>
    <row r="218" spans="4:10">
      <c r="D218" s="589"/>
      <c r="E218" s="589"/>
      <c r="F218" s="589"/>
      <c r="G218" s="589"/>
      <c r="H218" s="589"/>
      <c r="I218" s="589"/>
      <c r="J218" s="589"/>
    </row>
    <row r="219" spans="4:10">
      <c r="D219" s="589"/>
      <c r="E219" s="589"/>
      <c r="F219" s="589"/>
      <c r="G219" s="589"/>
      <c r="H219" s="589"/>
      <c r="I219" s="589"/>
      <c r="J219" s="589"/>
    </row>
    <row r="220" spans="4:10">
      <c r="D220" s="589"/>
      <c r="E220" s="589"/>
      <c r="F220" s="589"/>
      <c r="G220" s="589"/>
      <c r="H220" s="589"/>
      <c r="I220" s="589"/>
      <c r="J220" s="589"/>
    </row>
    <row r="221" spans="4:10">
      <c r="D221" s="589"/>
      <c r="E221" s="589"/>
      <c r="F221" s="589"/>
      <c r="G221" s="589"/>
      <c r="H221" s="589"/>
      <c r="I221" s="589"/>
      <c r="J221" s="589"/>
    </row>
    <row r="222" spans="4:10">
      <c r="D222" s="589"/>
      <c r="E222" s="589"/>
      <c r="F222" s="589"/>
      <c r="G222" s="589"/>
      <c r="H222" s="589"/>
      <c r="I222" s="589"/>
      <c r="J222" s="589"/>
    </row>
    <row r="223" spans="4:10">
      <c r="D223" s="589"/>
      <c r="E223" s="589"/>
      <c r="F223" s="589"/>
      <c r="G223" s="589"/>
      <c r="H223" s="589"/>
      <c r="I223" s="589"/>
      <c r="J223" s="589"/>
    </row>
    <row r="224" spans="4:10">
      <c r="D224" s="589"/>
      <c r="E224" s="589"/>
      <c r="F224" s="589"/>
      <c r="G224" s="589"/>
      <c r="H224" s="589"/>
      <c r="I224" s="589"/>
      <c r="J224" s="589"/>
    </row>
    <row r="225" spans="4:10">
      <c r="D225" s="968"/>
      <c r="E225" s="968"/>
      <c r="F225" s="968"/>
      <c r="G225" s="968"/>
      <c r="H225" s="968"/>
      <c r="I225" s="968"/>
      <c r="J225" s="968"/>
    </row>
  </sheetData>
  <phoneticPr fontId="0" type="noConversion"/>
  <printOptions horizontalCentered="1" verticalCentered="1"/>
  <pageMargins left="0.59055118110236227" right="0.59055118110236227" top="0.78740157480314965" bottom="0.59055118110236227" header="0.59055118110236227" footer="0.47244094488188981"/>
  <pageSetup scale="25" orientation="landscape" r:id="rId1"/>
  <headerFooter>
    <oddHeader>&amp;L&amp;"Times New Roman,Negrita"&amp;14Nombre de la Distribuidora: &amp;K06-048ENSA&amp;RASEP FORM: &amp;A</oddHeader>
    <oddFooter>&amp;R&amp;A</oddFooter>
  </headerFooter>
  <rowBreaks count="1" manualBreakCount="1">
    <brk id="110" max="16383" man="1"/>
  </rowBreaks>
  <colBreaks count="2" manualBreakCount="2">
    <brk id="10" max="1048575" man="1"/>
    <brk id="17" max="104857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F4F25-821A-489E-BC79-E520FE5EB721}">
  <sheetPr>
    <tabColor rgb="FFFFC000"/>
    <pageSetUpPr fitToPage="1"/>
  </sheetPr>
  <dimension ref="A1:AP236"/>
  <sheetViews>
    <sheetView view="pageBreakPreview" zoomScale="70" zoomScaleNormal="70" zoomScaleSheetLayoutView="70" workbookViewId="0">
      <pane xSplit="3" ySplit="4" topLeftCell="D44" activePane="bottomRight" state="frozen"/>
      <selection activeCell="C59" sqref="C59"/>
      <selection pane="topRight" activeCell="C59" sqref="C59"/>
      <selection pane="bottomLeft" activeCell="C59" sqref="C59"/>
      <selection pane="bottomRight" activeCell="C59" sqref="C59"/>
    </sheetView>
  </sheetViews>
  <sheetFormatPr baseColWidth="10" defaultColWidth="11" defaultRowHeight="13.5"/>
  <cols>
    <col min="1" max="1" width="2.375" style="56" bestFit="1" customWidth="1"/>
    <col min="2" max="2" width="9.25" style="56" customWidth="1"/>
    <col min="3" max="3" width="32.5" style="56" customWidth="1"/>
    <col min="4" max="9" width="10.875" style="56" customWidth="1"/>
    <col min="10" max="10" width="11.375" style="56" bestFit="1" customWidth="1"/>
    <col min="11" max="23" width="10.875" style="56" customWidth="1"/>
    <col min="24" max="24" width="11.375" style="56" customWidth="1"/>
    <col min="25" max="30" width="10.875" style="56" customWidth="1"/>
    <col min="31" max="31" width="11.375" style="56" customWidth="1"/>
    <col min="32" max="32" width="3.625" style="56" customWidth="1"/>
    <col min="33" max="35" width="6.75" style="969" customWidth="1"/>
    <col min="36" max="16384" width="11" style="56"/>
  </cols>
  <sheetData>
    <row r="1" spans="2:35" ht="14.25" thickBot="1"/>
    <row r="2" spans="2:35" s="585" customFormat="1" ht="13.5" customHeight="1">
      <c r="C2" s="584" t="s">
        <v>686</v>
      </c>
      <c r="J2" s="586"/>
      <c r="Q2" s="586"/>
      <c r="X2" s="586"/>
      <c r="AE2" s="586"/>
      <c r="AF2" s="1386"/>
      <c r="AG2" s="970"/>
      <c r="AH2" s="970"/>
      <c r="AI2" s="970"/>
    </row>
    <row r="3" spans="2:35" ht="12.95" customHeight="1">
      <c r="C3" s="960"/>
      <c r="D3" s="961"/>
      <c r="E3" s="962"/>
      <c r="F3" s="962"/>
      <c r="G3" s="962"/>
      <c r="H3" s="962"/>
      <c r="I3" s="962"/>
      <c r="J3" s="962"/>
      <c r="K3" s="961"/>
      <c r="L3" s="962"/>
      <c r="M3" s="962"/>
      <c r="N3" s="962"/>
      <c r="O3" s="962"/>
      <c r="P3" s="962"/>
      <c r="Q3" s="962"/>
      <c r="R3" s="961"/>
      <c r="S3" s="962"/>
      <c r="T3" s="962"/>
      <c r="U3" s="962"/>
      <c r="V3" s="962"/>
      <c r="W3" s="962"/>
      <c r="X3" s="962"/>
      <c r="Y3" s="961"/>
      <c r="Z3" s="962"/>
      <c r="AA3" s="962"/>
      <c r="AB3" s="962"/>
      <c r="AC3" s="962"/>
      <c r="AD3" s="962"/>
      <c r="AE3" s="962"/>
      <c r="AF3" s="1387"/>
    </row>
    <row r="4" spans="2:35" s="532" customFormat="1" ht="24">
      <c r="C4" s="963" t="s">
        <v>1257</v>
      </c>
      <c r="D4" s="964">
        <f>F821C!D4</f>
        <v>45839</v>
      </c>
      <c r="E4" s="964">
        <f>F821C!E4</f>
        <v>45870</v>
      </c>
      <c r="F4" s="964">
        <f>F821C!F4</f>
        <v>45901</v>
      </c>
      <c r="G4" s="964">
        <f>F821C!G4</f>
        <v>45931</v>
      </c>
      <c r="H4" s="964">
        <f>F821C!H4</f>
        <v>45962</v>
      </c>
      <c r="I4" s="964">
        <f>F821C!I4</f>
        <v>45992</v>
      </c>
      <c r="J4" s="964" t="s">
        <v>111</v>
      </c>
      <c r="K4" s="964">
        <f>D4</f>
        <v>45839</v>
      </c>
      <c r="L4" s="964">
        <f t="shared" ref="L4:P4" si="0">E4</f>
        <v>45870</v>
      </c>
      <c r="M4" s="964">
        <f t="shared" si="0"/>
        <v>45901</v>
      </c>
      <c r="N4" s="964">
        <f t="shared" si="0"/>
        <v>45931</v>
      </c>
      <c r="O4" s="964">
        <f t="shared" si="0"/>
        <v>45962</v>
      </c>
      <c r="P4" s="964">
        <f t="shared" si="0"/>
        <v>45992</v>
      </c>
      <c r="Q4" s="964" t="s">
        <v>111</v>
      </c>
      <c r="R4" s="964">
        <f>D4</f>
        <v>45839</v>
      </c>
      <c r="S4" s="964">
        <f t="shared" ref="S4:W4" si="1">E4</f>
        <v>45870</v>
      </c>
      <c r="T4" s="964">
        <f t="shared" si="1"/>
        <v>45901</v>
      </c>
      <c r="U4" s="964">
        <f t="shared" si="1"/>
        <v>45931</v>
      </c>
      <c r="V4" s="964">
        <f t="shared" si="1"/>
        <v>45962</v>
      </c>
      <c r="W4" s="964">
        <f t="shared" si="1"/>
        <v>45992</v>
      </c>
      <c r="X4" s="964" t="s">
        <v>111</v>
      </c>
      <c r="Y4" s="964">
        <f>R4</f>
        <v>45839</v>
      </c>
      <c r="Z4" s="964">
        <f t="shared" ref="Z4:AD4" si="2">S4</f>
        <v>45870</v>
      </c>
      <c r="AA4" s="964">
        <f t="shared" si="2"/>
        <v>45901</v>
      </c>
      <c r="AB4" s="964">
        <f t="shared" si="2"/>
        <v>45931</v>
      </c>
      <c r="AC4" s="964">
        <f t="shared" si="2"/>
        <v>45962</v>
      </c>
      <c r="AD4" s="964">
        <f t="shared" si="2"/>
        <v>45992</v>
      </c>
      <c r="AE4" s="964" t="s">
        <v>111</v>
      </c>
      <c r="AF4" s="1388"/>
      <c r="AG4" s="971"/>
      <c r="AH4" s="971"/>
      <c r="AI4" s="971"/>
    </row>
    <row r="5" spans="2:35" s="587" customFormat="1">
      <c r="C5" s="880" t="s">
        <v>446</v>
      </c>
      <c r="D5" s="881">
        <v>18371399</v>
      </c>
      <c r="E5" s="881">
        <v>18422499</v>
      </c>
      <c r="F5" s="881">
        <v>18003680</v>
      </c>
      <c r="G5" s="881">
        <v>18689952</v>
      </c>
      <c r="H5" s="881">
        <v>17823144</v>
      </c>
      <c r="I5" s="881">
        <v>18498181</v>
      </c>
      <c r="J5" s="180">
        <f>SUM(D5:I5)</f>
        <v>109808855</v>
      </c>
      <c r="K5" s="881">
        <f t="shared" ref="K5:W5" si="3">SUBTOTAL(9,K6:K7)</f>
        <v>4779684</v>
      </c>
      <c r="L5" s="881">
        <f t="shared" si="3"/>
        <v>4536363</v>
      </c>
      <c r="M5" s="881">
        <f t="shared" si="3"/>
        <v>4342310</v>
      </c>
      <c r="N5" s="881">
        <f t="shared" si="3"/>
        <v>4342310</v>
      </c>
      <c r="O5" s="881">
        <f t="shared" si="3"/>
        <v>3485560</v>
      </c>
      <c r="P5" s="881">
        <f t="shared" si="3"/>
        <v>4070278</v>
      </c>
      <c r="Q5" s="180">
        <f>SUM(K5:P5)</f>
        <v>25556505</v>
      </c>
      <c r="R5" s="881">
        <f t="shared" si="3"/>
        <v>5338194.729927008</v>
      </c>
      <c r="S5" s="881">
        <f t="shared" si="3"/>
        <v>5353042.9051094893</v>
      </c>
      <c r="T5" s="881">
        <f t="shared" si="3"/>
        <v>5231346.2733726632</v>
      </c>
      <c r="U5" s="881">
        <f t="shared" si="3"/>
        <v>5430756.97550245</v>
      </c>
      <c r="V5" s="881">
        <f t="shared" si="3"/>
        <v>5178887.7576242378</v>
      </c>
      <c r="W5" s="881">
        <f t="shared" si="3"/>
        <v>5375033.8952104794</v>
      </c>
      <c r="X5" s="180">
        <f>SUM(R5:W5)</f>
        <v>31907262.536746327</v>
      </c>
      <c r="Y5" s="881">
        <f t="shared" ref="Y5:AD5" si="4">SUBTOTAL(9,Y6:Y7)</f>
        <v>8253520.270072992</v>
      </c>
      <c r="Z5" s="881">
        <f t="shared" si="4"/>
        <v>8533093.0948905107</v>
      </c>
      <c r="AA5" s="881">
        <f t="shared" si="4"/>
        <v>8430023.7266273368</v>
      </c>
      <c r="AB5" s="881">
        <f t="shared" si="4"/>
        <v>8916885.02449755</v>
      </c>
      <c r="AC5" s="881">
        <f t="shared" si="4"/>
        <v>9158696.2423757613</v>
      </c>
      <c r="AD5" s="881">
        <f t="shared" si="4"/>
        <v>9052869.1047895215</v>
      </c>
      <c r="AE5" s="180">
        <f>SUM(Y5:AD5)</f>
        <v>52345087.463253677</v>
      </c>
      <c r="AF5" s="1389"/>
      <c r="AG5" s="972"/>
      <c r="AH5" s="972"/>
      <c r="AI5" s="972"/>
    </row>
    <row r="6" spans="2:35">
      <c r="B6" s="48" t="s">
        <v>279</v>
      </c>
      <c r="C6" s="882" t="s">
        <v>279</v>
      </c>
      <c r="D6" s="883">
        <v>18371399</v>
      </c>
      <c r="E6" s="883">
        <v>18422499</v>
      </c>
      <c r="F6" s="883">
        <v>18003680</v>
      </c>
      <c r="G6" s="883">
        <v>18689952</v>
      </c>
      <c r="H6" s="883">
        <v>17823144</v>
      </c>
      <c r="I6" s="883">
        <v>18498181</v>
      </c>
      <c r="J6" s="180">
        <f t="shared" ref="J6:J69" si="5">SUM(D6:I6)</f>
        <v>109808855</v>
      </c>
      <c r="K6" s="974">
        <f>D170</f>
        <v>4779684</v>
      </c>
      <c r="L6" s="974">
        <f t="shared" ref="L6:P6" si="6">E170</f>
        <v>4536363</v>
      </c>
      <c r="M6" s="974">
        <f t="shared" si="6"/>
        <v>4342310</v>
      </c>
      <c r="N6" s="974">
        <f t="shared" si="6"/>
        <v>4342310</v>
      </c>
      <c r="O6" s="974">
        <f t="shared" si="6"/>
        <v>3485560</v>
      </c>
      <c r="P6" s="974">
        <f t="shared" si="6"/>
        <v>4070278</v>
      </c>
      <c r="Q6" s="180">
        <f t="shared" ref="Q6:Q69" si="7">SUM(K6:P6)</f>
        <v>25556505</v>
      </c>
      <c r="R6" s="974">
        <f>D6*$AH6</f>
        <v>5338194.729927008</v>
      </c>
      <c r="S6" s="974">
        <f t="shared" ref="S6:W6" si="8">E6*$AH6</f>
        <v>5353042.9051094893</v>
      </c>
      <c r="T6" s="974">
        <f t="shared" si="8"/>
        <v>5231346.2733726632</v>
      </c>
      <c r="U6" s="974">
        <f t="shared" si="8"/>
        <v>5430756.97550245</v>
      </c>
      <c r="V6" s="974">
        <f t="shared" si="8"/>
        <v>5178887.7576242378</v>
      </c>
      <c r="W6" s="974">
        <f t="shared" si="8"/>
        <v>5375033.8952104794</v>
      </c>
      <c r="X6" s="180">
        <f t="shared" ref="X6:X69" si="9">SUM(R6:W6)</f>
        <v>31907262.536746327</v>
      </c>
      <c r="Y6" s="974">
        <f>D6-K6-R6</f>
        <v>8253520.270072992</v>
      </c>
      <c r="Z6" s="974">
        <f t="shared" ref="Z6:AD6" si="10">E6-L6-S6</f>
        <v>8533093.0948905107</v>
      </c>
      <c r="AA6" s="974">
        <f t="shared" si="10"/>
        <v>8430023.7266273368</v>
      </c>
      <c r="AB6" s="974">
        <f t="shared" si="10"/>
        <v>8916885.02449755</v>
      </c>
      <c r="AC6" s="974">
        <f t="shared" si="10"/>
        <v>9158696.2423757613</v>
      </c>
      <c r="AD6" s="974">
        <f t="shared" si="10"/>
        <v>9052869.1047895215</v>
      </c>
      <c r="AE6" s="180">
        <f t="shared" ref="AE6" si="11">SUM(Y6:AD6)</f>
        <v>52345087.463253677</v>
      </c>
      <c r="AF6" s="1389"/>
      <c r="AG6" s="972">
        <f>'PDYG-200'!D$35</f>
        <v>0.2432</v>
      </c>
      <c r="AH6" s="972">
        <f>'PDYG-200'!E$35</f>
        <v>0.29057094290570945</v>
      </c>
      <c r="AI6" s="972">
        <f>'PDYG-200'!F$35</f>
        <v>0.46622905709429052</v>
      </c>
    </row>
    <row r="7" spans="2:35">
      <c r="B7" s="48" t="s">
        <v>278</v>
      </c>
      <c r="C7" s="882" t="s">
        <v>278</v>
      </c>
      <c r="D7" s="883">
        <v>0</v>
      </c>
      <c r="E7" s="883">
        <v>0</v>
      </c>
      <c r="F7" s="883">
        <v>0</v>
      </c>
      <c r="G7" s="883">
        <v>0</v>
      </c>
      <c r="H7" s="883">
        <v>0</v>
      </c>
      <c r="I7" s="883">
        <v>0</v>
      </c>
      <c r="J7" s="180">
        <f t="shared" si="5"/>
        <v>0</v>
      </c>
      <c r="K7" s="883">
        <f>D7*$AG7</f>
        <v>0</v>
      </c>
      <c r="L7" s="883">
        <f t="shared" ref="L7:P7" si="12">E7*$AG7</f>
        <v>0</v>
      </c>
      <c r="M7" s="883">
        <f t="shared" si="12"/>
        <v>0</v>
      </c>
      <c r="N7" s="883">
        <f t="shared" si="12"/>
        <v>0</v>
      </c>
      <c r="O7" s="883">
        <f t="shared" si="12"/>
        <v>0</v>
      </c>
      <c r="P7" s="883">
        <f t="shared" si="12"/>
        <v>0</v>
      </c>
      <c r="Q7" s="180">
        <f t="shared" si="7"/>
        <v>0</v>
      </c>
      <c r="R7" s="883">
        <f t="shared" ref="R7:W70" si="13">D7-K7</f>
        <v>0</v>
      </c>
      <c r="S7" s="883">
        <f t="shared" si="13"/>
        <v>0</v>
      </c>
      <c r="T7" s="883">
        <f t="shared" si="13"/>
        <v>0</v>
      </c>
      <c r="U7" s="883">
        <f t="shared" si="13"/>
        <v>0</v>
      </c>
      <c r="V7" s="883">
        <f t="shared" si="13"/>
        <v>0</v>
      </c>
      <c r="W7" s="883">
        <f t="shared" si="13"/>
        <v>0</v>
      </c>
      <c r="X7" s="180">
        <f t="shared" si="9"/>
        <v>0</v>
      </c>
      <c r="Y7" s="883"/>
      <c r="Z7" s="883"/>
      <c r="AA7" s="883"/>
      <c r="AB7" s="883"/>
      <c r="AC7" s="883"/>
      <c r="AD7" s="883"/>
      <c r="AE7" s="180"/>
      <c r="AF7" s="1389"/>
      <c r="AG7" s="972">
        <f>'PDYG-200'!D$35</f>
        <v>0.2432</v>
      </c>
      <c r="AH7" s="972">
        <f>'PDYG-200'!E$35</f>
        <v>0.29057094290570945</v>
      </c>
      <c r="AI7" s="972">
        <f>'PDYG-200'!F$35</f>
        <v>0.46622905709429052</v>
      </c>
    </row>
    <row r="8" spans="2:35">
      <c r="B8" s="48"/>
      <c r="C8" s="884"/>
      <c r="D8" s="883"/>
      <c r="E8" s="883"/>
      <c r="F8" s="883"/>
      <c r="G8" s="883"/>
      <c r="H8" s="883"/>
      <c r="I8" s="883"/>
      <c r="J8" s="180">
        <f t="shared" si="5"/>
        <v>0</v>
      </c>
      <c r="K8" s="883"/>
      <c r="L8" s="883"/>
      <c r="M8" s="883"/>
      <c r="N8" s="883"/>
      <c r="O8" s="883"/>
      <c r="P8" s="883"/>
      <c r="Q8" s="180">
        <f t="shared" si="7"/>
        <v>0</v>
      </c>
      <c r="R8" s="883">
        <f t="shared" si="13"/>
        <v>0</v>
      </c>
      <c r="S8" s="883">
        <f t="shared" si="13"/>
        <v>0</v>
      </c>
      <c r="T8" s="883">
        <f t="shared" si="13"/>
        <v>0</v>
      </c>
      <c r="U8" s="883">
        <f t="shared" si="13"/>
        <v>0</v>
      </c>
      <c r="V8" s="883">
        <f t="shared" si="13"/>
        <v>0</v>
      </c>
      <c r="W8" s="883">
        <f t="shared" si="13"/>
        <v>0</v>
      </c>
      <c r="X8" s="180">
        <f t="shared" si="9"/>
        <v>0</v>
      </c>
      <c r="Y8" s="883"/>
      <c r="Z8" s="883"/>
      <c r="AA8" s="883"/>
      <c r="AB8" s="883"/>
      <c r="AC8" s="883"/>
      <c r="AD8" s="883"/>
      <c r="AE8" s="180"/>
      <c r="AF8" s="1389"/>
    </row>
    <row r="9" spans="2:35" s="587" customFormat="1">
      <c r="B9" s="48"/>
      <c r="C9" s="880" t="s">
        <v>630</v>
      </c>
      <c r="D9" s="881">
        <v>29517150</v>
      </c>
      <c r="E9" s="881">
        <v>30290871</v>
      </c>
      <c r="F9" s="881">
        <v>29295222</v>
      </c>
      <c r="G9" s="881">
        <v>30415591</v>
      </c>
      <c r="H9" s="881">
        <v>28618430</v>
      </c>
      <c r="I9" s="881">
        <v>27850336</v>
      </c>
      <c r="J9" s="180">
        <f t="shared" si="5"/>
        <v>175987600</v>
      </c>
      <c r="K9" s="881">
        <f t="shared" ref="K9:AD9" si="14">SUBTOTAL(9,K10:K18)</f>
        <v>9437986.0393000022</v>
      </c>
      <c r="L9" s="881">
        <f t="shared" si="14"/>
        <v>9621071.0453999992</v>
      </c>
      <c r="M9" s="881">
        <f t="shared" si="14"/>
        <v>9286411.5734000001</v>
      </c>
      <c r="N9" s="881">
        <f t="shared" si="14"/>
        <v>9731398.6923999991</v>
      </c>
      <c r="O9" s="881">
        <f t="shared" si="14"/>
        <v>8637847.9759000018</v>
      </c>
      <c r="P9" s="881">
        <f t="shared" si="14"/>
        <v>8746888.0712000001</v>
      </c>
      <c r="Q9" s="180">
        <f t="shared" si="7"/>
        <v>55461603.397600003</v>
      </c>
      <c r="R9" s="881">
        <f t="shared" si="14"/>
        <v>18166306.647699997</v>
      </c>
      <c r="S9" s="881">
        <f t="shared" si="14"/>
        <v>18650504.739599999</v>
      </c>
      <c r="T9" s="881">
        <f t="shared" si="14"/>
        <v>17987265.150600001</v>
      </c>
      <c r="U9" s="881">
        <f t="shared" si="14"/>
        <v>18841772.002600003</v>
      </c>
      <c r="V9" s="881">
        <f t="shared" si="14"/>
        <v>17272288.925099999</v>
      </c>
      <c r="W9" s="881">
        <f t="shared" si="14"/>
        <v>17459212.9208</v>
      </c>
      <c r="X9" s="180">
        <f t="shared" si="9"/>
        <v>108377350.3864</v>
      </c>
      <c r="Y9" s="881">
        <f t="shared" si="14"/>
        <v>1912857.3130000001</v>
      </c>
      <c r="Z9" s="881">
        <f t="shared" si="14"/>
        <v>2019295.2150000003</v>
      </c>
      <c r="AA9" s="881">
        <f t="shared" si="14"/>
        <v>2021545.2760000001</v>
      </c>
      <c r="AB9" s="881">
        <f t="shared" si="14"/>
        <v>1842420.3050000002</v>
      </c>
      <c r="AC9" s="881">
        <f t="shared" si="14"/>
        <v>2708293.0990000004</v>
      </c>
      <c r="AD9" s="881">
        <f t="shared" si="14"/>
        <v>1644235.0080000001</v>
      </c>
      <c r="AE9" s="180">
        <f t="shared" ref="AE9" si="15">SUM(Y9:AD9)</f>
        <v>12148646.216</v>
      </c>
      <c r="AF9" s="1389"/>
      <c r="AG9" s="972"/>
      <c r="AH9" s="972"/>
      <c r="AI9" s="972"/>
    </row>
    <row r="10" spans="2:35">
      <c r="B10" s="48" t="s">
        <v>277</v>
      </c>
      <c r="C10" s="882" t="s">
        <v>277</v>
      </c>
      <c r="D10" s="881">
        <v>4273523</v>
      </c>
      <c r="E10" s="881">
        <v>4365765</v>
      </c>
      <c r="F10" s="881">
        <v>4346196</v>
      </c>
      <c r="G10" s="881">
        <v>4101155</v>
      </c>
      <c r="H10" s="881">
        <v>4984929</v>
      </c>
      <c r="I10" s="881">
        <v>3245368</v>
      </c>
      <c r="J10" s="180">
        <f t="shared" si="5"/>
        <v>25316936</v>
      </c>
      <c r="K10" s="881">
        <f t="shared" ref="K10:P10" si="16">SUBTOTAL(9,K11:K13)</f>
        <v>1211088</v>
      </c>
      <c r="L10" s="881">
        <f t="shared" si="16"/>
        <v>1172079</v>
      </c>
      <c r="M10" s="881">
        <f t="shared" si="16"/>
        <v>1155524</v>
      </c>
      <c r="N10" s="881">
        <f t="shared" si="16"/>
        <v>1155524</v>
      </c>
      <c r="O10" s="881">
        <f t="shared" si="16"/>
        <v>935690</v>
      </c>
      <c r="P10" s="881">
        <f t="shared" si="16"/>
        <v>728129</v>
      </c>
      <c r="Q10" s="180">
        <f t="shared" si="7"/>
        <v>6358034</v>
      </c>
      <c r="R10" s="881">
        <f t="shared" ref="R10:W10" si="17">SUBTOTAL(9,R11:R12)</f>
        <v>1149577.6869999999</v>
      </c>
      <c r="S10" s="881">
        <f t="shared" si="17"/>
        <v>1174390.7849999997</v>
      </c>
      <c r="T10" s="881">
        <f t="shared" si="17"/>
        <v>1169126.7239999999</v>
      </c>
      <c r="U10" s="881">
        <f t="shared" si="17"/>
        <v>1103210.6949999998</v>
      </c>
      <c r="V10" s="881">
        <f t="shared" si="17"/>
        <v>1340945.9009999998</v>
      </c>
      <c r="W10" s="881">
        <f t="shared" si="17"/>
        <v>873003.99199999985</v>
      </c>
      <c r="X10" s="180">
        <f>SUM(R10:W10)</f>
        <v>6810255.7839999981</v>
      </c>
      <c r="Y10" s="881">
        <f t="shared" ref="Y10:AD10" si="18">SUBTOTAL(9,Y11:Y12)</f>
        <v>1912857.3130000001</v>
      </c>
      <c r="Z10" s="881">
        <f t="shared" si="18"/>
        <v>2019295.2150000003</v>
      </c>
      <c r="AA10" s="881">
        <f t="shared" si="18"/>
        <v>2021545.2760000001</v>
      </c>
      <c r="AB10" s="881">
        <f t="shared" si="18"/>
        <v>1842420.3050000002</v>
      </c>
      <c r="AC10" s="881">
        <f t="shared" si="18"/>
        <v>2708293.0990000004</v>
      </c>
      <c r="AD10" s="881">
        <f t="shared" si="18"/>
        <v>1644235.0080000001</v>
      </c>
      <c r="AE10" s="180">
        <f>SUM(Y10:AD10)</f>
        <v>12148646.216</v>
      </c>
      <c r="AF10" s="1389"/>
      <c r="AG10" s="972">
        <f>'PDYG-200'!D$36</f>
        <v>0.32590000000000002</v>
      </c>
      <c r="AH10" s="972">
        <f>'PDYG-200'!E$36</f>
        <v>0.26899999999999996</v>
      </c>
      <c r="AI10" s="972">
        <f>'PDYG-200'!F$36</f>
        <v>0.40510000000000002</v>
      </c>
    </row>
    <row r="11" spans="2:35">
      <c r="B11" s="48"/>
      <c r="C11" s="887" t="s">
        <v>304</v>
      </c>
      <c r="D11" s="883">
        <v>3617273</v>
      </c>
      <c r="E11" s="883">
        <v>3690615</v>
      </c>
      <c r="F11" s="883">
        <v>3672096</v>
      </c>
      <c r="G11" s="883">
        <v>3402905</v>
      </c>
      <c r="H11" s="883">
        <v>4297179</v>
      </c>
      <c r="I11" s="883">
        <v>3245368</v>
      </c>
      <c r="J11" s="180">
        <f t="shared" si="5"/>
        <v>21925436</v>
      </c>
      <c r="K11" s="974">
        <f>D172</f>
        <v>1034688</v>
      </c>
      <c r="L11" s="974">
        <f t="shared" ref="L11:P12" si="19">E172</f>
        <v>997779</v>
      </c>
      <c r="M11" s="974">
        <f t="shared" si="19"/>
        <v>980174</v>
      </c>
      <c r="N11" s="974">
        <f t="shared" si="19"/>
        <v>980174</v>
      </c>
      <c r="O11" s="974">
        <f t="shared" si="19"/>
        <v>792890</v>
      </c>
      <c r="P11" s="974">
        <f t="shared" si="19"/>
        <v>728129</v>
      </c>
      <c r="Q11" s="180">
        <f t="shared" si="7"/>
        <v>5513834</v>
      </c>
      <c r="R11" s="974">
        <f>D11*$AH11</f>
        <v>973046.43699999992</v>
      </c>
      <c r="S11" s="974">
        <f t="shared" ref="S11" si="20">E11*$AH11</f>
        <v>992775.43499999982</v>
      </c>
      <c r="T11" s="974">
        <f t="shared" ref="T11" si="21">F11*$AH11</f>
        <v>987793.82399999991</v>
      </c>
      <c r="U11" s="974">
        <f t="shared" ref="U11" si="22">G11*$AH11</f>
        <v>915381.44499999983</v>
      </c>
      <c r="V11" s="974">
        <f t="shared" ref="V11" si="23">H11*$AH11</f>
        <v>1155941.1509999998</v>
      </c>
      <c r="W11" s="974">
        <f t="shared" ref="W11" si="24">I11*$AH11</f>
        <v>873003.99199999985</v>
      </c>
      <c r="X11" s="180">
        <f t="shared" ref="X11" si="25">SUM(R11:W11)</f>
        <v>5897942.2839999991</v>
      </c>
      <c r="Y11" s="974">
        <f>D11-K11-R11</f>
        <v>1609538.5630000001</v>
      </c>
      <c r="Z11" s="974">
        <f t="shared" ref="Z11" si="26">E11-L11-S11</f>
        <v>1700060.5650000002</v>
      </c>
      <c r="AA11" s="974">
        <f t="shared" ref="AA11" si="27">F11-M11-T11</f>
        <v>1704128.176</v>
      </c>
      <c r="AB11" s="974">
        <f t="shared" ref="AB11" si="28">G11-N11-U11</f>
        <v>1507349.5550000002</v>
      </c>
      <c r="AC11" s="974">
        <f t="shared" ref="AC11" si="29">H11-O11-V11</f>
        <v>2348347.8490000004</v>
      </c>
      <c r="AD11" s="974">
        <f t="shared" ref="AD11" si="30">I11-P11-W11</f>
        <v>1644235.0080000001</v>
      </c>
      <c r="AE11" s="180">
        <f t="shared" ref="AE11" si="31">SUM(Y11:AD11)</f>
        <v>10513659.716</v>
      </c>
      <c r="AF11" s="1389"/>
      <c r="AG11" s="972">
        <f>'PDYG-200'!D$36</f>
        <v>0.32590000000000002</v>
      </c>
      <c r="AH11" s="972">
        <f>'PDYG-200'!E$36</f>
        <v>0.26899999999999996</v>
      </c>
      <c r="AI11" s="972">
        <f>'PDYG-200'!F$36</f>
        <v>0.40510000000000002</v>
      </c>
    </row>
    <row r="12" spans="2:35">
      <c r="B12" s="48"/>
      <c r="C12" s="887" t="s">
        <v>305</v>
      </c>
      <c r="D12" s="883">
        <v>656250</v>
      </c>
      <c r="E12" s="883">
        <v>675150</v>
      </c>
      <c r="F12" s="883">
        <v>674100</v>
      </c>
      <c r="G12" s="883">
        <v>698250</v>
      </c>
      <c r="H12" s="883">
        <v>687750</v>
      </c>
      <c r="I12" s="883">
        <v>0</v>
      </c>
      <c r="J12" s="180">
        <f t="shared" si="5"/>
        <v>3391500</v>
      </c>
      <c r="K12" s="974">
        <f>D173</f>
        <v>176400</v>
      </c>
      <c r="L12" s="974">
        <f t="shared" si="19"/>
        <v>174300</v>
      </c>
      <c r="M12" s="974">
        <f t="shared" si="19"/>
        <v>175350</v>
      </c>
      <c r="N12" s="974">
        <f t="shared" si="19"/>
        <v>175350</v>
      </c>
      <c r="O12" s="974">
        <f t="shared" si="19"/>
        <v>142800</v>
      </c>
      <c r="P12" s="974">
        <f t="shared" si="19"/>
        <v>0</v>
      </c>
      <c r="Q12" s="180">
        <f t="shared" si="7"/>
        <v>844200</v>
      </c>
      <c r="R12" s="974">
        <f>D12*$AH12</f>
        <v>176531.24999999997</v>
      </c>
      <c r="S12" s="974">
        <f t="shared" ref="S12" si="32">E12*$AH12</f>
        <v>181615.34999999998</v>
      </c>
      <c r="T12" s="974">
        <f t="shared" ref="T12" si="33">F12*$AH12</f>
        <v>181332.89999999997</v>
      </c>
      <c r="U12" s="974">
        <f t="shared" ref="U12" si="34">G12*$AH12</f>
        <v>187829.24999999997</v>
      </c>
      <c r="V12" s="974">
        <f t="shared" ref="V12" si="35">H12*$AH12</f>
        <v>185004.74999999997</v>
      </c>
      <c r="W12" s="974">
        <f t="shared" ref="W12" si="36">I12*$AH12</f>
        <v>0</v>
      </c>
      <c r="X12" s="180">
        <f t="shared" ref="X12" si="37">SUM(R12:W12)</f>
        <v>912313.5</v>
      </c>
      <c r="Y12" s="974">
        <f>D12-K12-R12</f>
        <v>303318.75</v>
      </c>
      <c r="Z12" s="974">
        <f t="shared" ref="Z12" si="38">E12-L12-S12</f>
        <v>319234.65000000002</v>
      </c>
      <c r="AA12" s="974">
        <f t="shared" ref="AA12" si="39">F12-M12-T12</f>
        <v>317417.10000000003</v>
      </c>
      <c r="AB12" s="974">
        <f t="shared" ref="AB12" si="40">G12-N12-U12</f>
        <v>335070.75</v>
      </c>
      <c r="AC12" s="974">
        <f t="shared" ref="AC12" si="41">H12-O12-V12</f>
        <v>359945.25</v>
      </c>
      <c r="AD12" s="974">
        <f t="shared" ref="AD12" si="42">I12-P12-W12</f>
        <v>0</v>
      </c>
      <c r="AE12" s="180">
        <f t="shared" ref="AE12" si="43">SUM(Y12:AD12)</f>
        <v>1634986.5</v>
      </c>
      <c r="AF12" s="1389"/>
      <c r="AG12" s="972">
        <f>'PDYG-200'!D$36</f>
        <v>0.32590000000000002</v>
      </c>
      <c r="AH12" s="972">
        <f>'PDYG-200'!E$36</f>
        <v>0.26899999999999996</v>
      </c>
      <c r="AI12" s="972">
        <f>'PDYG-200'!F$36</f>
        <v>0.40510000000000002</v>
      </c>
    </row>
    <row r="13" spans="2:35">
      <c r="B13" s="48"/>
      <c r="C13" s="887"/>
      <c r="D13" s="883"/>
      <c r="E13" s="883"/>
      <c r="F13" s="883"/>
      <c r="G13" s="883"/>
      <c r="H13" s="883"/>
      <c r="I13" s="883"/>
      <c r="J13" s="180">
        <f t="shared" si="5"/>
        <v>0</v>
      </c>
      <c r="K13" s="883"/>
      <c r="L13" s="883"/>
      <c r="M13" s="883"/>
      <c r="N13" s="883"/>
      <c r="O13" s="883"/>
      <c r="P13" s="883"/>
      <c r="Q13" s="180">
        <f t="shared" si="7"/>
        <v>0</v>
      </c>
      <c r="R13" s="883"/>
      <c r="S13" s="883"/>
      <c r="T13" s="883"/>
      <c r="U13" s="883"/>
      <c r="V13" s="883"/>
      <c r="W13" s="883"/>
      <c r="X13" s="180">
        <f t="shared" si="9"/>
        <v>0</v>
      </c>
      <c r="Y13" s="883"/>
      <c r="Z13" s="883"/>
      <c r="AA13" s="883"/>
      <c r="AB13" s="883"/>
      <c r="AC13" s="883"/>
      <c r="AD13" s="883"/>
      <c r="AE13" s="180"/>
      <c r="AF13" s="1389"/>
      <c r="AG13" s="972">
        <f>'PDYG-200'!D$36</f>
        <v>0.32590000000000002</v>
      </c>
      <c r="AH13" s="972">
        <f>'PDYG-200'!E$36</f>
        <v>0.26899999999999996</v>
      </c>
      <c r="AI13" s="972">
        <f>'PDYG-200'!F$36</f>
        <v>0.40510000000000002</v>
      </c>
    </row>
    <row r="14" spans="2:35">
      <c r="B14" s="48" t="s">
        <v>276</v>
      </c>
      <c r="C14" s="882" t="s">
        <v>276</v>
      </c>
      <c r="D14" s="881">
        <v>25243627</v>
      </c>
      <c r="E14" s="881">
        <v>25925106</v>
      </c>
      <c r="F14" s="881">
        <v>24949026</v>
      </c>
      <c r="G14" s="881">
        <v>26314436</v>
      </c>
      <c r="H14" s="881">
        <v>23633501</v>
      </c>
      <c r="I14" s="881">
        <v>24604968</v>
      </c>
      <c r="J14" s="180">
        <f t="shared" si="5"/>
        <v>150670664</v>
      </c>
      <c r="K14" s="881">
        <f t="shared" ref="K14:W14" si="44">SUBTOTAL(9,K15:K18)</f>
        <v>8226898.0393000003</v>
      </c>
      <c r="L14" s="881">
        <f t="shared" si="44"/>
        <v>8448992.0453999992</v>
      </c>
      <c r="M14" s="881">
        <f t="shared" si="44"/>
        <v>8130887.5734000001</v>
      </c>
      <c r="N14" s="881">
        <f t="shared" si="44"/>
        <v>8575874.6923999991</v>
      </c>
      <c r="O14" s="881">
        <f t="shared" si="44"/>
        <v>7702157.9759</v>
      </c>
      <c r="P14" s="881">
        <f t="shared" si="44"/>
        <v>8018759.0712000001</v>
      </c>
      <c r="Q14" s="180">
        <f t="shared" si="7"/>
        <v>49103569.397600003</v>
      </c>
      <c r="R14" s="881">
        <f t="shared" si="44"/>
        <v>17016728.960699998</v>
      </c>
      <c r="S14" s="881">
        <f t="shared" si="44"/>
        <v>17476113.954599999</v>
      </c>
      <c r="T14" s="881">
        <f t="shared" si="44"/>
        <v>16818138.426599998</v>
      </c>
      <c r="U14" s="881">
        <f t="shared" si="44"/>
        <v>17738561.307600003</v>
      </c>
      <c r="V14" s="881">
        <f t="shared" si="44"/>
        <v>15931343.024099998</v>
      </c>
      <c r="W14" s="881">
        <f t="shared" si="44"/>
        <v>16586208.9288</v>
      </c>
      <c r="X14" s="180">
        <f t="shared" si="9"/>
        <v>101567094.60239999</v>
      </c>
      <c r="Y14" s="881"/>
      <c r="Z14" s="881"/>
      <c r="AA14" s="881"/>
      <c r="AB14" s="881"/>
      <c r="AC14" s="881"/>
      <c r="AD14" s="881"/>
      <c r="AE14" s="180"/>
      <c r="AF14" s="975"/>
      <c r="AG14" s="972">
        <f>'PDYG-200'!D$36</f>
        <v>0.32590000000000002</v>
      </c>
      <c r="AH14" s="972">
        <f>'PDYG-200'!E$36</f>
        <v>0.26899999999999996</v>
      </c>
      <c r="AI14" s="972">
        <f>'PDYG-200'!F$36</f>
        <v>0.40510000000000002</v>
      </c>
    </row>
    <row r="15" spans="2:35">
      <c r="B15" s="48"/>
      <c r="C15" s="887" t="s">
        <v>304</v>
      </c>
      <c r="D15" s="883">
        <v>25168167</v>
      </c>
      <c r="E15" s="883">
        <v>25811916</v>
      </c>
      <c r="F15" s="883">
        <v>24868736</v>
      </c>
      <c r="G15" s="883">
        <v>26256056</v>
      </c>
      <c r="H15" s="883">
        <v>23488041</v>
      </c>
      <c r="I15" s="883">
        <v>24459578</v>
      </c>
      <c r="J15" s="180">
        <f t="shared" si="5"/>
        <v>150052494</v>
      </c>
      <c r="K15" s="883">
        <f t="shared" ref="K15:P18" si="45">D15*$AG15</f>
        <v>8202305.6253000004</v>
      </c>
      <c r="L15" s="883">
        <f t="shared" si="45"/>
        <v>8412103.4243999999</v>
      </c>
      <c r="M15" s="883">
        <f t="shared" si="45"/>
        <v>8104721.0624000002</v>
      </c>
      <c r="N15" s="883">
        <f t="shared" si="45"/>
        <v>8556848.6503999997</v>
      </c>
      <c r="O15" s="883">
        <f t="shared" si="45"/>
        <v>7654752.5619000001</v>
      </c>
      <c r="P15" s="883">
        <f t="shared" si="45"/>
        <v>7971376.4702000003</v>
      </c>
      <c r="Q15" s="180">
        <f t="shared" si="7"/>
        <v>48902107.794599995</v>
      </c>
      <c r="R15" s="883">
        <f t="shared" si="13"/>
        <v>16965861.374699999</v>
      </c>
      <c r="S15" s="883">
        <f t="shared" si="13"/>
        <v>17399812.575599998</v>
      </c>
      <c r="T15" s="883">
        <f t="shared" si="13"/>
        <v>16764014.9376</v>
      </c>
      <c r="U15" s="883">
        <f t="shared" si="13"/>
        <v>17699207.349600002</v>
      </c>
      <c r="V15" s="883">
        <f t="shared" si="13"/>
        <v>15833288.438099999</v>
      </c>
      <c r="W15" s="883">
        <f t="shared" si="13"/>
        <v>16488201.5298</v>
      </c>
      <c r="X15" s="180">
        <f t="shared" si="9"/>
        <v>101150386.20539999</v>
      </c>
      <c r="Y15" s="883"/>
      <c r="Z15" s="883"/>
      <c r="AA15" s="883"/>
      <c r="AB15" s="883"/>
      <c r="AC15" s="883"/>
      <c r="AD15" s="883"/>
      <c r="AE15" s="180"/>
      <c r="AF15" s="1389"/>
      <c r="AG15" s="972">
        <f>'PDYG-200'!D$36</f>
        <v>0.32590000000000002</v>
      </c>
      <c r="AH15" s="972">
        <f>'PDYG-200'!E$36</f>
        <v>0.26899999999999996</v>
      </c>
      <c r="AI15" s="972">
        <f>'PDYG-200'!F$36</f>
        <v>0.40510000000000002</v>
      </c>
    </row>
    <row r="16" spans="2:35">
      <c r="B16" s="48"/>
      <c r="C16" s="888" t="s">
        <v>306</v>
      </c>
      <c r="D16" s="883">
        <v>0</v>
      </c>
      <c r="E16" s="883">
        <v>0</v>
      </c>
      <c r="F16" s="883">
        <v>0</v>
      </c>
      <c r="G16" s="883">
        <v>0</v>
      </c>
      <c r="H16" s="883">
        <v>0</v>
      </c>
      <c r="I16" s="883">
        <v>0</v>
      </c>
      <c r="J16" s="180">
        <f t="shared" si="5"/>
        <v>0</v>
      </c>
      <c r="K16" s="883">
        <f t="shared" si="45"/>
        <v>0</v>
      </c>
      <c r="L16" s="883">
        <f t="shared" si="45"/>
        <v>0</v>
      </c>
      <c r="M16" s="883">
        <f t="shared" si="45"/>
        <v>0</v>
      </c>
      <c r="N16" s="883">
        <f t="shared" si="45"/>
        <v>0</v>
      </c>
      <c r="O16" s="883">
        <f t="shared" si="45"/>
        <v>0</v>
      </c>
      <c r="P16" s="883">
        <f t="shared" si="45"/>
        <v>0</v>
      </c>
      <c r="Q16" s="180">
        <f t="shared" si="7"/>
        <v>0</v>
      </c>
      <c r="R16" s="883">
        <f t="shared" si="13"/>
        <v>0</v>
      </c>
      <c r="S16" s="883">
        <f t="shared" si="13"/>
        <v>0</v>
      </c>
      <c r="T16" s="883">
        <f t="shared" si="13"/>
        <v>0</v>
      </c>
      <c r="U16" s="883">
        <f t="shared" si="13"/>
        <v>0</v>
      </c>
      <c r="V16" s="883">
        <f t="shared" si="13"/>
        <v>0</v>
      </c>
      <c r="W16" s="883">
        <f t="shared" si="13"/>
        <v>0</v>
      </c>
      <c r="X16" s="180">
        <f t="shared" si="9"/>
        <v>0</v>
      </c>
      <c r="Y16" s="883"/>
      <c r="Z16" s="883"/>
      <c r="AA16" s="883"/>
      <c r="AB16" s="883"/>
      <c r="AC16" s="883"/>
      <c r="AD16" s="883"/>
      <c r="AE16" s="180"/>
      <c r="AF16" s="1389"/>
      <c r="AG16" s="972">
        <f>'PDYG-200'!D$36</f>
        <v>0.32590000000000002</v>
      </c>
      <c r="AH16" s="972">
        <f>'PDYG-200'!E$36</f>
        <v>0.26899999999999996</v>
      </c>
      <c r="AI16" s="972">
        <f>'PDYG-200'!F$36</f>
        <v>0.40510000000000002</v>
      </c>
    </row>
    <row r="17" spans="2:35">
      <c r="B17" s="48"/>
      <c r="C17" s="887" t="s">
        <v>305</v>
      </c>
      <c r="D17" s="883">
        <v>75460</v>
      </c>
      <c r="E17" s="883">
        <v>113190</v>
      </c>
      <c r="F17" s="883">
        <v>80290</v>
      </c>
      <c r="G17" s="883">
        <v>58380</v>
      </c>
      <c r="H17" s="883">
        <v>145460</v>
      </c>
      <c r="I17" s="883">
        <v>145390</v>
      </c>
      <c r="J17" s="180">
        <f t="shared" si="5"/>
        <v>618170</v>
      </c>
      <c r="K17" s="883">
        <f t="shared" si="45"/>
        <v>24592.414000000001</v>
      </c>
      <c r="L17" s="883">
        <f t="shared" si="45"/>
        <v>36888.620999999999</v>
      </c>
      <c r="M17" s="883">
        <f t="shared" si="45"/>
        <v>26166.511000000002</v>
      </c>
      <c r="N17" s="883">
        <f t="shared" si="45"/>
        <v>19026.042000000001</v>
      </c>
      <c r="O17" s="883">
        <f t="shared" si="45"/>
        <v>47405.414000000004</v>
      </c>
      <c r="P17" s="883">
        <f t="shared" si="45"/>
        <v>47382.601000000002</v>
      </c>
      <c r="Q17" s="180">
        <f t="shared" si="7"/>
        <v>201461.603</v>
      </c>
      <c r="R17" s="883">
        <f t="shared" si="13"/>
        <v>50867.585999999996</v>
      </c>
      <c r="S17" s="883">
        <f t="shared" si="13"/>
        <v>76301.379000000001</v>
      </c>
      <c r="T17" s="883">
        <f t="shared" si="13"/>
        <v>54123.489000000001</v>
      </c>
      <c r="U17" s="883">
        <f t="shared" si="13"/>
        <v>39353.957999999999</v>
      </c>
      <c r="V17" s="883">
        <f t="shared" si="13"/>
        <v>98054.585999999996</v>
      </c>
      <c r="W17" s="883">
        <f t="shared" si="13"/>
        <v>98007.399000000005</v>
      </c>
      <c r="X17" s="180">
        <f t="shared" si="9"/>
        <v>416708.397</v>
      </c>
      <c r="Y17" s="883"/>
      <c r="Z17" s="883"/>
      <c r="AA17" s="883"/>
      <c r="AB17" s="883"/>
      <c r="AC17" s="883"/>
      <c r="AD17" s="883"/>
      <c r="AE17" s="180"/>
      <c r="AF17" s="1389"/>
      <c r="AG17" s="972">
        <f>'PDYG-200'!D$36</f>
        <v>0.32590000000000002</v>
      </c>
      <c r="AH17" s="972">
        <f>'PDYG-200'!E$36</f>
        <v>0.26899999999999996</v>
      </c>
      <c r="AI17" s="972">
        <f>'PDYG-200'!F$36</f>
        <v>0.40510000000000002</v>
      </c>
    </row>
    <row r="18" spans="2:35">
      <c r="B18" s="48"/>
      <c r="C18" s="887" t="s">
        <v>307</v>
      </c>
      <c r="D18" s="883">
        <v>0</v>
      </c>
      <c r="E18" s="883">
        <v>0</v>
      </c>
      <c r="F18" s="883">
        <v>0</v>
      </c>
      <c r="G18" s="883">
        <v>0</v>
      </c>
      <c r="H18" s="883">
        <v>0</v>
      </c>
      <c r="I18" s="883">
        <v>0</v>
      </c>
      <c r="J18" s="180">
        <f t="shared" si="5"/>
        <v>0</v>
      </c>
      <c r="K18" s="883">
        <f t="shared" si="45"/>
        <v>0</v>
      </c>
      <c r="L18" s="883">
        <f t="shared" si="45"/>
        <v>0</v>
      </c>
      <c r="M18" s="883">
        <f t="shared" si="45"/>
        <v>0</v>
      </c>
      <c r="N18" s="883">
        <f t="shared" si="45"/>
        <v>0</v>
      </c>
      <c r="O18" s="883">
        <f t="shared" si="45"/>
        <v>0</v>
      </c>
      <c r="P18" s="883">
        <f t="shared" si="45"/>
        <v>0</v>
      </c>
      <c r="Q18" s="180">
        <f t="shared" si="7"/>
        <v>0</v>
      </c>
      <c r="R18" s="883">
        <f t="shared" si="13"/>
        <v>0</v>
      </c>
      <c r="S18" s="883">
        <f t="shared" si="13"/>
        <v>0</v>
      </c>
      <c r="T18" s="883">
        <f t="shared" si="13"/>
        <v>0</v>
      </c>
      <c r="U18" s="883">
        <f t="shared" si="13"/>
        <v>0</v>
      </c>
      <c r="V18" s="883">
        <f t="shared" si="13"/>
        <v>0</v>
      </c>
      <c r="W18" s="883">
        <f t="shared" si="13"/>
        <v>0</v>
      </c>
      <c r="X18" s="180">
        <f t="shared" si="9"/>
        <v>0</v>
      </c>
      <c r="Y18" s="883"/>
      <c r="Z18" s="883"/>
      <c r="AA18" s="883"/>
      <c r="AB18" s="883"/>
      <c r="AC18" s="883"/>
      <c r="AD18" s="883"/>
      <c r="AE18" s="180"/>
      <c r="AF18" s="1389"/>
      <c r="AG18" s="972">
        <f>'PDYG-200'!D$36</f>
        <v>0.32590000000000002</v>
      </c>
      <c r="AH18" s="972">
        <f>'PDYG-200'!E$36</f>
        <v>0.26899999999999996</v>
      </c>
      <c r="AI18" s="972">
        <f>'PDYG-200'!F$36</f>
        <v>0.40510000000000002</v>
      </c>
    </row>
    <row r="19" spans="2:35">
      <c r="B19" s="48"/>
      <c r="C19" s="884"/>
      <c r="D19" s="883"/>
      <c r="E19" s="883"/>
      <c r="F19" s="883"/>
      <c r="G19" s="883"/>
      <c r="H19" s="883"/>
      <c r="I19" s="883"/>
      <c r="J19" s="180">
        <f t="shared" si="5"/>
        <v>0</v>
      </c>
      <c r="K19" s="883"/>
      <c r="L19" s="883"/>
      <c r="M19" s="883"/>
      <c r="N19" s="883"/>
      <c r="O19" s="883"/>
      <c r="P19" s="883"/>
      <c r="Q19" s="180">
        <f t="shared" si="7"/>
        <v>0</v>
      </c>
      <c r="R19" s="883">
        <f t="shared" si="13"/>
        <v>0</v>
      </c>
      <c r="S19" s="883">
        <f t="shared" si="13"/>
        <v>0</v>
      </c>
      <c r="T19" s="883">
        <f t="shared" si="13"/>
        <v>0</v>
      </c>
      <c r="U19" s="883">
        <f t="shared" si="13"/>
        <v>0</v>
      </c>
      <c r="V19" s="883">
        <f t="shared" si="13"/>
        <v>0</v>
      </c>
      <c r="W19" s="883">
        <f t="shared" si="13"/>
        <v>0</v>
      </c>
      <c r="X19" s="180">
        <f t="shared" si="9"/>
        <v>0</v>
      </c>
      <c r="Y19" s="883"/>
      <c r="Z19" s="883"/>
      <c r="AA19" s="883"/>
      <c r="AB19" s="883"/>
      <c r="AC19" s="883"/>
      <c r="AD19" s="883"/>
      <c r="AE19" s="180"/>
      <c r="AF19" s="1389"/>
    </row>
    <row r="20" spans="2:35" s="587" customFormat="1">
      <c r="B20" s="48"/>
      <c r="C20" s="880" t="s">
        <v>443</v>
      </c>
      <c r="D20" s="881">
        <v>228210534</v>
      </c>
      <c r="E20" s="881">
        <v>227500941</v>
      </c>
      <c r="F20" s="881">
        <v>223698465</v>
      </c>
      <c r="G20" s="881">
        <v>226161945</v>
      </c>
      <c r="H20" s="881">
        <v>216898637</v>
      </c>
      <c r="I20" s="881">
        <v>218225672</v>
      </c>
      <c r="J20" s="180">
        <f t="shared" si="5"/>
        <v>1340696194</v>
      </c>
      <c r="K20" s="881">
        <f t="shared" ref="K20:AD20" si="46">SUBTOTAL(9,K21:K105)</f>
        <v>65709885.996900007</v>
      </c>
      <c r="L20" s="881">
        <f t="shared" si="46"/>
        <v>65410129.602100007</v>
      </c>
      <c r="M20" s="881">
        <f t="shared" si="46"/>
        <v>64092052.634500027</v>
      </c>
      <c r="N20" s="881">
        <f t="shared" si="46"/>
        <v>65049265.288499996</v>
      </c>
      <c r="O20" s="881">
        <f t="shared" si="46"/>
        <v>62100617.908899993</v>
      </c>
      <c r="P20" s="881">
        <f t="shared" si="46"/>
        <v>62448142.533200003</v>
      </c>
      <c r="Q20" s="180">
        <f t="shared" si="7"/>
        <v>384810093.9641</v>
      </c>
      <c r="R20" s="881">
        <f t="shared" si="46"/>
        <v>161110838.38830003</v>
      </c>
      <c r="S20" s="881">
        <f t="shared" si="46"/>
        <v>160663450.60090005</v>
      </c>
      <c r="T20" s="881">
        <f t="shared" si="46"/>
        <v>158186870.82790005</v>
      </c>
      <c r="U20" s="881">
        <f t="shared" si="46"/>
        <v>159631059.90049997</v>
      </c>
      <c r="V20" s="881">
        <f t="shared" si="46"/>
        <v>153226953.02270004</v>
      </c>
      <c r="W20" s="881">
        <f t="shared" si="46"/>
        <v>154204777.32280001</v>
      </c>
      <c r="X20" s="180">
        <f t="shared" si="9"/>
        <v>947023950.06310022</v>
      </c>
      <c r="Y20" s="881">
        <f t="shared" si="46"/>
        <v>1389809.6147999999</v>
      </c>
      <c r="Z20" s="881">
        <f t="shared" si="46"/>
        <v>1427360.797</v>
      </c>
      <c r="AA20" s="881">
        <f t="shared" si="46"/>
        <v>1419541.5375999997</v>
      </c>
      <c r="AB20" s="881">
        <f t="shared" si="46"/>
        <v>1481619.811</v>
      </c>
      <c r="AC20" s="881">
        <f t="shared" si="46"/>
        <v>1571066.0684</v>
      </c>
      <c r="AD20" s="881">
        <f t="shared" si="46"/>
        <v>1572752.1440000001</v>
      </c>
      <c r="AE20" s="180">
        <f t="shared" ref="AE20" si="47">SUM(Y20:AD20)</f>
        <v>8862149.9727999996</v>
      </c>
      <c r="AF20" s="1389"/>
      <c r="AG20" s="972"/>
      <c r="AH20" s="972"/>
      <c r="AI20" s="972"/>
    </row>
    <row r="21" spans="2:35">
      <c r="B21" s="48" t="s">
        <v>275</v>
      </c>
      <c r="C21" s="882" t="s">
        <v>275</v>
      </c>
      <c r="D21" s="881">
        <v>2796078</v>
      </c>
      <c r="E21" s="881">
        <v>2776295</v>
      </c>
      <c r="F21" s="881">
        <v>2745536</v>
      </c>
      <c r="G21" s="881">
        <v>2827585</v>
      </c>
      <c r="H21" s="881">
        <v>2788874</v>
      </c>
      <c r="I21" s="881">
        <v>2916840</v>
      </c>
      <c r="J21" s="180">
        <f t="shared" si="5"/>
        <v>16851208</v>
      </c>
      <c r="K21" s="881">
        <f t="shared" ref="K21:P21" si="48">SUBTOTAL(9,K22:K24)</f>
        <v>725703</v>
      </c>
      <c r="L21" s="881">
        <f t="shared" si="48"/>
        <v>673184</v>
      </c>
      <c r="M21" s="881">
        <f t="shared" si="48"/>
        <v>657731</v>
      </c>
      <c r="N21" s="881">
        <f t="shared" si="48"/>
        <v>657731</v>
      </c>
      <c r="O21" s="881">
        <f t="shared" si="48"/>
        <v>538996</v>
      </c>
      <c r="P21" s="881">
        <f t="shared" si="48"/>
        <v>634129</v>
      </c>
      <c r="Q21" s="180">
        <f t="shared" si="7"/>
        <v>3887474</v>
      </c>
      <c r="R21" s="881">
        <f t="shared" ref="R21:W21" si="49">SUBTOTAL(9,R22:R23)</f>
        <v>677995.08120000002</v>
      </c>
      <c r="S21" s="881">
        <f t="shared" si="49"/>
        <v>673608.28300000005</v>
      </c>
      <c r="T21" s="881">
        <f t="shared" si="49"/>
        <v>666082.59840000002</v>
      </c>
      <c r="U21" s="881">
        <f t="shared" si="49"/>
        <v>685975.43700000003</v>
      </c>
      <c r="V21" s="881">
        <f t="shared" si="49"/>
        <v>676825.78760000004</v>
      </c>
      <c r="W21" s="881">
        <f t="shared" si="49"/>
        <v>707739.04800000007</v>
      </c>
      <c r="X21" s="180">
        <f>SUM(R21:W21)</f>
        <v>4088226.2352</v>
      </c>
      <c r="Y21" s="881">
        <f t="shared" ref="Y21:AD21" si="50">SUBTOTAL(9,Y22:Y23)</f>
        <v>1384859.9187999999</v>
      </c>
      <c r="Z21" s="881">
        <f t="shared" si="50"/>
        <v>1423262.7169999999</v>
      </c>
      <c r="AA21" s="881">
        <f t="shared" si="50"/>
        <v>1415002.4015999998</v>
      </c>
      <c r="AB21" s="881">
        <f t="shared" si="50"/>
        <v>1476838.5630000001</v>
      </c>
      <c r="AC21" s="881">
        <f t="shared" si="50"/>
        <v>1566492.2124000001</v>
      </c>
      <c r="AD21" s="881">
        <f t="shared" si="50"/>
        <v>1567931.952</v>
      </c>
      <c r="AE21" s="180">
        <f>SUM(Y21:AD21)</f>
        <v>8834387.7647999991</v>
      </c>
      <c r="AF21" s="1389"/>
      <c r="AG21" s="972">
        <f>'PDYG-200'!D$37</f>
        <v>0.41660000000000003</v>
      </c>
      <c r="AH21" s="972">
        <f>'PDYG-200'!E$37</f>
        <v>0.24340000000000001</v>
      </c>
      <c r="AI21" s="972">
        <f>'PDYG-200'!F$37</f>
        <v>0.33999999999999997</v>
      </c>
    </row>
    <row r="22" spans="2:35">
      <c r="B22" s="48"/>
      <c r="C22" s="887" t="s">
        <v>304</v>
      </c>
      <c r="D22" s="883">
        <v>2765289</v>
      </c>
      <c r="E22" s="883">
        <v>2756863</v>
      </c>
      <c r="F22" s="883">
        <v>2720916</v>
      </c>
      <c r="G22" s="883">
        <v>2801947</v>
      </c>
      <c r="H22" s="883">
        <v>2769333</v>
      </c>
      <c r="I22" s="883">
        <v>2892759</v>
      </c>
      <c r="J22" s="180">
        <f t="shared" si="5"/>
        <v>16707107</v>
      </c>
      <c r="K22" s="974">
        <f>D175</f>
        <v>718761</v>
      </c>
      <c r="L22" s="974">
        <f t="shared" ref="L22:P22" si="51">E175</f>
        <v>670624</v>
      </c>
      <c r="M22" s="974">
        <f t="shared" si="51"/>
        <v>653261</v>
      </c>
      <c r="N22" s="974">
        <f t="shared" si="51"/>
        <v>653261</v>
      </c>
      <c r="O22" s="974">
        <f t="shared" si="51"/>
        <v>535980</v>
      </c>
      <c r="P22" s="974">
        <f t="shared" si="51"/>
        <v>630810</v>
      </c>
      <c r="Q22" s="180">
        <f t="shared" si="7"/>
        <v>3862697</v>
      </c>
      <c r="R22" s="974">
        <f>D22*$AH22</f>
        <v>673071.34259999997</v>
      </c>
      <c r="S22" s="974">
        <f t="shared" ref="S22" si="52">E22*$AH22</f>
        <v>671020.45420000004</v>
      </c>
      <c r="T22" s="974">
        <f t="shared" ref="T22" si="53">F22*$AH22</f>
        <v>662270.95440000005</v>
      </c>
      <c r="U22" s="974">
        <f t="shared" ref="U22" si="54">G22*$AH22</f>
        <v>681993.89980000001</v>
      </c>
      <c r="V22" s="974">
        <f t="shared" ref="V22" si="55">H22*$AH22</f>
        <v>674055.65220000001</v>
      </c>
      <c r="W22" s="974">
        <f t="shared" ref="W22" si="56">I22*$AH22</f>
        <v>704097.54060000007</v>
      </c>
      <c r="X22" s="180">
        <f t="shared" ref="X22" si="57">SUM(R22:W22)</f>
        <v>4066509.8438000004</v>
      </c>
      <c r="Y22" s="974">
        <f>D22-K22-R22</f>
        <v>1373456.6573999999</v>
      </c>
      <c r="Z22" s="974">
        <f t="shared" ref="Z22" si="58">E22-L22-S22</f>
        <v>1415218.5458</v>
      </c>
      <c r="AA22" s="974">
        <f t="shared" ref="AA22" si="59">F22-M22-T22</f>
        <v>1405384.0455999998</v>
      </c>
      <c r="AB22" s="974">
        <f t="shared" ref="AB22" si="60">G22-N22-U22</f>
        <v>1466692.1002</v>
      </c>
      <c r="AC22" s="974">
        <f t="shared" ref="AC22" si="61">H22-O22-V22</f>
        <v>1559297.3478000001</v>
      </c>
      <c r="AD22" s="974">
        <f t="shared" ref="AD22" si="62">I22-P22-W22</f>
        <v>1557851.4594000001</v>
      </c>
      <c r="AE22" s="180">
        <f t="shared" ref="AE22" si="63">SUM(Y22:AD22)</f>
        <v>8777900.1561999992</v>
      </c>
      <c r="AF22" s="1389"/>
      <c r="AG22" s="972">
        <f>'PDYG-200'!D$37</f>
        <v>0.41660000000000003</v>
      </c>
      <c r="AH22" s="972">
        <f>'PDYG-200'!E$37</f>
        <v>0.24340000000000001</v>
      </c>
      <c r="AI22" s="972">
        <f>'PDYG-200'!F$37</f>
        <v>0.33999999999999997</v>
      </c>
    </row>
    <row r="23" spans="2:35">
      <c r="B23" s="48"/>
      <c r="C23" s="888" t="s">
        <v>306</v>
      </c>
      <c r="D23" s="883">
        <v>20229</v>
      </c>
      <c r="E23" s="883">
        <v>10632</v>
      </c>
      <c r="F23" s="883">
        <v>15660</v>
      </c>
      <c r="G23" s="883">
        <v>16358</v>
      </c>
      <c r="H23" s="883">
        <v>11381</v>
      </c>
      <c r="I23" s="883">
        <v>14961</v>
      </c>
      <c r="J23" s="180">
        <f t="shared" si="5"/>
        <v>89221</v>
      </c>
      <c r="K23" s="974">
        <f t="shared" ref="K23:P24" si="64">D176</f>
        <v>3902</v>
      </c>
      <c r="L23" s="974">
        <f t="shared" si="64"/>
        <v>0</v>
      </c>
      <c r="M23" s="974">
        <f t="shared" si="64"/>
        <v>2230</v>
      </c>
      <c r="N23" s="974">
        <f t="shared" si="64"/>
        <v>2230</v>
      </c>
      <c r="O23" s="974">
        <f t="shared" si="64"/>
        <v>1416</v>
      </c>
      <c r="P23" s="974">
        <f t="shared" si="64"/>
        <v>1239</v>
      </c>
      <c r="Q23" s="180">
        <f t="shared" si="7"/>
        <v>11017</v>
      </c>
      <c r="R23" s="974">
        <f t="shared" ref="R23:R24" si="65">D23*$AH23</f>
        <v>4923.7385999999997</v>
      </c>
      <c r="S23" s="974">
        <f t="shared" ref="S23:S24" si="66">E23*$AH23</f>
        <v>2587.8288000000002</v>
      </c>
      <c r="T23" s="974">
        <f t="shared" ref="T23:T24" si="67">F23*$AH23</f>
        <v>3811.6440000000002</v>
      </c>
      <c r="U23" s="974">
        <f t="shared" ref="U23:U24" si="68">G23*$AH23</f>
        <v>3981.5372000000002</v>
      </c>
      <c r="V23" s="974">
        <f t="shared" ref="V23:V24" si="69">H23*$AH23</f>
        <v>2770.1354000000001</v>
      </c>
      <c r="W23" s="974">
        <f t="shared" ref="W23:W24" si="70">I23*$AH23</f>
        <v>3641.5074</v>
      </c>
      <c r="X23" s="180">
        <f t="shared" ref="X23:X24" si="71">SUM(R23:W23)</f>
        <v>21716.3914</v>
      </c>
      <c r="Y23" s="974">
        <f t="shared" ref="Y23:Y24" si="72">D23-K23-R23</f>
        <v>11403.261399999999</v>
      </c>
      <c r="Z23" s="974">
        <f t="shared" ref="Z23:Z24" si="73">E23-L23-S23</f>
        <v>8044.1711999999998</v>
      </c>
      <c r="AA23" s="974">
        <f t="shared" ref="AA23:AA24" si="74">F23-M23-T23</f>
        <v>9618.3559999999998</v>
      </c>
      <c r="AB23" s="974">
        <f t="shared" ref="AB23:AB24" si="75">G23-N23-U23</f>
        <v>10146.462799999999</v>
      </c>
      <c r="AC23" s="974">
        <f t="shared" ref="AC23:AC24" si="76">H23-O23-V23</f>
        <v>7194.8645999999999</v>
      </c>
      <c r="AD23" s="974">
        <f t="shared" ref="AD23:AD24" si="77">I23-P23-W23</f>
        <v>10080.4926</v>
      </c>
      <c r="AE23" s="180">
        <f t="shared" ref="AE23:AE24" si="78">SUM(Y23:AD23)</f>
        <v>56487.6086</v>
      </c>
      <c r="AF23" s="1389"/>
      <c r="AG23" s="972">
        <f>'PDYG-200'!D$37</f>
        <v>0.41660000000000003</v>
      </c>
      <c r="AH23" s="972">
        <f>'PDYG-200'!E$37</f>
        <v>0.24340000000000001</v>
      </c>
      <c r="AI23" s="972">
        <f>'PDYG-200'!F$37</f>
        <v>0.33999999999999997</v>
      </c>
    </row>
    <row r="24" spans="2:35">
      <c r="B24" s="48"/>
      <c r="C24" s="887" t="s">
        <v>305</v>
      </c>
      <c r="D24" s="883">
        <v>10560</v>
      </c>
      <c r="E24" s="883">
        <v>8800</v>
      </c>
      <c r="F24" s="883">
        <v>8960</v>
      </c>
      <c r="G24" s="883">
        <v>9280</v>
      </c>
      <c r="H24" s="883">
        <v>8160</v>
      </c>
      <c r="I24" s="883">
        <v>9120</v>
      </c>
      <c r="J24" s="180">
        <f t="shared" si="5"/>
        <v>54880</v>
      </c>
      <c r="K24" s="974">
        <f t="shared" si="64"/>
        <v>3040</v>
      </c>
      <c r="L24" s="974">
        <f t="shared" si="64"/>
        <v>2560</v>
      </c>
      <c r="M24" s="974">
        <f t="shared" si="64"/>
        <v>2240</v>
      </c>
      <c r="N24" s="974">
        <f t="shared" si="64"/>
        <v>2240</v>
      </c>
      <c r="O24" s="974">
        <f t="shared" si="64"/>
        <v>1600</v>
      </c>
      <c r="P24" s="974">
        <f t="shared" si="64"/>
        <v>2080</v>
      </c>
      <c r="Q24" s="180">
        <f t="shared" si="7"/>
        <v>13760</v>
      </c>
      <c r="R24" s="974">
        <f t="shared" si="65"/>
        <v>2570.3040000000001</v>
      </c>
      <c r="S24" s="974">
        <f t="shared" si="66"/>
        <v>2141.92</v>
      </c>
      <c r="T24" s="974">
        <f t="shared" si="67"/>
        <v>2180.864</v>
      </c>
      <c r="U24" s="974">
        <f t="shared" si="68"/>
        <v>2258.752</v>
      </c>
      <c r="V24" s="974">
        <f t="shared" si="69"/>
        <v>1986.144</v>
      </c>
      <c r="W24" s="974">
        <f t="shared" si="70"/>
        <v>2219.808</v>
      </c>
      <c r="X24" s="180">
        <f t="shared" si="71"/>
        <v>13357.792000000001</v>
      </c>
      <c r="Y24" s="974">
        <f t="shared" si="72"/>
        <v>4949.6959999999999</v>
      </c>
      <c r="Z24" s="974">
        <f t="shared" si="73"/>
        <v>4098.08</v>
      </c>
      <c r="AA24" s="974">
        <f t="shared" si="74"/>
        <v>4539.1360000000004</v>
      </c>
      <c r="AB24" s="974">
        <f t="shared" si="75"/>
        <v>4781.2479999999996</v>
      </c>
      <c r="AC24" s="974">
        <f t="shared" si="76"/>
        <v>4573.8559999999998</v>
      </c>
      <c r="AD24" s="974">
        <f t="shared" si="77"/>
        <v>4820.192</v>
      </c>
      <c r="AE24" s="180">
        <f t="shared" si="78"/>
        <v>27762.207999999999</v>
      </c>
      <c r="AF24" s="1389"/>
      <c r="AG24" s="972">
        <f>'PDYG-200'!D$37</f>
        <v>0.41660000000000003</v>
      </c>
      <c r="AH24" s="972">
        <f>'PDYG-200'!E$37</f>
        <v>0.24340000000000001</v>
      </c>
      <c r="AI24" s="972">
        <f>'PDYG-200'!F$37</f>
        <v>0.33999999999999997</v>
      </c>
    </row>
    <row r="25" spans="2:35">
      <c r="B25" s="48"/>
      <c r="C25" s="887"/>
      <c r="D25" s="883"/>
      <c r="E25" s="883"/>
      <c r="F25" s="883"/>
      <c r="G25" s="883"/>
      <c r="H25" s="883"/>
      <c r="I25" s="883"/>
      <c r="J25" s="180">
        <f t="shared" si="5"/>
        <v>0</v>
      </c>
      <c r="K25" s="883"/>
      <c r="L25" s="883"/>
      <c r="M25" s="883"/>
      <c r="N25" s="883"/>
      <c r="O25" s="883"/>
      <c r="P25" s="883"/>
      <c r="Q25" s="180">
        <f t="shared" si="7"/>
        <v>0</v>
      </c>
      <c r="R25" s="883"/>
      <c r="S25" s="883"/>
      <c r="T25" s="883"/>
      <c r="U25" s="883"/>
      <c r="V25" s="883"/>
      <c r="W25" s="883"/>
      <c r="X25" s="180">
        <f t="shared" si="9"/>
        <v>0</v>
      </c>
      <c r="Y25" s="883"/>
      <c r="Z25" s="883"/>
      <c r="AA25" s="883"/>
      <c r="AB25" s="883"/>
      <c r="AC25" s="883"/>
      <c r="AD25" s="883"/>
      <c r="AE25" s="180"/>
      <c r="AF25" s="1389"/>
      <c r="AG25" s="972">
        <f>'PDYG-200'!D$37</f>
        <v>0.41660000000000003</v>
      </c>
      <c r="AH25" s="972">
        <f>'PDYG-200'!E$37</f>
        <v>0.24340000000000001</v>
      </c>
      <c r="AI25" s="972">
        <f>'PDYG-200'!F$37</f>
        <v>0.33999999999999997</v>
      </c>
    </row>
    <row r="26" spans="2:35">
      <c r="B26" s="48"/>
      <c r="C26" s="882" t="s">
        <v>1736</v>
      </c>
      <c r="D26" s="881">
        <v>60042933</v>
      </c>
      <c r="E26" s="881">
        <v>59582611</v>
      </c>
      <c r="F26" s="881">
        <v>57347048</v>
      </c>
      <c r="G26" s="881">
        <v>59528985</v>
      </c>
      <c r="H26" s="881">
        <v>56096582</v>
      </c>
      <c r="I26" s="881">
        <v>55882612</v>
      </c>
      <c r="J26" s="180">
        <f t="shared" si="5"/>
        <v>348480771</v>
      </c>
      <c r="K26" s="881">
        <f t="shared" ref="K26:W26" si="79">SUBTOTAL(9,K27:K48)</f>
        <v>25013885.887800001</v>
      </c>
      <c r="L26" s="881">
        <f t="shared" si="79"/>
        <v>24822115.742600001</v>
      </c>
      <c r="M26" s="881">
        <f t="shared" si="79"/>
        <v>23890780.196800001</v>
      </c>
      <c r="N26" s="881">
        <f t="shared" si="79"/>
        <v>24799775.151000001</v>
      </c>
      <c r="O26" s="881">
        <f t="shared" si="79"/>
        <v>23369836.061199997</v>
      </c>
      <c r="P26" s="881">
        <f t="shared" si="79"/>
        <v>23280696.159199998</v>
      </c>
      <c r="Q26" s="180">
        <f t="shared" si="7"/>
        <v>145177089.19859999</v>
      </c>
      <c r="R26" s="881">
        <f t="shared" si="79"/>
        <v>35029047.112199992</v>
      </c>
      <c r="S26" s="881">
        <f t="shared" si="79"/>
        <v>34760495.257399991</v>
      </c>
      <c r="T26" s="881">
        <f t="shared" si="79"/>
        <v>33456267.803199999</v>
      </c>
      <c r="U26" s="881">
        <f t="shared" si="79"/>
        <v>34729209.848999999</v>
      </c>
      <c r="V26" s="881">
        <f t="shared" si="79"/>
        <v>32726745.9388</v>
      </c>
      <c r="W26" s="881">
        <f t="shared" si="79"/>
        <v>32601915.840799987</v>
      </c>
      <c r="X26" s="180">
        <f t="shared" si="9"/>
        <v>203303681.80139998</v>
      </c>
      <c r="Y26" s="881"/>
      <c r="Z26" s="881"/>
      <c r="AA26" s="881"/>
      <c r="AB26" s="881"/>
      <c r="AC26" s="881"/>
      <c r="AD26" s="881"/>
      <c r="AE26" s="180"/>
      <c r="AF26" s="1389"/>
      <c r="AG26" s="972">
        <f>'PDYG-200'!D$37</f>
        <v>0.41660000000000003</v>
      </c>
      <c r="AH26" s="972">
        <f>'PDYG-200'!E$37</f>
        <v>0.24340000000000001</v>
      </c>
      <c r="AI26" s="972">
        <f>'PDYG-200'!F$37</f>
        <v>0.33999999999999997</v>
      </c>
    </row>
    <row r="27" spans="2:35">
      <c r="B27" s="48" t="s">
        <v>274</v>
      </c>
      <c r="C27" s="882" t="s">
        <v>627</v>
      </c>
      <c r="D27" s="881">
        <v>34334070</v>
      </c>
      <c r="E27" s="881">
        <v>34330691</v>
      </c>
      <c r="F27" s="881">
        <v>33828732</v>
      </c>
      <c r="G27" s="881">
        <v>34494381</v>
      </c>
      <c r="H27" s="881">
        <v>33266304</v>
      </c>
      <c r="I27" s="881">
        <v>33003360</v>
      </c>
      <c r="J27" s="180">
        <f t="shared" si="5"/>
        <v>203257538</v>
      </c>
      <c r="K27" s="881">
        <f t="shared" ref="K27:W27" si="80">SUBTOTAL(9,K28:K33)</f>
        <v>14303573.561999999</v>
      </c>
      <c r="L27" s="881">
        <f t="shared" si="80"/>
        <v>14302165.8706</v>
      </c>
      <c r="M27" s="881">
        <f t="shared" si="80"/>
        <v>14093049.7512</v>
      </c>
      <c r="N27" s="881">
        <f t="shared" si="80"/>
        <v>14370359.124600001</v>
      </c>
      <c r="O27" s="881">
        <f t="shared" si="80"/>
        <v>13858742.246400002</v>
      </c>
      <c r="P27" s="881">
        <f t="shared" si="80"/>
        <v>13749199.775999999</v>
      </c>
      <c r="Q27" s="180">
        <f t="shared" si="7"/>
        <v>84677090.330799997</v>
      </c>
      <c r="R27" s="881">
        <f t="shared" si="80"/>
        <v>20030496.437999997</v>
      </c>
      <c r="S27" s="881">
        <f t="shared" si="80"/>
        <v>20028525.129399993</v>
      </c>
      <c r="T27" s="881">
        <f t="shared" si="80"/>
        <v>19735682.248799998</v>
      </c>
      <c r="U27" s="881">
        <f t="shared" si="80"/>
        <v>20124021.875399999</v>
      </c>
      <c r="V27" s="881">
        <f t="shared" si="80"/>
        <v>19407561.753600001</v>
      </c>
      <c r="W27" s="881">
        <f t="shared" si="80"/>
        <v>19254160.223999992</v>
      </c>
      <c r="X27" s="180">
        <f t="shared" si="9"/>
        <v>118580447.66919999</v>
      </c>
      <c r="Y27" s="881"/>
      <c r="Z27" s="881"/>
      <c r="AA27" s="881"/>
      <c r="AB27" s="881"/>
      <c r="AC27" s="881"/>
      <c r="AD27" s="881"/>
      <c r="AE27" s="180"/>
      <c r="AF27" s="1389"/>
      <c r="AG27" s="972">
        <f>'PDYG-200'!D$37</f>
        <v>0.41660000000000003</v>
      </c>
      <c r="AH27" s="972">
        <f>'PDYG-200'!E$37</f>
        <v>0.24340000000000001</v>
      </c>
      <c r="AI27" s="972">
        <f>'PDYG-200'!F$37</f>
        <v>0.33999999999999997</v>
      </c>
    </row>
    <row r="28" spans="2:35">
      <c r="B28" s="48"/>
      <c r="C28" s="887" t="s">
        <v>304</v>
      </c>
      <c r="D28" s="883">
        <v>34263685</v>
      </c>
      <c r="E28" s="883">
        <v>34257922</v>
      </c>
      <c r="F28" s="883">
        <v>33747368</v>
      </c>
      <c r="G28" s="883">
        <v>34424513</v>
      </c>
      <c r="H28" s="883">
        <v>33198007</v>
      </c>
      <c r="I28" s="883">
        <v>32926402</v>
      </c>
      <c r="J28" s="180">
        <f t="shared" si="5"/>
        <v>202817897</v>
      </c>
      <c r="K28" s="883">
        <f t="shared" ref="K28:P33" si="81">D28*$AG28</f>
        <v>14274251.171</v>
      </c>
      <c r="L28" s="883">
        <f t="shared" si="81"/>
        <v>14271850.305200001</v>
      </c>
      <c r="M28" s="883">
        <f t="shared" si="81"/>
        <v>14059153.5088</v>
      </c>
      <c r="N28" s="883">
        <f t="shared" si="81"/>
        <v>14341252.115800001</v>
      </c>
      <c r="O28" s="883">
        <f t="shared" si="81"/>
        <v>13830289.716200002</v>
      </c>
      <c r="P28" s="883">
        <f t="shared" si="81"/>
        <v>13717139.0732</v>
      </c>
      <c r="Q28" s="180">
        <f t="shared" si="7"/>
        <v>84493935.890200004</v>
      </c>
      <c r="R28" s="883">
        <f t="shared" si="13"/>
        <v>19989433.829</v>
      </c>
      <c r="S28" s="883">
        <f t="shared" si="13"/>
        <v>19986071.694799997</v>
      </c>
      <c r="T28" s="883">
        <f t="shared" si="13"/>
        <v>19688214.4912</v>
      </c>
      <c r="U28" s="883">
        <f t="shared" si="13"/>
        <v>20083260.884199999</v>
      </c>
      <c r="V28" s="883">
        <f t="shared" si="13"/>
        <v>19367717.283799998</v>
      </c>
      <c r="W28" s="883">
        <f t="shared" si="13"/>
        <v>19209262.926799998</v>
      </c>
      <c r="X28" s="180">
        <f t="shared" si="9"/>
        <v>118323961.1098</v>
      </c>
      <c r="Y28" s="883"/>
      <c r="Z28" s="883"/>
      <c r="AA28" s="883"/>
      <c r="AB28" s="883"/>
      <c r="AC28" s="883"/>
      <c r="AD28" s="883"/>
      <c r="AE28" s="180"/>
      <c r="AF28" s="1389"/>
      <c r="AG28" s="972">
        <f>'PDYG-200'!D$37</f>
        <v>0.41660000000000003</v>
      </c>
      <c r="AH28" s="972">
        <f>'PDYG-200'!E$37</f>
        <v>0.24340000000000001</v>
      </c>
      <c r="AI28" s="972">
        <f>'PDYG-200'!F$37</f>
        <v>0.33999999999999997</v>
      </c>
    </row>
    <row r="29" spans="2:35">
      <c r="B29" s="48"/>
      <c r="C29" s="888" t="s">
        <v>628</v>
      </c>
      <c r="D29" s="883">
        <v>3600</v>
      </c>
      <c r="E29" s="883">
        <v>3600</v>
      </c>
      <c r="F29" s="883">
        <v>4200</v>
      </c>
      <c r="G29" s="883">
        <v>4200</v>
      </c>
      <c r="H29" s="883">
        <v>4200</v>
      </c>
      <c r="I29" s="883">
        <v>3600</v>
      </c>
      <c r="J29" s="180">
        <f t="shared" si="5"/>
        <v>23400</v>
      </c>
      <c r="K29" s="883">
        <f t="shared" si="81"/>
        <v>1499.76</v>
      </c>
      <c r="L29" s="883">
        <f t="shared" si="81"/>
        <v>1499.76</v>
      </c>
      <c r="M29" s="883">
        <f t="shared" si="81"/>
        <v>1749.72</v>
      </c>
      <c r="N29" s="883">
        <f t="shared" si="81"/>
        <v>1749.72</v>
      </c>
      <c r="O29" s="883">
        <f t="shared" si="81"/>
        <v>1749.72</v>
      </c>
      <c r="P29" s="883">
        <f t="shared" si="81"/>
        <v>1499.76</v>
      </c>
      <c r="Q29" s="180">
        <f t="shared" si="7"/>
        <v>9748.44</v>
      </c>
      <c r="R29" s="883">
        <f t="shared" si="13"/>
        <v>2100.2399999999998</v>
      </c>
      <c r="S29" s="883">
        <f t="shared" si="13"/>
        <v>2100.2399999999998</v>
      </c>
      <c r="T29" s="883">
        <f t="shared" si="13"/>
        <v>2450.2799999999997</v>
      </c>
      <c r="U29" s="883">
        <f t="shared" si="13"/>
        <v>2450.2799999999997</v>
      </c>
      <c r="V29" s="883">
        <f t="shared" si="13"/>
        <v>2450.2799999999997</v>
      </c>
      <c r="W29" s="883">
        <f t="shared" si="13"/>
        <v>2100.2399999999998</v>
      </c>
      <c r="X29" s="180">
        <f t="shared" si="9"/>
        <v>13651.56</v>
      </c>
      <c r="Y29" s="883"/>
      <c r="Z29" s="883"/>
      <c r="AA29" s="883"/>
      <c r="AB29" s="883"/>
      <c r="AC29" s="883"/>
      <c r="AD29" s="883"/>
      <c r="AE29" s="180"/>
      <c r="AF29" s="1389"/>
      <c r="AG29" s="972">
        <f>'PDYG-200'!D$37</f>
        <v>0.41660000000000003</v>
      </c>
      <c r="AH29" s="972">
        <f>'PDYG-200'!E$37</f>
        <v>0.24340000000000001</v>
      </c>
      <c r="AI29" s="972">
        <f>'PDYG-200'!F$37</f>
        <v>0.33999999999999997</v>
      </c>
    </row>
    <row r="30" spans="2:35">
      <c r="B30" s="48"/>
      <c r="C30" s="888" t="s">
        <v>629</v>
      </c>
      <c r="D30" s="883">
        <v>15028</v>
      </c>
      <c r="E30" s="883">
        <v>16331</v>
      </c>
      <c r="F30" s="883">
        <v>16205</v>
      </c>
      <c r="G30" s="883">
        <v>15146</v>
      </c>
      <c r="H30" s="883">
        <v>14956</v>
      </c>
      <c r="I30" s="883">
        <v>15574</v>
      </c>
      <c r="J30" s="180">
        <f t="shared" si="5"/>
        <v>93240</v>
      </c>
      <c r="K30" s="883">
        <f t="shared" si="81"/>
        <v>6260.6648000000005</v>
      </c>
      <c r="L30" s="883">
        <f t="shared" si="81"/>
        <v>6803.4946</v>
      </c>
      <c r="M30" s="883">
        <f t="shared" si="81"/>
        <v>6751.0030000000006</v>
      </c>
      <c r="N30" s="883">
        <f t="shared" si="81"/>
        <v>6309.8236000000006</v>
      </c>
      <c r="O30" s="883">
        <f t="shared" si="81"/>
        <v>6230.6696000000002</v>
      </c>
      <c r="P30" s="883">
        <f t="shared" si="81"/>
        <v>6488.1284000000005</v>
      </c>
      <c r="Q30" s="180">
        <f t="shared" si="7"/>
        <v>38843.784</v>
      </c>
      <c r="R30" s="883">
        <f t="shared" si="13"/>
        <v>8767.3351999999995</v>
      </c>
      <c r="S30" s="883">
        <f t="shared" si="13"/>
        <v>9527.5054</v>
      </c>
      <c r="T30" s="883">
        <f t="shared" si="13"/>
        <v>9453.9969999999994</v>
      </c>
      <c r="U30" s="883">
        <f t="shared" si="13"/>
        <v>8836.1764000000003</v>
      </c>
      <c r="V30" s="883">
        <f t="shared" si="13"/>
        <v>8725.3303999999989</v>
      </c>
      <c r="W30" s="883">
        <f t="shared" si="13"/>
        <v>9085.8715999999986</v>
      </c>
      <c r="X30" s="180">
        <f t="shared" si="9"/>
        <v>54396.215999999993</v>
      </c>
      <c r="Y30" s="883"/>
      <c r="Z30" s="883"/>
      <c r="AA30" s="883"/>
      <c r="AB30" s="883"/>
      <c r="AC30" s="883"/>
      <c r="AD30" s="883"/>
      <c r="AE30" s="180"/>
      <c r="AF30" s="1389"/>
      <c r="AG30" s="972">
        <f>'PDYG-200'!D$37</f>
        <v>0.41660000000000003</v>
      </c>
      <c r="AH30" s="972">
        <f>'PDYG-200'!E$37</f>
        <v>0.24340000000000001</v>
      </c>
      <c r="AI30" s="972">
        <f>'PDYG-200'!F$37</f>
        <v>0.33999999999999997</v>
      </c>
    </row>
    <row r="31" spans="2:35">
      <c r="B31" s="48"/>
      <c r="C31" s="887" t="s">
        <v>305</v>
      </c>
      <c r="D31" s="883">
        <v>38160</v>
      </c>
      <c r="E31" s="883">
        <v>40000</v>
      </c>
      <c r="F31" s="883">
        <v>47480</v>
      </c>
      <c r="G31" s="883">
        <v>37240</v>
      </c>
      <c r="H31" s="883">
        <v>36840</v>
      </c>
      <c r="I31" s="883">
        <v>46002</v>
      </c>
      <c r="J31" s="180">
        <f t="shared" si="5"/>
        <v>245722</v>
      </c>
      <c r="K31" s="883">
        <f t="shared" si="81"/>
        <v>15897.456</v>
      </c>
      <c r="L31" s="883">
        <f t="shared" si="81"/>
        <v>16664</v>
      </c>
      <c r="M31" s="883">
        <f t="shared" si="81"/>
        <v>19780.168000000001</v>
      </c>
      <c r="N31" s="883">
        <f t="shared" si="81"/>
        <v>15514.184000000001</v>
      </c>
      <c r="O31" s="883">
        <f t="shared" si="81"/>
        <v>15347.544000000002</v>
      </c>
      <c r="P31" s="883">
        <f t="shared" si="81"/>
        <v>19164.433199999999</v>
      </c>
      <c r="Q31" s="180">
        <f t="shared" si="7"/>
        <v>102367.78519999998</v>
      </c>
      <c r="R31" s="883">
        <f t="shared" si="13"/>
        <v>22262.544000000002</v>
      </c>
      <c r="S31" s="883">
        <f t="shared" si="13"/>
        <v>23336</v>
      </c>
      <c r="T31" s="883">
        <f t="shared" si="13"/>
        <v>27699.831999999999</v>
      </c>
      <c r="U31" s="883">
        <f t="shared" si="13"/>
        <v>21725.815999999999</v>
      </c>
      <c r="V31" s="883">
        <f t="shared" si="13"/>
        <v>21492.455999999998</v>
      </c>
      <c r="W31" s="883">
        <f t="shared" si="13"/>
        <v>26837.566800000001</v>
      </c>
      <c r="X31" s="180">
        <f t="shared" si="9"/>
        <v>143354.21480000002</v>
      </c>
      <c r="Y31" s="883"/>
      <c r="Z31" s="883"/>
      <c r="AA31" s="883"/>
      <c r="AB31" s="883"/>
      <c r="AC31" s="883"/>
      <c r="AD31" s="883"/>
      <c r="AE31" s="180"/>
      <c r="AF31" s="1389"/>
      <c r="AG31" s="972">
        <f>'PDYG-200'!D$37</f>
        <v>0.41660000000000003</v>
      </c>
      <c r="AH31" s="972">
        <f>'PDYG-200'!E$37</f>
        <v>0.24340000000000001</v>
      </c>
      <c r="AI31" s="972">
        <f>'PDYG-200'!F$37</f>
        <v>0.33999999999999997</v>
      </c>
    </row>
    <row r="32" spans="2:35">
      <c r="B32" s="48"/>
      <c r="C32" s="887" t="s">
        <v>307</v>
      </c>
      <c r="D32" s="883">
        <v>7280</v>
      </c>
      <c r="E32" s="883">
        <v>6480</v>
      </c>
      <c r="F32" s="883">
        <v>7840</v>
      </c>
      <c r="G32" s="883">
        <v>7920</v>
      </c>
      <c r="H32" s="883">
        <v>6960</v>
      </c>
      <c r="I32" s="883">
        <v>6160</v>
      </c>
      <c r="J32" s="180">
        <f t="shared" si="5"/>
        <v>42640</v>
      </c>
      <c r="K32" s="883">
        <f t="shared" si="81"/>
        <v>3032.8480000000004</v>
      </c>
      <c r="L32" s="883">
        <f t="shared" si="81"/>
        <v>2699.5680000000002</v>
      </c>
      <c r="M32" s="883">
        <f t="shared" si="81"/>
        <v>3266.1440000000002</v>
      </c>
      <c r="N32" s="883">
        <f t="shared" si="81"/>
        <v>3299.4720000000002</v>
      </c>
      <c r="O32" s="883">
        <f t="shared" si="81"/>
        <v>2899.5360000000001</v>
      </c>
      <c r="P32" s="883">
        <f t="shared" si="81"/>
        <v>2566.2560000000003</v>
      </c>
      <c r="Q32" s="180">
        <f t="shared" si="7"/>
        <v>17763.824000000001</v>
      </c>
      <c r="R32" s="883">
        <f t="shared" si="13"/>
        <v>4247.152</v>
      </c>
      <c r="S32" s="883">
        <f t="shared" si="13"/>
        <v>3780.4319999999998</v>
      </c>
      <c r="T32" s="883">
        <f t="shared" si="13"/>
        <v>4573.8559999999998</v>
      </c>
      <c r="U32" s="883">
        <f t="shared" si="13"/>
        <v>4620.5280000000002</v>
      </c>
      <c r="V32" s="883">
        <f t="shared" si="13"/>
        <v>4060.4639999999999</v>
      </c>
      <c r="W32" s="883">
        <f t="shared" si="13"/>
        <v>3593.7439999999997</v>
      </c>
      <c r="X32" s="180">
        <f t="shared" si="9"/>
        <v>24876.175999999999</v>
      </c>
      <c r="Y32" s="883"/>
      <c r="Z32" s="883"/>
      <c r="AA32" s="883"/>
      <c r="AB32" s="883"/>
      <c r="AC32" s="883"/>
      <c r="AD32" s="883"/>
      <c r="AE32" s="180"/>
      <c r="AF32" s="1389"/>
      <c r="AG32" s="972">
        <f>'PDYG-200'!D$37</f>
        <v>0.41660000000000003</v>
      </c>
      <c r="AH32" s="972">
        <f>'PDYG-200'!E$37</f>
        <v>0.24340000000000001</v>
      </c>
      <c r="AI32" s="972">
        <f>'PDYG-200'!F$37</f>
        <v>0.33999999999999997</v>
      </c>
    </row>
    <row r="33" spans="2:35">
      <c r="B33" s="48"/>
      <c r="C33" s="887" t="s">
        <v>624</v>
      </c>
      <c r="D33" s="883">
        <v>6317</v>
      </c>
      <c r="E33" s="883">
        <v>6358</v>
      </c>
      <c r="F33" s="883">
        <v>5639</v>
      </c>
      <c r="G33" s="883">
        <v>5362</v>
      </c>
      <c r="H33" s="883">
        <v>5341</v>
      </c>
      <c r="I33" s="883">
        <v>5622</v>
      </c>
      <c r="J33" s="180">
        <f t="shared" si="5"/>
        <v>34639</v>
      </c>
      <c r="K33" s="883">
        <f t="shared" si="81"/>
        <v>2631.6622000000002</v>
      </c>
      <c r="L33" s="883">
        <f t="shared" si="81"/>
        <v>2648.7428</v>
      </c>
      <c r="M33" s="883">
        <f t="shared" si="81"/>
        <v>2349.2074000000002</v>
      </c>
      <c r="N33" s="883">
        <f t="shared" si="81"/>
        <v>2233.8092000000001</v>
      </c>
      <c r="O33" s="883">
        <f t="shared" si="81"/>
        <v>2225.0606000000002</v>
      </c>
      <c r="P33" s="883">
        <f t="shared" si="81"/>
        <v>2342.1251999999999</v>
      </c>
      <c r="Q33" s="180">
        <f t="shared" si="7"/>
        <v>14430.607400000003</v>
      </c>
      <c r="R33" s="883">
        <f t="shared" si="13"/>
        <v>3685.3377999999998</v>
      </c>
      <c r="S33" s="883">
        <f t="shared" si="13"/>
        <v>3709.2572</v>
      </c>
      <c r="T33" s="883">
        <f t="shared" si="13"/>
        <v>3289.7925999999998</v>
      </c>
      <c r="U33" s="883">
        <f t="shared" si="13"/>
        <v>3128.1907999999999</v>
      </c>
      <c r="V33" s="883">
        <f t="shared" si="13"/>
        <v>3115.9393999999998</v>
      </c>
      <c r="W33" s="883">
        <f t="shared" si="13"/>
        <v>3279.8748000000001</v>
      </c>
      <c r="X33" s="180">
        <f t="shared" si="9"/>
        <v>20208.392599999999</v>
      </c>
      <c r="Y33" s="883"/>
      <c r="Z33" s="883"/>
      <c r="AA33" s="883"/>
      <c r="AB33" s="883"/>
      <c r="AC33" s="883"/>
      <c r="AD33" s="883"/>
      <c r="AE33" s="180"/>
      <c r="AF33" s="1389"/>
      <c r="AG33" s="972">
        <f>'PDYG-200'!D$37</f>
        <v>0.41660000000000003</v>
      </c>
      <c r="AH33" s="972">
        <f>'PDYG-200'!E$37</f>
        <v>0.24340000000000001</v>
      </c>
      <c r="AI33" s="972">
        <f>'PDYG-200'!F$37</f>
        <v>0.33999999999999997</v>
      </c>
    </row>
    <row r="34" spans="2:35">
      <c r="B34" s="48" t="s">
        <v>274</v>
      </c>
      <c r="C34" s="882" t="s">
        <v>631</v>
      </c>
      <c r="D34" s="881">
        <v>16004005</v>
      </c>
      <c r="E34" s="881">
        <v>16110147</v>
      </c>
      <c r="F34" s="881">
        <v>15390233</v>
      </c>
      <c r="G34" s="881">
        <v>15939543</v>
      </c>
      <c r="H34" s="881">
        <v>14785467</v>
      </c>
      <c r="I34" s="881">
        <v>14525276</v>
      </c>
      <c r="J34" s="180">
        <f t="shared" si="5"/>
        <v>92754671</v>
      </c>
      <c r="K34" s="881">
        <f t="shared" ref="K34:W34" si="82">SUBTOTAL(9,K35:K38)</f>
        <v>6667268.4830000009</v>
      </c>
      <c r="L34" s="881">
        <f t="shared" si="82"/>
        <v>6711487.2402000008</v>
      </c>
      <c r="M34" s="881">
        <f t="shared" si="82"/>
        <v>6411571.0678000012</v>
      </c>
      <c r="N34" s="881">
        <f t="shared" si="82"/>
        <v>6640413.6138000004</v>
      </c>
      <c r="O34" s="881">
        <f t="shared" si="82"/>
        <v>6159625.5522000007</v>
      </c>
      <c r="P34" s="881">
        <f t="shared" si="82"/>
        <v>6051229.9816000005</v>
      </c>
      <c r="Q34" s="180">
        <f t="shared" si="7"/>
        <v>38641595.938600004</v>
      </c>
      <c r="R34" s="881">
        <f t="shared" si="82"/>
        <v>9336736.5169999991</v>
      </c>
      <c r="S34" s="881">
        <f t="shared" si="82"/>
        <v>9398659.7597999983</v>
      </c>
      <c r="T34" s="881">
        <f t="shared" si="82"/>
        <v>8978661.9321999997</v>
      </c>
      <c r="U34" s="881">
        <f t="shared" si="82"/>
        <v>9299129.3861999996</v>
      </c>
      <c r="V34" s="881">
        <f t="shared" si="82"/>
        <v>8625841.4477999993</v>
      </c>
      <c r="W34" s="881">
        <f t="shared" si="82"/>
        <v>8474046.0184000004</v>
      </c>
      <c r="X34" s="180">
        <f t="shared" si="9"/>
        <v>54113075.061399996</v>
      </c>
      <c r="Y34" s="881"/>
      <c r="Z34" s="881"/>
      <c r="AA34" s="881"/>
      <c r="AB34" s="881"/>
      <c r="AC34" s="881"/>
      <c r="AD34" s="881"/>
      <c r="AE34" s="180"/>
      <c r="AF34" s="1389"/>
      <c r="AG34" s="972">
        <f>'PDYG-200'!D$37</f>
        <v>0.41660000000000003</v>
      </c>
      <c r="AH34" s="972">
        <f>'PDYG-200'!E$37</f>
        <v>0.24340000000000001</v>
      </c>
      <c r="AI34" s="972">
        <f>'PDYG-200'!F$37</f>
        <v>0.33999999999999997</v>
      </c>
    </row>
    <row r="35" spans="2:35">
      <c r="B35" s="48"/>
      <c r="C35" s="887" t="s">
        <v>304</v>
      </c>
      <c r="D35" s="883">
        <v>15993765</v>
      </c>
      <c r="E35" s="883">
        <v>16100147</v>
      </c>
      <c r="F35" s="883">
        <v>15380073</v>
      </c>
      <c r="G35" s="883">
        <v>15926103</v>
      </c>
      <c r="H35" s="883">
        <v>14777947</v>
      </c>
      <c r="I35" s="883">
        <v>14507996</v>
      </c>
      <c r="J35" s="180">
        <f t="shared" si="5"/>
        <v>92686031</v>
      </c>
      <c r="K35" s="883">
        <f t="shared" ref="K35:P38" si="83">D35*$AG35</f>
        <v>6663002.4990000008</v>
      </c>
      <c r="L35" s="883">
        <f t="shared" si="83"/>
        <v>6707321.2402000008</v>
      </c>
      <c r="M35" s="883">
        <f t="shared" si="83"/>
        <v>6407338.4118000008</v>
      </c>
      <c r="N35" s="883">
        <f t="shared" si="83"/>
        <v>6634814.5098000001</v>
      </c>
      <c r="O35" s="883">
        <f t="shared" si="83"/>
        <v>6156492.7202000003</v>
      </c>
      <c r="P35" s="883">
        <f t="shared" si="83"/>
        <v>6044031.1336000003</v>
      </c>
      <c r="Q35" s="180">
        <f t="shared" si="7"/>
        <v>38613000.514600009</v>
      </c>
      <c r="R35" s="883">
        <f t="shared" si="13"/>
        <v>9330762.5009999983</v>
      </c>
      <c r="S35" s="883">
        <f t="shared" si="13"/>
        <v>9392825.7597999983</v>
      </c>
      <c r="T35" s="883">
        <f t="shared" si="13"/>
        <v>8972734.5881999992</v>
      </c>
      <c r="U35" s="883">
        <f t="shared" si="13"/>
        <v>9291288.4901999999</v>
      </c>
      <c r="V35" s="883">
        <f t="shared" si="13"/>
        <v>8621454.2797999997</v>
      </c>
      <c r="W35" s="883">
        <f t="shared" si="13"/>
        <v>8463964.8663999997</v>
      </c>
      <c r="X35" s="180">
        <f t="shared" si="9"/>
        <v>54073030.485399991</v>
      </c>
      <c r="Y35" s="883"/>
      <c r="Z35" s="883"/>
      <c r="AA35" s="883"/>
      <c r="AB35" s="883"/>
      <c r="AC35" s="883"/>
      <c r="AD35" s="883"/>
      <c r="AE35" s="180"/>
      <c r="AF35" s="1389"/>
      <c r="AG35" s="972">
        <f>'PDYG-200'!D$37</f>
        <v>0.41660000000000003</v>
      </c>
      <c r="AH35" s="972">
        <f>'PDYG-200'!E$37</f>
        <v>0.24340000000000001</v>
      </c>
      <c r="AI35" s="972">
        <f>'PDYG-200'!F$37</f>
        <v>0.33999999999999997</v>
      </c>
    </row>
    <row r="36" spans="2:35">
      <c r="B36" s="48"/>
      <c r="C36" s="888" t="s">
        <v>306</v>
      </c>
      <c r="D36" s="883">
        <v>0</v>
      </c>
      <c r="E36" s="883">
        <v>0</v>
      </c>
      <c r="F36" s="883">
        <v>0</v>
      </c>
      <c r="G36" s="883">
        <v>0</v>
      </c>
      <c r="H36" s="883">
        <v>0</v>
      </c>
      <c r="I36" s="883">
        <v>0</v>
      </c>
      <c r="J36" s="180">
        <f t="shared" si="5"/>
        <v>0</v>
      </c>
      <c r="K36" s="883">
        <f t="shared" si="83"/>
        <v>0</v>
      </c>
      <c r="L36" s="883">
        <f t="shared" si="83"/>
        <v>0</v>
      </c>
      <c r="M36" s="883">
        <f t="shared" si="83"/>
        <v>0</v>
      </c>
      <c r="N36" s="883">
        <f t="shared" si="83"/>
        <v>0</v>
      </c>
      <c r="O36" s="883">
        <f t="shared" si="83"/>
        <v>0</v>
      </c>
      <c r="P36" s="883">
        <f t="shared" si="83"/>
        <v>0</v>
      </c>
      <c r="Q36" s="180">
        <f t="shared" si="7"/>
        <v>0</v>
      </c>
      <c r="R36" s="883">
        <f t="shared" si="13"/>
        <v>0</v>
      </c>
      <c r="S36" s="883">
        <f t="shared" si="13"/>
        <v>0</v>
      </c>
      <c r="T36" s="883">
        <f t="shared" si="13"/>
        <v>0</v>
      </c>
      <c r="U36" s="883">
        <f t="shared" si="13"/>
        <v>0</v>
      </c>
      <c r="V36" s="883">
        <f t="shared" si="13"/>
        <v>0</v>
      </c>
      <c r="W36" s="883">
        <f t="shared" si="13"/>
        <v>0</v>
      </c>
      <c r="X36" s="180">
        <f t="shared" si="9"/>
        <v>0</v>
      </c>
      <c r="Y36" s="883"/>
      <c r="Z36" s="883"/>
      <c r="AA36" s="883"/>
      <c r="AB36" s="883"/>
      <c r="AC36" s="883"/>
      <c r="AD36" s="883"/>
      <c r="AE36" s="180"/>
      <c r="AF36" s="1389"/>
      <c r="AG36" s="972">
        <f>'PDYG-200'!D$37</f>
        <v>0.41660000000000003</v>
      </c>
      <c r="AH36" s="972">
        <f>'PDYG-200'!E$37</f>
        <v>0.24340000000000001</v>
      </c>
      <c r="AI36" s="972">
        <f>'PDYG-200'!F$37</f>
        <v>0.33999999999999997</v>
      </c>
    </row>
    <row r="37" spans="2:35">
      <c r="B37" s="48"/>
      <c r="C37" s="887" t="s">
        <v>305</v>
      </c>
      <c r="D37" s="883">
        <v>10240</v>
      </c>
      <c r="E37" s="883">
        <v>10000</v>
      </c>
      <c r="F37" s="883">
        <v>10160</v>
      </c>
      <c r="G37" s="883">
        <v>13440</v>
      </c>
      <c r="H37" s="883">
        <v>7520</v>
      </c>
      <c r="I37" s="883">
        <v>17280</v>
      </c>
      <c r="J37" s="180">
        <f t="shared" si="5"/>
        <v>68640</v>
      </c>
      <c r="K37" s="883">
        <f t="shared" si="83"/>
        <v>4265.9840000000004</v>
      </c>
      <c r="L37" s="883">
        <f t="shared" si="83"/>
        <v>4166</v>
      </c>
      <c r="M37" s="883">
        <f t="shared" si="83"/>
        <v>4232.6559999999999</v>
      </c>
      <c r="N37" s="883">
        <f t="shared" si="83"/>
        <v>5599.1040000000003</v>
      </c>
      <c r="O37" s="883">
        <f t="shared" si="83"/>
        <v>3132.8320000000003</v>
      </c>
      <c r="P37" s="883">
        <f t="shared" si="83"/>
        <v>7198.8480000000009</v>
      </c>
      <c r="Q37" s="180">
        <f t="shared" si="7"/>
        <v>28595.424000000003</v>
      </c>
      <c r="R37" s="883">
        <f t="shared" si="13"/>
        <v>5974.0159999999996</v>
      </c>
      <c r="S37" s="883">
        <f t="shared" si="13"/>
        <v>5834</v>
      </c>
      <c r="T37" s="883">
        <f t="shared" si="13"/>
        <v>5927.3440000000001</v>
      </c>
      <c r="U37" s="883">
        <f t="shared" si="13"/>
        <v>7840.8959999999997</v>
      </c>
      <c r="V37" s="883">
        <f t="shared" si="13"/>
        <v>4387.1679999999997</v>
      </c>
      <c r="W37" s="883">
        <f t="shared" si="13"/>
        <v>10081.151999999998</v>
      </c>
      <c r="X37" s="180">
        <f t="shared" si="9"/>
        <v>40044.576000000001</v>
      </c>
      <c r="Y37" s="883"/>
      <c r="Z37" s="883"/>
      <c r="AA37" s="883"/>
      <c r="AB37" s="883"/>
      <c r="AC37" s="883"/>
      <c r="AD37" s="883"/>
      <c r="AE37" s="180"/>
      <c r="AF37" s="1389"/>
      <c r="AG37" s="972">
        <f>'PDYG-200'!D$37</f>
        <v>0.41660000000000003</v>
      </c>
      <c r="AH37" s="972">
        <f>'PDYG-200'!E$37</f>
        <v>0.24340000000000001</v>
      </c>
      <c r="AI37" s="972">
        <f>'PDYG-200'!F$37</f>
        <v>0.33999999999999997</v>
      </c>
    </row>
    <row r="38" spans="2:35">
      <c r="B38" s="48"/>
      <c r="C38" s="887" t="s">
        <v>307</v>
      </c>
      <c r="D38" s="883">
        <v>0</v>
      </c>
      <c r="E38" s="883">
        <v>0</v>
      </c>
      <c r="F38" s="883">
        <v>0</v>
      </c>
      <c r="G38" s="883">
        <v>0</v>
      </c>
      <c r="H38" s="883">
        <v>0</v>
      </c>
      <c r="I38" s="883">
        <v>0</v>
      </c>
      <c r="J38" s="180">
        <f t="shared" si="5"/>
        <v>0</v>
      </c>
      <c r="K38" s="883">
        <f t="shared" si="83"/>
        <v>0</v>
      </c>
      <c r="L38" s="883">
        <f t="shared" si="83"/>
        <v>0</v>
      </c>
      <c r="M38" s="883">
        <f t="shared" si="83"/>
        <v>0</v>
      </c>
      <c r="N38" s="883">
        <f t="shared" si="83"/>
        <v>0</v>
      </c>
      <c r="O38" s="883">
        <f t="shared" si="83"/>
        <v>0</v>
      </c>
      <c r="P38" s="883">
        <f t="shared" si="83"/>
        <v>0</v>
      </c>
      <c r="Q38" s="180">
        <f t="shared" si="7"/>
        <v>0</v>
      </c>
      <c r="R38" s="883">
        <f t="shared" si="13"/>
        <v>0</v>
      </c>
      <c r="S38" s="883">
        <f t="shared" si="13"/>
        <v>0</v>
      </c>
      <c r="T38" s="883">
        <f t="shared" si="13"/>
        <v>0</v>
      </c>
      <c r="U38" s="883">
        <f t="shared" si="13"/>
        <v>0</v>
      </c>
      <c r="V38" s="883">
        <f t="shared" si="13"/>
        <v>0</v>
      </c>
      <c r="W38" s="883">
        <f t="shared" si="13"/>
        <v>0</v>
      </c>
      <c r="X38" s="180">
        <f t="shared" si="9"/>
        <v>0</v>
      </c>
      <c r="Y38" s="883"/>
      <c r="Z38" s="883"/>
      <c r="AA38" s="883"/>
      <c r="AB38" s="883"/>
      <c r="AC38" s="883"/>
      <c r="AD38" s="883"/>
      <c r="AE38" s="180"/>
      <c r="AF38" s="1389"/>
      <c r="AG38" s="972">
        <f>'PDYG-200'!D$37</f>
        <v>0.41660000000000003</v>
      </c>
      <c r="AH38" s="972">
        <f>'PDYG-200'!E$37</f>
        <v>0.24340000000000001</v>
      </c>
      <c r="AI38" s="972">
        <f>'PDYG-200'!F$37</f>
        <v>0.33999999999999997</v>
      </c>
    </row>
    <row r="39" spans="2:35">
      <c r="B39" s="48" t="s">
        <v>274</v>
      </c>
      <c r="C39" s="882" t="s">
        <v>632</v>
      </c>
      <c r="D39" s="881">
        <v>4727898</v>
      </c>
      <c r="E39" s="881">
        <v>4557000</v>
      </c>
      <c r="F39" s="881">
        <v>4181320</v>
      </c>
      <c r="G39" s="881">
        <v>4573059</v>
      </c>
      <c r="H39" s="881">
        <v>3941698</v>
      </c>
      <c r="I39" s="881">
        <v>4113628</v>
      </c>
      <c r="J39" s="180">
        <f t="shared" si="5"/>
        <v>26094603</v>
      </c>
      <c r="K39" s="881">
        <f t="shared" ref="K39:W39" si="84">SUBTOTAL(9,K40:K43)</f>
        <v>1969642.3068000001</v>
      </c>
      <c r="L39" s="881">
        <f t="shared" si="84"/>
        <v>1898446.2000000002</v>
      </c>
      <c r="M39" s="881">
        <f t="shared" si="84"/>
        <v>1741937.912</v>
      </c>
      <c r="N39" s="881">
        <f t="shared" si="84"/>
        <v>1905136.3794000002</v>
      </c>
      <c r="O39" s="881">
        <f t="shared" si="84"/>
        <v>1642111.3868000002</v>
      </c>
      <c r="P39" s="881">
        <f t="shared" si="84"/>
        <v>1713737.4248000002</v>
      </c>
      <c r="Q39" s="180">
        <f t="shared" si="7"/>
        <v>10871011.6098</v>
      </c>
      <c r="R39" s="881">
        <f t="shared" si="84"/>
        <v>2758255.6931999996</v>
      </c>
      <c r="S39" s="881">
        <f t="shared" si="84"/>
        <v>2658553.7999999998</v>
      </c>
      <c r="T39" s="881">
        <f t="shared" si="84"/>
        <v>2439382.088</v>
      </c>
      <c r="U39" s="881">
        <f t="shared" si="84"/>
        <v>2667922.6206</v>
      </c>
      <c r="V39" s="881">
        <f t="shared" si="84"/>
        <v>2299586.6131999996</v>
      </c>
      <c r="W39" s="881">
        <f t="shared" si="84"/>
        <v>2399890.5751999998</v>
      </c>
      <c r="X39" s="180">
        <f t="shared" si="9"/>
        <v>15223591.3902</v>
      </c>
      <c r="Y39" s="881"/>
      <c r="Z39" s="881"/>
      <c r="AA39" s="881"/>
      <c r="AB39" s="881"/>
      <c r="AC39" s="881"/>
      <c r="AD39" s="881"/>
      <c r="AE39" s="180"/>
      <c r="AF39" s="1389"/>
      <c r="AG39" s="972">
        <f>'PDYG-200'!D$37</f>
        <v>0.41660000000000003</v>
      </c>
      <c r="AH39" s="972">
        <f>'PDYG-200'!E$37</f>
        <v>0.24340000000000001</v>
      </c>
      <c r="AI39" s="972">
        <f>'PDYG-200'!F$37</f>
        <v>0.33999999999999997</v>
      </c>
    </row>
    <row r="40" spans="2:35">
      <c r="B40" s="48"/>
      <c r="C40" s="887" t="s">
        <v>304</v>
      </c>
      <c r="D40" s="883">
        <v>4727898</v>
      </c>
      <c r="E40" s="883">
        <v>4557000</v>
      </c>
      <c r="F40" s="883">
        <v>4181320</v>
      </c>
      <c r="G40" s="883">
        <v>4573059</v>
      </c>
      <c r="H40" s="883">
        <v>3941698</v>
      </c>
      <c r="I40" s="883">
        <v>4113628</v>
      </c>
      <c r="J40" s="180">
        <f t="shared" si="5"/>
        <v>26094603</v>
      </c>
      <c r="K40" s="883">
        <f t="shared" ref="K40:P43" si="85">D40*$AG40</f>
        <v>1969642.3068000001</v>
      </c>
      <c r="L40" s="883">
        <f t="shared" si="85"/>
        <v>1898446.2000000002</v>
      </c>
      <c r="M40" s="883">
        <f t="shared" si="85"/>
        <v>1741937.912</v>
      </c>
      <c r="N40" s="883">
        <f t="shared" si="85"/>
        <v>1905136.3794000002</v>
      </c>
      <c r="O40" s="883">
        <f t="shared" si="85"/>
        <v>1642111.3868000002</v>
      </c>
      <c r="P40" s="883">
        <f t="shared" si="85"/>
        <v>1713737.4248000002</v>
      </c>
      <c r="Q40" s="180">
        <f t="shared" si="7"/>
        <v>10871011.6098</v>
      </c>
      <c r="R40" s="883">
        <f t="shared" si="13"/>
        <v>2758255.6931999996</v>
      </c>
      <c r="S40" s="883">
        <f t="shared" si="13"/>
        <v>2658553.7999999998</v>
      </c>
      <c r="T40" s="883">
        <f t="shared" si="13"/>
        <v>2439382.088</v>
      </c>
      <c r="U40" s="883">
        <f t="shared" si="13"/>
        <v>2667922.6206</v>
      </c>
      <c r="V40" s="883">
        <f t="shared" si="13"/>
        <v>2299586.6131999996</v>
      </c>
      <c r="W40" s="883">
        <f t="shared" si="13"/>
        <v>2399890.5751999998</v>
      </c>
      <c r="X40" s="180">
        <f t="shared" si="9"/>
        <v>15223591.3902</v>
      </c>
      <c r="Y40" s="883"/>
      <c r="Z40" s="883"/>
      <c r="AA40" s="883"/>
      <c r="AB40" s="883"/>
      <c r="AC40" s="883"/>
      <c r="AD40" s="883"/>
      <c r="AE40" s="180"/>
      <c r="AF40" s="1389"/>
      <c r="AG40" s="972">
        <f>'PDYG-200'!D$37</f>
        <v>0.41660000000000003</v>
      </c>
      <c r="AH40" s="972">
        <f>'PDYG-200'!E$37</f>
        <v>0.24340000000000001</v>
      </c>
      <c r="AI40" s="972">
        <f>'PDYG-200'!F$37</f>
        <v>0.33999999999999997</v>
      </c>
    </row>
    <row r="41" spans="2:35">
      <c r="B41" s="48"/>
      <c r="C41" s="888" t="s">
        <v>306</v>
      </c>
      <c r="D41" s="883">
        <v>0</v>
      </c>
      <c r="E41" s="883">
        <v>0</v>
      </c>
      <c r="F41" s="883">
        <v>0</v>
      </c>
      <c r="G41" s="883">
        <v>0</v>
      </c>
      <c r="H41" s="883">
        <v>0</v>
      </c>
      <c r="I41" s="883">
        <v>0</v>
      </c>
      <c r="J41" s="180">
        <f t="shared" si="5"/>
        <v>0</v>
      </c>
      <c r="K41" s="883">
        <f t="shared" si="85"/>
        <v>0</v>
      </c>
      <c r="L41" s="883">
        <f t="shared" si="85"/>
        <v>0</v>
      </c>
      <c r="M41" s="883">
        <f t="shared" si="85"/>
        <v>0</v>
      </c>
      <c r="N41" s="883">
        <f t="shared" si="85"/>
        <v>0</v>
      </c>
      <c r="O41" s="883">
        <f t="shared" si="85"/>
        <v>0</v>
      </c>
      <c r="P41" s="883">
        <f t="shared" si="85"/>
        <v>0</v>
      </c>
      <c r="Q41" s="180">
        <f t="shared" si="7"/>
        <v>0</v>
      </c>
      <c r="R41" s="883">
        <f t="shared" si="13"/>
        <v>0</v>
      </c>
      <c r="S41" s="883">
        <f t="shared" si="13"/>
        <v>0</v>
      </c>
      <c r="T41" s="883">
        <f t="shared" si="13"/>
        <v>0</v>
      </c>
      <c r="U41" s="883">
        <f t="shared" si="13"/>
        <v>0</v>
      </c>
      <c r="V41" s="883">
        <f t="shared" si="13"/>
        <v>0</v>
      </c>
      <c r="W41" s="883">
        <f t="shared" si="13"/>
        <v>0</v>
      </c>
      <c r="X41" s="180">
        <f t="shared" si="9"/>
        <v>0</v>
      </c>
      <c r="Y41" s="883"/>
      <c r="Z41" s="883"/>
      <c r="AA41" s="883"/>
      <c r="AB41" s="883"/>
      <c r="AC41" s="883"/>
      <c r="AD41" s="883"/>
      <c r="AE41" s="180"/>
      <c r="AF41" s="1389"/>
      <c r="AG41" s="972">
        <f>'PDYG-200'!D$37</f>
        <v>0.41660000000000003</v>
      </c>
      <c r="AH41" s="972">
        <f>'PDYG-200'!E$37</f>
        <v>0.24340000000000001</v>
      </c>
      <c r="AI41" s="972">
        <f>'PDYG-200'!F$37</f>
        <v>0.33999999999999997</v>
      </c>
    </row>
    <row r="42" spans="2:35">
      <c r="B42" s="48"/>
      <c r="C42" s="887" t="s">
        <v>305</v>
      </c>
      <c r="D42" s="883">
        <v>0</v>
      </c>
      <c r="E42" s="883">
        <v>0</v>
      </c>
      <c r="F42" s="883">
        <v>0</v>
      </c>
      <c r="G42" s="883">
        <v>0</v>
      </c>
      <c r="H42" s="883">
        <v>0</v>
      </c>
      <c r="I42" s="883">
        <v>0</v>
      </c>
      <c r="J42" s="180">
        <f t="shared" si="5"/>
        <v>0</v>
      </c>
      <c r="K42" s="883">
        <f t="shared" si="85"/>
        <v>0</v>
      </c>
      <c r="L42" s="883">
        <f t="shared" si="85"/>
        <v>0</v>
      </c>
      <c r="M42" s="883">
        <f t="shared" si="85"/>
        <v>0</v>
      </c>
      <c r="N42" s="883">
        <f t="shared" si="85"/>
        <v>0</v>
      </c>
      <c r="O42" s="883">
        <f t="shared" si="85"/>
        <v>0</v>
      </c>
      <c r="P42" s="883">
        <f t="shared" si="85"/>
        <v>0</v>
      </c>
      <c r="Q42" s="180">
        <f t="shared" si="7"/>
        <v>0</v>
      </c>
      <c r="R42" s="883">
        <f t="shared" si="13"/>
        <v>0</v>
      </c>
      <c r="S42" s="883">
        <f t="shared" si="13"/>
        <v>0</v>
      </c>
      <c r="T42" s="883">
        <f t="shared" si="13"/>
        <v>0</v>
      </c>
      <c r="U42" s="883">
        <f t="shared" si="13"/>
        <v>0</v>
      </c>
      <c r="V42" s="883">
        <f t="shared" si="13"/>
        <v>0</v>
      </c>
      <c r="W42" s="883">
        <f t="shared" si="13"/>
        <v>0</v>
      </c>
      <c r="X42" s="180">
        <f t="shared" si="9"/>
        <v>0</v>
      </c>
      <c r="Y42" s="883"/>
      <c r="Z42" s="883"/>
      <c r="AA42" s="883"/>
      <c r="AB42" s="883"/>
      <c r="AC42" s="883"/>
      <c r="AD42" s="883"/>
      <c r="AE42" s="180"/>
      <c r="AF42" s="1389"/>
      <c r="AG42" s="972">
        <f>'PDYG-200'!D$37</f>
        <v>0.41660000000000003</v>
      </c>
      <c r="AH42" s="972">
        <f>'PDYG-200'!E$37</f>
        <v>0.24340000000000001</v>
      </c>
      <c r="AI42" s="972">
        <f>'PDYG-200'!F$37</f>
        <v>0.33999999999999997</v>
      </c>
    </row>
    <row r="43" spans="2:35">
      <c r="B43" s="48"/>
      <c r="C43" s="887" t="s">
        <v>307</v>
      </c>
      <c r="D43" s="883">
        <v>0</v>
      </c>
      <c r="E43" s="883">
        <v>0</v>
      </c>
      <c r="F43" s="883">
        <v>0</v>
      </c>
      <c r="G43" s="883">
        <v>0</v>
      </c>
      <c r="H43" s="883">
        <v>0</v>
      </c>
      <c r="I43" s="883">
        <v>0</v>
      </c>
      <c r="J43" s="180">
        <f t="shared" si="5"/>
        <v>0</v>
      </c>
      <c r="K43" s="883">
        <f t="shared" si="85"/>
        <v>0</v>
      </c>
      <c r="L43" s="883">
        <f t="shared" si="85"/>
        <v>0</v>
      </c>
      <c r="M43" s="883">
        <f t="shared" si="85"/>
        <v>0</v>
      </c>
      <c r="N43" s="883">
        <f t="shared" si="85"/>
        <v>0</v>
      </c>
      <c r="O43" s="883">
        <f t="shared" si="85"/>
        <v>0</v>
      </c>
      <c r="P43" s="883">
        <f t="shared" si="85"/>
        <v>0</v>
      </c>
      <c r="Q43" s="180">
        <f t="shared" si="7"/>
        <v>0</v>
      </c>
      <c r="R43" s="883">
        <f t="shared" si="13"/>
        <v>0</v>
      </c>
      <c r="S43" s="883">
        <f t="shared" si="13"/>
        <v>0</v>
      </c>
      <c r="T43" s="883">
        <f t="shared" si="13"/>
        <v>0</v>
      </c>
      <c r="U43" s="883">
        <f t="shared" si="13"/>
        <v>0</v>
      </c>
      <c r="V43" s="883">
        <f t="shared" si="13"/>
        <v>0</v>
      </c>
      <c r="W43" s="883">
        <f t="shared" si="13"/>
        <v>0</v>
      </c>
      <c r="X43" s="180">
        <f t="shared" si="9"/>
        <v>0</v>
      </c>
      <c r="Y43" s="883"/>
      <c r="Z43" s="883"/>
      <c r="AA43" s="883"/>
      <c r="AB43" s="883"/>
      <c r="AC43" s="883"/>
      <c r="AD43" s="883"/>
      <c r="AE43" s="180"/>
      <c r="AF43" s="1389"/>
      <c r="AG43" s="972">
        <f>'PDYG-200'!D$37</f>
        <v>0.41660000000000003</v>
      </c>
      <c r="AH43" s="972">
        <f>'PDYG-200'!E$37</f>
        <v>0.24340000000000001</v>
      </c>
      <c r="AI43" s="972">
        <f>'PDYG-200'!F$37</f>
        <v>0.33999999999999997</v>
      </c>
    </row>
    <row r="44" spans="2:35">
      <c r="B44" s="48" t="s">
        <v>274</v>
      </c>
      <c r="C44" s="882" t="s">
        <v>633</v>
      </c>
      <c r="D44" s="881">
        <v>4976960</v>
      </c>
      <c r="E44" s="881">
        <v>4584773</v>
      </c>
      <c r="F44" s="881">
        <v>3946763</v>
      </c>
      <c r="G44" s="881">
        <v>4522002</v>
      </c>
      <c r="H44" s="881">
        <v>4103113</v>
      </c>
      <c r="I44" s="881">
        <v>4240348</v>
      </c>
      <c r="J44" s="180">
        <f t="shared" si="5"/>
        <v>26373959</v>
      </c>
      <c r="K44" s="881">
        <f t="shared" ref="K44:W44" si="86">SUBTOTAL(9,K45:K48)</f>
        <v>2073401.5360000001</v>
      </c>
      <c r="L44" s="881">
        <f t="shared" si="86"/>
        <v>1910016.4318000001</v>
      </c>
      <c r="M44" s="881">
        <f t="shared" si="86"/>
        <v>1644221.4658000001</v>
      </c>
      <c r="N44" s="881">
        <f t="shared" si="86"/>
        <v>1883866.0332000002</v>
      </c>
      <c r="O44" s="881">
        <f t="shared" si="86"/>
        <v>1709356.8758</v>
      </c>
      <c r="P44" s="881">
        <f t="shared" si="86"/>
        <v>1766528.9768000001</v>
      </c>
      <c r="Q44" s="180">
        <f t="shared" si="7"/>
        <v>10987391.319400001</v>
      </c>
      <c r="R44" s="881">
        <f t="shared" si="86"/>
        <v>2903558.4639999997</v>
      </c>
      <c r="S44" s="881">
        <f t="shared" si="86"/>
        <v>2674756.5681999996</v>
      </c>
      <c r="T44" s="881">
        <f t="shared" si="86"/>
        <v>2302541.5341999996</v>
      </c>
      <c r="U44" s="881">
        <f t="shared" si="86"/>
        <v>2638135.9667999996</v>
      </c>
      <c r="V44" s="881">
        <f t="shared" si="86"/>
        <v>2393756.1242</v>
      </c>
      <c r="W44" s="881">
        <f t="shared" si="86"/>
        <v>2473819.0231999997</v>
      </c>
      <c r="X44" s="180">
        <f t="shared" si="9"/>
        <v>15386567.680599999</v>
      </c>
      <c r="Y44" s="881"/>
      <c r="Z44" s="881"/>
      <c r="AA44" s="881"/>
      <c r="AB44" s="881"/>
      <c r="AC44" s="881"/>
      <c r="AD44" s="881"/>
      <c r="AE44" s="180"/>
      <c r="AF44" s="1389"/>
      <c r="AG44" s="972">
        <f>'PDYG-200'!D$37</f>
        <v>0.41660000000000003</v>
      </c>
      <c r="AH44" s="972">
        <f>'PDYG-200'!E$37</f>
        <v>0.24340000000000001</v>
      </c>
      <c r="AI44" s="972">
        <f>'PDYG-200'!F$37</f>
        <v>0.33999999999999997</v>
      </c>
    </row>
    <row r="45" spans="2:35">
      <c r="B45" s="48"/>
      <c r="C45" s="887" t="s">
        <v>304</v>
      </c>
      <c r="D45" s="883">
        <v>4976960</v>
      </c>
      <c r="E45" s="883">
        <v>4584773</v>
      </c>
      <c r="F45" s="883">
        <v>3946763</v>
      </c>
      <c r="G45" s="883">
        <v>4522002</v>
      </c>
      <c r="H45" s="883">
        <v>4103113</v>
      </c>
      <c r="I45" s="883">
        <v>4240348</v>
      </c>
      <c r="J45" s="180">
        <f t="shared" si="5"/>
        <v>26373959</v>
      </c>
      <c r="K45" s="883">
        <f t="shared" ref="K45:P48" si="87">D45*$AG45</f>
        <v>2073401.5360000001</v>
      </c>
      <c r="L45" s="883">
        <f t="shared" si="87"/>
        <v>1910016.4318000001</v>
      </c>
      <c r="M45" s="883">
        <f t="shared" si="87"/>
        <v>1644221.4658000001</v>
      </c>
      <c r="N45" s="883">
        <f t="shared" si="87"/>
        <v>1883866.0332000002</v>
      </c>
      <c r="O45" s="883">
        <f t="shared" si="87"/>
        <v>1709356.8758</v>
      </c>
      <c r="P45" s="883">
        <f t="shared" si="87"/>
        <v>1766528.9768000001</v>
      </c>
      <c r="Q45" s="180">
        <f t="shared" si="7"/>
        <v>10987391.319400001</v>
      </c>
      <c r="R45" s="883">
        <f t="shared" si="13"/>
        <v>2903558.4639999997</v>
      </c>
      <c r="S45" s="883">
        <f t="shared" si="13"/>
        <v>2674756.5681999996</v>
      </c>
      <c r="T45" s="883">
        <f t="shared" si="13"/>
        <v>2302541.5341999996</v>
      </c>
      <c r="U45" s="883">
        <f t="shared" si="13"/>
        <v>2638135.9667999996</v>
      </c>
      <c r="V45" s="883">
        <f t="shared" si="13"/>
        <v>2393756.1242</v>
      </c>
      <c r="W45" s="883">
        <f t="shared" si="13"/>
        <v>2473819.0231999997</v>
      </c>
      <c r="X45" s="180">
        <f t="shared" si="9"/>
        <v>15386567.680599999</v>
      </c>
      <c r="Y45" s="883"/>
      <c r="Z45" s="883"/>
      <c r="AA45" s="883"/>
      <c r="AB45" s="883"/>
      <c r="AC45" s="883"/>
      <c r="AD45" s="883"/>
      <c r="AE45" s="180"/>
      <c r="AF45" s="1389"/>
      <c r="AG45" s="972">
        <f>'PDYG-200'!D$37</f>
        <v>0.41660000000000003</v>
      </c>
      <c r="AH45" s="972">
        <f>'PDYG-200'!E$37</f>
        <v>0.24340000000000001</v>
      </c>
      <c r="AI45" s="972">
        <f>'PDYG-200'!F$37</f>
        <v>0.33999999999999997</v>
      </c>
    </row>
    <row r="46" spans="2:35">
      <c r="B46" s="48"/>
      <c r="C46" s="888" t="s">
        <v>306</v>
      </c>
      <c r="D46" s="883">
        <v>0</v>
      </c>
      <c r="E46" s="883">
        <v>0</v>
      </c>
      <c r="F46" s="883">
        <v>0</v>
      </c>
      <c r="G46" s="883">
        <v>0</v>
      </c>
      <c r="H46" s="883">
        <v>0</v>
      </c>
      <c r="I46" s="883">
        <v>0</v>
      </c>
      <c r="J46" s="180">
        <f t="shared" si="5"/>
        <v>0</v>
      </c>
      <c r="K46" s="883">
        <f t="shared" si="87"/>
        <v>0</v>
      </c>
      <c r="L46" s="883">
        <f t="shared" si="87"/>
        <v>0</v>
      </c>
      <c r="M46" s="883">
        <f t="shared" si="87"/>
        <v>0</v>
      </c>
      <c r="N46" s="883">
        <f t="shared" si="87"/>
        <v>0</v>
      </c>
      <c r="O46" s="883">
        <f t="shared" si="87"/>
        <v>0</v>
      </c>
      <c r="P46" s="883">
        <f t="shared" si="87"/>
        <v>0</v>
      </c>
      <c r="Q46" s="180">
        <f t="shared" si="7"/>
        <v>0</v>
      </c>
      <c r="R46" s="883">
        <f t="shared" si="13"/>
        <v>0</v>
      </c>
      <c r="S46" s="883">
        <f t="shared" si="13"/>
        <v>0</v>
      </c>
      <c r="T46" s="883">
        <f t="shared" si="13"/>
        <v>0</v>
      </c>
      <c r="U46" s="883">
        <f t="shared" si="13"/>
        <v>0</v>
      </c>
      <c r="V46" s="883">
        <f t="shared" si="13"/>
        <v>0</v>
      </c>
      <c r="W46" s="883">
        <f t="shared" si="13"/>
        <v>0</v>
      </c>
      <c r="X46" s="180">
        <f t="shared" si="9"/>
        <v>0</v>
      </c>
      <c r="Y46" s="883"/>
      <c r="Z46" s="883"/>
      <c r="AA46" s="883"/>
      <c r="AB46" s="883"/>
      <c r="AC46" s="883"/>
      <c r="AD46" s="883"/>
      <c r="AE46" s="180"/>
      <c r="AF46" s="1389"/>
      <c r="AG46" s="972">
        <f>'PDYG-200'!D$37</f>
        <v>0.41660000000000003</v>
      </c>
      <c r="AH46" s="972">
        <f>'PDYG-200'!E$37</f>
        <v>0.24340000000000001</v>
      </c>
      <c r="AI46" s="972">
        <f>'PDYG-200'!F$37</f>
        <v>0.33999999999999997</v>
      </c>
    </row>
    <row r="47" spans="2:35">
      <c r="B47" s="48"/>
      <c r="C47" s="887" t="s">
        <v>305</v>
      </c>
      <c r="D47" s="883">
        <v>0</v>
      </c>
      <c r="E47" s="883">
        <v>0</v>
      </c>
      <c r="F47" s="883">
        <v>0</v>
      </c>
      <c r="G47" s="883">
        <v>0</v>
      </c>
      <c r="H47" s="883">
        <v>0</v>
      </c>
      <c r="I47" s="883">
        <v>0</v>
      </c>
      <c r="J47" s="180">
        <f t="shared" si="5"/>
        <v>0</v>
      </c>
      <c r="K47" s="883">
        <f t="shared" si="87"/>
        <v>0</v>
      </c>
      <c r="L47" s="883">
        <f t="shared" si="87"/>
        <v>0</v>
      </c>
      <c r="M47" s="883">
        <f t="shared" si="87"/>
        <v>0</v>
      </c>
      <c r="N47" s="883">
        <f t="shared" si="87"/>
        <v>0</v>
      </c>
      <c r="O47" s="883">
        <f t="shared" si="87"/>
        <v>0</v>
      </c>
      <c r="P47" s="883">
        <f t="shared" si="87"/>
        <v>0</v>
      </c>
      <c r="Q47" s="180">
        <f t="shared" si="7"/>
        <v>0</v>
      </c>
      <c r="R47" s="883">
        <f t="shared" si="13"/>
        <v>0</v>
      </c>
      <c r="S47" s="883">
        <f t="shared" si="13"/>
        <v>0</v>
      </c>
      <c r="T47" s="883">
        <f t="shared" si="13"/>
        <v>0</v>
      </c>
      <c r="U47" s="883">
        <f t="shared" si="13"/>
        <v>0</v>
      </c>
      <c r="V47" s="883">
        <f t="shared" si="13"/>
        <v>0</v>
      </c>
      <c r="W47" s="883">
        <f t="shared" si="13"/>
        <v>0</v>
      </c>
      <c r="X47" s="180">
        <f t="shared" si="9"/>
        <v>0</v>
      </c>
      <c r="Y47" s="883"/>
      <c r="Z47" s="883"/>
      <c r="AA47" s="883"/>
      <c r="AB47" s="883"/>
      <c r="AC47" s="883"/>
      <c r="AD47" s="883"/>
      <c r="AE47" s="180"/>
      <c r="AF47" s="1389"/>
      <c r="AG47" s="972">
        <f>'PDYG-200'!D$37</f>
        <v>0.41660000000000003</v>
      </c>
      <c r="AH47" s="972">
        <f>'PDYG-200'!E$37</f>
        <v>0.24340000000000001</v>
      </c>
      <c r="AI47" s="972">
        <f>'PDYG-200'!F$37</f>
        <v>0.33999999999999997</v>
      </c>
    </row>
    <row r="48" spans="2:35">
      <c r="B48" s="48"/>
      <c r="C48" s="887" t="s">
        <v>307</v>
      </c>
      <c r="D48" s="883">
        <v>0</v>
      </c>
      <c r="E48" s="883">
        <v>0</v>
      </c>
      <c r="F48" s="883">
        <v>0</v>
      </c>
      <c r="G48" s="883">
        <v>0</v>
      </c>
      <c r="H48" s="883">
        <v>0</v>
      </c>
      <c r="I48" s="883">
        <v>0</v>
      </c>
      <c r="J48" s="180">
        <f t="shared" si="5"/>
        <v>0</v>
      </c>
      <c r="K48" s="883">
        <f t="shared" si="87"/>
        <v>0</v>
      </c>
      <c r="L48" s="883">
        <f t="shared" si="87"/>
        <v>0</v>
      </c>
      <c r="M48" s="883">
        <f t="shared" si="87"/>
        <v>0</v>
      </c>
      <c r="N48" s="883">
        <f t="shared" si="87"/>
        <v>0</v>
      </c>
      <c r="O48" s="883">
        <f t="shared" si="87"/>
        <v>0</v>
      </c>
      <c r="P48" s="883">
        <f t="shared" si="87"/>
        <v>0</v>
      </c>
      <c r="Q48" s="180">
        <f t="shared" si="7"/>
        <v>0</v>
      </c>
      <c r="R48" s="883">
        <f t="shared" si="13"/>
        <v>0</v>
      </c>
      <c r="S48" s="883">
        <f t="shared" si="13"/>
        <v>0</v>
      </c>
      <c r="T48" s="883">
        <f t="shared" si="13"/>
        <v>0</v>
      </c>
      <c r="U48" s="883">
        <f t="shared" si="13"/>
        <v>0</v>
      </c>
      <c r="V48" s="883">
        <f t="shared" si="13"/>
        <v>0</v>
      </c>
      <c r="W48" s="883">
        <f t="shared" si="13"/>
        <v>0</v>
      </c>
      <c r="X48" s="180">
        <f t="shared" si="9"/>
        <v>0</v>
      </c>
      <c r="Y48" s="883"/>
      <c r="Z48" s="883"/>
      <c r="AA48" s="883"/>
      <c r="AB48" s="883"/>
      <c r="AC48" s="883"/>
      <c r="AD48" s="883"/>
      <c r="AE48" s="180"/>
      <c r="AF48" s="1389"/>
      <c r="AG48" s="972">
        <f>'PDYG-200'!D$37</f>
        <v>0.41660000000000003</v>
      </c>
      <c r="AH48" s="972">
        <f>'PDYG-200'!E$37</f>
        <v>0.24340000000000001</v>
      </c>
      <c r="AI48" s="972">
        <f>'PDYG-200'!F$37</f>
        <v>0.33999999999999997</v>
      </c>
    </row>
    <row r="49" spans="2:35">
      <c r="B49" s="48"/>
      <c r="C49" s="884"/>
      <c r="D49" s="883"/>
      <c r="E49" s="883"/>
      <c r="F49" s="883"/>
      <c r="G49" s="883"/>
      <c r="H49" s="883"/>
      <c r="I49" s="883"/>
      <c r="J49" s="180">
        <f t="shared" si="5"/>
        <v>0</v>
      </c>
      <c r="K49" s="883"/>
      <c r="L49" s="883"/>
      <c r="M49" s="883"/>
      <c r="N49" s="883"/>
      <c r="O49" s="883"/>
      <c r="P49" s="883"/>
      <c r="Q49" s="180">
        <f t="shared" si="7"/>
        <v>0</v>
      </c>
      <c r="R49" s="883">
        <f t="shared" si="13"/>
        <v>0</v>
      </c>
      <c r="S49" s="883">
        <f t="shared" si="13"/>
        <v>0</v>
      </c>
      <c r="T49" s="883">
        <f t="shared" si="13"/>
        <v>0</v>
      </c>
      <c r="U49" s="883">
        <f t="shared" si="13"/>
        <v>0</v>
      </c>
      <c r="V49" s="883">
        <f t="shared" si="13"/>
        <v>0</v>
      </c>
      <c r="W49" s="883">
        <f t="shared" si="13"/>
        <v>0</v>
      </c>
      <c r="X49" s="180">
        <f t="shared" si="9"/>
        <v>0</v>
      </c>
      <c r="Y49" s="883"/>
      <c r="Z49" s="883"/>
      <c r="AA49" s="883"/>
      <c r="AB49" s="883"/>
      <c r="AC49" s="883"/>
      <c r="AD49" s="883"/>
      <c r="AE49" s="180"/>
      <c r="AF49" s="1389"/>
      <c r="AG49" s="972"/>
      <c r="AH49" s="972"/>
      <c r="AI49" s="972"/>
    </row>
    <row r="50" spans="2:35">
      <c r="B50" s="48" t="s">
        <v>1176</v>
      </c>
      <c r="C50" s="882" t="s">
        <v>1176</v>
      </c>
      <c r="D50" s="881">
        <v>0</v>
      </c>
      <c r="E50" s="881">
        <v>0</v>
      </c>
      <c r="F50" s="881">
        <v>0</v>
      </c>
      <c r="G50" s="881">
        <v>0</v>
      </c>
      <c r="H50" s="881">
        <v>0</v>
      </c>
      <c r="I50" s="881">
        <v>0</v>
      </c>
      <c r="J50" s="180">
        <f t="shared" si="5"/>
        <v>0</v>
      </c>
      <c r="K50" s="881">
        <f t="shared" ref="K50:P50" si="88">SUBTOTAL(9,K51:K56)</f>
        <v>0</v>
      </c>
      <c r="L50" s="881">
        <f t="shared" si="88"/>
        <v>0</v>
      </c>
      <c r="M50" s="881">
        <f t="shared" si="88"/>
        <v>0</v>
      </c>
      <c r="N50" s="881">
        <f t="shared" si="88"/>
        <v>0</v>
      </c>
      <c r="O50" s="881">
        <f t="shared" si="88"/>
        <v>0</v>
      </c>
      <c r="P50" s="881">
        <f t="shared" si="88"/>
        <v>0</v>
      </c>
      <c r="Q50" s="180">
        <f t="shared" si="7"/>
        <v>0</v>
      </c>
      <c r="R50" s="881">
        <f t="shared" ref="R50:W50" si="89">SUBTOTAL(9,R51:R52)</f>
        <v>0</v>
      </c>
      <c r="S50" s="881">
        <f t="shared" si="89"/>
        <v>0</v>
      </c>
      <c r="T50" s="881">
        <f t="shared" si="89"/>
        <v>0</v>
      </c>
      <c r="U50" s="881">
        <f t="shared" si="89"/>
        <v>0</v>
      </c>
      <c r="V50" s="881">
        <f t="shared" si="89"/>
        <v>0</v>
      </c>
      <c r="W50" s="881">
        <f t="shared" si="89"/>
        <v>0</v>
      </c>
      <c r="X50" s="180">
        <f>SUM(R50:W50)</f>
        <v>0</v>
      </c>
      <c r="Y50" s="881">
        <f t="shared" ref="Y50:AD50" si="90">SUBTOTAL(9,Y51:Y52)</f>
        <v>0</v>
      </c>
      <c r="Z50" s="881">
        <f t="shared" si="90"/>
        <v>0</v>
      </c>
      <c r="AA50" s="881">
        <f t="shared" si="90"/>
        <v>0</v>
      </c>
      <c r="AB50" s="881">
        <f t="shared" si="90"/>
        <v>0</v>
      </c>
      <c r="AC50" s="881">
        <f t="shared" si="90"/>
        <v>0</v>
      </c>
      <c r="AD50" s="881">
        <f t="shared" si="90"/>
        <v>0</v>
      </c>
      <c r="AE50" s="180">
        <f>SUM(Y50:AD50)</f>
        <v>0</v>
      </c>
      <c r="AF50" s="1389"/>
      <c r="AG50" s="972">
        <f>'PDYG-200'!D$38</f>
        <v>0.2417</v>
      </c>
      <c r="AH50" s="972">
        <f>'PDYG-200'!E$38</f>
        <v>0.30353035303530351</v>
      </c>
      <c r="AI50" s="972">
        <f>'PDYG-200'!F$38</f>
        <v>0.45476964696469646</v>
      </c>
    </row>
    <row r="51" spans="2:35">
      <c r="B51" s="48"/>
      <c r="C51" s="887" t="s">
        <v>304</v>
      </c>
      <c r="D51" s="883">
        <v>0</v>
      </c>
      <c r="E51" s="883">
        <v>0</v>
      </c>
      <c r="F51" s="883">
        <v>0</v>
      </c>
      <c r="G51" s="883">
        <v>0</v>
      </c>
      <c r="H51" s="883">
        <v>0</v>
      </c>
      <c r="I51" s="883">
        <v>0</v>
      </c>
      <c r="J51" s="180">
        <f t="shared" si="5"/>
        <v>0</v>
      </c>
      <c r="K51" s="883">
        <v>0</v>
      </c>
      <c r="L51" s="883">
        <v>0</v>
      </c>
      <c r="M51" s="883">
        <v>0</v>
      </c>
      <c r="N51" s="883">
        <v>0</v>
      </c>
      <c r="O51" s="883">
        <v>0</v>
      </c>
      <c r="P51" s="883">
        <v>0</v>
      </c>
      <c r="Q51" s="180">
        <f t="shared" si="7"/>
        <v>0</v>
      </c>
      <c r="R51" s="974">
        <f>D51*$AH51</f>
        <v>0</v>
      </c>
      <c r="S51" s="974">
        <f t="shared" ref="S51" si="91">E51*$AH51</f>
        <v>0</v>
      </c>
      <c r="T51" s="974">
        <f t="shared" ref="T51" si="92">F51*$AH51</f>
        <v>0</v>
      </c>
      <c r="U51" s="974">
        <f t="shared" ref="U51" si="93">G51*$AH51</f>
        <v>0</v>
      </c>
      <c r="V51" s="974">
        <f t="shared" ref="V51" si="94">H51*$AH51</f>
        <v>0</v>
      </c>
      <c r="W51" s="974">
        <f t="shared" ref="W51" si="95">I51*$AH51</f>
        <v>0</v>
      </c>
      <c r="X51" s="180">
        <f t="shared" ref="X51" si="96">SUM(R51:W51)</f>
        <v>0</v>
      </c>
      <c r="Y51" s="974">
        <f>D51-K51-R51</f>
        <v>0</v>
      </c>
      <c r="Z51" s="974">
        <f t="shared" ref="Z51" si="97">E51-L51-S51</f>
        <v>0</v>
      </c>
      <c r="AA51" s="974">
        <f t="shared" ref="AA51" si="98">F51-M51-T51</f>
        <v>0</v>
      </c>
      <c r="AB51" s="974">
        <f t="shared" ref="AB51" si="99">G51-N51-U51</f>
        <v>0</v>
      </c>
      <c r="AC51" s="974">
        <f t="shared" ref="AC51" si="100">H51-O51-V51</f>
        <v>0</v>
      </c>
      <c r="AD51" s="974">
        <f t="shared" ref="AD51" si="101">I51-P51-W51</f>
        <v>0</v>
      </c>
      <c r="AE51" s="180">
        <f t="shared" ref="AE51" si="102">SUM(Y51:AD51)</f>
        <v>0</v>
      </c>
      <c r="AF51" s="1389"/>
      <c r="AG51" s="972">
        <f>'PDYG-200'!D$38</f>
        <v>0.2417</v>
      </c>
      <c r="AH51" s="972">
        <f>'PDYG-200'!E$38</f>
        <v>0.30353035303530351</v>
      </c>
      <c r="AI51" s="972">
        <f>'PDYG-200'!F$38</f>
        <v>0.45476964696469646</v>
      </c>
    </row>
    <row r="52" spans="2:35">
      <c r="B52" s="48"/>
      <c r="C52" s="889" t="s">
        <v>642</v>
      </c>
      <c r="D52" s="883"/>
      <c r="E52" s="883"/>
      <c r="F52" s="883"/>
      <c r="G52" s="883"/>
      <c r="H52" s="883"/>
      <c r="I52" s="883"/>
      <c r="J52" s="180">
        <f t="shared" si="5"/>
        <v>0</v>
      </c>
      <c r="K52" s="883">
        <v>0</v>
      </c>
      <c r="L52" s="883">
        <v>0</v>
      </c>
      <c r="M52" s="883">
        <v>0</v>
      </c>
      <c r="N52" s="883">
        <v>0</v>
      </c>
      <c r="O52" s="883">
        <v>0</v>
      </c>
      <c r="P52" s="883">
        <v>0</v>
      </c>
      <c r="Q52" s="180">
        <f t="shared" si="7"/>
        <v>0</v>
      </c>
      <c r="R52" s="974">
        <f t="shared" ref="R52:R56" si="103">D52*$AH52</f>
        <v>0</v>
      </c>
      <c r="S52" s="974">
        <f t="shared" ref="S52:S56" si="104">E52*$AH52</f>
        <v>0</v>
      </c>
      <c r="T52" s="974">
        <f t="shared" ref="T52:T56" si="105">F52*$AH52</f>
        <v>0</v>
      </c>
      <c r="U52" s="974">
        <f t="shared" ref="U52:U56" si="106">G52*$AH52</f>
        <v>0</v>
      </c>
      <c r="V52" s="974">
        <f t="shared" ref="V52:V56" si="107">H52*$AH52</f>
        <v>0</v>
      </c>
      <c r="W52" s="974">
        <f t="shared" ref="W52:W56" si="108">I52*$AH52</f>
        <v>0</v>
      </c>
      <c r="X52" s="180">
        <f t="shared" ref="X52:X56" si="109">SUM(R52:W52)</f>
        <v>0</v>
      </c>
      <c r="Y52" s="974">
        <f t="shared" ref="Y52:Y56" si="110">D52-K52-R52</f>
        <v>0</v>
      </c>
      <c r="Z52" s="974">
        <f t="shared" ref="Z52:Z56" si="111">E52-L52-S52</f>
        <v>0</v>
      </c>
      <c r="AA52" s="974">
        <f t="shared" ref="AA52:AA56" si="112">F52-M52-T52</f>
        <v>0</v>
      </c>
      <c r="AB52" s="974">
        <f t="shared" ref="AB52:AB56" si="113">G52-N52-U52</f>
        <v>0</v>
      </c>
      <c r="AC52" s="974">
        <f t="shared" ref="AC52:AC56" si="114">H52-O52-V52</f>
        <v>0</v>
      </c>
      <c r="AD52" s="974">
        <f t="shared" ref="AD52:AD56" si="115">I52-P52-W52</f>
        <v>0</v>
      </c>
      <c r="AE52" s="180">
        <f t="shared" ref="AE52:AE56" si="116">SUM(Y52:AD52)</f>
        <v>0</v>
      </c>
      <c r="AF52" s="1389"/>
      <c r="AG52" s="972">
        <f>'PDYG-200'!D$38</f>
        <v>0.2417</v>
      </c>
      <c r="AH52" s="972">
        <f>'PDYG-200'!E$38</f>
        <v>0.30353035303530351</v>
      </c>
      <c r="AI52" s="972">
        <f>'PDYG-200'!F$38</f>
        <v>0.45476964696469646</v>
      </c>
    </row>
    <row r="53" spans="2:35">
      <c r="B53" s="48"/>
      <c r="C53" s="889" t="s">
        <v>1177</v>
      </c>
      <c r="D53" s="883">
        <v>0</v>
      </c>
      <c r="E53" s="883">
        <v>0</v>
      </c>
      <c r="F53" s="883">
        <v>0</v>
      </c>
      <c r="G53" s="883">
        <v>0</v>
      </c>
      <c r="H53" s="883">
        <v>0</v>
      </c>
      <c r="I53" s="883">
        <v>0</v>
      </c>
      <c r="J53" s="180">
        <f t="shared" si="5"/>
        <v>0</v>
      </c>
      <c r="K53" s="883">
        <v>0</v>
      </c>
      <c r="L53" s="883">
        <v>0</v>
      </c>
      <c r="M53" s="883">
        <v>0</v>
      </c>
      <c r="N53" s="883">
        <v>0</v>
      </c>
      <c r="O53" s="883">
        <v>0</v>
      </c>
      <c r="P53" s="883">
        <v>0</v>
      </c>
      <c r="Q53" s="180">
        <f t="shared" si="7"/>
        <v>0</v>
      </c>
      <c r="R53" s="974">
        <f t="shared" si="103"/>
        <v>0</v>
      </c>
      <c r="S53" s="974">
        <f t="shared" si="104"/>
        <v>0</v>
      </c>
      <c r="T53" s="974">
        <f t="shared" si="105"/>
        <v>0</v>
      </c>
      <c r="U53" s="974">
        <f t="shared" si="106"/>
        <v>0</v>
      </c>
      <c r="V53" s="974">
        <f t="shared" si="107"/>
        <v>0</v>
      </c>
      <c r="W53" s="974">
        <f t="shared" si="108"/>
        <v>0</v>
      </c>
      <c r="X53" s="180">
        <f t="shared" si="109"/>
        <v>0</v>
      </c>
      <c r="Y53" s="974">
        <f t="shared" si="110"/>
        <v>0</v>
      </c>
      <c r="Z53" s="974">
        <f t="shared" si="111"/>
        <v>0</v>
      </c>
      <c r="AA53" s="974">
        <f t="shared" si="112"/>
        <v>0</v>
      </c>
      <c r="AB53" s="974">
        <f t="shared" si="113"/>
        <v>0</v>
      </c>
      <c r="AC53" s="974">
        <f t="shared" si="114"/>
        <v>0</v>
      </c>
      <c r="AD53" s="974">
        <f t="shared" si="115"/>
        <v>0</v>
      </c>
      <c r="AE53" s="180">
        <f t="shared" si="116"/>
        <v>0</v>
      </c>
      <c r="AF53" s="1389"/>
      <c r="AG53" s="972">
        <f>'PDYG-200'!D$38</f>
        <v>0.2417</v>
      </c>
      <c r="AH53" s="972">
        <f>'PDYG-200'!E$38</f>
        <v>0.30353035303530351</v>
      </c>
      <c r="AI53" s="972">
        <f>'PDYG-200'!F$38</f>
        <v>0.45476964696469646</v>
      </c>
    </row>
    <row r="54" spans="2:35">
      <c r="B54" s="48"/>
      <c r="C54" s="887" t="s">
        <v>305</v>
      </c>
      <c r="D54" s="883"/>
      <c r="E54" s="883"/>
      <c r="F54" s="883"/>
      <c r="G54" s="883"/>
      <c r="H54" s="883"/>
      <c r="I54" s="883"/>
      <c r="J54" s="180">
        <f t="shared" si="5"/>
        <v>0</v>
      </c>
      <c r="K54" s="883">
        <v>0</v>
      </c>
      <c r="L54" s="883">
        <v>0</v>
      </c>
      <c r="M54" s="883">
        <v>0</v>
      </c>
      <c r="N54" s="883">
        <v>0</v>
      </c>
      <c r="O54" s="883">
        <v>0</v>
      </c>
      <c r="P54" s="883">
        <v>0</v>
      </c>
      <c r="Q54" s="180">
        <f t="shared" si="7"/>
        <v>0</v>
      </c>
      <c r="R54" s="974">
        <f t="shared" si="103"/>
        <v>0</v>
      </c>
      <c r="S54" s="974">
        <f t="shared" si="104"/>
        <v>0</v>
      </c>
      <c r="T54" s="974">
        <f t="shared" si="105"/>
        <v>0</v>
      </c>
      <c r="U54" s="974">
        <f t="shared" si="106"/>
        <v>0</v>
      </c>
      <c r="V54" s="974">
        <f t="shared" si="107"/>
        <v>0</v>
      </c>
      <c r="W54" s="974">
        <f t="shared" si="108"/>
        <v>0</v>
      </c>
      <c r="X54" s="180">
        <f t="shared" si="109"/>
        <v>0</v>
      </c>
      <c r="Y54" s="974">
        <f t="shared" si="110"/>
        <v>0</v>
      </c>
      <c r="Z54" s="974">
        <f t="shared" si="111"/>
        <v>0</v>
      </c>
      <c r="AA54" s="974">
        <f t="shared" si="112"/>
        <v>0</v>
      </c>
      <c r="AB54" s="974">
        <f t="shared" si="113"/>
        <v>0</v>
      </c>
      <c r="AC54" s="974">
        <f t="shared" si="114"/>
        <v>0</v>
      </c>
      <c r="AD54" s="974">
        <f t="shared" si="115"/>
        <v>0</v>
      </c>
      <c r="AE54" s="180">
        <f t="shared" si="116"/>
        <v>0</v>
      </c>
      <c r="AF54" s="1389"/>
      <c r="AG54" s="972">
        <f>'PDYG-200'!D$38</f>
        <v>0.2417</v>
      </c>
      <c r="AH54" s="972">
        <f>'PDYG-200'!E$38</f>
        <v>0.30353035303530351</v>
      </c>
      <c r="AI54" s="972">
        <f>'PDYG-200'!F$38</f>
        <v>0.45476964696469646</v>
      </c>
    </row>
    <row r="55" spans="2:35">
      <c r="B55" s="48"/>
      <c r="C55" s="887" t="s">
        <v>307</v>
      </c>
      <c r="D55" s="883"/>
      <c r="E55" s="883"/>
      <c r="F55" s="883"/>
      <c r="G55" s="883"/>
      <c r="H55" s="883"/>
      <c r="I55" s="883"/>
      <c r="J55" s="180">
        <f t="shared" si="5"/>
        <v>0</v>
      </c>
      <c r="K55" s="883">
        <v>0</v>
      </c>
      <c r="L55" s="883">
        <v>0</v>
      </c>
      <c r="M55" s="883">
        <v>0</v>
      </c>
      <c r="N55" s="883">
        <v>0</v>
      </c>
      <c r="O55" s="883">
        <v>0</v>
      </c>
      <c r="P55" s="883">
        <v>0</v>
      </c>
      <c r="Q55" s="180">
        <f t="shared" si="7"/>
        <v>0</v>
      </c>
      <c r="R55" s="974">
        <f t="shared" si="103"/>
        <v>0</v>
      </c>
      <c r="S55" s="974">
        <f t="shared" si="104"/>
        <v>0</v>
      </c>
      <c r="T55" s="974">
        <f t="shared" si="105"/>
        <v>0</v>
      </c>
      <c r="U55" s="974">
        <f t="shared" si="106"/>
        <v>0</v>
      </c>
      <c r="V55" s="974">
        <f t="shared" si="107"/>
        <v>0</v>
      </c>
      <c r="W55" s="974">
        <f t="shared" si="108"/>
        <v>0</v>
      </c>
      <c r="X55" s="180">
        <f t="shared" si="109"/>
        <v>0</v>
      </c>
      <c r="Y55" s="974">
        <f t="shared" si="110"/>
        <v>0</v>
      </c>
      <c r="Z55" s="974">
        <f t="shared" si="111"/>
        <v>0</v>
      </c>
      <c r="AA55" s="974">
        <f t="shared" si="112"/>
        <v>0</v>
      </c>
      <c r="AB55" s="974">
        <f t="shared" si="113"/>
        <v>0</v>
      </c>
      <c r="AC55" s="974">
        <f t="shared" si="114"/>
        <v>0</v>
      </c>
      <c r="AD55" s="974">
        <f t="shared" si="115"/>
        <v>0</v>
      </c>
      <c r="AE55" s="180">
        <f t="shared" si="116"/>
        <v>0</v>
      </c>
      <c r="AF55" s="1389"/>
      <c r="AG55" s="972">
        <f>'PDYG-200'!D$38</f>
        <v>0.2417</v>
      </c>
      <c r="AH55" s="972">
        <f>'PDYG-200'!E$38</f>
        <v>0.30353035303530351</v>
      </c>
      <c r="AI55" s="972">
        <f>'PDYG-200'!F$38</f>
        <v>0.45476964696469646</v>
      </c>
    </row>
    <row r="56" spans="2:35">
      <c r="B56" s="48"/>
      <c r="C56" s="887" t="s">
        <v>624</v>
      </c>
      <c r="D56" s="883"/>
      <c r="E56" s="883"/>
      <c r="F56" s="883"/>
      <c r="G56" s="883"/>
      <c r="H56" s="883"/>
      <c r="I56" s="883"/>
      <c r="J56" s="180">
        <f t="shared" si="5"/>
        <v>0</v>
      </c>
      <c r="K56" s="883">
        <v>0</v>
      </c>
      <c r="L56" s="883">
        <v>0</v>
      </c>
      <c r="M56" s="883">
        <v>0</v>
      </c>
      <c r="N56" s="883">
        <v>0</v>
      </c>
      <c r="O56" s="883">
        <v>0</v>
      </c>
      <c r="P56" s="883">
        <v>0</v>
      </c>
      <c r="Q56" s="180">
        <f t="shared" si="7"/>
        <v>0</v>
      </c>
      <c r="R56" s="974">
        <f t="shared" si="103"/>
        <v>0</v>
      </c>
      <c r="S56" s="974">
        <f t="shared" si="104"/>
        <v>0</v>
      </c>
      <c r="T56" s="974">
        <f t="shared" si="105"/>
        <v>0</v>
      </c>
      <c r="U56" s="974">
        <f t="shared" si="106"/>
        <v>0</v>
      </c>
      <c r="V56" s="974">
        <f t="shared" si="107"/>
        <v>0</v>
      </c>
      <c r="W56" s="974">
        <f t="shared" si="108"/>
        <v>0</v>
      </c>
      <c r="X56" s="180">
        <f t="shared" si="109"/>
        <v>0</v>
      </c>
      <c r="Y56" s="974">
        <f t="shared" si="110"/>
        <v>0</v>
      </c>
      <c r="Z56" s="974">
        <f t="shared" si="111"/>
        <v>0</v>
      </c>
      <c r="AA56" s="974">
        <f t="shared" si="112"/>
        <v>0</v>
      </c>
      <c r="AB56" s="974">
        <f t="shared" si="113"/>
        <v>0</v>
      </c>
      <c r="AC56" s="974">
        <f t="shared" si="114"/>
        <v>0</v>
      </c>
      <c r="AD56" s="974">
        <f t="shared" si="115"/>
        <v>0</v>
      </c>
      <c r="AE56" s="180">
        <f t="shared" si="116"/>
        <v>0</v>
      </c>
      <c r="AF56" s="1389"/>
      <c r="AG56" s="972">
        <f>'PDYG-200'!D$38</f>
        <v>0.2417</v>
      </c>
      <c r="AH56" s="972">
        <f>'PDYG-200'!E$38</f>
        <v>0.30353035303530351</v>
      </c>
      <c r="AI56" s="972">
        <f>'PDYG-200'!F$38</f>
        <v>0.45476964696469646</v>
      </c>
    </row>
    <row r="57" spans="2:35">
      <c r="B57" s="48"/>
      <c r="C57" s="887"/>
      <c r="D57" s="883"/>
      <c r="E57" s="883"/>
      <c r="F57" s="883"/>
      <c r="G57" s="883"/>
      <c r="H57" s="883"/>
      <c r="I57" s="883"/>
      <c r="J57" s="180">
        <f t="shared" si="5"/>
        <v>0</v>
      </c>
      <c r="K57" s="883"/>
      <c r="L57" s="883"/>
      <c r="M57" s="883"/>
      <c r="N57" s="883"/>
      <c r="O57" s="883"/>
      <c r="P57" s="883"/>
      <c r="Q57" s="180">
        <f t="shared" si="7"/>
        <v>0</v>
      </c>
      <c r="R57" s="883"/>
      <c r="S57" s="883"/>
      <c r="T57" s="883"/>
      <c r="U57" s="883"/>
      <c r="V57" s="883"/>
      <c r="W57" s="883"/>
      <c r="X57" s="180">
        <f t="shared" si="9"/>
        <v>0</v>
      </c>
      <c r="Y57" s="883"/>
      <c r="Z57" s="883"/>
      <c r="AA57" s="883"/>
      <c r="AB57" s="883"/>
      <c r="AC57" s="883"/>
      <c r="AD57" s="883"/>
      <c r="AE57" s="180"/>
      <c r="AF57" s="1389"/>
      <c r="AG57" s="972"/>
      <c r="AH57" s="972"/>
      <c r="AI57" s="972"/>
    </row>
    <row r="58" spans="2:35">
      <c r="B58" s="48"/>
      <c r="C58" s="882" t="s">
        <v>755</v>
      </c>
      <c r="D58" s="881">
        <v>165371523</v>
      </c>
      <c r="E58" s="881">
        <v>165142035</v>
      </c>
      <c r="F58" s="881">
        <v>163605881</v>
      </c>
      <c r="G58" s="881">
        <v>163805375</v>
      </c>
      <c r="H58" s="881">
        <v>158013181</v>
      </c>
      <c r="I58" s="881">
        <v>159426220</v>
      </c>
      <c r="J58" s="180">
        <f t="shared" si="5"/>
        <v>975364215</v>
      </c>
      <c r="K58" s="881">
        <f t="shared" ref="K58:W58" si="117">SUBTOTAL(9,K59:K105)</f>
        <v>39970297.109100007</v>
      </c>
      <c r="L58" s="881">
        <f t="shared" si="117"/>
        <v>39914829.859500013</v>
      </c>
      <c r="M58" s="881">
        <f t="shared" si="117"/>
        <v>39543541.437700011</v>
      </c>
      <c r="N58" s="881">
        <f t="shared" si="117"/>
        <v>39591759.137499996</v>
      </c>
      <c r="O58" s="881">
        <f t="shared" si="117"/>
        <v>38191785.8477</v>
      </c>
      <c r="P58" s="881">
        <f t="shared" si="117"/>
        <v>38533317.374000005</v>
      </c>
      <c r="Q58" s="180">
        <f t="shared" si="7"/>
        <v>235745530.76550004</v>
      </c>
      <c r="R58" s="881">
        <f t="shared" si="117"/>
        <v>125401225.89089999</v>
      </c>
      <c r="S58" s="881">
        <f t="shared" si="117"/>
        <v>125227205.14049998</v>
      </c>
      <c r="T58" s="881">
        <f t="shared" si="117"/>
        <v>124062339.5623</v>
      </c>
      <c r="U58" s="881">
        <f t="shared" si="117"/>
        <v>124213615.86249997</v>
      </c>
      <c r="V58" s="881">
        <f t="shared" si="117"/>
        <v>119821395.15230002</v>
      </c>
      <c r="W58" s="881">
        <f t="shared" si="117"/>
        <v>120892902.62600002</v>
      </c>
      <c r="X58" s="180">
        <f t="shared" si="9"/>
        <v>739618684.23449993</v>
      </c>
      <c r="Y58" s="881"/>
      <c r="Z58" s="881"/>
      <c r="AA58" s="881"/>
      <c r="AB58" s="881"/>
      <c r="AC58" s="881"/>
      <c r="AD58" s="881"/>
      <c r="AE58" s="180"/>
      <c r="AF58" s="1389"/>
      <c r="AG58" s="972"/>
      <c r="AH58" s="972"/>
      <c r="AI58" s="972"/>
    </row>
    <row r="59" spans="2:35" s="1409" customFormat="1">
      <c r="B59" s="1404" t="s">
        <v>751</v>
      </c>
      <c r="C59" s="1405" t="s">
        <v>2186</v>
      </c>
      <c r="D59" s="1406">
        <v>4223664</v>
      </c>
      <c r="E59" s="1406">
        <v>4219992</v>
      </c>
      <c r="F59" s="1406">
        <v>4221318</v>
      </c>
      <c r="G59" s="1406">
        <v>4217384</v>
      </c>
      <c r="H59" s="1406">
        <v>4219958</v>
      </c>
      <c r="I59" s="1406">
        <v>4218936</v>
      </c>
      <c r="J59" s="1407">
        <f t="shared" si="5"/>
        <v>25321252</v>
      </c>
      <c r="K59" s="1406">
        <f t="shared" ref="K59:W59" si="118">SUBTOTAL(9,K60:K64)</f>
        <v>1020859.5888</v>
      </c>
      <c r="L59" s="1406">
        <f t="shared" si="118"/>
        <v>1019972.0664</v>
      </c>
      <c r="M59" s="1406">
        <f t="shared" si="118"/>
        <v>1020292.5606000001</v>
      </c>
      <c r="N59" s="1406">
        <f t="shared" si="118"/>
        <v>1019341.7128000001</v>
      </c>
      <c r="O59" s="1406">
        <f t="shared" si="118"/>
        <v>1019963.8486</v>
      </c>
      <c r="P59" s="1406">
        <f t="shared" si="118"/>
        <v>1019716.8312000001</v>
      </c>
      <c r="Q59" s="1407">
        <f t="shared" si="7"/>
        <v>6120146.6084000003</v>
      </c>
      <c r="R59" s="1406">
        <f t="shared" si="118"/>
        <v>3202804.4111999995</v>
      </c>
      <c r="S59" s="1406">
        <f t="shared" si="118"/>
        <v>3200019.9336000006</v>
      </c>
      <c r="T59" s="1406">
        <f t="shared" si="118"/>
        <v>3201025.4394000005</v>
      </c>
      <c r="U59" s="1406">
        <f t="shared" si="118"/>
        <v>3198042.2872000001</v>
      </c>
      <c r="V59" s="1406">
        <f t="shared" si="118"/>
        <v>3199994.1514000003</v>
      </c>
      <c r="W59" s="1406">
        <f t="shared" si="118"/>
        <v>3199219.1688000006</v>
      </c>
      <c r="X59" s="1407">
        <f t="shared" si="9"/>
        <v>19201105.391600002</v>
      </c>
      <c r="Y59" s="1406"/>
      <c r="Z59" s="1406"/>
      <c r="AA59" s="1406"/>
      <c r="AB59" s="1406"/>
      <c r="AC59" s="1406"/>
      <c r="AD59" s="1406"/>
      <c r="AE59" s="1407"/>
      <c r="AF59" s="1408"/>
      <c r="AG59" s="972">
        <f>'PDYG-200'!D$38</f>
        <v>0.2417</v>
      </c>
      <c r="AH59" s="972">
        <f>'PDYG-200'!E$38</f>
        <v>0.30353035303530351</v>
      </c>
      <c r="AI59" s="972">
        <f>'PDYG-200'!F$38</f>
        <v>0.45476964696469646</v>
      </c>
    </row>
    <row r="60" spans="2:35" s="1409" customFormat="1">
      <c r="B60" s="1404"/>
      <c r="C60" s="1410" t="s">
        <v>304</v>
      </c>
      <c r="D60" s="974">
        <v>2825213</v>
      </c>
      <c r="E60" s="974">
        <v>2819541</v>
      </c>
      <c r="F60" s="974">
        <v>2818140</v>
      </c>
      <c r="G60" s="974">
        <v>2812904</v>
      </c>
      <c r="H60" s="974">
        <v>2810994</v>
      </c>
      <c r="I60" s="974">
        <v>2807362</v>
      </c>
      <c r="J60" s="1407">
        <f t="shared" si="5"/>
        <v>16894154</v>
      </c>
      <c r="K60" s="883">
        <f t="shared" ref="K60:P64" si="119">D60*$AG60</f>
        <v>682853.98210000002</v>
      </c>
      <c r="L60" s="883">
        <f t="shared" si="119"/>
        <v>681483.05969999998</v>
      </c>
      <c r="M60" s="883">
        <f t="shared" si="119"/>
        <v>681144.43799999997</v>
      </c>
      <c r="N60" s="883">
        <f t="shared" si="119"/>
        <v>679878.89679999999</v>
      </c>
      <c r="O60" s="883">
        <f t="shared" si="119"/>
        <v>679417.24979999999</v>
      </c>
      <c r="P60" s="883">
        <f t="shared" si="119"/>
        <v>678539.39540000004</v>
      </c>
      <c r="Q60" s="180">
        <f t="shared" ref="Q60:Q64" si="120">SUM(K60:P60)</f>
        <v>4083317.0218000002</v>
      </c>
      <c r="R60" s="883">
        <f t="shared" ref="R60:W64" si="121">D60-K60</f>
        <v>2142359.0178999999</v>
      </c>
      <c r="S60" s="883">
        <f t="shared" si="121"/>
        <v>2138057.9402999999</v>
      </c>
      <c r="T60" s="883">
        <f t="shared" si="121"/>
        <v>2136995.5619999999</v>
      </c>
      <c r="U60" s="883">
        <f t="shared" si="121"/>
        <v>2133025.1031999998</v>
      </c>
      <c r="V60" s="883">
        <f t="shared" si="121"/>
        <v>2131576.7502000001</v>
      </c>
      <c r="W60" s="883">
        <f t="shared" si="121"/>
        <v>2128822.6046000002</v>
      </c>
      <c r="X60" s="180">
        <f t="shared" si="9"/>
        <v>12810836.9782</v>
      </c>
      <c r="Y60" s="883"/>
      <c r="Z60" s="883"/>
      <c r="AA60" s="883"/>
      <c r="AB60" s="883"/>
      <c r="AC60" s="883"/>
      <c r="AD60" s="883"/>
      <c r="AE60" s="180"/>
      <c r="AF60" s="1408"/>
      <c r="AG60" s="972">
        <f>'PDYG-200'!D$38</f>
        <v>0.2417</v>
      </c>
      <c r="AH60" s="972">
        <f>'PDYG-200'!E$38</f>
        <v>0.30353035303530351</v>
      </c>
      <c r="AI60" s="972">
        <f>'PDYG-200'!F$38</f>
        <v>0.45476964696469646</v>
      </c>
    </row>
    <row r="61" spans="2:35" s="1409" customFormat="1">
      <c r="B61" s="1404"/>
      <c r="C61" s="1411" t="s">
        <v>306</v>
      </c>
      <c r="D61" s="974">
        <v>1398131</v>
      </c>
      <c r="E61" s="974">
        <v>1400128</v>
      </c>
      <c r="F61" s="974">
        <v>1402862</v>
      </c>
      <c r="G61" s="974">
        <v>1404164</v>
      </c>
      <c r="H61" s="974">
        <v>1408639</v>
      </c>
      <c r="I61" s="974">
        <v>1411257</v>
      </c>
      <c r="J61" s="1407">
        <f t="shared" si="5"/>
        <v>8425181</v>
      </c>
      <c r="K61" s="883">
        <f t="shared" si="119"/>
        <v>337928.26270000002</v>
      </c>
      <c r="L61" s="883">
        <f t="shared" si="119"/>
        <v>338410.9376</v>
      </c>
      <c r="M61" s="883">
        <f t="shared" si="119"/>
        <v>339071.74540000001</v>
      </c>
      <c r="N61" s="883">
        <f t="shared" si="119"/>
        <v>339386.4388</v>
      </c>
      <c r="O61" s="883">
        <f t="shared" si="119"/>
        <v>340468.04629999999</v>
      </c>
      <c r="P61" s="883">
        <f t="shared" si="119"/>
        <v>341100.81689999998</v>
      </c>
      <c r="Q61" s="180">
        <f t="shared" si="120"/>
        <v>2036366.2477000002</v>
      </c>
      <c r="R61" s="883">
        <f t="shared" si="121"/>
        <v>1060202.7372999999</v>
      </c>
      <c r="S61" s="883">
        <f t="shared" si="121"/>
        <v>1061717.0623999999</v>
      </c>
      <c r="T61" s="883">
        <f t="shared" si="121"/>
        <v>1063790.2546000001</v>
      </c>
      <c r="U61" s="883">
        <f t="shared" si="121"/>
        <v>1064777.5611999999</v>
      </c>
      <c r="V61" s="883">
        <f t="shared" si="121"/>
        <v>1068170.9537</v>
      </c>
      <c r="W61" s="883">
        <f t="shared" si="121"/>
        <v>1070156.1831</v>
      </c>
      <c r="X61" s="180">
        <f t="shared" si="9"/>
        <v>6388814.7522999998</v>
      </c>
      <c r="Y61" s="883"/>
      <c r="Z61" s="883"/>
      <c r="AA61" s="883"/>
      <c r="AB61" s="883"/>
      <c r="AC61" s="883"/>
      <c r="AD61" s="883"/>
      <c r="AE61" s="180"/>
      <c r="AF61" s="1408"/>
      <c r="AG61" s="972">
        <f>'PDYG-200'!D$38</f>
        <v>0.2417</v>
      </c>
      <c r="AH61" s="972">
        <f>'PDYG-200'!E$38</f>
        <v>0.30353035303530351</v>
      </c>
      <c r="AI61" s="972">
        <f>'PDYG-200'!F$38</f>
        <v>0.45476964696469646</v>
      </c>
    </row>
    <row r="62" spans="2:35" s="1409" customFormat="1">
      <c r="B62" s="1404"/>
      <c r="C62" s="1410" t="s">
        <v>305</v>
      </c>
      <c r="D62" s="974">
        <v>210</v>
      </c>
      <c r="E62" s="974">
        <v>203</v>
      </c>
      <c r="F62" s="974">
        <v>196</v>
      </c>
      <c r="G62" s="974">
        <v>186</v>
      </c>
      <c r="H62" s="974">
        <v>195</v>
      </c>
      <c r="I62" s="974">
        <v>187</v>
      </c>
      <c r="J62" s="1407">
        <f t="shared" si="5"/>
        <v>1177</v>
      </c>
      <c r="K62" s="883">
        <f t="shared" si="119"/>
        <v>50.756999999999998</v>
      </c>
      <c r="L62" s="883">
        <f t="shared" si="119"/>
        <v>49.065100000000001</v>
      </c>
      <c r="M62" s="883">
        <f t="shared" si="119"/>
        <v>47.373199999999997</v>
      </c>
      <c r="N62" s="883">
        <f t="shared" si="119"/>
        <v>44.956200000000003</v>
      </c>
      <c r="O62" s="883">
        <f t="shared" si="119"/>
        <v>47.131500000000003</v>
      </c>
      <c r="P62" s="883">
        <f t="shared" si="119"/>
        <v>45.197899999999997</v>
      </c>
      <c r="Q62" s="180">
        <f t="shared" si="120"/>
        <v>284.48090000000002</v>
      </c>
      <c r="R62" s="883">
        <f t="shared" si="121"/>
        <v>159.24299999999999</v>
      </c>
      <c r="S62" s="883">
        <f t="shared" si="121"/>
        <v>153.9349</v>
      </c>
      <c r="T62" s="883">
        <f t="shared" si="121"/>
        <v>148.6268</v>
      </c>
      <c r="U62" s="883">
        <f t="shared" si="121"/>
        <v>141.0438</v>
      </c>
      <c r="V62" s="883">
        <f t="shared" si="121"/>
        <v>147.86849999999998</v>
      </c>
      <c r="W62" s="883">
        <f t="shared" si="121"/>
        <v>141.8021</v>
      </c>
      <c r="X62" s="180">
        <f t="shared" si="9"/>
        <v>892.51910000000009</v>
      </c>
      <c r="Y62" s="883"/>
      <c r="Z62" s="883"/>
      <c r="AA62" s="883"/>
      <c r="AB62" s="883"/>
      <c r="AC62" s="883"/>
      <c r="AD62" s="883"/>
      <c r="AE62" s="180"/>
      <c r="AF62" s="1408"/>
      <c r="AG62" s="972">
        <f>'PDYG-200'!D$38</f>
        <v>0.2417</v>
      </c>
      <c r="AH62" s="972">
        <f>'PDYG-200'!E$38</f>
        <v>0.30353035303530351</v>
      </c>
      <c r="AI62" s="972">
        <f>'PDYG-200'!F$38</f>
        <v>0.45476964696469646</v>
      </c>
    </row>
    <row r="63" spans="2:35" s="1409" customFormat="1">
      <c r="B63" s="1404"/>
      <c r="C63" s="1410" t="s">
        <v>307</v>
      </c>
      <c r="D63" s="974">
        <v>10</v>
      </c>
      <c r="E63" s="974">
        <v>10</v>
      </c>
      <c r="F63" s="974">
        <v>10</v>
      </c>
      <c r="G63" s="974">
        <v>20</v>
      </c>
      <c r="H63" s="974">
        <v>20</v>
      </c>
      <c r="I63" s="974">
        <v>20</v>
      </c>
      <c r="J63" s="1407">
        <f t="shared" si="5"/>
        <v>90</v>
      </c>
      <c r="K63" s="883">
        <f t="shared" si="119"/>
        <v>2.4169999999999998</v>
      </c>
      <c r="L63" s="883">
        <f t="shared" si="119"/>
        <v>2.4169999999999998</v>
      </c>
      <c r="M63" s="883">
        <f t="shared" si="119"/>
        <v>2.4169999999999998</v>
      </c>
      <c r="N63" s="883">
        <f t="shared" si="119"/>
        <v>4.8339999999999996</v>
      </c>
      <c r="O63" s="883">
        <f t="shared" si="119"/>
        <v>4.8339999999999996</v>
      </c>
      <c r="P63" s="883">
        <f t="shared" si="119"/>
        <v>4.8339999999999996</v>
      </c>
      <c r="Q63" s="180">
        <f t="shared" si="120"/>
        <v>21.752999999999997</v>
      </c>
      <c r="R63" s="883">
        <f t="shared" si="121"/>
        <v>7.5830000000000002</v>
      </c>
      <c r="S63" s="883">
        <f t="shared" si="121"/>
        <v>7.5830000000000002</v>
      </c>
      <c r="T63" s="883">
        <f t="shared" si="121"/>
        <v>7.5830000000000002</v>
      </c>
      <c r="U63" s="883">
        <f t="shared" si="121"/>
        <v>15.166</v>
      </c>
      <c r="V63" s="883">
        <f t="shared" si="121"/>
        <v>15.166</v>
      </c>
      <c r="W63" s="883">
        <f t="shared" si="121"/>
        <v>15.166</v>
      </c>
      <c r="X63" s="180">
        <f t="shared" si="9"/>
        <v>68.247</v>
      </c>
      <c r="Y63" s="883"/>
      <c r="Z63" s="883"/>
      <c r="AA63" s="883"/>
      <c r="AB63" s="883"/>
      <c r="AC63" s="883"/>
      <c r="AD63" s="883"/>
      <c r="AE63" s="180"/>
      <c r="AF63" s="1408"/>
      <c r="AG63" s="972">
        <f>'PDYG-200'!D$38</f>
        <v>0.2417</v>
      </c>
      <c r="AH63" s="972">
        <f>'PDYG-200'!E$38</f>
        <v>0.30353035303530351</v>
      </c>
      <c r="AI63" s="972">
        <f>'PDYG-200'!F$38</f>
        <v>0.45476964696469646</v>
      </c>
    </row>
    <row r="64" spans="2:35" s="1409" customFormat="1">
      <c r="B64" s="1404"/>
      <c r="C64" s="1410" t="s">
        <v>624</v>
      </c>
      <c r="D64" s="974">
        <v>100</v>
      </c>
      <c r="E64" s="974">
        <v>110</v>
      </c>
      <c r="F64" s="974">
        <v>110</v>
      </c>
      <c r="G64" s="974">
        <v>110</v>
      </c>
      <c r="H64" s="974">
        <v>110</v>
      </c>
      <c r="I64" s="974">
        <v>110</v>
      </c>
      <c r="J64" s="1407">
        <f t="shared" si="5"/>
        <v>650</v>
      </c>
      <c r="K64" s="883">
        <f t="shared" si="119"/>
        <v>24.169999999999998</v>
      </c>
      <c r="L64" s="883">
        <f t="shared" si="119"/>
        <v>26.587</v>
      </c>
      <c r="M64" s="883">
        <f t="shared" si="119"/>
        <v>26.587</v>
      </c>
      <c r="N64" s="883">
        <f t="shared" si="119"/>
        <v>26.587</v>
      </c>
      <c r="O64" s="883">
        <f t="shared" si="119"/>
        <v>26.587</v>
      </c>
      <c r="P64" s="883">
        <f t="shared" si="119"/>
        <v>26.587</v>
      </c>
      <c r="Q64" s="180">
        <f t="shared" si="120"/>
        <v>157.10499999999999</v>
      </c>
      <c r="R64" s="883">
        <f t="shared" si="121"/>
        <v>75.83</v>
      </c>
      <c r="S64" s="883">
        <f t="shared" si="121"/>
        <v>83.412999999999997</v>
      </c>
      <c r="T64" s="883">
        <f t="shared" si="121"/>
        <v>83.412999999999997</v>
      </c>
      <c r="U64" s="883">
        <f t="shared" si="121"/>
        <v>83.412999999999997</v>
      </c>
      <c r="V64" s="883">
        <f t="shared" si="121"/>
        <v>83.412999999999997</v>
      </c>
      <c r="W64" s="883">
        <f t="shared" si="121"/>
        <v>83.412999999999997</v>
      </c>
      <c r="X64" s="180">
        <f t="shared" si="9"/>
        <v>492.89500000000004</v>
      </c>
      <c r="Y64" s="883"/>
      <c r="Z64" s="883"/>
      <c r="AA64" s="883"/>
      <c r="AB64" s="883"/>
      <c r="AC64" s="883"/>
      <c r="AD64" s="883"/>
      <c r="AE64" s="180"/>
      <c r="AF64" s="1408"/>
      <c r="AG64" s="972">
        <f>'PDYG-200'!D$38</f>
        <v>0.2417</v>
      </c>
      <c r="AH64" s="972">
        <f>'PDYG-200'!E$38</f>
        <v>0.30353035303530351</v>
      </c>
      <c r="AI64" s="972">
        <f>'PDYG-200'!F$38</f>
        <v>0.45476964696469646</v>
      </c>
    </row>
    <row r="65" spans="2:42">
      <c r="B65" s="48" t="s">
        <v>751</v>
      </c>
      <c r="C65" s="882" t="s">
        <v>634</v>
      </c>
      <c r="D65" s="881">
        <v>85000165</v>
      </c>
      <c r="E65" s="881">
        <v>85013966</v>
      </c>
      <c r="F65" s="881">
        <v>84501882</v>
      </c>
      <c r="G65" s="881">
        <v>84478625</v>
      </c>
      <c r="H65" s="881">
        <v>83655167</v>
      </c>
      <c r="I65" s="881">
        <v>82700164</v>
      </c>
      <c r="J65" s="180">
        <f t="shared" si="5"/>
        <v>505349969</v>
      </c>
      <c r="K65" s="881">
        <f t="shared" ref="K65:W65" si="122">SUBTOTAL(9,K66:K70)</f>
        <v>20544539.8805</v>
      </c>
      <c r="L65" s="881">
        <f t="shared" si="122"/>
        <v>20547875.582199994</v>
      </c>
      <c r="M65" s="881">
        <f t="shared" si="122"/>
        <v>20424104.8794</v>
      </c>
      <c r="N65" s="881">
        <f t="shared" si="122"/>
        <v>20418483.662500001</v>
      </c>
      <c r="O65" s="881">
        <f t="shared" si="122"/>
        <v>20219453.863900002</v>
      </c>
      <c r="P65" s="881">
        <f t="shared" si="122"/>
        <v>19988629.638799999</v>
      </c>
      <c r="Q65" s="180">
        <f t="shared" si="7"/>
        <v>122143087.50729999</v>
      </c>
      <c r="R65" s="881">
        <f t="shared" si="122"/>
        <v>64455625.119500004</v>
      </c>
      <c r="S65" s="881">
        <f t="shared" si="122"/>
        <v>64466090.417799994</v>
      </c>
      <c r="T65" s="881">
        <f t="shared" si="122"/>
        <v>64077777.1206</v>
      </c>
      <c r="U65" s="881">
        <f t="shared" si="122"/>
        <v>64060141.337499999</v>
      </c>
      <c r="V65" s="881">
        <f t="shared" si="122"/>
        <v>63435713.136100009</v>
      </c>
      <c r="W65" s="881">
        <f t="shared" si="122"/>
        <v>62711534.361200005</v>
      </c>
      <c r="X65" s="180">
        <f t="shared" si="9"/>
        <v>383206881.49269998</v>
      </c>
      <c r="Y65" s="881"/>
      <c r="Z65" s="881"/>
      <c r="AA65" s="881"/>
      <c r="AB65" s="881"/>
      <c r="AC65" s="881"/>
      <c r="AD65" s="881"/>
      <c r="AE65" s="180"/>
      <c r="AF65" s="1389"/>
      <c r="AG65" s="972">
        <f>'PDYG-200'!D$38</f>
        <v>0.2417</v>
      </c>
      <c r="AH65" s="972">
        <f>'PDYG-200'!E$38</f>
        <v>0.30353035303530351</v>
      </c>
      <c r="AI65" s="972">
        <f>'PDYG-200'!F$38</f>
        <v>0.45476964696469646</v>
      </c>
      <c r="AK65" s="1409"/>
      <c r="AL65" s="1409"/>
      <c r="AM65" s="1409"/>
      <c r="AN65" s="1409"/>
      <c r="AO65" s="1409"/>
      <c r="AP65" s="1409"/>
    </row>
    <row r="66" spans="2:42">
      <c r="B66" s="48"/>
      <c r="C66" s="887" t="s">
        <v>304</v>
      </c>
      <c r="D66" s="883">
        <v>54895976</v>
      </c>
      <c r="E66" s="883">
        <v>54836811</v>
      </c>
      <c r="F66" s="883">
        <v>54441157</v>
      </c>
      <c r="G66" s="883">
        <v>54335323</v>
      </c>
      <c r="H66" s="883">
        <v>53813926</v>
      </c>
      <c r="I66" s="883">
        <v>52999996</v>
      </c>
      <c r="J66" s="180">
        <f t="shared" si="5"/>
        <v>325323189</v>
      </c>
      <c r="K66" s="883">
        <f t="shared" ref="K66:P70" si="123">D66*$AG66</f>
        <v>13268357.3992</v>
      </c>
      <c r="L66" s="883">
        <f t="shared" si="123"/>
        <v>13254057.218699999</v>
      </c>
      <c r="M66" s="883">
        <f t="shared" si="123"/>
        <v>13158427.6469</v>
      </c>
      <c r="N66" s="883">
        <f t="shared" si="123"/>
        <v>13132847.5691</v>
      </c>
      <c r="O66" s="883">
        <f t="shared" si="123"/>
        <v>13006825.9142</v>
      </c>
      <c r="P66" s="883">
        <f t="shared" si="123"/>
        <v>12810099.033199999</v>
      </c>
      <c r="Q66" s="180">
        <f t="shared" si="7"/>
        <v>78630614.781299993</v>
      </c>
      <c r="R66" s="883">
        <f t="shared" si="13"/>
        <v>41627618.6008</v>
      </c>
      <c r="S66" s="883">
        <f t="shared" si="13"/>
        <v>41582753.781300001</v>
      </c>
      <c r="T66" s="883">
        <f t="shared" si="13"/>
        <v>41282729.353100002</v>
      </c>
      <c r="U66" s="883">
        <f t="shared" si="13"/>
        <v>41202475.4309</v>
      </c>
      <c r="V66" s="883">
        <f t="shared" si="13"/>
        <v>40807100.0858</v>
      </c>
      <c r="W66" s="883">
        <f t="shared" si="13"/>
        <v>40189896.966800004</v>
      </c>
      <c r="X66" s="180">
        <f t="shared" si="9"/>
        <v>246692574.21869999</v>
      </c>
      <c r="Y66" s="883"/>
      <c r="Z66" s="883"/>
      <c r="AA66" s="883"/>
      <c r="AB66" s="883"/>
      <c r="AC66" s="883"/>
      <c r="AD66" s="883"/>
      <c r="AE66" s="180"/>
      <c r="AF66" s="1389"/>
      <c r="AG66" s="972">
        <f>'PDYG-200'!D$38</f>
        <v>0.2417</v>
      </c>
      <c r="AH66" s="972">
        <f>'PDYG-200'!E$38</f>
        <v>0.30353035303530351</v>
      </c>
      <c r="AI66" s="972">
        <f>'PDYG-200'!F$38</f>
        <v>0.45476964696469646</v>
      </c>
      <c r="AK66" s="1409"/>
      <c r="AL66" s="1409"/>
      <c r="AM66" s="1409"/>
      <c r="AN66" s="1409"/>
      <c r="AO66" s="1409"/>
      <c r="AP66" s="1409"/>
    </row>
    <row r="67" spans="2:42">
      <c r="B67" s="48"/>
      <c r="C67" s="888" t="s">
        <v>306</v>
      </c>
      <c r="D67" s="883">
        <v>30097007</v>
      </c>
      <c r="E67" s="883">
        <v>30169982</v>
      </c>
      <c r="F67" s="883">
        <v>30053254</v>
      </c>
      <c r="G67" s="883">
        <v>30135690</v>
      </c>
      <c r="H67" s="883">
        <v>29833626</v>
      </c>
      <c r="I67" s="883">
        <v>29693056</v>
      </c>
      <c r="J67" s="180">
        <f t="shared" si="5"/>
        <v>179982615</v>
      </c>
      <c r="K67" s="883">
        <f t="shared" si="123"/>
        <v>7274446.5919000003</v>
      </c>
      <c r="L67" s="883">
        <f t="shared" si="123"/>
        <v>7292084.6493999995</v>
      </c>
      <c r="M67" s="883">
        <f t="shared" si="123"/>
        <v>7263871.4918</v>
      </c>
      <c r="N67" s="883">
        <f t="shared" si="123"/>
        <v>7283796.273</v>
      </c>
      <c r="O67" s="883">
        <f t="shared" si="123"/>
        <v>7210787.4041999998</v>
      </c>
      <c r="P67" s="883">
        <f t="shared" si="123"/>
        <v>7176811.6352000004</v>
      </c>
      <c r="Q67" s="180">
        <f t="shared" si="7"/>
        <v>43501798.045500003</v>
      </c>
      <c r="R67" s="883">
        <f t="shared" si="13"/>
        <v>22822560.408100002</v>
      </c>
      <c r="S67" s="883">
        <f t="shared" si="13"/>
        <v>22877897.3506</v>
      </c>
      <c r="T67" s="883">
        <f t="shared" si="13"/>
        <v>22789382.508200001</v>
      </c>
      <c r="U67" s="883">
        <f t="shared" si="13"/>
        <v>22851893.726999998</v>
      </c>
      <c r="V67" s="883">
        <f t="shared" si="13"/>
        <v>22622838.595800001</v>
      </c>
      <c r="W67" s="883">
        <f t="shared" si="13"/>
        <v>22516244.364799999</v>
      </c>
      <c r="X67" s="180">
        <f t="shared" si="9"/>
        <v>136480816.95449999</v>
      </c>
      <c r="Y67" s="883"/>
      <c r="Z67" s="883"/>
      <c r="AA67" s="883"/>
      <c r="AB67" s="883"/>
      <c r="AC67" s="883"/>
      <c r="AD67" s="883"/>
      <c r="AE67" s="180"/>
      <c r="AF67" s="1389"/>
      <c r="AG67" s="972">
        <f>'PDYG-200'!D$38</f>
        <v>0.2417</v>
      </c>
      <c r="AH67" s="972">
        <f>'PDYG-200'!E$38</f>
        <v>0.30353035303530351</v>
      </c>
      <c r="AI67" s="972">
        <f>'PDYG-200'!F$38</f>
        <v>0.45476964696469646</v>
      </c>
      <c r="AK67" s="1409"/>
      <c r="AL67" s="1409"/>
      <c r="AM67" s="1409"/>
      <c r="AN67" s="1409"/>
      <c r="AO67" s="1409"/>
      <c r="AP67" s="1409"/>
    </row>
    <row r="68" spans="2:42">
      <c r="B68" s="48"/>
      <c r="C68" s="887" t="s">
        <v>305</v>
      </c>
      <c r="D68" s="883">
        <v>5040</v>
      </c>
      <c r="E68" s="883">
        <v>4936</v>
      </c>
      <c r="F68" s="883">
        <v>4994</v>
      </c>
      <c r="G68" s="883">
        <v>4838</v>
      </c>
      <c r="H68" s="883">
        <v>4945</v>
      </c>
      <c r="I68" s="883">
        <v>4451</v>
      </c>
      <c r="J68" s="180">
        <f t="shared" si="5"/>
        <v>29204</v>
      </c>
      <c r="K68" s="883">
        <f t="shared" si="123"/>
        <v>1218.1679999999999</v>
      </c>
      <c r="L68" s="883">
        <f t="shared" si="123"/>
        <v>1193.0311999999999</v>
      </c>
      <c r="M68" s="883">
        <f t="shared" si="123"/>
        <v>1207.0498</v>
      </c>
      <c r="N68" s="883">
        <f t="shared" si="123"/>
        <v>1169.3445999999999</v>
      </c>
      <c r="O68" s="883">
        <f t="shared" si="123"/>
        <v>1195.2065</v>
      </c>
      <c r="P68" s="883">
        <f t="shared" si="123"/>
        <v>1075.8067000000001</v>
      </c>
      <c r="Q68" s="180">
        <f t="shared" si="7"/>
        <v>7058.6068000000005</v>
      </c>
      <c r="R68" s="883">
        <f t="shared" si="13"/>
        <v>3821.8320000000003</v>
      </c>
      <c r="S68" s="883">
        <f t="shared" si="13"/>
        <v>3742.9688000000001</v>
      </c>
      <c r="T68" s="883">
        <f t="shared" si="13"/>
        <v>3786.9502000000002</v>
      </c>
      <c r="U68" s="883">
        <f t="shared" si="13"/>
        <v>3668.6554000000001</v>
      </c>
      <c r="V68" s="883">
        <f t="shared" si="13"/>
        <v>3749.7934999999998</v>
      </c>
      <c r="W68" s="883">
        <f t="shared" si="13"/>
        <v>3375.1932999999999</v>
      </c>
      <c r="X68" s="180">
        <f t="shared" si="9"/>
        <v>22145.393199999999</v>
      </c>
      <c r="Y68" s="883"/>
      <c r="Z68" s="883"/>
      <c r="AA68" s="883"/>
      <c r="AB68" s="883"/>
      <c r="AC68" s="883"/>
      <c r="AD68" s="883"/>
      <c r="AE68" s="180"/>
      <c r="AF68" s="1389"/>
      <c r="AG68" s="972">
        <f>'PDYG-200'!D$38</f>
        <v>0.2417</v>
      </c>
      <c r="AH68" s="972">
        <f>'PDYG-200'!E$38</f>
        <v>0.30353035303530351</v>
      </c>
      <c r="AI68" s="972">
        <f>'PDYG-200'!F$38</f>
        <v>0.45476964696469646</v>
      </c>
      <c r="AK68" s="1409"/>
      <c r="AL68" s="1409"/>
      <c r="AM68" s="1409"/>
      <c r="AN68" s="1409"/>
      <c r="AO68" s="1409"/>
      <c r="AP68" s="1409"/>
    </row>
    <row r="69" spans="2:42">
      <c r="B69" s="48"/>
      <c r="C69" s="887" t="s">
        <v>307</v>
      </c>
      <c r="D69" s="883">
        <v>290</v>
      </c>
      <c r="E69" s="883">
        <v>290</v>
      </c>
      <c r="F69" s="883">
        <v>290</v>
      </c>
      <c r="G69" s="883">
        <v>424</v>
      </c>
      <c r="H69" s="883">
        <v>348</v>
      </c>
      <c r="I69" s="883">
        <v>369</v>
      </c>
      <c r="J69" s="180">
        <f t="shared" si="5"/>
        <v>2011</v>
      </c>
      <c r="K69" s="883">
        <f t="shared" si="123"/>
        <v>70.093000000000004</v>
      </c>
      <c r="L69" s="883">
        <f t="shared" si="123"/>
        <v>70.093000000000004</v>
      </c>
      <c r="M69" s="883">
        <f t="shared" si="123"/>
        <v>70.093000000000004</v>
      </c>
      <c r="N69" s="883">
        <f t="shared" si="123"/>
        <v>102.4808</v>
      </c>
      <c r="O69" s="883">
        <f t="shared" si="123"/>
        <v>84.111599999999996</v>
      </c>
      <c r="P69" s="883">
        <f t="shared" si="123"/>
        <v>89.187299999999993</v>
      </c>
      <c r="Q69" s="180">
        <f t="shared" si="7"/>
        <v>486.05869999999999</v>
      </c>
      <c r="R69" s="883">
        <f t="shared" si="13"/>
        <v>219.90699999999998</v>
      </c>
      <c r="S69" s="883">
        <f t="shared" si="13"/>
        <v>219.90699999999998</v>
      </c>
      <c r="T69" s="883">
        <f t="shared" si="13"/>
        <v>219.90699999999998</v>
      </c>
      <c r="U69" s="883">
        <f t="shared" si="13"/>
        <v>321.51920000000001</v>
      </c>
      <c r="V69" s="883">
        <f t="shared" si="13"/>
        <v>263.88839999999999</v>
      </c>
      <c r="W69" s="883">
        <f t="shared" si="13"/>
        <v>279.81270000000001</v>
      </c>
      <c r="X69" s="180">
        <f t="shared" si="9"/>
        <v>1524.9413</v>
      </c>
      <c r="Y69" s="883"/>
      <c r="Z69" s="883"/>
      <c r="AA69" s="883"/>
      <c r="AB69" s="883"/>
      <c r="AC69" s="883"/>
      <c r="AD69" s="883"/>
      <c r="AE69" s="180"/>
      <c r="AF69" s="1389"/>
      <c r="AG69" s="972">
        <f>'PDYG-200'!D$38</f>
        <v>0.2417</v>
      </c>
      <c r="AH69" s="972">
        <f>'PDYG-200'!E$38</f>
        <v>0.30353035303530351</v>
      </c>
      <c r="AI69" s="972">
        <f>'PDYG-200'!F$38</f>
        <v>0.45476964696469646</v>
      </c>
      <c r="AK69" s="1409"/>
      <c r="AL69" s="1409"/>
      <c r="AM69" s="1409"/>
      <c r="AN69" s="1409"/>
      <c r="AO69" s="1409"/>
      <c r="AP69" s="1409"/>
    </row>
    <row r="70" spans="2:42">
      <c r="B70" s="48"/>
      <c r="C70" s="887" t="s">
        <v>624</v>
      </c>
      <c r="D70" s="883">
        <v>1852</v>
      </c>
      <c r="E70" s="883">
        <v>1947</v>
      </c>
      <c r="F70" s="883">
        <v>2187</v>
      </c>
      <c r="G70" s="883">
        <v>2350</v>
      </c>
      <c r="H70" s="883">
        <v>2322</v>
      </c>
      <c r="I70" s="883">
        <v>2292</v>
      </c>
      <c r="J70" s="180">
        <f t="shared" ref="J70:J109" si="124">SUM(D70:I70)</f>
        <v>12950</v>
      </c>
      <c r="K70" s="883">
        <f t="shared" si="123"/>
        <v>447.6284</v>
      </c>
      <c r="L70" s="883">
        <f t="shared" si="123"/>
        <v>470.5899</v>
      </c>
      <c r="M70" s="883">
        <f t="shared" si="123"/>
        <v>528.59789999999998</v>
      </c>
      <c r="N70" s="883">
        <f t="shared" si="123"/>
        <v>567.995</v>
      </c>
      <c r="O70" s="883">
        <f t="shared" si="123"/>
        <v>561.22739999999999</v>
      </c>
      <c r="P70" s="883">
        <f t="shared" si="123"/>
        <v>553.97640000000001</v>
      </c>
      <c r="Q70" s="180">
        <f t="shared" ref="Q70:Q109" si="125">SUM(K70:P70)</f>
        <v>3130.0149999999999</v>
      </c>
      <c r="R70" s="883">
        <f t="shared" si="13"/>
        <v>1404.3715999999999</v>
      </c>
      <c r="S70" s="883">
        <f t="shared" si="13"/>
        <v>1476.4101000000001</v>
      </c>
      <c r="T70" s="883">
        <f t="shared" si="13"/>
        <v>1658.4021</v>
      </c>
      <c r="U70" s="883">
        <f t="shared" ref="U70:W108" si="126">G70-N70</f>
        <v>1782.0050000000001</v>
      </c>
      <c r="V70" s="883">
        <f t="shared" si="126"/>
        <v>1760.7726</v>
      </c>
      <c r="W70" s="883">
        <f t="shared" si="126"/>
        <v>1738.0236</v>
      </c>
      <c r="X70" s="180">
        <f t="shared" ref="X70:X108" si="127">SUM(R70:W70)</f>
        <v>9819.9850000000006</v>
      </c>
      <c r="Y70" s="883"/>
      <c r="Z70" s="883"/>
      <c r="AA70" s="883"/>
      <c r="AB70" s="883"/>
      <c r="AC70" s="883"/>
      <c r="AD70" s="883"/>
      <c r="AE70" s="180"/>
      <c r="AF70" s="1389"/>
      <c r="AG70" s="972">
        <f>'PDYG-200'!D$38</f>
        <v>0.2417</v>
      </c>
      <c r="AH70" s="972">
        <f>'PDYG-200'!E$38</f>
        <v>0.30353035303530351</v>
      </c>
      <c r="AI70" s="972">
        <f>'PDYG-200'!F$38</f>
        <v>0.45476964696469646</v>
      </c>
      <c r="AK70" s="1409"/>
      <c r="AL70" s="1409"/>
      <c r="AM70" s="1409"/>
      <c r="AN70" s="1409"/>
      <c r="AO70" s="1409"/>
      <c r="AP70" s="1409"/>
    </row>
    <row r="71" spans="2:42">
      <c r="B71" s="48" t="s">
        <v>750</v>
      </c>
      <c r="C71" s="882" t="s">
        <v>635</v>
      </c>
      <c r="D71" s="881">
        <v>32183885</v>
      </c>
      <c r="E71" s="881">
        <v>32216106</v>
      </c>
      <c r="F71" s="881">
        <v>31327645</v>
      </c>
      <c r="G71" s="881">
        <v>31319728</v>
      </c>
      <c r="H71" s="881">
        <v>29617038</v>
      </c>
      <c r="I71" s="881">
        <v>29609676</v>
      </c>
      <c r="J71" s="180">
        <f t="shared" si="124"/>
        <v>186274078</v>
      </c>
      <c r="K71" s="881">
        <f t="shared" ref="K71:W71" si="128">SUBTOTAL(9,K72:K77)</f>
        <v>7778845.0044999998</v>
      </c>
      <c r="L71" s="881">
        <f t="shared" si="128"/>
        <v>7786632.8202</v>
      </c>
      <c r="M71" s="881">
        <f t="shared" si="128"/>
        <v>7571891.7964999992</v>
      </c>
      <c r="N71" s="881">
        <f t="shared" si="128"/>
        <v>7569978.2575999992</v>
      </c>
      <c r="O71" s="881">
        <f t="shared" si="128"/>
        <v>7158438.0846000006</v>
      </c>
      <c r="P71" s="881">
        <f t="shared" si="128"/>
        <v>7156658.689199999</v>
      </c>
      <c r="Q71" s="180">
        <f t="shared" si="125"/>
        <v>45022444.652599998</v>
      </c>
      <c r="R71" s="881">
        <f t="shared" si="128"/>
        <v>24405039.995499998</v>
      </c>
      <c r="S71" s="881">
        <f t="shared" si="128"/>
        <v>24429473.179799996</v>
      </c>
      <c r="T71" s="881">
        <f t="shared" si="128"/>
        <v>23755753.203499995</v>
      </c>
      <c r="U71" s="881">
        <f t="shared" si="128"/>
        <v>23749749.742399998</v>
      </c>
      <c r="V71" s="881">
        <f t="shared" si="128"/>
        <v>22458599.915399998</v>
      </c>
      <c r="W71" s="881">
        <f t="shared" si="128"/>
        <v>22453017.310800001</v>
      </c>
      <c r="X71" s="180">
        <f t="shared" si="127"/>
        <v>141251633.34740001</v>
      </c>
      <c r="Y71" s="881"/>
      <c r="Z71" s="881"/>
      <c r="AA71" s="881"/>
      <c r="AB71" s="881"/>
      <c r="AC71" s="881"/>
      <c r="AD71" s="881"/>
      <c r="AE71" s="180"/>
      <c r="AF71" s="1389"/>
      <c r="AG71" s="972">
        <f>'PDYG-200'!D$38</f>
        <v>0.2417</v>
      </c>
      <c r="AH71" s="972">
        <f>'PDYG-200'!E$38</f>
        <v>0.30353035303530351</v>
      </c>
      <c r="AI71" s="972">
        <f>'PDYG-200'!F$38</f>
        <v>0.45476964696469646</v>
      </c>
      <c r="AK71" s="1409"/>
      <c r="AL71" s="1409"/>
      <c r="AM71" s="1409"/>
      <c r="AN71" s="1409"/>
      <c r="AO71" s="1409"/>
      <c r="AP71" s="1409"/>
    </row>
    <row r="72" spans="2:42">
      <c r="B72" s="48"/>
      <c r="C72" s="887" t="s">
        <v>304</v>
      </c>
      <c r="D72" s="883">
        <v>21471820</v>
      </c>
      <c r="E72" s="883">
        <v>21503378</v>
      </c>
      <c r="F72" s="883">
        <v>20974804</v>
      </c>
      <c r="G72" s="883">
        <v>20952877</v>
      </c>
      <c r="H72" s="883">
        <v>19862959</v>
      </c>
      <c r="I72" s="883">
        <v>19845457</v>
      </c>
      <c r="J72" s="180">
        <f t="shared" si="124"/>
        <v>124611295</v>
      </c>
      <c r="K72" s="883">
        <f t="shared" ref="K72:P77" si="129">D72*$AG72</f>
        <v>5189738.8940000003</v>
      </c>
      <c r="L72" s="883">
        <f t="shared" si="129"/>
        <v>5197366.4626000002</v>
      </c>
      <c r="M72" s="883">
        <f t="shared" si="129"/>
        <v>5069610.1267999997</v>
      </c>
      <c r="N72" s="883">
        <f t="shared" si="129"/>
        <v>5064310.3708999995</v>
      </c>
      <c r="O72" s="883">
        <f t="shared" si="129"/>
        <v>4800877.1902999999</v>
      </c>
      <c r="P72" s="883">
        <f t="shared" si="129"/>
        <v>4796646.9568999996</v>
      </c>
      <c r="Q72" s="180">
        <f t="shared" si="125"/>
        <v>30118550.001499999</v>
      </c>
      <c r="R72" s="883">
        <f t="shared" ref="R72:T108" si="130">D72-K72</f>
        <v>16282081.105999999</v>
      </c>
      <c r="S72" s="883">
        <f t="shared" si="130"/>
        <v>16306011.5374</v>
      </c>
      <c r="T72" s="883">
        <f t="shared" si="130"/>
        <v>15905193.873199999</v>
      </c>
      <c r="U72" s="883">
        <f t="shared" si="126"/>
        <v>15888566.6291</v>
      </c>
      <c r="V72" s="883">
        <f t="shared" si="126"/>
        <v>15062081.809700001</v>
      </c>
      <c r="W72" s="883">
        <f t="shared" si="126"/>
        <v>15048810.043099999</v>
      </c>
      <c r="X72" s="180">
        <f t="shared" si="127"/>
        <v>94492744.998500004</v>
      </c>
      <c r="Y72" s="883"/>
      <c r="Z72" s="883"/>
      <c r="AA72" s="883"/>
      <c r="AB72" s="883"/>
      <c r="AC72" s="883"/>
      <c r="AD72" s="883"/>
      <c r="AE72" s="180"/>
      <c r="AF72" s="1389"/>
      <c r="AG72" s="972">
        <f>'PDYG-200'!D$38</f>
        <v>0.2417</v>
      </c>
      <c r="AH72" s="972">
        <f>'PDYG-200'!E$38</f>
        <v>0.30353035303530351</v>
      </c>
      <c r="AI72" s="972">
        <f>'PDYG-200'!F$38</f>
        <v>0.45476964696469646</v>
      </c>
      <c r="AK72" s="1409"/>
      <c r="AL72" s="1409"/>
      <c r="AM72" s="1409"/>
      <c r="AN72" s="1409"/>
      <c r="AO72" s="1409"/>
      <c r="AP72" s="1409"/>
    </row>
    <row r="73" spans="2:42">
      <c r="B73" s="48"/>
      <c r="C73" s="889" t="s">
        <v>642</v>
      </c>
      <c r="D73" s="883">
        <v>9040740</v>
      </c>
      <c r="E73" s="883">
        <v>9054537</v>
      </c>
      <c r="F73" s="883">
        <v>8786006</v>
      </c>
      <c r="G73" s="883">
        <v>8788252</v>
      </c>
      <c r="H73" s="883">
        <v>8329368</v>
      </c>
      <c r="I73" s="883">
        <v>8288011</v>
      </c>
      <c r="J73" s="180">
        <f t="shared" si="124"/>
        <v>52286914</v>
      </c>
      <c r="K73" s="883">
        <f t="shared" si="129"/>
        <v>2185146.858</v>
      </c>
      <c r="L73" s="883">
        <f t="shared" si="129"/>
        <v>2188481.5929</v>
      </c>
      <c r="M73" s="883">
        <f t="shared" si="129"/>
        <v>2123577.6502</v>
      </c>
      <c r="N73" s="883">
        <f t="shared" si="129"/>
        <v>2124120.5084000002</v>
      </c>
      <c r="O73" s="883">
        <f t="shared" si="129"/>
        <v>2013208.2456</v>
      </c>
      <c r="P73" s="883">
        <f t="shared" si="129"/>
        <v>2003212.2586999999</v>
      </c>
      <c r="Q73" s="180">
        <f t="shared" si="125"/>
        <v>12637747.1138</v>
      </c>
      <c r="R73" s="883">
        <f t="shared" si="130"/>
        <v>6855593.142</v>
      </c>
      <c r="S73" s="883">
        <f t="shared" si="130"/>
        <v>6866055.4070999995</v>
      </c>
      <c r="T73" s="883">
        <f t="shared" si="130"/>
        <v>6662428.3498</v>
      </c>
      <c r="U73" s="883">
        <f t="shared" si="126"/>
        <v>6664131.4915999994</v>
      </c>
      <c r="V73" s="883">
        <f t="shared" si="126"/>
        <v>6316159.7544</v>
      </c>
      <c r="W73" s="883">
        <f t="shared" si="126"/>
        <v>6284798.7412999999</v>
      </c>
      <c r="X73" s="180">
        <f t="shared" si="127"/>
        <v>39649166.886200003</v>
      </c>
      <c r="Y73" s="883"/>
      <c r="Z73" s="883"/>
      <c r="AA73" s="883"/>
      <c r="AB73" s="883"/>
      <c r="AC73" s="883"/>
      <c r="AD73" s="883"/>
      <c r="AE73" s="180"/>
      <c r="AF73" s="1389"/>
      <c r="AG73" s="972">
        <f>'PDYG-200'!D$38</f>
        <v>0.2417</v>
      </c>
      <c r="AH73" s="972">
        <f>'PDYG-200'!E$38</f>
        <v>0.30353035303530351</v>
      </c>
      <c r="AI73" s="972">
        <f>'PDYG-200'!F$38</f>
        <v>0.45476964696469646</v>
      </c>
      <c r="AK73" s="1409"/>
      <c r="AL73" s="1409"/>
      <c r="AM73" s="1409"/>
      <c r="AN73" s="1409"/>
      <c r="AO73" s="1409"/>
      <c r="AP73" s="1409"/>
    </row>
    <row r="74" spans="2:42">
      <c r="B74" s="48"/>
      <c r="C74" s="889" t="s">
        <v>1177</v>
      </c>
      <c r="D74" s="883">
        <v>1663638</v>
      </c>
      <c r="E74" s="883">
        <v>1650429</v>
      </c>
      <c r="F74" s="883">
        <v>1559117</v>
      </c>
      <c r="G74" s="883">
        <v>1570846</v>
      </c>
      <c r="H74" s="883">
        <v>1418114</v>
      </c>
      <c r="I74" s="883">
        <v>1469928</v>
      </c>
      <c r="J74" s="180">
        <f t="shared" si="124"/>
        <v>9332072</v>
      </c>
      <c r="K74" s="883">
        <f t="shared" si="129"/>
        <v>402101.30459999997</v>
      </c>
      <c r="L74" s="883">
        <f t="shared" si="129"/>
        <v>398908.68929999997</v>
      </c>
      <c r="M74" s="883">
        <f t="shared" si="129"/>
        <v>376838.57890000002</v>
      </c>
      <c r="N74" s="883">
        <f t="shared" si="129"/>
        <v>379673.47820000001</v>
      </c>
      <c r="O74" s="883">
        <f t="shared" si="129"/>
        <v>342758.15379999997</v>
      </c>
      <c r="P74" s="883">
        <f t="shared" si="129"/>
        <v>355281.59759999998</v>
      </c>
      <c r="Q74" s="180">
        <f t="shared" si="125"/>
        <v>2255561.8023999999</v>
      </c>
      <c r="R74" s="883">
        <f t="shared" si="130"/>
        <v>1261536.6954000001</v>
      </c>
      <c r="S74" s="883">
        <f t="shared" si="130"/>
        <v>1251520.3107</v>
      </c>
      <c r="T74" s="883">
        <f t="shared" si="130"/>
        <v>1182278.4210999999</v>
      </c>
      <c r="U74" s="883">
        <f t="shared" si="126"/>
        <v>1191172.5218</v>
      </c>
      <c r="V74" s="883">
        <f t="shared" si="126"/>
        <v>1075355.8462</v>
      </c>
      <c r="W74" s="883">
        <f t="shared" si="126"/>
        <v>1114646.4024</v>
      </c>
      <c r="X74" s="180">
        <f t="shared" si="127"/>
        <v>7076510.1975999996</v>
      </c>
      <c r="Y74" s="883"/>
      <c r="Z74" s="883"/>
      <c r="AA74" s="883"/>
      <c r="AB74" s="883"/>
      <c r="AC74" s="883"/>
      <c r="AD74" s="883"/>
      <c r="AE74" s="180"/>
      <c r="AF74" s="1389"/>
      <c r="AG74" s="972">
        <f>'PDYG-200'!D$38</f>
        <v>0.2417</v>
      </c>
      <c r="AH74" s="972">
        <f>'PDYG-200'!E$38</f>
        <v>0.30353035303530351</v>
      </c>
      <c r="AI74" s="972">
        <f>'PDYG-200'!F$38</f>
        <v>0.45476964696469646</v>
      </c>
      <c r="AK74" s="1409"/>
      <c r="AL74" s="1409"/>
      <c r="AM74" s="1409"/>
      <c r="AN74" s="1409"/>
      <c r="AO74" s="1409"/>
      <c r="AP74" s="1409"/>
    </row>
    <row r="75" spans="2:42">
      <c r="B75" s="48"/>
      <c r="C75" s="887" t="s">
        <v>305</v>
      </c>
      <c r="D75" s="883">
        <v>5437</v>
      </c>
      <c r="E75" s="883">
        <v>5482</v>
      </c>
      <c r="F75" s="883">
        <v>5450</v>
      </c>
      <c r="G75" s="883">
        <v>4963</v>
      </c>
      <c r="H75" s="883">
        <v>4057</v>
      </c>
      <c r="I75" s="883">
        <v>3448</v>
      </c>
      <c r="J75" s="180">
        <f t="shared" si="124"/>
        <v>28837</v>
      </c>
      <c r="K75" s="883">
        <f t="shared" si="129"/>
        <v>1314.1229000000001</v>
      </c>
      <c r="L75" s="883">
        <f t="shared" si="129"/>
        <v>1324.9993999999999</v>
      </c>
      <c r="M75" s="883">
        <f t="shared" si="129"/>
        <v>1317.2650000000001</v>
      </c>
      <c r="N75" s="883">
        <f t="shared" si="129"/>
        <v>1199.5571</v>
      </c>
      <c r="O75" s="883">
        <f t="shared" si="129"/>
        <v>980.57690000000002</v>
      </c>
      <c r="P75" s="883">
        <f t="shared" si="129"/>
        <v>833.38160000000005</v>
      </c>
      <c r="Q75" s="180">
        <f t="shared" si="125"/>
        <v>6969.9029</v>
      </c>
      <c r="R75" s="883">
        <f t="shared" si="130"/>
        <v>4122.8770999999997</v>
      </c>
      <c r="S75" s="883">
        <f t="shared" si="130"/>
        <v>4157.0006000000003</v>
      </c>
      <c r="T75" s="883">
        <f t="shared" si="130"/>
        <v>4132.7349999999997</v>
      </c>
      <c r="U75" s="883">
        <f t="shared" si="126"/>
        <v>3763.4429</v>
      </c>
      <c r="V75" s="883">
        <f t="shared" si="126"/>
        <v>3076.4231</v>
      </c>
      <c r="W75" s="883">
        <f t="shared" si="126"/>
        <v>2614.6183999999998</v>
      </c>
      <c r="X75" s="180">
        <f t="shared" si="127"/>
        <v>21867.097099999999</v>
      </c>
      <c r="Y75" s="883"/>
      <c r="Z75" s="883"/>
      <c r="AA75" s="883"/>
      <c r="AB75" s="883"/>
      <c r="AC75" s="883"/>
      <c r="AD75" s="883"/>
      <c r="AE75" s="180"/>
      <c r="AF75" s="1389"/>
      <c r="AG75" s="972">
        <f>'PDYG-200'!D$38</f>
        <v>0.2417</v>
      </c>
      <c r="AH75" s="972">
        <f>'PDYG-200'!E$38</f>
        <v>0.30353035303530351</v>
      </c>
      <c r="AI75" s="972">
        <f>'PDYG-200'!F$38</f>
        <v>0.45476964696469646</v>
      </c>
      <c r="AK75" s="1409"/>
      <c r="AL75" s="1409"/>
      <c r="AM75" s="1409"/>
      <c r="AN75" s="1409"/>
      <c r="AO75" s="1409"/>
      <c r="AP75" s="1409"/>
    </row>
    <row r="76" spans="2:42">
      <c r="B76" s="48"/>
      <c r="C76" s="887" t="s">
        <v>307</v>
      </c>
      <c r="D76" s="883">
        <v>450</v>
      </c>
      <c r="E76" s="883">
        <v>450</v>
      </c>
      <c r="F76" s="883">
        <v>450</v>
      </c>
      <c r="G76" s="883">
        <v>450</v>
      </c>
      <c r="H76" s="883">
        <v>425</v>
      </c>
      <c r="I76" s="883">
        <v>450</v>
      </c>
      <c r="J76" s="180">
        <f t="shared" si="124"/>
        <v>2675</v>
      </c>
      <c r="K76" s="883">
        <f t="shared" si="129"/>
        <v>108.765</v>
      </c>
      <c r="L76" s="883">
        <f t="shared" si="129"/>
        <v>108.765</v>
      </c>
      <c r="M76" s="883">
        <f t="shared" si="129"/>
        <v>108.765</v>
      </c>
      <c r="N76" s="883">
        <f t="shared" si="129"/>
        <v>108.765</v>
      </c>
      <c r="O76" s="883">
        <f t="shared" si="129"/>
        <v>102.7225</v>
      </c>
      <c r="P76" s="883">
        <f t="shared" si="129"/>
        <v>108.765</v>
      </c>
      <c r="Q76" s="180">
        <f t="shared" si="125"/>
        <v>646.54750000000001</v>
      </c>
      <c r="R76" s="883">
        <f t="shared" si="130"/>
        <v>341.23500000000001</v>
      </c>
      <c r="S76" s="883">
        <f t="shared" si="130"/>
        <v>341.23500000000001</v>
      </c>
      <c r="T76" s="883">
        <f t="shared" si="130"/>
        <v>341.23500000000001</v>
      </c>
      <c r="U76" s="883">
        <f t="shared" si="126"/>
        <v>341.23500000000001</v>
      </c>
      <c r="V76" s="883">
        <f t="shared" si="126"/>
        <v>322.27750000000003</v>
      </c>
      <c r="W76" s="883">
        <f t="shared" si="126"/>
        <v>341.23500000000001</v>
      </c>
      <c r="X76" s="180">
        <f t="shared" si="127"/>
        <v>2028.4525000000003</v>
      </c>
      <c r="Y76" s="883"/>
      <c r="Z76" s="883"/>
      <c r="AA76" s="883"/>
      <c r="AB76" s="883"/>
      <c r="AC76" s="883"/>
      <c r="AD76" s="883"/>
      <c r="AE76" s="180"/>
      <c r="AF76" s="1389"/>
      <c r="AG76" s="972">
        <f>'PDYG-200'!D$38</f>
        <v>0.2417</v>
      </c>
      <c r="AH76" s="972">
        <f>'PDYG-200'!E$38</f>
        <v>0.30353035303530351</v>
      </c>
      <c r="AI76" s="972">
        <f>'PDYG-200'!F$38</f>
        <v>0.45476964696469646</v>
      </c>
      <c r="AK76" s="1409"/>
      <c r="AL76" s="1409"/>
      <c r="AM76" s="1409"/>
      <c r="AN76" s="1409"/>
      <c r="AO76" s="1409"/>
      <c r="AP76" s="1409"/>
    </row>
    <row r="77" spans="2:42">
      <c r="B77" s="48"/>
      <c r="C77" s="887" t="s">
        <v>624</v>
      </c>
      <c r="D77" s="883">
        <v>1800</v>
      </c>
      <c r="E77" s="883">
        <v>1830</v>
      </c>
      <c r="F77" s="883">
        <v>1818</v>
      </c>
      <c r="G77" s="883">
        <v>2340</v>
      </c>
      <c r="H77" s="883">
        <v>2115</v>
      </c>
      <c r="I77" s="883">
        <v>2382</v>
      </c>
      <c r="J77" s="180">
        <f t="shared" si="124"/>
        <v>12285</v>
      </c>
      <c r="K77" s="883">
        <f t="shared" si="129"/>
        <v>435.06</v>
      </c>
      <c r="L77" s="883">
        <f t="shared" si="129"/>
        <v>442.31099999999998</v>
      </c>
      <c r="M77" s="883">
        <f t="shared" si="129"/>
        <v>439.41059999999999</v>
      </c>
      <c r="N77" s="883">
        <f t="shared" si="129"/>
        <v>565.57799999999997</v>
      </c>
      <c r="O77" s="883">
        <f t="shared" si="129"/>
        <v>511.19549999999998</v>
      </c>
      <c r="P77" s="883">
        <f t="shared" si="129"/>
        <v>575.72939999999994</v>
      </c>
      <c r="Q77" s="180">
        <f t="shared" si="125"/>
        <v>2969.2844999999998</v>
      </c>
      <c r="R77" s="883">
        <f t="shared" si="130"/>
        <v>1364.94</v>
      </c>
      <c r="S77" s="883">
        <f t="shared" si="130"/>
        <v>1387.6890000000001</v>
      </c>
      <c r="T77" s="883">
        <f t="shared" si="130"/>
        <v>1378.5894000000001</v>
      </c>
      <c r="U77" s="883">
        <f t="shared" si="126"/>
        <v>1774.422</v>
      </c>
      <c r="V77" s="883">
        <f t="shared" si="126"/>
        <v>1603.8045</v>
      </c>
      <c r="W77" s="883">
        <f t="shared" si="126"/>
        <v>1806.2706000000001</v>
      </c>
      <c r="X77" s="180">
        <f t="shared" si="127"/>
        <v>9315.7155000000002</v>
      </c>
      <c r="Y77" s="883"/>
      <c r="Z77" s="883"/>
      <c r="AA77" s="883"/>
      <c r="AB77" s="883"/>
      <c r="AC77" s="883"/>
      <c r="AD77" s="883"/>
      <c r="AE77" s="180"/>
      <c r="AF77" s="1389"/>
      <c r="AG77" s="972">
        <f>'PDYG-200'!D$38</f>
        <v>0.2417</v>
      </c>
      <c r="AH77" s="972">
        <f>'PDYG-200'!E$38</f>
        <v>0.30353035303530351</v>
      </c>
      <c r="AI77" s="972">
        <f>'PDYG-200'!F$38</f>
        <v>0.45476964696469646</v>
      </c>
      <c r="AK77" s="1409"/>
      <c r="AL77" s="1409"/>
      <c r="AM77" s="1409"/>
      <c r="AN77" s="1409"/>
      <c r="AO77" s="1409"/>
      <c r="AP77" s="1409"/>
    </row>
    <row r="78" spans="2:42">
      <c r="B78" s="48" t="s">
        <v>749</v>
      </c>
      <c r="C78" s="882" t="s">
        <v>636</v>
      </c>
      <c r="D78" s="881">
        <v>29263250</v>
      </c>
      <c r="E78" s="881">
        <v>29248063</v>
      </c>
      <c r="F78" s="881">
        <v>28670471</v>
      </c>
      <c r="G78" s="881">
        <v>29166469</v>
      </c>
      <c r="H78" s="881">
        <v>26884976</v>
      </c>
      <c r="I78" s="881">
        <v>28098398</v>
      </c>
      <c r="J78" s="180">
        <f t="shared" si="124"/>
        <v>171331627</v>
      </c>
      <c r="K78" s="881">
        <f t="shared" ref="K78:W78" si="131">SUBTOTAL(9,K79:K84)</f>
        <v>7072927.5249999994</v>
      </c>
      <c r="L78" s="881">
        <f t="shared" si="131"/>
        <v>7069256.8271000003</v>
      </c>
      <c r="M78" s="881">
        <f t="shared" si="131"/>
        <v>6929652.8407000005</v>
      </c>
      <c r="N78" s="881">
        <f t="shared" si="131"/>
        <v>7049535.5572999995</v>
      </c>
      <c r="O78" s="881">
        <f t="shared" si="131"/>
        <v>6498098.6992000006</v>
      </c>
      <c r="P78" s="881">
        <f t="shared" si="131"/>
        <v>6791382.7966</v>
      </c>
      <c r="Q78" s="180">
        <f t="shared" si="125"/>
        <v>41410854.245900005</v>
      </c>
      <c r="R78" s="881">
        <f t="shared" si="131"/>
        <v>22190322.474999998</v>
      </c>
      <c r="S78" s="881">
        <f t="shared" si="131"/>
        <v>22178806.172899995</v>
      </c>
      <c r="T78" s="881">
        <f t="shared" si="131"/>
        <v>21740818.159299999</v>
      </c>
      <c r="U78" s="881">
        <f t="shared" si="131"/>
        <v>22116933.442700002</v>
      </c>
      <c r="V78" s="881">
        <f t="shared" si="131"/>
        <v>20386877.300800003</v>
      </c>
      <c r="W78" s="881">
        <f t="shared" si="131"/>
        <v>21307015.203400001</v>
      </c>
      <c r="X78" s="180">
        <f t="shared" si="127"/>
        <v>129920772.75410001</v>
      </c>
      <c r="Y78" s="881"/>
      <c r="Z78" s="881"/>
      <c r="AA78" s="881"/>
      <c r="AB78" s="881"/>
      <c r="AC78" s="881"/>
      <c r="AD78" s="881"/>
      <c r="AE78" s="180"/>
      <c r="AF78" s="1389"/>
      <c r="AG78" s="972">
        <f>'PDYG-200'!D$38</f>
        <v>0.2417</v>
      </c>
      <c r="AH78" s="972">
        <f>'PDYG-200'!E$38</f>
        <v>0.30353035303530351</v>
      </c>
      <c r="AI78" s="972">
        <f>'PDYG-200'!F$38</f>
        <v>0.45476964696469646</v>
      </c>
      <c r="AK78" s="1409"/>
      <c r="AL78" s="1409"/>
      <c r="AM78" s="1409"/>
      <c r="AN78" s="1409"/>
      <c r="AO78" s="1409"/>
      <c r="AP78" s="1409"/>
    </row>
    <row r="79" spans="2:42">
      <c r="B79" s="37"/>
      <c r="C79" s="887" t="s">
        <v>304</v>
      </c>
      <c r="D79" s="883">
        <v>26515191</v>
      </c>
      <c r="E79" s="883">
        <v>26587237</v>
      </c>
      <c r="F79" s="883">
        <v>26142646</v>
      </c>
      <c r="G79" s="883">
        <v>26577716</v>
      </c>
      <c r="H79" s="883">
        <v>24606232</v>
      </c>
      <c r="I79" s="883">
        <v>25545725</v>
      </c>
      <c r="J79" s="180">
        <f t="shared" si="124"/>
        <v>155974747</v>
      </c>
      <c r="K79" s="883">
        <f t="shared" ref="K79:P84" si="132">D79*$AG79</f>
        <v>6408721.6646999996</v>
      </c>
      <c r="L79" s="883">
        <f t="shared" si="132"/>
        <v>6426135.1829000004</v>
      </c>
      <c r="M79" s="883">
        <f t="shared" si="132"/>
        <v>6318677.5382000003</v>
      </c>
      <c r="N79" s="883">
        <f t="shared" si="132"/>
        <v>6423833.9572000001</v>
      </c>
      <c r="O79" s="883">
        <f t="shared" si="132"/>
        <v>5947326.2743999995</v>
      </c>
      <c r="P79" s="883">
        <f t="shared" si="132"/>
        <v>6174401.7324999999</v>
      </c>
      <c r="Q79" s="180">
        <f t="shared" si="125"/>
        <v>37699096.3499</v>
      </c>
      <c r="R79" s="883">
        <f t="shared" si="130"/>
        <v>20106469.335299999</v>
      </c>
      <c r="S79" s="883">
        <f t="shared" si="130"/>
        <v>20161101.8171</v>
      </c>
      <c r="T79" s="883">
        <f t="shared" si="130"/>
        <v>19823968.461800002</v>
      </c>
      <c r="U79" s="883">
        <f t="shared" si="126"/>
        <v>20153882.042800002</v>
      </c>
      <c r="V79" s="883">
        <f t="shared" si="126"/>
        <v>18658905.7256</v>
      </c>
      <c r="W79" s="883">
        <f t="shared" si="126"/>
        <v>19371323.267499998</v>
      </c>
      <c r="X79" s="180">
        <f t="shared" si="127"/>
        <v>118275650.65010001</v>
      </c>
      <c r="Y79" s="883"/>
      <c r="Z79" s="883"/>
      <c r="AA79" s="883"/>
      <c r="AB79" s="883"/>
      <c r="AC79" s="883"/>
      <c r="AD79" s="883"/>
      <c r="AE79" s="180"/>
      <c r="AF79" s="1389"/>
      <c r="AG79" s="972">
        <f>'PDYG-200'!D$38</f>
        <v>0.2417</v>
      </c>
      <c r="AH79" s="972">
        <f>'PDYG-200'!E$38</f>
        <v>0.30353035303530351</v>
      </c>
      <c r="AI79" s="972">
        <f>'PDYG-200'!F$38</f>
        <v>0.45476964696469646</v>
      </c>
      <c r="AK79" s="1409"/>
      <c r="AL79" s="1409"/>
      <c r="AM79" s="1409"/>
      <c r="AN79" s="1409"/>
      <c r="AO79" s="1409"/>
      <c r="AP79" s="1409"/>
    </row>
    <row r="80" spans="2:42">
      <c r="B80" s="37"/>
      <c r="C80" s="889" t="s">
        <v>642</v>
      </c>
      <c r="D80" s="883">
        <v>0</v>
      </c>
      <c r="E80" s="883">
        <v>0</v>
      </c>
      <c r="F80" s="883">
        <v>0</v>
      </c>
      <c r="G80" s="883">
        <v>0</v>
      </c>
      <c r="H80" s="883">
        <v>0</v>
      </c>
      <c r="I80" s="883">
        <v>0</v>
      </c>
      <c r="J80" s="180">
        <f t="shared" si="124"/>
        <v>0</v>
      </c>
      <c r="K80" s="883">
        <f t="shared" si="132"/>
        <v>0</v>
      </c>
      <c r="L80" s="883">
        <f t="shared" si="132"/>
        <v>0</v>
      </c>
      <c r="M80" s="883">
        <f t="shared" si="132"/>
        <v>0</v>
      </c>
      <c r="N80" s="883">
        <f t="shared" si="132"/>
        <v>0</v>
      </c>
      <c r="O80" s="883">
        <f t="shared" si="132"/>
        <v>0</v>
      </c>
      <c r="P80" s="883">
        <f t="shared" si="132"/>
        <v>0</v>
      </c>
      <c r="Q80" s="180">
        <f t="shared" si="125"/>
        <v>0</v>
      </c>
      <c r="R80" s="883">
        <f t="shared" si="130"/>
        <v>0</v>
      </c>
      <c r="S80" s="883">
        <f t="shared" si="130"/>
        <v>0</v>
      </c>
      <c r="T80" s="883">
        <f t="shared" si="130"/>
        <v>0</v>
      </c>
      <c r="U80" s="883">
        <f t="shared" si="126"/>
        <v>0</v>
      </c>
      <c r="V80" s="883">
        <f t="shared" si="126"/>
        <v>0</v>
      </c>
      <c r="W80" s="883">
        <f t="shared" si="126"/>
        <v>0</v>
      </c>
      <c r="X80" s="180">
        <f t="shared" si="127"/>
        <v>0</v>
      </c>
      <c r="Y80" s="883"/>
      <c r="Z80" s="883"/>
      <c r="AA80" s="883"/>
      <c r="AB80" s="883"/>
      <c r="AC80" s="883"/>
      <c r="AD80" s="883"/>
      <c r="AE80" s="180"/>
      <c r="AF80" s="1389"/>
      <c r="AG80" s="972">
        <f>'PDYG-200'!D$38</f>
        <v>0.2417</v>
      </c>
      <c r="AH80" s="972">
        <f>'PDYG-200'!E$38</f>
        <v>0.30353035303530351</v>
      </c>
      <c r="AI80" s="972">
        <f>'PDYG-200'!F$38</f>
        <v>0.45476964696469646</v>
      </c>
      <c r="AK80" s="1409"/>
      <c r="AL80" s="1409"/>
      <c r="AM80" s="1409"/>
      <c r="AN80" s="1409"/>
      <c r="AO80" s="1409"/>
      <c r="AP80" s="1409"/>
    </row>
    <row r="81" spans="2:42">
      <c r="B81" s="37"/>
      <c r="C81" s="889" t="s">
        <v>1177</v>
      </c>
      <c r="D81" s="883">
        <v>2722476</v>
      </c>
      <c r="E81" s="883">
        <v>2632751</v>
      </c>
      <c r="F81" s="883">
        <v>2503997</v>
      </c>
      <c r="G81" s="883">
        <v>2566805</v>
      </c>
      <c r="H81" s="883">
        <v>2257000</v>
      </c>
      <c r="I81" s="883">
        <v>2543907</v>
      </c>
      <c r="J81" s="180">
        <f t="shared" si="124"/>
        <v>15226936</v>
      </c>
      <c r="K81" s="883">
        <f t="shared" si="132"/>
        <v>658022.44920000003</v>
      </c>
      <c r="L81" s="883">
        <f t="shared" si="132"/>
        <v>636335.91669999994</v>
      </c>
      <c r="M81" s="883">
        <f t="shared" si="132"/>
        <v>605216.07490000001</v>
      </c>
      <c r="N81" s="883">
        <f t="shared" si="132"/>
        <v>620396.76850000001</v>
      </c>
      <c r="O81" s="883">
        <f t="shared" si="132"/>
        <v>545516.9</v>
      </c>
      <c r="P81" s="883">
        <f t="shared" si="132"/>
        <v>614862.32189999998</v>
      </c>
      <c r="Q81" s="180">
        <f t="shared" si="125"/>
        <v>3680350.4312</v>
      </c>
      <c r="R81" s="883">
        <f t="shared" si="130"/>
        <v>2064453.5507999999</v>
      </c>
      <c r="S81" s="883">
        <f t="shared" si="130"/>
        <v>1996415.0833000001</v>
      </c>
      <c r="T81" s="883">
        <f t="shared" si="130"/>
        <v>1898780.9251000001</v>
      </c>
      <c r="U81" s="883">
        <f t="shared" si="126"/>
        <v>1946408.2315</v>
      </c>
      <c r="V81" s="883">
        <f t="shared" si="126"/>
        <v>1711483.1</v>
      </c>
      <c r="W81" s="883">
        <f t="shared" si="126"/>
        <v>1929044.6781000001</v>
      </c>
      <c r="X81" s="180">
        <f t="shared" si="127"/>
        <v>11546585.568799999</v>
      </c>
      <c r="Y81" s="883"/>
      <c r="Z81" s="883"/>
      <c r="AA81" s="883"/>
      <c r="AB81" s="883"/>
      <c r="AC81" s="883"/>
      <c r="AD81" s="883"/>
      <c r="AE81" s="180"/>
      <c r="AF81" s="1389"/>
      <c r="AG81" s="972">
        <f>'PDYG-200'!D$38</f>
        <v>0.2417</v>
      </c>
      <c r="AH81" s="972">
        <f>'PDYG-200'!E$38</f>
        <v>0.30353035303530351</v>
      </c>
      <c r="AI81" s="972">
        <f>'PDYG-200'!F$38</f>
        <v>0.45476964696469646</v>
      </c>
      <c r="AK81" s="1409"/>
      <c r="AL81" s="1409"/>
      <c r="AM81" s="1409"/>
      <c r="AN81" s="1409"/>
      <c r="AO81" s="1409"/>
      <c r="AP81" s="1409"/>
    </row>
    <row r="82" spans="2:42">
      <c r="B82" s="37"/>
      <c r="C82" s="887" t="s">
        <v>305</v>
      </c>
      <c r="D82" s="883">
        <v>23115</v>
      </c>
      <c r="E82" s="883">
        <v>25551</v>
      </c>
      <c r="F82" s="883">
        <v>20990</v>
      </c>
      <c r="G82" s="883">
        <v>19078</v>
      </c>
      <c r="H82" s="883">
        <v>18394</v>
      </c>
      <c r="I82" s="883">
        <v>6670</v>
      </c>
      <c r="J82" s="180">
        <f t="shared" si="124"/>
        <v>113798</v>
      </c>
      <c r="K82" s="883">
        <f t="shared" si="132"/>
        <v>5586.8954999999996</v>
      </c>
      <c r="L82" s="883">
        <f t="shared" si="132"/>
        <v>6175.6767</v>
      </c>
      <c r="M82" s="883">
        <f t="shared" si="132"/>
        <v>5073.2830000000004</v>
      </c>
      <c r="N82" s="883">
        <f t="shared" si="132"/>
        <v>4611.1526000000003</v>
      </c>
      <c r="O82" s="883">
        <f t="shared" si="132"/>
        <v>4445.8297999999995</v>
      </c>
      <c r="P82" s="883">
        <f t="shared" si="132"/>
        <v>1612.1389999999999</v>
      </c>
      <c r="Q82" s="180">
        <f t="shared" si="125"/>
        <v>27504.976599999998</v>
      </c>
      <c r="R82" s="883">
        <f t="shared" si="130"/>
        <v>17528.104500000001</v>
      </c>
      <c r="S82" s="883">
        <f t="shared" si="130"/>
        <v>19375.3233</v>
      </c>
      <c r="T82" s="883">
        <f t="shared" si="130"/>
        <v>15916.717000000001</v>
      </c>
      <c r="U82" s="883">
        <f t="shared" si="126"/>
        <v>14466.847399999999</v>
      </c>
      <c r="V82" s="883">
        <f t="shared" si="126"/>
        <v>13948.1702</v>
      </c>
      <c r="W82" s="883">
        <f t="shared" si="126"/>
        <v>5057.8609999999999</v>
      </c>
      <c r="X82" s="180">
        <f t="shared" si="127"/>
        <v>86293.023400000005</v>
      </c>
      <c r="Y82" s="883"/>
      <c r="Z82" s="883"/>
      <c r="AA82" s="883"/>
      <c r="AB82" s="883"/>
      <c r="AC82" s="883"/>
      <c r="AD82" s="883"/>
      <c r="AE82" s="180"/>
      <c r="AF82" s="1389"/>
      <c r="AG82" s="972">
        <f>'PDYG-200'!D$38</f>
        <v>0.2417</v>
      </c>
      <c r="AH82" s="972">
        <f>'PDYG-200'!E$38</f>
        <v>0.30353035303530351</v>
      </c>
      <c r="AI82" s="972">
        <f>'PDYG-200'!F$38</f>
        <v>0.45476964696469646</v>
      </c>
      <c r="AK82" s="1409"/>
      <c r="AL82" s="1409"/>
      <c r="AM82" s="1409"/>
      <c r="AN82" s="1409"/>
      <c r="AO82" s="1409"/>
      <c r="AP82" s="1409"/>
    </row>
    <row r="83" spans="2:42">
      <c r="B83" s="37"/>
      <c r="C83" s="887" t="s">
        <v>307</v>
      </c>
      <c r="D83" s="883">
        <v>240</v>
      </c>
      <c r="E83" s="883">
        <v>79</v>
      </c>
      <c r="F83" s="883">
        <v>221</v>
      </c>
      <c r="G83" s="883">
        <v>171</v>
      </c>
      <c r="H83" s="883">
        <v>0</v>
      </c>
      <c r="I83" s="883">
        <v>192</v>
      </c>
      <c r="J83" s="180">
        <f t="shared" si="124"/>
        <v>903</v>
      </c>
      <c r="K83" s="883">
        <f t="shared" si="132"/>
        <v>58.008000000000003</v>
      </c>
      <c r="L83" s="883">
        <f t="shared" si="132"/>
        <v>19.0943</v>
      </c>
      <c r="M83" s="883">
        <f t="shared" si="132"/>
        <v>53.415700000000001</v>
      </c>
      <c r="N83" s="883">
        <f t="shared" si="132"/>
        <v>41.3307</v>
      </c>
      <c r="O83" s="883">
        <f t="shared" si="132"/>
        <v>0</v>
      </c>
      <c r="P83" s="883">
        <f t="shared" si="132"/>
        <v>46.406399999999998</v>
      </c>
      <c r="Q83" s="180">
        <f t="shared" si="125"/>
        <v>218.2551</v>
      </c>
      <c r="R83" s="883">
        <f t="shared" si="130"/>
        <v>181.99199999999999</v>
      </c>
      <c r="S83" s="883">
        <f t="shared" si="130"/>
        <v>59.905699999999996</v>
      </c>
      <c r="T83" s="883">
        <f t="shared" si="130"/>
        <v>167.58429999999998</v>
      </c>
      <c r="U83" s="883">
        <f t="shared" si="126"/>
        <v>129.66929999999999</v>
      </c>
      <c r="V83" s="883">
        <f t="shared" si="126"/>
        <v>0</v>
      </c>
      <c r="W83" s="883">
        <f t="shared" si="126"/>
        <v>145.59360000000001</v>
      </c>
      <c r="X83" s="180">
        <f t="shared" si="127"/>
        <v>684.74490000000003</v>
      </c>
      <c r="Y83" s="883"/>
      <c r="Z83" s="883"/>
      <c r="AA83" s="883"/>
      <c r="AB83" s="883"/>
      <c r="AC83" s="883"/>
      <c r="AD83" s="883"/>
      <c r="AE83" s="180"/>
      <c r="AF83" s="1389"/>
      <c r="AG83" s="972">
        <f>'PDYG-200'!D$38</f>
        <v>0.2417</v>
      </c>
      <c r="AH83" s="972">
        <f>'PDYG-200'!E$38</f>
        <v>0.30353035303530351</v>
      </c>
      <c r="AI83" s="972">
        <f>'PDYG-200'!F$38</f>
        <v>0.45476964696469646</v>
      </c>
      <c r="AK83" s="1409"/>
      <c r="AL83" s="1409"/>
      <c r="AM83" s="1409"/>
      <c r="AN83" s="1409"/>
      <c r="AO83" s="1409"/>
      <c r="AP83" s="1409"/>
    </row>
    <row r="84" spans="2:42">
      <c r="B84" s="37"/>
      <c r="C84" s="887" t="s">
        <v>624</v>
      </c>
      <c r="D84" s="883">
        <v>2228</v>
      </c>
      <c r="E84" s="883">
        <v>2445</v>
      </c>
      <c r="F84" s="883">
        <v>2617</v>
      </c>
      <c r="G84" s="883">
        <v>2699</v>
      </c>
      <c r="H84" s="883">
        <v>3350</v>
      </c>
      <c r="I84" s="883">
        <v>1904</v>
      </c>
      <c r="J84" s="180">
        <f t="shared" si="124"/>
        <v>15243</v>
      </c>
      <c r="K84" s="883">
        <f t="shared" si="132"/>
        <v>538.50760000000002</v>
      </c>
      <c r="L84" s="883">
        <f t="shared" si="132"/>
        <v>590.95650000000001</v>
      </c>
      <c r="M84" s="883">
        <f t="shared" si="132"/>
        <v>632.52890000000002</v>
      </c>
      <c r="N84" s="883">
        <f t="shared" si="132"/>
        <v>652.34829999999999</v>
      </c>
      <c r="O84" s="883">
        <f t="shared" si="132"/>
        <v>809.69500000000005</v>
      </c>
      <c r="P84" s="883">
        <f t="shared" si="132"/>
        <v>460.1968</v>
      </c>
      <c r="Q84" s="180">
        <f t="shared" si="125"/>
        <v>3684.2331000000004</v>
      </c>
      <c r="R84" s="883">
        <f t="shared" si="130"/>
        <v>1689.4924000000001</v>
      </c>
      <c r="S84" s="883">
        <f t="shared" si="130"/>
        <v>1854.0435</v>
      </c>
      <c r="T84" s="883">
        <f t="shared" si="130"/>
        <v>1984.4711</v>
      </c>
      <c r="U84" s="883">
        <f t="shared" si="126"/>
        <v>2046.6516999999999</v>
      </c>
      <c r="V84" s="883">
        <f t="shared" si="126"/>
        <v>2540.3049999999998</v>
      </c>
      <c r="W84" s="883">
        <f t="shared" si="126"/>
        <v>1443.8032000000001</v>
      </c>
      <c r="X84" s="180">
        <f t="shared" si="127"/>
        <v>11558.766900000001</v>
      </c>
      <c r="Y84" s="883"/>
      <c r="Z84" s="883"/>
      <c r="AA84" s="883"/>
      <c r="AB84" s="883"/>
      <c r="AC84" s="883"/>
      <c r="AD84" s="883"/>
      <c r="AE84" s="180"/>
      <c r="AF84" s="1389"/>
      <c r="AG84" s="972">
        <f>'PDYG-200'!D$38</f>
        <v>0.2417</v>
      </c>
      <c r="AH84" s="972">
        <f>'PDYG-200'!E$38</f>
        <v>0.30353035303530351</v>
      </c>
      <c r="AI84" s="972">
        <f>'PDYG-200'!F$38</f>
        <v>0.45476964696469646</v>
      </c>
      <c r="AK84" s="1409"/>
      <c r="AL84" s="1409"/>
      <c r="AM84" s="1409"/>
      <c r="AN84" s="1409"/>
      <c r="AO84" s="1409"/>
      <c r="AP84" s="1409"/>
    </row>
    <row r="85" spans="2:42">
      <c r="B85" s="37"/>
      <c r="C85" s="887"/>
      <c r="D85" s="883"/>
      <c r="E85" s="883"/>
      <c r="F85" s="883"/>
      <c r="G85" s="883"/>
      <c r="H85" s="883"/>
      <c r="I85" s="883"/>
      <c r="J85" s="180">
        <f t="shared" si="124"/>
        <v>0</v>
      </c>
      <c r="K85" s="883"/>
      <c r="L85" s="883"/>
      <c r="M85" s="883"/>
      <c r="N85" s="883"/>
      <c r="O85" s="883"/>
      <c r="P85" s="883"/>
      <c r="Q85" s="180">
        <f t="shared" si="125"/>
        <v>0</v>
      </c>
      <c r="R85" s="883">
        <f t="shared" si="130"/>
        <v>0</v>
      </c>
      <c r="S85" s="883">
        <f t="shared" si="130"/>
        <v>0</v>
      </c>
      <c r="T85" s="883">
        <f t="shared" si="130"/>
        <v>0</v>
      </c>
      <c r="U85" s="883">
        <f t="shared" si="126"/>
        <v>0</v>
      </c>
      <c r="V85" s="883">
        <f t="shared" si="126"/>
        <v>0</v>
      </c>
      <c r="W85" s="883">
        <f t="shared" si="126"/>
        <v>0</v>
      </c>
      <c r="X85" s="180">
        <f t="shared" si="127"/>
        <v>0</v>
      </c>
      <c r="Y85" s="883"/>
      <c r="Z85" s="883"/>
      <c r="AA85" s="883"/>
      <c r="AB85" s="883"/>
      <c r="AC85" s="883"/>
      <c r="AD85" s="883"/>
      <c r="AE85" s="180"/>
      <c r="AF85" s="1389"/>
      <c r="AG85" s="972">
        <f>'PDYG-200'!D$38</f>
        <v>0.2417</v>
      </c>
      <c r="AH85" s="972">
        <f>'PDYG-200'!E$38</f>
        <v>0.30353035303530351</v>
      </c>
      <c r="AI85" s="972">
        <f>'PDYG-200'!F$38</f>
        <v>0.45476964696469646</v>
      </c>
      <c r="AK85" s="1409"/>
      <c r="AL85" s="1409"/>
      <c r="AM85" s="1409"/>
      <c r="AN85" s="1409"/>
      <c r="AO85" s="1409"/>
      <c r="AP85" s="1409"/>
    </row>
    <row r="86" spans="2:42">
      <c r="B86" s="48" t="s">
        <v>902</v>
      </c>
      <c r="C86" s="882" t="s">
        <v>898</v>
      </c>
      <c r="D86" s="881">
        <v>13382744</v>
      </c>
      <c r="E86" s="881">
        <v>13211586</v>
      </c>
      <c r="F86" s="881">
        <v>13706143</v>
      </c>
      <c r="G86" s="881">
        <v>13399120</v>
      </c>
      <c r="H86" s="881">
        <v>12694591</v>
      </c>
      <c r="I86" s="881">
        <v>13572555</v>
      </c>
      <c r="J86" s="180">
        <f t="shared" si="124"/>
        <v>79966739</v>
      </c>
      <c r="K86" s="881">
        <f t="shared" ref="K86:W86" si="133">SUBTOTAL(9,K87:K91)</f>
        <v>3234609.2248</v>
      </c>
      <c r="L86" s="881">
        <f t="shared" si="133"/>
        <v>3193240.3362000003</v>
      </c>
      <c r="M86" s="881">
        <f t="shared" si="133"/>
        <v>3312774.7631000001</v>
      </c>
      <c r="N86" s="881">
        <f t="shared" si="133"/>
        <v>3238567.304</v>
      </c>
      <c r="O86" s="881">
        <f t="shared" si="133"/>
        <v>3068282.6447000001</v>
      </c>
      <c r="P86" s="881">
        <f t="shared" si="133"/>
        <v>3280486.5435000001</v>
      </c>
      <c r="Q86" s="180">
        <f t="shared" si="125"/>
        <v>19327960.816300001</v>
      </c>
      <c r="R86" s="881">
        <f t="shared" si="133"/>
        <v>10148134.7752</v>
      </c>
      <c r="S86" s="881">
        <f t="shared" si="133"/>
        <v>10018345.663799999</v>
      </c>
      <c r="T86" s="881">
        <f t="shared" si="133"/>
        <v>10393368.2369</v>
      </c>
      <c r="U86" s="881">
        <f t="shared" si="133"/>
        <v>10160552.696</v>
      </c>
      <c r="V86" s="881">
        <f t="shared" si="133"/>
        <v>9626308.3552999999</v>
      </c>
      <c r="W86" s="881">
        <f t="shared" si="133"/>
        <v>10292068.456500001</v>
      </c>
      <c r="X86" s="180">
        <f t="shared" si="127"/>
        <v>60638778.183700003</v>
      </c>
      <c r="Y86" s="881"/>
      <c r="Z86" s="881"/>
      <c r="AA86" s="881"/>
      <c r="AB86" s="881"/>
      <c r="AC86" s="881"/>
      <c r="AD86" s="881"/>
      <c r="AE86" s="180"/>
      <c r="AF86" s="1389"/>
      <c r="AG86" s="972">
        <f>'PDYG-200'!D$38</f>
        <v>0.2417</v>
      </c>
      <c r="AH86" s="972">
        <f>'PDYG-200'!E$38</f>
        <v>0.30353035303530351</v>
      </c>
      <c r="AI86" s="972">
        <f>'PDYG-200'!F$38</f>
        <v>0.45476964696469646</v>
      </c>
      <c r="AK86" s="1409"/>
      <c r="AL86" s="1409"/>
      <c r="AM86" s="1409"/>
      <c r="AN86" s="1409"/>
      <c r="AO86" s="1409"/>
      <c r="AP86" s="1409"/>
    </row>
    <row r="87" spans="2:42">
      <c r="B87" s="37"/>
      <c r="C87" s="887" t="s">
        <v>304</v>
      </c>
      <c r="D87" s="883">
        <v>12711993</v>
      </c>
      <c r="E87" s="883">
        <v>12566280</v>
      </c>
      <c r="F87" s="883">
        <v>13027063</v>
      </c>
      <c r="G87" s="883">
        <v>12714073</v>
      </c>
      <c r="H87" s="883">
        <v>12060436</v>
      </c>
      <c r="I87" s="883">
        <v>12866362</v>
      </c>
      <c r="J87" s="180">
        <f t="shared" si="124"/>
        <v>75946207</v>
      </c>
      <c r="K87" s="883">
        <f t="shared" ref="K87:P91" si="134">D87*$AG87</f>
        <v>3072488.7080999999</v>
      </c>
      <c r="L87" s="883">
        <f t="shared" si="134"/>
        <v>3037269.8760000002</v>
      </c>
      <c r="M87" s="883">
        <f t="shared" si="134"/>
        <v>3148641.1271000002</v>
      </c>
      <c r="N87" s="883">
        <f t="shared" si="134"/>
        <v>3072991.4441</v>
      </c>
      <c r="O87" s="883">
        <f t="shared" si="134"/>
        <v>2915007.3812000002</v>
      </c>
      <c r="P87" s="883">
        <f t="shared" si="134"/>
        <v>3109799.6954000001</v>
      </c>
      <c r="Q87" s="180">
        <f t="shared" si="125"/>
        <v>18356198.231900003</v>
      </c>
      <c r="R87" s="883">
        <f t="shared" si="130"/>
        <v>9639504.2918999996</v>
      </c>
      <c r="S87" s="883">
        <f t="shared" si="130"/>
        <v>9529010.1239999998</v>
      </c>
      <c r="T87" s="883">
        <f t="shared" si="130"/>
        <v>9878421.8728999998</v>
      </c>
      <c r="U87" s="883">
        <f t="shared" si="126"/>
        <v>9641081.5559</v>
      </c>
      <c r="V87" s="883">
        <f t="shared" si="126"/>
        <v>9145428.6187999994</v>
      </c>
      <c r="W87" s="883">
        <f t="shared" si="126"/>
        <v>9756562.3046000004</v>
      </c>
      <c r="X87" s="180">
        <f t="shared" si="127"/>
        <v>57590008.768100001</v>
      </c>
      <c r="Y87" s="883"/>
      <c r="Z87" s="883"/>
      <c r="AA87" s="883"/>
      <c r="AB87" s="883"/>
      <c r="AC87" s="883"/>
      <c r="AD87" s="883"/>
      <c r="AE87" s="180"/>
      <c r="AF87" s="1389"/>
      <c r="AG87" s="972">
        <f>'PDYG-200'!D$38</f>
        <v>0.2417</v>
      </c>
      <c r="AH87" s="972">
        <f>'PDYG-200'!E$38</f>
        <v>0.30353035303530351</v>
      </c>
      <c r="AI87" s="972">
        <f>'PDYG-200'!F$38</f>
        <v>0.45476964696469646</v>
      </c>
      <c r="AK87" s="1409"/>
      <c r="AL87" s="1409"/>
      <c r="AM87" s="1409"/>
      <c r="AN87" s="1409"/>
      <c r="AO87" s="1409"/>
      <c r="AP87" s="1409"/>
    </row>
    <row r="88" spans="2:42">
      <c r="B88" s="37"/>
      <c r="C88" s="888" t="s">
        <v>306</v>
      </c>
      <c r="D88" s="883">
        <v>670751</v>
      </c>
      <c r="E88" s="883">
        <v>645306</v>
      </c>
      <c r="F88" s="883">
        <v>679080</v>
      </c>
      <c r="G88" s="883">
        <v>685047</v>
      </c>
      <c r="H88" s="883">
        <v>634155</v>
      </c>
      <c r="I88" s="883">
        <v>706193</v>
      </c>
      <c r="J88" s="180">
        <f t="shared" si="124"/>
        <v>4020532</v>
      </c>
      <c r="K88" s="883">
        <f t="shared" si="134"/>
        <v>162120.51670000001</v>
      </c>
      <c r="L88" s="883">
        <f t="shared" si="134"/>
        <v>155970.4602</v>
      </c>
      <c r="M88" s="883">
        <f t="shared" si="134"/>
        <v>164133.636</v>
      </c>
      <c r="N88" s="883">
        <f t="shared" si="134"/>
        <v>165575.85990000001</v>
      </c>
      <c r="O88" s="883">
        <f t="shared" si="134"/>
        <v>153275.2635</v>
      </c>
      <c r="P88" s="883">
        <f t="shared" si="134"/>
        <v>170686.8481</v>
      </c>
      <c r="Q88" s="180">
        <f t="shared" si="125"/>
        <v>971762.58440000005</v>
      </c>
      <c r="R88" s="883">
        <f t="shared" si="130"/>
        <v>508630.48329999996</v>
      </c>
      <c r="S88" s="883">
        <f t="shared" si="130"/>
        <v>489335.53980000003</v>
      </c>
      <c r="T88" s="883">
        <f t="shared" si="130"/>
        <v>514946.364</v>
      </c>
      <c r="U88" s="883">
        <f t="shared" si="126"/>
        <v>519471.14009999996</v>
      </c>
      <c r="V88" s="883">
        <f t="shared" si="126"/>
        <v>480879.7365</v>
      </c>
      <c r="W88" s="883">
        <f t="shared" si="126"/>
        <v>535506.15189999994</v>
      </c>
      <c r="X88" s="180">
        <f t="shared" si="127"/>
        <v>3048769.4155999999</v>
      </c>
      <c r="Y88" s="883"/>
      <c r="Z88" s="883"/>
      <c r="AA88" s="883"/>
      <c r="AB88" s="883"/>
      <c r="AC88" s="883"/>
      <c r="AD88" s="883"/>
      <c r="AE88" s="180"/>
      <c r="AF88" s="1389"/>
      <c r="AG88" s="972">
        <f>'PDYG-200'!D$38</f>
        <v>0.2417</v>
      </c>
      <c r="AH88" s="972">
        <f>'PDYG-200'!E$38</f>
        <v>0.30353035303530351</v>
      </c>
      <c r="AI88" s="972">
        <f>'PDYG-200'!F$38</f>
        <v>0.45476964696469646</v>
      </c>
      <c r="AK88" s="1409"/>
      <c r="AL88" s="1409"/>
      <c r="AM88" s="1409"/>
      <c r="AN88" s="1409"/>
      <c r="AO88" s="1409"/>
      <c r="AP88" s="1409"/>
    </row>
    <row r="89" spans="2:42">
      <c r="B89" s="37"/>
      <c r="C89" s="887" t="s">
        <v>305</v>
      </c>
      <c r="D89" s="883"/>
      <c r="E89" s="883"/>
      <c r="F89" s="883"/>
      <c r="G89" s="883"/>
      <c r="H89" s="883"/>
      <c r="I89" s="883"/>
      <c r="J89" s="180">
        <f t="shared" si="124"/>
        <v>0</v>
      </c>
      <c r="K89" s="883">
        <f t="shared" si="134"/>
        <v>0</v>
      </c>
      <c r="L89" s="883">
        <f t="shared" si="134"/>
        <v>0</v>
      </c>
      <c r="M89" s="883">
        <f t="shared" si="134"/>
        <v>0</v>
      </c>
      <c r="N89" s="883">
        <f t="shared" si="134"/>
        <v>0</v>
      </c>
      <c r="O89" s="883">
        <f t="shared" si="134"/>
        <v>0</v>
      </c>
      <c r="P89" s="883">
        <f t="shared" si="134"/>
        <v>0</v>
      </c>
      <c r="Q89" s="180">
        <f t="shared" si="125"/>
        <v>0</v>
      </c>
      <c r="R89" s="883">
        <f t="shared" si="130"/>
        <v>0</v>
      </c>
      <c r="S89" s="883">
        <f t="shared" si="130"/>
        <v>0</v>
      </c>
      <c r="T89" s="883">
        <f t="shared" si="130"/>
        <v>0</v>
      </c>
      <c r="U89" s="883">
        <f t="shared" si="126"/>
        <v>0</v>
      </c>
      <c r="V89" s="883">
        <f t="shared" si="126"/>
        <v>0</v>
      </c>
      <c r="W89" s="883">
        <f t="shared" si="126"/>
        <v>0</v>
      </c>
      <c r="X89" s="180">
        <f t="shared" si="127"/>
        <v>0</v>
      </c>
      <c r="Y89" s="883"/>
      <c r="Z89" s="883"/>
      <c r="AA89" s="883"/>
      <c r="AB89" s="883"/>
      <c r="AC89" s="883"/>
      <c r="AD89" s="883"/>
      <c r="AE89" s="180"/>
      <c r="AF89" s="1389"/>
      <c r="AG89" s="972">
        <f>'PDYG-200'!D$38</f>
        <v>0.2417</v>
      </c>
      <c r="AH89" s="972">
        <f>'PDYG-200'!E$38</f>
        <v>0.30353035303530351</v>
      </c>
      <c r="AI89" s="972">
        <f>'PDYG-200'!F$38</f>
        <v>0.45476964696469646</v>
      </c>
      <c r="AK89" s="1409"/>
      <c r="AL89" s="1409"/>
      <c r="AM89" s="1409"/>
      <c r="AN89" s="1409"/>
      <c r="AO89" s="1409"/>
      <c r="AP89" s="1409"/>
    </row>
    <row r="90" spans="2:42">
      <c r="B90" s="37"/>
      <c r="C90" s="887" t="s">
        <v>307</v>
      </c>
      <c r="D90" s="883"/>
      <c r="E90" s="883"/>
      <c r="F90" s="883"/>
      <c r="G90" s="883"/>
      <c r="H90" s="883"/>
      <c r="I90" s="883"/>
      <c r="J90" s="180">
        <f t="shared" si="124"/>
        <v>0</v>
      </c>
      <c r="K90" s="883">
        <f t="shared" si="134"/>
        <v>0</v>
      </c>
      <c r="L90" s="883">
        <f t="shared" si="134"/>
        <v>0</v>
      </c>
      <c r="M90" s="883">
        <f t="shared" si="134"/>
        <v>0</v>
      </c>
      <c r="N90" s="883">
        <f t="shared" si="134"/>
        <v>0</v>
      </c>
      <c r="O90" s="883">
        <f t="shared" si="134"/>
        <v>0</v>
      </c>
      <c r="P90" s="883">
        <f t="shared" si="134"/>
        <v>0</v>
      </c>
      <c r="Q90" s="180">
        <f t="shared" si="125"/>
        <v>0</v>
      </c>
      <c r="R90" s="883">
        <f t="shared" si="130"/>
        <v>0</v>
      </c>
      <c r="S90" s="883">
        <f t="shared" si="130"/>
        <v>0</v>
      </c>
      <c r="T90" s="883">
        <f t="shared" si="130"/>
        <v>0</v>
      </c>
      <c r="U90" s="883">
        <f t="shared" si="126"/>
        <v>0</v>
      </c>
      <c r="V90" s="883">
        <f t="shared" si="126"/>
        <v>0</v>
      </c>
      <c r="W90" s="883">
        <f t="shared" si="126"/>
        <v>0</v>
      </c>
      <c r="X90" s="180">
        <f t="shared" si="127"/>
        <v>0</v>
      </c>
      <c r="Y90" s="883"/>
      <c r="Z90" s="883"/>
      <c r="AA90" s="883"/>
      <c r="AB90" s="883"/>
      <c r="AC90" s="883"/>
      <c r="AD90" s="883"/>
      <c r="AE90" s="180"/>
      <c r="AF90" s="1389"/>
      <c r="AG90" s="972">
        <f>'PDYG-200'!D$38</f>
        <v>0.2417</v>
      </c>
      <c r="AH90" s="972">
        <f>'PDYG-200'!E$38</f>
        <v>0.30353035303530351</v>
      </c>
      <c r="AI90" s="972">
        <f>'PDYG-200'!F$38</f>
        <v>0.45476964696469646</v>
      </c>
      <c r="AK90" s="1409"/>
      <c r="AL90" s="1409"/>
      <c r="AM90" s="1409"/>
      <c r="AN90" s="1409"/>
      <c r="AO90" s="1409"/>
      <c r="AP90" s="1409"/>
    </row>
    <row r="91" spans="2:42">
      <c r="B91" s="37"/>
      <c r="C91" s="887" t="s">
        <v>624</v>
      </c>
      <c r="D91" s="883"/>
      <c r="E91" s="883"/>
      <c r="F91" s="883"/>
      <c r="G91" s="883"/>
      <c r="H91" s="883"/>
      <c r="I91" s="883"/>
      <c r="J91" s="180">
        <f t="shared" si="124"/>
        <v>0</v>
      </c>
      <c r="K91" s="883">
        <f t="shared" si="134"/>
        <v>0</v>
      </c>
      <c r="L91" s="883">
        <f t="shared" si="134"/>
        <v>0</v>
      </c>
      <c r="M91" s="883">
        <f t="shared" si="134"/>
        <v>0</v>
      </c>
      <c r="N91" s="883">
        <f t="shared" si="134"/>
        <v>0</v>
      </c>
      <c r="O91" s="883">
        <f t="shared" si="134"/>
        <v>0</v>
      </c>
      <c r="P91" s="883">
        <f t="shared" si="134"/>
        <v>0</v>
      </c>
      <c r="Q91" s="180">
        <f t="shared" si="125"/>
        <v>0</v>
      </c>
      <c r="R91" s="883">
        <f t="shared" si="130"/>
        <v>0</v>
      </c>
      <c r="S91" s="883">
        <f t="shared" si="130"/>
        <v>0</v>
      </c>
      <c r="T91" s="883">
        <f t="shared" si="130"/>
        <v>0</v>
      </c>
      <c r="U91" s="883">
        <f t="shared" si="126"/>
        <v>0</v>
      </c>
      <c r="V91" s="883">
        <f t="shared" si="126"/>
        <v>0</v>
      </c>
      <c r="W91" s="883">
        <f t="shared" si="126"/>
        <v>0</v>
      </c>
      <c r="X91" s="180">
        <f t="shared" si="127"/>
        <v>0</v>
      </c>
      <c r="Y91" s="883"/>
      <c r="Z91" s="883"/>
      <c r="AA91" s="883"/>
      <c r="AB91" s="883"/>
      <c r="AC91" s="883"/>
      <c r="AD91" s="883"/>
      <c r="AE91" s="180"/>
      <c r="AF91" s="1389"/>
      <c r="AG91" s="972">
        <f>'PDYG-200'!D$38</f>
        <v>0.2417</v>
      </c>
      <c r="AH91" s="972">
        <f>'PDYG-200'!E$38</f>
        <v>0.30353035303530351</v>
      </c>
      <c r="AI91" s="972">
        <f>'PDYG-200'!F$38</f>
        <v>0.45476964696469646</v>
      </c>
      <c r="AK91" s="1409"/>
      <c r="AL91" s="1409"/>
      <c r="AM91" s="1409"/>
      <c r="AN91" s="1409"/>
      <c r="AO91" s="1409"/>
      <c r="AP91" s="1409"/>
    </row>
    <row r="92" spans="2:42">
      <c r="B92" s="48" t="s">
        <v>902</v>
      </c>
      <c r="C92" s="882" t="s">
        <v>899</v>
      </c>
      <c r="D92" s="881">
        <v>1192402</v>
      </c>
      <c r="E92" s="881">
        <v>1108565</v>
      </c>
      <c r="F92" s="881">
        <v>1038419</v>
      </c>
      <c r="G92" s="881">
        <v>1117342</v>
      </c>
      <c r="H92" s="881">
        <v>857662</v>
      </c>
      <c r="I92" s="881">
        <v>1108465</v>
      </c>
      <c r="J92" s="180">
        <f t="shared" si="124"/>
        <v>6422855</v>
      </c>
      <c r="K92" s="881">
        <f t="shared" ref="K92:W92" si="135">SUBTOTAL(9,K93:K98)</f>
        <v>288203.56339999998</v>
      </c>
      <c r="L92" s="881">
        <f t="shared" si="135"/>
        <v>267940.1605</v>
      </c>
      <c r="M92" s="881">
        <f t="shared" si="135"/>
        <v>250985.87230000002</v>
      </c>
      <c r="N92" s="881">
        <f t="shared" si="135"/>
        <v>270061.56140000001</v>
      </c>
      <c r="O92" s="881">
        <f t="shared" si="135"/>
        <v>207296.90539999999</v>
      </c>
      <c r="P92" s="881">
        <f t="shared" si="135"/>
        <v>267915.99050000001</v>
      </c>
      <c r="Q92" s="180">
        <f t="shared" si="125"/>
        <v>1552404.0535000002</v>
      </c>
      <c r="R92" s="881">
        <f t="shared" si="135"/>
        <v>904198.43660000002</v>
      </c>
      <c r="S92" s="881">
        <f t="shared" si="135"/>
        <v>840624.8395</v>
      </c>
      <c r="T92" s="881">
        <f t="shared" si="135"/>
        <v>787433.12770000007</v>
      </c>
      <c r="U92" s="881">
        <f t="shared" si="135"/>
        <v>847280.43859999999</v>
      </c>
      <c r="V92" s="881">
        <f t="shared" si="135"/>
        <v>650365.09460000007</v>
      </c>
      <c r="W92" s="881">
        <f t="shared" si="135"/>
        <v>840549.00950000004</v>
      </c>
      <c r="X92" s="180">
        <f t="shared" si="127"/>
        <v>4870450.9464999996</v>
      </c>
      <c r="Y92" s="881"/>
      <c r="Z92" s="881"/>
      <c r="AA92" s="881"/>
      <c r="AB92" s="881"/>
      <c r="AC92" s="881"/>
      <c r="AD92" s="881"/>
      <c r="AE92" s="180"/>
      <c r="AF92" s="1389"/>
      <c r="AG92" s="972">
        <f>'PDYG-200'!D$38</f>
        <v>0.2417</v>
      </c>
      <c r="AH92" s="972">
        <f>'PDYG-200'!E$38</f>
        <v>0.30353035303530351</v>
      </c>
      <c r="AI92" s="972">
        <f>'PDYG-200'!F$38</f>
        <v>0.45476964696469646</v>
      </c>
      <c r="AK92" s="1409"/>
      <c r="AL92" s="1409"/>
      <c r="AM92" s="1409"/>
      <c r="AN92" s="1409"/>
      <c r="AO92" s="1409"/>
      <c r="AP92" s="1409"/>
    </row>
    <row r="93" spans="2:42">
      <c r="B93" s="37"/>
      <c r="C93" s="887" t="s">
        <v>304</v>
      </c>
      <c r="D93" s="883">
        <v>1058644</v>
      </c>
      <c r="E93" s="883">
        <v>987208</v>
      </c>
      <c r="F93" s="883">
        <v>909890</v>
      </c>
      <c r="G93" s="883">
        <v>990623</v>
      </c>
      <c r="H93" s="883">
        <v>754946</v>
      </c>
      <c r="I93" s="883">
        <v>975789</v>
      </c>
      <c r="J93" s="180">
        <f t="shared" si="124"/>
        <v>5677100</v>
      </c>
      <c r="K93" s="883">
        <f t="shared" ref="K93:P98" si="136">D93*$AG93</f>
        <v>255874.2548</v>
      </c>
      <c r="L93" s="883">
        <f t="shared" si="136"/>
        <v>238608.17360000001</v>
      </c>
      <c r="M93" s="883">
        <f t="shared" si="136"/>
        <v>219920.413</v>
      </c>
      <c r="N93" s="883">
        <f t="shared" si="136"/>
        <v>239433.5791</v>
      </c>
      <c r="O93" s="883">
        <f t="shared" si="136"/>
        <v>182470.44819999998</v>
      </c>
      <c r="P93" s="883">
        <f t="shared" si="136"/>
        <v>235848.20129999999</v>
      </c>
      <c r="Q93" s="180">
        <f t="shared" si="125"/>
        <v>1372155.07</v>
      </c>
      <c r="R93" s="883">
        <f t="shared" si="130"/>
        <v>802769.7452</v>
      </c>
      <c r="S93" s="883">
        <f t="shared" si="130"/>
        <v>748599.82640000002</v>
      </c>
      <c r="T93" s="883">
        <f t="shared" si="130"/>
        <v>689969.58700000006</v>
      </c>
      <c r="U93" s="883">
        <f t="shared" si="126"/>
        <v>751189.42090000003</v>
      </c>
      <c r="V93" s="883">
        <f t="shared" si="126"/>
        <v>572475.55180000002</v>
      </c>
      <c r="W93" s="883">
        <f t="shared" si="126"/>
        <v>739940.79870000004</v>
      </c>
      <c r="X93" s="180">
        <f t="shared" si="127"/>
        <v>4304944.93</v>
      </c>
      <c r="Y93" s="883"/>
      <c r="Z93" s="883"/>
      <c r="AA93" s="883"/>
      <c r="AB93" s="883"/>
      <c r="AC93" s="883"/>
      <c r="AD93" s="883"/>
      <c r="AE93" s="180"/>
      <c r="AF93" s="1389"/>
      <c r="AG93" s="972">
        <f>'PDYG-200'!D$38</f>
        <v>0.2417</v>
      </c>
      <c r="AH93" s="972">
        <f>'PDYG-200'!E$38</f>
        <v>0.30353035303530351</v>
      </c>
      <c r="AI93" s="972">
        <f>'PDYG-200'!F$38</f>
        <v>0.45476964696469646</v>
      </c>
      <c r="AK93" s="1409"/>
      <c r="AL93" s="1409"/>
      <c r="AM93" s="1409"/>
      <c r="AN93" s="1409"/>
      <c r="AO93" s="1409"/>
      <c r="AP93" s="1409"/>
    </row>
    <row r="94" spans="2:42">
      <c r="B94" s="37"/>
      <c r="C94" s="889" t="s">
        <v>642</v>
      </c>
      <c r="D94" s="883">
        <v>122345</v>
      </c>
      <c r="E94" s="883">
        <v>113118</v>
      </c>
      <c r="F94" s="883">
        <v>120326</v>
      </c>
      <c r="G94" s="883">
        <v>117562</v>
      </c>
      <c r="H94" s="883">
        <v>95560</v>
      </c>
      <c r="I94" s="883">
        <v>123476</v>
      </c>
      <c r="J94" s="180">
        <f t="shared" si="124"/>
        <v>692387</v>
      </c>
      <c r="K94" s="883">
        <f t="shared" si="136"/>
        <v>29570.786499999998</v>
      </c>
      <c r="L94" s="883">
        <f t="shared" si="136"/>
        <v>27340.620599999998</v>
      </c>
      <c r="M94" s="883">
        <f t="shared" si="136"/>
        <v>29082.7942</v>
      </c>
      <c r="N94" s="883">
        <f t="shared" si="136"/>
        <v>28414.735400000001</v>
      </c>
      <c r="O94" s="883">
        <f t="shared" si="136"/>
        <v>23096.851999999999</v>
      </c>
      <c r="P94" s="883">
        <f t="shared" si="136"/>
        <v>29844.1492</v>
      </c>
      <c r="Q94" s="180">
        <f t="shared" si="125"/>
        <v>167349.93790000002</v>
      </c>
      <c r="R94" s="883">
        <f t="shared" si="130"/>
        <v>92774.213499999998</v>
      </c>
      <c r="S94" s="883">
        <f t="shared" si="130"/>
        <v>85777.379400000005</v>
      </c>
      <c r="T94" s="883">
        <f t="shared" si="130"/>
        <v>91243.205799999996</v>
      </c>
      <c r="U94" s="883">
        <f t="shared" si="126"/>
        <v>89147.264599999995</v>
      </c>
      <c r="V94" s="883">
        <f t="shared" si="126"/>
        <v>72463.148000000001</v>
      </c>
      <c r="W94" s="883">
        <f t="shared" si="126"/>
        <v>93631.8508</v>
      </c>
      <c r="X94" s="180">
        <f t="shared" si="127"/>
        <v>525037.06209999998</v>
      </c>
      <c r="Y94" s="883"/>
      <c r="Z94" s="883"/>
      <c r="AA94" s="883"/>
      <c r="AB94" s="883"/>
      <c r="AC94" s="883"/>
      <c r="AD94" s="883"/>
      <c r="AE94" s="180"/>
      <c r="AF94" s="1389"/>
      <c r="AG94" s="972">
        <f>'PDYG-200'!D$38</f>
        <v>0.2417</v>
      </c>
      <c r="AH94" s="972">
        <f>'PDYG-200'!E$38</f>
        <v>0.30353035303530351</v>
      </c>
      <c r="AI94" s="972">
        <f>'PDYG-200'!F$38</f>
        <v>0.45476964696469646</v>
      </c>
      <c r="AK94" s="1409"/>
      <c r="AL94" s="1409"/>
      <c r="AM94" s="1409"/>
      <c r="AN94" s="1409"/>
      <c r="AO94" s="1409"/>
      <c r="AP94" s="1409"/>
    </row>
    <row r="95" spans="2:42">
      <c r="B95" s="37"/>
      <c r="C95" s="889" t="s">
        <v>1177</v>
      </c>
      <c r="D95" s="883">
        <v>11413</v>
      </c>
      <c r="E95" s="883">
        <v>8239</v>
      </c>
      <c r="F95" s="883">
        <v>8203</v>
      </c>
      <c r="G95" s="883">
        <v>9157</v>
      </c>
      <c r="H95" s="883">
        <v>7156</v>
      </c>
      <c r="I95" s="883">
        <v>9200</v>
      </c>
      <c r="J95" s="180">
        <f t="shared" si="124"/>
        <v>53368</v>
      </c>
      <c r="K95" s="883">
        <f t="shared" si="136"/>
        <v>2758.5221000000001</v>
      </c>
      <c r="L95" s="883">
        <f t="shared" si="136"/>
        <v>1991.3662999999999</v>
      </c>
      <c r="M95" s="883">
        <f t="shared" si="136"/>
        <v>1982.6650999999999</v>
      </c>
      <c r="N95" s="883">
        <f t="shared" si="136"/>
        <v>2213.2469000000001</v>
      </c>
      <c r="O95" s="883">
        <f t="shared" si="136"/>
        <v>1729.6052</v>
      </c>
      <c r="P95" s="883">
        <f t="shared" si="136"/>
        <v>2223.64</v>
      </c>
      <c r="Q95" s="180">
        <f t="shared" si="125"/>
        <v>12899.045599999999</v>
      </c>
      <c r="R95" s="883">
        <f t="shared" si="130"/>
        <v>8654.4778999999999</v>
      </c>
      <c r="S95" s="883">
        <f t="shared" si="130"/>
        <v>6247.6337000000003</v>
      </c>
      <c r="T95" s="883">
        <f t="shared" si="130"/>
        <v>6220.3348999999998</v>
      </c>
      <c r="U95" s="883">
        <f t="shared" si="126"/>
        <v>6943.7530999999999</v>
      </c>
      <c r="V95" s="883">
        <f t="shared" si="126"/>
        <v>5426.3948</v>
      </c>
      <c r="W95" s="883">
        <f t="shared" si="126"/>
        <v>6976.3600000000006</v>
      </c>
      <c r="X95" s="180">
        <f t="shared" si="127"/>
        <v>40468.954400000002</v>
      </c>
      <c r="Y95" s="883"/>
      <c r="Z95" s="883"/>
      <c r="AA95" s="883"/>
      <c r="AB95" s="883"/>
      <c r="AC95" s="883"/>
      <c r="AD95" s="883"/>
      <c r="AE95" s="180"/>
      <c r="AF95" s="1389"/>
      <c r="AG95" s="972">
        <f>'PDYG-200'!D$38</f>
        <v>0.2417</v>
      </c>
      <c r="AH95" s="972">
        <f>'PDYG-200'!E$38</f>
        <v>0.30353035303530351</v>
      </c>
      <c r="AI95" s="972">
        <f>'PDYG-200'!F$38</f>
        <v>0.45476964696469646</v>
      </c>
      <c r="AK95" s="1409"/>
      <c r="AL95" s="1409"/>
      <c r="AM95" s="1409"/>
      <c r="AN95" s="1409"/>
      <c r="AO95" s="1409"/>
      <c r="AP95" s="1409"/>
    </row>
    <row r="96" spans="2:42">
      <c r="B96" s="37"/>
      <c r="C96" s="887" t="s">
        <v>305</v>
      </c>
      <c r="D96" s="883"/>
      <c r="E96" s="883"/>
      <c r="F96" s="883"/>
      <c r="G96" s="883"/>
      <c r="H96" s="883"/>
      <c r="I96" s="883"/>
      <c r="J96" s="180">
        <f t="shared" si="124"/>
        <v>0</v>
      </c>
      <c r="K96" s="883">
        <f t="shared" si="136"/>
        <v>0</v>
      </c>
      <c r="L96" s="883">
        <f t="shared" si="136"/>
        <v>0</v>
      </c>
      <c r="M96" s="883">
        <f t="shared" si="136"/>
        <v>0</v>
      </c>
      <c r="N96" s="883">
        <f t="shared" si="136"/>
        <v>0</v>
      </c>
      <c r="O96" s="883">
        <f t="shared" si="136"/>
        <v>0</v>
      </c>
      <c r="P96" s="883">
        <f t="shared" si="136"/>
        <v>0</v>
      </c>
      <c r="Q96" s="180">
        <f t="shared" si="125"/>
        <v>0</v>
      </c>
      <c r="R96" s="883">
        <f t="shared" si="130"/>
        <v>0</v>
      </c>
      <c r="S96" s="883">
        <f t="shared" si="130"/>
        <v>0</v>
      </c>
      <c r="T96" s="883">
        <f t="shared" si="130"/>
        <v>0</v>
      </c>
      <c r="U96" s="883">
        <f t="shared" si="126"/>
        <v>0</v>
      </c>
      <c r="V96" s="883">
        <f t="shared" si="126"/>
        <v>0</v>
      </c>
      <c r="W96" s="883">
        <f t="shared" si="126"/>
        <v>0</v>
      </c>
      <c r="X96" s="180">
        <f t="shared" si="127"/>
        <v>0</v>
      </c>
      <c r="Y96" s="883"/>
      <c r="Z96" s="883"/>
      <c r="AA96" s="883"/>
      <c r="AB96" s="883"/>
      <c r="AC96" s="883"/>
      <c r="AD96" s="883"/>
      <c r="AE96" s="180"/>
      <c r="AF96" s="1389"/>
      <c r="AG96" s="972">
        <f>'PDYG-200'!D$38</f>
        <v>0.2417</v>
      </c>
      <c r="AH96" s="972">
        <f>'PDYG-200'!E$38</f>
        <v>0.30353035303530351</v>
      </c>
      <c r="AI96" s="972">
        <f>'PDYG-200'!F$38</f>
        <v>0.45476964696469646</v>
      </c>
      <c r="AK96" s="1409"/>
      <c r="AL96" s="1409"/>
      <c r="AM96" s="1409"/>
      <c r="AN96" s="1409"/>
      <c r="AO96" s="1409"/>
      <c r="AP96" s="1409"/>
    </row>
    <row r="97" spans="2:42">
      <c r="B97" s="37"/>
      <c r="C97" s="887" t="s">
        <v>307</v>
      </c>
      <c r="D97" s="883"/>
      <c r="E97" s="883"/>
      <c r="F97" s="883"/>
      <c r="G97" s="883"/>
      <c r="H97" s="883"/>
      <c r="I97" s="883"/>
      <c r="J97" s="180">
        <f t="shared" si="124"/>
        <v>0</v>
      </c>
      <c r="K97" s="883">
        <f t="shared" si="136"/>
        <v>0</v>
      </c>
      <c r="L97" s="883">
        <f t="shared" si="136"/>
        <v>0</v>
      </c>
      <c r="M97" s="883">
        <f t="shared" si="136"/>
        <v>0</v>
      </c>
      <c r="N97" s="883">
        <f t="shared" si="136"/>
        <v>0</v>
      </c>
      <c r="O97" s="883">
        <f t="shared" si="136"/>
        <v>0</v>
      </c>
      <c r="P97" s="883">
        <f t="shared" si="136"/>
        <v>0</v>
      </c>
      <c r="Q97" s="180">
        <f t="shared" si="125"/>
        <v>0</v>
      </c>
      <c r="R97" s="883">
        <f t="shared" si="130"/>
        <v>0</v>
      </c>
      <c r="S97" s="883">
        <f t="shared" si="130"/>
        <v>0</v>
      </c>
      <c r="T97" s="883">
        <f t="shared" si="130"/>
        <v>0</v>
      </c>
      <c r="U97" s="883">
        <f t="shared" si="126"/>
        <v>0</v>
      </c>
      <c r="V97" s="883">
        <f t="shared" si="126"/>
        <v>0</v>
      </c>
      <c r="W97" s="883">
        <f t="shared" si="126"/>
        <v>0</v>
      </c>
      <c r="X97" s="180">
        <f t="shared" si="127"/>
        <v>0</v>
      </c>
      <c r="Y97" s="883"/>
      <c r="Z97" s="883"/>
      <c r="AA97" s="883"/>
      <c r="AB97" s="883"/>
      <c r="AC97" s="883"/>
      <c r="AD97" s="883"/>
      <c r="AE97" s="180"/>
      <c r="AF97" s="1389"/>
      <c r="AG97" s="972">
        <f>'PDYG-200'!D$38</f>
        <v>0.2417</v>
      </c>
      <c r="AH97" s="972">
        <f>'PDYG-200'!E$38</f>
        <v>0.30353035303530351</v>
      </c>
      <c r="AI97" s="972">
        <f>'PDYG-200'!F$38</f>
        <v>0.45476964696469646</v>
      </c>
      <c r="AK97" s="1409"/>
      <c r="AL97" s="1409"/>
      <c r="AM97" s="1409"/>
      <c r="AN97" s="1409"/>
      <c r="AO97" s="1409"/>
      <c r="AP97" s="1409"/>
    </row>
    <row r="98" spans="2:42">
      <c r="B98" s="37"/>
      <c r="C98" s="887" t="s">
        <v>624</v>
      </c>
      <c r="D98" s="883"/>
      <c r="E98" s="883"/>
      <c r="F98" s="883"/>
      <c r="G98" s="883"/>
      <c r="H98" s="883"/>
      <c r="I98" s="883"/>
      <c r="J98" s="180">
        <f t="shared" si="124"/>
        <v>0</v>
      </c>
      <c r="K98" s="883">
        <f t="shared" si="136"/>
        <v>0</v>
      </c>
      <c r="L98" s="883">
        <f t="shared" si="136"/>
        <v>0</v>
      </c>
      <c r="M98" s="883">
        <f t="shared" si="136"/>
        <v>0</v>
      </c>
      <c r="N98" s="883">
        <f t="shared" si="136"/>
        <v>0</v>
      </c>
      <c r="O98" s="883">
        <f t="shared" si="136"/>
        <v>0</v>
      </c>
      <c r="P98" s="883">
        <f t="shared" si="136"/>
        <v>0</v>
      </c>
      <c r="Q98" s="180">
        <f t="shared" si="125"/>
        <v>0</v>
      </c>
      <c r="R98" s="883">
        <f t="shared" si="130"/>
        <v>0</v>
      </c>
      <c r="S98" s="883">
        <f t="shared" si="130"/>
        <v>0</v>
      </c>
      <c r="T98" s="883">
        <f t="shared" si="130"/>
        <v>0</v>
      </c>
      <c r="U98" s="883">
        <f t="shared" si="126"/>
        <v>0</v>
      </c>
      <c r="V98" s="883">
        <f t="shared" si="126"/>
        <v>0</v>
      </c>
      <c r="W98" s="883">
        <f t="shared" si="126"/>
        <v>0</v>
      </c>
      <c r="X98" s="180">
        <f t="shared" si="127"/>
        <v>0</v>
      </c>
      <c r="Y98" s="883"/>
      <c r="Z98" s="883"/>
      <c r="AA98" s="883"/>
      <c r="AB98" s="883"/>
      <c r="AC98" s="883"/>
      <c r="AD98" s="883"/>
      <c r="AE98" s="180"/>
      <c r="AF98" s="1389"/>
      <c r="AG98" s="972">
        <f>'PDYG-200'!D$38</f>
        <v>0.2417</v>
      </c>
      <c r="AH98" s="972">
        <f>'PDYG-200'!E$38</f>
        <v>0.30353035303530351</v>
      </c>
      <c r="AI98" s="972">
        <f>'PDYG-200'!F$38</f>
        <v>0.45476964696469646</v>
      </c>
      <c r="AK98" s="1409"/>
      <c r="AL98" s="1409"/>
      <c r="AM98" s="1409"/>
      <c r="AN98" s="1409"/>
      <c r="AO98" s="1409"/>
      <c r="AP98" s="1409"/>
    </row>
    <row r="99" spans="2:42">
      <c r="B99" s="48" t="s">
        <v>902</v>
      </c>
      <c r="C99" s="882" t="s">
        <v>900</v>
      </c>
      <c r="D99" s="881">
        <v>125413</v>
      </c>
      <c r="E99" s="881">
        <v>123757</v>
      </c>
      <c r="F99" s="881">
        <v>140003</v>
      </c>
      <c r="G99" s="881">
        <v>106707</v>
      </c>
      <c r="H99" s="881">
        <v>83789</v>
      </c>
      <c r="I99" s="881">
        <v>118026</v>
      </c>
      <c r="J99" s="180">
        <f t="shared" si="124"/>
        <v>697695</v>
      </c>
      <c r="K99" s="881">
        <f t="shared" ref="K99:W99" si="137">SUBTOTAL(9,K100:K105)</f>
        <v>30312.322100000001</v>
      </c>
      <c r="L99" s="881">
        <f t="shared" si="137"/>
        <v>29912.066900000002</v>
      </c>
      <c r="M99" s="881">
        <f t="shared" si="137"/>
        <v>33838.725100000003</v>
      </c>
      <c r="N99" s="881">
        <f t="shared" si="137"/>
        <v>25791.081900000001</v>
      </c>
      <c r="O99" s="881">
        <f t="shared" si="137"/>
        <v>20251.801300000003</v>
      </c>
      <c r="P99" s="881">
        <f t="shared" si="137"/>
        <v>28526.8842</v>
      </c>
      <c r="Q99" s="180">
        <f t="shared" si="125"/>
        <v>168632.88150000002</v>
      </c>
      <c r="R99" s="881">
        <f t="shared" si="137"/>
        <v>95100.67790000001</v>
      </c>
      <c r="S99" s="881">
        <f t="shared" si="137"/>
        <v>93844.933099999995</v>
      </c>
      <c r="T99" s="881">
        <f t="shared" si="137"/>
        <v>106164.27489999999</v>
      </c>
      <c r="U99" s="881">
        <f t="shared" si="137"/>
        <v>80915.918099999995</v>
      </c>
      <c r="V99" s="881">
        <f t="shared" si="137"/>
        <v>63537.198700000001</v>
      </c>
      <c r="W99" s="881">
        <f t="shared" si="137"/>
        <v>89499.1158</v>
      </c>
      <c r="X99" s="180">
        <f t="shared" si="127"/>
        <v>529062.11849999998</v>
      </c>
      <c r="Y99" s="881"/>
      <c r="Z99" s="881"/>
      <c r="AA99" s="881"/>
      <c r="AB99" s="881"/>
      <c r="AC99" s="881"/>
      <c r="AD99" s="881"/>
      <c r="AE99" s="180"/>
      <c r="AF99" s="1389"/>
      <c r="AG99" s="972">
        <f>'PDYG-200'!D$38</f>
        <v>0.2417</v>
      </c>
      <c r="AH99" s="972">
        <f>'PDYG-200'!E$38</f>
        <v>0.30353035303530351</v>
      </c>
      <c r="AI99" s="972">
        <f>'PDYG-200'!F$38</f>
        <v>0.45476964696469646</v>
      </c>
      <c r="AK99" s="1409"/>
      <c r="AL99" s="1409"/>
      <c r="AM99" s="1409"/>
      <c r="AN99" s="1409"/>
      <c r="AO99" s="1409"/>
      <c r="AP99" s="1409"/>
    </row>
    <row r="100" spans="2:42">
      <c r="B100" s="37"/>
      <c r="C100" s="887" t="s">
        <v>304</v>
      </c>
      <c r="D100" s="883">
        <v>119301</v>
      </c>
      <c r="E100" s="883">
        <v>120528</v>
      </c>
      <c r="F100" s="883">
        <v>135542</v>
      </c>
      <c r="G100" s="883">
        <v>101074</v>
      </c>
      <c r="H100" s="883">
        <v>81331</v>
      </c>
      <c r="I100" s="883">
        <v>113660</v>
      </c>
      <c r="J100" s="180">
        <f t="shared" si="124"/>
        <v>671436</v>
      </c>
      <c r="K100" s="883">
        <f t="shared" ref="K100:P105" si="138">D100*$AG100</f>
        <v>28835.0517</v>
      </c>
      <c r="L100" s="883">
        <f t="shared" si="138"/>
        <v>29131.617600000001</v>
      </c>
      <c r="M100" s="883">
        <f t="shared" si="138"/>
        <v>32760.501400000001</v>
      </c>
      <c r="N100" s="883">
        <f t="shared" si="138"/>
        <v>24429.585800000001</v>
      </c>
      <c r="O100" s="883">
        <f t="shared" si="138"/>
        <v>19657.702700000002</v>
      </c>
      <c r="P100" s="883">
        <f t="shared" si="138"/>
        <v>27471.621999999999</v>
      </c>
      <c r="Q100" s="180">
        <f t="shared" si="125"/>
        <v>162286.08120000002</v>
      </c>
      <c r="R100" s="883">
        <f t="shared" si="130"/>
        <v>90465.948300000004</v>
      </c>
      <c r="S100" s="883">
        <f t="shared" si="130"/>
        <v>91396.382400000002</v>
      </c>
      <c r="T100" s="883">
        <f t="shared" si="130"/>
        <v>102781.49859999999</v>
      </c>
      <c r="U100" s="883">
        <f t="shared" si="126"/>
        <v>76644.414199999999</v>
      </c>
      <c r="V100" s="883">
        <f t="shared" si="126"/>
        <v>61673.297299999998</v>
      </c>
      <c r="W100" s="883">
        <f t="shared" si="126"/>
        <v>86188.377999999997</v>
      </c>
      <c r="X100" s="180">
        <f t="shared" si="127"/>
        <v>509149.91879999998</v>
      </c>
      <c r="Y100" s="883"/>
      <c r="Z100" s="883"/>
      <c r="AA100" s="883"/>
      <c r="AB100" s="883"/>
      <c r="AC100" s="883"/>
      <c r="AD100" s="883"/>
      <c r="AE100" s="180"/>
      <c r="AF100" s="1389"/>
      <c r="AG100" s="972">
        <f>'PDYG-200'!D$38</f>
        <v>0.2417</v>
      </c>
      <c r="AH100" s="972">
        <f>'PDYG-200'!E$38</f>
        <v>0.30353035303530351</v>
      </c>
      <c r="AI100" s="972">
        <f>'PDYG-200'!F$38</f>
        <v>0.45476964696469646</v>
      </c>
      <c r="AK100" s="1409"/>
      <c r="AL100" s="1409"/>
      <c r="AM100" s="1409"/>
      <c r="AN100" s="1409"/>
      <c r="AO100" s="1409"/>
      <c r="AP100" s="1409"/>
    </row>
    <row r="101" spans="2:42">
      <c r="B101" s="37"/>
      <c r="C101" s="889" t="s">
        <v>642</v>
      </c>
      <c r="D101" s="883">
        <v>6112</v>
      </c>
      <c r="E101" s="883">
        <v>3229</v>
      </c>
      <c r="F101" s="883">
        <v>4461</v>
      </c>
      <c r="G101" s="883">
        <v>5633</v>
      </c>
      <c r="H101" s="883">
        <v>2458</v>
      </c>
      <c r="I101" s="883">
        <v>4366</v>
      </c>
      <c r="J101" s="180">
        <f t="shared" si="124"/>
        <v>26259</v>
      </c>
      <c r="K101" s="883">
        <f t="shared" si="138"/>
        <v>1477.2703999999999</v>
      </c>
      <c r="L101" s="883">
        <f t="shared" si="138"/>
        <v>780.44929999999999</v>
      </c>
      <c r="M101" s="883">
        <f t="shared" si="138"/>
        <v>1078.2237</v>
      </c>
      <c r="N101" s="883">
        <f t="shared" si="138"/>
        <v>1361.4961000000001</v>
      </c>
      <c r="O101" s="883">
        <f t="shared" si="138"/>
        <v>594.09860000000003</v>
      </c>
      <c r="P101" s="883">
        <f t="shared" si="138"/>
        <v>1055.2621999999999</v>
      </c>
      <c r="Q101" s="180">
        <f t="shared" si="125"/>
        <v>6346.8002999999999</v>
      </c>
      <c r="R101" s="883">
        <f t="shared" si="130"/>
        <v>4634.7296000000006</v>
      </c>
      <c r="S101" s="883">
        <f t="shared" si="130"/>
        <v>2448.5506999999998</v>
      </c>
      <c r="T101" s="883">
        <f t="shared" si="130"/>
        <v>3382.7763</v>
      </c>
      <c r="U101" s="883">
        <f t="shared" si="126"/>
        <v>4271.5038999999997</v>
      </c>
      <c r="V101" s="883">
        <f t="shared" si="126"/>
        <v>1863.9014</v>
      </c>
      <c r="W101" s="883">
        <f t="shared" si="126"/>
        <v>3310.7377999999999</v>
      </c>
      <c r="X101" s="180">
        <f t="shared" si="127"/>
        <v>19912.199699999997</v>
      </c>
      <c r="Y101" s="883"/>
      <c r="Z101" s="883"/>
      <c r="AA101" s="883"/>
      <c r="AB101" s="883"/>
      <c r="AC101" s="883"/>
      <c r="AD101" s="883"/>
      <c r="AE101" s="180"/>
      <c r="AF101" s="1389"/>
      <c r="AG101" s="972">
        <f>'PDYG-200'!D$38</f>
        <v>0.2417</v>
      </c>
      <c r="AH101" s="972">
        <f>'PDYG-200'!E$38</f>
        <v>0.30353035303530351</v>
      </c>
      <c r="AI101" s="972">
        <f>'PDYG-200'!F$38</f>
        <v>0.45476964696469646</v>
      </c>
      <c r="AK101" s="1409"/>
      <c r="AL101" s="1409"/>
      <c r="AM101" s="1409"/>
      <c r="AN101" s="1409"/>
      <c r="AO101" s="1409"/>
      <c r="AP101" s="1409"/>
    </row>
    <row r="102" spans="2:42">
      <c r="B102" s="37"/>
      <c r="C102" s="889" t="s">
        <v>1177</v>
      </c>
      <c r="D102" s="883"/>
      <c r="E102" s="883"/>
      <c r="F102" s="883"/>
      <c r="G102" s="883"/>
      <c r="H102" s="883"/>
      <c r="I102" s="883"/>
      <c r="J102" s="180">
        <f t="shared" si="124"/>
        <v>0</v>
      </c>
      <c r="K102" s="883">
        <f t="shared" si="138"/>
        <v>0</v>
      </c>
      <c r="L102" s="883">
        <f t="shared" si="138"/>
        <v>0</v>
      </c>
      <c r="M102" s="883">
        <f t="shared" si="138"/>
        <v>0</v>
      </c>
      <c r="N102" s="883">
        <f t="shared" si="138"/>
        <v>0</v>
      </c>
      <c r="O102" s="883">
        <f t="shared" si="138"/>
        <v>0</v>
      </c>
      <c r="P102" s="883">
        <f t="shared" si="138"/>
        <v>0</v>
      </c>
      <c r="Q102" s="180">
        <f t="shared" si="125"/>
        <v>0</v>
      </c>
      <c r="R102" s="883">
        <f t="shared" si="130"/>
        <v>0</v>
      </c>
      <c r="S102" s="883">
        <f t="shared" si="130"/>
        <v>0</v>
      </c>
      <c r="T102" s="883">
        <f t="shared" si="130"/>
        <v>0</v>
      </c>
      <c r="U102" s="883">
        <f t="shared" si="126"/>
        <v>0</v>
      </c>
      <c r="V102" s="883">
        <f t="shared" si="126"/>
        <v>0</v>
      </c>
      <c r="W102" s="883">
        <f t="shared" si="126"/>
        <v>0</v>
      </c>
      <c r="X102" s="180">
        <f t="shared" si="127"/>
        <v>0</v>
      </c>
      <c r="Y102" s="883"/>
      <c r="Z102" s="883"/>
      <c r="AA102" s="883"/>
      <c r="AB102" s="883"/>
      <c r="AC102" s="883"/>
      <c r="AD102" s="883"/>
      <c r="AE102" s="180"/>
      <c r="AF102" s="1389"/>
      <c r="AG102" s="972">
        <f>'PDYG-200'!D$38</f>
        <v>0.2417</v>
      </c>
      <c r="AH102" s="972">
        <f>'PDYG-200'!E$38</f>
        <v>0.30353035303530351</v>
      </c>
      <c r="AI102" s="972">
        <f>'PDYG-200'!F$38</f>
        <v>0.45476964696469646</v>
      </c>
      <c r="AK102" s="1409"/>
      <c r="AL102" s="1409"/>
      <c r="AM102" s="1409"/>
      <c r="AN102" s="1409"/>
      <c r="AO102" s="1409"/>
      <c r="AP102" s="1409"/>
    </row>
    <row r="103" spans="2:42">
      <c r="B103" s="37"/>
      <c r="C103" s="887" t="s">
        <v>305</v>
      </c>
      <c r="D103" s="883"/>
      <c r="E103" s="883"/>
      <c r="F103" s="883"/>
      <c r="G103" s="883"/>
      <c r="H103" s="883"/>
      <c r="I103" s="883"/>
      <c r="J103" s="180">
        <f t="shared" si="124"/>
        <v>0</v>
      </c>
      <c r="K103" s="883">
        <f t="shared" si="138"/>
        <v>0</v>
      </c>
      <c r="L103" s="883">
        <f t="shared" si="138"/>
        <v>0</v>
      </c>
      <c r="M103" s="883">
        <f t="shared" si="138"/>
        <v>0</v>
      </c>
      <c r="N103" s="883">
        <f t="shared" si="138"/>
        <v>0</v>
      </c>
      <c r="O103" s="883">
        <f t="shared" si="138"/>
        <v>0</v>
      </c>
      <c r="P103" s="883">
        <f t="shared" si="138"/>
        <v>0</v>
      </c>
      <c r="Q103" s="180">
        <f t="shared" si="125"/>
        <v>0</v>
      </c>
      <c r="R103" s="883">
        <f t="shared" si="130"/>
        <v>0</v>
      </c>
      <c r="S103" s="883">
        <f t="shared" si="130"/>
        <v>0</v>
      </c>
      <c r="T103" s="883">
        <f t="shared" si="130"/>
        <v>0</v>
      </c>
      <c r="U103" s="883">
        <f t="shared" si="126"/>
        <v>0</v>
      </c>
      <c r="V103" s="883">
        <f t="shared" si="126"/>
        <v>0</v>
      </c>
      <c r="W103" s="883">
        <f t="shared" si="126"/>
        <v>0</v>
      </c>
      <c r="X103" s="180">
        <f t="shared" si="127"/>
        <v>0</v>
      </c>
      <c r="Y103" s="883"/>
      <c r="Z103" s="883"/>
      <c r="AA103" s="883"/>
      <c r="AB103" s="883"/>
      <c r="AC103" s="883"/>
      <c r="AD103" s="883"/>
      <c r="AE103" s="180"/>
      <c r="AF103" s="1389"/>
      <c r="AG103" s="972">
        <f>'PDYG-200'!D$38</f>
        <v>0.2417</v>
      </c>
      <c r="AH103" s="972">
        <f>'PDYG-200'!E$38</f>
        <v>0.30353035303530351</v>
      </c>
      <c r="AI103" s="972">
        <f>'PDYG-200'!F$38</f>
        <v>0.45476964696469646</v>
      </c>
      <c r="AK103" s="1409"/>
      <c r="AL103" s="1409"/>
      <c r="AM103" s="1409"/>
      <c r="AN103" s="1409"/>
      <c r="AO103" s="1409"/>
      <c r="AP103" s="1409"/>
    </row>
    <row r="104" spans="2:42">
      <c r="B104" s="37"/>
      <c r="C104" s="887" t="s">
        <v>307</v>
      </c>
      <c r="D104" s="883"/>
      <c r="E104" s="883"/>
      <c r="F104" s="883"/>
      <c r="G104" s="883"/>
      <c r="H104" s="883"/>
      <c r="I104" s="883"/>
      <c r="J104" s="180">
        <f t="shared" si="124"/>
        <v>0</v>
      </c>
      <c r="K104" s="883">
        <f t="shared" si="138"/>
        <v>0</v>
      </c>
      <c r="L104" s="883">
        <f t="shared" si="138"/>
        <v>0</v>
      </c>
      <c r="M104" s="883">
        <f t="shared" si="138"/>
        <v>0</v>
      </c>
      <c r="N104" s="883">
        <f t="shared" si="138"/>
        <v>0</v>
      </c>
      <c r="O104" s="883">
        <f t="shared" si="138"/>
        <v>0</v>
      </c>
      <c r="P104" s="883">
        <f t="shared" si="138"/>
        <v>0</v>
      </c>
      <c r="Q104" s="180">
        <f t="shared" si="125"/>
        <v>0</v>
      </c>
      <c r="R104" s="883">
        <f t="shared" si="130"/>
        <v>0</v>
      </c>
      <c r="S104" s="883">
        <f t="shared" si="130"/>
        <v>0</v>
      </c>
      <c r="T104" s="883">
        <f t="shared" si="130"/>
        <v>0</v>
      </c>
      <c r="U104" s="883">
        <f t="shared" si="126"/>
        <v>0</v>
      </c>
      <c r="V104" s="883">
        <f t="shared" si="126"/>
        <v>0</v>
      </c>
      <c r="W104" s="883">
        <f t="shared" si="126"/>
        <v>0</v>
      </c>
      <c r="X104" s="180">
        <f t="shared" si="127"/>
        <v>0</v>
      </c>
      <c r="Y104" s="883"/>
      <c r="Z104" s="883"/>
      <c r="AA104" s="883"/>
      <c r="AB104" s="883"/>
      <c r="AC104" s="883"/>
      <c r="AD104" s="883"/>
      <c r="AE104" s="180"/>
      <c r="AF104" s="1389"/>
      <c r="AG104" s="972">
        <f>'PDYG-200'!D$38</f>
        <v>0.2417</v>
      </c>
      <c r="AH104" s="972">
        <f>'PDYG-200'!E$38</f>
        <v>0.30353035303530351</v>
      </c>
      <c r="AI104" s="972">
        <f>'PDYG-200'!F$38</f>
        <v>0.45476964696469646</v>
      </c>
      <c r="AK104" s="1409"/>
      <c r="AL104" s="1409"/>
      <c r="AM104" s="1409"/>
      <c r="AN104" s="1409"/>
      <c r="AO104" s="1409"/>
      <c r="AP104" s="1409"/>
    </row>
    <row r="105" spans="2:42">
      <c r="B105" s="37"/>
      <c r="C105" s="887" t="s">
        <v>624</v>
      </c>
      <c r="D105" s="883"/>
      <c r="E105" s="883"/>
      <c r="F105" s="883"/>
      <c r="G105" s="883"/>
      <c r="H105" s="883"/>
      <c r="I105" s="883"/>
      <c r="J105" s="180">
        <f t="shared" si="124"/>
        <v>0</v>
      </c>
      <c r="K105" s="883">
        <f t="shared" si="138"/>
        <v>0</v>
      </c>
      <c r="L105" s="883">
        <f t="shared" si="138"/>
        <v>0</v>
      </c>
      <c r="M105" s="883">
        <f t="shared" si="138"/>
        <v>0</v>
      </c>
      <c r="N105" s="883">
        <f t="shared" si="138"/>
        <v>0</v>
      </c>
      <c r="O105" s="883">
        <f t="shared" si="138"/>
        <v>0</v>
      </c>
      <c r="P105" s="883">
        <f t="shared" si="138"/>
        <v>0</v>
      </c>
      <c r="Q105" s="180">
        <f t="shared" si="125"/>
        <v>0</v>
      </c>
      <c r="R105" s="883">
        <f t="shared" si="130"/>
        <v>0</v>
      </c>
      <c r="S105" s="883">
        <f t="shared" si="130"/>
        <v>0</v>
      </c>
      <c r="T105" s="883">
        <f t="shared" si="130"/>
        <v>0</v>
      </c>
      <c r="U105" s="883">
        <f t="shared" si="126"/>
        <v>0</v>
      </c>
      <c r="V105" s="883">
        <f t="shared" si="126"/>
        <v>0</v>
      </c>
      <c r="W105" s="883">
        <f t="shared" si="126"/>
        <v>0</v>
      </c>
      <c r="X105" s="180">
        <f t="shared" si="127"/>
        <v>0</v>
      </c>
      <c r="Y105" s="883"/>
      <c r="Z105" s="883"/>
      <c r="AA105" s="883"/>
      <c r="AB105" s="883"/>
      <c r="AC105" s="883"/>
      <c r="AD105" s="883"/>
      <c r="AE105" s="180"/>
      <c r="AF105" s="1389"/>
      <c r="AG105" s="972">
        <f>'PDYG-200'!D$38</f>
        <v>0.2417</v>
      </c>
      <c r="AH105" s="972">
        <f>'PDYG-200'!E$38</f>
        <v>0.30353035303530351</v>
      </c>
      <c r="AI105" s="972">
        <f>'PDYG-200'!F$38</f>
        <v>0.45476964696469646</v>
      </c>
    </row>
    <row r="106" spans="2:42">
      <c r="B106" s="37"/>
      <c r="C106" s="884"/>
      <c r="D106" s="883"/>
      <c r="E106" s="883"/>
      <c r="F106" s="883"/>
      <c r="G106" s="883"/>
      <c r="H106" s="883"/>
      <c r="I106" s="883"/>
      <c r="J106" s="180">
        <f t="shared" si="124"/>
        <v>0</v>
      </c>
      <c r="K106" s="883"/>
      <c r="L106" s="883"/>
      <c r="M106" s="883"/>
      <c r="N106" s="883"/>
      <c r="O106" s="883"/>
      <c r="P106" s="883"/>
      <c r="Q106" s="180">
        <f t="shared" si="125"/>
        <v>0</v>
      </c>
      <c r="R106" s="883">
        <f t="shared" si="130"/>
        <v>0</v>
      </c>
      <c r="S106" s="883">
        <f t="shared" si="130"/>
        <v>0</v>
      </c>
      <c r="T106" s="883">
        <f t="shared" si="130"/>
        <v>0</v>
      </c>
      <c r="U106" s="883">
        <f t="shared" si="126"/>
        <v>0</v>
      </c>
      <c r="V106" s="883">
        <f t="shared" si="126"/>
        <v>0</v>
      </c>
      <c r="W106" s="883">
        <f t="shared" si="126"/>
        <v>0</v>
      </c>
      <c r="X106" s="180">
        <f t="shared" si="127"/>
        <v>0</v>
      </c>
      <c r="Y106" s="883"/>
      <c r="Z106" s="883"/>
      <c r="AA106" s="883"/>
      <c r="AB106" s="883"/>
      <c r="AC106" s="883"/>
      <c r="AD106" s="883"/>
      <c r="AE106" s="180"/>
      <c r="AF106" s="1389"/>
      <c r="AG106" s="972">
        <f>'PDYG-200'!D$38</f>
        <v>0.2417</v>
      </c>
      <c r="AH106" s="972">
        <f>'PDYG-200'!E$38</f>
        <v>0.30353035303530351</v>
      </c>
      <c r="AI106" s="972">
        <f>'PDYG-200'!F$38</f>
        <v>0.45476964696469646</v>
      </c>
    </row>
    <row r="107" spans="2:42" s="587" customFormat="1">
      <c r="B107" s="37"/>
      <c r="C107" s="179" t="s">
        <v>322</v>
      </c>
      <c r="D107" s="180">
        <v>276099083</v>
      </c>
      <c r="E107" s="180">
        <v>276214311</v>
      </c>
      <c r="F107" s="180">
        <v>270997367</v>
      </c>
      <c r="G107" s="180">
        <v>275267488</v>
      </c>
      <c r="H107" s="180">
        <v>263340211</v>
      </c>
      <c r="I107" s="180">
        <v>264574189</v>
      </c>
      <c r="J107" s="180">
        <f t="shared" si="124"/>
        <v>1626492649</v>
      </c>
      <c r="K107" s="180">
        <f t="shared" ref="K107:W107" si="139">SUBTOTAL(9,K5:K106)</f>
        <v>79927556.036200032</v>
      </c>
      <c r="L107" s="180">
        <f t="shared" si="139"/>
        <v>79567563.647500023</v>
      </c>
      <c r="M107" s="180">
        <f t="shared" si="139"/>
        <v>77720774.207900047</v>
      </c>
      <c r="N107" s="180">
        <f t="shared" si="139"/>
        <v>79122973.980900005</v>
      </c>
      <c r="O107" s="180">
        <f t="shared" si="139"/>
        <v>74224025.884799987</v>
      </c>
      <c r="P107" s="180">
        <f t="shared" si="139"/>
        <v>75265308.604399994</v>
      </c>
      <c r="Q107" s="180">
        <f t="shared" si="125"/>
        <v>465828202.36170012</v>
      </c>
      <c r="R107" s="180">
        <f t="shared" si="139"/>
        <v>184615339.76592702</v>
      </c>
      <c r="S107" s="180">
        <f t="shared" si="139"/>
        <v>184666998.24560955</v>
      </c>
      <c r="T107" s="180">
        <f t="shared" si="139"/>
        <v>181405482.25187275</v>
      </c>
      <c r="U107" s="180">
        <f t="shared" si="139"/>
        <v>183903588.87860247</v>
      </c>
      <c r="V107" s="180">
        <f t="shared" si="139"/>
        <v>175678129.70542428</v>
      </c>
      <c r="W107" s="180">
        <f t="shared" si="139"/>
        <v>177039024.13881046</v>
      </c>
      <c r="X107" s="180">
        <f t="shared" si="127"/>
        <v>1087308562.9862466</v>
      </c>
      <c r="Y107" s="180">
        <f t="shared" ref="Y107:AD107" si="140">SUBTOTAL(9,Y5:Y106)</f>
        <v>11556187.197872991</v>
      </c>
      <c r="Z107" s="180">
        <f t="shared" si="140"/>
        <v>11979749.106890511</v>
      </c>
      <c r="AA107" s="180">
        <f t="shared" si="140"/>
        <v>11871110.540227337</v>
      </c>
      <c r="AB107" s="180">
        <f t="shared" si="140"/>
        <v>12240925.140497549</v>
      </c>
      <c r="AC107" s="180">
        <f t="shared" si="140"/>
        <v>13438055.409775762</v>
      </c>
      <c r="AD107" s="180">
        <f t="shared" si="140"/>
        <v>12269856.25678952</v>
      </c>
      <c r="AE107" s="180">
        <f t="shared" ref="AE107" si="141">SUM(Y107:AD107)</f>
        <v>73355883.652053684</v>
      </c>
      <c r="AF107" s="1389"/>
      <c r="AG107" s="969"/>
      <c r="AH107" s="969"/>
      <c r="AI107" s="969"/>
    </row>
    <row r="108" spans="2:42">
      <c r="B108" s="37"/>
      <c r="C108" s="1247" t="s">
        <v>88</v>
      </c>
      <c r="D108" s="180">
        <f>6692707</f>
        <v>6692707</v>
      </c>
      <c r="E108" s="180">
        <f>6693541</f>
        <v>6693541</v>
      </c>
      <c r="F108" s="180">
        <f>6660739</f>
        <v>6660739</v>
      </c>
      <c r="G108" s="180">
        <f>6662419</f>
        <v>6662419</v>
      </c>
      <c r="H108" s="180">
        <f>6629164</f>
        <v>6629164</v>
      </c>
      <c r="I108" s="180">
        <f>6579829</f>
        <v>6579829</v>
      </c>
      <c r="J108" s="180">
        <f t="shared" si="124"/>
        <v>39918399</v>
      </c>
      <c r="K108" s="1245"/>
      <c r="L108" s="1245"/>
      <c r="M108" s="1245"/>
      <c r="N108" s="1245"/>
      <c r="O108" s="1245"/>
      <c r="P108" s="1245"/>
      <c r="Q108" s="180">
        <f t="shared" si="125"/>
        <v>0</v>
      </c>
      <c r="R108" s="180">
        <f t="shared" si="130"/>
        <v>6692707</v>
      </c>
      <c r="S108" s="180">
        <f t="shared" si="130"/>
        <v>6693541</v>
      </c>
      <c r="T108" s="180">
        <f t="shared" si="130"/>
        <v>6660739</v>
      </c>
      <c r="U108" s="180">
        <f t="shared" si="126"/>
        <v>6662419</v>
      </c>
      <c r="V108" s="180">
        <f t="shared" si="126"/>
        <v>6629164</v>
      </c>
      <c r="W108" s="180">
        <f t="shared" si="126"/>
        <v>6579829</v>
      </c>
      <c r="X108" s="180">
        <f t="shared" si="127"/>
        <v>39918399</v>
      </c>
      <c r="Y108" s="1245"/>
      <c r="Z108" s="1245"/>
      <c r="AA108" s="1245"/>
      <c r="AB108" s="1245"/>
      <c r="AC108" s="1245"/>
      <c r="AD108" s="1245"/>
      <c r="AE108" s="180"/>
      <c r="AF108" s="1389"/>
    </row>
    <row r="109" spans="2:42" s="587" customFormat="1">
      <c r="B109" s="37"/>
      <c r="C109" s="179" t="s">
        <v>112</v>
      </c>
      <c r="D109" s="180">
        <f t="shared" ref="D109:X109" si="142">D107+D108</f>
        <v>282791790</v>
      </c>
      <c r="E109" s="180">
        <f t="shared" si="142"/>
        <v>282907852</v>
      </c>
      <c r="F109" s="180">
        <f t="shared" si="142"/>
        <v>277658106</v>
      </c>
      <c r="G109" s="180">
        <f t="shared" si="142"/>
        <v>281929907</v>
      </c>
      <c r="H109" s="180">
        <f t="shared" si="142"/>
        <v>269969375</v>
      </c>
      <c r="I109" s="180">
        <f t="shared" si="142"/>
        <v>271154018</v>
      </c>
      <c r="J109" s="180">
        <f t="shared" si="124"/>
        <v>1666411048</v>
      </c>
      <c r="K109" s="180">
        <f t="shared" si="142"/>
        <v>79927556.036200032</v>
      </c>
      <c r="L109" s="180">
        <f t="shared" si="142"/>
        <v>79567563.647500023</v>
      </c>
      <c r="M109" s="180">
        <f t="shared" si="142"/>
        <v>77720774.207900047</v>
      </c>
      <c r="N109" s="180">
        <f t="shared" si="142"/>
        <v>79122973.980900005</v>
      </c>
      <c r="O109" s="180">
        <f t="shared" si="142"/>
        <v>74224025.884799987</v>
      </c>
      <c r="P109" s="180">
        <f t="shared" si="142"/>
        <v>75265308.604399994</v>
      </c>
      <c r="Q109" s="180">
        <f t="shared" si="125"/>
        <v>465828202.36170012</v>
      </c>
      <c r="R109" s="180">
        <f t="shared" si="142"/>
        <v>191308046.76592702</v>
      </c>
      <c r="S109" s="180">
        <f t="shared" si="142"/>
        <v>191360539.24560955</v>
      </c>
      <c r="T109" s="180">
        <f t="shared" si="142"/>
        <v>188066221.25187275</v>
      </c>
      <c r="U109" s="180">
        <f t="shared" si="142"/>
        <v>190566007.87860247</v>
      </c>
      <c r="V109" s="180">
        <f t="shared" si="142"/>
        <v>182307293.70542428</v>
      </c>
      <c r="W109" s="180">
        <f t="shared" si="142"/>
        <v>183618853.13881046</v>
      </c>
      <c r="X109" s="180">
        <f t="shared" si="142"/>
        <v>1127226961.9862466</v>
      </c>
      <c r="Y109" s="180">
        <f t="shared" ref="Y109:AD109" si="143">Y107+Y108</f>
        <v>11556187.197872991</v>
      </c>
      <c r="Z109" s="180">
        <f t="shared" si="143"/>
        <v>11979749.106890511</v>
      </c>
      <c r="AA109" s="180">
        <f t="shared" si="143"/>
        <v>11871110.540227337</v>
      </c>
      <c r="AB109" s="180">
        <f t="shared" si="143"/>
        <v>12240925.140497549</v>
      </c>
      <c r="AC109" s="180">
        <f t="shared" si="143"/>
        <v>13438055.409775762</v>
      </c>
      <c r="AD109" s="180">
        <f t="shared" si="143"/>
        <v>12269856.25678952</v>
      </c>
      <c r="AE109" s="180">
        <f t="shared" ref="AE109" si="144">SUM(Y109:AD109)</f>
        <v>73355883.652053684</v>
      </c>
      <c r="AF109" s="1389"/>
      <c r="AG109" s="969"/>
      <c r="AH109" s="969"/>
      <c r="AI109" s="969"/>
    </row>
    <row r="110" spans="2:42">
      <c r="B110" s="37"/>
      <c r="D110" s="1246">
        <f>D109-K109-R109-Y109</f>
        <v>-5.4016709327697754E-8</v>
      </c>
      <c r="E110" s="1246">
        <f t="shared" ref="E110:J110" si="145">E109-L109-S109-Z109</f>
        <v>-1.0058283805847168E-7</v>
      </c>
      <c r="F110" s="1246">
        <f t="shared" si="145"/>
        <v>-1.3224780559539795E-7</v>
      </c>
      <c r="G110" s="1246">
        <f t="shared" si="145"/>
        <v>0</v>
      </c>
      <c r="H110" s="1246">
        <f t="shared" si="145"/>
        <v>-2.7939677238464355E-8</v>
      </c>
      <c r="I110" s="1246">
        <f t="shared" si="145"/>
        <v>4.4703483581542969E-8</v>
      </c>
      <c r="J110" s="1246">
        <f t="shared" si="145"/>
        <v>-3.2782554626464844E-7</v>
      </c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2:42">
      <c r="B111" s="37"/>
      <c r="D111" s="588"/>
      <c r="E111" s="588"/>
      <c r="F111" s="588"/>
      <c r="G111" s="588"/>
      <c r="H111" s="588"/>
      <c r="I111" s="588"/>
      <c r="J111" s="588"/>
    </row>
    <row r="112" spans="2:42" s="532" customFormat="1" ht="15.75">
      <c r="B112" s="37"/>
      <c r="C112" s="960"/>
      <c r="D112" s="961"/>
      <c r="E112" s="962"/>
      <c r="F112" s="962"/>
      <c r="G112" s="962"/>
      <c r="H112" s="962"/>
      <c r="I112" s="962"/>
      <c r="J112" s="967"/>
      <c r="K112" s="961"/>
      <c r="L112" s="962"/>
      <c r="M112" s="962"/>
      <c r="N112" s="962"/>
      <c r="O112" s="962"/>
      <c r="P112" s="962"/>
      <c r="Q112" s="967"/>
      <c r="R112" s="961"/>
      <c r="S112" s="962"/>
      <c r="T112" s="962"/>
      <c r="U112" s="962"/>
      <c r="V112" s="962"/>
      <c r="W112" s="962"/>
      <c r="X112" s="967"/>
      <c r="Y112" s="2451"/>
      <c r="Z112" s="2452"/>
      <c r="AA112" s="2452"/>
      <c r="AB112" s="2452"/>
      <c r="AC112" s="2452"/>
      <c r="AD112" s="2452"/>
      <c r="AE112" s="2453"/>
      <c r="AF112" s="1032"/>
      <c r="AG112" s="972"/>
      <c r="AH112" s="972"/>
      <c r="AI112" s="972"/>
    </row>
    <row r="113" spans="1:35" ht="24">
      <c r="B113" s="37"/>
      <c r="C113" s="963" t="s">
        <v>1258</v>
      </c>
      <c r="D113" s="966">
        <f t="shared" ref="D113:X113" si="146">D4</f>
        <v>45839</v>
      </c>
      <c r="E113" s="966">
        <f t="shared" si="146"/>
        <v>45870</v>
      </c>
      <c r="F113" s="966">
        <f t="shared" si="146"/>
        <v>45901</v>
      </c>
      <c r="G113" s="966">
        <f t="shared" si="146"/>
        <v>45931</v>
      </c>
      <c r="H113" s="966">
        <f t="shared" si="146"/>
        <v>45962</v>
      </c>
      <c r="I113" s="966">
        <f t="shared" si="146"/>
        <v>45992</v>
      </c>
      <c r="J113" s="966" t="str">
        <f t="shared" si="146"/>
        <v>TOTAL</v>
      </c>
      <c r="K113" s="966">
        <f t="shared" si="146"/>
        <v>45839</v>
      </c>
      <c r="L113" s="966">
        <f t="shared" si="146"/>
        <v>45870</v>
      </c>
      <c r="M113" s="966">
        <f t="shared" si="146"/>
        <v>45901</v>
      </c>
      <c r="N113" s="966">
        <f t="shared" si="146"/>
        <v>45931</v>
      </c>
      <c r="O113" s="966">
        <f t="shared" si="146"/>
        <v>45962</v>
      </c>
      <c r="P113" s="966">
        <f t="shared" si="146"/>
        <v>45992</v>
      </c>
      <c r="Q113" s="966" t="str">
        <f t="shared" si="146"/>
        <v>TOTAL</v>
      </c>
      <c r="R113" s="966">
        <f t="shared" si="146"/>
        <v>45839</v>
      </c>
      <c r="S113" s="966">
        <f t="shared" si="146"/>
        <v>45870</v>
      </c>
      <c r="T113" s="966">
        <f t="shared" si="146"/>
        <v>45901</v>
      </c>
      <c r="U113" s="966">
        <f t="shared" si="146"/>
        <v>45931</v>
      </c>
      <c r="V113" s="966">
        <f t="shared" si="146"/>
        <v>45962</v>
      </c>
      <c r="W113" s="966">
        <f t="shared" si="146"/>
        <v>45992</v>
      </c>
      <c r="X113" s="966" t="str">
        <f t="shared" si="146"/>
        <v>TOTAL</v>
      </c>
      <c r="Y113" s="2454"/>
      <c r="Z113" s="2454"/>
      <c r="AA113" s="2454"/>
      <c r="AB113" s="2454"/>
      <c r="AC113" s="2454"/>
      <c r="AD113" s="2454"/>
      <c r="AE113" s="2454"/>
      <c r="AF113" s="1390"/>
      <c r="AG113" s="972"/>
      <c r="AH113" s="972"/>
      <c r="AI113" s="972"/>
    </row>
    <row r="114" spans="1:35" ht="15.75">
      <c r="A114" s="57"/>
      <c r="B114" s="37"/>
      <c r="C114" s="965" t="s">
        <v>446</v>
      </c>
      <c r="D114" s="881">
        <f t="shared" ref="D114:I114" si="147">D115+D117+D120</f>
        <v>27271725.471500002</v>
      </c>
      <c r="E114" s="881">
        <f t="shared" si="147"/>
        <v>24942921.033000004</v>
      </c>
      <c r="F114" s="881">
        <f t="shared" si="147"/>
        <v>25609266.369299997</v>
      </c>
      <c r="G114" s="881">
        <f t="shared" si="147"/>
        <v>28404821.4912</v>
      </c>
      <c r="H114" s="881">
        <f t="shared" si="147"/>
        <v>22035358.626900002</v>
      </c>
      <c r="I114" s="881">
        <f t="shared" si="147"/>
        <v>17333141.187970005</v>
      </c>
      <c r="J114" s="180">
        <f>SUM(D114:I114)</f>
        <v>145597234.17987001</v>
      </c>
      <c r="K114" s="881">
        <f t="shared" ref="K114:P114" si="148">K115+K117+K120</f>
        <v>8537422.8706464004</v>
      </c>
      <c r="L114" s="881">
        <f t="shared" si="148"/>
        <v>8042369.9367976002</v>
      </c>
      <c r="M114" s="881">
        <f t="shared" si="148"/>
        <v>7922348.7812471995</v>
      </c>
      <c r="N114" s="881">
        <f t="shared" si="148"/>
        <v>9140433.4877849594</v>
      </c>
      <c r="O114" s="881">
        <f t="shared" si="148"/>
        <v>6820413.1255860794</v>
      </c>
      <c r="P114" s="881">
        <f t="shared" si="148"/>
        <v>8396850.1724939849</v>
      </c>
      <c r="Q114" s="180">
        <f>SUM(K114:P114)</f>
        <v>48859838.374556221</v>
      </c>
      <c r="R114" s="881">
        <f t="shared" ref="R114:W114" si="149">R115+R117+R120</f>
        <v>18734302.6008536</v>
      </c>
      <c r="S114" s="881">
        <f t="shared" si="149"/>
        <v>16900551.096202403</v>
      </c>
      <c r="T114" s="881">
        <f t="shared" si="149"/>
        <v>17686917.588052798</v>
      </c>
      <c r="U114" s="881">
        <f t="shared" si="149"/>
        <v>19264388.003415041</v>
      </c>
      <c r="V114" s="881">
        <f t="shared" si="149"/>
        <v>15214945.501313921</v>
      </c>
      <c r="W114" s="881">
        <f t="shared" si="149"/>
        <v>8936291.0154760219</v>
      </c>
      <c r="X114" s="180">
        <f>SUM(R114:W114)</f>
        <v>96737395.805313796</v>
      </c>
      <c r="Y114" s="2455"/>
      <c r="Z114" s="2455"/>
      <c r="AA114" s="2455"/>
      <c r="AB114" s="2455"/>
      <c r="AC114" s="2455"/>
      <c r="AD114" s="2455"/>
      <c r="AE114" s="2455"/>
      <c r="AF114" s="1389"/>
      <c r="AG114" s="972"/>
      <c r="AH114" s="972"/>
      <c r="AI114" s="972"/>
    </row>
    <row r="115" spans="1:35">
      <c r="A115" s="57"/>
      <c r="B115" s="48" t="s">
        <v>870</v>
      </c>
      <c r="C115" s="882" t="s">
        <v>279</v>
      </c>
      <c r="D115" s="881">
        <f t="shared" ref="D115:I115" si="150">D116</f>
        <v>9732186.0445000008</v>
      </c>
      <c r="E115" s="881">
        <f t="shared" si="150"/>
        <v>8809349.8929999992</v>
      </c>
      <c r="F115" s="881">
        <f t="shared" si="150"/>
        <v>8904240.7452999987</v>
      </c>
      <c r="G115" s="881">
        <f t="shared" si="150"/>
        <v>10209908.455899999</v>
      </c>
      <c r="H115" s="881">
        <f t="shared" si="150"/>
        <v>7093283.8164999997</v>
      </c>
      <c r="I115" s="881">
        <f t="shared" si="150"/>
        <v>9146574.2800999992</v>
      </c>
      <c r="J115" s="180">
        <f t="shared" ref="J115:J146" si="151">SUM(D115:I115)</f>
        <v>53895543.23529999</v>
      </c>
      <c r="K115" s="881">
        <f t="shared" ref="K115:P115" si="152">K116</f>
        <v>7407467.6563999997</v>
      </c>
      <c r="L115" s="881">
        <f t="shared" si="152"/>
        <v>6934116.3240999999</v>
      </c>
      <c r="M115" s="881">
        <f t="shared" si="152"/>
        <v>6776539.5002999995</v>
      </c>
      <c r="N115" s="881">
        <f t="shared" si="152"/>
        <v>7762812.4871999994</v>
      </c>
      <c r="O115" s="881">
        <f t="shared" si="152"/>
        <v>5493955.8784999996</v>
      </c>
      <c r="P115" s="881">
        <f t="shared" si="152"/>
        <v>7002288.6205000002</v>
      </c>
      <c r="Q115" s="180">
        <f t="shared" ref="Q115:Q137" si="153">SUM(K115:P115)</f>
        <v>41377180.466999993</v>
      </c>
      <c r="R115" s="881">
        <f t="shared" ref="R115:W115" si="154">R116</f>
        <v>2324718.388100001</v>
      </c>
      <c r="S115" s="881">
        <f t="shared" si="154"/>
        <v>1875233.5688999994</v>
      </c>
      <c r="T115" s="881">
        <f t="shared" si="154"/>
        <v>2127701.2449999992</v>
      </c>
      <c r="U115" s="881">
        <f t="shared" si="154"/>
        <v>2447095.9686999992</v>
      </c>
      <c r="V115" s="881">
        <f t="shared" si="154"/>
        <v>1599327.9380000001</v>
      </c>
      <c r="W115" s="881">
        <f t="shared" si="154"/>
        <v>2144285.659599999</v>
      </c>
      <c r="X115" s="180">
        <f t="shared" ref="X115:X137" si="155">SUM(R115:W115)</f>
        <v>12518362.768299999</v>
      </c>
      <c r="Y115" s="2455"/>
      <c r="Z115" s="2455"/>
      <c r="AA115" s="2455"/>
      <c r="AB115" s="2455"/>
      <c r="AC115" s="2455"/>
      <c r="AD115" s="2455"/>
      <c r="AE115" s="2455"/>
      <c r="AF115" s="1389"/>
      <c r="AG115" s="972"/>
      <c r="AH115" s="972"/>
      <c r="AI115" s="972"/>
    </row>
    <row r="116" spans="1:35">
      <c r="A116" s="57"/>
      <c r="B116" s="48"/>
      <c r="C116" s="887" t="s">
        <v>971</v>
      </c>
      <c r="D116" s="883">
        <f t="shared" ref="D116:I116" si="156">SUM(D190:D191)</f>
        <v>9732186.0445000008</v>
      </c>
      <c r="E116" s="883">
        <f t="shared" si="156"/>
        <v>8809349.8929999992</v>
      </c>
      <c r="F116" s="883">
        <f t="shared" si="156"/>
        <v>8904240.7452999987</v>
      </c>
      <c r="G116" s="883">
        <f t="shared" si="156"/>
        <v>10209908.455899999</v>
      </c>
      <c r="H116" s="883">
        <f t="shared" si="156"/>
        <v>7093283.8164999997</v>
      </c>
      <c r="I116" s="883">
        <f t="shared" si="156"/>
        <v>9146574.2800999992</v>
      </c>
      <c r="J116" s="180">
        <f t="shared" si="151"/>
        <v>53895543.23529999</v>
      </c>
      <c r="K116" s="883">
        <f t="shared" ref="K116:P116" si="157">D191</f>
        <v>7407467.6563999997</v>
      </c>
      <c r="L116" s="883">
        <f t="shared" si="157"/>
        <v>6934116.3240999999</v>
      </c>
      <c r="M116" s="883">
        <f t="shared" si="157"/>
        <v>6776539.5002999995</v>
      </c>
      <c r="N116" s="883">
        <f t="shared" si="157"/>
        <v>7762812.4871999994</v>
      </c>
      <c r="O116" s="883">
        <f t="shared" si="157"/>
        <v>5493955.8784999996</v>
      </c>
      <c r="P116" s="883">
        <f t="shared" si="157"/>
        <v>7002288.6205000002</v>
      </c>
      <c r="Q116" s="180">
        <f t="shared" si="153"/>
        <v>41377180.466999993</v>
      </c>
      <c r="R116" s="883">
        <f t="shared" ref="R116:W116" si="158">D116-K116</f>
        <v>2324718.388100001</v>
      </c>
      <c r="S116" s="883">
        <f t="shared" si="158"/>
        <v>1875233.5688999994</v>
      </c>
      <c r="T116" s="883">
        <f t="shared" si="158"/>
        <v>2127701.2449999992</v>
      </c>
      <c r="U116" s="883">
        <f t="shared" si="158"/>
        <v>2447095.9686999992</v>
      </c>
      <c r="V116" s="883">
        <f t="shared" si="158"/>
        <v>1599327.9380000001</v>
      </c>
      <c r="W116" s="883">
        <f t="shared" si="158"/>
        <v>2144285.659599999</v>
      </c>
      <c r="X116" s="180">
        <f t="shared" si="155"/>
        <v>12518362.768299999</v>
      </c>
      <c r="Y116" s="2456"/>
      <c r="Z116" s="2456"/>
      <c r="AA116" s="2456"/>
      <c r="AB116" s="2456"/>
      <c r="AC116" s="2456"/>
      <c r="AD116" s="2456"/>
      <c r="AE116" s="2455"/>
      <c r="AF116" s="1389"/>
      <c r="AG116" s="972">
        <f>$AG$7</f>
        <v>0.2432</v>
      </c>
      <c r="AH116" s="972">
        <f t="shared" ref="AH116:AI119" si="159">$AG$7</f>
        <v>0.2432</v>
      </c>
      <c r="AI116" s="972">
        <f t="shared" si="159"/>
        <v>0.2432</v>
      </c>
    </row>
    <row r="117" spans="1:35">
      <c r="A117" s="57"/>
      <c r="B117" s="48" t="s">
        <v>871</v>
      </c>
      <c r="C117" s="882" t="s">
        <v>278</v>
      </c>
      <c r="D117" s="881">
        <f t="shared" ref="D117:I117" si="160">SUM(D118:D119)</f>
        <v>4646197.4270000001</v>
      </c>
      <c r="E117" s="881">
        <f t="shared" si="160"/>
        <v>4556963.8679999998</v>
      </c>
      <c r="F117" s="881">
        <f t="shared" si="160"/>
        <v>4711386.845999999</v>
      </c>
      <c r="G117" s="881">
        <f t="shared" si="160"/>
        <v>5664560.0352999996</v>
      </c>
      <c r="H117" s="881">
        <f t="shared" si="160"/>
        <v>5454182.7593999989</v>
      </c>
      <c r="I117" s="881">
        <f t="shared" si="160"/>
        <v>5734216.9078700012</v>
      </c>
      <c r="J117" s="180">
        <f t="shared" si="151"/>
        <v>30767507.843569998</v>
      </c>
      <c r="K117" s="881">
        <f t="shared" ref="K117:P117" si="161">SUM(K118:K119)</f>
        <v>1129955.2142463999</v>
      </c>
      <c r="L117" s="881">
        <f t="shared" si="161"/>
        <v>1108253.6126975999</v>
      </c>
      <c r="M117" s="881">
        <f t="shared" si="161"/>
        <v>1145809.2809471998</v>
      </c>
      <c r="N117" s="881">
        <f t="shared" si="161"/>
        <v>1377621.00058496</v>
      </c>
      <c r="O117" s="881">
        <f t="shared" si="161"/>
        <v>1326457.2470860798</v>
      </c>
      <c r="P117" s="881">
        <f t="shared" si="161"/>
        <v>1394561.5519939843</v>
      </c>
      <c r="Q117" s="180">
        <f t="shared" si="153"/>
        <v>7482657.9075562246</v>
      </c>
      <c r="R117" s="881">
        <f t="shared" ref="R117:W117" si="162">SUM(R118:R119)</f>
        <v>3516242.2127536004</v>
      </c>
      <c r="S117" s="881">
        <f t="shared" si="162"/>
        <v>3448710.2553023999</v>
      </c>
      <c r="T117" s="881">
        <f t="shared" si="162"/>
        <v>3565577.5650527989</v>
      </c>
      <c r="U117" s="881">
        <f t="shared" si="162"/>
        <v>4286939.0347150397</v>
      </c>
      <c r="V117" s="881">
        <f t="shared" si="162"/>
        <v>4127725.5123139191</v>
      </c>
      <c r="W117" s="881">
        <f t="shared" si="162"/>
        <v>4339655.3558760174</v>
      </c>
      <c r="X117" s="180">
        <f t="shared" si="155"/>
        <v>23284849.936013777</v>
      </c>
      <c r="Y117" s="2455"/>
      <c r="Z117" s="2455"/>
      <c r="AA117" s="2455"/>
      <c r="AB117" s="2455"/>
      <c r="AC117" s="2455"/>
      <c r="AD117" s="2455"/>
      <c r="AE117" s="2455"/>
      <c r="AF117" s="1389"/>
      <c r="AG117" s="972">
        <f>$AG$7</f>
        <v>0.2432</v>
      </c>
      <c r="AH117" s="972">
        <f t="shared" si="159"/>
        <v>0.2432</v>
      </c>
      <c r="AI117" s="972">
        <f t="shared" si="159"/>
        <v>0.2432</v>
      </c>
    </row>
    <row r="118" spans="1:35">
      <c r="A118" s="57"/>
      <c r="B118" s="48"/>
      <c r="C118" s="887" t="s">
        <v>969</v>
      </c>
      <c r="D118" s="883">
        <f t="shared" ref="D118:I119" si="163">D192</f>
        <v>0</v>
      </c>
      <c r="E118" s="883">
        <f t="shared" si="163"/>
        <v>0</v>
      </c>
      <c r="F118" s="883">
        <f t="shared" si="163"/>
        <v>0</v>
      </c>
      <c r="G118" s="883">
        <f t="shared" si="163"/>
        <v>0</v>
      </c>
      <c r="H118" s="883">
        <f t="shared" si="163"/>
        <v>0</v>
      </c>
      <c r="I118" s="883">
        <f>I192</f>
        <v>0</v>
      </c>
      <c r="J118" s="180">
        <f t="shared" si="151"/>
        <v>0</v>
      </c>
      <c r="K118" s="883">
        <f t="shared" ref="K118:P119" si="164">D118*$AG118</f>
        <v>0</v>
      </c>
      <c r="L118" s="883">
        <f t="shared" si="164"/>
        <v>0</v>
      </c>
      <c r="M118" s="883">
        <f t="shared" si="164"/>
        <v>0</v>
      </c>
      <c r="N118" s="883">
        <f t="shared" si="164"/>
        <v>0</v>
      </c>
      <c r="O118" s="883">
        <f t="shared" si="164"/>
        <v>0</v>
      </c>
      <c r="P118" s="883">
        <f t="shared" si="164"/>
        <v>0</v>
      </c>
      <c r="Q118" s="180">
        <f t="shared" si="153"/>
        <v>0</v>
      </c>
      <c r="R118" s="883">
        <f t="shared" ref="R118:W120" si="165">D118-K118</f>
        <v>0</v>
      </c>
      <c r="S118" s="883">
        <f t="shared" si="165"/>
        <v>0</v>
      </c>
      <c r="T118" s="883">
        <f t="shared" si="165"/>
        <v>0</v>
      </c>
      <c r="U118" s="883">
        <f t="shared" si="165"/>
        <v>0</v>
      </c>
      <c r="V118" s="883">
        <f t="shared" si="165"/>
        <v>0</v>
      </c>
      <c r="W118" s="883">
        <f t="shared" si="165"/>
        <v>0</v>
      </c>
      <c r="X118" s="180">
        <f t="shared" si="155"/>
        <v>0</v>
      </c>
      <c r="Y118" s="2456"/>
      <c r="Z118" s="2456"/>
      <c r="AA118" s="2456"/>
      <c r="AB118" s="2456"/>
      <c r="AC118" s="2456"/>
      <c r="AD118" s="2456"/>
      <c r="AE118" s="2455"/>
      <c r="AF118" s="1389"/>
      <c r="AG118" s="972">
        <f>$AG$7</f>
        <v>0.2432</v>
      </c>
      <c r="AH118" s="972">
        <f t="shared" si="159"/>
        <v>0.2432</v>
      </c>
      <c r="AI118" s="972">
        <f t="shared" si="159"/>
        <v>0.2432</v>
      </c>
    </row>
    <row r="119" spans="1:35">
      <c r="A119" s="57"/>
      <c r="B119" s="48"/>
      <c r="C119" s="887" t="s">
        <v>970</v>
      </c>
      <c r="D119" s="883">
        <f>D193</f>
        <v>4646197.4270000001</v>
      </c>
      <c r="E119" s="883">
        <f t="shared" si="163"/>
        <v>4556963.8679999998</v>
      </c>
      <c r="F119" s="883">
        <f t="shared" si="163"/>
        <v>4711386.845999999</v>
      </c>
      <c r="G119" s="883">
        <f t="shared" si="163"/>
        <v>5664560.0352999996</v>
      </c>
      <c r="H119" s="883">
        <f t="shared" si="163"/>
        <v>5454182.7593999989</v>
      </c>
      <c r="I119" s="883">
        <f t="shared" si="163"/>
        <v>5734216.9078700012</v>
      </c>
      <c r="J119" s="180">
        <f>SUM(D119:I119)</f>
        <v>30767507.843569998</v>
      </c>
      <c r="K119" s="883">
        <f t="shared" si="164"/>
        <v>1129955.2142463999</v>
      </c>
      <c r="L119" s="883">
        <f t="shared" si="164"/>
        <v>1108253.6126975999</v>
      </c>
      <c r="M119" s="883">
        <f t="shared" si="164"/>
        <v>1145809.2809471998</v>
      </c>
      <c r="N119" s="883">
        <f t="shared" si="164"/>
        <v>1377621.00058496</v>
      </c>
      <c r="O119" s="883">
        <f t="shared" si="164"/>
        <v>1326457.2470860798</v>
      </c>
      <c r="P119" s="883">
        <f t="shared" si="164"/>
        <v>1394561.5519939843</v>
      </c>
      <c r="Q119" s="180">
        <f>SUM(K119:P119)</f>
        <v>7482657.9075562246</v>
      </c>
      <c r="R119" s="883">
        <f t="shared" si="165"/>
        <v>3516242.2127536004</v>
      </c>
      <c r="S119" s="883">
        <f t="shared" si="165"/>
        <v>3448710.2553023999</v>
      </c>
      <c r="T119" s="883">
        <f t="shared" si="165"/>
        <v>3565577.5650527989</v>
      </c>
      <c r="U119" s="883">
        <f t="shared" si="165"/>
        <v>4286939.0347150397</v>
      </c>
      <c r="V119" s="883">
        <f t="shared" si="165"/>
        <v>4127725.5123139191</v>
      </c>
      <c r="W119" s="883">
        <f t="shared" si="165"/>
        <v>4339655.3558760174</v>
      </c>
      <c r="X119" s="180">
        <f>SUM(R119:W119)</f>
        <v>23284849.936013777</v>
      </c>
      <c r="Y119" s="2456"/>
      <c r="Z119" s="2456"/>
      <c r="AA119" s="2456"/>
      <c r="AB119" s="2456"/>
      <c r="AC119" s="2456"/>
      <c r="AD119" s="2456"/>
      <c r="AE119" s="2455"/>
      <c r="AF119" s="1389"/>
      <c r="AG119" s="972">
        <f>$AG$7</f>
        <v>0.2432</v>
      </c>
      <c r="AH119" s="972">
        <f t="shared" si="159"/>
        <v>0.2432</v>
      </c>
      <c r="AI119" s="972">
        <f t="shared" si="159"/>
        <v>0.2432</v>
      </c>
    </row>
    <row r="120" spans="1:35">
      <c r="A120" s="57"/>
      <c r="B120" s="48" t="s">
        <v>893</v>
      </c>
      <c r="C120" s="882" t="s">
        <v>1482</v>
      </c>
      <c r="D120" s="881">
        <f t="shared" ref="D120:I120" si="166">D211</f>
        <v>12893341.999999998</v>
      </c>
      <c r="E120" s="881">
        <f t="shared" si="166"/>
        <v>11576607.272000004</v>
      </c>
      <c r="F120" s="881">
        <f t="shared" si="166"/>
        <v>11993638.777999999</v>
      </c>
      <c r="G120" s="881">
        <f t="shared" si="166"/>
        <v>12530353.000000002</v>
      </c>
      <c r="H120" s="881">
        <f t="shared" si="166"/>
        <v>9487892.0510000009</v>
      </c>
      <c r="I120" s="881">
        <f t="shared" si="166"/>
        <v>2452350.0000000047</v>
      </c>
      <c r="J120" s="180">
        <f t="shared" si="151"/>
        <v>60934183.101000004</v>
      </c>
      <c r="K120" s="881">
        <f t="shared" ref="K120:P120" si="167">K211</f>
        <v>0</v>
      </c>
      <c r="L120" s="881">
        <f t="shared" si="167"/>
        <v>0</v>
      </c>
      <c r="M120" s="881">
        <f t="shared" si="167"/>
        <v>0</v>
      </c>
      <c r="N120" s="881">
        <f t="shared" si="167"/>
        <v>0</v>
      </c>
      <c r="O120" s="881">
        <f t="shared" si="167"/>
        <v>0</v>
      </c>
      <c r="P120" s="881">
        <f t="shared" si="167"/>
        <v>0</v>
      </c>
      <c r="Q120" s="180">
        <f t="shared" si="153"/>
        <v>0</v>
      </c>
      <c r="R120" s="881">
        <f>D120-K120</f>
        <v>12893341.999999998</v>
      </c>
      <c r="S120" s="881">
        <f t="shared" si="165"/>
        <v>11576607.272000004</v>
      </c>
      <c r="T120" s="881">
        <f t="shared" si="165"/>
        <v>11993638.777999999</v>
      </c>
      <c r="U120" s="881">
        <f t="shared" si="165"/>
        <v>12530353.000000002</v>
      </c>
      <c r="V120" s="881">
        <f t="shared" si="165"/>
        <v>9487892.0510000009</v>
      </c>
      <c r="W120" s="881">
        <f t="shared" si="165"/>
        <v>2452350.0000000047</v>
      </c>
      <c r="X120" s="180">
        <f t="shared" si="155"/>
        <v>60934183.101000004</v>
      </c>
      <c r="Y120" s="2455"/>
      <c r="Z120" s="2455"/>
      <c r="AA120" s="2455"/>
      <c r="AB120" s="2455"/>
      <c r="AC120" s="2455"/>
      <c r="AD120" s="2455"/>
      <c r="AE120" s="2455"/>
      <c r="AF120" s="1389"/>
      <c r="AG120" s="972"/>
      <c r="AH120" s="972"/>
      <c r="AI120" s="972"/>
    </row>
    <row r="121" spans="1:35">
      <c r="A121" s="57"/>
      <c r="B121" s="48"/>
      <c r="C121" s="887"/>
      <c r="D121" s="881"/>
      <c r="E121" s="881"/>
      <c r="F121" s="881"/>
      <c r="G121" s="881"/>
      <c r="H121" s="881"/>
      <c r="I121" s="881"/>
      <c r="J121" s="180">
        <f t="shared" si="151"/>
        <v>0</v>
      </c>
      <c r="K121" s="881"/>
      <c r="L121" s="881"/>
      <c r="M121" s="881"/>
      <c r="N121" s="881"/>
      <c r="O121" s="881"/>
      <c r="P121" s="881"/>
      <c r="Q121" s="180">
        <f t="shared" si="153"/>
        <v>0</v>
      </c>
      <c r="R121" s="881"/>
      <c r="S121" s="881"/>
      <c r="T121" s="881"/>
      <c r="U121" s="881"/>
      <c r="V121" s="881"/>
      <c r="W121" s="881"/>
      <c r="X121" s="180">
        <f t="shared" si="155"/>
        <v>0</v>
      </c>
      <c r="Y121" s="2455"/>
      <c r="Z121" s="2455"/>
      <c r="AA121" s="2455"/>
      <c r="AB121" s="2455"/>
      <c r="AC121" s="2455"/>
      <c r="AD121" s="2455"/>
      <c r="AE121" s="2455"/>
      <c r="AF121" s="1389"/>
      <c r="AG121" s="972"/>
      <c r="AH121" s="972"/>
      <c r="AI121" s="972"/>
    </row>
    <row r="122" spans="1:35" ht="15.75">
      <c r="A122" s="57"/>
      <c r="B122" s="48"/>
      <c r="C122" s="965" t="s">
        <v>630</v>
      </c>
      <c r="D122" s="881">
        <f t="shared" ref="D122:I122" si="168">D123+D128</f>
        <v>52892929.403115004</v>
      </c>
      <c r="E122" s="881">
        <f t="shared" si="168"/>
        <v>52556921.366294995</v>
      </c>
      <c r="F122" s="881">
        <f t="shared" si="168"/>
        <v>51076738.302040003</v>
      </c>
      <c r="G122" s="881">
        <f t="shared" si="168"/>
        <v>53452873.860100009</v>
      </c>
      <c r="H122" s="881">
        <f t="shared" si="168"/>
        <v>49452378.323399991</v>
      </c>
      <c r="I122" s="881">
        <f t="shared" si="168"/>
        <v>52245788.177693501</v>
      </c>
      <c r="J122" s="180">
        <f t="shared" si="151"/>
        <v>311677629.43264347</v>
      </c>
      <c r="K122" s="881">
        <f t="shared" ref="K122:P122" si="169">K123+K128</f>
        <v>17107001.794401951</v>
      </c>
      <c r="L122" s="881">
        <f t="shared" si="169"/>
        <v>16730610.89160344</v>
      </c>
      <c r="M122" s="881">
        <f t="shared" si="169"/>
        <v>16481815.120455187</v>
      </c>
      <c r="N122" s="881">
        <f t="shared" si="169"/>
        <v>17262941.822238244</v>
      </c>
      <c r="O122" s="881">
        <f t="shared" si="169"/>
        <v>15621352.39299796</v>
      </c>
      <c r="P122" s="881">
        <f t="shared" si="169"/>
        <v>16636218.400616961</v>
      </c>
      <c r="Q122" s="180">
        <f t="shared" si="153"/>
        <v>99839940.42231375</v>
      </c>
      <c r="R122" s="881">
        <f t="shared" ref="R122:W122" si="170">R123+R128</f>
        <v>35785927.608713053</v>
      </c>
      <c r="S122" s="881">
        <f t="shared" si="170"/>
        <v>35826310.474691562</v>
      </c>
      <c r="T122" s="881">
        <f t="shared" si="170"/>
        <v>34594923.181584813</v>
      </c>
      <c r="U122" s="881">
        <f t="shared" si="170"/>
        <v>36189932.037861764</v>
      </c>
      <c r="V122" s="881">
        <f t="shared" si="170"/>
        <v>33831025.930402033</v>
      </c>
      <c r="W122" s="881">
        <f t="shared" si="170"/>
        <v>35609569.777076542</v>
      </c>
      <c r="X122" s="180">
        <f t="shared" si="155"/>
        <v>211837689.01032978</v>
      </c>
      <c r="Y122" s="2455"/>
      <c r="Z122" s="2455"/>
      <c r="AA122" s="2455"/>
      <c r="AB122" s="2455"/>
      <c r="AC122" s="2455"/>
      <c r="AD122" s="2455"/>
      <c r="AE122" s="2455"/>
      <c r="AF122" s="1389"/>
      <c r="AG122" s="972"/>
      <c r="AH122" s="972"/>
      <c r="AI122" s="972"/>
    </row>
    <row r="123" spans="1:35">
      <c r="A123" s="57"/>
      <c r="B123" s="48" t="s">
        <v>872</v>
      </c>
      <c r="C123" s="882" t="s">
        <v>277</v>
      </c>
      <c r="D123" s="881">
        <f t="shared" ref="D123:I123" si="171">SUM(D124:D127)</f>
        <v>10187998.689699996</v>
      </c>
      <c r="E123" s="881">
        <f t="shared" si="171"/>
        <v>10283691.219000001</v>
      </c>
      <c r="F123" s="881">
        <f t="shared" si="171"/>
        <v>10003634.213500001</v>
      </c>
      <c r="G123" s="881">
        <f t="shared" si="171"/>
        <v>10722025.506499998</v>
      </c>
      <c r="H123" s="881">
        <f t="shared" si="171"/>
        <v>10053473.359000001</v>
      </c>
      <c r="I123" s="881">
        <f t="shared" si="171"/>
        <v>9999309.5506700017</v>
      </c>
      <c r="J123" s="180">
        <f t="shared" si="151"/>
        <v>61250132.538369998</v>
      </c>
      <c r="K123" s="881">
        <f t="shared" ref="K123:P123" si="172">SUM(K124:K127)</f>
        <v>3189464.8749000002</v>
      </c>
      <c r="L123" s="881">
        <f t="shared" si="172"/>
        <v>2953765.1865999997</v>
      </c>
      <c r="M123" s="881">
        <f t="shared" si="172"/>
        <v>3096090.4979999997</v>
      </c>
      <c r="N123" s="881">
        <f t="shared" si="172"/>
        <v>3336958.3438000004</v>
      </c>
      <c r="O123" s="881">
        <f t="shared" si="172"/>
        <v>2781249.2651</v>
      </c>
      <c r="P123" s="881">
        <f t="shared" si="172"/>
        <v>2868091.0160700022</v>
      </c>
      <c r="Q123" s="180">
        <f t="shared" si="153"/>
        <v>18225619.184470002</v>
      </c>
      <c r="R123" s="881">
        <f t="shared" ref="R123:W123" si="173">SUM(R124:R127)</f>
        <v>6998533.8147999961</v>
      </c>
      <c r="S123" s="881">
        <f t="shared" si="173"/>
        <v>7329926.0324000008</v>
      </c>
      <c r="T123" s="881">
        <f t="shared" si="173"/>
        <v>6907543.7154999999</v>
      </c>
      <c r="U123" s="881">
        <f t="shared" si="173"/>
        <v>7385067.1626999993</v>
      </c>
      <c r="V123" s="881">
        <f t="shared" si="173"/>
        <v>7272224.0939000007</v>
      </c>
      <c r="W123" s="881">
        <f t="shared" si="173"/>
        <v>7131218.5346000008</v>
      </c>
      <c r="X123" s="180">
        <f t="shared" si="155"/>
        <v>43024513.3539</v>
      </c>
      <c r="Y123" s="2455"/>
      <c r="Z123" s="2455"/>
      <c r="AA123" s="2455"/>
      <c r="AB123" s="2455"/>
      <c r="AC123" s="2455"/>
      <c r="AD123" s="2455"/>
      <c r="AE123" s="2455"/>
      <c r="AF123" s="1389"/>
      <c r="AG123" s="972"/>
      <c r="AH123" s="972"/>
      <c r="AI123" s="972"/>
    </row>
    <row r="124" spans="1:35">
      <c r="A124" s="57"/>
      <c r="B124" s="48"/>
      <c r="C124" s="887" t="s">
        <v>972</v>
      </c>
      <c r="D124" s="883">
        <f t="shared" ref="D124:H124" si="174">D194+(D$198*D194/SUM(D$194:D$197))</f>
        <v>6792206.6671814956</v>
      </c>
      <c r="E124" s="883">
        <f t="shared" si="174"/>
        <v>6773487.950011231</v>
      </c>
      <c r="F124" s="883">
        <f t="shared" si="174"/>
        <v>6454669.740282895</v>
      </c>
      <c r="G124" s="883">
        <f t="shared" si="174"/>
        <v>6690938.6655706717</v>
      </c>
      <c r="H124" s="883">
        <f t="shared" si="174"/>
        <v>6180324.4541784655</v>
      </c>
      <c r="I124" s="883">
        <f t="shared" ref="I124" si="175">I194+(I$198*I194/SUM(I$194:I$197))</f>
        <v>6139500.9623118285</v>
      </c>
      <c r="J124" s="180">
        <f t="shared" si="151"/>
        <v>39031128.439536586</v>
      </c>
      <c r="K124" s="883">
        <f t="shared" ref="K124:P127" si="176">D194</f>
        <v>2126374.8895</v>
      </c>
      <c r="L124" s="883">
        <f t="shared" si="176"/>
        <v>1945536.138</v>
      </c>
      <c r="M124" s="883">
        <f t="shared" si="176"/>
        <v>1997698.1588999999</v>
      </c>
      <c r="N124" s="883">
        <f t="shared" si="176"/>
        <v>2082384.8623000004</v>
      </c>
      <c r="O124" s="883">
        <f t="shared" si="176"/>
        <v>1709759.6255999999</v>
      </c>
      <c r="P124" s="883">
        <f t="shared" si="176"/>
        <v>1760986.3425000003</v>
      </c>
      <c r="Q124" s="180">
        <f t="shared" si="153"/>
        <v>11622740.016800001</v>
      </c>
      <c r="R124" s="883">
        <f t="shared" ref="R124:W127" si="177">D124-K124</f>
        <v>4665831.777681496</v>
      </c>
      <c r="S124" s="883">
        <f t="shared" si="177"/>
        <v>4827951.8120112307</v>
      </c>
      <c r="T124" s="883">
        <f t="shared" si="177"/>
        <v>4456971.5813828949</v>
      </c>
      <c r="U124" s="883">
        <f t="shared" si="177"/>
        <v>4608553.8032706715</v>
      </c>
      <c r="V124" s="883">
        <f t="shared" si="177"/>
        <v>4470564.8285784656</v>
      </c>
      <c r="W124" s="883">
        <f t="shared" si="177"/>
        <v>4378514.6198118282</v>
      </c>
      <c r="X124" s="180">
        <f t="shared" si="155"/>
        <v>27408388.422736589</v>
      </c>
      <c r="Y124" s="2456"/>
      <c r="Z124" s="2456"/>
      <c r="AA124" s="2456"/>
      <c r="AB124" s="2456"/>
      <c r="AC124" s="2456"/>
      <c r="AD124" s="2456"/>
      <c r="AE124" s="2455"/>
      <c r="AF124" s="1389"/>
      <c r="AG124" s="972">
        <f t="shared" ref="AG124:AI126" si="178">$AG$14</f>
        <v>0.32590000000000002</v>
      </c>
      <c r="AH124" s="972">
        <f t="shared" si="178"/>
        <v>0.32590000000000002</v>
      </c>
      <c r="AI124" s="972">
        <f t="shared" si="178"/>
        <v>0.32590000000000002</v>
      </c>
    </row>
    <row r="125" spans="1:35">
      <c r="A125" s="57"/>
      <c r="B125" s="48"/>
      <c r="C125" s="887" t="s">
        <v>973</v>
      </c>
      <c r="D125" s="883">
        <f t="shared" ref="D125:I127" si="179">D195+(D$198*D195/SUM(D$194:D$197))</f>
        <v>328429.85838546511</v>
      </c>
      <c r="E125" s="883">
        <f t="shared" si="179"/>
        <v>334723.66648636194</v>
      </c>
      <c r="F125" s="883">
        <f t="shared" si="179"/>
        <v>353002.67639574758</v>
      </c>
      <c r="G125" s="883">
        <f t="shared" si="179"/>
        <v>380321.28415511857</v>
      </c>
      <c r="H125" s="883">
        <f t="shared" si="179"/>
        <v>410873.29887882917</v>
      </c>
      <c r="I125" s="883">
        <f t="shared" si="179"/>
        <v>229237.58622556989</v>
      </c>
      <c r="J125" s="180">
        <f t="shared" si="151"/>
        <v>2036588.3705270924</v>
      </c>
      <c r="K125" s="883">
        <f t="shared" si="176"/>
        <v>102818.57399999999</v>
      </c>
      <c r="L125" s="883">
        <f t="shared" si="176"/>
        <v>96142.045899999997</v>
      </c>
      <c r="M125" s="883">
        <f t="shared" si="176"/>
        <v>109253.1183</v>
      </c>
      <c r="N125" s="883">
        <f t="shared" si="176"/>
        <v>118365.34819999999</v>
      </c>
      <c r="O125" s="883">
        <f t="shared" si="176"/>
        <v>113666.2942</v>
      </c>
      <c r="P125" s="883">
        <f t="shared" si="176"/>
        <v>65751.966000000015</v>
      </c>
      <c r="Q125" s="180">
        <f t="shared" si="153"/>
        <v>605997.34660000005</v>
      </c>
      <c r="R125" s="883">
        <f t="shared" si="177"/>
        <v>225611.28438546511</v>
      </c>
      <c r="S125" s="883">
        <f t="shared" si="177"/>
        <v>238581.62058636194</v>
      </c>
      <c r="T125" s="883">
        <f t="shared" si="177"/>
        <v>243749.55809574758</v>
      </c>
      <c r="U125" s="883">
        <f t="shared" si="177"/>
        <v>261955.93595511856</v>
      </c>
      <c r="V125" s="883">
        <f t="shared" si="177"/>
        <v>297207.00467882917</v>
      </c>
      <c r="W125" s="883">
        <f t="shared" si="177"/>
        <v>163485.62022556987</v>
      </c>
      <c r="X125" s="180">
        <f t="shared" si="155"/>
        <v>1430591.0239270923</v>
      </c>
      <c r="Y125" s="2456"/>
      <c r="Z125" s="2456"/>
      <c r="AA125" s="2456"/>
      <c r="AB125" s="2456"/>
      <c r="AC125" s="2456"/>
      <c r="AD125" s="2456"/>
      <c r="AE125" s="2455"/>
      <c r="AF125" s="1389"/>
      <c r="AG125" s="972">
        <f t="shared" si="178"/>
        <v>0.32590000000000002</v>
      </c>
      <c r="AH125" s="972">
        <f t="shared" si="178"/>
        <v>0.32590000000000002</v>
      </c>
      <c r="AI125" s="972">
        <f t="shared" si="178"/>
        <v>0.32590000000000002</v>
      </c>
    </row>
    <row r="126" spans="1:35">
      <c r="A126" s="57"/>
      <c r="B126" s="48"/>
      <c r="C126" s="887" t="s">
        <v>1010</v>
      </c>
      <c r="D126" s="883">
        <f t="shared" si="179"/>
        <v>122966.88059999856</v>
      </c>
      <c r="E126" s="883">
        <f t="shared" si="179"/>
        <v>120174.41214504122</v>
      </c>
      <c r="F126" s="883">
        <f t="shared" si="179"/>
        <v>116031.4492400756</v>
      </c>
      <c r="G126" s="883">
        <f t="shared" si="179"/>
        <v>124403.79412455861</v>
      </c>
      <c r="H126" s="883">
        <f t="shared" si="179"/>
        <v>120066.41370072767</v>
      </c>
      <c r="I126" s="883">
        <f t="shared" si="179"/>
        <v>115077.62762140468</v>
      </c>
      <c r="J126" s="180">
        <f t="shared" si="151"/>
        <v>718720.57743180636</v>
      </c>
      <c r="K126" s="883">
        <f t="shared" si="176"/>
        <v>38496.132400000002</v>
      </c>
      <c r="L126" s="883">
        <f t="shared" si="176"/>
        <v>34517.4692</v>
      </c>
      <c r="M126" s="883">
        <f t="shared" si="176"/>
        <v>35911.335800000001</v>
      </c>
      <c r="N126" s="883">
        <f t="shared" si="176"/>
        <v>38717.5239</v>
      </c>
      <c r="O126" s="883">
        <f t="shared" si="176"/>
        <v>33215.8462</v>
      </c>
      <c r="P126" s="883">
        <f t="shared" si="176"/>
        <v>33007.590000000018</v>
      </c>
      <c r="Q126" s="180">
        <f t="shared" si="153"/>
        <v>213865.89750000002</v>
      </c>
      <c r="R126" s="883">
        <f t="shared" si="177"/>
        <v>84470.748199998561</v>
      </c>
      <c r="S126" s="883">
        <f t="shared" si="177"/>
        <v>85656.942945041228</v>
      </c>
      <c r="T126" s="883">
        <f t="shared" si="177"/>
        <v>80120.113440075598</v>
      </c>
      <c r="U126" s="883">
        <f t="shared" si="177"/>
        <v>85686.270224558612</v>
      </c>
      <c r="V126" s="883">
        <f t="shared" si="177"/>
        <v>86850.567500727673</v>
      </c>
      <c r="W126" s="883">
        <f t="shared" si="177"/>
        <v>82070.037621404656</v>
      </c>
      <c r="X126" s="180">
        <f t="shared" si="155"/>
        <v>504854.67993180628</v>
      </c>
      <c r="Y126" s="2456"/>
      <c r="Z126" s="2456"/>
      <c r="AA126" s="2456"/>
      <c r="AB126" s="2456"/>
      <c r="AC126" s="2456"/>
      <c r="AD126" s="2456"/>
      <c r="AE126" s="2455"/>
      <c r="AF126" s="1389"/>
      <c r="AG126" s="972">
        <f t="shared" si="178"/>
        <v>0.32590000000000002</v>
      </c>
      <c r="AH126" s="972">
        <f t="shared" si="178"/>
        <v>0.32590000000000002</v>
      </c>
      <c r="AI126" s="972">
        <f t="shared" si="178"/>
        <v>0.32590000000000002</v>
      </c>
    </row>
    <row r="127" spans="1:35">
      <c r="A127" s="57"/>
      <c r="B127" s="48"/>
      <c r="C127" s="887" t="s">
        <v>1259</v>
      </c>
      <c r="D127" s="883">
        <f t="shared" si="179"/>
        <v>2944395.2835330367</v>
      </c>
      <c r="E127" s="883">
        <f t="shared" si="179"/>
        <v>3055305.190357367</v>
      </c>
      <c r="F127" s="883">
        <f t="shared" si="179"/>
        <v>3079930.3475812813</v>
      </c>
      <c r="G127" s="883">
        <f t="shared" si="179"/>
        <v>3526361.7626496507</v>
      </c>
      <c r="H127" s="883">
        <f t="shared" si="179"/>
        <v>3342209.1922419788</v>
      </c>
      <c r="I127" s="883">
        <f t="shared" si="179"/>
        <v>3515493.3745111991</v>
      </c>
      <c r="J127" s="180">
        <f t="shared" si="151"/>
        <v>19463695.15087451</v>
      </c>
      <c r="K127" s="883">
        <f>D197</f>
        <v>921775.27899999986</v>
      </c>
      <c r="L127" s="883">
        <f t="shared" si="176"/>
        <v>877569.5334999999</v>
      </c>
      <c r="M127" s="883">
        <f t="shared" si="176"/>
        <v>953227.88499999989</v>
      </c>
      <c r="N127" s="883">
        <f t="shared" si="176"/>
        <v>1097490.6094</v>
      </c>
      <c r="O127" s="883">
        <f t="shared" si="176"/>
        <v>924607.49910000002</v>
      </c>
      <c r="P127" s="883">
        <f t="shared" si="176"/>
        <v>1008345.1175700019</v>
      </c>
      <c r="Q127" s="180">
        <f t="shared" si="153"/>
        <v>5783015.9235700015</v>
      </c>
      <c r="R127" s="883">
        <f t="shared" si="177"/>
        <v>2022620.0045330368</v>
      </c>
      <c r="S127" s="883">
        <f t="shared" si="177"/>
        <v>2177735.6568573671</v>
      </c>
      <c r="T127" s="883">
        <f t="shared" si="177"/>
        <v>2126702.4625812816</v>
      </c>
      <c r="U127" s="883">
        <f t="shared" si="177"/>
        <v>2428871.1532496507</v>
      </c>
      <c r="V127" s="883">
        <f t="shared" si="177"/>
        <v>2417601.6931419787</v>
      </c>
      <c r="W127" s="883">
        <f t="shared" si="177"/>
        <v>2507148.2569411974</v>
      </c>
      <c r="X127" s="180">
        <f t="shared" si="155"/>
        <v>13680679.227304513</v>
      </c>
      <c r="Y127" s="2456"/>
      <c r="Z127" s="2456"/>
      <c r="AA127" s="2456"/>
      <c r="AB127" s="2456"/>
      <c r="AC127" s="2456"/>
      <c r="AD127" s="2456"/>
      <c r="AE127" s="2455"/>
      <c r="AF127" s="1389"/>
      <c r="AG127" s="972"/>
      <c r="AH127" s="972"/>
      <c r="AI127" s="972"/>
    </row>
    <row r="128" spans="1:35">
      <c r="A128" s="57"/>
      <c r="B128" s="48" t="s">
        <v>873</v>
      </c>
      <c r="C128" s="882" t="s">
        <v>276</v>
      </c>
      <c r="D128" s="881">
        <f t="shared" ref="D128:I128" si="180">SUM(D129:D133)</f>
        <v>42704930.713415012</v>
      </c>
      <c r="E128" s="881">
        <f t="shared" si="180"/>
        <v>42273230.147294998</v>
      </c>
      <c r="F128" s="881">
        <f t="shared" si="180"/>
        <v>41073104.088540003</v>
      </c>
      <c r="G128" s="881">
        <f t="shared" si="180"/>
        <v>42730848.35360001</v>
      </c>
      <c r="H128" s="881">
        <f t="shared" si="180"/>
        <v>39398904.964399993</v>
      </c>
      <c r="I128" s="881">
        <f t="shared" si="180"/>
        <v>42246478.627023496</v>
      </c>
      <c r="J128" s="180">
        <f t="shared" si="151"/>
        <v>250427496.89427349</v>
      </c>
      <c r="K128" s="881">
        <f t="shared" ref="K128:P128" si="181">SUM(K129:K133)</f>
        <v>13917536.919501953</v>
      </c>
      <c r="L128" s="881">
        <f t="shared" si="181"/>
        <v>13776845.70500344</v>
      </c>
      <c r="M128" s="881">
        <f t="shared" si="181"/>
        <v>13385724.622455187</v>
      </c>
      <c r="N128" s="881">
        <f t="shared" si="181"/>
        <v>13925983.478438243</v>
      </c>
      <c r="O128" s="881">
        <f t="shared" si="181"/>
        <v>12840103.127897959</v>
      </c>
      <c r="P128" s="881">
        <f t="shared" si="181"/>
        <v>13768127.384546958</v>
      </c>
      <c r="Q128" s="180">
        <f t="shared" si="153"/>
        <v>81614321.237843752</v>
      </c>
      <c r="R128" s="881">
        <f t="shared" ref="R128:W128" si="182">SUM(R129:R133)</f>
        <v>28787393.793913059</v>
      </c>
      <c r="S128" s="881">
        <f t="shared" si="182"/>
        <v>28496384.442291562</v>
      </c>
      <c r="T128" s="881">
        <f t="shared" si="182"/>
        <v>27687379.466084816</v>
      </c>
      <c r="U128" s="881">
        <f t="shared" si="182"/>
        <v>28804864.875161767</v>
      </c>
      <c r="V128" s="881">
        <f t="shared" si="182"/>
        <v>26558801.83650203</v>
      </c>
      <c r="W128" s="881">
        <f t="shared" si="182"/>
        <v>28478351.242476538</v>
      </c>
      <c r="X128" s="180">
        <f t="shared" si="155"/>
        <v>168813175.65642977</v>
      </c>
      <c r="Y128" s="2455"/>
      <c r="Z128" s="2455"/>
      <c r="AA128" s="2455"/>
      <c r="AB128" s="2455"/>
      <c r="AC128" s="2455"/>
      <c r="AD128" s="2455"/>
      <c r="AE128" s="2455"/>
      <c r="AF128" s="1389"/>
      <c r="AG128" s="972"/>
      <c r="AH128" s="972"/>
      <c r="AI128" s="972"/>
    </row>
    <row r="129" spans="1:35">
      <c r="A129" s="57"/>
      <c r="B129" s="48"/>
      <c r="C129" s="887" t="s">
        <v>969</v>
      </c>
      <c r="D129" s="883">
        <f t="shared" ref="D129:I133" si="183">D199</f>
        <v>0</v>
      </c>
      <c r="E129" s="883">
        <f t="shared" si="183"/>
        <v>0</v>
      </c>
      <c r="F129" s="883">
        <f t="shared" si="183"/>
        <v>0</v>
      </c>
      <c r="G129" s="883">
        <f t="shared" si="183"/>
        <v>0</v>
      </c>
      <c r="H129" s="883">
        <f t="shared" si="183"/>
        <v>0</v>
      </c>
      <c r="I129" s="883">
        <f t="shared" si="183"/>
        <v>0</v>
      </c>
      <c r="J129" s="180">
        <f t="shared" si="151"/>
        <v>0</v>
      </c>
      <c r="K129" s="883">
        <f t="shared" ref="K129:P133" si="184">D129*$AG129</f>
        <v>0</v>
      </c>
      <c r="L129" s="883">
        <f t="shared" si="184"/>
        <v>0</v>
      </c>
      <c r="M129" s="883">
        <f t="shared" si="184"/>
        <v>0</v>
      </c>
      <c r="N129" s="883">
        <f t="shared" si="184"/>
        <v>0</v>
      </c>
      <c r="O129" s="883">
        <f t="shared" si="184"/>
        <v>0</v>
      </c>
      <c r="P129" s="883">
        <f t="shared" si="184"/>
        <v>0</v>
      </c>
      <c r="Q129" s="180">
        <f t="shared" si="153"/>
        <v>0</v>
      </c>
      <c r="R129" s="883">
        <f t="shared" ref="R129:W133" si="185">D129-K129</f>
        <v>0</v>
      </c>
      <c r="S129" s="883">
        <f t="shared" si="185"/>
        <v>0</v>
      </c>
      <c r="T129" s="883">
        <f t="shared" si="185"/>
        <v>0</v>
      </c>
      <c r="U129" s="883">
        <f t="shared" si="185"/>
        <v>0</v>
      </c>
      <c r="V129" s="883">
        <f t="shared" si="185"/>
        <v>0</v>
      </c>
      <c r="W129" s="883">
        <f t="shared" si="185"/>
        <v>0</v>
      </c>
      <c r="X129" s="180">
        <f t="shared" si="155"/>
        <v>0</v>
      </c>
      <c r="Y129" s="2456"/>
      <c r="Z129" s="2456"/>
      <c r="AA129" s="2456"/>
      <c r="AB129" s="2456"/>
      <c r="AC129" s="2456"/>
      <c r="AD129" s="2456"/>
      <c r="AE129" s="2455"/>
      <c r="AF129" s="1389"/>
      <c r="AG129" s="972">
        <f>$AG$14</f>
        <v>0.32590000000000002</v>
      </c>
      <c r="AH129" s="972">
        <f>$AG$14</f>
        <v>0.32590000000000002</v>
      </c>
      <c r="AI129" s="972">
        <f>$AG$14</f>
        <v>0.32590000000000002</v>
      </c>
    </row>
    <row r="130" spans="1:35">
      <c r="A130" s="57"/>
      <c r="B130" s="48"/>
      <c r="C130" s="887" t="s">
        <v>970</v>
      </c>
      <c r="D130" s="883">
        <f t="shared" si="183"/>
        <v>27837865.777215011</v>
      </c>
      <c r="E130" s="883">
        <f t="shared" si="183"/>
        <v>27768734.010435</v>
      </c>
      <c r="F130" s="883">
        <f t="shared" si="183"/>
        <v>25294587.126940001</v>
      </c>
      <c r="G130" s="883">
        <f t="shared" si="183"/>
        <v>26221253.892300006</v>
      </c>
      <c r="H130" s="883">
        <f t="shared" si="183"/>
        <v>23949123.551399995</v>
      </c>
      <c r="I130" s="883">
        <f t="shared" si="183"/>
        <v>25365998.302292999</v>
      </c>
      <c r="J130" s="180">
        <f t="shared" si="151"/>
        <v>156437562.66058302</v>
      </c>
      <c r="K130" s="883">
        <f t="shared" si="184"/>
        <v>9072360.4567943737</v>
      </c>
      <c r="L130" s="883">
        <f t="shared" si="184"/>
        <v>9049830.4140007664</v>
      </c>
      <c r="M130" s="883">
        <f t="shared" si="184"/>
        <v>8243505.9446697468</v>
      </c>
      <c r="N130" s="883">
        <f t="shared" si="184"/>
        <v>8545506.6435005721</v>
      </c>
      <c r="O130" s="883">
        <f t="shared" si="184"/>
        <v>7805019.3654012587</v>
      </c>
      <c r="P130" s="883">
        <f t="shared" si="184"/>
        <v>8266778.8467172887</v>
      </c>
      <c r="Q130" s="180">
        <f t="shared" si="153"/>
        <v>50983001.671084009</v>
      </c>
      <c r="R130" s="883">
        <f t="shared" si="185"/>
        <v>18765505.320420638</v>
      </c>
      <c r="S130" s="883">
        <f t="shared" si="185"/>
        <v>18718903.596434236</v>
      </c>
      <c r="T130" s="883">
        <f t="shared" si="185"/>
        <v>17051081.182270255</v>
      </c>
      <c r="U130" s="883">
        <f t="shared" si="185"/>
        <v>17675747.248799436</v>
      </c>
      <c r="V130" s="883">
        <f t="shared" si="185"/>
        <v>16144104.185998736</v>
      </c>
      <c r="W130" s="883">
        <f t="shared" si="185"/>
        <v>17099219.455575712</v>
      </c>
      <c r="X130" s="180">
        <f t="shared" si="155"/>
        <v>105454560.989499</v>
      </c>
      <c r="Y130" s="2456"/>
      <c r="Z130" s="2456"/>
      <c r="AA130" s="2456"/>
      <c r="AB130" s="2456"/>
      <c r="AC130" s="2456"/>
      <c r="AD130" s="2456"/>
      <c r="AE130" s="2455"/>
      <c r="AF130" s="1389"/>
      <c r="AG130" s="972">
        <f t="shared" ref="AG130:AI133" si="186">AG129</f>
        <v>0.32590000000000002</v>
      </c>
      <c r="AH130" s="972">
        <f t="shared" si="186"/>
        <v>0.32590000000000002</v>
      </c>
      <c r="AI130" s="972">
        <f t="shared" si="186"/>
        <v>0.32590000000000002</v>
      </c>
    </row>
    <row r="131" spans="1:35">
      <c r="A131" s="57"/>
      <c r="B131" s="48"/>
      <c r="C131" s="887" t="s">
        <v>1011</v>
      </c>
      <c r="D131" s="883">
        <f t="shared" si="183"/>
        <v>1961051.1001999998</v>
      </c>
      <c r="E131" s="883">
        <f t="shared" si="183"/>
        <v>1739911.9648</v>
      </c>
      <c r="F131" s="883">
        <f t="shared" si="183"/>
        <v>1932315.4992999998</v>
      </c>
      <c r="G131" s="883">
        <f t="shared" si="183"/>
        <v>1691295.2818000002</v>
      </c>
      <c r="H131" s="883">
        <f t="shared" si="183"/>
        <v>1615880.5572000004</v>
      </c>
      <c r="I131" s="883">
        <f t="shared" si="183"/>
        <v>1810245.3746499973</v>
      </c>
      <c r="J131" s="180">
        <f t="shared" si="151"/>
        <v>10750699.777949996</v>
      </c>
      <c r="K131" s="883">
        <f t="shared" si="184"/>
        <v>639106.55355517997</v>
      </c>
      <c r="L131" s="883">
        <f t="shared" si="184"/>
        <v>567037.30932831997</v>
      </c>
      <c r="M131" s="883">
        <f t="shared" si="184"/>
        <v>629741.62122186995</v>
      </c>
      <c r="N131" s="883">
        <f t="shared" si="184"/>
        <v>551193.13233862014</v>
      </c>
      <c r="O131" s="883">
        <f t="shared" si="184"/>
        <v>526615.47359148017</v>
      </c>
      <c r="P131" s="883">
        <f t="shared" si="184"/>
        <v>589958.96759843419</v>
      </c>
      <c r="Q131" s="180">
        <f t="shared" si="153"/>
        <v>3503653.0576339043</v>
      </c>
      <c r="R131" s="883">
        <f t="shared" si="185"/>
        <v>1321944.5466448199</v>
      </c>
      <c r="S131" s="883">
        <f t="shared" si="185"/>
        <v>1172874.65547168</v>
      </c>
      <c r="T131" s="883">
        <f t="shared" si="185"/>
        <v>1302573.8780781298</v>
      </c>
      <c r="U131" s="883">
        <f t="shared" si="185"/>
        <v>1140102.1494613802</v>
      </c>
      <c r="V131" s="883">
        <f t="shared" si="185"/>
        <v>1089265.0836085202</v>
      </c>
      <c r="W131" s="883">
        <f t="shared" si="185"/>
        <v>1220286.4070515633</v>
      </c>
      <c r="X131" s="180">
        <f t="shared" si="155"/>
        <v>7247046.7203160934</v>
      </c>
      <c r="Y131" s="2456"/>
      <c r="Z131" s="2456"/>
      <c r="AA131" s="2456"/>
      <c r="AB131" s="2456"/>
      <c r="AC131" s="2456"/>
      <c r="AD131" s="2456"/>
      <c r="AE131" s="2455"/>
      <c r="AF131" s="1389"/>
      <c r="AG131" s="972">
        <f t="shared" si="186"/>
        <v>0.32590000000000002</v>
      </c>
      <c r="AH131" s="972">
        <f t="shared" si="186"/>
        <v>0.32590000000000002</v>
      </c>
      <c r="AI131" s="972">
        <f t="shared" si="186"/>
        <v>0.32590000000000002</v>
      </c>
    </row>
    <row r="132" spans="1:35">
      <c r="A132" s="57"/>
      <c r="B132" s="48"/>
      <c r="C132" s="887" t="s">
        <v>1012</v>
      </c>
      <c r="D132" s="883">
        <f t="shared" si="183"/>
        <v>1850475.3221999998</v>
      </c>
      <c r="E132" s="883">
        <f t="shared" si="183"/>
        <v>1911629.2402999999</v>
      </c>
      <c r="F132" s="883">
        <f t="shared" si="183"/>
        <v>1834041.8471000004</v>
      </c>
      <c r="G132" s="883">
        <f t="shared" si="183"/>
        <v>1921283.8751000003</v>
      </c>
      <c r="H132" s="883">
        <f t="shared" si="183"/>
        <v>1700117.9229000001</v>
      </c>
      <c r="I132" s="883">
        <f t="shared" si="183"/>
        <v>1921727.2948299991</v>
      </c>
      <c r="J132" s="180">
        <f t="shared" si="151"/>
        <v>11139275.502429999</v>
      </c>
      <c r="K132" s="883">
        <f t="shared" si="184"/>
        <v>603069.90750497999</v>
      </c>
      <c r="L132" s="883">
        <f t="shared" si="184"/>
        <v>622999.96941377001</v>
      </c>
      <c r="M132" s="883">
        <f t="shared" si="184"/>
        <v>597714.23796989012</v>
      </c>
      <c r="N132" s="883">
        <f t="shared" si="184"/>
        <v>626146.41489509016</v>
      </c>
      <c r="O132" s="883">
        <f t="shared" si="184"/>
        <v>554068.43107311008</v>
      </c>
      <c r="P132" s="883">
        <f t="shared" si="184"/>
        <v>626290.92538509669</v>
      </c>
      <c r="Q132" s="180">
        <f t="shared" si="153"/>
        <v>3630289.8862419371</v>
      </c>
      <c r="R132" s="883">
        <f t="shared" si="185"/>
        <v>1247405.4146950198</v>
      </c>
      <c r="S132" s="883">
        <f t="shared" si="185"/>
        <v>1288629.2708862298</v>
      </c>
      <c r="T132" s="883">
        <f t="shared" si="185"/>
        <v>1236327.6091301101</v>
      </c>
      <c r="U132" s="883">
        <f t="shared" si="185"/>
        <v>1295137.46020491</v>
      </c>
      <c r="V132" s="883">
        <f t="shared" si="185"/>
        <v>1146049.49182689</v>
      </c>
      <c r="W132" s="883">
        <f t="shared" si="185"/>
        <v>1295436.3694449025</v>
      </c>
      <c r="X132" s="180">
        <f t="shared" si="155"/>
        <v>7508985.6161880624</v>
      </c>
      <c r="Y132" s="2456"/>
      <c r="Z132" s="2456"/>
      <c r="AA132" s="2456"/>
      <c r="AB132" s="2456"/>
      <c r="AC132" s="2456"/>
      <c r="AD132" s="2456"/>
      <c r="AE132" s="2455"/>
      <c r="AF132" s="1389"/>
      <c r="AG132" s="972">
        <f t="shared" si="186"/>
        <v>0.32590000000000002</v>
      </c>
      <c r="AH132" s="972">
        <f t="shared" si="186"/>
        <v>0.32590000000000002</v>
      </c>
      <c r="AI132" s="972">
        <f t="shared" si="186"/>
        <v>0.32590000000000002</v>
      </c>
    </row>
    <row r="133" spans="1:35">
      <c r="A133" s="57"/>
      <c r="B133" s="48"/>
      <c r="C133" s="887" t="s">
        <v>1108</v>
      </c>
      <c r="D133" s="883">
        <f t="shared" si="183"/>
        <v>11055538.513800001</v>
      </c>
      <c r="E133" s="883">
        <f t="shared" si="183"/>
        <v>10852954.93176</v>
      </c>
      <c r="F133" s="883">
        <f t="shared" si="183"/>
        <v>12012159.6152</v>
      </c>
      <c r="G133" s="883">
        <f t="shared" si="183"/>
        <v>12897015.304399999</v>
      </c>
      <c r="H133" s="883">
        <f t="shared" si="183"/>
        <v>12133782.932899997</v>
      </c>
      <c r="I133" s="883">
        <f t="shared" si="183"/>
        <v>13148507.655250499</v>
      </c>
      <c r="J133" s="180">
        <f t="shared" si="151"/>
        <v>72099958.95331049</v>
      </c>
      <c r="K133" s="883">
        <f t="shared" si="184"/>
        <v>3603000.0016474207</v>
      </c>
      <c r="L133" s="883">
        <f t="shared" si="184"/>
        <v>3536978.0122605842</v>
      </c>
      <c r="M133" s="883">
        <f t="shared" si="184"/>
        <v>3914762.8185936804</v>
      </c>
      <c r="N133" s="883">
        <f t="shared" si="184"/>
        <v>4203137.2877039602</v>
      </c>
      <c r="O133" s="883">
        <f t="shared" si="184"/>
        <v>3954399.8578321091</v>
      </c>
      <c r="P133" s="883">
        <f t="shared" si="184"/>
        <v>4285098.6448461376</v>
      </c>
      <c r="Q133" s="180">
        <f t="shared" si="153"/>
        <v>23497376.62288389</v>
      </c>
      <c r="R133" s="883">
        <f t="shared" si="185"/>
        <v>7452538.5121525805</v>
      </c>
      <c r="S133" s="883">
        <f t="shared" si="185"/>
        <v>7315976.9194994159</v>
      </c>
      <c r="T133" s="883">
        <f t="shared" si="185"/>
        <v>8097396.796606319</v>
      </c>
      <c r="U133" s="883">
        <f t="shared" si="185"/>
        <v>8693878.0166960396</v>
      </c>
      <c r="V133" s="883">
        <f t="shared" si="185"/>
        <v>8179383.0750678871</v>
      </c>
      <c r="W133" s="883">
        <f t="shared" si="185"/>
        <v>8863409.0104043614</v>
      </c>
      <c r="X133" s="180">
        <f t="shared" si="155"/>
        <v>48602582.330426604</v>
      </c>
      <c r="Y133" s="2456"/>
      <c r="Z133" s="2456"/>
      <c r="AA133" s="2456"/>
      <c r="AB133" s="2456"/>
      <c r="AC133" s="2456"/>
      <c r="AD133" s="2456"/>
      <c r="AE133" s="2455"/>
      <c r="AF133" s="1389"/>
      <c r="AG133" s="972">
        <f t="shared" si="186"/>
        <v>0.32590000000000002</v>
      </c>
      <c r="AH133" s="972">
        <f t="shared" si="186"/>
        <v>0.32590000000000002</v>
      </c>
      <c r="AI133" s="972">
        <f t="shared" si="186"/>
        <v>0.32590000000000002</v>
      </c>
    </row>
    <row r="134" spans="1:35">
      <c r="A134" s="57"/>
      <c r="B134" s="48"/>
      <c r="C134" s="887"/>
      <c r="D134" s="883"/>
      <c r="E134" s="883"/>
      <c r="F134" s="883"/>
      <c r="G134" s="883"/>
      <c r="H134" s="883"/>
      <c r="I134" s="883"/>
      <c r="J134" s="180">
        <f t="shared" si="151"/>
        <v>0</v>
      </c>
      <c r="K134" s="883"/>
      <c r="L134" s="883"/>
      <c r="M134" s="883"/>
      <c r="N134" s="883"/>
      <c r="O134" s="883"/>
      <c r="P134" s="883"/>
      <c r="Q134" s="180">
        <f t="shared" si="153"/>
        <v>0</v>
      </c>
      <c r="R134" s="883"/>
      <c r="S134" s="883"/>
      <c r="T134" s="883"/>
      <c r="U134" s="883"/>
      <c r="V134" s="883"/>
      <c r="W134" s="883"/>
      <c r="X134" s="180">
        <f t="shared" si="155"/>
        <v>0</v>
      </c>
      <c r="Y134" s="2456"/>
      <c r="Z134" s="2456"/>
      <c r="AA134" s="2456"/>
      <c r="AB134" s="2456"/>
      <c r="AC134" s="2456"/>
      <c r="AD134" s="2456"/>
      <c r="AE134" s="2455"/>
      <c r="AF134" s="1389"/>
      <c r="AG134" s="972"/>
      <c r="AH134" s="972"/>
      <c r="AI134" s="972"/>
    </row>
    <row r="135" spans="1:35" ht="15.75">
      <c r="A135" s="57"/>
      <c r="B135" s="48"/>
      <c r="C135" s="965" t="s">
        <v>443</v>
      </c>
      <c r="D135" s="881">
        <f t="shared" ref="D135:I135" si="187">D136+D139</f>
        <v>8572227.6396000031</v>
      </c>
      <c r="E135" s="881">
        <f t="shared" si="187"/>
        <v>8415852.6217</v>
      </c>
      <c r="F135" s="881">
        <f t="shared" si="187"/>
        <v>8530315.5671999995</v>
      </c>
      <c r="G135" s="881">
        <f t="shared" si="187"/>
        <v>8985545.4524999987</v>
      </c>
      <c r="H135" s="881">
        <f t="shared" si="187"/>
        <v>8282714.0983999986</v>
      </c>
      <c r="I135" s="881">
        <f t="shared" si="187"/>
        <v>9285580.1267460026</v>
      </c>
      <c r="J135" s="180">
        <f t="shared" si="151"/>
        <v>52072235.506145999</v>
      </c>
      <c r="K135" s="881">
        <f t="shared" ref="K135:P135" si="188">K136+K139</f>
        <v>2935871.383785401</v>
      </c>
      <c r="L135" s="881">
        <f t="shared" si="188"/>
        <v>2851993.7847351208</v>
      </c>
      <c r="M135" s="881">
        <f t="shared" si="188"/>
        <v>2789345.0546826599</v>
      </c>
      <c r="N135" s="881">
        <f t="shared" si="188"/>
        <v>2897579.2750071199</v>
      </c>
      <c r="O135" s="881">
        <f t="shared" si="188"/>
        <v>2632868.1654312792</v>
      </c>
      <c r="P135" s="881">
        <f t="shared" si="188"/>
        <v>2814863.6971208835</v>
      </c>
      <c r="Q135" s="180">
        <f t="shared" si="153"/>
        <v>16922521.360762466</v>
      </c>
      <c r="R135" s="881">
        <f t="shared" ref="R135:W135" si="189">R136+R139</f>
        <v>5636356.2558146007</v>
      </c>
      <c r="S135" s="881">
        <f t="shared" si="189"/>
        <v>5563858.8369648792</v>
      </c>
      <c r="T135" s="881">
        <f t="shared" si="189"/>
        <v>5740970.5125173395</v>
      </c>
      <c r="U135" s="881">
        <f t="shared" si="189"/>
        <v>6087966.1774928803</v>
      </c>
      <c r="V135" s="881">
        <f t="shared" si="189"/>
        <v>5649845.9329687189</v>
      </c>
      <c r="W135" s="881">
        <f t="shared" si="189"/>
        <v>6470716.4296251191</v>
      </c>
      <c r="X135" s="180">
        <f t="shared" si="155"/>
        <v>35149714.145383537</v>
      </c>
      <c r="Y135" s="2455"/>
      <c r="Z135" s="2455"/>
      <c r="AA135" s="2455"/>
      <c r="AB135" s="2455"/>
      <c r="AC135" s="2455"/>
      <c r="AD135" s="2455"/>
      <c r="AE135" s="2455"/>
      <c r="AF135" s="1389"/>
      <c r="AG135" s="972"/>
      <c r="AH135" s="972"/>
      <c r="AI135" s="972"/>
    </row>
    <row r="136" spans="1:35">
      <c r="A136" s="57"/>
      <c r="B136" s="48" t="s">
        <v>874</v>
      </c>
      <c r="C136" s="882" t="s">
        <v>275</v>
      </c>
      <c r="D136" s="881">
        <f t="shared" ref="D136:I136" si="190">SUM(D137:D138)</f>
        <v>277505.12309999997</v>
      </c>
      <c r="E136" s="881">
        <f t="shared" si="190"/>
        <v>275039.1409</v>
      </c>
      <c r="F136" s="881">
        <f t="shared" si="190"/>
        <v>263421.304</v>
      </c>
      <c r="G136" s="881">
        <f t="shared" si="190"/>
        <v>273172.52999999997</v>
      </c>
      <c r="H136" s="881">
        <f t="shared" si="190"/>
        <v>264545.33290000004</v>
      </c>
      <c r="I136" s="881">
        <f t="shared" si="190"/>
        <v>274089.99000000028</v>
      </c>
      <c r="J136" s="180">
        <f t="shared" si="151"/>
        <v>1627773.4209000003</v>
      </c>
      <c r="K136" s="881">
        <f t="shared" ref="K136:P136" si="191">SUM(K137:K138)</f>
        <v>97562.890400000004</v>
      </c>
      <c r="L136" s="881">
        <f t="shared" si="191"/>
        <v>87939.032099999997</v>
      </c>
      <c r="M136" s="881">
        <f t="shared" si="191"/>
        <v>89703.260200000004</v>
      </c>
      <c r="N136" s="881">
        <f t="shared" si="191"/>
        <v>93838.406499999997</v>
      </c>
      <c r="O136" s="881">
        <f t="shared" si="191"/>
        <v>81332.713600000003</v>
      </c>
      <c r="P136" s="881">
        <f t="shared" si="191"/>
        <v>86629.29000000011</v>
      </c>
      <c r="Q136" s="180">
        <f t="shared" si="153"/>
        <v>537005.5928000001</v>
      </c>
      <c r="R136" s="881">
        <f t="shared" ref="R136:W136" si="192">SUM(R137:R138)</f>
        <v>179942.23269999996</v>
      </c>
      <c r="S136" s="881">
        <f t="shared" si="192"/>
        <v>187100.10879999999</v>
      </c>
      <c r="T136" s="881">
        <f t="shared" si="192"/>
        <v>173718.04379999998</v>
      </c>
      <c r="U136" s="881">
        <f t="shared" si="192"/>
        <v>179334.12349999999</v>
      </c>
      <c r="V136" s="881">
        <f t="shared" si="192"/>
        <v>183212.61930000002</v>
      </c>
      <c r="W136" s="881">
        <f t="shared" si="192"/>
        <v>187460.70000000019</v>
      </c>
      <c r="X136" s="180">
        <f t="shared" si="155"/>
        <v>1090767.8281</v>
      </c>
      <c r="Y136" s="2455"/>
      <c r="Z136" s="2455"/>
      <c r="AA136" s="2455"/>
      <c r="AB136" s="2455"/>
      <c r="AC136" s="2455"/>
      <c r="AD136" s="2455"/>
      <c r="AE136" s="2455"/>
      <c r="AF136" s="1389"/>
      <c r="AG136" s="972"/>
      <c r="AH136" s="972"/>
      <c r="AI136" s="972"/>
    </row>
    <row r="137" spans="1:35">
      <c r="A137" s="57"/>
      <c r="B137" s="48"/>
      <c r="C137" s="887" t="s">
        <v>972</v>
      </c>
      <c r="D137" s="883">
        <f t="shared" ref="D137:I137" si="193">SUM(D204:D205)</f>
        <v>277505.12309999997</v>
      </c>
      <c r="E137" s="883">
        <f t="shared" si="193"/>
        <v>275039.1409</v>
      </c>
      <c r="F137" s="883">
        <f t="shared" si="193"/>
        <v>263421.304</v>
      </c>
      <c r="G137" s="883">
        <f t="shared" si="193"/>
        <v>273172.52999999997</v>
      </c>
      <c r="H137" s="883">
        <f t="shared" si="193"/>
        <v>264545.33290000004</v>
      </c>
      <c r="I137" s="883">
        <f t="shared" si="193"/>
        <v>274089.99000000028</v>
      </c>
      <c r="J137" s="180">
        <f t="shared" si="151"/>
        <v>1627773.4209000003</v>
      </c>
      <c r="K137" s="883">
        <f t="shared" ref="K137:P137" si="194">D204</f>
        <v>97562.890400000004</v>
      </c>
      <c r="L137" s="883">
        <f t="shared" si="194"/>
        <v>87939.032099999997</v>
      </c>
      <c r="M137" s="883">
        <f t="shared" si="194"/>
        <v>89703.260200000004</v>
      </c>
      <c r="N137" s="883">
        <f t="shared" si="194"/>
        <v>93838.406499999997</v>
      </c>
      <c r="O137" s="883">
        <f t="shared" si="194"/>
        <v>81332.713600000003</v>
      </c>
      <c r="P137" s="883">
        <f t="shared" si="194"/>
        <v>86629.29000000011</v>
      </c>
      <c r="Q137" s="180">
        <f t="shared" si="153"/>
        <v>537005.5928000001</v>
      </c>
      <c r="R137" s="883">
        <f t="shared" ref="R137:W138" si="195">D137-K137</f>
        <v>179942.23269999996</v>
      </c>
      <c r="S137" s="883">
        <f t="shared" si="195"/>
        <v>187100.10879999999</v>
      </c>
      <c r="T137" s="883">
        <f t="shared" si="195"/>
        <v>173718.04379999998</v>
      </c>
      <c r="U137" s="883">
        <f t="shared" si="195"/>
        <v>179334.12349999999</v>
      </c>
      <c r="V137" s="883">
        <f t="shared" si="195"/>
        <v>183212.61930000002</v>
      </c>
      <c r="W137" s="883">
        <f t="shared" si="195"/>
        <v>187460.70000000019</v>
      </c>
      <c r="X137" s="180">
        <f t="shared" si="155"/>
        <v>1090767.8281</v>
      </c>
      <c r="Y137" s="2456"/>
      <c r="Z137" s="2456"/>
      <c r="AA137" s="2456"/>
      <c r="AB137" s="2456"/>
      <c r="AC137" s="2456"/>
      <c r="AD137" s="2456"/>
      <c r="AE137" s="2455"/>
      <c r="AF137" s="1389"/>
      <c r="AG137" s="972">
        <f>$AG$27</f>
        <v>0.41660000000000003</v>
      </c>
      <c r="AH137" s="972">
        <f>$AG$27</f>
        <v>0.41660000000000003</v>
      </c>
      <c r="AI137" s="972">
        <f>$AG$27</f>
        <v>0.41660000000000003</v>
      </c>
    </row>
    <row r="138" spans="1:35">
      <c r="A138" s="57"/>
      <c r="B138" s="48"/>
      <c r="C138" s="887"/>
      <c r="D138" s="883"/>
      <c r="E138" s="883"/>
      <c r="F138" s="883"/>
      <c r="G138" s="883"/>
      <c r="H138" s="883"/>
      <c r="I138" s="883"/>
      <c r="J138" s="180"/>
      <c r="K138" s="883"/>
      <c r="L138" s="883"/>
      <c r="M138" s="883"/>
      <c r="N138" s="883"/>
      <c r="O138" s="883"/>
      <c r="P138" s="883"/>
      <c r="Q138" s="180"/>
      <c r="R138" s="883">
        <f t="shared" si="195"/>
        <v>0</v>
      </c>
      <c r="S138" s="883">
        <f t="shared" si="195"/>
        <v>0</v>
      </c>
      <c r="T138" s="883">
        <f t="shared" si="195"/>
        <v>0</v>
      </c>
      <c r="U138" s="883">
        <f t="shared" si="195"/>
        <v>0</v>
      </c>
      <c r="V138" s="883">
        <f t="shared" si="195"/>
        <v>0</v>
      </c>
      <c r="W138" s="883">
        <f t="shared" si="195"/>
        <v>0</v>
      </c>
      <c r="X138" s="180"/>
      <c r="Y138" s="2456"/>
      <c r="Z138" s="2456"/>
      <c r="AA138" s="2456"/>
      <c r="AB138" s="2456"/>
      <c r="AC138" s="2456"/>
      <c r="AD138" s="2456"/>
      <c r="AE138" s="2455"/>
      <c r="AF138" s="1389"/>
      <c r="AG138" s="972"/>
      <c r="AH138" s="972"/>
      <c r="AI138" s="972"/>
    </row>
    <row r="139" spans="1:35">
      <c r="A139" s="57"/>
      <c r="B139" s="48" t="s">
        <v>875</v>
      </c>
      <c r="C139" s="882" t="s">
        <v>274</v>
      </c>
      <c r="D139" s="881">
        <f t="shared" ref="D139:I139" si="196">SUM(D140:D144)</f>
        <v>8294722.5165000027</v>
      </c>
      <c r="E139" s="881">
        <f t="shared" si="196"/>
        <v>8140813.480800001</v>
      </c>
      <c r="F139" s="881">
        <f t="shared" si="196"/>
        <v>8266894.2631999999</v>
      </c>
      <c r="G139" s="881">
        <f t="shared" si="196"/>
        <v>8712372.9224999994</v>
      </c>
      <c r="H139" s="881">
        <f t="shared" si="196"/>
        <v>8018168.7654999988</v>
      </c>
      <c r="I139" s="881">
        <f t="shared" si="196"/>
        <v>9011490.1367460024</v>
      </c>
      <c r="J139" s="180">
        <f t="shared" si="151"/>
        <v>50444462.085246004</v>
      </c>
      <c r="K139" s="881">
        <f t="shared" ref="K139:P139" si="197">SUM(K140:K144)</f>
        <v>2838308.4933854011</v>
      </c>
      <c r="L139" s="881">
        <f t="shared" si="197"/>
        <v>2764054.7526351209</v>
      </c>
      <c r="M139" s="881">
        <f t="shared" si="197"/>
        <v>2699641.79448266</v>
      </c>
      <c r="N139" s="881">
        <f t="shared" si="197"/>
        <v>2803740.8685071198</v>
      </c>
      <c r="O139" s="881">
        <f t="shared" si="197"/>
        <v>2551535.4518312793</v>
      </c>
      <c r="P139" s="881">
        <f t="shared" si="197"/>
        <v>2728234.4071208835</v>
      </c>
      <c r="Q139" s="180">
        <f t="shared" ref="Q139:Q146" si="198">SUM(K139:P139)</f>
        <v>16385515.767962465</v>
      </c>
      <c r="R139" s="881">
        <f t="shared" ref="R139:W139" si="199">SUM(R140:R144)</f>
        <v>5456414.0231146012</v>
      </c>
      <c r="S139" s="881">
        <f t="shared" si="199"/>
        <v>5376758.7281648796</v>
      </c>
      <c r="T139" s="881">
        <f t="shared" si="199"/>
        <v>5567252.4687173394</v>
      </c>
      <c r="U139" s="881">
        <f t="shared" si="199"/>
        <v>5908632.0539928805</v>
      </c>
      <c r="V139" s="881">
        <f t="shared" si="199"/>
        <v>5466633.3136687186</v>
      </c>
      <c r="W139" s="881">
        <f t="shared" si="199"/>
        <v>6283255.7296251189</v>
      </c>
      <c r="X139" s="180">
        <f t="shared" ref="X139:X146" si="200">SUM(R139:W139)</f>
        <v>34058946.317283541</v>
      </c>
      <c r="Y139" s="2455"/>
      <c r="Z139" s="2455"/>
      <c r="AA139" s="2455"/>
      <c r="AB139" s="2455"/>
      <c r="AC139" s="2455"/>
      <c r="AD139" s="2455"/>
      <c r="AE139" s="2455"/>
      <c r="AF139" s="1389"/>
      <c r="AG139" s="972"/>
      <c r="AH139" s="972"/>
      <c r="AI139" s="972"/>
    </row>
    <row r="140" spans="1:35">
      <c r="A140" s="57"/>
      <c r="B140" s="58"/>
      <c r="C140" s="887" t="s">
        <v>969</v>
      </c>
      <c r="D140" s="883">
        <f t="shared" ref="D140:I144" si="201">D206</f>
        <v>85508.861500000014</v>
      </c>
      <c r="E140" s="883">
        <f t="shared" si="201"/>
        <v>83264.008200000011</v>
      </c>
      <c r="F140" s="883">
        <f t="shared" si="201"/>
        <v>84990.998799999987</v>
      </c>
      <c r="G140" s="883">
        <f t="shared" si="201"/>
        <v>88963.373900000006</v>
      </c>
      <c r="H140" s="883">
        <f t="shared" si="201"/>
        <v>82005.938000000009</v>
      </c>
      <c r="I140" s="883">
        <f t="shared" si="201"/>
        <v>86821.670899999997</v>
      </c>
      <c r="J140" s="180">
        <f t="shared" si="151"/>
        <v>511554.8513000001</v>
      </c>
      <c r="K140" s="883">
        <f t="shared" ref="K140:P144" si="202">D140*$AG140</f>
        <v>35622.991700900006</v>
      </c>
      <c r="L140" s="883">
        <f t="shared" si="202"/>
        <v>34687.785816120006</v>
      </c>
      <c r="M140" s="883">
        <f t="shared" si="202"/>
        <v>35407.250100079997</v>
      </c>
      <c r="N140" s="883">
        <f t="shared" si="202"/>
        <v>37062.141566740007</v>
      </c>
      <c r="O140" s="883">
        <f t="shared" si="202"/>
        <v>34163.673770800007</v>
      </c>
      <c r="P140" s="883">
        <f t="shared" si="202"/>
        <v>36169.908096940002</v>
      </c>
      <c r="Q140" s="180">
        <f t="shared" si="198"/>
        <v>213113.75105158001</v>
      </c>
      <c r="R140" s="883">
        <f t="shared" ref="R140:W144" si="203">D140-K140</f>
        <v>49885.869799100008</v>
      </c>
      <c r="S140" s="883">
        <f t="shared" si="203"/>
        <v>48576.222383880006</v>
      </c>
      <c r="T140" s="883">
        <f t="shared" si="203"/>
        <v>49583.74869991999</v>
      </c>
      <c r="U140" s="883">
        <f t="shared" si="203"/>
        <v>51901.232333259999</v>
      </c>
      <c r="V140" s="883">
        <f t="shared" si="203"/>
        <v>47842.264229200002</v>
      </c>
      <c r="W140" s="883">
        <f t="shared" si="203"/>
        <v>50651.762803059995</v>
      </c>
      <c r="X140" s="180">
        <f t="shared" si="200"/>
        <v>298441.10024841997</v>
      </c>
      <c r="Y140" s="2456"/>
      <c r="Z140" s="2456"/>
      <c r="AA140" s="2456"/>
      <c r="AB140" s="2456"/>
      <c r="AC140" s="2456"/>
      <c r="AD140" s="2456"/>
      <c r="AE140" s="2455"/>
      <c r="AF140" s="1389"/>
      <c r="AG140" s="972">
        <f>$AG$27</f>
        <v>0.41660000000000003</v>
      </c>
      <c r="AH140" s="972">
        <f>$AG$27</f>
        <v>0.41660000000000003</v>
      </c>
      <c r="AI140" s="972">
        <f>$AG$27</f>
        <v>0.41660000000000003</v>
      </c>
    </row>
    <row r="141" spans="1:35">
      <c r="A141" s="57"/>
      <c r="B141" s="58"/>
      <c r="C141" s="887" t="s">
        <v>970</v>
      </c>
      <c r="D141" s="883">
        <f t="shared" si="201"/>
        <v>5504362.5752000026</v>
      </c>
      <c r="E141" s="883">
        <f t="shared" si="201"/>
        <v>5372740.1977000013</v>
      </c>
      <c r="F141" s="883">
        <f t="shared" si="201"/>
        <v>5233248.9645999996</v>
      </c>
      <c r="G141" s="883">
        <f t="shared" si="201"/>
        <v>5430812.3873999994</v>
      </c>
      <c r="H141" s="883">
        <f t="shared" si="201"/>
        <v>4974420.5512999985</v>
      </c>
      <c r="I141" s="883">
        <f t="shared" si="201"/>
        <v>5368026.0986840017</v>
      </c>
      <c r="J141" s="180">
        <f t="shared" si="151"/>
        <v>31883610.774884004</v>
      </c>
      <c r="K141" s="883">
        <f t="shared" si="202"/>
        <v>2293117.4488283214</v>
      </c>
      <c r="L141" s="883">
        <f t="shared" si="202"/>
        <v>2238283.5663618208</v>
      </c>
      <c r="M141" s="883">
        <f t="shared" si="202"/>
        <v>2180171.51865236</v>
      </c>
      <c r="N141" s="883">
        <f t="shared" si="202"/>
        <v>2262476.4405908398</v>
      </c>
      <c r="O141" s="883">
        <f t="shared" si="202"/>
        <v>2072343.6016715795</v>
      </c>
      <c r="P141" s="883">
        <f t="shared" si="202"/>
        <v>2236319.6727117551</v>
      </c>
      <c r="Q141" s="180">
        <f t="shared" si="198"/>
        <v>13282712.248816676</v>
      </c>
      <c r="R141" s="883">
        <f t="shared" si="203"/>
        <v>3211245.1263716812</v>
      </c>
      <c r="S141" s="883">
        <f t="shared" si="203"/>
        <v>3134456.6313381805</v>
      </c>
      <c r="T141" s="883">
        <f t="shared" si="203"/>
        <v>3053077.4459476396</v>
      </c>
      <c r="U141" s="883">
        <f t="shared" si="203"/>
        <v>3168335.9468091596</v>
      </c>
      <c r="V141" s="883">
        <f t="shared" si="203"/>
        <v>2902076.9496284192</v>
      </c>
      <c r="W141" s="883">
        <f t="shared" si="203"/>
        <v>3131706.4259722466</v>
      </c>
      <c r="X141" s="180">
        <f t="shared" si="200"/>
        <v>18600898.526067324</v>
      </c>
      <c r="Y141" s="2456"/>
      <c r="Z141" s="2456"/>
      <c r="AA141" s="2456"/>
      <c r="AB141" s="2456"/>
      <c r="AC141" s="2456"/>
      <c r="AD141" s="2456"/>
      <c r="AE141" s="2455"/>
      <c r="AF141" s="1389"/>
      <c r="AG141" s="972">
        <f t="shared" ref="AG141:AI143" si="204">AG28</f>
        <v>0.41660000000000003</v>
      </c>
      <c r="AH141" s="972">
        <f t="shared" si="204"/>
        <v>0.24340000000000001</v>
      </c>
      <c r="AI141" s="972">
        <f t="shared" si="204"/>
        <v>0.33999999999999997</v>
      </c>
    </row>
    <row r="142" spans="1:35">
      <c r="A142" s="57"/>
      <c r="B142" s="58"/>
      <c r="C142" s="887" t="s">
        <v>1011</v>
      </c>
      <c r="D142" s="883">
        <f t="shared" si="201"/>
        <v>108136.32640000002</v>
      </c>
      <c r="E142" s="883">
        <f t="shared" si="201"/>
        <v>105559.34230000002</v>
      </c>
      <c r="F142" s="883">
        <f t="shared" si="201"/>
        <v>103747.96869999997</v>
      </c>
      <c r="G142" s="883">
        <f t="shared" si="201"/>
        <v>105487.67110000004</v>
      </c>
      <c r="H142" s="883">
        <f t="shared" si="201"/>
        <v>91154.265899999999</v>
      </c>
      <c r="I142" s="883">
        <f t="shared" si="201"/>
        <v>102111.67966199981</v>
      </c>
      <c r="J142" s="180">
        <f t="shared" si="151"/>
        <v>616197.25406199985</v>
      </c>
      <c r="K142" s="883">
        <f t="shared" si="202"/>
        <v>45049.593578240012</v>
      </c>
      <c r="L142" s="883">
        <f t="shared" si="202"/>
        <v>43976.022002180012</v>
      </c>
      <c r="M142" s="883">
        <f t="shared" si="202"/>
        <v>43221.403760419991</v>
      </c>
      <c r="N142" s="883">
        <f t="shared" si="202"/>
        <v>43946.163780260016</v>
      </c>
      <c r="O142" s="883">
        <f t="shared" si="202"/>
        <v>37974.867173940002</v>
      </c>
      <c r="P142" s="883">
        <f t="shared" si="202"/>
        <v>42539.725747189121</v>
      </c>
      <c r="Q142" s="180">
        <f t="shared" si="198"/>
        <v>256707.77604222915</v>
      </c>
      <c r="R142" s="883">
        <f t="shared" si="203"/>
        <v>63086.732821760008</v>
      </c>
      <c r="S142" s="883">
        <f t="shared" si="203"/>
        <v>61583.320297820006</v>
      </c>
      <c r="T142" s="883">
        <f t="shared" si="203"/>
        <v>60526.564939579977</v>
      </c>
      <c r="U142" s="883">
        <f t="shared" si="203"/>
        <v>61541.50731974002</v>
      </c>
      <c r="V142" s="883">
        <f t="shared" si="203"/>
        <v>53179.398726059997</v>
      </c>
      <c r="W142" s="883">
        <f t="shared" si="203"/>
        <v>59571.953914810685</v>
      </c>
      <c r="X142" s="180">
        <f t="shared" si="200"/>
        <v>359489.4780197707</v>
      </c>
      <c r="Y142" s="2456"/>
      <c r="Z142" s="2456"/>
      <c r="AA142" s="2456"/>
      <c r="AB142" s="2456"/>
      <c r="AC142" s="2456"/>
      <c r="AD142" s="2456"/>
      <c r="AE142" s="2455"/>
      <c r="AF142" s="1389"/>
      <c r="AG142" s="972">
        <f t="shared" si="204"/>
        <v>0.41660000000000003</v>
      </c>
      <c r="AH142" s="972">
        <f t="shared" si="204"/>
        <v>0.24340000000000001</v>
      </c>
      <c r="AI142" s="972">
        <f t="shared" si="204"/>
        <v>0.33999999999999997</v>
      </c>
    </row>
    <row r="143" spans="1:35">
      <c r="A143" s="57"/>
      <c r="B143" s="58"/>
      <c r="C143" s="887" t="s">
        <v>1012</v>
      </c>
      <c r="D143" s="883">
        <f t="shared" si="201"/>
        <v>1115022.7058999999</v>
      </c>
      <c r="E143" s="883">
        <f t="shared" si="201"/>
        <v>1073229.425</v>
      </c>
      <c r="F143" s="883">
        <f t="shared" si="201"/>
        <v>1058189.203</v>
      </c>
      <c r="G143" s="883">
        <f t="shared" si="201"/>
        <v>1104791.4608</v>
      </c>
      <c r="H143" s="883">
        <f t="shared" si="201"/>
        <v>977084.27559999994</v>
      </c>
      <c r="I143" s="883">
        <f t="shared" si="201"/>
        <v>991850.93750600005</v>
      </c>
      <c r="J143" s="180">
        <f t="shared" si="151"/>
        <v>6320168.0078060012</v>
      </c>
      <c r="K143" s="883">
        <f t="shared" si="202"/>
        <v>464518.45927793998</v>
      </c>
      <c r="L143" s="883">
        <f t="shared" si="202"/>
        <v>447107.37845500006</v>
      </c>
      <c r="M143" s="883">
        <f t="shared" si="202"/>
        <v>440841.62196980004</v>
      </c>
      <c r="N143" s="883">
        <f t="shared" si="202"/>
        <v>460256.12256928004</v>
      </c>
      <c r="O143" s="883">
        <f t="shared" si="202"/>
        <v>407053.30921496003</v>
      </c>
      <c r="P143" s="883">
        <f t="shared" si="202"/>
        <v>413205.10056499962</v>
      </c>
      <c r="Q143" s="180">
        <f t="shared" si="198"/>
        <v>2632981.9920519795</v>
      </c>
      <c r="R143" s="883">
        <f t="shared" si="203"/>
        <v>650504.24662205996</v>
      </c>
      <c r="S143" s="883">
        <f t="shared" si="203"/>
        <v>626122.04654500005</v>
      </c>
      <c r="T143" s="883">
        <f t="shared" si="203"/>
        <v>617347.5810302</v>
      </c>
      <c r="U143" s="883">
        <f t="shared" si="203"/>
        <v>644535.33823072002</v>
      </c>
      <c r="V143" s="883">
        <f t="shared" si="203"/>
        <v>570030.96638503997</v>
      </c>
      <c r="W143" s="883">
        <f t="shared" si="203"/>
        <v>578645.83694100042</v>
      </c>
      <c r="X143" s="180">
        <f t="shared" si="200"/>
        <v>3687186.0157540208</v>
      </c>
      <c r="Y143" s="2456"/>
      <c r="Z143" s="2456"/>
      <c r="AA143" s="2456"/>
      <c r="AB143" s="2456"/>
      <c r="AC143" s="2456"/>
      <c r="AD143" s="2456"/>
      <c r="AE143" s="2455"/>
      <c r="AF143" s="1389"/>
      <c r="AG143" s="972">
        <f t="shared" si="204"/>
        <v>0.41660000000000003</v>
      </c>
      <c r="AH143" s="972">
        <f t="shared" si="204"/>
        <v>0.24340000000000001</v>
      </c>
      <c r="AI143" s="972">
        <f t="shared" si="204"/>
        <v>0.33999999999999997</v>
      </c>
    </row>
    <row r="144" spans="1:35">
      <c r="A144" s="57"/>
      <c r="B144" s="58"/>
      <c r="C144" s="887" t="s">
        <v>1108</v>
      </c>
      <c r="D144" s="883">
        <f t="shared" si="201"/>
        <v>1481692.0475000001</v>
      </c>
      <c r="E144" s="883">
        <f t="shared" si="201"/>
        <v>1506020.5075999997</v>
      </c>
      <c r="F144" s="883">
        <f t="shared" si="201"/>
        <v>1786717.1281000001</v>
      </c>
      <c r="G144" s="883">
        <f t="shared" si="201"/>
        <v>1982318.0293000001</v>
      </c>
      <c r="H144" s="883">
        <f t="shared" si="201"/>
        <v>1893503.7346999997</v>
      </c>
      <c r="I144" s="883">
        <f t="shared" si="201"/>
        <v>2462679.7499940004</v>
      </c>
      <c r="J144" s="180">
        <f t="shared" si="151"/>
        <v>11112931.197194001</v>
      </c>
      <c r="K144" s="883">
        <f t="shared" si="202"/>
        <v>0</v>
      </c>
      <c r="L144" s="883">
        <f t="shared" si="202"/>
        <v>0</v>
      </c>
      <c r="M144" s="883">
        <f t="shared" si="202"/>
        <v>0</v>
      </c>
      <c r="N144" s="883">
        <f t="shared" si="202"/>
        <v>0</v>
      </c>
      <c r="O144" s="883">
        <f t="shared" si="202"/>
        <v>0</v>
      </c>
      <c r="P144" s="883">
        <f t="shared" si="202"/>
        <v>0</v>
      </c>
      <c r="Q144" s="180">
        <f t="shared" si="198"/>
        <v>0</v>
      </c>
      <c r="R144" s="883">
        <f t="shared" si="203"/>
        <v>1481692.0475000001</v>
      </c>
      <c r="S144" s="883">
        <f t="shared" si="203"/>
        <v>1506020.5075999997</v>
      </c>
      <c r="T144" s="883">
        <f t="shared" si="203"/>
        <v>1786717.1281000001</v>
      </c>
      <c r="U144" s="883">
        <f t="shared" si="203"/>
        <v>1982318.0293000001</v>
      </c>
      <c r="V144" s="883">
        <f t="shared" si="203"/>
        <v>1893503.7346999997</v>
      </c>
      <c r="W144" s="883">
        <f t="shared" si="203"/>
        <v>2462679.7499940004</v>
      </c>
      <c r="X144" s="180">
        <f t="shared" si="200"/>
        <v>11112931.197194001</v>
      </c>
      <c r="Y144" s="2456"/>
      <c r="Z144" s="2456"/>
      <c r="AA144" s="2456"/>
      <c r="AB144" s="2456"/>
      <c r="AC144" s="2456"/>
      <c r="AD144" s="2456"/>
      <c r="AE144" s="2455"/>
      <c r="AF144" s="1389"/>
      <c r="AG144" s="972"/>
      <c r="AH144" s="972"/>
      <c r="AI144" s="972"/>
    </row>
    <row r="145" spans="1:35">
      <c r="A145" s="57"/>
      <c r="B145" s="58"/>
      <c r="C145" s="882"/>
      <c r="D145" s="883"/>
      <c r="E145" s="883"/>
      <c r="F145" s="883"/>
      <c r="G145" s="883"/>
      <c r="H145" s="883"/>
      <c r="I145" s="883"/>
      <c r="J145" s="180">
        <f t="shared" si="151"/>
        <v>0</v>
      </c>
      <c r="K145" s="883"/>
      <c r="L145" s="883"/>
      <c r="M145" s="883"/>
      <c r="N145" s="883"/>
      <c r="O145" s="883"/>
      <c r="P145" s="883"/>
      <c r="Q145" s="180">
        <f t="shared" si="198"/>
        <v>0</v>
      </c>
      <c r="R145" s="883"/>
      <c r="S145" s="883"/>
      <c r="T145" s="883"/>
      <c r="U145" s="883"/>
      <c r="V145" s="883"/>
      <c r="W145" s="883"/>
      <c r="X145" s="180">
        <f t="shared" si="200"/>
        <v>0</v>
      </c>
      <c r="Y145" s="2456"/>
      <c r="Z145" s="2456"/>
      <c r="AA145" s="2456"/>
      <c r="AB145" s="2456"/>
      <c r="AC145" s="2456"/>
      <c r="AD145" s="2456"/>
      <c r="AE145" s="2455"/>
      <c r="AF145" s="1389"/>
    </row>
    <row r="146" spans="1:35">
      <c r="A146" s="57"/>
      <c r="B146" s="58"/>
      <c r="C146" s="880" t="s">
        <v>112</v>
      </c>
      <c r="D146" s="881">
        <f t="shared" ref="D146:I146" si="205">D114+D122+D135</f>
        <v>88736882.514215022</v>
      </c>
      <c r="E146" s="881">
        <f t="shared" si="205"/>
        <v>85915695.020995006</v>
      </c>
      <c r="F146" s="881">
        <f t="shared" si="205"/>
        <v>85216320.238540009</v>
      </c>
      <c r="G146" s="881">
        <f t="shared" si="205"/>
        <v>90843240.803800002</v>
      </c>
      <c r="H146" s="881">
        <f t="shared" si="205"/>
        <v>79770451.04869999</v>
      </c>
      <c r="I146" s="881">
        <f t="shared" si="205"/>
        <v>78864509.492409497</v>
      </c>
      <c r="J146" s="180">
        <f t="shared" si="151"/>
        <v>509347099.1186595</v>
      </c>
      <c r="K146" s="881">
        <f t="shared" ref="K146:P146" si="206">K114+K122+K135</f>
        <v>28580296.048833754</v>
      </c>
      <c r="L146" s="881">
        <f t="shared" si="206"/>
        <v>27624974.613136161</v>
      </c>
      <c r="M146" s="881">
        <f t="shared" si="206"/>
        <v>27193508.956385046</v>
      </c>
      <c r="N146" s="881">
        <f t="shared" si="206"/>
        <v>29300954.585030325</v>
      </c>
      <c r="O146" s="881">
        <f t="shared" si="206"/>
        <v>25074633.684015319</v>
      </c>
      <c r="P146" s="881">
        <f t="shared" si="206"/>
        <v>27847932.270231828</v>
      </c>
      <c r="Q146" s="180">
        <f t="shared" si="198"/>
        <v>165622300.15763247</v>
      </c>
      <c r="R146" s="881">
        <f t="shared" ref="R146:W146" si="207">R114+R122+R135</f>
        <v>60156586.46538125</v>
      </c>
      <c r="S146" s="881">
        <f t="shared" si="207"/>
        <v>58290720.407858849</v>
      </c>
      <c r="T146" s="881">
        <f t="shared" si="207"/>
        <v>58022811.282154955</v>
      </c>
      <c r="U146" s="881">
        <f t="shared" si="207"/>
        <v>61542286.218769684</v>
      </c>
      <c r="V146" s="881">
        <f t="shared" si="207"/>
        <v>54695817.364684671</v>
      </c>
      <c r="W146" s="881">
        <f t="shared" si="207"/>
        <v>51016577.222177677</v>
      </c>
      <c r="X146" s="180">
        <f t="shared" si="200"/>
        <v>343724798.96102709</v>
      </c>
      <c r="Y146" s="2455"/>
      <c r="Z146" s="2455"/>
      <c r="AA146" s="2455"/>
      <c r="AB146" s="2455"/>
      <c r="AC146" s="2455"/>
      <c r="AD146" s="2455"/>
      <c r="AE146" s="2455"/>
      <c r="AF146" s="1389"/>
    </row>
    <row r="147" spans="1:35">
      <c r="D147" s="1246">
        <f>D146-K146-R146</f>
        <v>0</v>
      </c>
      <c r="E147" s="1246">
        <f t="shared" ref="E147:J147" si="208">E146-L146-S146</f>
        <v>0</v>
      </c>
      <c r="F147" s="1246">
        <f t="shared" si="208"/>
        <v>0</v>
      </c>
      <c r="G147" s="1246">
        <f t="shared" si="208"/>
        <v>0</v>
      </c>
      <c r="H147" s="1246">
        <f t="shared" si="208"/>
        <v>0</v>
      </c>
      <c r="I147" s="1246">
        <f t="shared" si="208"/>
        <v>0</v>
      </c>
      <c r="J147" s="1246">
        <f t="shared" si="208"/>
        <v>0</v>
      </c>
      <c r="L147" s="589"/>
      <c r="M147" s="589"/>
      <c r="N147" s="589"/>
      <c r="O147" s="589"/>
      <c r="P147" s="589"/>
      <c r="S147" s="589"/>
      <c r="T147" s="589"/>
      <c r="U147" s="589"/>
      <c r="V147" s="589"/>
      <c r="W147" s="589"/>
      <c r="Z147" s="589"/>
      <c r="AA147" s="589"/>
      <c r="AB147" s="589"/>
      <c r="AC147" s="589"/>
      <c r="AD147" s="589"/>
    </row>
    <row r="148" spans="1:35">
      <c r="D148" s="588"/>
      <c r="E148" s="588"/>
      <c r="F148" s="588"/>
      <c r="G148" s="588"/>
      <c r="H148" s="588"/>
      <c r="I148" s="588"/>
      <c r="J148" s="588"/>
      <c r="L148" s="589"/>
      <c r="M148" s="589"/>
      <c r="N148" s="589"/>
      <c r="O148" s="589"/>
      <c r="P148" s="589"/>
      <c r="S148" s="589"/>
      <c r="T148" s="589"/>
      <c r="U148" s="589"/>
      <c r="V148" s="589"/>
      <c r="W148" s="589"/>
      <c r="Z148" s="589"/>
      <c r="AA148" s="589"/>
      <c r="AB148" s="589"/>
      <c r="AC148" s="589"/>
      <c r="AD148" s="589"/>
    </row>
    <row r="149" spans="1:35" s="37" customFormat="1">
      <c r="A149" s="57"/>
      <c r="B149" s="58"/>
      <c r="C149" s="1991"/>
      <c r="D149" s="1646">
        <f t="shared" ref="D149:AE149" si="209">D109+D146</f>
        <v>371528672.51421499</v>
      </c>
      <c r="E149" s="1646">
        <f t="shared" si="209"/>
        <v>368823547.02099502</v>
      </c>
      <c r="F149" s="1646">
        <f t="shared" si="209"/>
        <v>362874426.23853999</v>
      </c>
      <c r="G149" s="1646">
        <f t="shared" si="209"/>
        <v>372773147.80379999</v>
      </c>
      <c r="H149" s="1646">
        <f t="shared" si="209"/>
        <v>349739826.04869998</v>
      </c>
      <c r="I149" s="1646">
        <f t="shared" si="209"/>
        <v>350018527.49240947</v>
      </c>
      <c r="J149" s="1646">
        <f t="shared" si="209"/>
        <v>2175758147.1186595</v>
      </c>
      <c r="K149" s="1646">
        <f t="shared" si="209"/>
        <v>108507852.08503379</v>
      </c>
      <c r="L149" s="1646">
        <f t="shared" si="209"/>
        <v>107192538.26063618</v>
      </c>
      <c r="M149" s="1646">
        <f t="shared" si="209"/>
        <v>104914283.16428509</v>
      </c>
      <c r="N149" s="1646">
        <f t="shared" si="209"/>
        <v>108423928.56593034</v>
      </c>
      <c r="O149" s="1646">
        <f t="shared" si="209"/>
        <v>99298659.568815306</v>
      </c>
      <c r="P149" s="1646">
        <f t="shared" si="209"/>
        <v>103113240.87463182</v>
      </c>
      <c r="Q149" s="1646">
        <f t="shared" si="209"/>
        <v>631450502.51933265</v>
      </c>
      <c r="R149" s="1646">
        <f t="shared" si="209"/>
        <v>251464633.23130828</v>
      </c>
      <c r="S149" s="1646">
        <f t="shared" si="209"/>
        <v>249651259.6534684</v>
      </c>
      <c r="T149" s="1646">
        <f t="shared" si="209"/>
        <v>246089032.5340277</v>
      </c>
      <c r="U149" s="1646">
        <f t="shared" si="209"/>
        <v>252108294.09737217</v>
      </c>
      <c r="V149" s="1646">
        <f t="shared" si="209"/>
        <v>237003111.07010895</v>
      </c>
      <c r="W149" s="1646">
        <f t="shared" si="209"/>
        <v>234635430.36098814</v>
      </c>
      <c r="X149" s="1646">
        <f t="shared" si="209"/>
        <v>1470951760.9472737</v>
      </c>
      <c r="Y149" s="1646">
        <f t="shared" si="209"/>
        <v>11556187.197872991</v>
      </c>
      <c r="Z149" s="1646">
        <f t="shared" si="209"/>
        <v>11979749.106890511</v>
      </c>
      <c r="AA149" s="1646">
        <f t="shared" si="209"/>
        <v>11871110.540227337</v>
      </c>
      <c r="AB149" s="1646">
        <f t="shared" si="209"/>
        <v>12240925.140497549</v>
      </c>
      <c r="AC149" s="1646">
        <f t="shared" si="209"/>
        <v>13438055.409775762</v>
      </c>
      <c r="AD149" s="1646">
        <f t="shared" si="209"/>
        <v>12269856.25678952</v>
      </c>
      <c r="AE149" s="1646">
        <f t="shared" si="209"/>
        <v>73355883.652053684</v>
      </c>
      <c r="AF149" s="520"/>
      <c r="AG149" s="1412"/>
      <c r="AH149" s="1412"/>
      <c r="AI149" s="1412"/>
    </row>
    <row r="150" spans="1:35" ht="18.75">
      <c r="C150" s="590"/>
      <c r="D150" s="1246">
        <f>D149-K149-R149-Y149</f>
        <v>-5.4016709327697754E-8</v>
      </c>
      <c r="E150" s="1246">
        <f t="shared" ref="E150:J150" si="210">E149-L149-S149-Z149</f>
        <v>-7.0780515670776367E-8</v>
      </c>
      <c r="F150" s="1246">
        <f t="shared" si="210"/>
        <v>-1.3224780559539795E-7</v>
      </c>
      <c r="G150" s="1246">
        <f t="shared" si="210"/>
        <v>-7.2643160820007324E-8</v>
      </c>
      <c r="H150" s="1246">
        <f t="shared" si="210"/>
        <v>-2.7939677238464355E-8</v>
      </c>
      <c r="I150" s="1246">
        <f t="shared" si="210"/>
        <v>-1.4901161193847656E-8</v>
      </c>
      <c r="J150" s="1246">
        <f t="shared" si="210"/>
        <v>-5.6624412536621094E-7</v>
      </c>
    </row>
    <row r="151" spans="1:35">
      <c r="C151" s="56" t="s">
        <v>1254</v>
      </c>
    </row>
    <row r="153" spans="1:35">
      <c r="D153" s="589">
        <f>SUM(D155:D158)</f>
        <v>165371523</v>
      </c>
      <c r="E153" s="589">
        <f t="shared" ref="E153:J153" si="211">SUM(E155:E158)</f>
        <v>165142035</v>
      </c>
      <c r="F153" s="589">
        <f t="shared" si="211"/>
        <v>163605881</v>
      </c>
      <c r="G153" s="589">
        <f t="shared" si="211"/>
        <v>163805375</v>
      </c>
      <c r="H153" s="589">
        <f t="shared" si="211"/>
        <v>158013181</v>
      </c>
      <c r="I153" s="589">
        <f t="shared" si="211"/>
        <v>159426220</v>
      </c>
      <c r="J153" s="589">
        <f t="shared" si="211"/>
        <v>975364215</v>
      </c>
    </row>
    <row r="154" spans="1:35">
      <c r="D154" s="589"/>
      <c r="E154" s="589"/>
      <c r="F154" s="589"/>
      <c r="G154" s="589"/>
      <c r="H154" s="589"/>
      <c r="I154" s="589"/>
      <c r="J154" s="589"/>
    </row>
    <row r="155" spans="1:35">
      <c r="B155" s="56" t="str">
        <f>B65</f>
        <v>BTS 1</v>
      </c>
      <c r="D155" s="589">
        <f t="shared" ref="D155:I165" si="212">SUMIF($B$4:$B$146,$B155,D$4:D$146)</f>
        <v>89223829</v>
      </c>
      <c r="E155" s="589">
        <f t="shared" si="212"/>
        <v>89233958</v>
      </c>
      <c r="F155" s="589">
        <f t="shared" si="212"/>
        <v>88723200</v>
      </c>
      <c r="G155" s="589">
        <f t="shared" si="212"/>
        <v>88696009</v>
      </c>
      <c r="H155" s="589">
        <f t="shared" si="212"/>
        <v>87875125</v>
      </c>
      <c r="I155" s="589">
        <f t="shared" si="212"/>
        <v>86919100</v>
      </c>
      <c r="J155" s="589">
        <f>SUM(D155:I155)</f>
        <v>530671221</v>
      </c>
    </row>
    <row r="156" spans="1:35">
      <c r="B156" s="56" t="s">
        <v>750</v>
      </c>
      <c r="D156" s="589">
        <f t="shared" si="212"/>
        <v>32183885</v>
      </c>
      <c r="E156" s="589">
        <f t="shared" si="212"/>
        <v>32216106</v>
      </c>
      <c r="F156" s="589">
        <f t="shared" si="212"/>
        <v>31327645</v>
      </c>
      <c r="G156" s="589">
        <f t="shared" si="212"/>
        <v>31319728</v>
      </c>
      <c r="H156" s="589">
        <f t="shared" si="212"/>
        <v>29617038</v>
      </c>
      <c r="I156" s="589">
        <f t="shared" si="212"/>
        <v>29609676</v>
      </c>
      <c r="J156" s="589">
        <f t="shared" ref="J156:J165" si="213">SUM(D156:I156)</f>
        <v>186274078</v>
      </c>
    </row>
    <row r="157" spans="1:35">
      <c r="B157" s="56" t="s">
        <v>749</v>
      </c>
      <c r="D157" s="589">
        <f t="shared" si="212"/>
        <v>29263250</v>
      </c>
      <c r="E157" s="589">
        <f t="shared" si="212"/>
        <v>29248063</v>
      </c>
      <c r="F157" s="589">
        <f t="shared" si="212"/>
        <v>28670471</v>
      </c>
      <c r="G157" s="589">
        <f t="shared" si="212"/>
        <v>29166469</v>
      </c>
      <c r="H157" s="589">
        <f t="shared" si="212"/>
        <v>26884976</v>
      </c>
      <c r="I157" s="589">
        <f t="shared" si="212"/>
        <v>28098398</v>
      </c>
      <c r="J157" s="589">
        <f t="shared" si="213"/>
        <v>171331627</v>
      </c>
    </row>
    <row r="158" spans="1:35">
      <c r="B158" s="56" t="str">
        <f>B86</f>
        <v>BTS PP</v>
      </c>
      <c r="D158" s="589">
        <f t="shared" si="212"/>
        <v>14700559</v>
      </c>
      <c r="E158" s="589">
        <f t="shared" si="212"/>
        <v>14443908</v>
      </c>
      <c r="F158" s="589">
        <f t="shared" si="212"/>
        <v>14884565</v>
      </c>
      <c r="G158" s="589">
        <f t="shared" si="212"/>
        <v>14623169</v>
      </c>
      <c r="H158" s="589">
        <f t="shared" si="212"/>
        <v>13636042</v>
      </c>
      <c r="I158" s="589">
        <f t="shared" si="212"/>
        <v>14799046</v>
      </c>
      <c r="J158" s="589">
        <f t="shared" si="213"/>
        <v>87087289</v>
      </c>
    </row>
    <row r="159" spans="1:35">
      <c r="B159" s="56" t="s">
        <v>1176</v>
      </c>
      <c r="D159" s="589">
        <f t="shared" si="212"/>
        <v>0</v>
      </c>
      <c r="E159" s="589">
        <f t="shared" si="212"/>
        <v>0</v>
      </c>
      <c r="F159" s="589">
        <f t="shared" si="212"/>
        <v>0</v>
      </c>
      <c r="G159" s="589">
        <f t="shared" si="212"/>
        <v>0</v>
      </c>
      <c r="H159" s="589">
        <f t="shared" si="212"/>
        <v>0</v>
      </c>
      <c r="I159" s="589">
        <f t="shared" si="212"/>
        <v>0</v>
      </c>
      <c r="J159" s="589">
        <f>SUM(D159:I159)</f>
        <v>0</v>
      </c>
    </row>
    <row r="160" spans="1:35">
      <c r="B160" s="56" t="str">
        <f>B27</f>
        <v>BTD</v>
      </c>
      <c r="D160" s="589">
        <f t="shared" si="212"/>
        <v>60042933</v>
      </c>
      <c r="E160" s="589">
        <f t="shared" si="212"/>
        <v>59582611</v>
      </c>
      <c r="F160" s="589">
        <f t="shared" si="212"/>
        <v>57347048</v>
      </c>
      <c r="G160" s="589">
        <f t="shared" si="212"/>
        <v>59528985</v>
      </c>
      <c r="H160" s="589">
        <f t="shared" si="212"/>
        <v>56096582</v>
      </c>
      <c r="I160" s="589">
        <f t="shared" si="212"/>
        <v>55882612</v>
      </c>
      <c r="J160" s="589">
        <f t="shared" si="213"/>
        <v>348480771</v>
      </c>
    </row>
    <row r="161" spans="2:10">
      <c r="B161" s="56" t="str">
        <f>B21</f>
        <v>BTH</v>
      </c>
      <c r="D161" s="589">
        <f t="shared" si="212"/>
        <v>2796078</v>
      </c>
      <c r="E161" s="589">
        <f t="shared" si="212"/>
        <v>2776295</v>
      </c>
      <c r="F161" s="589">
        <f t="shared" si="212"/>
        <v>2745536</v>
      </c>
      <c r="G161" s="589">
        <f t="shared" si="212"/>
        <v>2827585</v>
      </c>
      <c r="H161" s="589">
        <f t="shared" si="212"/>
        <v>2788874</v>
      </c>
      <c r="I161" s="589">
        <f t="shared" si="212"/>
        <v>2916840</v>
      </c>
      <c r="J161" s="589">
        <f t="shared" si="213"/>
        <v>16851208</v>
      </c>
    </row>
    <row r="162" spans="2:10">
      <c r="B162" s="56" t="str">
        <f>B14</f>
        <v>MTD</v>
      </c>
      <c r="D162" s="589">
        <f t="shared" si="212"/>
        <v>25243627</v>
      </c>
      <c r="E162" s="589">
        <f t="shared" si="212"/>
        <v>25925106</v>
      </c>
      <c r="F162" s="589">
        <f t="shared" si="212"/>
        <v>24949026</v>
      </c>
      <c r="G162" s="589">
        <f t="shared" si="212"/>
        <v>26314436</v>
      </c>
      <c r="H162" s="589">
        <f t="shared" si="212"/>
        <v>23633501</v>
      </c>
      <c r="I162" s="589">
        <f t="shared" si="212"/>
        <v>24604968</v>
      </c>
      <c r="J162" s="589">
        <f t="shared" si="213"/>
        <v>150670664</v>
      </c>
    </row>
    <row r="163" spans="2:10">
      <c r="B163" s="56" t="str">
        <f>B10</f>
        <v>MTH</v>
      </c>
      <c r="D163" s="589">
        <f t="shared" si="212"/>
        <v>4273523</v>
      </c>
      <c r="E163" s="589">
        <f t="shared" si="212"/>
        <v>4365765</v>
      </c>
      <c r="F163" s="589">
        <f t="shared" si="212"/>
        <v>4346196</v>
      </c>
      <c r="G163" s="589">
        <f t="shared" si="212"/>
        <v>4101155</v>
      </c>
      <c r="H163" s="589">
        <f t="shared" si="212"/>
        <v>4984929</v>
      </c>
      <c r="I163" s="589">
        <f t="shared" si="212"/>
        <v>3245368</v>
      </c>
      <c r="J163" s="589">
        <f t="shared" si="213"/>
        <v>25316936</v>
      </c>
    </row>
    <row r="164" spans="2:10">
      <c r="B164" s="56" t="str">
        <f>B7</f>
        <v>ATD</v>
      </c>
      <c r="D164" s="589">
        <f t="shared" si="212"/>
        <v>0</v>
      </c>
      <c r="E164" s="589">
        <f t="shared" si="212"/>
        <v>0</v>
      </c>
      <c r="F164" s="589">
        <f t="shared" si="212"/>
        <v>0</v>
      </c>
      <c r="G164" s="589">
        <f t="shared" si="212"/>
        <v>0</v>
      </c>
      <c r="H164" s="589">
        <f t="shared" si="212"/>
        <v>0</v>
      </c>
      <c r="I164" s="589">
        <f t="shared" si="212"/>
        <v>0</v>
      </c>
      <c r="J164" s="589">
        <f t="shared" si="213"/>
        <v>0</v>
      </c>
    </row>
    <row r="165" spans="2:10">
      <c r="B165" s="56" t="str">
        <f>B6</f>
        <v>ATH</v>
      </c>
      <c r="D165" s="589">
        <f t="shared" si="212"/>
        <v>18371399</v>
      </c>
      <c r="E165" s="589">
        <f t="shared" si="212"/>
        <v>18422499</v>
      </c>
      <c r="F165" s="589">
        <f t="shared" si="212"/>
        <v>18003680</v>
      </c>
      <c r="G165" s="589">
        <f t="shared" si="212"/>
        <v>18689952</v>
      </c>
      <c r="H165" s="589">
        <f t="shared" si="212"/>
        <v>17823144</v>
      </c>
      <c r="I165" s="589">
        <f t="shared" si="212"/>
        <v>18498181</v>
      </c>
      <c r="J165" s="589">
        <f t="shared" si="213"/>
        <v>109808855</v>
      </c>
    </row>
    <row r="166" spans="2:10">
      <c r="D166" s="589">
        <f>SUM(D155:D165)</f>
        <v>276099083</v>
      </c>
      <c r="E166" s="589">
        <f t="shared" ref="E166:J166" si="214">SUM(E155:E165)</f>
        <v>276214311</v>
      </c>
      <c r="F166" s="589">
        <f t="shared" si="214"/>
        <v>270997367</v>
      </c>
      <c r="G166" s="589">
        <f t="shared" si="214"/>
        <v>275267488</v>
      </c>
      <c r="H166" s="589">
        <f t="shared" si="214"/>
        <v>263340211</v>
      </c>
      <c r="I166" s="589">
        <f t="shared" si="214"/>
        <v>264574189</v>
      </c>
      <c r="J166" s="589">
        <f t="shared" si="214"/>
        <v>1626492649</v>
      </c>
    </row>
    <row r="167" spans="2:10">
      <c r="D167" s="968">
        <f t="shared" ref="D167:J167" si="215">D107-D166</f>
        <v>0</v>
      </c>
      <c r="E167" s="968">
        <f t="shared" si="215"/>
        <v>0</v>
      </c>
      <c r="F167" s="968">
        <f t="shared" si="215"/>
        <v>0</v>
      </c>
      <c r="G167" s="968">
        <f t="shared" si="215"/>
        <v>0</v>
      </c>
      <c r="H167" s="968">
        <f t="shared" si="215"/>
        <v>0</v>
      </c>
      <c r="I167" s="968">
        <f t="shared" si="215"/>
        <v>0</v>
      </c>
      <c r="J167" s="968">
        <f t="shared" si="215"/>
        <v>0</v>
      </c>
    </row>
    <row r="168" spans="2:10">
      <c r="D168" s="968"/>
      <c r="E168" s="968"/>
      <c r="F168" s="968"/>
      <c r="G168" s="968"/>
      <c r="H168" s="968"/>
      <c r="I168" s="968"/>
      <c r="J168" s="968"/>
    </row>
    <row r="169" spans="2:10">
      <c r="C169" s="569" t="s">
        <v>1300</v>
      </c>
      <c r="D169" s="589"/>
      <c r="E169" s="589"/>
      <c r="F169" s="589"/>
      <c r="G169" s="589"/>
      <c r="H169" s="589"/>
      <c r="I169" s="589"/>
      <c r="J169" s="589"/>
    </row>
    <row r="170" spans="2:10">
      <c r="C170" s="523" t="s">
        <v>279</v>
      </c>
      <c r="D170" s="534">
        <v>4779684</v>
      </c>
      <c r="E170" s="534">
        <v>4536363</v>
      </c>
      <c r="F170" s="534">
        <v>4342310</v>
      </c>
      <c r="G170" s="534">
        <v>4342310</v>
      </c>
      <c r="H170" s="534">
        <v>3485560</v>
      </c>
      <c r="I170" s="534">
        <v>4070278</v>
      </c>
      <c r="J170" s="523">
        <f>SUM(D170:I170)</f>
        <v>25556505</v>
      </c>
    </row>
    <row r="171" spans="2:10">
      <c r="C171" s="523" t="s">
        <v>277</v>
      </c>
      <c r="D171" s="534">
        <v>1211088</v>
      </c>
      <c r="E171" s="534">
        <v>1172079</v>
      </c>
      <c r="F171" s="534">
        <v>1155524</v>
      </c>
      <c r="G171" s="534">
        <v>1155524</v>
      </c>
      <c r="H171" s="534">
        <v>935690</v>
      </c>
      <c r="I171" s="534">
        <v>728129</v>
      </c>
      <c r="J171" s="523">
        <f t="shared" ref="J171:J177" si="216">SUM(D171:I171)</f>
        <v>6358034</v>
      </c>
    </row>
    <row r="172" spans="2:10">
      <c r="C172" s="523" t="s">
        <v>1833</v>
      </c>
      <c r="D172" s="534">
        <v>1034688</v>
      </c>
      <c r="E172" s="534">
        <v>997779</v>
      </c>
      <c r="F172" s="534">
        <v>980174</v>
      </c>
      <c r="G172" s="534">
        <v>980174</v>
      </c>
      <c r="H172" s="534">
        <v>792890</v>
      </c>
      <c r="I172" s="534">
        <v>728129</v>
      </c>
      <c r="J172" s="523">
        <f t="shared" si="216"/>
        <v>5513834</v>
      </c>
    </row>
    <row r="173" spans="2:10">
      <c r="C173" s="523" t="s">
        <v>1834</v>
      </c>
      <c r="D173" s="534">
        <v>176400</v>
      </c>
      <c r="E173" s="534">
        <v>174300</v>
      </c>
      <c r="F173" s="534">
        <v>175350</v>
      </c>
      <c r="G173" s="534">
        <v>175350</v>
      </c>
      <c r="H173" s="534">
        <v>142800</v>
      </c>
      <c r="I173" s="534">
        <v>0</v>
      </c>
      <c r="J173" s="523">
        <f t="shared" si="216"/>
        <v>844200</v>
      </c>
    </row>
    <row r="174" spans="2:10">
      <c r="C174" s="523" t="s">
        <v>275</v>
      </c>
      <c r="D174" s="534">
        <v>725703</v>
      </c>
      <c r="E174" s="534">
        <v>672809</v>
      </c>
      <c r="F174" s="534">
        <v>657731</v>
      </c>
      <c r="G174" s="534">
        <v>657731</v>
      </c>
      <c r="H174" s="534">
        <v>538996</v>
      </c>
      <c r="I174" s="534">
        <v>634129</v>
      </c>
      <c r="J174" s="523">
        <f t="shared" si="216"/>
        <v>3887099</v>
      </c>
    </row>
    <row r="175" spans="2:10">
      <c r="C175" s="523" t="s">
        <v>1833</v>
      </c>
      <c r="D175" s="534">
        <v>718761</v>
      </c>
      <c r="E175" s="534">
        <v>670624</v>
      </c>
      <c r="F175" s="534">
        <v>653261</v>
      </c>
      <c r="G175" s="534">
        <v>653261</v>
      </c>
      <c r="H175" s="534">
        <v>535980</v>
      </c>
      <c r="I175" s="534">
        <v>630810</v>
      </c>
      <c r="J175" s="523">
        <f t="shared" si="216"/>
        <v>3862697</v>
      </c>
    </row>
    <row r="176" spans="2:10">
      <c r="C176" s="523" t="s">
        <v>1835</v>
      </c>
      <c r="D176" s="534">
        <v>3902</v>
      </c>
      <c r="E176" s="534">
        <f>0</f>
        <v>0</v>
      </c>
      <c r="F176" s="534">
        <v>2230</v>
      </c>
      <c r="G176" s="534">
        <v>2230</v>
      </c>
      <c r="H176" s="534">
        <v>1416</v>
      </c>
      <c r="I176" s="534">
        <v>1239</v>
      </c>
      <c r="J176" s="523">
        <f t="shared" si="216"/>
        <v>11017</v>
      </c>
    </row>
    <row r="177" spans="3:10">
      <c r="C177" s="523" t="s">
        <v>1834</v>
      </c>
      <c r="D177" s="534">
        <v>3040</v>
      </c>
      <c r="E177" s="534">
        <v>2560</v>
      </c>
      <c r="F177" s="534">
        <v>2240</v>
      </c>
      <c r="G177" s="534">
        <v>2240</v>
      </c>
      <c r="H177" s="534">
        <v>1600</v>
      </c>
      <c r="I177" s="534">
        <v>2080</v>
      </c>
      <c r="J177" s="523">
        <f t="shared" si="216"/>
        <v>13760</v>
      </c>
    </row>
    <row r="178" spans="3:10">
      <c r="C178" s="1643" t="s">
        <v>1301</v>
      </c>
      <c r="D178" s="1645"/>
      <c r="E178" s="1645"/>
      <c r="F178" s="1645"/>
      <c r="G178" s="1645"/>
      <c r="H178" s="1645"/>
      <c r="I178" s="1645"/>
      <c r="J178" s="1644"/>
    </row>
    <row r="179" spans="3:10">
      <c r="C179" s="1644" t="s">
        <v>279</v>
      </c>
      <c r="D179" s="1645">
        <v>5289291</v>
      </c>
      <c r="E179" s="1645">
        <v>5386040</v>
      </c>
      <c r="F179" s="1645">
        <v>4982765</v>
      </c>
      <c r="G179" s="1645">
        <v>4982765</v>
      </c>
      <c r="H179" s="1645">
        <v>4438710</v>
      </c>
      <c r="I179" s="1645">
        <v>4464197</v>
      </c>
      <c r="J179" s="1644">
        <f>SUM(D179:I179)</f>
        <v>29543768</v>
      </c>
    </row>
    <row r="180" spans="3:10">
      <c r="C180" s="1644" t="s">
        <v>277</v>
      </c>
      <c r="D180" s="1645">
        <v>1306097</v>
      </c>
      <c r="E180" s="1645">
        <v>1344892</v>
      </c>
      <c r="F180" s="1645">
        <v>1240724</v>
      </c>
      <c r="G180" s="1645">
        <v>1240724</v>
      </c>
      <c r="H180" s="1645">
        <v>1405735</v>
      </c>
      <c r="I180" s="1645">
        <v>908128</v>
      </c>
      <c r="J180" s="1644">
        <f t="shared" ref="J180:J186" si="217">SUM(D180:I180)</f>
        <v>7446300</v>
      </c>
    </row>
    <row r="181" spans="3:10">
      <c r="C181" s="1644" t="s">
        <v>1833</v>
      </c>
      <c r="D181" s="1645">
        <v>1122347</v>
      </c>
      <c r="E181" s="1645">
        <v>1151692</v>
      </c>
      <c r="F181" s="1645">
        <v>1066424</v>
      </c>
      <c r="G181" s="1645">
        <v>1066424</v>
      </c>
      <c r="H181" s="1645">
        <v>1241935</v>
      </c>
      <c r="I181" s="1645">
        <v>908128</v>
      </c>
      <c r="J181" s="1644">
        <f t="shared" si="217"/>
        <v>6556950</v>
      </c>
    </row>
    <row r="182" spans="3:10">
      <c r="C182" s="1644" t="s">
        <v>1834</v>
      </c>
      <c r="D182" s="1645">
        <v>183750</v>
      </c>
      <c r="E182" s="1645">
        <v>193200</v>
      </c>
      <c r="F182" s="1645">
        <v>174300</v>
      </c>
      <c r="G182" s="1645">
        <v>174300</v>
      </c>
      <c r="H182" s="1645">
        <v>163800</v>
      </c>
      <c r="I182" s="1645">
        <v>0</v>
      </c>
      <c r="J182" s="1644">
        <f t="shared" si="217"/>
        <v>889350</v>
      </c>
    </row>
    <row r="183" spans="3:10">
      <c r="C183" s="1644" t="s">
        <v>275</v>
      </c>
      <c r="D183" s="1645">
        <v>820970</v>
      </c>
      <c r="E183" s="1645">
        <v>821641</v>
      </c>
      <c r="F183" s="1645">
        <v>778391</v>
      </c>
      <c r="G183" s="1645">
        <v>778391</v>
      </c>
      <c r="H183" s="1645">
        <v>718069</v>
      </c>
      <c r="I183" s="1645">
        <v>757585</v>
      </c>
      <c r="J183" s="1644">
        <f t="shared" si="217"/>
        <v>4675047</v>
      </c>
    </row>
    <row r="184" spans="3:10">
      <c r="C184" s="1644" t="s">
        <v>1833</v>
      </c>
      <c r="D184" s="1645">
        <v>810067</v>
      </c>
      <c r="E184" s="1645">
        <v>815731</v>
      </c>
      <c r="F184" s="1645">
        <v>769524</v>
      </c>
      <c r="G184" s="1645">
        <v>769524</v>
      </c>
      <c r="H184" s="1645">
        <v>711374</v>
      </c>
      <c r="I184" s="1645">
        <v>750087</v>
      </c>
      <c r="J184" s="1644">
        <f t="shared" si="217"/>
        <v>4626307</v>
      </c>
    </row>
    <row r="185" spans="3:10">
      <c r="C185" s="1644" t="s">
        <v>1835</v>
      </c>
      <c r="D185" s="1645">
        <v>7703</v>
      </c>
      <c r="E185" s="1645">
        <v>3350</v>
      </c>
      <c r="F185" s="1645">
        <v>6147</v>
      </c>
      <c r="G185" s="1645">
        <v>6147</v>
      </c>
      <c r="H185" s="1645">
        <v>4455</v>
      </c>
      <c r="I185" s="1645">
        <v>5098</v>
      </c>
      <c r="J185" s="1644">
        <f t="shared" si="217"/>
        <v>32900</v>
      </c>
    </row>
    <row r="186" spans="3:10">
      <c r="C186" s="1644" t="s">
        <v>1834</v>
      </c>
      <c r="D186" s="1645">
        <v>3200</v>
      </c>
      <c r="E186" s="1645">
        <v>2560</v>
      </c>
      <c r="F186" s="1645">
        <v>2720</v>
      </c>
      <c r="G186" s="1645">
        <v>2720</v>
      </c>
      <c r="H186" s="1645">
        <v>2240</v>
      </c>
      <c r="I186" s="1645">
        <v>2400</v>
      </c>
      <c r="J186" s="1644">
        <f t="shared" si="217"/>
        <v>15840</v>
      </c>
    </row>
    <row r="187" spans="3:10">
      <c r="D187" s="589"/>
      <c r="E187" s="589"/>
      <c r="F187" s="589"/>
      <c r="G187" s="589"/>
      <c r="H187" s="589"/>
      <c r="I187" s="589"/>
      <c r="J187" s="589"/>
    </row>
    <row r="188" spans="3:10">
      <c r="D188" s="589"/>
      <c r="E188" s="589"/>
      <c r="F188" s="589"/>
      <c r="G188" s="589"/>
      <c r="H188" s="589"/>
      <c r="I188" s="589"/>
      <c r="J188" s="589"/>
    </row>
    <row r="189" spans="3:10" ht="15.75">
      <c r="C189" s="964" t="s">
        <v>1712</v>
      </c>
      <c r="D189" s="964">
        <f>F821C!D4</f>
        <v>45839</v>
      </c>
      <c r="E189" s="964">
        <f>F821C!E4</f>
        <v>45870</v>
      </c>
      <c r="F189" s="964">
        <f>F821C!F4</f>
        <v>45901</v>
      </c>
      <c r="G189" s="964">
        <f>F821C!G4</f>
        <v>45931</v>
      </c>
      <c r="H189" s="964">
        <f>F821C!H4</f>
        <v>45962</v>
      </c>
      <c r="I189" s="964">
        <f>F821C!I4</f>
        <v>45992</v>
      </c>
      <c r="J189" s="964" t="s">
        <v>111</v>
      </c>
    </row>
    <row r="190" spans="3:10">
      <c r="C190" s="56" t="s">
        <v>963</v>
      </c>
      <c r="D190" s="589">
        <v>2324718.3881000001</v>
      </c>
      <c r="E190" s="589">
        <v>1875233.5689000001</v>
      </c>
      <c r="F190" s="589">
        <v>2127701.2450000001</v>
      </c>
      <c r="G190" s="589">
        <v>2447095.9687000001</v>
      </c>
      <c r="H190" s="589">
        <v>1599327.9380000001</v>
      </c>
      <c r="I190" s="589">
        <v>2144285.6595999999</v>
      </c>
      <c r="J190" s="591">
        <f>SUM(D190:I190)</f>
        <v>12518362.768300001</v>
      </c>
    </row>
    <row r="191" spans="3:10">
      <c r="C191" s="56" t="s">
        <v>964</v>
      </c>
      <c r="D191" s="589">
        <v>7407467.6563999997</v>
      </c>
      <c r="E191" s="589">
        <v>6934116.3240999999</v>
      </c>
      <c r="F191" s="589">
        <v>6776539.5002999995</v>
      </c>
      <c r="G191" s="589">
        <v>7762812.4871999994</v>
      </c>
      <c r="H191" s="589">
        <v>5493955.8784999996</v>
      </c>
      <c r="I191" s="589">
        <v>7002288.6205000002</v>
      </c>
      <c r="J191" s="591">
        <f t="shared" ref="J191:J212" si="218">SUM(D191:I191)</f>
        <v>41377180.466999993</v>
      </c>
    </row>
    <row r="192" spans="3:10">
      <c r="C192" s="56" t="s">
        <v>806</v>
      </c>
      <c r="D192" s="589">
        <v>0</v>
      </c>
      <c r="E192" s="589">
        <v>0</v>
      </c>
      <c r="F192" s="589">
        <v>0</v>
      </c>
      <c r="G192" s="589">
        <v>0</v>
      </c>
      <c r="H192" s="589">
        <v>0</v>
      </c>
      <c r="I192" s="589">
        <v>0</v>
      </c>
      <c r="J192" s="591">
        <f>SUM(D192:I192)</f>
        <v>0</v>
      </c>
    </row>
    <row r="193" spans="2:35">
      <c r="C193" s="56" t="s">
        <v>809</v>
      </c>
      <c r="D193" s="589">
        <v>4646197.4270000001</v>
      </c>
      <c r="E193" s="589">
        <v>4556963.8679999998</v>
      </c>
      <c r="F193" s="589">
        <v>4711386.845999999</v>
      </c>
      <c r="G193" s="589">
        <v>5664560.0352999996</v>
      </c>
      <c r="H193" s="589">
        <v>5454182.7593999989</v>
      </c>
      <c r="I193" s="589">
        <v>5734216.9078700012</v>
      </c>
      <c r="J193" s="591">
        <f>SUM(D193:I193)</f>
        <v>30767507.843569998</v>
      </c>
    </row>
    <row r="194" spans="2:35">
      <c r="C194" s="56" t="s">
        <v>807</v>
      </c>
      <c r="D194" s="589">
        <v>2126374.8895</v>
      </c>
      <c r="E194" s="589">
        <v>1945536.138</v>
      </c>
      <c r="F194" s="589">
        <v>1997698.1588999999</v>
      </c>
      <c r="G194" s="589">
        <v>2082384.8623000004</v>
      </c>
      <c r="H194" s="589">
        <v>1709759.6255999999</v>
      </c>
      <c r="I194" s="589">
        <v>1760986.3425000003</v>
      </c>
      <c r="J194" s="591">
        <f t="shared" si="218"/>
        <v>11622740.016800001</v>
      </c>
    </row>
    <row r="195" spans="2:35">
      <c r="C195" s="56" t="s">
        <v>974</v>
      </c>
      <c r="D195" s="589">
        <v>102818.57399999999</v>
      </c>
      <c r="E195" s="589">
        <v>96142.045899999997</v>
      </c>
      <c r="F195" s="589">
        <v>109253.1183</v>
      </c>
      <c r="G195" s="589">
        <v>118365.34819999999</v>
      </c>
      <c r="H195" s="589">
        <v>113666.2942</v>
      </c>
      <c r="I195" s="589">
        <v>65751.966000000015</v>
      </c>
      <c r="J195" s="591">
        <f t="shared" si="218"/>
        <v>605997.34660000005</v>
      </c>
    </row>
    <row r="196" spans="2:35">
      <c r="C196" s="56" t="s">
        <v>1005</v>
      </c>
      <c r="D196" s="589">
        <v>38496.132400000002</v>
      </c>
      <c r="E196" s="589">
        <v>34517.4692</v>
      </c>
      <c r="F196" s="589">
        <v>35911.335800000001</v>
      </c>
      <c r="G196" s="589">
        <v>38717.5239</v>
      </c>
      <c r="H196" s="589">
        <v>33215.8462</v>
      </c>
      <c r="I196" s="589">
        <v>33007.590000000018</v>
      </c>
      <c r="J196" s="591">
        <f t="shared" si="218"/>
        <v>213865.89750000002</v>
      </c>
    </row>
    <row r="197" spans="2:35" s="63" customFormat="1" ht="15">
      <c r="B197" s="48"/>
      <c r="C197" s="63" t="s">
        <v>1260</v>
      </c>
      <c r="D197" s="64">
        <v>921775.27899999986</v>
      </c>
      <c r="E197" s="64">
        <v>877569.5334999999</v>
      </c>
      <c r="F197" s="64">
        <v>953227.88499999989</v>
      </c>
      <c r="G197" s="64">
        <v>1097490.6094</v>
      </c>
      <c r="H197" s="64">
        <v>924607.49910000002</v>
      </c>
      <c r="I197" s="64">
        <v>1008345.1175700019</v>
      </c>
      <c r="J197" s="591">
        <f t="shared" si="218"/>
        <v>5783015.9235700015</v>
      </c>
      <c r="AG197" s="973"/>
      <c r="AH197" s="973"/>
      <c r="AI197" s="973"/>
    </row>
    <row r="198" spans="2:35" s="63" customFormat="1" ht="15">
      <c r="B198" s="48"/>
      <c r="C198" s="63" t="s">
        <v>808</v>
      </c>
      <c r="D198" s="64">
        <v>6998533.814799998</v>
      </c>
      <c r="E198" s="64">
        <v>7329926.0324000008</v>
      </c>
      <c r="F198" s="64">
        <v>6907543.715499999</v>
      </c>
      <c r="G198" s="64">
        <v>7385067.1626999993</v>
      </c>
      <c r="H198" s="64">
        <v>7272224.0939000007</v>
      </c>
      <c r="I198" s="64">
        <v>7131218.5346000008</v>
      </c>
      <c r="J198" s="591">
        <f t="shared" si="218"/>
        <v>43024513.3539</v>
      </c>
      <c r="AG198" s="973"/>
      <c r="AH198" s="973"/>
      <c r="AI198" s="973"/>
    </row>
    <row r="199" spans="2:35" s="63" customFormat="1" ht="15">
      <c r="B199" s="48"/>
      <c r="C199" s="63" t="s">
        <v>1057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0</v>
      </c>
      <c r="J199" s="591">
        <f t="shared" si="218"/>
        <v>0</v>
      </c>
      <c r="AG199" s="973"/>
      <c r="AH199" s="973"/>
      <c r="AI199" s="973"/>
    </row>
    <row r="200" spans="2:35" s="63" customFormat="1" ht="15">
      <c r="B200" s="48"/>
      <c r="C200" s="63" t="s">
        <v>1344</v>
      </c>
      <c r="D200" s="64">
        <v>27837865.777215011</v>
      </c>
      <c r="E200" s="64">
        <v>27768734.010435</v>
      </c>
      <c r="F200" s="64">
        <v>25294587.126940001</v>
      </c>
      <c r="G200" s="64">
        <v>26221253.892300006</v>
      </c>
      <c r="H200" s="64">
        <v>23949123.551399995</v>
      </c>
      <c r="I200" s="64">
        <v>25365998.302292999</v>
      </c>
      <c r="J200" s="591">
        <f t="shared" si="218"/>
        <v>156437562.66058302</v>
      </c>
      <c r="AG200" s="973"/>
      <c r="AH200" s="973"/>
      <c r="AI200" s="973"/>
    </row>
    <row r="201" spans="2:35" s="63" customFormat="1" ht="15">
      <c r="B201" s="48"/>
      <c r="C201" s="63" t="s">
        <v>1345</v>
      </c>
      <c r="D201" s="64">
        <v>1961051.1001999998</v>
      </c>
      <c r="E201" s="64">
        <v>1739911.9648</v>
      </c>
      <c r="F201" s="64">
        <v>1932315.4992999998</v>
      </c>
      <c r="G201" s="64">
        <v>1691295.2818000002</v>
      </c>
      <c r="H201" s="64">
        <v>1615880.5572000004</v>
      </c>
      <c r="I201" s="64">
        <v>1810245.3746499973</v>
      </c>
      <c r="J201" s="591">
        <f t="shared" si="218"/>
        <v>10750699.777949996</v>
      </c>
      <c r="AG201" s="973"/>
      <c r="AH201" s="973"/>
      <c r="AI201" s="973"/>
    </row>
    <row r="202" spans="2:35" s="63" customFormat="1" ht="15">
      <c r="B202" s="48"/>
      <c r="C202" s="63" t="s">
        <v>1346</v>
      </c>
      <c r="D202" s="64">
        <v>1850475.3221999998</v>
      </c>
      <c r="E202" s="64">
        <v>1911629.2402999999</v>
      </c>
      <c r="F202" s="64">
        <v>1834041.8471000004</v>
      </c>
      <c r="G202" s="64">
        <v>1921283.8751000003</v>
      </c>
      <c r="H202" s="64">
        <v>1700117.9229000001</v>
      </c>
      <c r="I202" s="64">
        <v>1921727.2948299991</v>
      </c>
      <c r="J202" s="591">
        <f t="shared" si="218"/>
        <v>11139275.502429999</v>
      </c>
      <c r="AG202" s="973"/>
      <c r="AH202" s="973"/>
      <c r="AI202" s="973"/>
    </row>
    <row r="203" spans="2:35" s="63" customFormat="1" ht="15">
      <c r="B203" s="48"/>
      <c r="C203" s="63" t="s">
        <v>1347</v>
      </c>
      <c r="D203" s="64">
        <v>11055538.513800001</v>
      </c>
      <c r="E203" s="64">
        <v>10852954.93176</v>
      </c>
      <c r="F203" s="64">
        <v>12012159.6152</v>
      </c>
      <c r="G203" s="64">
        <v>12897015.304399999</v>
      </c>
      <c r="H203" s="64">
        <v>12133782.932899997</v>
      </c>
      <c r="I203" s="64">
        <v>13148507.655250499</v>
      </c>
      <c r="J203" s="591">
        <f t="shared" si="218"/>
        <v>72099958.95331049</v>
      </c>
      <c r="AG203" s="973"/>
      <c r="AH203" s="973"/>
      <c r="AI203" s="973"/>
    </row>
    <row r="204" spans="2:35" s="63" customFormat="1" ht="15">
      <c r="B204" s="48"/>
      <c r="C204" s="63" t="s">
        <v>928</v>
      </c>
      <c r="D204" s="64">
        <v>97562.890400000004</v>
      </c>
      <c r="E204" s="64">
        <v>87939.032099999997</v>
      </c>
      <c r="F204" s="64">
        <v>89703.260200000004</v>
      </c>
      <c r="G204" s="64">
        <v>93838.406499999997</v>
      </c>
      <c r="H204" s="64">
        <v>81332.713600000003</v>
      </c>
      <c r="I204" s="64">
        <v>86629.29000000011</v>
      </c>
      <c r="J204" s="591">
        <f t="shared" si="218"/>
        <v>537005.5928000001</v>
      </c>
      <c r="AG204" s="973"/>
      <c r="AH204" s="973"/>
      <c r="AI204" s="973"/>
    </row>
    <row r="205" spans="2:35" s="63" customFormat="1" ht="15">
      <c r="B205" s="48"/>
      <c r="C205" s="63" t="s">
        <v>929</v>
      </c>
      <c r="D205" s="64">
        <v>179942.23269999999</v>
      </c>
      <c r="E205" s="64">
        <v>187100.10880000002</v>
      </c>
      <c r="F205" s="64">
        <v>173718.04379999998</v>
      </c>
      <c r="G205" s="64">
        <v>179334.12349999999</v>
      </c>
      <c r="H205" s="64">
        <v>183212.61930000002</v>
      </c>
      <c r="I205" s="64">
        <v>187460.70000000019</v>
      </c>
      <c r="J205" s="591">
        <f t="shared" si="218"/>
        <v>1090767.8281</v>
      </c>
      <c r="AG205" s="973"/>
      <c r="AH205" s="973"/>
      <c r="AI205" s="973"/>
    </row>
    <row r="206" spans="2:35" s="63" customFormat="1" ht="15">
      <c r="B206" s="48"/>
      <c r="C206" s="63" t="s">
        <v>1006</v>
      </c>
      <c r="D206" s="64">
        <v>85508.861500000014</v>
      </c>
      <c r="E206" s="64">
        <v>83264.008200000011</v>
      </c>
      <c r="F206" s="64">
        <v>84990.998799999987</v>
      </c>
      <c r="G206" s="64">
        <v>88963.373900000006</v>
      </c>
      <c r="H206" s="64">
        <v>82005.938000000009</v>
      </c>
      <c r="I206" s="64">
        <v>86821.670899999997</v>
      </c>
      <c r="J206" s="591">
        <f t="shared" si="218"/>
        <v>511554.8513000001</v>
      </c>
      <c r="AG206" s="973"/>
      <c r="AH206" s="973"/>
      <c r="AI206" s="973"/>
    </row>
    <row r="207" spans="2:35" s="63" customFormat="1" ht="15">
      <c r="B207" s="48"/>
      <c r="C207" s="63" t="s">
        <v>1348</v>
      </c>
      <c r="D207" s="64">
        <v>5504362.5752000026</v>
      </c>
      <c r="E207" s="64">
        <v>5372740.1977000013</v>
      </c>
      <c r="F207" s="64">
        <v>5233248.9645999996</v>
      </c>
      <c r="G207" s="64">
        <v>5430812.3873999994</v>
      </c>
      <c r="H207" s="64">
        <v>4974420.5512999985</v>
      </c>
      <c r="I207" s="64">
        <v>5368026.0986840017</v>
      </c>
      <c r="J207" s="591">
        <f t="shared" si="218"/>
        <v>31883610.774884004</v>
      </c>
      <c r="AG207" s="973"/>
      <c r="AH207" s="973"/>
      <c r="AI207" s="973"/>
    </row>
    <row r="208" spans="2:35" s="63" customFormat="1" ht="15">
      <c r="B208" s="48"/>
      <c r="C208" s="63" t="s">
        <v>1349</v>
      </c>
      <c r="D208" s="64">
        <v>108136.32640000002</v>
      </c>
      <c r="E208" s="64">
        <v>105559.34230000002</v>
      </c>
      <c r="F208" s="64">
        <v>103747.96869999997</v>
      </c>
      <c r="G208" s="64">
        <v>105487.67110000004</v>
      </c>
      <c r="H208" s="64">
        <v>91154.265899999999</v>
      </c>
      <c r="I208" s="64">
        <v>102111.67966199981</v>
      </c>
      <c r="J208" s="591">
        <f t="shared" si="218"/>
        <v>616197.25406199985</v>
      </c>
      <c r="AG208" s="973"/>
      <c r="AH208" s="973"/>
      <c r="AI208" s="973"/>
    </row>
    <row r="209" spans="2:35" s="63" customFormat="1" ht="15">
      <c r="B209" s="48"/>
      <c r="C209" s="63" t="s">
        <v>1350</v>
      </c>
      <c r="D209" s="64">
        <v>1115022.7058999999</v>
      </c>
      <c r="E209" s="64">
        <v>1073229.425</v>
      </c>
      <c r="F209" s="64">
        <v>1058189.203</v>
      </c>
      <c r="G209" s="64">
        <v>1104791.4608</v>
      </c>
      <c r="H209" s="64">
        <v>977084.27559999994</v>
      </c>
      <c r="I209" s="64">
        <v>991850.93750600005</v>
      </c>
      <c r="J209" s="591">
        <f t="shared" si="218"/>
        <v>6320168.0078060012</v>
      </c>
      <c r="AG209" s="973"/>
      <c r="AH209" s="973"/>
      <c r="AI209" s="973"/>
    </row>
    <row r="210" spans="2:35" s="63" customFormat="1" ht="15">
      <c r="B210" s="48"/>
      <c r="C210" s="63" t="s">
        <v>1350</v>
      </c>
      <c r="D210" s="64">
        <v>1481692.0475000001</v>
      </c>
      <c r="E210" s="64">
        <v>1506020.5075999997</v>
      </c>
      <c r="F210" s="64">
        <v>1786717.1281000001</v>
      </c>
      <c r="G210" s="64">
        <v>1982318.0293000001</v>
      </c>
      <c r="H210" s="64">
        <v>1893503.7346999997</v>
      </c>
      <c r="I210" s="64">
        <v>2462679.7499940004</v>
      </c>
      <c r="J210" s="591">
        <f t="shared" si="218"/>
        <v>11112931.197194001</v>
      </c>
      <c r="AG210" s="973"/>
      <c r="AH210" s="973"/>
      <c r="AI210" s="973"/>
    </row>
    <row r="211" spans="2:35" s="63" customFormat="1" ht="15">
      <c r="B211" s="48"/>
      <c r="C211" s="63" t="s">
        <v>1483</v>
      </c>
      <c r="D211" s="64">
        <v>12893341.999999998</v>
      </c>
      <c r="E211" s="64">
        <v>11576607.272000004</v>
      </c>
      <c r="F211" s="64">
        <v>11993638.777999999</v>
      </c>
      <c r="G211" s="64">
        <v>12530353.000000002</v>
      </c>
      <c r="H211" s="64">
        <v>9487892.0510000009</v>
      </c>
      <c r="I211" s="64">
        <v>2452350.0000000047</v>
      </c>
      <c r="J211" s="591">
        <f t="shared" si="218"/>
        <v>60934183.101000004</v>
      </c>
      <c r="AG211" s="973"/>
      <c r="AH211" s="973"/>
      <c r="AI211" s="973"/>
    </row>
    <row r="212" spans="2:35" s="63" customFormat="1" ht="15">
      <c r="B212" s="48"/>
      <c r="C212" s="139" t="s">
        <v>111</v>
      </c>
      <c r="D212" s="65">
        <f t="shared" ref="D212:I212" si="219">SUM(D190:D211)</f>
        <v>88736882.514215007</v>
      </c>
      <c r="E212" s="65">
        <f t="shared" si="219"/>
        <v>85915695.020994991</v>
      </c>
      <c r="F212" s="65">
        <f t="shared" si="219"/>
        <v>85216320.238539994</v>
      </c>
      <c r="G212" s="65">
        <f t="shared" si="219"/>
        <v>90843240.803800017</v>
      </c>
      <c r="H212" s="65">
        <f t="shared" si="219"/>
        <v>79770451.04869999</v>
      </c>
      <c r="I212" s="65">
        <f t="shared" si="219"/>
        <v>78864509.492409512</v>
      </c>
      <c r="J212" s="591">
        <f t="shared" si="218"/>
        <v>509347099.11865956</v>
      </c>
      <c r="AG212" s="973"/>
      <c r="AH212" s="973"/>
      <c r="AI212" s="973"/>
    </row>
    <row r="213" spans="2:35" s="63" customFormat="1" ht="15">
      <c r="B213" s="48"/>
      <c r="D213" s="968">
        <f t="shared" ref="D213:J213" si="220">D146-D212</f>
        <v>0</v>
      </c>
      <c r="E213" s="968">
        <f t="shared" si="220"/>
        <v>0</v>
      </c>
      <c r="F213" s="968">
        <f t="shared" si="220"/>
        <v>0</v>
      </c>
      <c r="G213" s="968">
        <f t="shared" si="220"/>
        <v>0</v>
      </c>
      <c r="H213" s="968">
        <f t="shared" si="220"/>
        <v>0</v>
      </c>
      <c r="I213" s="968">
        <f t="shared" si="220"/>
        <v>0</v>
      </c>
      <c r="J213" s="968">
        <f t="shared" si="220"/>
        <v>0</v>
      </c>
      <c r="AG213" s="973"/>
      <c r="AH213" s="973"/>
      <c r="AI213" s="973"/>
    </row>
    <row r="214" spans="2:35" s="63" customFormat="1" ht="15">
      <c r="B214" s="48"/>
      <c r="D214" s="65"/>
      <c r="E214" s="65"/>
      <c r="F214" s="65"/>
      <c r="G214" s="65"/>
      <c r="H214" s="65"/>
      <c r="I214" s="65"/>
      <c r="J214" s="65"/>
      <c r="AG214" s="973"/>
      <c r="AH214" s="973"/>
      <c r="AI214" s="973"/>
    </row>
    <row r="215" spans="2:35" s="63" customFormat="1" ht="17.25" customHeight="1">
      <c r="B215" s="48"/>
      <c r="D215" s="66"/>
      <c r="E215" s="66"/>
      <c r="F215" s="66"/>
      <c r="G215" s="66"/>
      <c r="H215" s="66"/>
      <c r="I215" s="66"/>
      <c r="J215" s="66"/>
      <c r="AG215" s="973"/>
      <c r="AH215" s="973"/>
      <c r="AI215" s="973"/>
    </row>
    <row r="216" spans="2:35">
      <c r="D216" s="589"/>
      <c r="E216" s="589"/>
      <c r="F216" s="589"/>
      <c r="G216" s="589"/>
      <c r="H216" s="589"/>
      <c r="I216" s="589"/>
      <c r="J216" s="589"/>
    </row>
    <row r="217" spans="2:35">
      <c r="B217" s="56" t="s">
        <v>902</v>
      </c>
      <c r="D217" s="589">
        <f t="shared" ref="D217:J232" si="221">SUMIF($B$4:$B$146,$B217,D$4:D$146)</f>
        <v>14700559</v>
      </c>
      <c r="E217" s="589">
        <f t="shared" si="221"/>
        <v>14443908</v>
      </c>
      <c r="F217" s="589">
        <f t="shared" si="221"/>
        <v>14884565</v>
      </c>
      <c r="G217" s="589">
        <f t="shared" si="221"/>
        <v>14623169</v>
      </c>
      <c r="H217" s="589">
        <f t="shared" si="221"/>
        <v>13636042</v>
      </c>
      <c r="I217" s="589">
        <f t="shared" si="221"/>
        <v>14799046</v>
      </c>
      <c r="J217" s="589">
        <f t="shared" si="221"/>
        <v>87087289</v>
      </c>
    </row>
    <row r="218" spans="2:35">
      <c r="B218" s="56" t="s">
        <v>751</v>
      </c>
      <c r="D218" s="589">
        <f t="shared" si="221"/>
        <v>89223829</v>
      </c>
      <c r="E218" s="589">
        <f t="shared" si="221"/>
        <v>89233958</v>
      </c>
      <c r="F218" s="589">
        <f t="shared" si="221"/>
        <v>88723200</v>
      </c>
      <c r="G218" s="589">
        <f t="shared" si="221"/>
        <v>88696009</v>
      </c>
      <c r="H218" s="589">
        <f t="shared" si="221"/>
        <v>87875125</v>
      </c>
      <c r="I218" s="589">
        <f t="shared" si="221"/>
        <v>86919100</v>
      </c>
      <c r="J218" s="589">
        <f t="shared" si="221"/>
        <v>530671221</v>
      </c>
    </row>
    <row r="219" spans="2:35">
      <c r="B219" s="56" t="s">
        <v>750</v>
      </c>
      <c r="D219" s="589">
        <f t="shared" si="221"/>
        <v>32183885</v>
      </c>
      <c r="E219" s="589">
        <f t="shared" si="221"/>
        <v>32216106</v>
      </c>
      <c r="F219" s="589">
        <f t="shared" si="221"/>
        <v>31327645</v>
      </c>
      <c r="G219" s="589">
        <f t="shared" si="221"/>
        <v>31319728</v>
      </c>
      <c r="H219" s="589">
        <f t="shared" si="221"/>
        <v>29617038</v>
      </c>
      <c r="I219" s="589">
        <f t="shared" si="221"/>
        <v>29609676</v>
      </c>
      <c r="J219" s="589">
        <f t="shared" si="221"/>
        <v>186274078</v>
      </c>
    </row>
    <row r="220" spans="2:35">
      <c r="B220" s="56" t="s">
        <v>749</v>
      </c>
      <c r="D220" s="589">
        <f t="shared" si="221"/>
        <v>29263250</v>
      </c>
      <c r="E220" s="589">
        <f t="shared" si="221"/>
        <v>29248063</v>
      </c>
      <c r="F220" s="589">
        <f t="shared" si="221"/>
        <v>28670471</v>
      </c>
      <c r="G220" s="589">
        <f t="shared" si="221"/>
        <v>29166469</v>
      </c>
      <c r="H220" s="589">
        <f t="shared" si="221"/>
        <v>26884976</v>
      </c>
      <c r="I220" s="589">
        <f t="shared" si="221"/>
        <v>28098398</v>
      </c>
      <c r="J220" s="589">
        <f t="shared" si="221"/>
        <v>171331627</v>
      </c>
    </row>
    <row r="221" spans="2:35">
      <c r="B221" s="56" t="s">
        <v>1176</v>
      </c>
      <c r="D221" s="589">
        <f t="shared" si="221"/>
        <v>0</v>
      </c>
      <c r="E221" s="589">
        <f t="shared" si="221"/>
        <v>0</v>
      </c>
      <c r="F221" s="589">
        <f t="shared" si="221"/>
        <v>0</v>
      </c>
      <c r="G221" s="589">
        <f t="shared" si="221"/>
        <v>0</v>
      </c>
      <c r="H221" s="589">
        <f t="shared" si="221"/>
        <v>0</v>
      </c>
      <c r="I221" s="589">
        <f t="shared" si="221"/>
        <v>0</v>
      </c>
      <c r="J221" s="589">
        <f t="shared" si="221"/>
        <v>0</v>
      </c>
    </row>
    <row r="222" spans="2:35">
      <c r="B222" s="56" t="s">
        <v>274</v>
      </c>
      <c r="D222" s="589">
        <f t="shared" si="221"/>
        <v>60042933</v>
      </c>
      <c r="E222" s="589">
        <f t="shared" si="221"/>
        <v>59582611</v>
      </c>
      <c r="F222" s="589">
        <f t="shared" si="221"/>
        <v>57347048</v>
      </c>
      <c r="G222" s="589">
        <f t="shared" si="221"/>
        <v>59528985</v>
      </c>
      <c r="H222" s="589">
        <f t="shared" si="221"/>
        <v>56096582</v>
      </c>
      <c r="I222" s="589">
        <f t="shared" si="221"/>
        <v>55882612</v>
      </c>
      <c r="J222" s="589">
        <f t="shared" si="221"/>
        <v>348480771</v>
      </c>
    </row>
    <row r="223" spans="2:35">
      <c r="B223" s="56" t="s">
        <v>275</v>
      </c>
      <c r="D223" s="589">
        <f t="shared" si="221"/>
        <v>2796078</v>
      </c>
      <c r="E223" s="589">
        <f t="shared" si="221"/>
        <v>2776295</v>
      </c>
      <c r="F223" s="589">
        <f t="shared" si="221"/>
        <v>2745536</v>
      </c>
      <c r="G223" s="589">
        <f t="shared" si="221"/>
        <v>2827585</v>
      </c>
      <c r="H223" s="589">
        <f t="shared" si="221"/>
        <v>2788874</v>
      </c>
      <c r="I223" s="589">
        <f t="shared" si="221"/>
        <v>2916840</v>
      </c>
      <c r="J223" s="589">
        <f t="shared" si="221"/>
        <v>16851208</v>
      </c>
    </row>
    <row r="224" spans="2:35">
      <c r="B224" s="56" t="s">
        <v>276</v>
      </c>
      <c r="D224" s="589">
        <f t="shared" si="221"/>
        <v>25243627</v>
      </c>
      <c r="E224" s="589">
        <f t="shared" si="221"/>
        <v>25925106</v>
      </c>
      <c r="F224" s="589">
        <f t="shared" si="221"/>
        <v>24949026</v>
      </c>
      <c r="G224" s="589">
        <f t="shared" si="221"/>
        <v>26314436</v>
      </c>
      <c r="H224" s="589">
        <f t="shared" si="221"/>
        <v>23633501</v>
      </c>
      <c r="I224" s="589">
        <f t="shared" si="221"/>
        <v>24604968</v>
      </c>
      <c r="J224" s="589">
        <f t="shared" si="221"/>
        <v>150670664</v>
      </c>
    </row>
    <row r="225" spans="2:10">
      <c r="B225" s="56" t="s">
        <v>277</v>
      </c>
      <c r="D225" s="589">
        <f t="shared" si="221"/>
        <v>4273523</v>
      </c>
      <c r="E225" s="589">
        <f t="shared" si="221"/>
        <v>4365765</v>
      </c>
      <c r="F225" s="589">
        <f t="shared" si="221"/>
        <v>4346196</v>
      </c>
      <c r="G225" s="589">
        <f t="shared" si="221"/>
        <v>4101155</v>
      </c>
      <c r="H225" s="589">
        <f t="shared" si="221"/>
        <v>4984929</v>
      </c>
      <c r="I225" s="589">
        <f t="shared" si="221"/>
        <v>3245368</v>
      </c>
      <c r="J225" s="589">
        <f t="shared" si="221"/>
        <v>25316936</v>
      </c>
    </row>
    <row r="226" spans="2:10">
      <c r="B226" s="56" t="s">
        <v>278</v>
      </c>
      <c r="D226" s="589">
        <f t="shared" si="221"/>
        <v>0</v>
      </c>
      <c r="E226" s="589">
        <f t="shared" si="221"/>
        <v>0</v>
      </c>
      <c r="F226" s="589">
        <f t="shared" si="221"/>
        <v>0</v>
      </c>
      <c r="G226" s="589">
        <f t="shared" si="221"/>
        <v>0</v>
      </c>
      <c r="H226" s="589">
        <f t="shared" si="221"/>
        <v>0</v>
      </c>
      <c r="I226" s="589">
        <f t="shared" si="221"/>
        <v>0</v>
      </c>
      <c r="J226" s="589">
        <f t="shared" si="221"/>
        <v>0</v>
      </c>
    </row>
    <row r="227" spans="2:10">
      <c r="B227" s="56" t="s">
        <v>279</v>
      </c>
      <c r="D227" s="589">
        <f t="shared" si="221"/>
        <v>18371399</v>
      </c>
      <c r="E227" s="589">
        <f t="shared" si="221"/>
        <v>18422499</v>
      </c>
      <c r="F227" s="589">
        <f t="shared" si="221"/>
        <v>18003680</v>
      </c>
      <c r="G227" s="589">
        <f t="shared" si="221"/>
        <v>18689952</v>
      </c>
      <c r="H227" s="589">
        <f t="shared" si="221"/>
        <v>17823144</v>
      </c>
      <c r="I227" s="589">
        <f t="shared" si="221"/>
        <v>18498181</v>
      </c>
      <c r="J227" s="589">
        <f t="shared" si="221"/>
        <v>109808855</v>
      </c>
    </row>
    <row r="228" spans="2:10">
      <c r="B228" s="56" t="s">
        <v>875</v>
      </c>
      <c r="D228" s="589">
        <f t="shared" si="221"/>
        <v>8294722.5165000027</v>
      </c>
      <c r="E228" s="589">
        <f t="shared" si="221"/>
        <v>8140813.480800001</v>
      </c>
      <c r="F228" s="589">
        <f t="shared" si="221"/>
        <v>8266894.2631999999</v>
      </c>
      <c r="G228" s="589">
        <f t="shared" si="221"/>
        <v>8712372.9224999994</v>
      </c>
      <c r="H228" s="589">
        <f t="shared" si="221"/>
        <v>8018168.7654999988</v>
      </c>
      <c r="I228" s="589">
        <f t="shared" si="221"/>
        <v>9011490.1367460024</v>
      </c>
      <c r="J228" s="589">
        <f t="shared" si="221"/>
        <v>50444462.085246004</v>
      </c>
    </row>
    <row r="229" spans="2:10">
      <c r="B229" s="56" t="s">
        <v>874</v>
      </c>
      <c r="D229" s="589">
        <f t="shared" si="221"/>
        <v>277505.12309999997</v>
      </c>
      <c r="E229" s="589">
        <f t="shared" si="221"/>
        <v>275039.1409</v>
      </c>
      <c r="F229" s="589">
        <f t="shared" si="221"/>
        <v>263421.304</v>
      </c>
      <c r="G229" s="589">
        <f t="shared" si="221"/>
        <v>273172.52999999997</v>
      </c>
      <c r="H229" s="589">
        <f t="shared" si="221"/>
        <v>264545.33290000004</v>
      </c>
      <c r="I229" s="589">
        <f t="shared" si="221"/>
        <v>274089.99000000028</v>
      </c>
      <c r="J229" s="589">
        <f t="shared" si="221"/>
        <v>1627773.4209000003</v>
      </c>
    </row>
    <row r="230" spans="2:10">
      <c r="B230" s="56" t="s">
        <v>873</v>
      </c>
      <c r="D230" s="589">
        <f t="shared" si="221"/>
        <v>42704930.713415012</v>
      </c>
      <c r="E230" s="589">
        <f t="shared" si="221"/>
        <v>42273230.147294998</v>
      </c>
      <c r="F230" s="589">
        <f t="shared" si="221"/>
        <v>41073104.088540003</v>
      </c>
      <c r="G230" s="589">
        <f t="shared" si="221"/>
        <v>42730848.35360001</v>
      </c>
      <c r="H230" s="589">
        <f t="shared" si="221"/>
        <v>39398904.964399993</v>
      </c>
      <c r="I230" s="589">
        <f t="shared" si="221"/>
        <v>42246478.627023496</v>
      </c>
      <c r="J230" s="589">
        <f t="shared" si="221"/>
        <v>250427496.89427349</v>
      </c>
    </row>
    <row r="231" spans="2:10">
      <c r="B231" s="56" t="s">
        <v>872</v>
      </c>
      <c r="D231" s="589">
        <f t="shared" si="221"/>
        <v>10187998.689699996</v>
      </c>
      <c r="E231" s="589">
        <f t="shared" si="221"/>
        <v>10283691.219000001</v>
      </c>
      <c r="F231" s="589">
        <f t="shared" si="221"/>
        <v>10003634.213500001</v>
      </c>
      <c r="G231" s="589">
        <f t="shared" si="221"/>
        <v>10722025.506499998</v>
      </c>
      <c r="H231" s="589">
        <f t="shared" si="221"/>
        <v>10053473.359000001</v>
      </c>
      <c r="I231" s="589">
        <f t="shared" si="221"/>
        <v>9999309.5506700017</v>
      </c>
      <c r="J231" s="589">
        <f t="shared" si="221"/>
        <v>61250132.538369998</v>
      </c>
    </row>
    <row r="232" spans="2:10">
      <c r="B232" s="56" t="s">
        <v>871</v>
      </c>
      <c r="D232" s="589">
        <f t="shared" si="221"/>
        <v>4646197.4270000001</v>
      </c>
      <c r="E232" s="589">
        <f t="shared" si="221"/>
        <v>4556963.8679999998</v>
      </c>
      <c r="F232" s="589">
        <f t="shared" si="221"/>
        <v>4711386.845999999</v>
      </c>
      <c r="G232" s="589">
        <f t="shared" si="221"/>
        <v>5664560.0352999996</v>
      </c>
      <c r="H232" s="589">
        <f t="shared" si="221"/>
        <v>5454182.7593999989</v>
      </c>
      <c r="I232" s="589">
        <f t="shared" si="221"/>
        <v>5734216.9078700012</v>
      </c>
      <c r="J232" s="589">
        <f t="shared" si="221"/>
        <v>30767507.843569998</v>
      </c>
    </row>
    <row r="233" spans="2:10">
      <c r="B233" s="56" t="s">
        <v>870</v>
      </c>
      <c r="D233" s="589">
        <f t="shared" ref="D233:J234" si="222">SUMIF($B$4:$B$146,$B233,D$4:D$146)</f>
        <v>9732186.0445000008</v>
      </c>
      <c r="E233" s="589">
        <f t="shared" si="222"/>
        <v>8809349.8929999992</v>
      </c>
      <c r="F233" s="589">
        <f t="shared" si="222"/>
        <v>8904240.7452999987</v>
      </c>
      <c r="G233" s="589">
        <f t="shared" si="222"/>
        <v>10209908.455899999</v>
      </c>
      <c r="H233" s="589">
        <f t="shared" si="222"/>
        <v>7093283.8164999997</v>
      </c>
      <c r="I233" s="589">
        <f t="shared" si="222"/>
        <v>9146574.2800999992</v>
      </c>
      <c r="J233" s="589">
        <f t="shared" si="222"/>
        <v>53895543.23529999</v>
      </c>
    </row>
    <row r="234" spans="2:10">
      <c r="B234" s="56" t="s">
        <v>890</v>
      </c>
      <c r="D234" s="589">
        <f t="shared" si="222"/>
        <v>12893341.999999998</v>
      </c>
      <c r="E234" s="589">
        <f t="shared" si="222"/>
        <v>11576607.272000004</v>
      </c>
      <c r="F234" s="589">
        <f t="shared" si="222"/>
        <v>11993638.777999999</v>
      </c>
      <c r="G234" s="589">
        <f t="shared" si="222"/>
        <v>12530353.000000002</v>
      </c>
      <c r="H234" s="589">
        <f t="shared" si="222"/>
        <v>9487892.0510000009</v>
      </c>
      <c r="I234" s="589">
        <f t="shared" si="222"/>
        <v>2452350.0000000047</v>
      </c>
      <c r="J234" s="589">
        <f t="shared" si="222"/>
        <v>60934183.101000004</v>
      </c>
    </row>
    <row r="235" spans="2:10">
      <c r="B235" s="56" t="s">
        <v>111</v>
      </c>
      <c r="D235" s="589">
        <f t="shared" ref="D235:J235" si="223">SUM(D217:D234)</f>
        <v>364835965.51421499</v>
      </c>
      <c r="E235" s="589">
        <f t="shared" si="223"/>
        <v>362130006.02099496</v>
      </c>
      <c r="F235" s="589">
        <f t="shared" si="223"/>
        <v>356213687.23854005</v>
      </c>
      <c r="G235" s="589">
        <f t="shared" si="223"/>
        <v>366110728.80380005</v>
      </c>
      <c r="H235" s="589">
        <f t="shared" si="223"/>
        <v>343110662.04870003</v>
      </c>
      <c r="I235" s="589">
        <f t="shared" si="223"/>
        <v>343438698.49240953</v>
      </c>
      <c r="J235" s="589">
        <f t="shared" si="223"/>
        <v>2135839748.1186597</v>
      </c>
    </row>
    <row r="236" spans="2:10">
      <c r="D236" s="968">
        <f t="shared" ref="D236:J236" si="224">D235-D107-D146</f>
        <v>0</v>
      </c>
      <c r="E236" s="968">
        <f t="shared" si="224"/>
        <v>0</v>
      </c>
      <c r="F236" s="968">
        <f t="shared" si="224"/>
        <v>0</v>
      </c>
      <c r="G236" s="968">
        <f t="shared" si="224"/>
        <v>0</v>
      </c>
      <c r="H236" s="968">
        <f t="shared" si="224"/>
        <v>0</v>
      </c>
      <c r="I236" s="968">
        <f t="shared" si="224"/>
        <v>0</v>
      </c>
      <c r="J236" s="968">
        <f t="shared" si="224"/>
        <v>0</v>
      </c>
    </row>
  </sheetData>
  <printOptions horizontalCentered="1" verticalCentered="1" headings="1"/>
  <pageMargins left="0.19685039370078741" right="0.19685039370078741" top="0.19685039370078741" bottom="0.19685039370078741" header="0.39370078740157483" footer="0.47244094488188981"/>
  <pageSetup scale="27" orientation="portrait" r:id="rId1"/>
  <headerFooter>
    <oddHeader>&amp;L&amp;"Times New Roman,Negrita"&amp;14Nombre de la Distribuidora: &amp;K06-048ENSA&amp;RASEP FORM: &amp;A</oddHeader>
    <oddFooter>&amp;R&amp;A</oddFooter>
  </headerFooter>
  <colBreaks count="2" manualBreakCount="2">
    <brk id="10" max="1048575" man="1"/>
    <brk id="17" max="104857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7CE9A-5688-44FD-A15E-5AEAB19B4B8E}">
  <sheetPr codeName="Hoja105">
    <tabColor theme="7" tint="0.39997558519241921"/>
  </sheetPr>
  <dimension ref="C1:N107"/>
  <sheetViews>
    <sheetView zoomScale="70" zoomScaleNormal="70" zoomScaleSheetLayoutView="70" workbookViewId="0">
      <pane xSplit="3" ySplit="4" topLeftCell="D5" activePane="bottomRight" state="frozen"/>
      <selection activeCell="M68" sqref="M68"/>
      <selection pane="topRight" activeCell="M68" sqref="M68"/>
      <selection pane="bottomLeft" activeCell="M68" sqref="M68"/>
      <selection pane="bottomRight" activeCell="M8" sqref="M8"/>
    </sheetView>
  </sheetViews>
  <sheetFormatPr baseColWidth="10" defaultColWidth="11.25" defaultRowHeight="15.75"/>
  <cols>
    <col min="1" max="2" width="1.125" style="69" customWidth="1"/>
    <col min="3" max="3" width="32.75" style="69" bestFit="1" customWidth="1"/>
    <col min="4" max="5" width="10.25" style="69" bestFit="1" customWidth="1"/>
    <col min="6" max="8" width="10" style="69" bestFit="1" customWidth="1"/>
    <col min="9" max="9" width="10.25" style="69" bestFit="1" customWidth="1"/>
    <col min="10" max="10" width="10.25" style="1047" bestFit="1" customWidth="1"/>
    <col min="11" max="11" width="10.25" style="1968" bestFit="1" customWidth="1"/>
    <col min="12" max="14" width="10.25" style="1047" bestFit="1" customWidth="1"/>
    <col min="15" max="16384" width="11.25" style="69"/>
  </cols>
  <sheetData>
    <row r="1" spans="3:14" ht="9.6" customHeight="1"/>
    <row r="2" spans="3:14">
      <c r="C2" s="510" t="s">
        <v>686</v>
      </c>
      <c r="D2" s="573"/>
      <c r="E2" s="573"/>
      <c r="F2" s="1538"/>
      <c r="G2" s="1538"/>
      <c r="H2" s="1538"/>
      <c r="I2" s="573"/>
      <c r="J2" s="1986"/>
      <c r="K2" s="1967"/>
      <c r="L2" s="1986"/>
      <c r="M2" s="1986"/>
      <c r="N2" s="1986"/>
    </row>
    <row r="3" spans="3:14" ht="6" customHeight="1">
      <c r="C3" s="1536"/>
      <c r="D3" s="1537"/>
      <c r="E3" s="1537"/>
      <c r="F3" s="1537"/>
      <c r="G3" s="1537"/>
      <c r="H3" s="1537"/>
      <c r="I3" s="1537"/>
      <c r="J3" s="1988"/>
      <c r="K3" s="1989"/>
      <c r="L3" s="1988"/>
      <c r="M3" s="1988"/>
      <c r="N3" s="1988"/>
    </row>
    <row r="4" spans="3:14" s="1589" customFormat="1" ht="18.75">
      <c r="C4" s="1641"/>
      <c r="D4" s="1642">
        <f>F821EVE!D4</f>
        <v>45839</v>
      </c>
      <c r="E4" s="1642">
        <f>F821EVE!E4</f>
        <v>45870</v>
      </c>
      <c r="F4" s="1642">
        <f>F821EVE!F4</f>
        <v>45901</v>
      </c>
      <c r="G4" s="1642">
        <f>F821EVE!G4</f>
        <v>45931</v>
      </c>
      <c r="H4" s="1642">
        <f>F821EVE!H4</f>
        <v>45962</v>
      </c>
      <c r="I4" s="1642">
        <f>F821EVE!I4</f>
        <v>45992</v>
      </c>
      <c r="J4" s="1990">
        <f>I4+31</f>
        <v>46023</v>
      </c>
      <c r="K4" s="2082">
        <f>J4+31</f>
        <v>46054</v>
      </c>
      <c r="L4" s="1990">
        <f>K4+31</f>
        <v>46085</v>
      </c>
      <c r="M4" s="1990">
        <f t="shared" ref="M4:N4" si="0">L4+31</f>
        <v>46116</v>
      </c>
      <c r="N4" s="1990">
        <f t="shared" si="0"/>
        <v>46147</v>
      </c>
    </row>
    <row r="5" spans="3:14">
      <c r="C5" s="52" t="s">
        <v>446</v>
      </c>
      <c r="D5" s="520">
        <f>F821EVE!D5</f>
        <v>18371399</v>
      </c>
      <c r="E5" s="520">
        <f>F821EVE!E5</f>
        <v>18422499</v>
      </c>
      <c r="F5" s="520">
        <f>F821EVE!F5</f>
        <v>18003680</v>
      </c>
      <c r="G5" s="520">
        <f>F821EVE!G5</f>
        <v>18689952</v>
      </c>
      <c r="H5" s="520">
        <f>F821EVE!H5</f>
        <v>17823144</v>
      </c>
      <c r="I5" s="520">
        <f>F821EVE!I5</f>
        <v>18498181</v>
      </c>
      <c r="J5" s="1644">
        <v>18479168</v>
      </c>
      <c r="K5" s="520">
        <v>16387653</v>
      </c>
      <c r="L5" s="1644">
        <v>18445880</v>
      </c>
      <c r="M5" s="1644">
        <v>18085279</v>
      </c>
      <c r="N5" s="1644">
        <v>19066271</v>
      </c>
    </row>
    <row r="6" spans="3:14">
      <c r="C6" s="1248" t="s">
        <v>279</v>
      </c>
      <c r="D6" s="60">
        <f>F821EVE!D6</f>
        <v>18371399</v>
      </c>
      <c r="E6" s="60">
        <f>F821EVE!E6</f>
        <v>18422499</v>
      </c>
      <c r="F6" s="60">
        <f>F821EVE!F6</f>
        <v>18003680</v>
      </c>
      <c r="G6" s="60">
        <f>F821EVE!G6</f>
        <v>18689952</v>
      </c>
      <c r="H6" s="60">
        <f>F821EVE!H6</f>
        <v>17823144</v>
      </c>
      <c r="I6" s="60">
        <f>F821EVE!I6</f>
        <v>18498181</v>
      </c>
      <c r="J6" s="1645">
        <v>18479168</v>
      </c>
      <c r="K6" s="60">
        <v>16387653</v>
      </c>
      <c r="L6" s="1645">
        <v>18445880</v>
      </c>
      <c r="M6" s="1645">
        <v>18085279</v>
      </c>
      <c r="N6" s="1645">
        <v>19066271</v>
      </c>
    </row>
    <row r="7" spans="3:14">
      <c r="C7" s="1248" t="s">
        <v>278</v>
      </c>
      <c r="D7" s="60">
        <f>F821EVE!D7</f>
        <v>0</v>
      </c>
      <c r="E7" s="60">
        <f>F821EVE!E7</f>
        <v>0</v>
      </c>
      <c r="F7" s="60">
        <f>F821EVE!F7</f>
        <v>0</v>
      </c>
      <c r="G7" s="60">
        <f>F821EVE!G7</f>
        <v>0</v>
      </c>
      <c r="H7" s="60">
        <f>F821EVE!H7</f>
        <v>0</v>
      </c>
      <c r="I7" s="60">
        <f>F821EVE!I7</f>
        <v>0</v>
      </c>
      <c r="J7" s="1645">
        <v>0</v>
      </c>
      <c r="K7" s="60">
        <v>0</v>
      </c>
      <c r="L7" s="1645">
        <v>0</v>
      </c>
      <c r="M7" s="1645">
        <v>0</v>
      </c>
      <c r="N7" s="1645">
        <v>0</v>
      </c>
    </row>
    <row r="8" spans="3:14">
      <c r="C8" s="37"/>
      <c r="D8" s="60"/>
      <c r="E8" s="60"/>
      <c r="F8" s="60"/>
      <c r="G8" s="60"/>
      <c r="H8" s="60"/>
      <c r="I8" s="60"/>
      <c r="J8" s="1645">
        <v>0</v>
      </c>
      <c r="K8" s="60">
        <v>0</v>
      </c>
      <c r="L8" s="1645">
        <v>0</v>
      </c>
      <c r="M8" s="1645">
        <v>0</v>
      </c>
      <c r="N8" s="1645">
        <v>0</v>
      </c>
    </row>
    <row r="9" spans="3:14">
      <c r="C9" s="52" t="s">
        <v>630</v>
      </c>
      <c r="D9" s="520">
        <f>F821EVE!D9</f>
        <v>29517150</v>
      </c>
      <c r="E9" s="520">
        <f>F821EVE!E9</f>
        <v>30290871</v>
      </c>
      <c r="F9" s="520">
        <f>F821EVE!F9</f>
        <v>29295222</v>
      </c>
      <c r="G9" s="520">
        <f>F821EVE!G9</f>
        <v>30415591</v>
      </c>
      <c r="H9" s="520">
        <f>F821EVE!H9</f>
        <v>28618430</v>
      </c>
      <c r="I9" s="520">
        <f>F821EVE!I9</f>
        <v>27850336</v>
      </c>
      <c r="J9" s="1644">
        <v>30977823</v>
      </c>
      <c r="K9" s="520">
        <v>28825221</v>
      </c>
      <c r="L9" s="1644">
        <v>33750481</v>
      </c>
      <c r="M9" s="1644">
        <v>33639397</v>
      </c>
      <c r="N9" s="1644">
        <v>35151072</v>
      </c>
    </row>
    <row r="10" spans="3:14">
      <c r="C10" s="1248" t="s">
        <v>277</v>
      </c>
      <c r="D10" s="60">
        <f>F821EVE!D10</f>
        <v>4273523</v>
      </c>
      <c r="E10" s="60">
        <f>F821EVE!E10</f>
        <v>4365765</v>
      </c>
      <c r="F10" s="60">
        <f>F821EVE!F10</f>
        <v>4346196</v>
      </c>
      <c r="G10" s="60">
        <f>F821EVE!G10</f>
        <v>4101155</v>
      </c>
      <c r="H10" s="60">
        <f>F821EVE!H10</f>
        <v>4984929</v>
      </c>
      <c r="I10" s="60">
        <f>F821EVE!I10</f>
        <v>3245368</v>
      </c>
      <c r="J10" s="1645">
        <v>3880238</v>
      </c>
      <c r="K10" s="60">
        <v>3328291</v>
      </c>
      <c r="L10" s="1645">
        <v>3419107</v>
      </c>
      <c r="M10" s="1645">
        <v>3589953</v>
      </c>
      <c r="N10" s="1645">
        <v>3748848</v>
      </c>
    </row>
    <row r="11" spans="3:14">
      <c r="C11" s="1249" t="s">
        <v>304</v>
      </c>
      <c r="D11" s="60">
        <f>F821EVE!D11</f>
        <v>3617273</v>
      </c>
      <c r="E11" s="60">
        <f>F821EVE!E11</f>
        <v>3690615</v>
      </c>
      <c r="F11" s="60">
        <f>F821EVE!F11</f>
        <v>3672096</v>
      </c>
      <c r="G11" s="60">
        <f>F821EVE!G11</f>
        <v>3402905</v>
      </c>
      <c r="H11" s="60">
        <f>F821EVE!H11</f>
        <v>4297179</v>
      </c>
      <c r="I11" s="60">
        <f>F821EVE!I11</f>
        <v>3245368</v>
      </c>
      <c r="J11" s="1645">
        <v>2490038</v>
      </c>
      <c r="K11" s="60">
        <v>2723491</v>
      </c>
      <c r="L11" s="1645">
        <v>2721907</v>
      </c>
      <c r="M11" s="1645">
        <v>2926353</v>
      </c>
      <c r="N11" s="1645">
        <v>3007548</v>
      </c>
    </row>
    <row r="12" spans="3:14">
      <c r="C12" s="1249" t="s">
        <v>305</v>
      </c>
      <c r="D12" s="60">
        <f>F821EVE!D12</f>
        <v>656250</v>
      </c>
      <c r="E12" s="60">
        <f>F821EVE!E12</f>
        <v>675150</v>
      </c>
      <c r="F12" s="60">
        <f>F821EVE!F12</f>
        <v>674100</v>
      </c>
      <c r="G12" s="60">
        <f>F821EVE!G12</f>
        <v>698250</v>
      </c>
      <c r="H12" s="60">
        <f>F821EVE!H12</f>
        <v>687750</v>
      </c>
      <c r="I12" s="60">
        <f>F821EVE!I12</f>
        <v>0</v>
      </c>
      <c r="J12" s="1645">
        <v>1390200</v>
      </c>
      <c r="K12" s="60">
        <v>604800</v>
      </c>
      <c r="L12" s="1645">
        <v>697200</v>
      </c>
      <c r="M12" s="1645">
        <v>663600</v>
      </c>
      <c r="N12" s="1645">
        <v>741300</v>
      </c>
    </row>
    <row r="13" spans="3:14">
      <c r="C13" s="1249"/>
      <c r="D13" s="60"/>
      <c r="E13" s="60"/>
      <c r="F13" s="60"/>
      <c r="G13" s="60"/>
      <c r="H13" s="60"/>
      <c r="I13" s="60"/>
      <c r="J13" s="1645">
        <v>0</v>
      </c>
      <c r="K13" s="60">
        <v>0</v>
      </c>
      <c r="L13" s="1645">
        <v>0</v>
      </c>
      <c r="M13" s="1645">
        <v>0</v>
      </c>
      <c r="N13" s="1645">
        <v>0</v>
      </c>
    </row>
    <row r="14" spans="3:14">
      <c r="C14" s="1250" t="s">
        <v>276</v>
      </c>
      <c r="D14" s="1251">
        <f>F821EVE!D14</f>
        <v>25243627</v>
      </c>
      <c r="E14" s="1251">
        <f>F821EVE!E14</f>
        <v>25925106</v>
      </c>
      <c r="F14" s="1251">
        <f>F821EVE!F14</f>
        <v>24949026</v>
      </c>
      <c r="G14" s="1251">
        <f>F821EVE!G14</f>
        <v>26314436</v>
      </c>
      <c r="H14" s="1251">
        <f>F821EVE!H14</f>
        <v>23633501</v>
      </c>
      <c r="I14" s="1251">
        <f>F821EVE!I14</f>
        <v>24604968</v>
      </c>
      <c r="J14" s="1987">
        <v>27097585</v>
      </c>
      <c r="K14" s="1251">
        <v>25496930</v>
      </c>
      <c r="L14" s="1987">
        <v>30331374</v>
      </c>
      <c r="M14" s="1987">
        <v>30049444</v>
      </c>
      <c r="N14" s="1987">
        <v>31402224</v>
      </c>
    </row>
    <row r="15" spans="3:14">
      <c r="C15" s="1249" t="s">
        <v>304</v>
      </c>
      <c r="D15" s="60">
        <f>F821EVE!D15</f>
        <v>25168167</v>
      </c>
      <c r="E15" s="60">
        <f>F821EVE!E15</f>
        <v>25811916</v>
      </c>
      <c r="F15" s="60">
        <f>F821EVE!F15</f>
        <v>24868736</v>
      </c>
      <c r="G15" s="60">
        <f>F821EVE!G15</f>
        <v>26256056</v>
      </c>
      <c r="H15" s="60">
        <f>F821EVE!H15</f>
        <v>23488041</v>
      </c>
      <c r="I15" s="60">
        <f>F821EVE!I15</f>
        <v>24459578</v>
      </c>
      <c r="J15" s="1645">
        <v>26851955</v>
      </c>
      <c r="K15" s="60">
        <v>25202160</v>
      </c>
      <c r="L15" s="1645">
        <v>29868954</v>
      </c>
      <c r="M15" s="1645">
        <v>29579744</v>
      </c>
      <c r="N15" s="1645">
        <v>30860914</v>
      </c>
    </row>
    <row r="16" spans="3:14">
      <c r="C16" s="1252" t="s">
        <v>306</v>
      </c>
      <c r="D16" s="60">
        <f>F821EVE!D16</f>
        <v>0</v>
      </c>
      <c r="E16" s="60">
        <f>F821EVE!E16</f>
        <v>0</v>
      </c>
      <c r="F16" s="60">
        <f>F821EVE!F16</f>
        <v>0</v>
      </c>
      <c r="G16" s="60">
        <f>F821EVE!G16</f>
        <v>0</v>
      </c>
      <c r="H16" s="60">
        <f>F821EVE!H16</f>
        <v>0</v>
      </c>
      <c r="I16" s="60">
        <f>F821EVE!I16</f>
        <v>0</v>
      </c>
      <c r="J16" s="1645">
        <v>0</v>
      </c>
      <c r="K16" s="60">
        <v>0</v>
      </c>
      <c r="L16" s="1645">
        <v>0</v>
      </c>
      <c r="M16" s="1645">
        <v>0</v>
      </c>
      <c r="N16" s="1645">
        <v>0</v>
      </c>
    </row>
    <row r="17" spans="3:14">
      <c r="C17" s="1249" t="s">
        <v>305</v>
      </c>
      <c r="D17" s="60">
        <f>F821EVE!D17</f>
        <v>75460</v>
      </c>
      <c r="E17" s="60">
        <f>F821EVE!E17</f>
        <v>113190</v>
      </c>
      <c r="F17" s="60">
        <f>F821EVE!F17</f>
        <v>80290</v>
      </c>
      <c r="G17" s="60">
        <f>F821EVE!G17</f>
        <v>58380</v>
      </c>
      <c r="H17" s="60">
        <f>F821EVE!H17</f>
        <v>145460</v>
      </c>
      <c r="I17" s="60">
        <f>F821EVE!I17</f>
        <v>145390</v>
      </c>
      <c r="J17" s="1645">
        <v>245630</v>
      </c>
      <c r="K17" s="60">
        <v>294770</v>
      </c>
      <c r="L17" s="1645">
        <v>462420</v>
      </c>
      <c r="M17" s="1645">
        <v>469700</v>
      </c>
      <c r="N17" s="1645">
        <v>541310</v>
      </c>
    </row>
    <row r="18" spans="3:14">
      <c r="C18" s="1249" t="s">
        <v>307</v>
      </c>
      <c r="D18" s="60">
        <f>F821EVE!D18</f>
        <v>0</v>
      </c>
      <c r="E18" s="60">
        <f>F821EVE!E18</f>
        <v>0</v>
      </c>
      <c r="F18" s="60">
        <f>F821EVE!F18</f>
        <v>0</v>
      </c>
      <c r="G18" s="60">
        <f>F821EVE!G18</f>
        <v>0</v>
      </c>
      <c r="H18" s="60">
        <f>F821EVE!H18</f>
        <v>0</v>
      </c>
      <c r="I18" s="60">
        <f>F821EVE!I18</f>
        <v>0</v>
      </c>
      <c r="J18" s="1645">
        <v>0</v>
      </c>
      <c r="K18" s="60">
        <v>0</v>
      </c>
      <c r="L18" s="1645">
        <v>0</v>
      </c>
      <c r="M18" s="1645">
        <v>0</v>
      </c>
      <c r="N18" s="1645">
        <v>0</v>
      </c>
    </row>
    <row r="19" spans="3:14">
      <c r="C19" s="37"/>
      <c r="D19" s="60"/>
      <c r="E19" s="60"/>
      <c r="F19" s="60"/>
      <c r="G19" s="60"/>
      <c r="H19" s="60"/>
      <c r="I19" s="60"/>
      <c r="J19" s="1645">
        <v>0</v>
      </c>
      <c r="K19" s="60">
        <v>0</v>
      </c>
      <c r="L19" s="1645">
        <v>0</v>
      </c>
      <c r="M19" s="1645">
        <v>0</v>
      </c>
      <c r="N19" s="1645">
        <v>0</v>
      </c>
    </row>
    <row r="20" spans="3:14">
      <c r="C20" s="52" t="s">
        <v>443</v>
      </c>
      <c r="D20" s="520">
        <f>F821EVE!D20</f>
        <v>228210534</v>
      </c>
      <c r="E20" s="520">
        <f>F821EVE!E20</f>
        <v>227500941</v>
      </c>
      <c r="F20" s="520">
        <f>F821EVE!F20</f>
        <v>223698465</v>
      </c>
      <c r="G20" s="520">
        <f>F821EVE!G20</f>
        <v>226161945</v>
      </c>
      <c r="H20" s="520">
        <f>F821EVE!H20</f>
        <v>216898637</v>
      </c>
      <c r="I20" s="520">
        <f>F821EVE!I20</f>
        <v>218225672</v>
      </c>
      <c r="J20" s="1644">
        <v>218554399</v>
      </c>
      <c r="K20" s="520">
        <v>206380662</v>
      </c>
      <c r="L20" s="1644">
        <v>233832835</v>
      </c>
      <c r="M20" s="1644">
        <v>243398621</v>
      </c>
      <c r="N20" s="1644">
        <v>248448751</v>
      </c>
    </row>
    <row r="21" spans="3:14">
      <c r="C21" s="1248" t="s">
        <v>275</v>
      </c>
      <c r="D21" s="60">
        <f>F821EVE!D21</f>
        <v>2796078</v>
      </c>
      <c r="E21" s="60">
        <f>F821EVE!E21</f>
        <v>2776295</v>
      </c>
      <c r="F21" s="60">
        <f>F821EVE!F21</f>
        <v>2745536</v>
      </c>
      <c r="G21" s="60">
        <f>F821EVE!G21</f>
        <v>2827585</v>
      </c>
      <c r="H21" s="60">
        <f>F821EVE!H21</f>
        <v>2788874</v>
      </c>
      <c r="I21" s="60">
        <f>F821EVE!I21</f>
        <v>2916840</v>
      </c>
      <c r="J21" s="1645">
        <v>3131165</v>
      </c>
      <c r="K21" s="60">
        <v>2806643</v>
      </c>
      <c r="L21" s="1645">
        <v>3175007</v>
      </c>
      <c r="M21" s="1645">
        <v>2870421</v>
      </c>
      <c r="N21" s="1645">
        <v>2771899</v>
      </c>
    </row>
    <row r="22" spans="3:14">
      <c r="C22" s="1249" t="s">
        <v>304</v>
      </c>
      <c r="D22" s="60">
        <f>F821EVE!D22</f>
        <v>2765289</v>
      </c>
      <c r="E22" s="60">
        <f>F821EVE!E22</f>
        <v>2756863</v>
      </c>
      <c r="F22" s="60">
        <f>F821EVE!F22</f>
        <v>2720916</v>
      </c>
      <c r="G22" s="60">
        <f>F821EVE!G22</f>
        <v>2801947</v>
      </c>
      <c r="H22" s="60">
        <f>F821EVE!H22</f>
        <v>2769333</v>
      </c>
      <c r="I22" s="60">
        <f>F821EVE!I22</f>
        <v>2892759</v>
      </c>
      <c r="J22" s="1645">
        <v>3109007</v>
      </c>
      <c r="K22" s="60">
        <v>2786010</v>
      </c>
      <c r="L22" s="1645">
        <v>3147814</v>
      </c>
      <c r="M22" s="1645">
        <v>2847795</v>
      </c>
      <c r="N22" s="1645">
        <v>2742696</v>
      </c>
    </row>
    <row r="23" spans="3:14">
      <c r="C23" s="1252" t="s">
        <v>306</v>
      </c>
      <c r="D23" s="60">
        <f>F821EVE!D23</f>
        <v>20229</v>
      </c>
      <c r="E23" s="60">
        <f>F821EVE!E23</f>
        <v>10632</v>
      </c>
      <c r="F23" s="60">
        <f>F821EVE!F23</f>
        <v>15660</v>
      </c>
      <c r="G23" s="60">
        <f>F821EVE!G23</f>
        <v>16358</v>
      </c>
      <c r="H23" s="60">
        <f>F821EVE!H23</f>
        <v>11381</v>
      </c>
      <c r="I23" s="60">
        <f>F821EVE!I23</f>
        <v>14961</v>
      </c>
      <c r="J23" s="1645">
        <v>13518</v>
      </c>
      <c r="K23" s="60">
        <v>12153</v>
      </c>
      <c r="L23" s="1645">
        <v>17593</v>
      </c>
      <c r="M23" s="1645">
        <v>14626</v>
      </c>
      <c r="N23" s="1645">
        <v>21203</v>
      </c>
    </row>
    <row r="24" spans="3:14">
      <c r="C24" s="1249" t="s">
        <v>305</v>
      </c>
      <c r="D24" s="60">
        <f>F821EVE!D24</f>
        <v>10560</v>
      </c>
      <c r="E24" s="60">
        <f>F821EVE!E24</f>
        <v>8800</v>
      </c>
      <c r="F24" s="60">
        <f>F821EVE!F24</f>
        <v>8960</v>
      </c>
      <c r="G24" s="60">
        <f>F821EVE!G24</f>
        <v>9280</v>
      </c>
      <c r="H24" s="60">
        <f>F821EVE!H24</f>
        <v>8160</v>
      </c>
      <c r="I24" s="60">
        <f>F821EVE!I24</f>
        <v>9120</v>
      </c>
      <c r="J24" s="1645">
        <v>8640</v>
      </c>
      <c r="K24" s="60">
        <v>8480</v>
      </c>
      <c r="L24" s="1645">
        <v>9600</v>
      </c>
      <c r="M24" s="1645">
        <v>8000</v>
      </c>
      <c r="N24" s="1645">
        <v>8000</v>
      </c>
    </row>
    <row r="25" spans="3:14">
      <c r="C25" s="1249"/>
      <c r="D25" s="60"/>
      <c r="E25" s="60"/>
      <c r="F25" s="60"/>
      <c r="G25" s="60"/>
      <c r="H25" s="60"/>
      <c r="I25" s="60"/>
      <c r="J25" s="1645">
        <v>0</v>
      </c>
      <c r="K25" s="60">
        <v>0</v>
      </c>
      <c r="L25" s="1645">
        <v>0</v>
      </c>
      <c r="M25" s="1645">
        <v>0</v>
      </c>
      <c r="N25" s="1645">
        <v>0</v>
      </c>
    </row>
    <row r="26" spans="3:14" s="200" customFormat="1">
      <c r="C26" s="1250" t="s">
        <v>1736</v>
      </c>
      <c r="D26" s="520">
        <f>F821EVE!D26</f>
        <v>60042933</v>
      </c>
      <c r="E26" s="520">
        <f>F821EVE!E26</f>
        <v>59582611</v>
      </c>
      <c r="F26" s="520">
        <f>F821EVE!F26</f>
        <v>57347048</v>
      </c>
      <c r="G26" s="520">
        <f>F821EVE!G26</f>
        <v>59528985</v>
      </c>
      <c r="H26" s="520">
        <f>F821EVE!H26</f>
        <v>56096582</v>
      </c>
      <c r="I26" s="520">
        <f>F821EVE!I26</f>
        <v>55882612</v>
      </c>
      <c r="J26" s="1644">
        <v>54044254</v>
      </c>
      <c r="K26" s="520">
        <v>51379039</v>
      </c>
      <c r="L26" s="1644">
        <v>59660181</v>
      </c>
      <c r="M26" s="1644">
        <v>60740515</v>
      </c>
      <c r="N26" s="1644">
        <v>62297043</v>
      </c>
    </row>
    <row r="27" spans="3:14">
      <c r="C27" s="1250" t="s">
        <v>627</v>
      </c>
      <c r="D27" s="1251">
        <f>F821EVE!D27</f>
        <v>34334070</v>
      </c>
      <c r="E27" s="1251">
        <f>F821EVE!E27</f>
        <v>34330691</v>
      </c>
      <c r="F27" s="1251">
        <f>F821EVE!F27</f>
        <v>33828732</v>
      </c>
      <c r="G27" s="1251">
        <f>F821EVE!G27</f>
        <v>34494381</v>
      </c>
      <c r="H27" s="1251">
        <f>F821EVE!H27</f>
        <v>33266304</v>
      </c>
      <c r="I27" s="1251">
        <f>F821EVE!I27</f>
        <v>33003360</v>
      </c>
      <c r="J27" s="1987">
        <v>32105147</v>
      </c>
      <c r="K27" s="1251">
        <v>31460161</v>
      </c>
      <c r="L27" s="1987">
        <v>34447167</v>
      </c>
      <c r="M27" s="1987">
        <v>35010195</v>
      </c>
      <c r="N27" s="1987">
        <v>35555686</v>
      </c>
    </row>
    <row r="28" spans="3:14">
      <c r="C28" s="1249" t="s">
        <v>304</v>
      </c>
      <c r="D28" s="60">
        <f>F821EVE!D28</f>
        <v>34263685</v>
      </c>
      <c r="E28" s="60">
        <f>F821EVE!E28</f>
        <v>34257922</v>
      </c>
      <c r="F28" s="60">
        <f>F821EVE!F28</f>
        <v>33747368</v>
      </c>
      <c r="G28" s="60">
        <f>F821EVE!G28</f>
        <v>34424513</v>
      </c>
      <c r="H28" s="60">
        <f>F821EVE!H28</f>
        <v>33198007</v>
      </c>
      <c r="I28" s="60">
        <f>F821EVE!I28</f>
        <v>32926402</v>
      </c>
      <c r="J28" s="1645">
        <v>32033007</v>
      </c>
      <c r="K28" s="60">
        <v>31374790</v>
      </c>
      <c r="L28" s="1645">
        <v>34354399</v>
      </c>
      <c r="M28" s="1645">
        <v>34904052</v>
      </c>
      <c r="N28" s="1645">
        <v>35452714</v>
      </c>
    </row>
    <row r="29" spans="3:14">
      <c r="C29" s="1252" t="s">
        <v>628</v>
      </c>
      <c r="D29" s="60">
        <f>F821EVE!D29</f>
        <v>3600</v>
      </c>
      <c r="E29" s="60">
        <f>F821EVE!E29</f>
        <v>3600</v>
      </c>
      <c r="F29" s="60">
        <f>F821EVE!F29</f>
        <v>4200</v>
      </c>
      <c r="G29" s="60">
        <f>F821EVE!G29</f>
        <v>4200</v>
      </c>
      <c r="H29" s="60">
        <f>F821EVE!H29</f>
        <v>4200</v>
      </c>
      <c r="I29" s="60">
        <f>F821EVE!I29</f>
        <v>3600</v>
      </c>
      <c r="J29" s="1645">
        <v>3600</v>
      </c>
      <c r="K29" s="60">
        <v>3640</v>
      </c>
      <c r="L29" s="1645">
        <v>4800</v>
      </c>
      <c r="M29" s="1645">
        <v>4800</v>
      </c>
      <c r="N29" s="1645">
        <v>4800</v>
      </c>
    </row>
    <row r="30" spans="3:14">
      <c r="C30" s="1252" t="s">
        <v>629</v>
      </c>
      <c r="D30" s="60">
        <f>F821EVE!D30</f>
        <v>15028</v>
      </c>
      <c r="E30" s="60">
        <f>F821EVE!E30</f>
        <v>16331</v>
      </c>
      <c r="F30" s="60">
        <f>F821EVE!F30</f>
        <v>16205</v>
      </c>
      <c r="G30" s="60">
        <f>F821EVE!G30</f>
        <v>15146</v>
      </c>
      <c r="H30" s="60">
        <f>F821EVE!H30</f>
        <v>14956</v>
      </c>
      <c r="I30" s="60">
        <f>F821EVE!I30</f>
        <v>15574</v>
      </c>
      <c r="J30" s="1645">
        <v>16272</v>
      </c>
      <c r="K30" s="60">
        <v>14593</v>
      </c>
      <c r="L30" s="1645">
        <v>26920</v>
      </c>
      <c r="M30" s="1645">
        <v>31995</v>
      </c>
      <c r="N30" s="1645">
        <v>31883</v>
      </c>
    </row>
    <row r="31" spans="3:14">
      <c r="C31" s="1249" t="s">
        <v>305</v>
      </c>
      <c r="D31" s="60">
        <f>F821EVE!D31</f>
        <v>38160</v>
      </c>
      <c r="E31" s="60">
        <f>F821EVE!E31</f>
        <v>40000</v>
      </c>
      <c r="F31" s="60">
        <f>F821EVE!F31</f>
        <v>47480</v>
      </c>
      <c r="G31" s="60">
        <f>F821EVE!G31</f>
        <v>37240</v>
      </c>
      <c r="H31" s="60">
        <f>F821EVE!H31</f>
        <v>36840</v>
      </c>
      <c r="I31" s="60">
        <f>F821EVE!I31</f>
        <v>46002</v>
      </c>
      <c r="J31" s="1645">
        <v>40069</v>
      </c>
      <c r="K31" s="60">
        <v>54171</v>
      </c>
      <c r="L31" s="1645">
        <v>45894</v>
      </c>
      <c r="M31" s="1645">
        <v>53044</v>
      </c>
      <c r="N31" s="1645">
        <v>51101</v>
      </c>
    </row>
    <row r="32" spans="3:14">
      <c r="C32" s="1249" t="s">
        <v>307</v>
      </c>
      <c r="D32" s="60">
        <f>F821EVE!D32</f>
        <v>7280</v>
      </c>
      <c r="E32" s="60">
        <f>F821EVE!E32</f>
        <v>6480</v>
      </c>
      <c r="F32" s="60">
        <f>F821EVE!F32</f>
        <v>7840</v>
      </c>
      <c r="G32" s="60">
        <f>F821EVE!G32</f>
        <v>7920</v>
      </c>
      <c r="H32" s="60">
        <f>F821EVE!H32</f>
        <v>6960</v>
      </c>
      <c r="I32" s="60">
        <f>F821EVE!I32</f>
        <v>6160</v>
      </c>
      <c r="J32" s="1645">
        <v>6800</v>
      </c>
      <c r="K32" s="60">
        <v>6560</v>
      </c>
      <c r="L32" s="1645">
        <v>7520</v>
      </c>
      <c r="M32" s="1645">
        <v>7280</v>
      </c>
      <c r="N32" s="1645">
        <v>6240</v>
      </c>
    </row>
    <row r="33" spans="3:14">
      <c r="C33" s="1249" t="s">
        <v>624</v>
      </c>
      <c r="D33" s="60">
        <f>F821EVE!D33</f>
        <v>6317</v>
      </c>
      <c r="E33" s="60">
        <f>F821EVE!E33</f>
        <v>6358</v>
      </c>
      <c r="F33" s="60">
        <f>F821EVE!F33</f>
        <v>5639</v>
      </c>
      <c r="G33" s="60">
        <f>F821EVE!G33</f>
        <v>5362</v>
      </c>
      <c r="H33" s="60">
        <f>F821EVE!H33</f>
        <v>5341</v>
      </c>
      <c r="I33" s="60">
        <f>F821EVE!I33</f>
        <v>5622</v>
      </c>
      <c r="J33" s="1645">
        <v>5399</v>
      </c>
      <c r="K33" s="60">
        <v>6407</v>
      </c>
      <c r="L33" s="1645">
        <v>7634</v>
      </c>
      <c r="M33" s="1645">
        <v>9024</v>
      </c>
      <c r="N33" s="1645">
        <v>8948</v>
      </c>
    </row>
    <row r="34" spans="3:14">
      <c r="C34" s="1250" t="s">
        <v>631</v>
      </c>
      <c r="D34" s="1251">
        <f>F821EVE!D34</f>
        <v>16004005</v>
      </c>
      <c r="E34" s="1251">
        <f>F821EVE!E34</f>
        <v>16110147</v>
      </c>
      <c r="F34" s="1251">
        <f>F821EVE!F34</f>
        <v>15390233</v>
      </c>
      <c r="G34" s="1251">
        <f>F821EVE!G34</f>
        <v>15939543</v>
      </c>
      <c r="H34" s="1251">
        <f>F821EVE!H34</f>
        <v>14785467</v>
      </c>
      <c r="I34" s="1251">
        <f>F821EVE!I34</f>
        <v>14525276</v>
      </c>
      <c r="J34" s="1987">
        <v>14127762</v>
      </c>
      <c r="K34" s="1251">
        <v>13213517</v>
      </c>
      <c r="L34" s="1987">
        <v>16166364</v>
      </c>
      <c r="M34" s="1987">
        <v>16708255</v>
      </c>
      <c r="N34" s="1987">
        <v>17309065</v>
      </c>
    </row>
    <row r="35" spans="3:14">
      <c r="C35" s="1249" t="s">
        <v>304</v>
      </c>
      <c r="D35" s="60">
        <f>F821EVE!D35</f>
        <v>15993765</v>
      </c>
      <c r="E35" s="60">
        <f>F821EVE!E35</f>
        <v>16100147</v>
      </c>
      <c r="F35" s="60">
        <f>F821EVE!F35</f>
        <v>15380073</v>
      </c>
      <c r="G35" s="60">
        <f>F821EVE!G35</f>
        <v>15926103</v>
      </c>
      <c r="H35" s="60">
        <f>F821EVE!H35</f>
        <v>14777947</v>
      </c>
      <c r="I35" s="60">
        <f>F821EVE!I35</f>
        <v>14507996</v>
      </c>
      <c r="J35" s="1645">
        <v>14117202</v>
      </c>
      <c r="K35" s="60">
        <v>13204477</v>
      </c>
      <c r="L35" s="1645">
        <v>16147324</v>
      </c>
      <c r="M35" s="1645">
        <v>16689079</v>
      </c>
      <c r="N35" s="1645">
        <v>17290025</v>
      </c>
    </row>
    <row r="36" spans="3:14">
      <c r="C36" s="1252" t="s">
        <v>306</v>
      </c>
      <c r="D36" s="60"/>
      <c r="E36" s="60"/>
      <c r="F36" s="60"/>
      <c r="G36" s="60"/>
      <c r="H36" s="60"/>
      <c r="I36" s="60"/>
      <c r="J36" s="1645">
        <v>0</v>
      </c>
      <c r="K36" s="60">
        <v>0</v>
      </c>
      <c r="L36" s="1645">
        <v>0</v>
      </c>
      <c r="M36" s="1645">
        <v>296</v>
      </c>
      <c r="N36" s="1645">
        <v>0</v>
      </c>
    </row>
    <row r="37" spans="3:14">
      <c r="C37" s="1249" t="s">
        <v>305</v>
      </c>
      <c r="D37" s="60">
        <f>F821EVE!D37</f>
        <v>10240</v>
      </c>
      <c r="E37" s="60">
        <f>F821EVE!E37</f>
        <v>10000</v>
      </c>
      <c r="F37" s="60">
        <f>F821EVE!F37</f>
        <v>10160</v>
      </c>
      <c r="G37" s="60">
        <f>F821EVE!G37</f>
        <v>13440</v>
      </c>
      <c r="H37" s="60">
        <f>F821EVE!H37</f>
        <v>7520</v>
      </c>
      <c r="I37" s="60">
        <f>F821EVE!I37</f>
        <v>17280</v>
      </c>
      <c r="J37" s="1645">
        <v>10560</v>
      </c>
      <c r="K37" s="60">
        <v>9040</v>
      </c>
      <c r="L37" s="1645">
        <v>19040</v>
      </c>
      <c r="M37" s="1645">
        <v>18880</v>
      </c>
      <c r="N37" s="1645">
        <v>19040</v>
      </c>
    </row>
    <row r="38" spans="3:14">
      <c r="C38" s="1249" t="s">
        <v>307</v>
      </c>
      <c r="D38" s="60"/>
      <c r="E38" s="60"/>
      <c r="F38" s="60"/>
      <c r="G38" s="60"/>
      <c r="H38" s="60"/>
      <c r="I38" s="60"/>
      <c r="J38" s="1645">
        <v>0</v>
      </c>
      <c r="K38" s="60">
        <v>0</v>
      </c>
      <c r="L38" s="1645">
        <v>0</v>
      </c>
      <c r="M38" s="1645">
        <v>0</v>
      </c>
      <c r="N38" s="1645">
        <v>0</v>
      </c>
    </row>
    <row r="39" spans="3:14">
      <c r="C39" s="1250" t="s">
        <v>632</v>
      </c>
      <c r="D39" s="1251">
        <f>F821EVE!D39</f>
        <v>4727898</v>
      </c>
      <c r="E39" s="1251">
        <f>F821EVE!E39</f>
        <v>4557000</v>
      </c>
      <c r="F39" s="1251">
        <f>F821EVE!F39</f>
        <v>4181320</v>
      </c>
      <c r="G39" s="1251">
        <f>F821EVE!G39</f>
        <v>4573059</v>
      </c>
      <c r="H39" s="1251">
        <f>F821EVE!H39</f>
        <v>3941698</v>
      </c>
      <c r="I39" s="1251">
        <f>F821EVE!I39</f>
        <v>4113628</v>
      </c>
      <c r="J39" s="1987">
        <v>4006156</v>
      </c>
      <c r="K39" s="1251">
        <v>3421948</v>
      </c>
      <c r="L39" s="1987">
        <v>4529725</v>
      </c>
      <c r="M39" s="1987">
        <v>4691337</v>
      </c>
      <c r="N39" s="1987">
        <v>4844329</v>
      </c>
    </row>
    <row r="40" spans="3:14">
      <c r="C40" s="1249" t="s">
        <v>304</v>
      </c>
      <c r="D40" s="60">
        <f>F821EVE!D40</f>
        <v>4727898</v>
      </c>
      <c r="E40" s="60">
        <f>F821EVE!E40</f>
        <v>4557000</v>
      </c>
      <c r="F40" s="60">
        <f>F821EVE!F40</f>
        <v>4181320</v>
      </c>
      <c r="G40" s="60">
        <f>F821EVE!G40</f>
        <v>4573059</v>
      </c>
      <c r="H40" s="60">
        <f>F821EVE!H40</f>
        <v>3941698</v>
      </c>
      <c r="I40" s="60">
        <f>F821EVE!I40</f>
        <v>4113628</v>
      </c>
      <c r="J40" s="1645">
        <v>4006156</v>
      </c>
      <c r="K40" s="60">
        <v>3421948</v>
      </c>
      <c r="L40" s="1645">
        <v>4529725</v>
      </c>
      <c r="M40" s="1645">
        <v>4691337</v>
      </c>
      <c r="N40" s="1645">
        <v>4844329</v>
      </c>
    </row>
    <row r="41" spans="3:14">
      <c r="C41" s="1252" t="s">
        <v>306</v>
      </c>
      <c r="D41" s="60"/>
      <c r="E41" s="60"/>
      <c r="F41" s="60"/>
      <c r="G41" s="60"/>
      <c r="H41" s="60"/>
      <c r="I41" s="60"/>
      <c r="J41" s="1645">
        <v>0</v>
      </c>
      <c r="K41" s="60">
        <v>0</v>
      </c>
      <c r="L41" s="1645">
        <v>0</v>
      </c>
      <c r="M41" s="1645">
        <v>0</v>
      </c>
      <c r="N41" s="1645">
        <v>0</v>
      </c>
    </row>
    <row r="42" spans="3:14">
      <c r="C42" s="1249" t="s">
        <v>305</v>
      </c>
      <c r="D42" s="60"/>
      <c r="E42" s="60"/>
      <c r="F42" s="60"/>
      <c r="G42" s="60"/>
      <c r="H42" s="60"/>
      <c r="I42" s="60"/>
      <c r="J42" s="1645">
        <v>0</v>
      </c>
      <c r="K42" s="60">
        <v>0</v>
      </c>
      <c r="L42" s="1645">
        <v>0</v>
      </c>
      <c r="M42" s="1645">
        <v>0</v>
      </c>
      <c r="N42" s="1645">
        <v>0</v>
      </c>
    </row>
    <row r="43" spans="3:14">
      <c r="C43" s="1249" t="s">
        <v>307</v>
      </c>
      <c r="D43" s="60"/>
      <c r="E43" s="60"/>
      <c r="F43" s="60"/>
      <c r="G43" s="60"/>
      <c r="H43" s="60"/>
      <c r="I43" s="60"/>
      <c r="J43" s="1645">
        <v>0</v>
      </c>
      <c r="K43" s="60">
        <v>0</v>
      </c>
      <c r="L43" s="1645">
        <v>0</v>
      </c>
      <c r="M43" s="1645">
        <v>0</v>
      </c>
      <c r="N43" s="1645">
        <v>0</v>
      </c>
    </row>
    <row r="44" spans="3:14">
      <c r="C44" s="1250" t="s">
        <v>633</v>
      </c>
      <c r="D44" s="1251">
        <f>F821EVE!D44</f>
        <v>4976960</v>
      </c>
      <c r="E44" s="1251">
        <f>F821EVE!E44</f>
        <v>4584773</v>
      </c>
      <c r="F44" s="1251">
        <f>F821EVE!F44</f>
        <v>3946763</v>
      </c>
      <c r="G44" s="1251">
        <f>F821EVE!G44</f>
        <v>4522002</v>
      </c>
      <c r="H44" s="1251">
        <f>F821EVE!H44</f>
        <v>4103113</v>
      </c>
      <c r="I44" s="1251">
        <f>F821EVE!I44</f>
        <v>4240348</v>
      </c>
      <c r="J44" s="1987">
        <v>3805189</v>
      </c>
      <c r="K44" s="1251">
        <v>3283413</v>
      </c>
      <c r="L44" s="1987">
        <v>4516925</v>
      </c>
      <c r="M44" s="1987">
        <v>4330728</v>
      </c>
      <c r="N44" s="1987">
        <v>4587963</v>
      </c>
    </row>
    <row r="45" spans="3:14">
      <c r="C45" s="1249" t="s">
        <v>304</v>
      </c>
      <c r="D45" s="60">
        <f>F821EVE!D45</f>
        <v>4976960</v>
      </c>
      <c r="E45" s="60">
        <f>F821EVE!E45</f>
        <v>4584773</v>
      </c>
      <c r="F45" s="60">
        <f>F821EVE!F45</f>
        <v>3946763</v>
      </c>
      <c r="G45" s="60">
        <f>F821EVE!G45</f>
        <v>4522002</v>
      </c>
      <c r="H45" s="60">
        <f>F821EVE!H45</f>
        <v>4103113</v>
      </c>
      <c r="I45" s="60">
        <f>F821EVE!I45</f>
        <v>4240348</v>
      </c>
      <c r="J45" s="1645">
        <v>3805189</v>
      </c>
      <c r="K45" s="60">
        <v>3283413</v>
      </c>
      <c r="L45" s="1645">
        <v>4516925</v>
      </c>
      <c r="M45" s="1645">
        <v>4330728</v>
      </c>
      <c r="N45" s="1645">
        <v>4587963</v>
      </c>
    </row>
    <row r="46" spans="3:14">
      <c r="C46" s="1252" t="s">
        <v>306</v>
      </c>
      <c r="D46" s="60"/>
      <c r="E46" s="60"/>
      <c r="F46" s="60"/>
      <c r="G46" s="60"/>
      <c r="H46" s="60"/>
      <c r="I46" s="60"/>
      <c r="J46" s="1645">
        <v>0</v>
      </c>
      <c r="K46" s="60">
        <v>0</v>
      </c>
      <c r="L46" s="1645">
        <v>0</v>
      </c>
      <c r="M46" s="1645">
        <v>0</v>
      </c>
      <c r="N46" s="1645">
        <v>0</v>
      </c>
    </row>
    <row r="47" spans="3:14">
      <c r="C47" s="1249" t="s">
        <v>305</v>
      </c>
      <c r="D47" s="60"/>
      <c r="E47" s="60"/>
      <c r="F47" s="60"/>
      <c r="G47" s="60"/>
      <c r="H47" s="60"/>
      <c r="I47" s="60"/>
      <c r="J47" s="1645">
        <v>0</v>
      </c>
      <c r="K47" s="60">
        <v>0</v>
      </c>
      <c r="L47" s="1645">
        <v>0</v>
      </c>
      <c r="M47" s="1645">
        <v>0</v>
      </c>
      <c r="N47" s="1645">
        <v>0</v>
      </c>
    </row>
    <row r="48" spans="3:14">
      <c r="C48" s="1249" t="s">
        <v>307</v>
      </c>
      <c r="D48" s="60"/>
      <c r="E48" s="60"/>
      <c r="F48" s="60"/>
      <c r="G48" s="60"/>
      <c r="H48" s="60"/>
      <c r="I48" s="60"/>
      <c r="J48" s="1645">
        <v>0</v>
      </c>
      <c r="K48" s="60">
        <v>0</v>
      </c>
      <c r="L48" s="1645">
        <v>0</v>
      </c>
      <c r="M48" s="1645">
        <v>0</v>
      </c>
      <c r="N48" s="1645">
        <v>0</v>
      </c>
    </row>
    <row r="49" spans="3:14">
      <c r="C49" s="37"/>
      <c r="D49" s="60"/>
      <c r="E49" s="60"/>
      <c r="F49" s="60"/>
      <c r="G49" s="60"/>
      <c r="H49" s="60"/>
      <c r="I49" s="60"/>
      <c r="J49" s="1645">
        <v>0</v>
      </c>
      <c r="K49" s="60">
        <v>0</v>
      </c>
      <c r="L49" s="1645">
        <v>0</v>
      </c>
      <c r="M49" s="1645">
        <v>0</v>
      </c>
      <c r="N49" s="1645">
        <v>0</v>
      </c>
    </row>
    <row r="50" spans="3:14">
      <c r="C50" s="1250" t="s">
        <v>1176</v>
      </c>
      <c r="D50" s="1251">
        <f>F821EVE!D50</f>
        <v>0</v>
      </c>
      <c r="E50" s="1251">
        <f>F821EVE!E50</f>
        <v>0</v>
      </c>
      <c r="F50" s="1251">
        <f>F821EVE!F50</f>
        <v>0</v>
      </c>
      <c r="G50" s="1251">
        <f>F821EVE!G50</f>
        <v>0</v>
      </c>
      <c r="H50" s="1251">
        <f>F821EVE!H50</f>
        <v>0</v>
      </c>
      <c r="I50" s="1251">
        <f>F821EVE!I50</f>
        <v>0</v>
      </c>
      <c r="J50" s="1987">
        <v>0</v>
      </c>
      <c r="K50" s="1251">
        <v>0</v>
      </c>
      <c r="L50" s="1987">
        <v>0</v>
      </c>
      <c r="M50" s="1987">
        <v>0</v>
      </c>
      <c r="N50" s="1987">
        <v>0</v>
      </c>
    </row>
    <row r="51" spans="3:14">
      <c r="C51" s="1249" t="s">
        <v>304</v>
      </c>
      <c r="D51" s="60">
        <f>F821EVE!D51</f>
        <v>0</v>
      </c>
      <c r="E51" s="60">
        <f>F821EVE!E51</f>
        <v>0</v>
      </c>
      <c r="F51" s="60">
        <f>F821EVE!F51</f>
        <v>0</v>
      </c>
      <c r="G51" s="60">
        <f>F821EVE!G51</f>
        <v>0</v>
      </c>
      <c r="H51" s="60">
        <f>F821EVE!H51</f>
        <v>0</v>
      </c>
      <c r="I51" s="60">
        <f>F821EVE!I51</f>
        <v>0</v>
      </c>
      <c r="J51" s="1645">
        <v>0</v>
      </c>
      <c r="K51" s="60">
        <v>0</v>
      </c>
      <c r="L51" s="1645">
        <v>0</v>
      </c>
      <c r="M51" s="1645">
        <v>0</v>
      </c>
      <c r="N51" s="1645">
        <v>0</v>
      </c>
    </row>
    <row r="52" spans="3:14">
      <c r="C52" s="1253" t="s">
        <v>642</v>
      </c>
      <c r="D52" s="60">
        <f>F821EVE!D52</f>
        <v>0</v>
      </c>
      <c r="E52" s="60">
        <f>F821EVE!E52</f>
        <v>0</v>
      </c>
      <c r="F52" s="60">
        <f>F821EVE!F52</f>
        <v>0</v>
      </c>
      <c r="G52" s="60">
        <f>F821EVE!G52</f>
        <v>0</v>
      </c>
      <c r="H52" s="60">
        <f>F821EVE!H52</f>
        <v>0</v>
      </c>
      <c r="I52" s="60">
        <f>F821EVE!I52</f>
        <v>0</v>
      </c>
      <c r="J52" s="1645">
        <v>0</v>
      </c>
      <c r="K52" s="60">
        <v>0</v>
      </c>
      <c r="L52" s="1645">
        <v>0</v>
      </c>
      <c r="M52" s="1645">
        <v>0</v>
      </c>
      <c r="N52" s="1645">
        <v>0</v>
      </c>
    </row>
    <row r="53" spans="3:14">
      <c r="C53" s="1253" t="s">
        <v>1177</v>
      </c>
      <c r="D53" s="60">
        <f>F821EVE!D53</f>
        <v>0</v>
      </c>
      <c r="E53" s="60">
        <f>F821EVE!E53</f>
        <v>0</v>
      </c>
      <c r="F53" s="60">
        <f>F821EVE!F53</f>
        <v>0</v>
      </c>
      <c r="G53" s="60">
        <f>F821EVE!G53</f>
        <v>0</v>
      </c>
      <c r="H53" s="60">
        <f>F821EVE!H53</f>
        <v>0</v>
      </c>
      <c r="I53" s="60">
        <f>F821EVE!I53</f>
        <v>0</v>
      </c>
      <c r="J53" s="1645">
        <v>0</v>
      </c>
      <c r="K53" s="60">
        <v>0</v>
      </c>
      <c r="L53" s="1645">
        <v>0</v>
      </c>
      <c r="M53" s="1645">
        <v>0</v>
      </c>
      <c r="N53" s="1645">
        <v>0</v>
      </c>
    </row>
    <row r="54" spans="3:14">
      <c r="C54" s="1249" t="s">
        <v>305</v>
      </c>
      <c r="D54" s="60">
        <f>F821EVE!D54</f>
        <v>0</v>
      </c>
      <c r="E54" s="60">
        <f>F821EVE!E54</f>
        <v>0</v>
      </c>
      <c r="F54" s="60">
        <f>F821EVE!F54</f>
        <v>0</v>
      </c>
      <c r="G54" s="60">
        <f>F821EVE!G54</f>
        <v>0</v>
      </c>
      <c r="H54" s="60">
        <f>F821EVE!H54</f>
        <v>0</v>
      </c>
      <c r="I54" s="60">
        <f>F821EVE!I54</f>
        <v>0</v>
      </c>
      <c r="J54" s="1645">
        <v>0</v>
      </c>
      <c r="K54" s="60">
        <v>0</v>
      </c>
      <c r="L54" s="1645">
        <v>0</v>
      </c>
      <c r="M54" s="1645">
        <v>0</v>
      </c>
      <c r="N54" s="1645">
        <v>0</v>
      </c>
    </row>
    <row r="55" spans="3:14">
      <c r="C55" s="1249" t="s">
        <v>307</v>
      </c>
      <c r="D55" s="60">
        <f>F821EVE!D55</f>
        <v>0</v>
      </c>
      <c r="E55" s="60">
        <f>F821EVE!E55</f>
        <v>0</v>
      </c>
      <c r="F55" s="60">
        <f>F821EVE!F55</f>
        <v>0</v>
      </c>
      <c r="G55" s="60">
        <f>F821EVE!G55</f>
        <v>0</v>
      </c>
      <c r="H55" s="60">
        <f>F821EVE!H55</f>
        <v>0</v>
      </c>
      <c r="I55" s="60">
        <f>F821EVE!I55</f>
        <v>0</v>
      </c>
      <c r="J55" s="1645">
        <v>0</v>
      </c>
      <c r="K55" s="60">
        <v>0</v>
      </c>
      <c r="L55" s="1645">
        <v>0</v>
      </c>
      <c r="M55" s="1645">
        <v>0</v>
      </c>
      <c r="N55" s="1645">
        <v>0</v>
      </c>
    </row>
    <row r="56" spans="3:14">
      <c r="C56" s="1249" t="s">
        <v>624</v>
      </c>
      <c r="D56" s="60">
        <f>F821EVE!D56</f>
        <v>0</v>
      </c>
      <c r="E56" s="60">
        <f>F821EVE!E56</f>
        <v>0</v>
      </c>
      <c r="F56" s="60">
        <f>F821EVE!F56</f>
        <v>0</v>
      </c>
      <c r="G56" s="60">
        <f>F821EVE!G56</f>
        <v>0</v>
      </c>
      <c r="H56" s="60">
        <f>F821EVE!H56</f>
        <v>0</v>
      </c>
      <c r="I56" s="60">
        <f>F821EVE!I56</f>
        <v>0</v>
      </c>
      <c r="J56" s="1645">
        <v>0</v>
      </c>
      <c r="K56" s="60">
        <v>0</v>
      </c>
      <c r="L56" s="1645">
        <v>0</v>
      </c>
      <c r="M56" s="1645">
        <v>0</v>
      </c>
      <c r="N56" s="1645">
        <v>0</v>
      </c>
    </row>
    <row r="57" spans="3:14">
      <c r="C57" s="1249"/>
      <c r="D57" s="60"/>
      <c r="E57" s="60"/>
      <c r="F57" s="60"/>
      <c r="G57" s="60"/>
      <c r="H57" s="60"/>
      <c r="I57" s="60"/>
      <c r="J57" s="1645">
        <v>0</v>
      </c>
      <c r="K57" s="60">
        <v>0</v>
      </c>
      <c r="L57" s="1645">
        <v>0</v>
      </c>
      <c r="M57" s="1645">
        <v>0</v>
      </c>
      <c r="N57" s="1645">
        <v>0</v>
      </c>
    </row>
    <row r="58" spans="3:14">
      <c r="C58" s="1248" t="s">
        <v>774</v>
      </c>
      <c r="D58" s="520">
        <f>F821EVE!D58</f>
        <v>165371523</v>
      </c>
      <c r="E58" s="520">
        <f>F821EVE!E58</f>
        <v>165142035</v>
      </c>
      <c r="F58" s="520">
        <f>F821EVE!F58</f>
        <v>163605881</v>
      </c>
      <c r="G58" s="520">
        <f>F821EVE!G58</f>
        <v>163805375</v>
      </c>
      <c r="H58" s="520">
        <f>F821EVE!H58</f>
        <v>158013181</v>
      </c>
      <c r="I58" s="520">
        <f>F821EVE!I58</f>
        <v>159426220</v>
      </c>
      <c r="J58" s="1644">
        <v>161378980</v>
      </c>
      <c r="K58" s="520">
        <v>152194980</v>
      </c>
      <c r="L58" s="1644">
        <v>170997647</v>
      </c>
      <c r="M58" s="1644">
        <v>179787685</v>
      </c>
      <c r="N58" s="1644">
        <v>183379809</v>
      </c>
    </row>
    <row r="59" spans="3:14">
      <c r="C59" s="1250" t="s">
        <v>1739</v>
      </c>
      <c r="D59" s="1251">
        <f>F821EVE!D59</f>
        <v>4223664</v>
      </c>
      <c r="E59" s="1251">
        <f>F821EVE!E59</f>
        <v>4219992</v>
      </c>
      <c r="F59" s="1251">
        <f>F821EVE!F59</f>
        <v>4221318</v>
      </c>
      <c r="G59" s="1251">
        <f>F821EVE!G59</f>
        <v>4217384</v>
      </c>
      <c r="H59" s="1251">
        <f>F821EVE!H59</f>
        <v>4219958</v>
      </c>
      <c r="I59" s="1251">
        <f>F821EVE!I59</f>
        <v>4218936</v>
      </c>
      <c r="J59" s="1987">
        <v>4226219</v>
      </c>
      <c r="K59" s="1251">
        <v>4217078</v>
      </c>
      <c r="L59" s="1987">
        <v>4222001</v>
      </c>
      <c r="M59" s="1987">
        <v>4222487</v>
      </c>
      <c r="N59" s="1987">
        <v>4223425</v>
      </c>
    </row>
    <row r="60" spans="3:14">
      <c r="C60" s="1249" t="s">
        <v>304</v>
      </c>
      <c r="D60" s="60">
        <f>F821EVE!D60</f>
        <v>2825213</v>
      </c>
      <c r="E60" s="60">
        <f>F821EVE!E60</f>
        <v>2819541</v>
      </c>
      <c r="F60" s="60">
        <f>F821EVE!F60</f>
        <v>2818140</v>
      </c>
      <c r="G60" s="60">
        <f>F821EVE!G60</f>
        <v>2812904</v>
      </c>
      <c r="H60" s="60">
        <f>F821EVE!H60</f>
        <v>2810994</v>
      </c>
      <c r="I60" s="60">
        <f>F821EVE!I60</f>
        <v>2807362</v>
      </c>
      <c r="J60" s="1645">
        <v>2832594</v>
      </c>
      <c r="K60" s="60">
        <v>2898170</v>
      </c>
      <c r="L60" s="1645">
        <v>2930558</v>
      </c>
      <c r="M60" s="1645">
        <v>2925077</v>
      </c>
      <c r="N60" s="1645">
        <v>2917455</v>
      </c>
    </row>
    <row r="61" spans="3:14">
      <c r="C61" s="1252" t="s">
        <v>306</v>
      </c>
      <c r="D61" s="60">
        <f>F821EVE!D61</f>
        <v>1398131</v>
      </c>
      <c r="E61" s="60">
        <f>F821EVE!E61</f>
        <v>1400128</v>
      </c>
      <c r="F61" s="60">
        <f>F821EVE!F61</f>
        <v>1402862</v>
      </c>
      <c r="G61" s="60">
        <f>F821EVE!G61</f>
        <v>1404164</v>
      </c>
      <c r="H61" s="60">
        <f>F821EVE!H61</f>
        <v>1408639</v>
      </c>
      <c r="I61" s="60">
        <f>F821EVE!I61</f>
        <v>1411257</v>
      </c>
      <c r="J61" s="1645">
        <v>1393307</v>
      </c>
      <c r="K61" s="60">
        <v>1318598</v>
      </c>
      <c r="L61" s="1645">
        <v>1291133</v>
      </c>
      <c r="M61" s="1645">
        <v>1297100</v>
      </c>
      <c r="N61" s="1645">
        <v>1305660</v>
      </c>
    </row>
    <row r="62" spans="3:14">
      <c r="C62" s="1249" t="s">
        <v>305</v>
      </c>
      <c r="D62" s="60">
        <f>F821EVE!D62</f>
        <v>210</v>
      </c>
      <c r="E62" s="60">
        <f>F821EVE!E62</f>
        <v>203</v>
      </c>
      <c r="F62" s="60">
        <f>F821EVE!F62</f>
        <v>196</v>
      </c>
      <c r="G62" s="60">
        <f>F821EVE!G62</f>
        <v>186</v>
      </c>
      <c r="H62" s="60">
        <f>F821EVE!H62</f>
        <v>195</v>
      </c>
      <c r="I62" s="60">
        <f>F821EVE!I62</f>
        <v>187</v>
      </c>
      <c r="J62" s="1645">
        <v>188</v>
      </c>
      <c r="K62" s="60">
        <v>180</v>
      </c>
      <c r="L62" s="1645">
        <v>180</v>
      </c>
      <c r="M62" s="1645">
        <v>180</v>
      </c>
      <c r="N62" s="1645">
        <v>180</v>
      </c>
    </row>
    <row r="63" spans="3:14">
      <c r="C63" s="1249" t="s">
        <v>307</v>
      </c>
      <c r="D63" s="60">
        <f>F821EVE!D63</f>
        <v>10</v>
      </c>
      <c r="E63" s="60">
        <f>F821EVE!E63</f>
        <v>10</v>
      </c>
      <c r="F63" s="60">
        <f>F821EVE!F63</f>
        <v>10</v>
      </c>
      <c r="G63" s="60">
        <f>F821EVE!G63</f>
        <v>20</v>
      </c>
      <c r="H63" s="60">
        <f>F821EVE!H63</f>
        <v>20</v>
      </c>
      <c r="I63" s="60">
        <f>F821EVE!I63</f>
        <v>20</v>
      </c>
      <c r="J63" s="1645">
        <v>20</v>
      </c>
      <c r="K63" s="60">
        <v>20</v>
      </c>
      <c r="L63" s="1645">
        <v>20</v>
      </c>
      <c r="M63" s="1645">
        <v>20</v>
      </c>
      <c r="N63" s="1645">
        <v>20</v>
      </c>
    </row>
    <row r="64" spans="3:14">
      <c r="C64" s="1249" t="s">
        <v>624</v>
      </c>
      <c r="D64" s="60">
        <f>F821EVE!D64</f>
        <v>100</v>
      </c>
      <c r="E64" s="60">
        <f>F821EVE!E64</f>
        <v>110</v>
      </c>
      <c r="F64" s="60">
        <f>F821EVE!F64</f>
        <v>110</v>
      </c>
      <c r="G64" s="60">
        <f>F821EVE!G64</f>
        <v>110</v>
      </c>
      <c r="H64" s="60">
        <f>F821EVE!H64</f>
        <v>110</v>
      </c>
      <c r="I64" s="60">
        <f>F821EVE!I64</f>
        <v>110</v>
      </c>
      <c r="J64" s="1645">
        <v>110</v>
      </c>
      <c r="K64" s="60">
        <v>110</v>
      </c>
      <c r="L64" s="1645">
        <v>110</v>
      </c>
      <c r="M64" s="1645">
        <v>110</v>
      </c>
      <c r="N64" s="1645">
        <v>110</v>
      </c>
    </row>
    <row r="65" spans="3:14">
      <c r="C65" s="1250" t="s">
        <v>634</v>
      </c>
      <c r="D65" s="1251">
        <f>F821EVE!D65</f>
        <v>42583135</v>
      </c>
      <c r="E65" s="1251">
        <f>F821EVE!E65</f>
        <v>42359326</v>
      </c>
      <c r="F65" s="1251">
        <f>F821EVE!F65</f>
        <v>42995372</v>
      </c>
      <c r="G65" s="1251">
        <f>F821EVE!G65</f>
        <v>42754555</v>
      </c>
      <c r="H65" s="1251">
        <f>F821EVE!H65</f>
        <v>43867527</v>
      </c>
      <c r="I65" s="1251">
        <f>F821EVE!I65</f>
        <v>43315634</v>
      </c>
      <c r="J65" s="1987">
        <v>42065861</v>
      </c>
      <c r="K65" s="1251">
        <v>43031628</v>
      </c>
      <c r="L65" s="1987">
        <v>41319797</v>
      </c>
      <c r="M65" s="1987">
        <v>40242645</v>
      </c>
      <c r="N65" s="1987">
        <v>40129438</v>
      </c>
    </row>
    <row r="66" spans="3:14">
      <c r="C66" s="1249" t="s">
        <v>304</v>
      </c>
      <c r="D66" s="60">
        <f>F821EVE!D66</f>
        <v>28381246</v>
      </c>
      <c r="E66" s="60">
        <f>F821EVE!E66</f>
        <v>28133371</v>
      </c>
      <c r="F66" s="60">
        <f>F821EVE!F66</f>
        <v>28574997</v>
      </c>
      <c r="G66" s="60">
        <f>F821EVE!G66</f>
        <v>28355223</v>
      </c>
      <c r="H66" s="60">
        <f>F821EVE!H66</f>
        <v>29143016</v>
      </c>
      <c r="I66" s="60">
        <f>F821EVE!I66</f>
        <v>28562466</v>
      </c>
      <c r="J66" s="1645">
        <v>27815392</v>
      </c>
      <c r="K66" s="60">
        <v>29027222</v>
      </c>
      <c r="L66" s="1645">
        <v>28414322</v>
      </c>
      <c r="M66" s="1645">
        <v>27807154</v>
      </c>
      <c r="N66" s="1645">
        <v>27626713</v>
      </c>
    </row>
    <row r="67" spans="3:14">
      <c r="C67" s="1252" t="s">
        <v>306</v>
      </c>
      <c r="D67" s="60">
        <f>F821EVE!D67</f>
        <v>14200217</v>
      </c>
      <c r="E67" s="60">
        <f>F821EVE!E67</f>
        <v>14224872</v>
      </c>
      <c r="F67" s="60">
        <f>F821EVE!F67</f>
        <v>14418704</v>
      </c>
      <c r="G67" s="60">
        <f>F821EVE!G67</f>
        <v>14397820</v>
      </c>
      <c r="H67" s="60">
        <f>F821EVE!H67</f>
        <v>14722996</v>
      </c>
      <c r="I67" s="60">
        <f>F821EVE!I67</f>
        <v>14750986</v>
      </c>
      <c r="J67" s="1645">
        <v>14248562</v>
      </c>
      <c r="K67" s="60">
        <v>14003079</v>
      </c>
      <c r="L67" s="1645">
        <v>12904293</v>
      </c>
      <c r="M67" s="1645">
        <v>12434189</v>
      </c>
      <c r="N67" s="1645">
        <v>12501584</v>
      </c>
    </row>
    <row r="68" spans="3:14">
      <c r="C68" s="1249" t="s">
        <v>305</v>
      </c>
      <c r="D68" s="60">
        <f>F821EVE!D68</f>
        <v>980</v>
      </c>
      <c r="E68" s="60">
        <f>F821EVE!E68</f>
        <v>876</v>
      </c>
      <c r="F68" s="60">
        <f>F821EVE!F68</f>
        <v>934</v>
      </c>
      <c r="G68" s="60">
        <f>F821EVE!G68</f>
        <v>1058</v>
      </c>
      <c r="H68" s="60">
        <f>F821EVE!H68</f>
        <v>1165</v>
      </c>
      <c r="I68" s="60">
        <f>F821EVE!I68</f>
        <v>1551</v>
      </c>
      <c r="J68" s="1645">
        <v>1308</v>
      </c>
      <c r="K68" s="60">
        <v>1049</v>
      </c>
      <c r="L68" s="1645">
        <v>651</v>
      </c>
      <c r="M68" s="1645">
        <v>898</v>
      </c>
      <c r="N68" s="1645">
        <v>876</v>
      </c>
    </row>
    <row r="69" spans="3:14">
      <c r="C69" s="1249" t="s">
        <v>307</v>
      </c>
      <c r="D69" s="60">
        <f>F821EVE!D69</f>
        <v>0</v>
      </c>
      <c r="E69" s="60">
        <f>F821EVE!E69</f>
        <v>0</v>
      </c>
      <c r="F69" s="60">
        <f>F821EVE!F69</f>
        <v>0</v>
      </c>
      <c r="G69" s="60">
        <f>F821EVE!G69</f>
        <v>134</v>
      </c>
      <c r="H69" s="60">
        <f>F821EVE!H69</f>
        <v>58</v>
      </c>
      <c r="I69" s="60">
        <f>F821EVE!I69</f>
        <v>79</v>
      </c>
      <c r="J69" s="1645">
        <v>30</v>
      </c>
      <c r="K69" s="60">
        <v>30</v>
      </c>
      <c r="L69" s="1645">
        <v>57</v>
      </c>
      <c r="M69" s="1645">
        <v>107</v>
      </c>
      <c r="N69" s="1645">
        <v>132</v>
      </c>
    </row>
    <row r="70" spans="3:14">
      <c r="C70" s="1249" t="s">
        <v>624</v>
      </c>
      <c r="D70" s="60">
        <f>F821EVE!D70</f>
        <v>692</v>
      </c>
      <c r="E70" s="60">
        <f>F821EVE!E70</f>
        <v>207</v>
      </c>
      <c r="F70" s="60">
        <f>F821EVE!F70</f>
        <v>737</v>
      </c>
      <c r="G70" s="60">
        <f>F821EVE!G70</f>
        <v>320</v>
      </c>
      <c r="H70" s="60">
        <f>F821EVE!H70</f>
        <v>292</v>
      </c>
      <c r="I70" s="60">
        <f>F821EVE!I70</f>
        <v>552</v>
      </c>
      <c r="J70" s="1645">
        <v>569</v>
      </c>
      <c r="K70" s="60">
        <v>248</v>
      </c>
      <c r="L70" s="1645">
        <v>474</v>
      </c>
      <c r="M70" s="1645">
        <v>297</v>
      </c>
      <c r="N70" s="1645">
        <v>133</v>
      </c>
    </row>
    <row r="71" spans="3:14">
      <c r="C71" s="1250" t="s">
        <v>635</v>
      </c>
      <c r="D71" s="1251">
        <f>F821EVE!D71</f>
        <v>49250315</v>
      </c>
      <c r="E71" s="1251">
        <f>F821EVE!E71</f>
        <v>49791736</v>
      </c>
      <c r="F71" s="1251">
        <f>F821EVE!F71</f>
        <v>48506495</v>
      </c>
      <c r="G71" s="1251">
        <f>F821EVE!G71</f>
        <v>48473458</v>
      </c>
      <c r="H71" s="1251">
        <f>F821EVE!H71</f>
        <v>46806378</v>
      </c>
      <c r="I71" s="1251">
        <f>F821EVE!I71</f>
        <v>45725786</v>
      </c>
      <c r="J71" s="1987">
        <v>47207282</v>
      </c>
      <c r="K71" s="1251">
        <v>43350200</v>
      </c>
      <c r="L71" s="1987">
        <v>49292219</v>
      </c>
      <c r="M71" s="1987">
        <v>52383022</v>
      </c>
      <c r="N71" s="1987">
        <v>52336504</v>
      </c>
    </row>
    <row r="72" spans="3:14">
      <c r="C72" s="1249" t="s">
        <v>304</v>
      </c>
      <c r="D72" s="60">
        <f>F821EVE!D72</f>
        <v>28619170</v>
      </c>
      <c r="E72" s="60">
        <f>F821EVE!E72</f>
        <v>28992078</v>
      </c>
      <c r="F72" s="60">
        <f>F821EVE!F72</f>
        <v>28093284</v>
      </c>
      <c r="G72" s="60">
        <f>F821EVE!G72</f>
        <v>28012077</v>
      </c>
      <c r="H72" s="60">
        <f>F821EVE!H72</f>
        <v>26944209</v>
      </c>
      <c r="I72" s="60">
        <f>F821EVE!I72</f>
        <v>26229007</v>
      </c>
      <c r="J72" s="1645">
        <v>27618618</v>
      </c>
      <c r="K72" s="60">
        <v>25930050</v>
      </c>
      <c r="L72" s="1645">
        <v>30045713</v>
      </c>
      <c r="M72" s="1645">
        <v>31992479</v>
      </c>
      <c r="N72" s="1645">
        <v>31890115</v>
      </c>
    </row>
    <row r="73" spans="3:14">
      <c r="C73" s="1253" t="s">
        <v>642</v>
      </c>
      <c r="D73" s="60">
        <f>F821EVE!D73</f>
        <v>20176500</v>
      </c>
      <c r="E73" s="60">
        <f>F821EVE!E73</f>
        <v>20333417</v>
      </c>
      <c r="F73" s="60">
        <f>F821EVE!F73</f>
        <v>19980426</v>
      </c>
      <c r="G73" s="60">
        <f>F821EVE!G73</f>
        <v>20030642</v>
      </c>
      <c r="H73" s="60">
        <f>F821EVE!H73</f>
        <v>19453048</v>
      </c>
      <c r="I73" s="60">
        <f>F821EVE!I73</f>
        <v>19079031</v>
      </c>
      <c r="J73" s="1645">
        <v>19153487</v>
      </c>
      <c r="K73" s="60">
        <v>17077479</v>
      </c>
      <c r="L73" s="1645">
        <v>18805954</v>
      </c>
      <c r="M73" s="1645">
        <v>19886661</v>
      </c>
      <c r="N73" s="1645">
        <v>19944815</v>
      </c>
    </row>
    <row r="74" spans="3:14">
      <c r="C74" s="1253" t="s">
        <v>1177</v>
      </c>
      <c r="D74" s="60">
        <f>F821EVE!D74</f>
        <v>453288</v>
      </c>
      <c r="E74" s="60">
        <f>F821EVE!E74</f>
        <v>464229</v>
      </c>
      <c r="F74" s="60">
        <f>F821EVE!F74</f>
        <v>430367</v>
      </c>
      <c r="G74" s="60">
        <f>F821EVE!G74</f>
        <v>427996</v>
      </c>
      <c r="H74" s="60">
        <f>F821EVE!H74</f>
        <v>404564</v>
      </c>
      <c r="I74" s="60">
        <f>F821EVE!I74</f>
        <v>414678</v>
      </c>
      <c r="J74" s="1645">
        <v>432377</v>
      </c>
      <c r="K74" s="60">
        <v>338186</v>
      </c>
      <c r="L74" s="1645">
        <v>437490</v>
      </c>
      <c r="M74" s="1645">
        <v>500227</v>
      </c>
      <c r="N74" s="1645">
        <v>497018</v>
      </c>
    </row>
    <row r="75" spans="3:14">
      <c r="C75" s="1249" t="s">
        <v>305</v>
      </c>
      <c r="D75" s="60">
        <f>F821EVE!D75</f>
        <v>1357</v>
      </c>
      <c r="E75" s="60">
        <f>F821EVE!E75</f>
        <v>1402</v>
      </c>
      <c r="F75" s="60">
        <f>F821EVE!F75</f>
        <v>2110</v>
      </c>
      <c r="G75" s="60">
        <f>F821EVE!G75</f>
        <v>1333</v>
      </c>
      <c r="H75" s="60">
        <f>F821EVE!H75</f>
        <v>2657</v>
      </c>
      <c r="I75" s="60">
        <f>F821EVE!I75</f>
        <v>2648</v>
      </c>
      <c r="J75" s="1645">
        <v>1862</v>
      </c>
      <c r="K75" s="60">
        <v>2914</v>
      </c>
      <c r="L75" s="1645">
        <v>3062</v>
      </c>
      <c r="M75" s="1645">
        <v>2721</v>
      </c>
      <c r="N75" s="1645">
        <v>3516</v>
      </c>
    </row>
    <row r="76" spans="3:14">
      <c r="C76" s="1249" t="s">
        <v>307</v>
      </c>
      <c r="D76" s="60">
        <f>F821EVE!D76</f>
        <v>0</v>
      </c>
      <c r="E76" s="60">
        <f>F821EVE!E76</f>
        <v>0</v>
      </c>
      <c r="F76" s="60">
        <f>F821EVE!F76</f>
        <v>0</v>
      </c>
      <c r="G76" s="60">
        <f>F821EVE!G76</f>
        <v>0</v>
      </c>
      <c r="H76" s="60">
        <f>F821EVE!H76</f>
        <v>715</v>
      </c>
      <c r="I76" s="60">
        <f>F821EVE!I76</f>
        <v>0</v>
      </c>
      <c r="J76" s="1645">
        <v>0</v>
      </c>
      <c r="K76" s="60">
        <v>0</v>
      </c>
      <c r="L76" s="1645">
        <v>0</v>
      </c>
      <c r="M76" s="1645">
        <v>0</v>
      </c>
      <c r="N76" s="1645">
        <v>0</v>
      </c>
    </row>
    <row r="77" spans="3:14">
      <c r="C77" s="1249" t="s">
        <v>624</v>
      </c>
      <c r="D77" s="60">
        <f>F821EVE!D77</f>
        <v>0</v>
      </c>
      <c r="E77" s="60">
        <f>F821EVE!E77</f>
        <v>610</v>
      </c>
      <c r="F77" s="60">
        <f>F821EVE!F77</f>
        <v>308</v>
      </c>
      <c r="G77" s="60">
        <f>F821EVE!G77</f>
        <v>1410</v>
      </c>
      <c r="H77" s="60">
        <f>F821EVE!H77</f>
        <v>1185</v>
      </c>
      <c r="I77" s="60">
        <f>F821EVE!I77</f>
        <v>422</v>
      </c>
      <c r="J77" s="1645">
        <v>938</v>
      </c>
      <c r="K77" s="60">
        <v>1571</v>
      </c>
      <c r="L77" s="1645">
        <v>0</v>
      </c>
      <c r="M77" s="1645">
        <v>934</v>
      </c>
      <c r="N77" s="1645">
        <v>1040</v>
      </c>
    </row>
    <row r="78" spans="3:14">
      <c r="C78" s="1250" t="s">
        <v>636</v>
      </c>
      <c r="D78" s="1251">
        <f>F821EVE!D78</f>
        <v>54613850</v>
      </c>
      <c r="E78" s="1251">
        <f>F821EVE!E78</f>
        <v>54327073</v>
      </c>
      <c r="F78" s="1251">
        <f>F821EVE!F78</f>
        <v>52998131</v>
      </c>
      <c r="G78" s="1251">
        <f>F821EVE!G78</f>
        <v>53736809</v>
      </c>
      <c r="H78" s="1251">
        <f>F821EVE!H78</f>
        <v>49483276</v>
      </c>
      <c r="I78" s="1251">
        <f>F821EVE!I78</f>
        <v>51366818</v>
      </c>
      <c r="J78" s="1987">
        <v>53368269</v>
      </c>
      <c r="K78" s="1251">
        <v>48291498</v>
      </c>
      <c r="L78" s="1987">
        <v>59899820</v>
      </c>
      <c r="M78" s="1987">
        <v>66583865</v>
      </c>
      <c r="N78" s="1987">
        <v>68465366</v>
      </c>
    </row>
    <row r="79" spans="3:14">
      <c r="C79" s="1249" t="s">
        <v>304</v>
      </c>
      <c r="D79" s="60">
        <f>F821EVE!D79</f>
        <v>45882571</v>
      </c>
      <c r="E79" s="60">
        <f>F821EVE!E79</f>
        <v>45801977</v>
      </c>
      <c r="F79" s="60">
        <f>F821EVE!F79</f>
        <v>44890326</v>
      </c>
      <c r="G79" s="60">
        <f>F821EVE!G79</f>
        <v>45498616</v>
      </c>
      <c r="H79" s="60">
        <f>F821EVE!H79</f>
        <v>42195892</v>
      </c>
      <c r="I79" s="60">
        <f>F821EVE!I79</f>
        <v>43599705</v>
      </c>
      <c r="J79" s="1645">
        <v>44480247</v>
      </c>
      <c r="K79" s="60">
        <v>41579209</v>
      </c>
      <c r="L79" s="1645">
        <v>50077307</v>
      </c>
      <c r="M79" s="1645">
        <v>54454468</v>
      </c>
      <c r="N79" s="1645">
        <v>55884380</v>
      </c>
    </row>
    <row r="80" spans="3:14">
      <c r="C80" s="1253" t="s">
        <v>642</v>
      </c>
      <c r="D80" s="60">
        <f>F821EVE!D80</f>
        <v>4761030</v>
      </c>
      <c r="E80" s="60">
        <f>F821EVE!E80</f>
        <v>4666230</v>
      </c>
      <c r="F80" s="60">
        <f>F821EVE!F80</f>
        <v>4440130</v>
      </c>
      <c r="G80" s="60">
        <f>F821EVE!G80</f>
        <v>4495480</v>
      </c>
      <c r="H80" s="60">
        <f>F821EVE!H80</f>
        <v>3986950</v>
      </c>
      <c r="I80" s="60">
        <f>F821EVE!I80</f>
        <v>4151050</v>
      </c>
      <c r="J80" s="1645">
        <v>4777970</v>
      </c>
      <c r="K80" s="60">
        <v>3636950</v>
      </c>
      <c r="L80" s="1645">
        <v>5285360</v>
      </c>
      <c r="M80" s="1645">
        <v>6527860</v>
      </c>
      <c r="N80" s="1645">
        <v>6677470</v>
      </c>
    </row>
    <row r="81" spans="3:14">
      <c r="C81" s="1253" t="s">
        <v>1177</v>
      </c>
      <c r="D81" s="60">
        <f>F821EVE!D81</f>
        <v>3932826</v>
      </c>
      <c r="E81" s="60">
        <f>F821EVE!E81</f>
        <v>3818951</v>
      </c>
      <c r="F81" s="60">
        <f>F821EVE!F81</f>
        <v>3632747</v>
      </c>
      <c r="G81" s="60">
        <f>F821EVE!G81</f>
        <v>3709655</v>
      </c>
      <c r="H81" s="60">
        <f>F821EVE!H81</f>
        <v>3270550</v>
      </c>
      <c r="I81" s="60">
        <f>F821EVE!I81</f>
        <v>3599157</v>
      </c>
      <c r="J81" s="1645">
        <v>4092316</v>
      </c>
      <c r="K81" s="60">
        <v>3056724</v>
      </c>
      <c r="L81" s="1645">
        <v>4512763</v>
      </c>
      <c r="M81" s="1645">
        <v>5579362</v>
      </c>
      <c r="N81" s="1645">
        <v>5882884</v>
      </c>
    </row>
    <row r="82" spans="3:14">
      <c r="C82" s="1249" t="s">
        <v>305</v>
      </c>
      <c r="D82" s="60">
        <f>F821EVE!D82</f>
        <v>31255</v>
      </c>
      <c r="E82" s="60">
        <f>F821EVE!E82</f>
        <v>33691</v>
      </c>
      <c r="F82" s="60">
        <f>F821EVE!F82</f>
        <v>28390</v>
      </c>
      <c r="G82" s="60">
        <f>F821EVE!G82</f>
        <v>26488</v>
      </c>
      <c r="H82" s="60">
        <f>F821EVE!H82</f>
        <v>23574</v>
      </c>
      <c r="I82" s="60">
        <f>F821EVE!I82</f>
        <v>10370</v>
      </c>
      <c r="J82" s="1645">
        <v>12936</v>
      </c>
      <c r="K82" s="60">
        <v>12734</v>
      </c>
      <c r="L82" s="1645">
        <v>16881</v>
      </c>
      <c r="M82" s="1645">
        <v>14666</v>
      </c>
      <c r="N82" s="1645">
        <v>14074</v>
      </c>
    </row>
    <row r="83" spans="3:14">
      <c r="C83" s="1249" t="s">
        <v>307</v>
      </c>
      <c r="D83" s="60">
        <f>F821EVE!D83</f>
        <v>980</v>
      </c>
      <c r="E83" s="60">
        <f>F821EVE!E83</f>
        <v>819</v>
      </c>
      <c r="F83" s="60">
        <f>F821EVE!F83</f>
        <v>961</v>
      </c>
      <c r="G83" s="60">
        <f>F821EVE!G83</f>
        <v>911</v>
      </c>
      <c r="H83" s="60">
        <f>F821EVE!H83</f>
        <v>0</v>
      </c>
      <c r="I83" s="60">
        <f>F821EVE!I83</f>
        <v>932</v>
      </c>
      <c r="J83" s="1645">
        <v>797</v>
      </c>
      <c r="K83" s="60">
        <v>769</v>
      </c>
      <c r="L83" s="1645">
        <v>852</v>
      </c>
      <c r="M83" s="1645">
        <v>852</v>
      </c>
      <c r="N83" s="1645">
        <v>852</v>
      </c>
    </row>
    <row r="84" spans="3:14">
      <c r="C84" s="1249" t="s">
        <v>624</v>
      </c>
      <c r="D84" s="60">
        <f>F821EVE!D84</f>
        <v>5188</v>
      </c>
      <c r="E84" s="60">
        <f>F821EVE!E84</f>
        <v>5405</v>
      </c>
      <c r="F84" s="60">
        <f>F821EVE!F84</f>
        <v>5577</v>
      </c>
      <c r="G84" s="60">
        <f>F821EVE!G84</f>
        <v>5659</v>
      </c>
      <c r="H84" s="60">
        <f>F821EVE!H84</f>
        <v>6310</v>
      </c>
      <c r="I84" s="60">
        <f>F821EVE!I84</f>
        <v>5604</v>
      </c>
      <c r="J84" s="1645">
        <v>4003</v>
      </c>
      <c r="K84" s="60">
        <v>5112</v>
      </c>
      <c r="L84" s="1645">
        <v>6657</v>
      </c>
      <c r="M84" s="1645">
        <v>6657</v>
      </c>
      <c r="N84" s="1645">
        <v>5706</v>
      </c>
    </row>
    <row r="85" spans="3:14">
      <c r="C85" s="1249"/>
      <c r="D85" s="60"/>
      <c r="E85" s="60"/>
      <c r="F85" s="60"/>
      <c r="G85" s="60"/>
      <c r="H85" s="60"/>
      <c r="I85" s="60"/>
      <c r="J85" s="1645">
        <v>0</v>
      </c>
      <c r="K85" s="60">
        <v>0</v>
      </c>
      <c r="L85" s="1645">
        <v>0</v>
      </c>
      <c r="M85" s="1645">
        <v>0</v>
      </c>
      <c r="N85" s="1645">
        <v>0</v>
      </c>
    </row>
    <row r="86" spans="3:14">
      <c r="C86" s="1250" t="s">
        <v>898</v>
      </c>
      <c r="D86" s="1251">
        <f>F821EVE!D86</f>
        <v>13382744</v>
      </c>
      <c r="E86" s="1251">
        <f>F821EVE!E86</f>
        <v>13211586</v>
      </c>
      <c r="F86" s="1251">
        <f>F821EVE!F86</f>
        <v>13706143</v>
      </c>
      <c r="G86" s="1251">
        <f>F821EVE!G86</f>
        <v>13399120</v>
      </c>
      <c r="H86" s="1251">
        <f>F821EVE!H86</f>
        <v>12694591</v>
      </c>
      <c r="I86" s="1251">
        <f>F821EVE!I86</f>
        <v>13572555</v>
      </c>
      <c r="J86" s="1987">
        <v>13371352</v>
      </c>
      <c r="K86" s="1251">
        <v>12511620</v>
      </c>
      <c r="L86" s="1987">
        <v>14764183</v>
      </c>
      <c r="M86" s="1987">
        <v>14818176</v>
      </c>
      <c r="N86" s="1987">
        <v>16075895</v>
      </c>
    </row>
    <row r="87" spans="3:14">
      <c r="C87" s="1249" t="s">
        <v>304</v>
      </c>
      <c r="D87" s="60">
        <f>F821EVE!D87</f>
        <v>12711993</v>
      </c>
      <c r="E87" s="60">
        <f>F821EVE!E87</f>
        <v>12566280</v>
      </c>
      <c r="F87" s="60">
        <f>F821EVE!F87</f>
        <v>13027063</v>
      </c>
      <c r="G87" s="60">
        <f>F821EVE!G87</f>
        <v>12714073</v>
      </c>
      <c r="H87" s="60">
        <f>F821EVE!H87</f>
        <v>12060436</v>
      </c>
      <c r="I87" s="60">
        <f>F821EVE!I87</f>
        <v>12866362</v>
      </c>
      <c r="J87" s="1645">
        <v>12760775</v>
      </c>
      <c r="K87" s="60">
        <v>11882546</v>
      </c>
      <c r="L87" s="1645">
        <v>14029705</v>
      </c>
      <c r="M87" s="1645">
        <v>14088631</v>
      </c>
      <c r="N87" s="1645">
        <v>15286036</v>
      </c>
    </row>
    <row r="88" spans="3:14">
      <c r="C88" s="1252" t="s">
        <v>306</v>
      </c>
      <c r="D88" s="60">
        <f>F821EVE!D88</f>
        <v>670751</v>
      </c>
      <c r="E88" s="60">
        <f>F821EVE!E88</f>
        <v>645306</v>
      </c>
      <c r="F88" s="60">
        <f>F821EVE!F88</f>
        <v>679080</v>
      </c>
      <c r="G88" s="60">
        <f>F821EVE!G88</f>
        <v>685047</v>
      </c>
      <c r="H88" s="60">
        <f>F821EVE!H88</f>
        <v>634155</v>
      </c>
      <c r="I88" s="60">
        <f>F821EVE!I88</f>
        <v>706193</v>
      </c>
      <c r="J88" s="1645">
        <v>610577</v>
      </c>
      <c r="K88" s="60">
        <v>629074</v>
      </c>
      <c r="L88" s="1645">
        <v>734478</v>
      </c>
      <c r="M88" s="1645">
        <v>729545</v>
      </c>
      <c r="N88" s="1645">
        <v>789859</v>
      </c>
    </row>
    <row r="89" spans="3:14">
      <c r="C89" s="1249" t="s">
        <v>305</v>
      </c>
      <c r="D89" s="60"/>
      <c r="E89" s="60"/>
      <c r="F89" s="60"/>
      <c r="G89" s="60"/>
      <c r="H89" s="60"/>
      <c r="I89" s="60"/>
      <c r="J89" s="1645">
        <v>0</v>
      </c>
      <c r="K89" s="60">
        <v>0</v>
      </c>
      <c r="L89" s="1645">
        <v>0</v>
      </c>
      <c r="M89" s="1645">
        <v>0</v>
      </c>
      <c r="N89" s="1645">
        <v>0</v>
      </c>
    </row>
    <row r="90" spans="3:14">
      <c r="C90" s="1249" t="s">
        <v>307</v>
      </c>
      <c r="D90" s="60"/>
      <c r="E90" s="60"/>
      <c r="F90" s="60"/>
      <c r="G90" s="60"/>
      <c r="H90" s="60"/>
      <c r="I90" s="60"/>
      <c r="J90" s="1645">
        <v>0</v>
      </c>
      <c r="K90" s="60">
        <v>0</v>
      </c>
      <c r="L90" s="1645">
        <v>0</v>
      </c>
      <c r="M90" s="1645">
        <v>0</v>
      </c>
      <c r="N90" s="1645">
        <v>0</v>
      </c>
    </row>
    <row r="91" spans="3:14">
      <c r="C91" s="1249" t="s">
        <v>624</v>
      </c>
      <c r="D91" s="60"/>
      <c r="E91" s="60"/>
      <c r="F91" s="60"/>
      <c r="G91" s="60"/>
      <c r="H91" s="60"/>
      <c r="I91" s="60"/>
      <c r="J91" s="1645">
        <v>0</v>
      </c>
      <c r="K91" s="60">
        <v>0</v>
      </c>
      <c r="L91" s="1645">
        <v>0</v>
      </c>
      <c r="M91" s="1645">
        <v>0</v>
      </c>
      <c r="N91" s="1645">
        <v>0</v>
      </c>
    </row>
    <row r="92" spans="3:14">
      <c r="C92" s="1250" t="s">
        <v>899</v>
      </c>
      <c r="D92" s="1251">
        <f>F821EVE!D92</f>
        <v>1192402</v>
      </c>
      <c r="E92" s="1251">
        <f>F821EVE!E92</f>
        <v>1108565</v>
      </c>
      <c r="F92" s="1251">
        <f>F821EVE!F92</f>
        <v>1038419</v>
      </c>
      <c r="G92" s="1251">
        <f>F821EVE!G92</f>
        <v>1117342</v>
      </c>
      <c r="H92" s="1251">
        <f>F821EVE!H92</f>
        <v>857662</v>
      </c>
      <c r="I92" s="1251">
        <f>F821EVE!I92</f>
        <v>1108465</v>
      </c>
      <c r="J92" s="1987">
        <v>1035020</v>
      </c>
      <c r="K92" s="1251">
        <v>693605</v>
      </c>
      <c r="L92" s="1987">
        <v>1354519</v>
      </c>
      <c r="M92" s="1987">
        <v>1415417</v>
      </c>
      <c r="N92" s="1987">
        <v>1993818</v>
      </c>
    </row>
    <row r="93" spans="3:14">
      <c r="C93" s="1249" t="s">
        <v>304</v>
      </c>
      <c r="D93" s="60">
        <f>F821EVE!D93</f>
        <v>1058644</v>
      </c>
      <c r="E93" s="60">
        <f>F821EVE!E93</f>
        <v>987208</v>
      </c>
      <c r="F93" s="60">
        <f>F821EVE!F93</f>
        <v>909890</v>
      </c>
      <c r="G93" s="60">
        <f>F821EVE!G93</f>
        <v>990623</v>
      </c>
      <c r="H93" s="60">
        <f>F821EVE!H93</f>
        <v>754946</v>
      </c>
      <c r="I93" s="60">
        <f>F821EVE!I93</f>
        <v>975789</v>
      </c>
      <c r="J93" s="1645">
        <v>951045</v>
      </c>
      <c r="K93" s="60">
        <v>634719</v>
      </c>
      <c r="L93" s="1645">
        <v>1249758</v>
      </c>
      <c r="M93" s="1645">
        <v>1307324</v>
      </c>
      <c r="N93" s="1645">
        <v>1850493</v>
      </c>
    </row>
    <row r="94" spans="3:14">
      <c r="C94" s="1253" t="s">
        <v>642</v>
      </c>
      <c r="D94" s="60">
        <f>F821EVE!D94</f>
        <v>122345</v>
      </c>
      <c r="E94" s="60">
        <f>F821EVE!E94</f>
        <v>113118</v>
      </c>
      <c r="F94" s="60">
        <f>F821EVE!F94</f>
        <v>120326</v>
      </c>
      <c r="G94" s="60">
        <f>F821EVE!G94</f>
        <v>117562</v>
      </c>
      <c r="H94" s="60">
        <f>F821EVE!H94</f>
        <v>95560</v>
      </c>
      <c r="I94" s="60">
        <f>F821EVE!I94</f>
        <v>123476</v>
      </c>
      <c r="J94" s="1645">
        <v>78765</v>
      </c>
      <c r="K94" s="60">
        <v>56222</v>
      </c>
      <c r="L94" s="1645">
        <v>99073</v>
      </c>
      <c r="M94" s="1645">
        <v>101461</v>
      </c>
      <c r="N94" s="1645">
        <v>133730</v>
      </c>
    </row>
    <row r="95" spans="3:14">
      <c r="C95" s="1253" t="s">
        <v>1177</v>
      </c>
      <c r="D95" s="60">
        <f>F821EVE!D95</f>
        <v>11413</v>
      </c>
      <c r="E95" s="60">
        <f>F821EVE!E95</f>
        <v>8239</v>
      </c>
      <c r="F95" s="60">
        <f>F821EVE!F95</f>
        <v>8203</v>
      </c>
      <c r="G95" s="60">
        <f>F821EVE!G95</f>
        <v>9157</v>
      </c>
      <c r="H95" s="60">
        <f>F821EVE!H95</f>
        <v>7156</v>
      </c>
      <c r="I95" s="60">
        <f>F821EVE!I95</f>
        <v>9200</v>
      </c>
      <c r="J95" s="1645">
        <v>5210</v>
      </c>
      <c r="K95" s="60">
        <v>2664</v>
      </c>
      <c r="L95" s="1645">
        <v>5688</v>
      </c>
      <c r="M95" s="1645">
        <v>6632</v>
      </c>
      <c r="N95" s="1645">
        <v>9595</v>
      </c>
    </row>
    <row r="96" spans="3:14">
      <c r="C96" s="1249" t="s">
        <v>305</v>
      </c>
      <c r="D96" s="60"/>
      <c r="E96" s="60"/>
      <c r="F96" s="60"/>
      <c r="G96" s="60"/>
      <c r="H96" s="60"/>
      <c r="I96" s="60"/>
      <c r="J96" s="1645">
        <v>0</v>
      </c>
      <c r="K96" s="60">
        <v>0</v>
      </c>
      <c r="L96" s="1645">
        <v>0</v>
      </c>
      <c r="M96" s="1645">
        <v>0</v>
      </c>
      <c r="N96" s="1645">
        <v>0</v>
      </c>
    </row>
    <row r="97" spans="3:14">
      <c r="C97" s="1249" t="s">
        <v>307</v>
      </c>
      <c r="D97" s="60"/>
      <c r="E97" s="60"/>
      <c r="F97" s="60"/>
      <c r="G97" s="60"/>
      <c r="H97" s="60"/>
      <c r="I97" s="60"/>
      <c r="J97" s="1645">
        <v>0</v>
      </c>
      <c r="K97" s="60">
        <v>0</v>
      </c>
      <c r="L97" s="1645">
        <v>0</v>
      </c>
      <c r="M97" s="1645">
        <v>0</v>
      </c>
      <c r="N97" s="1645">
        <v>0</v>
      </c>
    </row>
    <row r="98" spans="3:14">
      <c r="C98" s="1249" t="s">
        <v>624</v>
      </c>
      <c r="D98" s="60"/>
      <c r="E98" s="60"/>
      <c r="F98" s="60"/>
      <c r="G98" s="60"/>
      <c r="H98" s="60"/>
      <c r="I98" s="60"/>
      <c r="J98" s="1645">
        <v>0</v>
      </c>
      <c r="K98" s="60">
        <v>0</v>
      </c>
      <c r="L98" s="1645">
        <v>0</v>
      </c>
      <c r="M98" s="1645">
        <v>0</v>
      </c>
      <c r="N98" s="1645">
        <v>0</v>
      </c>
    </row>
    <row r="99" spans="3:14">
      <c r="C99" s="1250" t="s">
        <v>900</v>
      </c>
      <c r="D99" s="1251">
        <f>F821EVE!D99</f>
        <v>125413</v>
      </c>
      <c r="E99" s="1251">
        <f>F821EVE!E99</f>
        <v>123757</v>
      </c>
      <c r="F99" s="1251">
        <f>F821EVE!F99</f>
        <v>140003</v>
      </c>
      <c r="G99" s="1251">
        <f>F821EVE!G99</f>
        <v>106707</v>
      </c>
      <c r="H99" s="1251">
        <f>F821EVE!H99</f>
        <v>83789</v>
      </c>
      <c r="I99" s="1251">
        <f>F821EVE!I99</f>
        <v>118026</v>
      </c>
      <c r="J99" s="1987">
        <v>104977</v>
      </c>
      <c r="K99" s="1251">
        <v>99351</v>
      </c>
      <c r="L99" s="1987">
        <v>145108</v>
      </c>
      <c r="M99" s="1987">
        <v>122073</v>
      </c>
      <c r="N99" s="1987">
        <v>155363</v>
      </c>
    </row>
    <row r="100" spans="3:14">
      <c r="C100" s="1249" t="s">
        <v>304</v>
      </c>
      <c r="D100" s="60">
        <f>F821EVE!D100</f>
        <v>119301</v>
      </c>
      <c r="E100" s="60">
        <f>F821EVE!E100</f>
        <v>120528</v>
      </c>
      <c r="F100" s="60">
        <f>F821EVE!F100</f>
        <v>135542</v>
      </c>
      <c r="G100" s="60">
        <f>F821EVE!G100</f>
        <v>101074</v>
      </c>
      <c r="H100" s="60">
        <f>F821EVE!H100</f>
        <v>81331</v>
      </c>
      <c r="I100" s="60">
        <f>F821EVE!I100</f>
        <v>113660</v>
      </c>
      <c r="J100" s="1645">
        <v>100827</v>
      </c>
      <c r="K100" s="60">
        <v>97825</v>
      </c>
      <c r="L100" s="1645">
        <v>138350</v>
      </c>
      <c r="M100" s="1645">
        <v>118497</v>
      </c>
      <c r="N100" s="1645">
        <v>145883</v>
      </c>
    </row>
    <row r="101" spans="3:14">
      <c r="C101" s="1253" t="s">
        <v>642</v>
      </c>
      <c r="D101" s="60">
        <f>F821EVE!D101</f>
        <v>6112</v>
      </c>
      <c r="E101" s="60">
        <f>F821EVE!E101</f>
        <v>3229</v>
      </c>
      <c r="F101" s="60">
        <f>F821EVE!F101</f>
        <v>4461</v>
      </c>
      <c r="G101" s="60">
        <f>F821EVE!G101</f>
        <v>5633</v>
      </c>
      <c r="H101" s="60">
        <f>F821EVE!H101</f>
        <v>2458</v>
      </c>
      <c r="I101" s="60">
        <f>F821EVE!I101</f>
        <v>4366</v>
      </c>
      <c r="J101" s="1645">
        <v>4150</v>
      </c>
      <c r="K101" s="60">
        <v>1526</v>
      </c>
      <c r="L101" s="1645">
        <v>6758</v>
      </c>
      <c r="M101" s="1645">
        <v>3576</v>
      </c>
      <c r="N101" s="1645">
        <v>9480</v>
      </c>
    </row>
    <row r="102" spans="3:14">
      <c r="C102" s="1253" t="s">
        <v>1177</v>
      </c>
      <c r="D102" s="60"/>
      <c r="E102" s="60"/>
      <c r="F102" s="60"/>
      <c r="G102" s="60"/>
      <c r="H102" s="60"/>
      <c r="I102" s="60"/>
      <c r="J102" s="1645">
        <v>0</v>
      </c>
      <c r="K102" s="60">
        <v>0</v>
      </c>
      <c r="L102" s="1645">
        <v>0</v>
      </c>
      <c r="M102" s="1645">
        <v>0</v>
      </c>
      <c r="N102" s="1645">
        <v>0</v>
      </c>
    </row>
    <row r="103" spans="3:14">
      <c r="C103" s="1249" t="s">
        <v>305</v>
      </c>
      <c r="D103" s="60"/>
      <c r="E103" s="60"/>
      <c r="F103" s="60"/>
      <c r="G103" s="60"/>
      <c r="H103" s="60"/>
      <c r="I103" s="60"/>
      <c r="J103" s="1645">
        <v>0</v>
      </c>
      <c r="K103" s="60">
        <v>0</v>
      </c>
      <c r="L103" s="1645">
        <v>0</v>
      </c>
      <c r="M103" s="1645">
        <v>0</v>
      </c>
      <c r="N103" s="1645">
        <v>0</v>
      </c>
    </row>
    <row r="104" spans="3:14">
      <c r="C104" s="1249" t="s">
        <v>307</v>
      </c>
      <c r="D104" s="60"/>
      <c r="E104" s="60"/>
      <c r="F104" s="60"/>
      <c r="G104" s="60"/>
      <c r="H104" s="60"/>
      <c r="I104" s="60"/>
      <c r="J104" s="1645">
        <v>0</v>
      </c>
      <c r="K104" s="60">
        <v>0</v>
      </c>
      <c r="L104" s="1645">
        <v>0</v>
      </c>
      <c r="M104" s="1645">
        <v>0</v>
      </c>
      <c r="N104" s="1645">
        <v>0</v>
      </c>
    </row>
    <row r="105" spans="3:14">
      <c r="C105" s="1249" t="s">
        <v>624</v>
      </c>
      <c r="D105" s="60"/>
      <c r="E105" s="60"/>
      <c r="F105" s="60"/>
      <c r="G105" s="60"/>
      <c r="H105" s="60"/>
      <c r="I105" s="60"/>
      <c r="J105" s="1645">
        <v>0</v>
      </c>
      <c r="K105" s="60">
        <v>0</v>
      </c>
      <c r="L105" s="1645">
        <v>0</v>
      </c>
      <c r="M105" s="1645">
        <v>0</v>
      </c>
      <c r="N105" s="1645">
        <v>0</v>
      </c>
    </row>
    <row r="106" spans="3:14">
      <c r="C106" s="37"/>
      <c r="D106" s="60"/>
      <c r="E106" s="60"/>
      <c r="F106" s="60"/>
      <c r="G106" s="60"/>
      <c r="H106" s="60"/>
      <c r="I106" s="60"/>
      <c r="J106" s="1645">
        <v>0</v>
      </c>
      <c r="K106" s="60">
        <v>0</v>
      </c>
      <c r="L106" s="1645">
        <v>0</v>
      </c>
      <c r="M106" s="1645">
        <v>0</v>
      </c>
      <c r="N106" s="1645">
        <v>0</v>
      </c>
    </row>
    <row r="107" spans="3:14">
      <c r="C107" s="52" t="s">
        <v>322</v>
      </c>
      <c r="D107" s="520">
        <f>F821EVE!D107</f>
        <v>276099083</v>
      </c>
      <c r="E107" s="520">
        <f>F821EVE!E107</f>
        <v>276214311</v>
      </c>
      <c r="F107" s="520">
        <f>F821EVE!F107</f>
        <v>270997367</v>
      </c>
      <c r="G107" s="520">
        <f>F821EVE!G107</f>
        <v>275267488</v>
      </c>
      <c r="H107" s="520">
        <f>F821EVE!H107</f>
        <v>263340211</v>
      </c>
      <c r="I107" s="520">
        <f>F821EVE!I107</f>
        <v>264574189</v>
      </c>
      <c r="J107" s="1644">
        <v>268011390</v>
      </c>
      <c r="K107" s="520">
        <v>251593536</v>
      </c>
      <c r="L107" s="1644">
        <v>286029196</v>
      </c>
      <c r="M107" s="1644">
        <v>295123297</v>
      </c>
      <c r="N107" s="1644">
        <v>302666094</v>
      </c>
    </row>
  </sheetData>
  <pageMargins left="0.7" right="0.7" top="0.75" bottom="0.75" header="0.3" footer="0.3"/>
  <pageSetup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Hoja86">
    <tabColor theme="2" tint="-9.9978637043366805E-2"/>
    <pageSetUpPr fitToPage="1"/>
  </sheetPr>
  <dimension ref="A1:J198"/>
  <sheetViews>
    <sheetView view="pageBreakPreview" zoomScale="70" zoomScaleNormal="100" zoomScaleSheetLayoutView="70" workbookViewId="0">
      <pane xSplit="3" ySplit="4" topLeftCell="D48" activePane="bottomRight" state="frozen"/>
      <selection activeCell="C59" sqref="C59"/>
      <selection pane="topRight" activeCell="C59" sqref="C59"/>
      <selection pane="bottomLeft" activeCell="C59" sqref="C59"/>
      <selection pane="bottomRight" activeCell="C59" sqref="C59"/>
    </sheetView>
  </sheetViews>
  <sheetFormatPr baseColWidth="10" defaultColWidth="8" defaultRowHeight="13.5"/>
  <cols>
    <col min="1" max="1" width="3.25" style="37" customWidth="1"/>
    <col min="2" max="2" width="5.625" style="37" bestFit="1" customWidth="1"/>
    <col min="3" max="3" width="36.375" style="37" customWidth="1"/>
    <col min="4" max="8" width="9" style="37" customWidth="1"/>
    <col min="9" max="9" width="10" style="37" customWidth="1"/>
    <col min="10" max="10" width="9" style="37" customWidth="1"/>
    <col min="11" max="14" width="8" style="37"/>
    <col min="15" max="15" width="3.625" style="37" customWidth="1"/>
    <col min="16" max="16384" width="8" style="37"/>
  </cols>
  <sheetData>
    <row r="1" spans="2:10" s="38" customFormat="1" ht="13.5" customHeight="1" thickBot="1">
      <c r="C1" s="39" t="str">
        <f>F821DO!C2</f>
        <v>ESTIMADO ORIGINAL (Viene F801 - Ajuste P-2)</v>
      </c>
      <c r="D1" s="40"/>
      <c r="I1" s="41"/>
      <c r="J1" s="447"/>
    </row>
    <row r="2" spans="2:10" ht="15.75">
      <c r="C2" s="510" t="s">
        <v>679</v>
      </c>
      <c r="D2" s="69"/>
      <c r="E2" s="69"/>
      <c r="F2" s="69"/>
      <c r="G2" s="69"/>
      <c r="H2" s="69"/>
      <c r="I2" s="69"/>
      <c r="J2" s="69"/>
    </row>
    <row r="3" spans="2:10" ht="15.75">
      <c r="C3" s="510"/>
      <c r="D3" s="69"/>
      <c r="E3" s="69"/>
      <c r="F3" s="69"/>
      <c r="G3" s="69"/>
      <c r="H3" s="69"/>
      <c r="I3" s="69"/>
      <c r="J3" s="69"/>
    </row>
    <row r="4" spans="2:10" ht="31.5">
      <c r="C4" s="976" t="s">
        <v>310</v>
      </c>
      <c r="D4" s="964">
        <v>45839</v>
      </c>
      <c r="E4" s="964">
        <v>45870</v>
      </c>
      <c r="F4" s="964">
        <v>45901</v>
      </c>
      <c r="G4" s="964">
        <v>45931</v>
      </c>
      <c r="H4" s="964">
        <v>45962</v>
      </c>
      <c r="I4" s="964">
        <v>45992</v>
      </c>
      <c r="J4" s="977" t="s">
        <v>154</v>
      </c>
    </row>
    <row r="5" spans="2:10">
      <c r="C5" s="880" t="s">
        <v>446</v>
      </c>
      <c r="D5" s="881">
        <v>4</v>
      </c>
      <c r="E5" s="881">
        <v>4</v>
      </c>
      <c r="F5" s="881">
        <v>4</v>
      </c>
      <c r="G5" s="881">
        <v>4</v>
      </c>
      <c r="H5" s="881">
        <v>4</v>
      </c>
      <c r="I5" s="881">
        <v>4</v>
      </c>
      <c r="J5" s="881">
        <v>4</v>
      </c>
    </row>
    <row r="6" spans="2:10">
      <c r="B6" s="48" t="s">
        <v>279</v>
      </c>
      <c r="C6" s="882" t="s">
        <v>279</v>
      </c>
      <c r="D6" s="883">
        <v>3</v>
      </c>
      <c r="E6" s="883">
        <v>3</v>
      </c>
      <c r="F6" s="883">
        <v>3</v>
      </c>
      <c r="G6" s="883">
        <v>3</v>
      </c>
      <c r="H6" s="883">
        <v>3</v>
      </c>
      <c r="I6" s="883">
        <v>3</v>
      </c>
      <c r="J6" s="881">
        <v>3</v>
      </c>
    </row>
    <row r="7" spans="2:10">
      <c r="B7" s="48" t="s">
        <v>278</v>
      </c>
      <c r="C7" s="882" t="s">
        <v>278</v>
      </c>
      <c r="D7" s="883">
        <v>1</v>
      </c>
      <c r="E7" s="883">
        <v>1</v>
      </c>
      <c r="F7" s="883">
        <v>1</v>
      </c>
      <c r="G7" s="883">
        <v>1</v>
      </c>
      <c r="H7" s="883">
        <v>1</v>
      </c>
      <c r="I7" s="883">
        <v>1</v>
      </c>
      <c r="J7" s="881">
        <v>1</v>
      </c>
    </row>
    <row r="8" spans="2:10">
      <c r="B8" s="48"/>
      <c r="C8" s="884"/>
      <c r="D8" s="883"/>
      <c r="E8" s="883"/>
      <c r="F8" s="883"/>
      <c r="G8" s="883"/>
      <c r="H8" s="883"/>
      <c r="I8" s="883"/>
      <c r="J8" s="881"/>
    </row>
    <row r="9" spans="2:10">
      <c r="B9" s="48"/>
      <c r="C9" s="880" t="s">
        <v>630</v>
      </c>
      <c r="D9" s="881">
        <v>442</v>
      </c>
      <c r="E9" s="881">
        <v>443</v>
      </c>
      <c r="F9" s="881">
        <v>443</v>
      </c>
      <c r="G9" s="881">
        <v>443</v>
      </c>
      <c r="H9" s="881">
        <v>441</v>
      </c>
      <c r="I9" s="881">
        <v>442</v>
      </c>
      <c r="J9" s="881">
        <v>442.33333333333331</v>
      </c>
    </row>
    <row r="10" spans="2:10">
      <c r="B10" s="48" t="s">
        <v>277</v>
      </c>
      <c r="C10" s="882" t="s">
        <v>277</v>
      </c>
      <c r="D10" s="881">
        <v>23</v>
      </c>
      <c r="E10" s="881">
        <v>23</v>
      </c>
      <c r="F10" s="881">
        <v>23</v>
      </c>
      <c r="G10" s="881">
        <v>23</v>
      </c>
      <c r="H10" s="881">
        <v>23</v>
      </c>
      <c r="I10" s="881">
        <v>23</v>
      </c>
      <c r="J10" s="881">
        <v>23</v>
      </c>
    </row>
    <row r="11" spans="2:10">
      <c r="B11" s="48"/>
      <c r="C11" s="887" t="s">
        <v>304</v>
      </c>
      <c r="D11" s="883">
        <v>22</v>
      </c>
      <c r="E11" s="883">
        <v>22</v>
      </c>
      <c r="F11" s="883">
        <v>22</v>
      </c>
      <c r="G11" s="883">
        <v>22</v>
      </c>
      <c r="H11" s="883">
        <v>22</v>
      </c>
      <c r="I11" s="883">
        <v>22</v>
      </c>
      <c r="J11" s="881">
        <v>22</v>
      </c>
    </row>
    <row r="12" spans="2:10">
      <c r="B12" s="48"/>
      <c r="C12" s="887" t="s">
        <v>305</v>
      </c>
      <c r="D12" s="883">
        <v>1</v>
      </c>
      <c r="E12" s="883">
        <v>1</v>
      </c>
      <c r="F12" s="883">
        <v>1</v>
      </c>
      <c r="G12" s="883">
        <v>1</v>
      </c>
      <c r="H12" s="883">
        <v>1</v>
      </c>
      <c r="I12" s="883">
        <v>1</v>
      </c>
      <c r="J12" s="881">
        <v>1</v>
      </c>
    </row>
    <row r="13" spans="2:10">
      <c r="B13" s="48"/>
      <c r="C13" s="887"/>
      <c r="D13" s="883"/>
      <c r="E13" s="883"/>
      <c r="F13" s="883"/>
      <c r="G13" s="883"/>
      <c r="H13" s="883"/>
      <c r="I13" s="883"/>
      <c r="J13" s="881"/>
    </row>
    <row r="14" spans="2:10">
      <c r="B14" s="48" t="s">
        <v>276</v>
      </c>
      <c r="C14" s="885" t="s">
        <v>626</v>
      </c>
      <c r="D14" s="881">
        <v>419</v>
      </c>
      <c r="E14" s="881">
        <v>420</v>
      </c>
      <c r="F14" s="881">
        <v>420</v>
      </c>
      <c r="G14" s="881">
        <v>420</v>
      </c>
      <c r="H14" s="881">
        <v>418</v>
      </c>
      <c r="I14" s="881">
        <v>419</v>
      </c>
      <c r="J14" s="881">
        <v>419.33333333333331</v>
      </c>
    </row>
    <row r="15" spans="2:10">
      <c r="B15" s="48"/>
      <c r="C15" s="887" t="s">
        <v>304</v>
      </c>
      <c r="D15" s="883">
        <v>413</v>
      </c>
      <c r="E15" s="883">
        <v>413</v>
      </c>
      <c r="F15" s="883">
        <v>413</v>
      </c>
      <c r="G15" s="883">
        <v>413</v>
      </c>
      <c r="H15" s="883">
        <v>412</v>
      </c>
      <c r="I15" s="883">
        <v>413</v>
      </c>
      <c r="J15" s="881">
        <v>412.83333333333331</v>
      </c>
    </row>
    <row r="16" spans="2:10">
      <c r="B16" s="48"/>
      <c r="C16" s="888" t="s">
        <v>306</v>
      </c>
      <c r="D16" s="883">
        <v>0</v>
      </c>
      <c r="E16" s="883">
        <v>0</v>
      </c>
      <c r="F16" s="883">
        <v>0</v>
      </c>
      <c r="G16" s="883">
        <v>0</v>
      </c>
      <c r="H16" s="883">
        <v>0</v>
      </c>
      <c r="I16" s="883">
        <v>0</v>
      </c>
      <c r="J16" s="881">
        <v>0</v>
      </c>
    </row>
    <row r="17" spans="2:10">
      <c r="B17" s="48"/>
      <c r="C17" s="887" t="s">
        <v>305</v>
      </c>
      <c r="D17" s="883">
        <v>6</v>
      </c>
      <c r="E17" s="883">
        <v>7</v>
      </c>
      <c r="F17" s="883">
        <v>7</v>
      </c>
      <c r="G17" s="883">
        <v>7</v>
      </c>
      <c r="H17" s="883">
        <v>6</v>
      </c>
      <c r="I17" s="883">
        <v>6</v>
      </c>
      <c r="J17" s="881">
        <v>6.5</v>
      </c>
    </row>
    <row r="18" spans="2:10">
      <c r="B18" s="48"/>
      <c r="C18" s="887" t="s">
        <v>307</v>
      </c>
      <c r="D18" s="883">
        <v>0</v>
      </c>
      <c r="E18" s="883">
        <v>0</v>
      </c>
      <c r="F18" s="883">
        <v>0</v>
      </c>
      <c r="G18" s="883">
        <v>0</v>
      </c>
      <c r="H18" s="883">
        <v>0</v>
      </c>
      <c r="I18" s="883">
        <v>0</v>
      </c>
      <c r="J18" s="881">
        <v>0</v>
      </c>
    </row>
    <row r="19" spans="2:10">
      <c r="B19" s="48"/>
      <c r="C19" s="884"/>
      <c r="D19" s="883"/>
      <c r="E19" s="883"/>
      <c r="F19" s="883"/>
      <c r="G19" s="883"/>
      <c r="H19" s="883"/>
      <c r="I19" s="883"/>
      <c r="J19" s="881"/>
    </row>
    <row r="20" spans="2:10">
      <c r="B20" s="48"/>
      <c r="C20" s="880" t="s">
        <v>443</v>
      </c>
      <c r="D20" s="881">
        <v>546771</v>
      </c>
      <c r="E20" s="881">
        <v>547433</v>
      </c>
      <c r="F20" s="881">
        <v>547042</v>
      </c>
      <c r="G20" s="881">
        <v>547207</v>
      </c>
      <c r="H20" s="881">
        <v>545701</v>
      </c>
      <c r="I20" s="881">
        <v>546753</v>
      </c>
      <c r="J20" s="881">
        <v>546817.83333333337</v>
      </c>
    </row>
    <row r="21" spans="2:10">
      <c r="B21" s="48" t="s">
        <v>275</v>
      </c>
      <c r="C21" s="882" t="s">
        <v>275</v>
      </c>
      <c r="D21" s="881">
        <v>100</v>
      </c>
      <c r="E21" s="881">
        <v>100</v>
      </c>
      <c r="F21" s="881">
        <v>100</v>
      </c>
      <c r="G21" s="881">
        <v>100</v>
      </c>
      <c r="H21" s="881">
        <v>100</v>
      </c>
      <c r="I21" s="881">
        <v>100</v>
      </c>
      <c r="J21" s="881">
        <v>100</v>
      </c>
    </row>
    <row r="22" spans="2:10">
      <c r="B22" s="48"/>
      <c r="C22" s="887" t="s">
        <v>304</v>
      </c>
      <c r="D22" s="883">
        <v>95</v>
      </c>
      <c r="E22" s="883">
        <v>95</v>
      </c>
      <c r="F22" s="883">
        <v>95</v>
      </c>
      <c r="G22" s="883">
        <v>95</v>
      </c>
      <c r="H22" s="883">
        <v>94</v>
      </c>
      <c r="I22" s="883">
        <v>95</v>
      </c>
      <c r="J22" s="881">
        <v>94.833333333333329</v>
      </c>
    </row>
    <row r="23" spans="2:10">
      <c r="B23" s="48"/>
      <c r="C23" s="888" t="s">
        <v>306</v>
      </c>
      <c r="D23" s="883">
        <v>5</v>
      </c>
      <c r="E23" s="883">
        <v>5</v>
      </c>
      <c r="F23" s="883">
        <v>5</v>
      </c>
      <c r="G23" s="883">
        <v>5</v>
      </c>
      <c r="H23" s="883">
        <v>5</v>
      </c>
      <c r="I23" s="883">
        <v>5</v>
      </c>
      <c r="J23" s="881">
        <v>5</v>
      </c>
    </row>
    <row r="24" spans="2:10">
      <c r="B24" s="48"/>
      <c r="C24" s="887" t="s">
        <v>305</v>
      </c>
      <c r="D24" s="883">
        <v>1</v>
      </c>
      <c r="E24" s="883">
        <v>1</v>
      </c>
      <c r="F24" s="883">
        <v>1</v>
      </c>
      <c r="G24" s="883">
        <v>1</v>
      </c>
      <c r="H24" s="883">
        <v>1</v>
      </c>
      <c r="I24" s="883">
        <v>1</v>
      </c>
      <c r="J24" s="881">
        <v>1</v>
      </c>
    </row>
    <row r="25" spans="2:10">
      <c r="B25" s="48"/>
      <c r="C25" s="887"/>
      <c r="D25" s="883"/>
      <c r="E25" s="883"/>
      <c r="F25" s="883"/>
      <c r="G25" s="883"/>
      <c r="H25" s="883"/>
      <c r="I25" s="883"/>
      <c r="J25" s="881"/>
    </row>
    <row r="26" spans="2:10">
      <c r="B26" s="48"/>
      <c r="C26" s="885" t="s">
        <v>1736</v>
      </c>
      <c r="D26" s="881">
        <f>D27+D34+D39+D44</f>
        <v>5580</v>
      </c>
      <c r="E26" s="881">
        <f t="shared" ref="E26:J26" si="0">E27+E34+E39+E44</f>
        <v>5585</v>
      </c>
      <c r="F26" s="881">
        <f t="shared" si="0"/>
        <v>5581</v>
      </c>
      <c r="G26" s="881">
        <f t="shared" si="0"/>
        <v>5584</v>
      </c>
      <c r="H26" s="881">
        <f t="shared" si="0"/>
        <v>5569</v>
      </c>
      <c r="I26" s="881">
        <f t="shared" si="0"/>
        <v>5579</v>
      </c>
      <c r="J26" s="881">
        <f t="shared" si="0"/>
        <v>5579.666666666667</v>
      </c>
    </row>
    <row r="27" spans="2:10">
      <c r="B27" s="48" t="s">
        <v>274</v>
      </c>
      <c r="C27" s="885" t="s">
        <v>627</v>
      </c>
      <c r="D27" s="881">
        <v>3874</v>
      </c>
      <c r="E27" s="881">
        <v>3878</v>
      </c>
      <c r="F27" s="881">
        <v>3875</v>
      </c>
      <c r="G27" s="881">
        <v>3877</v>
      </c>
      <c r="H27" s="881">
        <v>3866</v>
      </c>
      <c r="I27" s="881">
        <v>3873</v>
      </c>
      <c r="J27" s="881">
        <v>3873.8333333333335</v>
      </c>
    </row>
    <row r="28" spans="2:10">
      <c r="B28" s="48"/>
      <c r="C28" s="887" t="s">
        <v>304</v>
      </c>
      <c r="D28" s="883">
        <v>3862</v>
      </c>
      <c r="E28" s="883">
        <v>3866</v>
      </c>
      <c r="F28" s="883">
        <v>3863</v>
      </c>
      <c r="G28" s="883">
        <v>3865</v>
      </c>
      <c r="H28" s="883">
        <v>3854</v>
      </c>
      <c r="I28" s="883">
        <v>3861</v>
      </c>
      <c r="J28" s="881">
        <v>3861.8333333333335</v>
      </c>
    </row>
    <row r="29" spans="2:10">
      <c r="B29" s="48"/>
      <c r="C29" s="887" t="s">
        <v>628</v>
      </c>
      <c r="D29" s="883">
        <v>0</v>
      </c>
      <c r="E29" s="883">
        <v>0</v>
      </c>
      <c r="F29" s="883">
        <v>0</v>
      </c>
      <c r="G29" s="883">
        <v>0</v>
      </c>
      <c r="H29" s="883">
        <v>0</v>
      </c>
      <c r="I29" s="883">
        <v>0</v>
      </c>
      <c r="J29" s="881">
        <v>0</v>
      </c>
    </row>
    <row r="30" spans="2:10">
      <c r="B30" s="48"/>
      <c r="C30" s="887" t="s">
        <v>629</v>
      </c>
      <c r="D30" s="883">
        <v>7</v>
      </c>
      <c r="E30" s="883">
        <v>7</v>
      </c>
      <c r="F30" s="883">
        <v>7</v>
      </c>
      <c r="G30" s="883">
        <v>7</v>
      </c>
      <c r="H30" s="883">
        <v>7</v>
      </c>
      <c r="I30" s="883">
        <v>7</v>
      </c>
      <c r="J30" s="881">
        <v>7</v>
      </c>
    </row>
    <row r="31" spans="2:10">
      <c r="B31" s="48"/>
      <c r="C31" s="887" t="s">
        <v>305</v>
      </c>
      <c r="D31" s="883">
        <v>4</v>
      </c>
      <c r="E31" s="883">
        <v>4</v>
      </c>
      <c r="F31" s="883">
        <v>4</v>
      </c>
      <c r="G31" s="883">
        <v>4</v>
      </c>
      <c r="H31" s="883">
        <v>4</v>
      </c>
      <c r="I31" s="883">
        <v>4</v>
      </c>
      <c r="J31" s="881">
        <v>4</v>
      </c>
    </row>
    <row r="32" spans="2:10">
      <c r="B32" s="48"/>
      <c r="C32" s="887" t="s">
        <v>307</v>
      </c>
      <c r="D32" s="883">
        <v>0</v>
      </c>
      <c r="E32" s="883">
        <v>0</v>
      </c>
      <c r="F32" s="883">
        <v>0</v>
      </c>
      <c r="G32" s="883">
        <v>0</v>
      </c>
      <c r="H32" s="883">
        <v>0</v>
      </c>
      <c r="I32" s="883">
        <v>0</v>
      </c>
      <c r="J32" s="881">
        <v>0</v>
      </c>
    </row>
    <row r="33" spans="2:10">
      <c r="B33" s="48"/>
      <c r="C33" s="887" t="s">
        <v>624</v>
      </c>
      <c r="D33" s="883">
        <v>1</v>
      </c>
      <c r="E33" s="883">
        <v>1</v>
      </c>
      <c r="F33" s="883">
        <v>1</v>
      </c>
      <c r="G33" s="883">
        <v>1</v>
      </c>
      <c r="H33" s="883">
        <v>1</v>
      </c>
      <c r="I33" s="883">
        <v>1</v>
      </c>
      <c r="J33" s="881">
        <v>1</v>
      </c>
    </row>
    <row r="34" spans="2:10">
      <c r="B34" s="48" t="s">
        <v>274</v>
      </c>
      <c r="C34" s="885" t="s">
        <v>631</v>
      </c>
      <c r="D34" s="881">
        <v>1344</v>
      </c>
      <c r="E34" s="881">
        <v>1345</v>
      </c>
      <c r="F34" s="881">
        <v>1344</v>
      </c>
      <c r="G34" s="881">
        <v>1345</v>
      </c>
      <c r="H34" s="881">
        <v>1341</v>
      </c>
      <c r="I34" s="881">
        <v>1344</v>
      </c>
      <c r="J34" s="881">
        <v>1343.8333333333333</v>
      </c>
    </row>
    <row r="35" spans="2:10">
      <c r="B35" s="48"/>
      <c r="C35" s="887" t="s">
        <v>304</v>
      </c>
      <c r="D35" s="883">
        <v>1339</v>
      </c>
      <c r="E35" s="883">
        <v>1340</v>
      </c>
      <c r="F35" s="883">
        <v>1339</v>
      </c>
      <c r="G35" s="883">
        <v>1340</v>
      </c>
      <c r="H35" s="883">
        <v>1336</v>
      </c>
      <c r="I35" s="883">
        <v>1339</v>
      </c>
      <c r="J35" s="881">
        <v>1338.8333333333333</v>
      </c>
    </row>
    <row r="36" spans="2:10">
      <c r="B36" s="48"/>
      <c r="C36" s="888" t="s">
        <v>306</v>
      </c>
      <c r="D36" s="883">
        <v>0</v>
      </c>
      <c r="E36" s="883">
        <v>0</v>
      </c>
      <c r="F36" s="883">
        <v>0</v>
      </c>
      <c r="G36" s="883">
        <v>0</v>
      </c>
      <c r="H36" s="883">
        <v>0</v>
      </c>
      <c r="I36" s="883">
        <v>0</v>
      </c>
      <c r="J36" s="881">
        <v>0</v>
      </c>
    </row>
    <row r="37" spans="2:10">
      <c r="B37" s="48"/>
      <c r="C37" s="887" t="s">
        <v>305</v>
      </c>
      <c r="D37" s="883">
        <v>1</v>
      </c>
      <c r="E37" s="883">
        <v>1</v>
      </c>
      <c r="F37" s="883">
        <v>1</v>
      </c>
      <c r="G37" s="883">
        <v>1</v>
      </c>
      <c r="H37" s="883">
        <v>1</v>
      </c>
      <c r="I37" s="883">
        <v>1</v>
      </c>
      <c r="J37" s="881">
        <v>1</v>
      </c>
    </row>
    <row r="38" spans="2:10">
      <c r="B38" s="48"/>
      <c r="C38" s="887" t="s">
        <v>307</v>
      </c>
      <c r="D38" s="883">
        <v>4</v>
      </c>
      <c r="E38" s="883">
        <v>4</v>
      </c>
      <c r="F38" s="883">
        <v>4</v>
      </c>
      <c r="G38" s="883">
        <v>4</v>
      </c>
      <c r="H38" s="883">
        <v>4</v>
      </c>
      <c r="I38" s="883">
        <v>4</v>
      </c>
      <c r="J38" s="881">
        <v>4</v>
      </c>
    </row>
    <row r="39" spans="2:10">
      <c r="B39" s="48" t="s">
        <v>274</v>
      </c>
      <c r="C39" s="885" t="s">
        <v>632</v>
      </c>
      <c r="D39" s="881">
        <v>239</v>
      </c>
      <c r="E39" s="881">
        <v>239</v>
      </c>
      <c r="F39" s="881">
        <v>239</v>
      </c>
      <c r="G39" s="881">
        <v>239</v>
      </c>
      <c r="H39" s="881">
        <v>239</v>
      </c>
      <c r="I39" s="881">
        <v>239</v>
      </c>
      <c r="J39" s="881">
        <v>239</v>
      </c>
    </row>
    <row r="40" spans="2:10">
      <c r="B40" s="48"/>
      <c r="C40" s="887" t="s">
        <v>304</v>
      </c>
      <c r="D40" s="883">
        <v>239</v>
      </c>
      <c r="E40" s="883">
        <v>239</v>
      </c>
      <c r="F40" s="883">
        <v>239</v>
      </c>
      <c r="G40" s="883">
        <v>239</v>
      </c>
      <c r="H40" s="883">
        <v>239</v>
      </c>
      <c r="I40" s="883">
        <v>239</v>
      </c>
      <c r="J40" s="881">
        <v>239</v>
      </c>
    </row>
    <row r="41" spans="2:10">
      <c r="B41" s="48"/>
      <c r="C41" s="888" t="s">
        <v>306</v>
      </c>
      <c r="D41" s="883">
        <v>0</v>
      </c>
      <c r="E41" s="883">
        <v>0</v>
      </c>
      <c r="F41" s="883">
        <v>0</v>
      </c>
      <c r="G41" s="883">
        <v>0</v>
      </c>
      <c r="H41" s="883">
        <v>0</v>
      </c>
      <c r="I41" s="883">
        <v>0</v>
      </c>
      <c r="J41" s="881">
        <v>0</v>
      </c>
    </row>
    <row r="42" spans="2:10">
      <c r="B42" s="48"/>
      <c r="C42" s="887" t="s">
        <v>305</v>
      </c>
      <c r="D42" s="883">
        <v>0</v>
      </c>
      <c r="E42" s="883">
        <v>0</v>
      </c>
      <c r="F42" s="883">
        <v>0</v>
      </c>
      <c r="G42" s="883">
        <v>0</v>
      </c>
      <c r="H42" s="883">
        <v>0</v>
      </c>
      <c r="I42" s="883">
        <v>0</v>
      </c>
      <c r="J42" s="881">
        <v>0</v>
      </c>
    </row>
    <row r="43" spans="2:10">
      <c r="B43" s="48"/>
      <c r="C43" s="887" t="s">
        <v>307</v>
      </c>
      <c r="D43" s="883">
        <v>0</v>
      </c>
      <c r="E43" s="883">
        <v>0</v>
      </c>
      <c r="F43" s="883">
        <v>0</v>
      </c>
      <c r="G43" s="883">
        <v>0</v>
      </c>
      <c r="H43" s="883">
        <v>0</v>
      </c>
      <c r="I43" s="883">
        <v>0</v>
      </c>
      <c r="J43" s="881">
        <v>0</v>
      </c>
    </row>
    <row r="44" spans="2:10">
      <c r="B44" s="48" t="s">
        <v>274</v>
      </c>
      <c r="C44" s="885" t="s">
        <v>633</v>
      </c>
      <c r="D44" s="881">
        <v>123</v>
      </c>
      <c r="E44" s="881">
        <v>123</v>
      </c>
      <c r="F44" s="881">
        <v>123</v>
      </c>
      <c r="G44" s="881">
        <v>123</v>
      </c>
      <c r="H44" s="881">
        <v>123</v>
      </c>
      <c r="I44" s="881">
        <v>123</v>
      </c>
      <c r="J44" s="881">
        <v>123</v>
      </c>
    </row>
    <row r="45" spans="2:10">
      <c r="B45" s="48"/>
      <c r="C45" s="887" t="s">
        <v>304</v>
      </c>
      <c r="D45" s="883">
        <v>123</v>
      </c>
      <c r="E45" s="883">
        <v>123</v>
      </c>
      <c r="F45" s="883">
        <v>123</v>
      </c>
      <c r="G45" s="883">
        <v>123</v>
      </c>
      <c r="H45" s="883">
        <v>123</v>
      </c>
      <c r="I45" s="883">
        <v>123</v>
      </c>
      <c r="J45" s="881">
        <v>123</v>
      </c>
    </row>
    <row r="46" spans="2:10">
      <c r="B46" s="48"/>
      <c r="C46" s="888" t="s">
        <v>306</v>
      </c>
      <c r="D46" s="883">
        <v>0</v>
      </c>
      <c r="E46" s="883">
        <v>0</v>
      </c>
      <c r="F46" s="883">
        <v>0</v>
      </c>
      <c r="G46" s="883">
        <v>0</v>
      </c>
      <c r="H46" s="883">
        <v>0</v>
      </c>
      <c r="I46" s="883">
        <v>0</v>
      </c>
      <c r="J46" s="881">
        <v>0</v>
      </c>
    </row>
    <row r="47" spans="2:10">
      <c r="B47" s="48"/>
      <c r="C47" s="887" t="s">
        <v>305</v>
      </c>
      <c r="D47" s="883">
        <v>0</v>
      </c>
      <c r="E47" s="883">
        <v>0</v>
      </c>
      <c r="F47" s="883">
        <v>0</v>
      </c>
      <c r="G47" s="883">
        <v>0</v>
      </c>
      <c r="H47" s="883">
        <v>0</v>
      </c>
      <c r="I47" s="883">
        <v>0</v>
      </c>
      <c r="J47" s="881">
        <v>0</v>
      </c>
    </row>
    <row r="48" spans="2:10">
      <c r="B48" s="48"/>
      <c r="C48" s="887" t="s">
        <v>307</v>
      </c>
      <c r="D48" s="883">
        <v>0</v>
      </c>
      <c r="E48" s="883">
        <v>0</v>
      </c>
      <c r="F48" s="883">
        <v>0</v>
      </c>
      <c r="G48" s="883">
        <v>0</v>
      </c>
      <c r="H48" s="883">
        <v>0</v>
      </c>
      <c r="I48" s="883">
        <v>0</v>
      </c>
      <c r="J48" s="881">
        <v>0</v>
      </c>
    </row>
    <row r="49" spans="2:10">
      <c r="B49" s="48"/>
      <c r="C49" s="884"/>
      <c r="D49" s="883"/>
      <c r="E49" s="883"/>
      <c r="F49" s="883"/>
      <c r="G49" s="883"/>
      <c r="H49" s="883"/>
      <c r="I49" s="883"/>
      <c r="J49" s="881"/>
    </row>
    <row r="50" spans="2:10">
      <c r="B50" s="48" t="s">
        <v>1176</v>
      </c>
      <c r="C50" s="885" t="s">
        <v>1176</v>
      </c>
      <c r="D50" s="881">
        <f>SUBTOTAL(9,D51:D56)</f>
        <v>1</v>
      </c>
      <c r="E50" s="881">
        <f t="shared" ref="E50:I50" si="1">SUBTOTAL(9,E51:E56)</f>
        <v>1</v>
      </c>
      <c r="F50" s="881">
        <f t="shared" si="1"/>
        <v>1</v>
      </c>
      <c r="G50" s="881">
        <f t="shared" si="1"/>
        <v>1</v>
      </c>
      <c r="H50" s="881">
        <f t="shared" si="1"/>
        <v>1</v>
      </c>
      <c r="I50" s="881">
        <f t="shared" si="1"/>
        <v>1</v>
      </c>
      <c r="J50" s="881">
        <f t="shared" ref="J50:J56" si="2">AVERAGE(D50:I50)</f>
        <v>1</v>
      </c>
    </row>
    <row r="51" spans="2:10">
      <c r="B51" s="48"/>
      <c r="C51" s="887" t="s">
        <v>304</v>
      </c>
      <c r="D51" s="883">
        <v>1</v>
      </c>
      <c r="E51" s="883">
        <v>1</v>
      </c>
      <c r="F51" s="883">
        <v>1</v>
      </c>
      <c r="G51" s="883">
        <v>1</v>
      </c>
      <c r="H51" s="883">
        <v>1</v>
      </c>
      <c r="I51" s="883">
        <v>1</v>
      </c>
      <c r="J51" s="881">
        <f t="shared" si="2"/>
        <v>1</v>
      </c>
    </row>
    <row r="52" spans="2:10">
      <c r="B52" s="48"/>
      <c r="C52" s="889" t="s">
        <v>642</v>
      </c>
      <c r="D52" s="883">
        <v>0</v>
      </c>
      <c r="E52" s="883">
        <v>0</v>
      </c>
      <c r="F52" s="883">
        <v>0</v>
      </c>
      <c r="G52" s="883">
        <v>0</v>
      </c>
      <c r="H52" s="883">
        <v>0</v>
      </c>
      <c r="I52" s="883">
        <v>0</v>
      </c>
      <c r="J52" s="881">
        <f t="shared" si="2"/>
        <v>0</v>
      </c>
    </row>
    <row r="53" spans="2:10">
      <c r="B53" s="48"/>
      <c r="C53" s="889" t="s">
        <v>1177</v>
      </c>
      <c r="D53" s="883">
        <v>0</v>
      </c>
      <c r="E53" s="883">
        <v>0</v>
      </c>
      <c r="F53" s="883">
        <v>0</v>
      </c>
      <c r="G53" s="883">
        <v>0</v>
      </c>
      <c r="H53" s="883">
        <v>0</v>
      </c>
      <c r="I53" s="883">
        <v>0</v>
      </c>
      <c r="J53" s="881">
        <f t="shared" si="2"/>
        <v>0</v>
      </c>
    </row>
    <row r="54" spans="2:10">
      <c r="B54" s="48"/>
      <c r="C54" s="887" t="s">
        <v>305</v>
      </c>
      <c r="D54" s="883">
        <v>0</v>
      </c>
      <c r="E54" s="883">
        <v>0</v>
      </c>
      <c r="F54" s="883">
        <v>0</v>
      </c>
      <c r="G54" s="883">
        <v>0</v>
      </c>
      <c r="H54" s="883">
        <v>0</v>
      </c>
      <c r="I54" s="883">
        <v>0</v>
      </c>
      <c r="J54" s="881">
        <f t="shared" si="2"/>
        <v>0</v>
      </c>
    </row>
    <row r="55" spans="2:10">
      <c r="B55" s="48"/>
      <c r="C55" s="887" t="s">
        <v>307</v>
      </c>
      <c r="D55" s="883">
        <v>0</v>
      </c>
      <c r="E55" s="883">
        <v>0</v>
      </c>
      <c r="F55" s="883">
        <v>0</v>
      </c>
      <c r="G55" s="883">
        <v>0</v>
      </c>
      <c r="H55" s="883">
        <v>0</v>
      </c>
      <c r="I55" s="883">
        <v>0</v>
      </c>
      <c r="J55" s="881">
        <f t="shared" si="2"/>
        <v>0</v>
      </c>
    </row>
    <row r="56" spans="2:10">
      <c r="B56" s="48"/>
      <c r="C56" s="887" t="s">
        <v>624</v>
      </c>
      <c r="D56" s="883">
        <v>0</v>
      </c>
      <c r="E56" s="883">
        <v>0</v>
      </c>
      <c r="F56" s="883">
        <v>0</v>
      </c>
      <c r="G56" s="883">
        <v>0</v>
      </c>
      <c r="H56" s="883">
        <v>0</v>
      </c>
      <c r="I56" s="883">
        <v>0</v>
      </c>
      <c r="J56" s="881">
        <f t="shared" si="2"/>
        <v>0</v>
      </c>
    </row>
    <row r="57" spans="2:10">
      <c r="B57" s="48"/>
      <c r="C57" s="887"/>
      <c r="D57" s="883"/>
      <c r="E57" s="883"/>
      <c r="F57" s="883"/>
      <c r="G57" s="883"/>
      <c r="H57" s="883"/>
      <c r="I57" s="883"/>
      <c r="J57" s="881"/>
    </row>
    <row r="58" spans="2:10">
      <c r="B58" s="48"/>
      <c r="C58" s="885" t="s">
        <v>755</v>
      </c>
      <c r="D58" s="881">
        <f>D59+D65+D71+D78+D86+D92+D99</f>
        <v>541090</v>
      </c>
      <c r="E58" s="881">
        <f t="shared" ref="E58:J58" si="3">E59+E65+E71+E78+E86+E92+E99</f>
        <v>541747</v>
      </c>
      <c r="F58" s="881">
        <f t="shared" si="3"/>
        <v>541360</v>
      </c>
      <c r="G58" s="881">
        <f t="shared" si="3"/>
        <v>541522</v>
      </c>
      <c r="H58" s="881">
        <f t="shared" si="3"/>
        <v>540031</v>
      </c>
      <c r="I58" s="881">
        <f t="shared" si="3"/>
        <v>541073</v>
      </c>
      <c r="J58" s="881">
        <f t="shared" si="3"/>
        <v>541137.16666666663</v>
      </c>
    </row>
    <row r="59" spans="2:10">
      <c r="B59" s="48" t="s">
        <v>751</v>
      </c>
      <c r="C59" s="1405" t="s">
        <v>2186</v>
      </c>
      <c r="D59" s="881">
        <f>SUBTOTAL(9,D60:D64)</f>
        <v>0</v>
      </c>
      <c r="E59" s="881">
        <f t="shared" ref="E59:I59" si="4">SUBTOTAL(9,E60:E64)</f>
        <v>0</v>
      </c>
      <c r="F59" s="881">
        <f t="shared" si="4"/>
        <v>0</v>
      </c>
      <c r="G59" s="881">
        <f t="shared" si="4"/>
        <v>0</v>
      </c>
      <c r="H59" s="881">
        <f t="shared" si="4"/>
        <v>0</v>
      </c>
      <c r="I59" s="881">
        <f t="shared" si="4"/>
        <v>0</v>
      </c>
      <c r="J59" s="881">
        <f>AVERAGE(D59:I59)</f>
        <v>0</v>
      </c>
    </row>
    <row r="60" spans="2:10">
      <c r="B60" s="48"/>
      <c r="C60" s="887" t="s">
        <v>304</v>
      </c>
      <c r="D60" s="883"/>
      <c r="E60" s="883"/>
      <c r="F60" s="883"/>
      <c r="G60" s="883"/>
      <c r="H60" s="883"/>
      <c r="I60" s="883"/>
      <c r="J60" s="881"/>
    </row>
    <row r="61" spans="2:10">
      <c r="B61" s="48"/>
      <c r="C61" s="888" t="s">
        <v>306</v>
      </c>
      <c r="D61" s="883"/>
      <c r="E61" s="883"/>
      <c r="F61" s="883"/>
      <c r="G61" s="883"/>
      <c r="H61" s="883"/>
      <c r="I61" s="883"/>
      <c r="J61" s="881"/>
    </row>
    <row r="62" spans="2:10">
      <c r="B62" s="48"/>
      <c r="C62" s="887" t="s">
        <v>305</v>
      </c>
      <c r="D62" s="883"/>
      <c r="E62" s="883"/>
      <c r="F62" s="883"/>
      <c r="G62" s="883"/>
      <c r="H62" s="883"/>
      <c r="I62" s="883"/>
      <c r="J62" s="881"/>
    </row>
    <row r="63" spans="2:10">
      <c r="B63" s="48"/>
      <c r="C63" s="887" t="s">
        <v>307</v>
      </c>
      <c r="D63" s="883"/>
      <c r="E63" s="883"/>
      <c r="F63" s="883"/>
      <c r="G63" s="883"/>
      <c r="H63" s="883"/>
      <c r="I63" s="883"/>
      <c r="J63" s="881"/>
    </row>
    <row r="64" spans="2:10">
      <c r="B64" s="48"/>
      <c r="C64" s="887" t="s">
        <v>624</v>
      </c>
      <c r="D64" s="883"/>
      <c r="E64" s="883"/>
      <c r="F64" s="883"/>
      <c r="G64" s="883"/>
      <c r="H64" s="883"/>
      <c r="I64" s="883"/>
      <c r="J64" s="881"/>
    </row>
    <row r="65" spans="2:10">
      <c r="B65" s="48" t="s">
        <v>751</v>
      </c>
      <c r="C65" s="885" t="s">
        <v>634</v>
      </c>
      <c r="D65" s="881">
        <v>324991</v>
      </c>
      <c r="E65" s="881">
        <v>325386</v>
      </c>
      <c r="F65" s="881">
        <v>325153</v>
      </c>
      <c r="G65" s="881">
        <v>325250</v>
      </c>
      <c r="H65" s="881">
        <v>324354</v>
      </c>
      <c r="I65" s="881">
        <v>324980</v>
      </c>
      <c r="J65" s="881">
        <v>325019</v>
      </c>
    </row>
    <row r="66" spans="2:10">
      <c r="B66" s="48"/>
      <c r="C66" s="887" t="s">
        <v>304</v>
      </c>
      <c r="D66" s="883">
        <v>239625</v>
      </c>
      <c r="E66" s="883">
        <v>239916</v>
      </c>
      <c r="F66" s="883">
        <v>239744</v>
      </c>
      <c r="G66" s="883">
        <v>239816</v>
      </c>
      <c r="H66" s="883">
        <v>239155</v>
      </c>
      <c r="I66" s="883">
        <v>239617</v>
      </c>
      <c r="J66" s="881">
        <v>239645.5</v>
      </c>
    </row>
    <row r="67" spans="2:10">
      <c r="B67" s="48"/>
      <c r="C67" s="888" t="s">
        <v>306</v>
      </c>
      <c r="D67" s="883">
        <v>85356</v>
      </c>
      <c r="E67" s="883">
        <v>85460</v>
      </c>
      <c r="F67" s="883">
        <v>85399</v>
      </c>
      <c r="G67" s="883">
        <v>85424</v>
      </c>
      <c r="H67" s="883">
        <v>85189</v>
      </c>
      <c r="I67" s="883">
        <v>85353</v>
      </c>
      <c r="J67" s="881">
        <v>85363.5</v>
      </c>
    </row>
    <row r="68" spans="2:10">
      <c r="B68" s="48"/>
      <c r="C68" s="887" t="s">
        <v>305</v>
      </c>
      <c r="D68" s="883">
        <v>5</v>
      </c>
      <c r="E68" s="883">
        <v>5</v>
      </c>
      <c r="F68" s="883">
        <v>5</v>
      </c>
      <c r="G68" s="883">
        <v>5</v>
      </c>
      <c r="H68" s="883">
        <v>5</v>
      </c>
      <c r="I68" s="883">
        <v>5</v>
      </c>
      <c r="J68" s="881">
        <v>5</v>
      </c>
    </row>
    <row r="69" spans="2:10">
      <c r="B69" s="48"/>
      <c r="C69" s="887" t="s">
        <v>307</v>
      </c>
      <c r="D69" s="883">
        <v>0</v>
      </c>
      <c r="E69" s="883">
        <v>0</v>
      </c>
      <c r="F69" s="883">
        <v>0</v>
      </c>
      <c r="G69" s="883">
        <v>0</v>
      </c>
      <c r="H69" s="883">
        <v>0</v>
      </c>
      <c r="I69" s="883">
        <v>0</v>
      </c>
      <c r="J69" s="881">
        <v>0</v>
      </c>
    </row>
    <row r="70" spans="2:10">
      <c r="B70" s="48"/>
      <c r="C70" s="887" t="s">
        <v>624</v>
      </c>
      <c r="D70" s="883">
        <v>5</v>
      </c>
      <c r="E70" s="883">
        <v>5</v>
      </c>
      <c r="F70" s="883">
        <v>5</v>
      </c>
      <c r="G70" s="883">
        <v>5</v>
      </c>
      <c r="H70" s="883">
        <v>5</v>
      </c>
      <c r="I70" s="883">
        <v>5</v>
      </c>
      <c r="J70" s="881">
        <v>5</v>
      </c>
    </row>
    <row r="71" spans="2:10">
      <c r="B71" s="48" t="s">
        <v>750</v>
      </c>
      <c r="C71" s="885" t="s">
        <v>635</v>
      </c>
      <c r="D71" s="881">
        <v>114627</v>
      </c>
      <c r="E71" s="881">
        <v>114767</v>
      </c>
      <c r="F71" s="881">
        <v>114685</v>
      </c>
      <c r="G71" s="881">
        <v>114719</v>
      </c>
      <c r="H71" s="881">
        <v>114403</v>
      </c>
      <c r="I71" s="881">
        <v>114624</v>
      </c>
      <c r="J71" s="881">
        <v>114637.5</v>
      </c>
    </row>
    <row r="72" spans="2:10">
      <c r="B72" s="48"/>
      <c r="C72" s="887" t="s">
        <v>304</v>
      </c>
      <c r="D72" s="883">
        <v>67210</v>
      </c>
      <c r="E72" s="883">
        <v>67292</v>
      </c>
      <c r="F72" s="883">
        <v>67244</v>
      </c>
      <c r="G72" s="883">
        <v>67264</v>
      </c>
      <c r="H72" s="883">
        <v>67078</v>
      </c>
      <c r="I72" s="883">
        <v>67208</v>
      </c>
      <c r="J72" s="881">
        <v>67216</v>
      </c>
    </row>
    <row r="73" spans="2:10">
      <c r="B73" s="48"/>
      <c r="C73" s="889" t="s">
        <v>642</v>
      </c>
      <c r="D73" s="883">
        <v>40356</v>
      </c>
      <c r="E73" s="883">
        <v>40405</v>
      </c>
      <c r="F73" s="883">
        <v>40376</v>
      </c>
      <c r="G73" s="883">
        <v>40388</v>
      </c>
      <c r="H73" s="883">
        <v>40277</v>
      </c>
      <c r="I73" s="883">
        <v>40355</v>
      </c>
      <c r="J73" s="881">
        <v>40359.5</v>
      </c>
    </row>
    <row r="74" spans="2:10">
      <c r="B74" s="48"/>
      <c r="C74" s="889" t="s">
        <v>1177</v>
      </c>
      <c r="D74" s="883">
        <v>7054</v>
      </c>
      <c r="E74" s="883">
        <v>7063</v>
      </c>
      <c r="F74" s="883">
        <v>7058</v>
      </c>
      <c r="G74" s="883">
        <v>7060</v>
      </c>
      <c r="H74" s="883">
        <v>7041</v>
      </c>
      <c r="I74" s="883">
        <v>7054</v>
      </c>
      <c r="J74" s="881">
        <v>7055</v>
      </c>
    </row>
    <row r="75" spans="2:10">
      <c r="B75" s="48"/>
      <c r="C75" s="887" t="s">
        <v>305</v>
      </c>
      <c r="D75" s="883">
        <v>5</v>
      </c>
      <c r="E75" s="883">
        <v>5</v>
      </c>
      <c r="F75" s="883">
        <v>5</v>
      </c>
      <c r="G75" s="883">
        <v>5</v>
      </c>
      <c r="H75" s="883">
        <v>5</v>
      </c>
      <c r="I75" s="883">
        <v>5</v>
      </c>
      <c r="J75" s="881">
        <v>5</v>
      </c>
    </row>
    <row r="76" spans="2:10">
      <c r="B76" s="48"/>
      <c r="C76" s="887" t="s">
        <v>307</v>
      </c>
      <c r="D76" s="883">
        <v>1</v>
      </c>
      <c r="E76" s="883">
        <v>1</v>
      </c>
      <c r="F76" s="883">
        <v>1</v>
      </c>
      <c r="G76" s="883">
        <v>1</v>
      </c>
      <c r="H76" s="883">
        <v>1</v>
      </c>
      <c r="I76" s="883">
        <v>1</v>
      </c>
      <c r="J76" s="881">
        <v>1</v>
      </c>
    </row>
    <row r="77" spans="2:10">
      <c r="B77" s="48"/>
      <c r="C77" s="887" t="s">
        <v>624</v>
      </c>
      <c r="D77" s="883">
        <v>1</v>
      </c>
      <c r="E77" s="883">
        <v>1</v>
      </c>
      <c r="F77" s="883">
        <v>1</v>
      </c>
      <c r="G77" s="883">
        <v>1</v>
      </c>
      <c r="H77" s="883">
        <v>1</v>
      </c>
      <c r="I77" s="883">
        <v>1</v>
      </c>
      <c r="J77" s="881">
        <v>1</v>
      </c>
    </row>
    <row r="78" spans="2:10">
      <c r="B78" s="48" t="s">
        <v>749</v>
      </c>
      <c r="C78" s="885" t="s">
        <v>636</v>
      </c>
      <c r="D78" s="881">
        <v>34180</v>
      </c>
      <c r="E78" s="881">
        <v>34221</v>
      </c>
      <c r="F78" s="881">
        <v>34197</v>
      </c>
      <c r="G78" s="881">
        <v>34207</v>
      </c>
      <c r="H78" s="881">
        <v>34113</v>
      </c>
      <c r="I78" s="881">
        <v>34179</v>
      </c>
      <c r="J78" s="881">
        <v>34182.833333333336</v>
      </c>
    </row>
    <row r="79" spans="2:10">
      <c r="C79" s="887" t="s">
        <v>304</v>
      </c>
      <c r="D79" s="883">
        <v>26023</v>
      </c>
      <c r="E79" s="883">
        <v>26054</v>
      </c>
      <c r="F79" s="883">
        <v>26036</v>
      </c>
      <c r="G79" s="883">
        <v>26043</v>
      </c>
      <c r="H79" s="883">
        <v>25972</v>
      </c>
      <c r="I79" s="883">
        <v>26022</v>
      </c>
      <c r="J79" s="881">
        <v>26025</v>
      </c>
    </row>
    <row r="80" spans="2:10">
      <c r="C80" s="889" t="s">
        <v>642</v>
      </c>
      <c r="D80" s="883">
        <v>8143</v>
      </c>
      <c r="E80" s="883">
        <v>8153</v>
      </c>
      <c r="F80" s="883">
        <v>8147</v>
      </c>
      <c r="G80" s="883">
        <v>8150</v>
      </c>
      <c r="H80" s="883">
        <v>8127</v>
      </c>
      <c r="I80" s="883">
        <v>8143</v>
      </c>
      <c r="J80" s="881">
        <v>8143.833333333333</v>
      </c>
    </row>
    <row r="81" spans="2:10">
      <c r="C81" s="889" t="s">
        <v>1177</v>
      </c>
      <c r="D81" s="883"/>
      <c r="E81" s="883"/>
      <c r="F81" s="883"/>
      <c r="G81" s="883"/>
      <c r="H81" s="883"/>
      <c r="I81" s="883"/>
      <c r="J81" s="881"/>
    </row>
    <row r="82" spans="2:10">
      <c r="C82" s="887" t="s">
        <v>305</v>
      </c>
      <c r="D82" s="883">
        <v>9</v>
      </c>
      <c r="E82" s="883">
        <v>9</v>
      </c>
      <c r="F82" s="883">
        <v>9</v>
      </c>
      <c r="G82" s="883">
        <v>9</v>
      </c>
      <c r="H82" s="883">
        <v>9</v>
      </c>
      <c r="I82" s="883">
        <v>9</v>
      </c>
      <c r="J82" s="881">
        <v>9</v>
      </c>
    </row>
    <row r="83" spans="2:10">
      <c r="C83" s="887" t="s">
        <v>307</v>
      </c>
      <c r="D83" s="883">
        <v>1</v>
      </c>
      <c r="E83" s="883">
        <v>1</v>
      </c>
      <c r="F83" s="883">
        <v>1</v>
      </c>
      <c r="G83" s="883">
        <v>1</v>
      </c>
      <c r="H83" s="883">
        <v>1</v>
      </c>
      <c r="I83" s="883">
        <v>1</v>
      </c>
      <c r="J83" s="881">
        <v>1</v>
      </c>
    </row>
    <row r="84" spans="2:10">
      <c r="C84" s="887" t="s">
        <v>624</v>
      </c>
      <c r="D84" s="883">
        <v>4</v>
      </c>
      <c r="E84" s="883">
        <v>4</v>
      </c>
      <c r="F84" s="883">
        <v>4</v>
      </c>
      <c r="G84" s="883">
        <v>4</v>
      </c>
      <c r="H84" s="883">
        <v>4</v>
      </c>
      <c r="I84" s="883">
        <v>4</v>
      </c>
      <c r="J84" s="881">
        <v>4</v>
      </c>
    </row>
    <row r="85" spans="2:10">
      <c r="C85" s="887"/>
      <c r="D85" s="883"/>
      <c r="E85" s="883"/>
      <c r="F85" s="883"/>
      <c r="G85" s="883"/>
      <c r="H85" s="883"/>
      <c r="I85" s="883"/>
      <c r="J85" s="881"/>
    </row>
    <row r="86" spans="2:10">
      <c r="B86" s="48" t="s">
        <v>902</v>
      </c>
      <c r="C86" s="885" t="s">
        <v>898</v>
      </c>
      <c r="D86" s="881">
        <v>59825</v>
      </c>
      <c r="E86" s="881">
        <v>59897</v>
      </c>
      <c r="F86" s="881">
        <v>59855</v>
      </c>
      <c r="G86" s="881">
        <v>59873</v>
      </c>
      <c r="H86" s="881">
        <v>59708</v>
      </c>
      <c r="I86" s="881">
        <v>59823</v>
      </c>
      <c r="J86" s="881">
        <v>59830.166666666664</v>
      </c>
    </row>
    <row r="87" spans="2:10">
      <c r="C87" s="887" t="s">
        <v>304</v>
      </c>
      <c r="D87" s="883">
        <v>58036</v>
      </c>
      <c r="E87" s="883">
        <v>58106</v>
      </c>
      <c r="F87" s="883">
        <v>58065</v>
      </c>
      <c r="G87" s="883">
        <v>58082</v>
      </c>
      <c r="H87" s="883">
        <v>57922</v>
      </c>
      <c r="I87" s="883">
        <v>58034</v>
      </c>
      <c r="J87" s="881">
        <v>58040.833333333336</v>
      </c>
    </row>
    <row r="88" spans="2:10">
      <c r="C88" s="888" t="s">
        <v>306</v>
      </c>
      <c r="D88" s="883">
        <v>1789</v>
      </c>
      <c r="E88" s="883">
        <v>1791</v>
      </c>
      <c r="F88" s="883">
        <v>1790</v>
      </c>
      <c r="G88" s="883">
        <v>1791</v>
      </c>
      <c r="H88" s="883">
        <v>1786</v>
      </c>
      <c r="I88" s="883">
        <v>1789</v>
      </c>
      <c r="J88" s="881">
        <v>1789.3333333333333</v>
      </c>
    </row>
    <row r="89" spans="2:10">
      <c r="C89" s="887" t="s">
        <v>305</v>
      </c>
      <c r="D89" s="883">
        <v>0</v>
      </c>
      <c r="E89" s="883">
        <v>0</v>
      </c>
      <c r="F89" s="883">
        <v>0</v>
      </c>
      <c r="G89" s="883">
        <v>0</v>
      </c>
      <c r="H89" s="883">
        <v>0</v>
      </c>
      <c r="I89" s="883">
        <v>0</v>
      </c>
      <c r="J89" s="881">
        <v>0</v>
      </c>
    </row>
    <row r="90" spans="2:10">
      <c r="C90" s="887" t="s">
        <v>307</v>
      </c>
      <c r="D90" s="883">
        <v>0</v>
      </c>
      <c r="E90" s="883">
        <v>0</v>
      </c>
      <c r="F90" s="883">
        <v>0</v>
      </c>
      <c r="G90" s="883">
        <v>0</v>
      </c>
      <c r="H90" s="883">
        <v>0</v>
      </c>
      <c r="I90" s="883">
        <v>0</v>
      </c>
      <c r="J90" s="881">
        <v>0</v>
      </c>
    </row>
    <row r="91" spans="2:10">
      <c r="C91" s="887" t="s">
        <v>624</v>
      </c>
      <c r="D91" s="883">
        <v>0</v>
      </c>
      <c r="E91" s="883">
        <v>0</v>
      </c>
      <c r="F91" s="883">
        <v>0</v>
      </c>
      <c r="G91" s="883">
        <v>0</v>
      </c>
      <c r="H91" s="883">
        <v>0</v>
      </c>
      <c r="I91" s="883">
        <v>0</v>
      </c>
      <c r="J91" s="881">
        <v>0</v>
      </c>
    </row>
    <row r="92" spans="2:10">
      <c r="B92" s="48" t="s">
        <v>902</v>
      </c>
      <c r="C92" s="885" t="s">
        <v>899</v>
      </c>
      <c r="D92" s="881">
        <v>7224</v>
      </c>
      <c r="E92" s="881">
        <v>7233</v>
      </c>
      <c r="F92" s="881">
        <v>7227</v>
      </c>
      <c r="G92" s="881">
        <v>7230</v>
      </c>
      <c r="H92" s="881">
        <v>7210</v>
      </c>
      <c r="I92" s="881">
        <v>7224</v>
      </c>
      <c r="J92" s="881">
        <v>7224.666666666667</v>
      </c>
    </row>
    <row r="93" spans="2:10">
      <c r="C93" s="887" t="s">
        <v>304</v>
      </c>
      <c r="D93" s="883">
        <v>6585</v>
      </c>
      <c r="E93" s="883">
        <v>6593</v>
      </c>
      <c r="F93" s="883">
        <v>6588</v>
      </c>
      <c r="G93" s="883">
        <v>6590</v>
      </c>
      <c r="H93" s="883">
        <v>6572</v>
      </c>
      <c r="I93" s="883">
        <v>6585</v>
      </c>
      <c r="J93" s="881">
        <v>6585.5</v>
      </c>
    </row>
    <row r="94" spans="2:10">
      <c r="C94" s="889" t="s">
        <v>642</v>
      </c>
      <c r="D94" s="883">
        <v>584</v>
      </c>
      <c r="E94" s="883">
        <v>585</v>
      </c>
      <c r="F94" s="883">
        <v>584</v>
      </c>
      <c r="G94" s="883">
        <v>585</v>
      </c>
      <c r="H94" s="883">
        <v>583</v>
      </c>
      <c r="I94" s="883">
        <v>584</v>
      </c>
      <c r="J94" s="881">
        <v>584.16666666666663</v>
      </c>
    </row>
    <row r="95" spans="2:10">
      <c r="C95" s="889" t="s">
        <v>1177</v>
      </c>
      <c r="D95" s="883">
        <v>55</v>
      </c>
      <c r="E95" s="883">
        <v>55</v>
      </c>
      <c r="F95" s="883">
        <v>55</v>
      </c>
      <c r="G95" s="883">
        <v>55</v>
      </c>
      <c r="H95" s="883">
        <v>55</v>
      </c>
      <c r="I95" s="883">
        <v>55</v>
      </c>
      <c r="J95" s="881">
        <v>55</v>
      </c>
    </row>
    <row r="96" spans="2:10">
      <c r="C96" s="887" t="s">
        <v>305</v>
      </c>
      <c r="D96" s="883">
        <v>0</v>
      </c>
      <c r="E96" s="883">
        <v>0</v>
      </c>
      <c r="F96" s="883">
        <v>0</v>
      </c>
      <c r="G96" s="883">
        <v>0</v>
      </c>
      <c r="H96" s="883">
        <v>0</v>
      </c>
      <c r="I96" s="883">
        <v>0</v>
      </c>
      <c r="J96" s="881">
        <v>0</v>
      </c>
    </row>
    <row r="97" spans="1:10">
      <c r="C97" s="887" t="s">
        <v>307</v>
      </c>
      <c r="D97" s="883">
        <v>0</v>
      </c>
      <c r="E97" s="883">
        <v>0</v>
      </c>
      <c r="F97" s="883">
        <v>0</v>
      </c>
      <c r="G97" s="883">
        <v>0</v>
      </c>
      <c r="H97" s="883">
        <v>0</v>
      </c>
      <c r="I97" s="883">
        <v>0</v>
      </c>
      <c r="J97" s="881">
        <v>0</v>
      </c>
    </row>
    <row r="98" spans="1:10">
      <c r="C98" s="887" t="s">
        <v>624</v>
      </c>
      <c r="D98" s="883">
        <v>0</v>
      </c>
      <c r="E98" s="883">
        <v>0</v>
      </c>
      <c r="F98" s="883">
        <v>0</v>
      </c>
      <c r="G98" s="883">
        <v>0</v>
      </c>
      <c r="H98" s="883">
        <v>0</v>
      </c>
      <c r="I98" s="883">
        <v>0</v>
      </c>
      <c r="J98" s="881">
        <v>0</v>
      </c>
    </row>
    <row r="99" spans="1:10">
      <c r="B99" s="48" t="s">
        <v>902</v>
      </c>
      <c r="C99" s="885" t="s">
        <v>900</v>
      </c>
      <c r="D99" s="881">
        <v>243</v>
      </c>
      <c r="E99" s="881">
        <v>243</v>
      </c>
      <c r="F99" s="881">
        <v>243</v>
      </c>
      <c r="G99" s="881">
        <v>243</v>
      </c>
      <c r="H99" s="881">
        <v>243</v>
      </c>
      <c r="I99" s="881">
        <v>243</v>
      </c>
      <c r="J99" s="881">
        <v>243</v>
      </c>
    </row>
    <row r="100" spans="1:10">
      <c r="C100" s="887" t="s">
        <v>304</v>
      </c>
      <c r="D100" s="883">
        <v>220</v>
      </c>
      <c r="E100" s="883">
        <v>220</v>
      </c>
      <c r="F100" s="883">
        <v>220</v>
      </c>
      <c r="G100" s="883">
        <v>220</v>
      </c>
      <c r="H100" s="883">
        <v>220</v>
      </c>
      <c r="I100" s="883">
        <v>220</v>
      </c>
      <c r="J100" s="881">
        <v>220</v>
      </c>
    </row>
    <row r="101" spans="1:10">
      <c r="C101" s="889" t="s">
        <v>642</v>
      </c>
      <c r="D101" s="883">
        <v>0</v>
      </c>
      <c r="E101" s="883">
        <v>0</v>
      </c>
      <c r="F101" s="883">
        <v>0</v>
      </c>
      <c r="G101" s="883">
        <v>0</v>
      </c>
      <c r="H101" s="883">
        <v>0</v>
      </c>
      <c r="I101" s="883">
        <v>0</v>
      </c>
      <c r="J101" s="881">
        <v>0</v>
      </c>
    </row>
    <row r="102" spans="1:10">
      <c r="C102" s="889" t="s">
        <v>1177</v>
      </c>
      <c r="D102" s="883">
        <v>23</v>
      </c>
      <c r="E102" s="883">
        <v>23</v>
      </c>
      <c r="F102" s="883">
        <v>23</v>
      </c>
      <c r="G102" s="883">
        <v>23</v>
      </c>
      <c r="H102" s="883">
        <v>23</v>
      </c>
      <c r="I102" s="883">
        <v>23</v>
      </c>
      <c r="J102" s="881">
        <v>23</v>
      </c>
    </row>
    <row r="103" spans="1:10">
      <c r="C103" s="887" t="s">
        <v>305</v>
      </c>
      <c r="D103" s="883">
        <v>0</v>
      </c>
      <c r="E103" s="883">
        <v>0</v>
      </c>
      <c r="F103" s="883">
        <v>0</v>
      </c>
      <c r="G103" s="883">
        <v>0</v>
      </c>
      <c r="H103" s="883">
        <v>0</v>
      </c>
      <c r="I103" s="883">
        <v>0</v>
      </c>
      <c r="J103" s="881">
        <v>0</v>
      </c>
    </row>
    <row r="104" spans="1:10">
      <c r="C104" s="887" t="s">
        <v>307</v>
      </c>
      <c r="D104" s="883">
        <v>0</v>
      </c>
      <c r="E104" s="883">
        <v>0</v>
      </c>
      <c r="F104" s="883">
        <v>0</v>
      </c>
      <c r="G104" s="883">
        <v>0</v>
      </c>
      <c r="H104" s="883">
        <v>0</v>
      </c>
      <c r="I104" s="883">
        <v>0</v>
      </c>
      <c r="J104" s="881">
        <v>0</v>
      </c>
    </row>
    <row r="105" spans="1:10">
      <c r="C105" s="887" t="s">
        <v>624</v>
      </c>
      <c r="D105" s="883">
        <v>0</v>
      </c>
      <c r="E105" s="883">
        <v>0</v>
      </c>
      <c r="F105" s="883">
        <v>0</v>
      </c>
      <c r="G105" s="883">
        <v>0</v>
      </c>
      <c r="H105" s="883">
        <v>0</v>
      </c>
      <c r="I105" s="883">
        <v>0</v>
      </c>
      <c r="J105" s="881">
        <v>0</v>
      </c>
    </row>
    <row r="106" spans="1:10">
      <c r="C106" s="884"/>
      <c r="D106" s="883"/>
      <c r="E106" s="883"/>
      <c r="F106" s="883"/>
      <c r="G106" s="883"/>
      <c r="H106" s="883"/>
      <c r="I106" s="883"/>
      <c r="J106" s="881"/>
    </row>
    <row r="107" spans="1:10">
      <c r="C107" s="880" t="s">
        <v>112</v>
      </c>
      <c r="D107" s="881">
        <v>547217</v>
      </c>
      <c r="E107" s="881">
        <v>547880</v>
      </c>
      <c r="F107" s="881">
        <v>547489</v>
      </c>
      <c r="G107" s="881">
        <v>547654</v>
      </c>
      <c r="H107" s="881">
        <v>546146</v>
      </c>
      <c r="I107" s="881">
        <v>547199</v>
      </c>
      <c r="J107" s="881">
        <v>547264.16666666663</v>
      </c>
    </row>
    <row r="112" spans="1:10">
      <c r="A112" s="532"/>
      <c r="C112" s="510" t="s">
        <v>362</v>
      </c>
    </row>
    <row r="113" spans="1:10" ht="31.5">
      <c r="A113" s="56"/>
      <c r="C113" s="976" t="s">
        <v>310</v>
      </c>
      <c r="D113" s="964">
        <v>45839</v>
      </c>
      <c r="E113" s="964">
        <v>45870</v>
      </c>
      <c r="F113" s="964">
        <v>45901</v>
      </c>
      <c r="G113" s="964">
        <v>45931</v>
      </c>
      <c r="H113" s="964">
        <v>45962</v>
      </c>
      <c r="I113" s="964">
        <v>45992</v>
      </c>
      <c r="J113" s="977" t="s">
        <v>154</v>
      </c>
    </row>
    <row r="114" spans="1:10" ht="15.75">
      <c r="A114" s="57"/>
      <c r="C114" s="965" t="s">
        <v>446</v>
      </c>
      <c r="D114" s="881">
        <v>1</v>
      </c>
      <c r="E114" s="881">
        <v>1</v>
      </c>
      <c r="F114" s="881">
        <v>1</v>
      </c>
      <c r="G114" s="881">
        <v>1</v>
      </c>
      <c r="H114" s="881">
        <v>1</v>
      </c>
      <c r="I114" s="881">
        <v>1</v>
      </c>
      <c r="J114" s="881">
        <v>1</v>
      </c>
    </row>
    <row r="115" spans="1:10">
      <c r="A115" s="57"/>
      <c r="B115" s="48" t="s">
        <v>870</v>
      </c>
      <c r="C115" s="882" t="s">
        <v>279</v>
      </c>
      <c r="D115" s="881">
        <v>0</v>
      </c>
      <c r="E115" s="881">
        <v>0</v>
      </c>
      <c r="F115" s="881">
        <v>0</v>
      </c>
      <c r="G115" s="881">
        <v>0</v>
      </c>
      <c r="H115" s="881">
        <v>0</v>
      </c>
      <c r="I115" s="881">
        <v>0</v>
      </c>
      <c r="J115" s="881">
        <v>0</v>
      </c>
    </row>
    <row r="116" spans="1:10">
      <c r="A116" s="57"/>
      <c r="B116" s="48"/>
      <c r="C116" s="887" t="s">
        <v>971</v>
      </c>
      <c r="D116" s="883">
        <v>0</v>
      </c>
      <c r="E116" s="883">
        <v>0</v>
      </c>
      <c r="F116" s="883">
        <v>0</v>
      </c>
      <c r="G116" s="883">
        <v>0</v>
      </c>
      <c r="H116" s="883">
        <v>0</v>
      </c>
      <c r="I116" s="883">
        <v>0</v>
      </c>
      <c r="J116" s="881">
        <v>0</v>
      </c>
    </row>
    <row r="117" spans="1:10">
      <c r="A117" s="57"/>
      <c r="B117" s="48" t="s">
        <v>871</v>
      </c>
      <c r="C117" s="882" t="s">
        <v>278</v>
      </c>
      <c r="D117" s="881">
        <v>1</v>
      </c>
      <c r="E117" s="881">
        <v>1</v>
      </c>
      <c r="F117" s="881">
        <v>1</v>
      </c>
      <c r="G117" s="881">
        <v>1</v>
      </c>
      <c r="H117" s="881">
        <v>1</v>
      </c>
      <c r="I117" s="881">
        <v>1</v>
      </c>
      <c r="J117" s="881">
        <v>1</v>
      </c>
    </row>
    <row r="118" spans="1:10">
      <c r="A118" s="57"/>
      <c r="B118" s="48"/>
      <c r="C118" s="887" t="s">
        <v>969</v>
      </c>
      <c r="D118" s="883">
        <v>0</v>
      </c>
      <c r="E118" s="883">
        <v>0</v>
      </c>
      <c r="F118" s="883">
        <v>0</v>
      </c>
      <c r="G118" s="883">
        <v>0</v>
      </c>
      <c r="H118" s="883">
        <v>0</v>
      </c>
      <c r="I118" s="883">
        <v>0</v>
      </c>
      <c r="J118" s="881">
        <v>0</v>
      </c>
    </row>
    <row r="119" spans="1:10">
      <c r="A119" s="57"/>
      <c r="B119" s="48"/>
      <c r="C119" s="887" t="s">
        <v>970</v>
      </c>
      <c r="D119" s="883">
        <v>1</v>
      </c>
      <c r="E119" s="883">
        <v>1</v>
      </c>
      <c r="F119" s="883">
        <v>1</v>
      </c>
      <c r="G119" s="883">
        <v>1</v>
      </c>
      <c r="H119" s="883">
        <v>1</v>
      </c>
      <c r="I119" s="883">
        <v>1</v>
      </c>
      <c r="J119" s="881">
        <v>1</v>
      </c>
    </row>
    <row r="120" spans="1:10">
      <c r="A120" s="57"/>
      <c r="B120" s="48" t="s">
        <v>893</v>
      </c>
      <c r="C120" s="882" t="s">
        <v>942</v>
      </c>
      <c r="D120" s="881">
        <v>0</v>
      </c>
      <c r="E120" s="881">
        <v>0</v>
      </c>
      <c r="F120" s="881">
        <v>0</v>
      </c>
      <c r="G120" s="881">
        <v>0</v>
      </c>
      <c r="H120" s="881">
        <v>0</v>
      </c>
      <c r="I120" s="881">
        <v>0</v>
      </c>
      <c r="J120" s="881">
        <v>0</v>
      </c>
    </row>
    <row r="121" spans="1:10">
      <c r="A121" s="57"/>
      <c r="B121" s="48"/>
      <c r="C121" s="887"/>
      <c r="D121" s="883"/>
      <c r="E121" s="883"/>
      <c r="F121" s="883"/>
      <c r="G121" s="883"/>
      <c r="H121" s="883"/>
      <c r="I121" s="883"/>
      <c r="J121" s="881"/>
    </row>
    <row r="122" spans="1:10" ht="15.75">
      <c r="A122" s="57"/>
      <c r="B122" s="48"/>
      <c r="C122" s="965" t="s">
        <v>630</v>
      </c>
      <c r="D122" s="881">
        <v>183</v>
      </c>
      <c r="E122" s="881">
        <v>183</v>
      </c>
      <c r="F122" s="881">
        <v>183</v>
      </c>
      <c r="G122" s="881">
        <v>183</v>
      </c>
      <c r="H122" s="881">
        <v>183</v>
      </c>
      <c r="I122" s="881">
        <v>183</v>
      </c>
      <c r="J122" s="881">
        <v>183</v>
      </c>
    </row>
    <row r="123" spans="1:10">
      <c r="A123" s="57"/>
      <c r="B123" s="48" t="s">
        <v>872</v>
      </c>
      <c r="C123" s="882" t="s">
        <v>277</v>
      </c>
      <c r="D123" s="881">
        <v>33</v>
      </c>
      <c r="E123" s="881">
        <v>33</v>
      </c>
      <c r="F123" s="881">
        <v>33</v>
      </c>
      <c r="G123" s="881">
        <v>33</v>
      </c>
      <c r="H123" s="881">
        <v>33</v>
      </c>
      <c r="I123" s="881">
        <v>33</v>
      </c>
      <c r="J123" s="881">
        <v>33</v>
      </c>
    </row>
    <row r="124" spans="1:10">
      <c r="A124" s="57"/>
      <c r="B124" s="48"/>
      <c r="C124" s="887" t="s">
        <v>972</v>
      </c>
      <c r="D124" s="883">
        <v>33</v>
      </c>
      <c r="E124" s="883">
        <v>33</v>
      </c>
      <c r="F124" s="883">
        <v>33</v>
      </c>
      <c r="G124" s="883">
        <v>33</v>
      </c>
      <c r="H124" s="883">
        <v>33</v>
      </c>
      <c r="I124" s="883">
        <v>33</v>
      </c>
      <c r="J124" s="881">
        <v>33</v>
      </c>
    </row>
    <row r="125" spans="1:10">
      <c r="A125" s="57"/>
      <c r="B125" s="48"/>
      <c r="C125" s="887" t="s">
        <v>973</v>
      </c>
      <c r="D125" s="883">
        <v>0</v>
      </c>
      <c r="E125" s="883">
        <v>0</v>
      </c>
      <c r="F125" s="883">
        <v>0</v>
      </c>
      <c r="G125" s="883">
        <v>0</v>
      </c>
      <c r="H125" s="883">
        <v>0</v>
      </c>
      <c r="I125" s="883">
        <v>0</v>
      </c>
      <c r="J125" s="881">
        <v>0</v>
      </c>
    </row>
    <row r="126" spans="1:10">
      <c r="A126" s="57"/>
      <c r="B126" s="48"/>
      <c r="C126" s="887" t="s">
        <v>1010</v>
      </c>
      <c r="D126" s="883">
        <v>0</v>
      </c>
      <c r="E126" s="883">
        <v>0</v>
      </c>
      <c r="F126" s="883">
        <v>0</v>
      </c>
      <c r="G126" s="883">
        <v>0</v>
      </c>
      <c r="H126" s="883">
        <v>0</v>
      </c>
      <c r="I126" s="883">
        <v>0</v>
      </c>
      <c r="J126" s="881">
        <v>0</v>
      </c>
    </row>
    <row r="127" spans="1:10">
      <c r="A127" s="57"/>
      <c r="B127" s="48"/>
      <c r="C127" s="887"/>
      <c r="D127" s="883"/>
      <c r="E127" s="883"/>
      <c r="F127" s="883"/>
      <c r="G127" s="883"/>
      <c r="H127" s="883"/>
      <c r="I127" s="883"/>
      <c r="J127" s="881"/>
    </row>
    <row r="128" spans="1:10">
      <c r="A128" s="57"/>
      <c r="B128" s="48" t="s">
        <v>873</v>
      </c>
      <c r="C128" s="882" t="s">
        <v>276</v>
      </c>
      <c r="D128" s="881">
        <v>150</v>
      </c>
      <c r="E128" s="881">
        <v>150</v>
      </c>
      <c r="F128" s="881">
        <v>150</v>
      </c>
      <c r="G128" s="881">
        <v>150</v>
      </c>
      <c r="H128" s="881">
        <v>150</v>
      </c>
      <c r="I128" s="881">
        <v>150</v>
      </c>
      <c r="J128" s="881">
        <v>150</v>
      </c>
    </row>
    <row r="129" spans="1:10">
      <c r="A129" s="57"/>
      <c r="B129" s="48"/>
      <c r="C129" s="887" t="s">
        <v>969</v>
      </c>
      <c r="D129" s="883">
        <v>0</v>
      </c>
      <c r="E129" s="883">
        <v>0</v>
      </c>
      <c r="F129" s="883">
        <v>0</v>
      </c>
      <c r="G129" s="883">
        <v>0</v>
      </c>
      <c r="H129" s="883">
        <v>0</v>
      </c>
      <c r="I129" s="883">
        <v>0</v>
      </c>
      <c r="J129" s="881">
        <v>0</v>
      </c>
    </row>
    <row r="130" spans="1:10">
      <c r="A130" s="57"/>
      <c r="B130" s="48"/>
      <c r="C130" s="887" t="s">
        <v>970</v>
      </c>
      <c r="D130" s="883">
        <v>150</v>
      </c>
      <c r="E130" s="883">
        <v>150</v>
      </c>
      <c r="F130" s="883">
        <v>150</v>
      </c>
      <c r="G130" s="883">
        <v>150</v>
      </c>
      <c r="H130" s="883">
        <v>150</v>
      </c>
      <c r="I130" s="883">
        <v>150</v>
      </c>
      <c r="J130" s="881">
        <v>150</v>
      </c>
    </row>
    <row r="131" spans="1:10">
      <c r="A131" s="57"/>
      <c r="B131" s="48"/>
      <c r="C131" s="887" t="s">
        <v>1011</v>
      </c>
      <c r="D131" s="883">
        <v>0</v>
      </c>
      <c r="E131" s="883">
        <v>0</v>
      </c>
      <c r="F131" s="883">
        <v>0</v>
      </c>
      <c r="G131" s="883">
        <v>0</v>
      </c>
      <c r="H131" s="883">
        <v>0</v>
      </c>
      <c r="I131" s="883">
        <v>0</v>
      </c>
      <c r="J131" s="881">
        <v>0</v>
      </c>
    </row>
    <row r="132" spans="1:10">
      <c r="A132" s="57"/>
      <c r="B132" s="48"/>
      <c r="C132" s="887" t="s">
        <v>1012</v>
      </c>
      <c r="D132" s="883">
        <v>0</v>
      </c>
      <c r="E132" s="883">
        <v>0</v>
      </c>
      <c r="F132" s="883">
        <v>0</v>
      </c>
      <c r="G132" s="883">
        <v>0</v>
      </c>
      <c r="H132" s="883">
        <v>0</v>
      </c>
      <c r="I132" s="883">
        <v>0</v>
      </c>
      <c r="J132" s="881">
        <v>0</v>
      </c>
    </row>
    <row r="133" spans="1:10">
      <c r="A133" s="57"/>
      <c r="B133" s="48"/>
      <c r="C133" s="887" t="s">
        <v>1108</v>
      </c>
      <c r="D133" s="883">
        <v>0</v>
      </c>
      <c r="E133" s="883">
        <v>0</v>
      </c>
      <c r="F133" s="883">
        <v>0</v>
      </c>
      <c r="G133" s="883">
        <v>0</v>
      </c>
      <c r="H133" s="883">
        <v>0</v>
      </c>
      <c r="I133" s="883">
        <v>0</v>
      </c>
      <c r="J133" s="881">
        <v>0</v>
      </c>
    </row>
    <row r="134" spans="1:10">
      <c r="A134" s="57"/>
      <c r="B134" s="48"/>
      <c r="C134" s="887"/>
      <c r="D134" s="883"/>
      <c r="E134" s="883"/>
      <c r="F134" s="883"/>
      <c r="G134" s="883"/>
      <c r="H134" s="883"/>
      <c r="I134" s="883"/>
      <c r="J134" s="881"/>
    </row>
    <row r="135" spans="1:10" ht="15.75">
      <c r="A135" s="57"/>
      <c r="B135" s="48"/>
      <c r="C135" s="965" t="s">
        <v>443</v>
      </c>
      <c r="D135" s="881">
        <v>103</v>
      </c>
      <c r="E135" s="881">
        <v>103</v>
      </c>
      <c r="F135" s="881">
        <v>103</v>
      </c>
      <c r="G135" s="881">
        <v>103</v>
      </c>
      <c r="H135" s="881">
        <v>103</v>
      </c>
      <c r="I135" s="881">
        <v>103</v>
      </c>
      <c r="J135" s="881">
        <v>103</v>
      </c>
    </row>
    <row r="136" spans="1:10">
      <c r="A136" s="57"/>
      <c r="B136" s="48" t="s">
        <v>874</v>
      </c>
      <c r="C136" s="882" t="s">
        <v>275</v>
      </c>
      <c r="D136" s="881">
        <v>3</v>
      </c>
      <c r="E136" s="881">
        <v>3</v>
      </c>
      <c r="F136" s="881">
        <v>3</v>
      </c>
      <c r="G136" s="881">
        <v>3</v>
      </c>
      <c r="H136" s="881">
        <v>3</v>
      </c>
      <c r="I136" s="881">
        <v>3</v>
      </c>
      <c r="J136" s="881">
        <v>3</v>
      </c>
    </row>
    <row r="137" spans="1:10">
      <c r="A137" s="57"/>
      <c r="B137" s="48"/>
      <c r="C137" s="887" t="s">
        <v>972</v>
      </c>
      <c r="D137" s="883">
        <v>3</v>
      </c>
      <c r="E137" s="883">
        <v>3</v>
      </c>
      <c r="F137" s="883">
        <v>3</v>
      </c>
      <c r="G137" s="883">
        <v>3</v>
      </c>
      <c r="H137" s="883">
        <v>3</v>
      </c>
      <c r="I137" s="883">
        <v>3</v>
      </c>
      <c r="J137" s="881">
        <v>3</v>
      </c>
    </row>
    <row r="138" spans="1:10">
      <c r="A138" s="57"/>
      <c r="B138" s="48"/>
      <c r="C138" s="887" t="s">
        <v>1255</v>
      </c>
      <c r="D138" s="883"/>
      <c r="E138" s="883"/>
      <c r="F138" s="883"/>
      <c r="G138" s="883"/>
      <c r="H138" s="883"/>
      <c r="I138" s="883"/>
      <c r="J138" s="881"/>
    </row>
    <row r="139" spans="1:10">
      <c r="A139" s="57"/>
      <c r="B139" s="48" t="s">
        <v>875</v>
      </c>
      <c r="C139" s="882" t="s">
        <v>274</v>
      </c>
      <c r="D139" s="881">
        <v>100</v>
      </c>
      <c r="E139" s="881">
        <v>100</v>
      </c>
      <c r="F139" s="881">
        <v>100</v>
      </c>
      <c r="G139" s="881">
        <v>100</v>
      </c>
      <c r="H139" s="881">
        <v>100</v>
      </c>
      <c r="I139" s="881">
        <v>100</v>
      </c>
      <c r="J139" s="881">
        <v>100</v>
      </c>
    </row>
    <row r="140" spans="1:10">
      <c r="A140" s="57"/>
      <c r="B140" s="58"/>
      <c r="C140" s="887" t="s">
        <v>969</v>
      </c>
      <c r="D140" s="883">
        <v>1</v>
      </c>
      <c r="E140" s="883">
        <v>1</v>
      </c>
      <c r="F140" s="883">
        <v>1</v>
      </c>
      <c r="G140" s="883">
        <v>1</v>
      </c>
      <c r="H140" s="883">
        <v>1</v>
      </c>
      <c r="I140" s="883">
        <v>1</v>
      </c>
      <c r="J140" s="881">
        <v>1</v>
      </c>
    </row>
    <row r="141" spans="1:10">
      <c r="A141" s="57"/>
      <c r="B141" s="58"/>
      <c r="C141" s="887" t="s">
        <v>970</v>
      </c>
      <c r="D141" s="883">
        <v>99</v>
      </c>
      <c r="E141" s="883">
        <v>99</v>
      </c>
      <c r="F141" s="883">
        <v>99</v>
      </c>
      <c r="G141" s="883">
        <v>99</v>
      </c>
      <c r="H141" s="883">
        <v>99</v>
      </c>
      <c r="I141" s="883">
        <v>99</v>
      </c>
      <c r="J141" s="881">
        <v>99</v>
      </c>
    </row>
    <row r="142" spans="1:10">
      <c r="A142" s="57"/>
      <c r="B142" s="58"/>
      <c r="C142" s="887" t="s">
        <v>1011</v>
      </c>
      <c r="D142" s="883">
        <v>0</v>
      </c>
      <c r="E142" s="883">
        <v>0</v>
      </c>
      <c r="F142" s="883">
        <v>0</v>
      </c>
      <c r="G142" s="883">
        <v>0</v>
      </c>
      <c r="H142" s="883">
        <v>0</v>
      </c>
      <c r="I142" s="883">
        <v>0</v>
      </c>
      <c r="J142" s="881">
        <v>0</v>
      </c>
    </row>
    <row r="143" spans="1:10">
      <c r="A143" s="57"/>
      <c r="B143" s="58"/>
      <c r="C143" s="887" t="s">
        <v>1012</v>
      </c>
      <c r="D143" s="883">
        <v>0</v>
      </c>
      <c r="E143" s="883">
        <v>0</v>
      </c>
      <c r="F143" s="883">
        <v>0</v>
      </c>
      <c r="G143" s="883">
        <v>0</v>
      </c>
      <c r="H143" s="883">
        <v>0</v>
      </c>
      <c r="I143" s="883">
        <v>0</v>
      </c>
      <c r="J143" s="881">
        <v>0</v>
      </c>
    </row>
    <row r="144" spans="1:10">
      <c r="A144" s="57"/>
      <c r="B144" s="58"/>
      <c r="C144" s="887" t="s">
        <v>1108</v>
      </c>
      <c r="D144" s="883">
        <v>0</v>
      </c>
      <c r="E144" s="883">
        <v>0</v>
      </c>
      <c r="F144" s="883">
        <v>0</v>
      </c>
      <c r="G144" s="883">
        <v>0</v>
      </c>
      <c r="H144" s="883">
        <v>0</v>
      </c>
      <c r="I144" s="883">
        <v>0</v>
      </c>
      <c r="J144" s="881">
        <v>0</v>
      </c>
    </row>
    <row r="145" spans="3:10">
      <c r="C145" s="887"/>
      <c r="D145" s="883"/>
      <c r="E145" s="883"/>
      <c r="F145" s="883"/>
      <c r="G145" s="883"/>
      <c r="H145" s="883"/>
      <c r="I145" s="883"/>
      <c r="J145" s="881"/>
    </row>
    <row r="146" spans="3:10">
      <c r="C146" s="880" t="s">
        <v>112</v>
      </c>
      <c r="D146" s="881">
        <v>287</v>
      </c>
      <c r="E146" s="881">
        <v>287</v>
      </c>
      <c r="F146" s="881">
        <v>287</v>
      </c>
      <c r="G146" s="881">
        <v>287</v>
      </c>
      <c r="H146" s="881">
        <v>287</v>
      </c>
      <c r="I146" s="881">
        <v>287</v>
      </c>
      <c r="J146" s="881">
        <v>287</v>
      </c>
    </row>
    <row r="150" spans="3:10">
      <c r="C150" s="52" t="str">
        <f>'PORTADA PORTADA PORTADA'!$B$23</f>
        <v>1 DE JULIO DE 2026</v>
      </c>
      <c r="E150" s="60"/>
    </row>
    <row r="180" spans="2:10" s="63" customFormat="1" ht="15">
      <c r="B180" s="48" t="s">
        <v>902</v>
      </c>
      <c r="C180" s="37"/>
      <c r="D180" s="64">
        <f t="shared" ref="D180:I189" si="5">SUMIF($B$4:$B$146,$B180,D$4:D$146)</f>
        <v>67292</v>
      </c>
      <c r="E180" s="64">
        <f t="shared" si="5"/>
        <v>67373</v>
      </c>
      <c r="F180" s="64">
        <f t="shared" si="5"/>
        <v>67325</v>
      </c>
      <c r="G180" s="64">
        <f t="shared" si="5"/>
        <v>67346</v>
      </c>
      <c r="H180" s="64">
        <f t="shared" si="5"/>
        <v>67161</v>
      </c>
      <c r="I180" s="64">
        <f t="shared" si="5"/>
        <v>67290</v>
      </c>
      <c r="J180" s="64" t="e" cm="1">
        <f t="array" aca="1" ref="J180" ca="1">PROMEDIOR.SI($B$4:$B$146,$B180,J$4:J$146)</f>
        <v>#NAME?</v>
      </c>
    </row>
    <row r="181" spans="2:10" s="63" customFormat="1" ht="15">
      <c r="B181" s="48" t="s">
        <v>751</v>
      </c>
      <c r="C181" s="37"/>
      <c r="D181" s="64">
        <f t="shared" si="5"/>
        <v>324991</v>
      </c>
      <c r="E181" s="64">
        <f t="shared" si="5"/>
        <v>325386</v>
      </c>
      <c r="F181" s="64">
        <f t="shared" si="5"/>
        <v>325153</v>
      </c>
      <c r="G181" s="64">
        <f t="shared" si="5"/>
        <v>325250</v>
      </c>
      <c r="H181" s="64">
        <f t="shared" si="5"/>
        <v>324354</v>
      </c>
      <c r="I181" s="64">
        <f t="shared" si="5"/>
        <v>324980</v>
      </c>
      <c r="J181" s="64" t="e" cm="1">
        <f t="array" aca="1" ref="J181" ca="1">PROMEDIOR.SI($B$4:$B$146,$B181,J$4:J$146)</f>
        <v>#NAME?</v>
      </c>
    </row>
    <row r="182" spans="2:10" s="63" customFormat="1" ht="15">
      <c r="B182" s="48" t="s">
        <v>750</v>
      </c>
      <c r="D182" s="64">
        <f t="shared" si="5"/>
        <v>114627</v>
      </c>
      <c r="E182" s="64">
        <f t="shared" si="5"/>
        <v>114767</v>
      </c>
      <c r="F182" s="64">
        <f t="shared" si="5"/>
        <v>114685</v>
      </c>
      <c r="G182" s="64">
        <f t="shared" si="5"/>
        <v>114719</v>
      </c>
      <c r="H182" s="64">
        <f t="shared" si="5"/>
        <v>114403</v>
      </c>
      <c r="I182" s="64">
        <f t="shared" si="5"/>
        <v>114624</v>
      </c>
      <c r="J182" s="64" t="e" cm="1">
        <f t="array" aca="1" ref="J182" ca="1">PROMEDIOR.SI($B$4:$B$146,$B182,J$4:J$146)</f>
        <v>#NAME?</v>
      </c>
    </row>
    <row r="183" spans="2:10" s="63" customFormat="1" ht="15">
      <c r="B183" s="48" t="s">
        <v>749</v>
      </c>
      <c r="D183" s="64">
        <f t="shared" si="5"/>
        <v>34180</v>
      </c>
      <c r="E183" s="64">
        <f t="shared" si="5"/>
        <v>34221</v>
      </c>
      <c r="F183" s="64">
        <f t="shared" si="5"/>
        <v>34197</v>
      </c>
      <c r="G183" s="64">
        <f t="shared" si="5"/>
        <v>34207</v>
      </c>
      <c r="H183" s="64">
        <f t="shared" si="5"/>
        <v>34113</v>
      </c>
      <c r="I183" s="64">
        <f t="shared" si="5"/>
        <v>34179</v>
      </c>
      <c r="J183" s="64" t="e" cm="1">
        <f t="array" aca="1" ref="J183" ca="1">PROMEDIOR.SI($B$4:$B$146,$B183,J$4:J$146)</f>
        <v>#NAME?</v>
      </c>
    </row>
    <row r="184" spans="2:10" s="63" customFormat="1" ht="15">
      <c r="B184" s="48" t="s">
        <v>274</v>
      </c>
      <c r="D184" s="64">
        <f t="shared" si="5"/>
        <v>5580</v>
      </c>
      <c r="E184" s="64">
        <f t="shared" si="5"/>
        <v>5585</v>
      </c>
      <c r="F184" s="64">
        <f t="shared" si="5"/>
        <v>5581</v>
      </c>
      <c r="G184" s="64">
        <f t="shared" si="5"/>
        <v>5584</v>
      </c>
      <c r="H184" s="64">
        <f t="shared" si="5"/>
        <v>5569</v>
      </c>
      <c r="I184" s="64">
        <f t="shared" si="5"/>
        <v>5579</v>
      </c>
      <c r="J184" s="64" t="e" cm="1">
        <f t="array" aca="1" ref="J184" ca="1">PROMEDIOR.SI($B$4:$B$146,$B184,J$4:J$146)</f>
        <v>#NAME?</v>
      </c>
    </row>
    <row r="185" spans="2:10" s="63" customFormat="1" ht="15">
      <c r="B185" s="48" t="s">
        <v>275</v>
      </c>
      <c r="D185" s="64">
        <f t="shared" si="5"/>
        <v>100</v>
      </c>
      <c r="E185" s="64">
        <f t="shared" si="5"/>
        <v>100</v>
      </c>
      <c r="F185" s="64">
        <f t="shared" si="5"/>
        <v>100</v>
      </c>
      <c r="G185" s="64">
        <f t="shared" si="5"/>
        <v>100</v>
      </c>
      <c r="H185" s="64">
        <f t="shared" si="5"/>
        <v>100</v>
      </c>
      <c r="I185" s="64">
        <f t="shared" si="5"/>
        <v>100</v>
      </c>
      <c r="J185" s="64" t="e" cm="1">
        <f t="array" aca="1" ref="J185" ca="1">PROMEDIOR.SI($B$4:$B$146,$B185,J$4:J$146)</f>
        <v>#NAME?</v>
      </c>
    </row>
    <row r="186" spans="2:10" s="63" customFormat="1" ht="15">
      <c r="B186" s="48" t="s">
        <v>276</v>
      </c>
      <c r="D186" s="64">
        <f t="shared" si="5"/>
        <v>419</v>
      </c>
      <c r="E186" s="64">
        <f t="shared" si="5"/>
        <v>420</v>
      </c>
      <c r="F186" s="64">
        <f t="shared" si="5"/>
        <v>420</v>
      </c>
      <c r="G186" s="64">
        <f t="shared" si="5"/>
        <v>420</v>
      </c>
      <c r="H186" s="64">
        <f t="shared" si="5"/>
        <v>418</v>
      </c>
      <c r="I186" s="64">
        <f t="shared" si="5"/>
        <v>419</v>
      </c>
      <c r="J186" s="64" t="e" cm="1">
        <f t="array" aca="1" ref="J186" ca="1">PROMEDIOR.SI($B$4:$B$146,$B186,J$4:J$146)</f>
        <v>#NAME?</v>
      </c>
    </row>
    <row r="187" spans="2:10" s="63" customFormat="1" ht="15">
      <c r="B187" s="48" t="s">
        <v>277</v>
      </c>
      <c r="D187" s="64">
        <f t="shared" si="5"/>
        <v>23</v>
      </c>
      <c r="E187" s="64">
        <f t="shared" si="5"/>
        <v>23</v>
      </c>
      <c r="F187" s="64">
        <f t="shared" si="5"/>
        <v>23</v>
      </c>
      <c r="G187" s="64">
        <f t="shared" si="5"/>
        <v>23</v>
      </c>
      <c r="H187" s="64">
        <f t="shared" si="5"/>
        <v>23</v>
      </c>
      <c r="I187" s="64">
        <f t="shared" si="5"/>
        <v>23</v>
      </c>
      <c r="J187" s="64" t="e" cm="1">
        <f t="array" aca="1" ref="J187" ca="1">PROMEDIOR.SI($B$4:$B$146,$B187,J$4:J$146)</f>
        <v>#NAME?</v>
      </c>
    </row>
    <row r="188" spans="2:10" s="63" customFormat="1" ht="15">
      <c r="B188" s="48" t="s">
        <v>278</v>
      </c>
      <c r="D188" s="64">
        <f t="shared" si="5"/>
        <v>1</v>
      </c>
      <c r="E188" s="64">
        <f t="shared" si="5"/>
        <v>1</v>
      </c>
      <c r="F188" s="64">
        <f t="shared" si="5"/>
        <v>1</v>
      </c>
      <c r="G188" s="64">
        <f t="shared" si="5"/>
        <v>1</v>
      </c>
      <c r="H188" s="64">
        <f t="shared" si="5"/>
        <v>1</v>
      </c>
      <c r="I188" s="64">
        <f t="shared" si="5"/>
        <v>1</v>
      </c>
      <c r="J188" s="64" t="e" cm="1">
        <f t="array" aca="1" ref="J188" ca="1">PROMEDIOR.SI($B$4:$B$146,$B188,J$4:J$146)</f>
        <v>#NAME?</v>
      </c>
    </row>
    <row r="189" spans="2:10" s="63" customFormat="1" ht="15">
      <c r="B189" s="48" t="s">
        <v>279</v>
      </c>
      <c r="D189" s="64">
        <f t="shared" si="5"/>
        <v>3</v>
      </c>
      <c r="E189" s="64">
        <f t="shared" si="5"/>
        <v>3</v>
      </c>
      <c r="F189" s="64">
        <f t="shared" si="5"/>
        <v>3</v>
      </c>
      <c r="G189" s="64">
        <f t="shared" si="5"/>
        <v>3</v>
      </c>
      <c r="H189" s="64">
        <f t="shared" si="5"/>
        <v>3</v>
      </c>
      <c r="I189" s="64">
        <f t="shared" si="5"/>
        <v>3</v>
      </c>
      <c r="J189" s="64" t="e" cm="1">
        <f t="array" aca="1" ref="J189" ca="1">PROMEDIOR.SI($B$4:$B$146,$B189,J$4:J$146)</f>
        <v>#NAME?</v>
      </c>
    </row>
    <row r="190" spans="2:10" s="63" customFormat="1" ht="15">
      <c r="B190" s="48" t="s">
        <v>875</v>
      </c>
      <c r="D190" s="64">
        <f t="shared" ref="D190:I196" si="6">SUMIF($B$4:$B$146,$B190,D$4:D$146)</f>
        <v>100</v>
      </c>
      <c r="E190" s="64">
        <f t="shared" si="6"/>
        <v>100</v>
      </c>
      <c r="F190" s="64">
        <f t="shared" si="6"/>
        <v>100</v>
      </c>
      <c r="G190" s="64">
        <f t="shared" si="6"/>
        <v>100</v>
      </c>
      <c r="H190" s="64">
        <f t="shared" si="6"/>
        <v>100</v>
      </c>
      <c r="I190" s="64">
        <f t="shared" si="6"/>
        <v>100</v>
      </c>
      <c r="J190" s="64" t="e" cm="1">
        <f t="array" aca="1" ref="J190" ca="1">PROMEDIOR.SI($B$4:$B$146,$B190,J$4:J$146)</f>
        <v>#NAME?</v>
      </c>
    </row>
    <row r="191" spans="2:10" s="63" customFormat="1" ht="15">
      <c r="B191" s="48" t="s">
        <v>874</v>
      </c>
      <c r="D191" s="64">
        <f t="shared" si="6"/>
        <v>3</v>
      </c>
      <c r="E191" s="64">
        <f t="shared" si="6"/>
        <v>3</v>
      </c>
      <c r="F191" s="64">
        <f t="shared" si="6"/>
        <v>3</v>
      </c>
      <c r="G191" s="64">
        <f t="shared" si="6"/>
        <v>3</v>
      </c>
      <c r="H191" s="64">
        <f t="shared" si="6"/>
        <v>3</v>
      </c>
      <c r="I191" s="64">
        <f t="shared" si="6"/>
        <v>3</v>
      </c>
      <c r="J191" s="64" t="e" cm="1">
        <f t="array" aca="1" ref="J191" ca="1">PROMEDIOR.SI($B$4:$B$146,$B191,J$4:J$146)</f>
        <v>#NAME?</v>
      </c>
    </row>
    <row r="192" spans="2:10" s="63" customFormat="1" ht="15">
      <c r="B192" s="48" t="s">
        <v>873</v>
      </c>
      <c r="D192" s="64">
        <f t="shared" si="6"/>
        <v>150</v>
      </c>
      <c r="E192" s="64">
        <f t="shared" si="6"/>
        <v>150</v>
      </c>
      <c r="F192" s="64">
        <f t="shared" si="6"/>
        <v>150</v>
      </c>
      <c r="G192" s="64">
        <f t="shared" si="6"/>
        <v>150</v>
      </c>
      <c r="H192" s="64">
        <f t="shared" si="6"/>
        <v>150</v>
      </c>
      <c r="I192" s="64">
        <f t="shared" si="6"/>
        <v>150</v>
      </c>
      <c r="J192" s="64" t="e" cm="1">
        <f t="array" aca="1" ref="J192" ca="1">PROMEDIOR.SI($B$4:$B$146,$B192,J$4:J$146)</f>
        <v>#NAME?</v>
      </c>
    </row>
    <row r="193" spans="2:10" s="63" customFormat="1" ht="15">
      <c r="B193" s="48" t="s">
        <v>872</v>
      </c>
      <c r="D193" s="64">
        <f t="shared" si="6"/>
        <v>33</v>
      </c>
      <c r="E193" s="64">
        <f t="shared" si="6"/>
        <v>33</v>
      </c>
      <c r="F193" s="64">
        <f t="shared" si="6"/>
        <v>33</v>
      </c>
      <c r="G193" s="64">
        <f t="shared" si="6"/>
        <v>33</v>
      </c>
      <c r="H193" s="64">
        <f t="shared" si="6"/>
        <v>33</v>
      </c>
      <c r="I193" s="64">
        <f t="shared" si="6"/>
        <v>33</v>
      </c>
      <c r="J193" s="64" t="e" cm="1">
        <f t="array" aca="1" ref="J193" ca="1">PROMEDIOR.SI($B$4:$B$146,$B193,J$4:J$146)</f>
        <v>#NAME?</v>
      </c>
    </row>
    <row r="194" spans="2:10" s="63" customFormat="1" ht="15">
      <c r="B194" s="48" t="s">
        <v>871</v>
      </c>
      <c r="D194" s="64">
        <f t="shared" si="6"/>
        <v>1</v>
      </c>
      <c r="E194" s="64">
        <f t="shared" si="6"/>
        <v>1</v>
      </c>
      <c r="F194" s="64">
        <f t="shared" si="6"/>
        <v>1</v>
      </c>
      <c r="G194" s="64">
        <f t="shared" si="6"/>
        <v>1</v>
      </c>
      <c r="H194" s="64">
        <f t="shared" si="6"/>
        <v>1</v>
      </c>
      <c r="I194" s="64">
        <f t="shared" si="6"/>
        <v>1</v>
      </c>
      <c r="J194" s="64" t="e" cm="1">
        <f t="array" aca="1" ref="J194" ca="1">PROMEDIOR.SI($B$4:$B$146,$B194,J$4:J$146)</f>
        <v>#NAME?</v>
      </c>
    </row>
    <row r="195" spans="2:10" s="63" customFormat="1" ht="15">
      <c r="B195" s="48" t="s">
        <v>870</v>
      </c>
      <c r="D195" s="64">
        <f t="shared" si="6"/>
        <v>0</v>
      </c>
      <c r="E195" s="64">
        <f t="shared" si="6"/>
        <v>0</v>
      </c>
      <c r="F195" s="64">
        <f t="shared" si="6"/>
        <v>0</v>
      </c>
      <c r="G195" s="64">
        <f t="shared" si="6"/>
        <v>0</v>
      </c>
      <c r="H195" s="64">
        <f t="shared" si="6"/>
        <v>0</v>
      </c>
      <c r="I195" s="64">
        <f t="shared" si="6"/>
        <v>0</v>
      </c>
      <c r="J195" s="64" t="e" cm="1">
        <f t="array" aca="1" ref="J195" ca="1">PROMEDIOR.SI($B$4:$B$146,$B195,J$4:J$146)</f>
        <v>#NAME?</v>
      </c>
    </row>
    <row r="196" spans="2:10" s="63" customFormat="1" ht="15">
      <c r="B196" s="48" t="s">
        <v>890</v>
      </c>
      <c r="D196" s="64">
        <f t="shared" si="6"/>
        <v>0</v>
      </c>
      <c r="E196" s="64">
        <f t="shared" si="6"/>
        <v>0</v>
      </c>
      <c r="F196" s="64">
        <f t="shared" si="6"/>
        <v>0</v>
      </c>
      <c r="G196" s="64">
        <f t="shared" si="6"/>
        <v>0</v>
      </c>
      <c r="H196" s="64">
        <f t="shared" si="6"/>
        <v>0</v>
      </c>
      <c r="I196" s="64">
        <f t="shared" si="6"/>
        <v>0</v>
      </c>
      <c r="J196" s="64" t="e" cm="1">
        <f t="array" aca="1" ref="J196" ca="1">PROMEDIOR.SI($B$4:$B$146,$B196,J$4:J$146)</f>
        <v>#NAME?</v>
      </c>
    </row>
    <row r="197" spans="2:10" s="63" customFormat="1" ht="15">
      <c r="B197" s="48" t="s">
        <v>111</v>
      </c>
      <c r="D197" s="65">
        <f t="shared" ref="D197:I197" si="7">SUM(D180:D196)</f>
        <v>547503</v>
      </c>
      <c r="E197" s="65">
        <f t="shared" si="7"/>
        <v>548166</v>
      </c>
      <c r="F197" s="65">
        <f t="shared" si="7"/>
        <v>547775</v>
      </c>
      <c r="G197" s="65">
        <f t="shared" si="7"/>
        <v>547940</v>
      </c>
      <c r="H197" s="65">
        <f t="shared" si="7"/>
        <v>546432</v>
      </c>
      <c r="I197" s="65">
        <f t="shared" si="7"/>
        <v>547485</v>
      </c>
      <c r="J197" s="65" t="e">
        <f ca="1">AVERAGE(J180:J196)</f>
        <v>#NAME?</v>
      </c>
    </row>
    <row r="198" spans="2:10" s="63" customFormat="1" ht="17.25" customHeight="1">
      <c r="B198" s="48"/>
      <c r="D198" s="66">
        <f t="shared" ref="D198:J198" si="8">D197-D107-D146</f>
        <v>-1</v>
      </c>
      <c r="E198" s="66">
        <f t="shared" si="8"/>
        <v>-1</v>
      </c>
      <c r="F198" s="66">
        <f t="shared" si="8"/>
        <v>-1</v>
      </c>
      <c r="G198" s="66">
        <f t="shared" si="8"/>
        <v>-1</v>
      </c>
      <c r="H198" s="66">
        <f t="shared" si="8"/>
        <v>-1</v>
      </c>
      <c r="I198" s="66">
        <f t="shared" si="8"/>
        <v>-1</v>
      </c>
      <c r="J198" s="66" t="e">
        <f t="shared" ca="1" si="8"/>
        <v>#NAME?</v>
      </c>
    </row>
  </sheetData>
  <printOptions horizontalCentered="1" verticalCentered="1"/>
  <pageMargins left="0.59055118110236227" right="0.59055118110236227" top="0.78740157480314965" bottom="0.59055118110236227" header="0.59055118110236227" footer="0.47244094488188981"/>
  <pageSetup scale="35" orientation="portrait" r:id="rId1"/>
  <headerFooter>
    <oddHeader>&amp;L&amp;"Times New Roman,Negrita"&amp;14Nombre de la Distribuidora: &amp;K06-048ENSA&amp;RASEP FORM: &amp;A</oddHeader>
    <oddFooter>&amp;R&amp;A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Hoja88">
    <tabColor theme="2" tint="-9.9978637043366805E-2"/>
    <pageSetUpPr fitToPage="1"/>
  </sheetPr>
  <dimension ref="A1:AI156"/>
  <sheetViews>
    <sheetView view="pageBreakPreview" zoomScale="85" zoomScaleNormal="100" zoomScaleSheetLayoutView="85" workbookViewId="0">
      <pane xSplit="3" ySplit="4" topLeftCell="D41" activePane="bottomRight" state="frozen"/>
      <selection activeCell="C59" sqref="C59"/>
      <selection pane="topRight" activeCell="C59" sqref="C59"/>
      <selection pane="bottomLeft" activeCell="C59" sqref="C59"/>
      <selection pane="bottomRight" activeCell="C59" sqref="C59"/>
    </sheetView>
  </sheetViews>
  <sheetFormatPr baseColWidth="10" defaultColWidth="8" defaultRowHeight="13.5"/>
  <cols>
    <col min="1" max="1" width="3.375" style="37" bestFit="1" customWidth="1"/>
    <col min="2" max="2" width="7.375" style="37" bestFit="1" customWidth="1"/>
    <col min="3" max="3" width="27" style="37" customWidth="1"/>
    <col min="4" max="4" width="6.75" style="37" bestFit="1" customWidth="1"/>
    <col min="5" max="6" width="7.125" style="37" bestFit="1" customWidth="1"/>
    <col min="7" max="7" width="6.75" style="37" bestFit="1" customWidth="1"/>
    <col min="8" max="8" width="7.125" style="37" bestFit="1" customWidth="1"/>
    <col min="9" max="9" width="6.75" style="37" bestFit="1" customWidth="1"/>
    <col min="10" max="10" width="8.875" style="37" customWidth="1"/>
    <col min="11" max="11" width="6.75" style="37" bestFit="1" customWidth="1"/>
    <col min="12" max="12" width="7.375" style="37" bestFit="1" customWidth="1"/>
    <col min="13" max="13" width="7.125" style="37" bestFit="1" customWidth="1"/>
    <col min="14" max="14" width="6.875" style="37" bestFit="1" customWidth="1"/>
    <col min="15" max="16" width="6.75" style="37" bestFit="1" customWidth="1"/>
    <col min="17" max="17" width="8.875" style="37" customWidth="1"/>
    <col min="18" max="18" width="7.125" style="37" bestFit="1" customWidth="1"/>
    <col min="19" max="19" width="7.375" style="37" bestFit="1" customWidth="1"/>
    <col min="20" max="20" width="7.125" style="37" bestFit="1" customWidth="1"/>
    <col min="21" max="21" width="6.875" style="37" bestFit="1" customWidth="1"/>
    <col min="22" max="22" width="7.125" style="37" bestFit="1" customWidth="1"/>
    <col min="23" max="23" width="6.75" style="37" bestFit="1" customWidth="1"/>
    <col min="24" max="24" width="8.875" style="37" customWidth="1"/>
    <col min="25" max="31" width="1.875" style="37" customWidth="1"/>
    <col min="32" max="32" width="3.625" style="37" customWidth="1"/>
    <col min="33" max="16384" width="8" style="37"/>
  </cols>
  <sheetData>
    <row r="1" spans="2:35" ht="14.25" thickBot="1"/>
    <row r="2" spans="2:35" s="38" customFormat="1">
      <c r="C2" s="39" t="s">
        <v>464</v>
      </c>
      <c r="D2" s="40"/>
      <c r="E2" s="40"/>
      <c r="H2" s="41"/>
      <c r="I2" s="42"/>
      <c r="J2" s="41"/>
      <c r="O2" s="41"/>
      <c r="P2" s="42"/>
      <c r="Q2" s="41"/>
      <c r="S2" s="37"/>
      <c r="T2" s="37"/>
      <c r="V2" s="41"/>
      <c r="W2" s="42"/>
      <c r="X2" s="41"/>
      <c r="Z2" s="37"/>
      <c r="AA2" s="37"/>
      <c r="AC2" s="41"/>
      <c r="AD2" s="42"/>
      <c r="AE2" s="43"/>
      <c r="AF2" s="43"/>
    </row>
    <row r="3" spans="2:35" s="74" customFormat="1" ht="11.25">
      <c r="C3" s="88"/>
      <c r="D3" s="89"/>
      <c r="E3" s="89"/>
      <c r="F3" s="89"/>
      <c r="G3" s="89"/>
      <c r="H3" s="89"/>
      <c r="I3" s="89"/>
      <c r="J3" s="89"/>
      <c r="K3" s="89" t="s">
        <v>683</v>
      </c>
      <c r="L3" s="89" t="s">
        <v>683</v>
      </c>
      <c r="M3" s="89" t="s">
        <v>683</v>
      </c>
      <c r="N3" s="89" t="s">
        <v>683</v>
      </c>
      <c r="O3" s="89" t="s">
        <v>683</v>
      </c>
      <c r="P3" s="89" t="s">
        <v>683</v>
      </c>
      <c r="Q3" s="89"/>
      <c r="R3" s="89" t="s">
        <v>1218</v>
      </c>
      <c r="S3" s="89" t="s">
        <v>1218</v>
      </c>
      <c r="T3" s="89" t="s">
        <v>1218</v>
      </c>
      <c r="U3" s="89" t="s">
        <v>1218</v>
      </c>
      <c r="V3" s="89" t="s">
        <v>1218</v>
      </c>
      <c r="W3" s="89" t="s">
        <v>1218</v>
      </c>
      <c r="X3" s="89"/>
      <c r="Y3" s="89"/>
      <c r="Z3" s="89"/>
      <c r="AA3" s="89"/>
      <c r="AB3" s="89"/>
      <c r="AC3" s="89"/>
      <c r="AD3" s="89"/>
      <c r="AE3" s="89"/>
      <c r="AF3" s="1392"/>
    </row>
    <row r="4" spans="2:35" s="38" customFormat="1">
      <c r="C4" s="44"/>
      <c r="D4" s="45">
        <v>45839</v>
      </c>
      <c r="E4" s="45">
        <v>45870</v>
      </c>
      <c r="F4" s="45">
        <v>45901</v>
      </c>
      <c r="G4" s="45">
        <v>45931</v>
      </c>
      <c r="H4" s="45">
        <v>45962</v>
      </c>
      <c r="I4" s="45">
        <v>45992</v>
      </c>
      <c r="J4" s="966" t="s">
        <v>154</v>
      </c>
      <c r="K4" s="45">
        <v>45839</v>
      </c>
      <c r="L4" s="45">
        <v>45870</v>
      </c>
      <c r="M4" s="45">
        <v>45901</v>
      </c>
      <c r="N4" s="45">
        <v>45931</v>
      </c>
      <c r="O4" s="45">
        <v>45962</v>
      </c>
      <c r="P4" s="45">
        <v>45992</v>
      </c>
      <c r="Q4" s="966" t="s">
        <v>154</v>
      </c>
      <c r="R4" s="45">
        <v>45839</v>
      </c>
      <c r="S4" s="45">
        <v>45870</v>
      </c>
      <c r="T4" s="45">
        <v>45901</v>
      </c>
      <c r="U4" s="45">
        <v>45931</v>
      </c>
      <c r="V4" s="45">
        <v>45962</v>
      </c>
      <c r="W4" s="45">
        <v>45992</v>
      </c>
      <c r="X4" s="966" t="s">
        <v>154</v>
      </c>
      <c r="Y4" s="45"/>
      <c r="Z4" s="45"/>
      <c r="AA4" s="45"/>
      <c r="AB4" s="45"/>
      <c r="AC4" s="45"/>
      <c r="AD4" s="45"/>
      <c r="AE4" s="45"/>
      <c r="AF4" s="1393"/>
    </row>
    <row r="5" spans="2:35" ht="12.95" customHeight="1">
      <c r="C5" s="880" t="s">
        <v>446</v>
      </c>
      <c r="D5" s="881">
        <v>28364.250082326576</v>
      </c>
      <c r="E5" s="881">
        <v>28479.969874547143</v>
      </c>
      <c r="F5" s="881">
        <v>29093.776066686409</v>
      </c>
      <c r="G5" s="881">
        <v>27959.44578287375</v>
      </c>
      <c r="H5" s="881">
        <v>26962.696447044564</v>
      </c>
      <c r="I5" s="881">
        <v>27839.799337198136</v>
      </c>
      <c r="J5" s="180">
        <v>28116.656265112764</v>
      </c>
      <c r="K5" s="881">
        <v>28364.250082326576</v>
      </c>
      <c r="L5" s="881">
        <v>28479.969874547143</v>
      </c>
      <c r="M5" s="881">
        <v>29093.776066686409</v>
      </c>
      <c r="N5" s="881">
        <v>27959.44578287375</v>
      </c>
      <c r="O5" s="881">
        <v>26962.696447044564</v>
      </c>
      <c r="P5" s="881">
        <v>27839.799337198136</v>
      </c>
      <c r="Q5" s="180">
        <v>28116.656265112764</v>
      </c>
      <c r="R5" s="881">
        <v>30802.544796211052</v>
      </c>
      <c r="S5" s="881">
        <v>30928.216715801933</v>
      </c>
      <c r="T5" s="881">
        <v>31594.811435189982</v>
      </c>
      <c r="U5" s="881">
        <v>30362.926539085995</v>
      </c>
      <c r="V5" s="881">
        <v>29280.454820282412</v>
      </c>
      <c r="W5" s="881">
        <v>30232.990266200013</v>
      </c>
      <c r="X5" s="180">
        <v>30533.657428795228</v>
      </c>
      <c r="Y5" s="881"/>
      <c r="Z5" s="881"/>
      <c r="AA5" s="881"/>
      <c r="AB5" s="881"/>
      <c r="AC5" s="881"/>
      <c r="AD5" s="881"/>
      <c r="AE5" s="47"/>
      <c r="AF5" s="1391"/>
    </row>
    <row r="6" spans="2:35" s="51" customFormat="1">
      <c r="B6" s="48" t="s">
        <v>279</v>
      </c>
      <c r="C6" s="882" t="s">
        <v>279</v>
      </c>
      <c r="D6" s="883">
        <v>28363.250082326576</v>
      </c>
      <c r="E6" s="883">
        <v>28478.969874547143</v>
      </c>
      <c r="F6" s="883">
        <v>29092.776066686409</v>
      </c>
      <c r="G6" s="883">
        <v>27958.44578287375</v>
      </c>
      <c r="H6" s="883">
        <v>26961.696447044564</v>
      </c>
      <c r="I6" s="883">
        <v>27838.799337198136</v>
      </c>
      <c r="J6" s="180">
        <v>28115.656265112764</v>
      </c>
      <c r="K6" s="883">
        <v>28363.250082326576</v>
      </c>
      <c r="L6" s="883">
        <v>28478.969874547143</v>
      </c>
      <c r="M6" s="883">
        <v>29092.776066686409</v>
      </c>
      <c r="N6" s="883">
        <v>27958.44578287375</v>
      </c>
      <c r="O6" s="883">
        <v>26961.696447044564</v>
      </c>
      <c r="P6" s="883">
        <v>27838.799337198136</v>
      </c>
      <c r="Q6" s="180">
        <v>28115.656265112764</v>
      </c>
      <c r="R6" s="883">
        <v>30802.544796211052</v>
      </c>
      <c r="S6" s="883">
        <v>30928.216715801933</v>
      </c>
      <c r="T6" s="883">
        <v>31594.811435189982</v>
      </c>
      <c r="U6" s="883">
        <v>30362.926539085995</v>
      </c>
      <c r="V6" s="883">
        <v>29280.454820282412</v>
      </c>
      <c r="W6" s="883">
        <v>30232.990266200013</v>
      </c>
      <c r="X6" s="180">
        <v>30533.657428795228</v>
      </c>
      <c r="Y6" s="883"/>
      <c r="Z6" s="883"/>
      <c r="AA6" s="883"/>
      <c r="AB6" s="883"/>
      <c r="AC6" s="883"/>
      <c r="AD6" s="883"/>
      <c r="AE6" s="50"/>
      <c r="AF6" s="1394"/>
    </row>
    <row r="7" spans="2:35" s="52" customFormat="1">
      <c r="B7" s="48" t="s">
        <v>278</v>
      </c>
      <c r="C7" s="882" t="s">
        <v>278</v>
      </c>
      <c r="D7" s="883">
        <v>1</v>
      </c>
      <c r="E7" s="883">
        <v>1</v>
      </c>
      <c r="F7" s="883">
        <v>1</v>
      </c>
      <c r="G7" s="883">
        <v>1</v>
      </c>
      <c r="H7" s="883">
        <v>1</v>
      </c>
      <c r="I7" s="883">
        <v>1</v>
      </c>
      <c r="J7" s="180">
        <v>1</v>
      </c>
      <c r="K7" s="883">
        <v>1</v>
      </c>
      <c r="L7" s="883">
        <v>1</v>
      </c>
      <c r="M7" s="883">
        <v>1</v>
      </c>
      <c r="N7" s="883">
        <v>1</v>
      </c>
      <c r="O7" s="883">
        <v>1</v>
      </c>
      <c r="P7" s="883">
        <v>1</v>
      </c>
      <c r="Q7" s="180">
        <v>1</v>
      </c>
      <c r="R7" s="883"/>
      <c r="S7" s="883"/>
      <c r="T7" s="883"/>
      <c r="U7" s="883"/>
      <c r="V7" s="883"/>
      <c r="W7" s="883"/>
      <c r="X7" s="180"/>
      <c r="Y7" s="883"/>
      <c r="Z7" s="883"/>
      <c r="AA7" s="883"/>
      <c r="AB7" s="883"/>
      <c r="AC7" s="883"/>
      <c r="AD7" s="883"/>
      <c r="AE7" s="50"/>
      <c r="AF7" s="1394"/>
    </row>
    <row r="8" spans="2:35">
      <c r="B8" s="48"/>
      <c r="C8" s="884"/>
      <c r="D8" s="883"/>
      <c r="E8" s="883"/>
      <c r="F8" s="883"/>
      <c r="G8" s="883"/>
      <c r="H8" s="883"/>
      <c r="I8" s="883"/>
      <c r="J8" s="180"/>
      <c r="K8" s="883"/>
      <c r="L8" s="883"/>
      <c r="M8" s="883"/>
      <c r="N8" s="883"/>
      <c r="O8" s="883"/>
      <c r="P8" s="883"/>
      <c r="Q8" s="180"/>
      <c r="R8" s="883"/>
      <c r="S8" s="883"/>
      <c r="T8" s="883"/>
      <c r="U8" s="883"/>
      <c r="V8" s="883"/>
      <c r="W8" s="883"/>
      <c r="X8" s="180"/>
      <c r="Y8" s="883"/>
      <c r="Z8" s="883"/>
      <c r="AA8" s="883"/>
      <c r="AB8" s="883"/>
      <c r="AC8" s="883"/>
      <c r="AD8" s="883"/>
      <c r="AE8" s="50"/>
      <c r="AF8" s="1394"/>
    </row>
    <row r="9" spans="2:35">
      <c r="B9" s="48"/>
      <c r="C9" s="880" t="s">
        <v>630</v>
      </c>
      <c r="D9" s="881">
        <v>96898.2219946392</v>
      </c>
      <c r="E9" s="881">
        <v>97293.548936366249</v>
      </c>
      <c r="F9" s="881">
        <v>99390.542258518923</v>
      </c>
      <c r="G9" s="881">
        <v>95515.312099712886</v>
      </c>
      <c r="H9" s="881">
        <v>92110.256211996908</v>
      </c>
      <c r="I9" s="881">
        <v>95106.570755213266</v>
      </c>
      <c r="J9" s="180">
        <v>96052.4087094079</v>
      </c>
      <c r="K9" s="881">
        <v>96898.2219946392</v>
      </c>
      <c r="L9" s="881">
        <v>97293.548936366249</v>
      </c>
      <c r="M9" s="881">
        <v>99390.542258518923</v>
      </c>
      <c r="N9" s="881">
        <v>95515.312099712886</v>
      </c>
      <c r="O9" s="881">
        <v>92110.256211996908</v>
      </c>
      <c r="P9" s="881">
        <v>95106.570755213266</v>
      </c>
      <c r="Q9" s="180">
        <v>96052.4087094079</v>
      </c>
      <c r="R9" s="881">
        <v>9775.4376283396596</v>
      </c>
      <c r="S9" s="881">
        <v>9815.3196177312602</v>
      </c>
      <c r="T9" s="881">
        <v>10026.871770142086</v>
      </c>
      <c r="U9" s="881">
        <v>9635.9247544686223</v>
      </c>
      <c r="V9" s="881">
        <v>9292.4105932570801</v>
      </c>
      <c r="W9" s="881">
        <v>9594.6894723650894</v>
      </c>
      <c r="X9" s="180">
        <v>9690.1089727173003</v>
      </c>
      <c r="Y9" s="881"/>
      <c r="Z9" s="881"/>
      <c r="AA9" s="881"/>
      <c r="AB9" s="881"/>
      <c r="AC9" s="881"/>
      <c r="AD9" s="881"/>
      <c r="AE9" s="47"/>
      <c r="AF9" s="1391"/>
    </row>
    <row r="10" spans="2:35">
      <c r="B10" s="48" t="s">
        <v>277</v>
      </c>
      <c r="C10" s="882" t="s">
        <v>277</v>
      </c>
      <c r="D10" s="881">
        <v>13499.609687583816</v>
      </c>
      <c r="E10" s="881">
        <v>13554.685614700378</v>
      </c>
      <c r="F10" s="881">
        <v>13846.83330104386</v>
      </c>
      <c r="G10" s="881">
        <v>13306.946257540325</v>
      </c>
      <c r="H10" s="881">
        <v>12832.562677508095</v>
      </c>
      <c r="I10" s="881">
        <v>13250.001470522166</v>
      </c>
      <c r="J10" s="180">
        <v>13381.773168149773</v>
      </c>
      <c r="K10" s="881">
        <v>13499.609687583816</v>
      </c>
      <c r="L10" s="881">
        <v>13554.685614700378</v>
      </c>
      <c r="M10" s="881">
        <v>13846.83330104386</v>
      </c>
      <c r="N10" s="881">
        <v>13306.946257540325</v>
      </c>
      <c r="O10" s="881">
        <v>12832.562677508095</v>
      </c>
      <c r="P10" s="881">
        <v>13250.001470522166</v>
      </c>
      <c r="Q10" s="180">
        <v>13381.773168149773</v>
      </c>
      <c r="R10" s="881">
        <v>9775.4376283396596</v>
      </c>
      <c r="S10" s="881">
        <v>9815.3196177312602</v>
      </c>
      <c r="T10" s="881">
        <v>10026.871770142086</v>
      </c>
      <c r="U10" s="881">
        <v>9635.9247544686223</v>
      </c>
      <c r="V10" s="881">
        <v>9292.4105932570801</v>
      </c>
      <c r="W10" s="881">
        <v>9594.6894723650894</v>
      </c>
      <c r="X10" s="180">
        <v>9690.1089727173003</v>
      </c>
      <c r="Y10" s="883"/>
      <c r="Z10" s="883"/>
      <c r="AA10" s="883"/>
      <c r="AB10" s="883"/>
      <c r="AC10" s="883"/>
      <c r="AD10" s="883"/>
      <c r="AE10" s="50"/>
      <c r="AF10" s="1394"/>
    </row>
    <row r="11" spans="2:35">
      <c r="B11" s="48"/>
      <c r="C11" s="887" t="s">
        <v>304</v>
      </c>
      <c r="D11" s="883">
        <v>11869.31060534879</v>
      </c>
      <c r="E11" s="883">
        <v>11917.735211759838</v>
      </c>
      <c r="F11" s="883">
        <v>12174.601277675363</v>
      </c>
      <c r="G11" s="883">
        <v>11699.914441578119</v>
      </c>
      <c r="H11" s="883">
        <v>11282.820452360145</v>
      </c>
      <c r="I11" s="883">
        <v>11649.846670722814</v>
      </c>
      <c r="J11" s="180">
        <v>11765.704776574179</v>
      </c>
      <c r="K11" s="883">
        <v>11869.31060534879</v>
      </c>
      <c r="L11" s="883">
        <v>11917.735211759838</v>
      </c>
      <c r="M11" s="883">
        <v>12174.601277675363</v>
      </c>
      <c r="N11" s="883">
        <v>11699.914441578119</v>
      </c>
      <c r="O11" s="883">
        <v>11282.820452360145</v>
      </c>
      <c r="P11" s="883">
        <v>11649.846670722814</v>
      </c>
      <c r="Q11" s="180">
        <v>11765.704776574179</v>
      </c>
      <c r="R11" s="883">
        <v>8588.1048466811408</v>
      </c>
      <c r="S11" s="883">
        <v>8623.1427364832634</v>
      </c>
      <c r="T11" s="883">
        <v>8808.999588577346</v>
      </c>
      <c r="U11" s="883">
        <v>8465.5373224617906</v>
      </c>
      <c r="V11" s="883">
        <v>8163.746676869433</v>
      </c>
      <c r="W11" s="883">
        <v>8429.3105120056571</v>
      </c>
      <c r="X11" s="180">
        <v>8513.1402805131056</v>
      </c>
      <c r="Y11" s="883"/>
      <c r="Z11" s="883"/>
      <c r="AA11" s="883"/>
      <c r="AB11" s="883"/>
      <c r="AC11" s="883"/>
      <c r="AD11" s="883"/>
      <c r="AE11" s="50"/>
      <c r="AF11" s="1394"/>
    </row>
    <row r="12" spans="2:35">
      <c r="B12" s="48"/>
      <c r="C12" s="887" t="s">
        <v>305</v>
      </c>
      <c r="D12" s="883">
        <v>1620.0094384965764</v>
      </c>
      <c r="E12" s="883">
        <v>1626.6187793462484</v>
      </c>
      <c r="F12" s="883">
        <v>1661.677719587067</v>
      </c>
      <c r="G12" s="883">
        <v>1596.8890237329815</v>
      </c>
      <c r="H12" s="883">
        <v>1539.9610165605341</v>
      </c>
      <c r="I12" s="883">
        <v>1590.0554119043786</v>
      </c>
      <c r="J12" s="180">
        <v>1605.8685649379643</v>
      </c>
      <c r="K12" s="883">
        <v>1620.0094384965764</v>
      </c>
      <c r="L12" s="883">
        <v>1626.6187793462484</v>
      </c>
      <c r="M12" s="883">
        <v>1661.677719587067</v>
      </c>
      <c r="N12" s="883">
        <v>1596.8890237329815</v>
      </c>
      <c r="O12" s="883">
        <v>1539.9610165605341</v>
      </c>
      <c r="P12" s="883">
        <v>1590.0554119043786</v>
      </c>
      <c r="Q12" s="180">
        <v>1605.8685649379643</v>
      </c>
      <c r="R12" s="883">
        <v>1163.4181826935899</v>
      </c>
      <c r="S12" s="883">
        <v>1168.1647151133418</v>
      </c>
      <c r="T12" s="883">
        <v>1193.342474929352</v>
      </c>
      <c r="U12" s="883">
        <v>1146.8141368848528</v>
      </c>
      <c r="V12" s="883">
        <v>1105.9309931974922</v>
      </c>
      <c r="W12" s="883">
        <v>1141.9065430980877</v>
      </c>
      <c r="X12" s="180">
        <v>1153.2628409861193</v>
      </c>
      <c r="Y12" s="883"/>
      <c r="Z12" s="883"/>
      <c r="AA12" s="883"/>
      <c r="AB12" s="883"/>
      <c r="AC12" s="883"/>
      <c r="AD12" s="883"/>
      <c r="AE12" s="50"/>
      <c r="AF12" s="1394"/>
    </row>
    <row r="13" spans="2:35">
      <c r="B13" s="48"/>
      <c r="C13" s="887"/>
      <c r="D13" s="883"/>
      <c r="E13" s="883"/>
      <c r="F13" s="883"/>
      <c r="G13" s="883"/>
      <c r="H13" s="883"/>
      <c r="I13" s="883"/>
      <c r="J13" s="180"/>
      <c r="K13" s="883"/>
      <c r="L13" s="883"/>
      <c r="M13" s="883"/>
      <c r="N13" s="883"/>
      <c r="O13" s="883"/>
      <c r="P13" s="883"/>
      <c r="Q13" s="180"/>
      <c r="R13" s="883"/>
      <c r="S13" s="883"/>
      <c r="T13" s="883"/>
      <c r="U13" s="883"/>
      <c r="V13" s="883"/>
      <c r="W13" s="883"/>
      <c r="X13" s="180"/>
      <c r="Y13" s="883"/>
      <c r="Z13" s="883"/>
      <c r="AA13" s="883"/>
      <c r="AB13" s="883"/>
      <c r="AC13" s="883"/>
      <c r="AD13" s="883"/>
      <c r="AE13" s="50"/>
      <c r="AF13" s="1394"/>
    </row>
    <row r="14" spans="2:35" s="52" customFormat="1">
      <c r="B14" s="48" t="s">
        <v>276</v>
      </c>
      <c r="C14" s="885" t="s">
        <v>626</v>
      </c>
      <c r="D14" s="881">
        <v>83398.612307055388</v>
      </c>
      <c r="E14" s="881">
        <v>83738.863321665878</v>
      </c>
      <c r="F14" s="881">
        <v>85543.708957475057</v>
      </c>
      <c r="G14" s="881">
        <v>82208.365842172556</v>
      </c>
      <c r="H14" s="881">
        <v>79277.693534488819</v>
      </c>
      <c r="I14" s="881">
        <v>81856.569284691097</v>
      </c>
      <c r="J14" s="180">
        <v>82670.635541258132</v>
      </c>
      <c r="K14" s="881">
        <v>83398.612307055388</v>
      </c>
      <c r="L14" s="881">
        <v>83738.863321665878</v>
      </c>
      <c r="M14" s="881">
        <v>85543.708957475057</v>
      </c>
      <c r="N14" s="881">
        <v>82208.365842172556</v>
      </c>
      <c r="O14" s="881">
        <v>79277.693534488819</v>
      </c>
      <c r="P14" s="881">
        <v>81856.569284691097</v>
      </c>
      <c r="Q14" s="180">
        <v>82670.635541258132</v>
      </c>
      <c r="R14" s="881"/>
      <c r="S14" s="881"/>
      <c r="T14" s="881"/>
      <c r="U14" s="881"/>
      <c r="V14" s="881"/>
      <c r="W14" s="881"/>
      <c r="X14" s="180"/>
      <c r="Y14" s="881"/>
      <c r="Z14" s="881"/>
      <c r="AA14" s="881"/>
      <c r="AB14" s="881"/>
      <c r="AC14" s="881"/>
      <c r="AD14" s="881"/>
      <c r="AE14" s="50"/>
      <c r="AF14" s="975"/>
      <c r="AG14" s="37"/>
      <c r="AH14" s="37"/>
      <c r="AI14" s="37"/>
    </row>
    <row r="15" spans="2:35">
      <c r="B15" s="48"/>
      <c r="C15" s="887" t="s">
        <v>304</v>
      </c>
      <c r="D15" s="883">
        <v>83000.294762578225</v>
      </c>
      <c r="E15" s="883">
        <v>83338.920714793829</v>
      </c>
      <c r="F15" s="883">
        <v>85135.14628293128</v>
      </c>
      <c r="G15" s="883">
        <v>81815.732997189785</v>
      </c>
      <c r="H15" s="883">
        <v>78899.057783282216</v>
      </c>
      <c r="I15" s="883">
        <v>81465.616644415029</v>
      </c>
      <c r="J15" s="180">
        <v>82275.794864198397</v>
      </c>
      <c r="K15" s="883">
        <v>83000.294762578225</v>
      </c>
      <c r="L15" s="883">
        <v>83338.920714793829</v>
      </c>
      <c r="M15" s="883">
        <v>85135.14628293128</v>
      </c>
      <c r="N15" s="883">
        <v>81815.732997189785</v>
      </c>
      <c r="O15" s="883">
        <v>78899.057783282216</v>
      </c>
      <c r="P15" s="883">
        <v>81465.616644415029</v>
      </c>
      <c r="Q15" s="180">
        <v>82275.794864198397</v>
      </c>
      <c r="R15" s="883"/>
      <c r="S15" s="883"/>
      <c r="T15" s="883"/>
      <c r="U15" s="883"/>
      <c r="V15" s="883"/>
      <c r="W15" s="883"/>
      <c r="X15" s="180"/>
      <c r="Y15" s="883"/>
      <c r="Z15" s="883"/>
      <c r="AA15" s="883"/>
      <c r="AB15" s="883"/>
      <c r="AC15" s="883"/>
      <c r="AD15" s="883"/>
      <c r="AE15" s="50"/>
      <c r="AF15" s="1394"/>
    </row>
    <row r="16" spans="2:35">
      <c r="B16" s="48"/>
      <c r="C16" s="888" t="s">
        <v>306</v>
      </c>
      <c r="D16" s="883">
        <v>0</v>
      </c>
      <c r="E16" s="883">
        <v>0</v>
      </c>
      <c r="F16" s="883">
        <v>0</v>
      </c>
      <c r="G16" s="883">
        <v>0</v>
      </c>
      <c r="H16" s="883">
        <v>0</v>
      </c>
      <c r="I16" s="883">
        <v>0</v>
      </c>
      <c r="J16" s="180">
        <v>0</v>
      </c>
      <c r="K16" s="883">
        <v>0</v>
      </c>
      <c r="L16" s="883">
        <v>0</v>
      </c>
      <c r="M16" s="883">
        <v>0</v>
      </c>
      <c r="N16" s="883">
        <v>0</v>
      </c>
      <c r="O16" s="883">
        <v>0</v>
      </c>
      <c r="P16" s="883">
        <v>0</v>
      </c>
      <c r="Q16" s="180">
        <v>0</v>
      </c>
      <c r="R16" s="883"/>
      <c r="S16" s="883"/>
      <c r="T16" s="883"/>
      <c r="U16" s="883"/>
      <c r="V16" s="883"/>
      <c r="W16" s="883"/>
      <c r="X16" s="180"/>
      <c r="Y16" s="883"/>
      <c r="Z16" s="883"/>
      <c r="AA16" s="883"/>
      <c r="AB16" s="883"/>
      <c r="AC16" s="883"/>
      <c r="AD16" s="883"/>
      <c r="AE16" s="50"/>
      <c r="AF16" s="1394"/>
    </row>
    <row r="17" spans="2:32">
      <c r="B17" s="48"/>
      <c r="C17" s="887" t="s">
        <v>305</v>
      </c>
      <c r="D17" s="883">
        <v>398.31754447716293</v>
      </c>
      <c r="E17" s="883">
        <v>399.94260687204451</v>
      </c>
      <c r="F17" s="883">
        <v>408.56267454378229</v>
      </c>
      <c r="G17" s="883">
        <v>392.63284498277284</v>
      </c>
      <c r="H17" s="883">
        <v>378.63575120660875</v>
      </c>
      <c r="I17" s="883">
        <v>390.95264027606123</v>
      </c>
      <c r="J17" s="180">
        <v>394.84067705973877</v>
      </c>
      <c r="K17" s="883">
        <v>398.31754447716293</v>
      </c>
      <c r="L17" s="883">
        <v>399.94260687204451</v>
      </c>
      <c r="M17" s="883">
        <v>408.56267454378229</v>
      </c>
      <c r="N17" s="883">
        <v>392.63284498277284</v>
      </c>
      <c r="O17" s="883">
        <v>378.63575120660875</v>
      </c>
      <c r="P17" s="883">
        <v>390.95264027606123</v>
      </c>
      <c r="Q17" s="180">
        <v>394.84067705973877</v>
      </c>
      <c r="R17" s="883"/>
      <c r="S17" s="883"/>
      <c r="T17" s="883"/>
      <c r="U17" s="883"/>
      <c r="V17" s="883"/>
      <c r="W17" s="883"/>
      <c r="X17" s="180"/>
      <c r="Y17" s="883"/>
      <c r="Z17" s="883"/>
      <c r="AA17" s="883"/>
      <c r="AB17" s="883"/>
      <c r="AC17" s="883"/>
      <c r="AD17" s="883"/>
      <c r="AE17" s="50"/>
      <c r="AF17" s="1394"/>
    </row>
    <row r="18" spans="2:32">
      <c r="B18" s="48"/>
      <c r="C18" s="887" t="s">
        <v>307</v>
      </c>
      <c r="D18" s="883">
        <v>0</v>
      </c>
      <c r="E18" s="883">
        <v>0</v>
      </c>
      <c r="F18" s="883">
        <v>0</v>
      </c>
      <c r="G18" s="883">
        <v>0</v>
      </c>
      <c r="H18" s="883">
        <v>0</v>
      </c>
      <c r="I18" s="883">
        <v>0</v>
      </c>
      <c r="J18" s="180">
        <v>0</v>
      </c>
      <c r="K18" s="883">
        <v>0</v>
      </c>
      <c r="L18" s="883">
        <v>0</v>
      </c>
      <c r="M18" s="883">
        <v>0</v>
      </c>
      <c r="N18" s="883">
        <v>0</v>
      </c>
      <c r="O18" s="883">
        <v>0</v>
      </c>
      <c r="P18" s="883">
        <v>0</v>
      </c>
      <c r="Q18" s="180">
        <v>0</v>
      </c>
      <c r="R18" s="883"/>
      <c r="S18" s="883"/>
      <c r="T18" s="883"/>
      <c r="U18" s="883"/>
      <c r="V18" s="883"/>
      <c r="W18" s="883"/>
      <c r="X18" s="180"/>
      <c r="Y18" s="883"/>
      <c r="Z18" s="883"/>
      <c r="AA18" s="883"/>
      <c r="AB18" s="883"/>
      <c r="AC18" s="883"/>
      <c r="AD18" s="883"/>
      <c r="AE18" s="50"/>
      <c r="AF18" s="1394"/>
    </row>
    <row r="19" spans="2:32">
      <c r="B19" s="48"/>
      <c r="C19" s="884"/>
      <c r="D19" s="883">
        <v>0</v>
      </c>
      <c r="E19" s="883">
        <v>0</v>
      </c>
      <c r="F19" s="883">
        <v>0</v>
      </c>
      <c r="G19" s="883">
        <v>0</v>
      </c>
      <c r="H19" s="883">
        <v>0</v>
      </c>
      <c r="I19" s="883">
        <v>0</v>
      </c>
      <c r="J19" s="180">
        <f t="shared" ref="J19" si="0">AVERAGE(D19:I19)</f>
        <v>0</v>
      </c>
      <c r="K19" s="883"/>
      <c r="L19" s="883"/>
      <c r="M19" s="883"/>
      <c r="N19" s="883"/>
      <c r="O19" s="883"/>
      <c r="P19" s="883"/>
      <c r="Q19" s="180"/>
      <c r="R19" s="883"/>
      <c r="S19" s="883"/>
      <c r="T19" s="883"/>
      <c r="U19" s="883"/>
      <c r="V19" s="883"/>
      <c r="W19" s="883"/>
      <c r="X19" s="180"/>
      <c r="Y19" s="883"/>
      <c r="Z19" s="883"/>
      <c r="AA19" s="883"/>
      <c r="AB19" s="883"/>
      <c r="AC19" s="883"/>
      <c r="AD19" s="883"/>
      <c r="AE19" s="50"/>
      <c r="AF19" s="1394"/>
    </row>
    <row r="20" spans="2:32">
      <c r="B20" s="48"/>
      <c r="C20" s="880" t="s">
        <v>443</v>
      </c>
      <c r="D20" s="881">
        <v>241085.13456200185</v>
      </c>
      <c r="E20" s="881">
        <v>242068.71761420192</v>
      </c>
      <c r="F20" s="881">
        <v>247286.08803483529</v>
      </c>
      <c r="G20" s="881">
        <v>237644.42108715727</v>
      </c>
      <c r="H20" s="881">
        <v>229172.55916871509</v>
      </c>
      <c r="I20" s="881">
        <v>236627.46267438892</v>
      </c>
      <c r="J20" s="180">
        <v>238980.73052355004</v>
      </c>
      <c r="K20" s="881">
        <v>241085.13456200185</v>
      </c>
      <c r="L20" s="881">
        <v>242068.71761420192</v>
      </c>
      <c r="M20" s="881">
        <v>247286.08803483529</v>
      </c>
      <c r="N20" s="881">
        <v>237644.42108715727</v>
      </c>
      <c r="O20" s="881">
        <v>229172.55916871509</v>
      </c>
      <c r="P20" s="881">
        <v>236627.46267438892</v>
      </c>
      <c r="Q20" s="180">
        <v>238980.73052355004</v>
      </c>
      <c r="R20" s="881">
        <v>5349.6531009705122</v>
      </c>
      <c r="S20" s="881">
        <v>5371.4787026809763</v>
      </c>
      <c r="T20" s="881">
        <v>5487.2515888871776</v>
      </c>
      <c r="U20" s="881">
        <v>5273.3040405288793</v>
      </c>
      <c r="V20" s="881">
        <v>5085.3143394412227</v>
      </c>
      <c r="W20" s="881">
        <v>5250.7378431716343</v>
      </c>
      <c r="X20" s="180">
        <v>5302.9566026134007</v>
      </c>
      <c r="Y20" s="881"/>
      <c r="Z20" s="881"/>
      <c r="AA20" s="881"/>
      <c r="AB20" s="881"/>
      <c r="AC20" s="881"/>
      <c r="AD20" s="881"/>
      <c r="AE20" s="47"/>
      <c r="AF20" s="1391"/>
    </row>
    <row r="21" spans="2:32">
      <c r="B21" s="48" t="s">
        <v>275</v>
      </c>
      <c r="C21" s="882" t="s">
        <v>275</v>
      </c>
      <c r="D21" s="881">
        <v>9361.4824402853465</v>
      </c>
      <c r="E21" s="881">
        <v>9399.6755685695171</v>
      </c>
      <c r="F21" s="881">
        <v>9602.269236013839</v>
      </c>
      <c r="G21" s="881">
        <v>9227.8774428833731</v>
      </c>
      <c r="H21" s="881">
        <v>8898.9098906943655</v>
      </c>
      <c r="I21" s="881">
        <v>9188.3883290442827</v>
      </c>
      <c r="J21" s="180">
        <v>9279.767151248454</v>
      </c>
      <c r="K21" s="881">
        <v>9361.4824402853465</v>
      </c>
      <c r="L21" s="881">
        <v>9399.6755685695171</v>
      </c>
      <c r="M21" s="881">
        <v>9602.269236013839</v>
      </c>
      <c r="N21" s="881">
        <v>9227.8774428833731</v>
      </c>
      <c r="O21" s="881">
        <v>8898.9098906943655</v>
      </c>
      <c r="P21" s="881">
        <v>9188.3883290442827</v>
      </c>
      <c r="Q21" s="180">
        <v>9279.767151248454</v>
      </c>
      <c r="R21" s="881">
        <v>5349.6531009705122</v>
      </c>
      <c r="S21" s="881">
        <v>5371.4787026809763</v>
      </c>
      <c r="T21" s="881">
        <v>5487.2515888871776</v>
      </c>
      <c r="U21" s="881">
        <v>5273.3040405288793</v>
      </c>
      <c r="V21" s="881">
        <v>5085.3143394412227</v>
      </c>
      <c r="W21" s="881">
        <v>5250.7378431716343</v>
      </c>
      <c r="X21" s="180">
        <v>5302.9566026134007</v>
      </c>
      <c r="Y21" s="883"/>
      <c r="Z21" s="883"/>
      <c r="AA21" s="883"/>
      <c r="AB21" s="883"/>
      <c r="AC21" s="883"/>
      <c r="AD21" s="883"/>
      <c r="AE21" s="50"/>
      <c r="AF21" s="1394"/>
    </row>
    <row r="22" spans="2:32">
      <c r="B22" s="48"/>
      <c r="C22" s="887" t="s">
        <v>304</v>
      </c>
      <c r="D22" s="883">
        <v>9073.8837539103861</v>
      </c>
      <c r="E22" s="883">
        <v>9110.9035323973276</v>
      </c>
      <c r="F22" s="883">
        <v>9307.2732205737793</v>
      </c>
      <c r="G22" s="883">
        <v>8944.3833010600938</v>
      </c>
      <c r="H22" s="883">
        <v>8625.5221221376141</v>
      </c>
      <c r="I22" s="883">
        <v>8906.1073516251126</v>
      </c>
      <c r="J22" s="180">
        <v>8994.678880284051</v>
      </c>
      <c r="K22" s="883">
        <v>9073.8837539103861</v>
      </c>
      <c r="L22" s="883">
        <v>9110.9035323973276</v>
      </c>
      <c r="M22" s="883">
        <v>9307.2732205737793</v>
      </c>
      <c r="N22" s="883">
        <v>8944.3833010600938</v>
      </c>
      <c r="O22" s="883">
        <v>8625.5221221376141</v>
      </c>
      <c r="P22" s="883">
        <v>8906.1073516251126</v>
      </c>
      <c r="Q22" s="180">
        <v>8994.678880284051</v>
      </c>
      <c r="R22" s="883">
        <v>5194.4020180307734</v>
      </c>
      <c r="S22" s="883">
        <v>5215.5942238485695</v>
      </c>
      <c r="T22" s="883">
        <v>5328.0072910871977</v>
      </c>
      <c r="U22" s="883">
        <v>5120.2686665503161</v>
      </c>
      <c r="V22" s="883">
        <v>4937.734572419693</v>
      </c>
      <c r="W22" s="883">
        <v>5098.3573577459201</v>
      </c>
      <c r="X22" s="180">
        <v>5149.0606882804123</v>
      </c>
      <c r="Y22" s="883"/>
      <c r="Z22" s="883"/>
      <c r="AA22" s="883"/>
      <c r="AB22" s="883"/>
      <c r="AC22" s="883"/>
      <c r="AD22" s="883"/>
      <c r="AE22" s="50"/>
      <c r="AF22" s="1394"/>
    </row>
    <row r="23" spans="2:32">
      <c r="B23" s="48"/>
      <c r="C23" s="888" t="s">
        <v>306</v>
      </c>
      <c r="D23" s="883">
        <v>153.11472110592481</v>
      </c>
      <c r="E23" s="883">
        <v>153.73940103484594</v>
      </c>
      <c r="F23" s="883">
        <v>157.0529865792758</v>
      </c>
      <c r="G23" s="883">
        <v>150.92950182617392</v>
      </c>
      <c r="H23" s="883">
        <v>145.54896777853614</v>
      </c>
      <c r="I23" s="883">
        <v>150.28362499087984</v>
      </c>
      <c r="J23" s="180">
        <v>151.77820055260608</v>
      </c>
      <c r="K23" s="883">
        <v>153.11472110592481</v>
      </c>
      <c r="L23" s="883">
        <v>153.73940103484594</v>
      </c>
      <c r="M23" s="883">
        <v>157.0529865792758</v>
      </c>
      <c r="N23" s="883">
        <v>150.92950182617392</v>
      </c>
      <c r="O23" s="883">
        <v>145.54896777853614</v>
      </c>
      <c r="P23" s="883">
        <v>150.28362499087984</v>
      </c>
      <c r="Q23" s="180">
        <v>151.77820055260608</v>
      </c>
      <c r="R23" s="883">
        <v>59.530808578228573</v>
      </c>
      <c r="S23" s="883">
        <v>59.773683339078893</v>
      </c>
      <c r="T23" s="883">
        <v>61.062001178985192</v>
      </c>
      <c r="U23" s="883">
        <v>58.681198105083347</v>
      </c>
      <c r="V23" s="883">
        <v>56.589253319336869</v>
      </c>
      <c r="W23" s="883">
        <v>58.430082014028955</v>
      </c>
      <c r="X23" s="180">
        <v>59.011171089123629</v>
      </c>
      <c r="Y23" s="883"/>
      <c r="Z23" s="883"/>
      <c r="AA23" s="883"/>
      <c r="AB23" s="883"/>
      <c r="AC23" s="883"/>
      <c r="AD23" s="883"/>
      <c r="AE23" s="50"/>
      <c r="AF23" s="1394"/>
    </row>
    <row r="24" spans="2:32">
      <c r="B24" s="48"/>
      <c r="C24" s="887" t="s">
        <v>305</v>
      </c>
      <c r="D24" s="883">
        <v>247.95099273432419</v>
      </c>
      <c r="E24" s="883">
        <v>248.96258722633939</v>
      </c>
      <c r="F24" s="883">
        <v>254.32854302286339</v>
      </c>
      <c r="G24" s="883">
        <v>244.41229125713843</v>
      </c>
      <c r="H24" s="883">
        <v>235.69915937199676</v>
      </c>
      <c r="I24" s="883">
        <v>243.36637090840543</v>
      </c>
      <c r="J24" s="180">
        <v>245.78665742017793</v>
      </c>
      <c r="K24" s="883">
        <v>247.95099273432419</v>
      </c>
      <c r="L24" s="883">
        <v>248.96258722633939</v>
      </c>
      <c r="M24" s="883">
        <v>254.32854302286339</v>
      </c>
      <c r="N24" s="883">
        <v>244.41229125713843</v>
      </c>
      <c r="O24" s="883">
        <v>235.69915937199676</v>
      </c>
      <c r="P24" s="883">
        <v>243.36637090840543</v>
      </c>
      <c r="Q24" s="180">
        <v>245.78665742017793</v>
      </c>
      <c r="R24" s="883">
        <v>82.387956914688516</v>
      </c>
      <c r="S24" s="883">
        <v>82.724084640995244</v>
      </c>
      <c r="T24" s="883">
        <v>84.507058486330237</v>
      </c>
      <c r="U24" s="883">
        <v>81.212134299012561</v>
      </c>
      <c r="V24" s="883">
        <v>78.31697696800633</v>
      </c>
      <c r="W24" s="883">
        <v>80.864600943016114</v>
      </c>
      <c r="X24" s="180">
        <v>81.668802042008167</v>
      </c>
      <c r="Y24" s="883"/>
      <c r="Z24" s="883"/>
      <c r="AA24" s="883"/>
      <c r="AB24" s="883"/>
      <c r="AC24" s="883"/>
      <c r="AD24" s="883"/>
      <c r="AE24" s="50"/>
      <c r="AF24" s="1394"/>
    </row>
    <row r="25" spans="2:32">
      <c r="B25" s="48"/>
      <c r="C25" s="887"/>
      <c r="D25" s="883"/>
      <c r="E25" s="883"/>
      <c r="F25" s="883"/>
      <c r="G25" s="883"/>
      <c r="H25" s="883"/>
      <c r="I25" s="883"/>
      <c r="J25" s="180"/>
      <c r="K25" s="883"/>
      <c r="L25" s="883"/>
      <c r="M25" s="883"/>
      <c r="N25" s="883"/>
      <c r="O25" s="883"/>
      <c r="P25" s="883"/>
      <c r="Q25" s="180"/>
      <c r="R25" s="883"/>
      <c r="S25" s="883"/>
      <c r="T25" s="883"/>
      <c r="U25" s="883"/>
      <c r="V25" s="883"/>
      <c r="W25" s="883"/>
      <c r="X25" s="180"/>
      <c r="Y25" s="883"/>
      <c r="Z25" s="883"/>
      <c r="AA25" s="883"/>
      <c r="AB25" s="883"/>
      <c r="AC25" s="883"/>
      <c r="AD25" s="883"/>
      <c r="AE25" s="50"/>
      <c r="AF25" s="1394"/>
    </row>
    <row r="26" spans="2:32">
      <c r="B26" s="48"/>
      <c r="C26" s="885" t="s">
        <v>1736</v>
      </c>
      <c r="D26" s="881">
        <f>D27+D34+D39+D44</f>
        <v>231723.65212171653</v>
      </c>
      <c r="E26" s="881">
        <f t="shared" ref="E26:W26" si="1">E27+E34+E39+E44</f>
        <v>232669.04204563241</v>
      </c>
      <c r="F26" s="881">
        <f t="shared" si="1"/>
        <v>237683.81879882148</v>
      </c>
      <c r="G26" s="881">
        <f t="shared" si="1"/>
        <v>228416.54364427392</v>
      </c>
      <c r="H26" s="881">
        <f t="shared" si="1"/>
        <v>220273.64927802072</v>
      </c>
      <c r="I26" s="881">
        <f t="shared" si="1"/>
        <v>227439.07434534462</v>
      </c>
      <c r="J26" s="180">
        <f>AVERAGE(D26:I26)</f>
        <v>229700.96337230163</v>
      </c>
      <c r="K26" s="881">
        <f t="shared" si="1"/>
        <v>231723.65212171653</v>
      </c>
      <c r="L26" s="881">
        <f t="shared" si="1"/>
        <v>232669.04204563241</v>
      </c>
      <c r="M26" s="881">
        <f t="shared" si="1"/>
        <v>237683.81879882148</v>
      </c>
      <c r="N26" s="881">
        <f t="shared" si="1"/>
        <v>228416.54364427392</v>
      </c>
      <c r="O26" s="881">
        <f t="shared" si="1"/>
        <v>220273.64927802072</v>
      </c>
      <c r="P26" s="881">
        <f t="shared" si="1"/>
        <v>227439.07434534462</v>
      </c>
      <c r="Q26" s="180">
        <f>AVERAGE(K26:P26)</f>
        <v>229700.96337230163</v>
      </c>
      <c r="R26" s="881">
        <f t="shared" si="1"/>
        <v>0</v>
      </c>
      <c r="S26" s="881">
        <f t="shared" si="1"/>
        <v>0</v>
      </c>
      <c r="T26" s="881">
        <f t="shared" si="1"/>
        <v>0</v>
      </c>
      <c r="U26" s="881">
        <f t="shared" si="1"/>
        <v>0</v>
      </c>
      <c r="V26" s="881">
        <f t="shared" si="1"/>
        <v>0</v>
      </c>
      <c r="W26" s="881">
        <f t="shared" si="1"/>
        <v>0</v>
      </c>
      <c r="X26" s="180">
        <f>AVERAGE(R26:W26)</f>
        <v>0</v>
      </c>
      <c r="Y26" s="883"/>
      <c r="Z26" s="883"/>
      <c r="AA26" s="883"/>
      <c r="AB26" s="883"/>
      <c r="AC26" s="883"/>
      <c r="AD26" s="883"/>
      <c r="AE26" s="50"/>
      <c r="AF26" s="1394"/>
    </row>
    <row r="27" spans="2:32">
      <c r="B27" s="48" t="s">
        <v>274</v>
      </c>
      <c r="C27" s="885" t="s">
        <v>627</v>
      </c>
      <c r="D27" s="881">
        <v>96529.903057696312</v>
      </c>
      <c r="E27" s="881">
        <v>96923.727325835294</v>
      </c>
      <c r="F27" s="881">
        <v>99012.749786033106</v>
      </c>
      <c r="G27" s="881">
        <v>95152.249728802926</v>
      </c>
      <c r="H27" s="881">
        <v>91760.136767582182</v>
      </c>
      <c r="I27" s="881">
        <v>94745.062047253872</v>
      </c>
      <c r="J27" s="180">
        <v>95687.304785533939</v>
      </c>
      <c r="K27" s="881">
        <v>96529.903057696312</v>
      </c>
      <c r="L27" s="881">
        <v>96923.727325835294</v>
      </c>
      <c r="M27" s="881">
        <v>99012.749786033106</v>
      </c>
      <c r="N27" s="881">
        <v>95152.249728802926</v>
      </c>
      <c r="O27" s="881">
        <v>91760.136767582182</v>
      </c>
      <c r="P27" s="881">
        <v>94745.062047253872</v>
      </c>
      <c r="Q27" s="180">
        <v>95687.304785533939</v>
      </c>
      <c r="R27" s="881">
        <f t="shared" ref="R27:W27" si="2">SUBTOTAL(9,R28:R33)</f>
        <v>0</v>
      </c>
      <c r="S27" s="881">
        <f t="shared" si="2"/>
        <v>0</v>
      </c>
      <c r="T27" s="881">
        <f t="shared" si="2"/>
        <v>0</v>
      </c>
      <c r="U27" s="881">
        <f t="shared" si="2"/>
        <v>0</v>
      </c>
      <c r="V27" s="881">
        <f t="shared" si="2"/>
        <v>0</v>
      </c>
      <c r="W27" s="881">
        <f t="shared" si="2"/>
        <v>0</v>
      </c>
      <c r="X27" s="180">
        <f>AVERAGE(R27:W27)</f>
        <v>0</v>
      </c>
      <c r="Y27" s="991"/>
      <c r="Z27" s="991"/>
      <c r="AA27" s="991"/>
      <c r="AB27" s="991"/>
      <c r="AC27" s="991"/>
      <c r="AD27" s="991"/>
      <c r="AE27" s="53"/>
      <c r="AF27" s="1395"/>
    </row>
    <row r="28" spans="2:32">
      <c r="B28" s="48"/>
      <c r="C28" s="887" t="s">
        <v>304</v>
      </c>
      <c r="D28" s="883">
        <v>96266.806473414676</v>
      </c>
      <c r="E28" s="883">
        <v>96659.557355830955</v>
      </c>
      <c r="F28" s="883">
        <v>98742.886091531429</v>
      </c>
      <c r="G28" s="883">
        <v>94892.90800051589</v>
      </c>
      <c r="H28" s="883">
        <v>91510.040395452408</v>
      </c>
      <c r="I28" s="883">
        <v>94486.830127272697</v>
      </c>
      <c r="J28" s="180">
        <v>95426.504740669669</v>
      </c>
      <c r="K28" s="883">
        <v>96266.806473414676</v>
      </c>
      <c r="L28" s="883">
        <v>96659.557355830955</v>
      </c>
      <c r="M28" s="883">
        <v>98742.886091531429</v>
      </c>
      <c r="N28" s="883">
        <v>94892.90800051589</v>
      </c>
      <c r="O28" s="883">
        <v>91510.040395452408</v>
      </c>
      <c r="P28" s="883">
        <v>94486.830127272697</v>
      </c>
      <c r="Q28" s="180">
        <v>95426.504740669669</v>
      </c>
      <c r="R28" s="883"/>
      <c r="S28" s="883"/>
      <c r="T28" s="883"/>
      <c r="U28" s="883"/>
      <c r="V28" s="883"/>
      <c r="W28" s="883"/>
      <c r="X28" s="180"/>
      <c r="Y28" s="883"/>
      <c r="Z28" s="883"/>
      <c r="AA28" s="883"/>
      <c r="AB28" s="883"/>
      <c r="AC28" s="883"/>
      <c r="AD28" s="883"/>
      <c r="AE28" s="50"/>
      <c r="AF28" s="1394"/>
    </row>
    <row r="29" spans="2:32">
      <c r="B29" s="48"/>
      <c r="C29" s="887" t="s">
        <v>628</v>
      </c>
      <c r="D29" s="883">
        <v>0</v>
      </c>
      <c r="E29" s="883">
        <v>0</v>
      </c>
      <c r="F29" s="883">
        <v>0</v>
      </c>
      <c r="G29" s="883">
        <v>0</v>
      </c>
      <c r="H29" s="883">
        <v>0</v>
      </c>
      <c r="I29" s="883">
        <v>0</v>
      </c>
      <c r="J29" s="180">
        <v>0</v>
      </c>
      <c r="K29" s="883">
        <v>0</v>
      </c>
      <c r="L29" s="883">
        <v>0</v>
      </c>
      <c r="M29" s="883">
        <v>0</v>
      </c>
      <c r="N29" s="883">
        <v>0</v>
      </c>
      <c r="O29" s="883">
        <v>0</v>
      </c>
      <c r="P29" s="883">
        <v>0</v>
      </c>
      <c r="Q29" s="180">
        <v>0</v>
      </c>
      <c r="R29" s="883"/>
      <c r="S29" s="883"/>
      <c r="T29" s="883"/>
      <c r="U29" s="883"/>
      <c r="V29" s="883"/>
      <c r="W29" s="883"/>
      <c r="X29" s="180"/>
      <c r="Y29" s="883"/>
      <c r="Z29" s="883"/>
      <c r="AA29" s="883"/>
      <c r="AB29" s="883"/>
      <c r="AC29" s="883"/>
      <c r="AD29" s="883"/>
      <c r="AE29" s="50"/>
      <c r="AF29" s="1394"/>
    </row>
    <row r="30" spans="2:32">
      <c r="B30" s="48"/>
      <c r="C30" s="887" t="s">
        <v>629</v>
      </c>
      <c r="D30" s="883">
        <v>123.0343798322167</v>
      </c>
      <c r="E30" s="883">
        <v>123.53633749568183</v>
      </c>
      <c r="F30" s="883">
        <v>126.1989485074466</v>
      </c>
      <c r="G30" s="883">
        <v>121.27846049970812</v>
      </c>
      <c r="H30" s="883">
        <v>116.95496590078403</v>
      </c>
      <c r="I30" s="883">
        <v>120.75947019424019</v>
      </c>
      <c r="J30" s="180">
        <v>121.96042707167958</v>
      </c>
      <c r="K30" s="883">
        <v>123.0343798322167</v>
      </c>
      <c r="L30" s="883">
        <v>123.53633749568183</v>
      </c>
      <c r="M30" s="883">
        <v>126.1989485074466</v>
      </c>
      <c r="N30" s="883">
        <v>121.27846049970812</v>
      </c>
      <c r="O30" s="883">
        <v>116.95496590078403</v>
      </c>
      <c r="P30" s="883">
        <v>120.75947019424019</v>
      </c>
      <c r="Q30" s="180">
        <v>121.96042707167958</v>
      </c>
      <c r="R30" s="883"/>
      <c r="S30" s="883"/>
      <c r="T30" s="883"/>
      <c r="U30" s="883"/>
      <c r="V30" s="883"/>
      <c r="W30" s="883"/>
      <c r="X30" s="180"/>
      <c r="Y30" s="883"/>
      <c r="Z30" s="883"/>
      <c r="AA30" s="883"/>
      <c r="AB30" s="883"/>
      <c r="AC30" s="883"/>
      <c r="AD30" s="883"/>
      <c r="AE30" s="50"/>
      <c r="AF30" s="1394"/>
    </row>
    <row r="31" spans="2:32">
      <c r="B31" s="48"/>
      <c r="C31" s="887" t="s">
        <v>305</v>
      </c>
      <c r="D31" s="883">
        <v>104.00328173062556</v>
      </c>
      <c r="E31" s="883">
        <v>104.42759601059674</v>
      </c>
      <c r="F31" s="883">
        <v>106.67835131633548</v>
      </c>
      <c r="G31" s="883">
        <v>102.51897000178857</v>
      </c>
      <c r="H31" s="883">
        <v>98.86423847515394</v>
      </c>
      <c r="I31" s="883">
        <v>102.08025770829262</v>
      </c>
      <c r="J31" s="180">
        <v>103.09544920713215</v>
      </c>
      <c r="K31" s="883">
        <v>104.00328173062556</v>
      </c>
      <c r="L31" s="883">
        <v>104.42759601059674</v>
      </c>
      <c r="M31" s="883">
        <v>106.67835131633548</v>
      </c>
      <c r="N31" s="883">
        <v>102.51897000178857</v>
      </c>
      <c r="O31" s="883">
        <v>98.86423847515394</v>
      </c>
      <c r="P31" s="883">
        <v>102.08025770829262</v>
      </c>
      <c r="Q31" s="180">
        <v>103.09544920713215</v>
      </c>
      <c r="R31" s="883"/>
      <c r="S31" s="883"/>
      <c r="T31" s="883"/>
      <c r="U31" s="883"/>
      <c r="V31" s="883"/>
      <c r="W31" s="883"/>
      <c r="X31" s="180"/>
      <c r="Y31" s="883"/>
      <c r="Z31" s="883"/>
      <c r="AA31" s="883"/>
      <c r="AB31" s="883"/>
      <c r="AC31" s="883"/>
      <c r="AD31" s="883"/>
      <c r="AE31" s="50"/>
      <c r="AF31" s="1394"/>
    </row>
    <row r="32" spans="2:32">
      <c r="B32" s="48"/>
      <c r="C32" s="887" t="s">
        <v>307</v>
      </c>
      <c r="D32" s="883">
        <v>0</v>
      </c>
      <c r="E32" s="883">
        <v>0</v>
      </c>
      <c r="F32" s="883">
        <v>0</v>
      </c>
      <c r="G32" s="883">
        <v>0</v>
      </c>
      <c r="H32" s="883">
        <v>0</v>
      </c>
      <c r="I32" s="883">
        <v>0</v>
      </c>
      <c r="J32" s="180">
        <v>0</v>
      </c>
      <c r="K32" s="883">
        <v>0</v>
      </c>
      <c r="L32" s="883">
        <v>0</v>
      </c>
      <c r="M32" s="883">
        <v>0</v>
      </c>
      <c r="N32" s="883">
        <v>0</v>
      </c>
      <c r="O32" s="883">
        <v>0</v>
      </c>
      <c r="P32" s="883">
        <v>0</v>
      </c>
      <c r="Q32" s="180">
        <v>0</v>
      </c>
      <c r="R32" s="883"/>
      <c r="S32" s="883"/>
      <c r="T32" s="883"/>
      <c r="U32" s="883"/>
      <c r="V32" s="883"/>
      <c r="W32" s="883"/>
      <c r="X32" s="180"/>
      <c r="Y32" s="883"/>
      <c r="Z32" s="883"/>
      <c r="AA32" s="883"/>
      <c r="AB32" s="883"/>
      <c r="AC32" s="883"/>
      <c r="AD32" s="883"/>
      <c r="AE32" s="50"/>
      <c r="AF32" s="1394"/>
    </row>
    <row r="33" spans="2:32">
      <c r="B33" s="48"/>
      <c r="C33" s="887" t="s">
        <v>624</v>
      </c>
      <c r="D33" s="883">
        <v>36.058922718804347</v>
      </c>
      <c r="E33" s="883">
        <v>36.206036498056001</v>
      </c>
      <c r="F33" s="883">
        <v>36.986394677894793</v>
      </c>
      <c r="G33" s="883">
        <v>35.544297785531818</v>
      </c>
      <c r="H33" s="883">
        <v>34.277167753825431</v>
      </c>
      <c r="I33" s="883">
        <v>35.392192078637564</v>
      </c>
      <c r="J33" s="180">
        <v>35.744168585458333</v>
      </c>
      <c r="K33" s="883">
        <v>36.058922718804347</v>
      </c>
      <c r="L33" s="883">
        <v>36.206036498056001</v>
      </c>
      <c r="M33" s="883">
        <v>36.986394677894793</v>
      </c>
      <c r="N33" s="883">
        <v>35.544297785531818</v>
      </c>
      <c r="O33" s="883">
        <v>34.277167753825431</v>
      </c>
      <c r="P33" s="883">
        <v>35.392192078637564</v>
      </c>
      <c r="Q33" s="180">
        <v>35.744168585458333</v>
      </c>
      <c r="R33" s="883"/>
      <c r="S33" s="883"/>
      <c r="T33" s="883"/>
      <c r="U33" s="883"/>
      <c r="V33" s="883"/>
      <c r="W33" s="883"/>
      <c r="X33" s="180"/>
      <c r="Y33" s="883"/>
      <c r="Z33" s="883"/>
      <c r="AA33" s="883"/>
      <c r="AB33" s="883"/>
      <c r="AC33" s="883"/>
      <c r="AD33" s="883"/>
      <c r="AE33" s="50"/>
      <c r="AF33" s="1394"/>
    </row>
    <row r="34" spans="2:32">
      <c r="B34" s="48" t="s">
        <v>274</v>
      </c>
      <c r="C34" s="885" t="s">
        <v>631</v>
      </c>
      <c r="D34" s="881">
        <v>78793.253505927365</v>
      </c>
      <c r="E34" s="881">
        <v>79114.715502814608</v>
      </c>
      <c r="F34" s="881">
        <v>80819.895670534868</v>
      </c>
      <c r="G34" s="881">
        <v>77668.733698610216</v>
      </c>
      <c r="H34" s="881">
        <v>74899.896188077793</v>
      </c>
      <c r="I34" s="881">
        <v>77336.363715832907</v>
      </c>
      <c r="J34" s="180">
        <v>78105.476380299617</v>
      </c>
      <c r="K34" s="881">
        <v>78793.253505927365</v>
      </c>
      <c r="L34" s="881">
        <v>79114.715502814608</v>
      </c>
      <c r="M34" s="881">
        <v>80819.895670534868</v>
      </c>
      <c r="N34" s="881">
        <v>77668.733698610216</v>
      </c>
      <c r="O34" s="881">
        <v>74899.896188077793</v>
      </c>
      <c r="P34" s="881">
        <v>77336.363715832907</v>
      </c>
      <c r="Q34" s="180">
        <v>78105.476380299617</v>
      </c>
      <c r="R34" s="881">
        <f t="shared" ref="R34:W34" si="3">SUBTOTAL(9,R35:R38)</f>
        <v>0</v>
      </c>
      <c r="S34" s="881">
        <f t="shared" si="3"/>
        <v>0</v>
      </c>
      <c r="T34" s="881">
        <f t="shared" si="3"/>
        <v>0</v>
      </c>
      <c r="U34" s="881">
        <f t="shared" si="3"/>
        <v>0</v>
      </c>
      <c r="V34" s="881">
        <f t="shared" si="3"/>
        <v>0</v>
      </c>
      <c r="W34" s="881">
        <f t="shared" si="3"/>
        <v>0</v>
      </c>
      <c r="X34" s="180">
        <f>AVERAGE(R34:W34)</f>
        <v>0</v>
      </c>
      <c r="Y34" s="883"/>
      <c r="Z34" s="883"/>
      <c r="AA34" s="883"/>
      <c r="AB34" s="883"/>
      <c r="AC34" s="883"/>
      <c r="AD34" s="883"/>
      <c r="AE34" s="50"/>
      <c r="AF34" s="1394"/>
    </row>
    <row r="35" spans="2:32">
      <c r="B35" s="48"/>
      <c r="C35" s="887" t="s">
        <v>304</v>
      </c>
      <c r="D35" s="883">
        <v>78639.669205458384</v>
      </c>
      <c r="E35" s="883">
        <v>78960.504606619186</v>
      </c>
      <c r="F35" s="883">
        <v>80662.361026536426</v>
      </c>
      <c r="G35" s="883">
        <v>77517.341319153318</v>
      </c>
      <c r="H35" s="883">
        <v>74753.900843941126</v>
      </c>
      <c r="I35" s="883">
        <v>77185.619194016486</v>
      </c>
      <c r="J35" s="180">
        <v>77953.232699287488</v>
      </c>
      <c r="K35" s="883">
        <v>78639.669205458384</v>
      </c>
      <c r="L35" s="883">
        <v>78960.504606619186</v>
      </c>
      <c r="M35" s="883">
        <v>80662.361026536426</v>
      </c>
      <c r="N35" s="883">
        <v>77517.341319153318</v>
      </c>
      <c r="O35" s="883">
        <v>74753.900843941126</v>
      </c>
      <c r="P35" s="883">
        <v>77185.619194016486</v>
      </c>
      <c r="Q35" s="180">
        <v>77953.232699287488</v>
      </c>
      <c r="R35" s="883"/>
      <c r="S35" s="883"/>
      <c r="T35" s="883"/>
      <c r="U35" s="883"/>
      <c r="V35" s="883"/>
      <c r="W35" s="883"/>
      <c r="X35" s="180"/>
      <c r="Y35" s="883"/>
      <c r="Z35" s="883"/>
      <c r="AA35" s="883"/>
      <c r="AB35" s="883"/>
      <c r="AC35" s="883"/>
      <c r="AD35" s="883"/>
      <c r="AE35" s="50"/>
      <c r="AF35" s="1394"/>
    </row>
    <row r="36" spans="2:32">
      <c r="B36" s="48"/>
      <c r="C36" s="888" t="s">
        <v>306</v>
      </c>
      <c r="D36" s="883">
        <v>0</v>
      </c>
      <c r="E36" s="883">
        <v>0</v>
      </c>
      <c r="F36" s="883">
        <v>0</v>
      </c>
      <c r="G36" s="883">
        <v>0</v>
      </c>
      <c r="H36" s="883">
        <v>0</v>
      </c>
      <c r="I36" s="883">
        <v>0</v>
      </c>
      <c r="J36" s="180">
        <v>0</v>
      </c>
      <c r="K36" s="883">
        <v>0</v>
      </c>
      <c r="L36" s="883">
        <v>0</v>
      </c>
      <c r="M36" s="883">
        <v>0</v>
      </c>
      <c r="N36" s="883">
        <v>0</v>
      </c>
      <c r="O36" s="883">
        <v>0</v>
      </c>
      <c r="P36" s="883">
        <v>0</v>
      </c>
      <c r="Q36" s="180">
        <v>0</v>
      </c>
      <c r="R36" s="883"/>
      <c r="S36" s="883"/>
      <c r="T36" s="883"/>
      <c r="U36" s="883"/>
      <c r="V36" s="883"/>
      <c r="W36" s="883"/>
      <c r="X36" s="180"/>
      <c r="Y36" s="883"/>
      <c r="Z36" s="883"/>
      <c r="AA36" s="883"/>
      <c r="AB36" s="883"/>
      <c r="AC36" s="883"/>
      <c r="AD36" s="883"/>
      <c r="AE36" s="50"/>
      <c r="AF36" s="1394"/>
    </row>
    <row r="37" spans="2:32" ht="12.95" customHeight="1">
      <c r="B37" s="48"/>
      <c r="C37" s="887" t="s">
        <v>305</v>
      </c>
      <c r="D37" s="883">
        <v>153.58430046898158</v>
      </c>
      <c r="E37" s="883">
        <v>154.21089619542377</v>
      </c>
      <c r="F37" s="883">
        <v>157.53464399844086</v>
      </c>
      <c r="G37" s="883">
        <v>151.39237945689484</v>
      </c>
      <c r="H37" s="883">
        <v>145.99534413666396</v>
      </c>
      <c r="I37" s="883">
        <v>150.74452181641931</v>
      </c>
      <c r="J37" s="180">
        <v>152.24368101213739</v>
      </c>
      <c r="K37" s="883">
        <v>153.58430046898158</v>
      </c>
      <c r="L37" s="883">
        <v>154.21089619542377</v>
      </c>
      <c r="M37" s="883">
        <v>157.53464399844086</v>
      </c>
      <c r="N37" s="883">
        <v>151.39237945689484</v>
      </c>
      <c r="O37" s="883">
        <v>145.99534413666396</v>
      </c>
      <c r="P37" s="883">
        <v>150.74452181641931</v>
      </c>
      <c r="Q37" s="180">
        <v>152.24368101213739</v>
      </c>
      <c r="R37" s="883"/>
      <c r="S37" s="883"/>
      <c r="T37" s="883"/>
      <c r="U37" s="883"/>
      <c r="V37" s="883"/>
      <c r="W37" s="883"/>
      <c r="X37" s="180"/>
      <c r="Y37" s="883"/>
      <c r="Z37" s="883"/>
      <c r="AA37" s="883"/>
      <c r="AB37" s="883"/>
      <c r="AC37" s="883"/>
      <c r="AD37" s="883"/>
      <c r="AE37" s="50"/>
      <c r="AF37" s="1394"/>
    </row>
    <row r="38" spans="2:32" s="51" customFormat="1">
      <c r="B38" s="48"/>
      <c r="C38" s="887" t="s">
        <v>307</v>
      </c>
      <c r="D38" s="883">
        <v>0</v>
      </c>
      <c r="E38" s="883">
        <v>0</v>
      </c>
      <c r="F38" s="883">
        <v>0</v>
      </c>
      <c r="G38" s="883">
        <v>0</v>
      </c>
      <c r="H38" s="883">
        <v>0</v>
      </c>
      <c r="I38" s="883">
        <v>0</v>
      </c>
      <c r="J38" s="180">
        <v>0</v>
      </c>
      <c r="K38" s="883">
        <v>0</v>
      </c>
      <c r="L38" s="883">
        <v>0</v>
      </c>
      <c r="M38" s="883">
        <v>0</v>
      </c>
      <c r="N38" s="883">
        <v>0</v>
      </c>
      <c r="O38" s="883">
        <v>0</v>
      </c>
      <c r="P38" s="883">
        <v>0</v>
      </c>
      <c r="Q38" s="180">
        <v>0</v>
      </c>
      <c r="R38" s="883"/>
      <c r="S38" s="883"/>
      <c r="T38" s="883"/>
      <c r="U38" s="883"/>
      <c r="V38" s="883"/>
      <c r="W38" s="883"/>
      <c r="X38" s="180"/>
      <c r="Y38" s="883"/>
      <c r="Z38" s="883"/>
      <c r="AA38" s="883"/>
      <c r="AB38" s="883"/>
      <c r="AC38" s="883"/>
      <c r="AD38" s="883"/>
      <c r="AE38" s="50"/>
      <c r="AF38" s="1394"/>
    </row>
    <row r="39" spans="2:32" s="52" customFormat="1">
      <c r="B39" s="48" t="s">
        <v>274</v>
      </c>
      <c r="C39" s="885" t="s">
        <v>632</v>
      </c>
      <c r="D39" s="881">
        <v>27823.63236398335</v>
      </c>
      <c r="E39" s="881">
        <v>27937.147671733779</v>
      </c>
      <c r="F39" s="881">
        <v>28539.28432671319</v>
      </c>
      <c r="G39" s="881">
        <v>27426.539664892607</v>
      </c>
      <c r="H39" s="881">
        <v>26448.802186862653</v>
      </c>
      <c r="I39" s="881">
        <v>27309.172507196497</v>
      </c>
      <c r="J39" s="180">
        <v>27580.763120230346</v>
      </c>
      <c r="K39" s="881">
        <v>27823.63236398335</v>
      </c>
      <c r="L39" s="881">
        <v>27937.147671733779</v>
      </c>
      <c r="M39" s="881">
        <v>28539.28432671319</v>
      </c>
      <c r="N39" s="881">
        <v>27426.539664892607</v>
      </c>
      <c r="O39" s="881">
        <v>26448.802186862653</v>
      </c>
      <c r="P39" s="881">
        <v>27309.172507196497</v>
      </c>
      <c r="Q39" s="180">
        <v>27580.763120230346</v>
      </c>
      <c r="R39" s="881">
        <f t="shared" ref="R39:W39" si="4">SUBTOTAL(9,R40:R43)</f>
        <v>0</v>
      </c>
      <c r="S39" s="881">
        <f t="shared" si="4"/>
        <v>0</v>
      </c>
      <c r="T39" s="881">
        <f t="shared" si="4"/>
        <v>0</v>
      </c>
      <c r="U39" s="881">
        <f t="shared" si="4"/>
        <v>0</v>
      </c>
      <c r="V39" s="881">
        <f t="shared" si="4"/>
        <v>0</v>
      </c>
      <c r="W39" s="881">
        <f t="shared" si="4"/>
        <v>0</v>
      </c>
      <c r="X39" s="180">
        <f>AVERAGE(R39:W39)</f>
        <v>0</v>
      </c>
      <c r="Y39" s="883"/>
      <c r="Z39" s="883"/>
      <c r="AA39" s="883"/>
      <c r="AB39" s="883"/>
      <c r="AC39" s="883"/>
      <c r="AD39" s="883"/>
      <c r="AE39" s="50"/>
      <c r="AF39" s="1394"/>
    </row>
    <row r="40" spans="2:32">
      <c r="B40" s="48"/>
      <c r="C40" s="887" t="s">
        <v>304</v>
      </c>
      <c r="D40" s="883">
        <v>27823.63236398335</v>
      </c>
      <c r="E40" s="883">
        <v>27937.147671733779</v>
      </c>
      <c r="F40" s="883">
        <v>28539.28432671319</v>
      </c>
      <c r="G40" s="883">
        <v>27426.539664892607</v>
      </c>
      <c r="H40" s="883">
        <v>26448.802186862653</v>
      </c>
      <c r="I40" s="883">
        <v>27309.172507196497</v>
      </c>
      <c r="J40" s="180">
        <v>27580.763120230346</v>
      </c>
      <c r="K40" s="883">
        <v>27823.63236398335</v>
      </c>
      <c r="L40" s="883">
        <v>27937.147671733779</v>
      </c>
      <c r="M40" s="883">
        <v>28539.28432671319</v>
      </c>
      <c r="N40" s="883">
        <v>27426.539664892607</v>
      </c>
      <c r="O40" s="883">
        <v>26448.802186862653</v>
      </c>
      <c r="P40" s="883">
        <v>27309.172507196497</v>
      </c>
      <c r="Q40" s="180">
        <v>27580.763120230346</v>
      </c>
      <c r="R40" s="883"/>
      <c r="S40" s="883"/>
      <c r="T40" s="883"/>
      <c r="U40" s="883"/>
      <c r="V40" s="883"/>
      <c r="W40" s="883"/>
      <c r="X40" s="180"/>
      <c r="Y40" s="883"/>
      <c r="Z40" s="883"/>
      <c r="AA40" s="883"/>
      <c r="AB40" s="883"/>
      <c r="AC40" s="883"/>
      <c r="AD40" s="883"/>
      <c r="AE40" s="50"/>
      <c r="AF40" s="1394"/>
    </row>
    <row r="41" spans="2:32">
      <c r="B41" s="48"/>
      <c r="C41" s="888" t="s">
        <v>306</v>
      </c>
      <c r="D41" s="883">
        <v>0</v>
      </c>
      <c r="E41" s="883">
        <v>0</v>
      </c>
      <c r="F41" s="883">
        <v>0</v>
      </c>
      <c r="G41" s="883">
        <v>0</v>
      </c>
      <c r="H41" s="883">
        <v>0</v>
      </c>
      <c r="I41" s="883">
        <v>0</v>
      </c>
      <c r="J41" s="180">
        <v>0</v>
      </c>
      <c r="K41" s="883">
        <v>0</v>
      </c>
      <c r="L41" s="883">
        <v>0</v>
      </c>
      <c r="M41" s="883">
        <v>0</v>
      </c>
      <c r="N41" s="883">
        <v>0</v>
      </c>
      <c r="O41" s="883">
        <v>0</v>
      </c>
      <c r="P41" s="883">
        <v>0</v>
      </c>
      <c r="Q41" s="180">
        <v>0</v>
      </c>
      <c r="R41" s="883"/>
      <c r="S41" s="883"/>
      <c r="T41" s="883"/>
      <c r="U41" s="883"/>
      <c r="V41" s="883"/>
      <c r="W41" s="883"/>
      <c r="X41" s="180"/>
      <c r="Y41" s="883"/>
      <c r="Z41" s="883"/>
      <c r="AA41" s="883"/>
      <c r="AB41" s="883"/>
      <c r="AC41" s="883"/>
      <c r="AD41" s="883"/>
      <c r="AE41" s="50"/>
      <c r="AF41" s="1394"/>
    </row>
    <row r="42" spans="2:32">
      <c r="B42" s="48"/>
      <c r="C42" s="887" t="s">
        <v>305</v>
      </c>
      <c r="D42" s="883">
        <v>0</v>
      </c>
      <c r="E42" s="883">
        <v>0</v>
      </c>
      <c r="F42" s="883">
        <v>0</v>
      </c>
      <c r="G42" s="883">
        <v>0</v>
      </c>
      <c r="H42" s="883">
        <v>0</v>
      </c>
      <c r="I42" s="883">
        <v>0</v>
      </c>
      <c r="J42" s="180">
        <v>0</v>
      </c>
      <c r="K42" s="883">
        <v>0</v>
      </c>
      <c r="L42" s="883">
        <v>0</v>
      </c>
      <c r="M42" s="883">
        <v>0</v>
      </c>
      <c r="N42" s="883">
        <v>0</v>
      </c>
      <c r="O42" s="883">
        <v>0</v>
      </c>
      <c r="P42" s="883">
        <v>0</v>
      </c>
      <c r="Q42" s="180">
        <v>0</v>
      </c>
      <c r="R42" s="883"/>
      <c r="S42" s="883"/>
      <c r="T42" s="883"/>
      <c r="U42" s="883"/>
      <c r="V42" s="883"/>
      <c r="W42" s="883"/>
      <c r="X42" s="180"/>
      <c r="Y42" s="883"/>
      <c r="Z42" s="883"/>
      <c r="AA42" s="883"/>
      <c r="AB42" s="883"/>
      <c r="AC42" s="883"/>
      <c r="AD42" s="883"/>
      <c r="AE42" s="50"/>
      <c r="AF42" s="1394"/>
    </row>
    <row r="43" spans="2:32" s="52" customFormat="1">
      <c r="B43" s="48"/>
      <c r="C43" s="887" t="s">
        <v>307</v>
      </c>
      <c r="D43" s="883">
        <v>0</v>
      </c>
      <c r="E43" s="883">
        <v>0</v>
      </c>
      <c r="F43" s="883">
        <v>0</v>
      </c>
      <c r="G43" s="883">
        <v>0</v>
      </c>
      <c r="H43" s="883">
        <v>0</v>
      </c>
      <c r="I43" s="883">
        <v>0</v>
      </c>
      <c r="J43" s="180">
        <v>0</v>
      </c>
      <c r="K43" s="883">
        <v>0</v>
      </c>
      <c r="L43" s="883">
        <v>0</v>
      </c>
      <c r="M43" s="883">
        <v>0</v>
      </c>
      <c r="N43" s="883">
        <v>0</v>
      </c>
      <c r="O43" s="883">
        <v>0</v>
      </c>
      <c r="P43" s="883">
        <v>0</v>
      </c>
      <c r="Q43" s="180">
        <v>0</v>
      </c>
      <c r="R43" s="883"/>
      <c r="S43" s="883"/>
      <c r="T43" s="883"/>
      <c r="U43" s="883"/>
      <c r="V43" s="883"/>
      <c r="W43" s="883"/>
      <c r="X43" s="180"/>
      <c r="Y43" s="883"/>
      <c r="Z43" s="883"/>
      <c r="AA43" s="883"/>
      <c r="AB43" s="883"/>
      <c r="AC43" s="883"/>
      <c r="AD43" s="883"/>
      <c r="AE43" s="50"/>
      <c r="AF43" s="1394"/>
    </row>
    <row r="44" spans="2:32">
      <c r="B44" s="48" t="s">
        <v>274</v>
      </c>
      <c r="C44" s="885" t="s">
        <v>633</v>
      </c>
      <c r="D44" s="881">
        <v>28576.863194109486</v>
      </c>
      <c r="E44" s="881">
        <v>28693.451545248729</v>
      </c>
      <c r="F44" s="881">
        <v>29311.889015540321</v>
      </c>
      <c r="G44" s="881">
        <v>28169.020551968166</v>
      </c>
      <c r="H44" s="881">
        <v>27164.814135498113</v>
      </c>
      <c r="I44" s="881">
        <v>28048.476075061371</v>
      </c>
      <c r="J44" s="180">
        <v>28327.419086237696</v>
      </c>
      <c r="K44" s="881">
        <v>28576.863194109486</v>
      </c>
      <c r="L44" s="881">
        <v>28693.451545248729</v>
      </c>
      <c r="M44" s="881">
        <v>29311.889015540321</v>
      </c>
      <c r="N44" s="881">
        <v>28169.020551968166</v>
      </c>
      <c r="O44" s="881">
        <v>27164.814135498113</v>
      </c>
      <c r="P44" s="881">
        <v>28048.476075061371</v>
      </c>
      <c r="Q44" s="180">
        <v>28327.419086237696</v>
      </c>
      <c r="R44" s="881">
        <f t="shared" ref="R44:W44" si="5">SUBTOTAL(9,R45:R48)</f>
        <v>0</v>
      </c>
      <c r="S44" s="881">
        <f t="shared" si="5"/>
        <v>0</v>
      </c>
      <c r="T44" s="881">
        <f t="shared" si="5"/>
        <v>0</v>
      </c>
      <c r="U44" s="881">
        <f t="shared" si="5"/>
        <v>0</v>
      </c>
      <c r="V44" s="881">
        <f t="shared" si="5"/>
        <v>0</v>
      </c>
      <c r="W44" s="881">
        <f t="shared" si="5"/>
        <v>0</v>
      </c>
      <c r="X44" s="180">
        <f>AVERAGE(R44:W44)</f>
        <v>0</v>
      </c>
      <c r="Y44" s="883"/>
      <c r="Z44" s="883"/>
      <c r="AA44" s="883"/>
      <c r="AB44" s="883"/>
      <c r="AC44" s="883"/>
      <c r="AD44" s="883"/>
      <c r="AE44" s="50"/>
      <c r="AF44" s="1394"/>
    </row>
    <row r="45" spans="2:32">
      <c r="B45" s="48"/>
      <c r="C45" s="887" t="s">
        <v>304</v>
      </c>
      <c r="D45" s="883">
        <v>28576.863194109486</v>
      </c>
      <c r="E45" s="883">
        <v>28693.451545248729</v>
      </c>
      <c r="F45" s="883">
        <v>29311.889015540321</v>
      </c>
      <c r="G45" s="883">
        <v>28169.020551968166</v>
      </c>
      <c r="H45" s="883">
        <v>27164.814135498113</v>
      </c>
      <c r="I45" s="883">
        <v>28048.476075061371</v>
      </c>
      <c r="J45" s="180">
        <v>28327.419086237696</v>
      </c>
      <c r="K45" s="883">
        <v>28576.863194109486</v>
      </c>
      <c r="L45" s="883">
        <v>28693.451545248729</v>
      </c>
      <c r="M45" s="883">
        <v>29311.889015540321</v>
      </c>
      <c r="N45" s="883">
        <v>28169.020551968166</v>
      </c>
      <c r="O45" s="883">
        <v>27164.814135498113</v>
      </c>
      <c r="P45" s="883">
        <v>28048.476075061371</v>
      </c>
      <c r="Q45" s="180">
        <v>28327.419086237696</v>
      </c>
      <c r="R45" s="883"/>
      <c r="S45" s="883"/>
      <c r="T45" s="883"/>
      <c r="U45" s="883"/>
      <c r="V45" s="883"/>
      <c r="W45" s="883"/>
      <c r="X45" s="180"/>
      <c r="Y45" s="883"/>
      <c r="Z45" s="883"/>
      <c r="AA45" s="883"/>
      <c r="AB45" s="883"/>
      <c r="AC45" s="883"/>
      <c r="AD45" s="883"/>
      <c r="AE45" s="50"/>
      <c r="AF45" s="1394"/>
    </row>
    <row r="46" spans="2:32">
      <c r="B46" s="48"/>
      <c r="C46" s="888" t="s">
        <v>306</v>
      </c>
      <c r="D46" s="883">
        <v>0</v>
      </c>
      <c r="E46" s="883">
        <v>0</v>
      </c>
      <c r="F46" s="883">
        <v>0</v>
      </c>
      <c r="G46" s="883">
        <v>0</v>
      </c>
      <c r="H46" s="883">
        <v>0</v>
      </c>
      <c r="I46" s="883">
        <v>0</v>
      </c>
      <c r="J46" s="180">
        <v>0</v>
      </c>
      <c r="K46" s="883">
        <v>0</v>
      </c>
      <c r="L46" s="883">
        <v>0</v>
      </c>
      <c r="M46" s="883">
        <v>0</v>
      </c>
      <c r="N46" s="883">
        <v>0</v>
      </c>
      <c r="O46" s="883">
        <v>0</v>
      </c>
      <c r="P46" s="883">
        <v>0</v>
      </c>
      <c r="Q46" s="180">
        <v>0</v>
      </c>
      <c r="R46" s="883"/>
      <c r="S46" s="883"/>
      <c r="T46" s="883"/>
      <c r="U46" s="883"/>
      <c r="V46" s="883"/>
      <c r="W46" s="883"/>
      <c r="X46" s="180"/>
      <c r="Y46" s="883"/>
      <c r="Z46" s="883"/>
      <c r="AA46" s="883"/>
      <c r="AB46" s="883"/>
      <c r="AC46" s="883"/>
      <c r="AD46" s="883"/>
      <c r="AE46" s="50"/>
      <c r="AF46" s="1394"/>
    </row>
    <row r="47" spans="2:32">
      <c r="B47" s="48"/>
      <c r="C47" s="887" t="s">
        <v>305</v>
      </c>
      <c r="D47" s="883">
        <v>0</v>
      </c>
      <c r="E47" s="883">
        <v>0</v>
      </c>
      <c r="F47" s="883">
        <v>0</v>
      </c>
      <c r="G47" s="883">
        <v>0</v>
      </c>
      <c r="H47" s="883">
        <v>0</v>
      </c>
      <c r="I47" s="883">
        <v>0</v>
      </c>
      <c r="J47" s="180">
        <v>0</v>
      </c>
      <c r="K47" s="883">
        <v>0</v>
      </c>
      <c r="L47" s="883">
        <v>0</v>
      </c>
      <c r="M47" s="883">
        <v>0</v>
      </c>
      <c r="N47" s="883">
        <v>0</v>
      </c>
      <c r="O47" s="883">
        <v>0</v>
      </c>
      <c r="P47" s="883">
        <v>0</v>
      </c>
      <c r="Q47" s="180">
        <v>0</v>
      </c>
      <c r="R47" s="883"/>
      <c r="S47" s="883"/>
      <c r="T47" s="883"/>
      <c r="U47" s="883"/>
      <c r="V47" s="883"/>
      <c r="W47" s="883"/>
      <c r="X47" s="180"/>
      <c r="Y47" s="883"/>
      <c r="Z47" s="883"/>
      <c r="AA47" s="883"/>
      <c r="AB47" s="883"/>
      <c r="AC47" s="883"/>
      <c r="AD47" s="883"/>
      <c r="AE47" s="50"/>
      <c r="AF47" s="1394"/>
    </row>
    <row r="48" spans="2:32">
      <c r="B48" s="48"/>
      <c r="C48" s="887" t="s">
        <v>307</v>
      </c>
      <c r="D48" s="883">
        <v>0</v>
      </c>
      <c r="E48" s="883">
        <v>0</v>
      </c>
      <c r="F48" s="883">
        <v>0</v>
      </c>
      <c r="G48" s="883">
        <v>0</v>
      </c>
      <c r="H48" s="883">
        <v>0</v>
      </c>
      <c r="I48" s="883">
        <v>0</v>
      </c>
      <c r="J48" s="180">
        <v>0</v>
      </c>
      <c r="K48" s="883">
        <v>0</v>
      </c>
      <c r="L48" s="883">
        <v>0</v>
      </c>
      <c r="M48" s="883">
        <v>0</v>
      </c>
      <c r="N48" s="883">
        <v>0</v>
      </c>
      <c r="O48" s="883">
        <v>0</v>
      </c>
      <c r="P48" s="883">
        <v>0</v>
      </c>
      <c r="Q48" s="180">
        <v>0</v>
      </c>
      <c r="R48" s="883"/>
      <c r="S48" s="883"/>
      <c r="T48" s="883"/>
      <c r="U48" s="883"/>
      <c r="V48" s="883"/>
      <c r="W48" s="883"/>
      <c r="X48" s="180"/>
      <c r="Y48" s="883"/>
      <c r="Z48" s="883"/>
      <c r="AA48" s="883"/>
      <c r="AB48" s="883"/>
      <c r="AC48" s="883"/>
      <c r="AD48" s="883"/>
      <c r="AE48" s="50"/>
      <c r="AF48" s="1394"/>
    </row>
    <row r="49" spans="2:32">
      <c r="B49" s="48"/>
      <c r="C49" s="884"/>
      <c r="D49" s="883">
        <v>0</v>
      </c>
      <c r="E49" s="883">
        <v>0</v>
      </c>
      <c r="F49" s="883">
        <v>0</v>
      </c>
      <c r="G49" s="883">
        <v>0</v>
      </c>
      <c r="H49" s="883">
        <v>0</v>
      </c>
      <c r="I49" s="883">
        <v>0</v>
      </c>
      <c r="J49" s="180">
        <f t="shared" ref="J49" si="6">AVERAGE(D49:I49)</f>
        <v>0</v>
      </c>
      <c r="K49" s="883"/>
      <c r="L49" s="883"/>
      <c r="M49" s="883"/>
      <c r="N49" s="883"/>
      <c r="O49" s="883"/>
      <c r="P49" s="883"/>
      <c r="Q49" s="180"/>
      <c r="R49" s="883"/>
      <c r="S49" s="883"/>
      <c r="T49" s="883"/>
      <c r="U49" s="883"/>
      <c r="V49" s="883"/>
      <c r="W49" s="883"/>
      <c r="X49" s="180"/>
      <c r="Y49" s="883"/>
      <c r="Z49" s="883"/>
      <c r="AA49" s="883"/>
      <c r="AB49" s="883"/>
      <c r="AC49" s="883"/>
      <c r="AD49" s="883"/>
      <c r="AE49" s="50"/>
      <c r="AF49" s="1394"/>
    </row>
    <row r="50" spans="2:32" s="801" customFormat="1" ht="5.25" hidden="1">
      <c r="B50" s="799"/>
      <c r="C50" s="992"/>
      <c r="D50" s="1403"/>
      <c r="E50" s="1403"/>
      <c r="F50" s="1403"/>
      <c r="G50" s="1403"/>
      <c r="H50" s="1403"/>
      <c r="I50" s="1403"/>
      <c r="J50" s="1033"/>
      <c r="K50" s="1403"/>
      <c r="L50" s="1403"/>
      <c r="M50" s="1403"/>
      <c r="N50" s="1403"/>
      <c r="O50" s="1403"/>
      <c r="P50" s="1403"/>
      <c r="Q50" s="1033"/>
      <c r="R50" s="1403"/>
      <c r="S50" s="1403"/>
      <c r="T50" s="1403"/>
      <c r="U50" s="1403"/>
      <c r="V50" s="1403"/>
      <c r="W50" s="1403"/>
      <c r="X50" s="1033"/>
      <c r="Y50" s="993"/>
      <c r="Z50" s="993"/>
      <c r="AA50" s="993"/>
      <c r="AB50" s="993"/>
      <c r="AC50" s="993"/>
      <c r="AD50" s="993"/>
      <c r="AE50" s="876"/>
      <c r="AF50" s="1396"/>
    </row>
    <row r="51" spans="2:32" s="801" customFormat="1" ht="5.25" hidden="1">
      <c r="B51" s="799"/>
      <c r="C51" s="994"/>
      <c r="D51" s="993"/>
      <c r="E51" s="993"/>
      <c r="F51" s="993"/>
      <c r="G51" s="993"/>
      <c r="H51" s="993"/>
      <c r="I51" s="993"/>
      <c r="J51" s="1033"/>
      <c r="K51" s="993"/>
      <c r="L51" s="993"/>
      <c r="M51" s="993"/>
      <c r="N51" s="993"/>
      <c r="O51" s="993"/>
      <c r="P51" s="993"/>
      <c r="Q51" s="1033"/>
      <c r="R51" s="993"/>
      <c r="S51" s="993"/>
      <c r="T51" s="993"/>
      <c r="U51" s="993"/>
      <c r="V51" s="993"/>
      <c r="W51" s="993"/>
      <c r="X51" s="1033"/>
      <c r="Y51" s="993"/>
      <c r="Z51" s="993"/>
      <c r="AA51" s="993"/>
      <c r="AB51" s="993"/>
      <c r="AC51" s="993"/>
      <c r="AD51" s="993"/>
      <c r="AE51" s="876"/>
      <c r="AF51" s="1396"/>
    </row>
    <row r="52" spans="2:32" s="801" customFormat="1" ht="5.25" hidden="1">
      <c r="B52" s="799"/>
      <c r="C52" s="995"/>
      <c r="D52" s="993"/>
      <c r="E52" s="993"/>
      <c r="F52" s="993"/>
      <c r="G52" s="993"/>
      <c r="H52" s="993"/>
      <c r="I52" s="993"/>
      <c r="J52" s="1033"/>
      <c r="K52" s="993"/>
      <c r="L52" s="993"/>
      <c r="M52" s="993"/>
      <c r="N52" s="993"/>
      <c r="O52" s="993"/>
      <c r="P52" s="993"/>
      <c r="Q52" s="1033"/>
      <c r="R52" s="993"/>
      <c r="S52" s="993"/>
      <c r="T52" s="993"/>
      <c r="U52" s="993"/>
      <c r="V52" s="993"/>
      <c r="W52" s="993"/>
      <c r="X52" s="1033"/>
      <c r="Y52" s="993"/>
      <c r="Z52" s="993"/>
      <c r="AA52" s="993"/>
      <c r="AB52" s="993"/>
      <c r="AC52" s="993"/>
      <c r="AD52" s="993"/>
      <c r="AE52" s="876"/>
      <c r="AF52" s="1396"/>
    </row>
    <row r="53" spans="2:32" s="801" customFormat="1" ht="5.25" hidden="1">
      <c r="B53" s="799"/>
      <c r="C53" s="995"/>
      <c r="D53" s="993"/>
      <c r="E53" s="993"/>
      <c r="F53" s="993"/>
      <c r="G53" s="993"/>
      <c r="H53" s="993"/>
      <c r="I53" s="993"/>
      <c r="J53" s="1033"/>
      <c r="K53" s="993"/>
      <c r="L53" s="993"/>
      <c r="M53" s="993"/>
      <c r="N53" s="993"/>
      <c r="O53" s="993"/>
      <c r="P53" s="993"/>
      <c r="Q53" s="1033"/>
      <c r="R53" s="993"/>
      <c r="S53" s="993"/>
      <c r="T53" s="993"/>
      <c r="U53" s="993"/>
      <c r="V53" s="993"/>
      <c r="W53" s="993"/>
      <c r="X53" s="1033"/>
      <c r="Y53" s="993"/>
      <c r="Z53" s="993"/>
      <c r="AA53" s="993"/>
      <c r="AB53" s="993"/>
      <c r="AC53" s="993"/>
      <c r="AD53" s="993"/>
      <c r="AE53" s="876"/>
      <c r="AF53" s="1396"/>
    </row>
    <row r="54" spans="2:32" s="801" customFormat="1" ht="5.25" hidden="1">
      <c r="B54" s="799"/>
      <c r="C54" s="994"/>
      <c r="D54" s="993"/>
      <c r="E54" s="993"/>
      <c r="F54" s="993"/>
      <c r="G54" s="993"/>
      <c r="H54" s="993"/>
      <c r="I54" s="993"/>
      <c r="J54" s="1033"/>
      <c r="K54" s="993"/>
      <c r="L54" s="993"/>
      <c r="M54" s="993"/>
      <c r="N54" s="993"/>
      <c r="O54" s="993"/>
      <c r="P54" s="993"/>
      <c r="Q54" s="1033"/>
      <c r="R54" s="993"/>
      <c r="S54" s="993"/>
      <c r="T54" s="993"/>
      <c r="U54" s="993"/>
      <c r="V54" s="993"/>
      <c r="W54" s="993"/>
      <c r="X54" s="1033"/>
      <c r="Y54" s="993"/>
      <c r="Z54" s="993"/>
      <c r="AA54" s="993"/>
      <c r="AB54" s="993"/>
      <c r="AC54" s="993"/>
      <c r="AD54" s="993"/>
      <c r="AE54" s="876"/>
      <c r="AF54" s="1396"/>
    </row>
    <row r="55" spans="2:32" s="801" customFormat="1" ht="5.25" hidden="1">
      <c r="B55" s="799"/>
      <c r="C55" s="994"/>
      <c r="D55" s="993"/>
      <c r="E55" s="993"/>
      <c r="F55" s="993"/>
      <c r="G55" s="993"/>
      <c r="H55" s="993"/>
      <c r="I55" s="993"/>
      <c r="J55" s="1033"/>
      <c r="K55" s="993"/>
      <c r="L55" s="993"/>
      <c r="M55" s="993"/>
      <c r="N55" s="993"/>
      <c r="O55" s="993"/>
      <c r="P55" s="993"/>
      <c r="Q55" s="1033"/>
      <c r="R55" s="993"/>
      <c r="S55" s="993"/>
      <c r="T55" s="993"/>
      <c r="U55" s="993"/>
      <c r="V55" s="993"/>
      <c r="W55" s="993"/>
      <c r="X55" s="1033"/>
      <c r="Y55" s="993"/>
      <c r="Z55" s="993"/>
      <c r="AA55" s="993"/>
      <c r="AB55" s="993"/>
      <c r="AC55" s="993"/>
      <c r="AD55" s="993"/>
      <c r="AE55" s="876"/>
      <c r="AF55" s="1396"/>
    </row>
    <row r="56" spans="2:32" s="801" customFormat="1" ht="5.25" hidden="1">
      <c r="B56" s="799"/>
      <c r="C56" s="994"/>
      <c r="D56" s="993"/>
      <c r="E56" s="993"/>
      <c r="F56" s="993"/>
      <c r="G56" s="993"/>
      <c r="H56" s="993"/>
      <c r="I56" s="993"/>
      <c r="J56" s="1033"/>
      <c r="K56" s="993"/>
      <c r="L56" s="993"/>
      <c r="M56" s="993"/>
      <c r="N56" s="993"/>
      <c r="O56" s="993"/>
      <c r="P56" s="993"/>
      <c r="Q56" s="1033"/>
      <c r="R56" s="993"/>
      <c r="S56" s="993"/>
      <c r="T56" s="993"/>
      <c r="U56" s="993"/>
      <c r="V56" s="993"/>
      <c r="W56" s="993"/>
      <c r="X56" s="1033"/>
      <c r="Y56" s="993"/>
      <c r="Z56" s="993"/>
      <c r="AA56" s="993"/>
      <c r="AB56" s="993"/>
      <c r="AC56" s="993"/>
      <c r="AD56" s="993"/>
      <c r="AE56" s="876"/>
      <c r="AF56" s="1396"/>
    </row>
    <row r="57" spans="2:32" s="801" customFormat="1" ht="5.25" hidden="1">
      <c r="B57" s="799"/>
      <c r="C57" s="994"/>
      <c r="D57" s="993"/>
      <c r="E57" s="993"/>
      <c r="F57" s="993"/>
      <c r="G57" s="993"/>
      <c r="H57" s="993"/>
      <c r="I57" s="993"/>
      <c r="J57" s="1033"/>
      <c r="K57" s="993"/>
      <c r="L57" s="993"/>
      <c r="M57" s="993"/>
      <c r="N57" s="993"/>
      <c r="O57" s="993"/>
      <c r="P57" s="993"/>
      <c r="Q57" s="1033"/>
      <c r="R57" s="993"/>
      <c r="S57" s="993"/>
      <c r="T57" s="993"/>
      <c r="U57" s="993"/>
      <c r="V57" s="993"/>
      <c r="W57" s="993"/>
      <c r="X57" s="1033"/>
      <c r="Y57" s="993"/>
      <c r="Z57" s="993"/>
      <c r="AA57" s="993"/>
      <c r="AB57" s="993"/>
      <c r="AC57" s="993"/>
      <c r="AD57" s="993"/>
      <c r="AE57" s="876"/>
      <c r="AF57" s="1396"/>
    </row>
    <row r="58" spans="2:32" s="801" customFormat="1" ht="5.25" hidden="1">
      <c r="B58" s="799"/>
      <c r="C58" s="992"/>
      <c r="D58" s="1403"/>
      <c r="E58" s="1403"/>
      <c r="F58" s="1403"/>
      <c r="G58" s="1403"/>
      <c r="H58" s="1403"/>
      <c r="I58" s="1403"/>
      <c r="J58" s="1033"/>
      <c r="K58" s="1403"/>
      <c r="L58" s="1403"/>
      <c r="M58" s="1403"/>
      <c r="N58" s="1403"/>
      <c r="O58" s="1403"/>
      <c r="P58" s="1403"/>
      <c r="Q58" s="1033"/>
      <c r="R58" s="1403"/>
      <c r="S58" s="1403"/>
      <c r="T58" s="1403"/>
      <c r="U58" s="1403"/>
      <c r="V58" s="1403"/>
      <c r="W58" s="1403"/>
      <c r="X58" s="1033"/>
      <c r="Y58" s="993"/>
      <c r="Z58" s="993"/>
      <c r="AA58" s="993"/>
      <c r="AB58" s="993"/>
      <c r="AC58" s="993"/>
      <c r="AD58" s="993"/>
      <c r="AE58" s="876"/>
      <c r="AF58" s="1396"/>
    </row>
    <row r="59" spans="2:32" s="801" customFormat="1" ht="5.25" hidden="1">
      <c r="B59" s="799"/>
      <c r="C59" s="992"/>
      <c r="D59" s="1403"/>
      <c r="E59" s="1403"/>
      <c r="F59" s="1403"/>
      <c r="G59" s="1403"/>
      <c r="H59" s="1403"/>
      <c r="I59" s="1403"/>
      <c r="J59" s="1033"/>
      <c r="K59" s="1403"/>
      <c r="L59" s="1403"/>
      <c r="M59" s="1403"/>
      <c r="N59" s="1403"/>
      <c r="O59" s="1403"/>
      <c r="P59" s="1403"/>
      <c r="Q59" s="1033"/>
      <c r="R59" s="1403"/>
      <c r="S59" s="1403"/>
      <c r="T59" s="1403"/>
      <c r="U59" s="1403"/>
      <c r="V59" s="1403"/>
      <c r="W59" s="1403"/>
      <c r="X59" s="1033"/>
      <c r="Y59" s="993"/>
      <c r="Z59" s="993"/>
      <c r="AA59" s="993"/>
      <c r="AB59" s="993"/>
      <c r="AC59" s="993"/>
      <c r="AD59" s="993"/>
      <c r="AE59" s="876"/>
      <c r="AF59" s="1396"/>
    </row>
    <row r="60" spans="2:32" s="801" customFormat="1" ht="5.25" hidden="1">
      <c r="B60" s="799"/>
      <c r="C60" s="994"/>
      <c r="D60" s="993"/>
      <c r="E60" s="993"/>
      <c r="F60" s="993"/>
      <c r="G60" s="993"/>
      <c r="H60" s="993"/>
      <c r="I60" s="993"/>
      <c r="J60" s="1033"/>
      <c r="K60" s="993"/>
      <c r="L60" s="993"/>
      <c r="M60" s="993"/>
      <c r="N60" s="993"/>
      <c r="O60" s="993"/>
      <c r="P60" s="993"/>
      <c r="Q60" s="1033"/>
      <c r="R60" s="993"/>
      <c r="S60" s="993"/>
      <c r="T60" s="993"/>
      <c r="U60" s="993"/>
      <c r="V60" s="993"/>
      <c r="W60" s="993"/>
      <c r="X60" s="1033"/>
      <c r="Y60" s="993"/>
      <c r="Z60" s="993"/>
      <c r="AA60" s="993"/>
      <c r="AB60" s="993"/>
      <c r="AC60" s="993"/>
      <c r="AD60" s="993"/>
      <c r="AE60" s="876"/>
      <c r="AF60" s="1396"/>
    </row>
    <row r="61" spans="2:32" s="801" customFormat="1" ht="5.25" hidden="1">
      <c r="B61" s="799"/>
      <c r="C61" s="996"/>
      <c r="D61" s="993"/>
      <c r="E61" s="993"/>
      <c r="F61" s="993"/>
      <c r="G61" s="993"/>
      <c r="H61" s="993"/>
      <c r="I61" s="993"/>
      <c r="J61" s="1033"/>
      <c r="K61" s="993"/>
      <c r="L61" s="993"/>
      <c r="M61" s="993"/>
      <c r="N61" s="993"/>
      <c r="O61" s="993"/>
      <c r="P61" s="993"/>
      <c r="Q61" s="1033"/>
      <c r="R61" s="993"/>
      <c r="S61" s="993"/>
      <c r="T61" s="993"/>
      <c r="U61" s="993"/>
      <c r="V61" s="993"/>
      <c r="W61" s="993"/>
      <c r="X61" s="1033"/>
      <c r="Y61" s="993"/>
      <c r="Z61" s="993"/>
      <c r="AA61" s="993"/>
      <c r="AB61" s="993"/>
      <c r="AC61" s="993"/>
      <c r="AD61" s="993"/>
      <c r="AE61" s="876"/>
      <c r="AF61" s="1396"/>
    </row>
    <row r="62" spans="2:32" s="801" customFormat="1" ht="5.25" hidden="1">
      <c r="B62" s="799"/>
      <c r="C62" s="994"/>
      <c r="D62" s="993"/>
      <c r="E62" s="993"/>
      <c r="F62" s="993"/>
      <c r="G62" s="993"/>
      <c r="H62" s="993"/>
      <c r="I62" s="993"/>
      <c r="J62" s="1033"/>
      <c r="K62" s="993"/>
      <c r="L62" s="993"/>
      <c r="M62" s="993"/>
      <c r="N62" s="993"/>
      <c r="O62" s="993"/>
      <c r="P62" s="993"/>
      <c r="Q62" s="1033"/>
      <c r="R62" s="993"/>
      <c r="S62" s="993"/>
      <c r="T62" s="993"/>
      <c r="U62" s="993"/>
      <c r="V62" s="993"/>
      <c r="W62" s="993"/>
      <c r="X62" s="1033"/>
      <c r="Y62" s="993"/>
      <c r="Z62" s="993"/>
      <c r="AA62" s="993"/>
      <c r="AB62" s="993"/>
      <c r="AC62" s="993"/>
      <c r="AD62" s="993"/>
      <c r="AE62" s="876"/>
      <c r="AF62" s="1396"/>
    </row>
    <row r="63" spans="2:32" s="801" customFormat="1" ht="5.25" hidden="1">
      <c r="B63" s="799"/>
      <c r="C63" s="994"/>
      <c r="D63" s="993"/>
      <c r="E63" s="993"/>
      <c r="F63" s="993"/>
      <c r="G63" s="993"/>
      <c r="H63" s="993"/>
      <c r="I63" s="993"/>
      <c r="J63" s="1033"/>
      <c r="K63" s="993"/>
      <c r="L63" s="993"/>
      <c r="M63" s="993"/>
      <c r="N63" s="993"/>
      <c r="O63" s="993"/>
      <c r="P63" s="993"/>
      <c r="Q63" s="1033"/>
      <c r="R63" s="993"/>
      <c r="S63" s="993"/>
      <c r="T63" s="993"/>
      <c r="U63" s="993"/>
      <c r="V63" s="993"/>
      <c r="W63" s="993"/>
      <c r="X63" s="1033"/>
      <c r="Y63" s="993"/>
      <c r="Z63" s="993"/>
      <c r="AA63" s="993"/>
      <c r="AB63" s="993"/>
      <c r="AC63" s="993"/>
      <c r="AD63" s="993"/>
      <c r="AE63" s="876"/>
      <c r="AF63" s="1396"/>
    </row>
    <row r="64" spans="2:32" s="801" customFormat="1" ht="5.25" hidden="1">
      <c r="B64" s="799"/>
      <c r="C64" s="994"/>
      <c r="D64" s="993"/>
      <c r="E64" s="993"/>
      <c r="F64" s="993"/>
      <c r="G64" s="993"/>
      <c r="H64" s="993"/>
      <c r="I64" s="993"/>
      <c r="J64" s="1033"/>
      <c r="K64" s="993"/>
      <c r="L64" s="993"/>
      <c r="M64" s="993"/>
      <c r="N64" s="993"/>
      <c r="O64" s="993"/>
      <c r="P64" s="993"/>
      <c r="Q64" s="1033"/>
      <c r="R64" s="993"/>
      <c r="S64" s="993"/>
      <c r="T64" s="993"/>
      <c r="U64" s="993"/>
      <c r="V64" s="993"/>
      <c r="W64" s="993"/>
      <c r="X64" s="1033"/>
      <c r="Y64" s="993"/>
      <c r="Z64" s="993"/>
      <c r="AA64" s="993"/>
      <c r="AB64" s="993"/>
      <c r="AC64" s="993"/>
      <c r="AD64" s="993"/>
      <c r="AE64" s="876"/>
      <c r="AF64" s="1396"/>
    </row>
    <row r="65" spans="2:32" s="801" customFormat="1" ht="5.25" hidden="1">
      <c r="B65" s="799"/>
      <c r="C65" s="992"/>
      <c r="D65" s="1403"/>
      <c r="E65" s="1403"/>
      <c r="F65" s="1403"/>
      <c r="G65" s="1403"/>
      <c r="H65" s="1403"/>
      <c r="I65" s="1403"/>
      <c r="J65" s="1033"/>
      <c r="K65" s="1403"/>
      <c r="L65" s="1403"/>
      <c r="M65" s="1403"/>
      <c r="N65" s="1403"/>
      <c r="O65" s="1403"/>
      <c r="P65" s="1403"/>
      <c r="Q65" s="1033"/>
      <c r="R65" s="1403"/>
      <c r="S65" s="1403"/>
      <c r="T65" s="1403"/>
      <c r="U65" s="1403"/>
      <c r="V65" s="1403"/>
      <c r="W65" s="1403"/>
      <c r="X65" s="1033"/>
      <c r="Y65" s="993"/>
      <c r="Z65" s="993"/>
      <c r="AA65" s="993"/>
      <c r="AB65" s="993"/>
      <c r="AC65" s="993"/>
      <c r="AD65" s="993"/>
      <c r="AE65" s="876"/>
      <c r="AF65" s="1396"/>
    </row>
    <row r="66" spans="2:32" s="801" customFormat="1" ht="5.25" hidden="1">
      <c r="B66" s="799"/>
      <c r="C66" s="994"/>
      <c r="D66" s="993"/>
      <c r="E66" s="993"/>
      <c r="F66" s="993"/>
      <c r="G66" s="993"/>
      <c r="H66" s="993"/>
      <c r="I66" s="993"/>
      <c r="J66" s="1033"/>
      <c r="K66" s="993"/>
      <c r="L66" s="993"/>
      <c r="M66" s="993"/>
      <c r="N66" s="993"/>
      <c r="O66" s="993"/>
      <c r="P66" s="993"/>
      <c r="Q66" s="1033"/>
      <c r="R66" s="993"/>
      <c r="S66" s="993"/>
      <c r="T66" s="993"/>
      <c r="U66" s="993"/>
      <c r="V66" s="993"/>
      <c r="W66" s="993"/>
      <c r="X66" s="1033"/>
      <c r="Y66" s="993"/>
      <c r="Z66" s="993"/>
      <c r="AA66" s="993"/>
      <c r="AB66" s="993"/>
      <c r="AC66" s="993"/>
      <c r="AD66" s="993"/>
      <c r="AE66" s="876"/>
      <c r="AF66" s="1396"/>
    </row>
    <row r="67" spans="2:32" s="801" customFormat="1" ht="5.25" hidden="1">
      <c r="B67" s="799"/>
      <c r="C67" s="996"/>
      <c r="D67" s="993"/>
      <c r="E67" s="993"/>
      <c r="F67" s="993"/>
      <c r="G67" s="993"/>
      <c r="H67" s="993"/>
      <c r="I67" s="993"/>
      <c r="J67" s="1033"/>
      <c r="K67" s="993"/>
      <c r="L67" s="993"/>
      <c r="M67" s="993"/>
      <c r="N67" s="993"/>
      <c r="O67" s="993"/>
      <c r="P67" s="993"/>
      <c r="Q67" s="1033"/>
      <c r="R67" s="993"/>
      <c r="S67" s="993"/>
      <c r="T67" s="993"/>
      <c r="U67" s="993"/>
      <c r="V67" s="993"/>
      <c r="W67" s="993"/>
      <c r="X67" s="1033"/>
      <c r="Y67" s="993"/>
      <c r="Z67" s="993"/>
      <c r="AA67" s="993"/>
      <c r="AB67" s="993"/>
      <c r="AC67" s="993"/>
      <c r="AD67" s="993"/>
      <c r="AE67" s="876"/>
      <c r="AF67" s="1396"/>
    </row>
    <row r="68" spans="2:32" s="801" customFormat="1" ht="5.25" hidden="1">
      <c r="B68" s="799"/>
      <c r="C68" s="994"/>
      <c r="D68" s="993"/>
      <c r="E68" s="993"/>
      <c r="F68" s="993"/>
      <c r="G68" s="993"/>
      <c r="H68" s="993"/>
      <c r="I68" s="993"/>
      <c r="J68" s="1033"/>
      <c r="K68" s="993"/>
      <c r="L68" s="993"/>
      <c r="M68" s="993"/>
      <c r="N68" s="993"/>
      <c r="O68" s="993"/>
      <c r="P68" s="993"/>
      <c r="Q68" s="1033"/>
      <c r="R68" s="993"/>
      <c r="S68" s="993"/>
      <c r="T68" s="993"/>
      <c r="U68" s="993"/>
      <c r="V68" s="993"/>
      <c r="W68" s="993"/>
      <c r="X68" s="1033"/>
      <c r="Y68" s="993"/>
      <c r="Z68" s="993"/>
      <c r="AA68" s="993"/>
      <c r="AB68" s="993"/>
      <c r="AC68" s="993"/>
      <c r="AD68" s="993"/>
      <c r="AE68" s="876"/>
      <c r="AF68" s="1396"/>
    </row>
    <row r="69" spans="2:32" s="801" customFormat="1" ht="5.25" hidden="1">
      <c r="B69" s="799"/>
      <c r="C69" s="994"/>
      <c r="D69" s="993"/>
      <c r="E69" s="993"/>
      <c r="F69" s="993"/>
      <c r="G69" s="993"/>
      <c r="H69" s="993"/>
      <c r="I69" s="993"/>
      <c r="J69" s="1033"/>
      <c r="K69" s="993"/>
      <c r="L69" s="993"/>
      <c r="M69" s="993"/>
      <c r="N69" s="993"/>
      <c r="O69" s="993"/>
      <c r="P69" s="993"/>
      <c r="Q69" s="1033"/>
      <c r="R69" s="993"/>
      <c r="S69" s="993"/>
      <c r="T69" s="993"/>
      <c r="U69" s="993"/>
      <c r="V69" s="993"/>
      <c r="W69" s="993"/>
      <c r="X69" s="1033"/>
      <c r="Y69" s="993"/>
      <c r="Z69" s="993"/>
      <c r="AA69" s="993"/>
      <c r="AB69" s="993"/>
      <c r="AC69" s="993"/>
      <c r="AD69" s="993"/>
      <c r="AE69" s="876"/>
      <c r="AF69" s="1396"/>
    </row>
    <row r="70" spans="2:32" s="801" customFormat="1" ht="5.25" hidden="1">
      <c r="B70" s="799"/>
      <c r="C70" s="994"/>
      <c r="D70" s="993"/>
      <c r="E70" s="993"/>
      <c r="F70" s="993"/>
      <c r="G70" s="993"/>
      <c r="H70" s="993"/>
      <c r="I70" s="993"/>
      <c r="J70" s="1033"/>
      <c r="K70" s="993"/>
      <c r="L70" s="993"/>
      <c r="M70" s="993"/>
      <c r="N70" s="993"/>
      <c r="O70" s="993"/>
      <c r="P70" s="993"/>
      <c r="Q70" s="1033"/>
      <c r="R70" s="993"/>
      <c r="S70" s="993"/>
      <c r="T70" s="993"/>
      <c r="U70" s="993"/>
      <c r="V70" s="993"/>
      <c r="W70" s="993"/>
      <c r="X70" s="1033"/>
      <c r="Y70" s="993"/>
      <c r="Z70" s="993"/>
      <c r="AA70" s="993"/>
      <c r="AB70" s="993"/>
      <c r="AC70" s="993"/>
      <c r="AD70" s="993"/>
      <c r="AE70" s="876"/>
      <c r="AF70" s="1396"/>
    </row>
    <row r="71" spans="2:32" s="801" customFormat="1" ht="5.25" hidden="1">
      <c r="B71" s="799"/>
      <c r="C71" s="992"/>
      <c r="D71" s="1403"/>
      <c r="E71" s="1403"/>
      <c r="F71" s="1403"/>
      <c r="G71" s="1403"/>
      <c r="H71" s="1403"/>
      <c r="I71" s="1403"/>
      <c r="J71" s="1033"/>
      <c r="K71" s="1403"/>
      <c r="L71" s="1403"/>
      <c r="M71" s="1403"/>
      <c r="N71" s="1403"/>
      <c r="O71" s="1403"/>
      <c r="P71" s="1403"/>
      <c r="Q71" s="1033"/>
      <c r="R71" s="1403"/>
      <c r="S71" s="1403"/>
      <c r="T71" s="1403"/>
      <c r="U71" s="1403"/>
      <c r="V71" s="1403"/>
      <c r="W71" s="1403"/>
      <c r="X71" s="1033"/>
      <c r="Y71" s="993"/>
      <c r="Z71" s="993"/>
      <c r="AA71" s="993"/>
      <c r="AB71" s="993"/>
      <c r="AC71" s="993"/>
      <c r="AD71" s="993"/>
      <c r="AE71" s="876"/>
      <c r="AF71" s="1396"/>
    </row>
    <row r="72" spans="2:32" s="801" customFormat="1" ht="5.25" hidden="1">
      <c r="B72" s="799"/>
      <c r="C72" s="994"/>
      <c r="D72" s="993"/>
      <c r="E72" s="993"/>
      <c r="F72" s="993"/>
      <c r="G72" s="993"/>
      <c r="H72" s="993"/>
      <c r="I72" s="993"/>
      <c r="J72" s="1033"/>
      <c r="K72" s="993"/>
      <c r="L72" s="993"/>
      <c r="M72" s="993"/>
      <c r="N72" s="993"/>
      <c r="O72" s="993"/>
      <c r="P72" s="993"/>
      <c r="Q72" s="1033"/>
      <c r="R72" s="993"/>
      <c r="S72" s="993"/>
      <c r="T72" s="993"/>
      <c r="U72" s="993"/>
      <c r="V72" s="993"/>
      <c r="W72" s="993"/>
      <c r="X72" s="1033"/>
      <c r="Y72" s="993"/>
      <c r="Z72" s="993"/>
      <c r="AA72" s="993"/>
      <c r="AB72" s="993"/>
      <c r="AC72" s="993"/>
      <c r="AD72" s="993"/>
      <c r="AE72" s="876"/>
      <c r="AF72" s="1396"/>
    </row>
    <row r="73" spans="2:32" s="801" customFormat="1" ht="5.25" hidden="1">
      <c r="B73" s="799"/>
      <c r="C73" s="995"/>
      <c r="D73" s="993"/>
      <c r="E73" s="993"/>
      <c r="F73" s="993"/>
      <c r="G73" s="993"/>
      <c r="H73" s="993"/>
      <c r="I73" s="993"/>
      <c r="J73" s="1033"/>
      <c r="K73" s="993"/>
      <c r="L73" s="993"/>
      <c r="M73" s="993"/>
      <c r="N73" s="993"/>
      <c r="O73" s="993"/>
      <c r="P73" s="993"/>
      <c r="Q73" s="1033"/>
      <c r="R73" s="993"/>
      <c r="S73" s="993"/>
      <c r="T73" s="993"/>
      <c r="U73" s="993"/>
      <c r="V73" s="993"/>
      <c r="W73" s="993"/>
      <c r="X73" s="1033"/>
      <c r="Y73" s="993"/>
      <c r="Z73" s="993"/>
      <c r="AA73" s="993"/>
      <c r="AB73" s="993"/>
      <c r="AC73" s="993"/>
      <c r="AD73" s="993"/>
      <c r="AE73" s="876"/>
      <c r="AF73" s="1396"/>
    </row>
    <row r="74" spans="2:32" s="801" customFormat="1" ht="5.25" hidden="1">
      <c r="B74" s="799"/>
      <c r="C74" s="995"/>
      <c r="D74" s="993"/>
      <c r="E74" s="993"/>
      <c r="F74" s="993"/>
      <c r="G74" s="993"/>
      <c r="H74" s="993"/>
      <c r="I74" s="993"/>
      <c r="J74" s="1033"/>
      <c r="K74" s="993"/>
      <c r="L74" s="993"/>
      <c r="M74" s="993"/>
      <c r="N74" s="993"/>
      <c r="O74" s="993"/>
      <c r="P74" s="993"/>
      <c r="Q74" s="1033"/>
      <c r="R74" s="993"/>
      <c r="S74" s="993"/>
      <c r="T74" s="993"/>
      <c r="U74" s="993"/>
      <c r="V74" s="993"/>
      <c r="W74" s="993"/>
      <c r="X74" s="1033"/>
      <c r="Y74" s="993"/>
      <c r="Z74" s="993"/>
      <c r="AA74" s="993"/>
      <c r="AB74" s="993"/>
      <c r="AC74" s="993"/>
      <c r="AD74" s="993"/>
      <c r="AE74" s="876"/>
      <c r="AF74" s="1396"/>
    </row>
    <row r="75" spans="2:32" s="799" customFormat="1" ht="5.25" hidden="1">
      <c r="C75" s="994"/>
      <c r="D75" s="993"/>
      <c r="E75" s="993"/>
      <c r="F75" s="993"/>
      <c r="G75" s="993"/>
      <c r="H75" s="993"/>
      <c r="I75" s="993"/>
      <c r="J75" s="1033"/>
      <c r="K75" s="993"/>
      <c r="L75" s="993"/>
      <c r="M75" s="993"/>
      <c r="N75" s="993"/>
      <c r="O75" s="993"/>
      <c r="P75" s="993"/>
      <c r="Q75" s="1033"/>
      <c r="R75" s="993"/>
      <c r="S75" s="993"/>
      <c r="T75" s="993"/>
      <c r="U75" s="993"/>
      <c r="V75" s="993"/>
      <c r="W75" s="993"/>
      <c r="X75" s="1033"/>
      <c r="Y75" s="993"/>
      <c r="Z75" s="993"/>
      <c r="AA75" s="993"/>
      <c r="AB75" s="993"/>
      <c r="AC75" s="993"/>
      <c r="AD75" s="993"/>
      <c r="AE75" s="876"/>
      <c r="AF75" s="1396"/>
    </row>
    <row r="76" spans="2:32" s="801" customFormat="1" ht="5.25" hidden="1">
      <c r="B76" s="799"/>
      <c r="C76" s="994"/>
      <c r="D76" s="993"/>
      <c r="E76" s="993"/>
      <c r="F76" s="993"/>
      <c r="G76" s="993"/>
      <c r="H76" s="993"/>
      <c r="I76" s="993"/>
      <c r="J76" s="1033"/>
      <c r="K76" s="993"/>
      <c r="L76" s="993"/>
      <c r="M76" s="993"/>
      <c r="N76" s="993"/>
      <c r="O76" s="993"/>
      <c r="P76" s="993"/>
      <c r="Q76" s="1033"/>
      <c r="R76" s="993"/>
      <c r="S76" s="993"/>
      <c r="T76" s="993"/>
      <c r="U76" s="993"/>
      <c r="V76" s="993"/>
      <c r="W76" s="993"/>
      <c r="X76" s="1033"/>
      <c r="Y76" s="993"/>
      <c r="Z76" s="993"/>
      <c r="AA76" s="993"/>
      <c r="AB76" s="993"/>
      <c r="AC76" s="993"/>
      <c r="AD76" s="993"/>
      <c r="AE76" s="876"/>
      <c r="AF76" s="1396"/>
    </row>
    <row r="77" spans="2:32" s="801" customFormat="1" ht="5.25" hidden="1">
      <c r="B77" s="799"/>
      <c r="C77" s="994"/>
      <c r="D77" s="993"/>
      <c r="E77" s="993"/>
      <c r="F77" s="993"/>
      <c r="G77" s="993"/>
      <c r="H77" s="993"/>
      <c r="I77" s="993"/>
      <c r="J77" s="1033"/>
      <c r="K77" s="993"/>
      <c r="L77" s="993"/>
      <c r="M77" s="993"/>
      <c r="N77" s="993"/>
      <c r="O77" s="993"/>
      <c r="P77" s="993"/>
      <c r="Q77" s="1033"/>
      <c r="R77" s="993"/>
      <c r="S77" s="993"/>
      <c r="T77" s="993"/>
      <c r="U77" s="993"/>
      <c r="V77" s="993"/>
      <c r="W77" s="993"/>
      <c r="X77" s="1033"/>
      <c r="Y77" s="993"/>
      <c r="Z77" s="993"/>
      <c r="AA77" s="993"/>
      <c r="AB77" s="993"/>
      <c r="AC77" s="993"/>
      <c r="AD77" s="993"/>
      <c r="AE77" s="876"/>
      <c r="AF77" s="1396"/>
    </row>
    <row r="78" spans="2:32" s="801" customFormat="1" ht="5.25" hidden="1">
      <c r="B78" s="799"/>
      <c r="C78" s="992"/>
      <c r="D78" s="1403"/>
      <c r="E78" s="1403"/>
      <c r="F78" s="1403"/>
      <c r="G78" s="1403"/>
      <c r="H78" s="1403"/>
      <c r="I78" s="1403"/>
      <c r="J78" s="1033"/>
      <c r="K78" s="1403"/>
      <c r="L78" s="1403"/>
      <c r="M78" s="1403"/>
      <c r="N78" s="1403"/>
      <c r="O78" s="1403"/>
      <c r="P78" s="1403"/>
      <c r="Q78" s="1033"/>
      <c r="R78" s="1403"/>
      <c r="S78" s="1403"/>
      <c r="T78" s="1403"/>
      <c r="U78" s="1403"/>
      <c r="V78" s="1403"/>
      <c r="W78" s="1403"/>
      <c r="X78" s="1033"/>
      <c r="Y78" s="993"/>
      <c r="Z78" s="993"/>
      <c r="AA78" s="993"/>
      <c r="AB78" s="993"/>
      <c r="AC78" s="993"/>
      <c r="AD78" s="993"/>
      <c r="AE78" s="876"/>
      <c r="AF78" s="1396"/>
    </row>
    <row r="79" spans="2:32" s="801" customFormat="1" ht="5.25" hidden="1">
      <c r="C79" s="994"/>
      <c r="D79" s="993"/>
      <c r="E79" s="993"/>
      <c r="F79" s="993"/>
      <c r="G79" s="993"/>
      <c r="H79" s="993"/>
      <c r="I79" s="993"/>
      <c r="J79" s="1033"/>
      <c r="K79" s="993"/>
      <c r="L79" s="993"/>
      <c r="M79" s="993"/>
      <c r="N79" s="993"/>
      <c r="O79" s="993"/>
      <c r="P79" s="993"/>
      <c r="Q79" s="1033"/>
      <c r="R79" s="993"/>
      <c r="S79" s="993"/>
      <c r="T79" s="993"/>
      <c r="U79" s="993"/>
      <c r="V79" s="993"/>
      <c r="W79" s="993"/>
      <c r="X79" s="1033"/>
      <c r="Y79" s="993"/>
      <c r="Z79" s="993"/>
      <c r="AA79" s="993"/>
      <c r="AB79" s="993"/>
      <c r="AC79" s="993"/>
      <c r="AD79" s="993"/>
      <c r="AE79" s="876"/>
      <c r="AF79" s="1396"/>
    </row>
    <row r="80" spans="2:32" s="801" customFormat="1" ht="5.25" hidden="1">
      <c r="C80" s="995"/>
      <c r="D80" s="993"/>
      <c r="E80" s="993"/>
      <c r="F80" s="993"/>
      <c r="G80" s="993"/>
      <c r="H80" s="993"/>
      <c r="I80" s="993"/>
      <c r="J80" s="1033"/>
      <c r="K80" s="993"/>
      <c r="L80" s="993"/>
      <c r="M80" s="993"/>
      <c r="N80" s="993"/>
      <c r="O80" s="993"/>
      <c r="P80" s="993"/>
      <c r="Q80" s="1033"/>
      <c r="R80" s="993"/>
      <c r="S80" s="993"/>
      <c r="T80" s="993"/>
      <c r="U80" s="993"/>
      <c r="V80" s="993"/>
      <c r="W80" s="993"/>
      <c r="X80" s="1033"/>
      <c r="Y80" s="993"/>
      <c r="Z80" s="993"/>
      <c r="AA80" s="993"/>
      <c r="AB80" s="993"/>
      <c r="AC80" s="993"/>
      <c r="AD80" s="993"/>
      <c r="AE80" s="876"/>
      <c r="AF80" s="1396"/>
    </row>
    <row r="81" spans="2:32" s="801" customFormat="1" ht="5.25" hidden="1">
      <c r="C81" s="995"/>
      <c r="D81" s="993"/>
      <c r="E81" s="993"/>
      <c r="F81" s="993"/>
      <c r="G81" s="993"/>
      <c r="H81" s="993"/>
      <c r="I81" s="993"/>
      <c r="J81" s="1033"/>
      <c r="K81" s="993"/>
      <c r="L81" s="993"/>
      <c r="M81" s="993"/>
      <c r="N81" s="993"/>
      <c r="O81" s="993"/>
      <c r="P81" s="993"/>
      <c r="Q81" s="1033"/>
      <c r="R81" s="993"/>
      <c r="S81" s="993"/>
      <c r="T81" s="993"/>
      <c r="U81" s="993"/>
      <c r="V81" s="993"/>
      <c r="W81" s="993"/>
      <c r="X81" s="1033"/>
      <c r="Y81" s="993"/>
      <c r="Z81" s="993"/>
      <c r="AA81" s="993"/>
      <c r="AB81" s="993"/>
      <c r="AC81" s="993"/>
      <c r="AD81" s="993"/>
      <c r="AE81" s="876"/>
      <c r="AF81" s="1396"/>
    </row>
    <row r="82" spans="2:32" s="801" customFormat="1" ht="5.25" hidden="1">
      <c r="C82" s="994"/>
      <c r="D82" s="993"/>
      <c r="E82" s="993"/>
      <c r="F82" s="993"/>
      <c r="G82" s="993"/>
      <c r="H82" s="993"/>
      <c r="I82" s="993"/>
      <c r="J82" s="1033"/>
      <c r="K82" s="993"/>
      <c r="L82" s="993"/>
      <c r="M82" s="993"/>
      <c r="N82" s="993"/>
      <c r="O82" s="993"/>
      <c r="P82" s="993"/>
      <c r="Q82" s="1033"/>
      <c r="R82" s="993"/>
      <c r="S82" s="993"/>
      <c r="T82" s="993"/>
      <c r="U82" s="993"/>
      <c r="V82" s="993"/>
      <c r="W82" s="993"/>
      <c r="X82" s="1033"/>
      <c r="Y82" s="993"/>
      <c r="Z82" s="993"/>
      <c r="AA82" s="993"/>
      <c r="AB82" s="993"/>
      <c r="AC82" s="993"/>
      <c r="AD82" s="993"/>
      <c r="AE82" s="876"/>
      <c r="AF82" s="1396"/>
    </row>
    <row r="83" spans="2:32" s="801" customFormat="1" ht="5.25" hidden="1">
      <c r="C83" s="994"/>
      <c r="D83" s="993"/>
      <c r="E83" s="993"/>
      <c r="F83" s="993"/>
      <c r="G83" s="993"/>
      <c r="H83" s="993"/>
      <c r="I83" s="993"/>
      <c r="J83" s="1033"/>
      <c r="K83" s="993"/>
      <c r="L83" s="993"/>
      <c r="M83" s="993"/>
      <c r="N83" s="993"/>
      <c r="O83" s="993"/>
      <c r="P83" s="993"/>
      <c r="Q83" s="1033"/>
      <c r="R83" s="993"/>
      <c r="S83" s="993"/>
      <c r="T83" s="993"/>
      <c r="U83" s="993"/>
      <c r="V83" s="993"/>
      <c r="W83" s="993"/>
      <c r="X83" s="1033"/>
      <c r="Y83" s="993"/>
      <c r="Z83" s="993"/>
      <c r="AA83" s="993"/>
      <c r="AB83" s="993"/>
      <c r="AC83" s="993"/>
      <c r="AD83" s="993"/>
      <c r="AE83" s="876"/>
      <c r="AF83" s="1396"/>
    </row>
    <row r="84" spans="2:32" s="801" customFormat="1" ht="5.25" hidden="1">
      <c r="C84" s="994"/>
      <c r="D84" s="993"/>
      <c r="E84" s="993"/>
      <c r="F84" s="993"/>
      <c r="G84" s="993"/>
      <c r="H84" s="993"/>
      <c r="I84" s="993"/>
      <c r="J84" s="1033"/>
      <c r="K84" s="993"/>
      <c r="L84" s="993"/>
      <c r="M84" s="993"/>
      <c r="N84" s="993"/>
      <c r="O84" s="993"/>
      <c r="P84" s="993"/>
      <c r="Q84" s="1033"/>
      <c r="R84" s="993"/>
      <c r="S84" s="993"/>
      <c r="T84" s="993"/>
      <c r="U84" s="993"/>
      <c r="V84" s="993"/>
      <c r="W84" s="993"/>
      <c r="X84" s="1033"/>
      <c r="Y84" s="993"/>
      <c r="Z84" s="993"/>
      <c r="AA84" s="993"/>
      <c r="AB84" s="993"/>
      <c r="AC84" s="993"/>
      <c r="AD84" s="993"/>
      <c r="AE84" s="876"/>
      <c r="AF84" s="1396"/>
    </row>
    <row r="85" spans="2:32" s="801" customFormat="1" ht="5.25" hidden="1">
      <c r="C85" s="994"/>
      <c r="D85" s="993"/>
      <c r="E85" s="993"/>
      <c r="F85" s="993"/>
      <c r="G85" s="993"/>
      <c r="H85" s="993"/>
      <c r="I85" s="993"/>
      <c r="J85" s="1033"/>
      <c r="K85" s="993"/>
      <c r="L85" s="993"/>
      <c r="M85" s="993"/>
      <c r="N85" s="993"/>
      <c r="O85" s="993"/>
      <c r="P85" s="993"/>
      <c r="Q85" s="1033"/>
      <c r="R85" s="993"/>
      <c r="S85" s="993"/>
      <c r="T85" s="993"/>
      <c r="U85" s="993"/>
      <c r="V85" s="993"/>
      <c r="W85" s="993"/>
      <c r="X85" s="1033"/>
      <c r="Y85" s="993"/>
      <c r="Z85" s="993"/>
      <c r="AA85" s="993"/>
      <c r="AB85" s="993"/>
      <c r="AC85" s="993"/>
      <c r="AD85" s="993"/>
      <c r="AE85" s="876"/>
      <c r="AF85" s="1396"/>
    </row>
    <row r="86" spans="2:32" s="801" customFormat="1" ht="5.25" hidden="1">
      <c r="B86" s="799"/>
      <c r="C86" s="992"/>
      <c r="D86" s="1403"/>
      <c r="E86" s="1403"/>
      <c r="F86" s="1403"/>
      <c r="G86" s="1403"/>
      <c r="H86" s="1403"/>
      <c r="I86" s="1403"/>
      <c r="J86" s="1033"/>
      <c r="K86" s="1403"/>
      <c r="L86" s="1403"/>
      <c r="M86" s="1403"/>
      <c r="N86" s="1403"/>
      <c r="O86" s="1403"/>
      <c r="P86" s="1403"/>
      <c r="Q86" s="1033"/>
      <c r="R86" s="1403"/>
      <c r="S86" s="1403"/>
      <c r="T86" s="1403"/>
      <c r="U86" s="1403"/>
      <c r="V86" s="1403"/>
      <c r="W86" s="1403"/>
      <c r="X86" s="1033"/>
      <c r="Y86" s="993"/>
      <c r="Z86" s="993"/>
      <c r="AA86" s="993"/>
      <c r="AB86" s="993"/>
      <c r="AC86" s="993"/>
      <c r="AD86" s="993"/>
      <c r="AE86" s="876"/>
      <c r="AF86" s="1396"/>
    </row>
    <row r="87" spans="2:32" s="801" customFormat="1" ht="5.25" hidden="1">
      <c r="C87" s="994"/>
      <c r="D87" s="993"/>
      <c r="E87" s="993"/>
      <c r="F87" s="993"/>
      <c r="G87" s="993"/>
      <c r="H87" s="993"/>
      <c r="I87" s="993"/>
      <c r="J87" s="1033"/>
      <c r="K87" s="993"/>
      <c r="L87" s="993"/>
      <c r="M87" s="993"/>
      <c r="N87" s="993"/>
      <c r="O87" s="993"/>
      <c r="P87" s="993"/>
      <c r="Q87" s="1033"/>
      <c r="R87" s="993"/>
      <c r="S87" s="993"/>
      <c r="T87" s="993"/>
      <c r="U87" s="993"/>
      <c r="V87" s="993"/>
      <c r="W87" s="993"/>
      <c r="X87" s="1033"/>
      <c r="Y87" s="993"/>
      <c r="Z87" s="993"/>
      <c r="AA87" s="993"/>
      <c r="AB87" s="993"/>
      <c r="AC87" s="993"/>
      <c r="AD87" s="993"/>
      <c r="AE87" s="876"/>
      <c r="AF87" s="1396"/>
    </row>
    <row r="88" spans="2:32" s="801" customFormat="1" ht="5.25" hidden="1">
      <c r="C88" s="996"/>
      <c r="D88" s="993"/>
      <c r="E88" s="993"/>
      <c r="F88" s="993"/>
      <c r="G88" s="993"/>
      <c r="H88" s="993"/>
      <c r="I88" s="993"/>
      <c r="J88" s="1033"/>
      <c r="K88" s="993"/>
      <c r="L88" s="993"/>
      <c r="M88" s="993"/>
      <c r="N88" s="993"/>
      <c r="O88" s="993"/>
      <c r="P88" s="993"/>
      <c r="Q88" s="1033"/>
      <c r="R88" s="993"/>
      <c r="S88" s="993"/>
      <c r="T88" s="993"/>
      <c r="U88" s="993"/>
      <c r="V88" s="993"/>
      <c r="W88" s="993"/>
      <c r="X88" s="1033"/>
      <c r="Y88" s="993"/>
      <c r="Z88" s="993"/>
      <c r="AA88" s="993"/>
      <c r="AB88" s="993"/>
      <c r="AC88" s="993"/>
      <c r="AD88" s="993"/>
      <c r="AE88" s="876"/>
      <c r="AF88" s="1396"/>
    </row>
    <row r="89" spans="2:32" s="801" customFormat="1" ht="5.25" hidden="1">
      <c r="C89" s="994"/>
      <c r="D89" s="993"/>
      <c r="E89" s="993"/>
      <c r="F89" s="993"/>
      <c r="G89" s="993"/>
      <c r="H89" s="993"/>
      <c r="I89" s="993"/>
      <c r="J89" s="1033"/>
      <c r="K89" s="993"/>
      <c r="L89" s="993"/>
      <c r="M89" s="993"/>
      <c r="N89" s="993"/>
      <c r="O89" s="993"/>
      <c r="P89" s="993"/>
      <c r="Q89" s="1033"/>
      <c r="R89" s="993"/>
      <c r="S89" s="993"/>
      <c r="T89" s="993"/>
      <c r="U89" s="993"/>
      <c r="V89" s="993"/>
      <c r="W89" s="993"/>
      <c r="X89" s="1033"/>
      <c r="Y89" s="993"/>
      <c r="Z89" s="993"/>
      <c r="AA89" s="993"/>
      <c r="AB89" s="993"/>
      <c r="AC89" s="993"/>
      <c r="AD89" s="993"/>
      <c r="AE89" s="876"/>
      <c r="AF89" s="1396"/>
    </row>
    <row r="90" spans="2:32" s="801" customFormat="1" ht="5.25" hidden="1">
      <c r="C90" s="994"/>
      <c r="D90" s="993"/>
      <c r="E90" s="993"/>
      <c r="F90" s="993"/>
      <c r="G90" s="993"/>
      <c r="H90" s="993"/>
      <c r="I90" s="993"/>
      <c r="J90" s="1033"/>
      <c r="K90" s="993"/>
      <c r="L90" s="993"/>
      <c r="M90" s="993"/>
      <c r="N90" s="993"/>
      <c r="O90" s="993"/>
      <c r="P90" s="993"/>
      <c r="Q90" s="1033"/>
      <c r="R90" s="993"/>
      <c r="S90" s="993"/>
      <c r="T90" s="993"/>
      <c r="U90" s="993"/>
      <c r="V90" s="993"/>
      <c r="W90" s="993"/>
      <c r="X90" s="1033"/>
      <c r="Y90" s="993"/>
      <c r="Z90" s="993"/>
      <c r="AA90" s="993"/>
      <c r="AB90" s="993"/>
      <c r="AC90" s="993"/>
      <c r="AD90" s="993"/>
      <c r="AE90" s="876"/>
      <c r="AF90" s="1396"/>
    </row>
    <row r="91" spans="2:32" s="801" customFormat="1" ht="5.25" hidden="1">
      <c r="C91" s="994"/>
      <c r="D91" s="993"/>
      <c r="E91" s="993"/>
      <c r="F91" s="993"/>
      <c r="G91" s="993"/>
      <c r="H91" s="993"/>
      <c r="I91" s="993"/>
      <c r="J91" s="1033"/>
      <c r="K91" s="993"/>
      <c r="L91" s="993"/>
      <c r="M91" s="993"/>
      <c r="N91" s="993"/>
      <c r="O91" s="993"/>
      <c r="P91" s="993"/>
      <c r="Q91" s="1033"/>
      <c r="R91" s="993"/>
      <c r="S91" s="993"/>
      <c r="T91" s="993"/>
      <c r="U91" s="993"/>
      <c r="V91" s="993"/>
      <c r="W91" s="993"/>
      <c r="X91" s="1033"/>
      <c r="Y91" s="993"/>
      <c r="Z91" s="993"/>
      <c r="AA91" s="993"/>
      <c r="AB91" s="993"/>
      <c r="AC91" s="993"/>
      <c r="AD91" s="993"/>
      <c r="AE91" s="876"/>
      <c r="AF91" s="1396"/>
    </row>
    <row r="92" spans="2:32" s="801" customFormat="1" ht="5.25" hidden="1">
      <c r="B92" s="799"/>
      <c r="C92" s="992"/>
      <c r="D92" s="1403"/>
      <c r="E92" s="1403"/>
      <c r="F92" s="1403"/>
      <c r="G92" s="1403"/>
      <c r="H92" s="1403"/>
      <c r="I92" s="1403"/>
      <c r="J92" s="1033"/>
      <c r="K92" s="1403"/>
      <c r="L92" s="1403"/>
      <c r="M92" s="1403"/>
      <c r="N92" s="1403"/>
      <c r="O92" s="1403"/>
      <c r="P92" s="1403"/>
      <c r="Q92" s="1033"/>
      <c r="R92" s="1403"/>
      <c r="S92" s="1403"/>
      <c r="T92" s="1403"/>
      <c r="U92" s="1403"/>
      <c r="V92" s="1403"/>
      <c r="W92" s="1403"/>
      <c r="X92" s="1033"/>
      <c r="Y92" s="993"/>
      <c r="Z92" s="993"/>
      <c r="AA92" s="993"/>
      <c r="AB92" s="993"/>
      <c r="AC92" s="993"/>
      <c r="AD92" s="993"/>
      <c r="AE92" s="876"/>
      <c r="AF92" s="1396"/>
    </row>
    <row r="93" spans="2:32" s="801" customFormat="1" ht="5.25" hidden="1">
      <c r="C93" s="994"/>
      <c r="D93" s="993"/>
      <c r="E93" s="993"/>
      <c r="F93" s="993"/>
      <c r="G93" s="993"/>
      <c r="H93" s="993"/>
      <c r="I93" s="993"/>
      <c r="J93" s="1033"/>
      <c r="K93" s="993"/>
      <c r="L93" s="993"/>
      <c r="M93" s="993"/>
      <c r="N93" s="993"/>
      <c r="O93" s="993"/>
      <c r="P93" s="993"/>
      <c r="Q93" s="1033"/>
      <c r="R93" s="993"/>
      <c r="S93" s="993"/>
      <c r="T93" s="993"/>
      <c r="U93" s="993"/>
      <c r="V93" s="993"/>
      <c r="W93" s="993"/>
      <c r="X93" s="1033"/>
      <c r="Y93" s="993"/>
      <c r="Z93" s="993"/>
      <c r="AA93" s="993"/>
      <c r="AB93" s="993"/>
      <c r="AC93" s="993"/>
      <c r="AD93" s="993"/>
      <c r="AE93" s="876"/>
      <c r="AF93" s="1396"/>
    </row>
    <row r="94" spans="2:32" s="801" customFormat="1" ht="5.25" hidden="1">
      <c r="C94" s="995"/>
      <c r="D94" s="993"/>
      <c r="E94" s="993"/>
      <c r="F94" s="993"/>
      <c r="G94" s="993"/>
      <c r="H94" s="993"/>
      <c r="I94" s="993"/>
      <c r="J94" s="1033"/>
      <c r="K94" s="993"/>
      <c r="L94" s="993"/>
      <c r="M94" s="993"/>
      <c r="N94" s="993"/>
      <c r="O94" s="993"/>
      <c r="P94" s="993"/>
      <c r="Q94" s="1033"/>
      <c r="R94" s="993"/>
      <c r="S94" s="993"/>
      <c r="T94" s="993"/>
      <c r="U94" s="993"/>
      <c r="V94" s="993"/>
      <c r="W94" s="993"/>
      <c r="X94" s="1033"/>
      <c r="Y94" s="993"/>
      <c r="Z94" s="993"/>
      <c r="AA94" s="993"/>
      <c r="AB94" s="993"/>
      <c r="AC94" s="993"/>
      <c r="AD94" s="993"/>
      <c r="AE94" s="876"/>
      <c r="AF94" s="1396"/>
    </row>
    <row r="95" spans="2:32" s="801" customFormat="1" ht="5.25" hidden="1">
      <c r="C95" s="995"/>
      <c r="D95" s="993"/>
      <c r="E95" s="993"/>
      <c r="F95" s="993"/>
      <c r="G95" s="993"/>
      <c r="H95" s="993"/>
      <c r="I95" s="993"/>
      <c r="J95" s="1033"/>
      <c r="K95" s="993"/>
      <c r="L95" s="993"/>
      <c r="M95" s="993"/>
      <c r="N95" s="993"/>
      <c r="O95" s="993"/>
      <c r="P95" s="993"/>
      <c r="Q95" s="1033"/>
      <c r="R95" s="993"/>
      <c r="S95" s="993"/>
      <c r="T95" s="993"/>
      <c r="U95" s="993"/>
      <c r="V95" s="993"/>
      <c r="W95" s="993"/>
      <c r="X95" s="1033"/>
      <c r="Y95" s="993"/>
      <c r="Z95" s="993"/>
      <c r="AA95" s="993"/>
      <c r="AB95" s="993"/>
      <c r="AC95" s="993"/>
      <c r="AD95" s="993"/>
      <c r="AE95" s="876"/>
      <c r="AF95" s="1396"/>
    </row>
    <row r="96" spans="2:32" s="801" customFormat="1" ht="5.25" hidden="1">
      <c r="C96" s="994"/>
      <c r="D96" s="993"/>
      <c r="E96" s="993"/>
      <c r="F96" s="993"/>
      <c r="G96" s="993"/>
      <c r="H96" s="993"/>
      <c r="I96" s="993"/>
      <c r="J96" s="1033"/>
      <c r="K96" s="993"/>
      <c r="L96" s="993"/>
      <c r="M96" s="993"/>
      <c r="N96" s="993"/>
      <c r="O96" s="993"/>
      <c r="P96" s="993"/>
      <c r="Q96" s="1033"/>
      <c r="R96" s="993"/>
      <c r="S96" s="993"/>
      <c r="T96" s="993"/>
      <c r="U96" s="993"/>
      <c r="V96" s="993"/>
      <c r="W96" s="993"/>
      <c r="X96" s="1033"/>
      <c r="Y96" s="993"/>
      <c r="Z96" s="993"/>
      <c r="AA96" s="993"/>
      <c r="AB96" s="993"/>
      <c r="AC96" s="993"/>
      <c r="AD96" s="993"/>
      <c r="AE96" s="876"/>
      <c r="AF96" s="1396"/>
    </row>
    <row r="97" spans="1:32" s="801" customFormat="1" ht="5.25" hidden="1">
      <c r="C97" s="994"/>
      <c r="D97" s="993"/>
      <c r="E97" s="993"/>
      <c r="F97" s="993"/>
      <c r="G97" s="993"/>
      <c r="H97" s="993"/>
      <c r="I97" s="993"/>
      <c r="J97" s="1033"/>
      <c r="K97" s="993"/>
      <c r="L97" s="993"/>
      <c r="M97" s="993"/>
      <c r="N97" s="993"/>
      <c r="O97" s="993"/>
      <c r="P97" s="993"/>
      <c r="Q97" s="1033"/>
      <c r="R97" s="993"/>
      <c r="S97" s="993"/>
      <c r="T97" s="993"/>
      <c r="U97" s="993"/>
      <c r="V97" s="993"/>
      <c r="W97" s="993"/>
      <c r="X97" s="1033"/>
      <c r="Y97" s="993"/>
      <c r="Z97" s="993"/>
      <c r="AA97" s="993"/>
      <c r="AB97" s="993"/>
      <c r="AC97" s="993"/>
      <c r="AD97" s="993"/>
      <c r="AE97" s="876"/>
      <c r="AF97" s="1396"/>
    </row>
    <row r="98" spans="1:32" s="801" customFormat="1" ht="5.25" hidden="1">
      <c r="C98" s="994"/>
      <c r="D98" s="993"/>
      <c r="E98" s="993"/>
      <c r="F98" s="993"/>
      <c r="G98" s="993"/>
      <c r="H98" s="993"/>
      <c r="I98" s="993"/>
      <c r="J98" s="1033"/>
      <c r="K98" s="993"/>
      <c r="L98" s="993"/>
      <c r="M98" s="993"/>
      <c r="N98" s="993"/>
      <c r="O98" s="993"/>
      <c r="P98" s="993"/>
      <c r="Q98" s="1033"/>
      <c r="R98" s="993"/>
      <c r="S98" s="993"/>
      <c r="T98" s="993"/>
      <c r="U98" s="993"/>
      <c r="V98" s="993"/>
      <c r="W98" s="993"/>
      <c r="X98" s="1033"/>
      <c r="Y98" s="993"/>
      <c r="Z98" s="993"/>
      <c r="AA98" s="993"/>
      <c r="AB98" s="993"/>
      <c r="AC98" s="993"/>
      <c r="AD98" s="993"/>
      <c r="AE98" s="876"/>
      <c r="AF98" s="1396"/>
    </row>
    <row r="99" spans="1:32" s="801" customFormat="1" ht="5.25" hidden="1">
      <c r="B99" s="799"/>
      <c r="C99" s="992"/>
      <c r="D99" s="1403"/>
      <c r="E99" s="1403"/>
      <c r="F99" s="1403"/>
      <c r="G99" s="1403"/>
      <c r="H99" s="1403"/>
      <c r="I99" s="1403"/>
      <c r="J99" s="1033"/>
      <c r="K99" s="1403"/>
      <c r="L99" s="1403"/>
      <c r="M99" s="1403"/>
      <c r="N99" s="1403"/>
      <c r="O99" s="1403"/>
      <c r="P99" s="1403"/>
      <c r="Q99" s="1033"/>
      <c r="R99" s="1403"/>
      <c r="S99" s="1403"/>
      <c r="T99" s="1403"/>
      <c r="U99" s="1403"/>
      <c r="V99" s="1403"/>
      <c r="W99" s="1403"/>
      <c r="X99" s="1033"/>
      <c r="Y99" s="993"/>
      <c r="Z99" s="993"/>
      <c r="AA99" s="993"/>
      <c r="AB99" s="993"/>
      <c r="AC99" s="993"/>
      <c r="AD99" s="993"/>
      <c r="AE99" s="876"/>
      <c r="AF99" s="1396"/>
    </row>
    <row r="100" spans="1:32" s="801" customFormat="1" ht="5.25" hidden="1">
      <c r="C100" s="994"/>
      <c r="D100" s="993"/>
      <c r="E100" s="993"/>
      <c r="F100" s="993"/>
      <c r="G100" s="993"/>
      <c r="H100" s="993"/>
      <c r="I100" s="993"/>
      <c r="J100" s="1033"/>
      <c r="K100" s="993"/>
      <c r="L100" s="993"/>
      <c r="M100" s="993"/>
      <c r="N100" s="993"/>
      <c r="O100" s="993"/>
      <c r="P100" s="993"/>
      <c r="Q100" s="1033"/>
      <c r="R100" s="993"/>
      <c r="S100" s="993"/>
      <c r="T100" s="993"/>
      <c r="U100" s="993"/>
      <c r="V100" s="993"/>
      <c r="W100" s="993"/>
      <c r="X100" s="1033"/>
      <c r="Y100" s="993"/>
      <c r="Z100" s="993"/>
      <c r="AA100" s="993"/>
      <c r="AB100" s="993"/>
      <c r="AC100" s="993"/>
      <c r="AD100" s="993"/>
      <c r="AE100" s="876"/>
      <c r="AF100" s="1396"/>
    </row>
    <row r="101" spans="1:32" s="801" customFormat="1" ht="5.25" hidden="1">
      <c r="C101" s="995"/>
      <c r="D101" s="993"/>
      <c r="E101" s="993"/>
      <c r="F101" s="993"/>
      <c r="G101" s="993"/>
      <c r="H101" s="993"/>
      <c r="I101" s="993"/>
      <c r="J101" s="1033"/>
      <c r="K101" s="993"/>
      <c r="L101" s="993"/>
      <c r="M101" s="993"/>
      <c r="N101" s="993"/>
      <c r="O101" s="993"/>
      <c r="P101" s="993"/>
      <c r="Q101" s="1033"/>
      <c r="R101" s="993"/>
      <c r="S101" s="993"/>
      <c r="T101" s="993"/>
      <c r="U101" s="993"/>
      <c r="V101" s="993"/>
      <c r="W101" s="993"/>
      <c r="X101" s="1033"/>
      <c r="Y101" s="993"/>
      <c r="Z101" s="993"/>
      <c r="AA101" s="993"/>
      <c r="AB101" s="993"/>
      <c r="AC101" s="993"/>
      <c r="AD101" s="993"/>
      <c r="AE101" s="876"/>
      <c r="AF101" s="1396"/>
    </row>
    <row r="102" spans="1:32" s="801" customFormat="1" ht="5.25" hidden="1">
      <c r="C102" s="995"/>
      <c r="D102" s="993"/>
      <c r="E102" s="993"/>
      <c r="F102" s="993"/>
      <c r="G102" s="993"/>
      <c r="H102" s="993"/>
      <c r="I102" s="993"/>
      <c r="J102" s="1033"/>
      <c r="K102" s="993"/>
      <c r="L102" s="993"/>
      <c r="M102" s="993"/>
      <c r="N102" s="993"/>
      <c r="O102" s="993"/>
      <c r="P102" s="993"/>
      <c r="Q102" s="1033"/>
      <c r="R102" s="993"/>
      <c r="S102" s="993"/>
      <c r="T102" s="993"/>
      <c r="U102" s="993"/>
      <c r="V102" s="993"/>
      <c r="W102" s="993"/>
      <c r="X102" s="1033"/>
      <c r="Y102" s="993"/>
      <c r="Z102" s="993"/>
      <c r="AA102" s="993"/>
      <c r="AB102" s="993"/>
      <c r="AC102" s="993"/>
      <c r="AD102" s="993"/>
      <c r="AE102" s="876"/>
      <c r="AF102" s="1396"/>
    </row>
    <row r="103" spans="1:32" s="801" customFormat="1" ht="5.25" hidden="1">
      <c r="C103" s="994"/>
      <c r="D103" s="993"/>
      <c r="E103" s="993"/>
      <c r="F103" s="993"/>
      <c r="G103" s="993"/>
      <c r="H103" s="993"/>
      <c r="I103" s="993"/>
      <c r="J103" s="1033"/>
      <c r="K103" s="993"/>
      <c r="L103" s="993"/>
      <c r="M103" s="993"/>
      <c r="N103" s="993"/>
      <c r="O103" s="993"/>
      <c r="P103" s="993"/>
      <c r="Q103" s="1033"/>
      <c r="R103" s="993"/>
      <c r="S103" s="993"/>
      <c r="T103" s="993"/>
      <c r="U103" s="993"/>
      <c r="V103" s="993"/>
      <c r="W103" s="993"/>
      <c r="X103" s="1033"/>
      <c r="Y103" s="993"/>
      <c r="Z103" s="993"/>
      <c r="AA103" s="993"/>
      <c r="AB103" s="993"/>
      <c r="AC103" s="993"/>
      <c r="AD103" s="993"/>
      <c r="AE103" s="876"/>
      <c r="AF103" s="1396"/>
    </row>
    <row r="104" spans="1:32" s="801" customFormat="1" ht="5.25" hidden="1">
      <c r="C104" s="994"/>
      <c r="D104" s="993"/>
      <c r="E104" s="993"/>
      <c r="F104" s="993"/>
      <c r="G104" s="993"/>
      <c r="H104" s="993"/>
      <c r="I104" s="993"/>
      <c r="J104" s="1033"/>
      <c r="K104" s="993"/>
      <c r="L104" s="993"/>
      <c r="M104" s="993"/>
      <c r="N104" s="993"/>
      <c r="O104" s="993"/>
      <c r="P104" s="993"/>
      <c r="Q104" s="1033"/>
      <c r="R104" s="993"/>
      <c r="S104" s="993"/>
      <c r="T104" s="993"/>
      <c r="U104" s="993"/>
      <c r="V104" s="993"/>
      <c r="W104" s="993"/>
      <c r="X104" s="1033"/>
      <c r="Y104" s="993"/>
      <c r="Z104" s="993"/>
      <c r="AA104" s="993"/>
      <c r="AB104" s="993"/>
      <c r="AC104" s="993"/>
      <c r="AD104" s="993"/>
      <c r="AE104" s="876"/>
      <c r="AF104" s="1396"/>
    </row>
    <row r="105" spans="1:32" s="801" customFormat="1" ht="5.25" hidden="1">
      <c r="C105" s="994"/>
      <c r="D105" s="993"/>
      <c r="E105" s="993"/>
      <c r="F105" s="993"/>
      <c r="G105" s="993"/>
      <c r="H105" s="993"/>
      <c r="I105" s="993"/>
      <c r="J105" s="1033"/>
      <c r="K105" s="993"/>
      <c r="L105" s="993"/>
      <c r="M105" s="993"/>
      <c r="N105" s="993"/>
      <c r="O105" s="993"/>
      <c r="P105" s="993"/>
      <c r="Q105" s="1033"/>
      <c r="R105" s="993"/>
      <c r="S105" s="993"/>
      <c r="T105" s="993"/>
      <c r="U105" s="993"/>
      <c r="V105" s="993"/>
      <c r="W105" s="993"/>
      <c r="X105" s="1033"/>
      <c r="Y105" s="993"/>
      <c r="Z105" s="993"/>
      <c r="AA105" s="993"/>
      <c r="AB105" s="993"/>
      <c r="AC105" s="993"/>
      <c r="AD105" s="993"/>
      <c r="AE105" s="876"/>
      <c r="AF105" s="1396"/>
    </row>
    <row r="106" spans="1:32" s="801" customFormat="1">
      <c r="C106" s="997"/>
      <c r="D106" s="993">
        <v>0</v>
      </c>
      <c r="E106" s="993">
        <v>0</v>
      </c>
      <c r="F106" s="993">
        <v>0</v>
      </c>
      <c r="G106" s="993">
        <v>0</v>
      </c>
      <c r="H106" s="993">
        <v>0</v>
      </c>
      <c r="I106" s="993">
        <v>0</v>
      </c>
      <c r="J106" s="180">
        <f>AVERAGE(D106:I106)</f>
        <v>0</v>
      </c>
      <c r="K106" s="993"/>
      <c r="L106" s="993"/>
      <c r="M106" s="993"/>
      <c r="N106" s="993"/>
      <c r="O106" s="993"/>
      <c r="P106" s="993"/>
      <c r="Q106" s="180"/>
      <c r="R106" s="993"/>
      <c r="S106" s="993"/>
      <c r="T106" s="993"/>
      <c r="U106" s="993"/>
      <c r="V106" s="993"/>
      <c r="W106" s="993"/>
      <c r="X106" s="180"/>
      <c r="Y106" s="993"/>
      <c r="Z106" s="993"/>
      <c r="AA106" s="993"/>
      <c r="AB106" s="993"/>
      <c r="AC106" s="993"/>
      <c r="AD106" s="993"/>
      <c r="AE106" s="876"/>
      <c r="AF106" s="1396"/>
    </row>
    <row r="107" spans="1:32">
      <c r="C107" s="880" t="s">
        <v>112</v>
      </c>
      <c r="D107" s="881">
        <v>366347.60663896764</v>
      </c>
      <c r="E107" s="881">
        <v>367842.23642511532</v>
      </c>
      <c r="F107" s="881">
        <v>375770.40636004065</v>
      </c>
      <c r="G107" s="881">
        <v>361119.17896974389</v>
      </c>
      <c r="H107" s="881">
        <v>348245.51182775653</v>
      </c>
      <c r="I107" s="881">
        <v>359573.8327668003</v>
      </c>
      <c r="J107" s="180">
        <v>363149.79549807071</v>
      </c>
      <c r="K107" s="881">
        <v>366347.60663896764</v>
      </c>
      <c r="L107" s="881">
        <v>367842.23642511532</v>
      </c>
      <c r="M107" s="881">
        <v>375770.40636004065</v>
      </c>
      <c r="N107" s="881">
        <v>361119.17896974389</v>
      </c>
      <c r="O107" s="881">
        <v>348245.51182775653</v>
      </c>
      <c r="P107" s="881">
        <v>359573.8327668003</v>
      </c>
      <c r="Q107" s="180">
        <v>363149.79549807071</v>
      </c>
      <c r="R107" s="881">
        <v>45927.635525521226</v>
      </c>
      <c r="S107" s="881">
        <v>46115.015036214172</v>
      </c>
      <c r="T107" s="881">
        <v>47108.934794219247</v>
      </c>
      <c r="U107" s="881">
        <v>45272.155334083494</v>
      </c>
      <c r="V107" s="881">
        <v>43658.179752980715</v>
      </c>
      <c r="W107" s="881">
        <v>45078.417581736736</v>
      </c>
      <c r="X107" s="180">
        <v>45526.723004125932</v>
      </c>
      <c r="Y107" s="881"/>
      <c r="Z107" s="881"/>
      <c r="AA107" s="881"/>
      <c r="AB107" s="881"/>
      <c r="AC107" s="881"/>
      <c r="AD107" s="881"/>
      <c r="AE107" s="47"/>
      <c r="AF107" s="1391"/>
    </row>
    <row r="108" spans="1:32">
      <c r="D108" s="54">
        <v>31</v>
      </c>
      <c r="E108" s="54">
        <v>31</v>
      </c>
      <c r="F108" s="54">
        <v>30</v>
      </c>
      <c r="G108" s="54">
        <v>31</v>
      </c>
      <c r="H108" s="54">
        <v>30</v>
      </c>
      <c r="I108" s="54">
        <v>31</v>
      </c>
      <c r="J108" s="180">
        <f>SUM(D108:I108)</f>
        <v>184</v>
      </c>
      <c r="K108" s="54">
        <v>31</v>
      </c>
      <c r="L108" s="54">
        <v>31</v>
      </c>
      <c r="M108" s="54">
        <v>30</v>
      </c>
      <c r="N108" s="54">
        <v>31</v>
      </c>
      <c r="O108" s="54">
        <v>30</v>
      </c>
      <c r="P108" s="54">
        <v>31</v>
      </c>
      <c r="Q108" s="180">
        <f>SUM(K108:P108)</f>
        <v>184</v>
      </c>
      <c r="R108" s="54">
        <v>31</v>
      </c>
      <c r="S108" s="54">
        <v>31</v>
      </c>
      <c r="T108" s="54">
        <v>30</v>
      </c>
      <c r="U108" s="54">
        <v>31</v>
      </c>
      <c r="V108" s="54">
        <v>30</v>
      </c>
      <c r="W108" s="54">
        <v>31</v>
      </c>
      <c r="X108" s="180">
        <f>SUM(R108:W108)</f>
        <v>184</v>
      </c>
      <c r="Y108" s="54"/>
      <c r="Z108" s="54"/>
      <c r="AA108" s="54"/>
      <c r="AB108" s="54"/>
      <c r="AC108" s="54"/>
      <c r="AD108" s="54"/>
      <c r="AE108" s="54"/>
      <c r="AF108" s="54"/>
    </row>
    <row r="109" spans="1:32">
      <c r="J109" s="180"/>
      <c r="Q109" s="180"/>
      <c r="X109" s="180"/>
    </row>
    <row r="112" spans="1:32">
      <c r="A112" s="56"/>
      <c r="C112" s="55"/>
      <c r="D112" s="90" t="s">
        <v>161</v>
      </c>
      <c r="E112" s="90"/>
      <c r="F112" s="90"/>
      <c r="G112" s="90"/>
      <c r="H112" s="90"/>
      <c r="I112" s="90"/>
      <c r="J112" s="90"/>
      <c r="K112" s="90" t="s">
        <v>161</v>
      </c>
      <c r="L112" s="90"/>
      <c r="M112" s="90"/>
      <c r="N112" s="90"/>
      <c r="O112" s="90"/>
      <c r="P112" s="90"/>
      <c r="Q112" s="90"/>
      <c r="R112" s="90" t="s">
        <v>161</v>
      </c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1397"/>
    </row>
    <row r="113" spans="1:32">
      <c r="A113" s="56"/>
      <c r="C113" s="44"/>
      <c r="D113" s="45">
        <v>45839</v>
      </c>
      <c r="E113" s="45">
        <v>45870</v>
      </c>
      <c r="F113" s="45">
        <v>45901</v>
      </c>
      <c r="G113" s="45">
        <v>45931</v>
      </c>
      <c r="H113" s="45">
        <v>45962</v>
      </c>
      <c r="I113" s="45">
        <v>45992</v>
      </c>
      <c r="J113" s="45" t="s">
        <v>154</v>
      </c>
      <c r="K113" s="45">
        <v>45839</v>
      </c>
      <c r="L113" s="45">
        <v>45870</v>
      </c>
      <c r="M113" s="45">
        <v>45901</v>
      </c>
      <c r="N113" s="45">
        <v>45931</v>
      </c>
      <c r="O113" s="45">
        <v>45962</v>
      </c>
      <c r="P113" s="45">
        <v>45992</v>
      </c>
      <c r="Q113" s="45" t="s">
        <v>781</v>
      </c>
      <c r="R113" s="45">
        <v>45839</v>
      </c>
      <c r="S113" s="45">
        <v>45870</v>
      </c>
      <c r="T113" s="45">
        <v>45901</v>
      </c>
      <c r="U113" s="45">
        <v>45931</v>
      </c>
      <c r="V113" s="45">
        <v>45962</v>
      </c>
      <c r="W113" s="45">
        <v>45992</v>
      </c>
      <c r="X113" s="45" t="s">
        <v>781</v>
      </c>
      <c r="Y113" s="45"/>
      <c r="Z113" s="45"/>
      <c r="AA113" s="45"/>
      <c r="AB113" s="45"/>
      <c r="AC113" s="45"/>
      <c r="AD113" s="45"/>
      <c r="AE113" s="45"/>
      <c r="AF113" s="1393"/>
    </row>
    <row r="114" spans="1:32" ht="15.75">
      <c r="A114" s="57"/>
      <c r="C114" s="965" t="s">
        <v>446</v>
      </c>
      <c r="D114" s="881">
        <v>29027.994200258923</v>
      </c>
      <c r="E114" s="881">
        <v>25392.264894017622</v>
      </c>
      <c r="F114" s="881">
        <v>26788.191088397813</v>
      </c>
      <c r="G114" s="881">
        <v>27850.339864497506</v>
      </c>
      <c r="H114" s="881">
        <v>26669.2037197471</v>
      </c>
      <c r="I114" s="881">
        <v>28157.843275534899</v>
      </c>
      <c r="J114" s="47">
        <v>27314.306173742312</v>
      </c>
      <c r="K114" s="881">
        <v>29027.994200258923</v>
      </c>
      <c r="L114" s="881">
        <v>25392.264894017622</v>
      </c>
      <c r="M114" s="881">
        <v>26788.191088397813</v>
      </c>
      <c r="N114" s="881">
        <v>27850.339864497506</v>
      </c>
      <c r="O114" s="881">
        <v>26669.2037197471</v>
      </c>
      <c r="P114" s="881">
        <v>28157.843275534899</v>
      </c>
      <c r="Q114" s="47">
        <v>27314.306173742312</v>
      </c>
      <c r="R114" s="881">
        <v>18687.978559547999</v>
      </c>
      <c r="S114" s="881">
        <v>16899.431718750002</v>
      </c>
      <c r="T114" s="881">
        <v>16629.532148412</v>
      </c>
      <c r="U114" s="881">
        <v>16008.816328176001</v>
      </c>
      <c r="V114" s="881">
        <v>19086.763945338</v>
      </c>
      <c r="W114" s="881">
        <v>16274.178691368001</v>
      </c>
      <c r="X114" s="47">
        <v>17264.450231931998</v>
      </c>
      <c r="Y114" s="883"/>
      <c r="Z114" s="883"/>
      <c r="AA114" s="883"/>
      <c r="AB114" s="883"/>
      <c r="AC114" s="883"/>
      <c r="AD114" s="883"/>
      <c r="AE114" s="47"/>
      <c r="AF114" s="1391"/>
    </row>
    <row r="115" spans="1:32">
      <c r="A115" s="57"/>
      <c r="B115" s="48" t="s">
        <v>870</v>
      </c>
      <c r="C115" s="882" t="s">
        <v>279</v>
      </c>
      <c r="D115" s="881">
        <v>19345.232094768002</v>
      </c>
      <c r="E115" s="881">
        <v>16624.375620113999</v>
      </c>
      <c r="F115" s="881">
        <v>16804.246992162</v>
      </c>
      <c r="G115" s="881">
        <v>16012.689140676001</v>
      </c>
      <c r="H115" s="881">
        <v>16228.595449206001</v>
      </c>
      <c r="I115" s="881">
        <v>16261.54125</v>
      </c>
      <c r="J115" s="47">
        <v>16879.446757820999</v>
      </c>
      <c r="K115" s="881">
        <v>19345.232094768002</v>
      </c>
      <c r="L115" s="881">
        <v>16624.375620113999</v>
      </c>
      <c r="M115" s="881">
        <v>16804.246992162</v>
      </c>
      <c r="N115" s="881">
        <v>16012.689140676001</v>
      </c>
      <c r="O115" s="881">
        <v>16228.595449206001</v>
      </c>
      <c r="P115" s="881">
        <v>16261.54125</v>
      </c>
      <c r="Q115" s="47">
        <v>16879.446757820999</v>
      </c>
      <c r="R115" s="881">
        <v>18687.978559547999</v>
      </c>
      <c r="S115" s="881">
        <v>16899.431718750002</v>
      </c>
      <c r="T115" s="881">
        <v>16629.532148412</v>
      </c>
      <c r="U115" s="881">
        <v>16008.816328176001</v>
      </c>
      <c r="V115" s="881">
        <v>19086.763945338</v>
      </c>
      <c r="W115" s="881">
        <v>16274.178691368001</v>
      </c>
      <c r="X115" s="47">
        <v>17264.450231931998</v>
      </c>
      <c r="Y115" s="883"/>
      <c r="Z115" s="883"/>
      <c r="AA115" s="883"/>
      <c r="AB115" s="883"/>
      <c r="AC115" s="883"/>
      <c r="AD115" s="883"/>
      <c r="AE115" s="47"/>
      <c r="AF115" s="1391"/>
    </row>
    <row r="116" spans="1:32">
      <c r="A116" s="57"/>
      <c r="B116" s="48"/>
      <c r="C116" s="887" t="s">
        <v>971</v>
      </c>
      <c r="D116" s="883">
        <v>19345.232094768002</v>
      </c>
      <c r="E116" s="883">
        <v>16624.375620113999</v>
      </c>
      <c r="F116" s="883">
        <v>16804.246992162</v>
      </c>
      <c r="G116" s="883">
        <v>16012.689140676001</v>
      </c>
      <c r="H116" s="883">
        <v>16228.595449206001</v>
      </c>
      <c r="I116" s="883">
        <v>16261.54125</v>
      </c>
      <c r="J116" s="47">
        <v>16879.446757820999</v>
      </c>
      <c r="K116" s="883">
        <v>19345.232094768002</v>
      </c>
      <c r="L116" s="883">
        <v>16624.375620113999</v>
      </c>
      <c r="M116" s="883">
        <v>16804.246992162</v>
      </c>
      <c r="N116" s="883">
        <v>16012.689140676001</v>
      </c>
      <c r="O116" s="883">
        <v>16228.595449206001</v>
      </c>
      <c r="P116" s="883">
        <v>16261.54125</v>
      </c>
      <c r="Q116" s="47">
        <v>16879.446757820999</v>
      </c>
      <c r="R116" s="883">
        <v>18687.978559547999</v>
      </c>
      <c r="S116" s="883">
        <v>16899.431718750002</v>
      </c>
      <c r="T116" s="883">
        <v>16629.532148412</v>
      </c>
      <c r="U116" s="883">
        <v>16008.816328176001</v>
      </c>
      <c r="V116" s="883">
        <v>19086.763945338</v>
      </c>
      <c r="W116" s="883">
        <v>16274.178691368001</v>
      </c>
      <c r="X116" s="47">
        <v>17264.450231931998</v>
      </c>
      <c r="Y116" s="883"/>
      <c r="Z116" s="883"/>
      <c r="AA116" s="883"/>
      <c r="AB116" s="883"/>
      <c r="AC116" s="883"/>
      <c r="AD116" s="883"/>
      <c r="AE116" s="47"/>
      <c r="AF116" s="1391"/>
    </row>
    <row r="117" spans="1:32">
      <c r="A117" s="57"/>
      <c r="B117" s="48" t="s">
        <v>871</v>
      </c>
      <c r="C117" s="882" t="s">
        <v>278</v>
      </c>
      <c r="D117" s="881">
        <v>9682.7621054909232</v>
      </c>
      <c r="E117" s="881">
        <v>8767.8892739036237</v>
      </c>
      <c r="F117" s="881">
        <v>9983.9440962358149</v>
      </c>
      <c r="G117" s="881">
        <v>11837.650723821505</v>
      </c>
      <c r="H117" s="881">
        <v>10440.608270541097</v>
      </c>
      <c r="I117" s="881">
        <v>11896.302025534897</v>
      </c>
      <c r="J117" s="47">
        <v>10434.85941592131</v>
      </c>
      <c r="K117" s="881">
        <v>9682.7621054909232</v>
      </c>
      <c r="L117" s="881">
        <v>8767.8892739036237</v>
      </c>
      <c r="M117" s="881">
        <v>9983.9440962358149</v>
      </c>
      <c r="N117" s="881">
        <v>11837.650723821505</v>
      </c>
      <c r="O117" s="881">
        <v>10440.608270541097</v>
      </c>
      <c r="P117" s="881">
        <v>11896.302025534897</v>
      </c>
      <c r="Q117" s="47">
        <v>10434.85941592131</v>
      </c>
      <c r="R117" s="881">
        <v>0</v>
      </c>
      <c r="S117" s="881">
        <v>0</v>
      </c>
      <c r="T117" s="881">
        <v>0</v>
      </c>
      <c r="U117" s="881">
        <v>0</v>
      </c>
      <c r="V117" s="881">
        <v>0</v>
      </c>
      <c r="W117" s="881">
        <v>0</v>
      </c>
      <c r="X117" s="47">
        <v>0</v>
      </c>
      <c r="Y117" s="883"/>
      <c r="Z117" s="883"/>
      <c r="AA117" s="883"/>
      <c r="AB117" s="883"/>
      <c r="AC117" s="883"/>
      <c r="AD117" s="883"/>
      <c r="AE117" s="47"/>
      <c r="AF117" s="1391"/>
    </row>
    <row r="118" spans="1:32">
      <c r="A118" s="57"/>
      <c r="B118" s="48"/>
      <c r="C118" s="887" t="s">
        <v>969</v>
      </c>
      <c r="D118" s="883">
        <v>0</v>
      </c>
      <c r="E118" s="883">
        <v>0</v>
      </c>
      <c r="F118" s="883">
        <v>0</v>
      </c>
      <c r="G118" s="883">
        <v>0</v>
      </c>
      <c r="H118" s="883">
        <v>0</v>
      </c>
      <c r="I118" s="883">
        <v>0</v>
      </c>
      <c r="J118" s="47">
        <v>0</v>
      </c>
      <c r="K118" s="883">
        <v>0</v>
      </c>
      <c r="L118" s="883">
        <v>0</v>
      </c>
      <c r="M118" s="883">
        <v>0</v>
      </c>
      <c r="N118" s="883">
        <v>0</v>
      </c>
      <c r="O118" s="883">
        <v>0</v>
      </c>
      <c r="P118" s="883">
        <v>0</v>
      </c>
      <c r="Q118" s="47">
        <v>0</v>
      </c>
      <c r="R118" s="883"/>
      <c r="S118" s="883"/>
      <c r="T118" s="883"/>
      <c r="U118" s="883"/>
      <c r="V118" s="883"/>
      <c r="W118" s="883"/>
      <c r="X118" s="47"/>
      <c r="Y118" s="883"/>
      <c r="Z118" s="883"/>
      <c r="AA118" s="883"/>
      <c r="AB118" s="883"/>
      <c r="AC118" s="883"/>
      <c r="AD118" s="883"/>
      <c r="AE118" s="50"/>
      <c r="AF118" s="1394"/>
    </row>
    <row r="119" spans="1:32">
      <c r="A119" s="57"/>
      <c r="B119" s="48"/>
      <c r="C119" s="887" t="s">
        <v>970</v>
      </c>
      <c r="D119" s="883">
        <v>9682.7621054909232</v>
      </c>
      <c r="E119" s="883">
        <v>8767.8892739036237</v>
      </c>
      <c r="F119" s="883">
        <v>9983.9440962358149</v>
      </c>
      <c r="G119" s="883">
        <v>11837.650723821505</v>
      </c>
      <c r="H119" s="883">
        <v>10440.608270541097</v>
      </c>
      <c r="I119" s="883">
        <v>11896.302025534897</v>
      </c>
      <c r="J119" s="47">
        <v>10434.85941592131</v>
      </c>
      <c r="K119" s="883">
        <v>9682.7621054909232</v>
      </c>
      <c r="L119" s="883">
        <v>8767.8892739036237</v>
      </c>
      <c r="M119" s="883">
        <v>9983.9440962358149</v>
      </c>
      <c r="N119" s="883">
        <v>11837.650723821505</v>
      </c>
      <c r="O119" s="883">
        <v>10440.608270541097</v>
      </c>
      <c r="P119" s="883">
        <v>11896.302025534897</v>
      </c>
      <c r="Q119" s="47">
        <v>10434.85941592131</v>
      </c>
      <c r="R119" s="883"/>
      <c r="S119" s="883"/>
      <c r="T119" s="883"/>
      <c r="U119" s="883"/>
      <c r="V119" s="883"/>
      <c r="W119" s="883"/>
      <c r="X119" s="47"/>
      <c r="Y119" s="883"/>
      <c r="Z119" s="883"/>
      <c r="AA119" s="883"/>
      <c r="AB119" s="883"/>
      <c r="AC119" s="883"/>
      <c r="AD119" s="883"/>
      <c r="AE119" s="50"/>
      <c r="AF119" s="1394"/>
    </row>
    <row r="120" spans="1:32">
      <c r="A120" s="57"/>
      <c r="B120" s="48" t="s">
        <v>893</v>
      </c>
      <c r="C120" s="882" t="s">
        <v>942</v>
      </c>
      <c r="D120" s="881"/>
      <c r="E120" s="881"/>
      <c r="F120" s="881"/>
      <c r="G120" s="881"/>
      <c r="H120" s="881"/>
      <c r="I120" s="881"/>
      <c r="J120" s="47"/>
      <c r="K120" s="883"/>
      <c r="L120" s="883"/>
      <c r="M120" s="883"/>
      <c r="N120" s="883"/>
      <c r="O120" s="883"/>
      <c r="P120" s="883"/>
      <c r="Q120" s="47"/>
      <c r="R120" s="883"/>
      <c r="S120" s="883"/>
      <c r="T120" s="883"/>
      <c r="U120" s="883"/>
      <c r="V120" s="883"/>
      <c r="W120" s="883"/>
      <c r="X120" s="47"/>
      <c r="Y120" s="883"/>
      <c r="Z120" s="883"/>
      <c r="AA120" s="883"/>
      <c r="AB120" s="883"/>
      <c r="AC120" s="883"/>
      <c r="AD120" s="883"/>
      <c r="AE120" s="50"/>
      <c r="AF120" s="1394"/>
    </row>
    <row r="121" spans="1:32">
      <c r="A121" s="57"/>
      <c r="B121" s="48"/>
      <c r="C121" s="887"/>
      <c r="D121" s="883"/>
      <c r="E121" s="883"/>
      <c r="F121" s="883"/>
      <c r="G121" s="883"/>
      <c r="H121" s="883"/>
      <c r="I121" s="883"/>
      <c r="J121" s="47"/>
      <c r="K121" s="883"/>
      <c r="L121" s="883"/>
      <c r="M121" s="883"/>
      <c r="N121" s="883"/>
      <c r="O121" s="883"/>
      <c r="P121" s="883"/>
      <c r="Q121" s="47"/>
      <c r="R121" s="883"/>
      <c r="S121" s="883"/>
      <c r="T121" s="883"/>
      <c r="U121" s="883"/>
      <c r="V121" s="883"/>
      <c r="W121" s="883"/>
      <c r="X121" s="47"/>
      <c r="Y121" s="883"/>
      <c r="Z121" s="883"/>
      <c r="AA121" s="883"/>
      <c r="AB121" s="883"/>
      <c r="AC121" s="883"/>
      <c r="AD121" s="883"/>
      <c r="AE121" s="50"/>
      <c r="AF121" s="1394"/>
    </row>
    <row r="122" spans="1:32" ht="15.75">
      <c r="A122" s="57"/>
      <c r="B122" s="48"/>
      <c r="C122" s="965" t="s">
        <v>630</v>
      </c>
      <c r="D122" s="881">
        <v>117281.06220778261</v>
      </c>
      <c r="E122" s="881">
        <v>117851.62294557811</v>
      </c>
      <c r="F122" s="881">
        <v>119997.35123465431</v>
      </c>
      <c r="G122" s="881">
        <v>120349.65551767439</v>
      </c>
      <c r="H122" s="881">
        <v>124772.24755697249</v>
      </c>
      <c r="I122" s="881">
        <v>123145.70419892445</v>
      </c>
      <c r="J122" s="47">
        <v>120566.27394359774</v>
      </c>
      <c r="K122" s="881">
        <v>117281.06220778261</v>
      </c>
      <c r="L122" s="881">
        <v>117851.62294557811</v>
      </c>
      <c r="M122" s="881">
        <v>119997.35123465431</v>
      </c>
      <c r="N122" s="881">
        <v>120349.65551767439</v>
      </c>
      <c r="O122" s="881">
        <v>124772.24755697249</v>
      </c>
      <c r="P122" s="881">
        <v>123145.70419892445</v>
      </c>
      <c r="Q122" s="47">
        <v>120566.27394359774</v>
      </c>
      <c r="R122" s="881">
        <v>19332.792603270005</v>
      </c>
      <c r="S122" s="881">
        <v>19358.327786436002</v>
      </c>
      <c r="T122" s="881">
        <v>19395.721530912</v>
      </c>
      <c r="U122" s="881">
        <v>22448.933808618</v>
      </c>
      <c r="V122" s="881">
        <v>22099.81949604</v>
      </c>
      <c r="W122" s="881">
        <v>23641.345073453998</v>
      </c>
      <c r="X122" s="47">
        <v>21046.156716455</v>
      </c>
      <c r="Y122" s="881"/>
      <c r="Z122" s="881"/>
      <c r="AA122" s="881"/>
      <c r="AB122" s="881"/>
      <c r="AC122" s="881"/>
      <c r="AD122" s="881"/>
      <c r="AE122" s="47"/>
      <c r="AF122" s="1391"/>
    </row>
    <row r="123" spans="1:32">
      <c r="A123" s="57"/>
      <c r="B123" s="48" t="s">
        <v>872</v>
      </c>
      <c r="C123" s="882" t="s">
        <v>277</v>
      </c>
      <c r="D123" s="881">
        <v>19454.368645841991</v>
      </c>
      <c r="E123" s="881">
        <v>19577.300445486009</v>
      </c>
      <c r="F123" s="881">
        <v>19386.631713702001</v>
      </c>
      <c r="G123" s="881">
        <v>19161.742167149998</v>
      </c>
      <c r="H123" s="881">
        <v>18821.493556871996</v>
      </c>
      <c r="I123" s="881">
        <v>19409.554209504004</v>
      </c>
      <c r="J123" s="47">
        <v>19301.848456426</v>
      </c>
      <c r="K123" s="881">
        <v>19454.368645841991</v>
      </c>
      <c r="L123" s="881">
        <v>19577.300445486009</v>
      </c>
      <c r="M123" s="881">
        <v>19386.631713702001</v>
      </c>
      <c r="N123" s="881">
        <v>19161.742167149998</v>
      </c>
      <c r="O123" s="881">
        <v>18821.493556871996</v>
      </c>
      <c r="P123" s="881">
        <v>19409.554209504004</v>
      </c>
      <c r="Q123" s="47">
        <v>19301.848456426</v>
      </c>
      <c r="R123" s="881">
        <v>19332.792603270005</v>
      </c>
      <c r="S123" s="881">
        <v>19358.327786436002</v>
      </c>
      <c r="T123" s="881">
        <v>19395.721530912</v>
      </c>
      <c r="U123" s="881">
        <v>22448.933808618</v>
      </c>
      <c r="V123" s="881">
        <v>22099.81949604</v>
      </c>
      <c r="W123" s="881">
        <v>23641.345073453998</v>
      </c>
      <c r="X123" s="47">
        <v>21046.156716455</v>
      </c>
      <c r="Y123" s="881"/>
      <c r="Z123" s="881"/>
      <c r="AA123" s="881"/>
      <c r="AB123" s="881"/>
      <c r="AC123" s="881"/>
      <c r="AD123" s="881"/>
      <c r="AE123" s="47"/>
      <c r="AF123" s="1391"/>
    </row>
    <row r="124" spans="1:32">
      <c r="A124" s="57"/>
      <c r="B124" s="48"/>
      <c r="C124" s="887" t="s">
        <v>972</v>
      </c>
      <c r="D124" s="883">
        <v>19454.368645841991</v>
      </c>
      <c r="E124" s="883">
        <v>19577.300445486009</v>
      </c>
      <c r="F124" s="883">
        <v>19386.631713702001</v>
      </c>
      <c r="G124" s="883">
        <v>17229.735914609999</v>
      </c>
      <c r="H124" s="883">
        <v>16959.357095231997</v>
      </c>
      <c r="I124" s="883">
        <v>17622.660488724003</v>
      </c>
      <c r="J124" s="47">
        <v>18371.675717266</v>
      </c>
      <c r="K124" s="883">
        <v>19454.368645841991</v>
      </c>
      <c r="L124" s="883">
        <v>19577.300445486009</v>
      </c>
      <c r="M124" s="883">
        <v>19386.631713702001</v>
      </c>
      <c r="N124" s="883">
        <v>17229.735914609999</v>
      </c>
      <c r="O124" s="883">
        <v>16959.357095231997</v>
      </c>
      <c r="P124" s="883">
        <v>17622.660488724003</v>
      </c>
      <c r="Q124" s="47">
        <v>18371.675717266</v>
      </c>
      <c r="R124" s="883">
        <v>19332.792603270005</v>
      </c>
      <c r="S124" s="883">
        <v>19358.327786436002</v>
      </c>
      <c r="T124" s="883">
        <v>19395.721530912</v>
      </c>
      <c r="U124" s="883">
        <v>22448.933808618</v>
      </c>
      <c r="V124" s="883">
        <v>22099.81949604</v>
      </c>
      <c r="W124" s="883">
        <v>23641.345073453998</v>
      </c>
      <c r="X124" s="47">
        <v>21046.156716455</v>
      </c>
      <c r="Y124" s="883"/>
      <c r="Z124" s="883"/>
      <c r="AA124" s="883"/>
      <c r="AB124" s="883"/>
      <c r="AC124" s="883"/>
      <c r="AD124" s="883"/>
      <c r="AE124" s="47"/>
      <c r="AF124" s="1391"/>
    </row>
    <row r="125" spans="1:32">
      <c r="A125" s="57"/>
      <c r="B125" s="48"/>
      <c r="C125" s="887" t="s">
        <v>973</v>
      </c>
      <c r="D125" s="883">
        <v>0</v>
      </c>
      <c r="E125" s="883">
        <v>0</v>
      </c>
      <c r="F125" s="883">
        <v>0</v>
      </c>
      <c r="G125" s="883">
        <v>1185.4941839999999</v>
      </c>
      <c r="H125" s="883">
        <v>1079.9801207999999</v>
      </c>
      <c r="I125" s="883">
        <v>1021.9399175999999</v>
      </c>
      <c r="J125" s="47">
        <v>547.9023704</v>
      </c>
      <c r="K125" s="883">
        <v>0</v>
      </c>
      <c r="L125" s="883">
        <v>0</v>
      </c>
      <c r="M125" s="883">
        <v>0</v>
      </c>
      <c r="N125" s="883">
        <v>1185.4941839999999</v>
      </c>
      <c r="O125" s="883">
        <v>1079.9801207999999</v>
      </c>
      <c r="P125" s="883">
        <v>1021.9399175999999</v>
      </c>
      <c r="Q125" s="47">
        <v>547.9023704</v>
      </c>
      <c r="R125" s="883"/>
      <c r="S125" s="883"/>
      <c r="T125" s="883"/>
      <c r="U125" s="883"/>
      <c r="V125" s="883"/>
      <c r="W125" s="883"/>
      <c r="X125" s="47"/>
      <c r="Y125" s="883"/>
      <c r="Z125" s="883"/>
      <c r="AA125" s="883"/>
      <c r="AB125" s="883"/>
      <c r="AC125" s="883"/>
      <c r="AD125" s="883"/>
      <c r="AE125" s="50"/>
      <c r="AF125" s="1394"/>
    </row>
    <row r="126" spans="1:32">
      <c r="A126" s="57"/>
      <c r="B126" s="48"/>
      <c r="C126" s="887" t="s">
        <v>1010</v>
      </c>
      <c r="D126" s="883">
        <v>0</v>
      </c>
      <c r="E126" s="883">
        <v>0</v>
      </c>
      <c r="F126" s="883">
        <v>0</v>
      </c>
      <c r="G126" s="883">
        <v>746.51206854000009</v>
      </c>
      <c r="H126" s="883">
        <v>782.15634083999998</v>
      </c>
      <c r="I126" s="883">
        <v>764.95380318000002</v>
      </c>
      <c r="J126" s="47">
        <v>382.27036875999994</v>
      </c>
      <c r="K126" s="883">
        <v>0</v>
      </c>
      <c r="L126" s="883">
        <v>0</v>
      </c>
      <c r="M126" s="883">
        <v>0</v>
      </c>
      <c r="N126" s="883">
        <v>746.51206854000009</v>
      </c>
      <c r="O126" s="883">
        <v>782.15634083999998</v>
      </c>
      <c r="P126" s="883">
        <v>764.95380318000002</v>
      </c>
      <c r="Q126" s="47">
        <v>382.27036875999994</v>
      </c>
      <c r="R126" s="883"/>
      <c r="S126" s="883"/>
      <c r="T126" s="883"/>
      <c r="U126" s="883"/>
      <c r="V126" s="883"/>
      <c r="W126" s="883"/>
      <c r="X126" s="47"/>
      <c r="Y126" s="883"/>
      <c r="Z126" s="883"/>
      <c r="AA126" s="883"/>
      <c r="AB126" s="883"/>
      <c r="AC126" s="883"/>
      <c r="AD126" s="883"/>
      <c r="AE126" s="50"/>
      <c r="AF126" s="1394"/>
    </row>
    <row r="127" spans="1:32">
      <c r="A127" s="57"/>
      <c r="B127" s="48"/>
      <c r="C127" s="887" t="s">
        <v>1832</v>
      </c>
      <c r="D127" s="883">
        <v>0</v>
      </c>
      <c r="E127" s="883">
        <v>0</v>
      </c>
      <c r="F127" s="883">
        <v>0</v>
      </c>
      <c r="G127" s="883">
        <v>3109.818154866</v>
      </c>
      <c r="H127" s="883">
        <v>3502.8609556500005</v>
      </c>
      <c r="I127" s="883">
        <v>4208.9106152220002</v>
      </c>
      <c r="J127" s="47">
        <v>1803.5982876230003</v>
      </c>
      <c r="K127" s="883">
        <v>0</v>
      </c>
      <c r="L127" s="883">
        <v>0</v>
      </c>
      <c r="M127" s="883">
        <v>0</v>
      </c>
      <c r="N127" s="883">
        <v>3109.818154866</v>
      </c>
      <c r="O127" s="883">
        <v>3502.8609556500005</v>
      </c>
      <c r="P127" s="883">
        <v>4208.9106152220002</v>
      </c>
      <c r="Q127" s="47">
        <v>1803.5982876230003</v>
      </c>
      <c r="R127" s="883"/>
      <c r="S127" s="883"/>
      <c r="T127" s="883"/>
      <c r="U127" s="883"/>
      <c r="V127" s="883"/>
      <c r="W127" s="883"/>
      <c r="X127" s="47"/>
      <c r="Y127" s="883"/>
      <c r="Z127" s="883"/>
      <c r="AA127" s="883"/>
      <c r="AB127" s="883"/>
      <c r="AC127" s="883"/>
      <c r="AD127" s="883"/>
      <c r="AE127" s="50"/>
      <c r="AF127" s="1394"/>
    </row>
    <row r="128" spans="1:32">
      <c r="A128" s="57"/>
      <c r="B128" s="48" t="s">
        <v>873</v>
      </c>
      <c r="C128" s="882" t="s">
        <v>276</v>
      </c>
      <c r="D128" s="881">
        <v>97826.693561940614</v>
      </c>
      <c r="E128" s="881">
        <v>98274.322500092108</v>
      </c>
      <c r="F128" s="881">
        <v>100610.71952095232</v>
      </c>
      <c r="G128" s="881">
        <v>98078.095195658389</v>
      </c>
      <c r="H128" s="881">
        <v>102447.89304445049</v>
      </c>
      <c r="I128" s="881">
        <v>99527.239374198442</v>
      </c>
      <c r="J128" s="47">
        <v>99460.82719954873</v>
      </c>
      <c r="K128" s="886">
        <v>97826.693561940614</v>
      </c>
      <c r="L128" s="886">
        <v>98274.322500092108</v>
      </c>
      <c r="M128" s="886">
        <v>100610.71952095232</v>
      </c>
      <c r="N128" s="886">
        <v>98078.095195658389</v>
      </c>
      <c r="O128" s="886">
        <v>102447.89304445049</v>
      </c>
      <c r="P128" s="886">
        <v>99527.239374198442</v>
      </c>
      <c r="Q128" s="47">
        <v>99460.82719954873</v>
      </c>
      <c r="R128" s="886">
        <v>0</v>
      </c>
      <c r="S128" s="886">
        <v>0</v>
      </c>
      <c r="T128" s="886">
        <v>0</v>
      </c>
      <c r="U128" s="886">
        <v>0</v>
      </c>
      <c r="V128" s="886">
        <v>0</v>
      </c>
      <c r="W128" s="886">
        <v>0</v>
      </c>
      <c r="X128" s="47">
        <v>0</v>
      </c>
      <c r="Y128" s="886"/>
      <c r="Z128" s="886"/>
      <c r="AA128" s="886"/>
      <c r="AB128" s="886"/>
      <c r="AC128" s="886"/>
      <c r="AD128" s="886"/>
      <c r="AE128" s="53"/>
      <c r="AF128" s="1395"/>
    </row>
    <row r="129" spans="1:32">
      <c r="A129" s="57"/>
      <c r="B129" s="48"/>
      <c r="C129" s="887" t="s">
        <v>969</v>
      </c>
      <c r="D129" s="883">
        <v>0</v>
      </c>
      <c r="E129" s="883">
        <v>0</v>
      </c>
      <c r="F129" s="883">
        <v>0</v>
      </c>
      <c r="G129" s="883">
        <v>0</v>
      </c>
      <c r="H129" s="883">
        <v>0</v>
      </c>
      <c r="I129" s="883">
        <v>0</v>
      </c>
      <c r="J129" s="47">
        <v>0</v>
      </c>
      <c r="K129" s="883">
        <v>0</v>
      </c>
      <c r="L129" s="883">
        <v>0</v>
      </c>
      <c r="M129" s="883">
        <v>0</v>
      </c>
      <c r="N129" s="883">
        <v>0</v>
      </c>
      <c r="O129" s="883">
        <v>0</v>
      </c>
      <c r="P129" s="883">
        <v>0</v>
      </c>
      <c r="Q129" s="47">
        <v>0</v>
      </c>
      <c r="R129" s="883"/>
      <c r="S129" s="883"/>
      <c r="T129" s="883"/>
      <c r="U129" s="883"/>
      <c r="V129" s="883"/>
      <c r="W129" s="883"/>
      <c r="X129" s="47"/>
      <c r="Y129" s="883"/>
      <c r="Z129" s="883"/>
      <c r="AA129" s="883"/>
      <c r="AB129" s="883"/>
      <c r="AC129" s="883"/>
      <c r="AD129" s="883"/>
      <c r="AE129" s="50"/>
      <c r="AF129" s="1394"/>
    </row>
    <row r="130" spans="1:32">
      <c r="A130" s="57"/>
      <c r="B130" s="48"/>
      <c r="C130" s="887" t="s">
        <v>970</v>
      </c>
      <c r="D130" s="883">
        <v>97826.693561940614</v>
      </c>
      <c r="E130" s="883">
        <v>98274.322500092108</v>
      </c>
      <c r="F130" s="883">
        <v>100610.71952095232</v>
      </c>
      <c r="G130" s="883">
        <v>73739.27999795397</v>
      </c>
      <c r="H130" s="883">
        <v>76847.834302644027</v>
      </c>
      <c r="I130" s="883">
        <v>74410.849146474036</v>
      </c>
      <c r="J130" s="47">
        <v>86951.616505009515</v>
      </c>
      <c r="K130" s="883">
        <v>97826.693561940614</v>
      </c>
      <c r="L130" s="883">
        <v>98274.322500092108</v>
      </c>
      <c r="M130" s="883">
        <v>100610.71952095232</v>
      </c>
      <c r="N130" s="883">
        <v>73739.27999795397</v>
      </c>
      <c r="O130" s="883">
        <v>76847.834302644027</v>
      </c>
      <c r="P130" s="883">
        <v>74410.849146474036</v>
      </c>
      <c r="Q130" s="47">
        <v>86951.616505009515</v>
      </c>
      <c r="R130" s="883"/>
      <c r="S130" s="883"/>
      <c r="T130" s="883"/>
      <c r="U130" s="883"/>
      <c r="V130" s="883"/>
      <c r="W130" s="883"/>
      <c r="X130" s="47"/>
      <c r="Y130" s="883"/>
      <c r="Z130" s="883"/>
      <c r="AA130" s="883"/>
      <c r="AB130" s="883"/>
      <c r="AC130" s="883"/>
      <c r="AD130" s="883"/>
      <c r="AE130" s="50"/>
      <c r="AF130" s="1394"/>
    </row>
    <row r="131" spans="1:32">
      <c r="A131" s="57"/>
      <c r="B131" s="48"/>
      <c r="C131" s="887" t="s">
        <v>1011</v>
      </c>
      <c r="D131" s="883">
        <v>0</v>
      </c>
      <c r="E131" s="883">
        <v>0</v>
      </c>
      <c r="F131" s="883">
        <v>0</v>
      </c>
      <c r="G131" s="883">
        <v>7129.5215706000008</v>
      </c>
      <c r="H131" s="883">
        <v>9366.9182854200008</v>
      </c>
      <c r="I131" s="883">
        <v>8439.873359940002</v>
      </c>
      <c r="J131" s="47">
        <v>4156.0522026600011</v>
      </c>
      <c r="K131" s="883">
        <v>0</v>
      </c>
      <c r="L131" s="883">
        <v>0</v>
      </c>
      <c r="M131" s="883">
        <v>0</v>
      </c>
      <c r="N131" s="883">
        <v>7129.5215706000008</v>
      </c>
      <c r="O131" s="883">
        <v>9366.9182854200008</v>
      </c>
      <c r="P131" s="883">
        <v>8439.873359940002</v>
      </c>
      <c r="Q131" s="47">
        <v>4156.0522026600011</v>
      </c>
      <c r="R131" s="883"/>
      <c r="S131" s="883"/>
      <c r="T131" s="883"/>
      <c r="U131" s="883"/>
      <c r="V131" s="883"/>
      <c r="W131" s="883"/>
      <c r="X131" s="47"/>
      <c r="Y131" s="883"/>
      <c r="Z131" s="883"/>
      <c r="AA131" s="883"/>
      <c r="AB131" s="883"/>
      <c r="AC131" s="883"/>
      <c r="AD131" s="883"/>
      <c r="AE131" s="50"/>
      <c r="AF131" s="1394"/>
    </row>
    <row r="132" spans="1:32">
      <c r="A132" s="57"/>
      <c r="B132" s="48"/>
      <c r="C132" s="887" t="s">
        <v>1012</v>
      </c>
      <c r="D132" s="883">
        <v>0</v>
      </c>
      <c r="E132" s="883">
        <v>0</v>
      </c>
      <c r="F132" s="883">
        <v>0</v>
      </c>
      <c r="G132" s="883">
        <v>3308.2503537960001</v>
      </c>
      <c r="H132" s="883">
        <v>3535.8346893480002</v>
      </c>
      <c r="I132" s="883">
        <v>3657.0141754019996</v>
      </c>
      <c r="J132" s="47">
        <v>1750.183203091</v>
      </c>
      <c r="K132" s="883">
        <v>0</v>
      </c>
      <c r="L132" s="883">
        <v>0</v>
      </c>
      <c r="M132" s="883">
        <v>0</v>
      </c>
      <c r="N132" s="883">
        <v>3308.2503537960001</v>
      </c>
      <c r="O132" s="883">
        <v>3535.8346893480002</v>
      </c>
      <c r="P132" s="883">
        <v>3657.0141754019996</v>
      </c>
      <c r="Q132" s="47">
        <v>1750.183203091</v>
      </c>
      <c r="R132" s="883"/>
      <c r="S132" s="883"/>
      <c r="T132" s="883"/>
      <c r="U132" s="883"/>
      <c r="V132" s="883"/>
      <c r="W132" s="883"/>
      <c r="X132" s="47"/>
      <c r="Y132" s="883"/>
      <c r="Z132" s="883"/>
      <c r="AA132" s="883"/>
      <c r="AB132" s="883"/>
      <c r="AC132" s="883"/>
      <c r="AD132" s="883"/>
      <c r="AE132" s="50"/>
      <c r="AF132" s="1394"/>
    </row>
    <row r="133" spans="1:32">
      <c r="A133" s="57"/>
      <c r="B133" s="48"/>
      <c r="C133" s="887" t="s">
        <v>1108</v>
      </c>
      <c r="D133" s="883">
        <v>0</v>
      </c>
      <c r="E133" s="883">
        <v>0</v>
      </c>
      <c r="F133" s="883">
        <v>0</v>
      </c>
      <c r="G133" s="883">
        <v>13901.043273308422</v>
      </c>
      <c r="H133" s="883">
        <v>12697.305767038453</v>
      </c>
      <c r="I133" s="883">
        <v>13019.502692382399</v>
      </c>
      <c r="J133" s="47">
        <v>6602.9752887882123</v>
      </c>
      <c r="K133" s="883">
        <v>0</v>
      </c>
      <c r="L133" s="883">
        <v>0</v>
      </c>
      <c r="M133" s="883">
        <v>0</v>
      </c>
      <c r="N133" s="883">
        <v>13901.043273308422</v>
      </c>
      <c r="O133" s="883">
        <v>12697.305767038453</v>
      </c>
      <c r="P133" s="883">
        <v>13019.502692382399</v>
      </c>
      <c r="Q133" s="47">
        <v>6602.9752887882123</v>
      </c>
      <c r="R133" s="883"/>
      <c r="S133" s="883"/>
      <c r="T133" s="883"/>
      <c r="U133" s="883"/>
      <c r="V133" s="883"/>
      <c r="W133" s="883"/>
      <c r="X133" s="47"/>
      <c r="Y133" s="883"/>
      <c r="Z133" s="883"/>
      <c r="AA133" s="883"/>
      <c r="AB133" s="883"/>
      <c r="AC133" s="883"/>
      <c r="AD133" s="883"/>
      <c r="AE133" s="50"/>
      <c r="AF133" s="1394"/>
    </row>
    <row r="134" spans="1:32">
      <c r="A134" s="57"/>
      <c r="B134" s="48"/>
      <c r="C134" s="887"/>
      <c r="D134" s="883"/>
      <c r="E134" s="883"/>
      <c r="F134" s="883"/>
      <c r="G134" s="883"/>
      <c r="H134" s="883"/>
      <c r="I134" s="883"/>
      <c r="J134" s="47"/>
      <c r="K134" s="883"/>
      <c r="L134" s="883"/>
      <c r="M134" s="883"/>
      <c r="N134" s="883"/>
      <c r="O134" s="883"/>
      <c r="P134" s="883"/>
      <c r="Q134" s="47"/>
      <c r="R134" s="883"/>
      <c r="S134" s="883"/>
      <c r="T134" s="883"/>
      <c r="U134" s="883"/>
      <c r="V134" s="883"/>
      <c r="W134" s="883"/>
      <c r="X134" s="47"/>
      <c r="Y134" s="883"/>
      <c r="Z134" s="883"/>
      <c r="AA134" s="883"/>
      <c r="AB134" s="883"/>
      <c r="AC134" s="883"/>
      <c r="AD134" s="883"/>
      <c r="AE134" s="50"/>
      <c r="AF134" s="1394"/>
    </row>
    <row r="135" spans="1:32" ht="15.75">
      <c r="A135" s="57"/>
      <c r="B135" s="48"/>
      <c r="C135" s="965" t="s">
        <v>443</v>
      </c>
      <c r="D135" s="881">
        <v>21546.734712053996</v>
      </c>
      <c r="E135" s="881">
        <v>21669.538856964002</v>
      </c>
      <c r="F135" s="881">
        <v>21409.802741862015</v>
      </c>
      <c r="G135" s="881">
        <v>19409.564067702002</v>
      </c>
      <c r="H135" s="881">
        <v>19089.331457004002</v>
      </c>
      <c r="I135" s="881">
        <v>19306.266747449998</v>
      </c>
      <c r="J135" s="47">
        <v>20405.206430506001</v>
      </c>
      <c r="K135" s="881">
        <v>21546.734712053996</v>
      </c>
      <c r="L135" s="881">
        <v>21669.538856964002</v>
      </c>
      <c r="M135" s="881">
        <v>21409.802741862015</v>
      </c>
      <c r="N135" s="881">
        <v>19409.564067702002</v>
      </c>
      <c r="O135" s="881">
        <v>19089.331457004002</v>
      </c>
      <c r="P135" s="881">
        <v>19306.266747449998</v>
      </c>
      <c r="Q135" s="47">
        <v>20405.206430506001</v>
      </c>
      <c r="R135" s="881">
        <v>628.22450698800003</v>
      </c>
      <c r="S135" s="881">
        <v>636.407111106</v>
      </c>
      <c r="T135" s="881">
        <v>639.91159609800002</v>
      </c>
      <c r="U135" s="881">
        <v>635.63967146999994</v>
      </c>
      <c r="V135" s="881">
        <v>629.84181358199999</v>
      </c>
      <c r="W135" s="881">
        <v>643.55564136600003</v>
      </c>
      <c r="X135" s="47">
        <v>635.59672343499994</v>
      </c>
      <c r="Y135" s="881"/>
      <c r="Z135" s="881"/>
      <c r="AA135" s="881"/>
      <c r="AB135" s="881"/>
      <c r="AC135" s="881"/>
      <c r="AD135" s="881"/>
      <c r="AE135" s="47"/>
      <c r="AF135" s="1391"/>
    </row>
    <row r="136" spans="1:32">
      <c r="A136" s="57"/>
      <c r="B136" s="48" t="s">
        <v>874</v>
      </c>
      <c r="C136" s="882" t="s">
        <v>275</v>
      </c>
      <c r="D136" s="881">
        <v>650.411104002</v>
      </c>
      <c r="E136" s="881">
        <v>671.00515206599994</v>
      </c>
      <c r="F136" s="881">
        <v>633.53697013199996</v>
      </c>
      <c r="G136" s="881">
        <v>648.52108327200006</v>
      </c>
      <c r="H136" s="881">
        <v>618.62831638800003</v>
      </c>
      <c r="I136" s="881">
        <v>655.48704556799998</v>
      </c>
      <c r="J136" s="47">
        <v>646.264945238</v>
      </c>
      <c r="K136" s="881">
        <v>650.411104002</v>
      </c>
      <c r="L136" s="881">
        <v>671.00515206599994</v>
      </c>
      <c r="M136" s="881">
        <v>633.53697013199996</v>
      </c>
      <c r="N136" s="881">
        <v>648.52108327200006</v>
      </c>
      <c r="O136" s="881">
        <v>618.62831638800003</v>
      </c>
      <c r="P136" s="881">
        <v>655.48704556799998</v>
      </c>
      <c r="Q136" s="47">
        <v>646.264945238</v>
      </c>
      <c r="R136" s="881">
        <v>628.22450698800003</v>
      </c>
      <c r="S136" s="881">
        <v>636.407111106</v>
      </c>
      <c r="T136" s="881">
        <v>639.91159609800002</v>
      </c>
      <c r="U136" s="881">
        <v>635.63967146999994</v>
      </c>
      <c r="V136" s="881">
        <v>629.84181358199999</v>
      </c>
      <c r="W136" s="881">
        <v>643.55564136600003</v>
      </c>
      <c r="X136" s="47">
        <v>635.59672343499994</v>
      </c>
      <c r="Y136" s="881"/>
      <c r="Z136" s="881"/>
      <c r="AA136" s="881"/>
      <c r="AB136" s="881"/>
      <c r="AC136" s="881"/>
      <c r="AD136" s="881"/>
      <c r="AE136" s="47"/>
      <c r="AF136" s="1391"/>
    </row>
    <row r="137" spans="1:32">
      <c r="A137" s="57"/>
      <c r="B137" s="48"/>
      <c r="C137" s="887" t="s">
        <v>972</v>
      </c>
      <c r="D137" s="883">
        <v>650.411104002</v>
      </c>
      <c r="E137" s="883">
        <v>671.00515206599994</v>
      </c>
      <c r="F137" s="883">
        <v>633.53697013199996</v>
      </c>
      <c r="G137" s="883">
        <v>648.52108327200006</v>
      </c>
      <c r="H137" s="883">
        <v>618.62831638800003</v>
      </c>
      <c r="I137" s="883">
        <v>655.48704556799998</v>
      </c>
      <c r="J137" s="47">
        <v>646.264945238</v>
      </c>
      <c r="K137" s="883">
        <v>650.411104002</v>
      </c>
      <c r="L137" s="883">
        <v>671.00515206599994</v>
      </c>
      <c r="M137" s="883">
        <v>633.53697013199996</v>
      </c>
      <c r="N137" s="883">
        <v>648.52108327200006</v>
      </c>
      <c r="O137" s="883">
        <v>618.62831638800003</v>
      </c>
      <c r="P137" s="883">
        <v>655.48704556799998</v>
      </c>
      <c r="Q137" s="47">
        <v>646.264945238</v>
      </c>
      <c r="R137" s="883">
        <v>628.22450698800003</v>
      </c>
      <c r="S137" s="883">
        <v>636.407111106</v>
      </c>
      <c r="T137" s="883">
        <v>639.91159609800002</v>
      </c>
      <c r="U137" s="883">
        <v>635.63967146999994</v>
      </c>
      <c r="V137" s="883">
        <v>629.84181358199999</v>
      </c>
      <c r="W137" s="883">
        <v>643.55564136600003</v>
      </c>
      <c r="X137" s="47">
        <v>635.59672343499994</v>
      </c>
      <c r="Y137" s="883"/>
      <c r="Z137" s="883"/>
      <c r="AA137" s="883"/>
      <c r="AB137" s="883"/>
      <c r="AC137" s="883"/>
      <c r="AD137" s="883"/>
      <c r="AE137" s="47"/>
      <c r="AF137" s="1391"/>
    </row>
    <row r="138" spans="1:32">
      <c r="A138" s="57"/>
      <c r="B138" s="48"/>
      <c r="C138" s="887" t="s">
        <v>1255</v>
      </c>
      <c r="D138" s="883"/>
      <c r="E138" s="883"/>
      <c r="F138" s="883"/>
      <c r="G138" s="883"/>
      <c r="H138" s="883"/>
      <c r="I138" s="883"/>
      <c r="J138" s="47"/>
      <c r="K138" s="883"/>
      <c r="L138" s="883"/>
      <c r="M138" s="883"/>
      <c r="N138" s="883"/>
      <c r="O138" s="883"/>
      <c r="P138" s="883"/>
      <c r="Q138" s="47"/>
      <c r="R138" s="883"/>
      <c r="S138" s="883"/>
      <c r="T138" s="883"/>
      <c r="U138" s="883"/>
      <c r="V138" s="883"/>
      <c r="W138" s="883"/>
      <c r="X138" s="47"/>
      <c r="Y138" s="883"/>
      <c r="Z138" s="883"/>
      <c r="AA138" s="883"/>
      <c r="AB138" s="883"/>
      <c r="AC138" s="883"/>
      <c r="AD138" s="883"/>
      <c r="AE138" s="47"/>
      <c r="AF138" s="1391"/>
    </row>
    <row r="139" spans="1:32">
      <c r="A139" s="57"/>
      <c r="B139" s="48" t="s">
        <v>875</v>
      </c>
      <c r="C139" s="882" t="s">
        <v>274</v>
      </c>
      <c r="D139" s="881">
        <v>20896.323608051996</v>
      </c>
      <c r="E139" s="881">
        <v>20998.533704898004</v>
      </c>
      <c r="F139" s="881">
        <v>20776.265771730017</v>
      </c>
      <c r="G139" s="881">
        <v>18761.042984429998</v>
      </c>
      <c r="H139" s="881">
        <v>18470.703140615999</v>
      </c>
      <c r="I139" s="881">
        <v>18650.779701881998</v>
      </c>
      <c r="J139" s="47">
        <v>19758.941485268002</v>
      </c>
      <c r="K139" s="881">
        <v>20896.323608051996</v>
      </c>
      <c r="L139" s="881">
        <v>20998.533704898004</v>
      </c>
      <c r="M139" s="881">
        <v>20776.265771730017</v>
      </c>
      <c r="N139" s="881">
        <v>18761.042984429998</v>
      </c>
      <c r="O139" s="881">
        <v>18470.703140615999</v>
      </c>
      <c r="P139" s="881">
        <v>18650.779701881998</v>
      </c>
      <c r="Q139" s="47">
        <v>19758.941485268002</v>
      </c>
      <c r="R139" s="881">
        <v>0</v>
      </c>
      <c r="S139" s="881">
        <v>0</v>
      </c>
      <c r="T139" s="881">
        <v>0</v>
      </c>
      <c r="U139" s="881">
        <v>0</v>
      </c>
      <c r="V139" s="881">
        <v>0</v>
      </c>
      <c r="W139" s="881">
        <v>0</v>
      </c>
      <c r="X139" s="47">
        <v>0</v>
      </c>
      <c r="Y139" s="881"/>
      <c r="Z139" s="881"/>
      <c r="AA139" s="881"/>
      <c r="AB139" s="881"/>
      <c r="AC139" s="881"/>
      <c r="AD139" s="881"/>
      <c r="AE139" s="50"/>
      <c r="AF139" s="1394"/>
    </row>
    <row r="140" spans="1:32">
      <c r="A140" s="57"/>
      <c r="B140" s="58"/>
      <c r="C140" s="887" t="s">
        <v>969</v>
      </c>
      <c r="D140" s="883">
        <v>189.70778233800002</v>
      </c>
      <c r="E140" s="883">
        <v>179.20037841000001</v>
      </c>
      <c r="F140" s="883">
        <v>180.55749391800001</v>
      </c>
      <c r="G140" s="883">
        <v>180.22121888999999</v>
      </c>
      <c r="H140" s="883">
        <v>167.89083893399999</v>
      </c>
      <c r="I140" s="883">
        <v>175.81700587200001</v>
      </c>
      <c r="J140" s="47">
        <v>178.89911972699997</v>
      </c>
      <c r="K140" s="883">
        <v>189.70778233800002</v>
      </c>
      <c r="L140" s="883">
        <v>179.20037841000001</v>
      </c>
      <c r="M140" s="883">
        <v>180.55749391800001</v>
      </c>
      <c r="N140" s="883">
        <v>180.22121888999999</v>
      </c>
      <c r="O140" s="883">
        <v>167.89083893399999</v>
      </c>
      <c r="P140" s="883">
        <v>175.81700587200001</v>
      </c>
      <c r="Q140" s="47">
        <v>178.89911972699997</v>
      </c>
      <c r="R140" s="883"/>
      <c r="S140" s="883"/>
      <c r="T140" s="883"/>
      <c r="U140" s="883"/>
      <c r="V140" s="883"/>
      <c r="W140" s="883"/>
      <c r="X140" s="47"/>
      <c r="Y140" s="883"/>
      <c r="Z140" s="883"/>
      <c r="AA140" s="883"/>
      <c r="AB140" s="883"/>
      <c r="AC140" s="883"/>
      <c r="AD140" s="883"/>
      <c r="AE140" s="50"/>
      <c r="AF140" s="1394"/>
    </row>
    <row r="141" spans="1:32">
      <c r="A141" s="57"/>
      <c r="B141" s="58"/>
      <c r="C141" s="887" t="s">
        <v>970</v>
      </c>
      <c r="D141" s="883">
        <v>20706.615825713998</v>
      </c>
      <c r="E141" s="883">
        <v>20819.333326488002</v>
      </c>
      <c r="F141" s="883">
        <v>20595.708277812017</v>
      </c>
      <c r="G141" s="883">
        <v>15806.728984848</v>
      </c>
      <c r="H141" s="883">
        <v>15448.803751109999</v>
      </c>
      <c r="I141" s="883">
        <v>15544.188195737997</v>
      </c>
      <c r="J141" s="47">
        <v>18153.563060285</v>
      </c>
      <c r="K141" s="883">
        <v>20706.615825713998</v>
      </c>
      <c r="L141" s="883">
        <v>20819.333326488002</v>
      </c>
      <c r="M141" s="883">
        <v>20595.708277812017</v>
      </c>
      <c r="N141" s="883">
        <v>15806.728984848</v>
      </c>
      <c r="O141" s="883">
        <v>15448.803751109999</v>
      </c>
      <c r="P141" s="883">
        <v>15544.188195737997</v>
      </c>
      <c r="Q141" s="47">
        <v>18153.563060285</v>
      </c>
      <c r="R141" s="883"/>
      <c r="S141" s="883"/>
      <c r="T141" s="883"/>
      <c r="U141" s="883"/>
      <c r="V141" s="883"/>
      <c r="W141" s="883"/>
      <c r="X141" s="47"/>
      <c r="Y141" s="883"/>
      <c r="Z141" s="883"/>
      <c r="AA141" s="883"/>
      <c r="AB141" s="883"/>
      <c r="AC141" s="883"/>
      <c r="AD141" s="883"/>
      <c r="AE141" s="50"/>
      <c r="AF141" s="1394"/>
    </row>
    <row r="142" spans="1:32">
      <c r="A142" s="57"/>
      <c r="B142" s="58"/>
      <c r="C142" s="887" t="s">
        <v>1011</v>
      </c>
      <c r="D142" s="883">
        <v>0</v>
      </c>
      <c r="E142" s="883">
        <v>0</v>
      </c>
      <c r="F142" s="883">
        <v>0</v>
      </c>
      <c r="G142" s="883">
        <v>360.78078095999996</v>
      </c>
      <c r="H142" s="883">
        <v>332.10436428000003</v>
      </c>
      <c r="I142" s="883">
        <v>345.23437752000001</v>
      </c>
      <c r="J142" s="47">
        <v>173.01992045999998</v>
      </c>
      <c r="K142" s="883">
        <v>0</v>
      </c>
      <c r="L142" s="883">
        <v>0</v>
      </c>
      <c r="M142" s="883">
        <v>0</v>
      </c>
      <c r="N142" s="883">
        <v>360.78078095999996</v>
      </c>
      <c r="O142" s="883">
        <v>332.10436428000003</v>
      </c>
      <c r="P142" s="883">
        <v>345.23437752000001</v>
      </c>
      <c r="Q142" s="47">
        <v>173.01992045999998</v>
      </c>
      <c r="R142" s="883"/>
      <c r="S142" s="883"/>
      <c r="T142" s="883"/>
      <c r="U142" s="883"/>
      <c r="V142" s="883"/>
      <c r="W142" s="883"/>
      <c r="X142" s="47"/>
      <c r="Y142" s="883"/>
      <c r="Z142" s="883"/>
      <c r="AA142" s="883"/>
      <c r="AB142" s="883"/>
      <c r="AC142" s="883"/>
      <c r="AD142" s="883"/>
      <c r="AE142" s="50"/>
      <c r="AF142" s="1394"/>
    </row>
    <row r="143" spans="1:32">
      <c r="A143" s="57"/>
      <c r="B143" s="58"/>
      <c r="C143" s="887" t="s">
        <v>1012</v>
      </c>
      <c r="D143" s="883">
        <v>0</v>
      </c>
      <c r="E143" s="883">
        <v>0</v>
      </c>
      <c r="F143" s="883">
        <v>0</v>
      </c>
      <c r="G143" s="883">
        <v>2413.311999732</v>
      </c>
      <c r="H143" s="883">
        <v>2521.9041862920003</v>
      </c>
      <c r="I143" s="883">
        <v>2585.5401227519997</v>
      </c>
      <c r="J143" s="47">
        <v>1253.459384796</v>
      </c>
      <c r="K143" s="883">
        <v>0</v>
      </c>
      <c r="L143" s="883">
        <v>0</v>
      </c>
      <c r="M143" s="883">
        <v>0</v>
      </c>
      <c r="N143" s="883">
        <v>2413.311999732</v>
      </c>
      <c r="O143" s="883">
        <v>2521.9041862920003</v>
      </c>
      <c r="P143" s="883">
        <v>2585.5401227519997</v>
      </c>
      <c r="Q143" s="47">
        <v>1253.459384796</v>
      </c>
      <c r="R143" s="883"/>
      <c r="S143" s="883"/>
      <c r="T143" s="883"/>
      <c r="U143" s="883"/>
      <c r="V143" s="883"/>
      <c r="W143" s="883"/>
      <c r="X143" s="47"/>
      <c r="Y143" s="883"/>
      <c r="Z143" s="883"/>
      <c r="AA143" s="883"/>
      <c r="AB143" s="883"/>
      <c r="AC143" s="883"/>
      <c r="AD143" s="883"/>
      <c r="AE143" s="50"/>
      <c r="AF143" s="1394"/>
    </row>
    <row r="144" spans="1:32">
      <c r="A144" s="57"/>
      <c r="B144" s="58"/>
      <c r="C144" s="887" t="s">
        <v>1108</v>
      </c>
      <c r="D144" s="883">
        <v>0</v>
      </c>
      <c r="E144" s="883">
        <v>0</v>
      </c>
      <c r="F144" s="883">
        <v>0</v>
      </c>
      <c r="G144" s="883">
        <v>0</v>
      </c>
      <c r="H144" s="883">
        <v>0</v>
      </c>
      <c r="I144" s="883">
        <v>0</v>
      </c>
      <c r="J144" s="47">
        <v>0</v>
      </c>
      <c r="K144" s="883"/>
      <c r="L144" s="883"/>
      <c r="M144" s="883"/>
      <c r="N144" s="883"/>
      <c r="O144" s="883"/>
      <c r="P144" s="883"/>
      <c r="Q144" s="47"/>
      <c r="R144" s="883"/>
      <c r="S144" s="883"/>
      <c r="T144" s="883"/>
      <c r="U144" s="883"/>
      <c r="V144" s="883"/>
      <c r="W144" s="883"/>
      <c r="X144" s="47"/>
      <c r="Y144" s="883"/>
      <c r="Z144" s="883"/>
      <c r="AA144" s="883"/>
      <c r="AB144" s="883"/>
      <c r="AC144" s="883"/>
      <c r="AD144" s="883"/>
      <c r="AE144" s="50"/>
      <c r="AF144" s="1394"/>
    </row>
    <row r="145" spans="2:32">
      <c r="B145" s="58"/>
      <c r="C145" s="887"/>
      <c r="D145" s="883"/>
      <c r="E145" s="883"/>
      <c r="F145" s="883"/>
      <c r="G145" s="883"/>
      <c r="H145" s="883"/>
      <c r="I145" s="883"/>
      <c r="J145" s="47"/>
      <c r="K145" s="883"/>
      <c r="L145" s="883"/>
      <c r="M145" s="883"/>
      <c r="N145" s="883"/>
      <c r="O145" s="883"/>
      <c r="P145" s="883"/>
      <c r="Q145" s="47"/>
      <c r="R145" s="883"/>
      <c r="S145" s="883"/>
      <c r="T145" s="883"/>
      <c r="U145" s="883"/>
      <c r="V145" s="883"/>
      <c r="W145" s="883"/>
      <c r="X145" s="47"/>
      <c r="Y145" s="883"/>
      <c r="Z145" s="883"/>
      <c r="AA145" s="883"/>
      <c r="AB145" s="883"/>
      <c r="AC145" s="883"/>
      <c r="AD145" s="883"/>
      <c r="AE145" s="50"/>
      <c r="AF145" s="1394"/>
    </row>
    <row r="146" spans="2:32">
      <c r="C146" s="880" t="s">
        <v>112</v>
      </c>
      <c r="D146" s="881">
        <v>167855.79112009553</v>
      </c>
      <c r="E146" s="881">
        <v>164913.42669655973</v>
      </c>
      <c r="F146" s="881">
        <v>168195.34506491415</v>
      </c>
      <c r="G146" s="881">
        <v>167609.55944987386</v>
      </c>
      <c r="H146" s="881">
        <v>170530.78273372358</v>
      </c>
      <c r="I146" s="881">
        <v>170609.81422190936</v>
      </c>
      <c r="J146" s="47">
        <v>168285.78654784602</v>
      </c>
      <c r="K146" s="881">
        <v>167855.79112009553</v>
      </c>
      <c r="L146" s="881">
        <v>164913.42669655973</v>
      </c>
      <c r="M146" s="881">
        <v>168195.34506491415</v>
      </c>
      <c r="N146" s="881">
        <v>167609.55944987386</v>
      </c>
      <c r="O146" s="881">
        <v>170530.78273372358</v>
      </c>
      <c r="P146" s="881">
        <v>170609.81422190936</v>
      </c>
      <c r="Q146" s="47">
        <v>168285.78654784602</v>
      </c>
      <c r="R146" s="881">
        <v>38648.995669806005</v>
      </c>
      <c r="S146" s="881">
        <v>36894.166616292001</v>
      </c>
      <c r="T146" s="881">
        <v>36665.165275421998</v>
      </c>
      <c r="U146" s="881">
        <v>39093.389808264001</v>
      </c>
      <c r="V146" s="881">
        <v>41816.425254959999</v>
      </c>
      <c r="W146" s="881">
        <v>40559.079406188001</v>
      </c>
      <c r="X146" s="47">
        <v>38946.203671821997</v>
      </c>
      <c r="Y146" s="46"/>
      <c r="Z146" s="46"/>
      <c r="AA146" s="46"/>
      <c r="AB146" s="46"/>
      <c r="AC146" s="46"/>
      <c r="AD146" s="46"/>
      <c r="AE146" s="47"/>
      <c r="AF146" s="1391"/>
    </row>
    <row r="149" spans="2:32">
      <c r="D149" s="60">
        <f t="shared" ref="D149:J149" si="7">D107</f>
        <v>366347.60663896764</v>
      </c>
      <c r="E149" s="60">
        <f t="shared" si="7"/>
        <v>367842.23642511532</v>
      </c>
      <c r="F149" s="60">
        <f t="shared" si="7"/>
        <v>375770.40636004065</v>
      </c>
      <c r="G149" s="60">
        <f t="shared" si="7"/>
        <v>361119.17896974389</v>
      </c>
      <c r="H149" s="60">
        <f t="shared" si="7"/>
        <v>348245.51182775653</v>
      </c>
      <c r="I149" s="60">
        <f t="shared" si="7"/>
        <v>359573.8327668003</v>
      </c>
      <c r="J149" s="60">
        <f t="shared" si="7"/>
        <v>363149.79549807071</v>
      </c>
    </row>
    <row r="150" spans="2:32">
      <c r="D150" s="60">
        <f t="shared" ref="D150:J150" si="8">D146</f>
        <v>167855.79112009553</v>
      </c>
      <c r="E150" s="60">
        <f t="shared" si="8"/>
        <v>164913.42669655973</v>
      </c>
      <c r="F150" s="60">
        <f t="shared" si="8"/>
        <v>168195.34506491415</v>
      </c>
      <c r="G150" s="60">
        <f t="shared" si="8"/>
        <v>167609.55944987386</v>
      </c>
      <c r="H150" s="60">
        <f t="shared" si="8"/>
        <v>170530.78273372358</v>
      </c>
      <c r="I150" s="60">
        <f t="shared" si="8"/>
        <v>170609.81422190936</v>
      </c>
      <c r="J150" s="60">
        <f t="shared" si="8"/>
        <v>168285.78654784602</v>
      </c>
    </row>
    <row r="151" spans="2:32">
      <c r="D151" s="60">
        <f>D149+D150</f>
        <v>534203.39775906317</v>
      </c>
      <c r="E151" s="60">
        <f t="shared" ref="E151:J151" si="9">E149+E150</f>
        <v>532755.66312167502</v>
      </c>
      <c r="F151" s="60">
        <f t="shared" si="9"/>
        <v>543965.75142495474</v>
      </c>
      <c r="G151" s="60">
        <f t="shared" si="9"/>
        <v>528728.73841961776</v>
      </c>
      <c r="H151" s="60">
        <f t="shared" si="9"/>
        <v>518776.29456148011</v>
      </c>
      <c r="I151" s="60">
        <f t="shared" si="9"/>
        <v>530183.64698870969</v>
      </c>
      <c r="J151" s="60">
        <f t="shared" si="9"/>
        <v>531435.5820459167</v>
      </c>
    </row>
    <row r="154" spans="2:32">
      <c r="D154" s="60"/>
      <c r="E154" s="60"/>
      <c r="F154" s="60"/>
      <c r="G154" s="60"/>
      <c r="H154" s="60"/>
      <c r="I154" s="60"/>
      <c r="J154" s="60"/>
    </row>
    <row r="155" spans="2:32">
      <c r="D155" s="60"/>
      <c r="E155" s="60"/>
      <c r="F155" s="60"/>
      <c r="G155" s="60"/>
      <c r="H155" s="60"/>
      <c r="I155" s="60"/>
      <c r="J155" s="60"/>
    </row>
    <row r="156" spans="2:32">
      <c r="D156" s="60"/>
      <c r="E156" s="60"/>
      <c r="F156" s="60"/>
      <c r="G156" s="60"/>
      <c r="H156" s="60"/>
      <c r="I156" s="60"/>
      <c r="J156" s="60"/>
    </row>
  </sheetData>
  <printOptions horizontalCentered="1" verticalCentered="1"/>
  <pageMargins left="0.59055118110236227" right="0.59055118110236227" top="0.78740157480314965" bottom="0.59055118110236227" header="0.59055118110236227" footer="0.47244094488188981"/>
  <pageSetup scale="43" orientation="landscape" r:id="rId1"/>
  <headerFooter>
    <oddHeader>&amp;L&amp;"Times New Roman,Negrita"&amp;14Nombre de la Distribuidora: &amp;K06-048ENSA&amp;RASEP FORM: &amp;A</oddHeader>
    <oddFooter>&amp;R&amp;A</oddFooter>
  </headerFooter>
  <rowBreaks count="1" manualBreakCount="1">
    <brk id="34" max="16383" man="1"/>
  </rowBreaks>
  <colBreaks count="2" manualBreakCount="2">
    <brk id="10" max="1048575" man="1"/>
    <brk id="17" max="1048575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Hoja87">
    <tabColor theme="2" tint="-9.9978637043366805E-2"/>
  </sheetPr>
  <dimension ref="A1:AP223"/>
  <sheetViews>
    <sheetView view="pageBreakPreview" zoomScale="70" zoomScaleNormal="85" zoomScaleSheetLayoutView="70" workbookViewId="0">
      <pane xSplit="3" ySplit="4" topLeftCell="D41" activePane="bottomRight" state="frozen"/>
      <selection activeCell="D5" sqref="D5"/>
      <selection pane="topRight" activeCell="D5" sqref="D5"/>
      <selection pane="bottomLeft" activeCell="D5" sqref="D5"/>
      <selection pane="bottomRight" activeCell="C59" sqref="C59"/>
    </sheetView>
  </sheetViews>
  <sheetFormatPr baseColWidth="10" defaultColWidth="11" defaultRowHeight="13.5"/>
  <cols>
    <col min="1" max="1" width="2.375" style="56" bestFit="1" customWidth="1"/>
    <col min="2" max="2" width="9.25" style="56" customWidth="1"/>
    <col min="3" max="3" width="32.5" style="56" customWidth="1"/>
    <col min="4" max="9" width="10.875" style="56" customWidth="1"/>
    <col min="10" max="10" width="11.375" style="56" bestFit="1" customWidth="1"/>
    <col min="11" max="23" width="10.875" style="56" customWidth="1"/>
    <col min="24" max="24" width="11.375" style="56" bestFit="1" customWidth="1"/>
    <col min="25" max="31" width="10.875" style="56" customWidth="1"/>
    <col min="32" max="32" width="3.625" style="56" customWidth="1"/>
    <col min="33" max="33" width="8.25" style="969" bestFit="1" customWidth="1"/>
    <col min="34" max="35" width="6.5" style="969" bestFit="1" customWidth="1"/>
    <col min="36" max="16384" width="11" style="56"/>
  </cols>
  <sheetData>
    <row r="1" spans="2:35" ht="14.25" thickBot="1"/>
    <row r="2" spans="2:35" s="585" customFormat="1" ht="13.5" customHeight="1">
      <c r="C2" s="584" t="str">
        <f>F821DO!C2</f>
        <v>ESTIMADO ORIGINAL (Viene F801 - Ajuste P-2)</v>
      </c>
      <c r="J2" s="586"/>
      <c r="Q2" s="586"/>
      <c r="X2" s="586"/>
      <c r="AE2" s="586"/>
      <c r="AF2" s="1386"/>
      <c r="AG2" s="970"/>
      <c r="AH2" s="970"/>
      <c r="AI2" s="970"/>
    </row>
    <row r="3" spans="2:35" ht="12.95" customHeight="1">
      <c r="C3" s="960"/>
      <c r="D3" s="961"/>
      <c r="E3" s="962"/>
      <c r="F3" s="962"/>
      <c r="G3" s="962"/>
      <c r="H3" s="962"/>
      <c r="I3" s="962"/>
      <c r="J3" s="962"/>
      <c r="K3" s="961"/>
      <c r="L3" s="962"/>
      <c r="M3" s="962"/>
      <c r="N3" s="962"/>
      <c r="O3" s="962"/>
      <c r="P3" s="962"/>
      <c r="Q3" s="962"/>
      <c r="R3" s="961"/>
      <c r="S3" s="962"/>
      <c r="T3" s="962"/>
      <c r="U3" s="962"/>
      <c r="V3" s="962"/>
      <c r="W3" s="962"/>
      <c r="X3" s="962"/>
      <c r="Y3" s="961"/>
      <c r="Z3" s="962"/>
      <c r="AA3" s="962"/>
      <c r="AB3" s="962"/>
      <c r="AC3" s="962"/>
      <c r="AD3" s="962"/>
      <c r="AE3" s="962"/>
      <c r="AF3" s="1387"/>
    </row>
    <row r="4" spans="2:35" s="532" customFormat="1" ht="15.75">
      <c r="C4" s="963" t="s">
        <v>1711</v>
      </c>
      <c r="D4" s="964">
        <v>45839</v>
      </c>
      <c r="E4" s="964">
        <v>45870</v>
      </c>
      <c r="F4" s="964">
        <v>45901</v>
      </c>
      <c r="G4" s="964">
        <v>45931</v>
      </c>
      <c r="H4" s="964">
        <v>45962</v>
      </c>
      <c r="I4" s="964">
        <v>45992</v>
      </c>
      <c r="J4" s="964" t="s">
        <v>111</v>
      </c>
      <c r="K4" s="964">
        <v>45839</v>
      </c>
      <c r="L4" s="964">
        <v>45870</v>
      </c>
      <c r="M4" s="964">
        <v>45901</v>
      </c>
      <c r="N4" s="964">
        <v>45931</v>
      </c>
      <c r="O4" s="964">
        <v>45962</v>
      </c>
      <c r="P4" s="964">
        <v>45992</v>
      </c>
      <c r="Q4" s="964" t="s">
        <v>111</v>
      </c>
      <c r="R4" s="964">
        <v>45839</v>
      </c>
      <c r="S4" s="964">
        <v>45870</v>
      </c>
      <c r="T4" s="964">
        <v>45901</v>
      </c>
      <c r="U4" s="964">
        <v>45931</v>
      </c>
      <c r="V4" s="964">
        <v>45962</v>
      </c>
      <c r="W4" s="964">
        <v>45992</v>
      </c>
      <c r="X4" s="964" t="s">
        <v>111</v>
      </c>
      <c r="Y4" s="964">
        <v>45839</v>
      </c>
      <c r="Z4" s="964">
        <v>45870</v>
      </c>
      <c r="AA4" s="964">
        <v>45901</v>
      </c>
      <c r="AB4" s="964">
        <v>45931</v>
      </c>
      <c r="AC4" s="964">
        <v>45962</v>
      </c>
      <c r="AD4" s="964">
        <v>45992</v>
      </c>
      <c r="AE4" s="964" t="s">
        <v>111</v>
      </c>
      <c r="AF4" s="1388"/>
      <c r="AG4" s="971"/>
      <c r="AH4" s="971"/>
      <c r="AI4" s="971"/>
    </row>
    <row r="5" spans="2:35" s="587" customFormat="1">
      <c r="C5" s="880" t="s">
        <v>446</v>
      </c>
      <c r="D5" s="881">
        <f>SUM(D6:D7)</f>
        <v>19657982.617378596</v>
      </c>
      <c r="E5" s="881">
        <f t="shared" ref="E5:I5" si="0">SUM(E6:E7)</f>
        <v>19738183.574513614</v>
      </c>
      <c r="F5" s="881">
        <f t="shared" si="0"/>
        <v>19513166.913502667</v>
      </c>
      <c r="G5" s="881">
        <f t="shared" si="0"/>
        <v>19377428.257182322</v>
      </c>
      <c r="H5" s="881">
        <f t="shared" si="0"/>
        <v>18083841.410535585</v>
      </c>
      <c r="I5" s="881">
        <f t="shared" si="0"/>
        <v>19294505.886887211</v>
      </c>
      <c r="J5" s="180">
        <f>SUM(D5:I5)</f>
        <v>115665108.66</v>
      </c>
      <c r="K5" s="881">
        <f t="shared" ref="K5" si="1">SUM(K6:K7)</f>
        <v>4649174.2411875054</v>
      </c>
      <c r="L5" s="881">
        <f t="shared" ref="L5" si="2">SUM(L6:L7)</f>
        <v>4668142.0178555483</v>
      </c>
      <c r="M5" s="881">
        <f t="shared" ref="M5" si="3">SUM(M6:M7)</f>
        <v>4614924.8752538823</v>
      </c>
      <c r="N5" s="881">
        <f t="shared" ref="N5" si="4">SUM(N6:N7)</f>
        <v>4582822.2593964413</v>
      </c>
      <c r="O5" s="881">
        <f t="shared" ref="O5" si="5">SUM(O6:O7)</f>
        <v>4276884.9329053583</v>
      </c>
      <c r="P5" s="881">
        <f t="shared" ref="P5" si="6">SUM(P6:P7)</f>
        <v>4563210.8600225588</v>
      </c>
      <c r="Q5" s="180">
        <f>SUM(K5:P5)</f>
        <v>27355159.186621293</v>
      </c>
      <c r="R5" s="881">
        <f t="shared" ref="R5" si="7">SUM(R6:R7)</f>
        <v>5712275.0077238018</v>
      </c>
      <c r="S5" s="881">
        <f t="shared" ref="S5" si="8">SUM(S6:S7)</f>
        <v>5735579.0754604638</v>
      </c>
      <c r="T5" s="881">
        <f t="shared" ref="T5" si="9">SUM(T6:T7)</f>
        <v>5670195.7721010186</v>
      </c>
      <c r="U5" s="881">
        <f t="shared" ref="U5" si="10">SUM(U6:U7)</f>
        <v>5630754.0627452619</v>
      </c>
      <c r="V5" s="881">
        <f t="shared" ref="V5" si="11">SUM(V6:V7)</f>
        <v>5254875.3129846966</v>
      </c>
      <c r="W5" s="881">
        <f t="shared" ref="W5:Y5" si="12">SUM(W6:W7)</f>
        <v>5606659.2314206352</v>
      </c>
      <c r="X5" s="180">
        <f>SUM(R5:W5)</f>
        <v>33610338.462435879</v>
      </c>
      <c r="Y5" s="881">
        <f t="shared" si="12"/>
        <v>9296533.36846729</v>
      </c>
      <c r="Z5" s="881">
        <f t="shared" ref="Z5" si="13">SUM(Z6:Z7)</f>
        <v>9334462.481197603</v>
      </c>
      <c r="AA5" s="881">
        <f t="shared" ref="AA5" si="14">SUM(AA6:AA7)</f>
        <v>9228046.2661477663</v>
      </c>
      <c r="AB5" s="881">
        <f t="shared" ref="AB5" si="15">SUM(AB6:AB7)</f>
        <v>9163851.9350406192</v>
      </c>
      <c r="AC5" s="881">
        <f t="shared" ref="AC5" si="16">SUM(AC6:AC7)</f>
        <v>8552081.1646455303</v>
      </c>
      <c r="AD5" s="881">
        <f t="shared" ref="AD5" si="17">SUM(AD6:AD7)</f>
        <v>9124635.7954440154</v>
      </c>
      <c r="AE5" s="180">
        <f>SUM(Y5:AD5)</f>
        <v>54699611.010942832</v>
      </c>
      <c r="AF5" s="1389"/>
      <c r="AG5" s="972"/>
      <c r="AH5" s="972"/>
      <c r="AI5" s="972"/>
    </row>
    <row r="6" spans="2:35">
      <c r="B6" s="48" t="s">
        <v>279</v>
      </c>
      <c r="C6" s="882" t="s">
        <v>279</v>
      </c>
      <c r="D6" s="883">
        <v>19657482.617378596</v>
      </c>
      <c r="E6" s="883">
        <v>19737683.574513614</v>
      </c>
      <c r="F6" s="883">
        <v>19512666.913502667</v>
      </c>
      <c r="G6" s="883">
        <v>19376928.257182322</v>
      </c>
      <c r="H6" s="883">
        <v>18083341.410535585</v>
      </c>
      <c r="I6" s="883">
        <v>19294005.886887211</v>
      </c>
      <c r="J6" s="180">
        <f t="shared" ref="J6:J69" si="18">SUM(D6:I6)</f>
        <v>115662108.66</v>
      </c>
      <c r="K6" s="883">
        <v>4649055.9896270148</v>
      </c>
      <c r="L6" s="883">
        <v>4668023.7662950577</v>
      </c>
      <c r="M6" s="883">
        <v>4614806.6236933917</v>
      </c>
      <c r="N6" s="883">
        <v>4582704.0078359507</v>
      </c>
      <c r="O6" s="883">
        <v>4276766.6813448677</v>
      </c>
      <c r="P6" s="883">
        <v>4563092.6084620683</v>
      </c>
      <c r="Q6" s="180">
        <f t="shared" ref="Q6:Q69" si="19">SUM(K6:P6)</f>
        <v>27354449.67725835</v>
      </c>
      <c r="R6" s="883">
        <v>5711893.2592842923</v>
      </c>
      <c r="S6" s="883">
        <v>5735197.3270209543</v>
      </c>
      <c r="T6" s="883">
        <v>5669814.0236615092</v>
      </c>
      <c r="U6" s="883">
        <v>5630372.3143057525</v>
      </c>
      <c r="V6" s="883">
        <v>5254493.5645451872</v>
      </c>
      <c r="W6" s="883">
        <v>5606277.4829811258</v>
      </c>
      <c r="X6" s="180">
        <f t="shared" ref="X6:X69" si="20">SUM(R6:W6)</f>
        <v>33608047.971798822</v>
      </c>
      <c r="Y6" s="883">
        <v>9296533.36846729</v>
      </c>
      <c r="Z6" s="883">
        <v>9334462.481197603</v>
      </c>
      <c r="AA6" s="883">
        <v>9228046.2661477663</v>
      </c>
      <c r="AB6" s="883">
        <v>9163851.9350406192</v>
      </c>
      <c r="AC6" s="883">
        <v>8552081.1646455303</v>
      </c>
      <c r="AD6" s="883">
        <v>9124635.7954440154</v>
      </c>
      <c r="AE6" s="180">
        <f t="shared" ref="AE6:AE69" si="21">SUM(Y6:AD6)</f>
        <v>54699611.010942832</v>
      </c>
      <c r="AF6" s="1389"/>
      <c r="AG6" s="972"/>
      <c r="AH6" s="972"/>
      <c r="AI6" s="972"/>
    </row>
    <row r="7" spans="2:35">
      <c r="B7" s="48" t="s">
        <v>278</v>
      </c>
      <c r="C7" s="882" t="s">
        <v>278</v>
      </c>
      <c r="D7" s="883">
        <v>500</v>
      </c>
      <c r="E7" s="883">
        <v>500</v>
      </c>
      <c r="F7" s="883">
        <v>500</v>
      </c>
      <c r="G7" s="883">
        <v>500</v>
      </c>
      <c r="H7" s="883">
        <v>500</v>
      </c>
      <c r="I7" s="883">
        <v>500</v>
      </c>
      <c r="J7" s="180">
        <f t="shared" si="18"/>
        <v>3000</v>
      </c>
      <c r="K7" s="883">
        <v>118.25156049017494</v>
      </c>
      <c r="L7" s="883">
        <v>118.25156049017494</v>
      </c>
      <c r="M7" s="883">
        <v>118.25156049017494</v>
      </c>
      <c r="N7" s="883">
        <v>118.25156049017494</v>
      </c>
      <c r="O7" s="883">
        <v>118.25156049017494</v>
      </c>
      <c r="P7" s="883">
        <v>118.25156049017494</v>
      </c>
      <c r="Q7" s="180">
        <f t="shared" si="19"/>
        <v>709.50936294104963</v>
      </c>
      <c r="R7" s="883">
        <v>381.74843950982506</v>
      </c>
      <c r="S7" s="883">
        <v>381.74843950982506</v>
      </c>
      <c r="T7" s="883">
        <v>381.74843950982506</v>
      </c>
      <c r="U7" s="883">
        <v>381.74843950982506</v>
      </c>
      <c r="V7" s="883">
        <v>381.74843950982506</v>
      </c>
      <c r="W7" s="883">
        <v>381.74843950982506</v>
      </c>
      <c r="X7" s="180">
        <f t="shared" si="20"/>
        <v>2290.4906370589501</v>
      </c>
      <c r="Y7" s="883"/>
      <c r="Z7" s="883"/>
      <c r="AA7" s="883"/>
      <c r="AB7" s="883"/>
      <c r="AC7" s="883"/>
      <c r="AD7" s="883"/>
      <c r="AE7" s="180">
        <f t="shared" si="21"/>
        <v>0</v>
      </c>
      <c r="AF7" s="1389"/>
      <c r="AG7" s="972">
        <f>'PDYG-200'!D$35</f>
        <v>0.2432</v>
      </c>
      <c r="AH7" s="972">
        <f>'PDYG-200'!E$35</f>
        <v>0.29057094290570945</v>
      </c>
      <c r="AI7" s="972">
        <f>'PDYG-200'!F$35</f>
        <v>0.46622905709429052</v>
      </c>
    </row>
    <row r="8" spans="2:35">
      <c r="B8" s="48"/>
      <c r="C8" s="884"/>
      <c r="D8" s="883"/>
      <c r="E8" s="883"/>
      <c r="F8" s="883"/>
      <c r="G8" s="883"/>
      <c r="H8" s="883"/>
      <c r="I8" s="883"/>
      <c r="J8" s="180">
        <f t="shared" si="18"/>
        <v>0</v>
      </c>
      <c r="K8" s="883"/>
      <c r="L8" s="883"/>
      <c r="M8" s="883"/>
      <c r="N8" s="883"/>
      <c r="O8" s="883"/>
      <c r="P8" s="883"/>
      <c r="Q8" s="180">
        <f t="shared" si="19"/>
        <v>0</v>
      </c>
      <c r="R8" s="883">
        <f t="shared" ref="R8:R57" si="22">D8-K8</f>
        <v>0</v>
      </c>
      <c r="S8" s="883">
        <f t="shared" ref="S8:S57" si="23">E8-L8</f>
        <v>0</v>
      </c>
      <c r="T8" s="883">
        <f t="shared" ref="T8:T57" si="24">F8-M8</f>
        <v>0</v>
      </c>
      <c r="U8" s="883">
        <f t="shared" ref="U8:U57" si="25">G8-N8</f>
        <v>0</v>
      </c>
      <c r="V8" s="883">
        <f t="shared" ref="V8:V57" si="26">H8-O8</f>
        <v>0</v>
      </c>
      <c r="W8" s="883">
        <f t="shared" ref="W8:W57" si="27">I8-P8</f>
        <v>0</v>
      </c>
      <c r="X8" s="180">
        <f t="shared" si="20"/>
        <v>0</v>
      </c>
      <c r="Y8" s="883"/>
      <c r="Z8" s="883"/>
      <c r="AA8" s="883"/>
      <c r="AB8" s="883"/>
      <c r="AC8" s="883"/>
      <c r="AD8" s="883"/>
      <c r="AE8" s="180">
        <f t="shared" si="21"/>
        <v>0</v>
      </c>
      <c r="AF8" s="1389"/>
    </row>
    <row r="9" spans="2:35" s="587" customFormat="1">
      <c r="B9" s="48"/>
      <c r="C9" s="880" t="s">
        <v>630</v>
      </c>
      <c r="D9" s="881">
        <f>D10+D14</f>
        <v>31574565.06709411</v>
      </c>
      <c r="E9" s="881">
        <f t="shared" ref="E9:I9" si="28">E10+E14</f>
        <v>31703383.491079494</v>
      </c>
      <c r="F9" s="881">
        <f t="shared" si="28"/>
        <v>31341962.721585609</v>
      </c>
      <c r="G9" s="881">
        <f t="shared" si="28"/>
        <v>31123939.889867481</v>
      </c>
      <c r="H9" s="881">
        <f t="shared" si="28"/>
        <v>29046186.396318451</v>
      </c>
      <c r="I9" s="881">
        <f t="shared" si="28"/>
        <v>30990750.344054878</v>
      </c>
      <c r="J9" s="180">
        <f t="shared" si="18"/>
        <v>185780787.91000003</v>
      </c>
      <c r="K9" s="881">
        <f t="shared" ref="K9" si="29">K10+K14</f>
        <v>10006795.925174166</v>
      </c>
      <c r="L9" s="881">
        <f t="shared" ref="L9" si="30">L10+L14</f>
        <v>10047621.813907238</v>
      </c>
      <c r="M9" s="881">
        <f t="shared" ref="M9" si="31">M10+M14</f>
        <v>9933078.2287221495</v>
      </c>
      <c r="N9" s="881">
        <f t="shared" ref="N9" si="32">N10+N14</f>
        <v>9863981.1570951641</v>
      </c>
      <c r="O9" s="881">
        <f t="shared" ref="O9" si="33">O10+O14</f>
        <v>9205487.3615802694</v>
      </c>
      <c r="P9" s="881">
        <f t="shared" ref="P9" si="34">P10+P14</f>
        <v>9821769.9468542244</v>
      </c>
      <c r="Q9" s="180">
        <f t="shared" si="19"/>
        <v>58878734.433333211</v>
      </c>
      <c r="R9" s="881">
        <f t="shared" ref="R9" si="35">R10+R14</f>
        <v>19731355.923686605</v>
      </c>
      <c r="S9" s="881">
        <f t="shared" ref="S9" si="36">S10+S14</f>
        <v>19811856.230429802</v>
      </c>
      <c r="T9" s="881">
        <f t="shared" ref="T9" si="37">T10+T14</f>
        <v>19585999.696034376</v>
      </c>
      <c r="U9" s="881">
        <f t="shared" ref="U9" si="38">U10+U14</f>
        <v>19449754.395965189</v>
      </c>
      <c r="V9" s="881">
        <f t="shared" ref="V9" si="39">V10+V14</f>
        <v>18151339.243902665</v>
      </c>
      <c r="W9" s="881">
        <f t="shared" ref="W9" si="40">W10+W14</f>
        <v>19366522.518403038</v>
      </c>
      <c r="X9" s="180">
        <f t="shared" si="20"/>
        <v>116096828.00842167</v>
      </c>
      <c r="Y9" s="881">
        <f t="shared" ref="Y9" si="41">Y10+Y14</f>
        <v>1836413.2182333386</v>
      </c>
      <c r="Z9" s="881">
        <f t="shared" ref="Z9" si="42">Z10+Z14</f>
        <v>1843905.4467424587</v>
      </c>
      <c r="AA9" s="881">
        <f t="shared" ref="AA9" si="43">AA10+AA14</f>
        <v>1822884.7968290779</v>
      </c>
      <c r="AB9" s="881">
        <f t="shared" ref="AB9" si="44">AB10+AB14</f>
        <v>1810204.3368071257</v>
      </c>
      <c r="AC9" s="881">
        <f t="shared" ref="AC9" si="45">AC10+AC14</f>
        <v>1689359.7908355193</v>
      </c>
      <c r="AD9" s="881">
        <f t="shared" ref="AD9" si="46">AD10+AD14</f>
        <v>1802457.8787976166</v>
      </c>
      <c r="AE9" s="180">
        <f t="shared" si="21"/>
        <v>10805225.468245137</v>
      </c>
      <c r="AF9" s="1389"/>
      <c r="AG9" s="972"/>
      <c r="AH9" s="972"/>
      <c r="AI9" s="972"/>
    </row>
    <row r="10" spans="2:35">
      <c r="B10" s="48" t="s">
        <v>277</v>
      </c>
      <c r="C10" s="882" t="s">
        <v>277</v>
      </c>
      <c r="D10" s="881">
        <f>SUM(D11:D12)</f>
        <v>4434986.4044022579</v>
      </c>
      <c r="E10" s="881">
        <f t="shared" ref="E10:I10" si="47">SUM(E11:E12)</f>
        <v>4453080.3340509394</v>
      </c>
      <c r="F10" s="881">
        <f t="shared" si="47"/>
        <v>4402314.9095528368</v>
      </c>
      <c r="G10" s="881">
        <f t="shared" si="47"/>
        <v>4371691.2638283586</v>
      </c>
      <c r="H10" s="881">
        <f t="shared" si="47"/>
        <v>4079848.4949411768</v>
      </c>
      <c r="I10" s="881">
        <f t="shared" si="47"/>
        <v>4352983.3632244319</v>
      </c>
      <c r="J10" s="180">
        <f t="shared" si="18"/>
        <v>26094904.770000003</v>
      </c>
      <c r="K10" s="881">
        <f t="shared" ref="K10" si="48">SUM(K11:K12)</f>
        <v>1405561.843384712</v>
      </c>
      <c r="L10" s="881">
        <f t="shared" ref="L10" si="49">SUM(L11:L12)</f>
        <v>1411296.2774487783</v>
      </c>
      <c r="M10" s="881">
        <f t="shared" ref="M10" si="50">SUM(M11:M12)</f>
        <v>1395207.4020540456</v>
      </c>
      <c r="N10" s="881">
        <f t="shared" ref="N10" si="51">SUM(N11:N12)</f>
        <v>1385501.977051405</v>
      </c>
      <c r="O10" s="881">
        <f t="shared" ref="O10" si="52">SUM(O11:O12)</f>
        <v>1293009.458966481</v>
      </c>
      <c r="P10" s="881">
        <f t="shared" ref="P10" si="53">SUM(P11:P12)</f>
        <v>1379572.9597194437</v>
      </c>
      <c r="Q10" s="180">
        <f t="shared" si="19"/>
        <v>8270149.9186248649</v>
      </c>
      <c r="R10" s="881">
        <f t="shared" ref="R10" si="54">SUM(R11:R12)</f>
        <v>1193011.3427842071</v>
      </c>
      <c r="S10" s="881">
        <f t="shared" ref="S10" si="55">SUM(S11:S12)</f>
        <v>1197878.6098597026</v>
      </c>
      <c r="T10" s="881">
        <f t="shared" ref="T10" si="56">SUM(T11:T12)</f>
        <v>1184222.7106697129</v>
      </c>
      <c r="U10" s="881">
        <f t="shared" ref="U10" si="57">SUM(U11:U12)</f>
        <v>1175984.9499698284</v>
      </c>
      <c r="V10" s="881">
        <f t="shared" ref="V10" si="58">SUM(V11:V12)</f>
        <v>1097479.2451391763</v>
      </c>
      <c r="W10" s="881">
        <f t="shared" ref="W10" si="59">SUM(W11:W12)</f>
        <v>1170952.5247073721</v>
      </c>
      <c r="X10" s="180">
        <f t="shared" si="20"/>
        <v>7019529.383129999</v>
      </c>
      <c r="Y10" s="881">
        <f t="shared" ref="Y10" si="60">SUM(Y11:Y12)</f>
        <v>1836413.2182333386</v>
      </c>
      <c r="Z10" s="881">
        <f t="shared" ref="Z10" si="61">SUM(Z11:Z12)</f>
        <v>1843905.4467424587</v>
      </c>
      <c r="AA10" s="881">
        <f t="shared" ref="AA10" si="62">SUM(AA11:AA12)</f>
        <v>1822884.7968290779</v>
      </c>
      <c r="AB10" s="881">
        <f t="shared" ref="AB10" si="63">SUM(AB11:AB12)</f>
        <v>1810204.3368071257</v>
      </c>
      <c r="AC10" s="881">
        <f t="shared" ref="AC10" si="64">SUM(AC11:AC12)</f>
        <v>1689359.7908355193</v>
      </c>
      <c r="AD10" s="881">
        <f t="shared" ref="AD10" si="65">SUM(AD11:AD12)</f>
        <v>1802457.8787976166</v>
      </c>
      <c r="AE10" s="180">
        <f t="shared" si="21"/>
        <v>10805225.468245137</v>
      </c>
      <c r="AF10" s="1389"/>
      <c r="AG10" s="972"/>
      <c r="AH10" s="972"/>
      <c r="AI10" s="972"/>
    </row>
    <row r="11" spans="2:35">
      <c r="B11" s="48"/>
      <c r="C11" s="887" t="s">
        <v>304</v>
      </c>
      <c r="D11" s="883">
        <v>3736334.3025970086</v>
      </c>
      <c r="E11" s="883">
        <v>3751577.8600401706</v>
      </c>
      <c r="F11" s="883">
        <v>3708809.6123743188</v>
      </c>
      <c r="G11" s="883">
        <v>3683010.1695896983</v>
      </c>
      <c r="H11" s="883">
        <v>3437141.9641594193</v>
      </c>
      <c r="I11" s="883">
        <v>3667249.3612393858</v>
      </c>
      <c r="J11" s="180">
        <f t="shared" si="18"/>
        <v>21984123.27</v>
      </c>
      <c r="K11" s="883">
        <v>1184140.930995164</v>
      </c>
      <c r="L11" s="883">
        <v>1188972.0084204033</v>
      </c>
      <c r="M11" s="883">
        <v>1175417.645104232</v>
      </c>
      <c r="N11" s="883">
        <v>1167241.1347269614</v>
      </c>
      <c r="O11" s="883">
        <v>1089319.1443210286</v>
      </c>
      <c r="P11" s="883">
        <v>1162246.1271174431</v>
      </c>
      <c r="Q11" s="180">
        <f t="shared" si="19"/>
        <v>6967336.9906852329</v>
      </c>
      <c r="R11" s="883">
        <v>1005073.9273985951</v>
      </c>
      <c r="S11" s="883">
        <v>1009174.4443508057</v>
      </c>
      <c r="T11" s="883">
        <v>997669.78572869161</v>
      </c>
      <c r="U11" s="883">
        <v>990729.73561962869</v>
      </c>
      <c r="V11" s="883">
        <v>924591.18835888361</v>
      </c>
      <c r="W11" s="883">
        <v>986490.07817339466</v>
      </c>
      <c r="X11" s="180">
        <f t="shared" si="20"/>
        <v>5913729.1596299987</v>
      </c>
      <c r="Y11" s="883">
        <v>1547119.4442032496</v>
      </c>
      <c r="Z11" s="883">
        <v>1553431.4072689614</v>
      </c>
      <c r="AA11" s="883">
        <v>1535722.1815413949</v>
      </c>
      <c r="AB11" s="883">
        <v>1525039.2992431084</v>
      </c>
      <c r="AC11" s="883">
        <v>1423231.6314795071</v>
      </c>
      <c r="AD11" s="883">
        <v>1518513.1559485481</v>
      </c>
      <c r="AE11" s="180">
        <f t="shared" si="21"/>
        <v>9103057.1196847707</v>
      </c>
      <c r="AF11" s="1389"/>
      <c r="AG11" s="972"/>
      <c r="AH11" s="972"/>
      <c r="AI11" s="972"/>
    </row>
    <row r="12" spans="2:35">
      <c r="B12" s="48"/>
      <c r="C12" s="887" t="s">
        <v>305</v>
      </c>
      <c r="D12" s="883">
        <v>698652.10180524911</v>
      </c>
      <c r="E12" s="883">
        <v>701502.47401076916</v>
      </c>
      <c r="F12" s="883">
        <v>693505.29717851791</v>
      </c>
      <c r="G12" s="883">
        <v>688681.0942386603</v>
      </c>
      <c r="H12" s="883">
        <v>642706.53078175744</v>
      </c>
      <c r="I12" s="883">
        <v>685734.00198504643</v>
      </c>
      <c r="J12" s="180">
        <f t="shared" si="18"/>
        <v>4110781.5000000005</v>
      </c>
      <c r="K12" s="883">
        <v>221420.91238954815</v>
      </c>
      <c r="L12" s="883">
        <v>222324.26902837493</v>
      </c>
      <c r="M12" s="883">
        <v>219789.75694981366</v>
      </c>
      <c r="N12" s="883">
        <v>218260.84232444354</v>
      </c>
      <c r="O12" s="883">
        <v>203690.31464545254</v>
      </c>
      <c r="P12" s="883">
        <v>217326.83260200053</v>
      </c>
      <c r="Q12" s="180">
        <f t="shared" si="19"/>
        <v>1302812.9279396334</v>
      </c>
      <c r="R12" s="883">
        <v>187937.415385612</v>
      </c>
      <c r="S12" s="883">
        <v>188704.16550889687</v>
      </c>
      <c r="T12" s="883">
        <v>186552.92494102128</v>
      </c>
      <c r="U12" s="883">
        <v>185255.21435019959</v>
      </c>
      <c r="V12" s="883">
        <v>172888.05678029274</v>
      </c>
      <c r="W12" s="883">
        <v>184462.44653397746</v>
      </c>
      <c r="X12" s="180">
        <f t="shared" si="20"/>
        <v>1105800.2234999998</v>
      </c>
      <c r="Y12" s="883">
        <v>289293.77403008897</v>
      </c>
      <c r="Z12" s="883">
        <v>290474.03947349737</v>
      </c>
      <c r="AA12" s="883">
        <v>287162.61528768297</v>
      </c>
      <c r="AB12" s="883">
        <v>285165.03756401723</v>
      </c>
      <c r="AC12" s="883">
        <v>266128.15935601213</v>
      </c>
      <c r="AD12" s="883">
        <v>283944.72284906841</v>
      </c>
      <c r="AE12" s="180">
        <f t="shared" si="21"/>
        <v>1702168.348560367</v>
      </c>
      <c r="AF12" s="1389"/>
      <c r="AG12" s="972"/>
      <c r="AH12" s="972"/>
      <c r="AI12" s="972"/>
    </row>
    <row r="13" spans="2:35">
      <c r="B13" s="48"/>
      <c r="C13" s="887"/>
      <c r="D13" s="883"/>
      <c r="E13" s="883"/>
      <c r="F13" s="883"/>
      <c r="G13" s="883"/>
      <c r="H13" s="883"/>
      <c r="I13" s="883"/>
      <c r="J13" s="180">
        <f t="shared" si="18"/>
        <v>0</v>
      </c>
      <c r="K13" s="883"/>
      <c r="L13" s="883"/>
      <c r="M13" s="883"/>
      <c r="N13" s="883"/>
      <c r="O13" s="883"/>
      <c r="P13" s="883"/>
      <c r="Q13" s="180">
        <f t="shared" si="19"/>
        <v>0</v>
      </c>
      <c r="R13" s="883"/>
      <c r="S13" s="883"/>
      <c r="T13" s="883"/>
      <c r="U13" s="883"/>
      <c r="V13" s="883"/>
      <c r="W13" s="883"/>
      <c r="X13" s="180">
        <f t="shared" si="20"/>
        <v>0</v>
      </c>
      <c r="Y13" s="883"/>
      <c r="Z13" s="883"/>
      <c r="AA13" s="883"/>
      <c r="AB13" s="883"/>
      <c r="AC13" s="883"/>
      <c r="AD13" s="883"/>
      <c r="AE13" s="180">
        <f t="shared" si="21"/>
        <v>0</v>
      </c>
      <c r="AF13" s="1389"/>
      <c r="AG13" s="972"/>
      <c r="AH13" s="972"/>
      <c r="AI13" s="972"/>
    </row>
    <row r="14" spans="2:35">
      <c r="B14" s="48" t="s">
        <v>276</v>
      </c>
      <c r="C14" s="882" t="s">
        <v>626</v>
      </c>
      <c r="D14" s="881">
        <f>SUM(D15:D18)</f>
        <v>27139578.66269185</v>
      </c>
      <c r="E14" s="881">
        <f t="shared" ref="E14:I14" si="66">SUM(E15:E18)</f>
        <v>27250303.157028556</v>
      </c>
      <c r="F14" s="881">
        <f t="shared" si="66"/>
        <v>26939647.81203277</v>
      </c>
      <c r="G14" s="881">
        <f t="shared" si="66"/>
        <v>26752248.626039121</v>
      </c>
      <c r="H14" s="881">
        <f t="shared" si="66"/>
        <v>24966337.901377272</v>
      </c>
      <c r="I14" s="881">
        <f t="shared" si="66"/>
        <v>26637766.980830446</v>
      </c>
      <c r="J14" s="180">
        <f t="shared" si="18"/>
        <v>159685883.14000002</v>
      </c>
      <c r="K14" s="881">
        <f t="shared" ref="K14" si="67">SUM(K15:K18)</f>
        <v>8601234.0817894526</v>
      </c>
      <c r="L14" s="881">
        <f t="shared" ref="L14" si="68">SUM(L15:L18)</f>
        <v>8636325.5364584588</v>
      </c>
      <c r="M14" s="881">
        <f t="shared" ref="M14" si="69">SUM(M15:M18)</f>
        <v>8537870.8266681042</v>
      </c>
      <c r="N14" s="881">
        <f t="shared" ref="N14" si="70">SUM(N15:N18)</f>
        <v>8478479.1800437588</v>
      </c>
      <c r="O14" s="881">
        <f t="shared" ref="O14" si="71">SUM(O15:O18)</f>
        <v>7912477.9026137888</v>
      </c>
      <c r="P14" s="881">
        <f t="shared" ref="P14" si="72">SUM(P15:P18)</f>
        <v>8442196.9871347807</v>
      </c>
      <c r="Q14" s="180">
        <f t="shared" si="19"/>
        <v>50608584.51470834</v>
      </c>
      <c r="R14" s="881">
        <f t="shared" ref="R14" si="73">SUM(R15:R18)</f>
        <v>18538344.580902398</v>
      </c>
      <c r="S14" s="881">
        <f t="shared" ref="S14" si="74">SUM(S15:S18)</f>
        <v>18613977.620570101</v>
      </c>
      <c r="T14" s="881">
        <f t="shared" ref="T14" si="75">SUM(T15:T18)</f>
        <v>18401776.985364664</v>
      </c>
      <c r="U14" s="881">
        <f t="shared" ref="U14" si="76">SUM(U15:U18)</f>
        <v>18273769.445995361</v>
      </c>
      <c r="V14" s="881">
        <f t="shared" ref="V14" si="77">SUM(V15:V18)</f>
        <v>17053859.998763487</v>
      </c>
      <c r="W14" s="881">
        <f t="shared" ref="W14" si="78">SUM(W15:W18)</f>
        <v>18195569.993695665</v>
      </c>
      <c r="X14" s="180">
        <f t="shared" si="20"/>
        <v>109077298.62529168</v>
      </c>
      <c r="Y14" s="881"/>
      <c r="Z14" s="881"/>
      <c r="AA14" s="881"/>
      <c r="AB14" s="881"/>
      <c r="AC14" s="881"/>
      <c r="AD14" s="881"/>
      <c r="AE14" s="180">
        <f t="shared" si="21"/>
        <v>0</v>
      </c>
      <c r="AF14" s="975"/>
      <c r="AG14" s="972">
        <f>'PDYG-200'!D$36</f>
        <v>0.32590000000000002</v>
      </c>
      <c r="AH14" s="972">
        <f>'PDYG-200'!E$36</f>
        <v>0.26899999999999996</v>
      </c>
      <c r="AI14" s="972">
        <f>'PDYG-200'!F$36</f>
        <v>0.40510000000000002</v>
      </c>
    </row>
    <row r="15" spans="2:35">
      <c r="B15" s="48"/>
      <c r="C15" s="887" t="s">
        <v>304</v>
      </c>
      <c r="D15" s="883">
        <v>27049133.145487174</v>
      </c>
      <c r="E15" s="883">
        <v>27159488.638732083</v>
      </c>
      <c r="F15" s="883">
        <v>26849868.585540187</v>
      </c>
      <c r="G15" s="883">
        <v>26663093.927160308</v>
      </c>
      <c r="H15" s="883">
        <v>24883134.938934054</v>
      </c>
      <c r="I15" s="883">
        <v>26548993.804146212</v>
      </c>
      <c r="J15" s="180">
        <f t="shared" si="18"/>
        <v>159153713.04000002</v>
      </c>
      <c r="K15" s="883">
        <v>8572569.5592191238</v>
      </c>
      <c r="L15" s="883">
        <v>8607544.0679028425</v>
      </c>
      <c r="M15" s="883">
        <v>8509417.4688491691</v>
      </c>
      <c r="N15" s="883">
        <v>8450223.7511707135</v>
      </c>
      <c r="O15" s="883">
        <v>7886108.7328795418</v>
      </c>
      <c r="P15" s="883">
        <v>8414062.4725081846</v>
      </c>
      <c r="Q15" s="180">
        <f t="shared" si="19"/>
        <v>50439926.052529573</v>
      </c>
      <c r="R15" s="883">
        <v>18476563.586268052</v>
      </c>
      <c r="S15" s="883">
        <v>18551944.570829242</v>
      </c>
      <c r="T15" s="883">
        <v>18340451.116691016</v>
      </c>
      <c r="U15" s="883">
        <v>18212870.175989594</v>
      </c>
      <c r="V15" s="883">
        <v>16997026.206054512</v>
      </c>
      <c r="W15" s="883">
        <v>18134931.331638027</v>
      </c>
      <c r="X15" s="180">
        <f t="shared" si="20"/>
        <v>108713786.98747043</v>
      </c>
      <c r="Y15" s="883"/>
      <c r="Z15" s="883"/>
      <c r="AA15" s="883"/>
      <c r="AB15" s="883"/>
      <c r="AC15" s="883"/>
      <c r="AD15" s="883"/>
      <c r="AE15" s="180">
        <f t="shared" si="21"/>
        <v>0</v>
      </c>
      <c r="AF15" s="1389"/>
      <c r="AG15" s="972">
        <f>'PDYG-200'!D$36</f>
        <v>0.32590000000000002</v>
      </c>
      <c r="AH15" s="972">
        <f>'PDYG-200'!E$36</f>
        <v>0.26899999999999996</v>
      </c>
      <c r="AI15" s="972">
        <f>'PDYG-200'!F$36</f>
        <v>0.40510000000000002</v>
      </c>
    </row>
    <row r="16" spans="2:35">
      <c r="B16" s="48"/>
      <c r="C16" s="888" t="s">
        <v>306</v>
      </c>
      <c r="D16" s="883">
        <v>0</v>
      </c>
      <c r="E16" s="883">
        <v>0</v>
      </c>
      <c r="F16" s="883">
        <v>0</v>
      </c>
      <c r="G16" s="883">
        <v>0</v>
      </c>
      <c r="H16" s="883">
        <v>0</v>
      </c>
      <c r="I16" s="883">
        <v>0</v>
      </c>
      <c r="J16" s="180">
        <f t="shared" si="18"/>
        <v>0</v>
      </c>
      <c r="K16" s="883">
        <v>0</v>
      </c>
      <c r="L16" s="883">
        <v>0</v>
      </c>
      <c r="M16" s="883">
        <v>0</v>
      </c>
      <c r="N16" s="883">
        <v>0</v>
      </c>
      <c r="O16" s="883">
        <v>0</v>
      </c>
      <c r="P16" s="883">
        <v>0</v>
      </c>
      <c r="Q16" s="180">
        <f t="shared" si="19"/>
        <v>0</v>
      </c>
      <c r="R16" s="883">
        <v>0</v>
      </c>
      <c r="S16" s="883">
        <v>0</v>
      </c>
      <c r="T16" s="883">
        <v>0</v>
      </c>
      <c r="U16" s="883">
        <v>0</v>
      </c>
      <c r="V16" s="883">
        <v>0</v>
      </c>
      <c r="W16" s="883">
        <v>0</v>
      </c>
      <c r="X16" s="180">
        <f t="shared" si="20"/>
        <v>0</v>
      </c>
      <c r="Y16" s="883"/>
      <c r="Z16" s="883"/>
      <c r="AA16" s="883"/>
      <c r="AB16" s="883"/>
      <c r="AC16" s="883"/>
      <c r="AD16" s="883"/>
      <c r="AE16" s="180">
        <f t="shared" si="21"/>
        <v>0</v>
      </c>
      <c r="AF16" s="1389"/>
      <c r="AG16" s="972">
        <f>'PDYG-200'!D$36</f>
        <v>0.32590000000000002</v>
      </c>
      <c r="AH16" s="972">
        <f>'PDYG-200'!E$36</f>
        <v>0.26899999999999996</v>
      </c>
      <c r="AI16" s="972">
        <f>'PDYG-200'!F$36</f>
        <v>0.40510000000000002</v>
      </c>
    </row>
    <row r="17" spans="2:35">
      <c r="B17" s="48"/>
      <c r="C17" s="887" t="s">
        <v>305</v>
      </c>
      <c r="D17" s="883">
        <v>90445.517204674965</v>
      </c>
      <c r="E17" s="883">
        <v>90814.518296474387</v>
      </c>
      <c r="F17" s="883">
        <v>89779.226492583359</v>
      </c>
      <c r="G17" s="883">
        <v>89154.698878813491</v>
      </c>
      <c r="H17" s="883">
        <v>83202.962443219338</v>
      </c>
      <c r="I17" s="883">
        <v>88773.176684234451</v>
      </c>
      <c r="J17" s="180">
        <f t="shared" si="18"/>
        <v>532170.1</v>
      </c>
      <c r="K17" s="883">
        <v>28664.522570328067</v>
      </c>
      <c r="L17" s="883">
        <v>28781.468555615807</v>
      </c>
      <c r="M17" s="883">
        <v>28453.357818934917</v>
      </c>
      <c r="N17" s="883">
        <v>28255.428873045999</v>
      </c>
      <c r="O17" s="883">
        <v>26369.169734246865</v>
      </c>
      <c r="P17" s="883">
        <v>28134.514626595908</v>
      </c>
      <c r="Q17" s="180">
        <f t="shared" si="19"/>
        <v>168658.46217876757</v>
      </c>
      <c r="R17" s="883">
        <v>61780.994634346898</v>
      </c>
      <c r="S17" s="883">
        <v>62033.04974085858</v>
      </c>
      <c r="T17" s="883">
        <v>61325.868673648438</v>
      </c>
      <c r="U17" s="883">
        <v>60899.270005767496</v>
      </c>
      <c r="V17" s="883">
        <v>56833.792708972469</v>
      </c>
      <c r="W17" s="883">
        <v>60638.662057638547</v>
      </c>
      <c r="X17" s="180">
        <f t="shared" si="20"/>
        <v>363511.63782123243</v>
      </c>
      <c r="Y17" s="883"/>
      <c r="Z17" s="883"/>
      <c r="AA17" s="883"/>
      <c r="AB17" s="883"/>
      <c r="AC17" s="883"/>
      <c r="AD17" s="883"/>
      <c r="AE17" s="180">
        <f t="shared" si="21"/>
        <v>0</v>
      </c>
      <c r="AF17" s="1389"/>
      <c r="AG17" s="972">
        <f>'PDYG-200'!D$36</f>
        <v>0.32590000000000002</v>
      </c>
      <c r="AH17" s="972">
        <f>'PDYG-200'!E$36</f>
        <v>0.26899999999999996</v>
      </c>
      <c r="AI17" s="972">
        <f>'PDYG-200'!F$36</f>
        <v>0.40510000000000002</v>
      </c>
    </row>
    <row r="18" spans="2:35">
      <c r="B18" s="48"/>
      <c r="C18" s="887" t="s">
        <v>307</v>
      </c>
      <c r="D18" s="883">
        <v>0</v>
      </c>
      <c r="E18" s="883">
        <v>0</v>
      </c>
      <c r="F18" s="883">
        <v>0</v>
      </c>
      <c r="G18" s="883">
        <v>0</v>
      </c>
      <c r="H18" s="883">
        <v>0</v>
      </c>
      <c r="I18" s="883">
        <v>0</v>
      </c>
      <c r="J18" s="180">
        <f t="shared" si="18"/>
        <v>0</v>
      </c>
      <c r="K18" s="883">
        <v>0</v>
      </c>
      <c r="L18" s="883">
        <v>0</v>
      </c>
      <c r="M18" s="883">
        <v>0</v>
      </c>
      <c r="N18" s="883">
        <v>0</v>
      </c>
      <c r="O18" s="883">
        <v>0</v>
      </c>
      <c r="P18" s="883">
        <v>0</v>
      </c>
      <c r="Q18" s="180">
        <f t="shared" si="19"/>
        <v>0</v>
      </c>
      <c r="R18" s="883">
        <v>0</v>
      </c>
      <c r="S18" s="883">
        <v>0</v>
      </c>
      <c r="T18" s="883">
        <v>0</v>
      </c>
      <c r="U18" s="883">
        <v>0</v>
      </c>
      <c r="V18" s="883">
        <v>0</v>
      </c>
      <c r="W18" s="883">
        <v>0</v>
      </c>
      <c r="X18" s="180">
        <f t="shared" si="20"/>
        <v>0</v>
      </c>
      <c r="Y18" s="883"/>
      <c r="Z18" s="883"/>
      <c r="AA18" s="883"/>
      <c r="AB18" s="883"/>
      <c r="AC18" s="883"/>
      <c r="AD18" s="883"/>
      <c r="AE18" s="180">
        <f t="shared" si="21"/>
        <v>0</v>
      </c>
      <c r="AF18" s="1389"/>
      <c r="AG18" s="972">
        <f>'PDYG-200'!D$36</f>
        <v>0.32590000000000002</v>
      </c>
      <c r="AH18" s="972">
        <f>'PDYG-200'!E$36</f>
        <v>0.26899999999999996</v>
      </c>
      <c r="AI18" s="972">
        <f>'PDYG-200'!F$36</f>
        <v>0.40510000000000002</v>
      </c>
    </row>
    <row r="19" spans="2:35">
      <c r="B19" s="48"/>
      <c r="C19" s="884"/>
      <c r="D19" s="883">
        <v>0</v>
      </c>
      <c r="E19" s="883">
        <v>0</v>
      </c>
      <c r="F19" s="883">
        <v>0</v>
      </c>
      <c r="G19" s="883">
        <v>0</v>
      </c>
      <c r="H19" s="883">
        <v>0</v>
      </c>
      <c r="I19" s="883">
        <v>0</v>
      </c>
      <c r="J19" s="180">
        <f t="shared" si="18"/>
        <v>0</v>
      </c>
      <c r="K19" s="883"/>
      <c r="L19" s="883"/>
      <c r="M19" s="883"/>
      <c r="N19" s="883"/>
      <c r="O19" s="883"/>
      <c r="P19" s="883"/>
      <c r="Q19" s="180">
        <f t="shared" si="19"/>
        <v>0</v>
      </c>
      <c r="R19" s="883">
        <f t="shared" si="22"/>
        <v>0</v>
      </c>
      <c r="S19" s="883">
        <f t="shared" si="23"/>
        <v>0</v>
      </c>
      <c r="T19" s="883">
        <f t="shared" si="24"/>
        <v>0</v>
      </c>
      <c r="U19" s="883">
        <f t="shared" si="25"/>
        <v>0</v>
      </c>
      <c r="V19" s="883">
        <f t="shared" si="26"/>
        <v>0</v>
      </c>
      <c r="W19" s="883">
        <f t="shared" si="27"/>
        <v>0</v>
      </c>
      <c r="X19" s="180">
        <f t="shared" si="20"/>
        <v>0</v>
      </c>
      <c r="Y19" s="883"/>
      <c r="Z19" s="883"/>
      <c r="AA19" s="883"/>
      <c r="AB19" s="883"/>
      <c r="AC19" s="883"/>
      <c r="AD19" s="883"/>
      <c r="AE19" s="180">
        <f t="shared" si="21"/>
        <v>0</v>
      </c>
      <c r="AF19" s="1389"/>
    </row>
    <row r="20" spans="2:35" s="587" customFormat="1">
      <c r="B20" s="48"/>
      <c r="C20" s="880" t="s">
        <v>443</v>
      </c>
      <c r="D20" s="881">
        <f>D21+D26+D50+D58</f>
        <v>232051163.18552729</v>
      </c>
      <c r="E20" s="881">
        <f t="shared" ref="E20:I20" si="79">E21+E26+E50+E58</f>
        <v>232997889.29440689</v>
      </c>
      <c r="F20" s="881">
        <f t="shared" si="79"/>
        <v>230341697.20491177</v>
      </c>
      <c r="G20" s="881">
        <f t="shared" si="79"/>
        <v>228739380.54295024</v>
      </c>
      <c r="H20" s="881">
        <f t="shared" si="79"/>
        <v>213469332.83314601</v>
      </c>
      <c r="I20" s="881">
        <f t="shared" si="79"/>
        <v>227760529.71905792</v>
      </c>
      <c r="J20" s="180">
        <f t="shared" si="18"/>
        <v>1365359992.7800002</v>
      </c>
      <c r="K20" s="881">
        <f t="shared" ref="K20" si="80">K21+K26+K50+K58</f>
        <v>65593602.530880533</v>
      </c>
      <c r="L20" s="881">
        <f t="shared" ref="L20" si="81">L21+L26+L50+L58</f>
        <v>65861212.377084181</v>
      </c>
      <c r="M20" s="881">
        <f t="shared" ref="M20" si="82">M21+M26+M50+M58</f>
        <v>65110389.990450785</v>
      </c>
      <c r="N20" s="881">
        <f t="shared" ref="N20" si="83">N21+N26+N50+N58</f>
        <v>64657465.209508032</v>
      </c>
      <c r="O20" s="881">
        <f t="shared" ref="O20" si="84">O21+O26+O50+O58</f>
        <v>60341100.549427986</v>
      </c>
      <c r="P20" s="881">
        <f t="shared" ref="P20" si="85">P21+P26+P50+P58</f>
        <v>64380774.711610898</v>
      </c>
      <c r="Q20" s="180">
        <f t="shared" si="19"/>
        <v>385944545.36896241</v>
      </c>
      <c r="R20" s="881">
        <f t="shared" ref="R20" si="86">R21+R26+R50+R58</f>
        <v>165386042.98288119</v>
      </c>
      <c r="S20" s="881">
        <f t="shared" ref="S20" si="87">S21+S26+S50+S58</f>
        <v>166060787.65033624</v>
      </c>
      <c r="T20" s="881">
        <f t="shared" ref="T20" si="88">T21+T26+T50+T58</f>
        <v>164167683.15969938</v>
      </c>
      <c r="U20" s="881">
        <f t="shared" ref="U20" si="89">U21+U26+U50+U58</f>
        <v>163025690.12381229</v>
      </c>
      <c r="V20" s="881">
        <f t="shared" ref="V20" si="90">V21+V26+V50+V58</f>
        <v>152142517.92930278</v>
      </c>
      <c r="W20" s="881">
        <f t="shared" ref="W20" si="91">W21+W26+W50+W58</f>
        <v>162328049.73187578</v>
      </c>
      <c r="X20" s="180">
        <f t="shared" si="20"/>
        <v>973110771.57790768</v>
      </c>
      <c r="Y20" s="881">
        <f t="shared" ref="Y20" si="92">Y21+Y26+Y50+Y58</f>
        <v>1071517.6717655933</v>
      </c>
      <c r="Z20" s="881">
        <f t="shared" ref="Z20" si="93">Z21+Z26+Z50+Z58</f>
        <v>1075889.2669864947</v>
      </c>
      <c r="AA20" s="881">
        <f t="shared" ref="AA20" si="94">AA21+AA26+AA50+AA58</f>
        <v>1063624.0547616263</v>
      </c>
      <c r="AB20" s="881">
        <f t="shared" ref="AB20" si="95">AB21+AB26+AB50+AB58</f>
        <v>1056225.2096298584</v>
      </c>
      <c r="AC20" s="881">
        <f t="shared" ref="AC20" si="96">AC21+AC26+AC50+AC58</f>
        <v>985714.35441523825</v>
      </c>
      <c r="AD20" s="881">
        <f t="shared" ref="AD20" si="97">AD21+AD26+AD50+AD58</f>
        <v>1051705.2755712459</v>
      </c>
      <c r="AE20" s="180">
        <f t="shared" si="21"/>
        <v>6304675.833130056</v>
      </c>
      <c r="AF20" s="1389"/>
      <c r="AG20" s="972"/>
      <c r="AH20" s="972"/>
      <c r="AI20" s="972"/>
    </row>
    <row r="21" spans="2:35">
      <c r="B21" s="48" t="s">
        <v>275</v>
      </c>
      <c r="C21" s="882" t="s">
        <v>275</v>
      </c>
      <c r="D21" s="881">
        <f>SUM(D22:D24)</f>
        <v>3045832.5730516785</v>
      </c>
      <c r="E21" s="881">
        <f t="shared" ref="E21:I21" si="98">SUM(E22:E24)</f>
        <v>3058259.0103105973</v>
      </c>
      <c r="F21" s="881">
        <f t="shared" si="98"/>
        <v>3023394.6455928981</v>
      </c>
      <c r="G21" s="881">
        <f t="shared" si="98"/>
        <v>3002363.1273089582</v>
      </c>
      <c r="H21" s="881">
        <f t="shared" si="98"/>
        <v>2801933.1528666853</v>
      </c>
      <c r="I21" s="881">
        <f t="shared" si="98"/>
        <v>2989515.0308691831</v>
      </c>
      <c r="J21" s="180">
        <f t="shared" si="18"/>
        <v>17921297.540000003</v>
      </c>
      <c r="K21" s="881">
        <f t="shared" ref="K21" si="99">SUM(K22:K24)</f>
        <v>1233952.9428536352</v>
      </c>
      <c r="L21" s="881">
        <f t="shared" ref="L21" si="100">SUM(L22:L24)</f>
        <v>1238987.2441348331</v>
      </c>
      <c r="M21" s="881">
        <f t="shared" ref="M21" si="101">SUM(M22:M24)</f>
        <v>1224862.7036644346</v>
      </c>
      <c r="N21" s="881">
        <f t="shared" ref="N21" si="102">SUM(N22:N24)</f>
        <v>1216342.2406196957</v>
      </c>
      <c r="O21" s="881">
        <f t="shared" ref="O21" si="103">SUM(O22:O24)</f>
        <v>1135142.3877494754</v>
      </c>
      <c r="P21" s="881">
        <f t="shared" ref="P21" si="104">SUM(P22:P24)</f>
        <v>1211137.1132754693</v>
      </c>
      <c r="Q21" s="180">
        <f t="shared" si="19"/>
        <v>7260424.6322975438</v>
      </c>
      <c r="R21" s="881">
        <f t="shared" ref="R21" si="105">SUM(R22:R24)</f>
        <v>741355.64828077855</v>
      </c>
      <c r="S21" s="881">
        <f t="shared" ref="S21" si="106">SUM(S22:S24)</f>
        <v>744380.24310959934</v>
      </c>
      <c r="T21" s="881">
        <f t="shared" ref="T21" si="107">SUM(T22:T24)</f>
        <v>735894.25673731149</v>
      </c>
      <c r="U21" s="881">
        <f t="shared" ref="U21" si="108">SUM(U22:U24)</f>
        <v>730775.18518700055</v>
      </c>
      <c r="V21" s="881">
        <f t="shared" ref="V21" si="109">SUM(V22:V24)</f>
        <v>681990.52940775128</v>
      </c>
      <c r="W21" s="881">
        <f t="shared" ref="W21" si="110">SUM(W22:W24)</f>
        <v>727647.95851355919</v>
      </c>
      <c r="X21" s="180">
        <f t="shared" si="20"/>
        <v>4362043.8212360004</v>
      </c>
      <c r="Y21" s="881">
        <f t="shared" ref="Y21" si="111">SUM(Y22:Y24)</f>
        <v>1070523.9819172646</v>
      </c>
      <c r="Z21" s="881">
        <f t="shared" ref="Z21" si="112">SUM(Z22:Z24)</f>
        <v>1074891.5230661647</v>
      </c>
      <c r="AA21" s="881">
        <f t="shared" ref="AA21" si="113">SUM(AA22:AA24)</f>
        <v>1062637.6851911522</v>
      </c>
      <c r="AB21" s="881">
        <f t="shared" ref="AB21" si="114">SUM(AB22:AB24)</f>
        <v>1055245.7015022617</v>
      </c>
      <c r="AC21" s="881">
        <f t="shared" ref="AC21" si="115">SUM(AC22:AC24)</f>
        <v>984800.23570945871</v>
      </c>
      <c r="AD21" s="881">
        <f t="shared" ref="AD21" si="116">SUM(AD22:AD24)</f>
        <v>1050729.9590801545</v>
      </c>
      <c r="AE21" s="180">
        <f t="shared" si="21"/>
        <v>6298829.0864664558</v>
      </c>
      <c r="AF21" s="1389"/>
      <c r="AG21" s="972"/>
      <c r="AH21" s="972"/>
      <c r="AI21" s="972"/>
    </row>
    <row r="22" spans="2:35">
      <c r="B22" s="48"/>
      <c r="C22" s="887" t="s">
        <v>304</v>
      </c>
      <c r="D22" s="883">
        <v>2998650.4270762173</v>
      </c>
      <c r="E22" s="883">
        <v>3010884.3698487701</v>
      </c>
      <c r="F22" s="883">
        <v>2976560.0793163716</v>
      </c>
      <c r="G22" s="883">
        <v>2955854.3544376693</v>
      </c>
      <c r="H22" s="883">
        <v>2758529.1850315179</v>
      </c>
      <c r="I22" s="883">
        <v>2943205.2842894546</v>
      </c>
      <c r="J22" s="180">
        <f t="shared" si="18"/>
        <v>17643683.700000003</v>
      </c>
      <c r="K22" s="883">
        <v>1214838.1207220175</v>
      </c>
      <c r="L22" s="883">
        <v>1219794.4370410624</v>
      </c>
      <c r="M22" s="883">
        <v>1205888.6959019885</v>
      </c>
      <c r="N22" s="883">
        <v>1197500.2209825041</v>
      </c>
      <c r="O22" s="883">
        <v>1117558.2124682753</v>
      </c>
      <c r="P22" s="883">
        <v>1192375.7248195016</v>
      </c>
      <c r="Q22" s="180">
        <f t="shared" si="19"/>
        <v>7147955.4119353499</v>
      </c>
      <c r="R22" s="883">
        <v>729871.51395035128</v>
      </c>
      <c r="S22" s="883">
        <v>732849.25562119065</v>
      </c>
      <c r="T22" s="883">
        <v>724494.72330560489</v>
      </c>
      <c r="U22" s="883">
        <v>719454.94987012877</v>
      </c>
      <c r="V22" s="883">
        <v>671426.00363667146</v>
      </c>
      <c r="W22" s="883">
        <v>716376.16619605327</v>
      </c>
      <c r="X22" s="180">
        <f t="shared" si="20"/>
        <v>4294472.6125799995</v>
      </c>
      <c r="Y22" s="883">
        <v>1053940.7924038484</v>
      </c>
      <c r="Z22" s="883">
        <v>1058240.677186517</v>
      </c>
      <c r="AA22" s="883">
        <v>1046176.6601087782</v>
      </c>
      <c r="AB22" s="883">
        <v>1038899.1835850364</v>
      </c>
      <c r="AC22" s="883">
        <v>969544.96892657108</v>
      </c>
      <c r="AD22" s="883">
        <v>1034453.3932738997</v>
      </c>
      <c r="AE22" s="180">
        <f t="shared" si="21"/>
        <v>6201255.6754846508</v>
      </c>
      <c r="AF22" s="1389"/>
      <c r="AG22" s="972"/>
      <c r="AH22" s="972"/>
      <c r="AI22" s="972"/>
    </row>
    <row r="23" spans="2:35">
      <c r="B23" s="48"/>
      <c r="C23" s="888" t="s">
        <v>306</v>
      </c>
      <c r="D23" s="883">
        <v>12927.440251090322</v>
      </c>
      <c r="E23" s="883">
        <v>12980.181832036002</v>
      </c>
      <c r="F23" s="883">
        <v>12832.20685935761</v>
      </c>
      <c r="G23" s="883">
        <v>12742.942696116706</v>
      </c>
      <c r="H23" s="883">
        <v>11892.256896097822</v>
      </c>
      <c r="I23" s="883">
        <v>12688.411465301539</v>
      </c>
      <c r="J23" s="180">
        <f t="shared" si="18"/>
        <v>76063.44</v>
      </c>
      <c r="K23" s="883">
        <v>5237.2717668505893</v>
      </c>
      <c r="L23" s="883">
        <v>5258.6388733667127</v>
      </c>
      <c r="M23" s="883">
        <v>5198.6900256786594</v>
      </c>
      <c r="N23" s="883">
        <v>5162.5265878400123</v>
      </c>
      <c r="O23" s="883">
        <v>4817.8897040977845</v>
      </c>
      <c r="P23" s="883">
        <v>5140.4344435320309</v>
      </c>
      <c r="Q23" s="180">
        <f t="shared" si="19"/>
        <v>30815.45140136579</v>
      </c>
      <c r="R23" s="883">
        <v>3146.5389571153846</v>
      </c>
      <c r="S23" s="883">
        <v>3159.3762579175627</v>
      </c>
      <c r="T23" s="883">
        <v>3123.3591495676424</v>
      </c>
      <c r="U23" s="883">
        <v>3101.6322522348064</v>
      </c>
      <c r="V23" s="883">
        <v>2894.5753285102101</v>
      </c>
      <c r="W23" s="883">
        <v>3088.3593506543943</v>
      </c>
      <c r="X23" s="180">
        <f t="shared" si="20"/>
        <v>18513.841296000002</v>
      </c>
      <c r="Y23" s="883">
        <v>4543.629527124348</v>
      </c>
      <c r="Z23" s="883">
        <v>4562.1667007517262</v>
      </c>
      <c r="AA23" s="883">
        <v>4510.1576841113074</v>
      </c>
      <c r="AB23" s="883">
        <v>4478.7838560418877</v>
      </c>
      <c r="AC23" s="883">
        <v>4179.7918634898278</v>
      </c>
      <c r="AD23" s="883">
        <v>4459.6176711151129</v>
      </c>
      <c r="AE23" s="180">
        <f t="shared" si="21"/>
        <v>26734.14730263421</v>
      </c>
      <c r="AF23" s="1389"/>
      <c r="AG23" s="972"/>
      <c r="AH23" s="972"/>
      <c r="AI23" s="972"/>
    </row>
    <row r="24" spans="2:35">
      <c r="B24" s="48"/>
      <c r="C24" s="1255" t="s">
        <v>305</v>
      </c>
      <c r="D24" s="883">
        <v>34254.705724371066</v>
      </c>
      <c r="E24" s="883">
        <v>34394.458629790985</v>
      </c>
      <c r="F24" s="883">
        <v>34002.359417169013</v>
      </c>
      <c r="G24" s="883">
        <v>33765.830175172203</v>
      </c>
      <c r="H24" s="883">
        <v>31511.710939069737</v>
      </c>
      <c r="I24" s="883">
        <v>33621.335114426998</v>
      </c>
      <c r="J24" s="180">
        <f t="shared" si="18"/>
        <v>201550.4</v>
      </c>
      <c r="K24" s="883">
        <v>13877.550364767134</v>
      </c>
      <c r="L24" s="883">
        <v>13934.16822040405</v>
      </c>
      <c r="M24" s="883">
        <v>13775.317736767414</v>
      </c>
      <c r="N24" s="883">
        <v>13679.493049351824</v>
      </c>
      <c r="O24" s="883">
        <v>12766.285577102353</v>
      </c>
      <c r="P24" s="883">
        <v>13620.954012435648</v>
      </c>
      <c r="Q24" s="180">
        <f t="shared" si="19"/>
        <v>81653.768960828413</v>
      </c>
      <c r="R24" s="883">
        <v>8337.5953733119168</v>
      </c>
      <c r="S24" s="883">
        <v>8371.6112304911258</v>
      </c>
      <c r="T24" s="883">
        <v>8276.174282138938</v>
      </c>
      <c r="U24" s="883">
        <v>8218.6030646369145</v>
      </c>
      <c r="V24" s="883">
        <v>7669.9504425695741</v>
      </c>
      <c r="W24" s="883">
        <v>8183.4329668515311</v>
      </c>
      <c r="X24" s="180">
        <f t="shared" si="20"/>
        <v>49057.367360000004</v>
      </c>
      <c r="Y24" s="883">
        <v>12039.559986292013</v>
      </c>
      <c r="Z24" s="883">
        <v>12088.679178895811</v>
      </c>
      <c r="AA24" s="883">
        <v>11950.867398262661</v>
      </c>
      <c r="AB24" s="883">
        <v>11867.734061183462</v>
      </c>
      <c r="AC24" s="883">
        <v>11075.47491939781</v>
      </c>
      <c r="AD24" s="883">
        <v>11816.948135139817</v>
      </c>
      <c r="AE24" s="180">
        <f t="shared" si="21"/>
        <v>70839.263679171563</v>
      </c>
      <c r="AF24" s="1389"/>
      <c r="AG24" s="972"/>
      <c r="AH24" s="972"/>
      <c r="AI24" s="972"/>
    </row>
    <row r="25" spans="2:35">
      <c r="B25" s="48"/>
      <c r="C25" s="1255"/>
      <c r="D25" s="1254"/>
      <c r="E25" s="883"/>
      <c r="F25" s="883"/>
      <c r="G25" s="883"/>
      <c r="H25" s="883"/>
      <c r="I25" s="883"/>
      <c r="J25" s="180">
        <f t="shared" si="18"/>
        <v>0</v>
      </c>
      <c r="K25" s="883"/>
      <c r="L25" s="883"/>
      <c r="M25" s="883"/>
      <c r="N25" s="883"/>
      <c r="O25" s="883"/>
      <c r="P25" s="883"/>
      <c r="Q25" s="180">
        <f t="shared" si="19"/>
        <v>0</v>
      </c>
      <c r="R25" s="883">
        <f t="shared" si="22"/>
        <v>0</v>
      </c>
      <c r="S25" s="883">
        <f t="shared" si="23"/>
        <v>0</v>
      </c>
      <c r="T25" s="883">
        <f t="shared" si="24"/>
        <v>0</v>
      </c>
      <c r="U25" s="883">
        <f t="shared" si="25"/>
        <v>0</v>
      </c>
      <c r="V25" s="883">
        <f t="shared" si="26"/>
        <v>0</v>
      </c>
      <c r="W25" s="883">
        <f t="shared" si="27"/>
        <v>0</v>
      </c>
      <c r="X25" s="180">
        <f t="shared" si="20"/>
        <v>0</v>
      </c>
      <c r="Y25" s="883"/>
      <c r="Z25" s="883"/>
      <c r="AA25" s="883"/>
      <c r="AB25" s="883"/>
      <c r="AC25" s="883"/>
      <c r="AD25" s="883"/>
      <c r="AE25" s="180">
        <f t="shared" si="21"/>
        <v>0</v>
      </c>
      <c r="AF25" s="1389"/>
      <c r="AG25" s="972"/>
      <c r="AH25" s="972"/>
      <c r="AI25" s="972"/>
    </row>
    <row r="26" spans="2:35">
      <c r="B26" s="48"/>
      <c r="C26" s="882" t="s">
        <v>1736</v>
      </c>
      <c r="D26" s="881">
        <f>D27+D34+D39+D44</f>
        <v>60057929.507124588</v>
      </c>
      <c r="E26" s="881">
        <f t="shared" ref="E26:I26" si="117">E27+E34+E39+E44</f>
        <v>60302954.824511983</v>
      </c>
      <c r="F26" s="881">
        <f t="shared" si="117"/>
        <v>59615496.959279299</v>
      </c>
      <c r="G26" s="881">
        <f t="shared" si="117"/>
        <v>59200796.081200793</v>
      </c>
      <c r="H26" s="881">
        <f t="shared" si="117"/>
        <v>55248704.49787771</v>
      </c>
      <c r="I26" s="881">
        <f t="shared" si="117"/>
        <v>58947456.460005641</v>
      </c>
      <c r="J26" s="180">
        <f t="shared" si="18"/>
        <v>353373338.33000004</v>
      </c>
      <c r="K26" s="881">
        <f>K27+K34+K39+K44</f>
        <v>24331166.300044414</v>
      </c>
      <c r="L26" s="881">
        <f t="shared" ref="L26" si="118">L27+L34+L39+L44</f>
        <v>24430432.987957228</v>
      </c>
      <c r="M26" s="881">
        <f t="shared" ref="M26" si="119">M27+M34+M39+M44</f>
        <v>24151924.358363774</v>
      </c>
      <c r="N26" s="881">
        <f t="shared" ref="N26" si="120">N27+N34+N39+N44</f>
        <v>23983917.300642844</v>
      </c>
      <c r="O26" s="881">
        <f t="shared" ref="O26" si="121">O27+O34+O39+O44</f>
        <v>22382813.194391027</v>
      </c>
      <c r="P26" s="881">
        <f t="shared" ref="P26" si="122">P27+P34+P39+P44</f>
        <v>23881282.25304338</v>
      </c>
      <c r="Q26" s="180">
        <f t="shared" si="19"/>
        <v>143161536.39444268</v>
      </c>
      <c r="R26" s="881">
        <f>R27+R34+R39+R44</f>
        <v>35726763.207080178</v>
      </c>
      <c r="S26" s="881">
        <f t="shared" ref="S26" si="123">S27+S34+S39+S44</f>
        <v>35872521.836554743</v>
      </c>
      <c r="T26" s="881">
        <f t="shared" ref="T26" si="124">T27+T34+T39+T44</f>
        <v>35463572.600915529</v>
      </c>
      <c r="U26" s="881">
        <f t="shared" ref="U26" si="125">U27+U34+U39+U44</f>
        <v>35216878.780557945</v>
      </c>
      <c r="V26" s="881">
        <f t="shared" ref="V26" si="126">V27+V34+V39+V44</f>
        <v>32865891.303486694</v>
      </c>
      <c r="W26" s="881">
        <f t="shared" ref="W26" si="127">W27+W34+W39+W44</f>
        <v>35066174.206962265</v>
      </c>
      <c r="X26" s="180">
        <f t="shared" si="20"/>
        <v>210211801.93555734</v>
      </c>
      <c r="Y26" s="883"/>
      <c r="Z26" s="883"/>
      <c r="AA26" s="883"/>
      <c r="AB26" s="883"/>
      <c r="AC26" s="883"/>
      <c r="AD26" s="883"/>
      <c r="AE26" s="180">
        <f t="shared" si="21"/>
        <v>0</v>
      </c>
      <c r="AF26" s="1389"/>
      <c r="AG26" s="972"/>
      <c r="AH26" s="972"/>
      <c r="AI26" s="972"/>
    </row>
    <row r="27" spans="2:35">
      <c r="B27" s="48" t="s">
        <v>274</v>
      </c>
      <c r="C27" s="882" t="s">
        <v>627</v>
      </c>
      <c r="D27" s="881">
        <v>35433067.601289429</v>
      </c>
      <c r="E27" s="881">
        <v>35577628.006655797</v>
      </c>
      <c r="F27" s="881">
        <v>35172040.581119619</v>
      </c>
      <c r="G27" s="881">
        <v>34927374.733198129</v>
      </c>
      <c r="H27" s="881">
        <v>32595713.795373738</v>
      </c>
      <c r="I27" s="881">
        <v>34777909.042363286</v>
      </c>
      <c r="J27" s="180">
        <f t="shared" si="18"/>
        <v>208483733.76000002</v>
      </c>
      <c r="K27" s="881">
        <v>14354938.097315125</v>
      </c>
      <c r="L27" s="881">
        <v>14413503.607185951</v>
      </c>
      <c r="M27" s="881">
        <v>14249188.666912215</v>
      </c>
      <c r="N27" s="881">
        <v>14150067.610249527</v>
      </c>
      <c r="O27" s="881">
        <v>13205445.800954673</v>
      </c>
      <c r="P27" s="881">
        <v>14089514.830463434</v>
      </c>
      <c r="Q27" s="180">
        <f t="shared" si="19"/>
        <v>84462658.613080934</v>
      </c>
      <c r="R27" s="881">
        <v>21078129.503974307</v>
      </c>
      <c r="S27" s="881">
        <v>21164124.399469845</v>
      </c>
      <c r="T27" s="881">
        <v>20922851.914207414</v>
      </c>
      <c r="U27" s="881">
        <v>20777307.122948602</v>
      </c>
      <c r="V27" s="881">
        <v>19390267.994419064</v>
      </c>
      <c r="W27" s="881">
        <v>20688394.211899851</v>
      </c>
      <c r="X27" s="180">
        <f t="shared" si="20"/>
        <v>124021075.14691909</v>
      </c>
      <c r="Y27" s="881"/>
      <c r="Z27" s="881"/>
      <c r="AA27" s="881"/>
      <c r="AB27" s="881"/>
      <c r="AC27" s="881"/>
      <c r="AD27" s="881"/>
      <c r="AE27" s="180">
        <f t="shared" si="21"/>
        <v>0</v>
      </c>
      <c r="AF27" s="1389"/>
      <c r="AG27" s="972">
        <f>'PDYG-200'!D$37</f>
        <v>0.41660000000000003</v>
      </c>
      <c r="AH27" s="972">
        <f>'PDYG-200'!E$37</f>
        <v>0.24340000000000001</v>
      </c>
      <c r="AI27" s="972">
        <f>'PDYG-200'!F$37</f>
        <v>0.33999999999999997</v>
      </c>
    </row>
    <row r="28" spans="2:35">
      <c r="B28" s="48"/>
      <c r="C28" s="887" t="s">
        <v>304</v>
      </c>
      <c r="D28" s="1254">
        <v>35365200.815682441</v>
      </c>
      <c r="E28" s="883">
        <v>35509484.337033324</v>
      </c>
      <c r="F28" s="883">
        <v>35104673.754054606</v>
      </c>
      <c r="G28" s="883">
        <v>34860476.527276307</v>
      </c>
      <c r="H28" s="883">
        <v>32533281.54014961</v>
      </c>
      <c r="I28" s="883">
        <v>34711297.115803711</v>
      </c>
      <c r="J28" s="180">
        <f t="shared" si="18"/>
        <v>208084414.09</v>
      </c>
      <c r="K28" s="883">
        <v>14327443.34249416</v>
      </c>
      <c r="L28" s="883">
        <v>14385896.678817183</v>
      </c>
      <c r="M28" s="883">
        <v>14221896.459440578</v>
      </c>
      <c r="N28" s="883">
        <v>14122965.254460433</v>
      </c>
      <c r="O28" s="883">
        <v>13180152.72813629</v>
      </c>
      <c r="P28" s="883">
        <v>14062528.454542914</v>
      </c>
      <c r="Q28" s="180">
        <f t="shared" si="19"/>
        <v>84300882.917891562</v>
      </c>
      <c r="R28" s="883">
        <v>21037757.473188281</v>
      </c>
      <c r="S28" s="883">
        <v>21123587.658216141</v>
      </c>
      <c r="T28" s="883">
        <v>20882777.294614028</v>
      </c>
      <c r="U28" s="883">
        <v>20737511.272815876</v>
      </c>
      <c r="V28" s="883">
        <v>19353128.812013321</v>
      </c>
      <c r="W28" s="883">
        <v>20648768.661260799</v>
      </c>
      <c r="X28" s="180">
        <f t="shared" si="20"/>
        <v>123783531.17210846</v>
      </c>
      <c r="Y28" s="883"/>
      <c r="Z28" s="883"/>
      <c r="AA28" s="883"/>
      <c r="AB28" s="883"/>
      <c r="AC28" s="883"/>
      <c r="AD28" s="883"/>
      <c r="AE28" s="180">
        <f t="shared" si="21"/>
        <v>0</v>
      </c>
      <c r="AF28" s="1389"/>
      <c r="AG28" s="972">
        <f>'PDYG-200'!D$37</f>
        <v>0.41660000000000003</v>
      </c>
      <c r="AH28" s="972">
        <f>'PDYG-200'!E$37</f>
        <v>0.24340000000000001</v>
      </c>
      <c r="AI28" s="972">
        <f>'PDYG-200'!F$37</f>
        <v>0.33999999999999997</v>
      </c>
    </row>
    <row r="29" spans="2:35">
      <c r="B29" s="48"/>
      <c r="C29" s="888" t="s">
        <v>628</v>
      </c>
      <c r="D29" s="1254">
        <v>0</v>
      </c>
      <c r="E29" s="883">
        <v>0</v>
      </c>
      <c r="F29" s="883">
        <v>0</v>
      </c>
      <c r="G29" s="883">
        <v>0</v>
      </c>
      <c r="H29" s="883">
        <v>0</v>
      </c>
      <c r="I29" s="883">
        <v>0</v>
      </c>
      <c r="J29" s="180">
        <f t="shared" si="18"/>
        <v>0</v>
      </c>
      <c r="K29" s="883">
        <v>0</v>
      </c>
      <c r="L29" s="883">
        <v>0</v>
      </c>
      <c r="M29" s="883">
        <v>0</v>
      </c>
      <c r="N29" s="883">
        <v>0</v>
      </c>
      <c r="O29" s="883">
        <v>0</v>
      </c>
      <c r="P29" s="883">
        <v>0</v>
      </c>
      <c r="Q29" s="180">
        <f t="shared" si="19"/>
        <v>0</v>
      </c>
      <c r="R29" s="883">
        <v>0</v>
      </c>
      <c r="S29" s="883">
        <v>0</v>
      </c>
      <c r="T29" s="883">
        <v>0</v>
      </c>
      <c r="U29" s="883">
        <v>0</v>
      </c>
      <c r="V29" s="883">
        <v>0</v>
      </c>
      <c r="W29" s="883">
        <v>0</v>
      </c>
      <c r="X29" s="180">
        <f t="shared" si="20"/>
        <v>0</v>
      </c>
      <c r="Y29" s="883"/>
      <c r="Z29" s="883"/>
      <c r="AA29" s="883"/>
      <c r="AB29" s="883"/>
      <c r="AC29" s="883"/>
      <c r="AD29" s="883"/>
      <c r="AE29" s="180">
        <f t="shared" si="21"/>
        <v>0</v>
      </c>
      <c r="AF29" s="1389"/>
      <c r="AG29" s="972">
        <f>'PDYG-200'!D$37</f>
        <v>0.41660000000000003</v>
      </c>
      <c r="AH29" s="972">
        <f>'PDYG-200'!E$37</f>
        <v>0.24340000000000001</v>
      </c>
      <c r="AI29" s="972">
        <f>'PDYG-200'!F$37</f>
        <v>0.33999999999999997</v>
      </c>
    </row>
    <row r="30" spans="2:35">
      <c r="B30" s="48"/>
      <c r="C30" s="888" t="s">
        <v>629</v>
      </c>
      <c r="D30" s="1254">
        <v>27933.130023642898</v>
      </c>
      <c r="E30" s="883">
        <v>28047.092061725718</v>
      </c>
      <c r="F30" s="883">
        <v>27727.353267982548</v>
      </c>
      <c r="G30" s="883">
        <v>27534.474598282293</v>
      </c>
      <c r="H30" s="883">
        <v>25696.34449675736</v>
      </c>
      <c r="I30" s="883">
        <v>27416.645551609196</v>
      </c>
      <c r="J30" s="180">
        <f t="shared" si="18"/>
        <v>164355.04</v>
      </c>
      <c r="K30" s="883">
        <v>11316.501209143305</v>
      </c>
      <c r="L30" s="883">
        <v>11362.670454790647</v>
      </c>
      <c r="M30" s="883">
        <v>11233.135223939609</v>
      </c>
      <c r="N30" s="883">
        <v>11154.99461824904</v>
      </c>
      <c r="O30" s="883">
        <v>10410.316112873408</v>
      </c>
      <c r="P30" s="883">
        <v>11107.258738022954</v>
      </c>
      <c r="Q30" s="180">
        <f t="shared" si="19"/>
        <v>66584.876357018962</v>
      </c>
      <c r="R30" s="883">
        <v>16616.628814499592</v>
      </c>
      <c r="S30" s="883">
        <v>16684.421606935073</v>
      </c>
      <c r="T30" s="883">
        <v>16494.218044042937</v>
      </c>
      <c r="U30" s="883">
        <v>16379.479980033253</v>
      </c>
      <c r="V30" s="883">
        <v>15286.028383883951</v>
      </c>
      <c r="W30" s="883">
        <v>16309.386813586241</v>
      </c>
      <c r="X30" s="180">
        <f t="shared" si="20"/>
        <v>97770.163642981046</v>
      </c>
      <c r="Y30" s="883"/>
      <c r="Z30" s="883"/>
      <c r="AA30" s="883"/>
      <c r="AB30" s="883"/>
      <c r="AC30" s="883"/>
      <c r="AD30" s="883"/>
      <c r="AE30" s="180">
        <f t="shared" si="21"/>
        <v>0</v>
      </c>
      <c r="AF30" s="1389"/>
      <c r="AG30" s="972">
        <f>'PDYG-200'!D$37</f>
        <v>0.41660000000000003</v>
      </c>
      <c r="AH30" s="972">
        <f>'PDYG-200'!E$37</f>
        <v>0.24340000000000001</v>
      </c>
      <c r="AI30" s="972">
        <f>'PDYG-200'!F$37</f>
        <v>0.33999999999999997</v>
      </c>
    </row>
    <row r="31" spans="2:35">
      <c r="B31" s="48"/>
      <c r="C31" s="887" t="s">
        <v>305</v>
      </c>
      <c r="D31" s="1254">
        <v>32079.826002786918</v>
      </c>
      <c r="E31" s="883">
        <v>32210.705798553645</v>
      </c>
      <c r="F31" s="883">
        <v>31843.501519586694</v>
      </c>
      <c r="G31" s="883">
        <v>31621.989853747742</v>
      </c>
      <c r="H31" s="883">
        <v>29510.987836519645</v>
      </c>
      <c r="I31" s="883">
        <v>31486.668988805366</v>
      </c>
      <c r="J31" s="180">
        <f t="shared" si="18"/>
        <v>188753.68</v>
      </c>
      <c r="K31" s="883">
        <v>12996.445061558494</v>
      </c>
      <c r="L31" s="883">
        <v>13049.468169451988</v>
      </c>
      <c r="M31" s="883">
        <v>12900.703327724086</v>
      </c>
      <c r="N31" s="883">
        <v>12810.962685261744</v>
      </c>
      <c r="O31" s="883">
        <v>11955.736047207016</v>
      </c>
      <c r="P31" s="883">
        <v>12756.140374606026</v>
      </c>
      <c r="Q31" s="180">
        <f t="shared" si="19"/>
        <v>76469.45566580935</v>
      </c>
      <c r="R31" s="883">
        <v>19083.380941228424</v>
      </c>
      <c r="S31" s="883">
        <v>19161.237629101655</v>
      </c>
      <c r="T31" s="883">
        <v>18942.79819186261</v>
      </c>
      <c r="U31" s="883">
        <v>18811.027168485998</v>
      </c>
      <c r="V31" s="883">
        <v>17555.251789312628</v>
      </c>
      <c r="W31" s="883">
        <v>18730.528614199342</v>
      </c>
      <c r="X31" s="180">
        <f t="shared" si="20"/>
        <v>112284.22433419066</v>
      </c>
      <c r="Y31" s="883"/>
      <c r="Z31" s="883"/>
      <c r="AA31" s="883"/>
      <c r="AB31" s="883"/>
      <c r="AC31" s="883"/>
      <c r="AD31" s="883"/>
      <c r="AE31" s="180">
        <f t="shared" si="21"/>
        <v>0</v>
      </c>
      <c r="AF31" s="1389"/>
      <c r="AG31" s="972">
        <f>'PDYG-200'!D$37</f>
        <v>0.41660000000000003</v>
      </c>
      <c r="AH31" s="972">
        <f>'PDYG-200'!E$37</f>
        <v>0.24340000000000001</v>
      </c>
      <c r="AI31" s="972">
        <f>'PDYG-200'!F$37</f>
        <v>0.33999999999999997</v>
      </c>
    </row>
    <row r="32" spans="2:35">
      <c r="B32" s="48"/>
      <c r="C32" s="887" t="s">
        <v>307</v>
      </c>
      <c r="D32" s="1254">
        <v>0</v>
      </c>
      <c r="E32" s="883">
        <v>0</v>
      </c>
      <c r="F32" s="883">
        <v>0</v>
      </c>
      <c r="G32" s="883">
        <v>0</v>
      </c>
      <c r="H32" s="883">
        <v>0</v>
      </c>
      <c r="I32" s="883">
        <v>0</v>
      </c>
      <c r="J32" s="180">
        <f t="shared" si="18"/>
        <v>0</v>
      </c>
      <c r="K32" s="883">
        <v>0</v>
      </c>
      <c r="L32" s="883">
        <v>0</v>
      </c>
      <c r="M32" s="883">
        <v>0</v>
      </c>
      <c r="N32" s="883">
        <v>0</v>
      </c>
      <c r="O32" s="883">
        <v>0</v>
      </c>
      <c r="P32" s="883">
        <v>0</v>
      </c>
      <c r="Q32" s="180">
        <f t="shared" si="19"/>
        <v>0</v>
      </c>
      <c r="R32" s="883">
        <v>0</v>
      </c>
      <c r="S32" s="883">
        <v>0</v>
      </c>
      <c r="T32" s="883">
        <v>0</v>
      </c>
      <c r="U32" s="883">
        <v>0</v>
      </c>
      <c r="V32" s="883">
        <v>0</v>
      </c>
      <c r="W32" s="883">
        <v>0</v>
      </c>
      <c r="X32" s="180">
        <f t="shared" si="20"/>
        <v>0</v>
      </c>
      <c r="Y32" s="883"/>
      <c r="Z32" s="883"/>
      <c r="AA32" s="883"/>
      <c r="AB32" s="883"/>
      <c r="AC32" s="883"/>
      <c r="AD32" s="883"/>
      <c r="AE32" s="180">
        <f t="shared" si="21"/>
        <v>0</v>
      </c>
      <c r="AF32" s="1389"/>
      <c r="AG32" s="972">
        <f>'PDYG-200'!D$37</f>
        <v>0.41660000000000003</v>
      </c>
      <c r="AH32" s="972">
        <f>'PDYG-200'!E$37</f>
        <v>0.24340000000000001</v>
      </c>
      <c r="AI32" s="972">
        <f>'PDYG-200'!F$37</f>
        <v>0.33999999999999997</v>
      </c>
    </row>
    <row r="33" spans="2:35">
      <c r="B33" s="48"/>
      <c r="C33" s="887" t="s">
        <v>624</v>
      </c>
      <c r="D33" s="1254">
        <v>7853.8295805596272</v>
      </c>
      <c r="E33" s="883">
        <v>7885.8717621911928</v>
      </c>
      <c r="F33" s="883">
        <v>7795.9722774493448</v>
      </c>
      <c r="G33" s="883">
        <v>7741.7414697930344</v>
      </c>
      <c r="H33" s="883">
        <v>7224.9228908491614</v>
      </c>
      <c r="I33" s="883">
        <v>7708.612019157642</v>
      </c>
      <c r="J33" s="180">
        <f t="shared" si="18"/>
        <v>46210.950000000004</v>
      </c>
      <c r="K33" s="883">
        <v>3181.8085502620474</v>
      </c>
      <c r="L33" s="883">
        <v>3194.7897445238541</v>
      </c>
      <c r="M33" s="883">
        <v>3158.3689199717401</v>
      </c>
      <c r="N33" s="883">
        <v>3136.3984855844728</v>
      </c>
      <c r="O33" s="883">
        <v>2927.0206583028266</v>
      </c>
      <c r="P33" s="883">
        <v>3122.9768078900524</v>
      </c>
      <c r="Q33" s="180">
        <f t="shared" si="19"/>
        <v>18721.363166534993</v>
      </c>
      <c r="R33" s="883">
        <v>4672.0210302975793</v>
      </c>
      <c r="S33" s="883">
        <v>4691.0820176673387</v>
      </c>
      <c r="T33" s="883">
        <v>4637.6033574776047</v>
      </c>
      <c r="U33" s="883">
        <v>4605.3429842085616</v>
      </c>
      <c r="V33" s="883">
        <v>4297.9022325463347</v>
      </c>
      <c r="W33" s="883">
        <v>4585.6352112675895</v>
      </c>
      <c r="X33" s="180">
        <f t="shared" si="20"/>
        <v>27489.586833465008</v>
      </c>
      <c r="Y33" s="883"/>
      <c r="Z33" s="883"/>
      <c r="AA33" s="883"/>
      <c r="AB33" s="883"/>
      <c r="AC33" s="883"/>
      <c r="AD33" s="883"/>
      <c r="AE33" s="180">
        <f t="shared" si="21"/>
        <v>0</v>
      </c>
      <c r="AF33" s="1389"/>
      <c r="AG33" s="972">
        <f>'PDYG-200'!D$37</f>
        <v>0.41660000000000003</v>
      </c>
      <c r="AH33" s="972">
        <f>'PDYG-200'!E$37</f>
        <v>0.24340000000000001</v>
      </c>
      <c r="AI33" s="972">
        <f>'PDYG-200'!F$37</f>
        <v>0.33999999999999997</v>
      </c>
    </row>
    <row r="34" spans="2:35">
      <c r="B34" s="48" t="s">
        <v>274</v>
      </c>
      <c r="C34" s="882" t="s">
        <v>631</v>
      </c>
      <c r="D34" s="881">
        <v>15951149.409845978</v>
      </c>
      <c r="E34" s="881">
        <v>16016227.168585187</v>
      </c>
      <c r="F34" s="881">
        <v>15833641.068609841</v>
      </c>
      <c r="G34" s="881">
        <v>15723498.149582971</v>
      </c>
      <c r="H34" s="881">
        <v>14673838.19885985</v>
      </c>
      <c r="I34" s="881">
        <v>15656212.144516177</v>
      </c>
      <c r="J34" s="180">
        <f t="shared" si="18"/>
        <v>93854566.140000015</v>
      </c>
      <c r="K34" s="881">
        <v>6462261.888694928</v>
      </c>
      <c r="L34" s="881">
        <v>6488626.7298293523</v>
      </c>
      <c r="M34" s="881">
        <v>6414655.9353142064</v>
      </c>
      <c r="N34" s="881">
        <v>6370033.9228404462</v>
      </c>
      <c r="O34" s="881">
        <v>5944786.9816099638</v>
      </c>
      <c r="P34" s="881">
        <v>6342774.4586467706</v>
      </c>
      <c r="Q34" s="180">
        <f t="shared" si="19"/>
        <v>38023139.916935667</v>
      </c>
      <c r="R34" s="881">
        <v>9488887.5211510509</v>
      </c>
      <c r="S34" s="881">
        <v>9527600.4387558326</v>
      </c>
      <c r="T34" s="881">
        <v>9418985.1332956348</v>
      </c>
      <c r="U34" s="881">
        <v>9353464.2267425247</v>
      </c>
      <c r="V34" s="881">
        <v>8729051.2172498871</v>
      </c>
      <c r="W34" s="881">
        <v>9313437.6858694069</v>
      </c>
      <c r="X34" s="180">
        <f t="shared" si="20"/>
        <v>55831426.223064333</v>
      </c>
      <c r="Y34" s="881"/>
      <c r="Z34" s="881"/>
      <c r="AA34" s="881"/>
      <c r="AB34" s="881"/>
      <c r="AC34" s="881"/>
      <c r="AD34" s="881"/>
      <c r="AE34" s="180">
        <f t="shared" si="21"/>
        <v>0</v>
      </c>
      <c r="AF34" s="1389"/>
      <c r="AG34" s="972">
        <f>'PDYG-200'!D$37</f>
        <v>0.41660000000000003</v>
      </c>
      <c r="AH34" s="972">
        <f>'PDYG-200'!E$37</f>
        <v>0.24340000000000001</v>
      </c>
      <c r="AI34" s="972">
        <f>'PDYG-200'!F$37</f>
        <v>0.33999999999999997</v>
      </c>
    </row>
    <row r="35" spans="2:35">
      <c r="B35" s="48"/>
      <c r="C35" s="887" t="s">
        <v>304</v>
      </c>
      <c r="D35" s="1254">
        <v>15905524.200464509</v>
      </c>
      <c r="E35" s="883">
        <v>15970415.816732585</v>
      </c>
      <c r="F35" s="883">
        <v>15788351.969344027</v>
      </c>
      <c r="G35" s="883">
        <v>15678524.093052534</v>
      </c>
      <c r="H35" s="883">
        <v>14631866.493683575</v>
      </c>
      <c r="I35" s="883">
        <v>15611430.546722772</v>
      </c>
      <c r="J35" s="180">
        <f t="shared" si="18"/>
        <v>93586113.120000005</v>
      </c>
      <c r="K35" s="883">
        <v>6443777.8256237367</v>
      </c>
      <c r="L35" s="883">
        <v>6470067.2551770797</v>
      </c>
      <c r="M35" s="883">
        <v>6396308.039959522</v>
      </c>
      <c r="N35" s="883">
        <v>6351813.6602105163</v>
      </c>
      <c r="O35" s="883">
        <v>5927783.056451018</v>
      </c>
      <c r="P35" s="883">
        <v>6324632.1664959267</v>
      </c>
      <c r="Q35" s="180">
        <f t="shared" si="19"/>
        <v>37914382.003917798</v>
      </c>
      <c r="R35" s="883">
        <v>9461746.3748407736</v>
      </c>
      <c r="S35" s="883">
        <v>9500348.5615555048</v>
      </c>
      <c r="T35" s="883">
        <v>9392043.9293845054</v>
      </c>
      <c r="U35" s="883">
        <v>9326710.4328420181</v>
      </c>
      <c r="V35" s="883">
        <v>8704083.4372325577</v>
      </c>
      <c r="W35" s="883">
        <v>9286798.3802268449</v>
      </c>
      <c r="X35" s="180">
        <f t="shared" si="20"/>
        <v>55671731.116082199</v>
      </c>
      <c r="Y35" s="883"/>
      <c r="Z35" s="883"/>
      <c r="AA35" s="883"/>
      <c r="AB35" s="883"/>
      <c r="AC35" s="883"/>
      <c r="AD35" s="883"/>
      <c r="AE35" s="180">
        <f t="shared" si="21"/>
        <v>0</v>
      </c>
      <c r="AF35" s="1389"/>
      <c r="AG35" s="972">
        <f>'PDYG-200'!D$37</f>
        <v>0.41660000000000003</v>
      </c>
      <c r="AH35" s="972">
        <f>'PDYG-200'!E$37</f>
        <v>0.24340000000000001</v>
      </c>
      <c r="AI35" s="972">
        <f>'PDYG-200'!F$37</f>
        <v>0.33999999999999997</v>
      </c>
    </row>
    <row r="36" spans="2:35">
      <c r="B36" s="48"/>
      <c r="C36" s="888" t="s">
        <v>306</v>
      </c>
      <c r="D36" s="1254">
        <v>0</v>
      </c>
      <c r="E36" s="883">
        <v>0</v>
      </c>
      <c r="F36" s="883">
        <v>0</v>
      </c>
      <c r="G36" s="883">
        <v>0</v>
      </c>
      <c r="H36" s="883">
        <v>0</v>
      </c>
      <c r="I36" s="883">
        <v>0</v>
      </c>
      <c r="J36" s="180">
        <f t="shared" si="18"/>
        <v>0</v>
      </c>
      <c r="K36" s="883">
        <v>0</v>
      </c>
      <c r="L36" s="883">
        <v>0</v>
      </c>
      <c r="M36" s="883">
        <v>0</v>
      </c>
      <c r="N36" s="883">
        <v>0</v>
      </c>
      <c r="O36" s="883">
        <v>0</v>
      </c>
      <c r="P36" s="883">
        <v>0</v>
      </c>
      <c r="Q36" s="180">
        <f t="shared" si="19"/>
        <v>0</v>
      </c>
      <c r="R36" s="883">
        <v>0</v>
      </c>
      <c r="S36" s="883">
        <v>0</v>
      </c>
      <c r="T36" s="883">
        <v>0</v>
      </c>
      <c r="U36" s="883">
        <v>0</v>
      </c>
      <c r="V36" s="883">
        <v>0</v>
      </c>
      <c r="W36" s="883">
        <v>0</v>
      </c>
      <c r="X36" s="180">
        <f t="shared" si="20"/>
        <v>0</v>
      </c>
      <c r="Y36" s="883"/>
      <c r="Z36" s="883"/>
      <c r="AA36" s="883"/>
      <c r="AB36" s="883"/>
      <c r="AC36" s="883"/>
      <c r="AD36" s="883"/>
      <c r="AE36" s="180">
        <f t="shared" si="21"/>
        <v>0</v>
      </c>
      <c r="AF36" s="1389"/>
      <c r="AG36" s="972">
        <f>'PDYG-200'!D$37</f>
        <v>0.41660000000000003</v>
      </c>
      <c r="AH36" s="972">
        <f>'PDYG-200'!E$37</f>
        <v>0.24340000000000001</v>
      </c>
      <c r="AI36" s="972">
        <f>'PDYG-200'!F$37</f>
        <v>0.33999999999999997</v>
      </c>
    </row>
    <row r="37" spans="2:35">
      <c r="B37" s="48"/>
      <c r="C37" s="887" t="s">
        <v>305</v>
      </c>
      <c r="D37" s="1254">
        <v>45625.209381468361</v>
      </c>
      <c r="E37" s="883">
        <v>45811.351852600899</v>
      </c>
      <c r="F37" s="883">
        <v>45289.099265813718</v>
      </c>
      <c r="G37" s="883">
        <v>44974.056530436595</v>
      </c>
      <c r="H37" s="883">
        <v>41971.705176275056</v>
      </c>
      <c r="I37" s="883">
        <v>44781.597793405395</v>
      </c>
      <c r="J37" s="180">
        <f t="shared" si="18"/>
        <v>268453.02</v>
      </c>
      <c r="K37" s="883">
        <v>18484.063071191322</v>
      </c>
      <c r="L37" s="883">
        <v>18559.474652273046</v>
      </c>
      <c r="M37" s="883">
        <v>18347.895354684373</v>
      </c>
      <c r="N37" s="883">
        <v>18220.262629930312</v>
      </c>
      <c r="O37" s="883">
        <v>17003.925158945702</v>
      </c>
      <c r="P37" s="883">
        <v>18142.292150843998</v>
      </c>
      <c r="Q37" s="180">
        <f t="shared" si="19"/>
        <v>108757.91301786873</v>
      </c>
      <c r="R37" s="883">
        <v>27141.146310277039</v>
      </c>
      <c r="S37" s="883">
        <v>27251.877200327854</v>
      </c>
      <c r="T37" s="883">
        <v>26941.203911129345</v>
      </c>
      <c r="U37" s="883">
        <v>26753.793900506284</v>
      </c>
      <c r="V37" s="883">
        <v>24967.780017329354</v>
      </c>
      <c r="W37" s="883">
        <v>26639.305642561398</v>
      </c>
      <c r="X37" s="180">
        <f t="shared" si="20"/>
        <v>159695.10698213128</v>
      </c>
      <c r="Y37" s="883"/>
      <c r="Z37" s="883"/>
      <c r="AA37" s="883"/>
      <c r="AB37" s="883"/>
      <c r="AC37" s="883"/>
      <c r="AD37" s="883"/>
      <c r="AE37" s="180">
        <f t="shared" si="21"/>
        <v>0</v>
      </c>
      <c r="AF37" s="1389"/>
      <c r="AG37" s="972">
        <f>'PDYG-200'!D$37</f>
        <v>0.41660000000000003</v>
      </c>
      <c r="AH37" s="972">
        <f>'PDYG-200'!E$37</f>
        <v>0.24340000000000001</v>
      </c>
      <c r="AI37" s="972">
        <f>'PDYG-200'!F$37</f>
        <v>0.33999999999999997</v>
      </c>
    </row>
    <row r="38" spans="2:35">
      <c r="B38" s="48"/>
      <c r="C38" s="887" t="s">
        <v>307</v>
      </c>
      <c r="D38" s="1254">
        <v>0</v>
      </c>
      <c r="E38" s="883">
        <v>0</v>
      </c>
      <c r="F38" s="883">
        <v>0</v>
      </c>
      <c r="G38" s="883">
        <v>0</v>
      </c>
      <c r="H38" s="883">
        <v>0</v>
      </c>
      <c r="I38" s="883">
        <v>0</v>
      </c>
      <c r="J38" s="180">
        <f t="shared" si="18"/>
        <v>0</v>
      </c>
      <c r="K38" s="883">
        <v>0</v>
      </c>
      <c r="L38" s="883">
        <v>0</v>
      </c>
      <c r="M38" s="883">
        <v>0</v>
      </c>
      <c r="N38" s="883">
        <v>0</v>
      </c>
      <c r="O38" s="883">
        <v>0</v>
      </c>
      <c r="P38" s="883">
        <v>0</v>
      </c>
      <c r="Q38" s="180">
        <f t="shared" si="19"/>
        <v>0</v>
      </c>
      <c r="R38" s="883">
        <v>0</v>
      </c>
      <c r="S38" s="883">
        <v>0</v>
      </c>
      <c r="T38" s="883">
        <v>0</v>
      </c>
      <c r="U38" s="883">
        <v>0</v>
      </c>
      <c r="V38" s="883">
        <v>0</v>
      </c>
      <c r="W38" s="883">
        <v>0</v>
      </c>
      <c r="X38" s="180">
        <f t="shared" si="20"/>
        <v>0</v>
      </c>
      <c r="Y38" s="883"/>
      <c r="Z38" s="883"/>
      <c r="AA38" s="883"/>
      <c r="AB38" s="883"/>
      <c r="AC38" s="883"/>
      <c r="AD38" s="883"/>
      <c r="AE38" s="180">
        <f t="shared" si="21"/>
        <v>0</v>
      </c>
      <c r="AF38" s="1389"/>
      <c r="AG38" s="972">
        <f>'PDYG-200'!D$37</f>
        <v>0.41660000000000003</v>
      </c>
      <c r="AH38" s="972">
        <f>'PDYG-200'!E$37</f>
        <v>0.24340000000000001</v>
      </c>
      <c r="AI38" s="972">
        <f>'PDYG-200'!F$37</f>
        <v>0.33999999999999997</v>
      </c>
    </row>
    <row r="39" spans="2:35">
      <c r="B39" s="48" t="s">
        <v>274</v>
      </c>
      <c r="C39" s="882" t="s">
        <v>632</v>
      </c>
      <c r="D39" s="881">
        <v>4397132.5738327671</v>
      </c>
      <c r="E39" s="881">
        <v>4415072.0668079611</v>
      </c>
      <c r="F39" s="881">
        <v>4364739.9391911821</v>
      </c>
      <c r="G39" s="881">
        <v>4334377.6747181825</v>
      </c>
      <c r="H39" s="881">
        <v>4045025.8642509454</v>
      </c>
      <c r="I39" s="881">
        <v>4315829.4511989634</v>
      </c>
      <c r="J39" s="180">
        <f t="shared" si="18"/>
        <v>25872177.57</v>
      </c>
      <c r="K39" s="881">
        <v>1781402.8018494311</v>
      </c>
      <c r="L39" s="881">
        <v>1788670.5979672801</v>
      </c>
      <c r="M39" s="881">
        <v>1768279.6291588461</v>
      </c>
      <c r="N39" s="881">
        <v>1755979.0168633314</v>
      </c>
      <c r="O39" s="881">
        <v>1638754.4125941801</v>
      </c>
      <c r="P39" s="881">
        <v>1748464.6067809297</v>
      </c>
      <c r="Q39" s="180">
        <f t="shared" si="19"/>
        <v>10481551.065213999</v>
      </c>
      <c r="R39" s="881">
        <v>2615729.7719833357</v>
      </c>
      <c r="S39" s="881">
        <v>2626401.468840681</v>
      </c>
      <c r="T39" s="881">
        <v>2596460.310032336</v>
      </c>
      <c r="U39" s="881">
        <v>2578398.6578548513</v>
      </c>
      <c r="V39" s="881">
        <v>2406271.4516567653</v>
      </c>
      <c r="W39" s="881">
        <v>2567364.844418034</v>
      </c>
      <c r="X39" s="180">
        <f t="shared" si="20"/>
        <v>15390626.504786003</v>
      </c>
      <c r="Y39" s="881"/>
      <c r="Z39" s="881"/>
      <c r="AA39" s="881"/>
      <c r="AB39" s="881"/>
      <c r="AC39" s="881"/>
      <c r="AD39" s="881"/>
      <c r="AE39" s="180">
        <f t="shared" si="21"/>
        <v>0</v>
      </c>
      <c r="AF39" s="1389"/>
      <c r="AG39" s="972">
        <f>'PDYG-200'!D$37</f>
        <v>0.41660000000000003</v>
      </c>
      <c r="AH39" s="972">
        <f>'PDYG-200'!E$37</f>
        <v>0.24340000000000001</v>
      </c>
      <c r="AI39" s="972">
        <f>'PDYG-200'!F$37</f>
        <v>0.33999999999999997</v>
      </c>
    </row>
    <row r="40" spans="2:35">
      <c r="B40" s="48"/>
      <c r="C40" s="887" t="s">
        <v>304</v>
      </c>
      <c r="D40" s="1254">
        <v>4397132.5738327671</v>
      </c>
      <c r="E40" s="883">
        <v>4415072.0668079611</v>
      </c>
      <c r="F40" s="883">
        <v>4364739.9391911821</v>
      </c>
      <c r="G40" s="883">
        <v>4334377.6747181825</v>
      </c>
      <c r="H40" s="883">
        <v>4045025.8642509454</v>
      </c>
      <c r="I40" s="883">
        <v>4315829.4511989634</v>
      </c>
      <c r="J40" s="180">
        <f t="shared" si="18"/>
        <v>25872177.57</v>
      </c>
      <c r="K40" s="883">
        <v>1781402.8018494311</v>
      </c>
      <c r="L40" s="883">
        <v>1788670.5979672801</v>
      </c>
      <c r="M40" s="883">
        <v>1768279.6291588461</v>
      </c>
      <c r="N40" s="883">
        <v>1755979.0168633314</v>
      </c>
      <c r="O40" s="883">
        <v>1638754.4125941801</v>
      </c>
      <c r="P40" s="883">
        <v>1748464.6067809297</v>
      </c>
      <c r="Q40" s="180">
        <f t="shared" si="19"/>
        <v>10481551.065213999</v>
      </c>
      <c r="R40" s="883">
        <v>2615729.7719833357</v>
      </c>
      <c r="S40" s="883">
        <v>2626401.468840681</v>
      </c>
      <c r="T40" s="883">
        <v>2596460.310032336</v>
      </c>
      <c r="U40" s="883">
        <v>2578398.6578548513</v>
      </c>
      <c r="V40" s="883">
        <v>2406271.4516567653</v>
      </c>
      <c r="W40" s="883">
        <v>2567364.844418034</v>
      </c>
      <c r="X40" s="180">
        <f t="shared" si="20"/>
        <v>15390626.504786003</v>
      </c>
      <c r="Y40" s="883"/>
      <c r="Z40" s="883"/>
      <c r="AA40" s="883"/>
      <c r="AB40" s="883"/>
      <c r="AC40" s="883"/>
      <c r="AD40" s="883"/>
      <c r="AE40" s="180">
        <f t="shared" si="21"/>
        <v>0</v>
      </c>
      <c r="AF40" s="1389"/>
      <c r="AG40" s="972">
        <f>'PDYG-200'!D$37</f>
        <v>0.41660000000000003</v>
      </c>
      <c r="AH40" s="972">
        <f>'PDYG-200'!E$37</f>
        <v>0.24340000000000001</v>
      </c>
      <c r="AI40" s="972">
        <f>'PDYG-200'!F$37</f>
        <v>0.33999999999999997</v>
      </c>
    </row>
    <row r="41" spans="2:35">
      <c r="B41" s="48"/>
      <c r="C41" s="888" t="s">
        <v>306</v>
      </c>
      <c r="D41" s="1254">
        <v>0</v>
      </c>
      <c r="E41" s="883">
        <v>0</v>
      </c>
      <c r="F41" s="883">
        <v>0</v>
      </c>
      <c r="G41" s="883">
        <v>0</v>
      </c>
      <c r="H41" s="883">
        <v>0</v>
      </c>
      <c r="I41" s="883">
        <v>0</v>
      </c>
      <c r="J41" s="180">
        <f t="shared" si="18"/>
        <v>0</v>
      </c>
      <c r="K41" s="883">
        <v>0</v>
      </c>
      <c r="L41" s="883">
        <v>0</v>
      </c>
      <c r="M41" s="883">
        <v>0</v>
      </c>
      <c r="N41" s="883">
        <v>0</v>
      </c>
      <c r="O41" s="883">
        <v>0</v>
      </c>
      <c r="P41" s="883">
        <v>0</v>
      </c>
      <c r="Q41" s="180">
        <f t="shared" si="19"/>
        <v>0</v>
      </c>
      <c r="R41" s="883">
        <v>0</v>
      </c>
      <c r="S41" s="883">
        <v>0</v>
      </c>
      <c r="T41" s="883">
        <v>0</v>
      </c>
      <c r="U41" s="883">
        <v>0</v>
      </c>
      <c r="V41" s="883">
        <v>0</v>
      </c>
      <c r="W41" s="883">
        <v>0</v>
      </c>
      <c r="X41" s="180">
        <f t="shared" si="20"/>
        <v>0</v>
      </c>
      <c r="Y41" s="883"/>
      <c r="Z41" s="883"/>
      <c r="AA41" s="883"/>
      <c r="AB41" s="883"/>
      <c r="AC41" s="883"/>
      <c r="AD41" s="883"/>
      <c r="AE41" s="180">
        <f t="shared" si="21"/>
        <v>0</v>
      </c>
      <c r="AF41" s="1389"/>
      <c r="AG41" s="972">
        <f>'PDYG-200'!D$37</f>
        <v>0.41660000000000003</v>
      </c>
      <c r="AH41" s="972">
        <f>'PDYG-200'!E$37</f>
        <v>0.24340000000000001</v>
      </c>
      <c r="AI41" s="972">
        <f>'PDYG-200'!F$37</f>
        <v>0.33999999999999997</v>
      </c>
    </row>
    <row r="42" spans="2:35">
      <c r="B42" s="48"/>
      <c r="C42" s="887" t="s">
        <v>305</v>
      </c>
      <c r="D42" s="1254">
        <v>0</v>
      </c>
      <c r="E42" s="883">
        <v>0</v>
      </c>
      <c r="F42" s="883">
        <v>0</v>
      </c>
      <c r="G42" s="883">
        <v>0</v>
      </c>
      <c r="H42" s="883">
        <v>0</v>
      </c>
      <c r="I42" s="883">
        <v>0</v>
      </c>
      <c r="J42" s="180">
        <f t="shared" si="18"/>
        <v>0</v>
      </c>
      <c r="K42" s="883">
        <v>0</v>
      </c>
      <c r="L42" s="883">
        <v>0</v>
      </c>
      <c r="M42" s="883">
        <v>0</v>
      </c>
      <c r="N42" s="883">
        <v>0</v>
      </c>
      <c r="O42" s="883">
        <v>0</v>
      </c>
      <c r="P42" s="883">
        <v>0</v>
      </c>
      <c r="Q42" s="180">
        <f t="shared" si="19"/>
        <v>0</v>
      </c>
      <c r="R42" s="883">
        <v>0</v>
      </c>
      <c r="S42" s="883">
        <v>0</v>
      </c>
      <c r="T42" s="883">
        <v>0</v>
      </c>
      <c r="U42" s="883">
        <v>0</v>
      </c>
      <c r="V42" s="883">
        <v>0</v>
      </c>
      <c r="W42" s="883">
        <v>0</v>
      </c>
      <c r="X42" s="180">
        <f t="shared" si="20"/>
        <v>0</v>
      </c>
      <c r="Y42" s="883"/>
      <c r="Z42" s="883"/>
      <c r="AA42" s="883"/>
      <c r="AB42" s="883"/>
      <c r="AC42" s="883"/>
      <c r="AD42" s="883"/>
      <c r="AE42" s="180">
        <f t="shared" si="21"/>
        <v>0</v>
      </c>
      <c r="AF42" s="1389"/>
      <c r="AG42" s="972">
        <f>'PDYG-200'!D$37</f>
        <v>0.41660000000000003</v>
      </c>
      <c r="AH42" s="972">
        <f>'PDYG-200'!E$37</f>
        <v>0.24340000000000001</v>
      </c>
      <c r="AI42" s="972">
        <f>'PDYG-200'!F$37</f>
        <v>0.33999999999999997</v>
      </c>
    </row>
    <row r="43" spans="2:35">
      <c r="B43" s="48"/>
      <c r="C43" s="887" t="s">
        <v>307</v>
      </c>
      <c r="D43" s="1254">
        <v>0</v>
      </c>
      <c r="E43" s="883">
        <v>0</v>
      </c>
      <c r="F43" s="883">
        <v>0</v>
      </c>
      <c r="G43" s="883">
        <v>0</v>
      </c>
      <c r="H43" s="883">
        <v>0</v>
      </c>
      <c r="I43" s="883">
        <v>0</v>
      </c>
      <c r="J43" s="180">
        <f t="shared" si="18"/>
        <v>0</v>
      </c>
      <c r="K43" s="883">
        <v>0</v>
      </c>
      <c r="L43" s="883">
        <v>0</v>
      </c>
      <c r="M43" s="883">
        <v>0</v>
      </c>
      <c r="N43" s="883">
        <v>0</v>
      </c>
      <c r="O43" s="883">
        <v>0</v>
      </c>
      <c r="P43" s="883">
        <v>0</v>
      </c>
      <c r="Q43" s="180">
        <f t="shared" si="19"/>
        <v>0</v>
      </c>
      <c r="R43" s="883">
        <v>0</v>
      </c>
      <c r="S43" s="883">
        <v>0</v>
      </c>
      <c r="T43" s="883">
        <v>0</v>
      </c>
      <c r="U43" s="883">
        <v>0</v>
      </c>
      <c r="V43" s="883">
        <v>0</v>
      </c>
      <c r="W43" s="883">
        <v>0</v>
      </c>
      <c r="X43" s="180">
        <f t="shared" si="20"/>
        <v>0</v>
      </c>
      <c r="Y43" s="883"/>
      <c r="Z43" s="883"/>
      <c r="AA43" s="883"/>
      <c r="AB43" s="883"/>
      <c r="AC43" s="883"/>
      <c r="AD43" s="883"/>
      <c r="AE43" s="180">
        <f t="shared" si="21"/>
        <v>0</v>
      </c>
      <c r="AF43" s="1389"/>
      <c r="AG43" s="972">
        <f>'PDYG-200'!D$37</f>
        <v>0.41660000000000003</v>
      </c>
      <c r="AH43" s="972">
        <f>'PDYG-200'!E$37</f>
        <v>0.24340000000000001</v>
      </c>
      <c r="AI43" s="972">
        <f>'PDYG-200'!F$37</f>
        <v>0.33999999999999997</v>
      </c>
    </row>
    <row r="44" spans="2:35">
      <c r="B44" s="48" t="s">
        <v>274</v>
      </c>
      <c r="C44" s="882" t="s">
        <v>633</v>
      </c>
      <c r="D44" s="881">
        <v>4276579.9221564168</v>
      </c>
      <c r="E44" s="881">
        <v>4294027.5824630307</v>
      </c>
      <c r="F44" s="881">
        <v>4245075.3703586524</v>
      </c>
      <c r="G44" s="881">
        <v>4215545.5237015048</v>
      </c>
      <c r="H44" s="881">
        <v>3934126.6393931829</v>
      </c>
      <c r="I44" s="881">
        <v>4197505.821927214</v>
      </c>
      <c r="J44" s="180">
        <f t="shared" si="18"/>
        <v>25162860.859999999</v>
      </c>
      <c r="K44" s="881">
        <v>1732563.5121849307</v>
      </c>
      <c r="L44" s="881">
        <v>1739632.0529746453</v>
      </c>
      <c r="M44" s="881">
        <v>1719800.1269785054</v>
      </c>
      <c r="N44" s="881">
        <v>1707836.7506895403</v>
      </c>
      <c r="O44" s="881">
        <v>1593825.9992322086</v>
      </c>
      <c r="P44" s="881">
        <v>1700528.3571522406</v>
      </c>
      <c r="Q44" s="180">
        <f t="shared" si="19"/>
        <v>10194186.79921207</v>
      </c>
      <c r="R44" s="881">
        <v>2544016.4099714858</v>
      </c>
      <c r="S44" s="881">
        <v>2554395.5294883857</v>
      </c>
      <c r="T44" s="881">
        <v>2525275.243380147</v>
      </c>
      <c r="U44" s="881">
        <v>2507708.7730119647</v>
      </c>
      <c r="V44" s="881">
        <v>2340300.6401609741</v>
      </c>
      <c r="W44" s="881">
        <v>2496977.4647749737</v>
      </c>
      <c r="X44" s="180">
        <f t="shared" si="20"/>
        <v>14968674.060787931</v>
      </c>
      <c r="Y44" s="881"/>
      <c r="Z44" s="881"/>
      <c r="AA44" s="881"/>
      <c r="AB44" s="881"/>
      <c r="AC44" s="881"/>
      <c r="AD44" s="881"/>
      <c r="AE44" s="180">
        <f t="shared" si="21"/>
        <v>0</v>
      </c>
      <c r="AF44" s="1389"/>
      <c r="AG44" s="972">
        <f>'PDYG-200'!D$37</f>
        <v>0.41660000000000003</v>
      </c>
      <c r="AH44" s="972">
        <f>'PDYG-200'!E$37</f>
        <v>0.24340000000000001</v>
      </c>
      <c r="AI44" s="972">
        <f>'PDYG-200'!F$37</f>
        <v>0.33999999999999997</v>
      </c>
    </row>
    <row r="45" spans="2:35">
      <c r="B45" s="48"/>
      <c r="C45" s="887" t="s">
        <v>304</v>
      </c>
      <c r="D45" s="1254">
        <v>4276579.9221564168</v>
      </c>
      <c r="E45" s="883">
        <v>4294027.5824630307</v>
      </c>
      <c r="F45" s="883">
        <v>4245075.3703586524</v>
      </c>
      <c r="G45" s="883">
        <v>4215545.5237015048</v>
      </c>
      <c r="H45" s="883">
        <v>3934126.6393931829</v>
      </c>
      <c r="I45" s="883">
        <v>4197505.821927214</v>
      </c>
      <c r="J45" s="180">
        <f t="shared" si="18"/>
        <v>25162860.859999999</v>
      </c>
      <c r="K45" s="883">
        <v>1732563.5121849307</v>
      </c>
      <c r="L45" s="883">
        <v>1739632.0529746453</v>
      </c>
      <c r="M45" s="883">
        <v>1719800.1269785054</v>
      </c>
      <c r="N45" s="883">
        <v>1707836.7506895403</v>
      </c>
      <c r="O45" s="883">
        <v>1593825.9992322086</v>
      </c>
      <c r="P45" s="883">
        <v>1700528.3571522406</v>
      </c>
      <c r="Q45" s="180">
        <f t="shared" si="19"/>
        <v>10194186.79921207</v>
      </c>
      <c r="R45" s="883">
        <v>2544016.4099714858</v>
      </c>
      <c r="S45" s="883">
        <v>2554395.5294883857</v>
      </c>
      <c r="T45" s="883">
        <v>2525275.243380147</v>
      </c>
      <c r="U45" s="883">
        <v>2507708.7730119647</v>
      </c>
      <c r="V45" s="883">
        <v>2340300.6401609741</v>
      </c>
      <c r="W45" s="883">
        <v>2496977.4647749737</v>
      </c>
      <c r="X45" s="180">
        <f t="shared" si="20"/>
        <v>14968674.060787931</v>
      </c>
      <c r="Y45" s="883"/>
      <c r="Z45" s="883"/>
      <c r="AA45" s="883"/>
      <c r="AB45" s="883"/>
      <c r="AC45" s="883"/>
      <c r="AD45" s="883"/>
      <c r="AE45" s="180">
        <f t="shared" si="21"/>
        <v>0</v>
      </c>
      <c r="AF45" s="1389"/>
      <c r="AG45" s="972">
        <f>'PDYG-200'!D$37</f>
        <v>0.41660000000000003</v>
      </c>
      <c r="AH45" s="972">
        <f>'PDYG-200'!E$37</f>
        <v>0.24340000000000001</v>
      </c>
      <c r="AI45" s="972">
        <f>'PDYG-200'!F$37</f>
        <v>0.33999999999999997</v>
      </c>
    </row>
    <row r="46" spans="2:35">
      <c r="B46" s="48"/>
      <c r="C46" s="888" t="s">
        <v>306</v>
      </c>
      <c r="D46" s="1254">
        <v>0</v>
      </c>
      <c r="E46" s="883">
        <v>0</v>
      </c>
      <c r="F46" s="883">
        <v>0</v>
      </c>
      <c r="G46" s="883">
        <v>0</v>
      </c>
      <c r="H46" s="883">
        <v>0</v>
      </c>
      <c r="I46" s="883">
        <v>0</v>
      </c>
      <c r="J46" s="180">
        <f t="shared" si="18"/>
        <v>0</v>
      </c>
      <c r="K46" s="883">
        <v>0</v>
      </c>
      <c r="L46" s="883">
        <v>0</v>
      </c>
      <c r="M46" s="883">
        <v>0</v>
      </c>
      <c r="N46" s="883">
        <v>0</v>
      </c>
      <c r="O46" s="883">
        <v>0</v>
      </c>
      <c r="P46" s="883">
        <v>0</v>
      </c>
      <c r="Q46" s="180">
        <f t="shared" si="19"/>
        <v>0</v>
      </c>
      <c r="R46" s="883">
        <v>0</v>
      </c>
      <c r="S46" s="883">
        <v>0</v>
      </c>
      <c r="T46" s="883">
        <v>0</v>
      </c>
      <c r="U46" s="883">
        <v>0</v>
      </c>
      <c r="V46" s="883">
        <v>0</v>
      </c>
      <c r="W46" s="883">
        <v>0</v>
      </c>
      <c r="X46" s="180">
        <f t="shared" si="20"/>
        <v>0</v>
      </c>
      <c r="Y46" s="883"/>
      <c r="Z46" s="883"/>
      <c r="AA46" s="883"/>
      <c r="AB46" s="883"/>
      <c r="AC46" s="883"/>
      <c r="AD46" s="883"/>
      <c r="AE46" s="180">
        <f t="shared" si="21"/>
        <v>0</v>
      </c>
      <c r="AF46" s="1389"/>
      <c r="AG46" s="972">
        <f>'PDYG-200'!D$37</f>
        <v>0.41660000000000003</v>
      </c>
      <c r="AH46" s="972">
        <f>'PDYG-200'!E$37</f>
        <v>0.24340000000000001</v>
      </c>
      <c r="AI46" s="972">
        <f>'PDYG-200'!F$37</f>
        <v>0.33999999999999997</v>
      </c>
    </row>
    <row r="47" spans="2:35">
      <c r="B47" s="48"/>
      <c r="C47" s="887" t="s">
        <v>305</v>
      </c>
      <c r="D47" s="1254">
        <v>0</v>
      </c>
      <c r="E47" s="883">
        <v>0</v>
      </c>
      <c r="F47" s="883">
        <v>0</v>
      </c>
      <c r="G47" s="883">
        <v>0</v>
      </c>
      <c r="H47" s="883">
        <v>0</v>
      </c>
      <c r="I47" s="883">
        <v>0</v>
      </c>
      <c r="J47" s="180">
        <f t="shared" si="18"/>
        <v>0</v>
      </c>
      <c r="K47" s="883">
        <v>0</v>
      </c>
      <c r="L47" s="883">
        <v>0</v>
      </c>
      <c r="M47" s="883">
        <v>0</v>
      </c>
      <c r="N47" s="883">
        <v>0</v>
      </c>
      <c r="O47" s="883">
        <v>0</v>
      </c>
      <c r="P47" s="883">
        <v>0</v>
      </c>
      <c r="Q47" s="180">
        <f t="shared" si="19"/>
        <v>0</v>
      </c>
      <c r="R47" s="883">
        <v>0</v>
      </c>
      <c r="S47" s="883">
        <v>0</v>
      </c>
      <c r="T47" s="883">
        <v>0</v>
      </c>
      <c r="U47" s="883">
        <v>0</v>
      </c>
      <c r="V47" s="883">
        <v>0</v>
      </c>
      <c r="W47" s="883">
        <v>0</v>
      </c>
      <c r="X47" s="180">
        <f t="shared" si="20"/>
        <v>0</v>
      </c>
      <c r="Y47" s="883"/>
      <c r="Z47" s="883"/>
      <c r="AA47" s="883"/>
      <c r="AB47" s="883"/>
      <c r="AC47" s="883"/>
      <c r="AD47" s="883"/>
      <c r="AE47" s="180">
        <f t="shared" si="21"/>
        <v>0</v>
      </c>
      <c r="AF47" s="1389"/>
      <c r="AG47" s="972">
        <f>'PDYG-200'!D$37</f>
        <v>0.41660000000000003</v>
      </c>
      <c r="AH47" s="972">
        <f>'PDYG-200'!E$37</f>
        <v>0.24340000000000001</v>
      </c>
      <c r="AI47" s="972">
        <f>'PDYG-200'!F$37</f>
        <v>0.33999999999999997</v>
      </c>
    </row>
    <row r="48" spans="2:35">
      <c r="B48" s="48"/>
      <c r="C48" s="887" t="s">
        <v>307</v>
      </c>
      <c r="D48" s="1254">
        <v>0</v>
      </c>
      <c r="E48" s="883">
        <v>0</v>
      </c>
      <c r="F48" s="883">
        <v>0</v>
      </c>
      <c r="G48" s="883">
        <v>0</v>
      </c>
      <c r="H48" s="883">
        <v>0</v>
      </c>
      <c r="I48" s="883">
        <v>0</v>
      </c>
      <c r="J48" s="180">
        <f t="shared" si="18"/>
        <v>0</v>
      </c>
      <c r="K48" s="883">
        <v>0</v>
      </c>
      <c r="L48" s="883">
        <v>0</v>
      </c>
      <c r="M48" s="883">
        <v>0</v>
      </c>
      <c r="N48" s="883">
        <v>0</v>
      </c>
      <c r="O48" s="883">
        <v>0</v>
      </c>
      <c r="P48" s="883">
        <v>0</v>
      </c>
      <c r="Q48" s="180">
        <f t="shared" si="19"/>
        <v>0</v>
      </c>
      <c r="R48" s="883">
        <v>0</v>
      </c>
      <c r="S48" s="883">
        <v>0</v>
      </c>
      <c r="T48" s="883">
        <v>0</v>
      </c>
      <c r="U48" s="883">
        <v>0</v>
      </c>
      <c r="V48" s="883">
        <v>0</v>
      </c>
      <c r="W48" s="883">
        <v>0</v>
      </c>
      <c r="X48" s="180">
        <f t="shared" si="20"/>
        <v>0</v>
      </c>
      <c r="Y48" s="883"/>
      <c r="Z48" s="883"/>
      <c r="AA48" s="883"/>
      <c r="AB48" s="883"/>
      <c r="AC48" s="883"/>
      <c r="AD48" s="883"/>
      <c r="AE48" s="180">
        <f t="shared" si="21"/>
        <v>0</v>
      </c>
      <c r="AF48" s="1389"/>
      <c r="AG48" s="972">
        <f>'PDYG-200'!D$37</f>
        <v>0.41660000000000003</v>
      </c>
      <c r="AH48" s="972">
        <f>'PDYG-200'!E$37</f>
        <v>0.24340000000000001</v>
      </c>
      <c r="AI48" s="972">
        <f>'PDYG-200'!F$37</f>
        <v>0.33999999999999997</v>
      </c>
    </row>
    <row r="49" spans="2:35">
      <c r="B49" s="48"/>
      <c r="C49" s="1256"/>
      <c r="D49" s="883"/>
      <c r="E49" s="883"/>
      <c r="F49" s="883"/>
      <c r="G49" s="883"/>
      <c r="H49" s="883"/>
      <c r="I49" s="883"/>
      <c r="J49" s="180">
        <f t="shared" si="18"/>
        <v>0</v>
      </c>
      <c r="K49" s="883"/>
      <c r="L49" s="883"/>
      <c r="M49" s="883"/>
      <c r="N49" s="883"/>
      <c r="O49" s="883"/>
      <c r="P49" s="883"/>
      <c r="Q49" s="180">
        <f t="shared" si="19"/>
        <v>0</v>
      </c>
      <c r="R49" s="883">
        <f t="shared" si="22"/>
        <v>0</v>
      </c>
      <c r="S49" s="883">
        <f t="shared" si="23"/>
        <v>0</v>
      </c>
      <c r="T49" s="883">
        <f t="shared" si="24"/>
        <v>0</v>
      </c>
      <c r="U49" s="883">
        <f t="shared" si="25"/>
        <v>0</v>
      </c>
      <c r="V49" s="883">
        <f t="shared" si="26"/>
        <v>0</v>
      </c>
      <c r="W49" s="883">
        <f t="shared" si="27"/>
        <v>0</v>
      </c>
      <c r="X49" s="180">
        <f t="shared" si="20"/>
        <v>0</v>
      </c>
      <c r="Y49" s="883"/>
      <c r="Z49" s="883"/>
      <c r="AA49" s="883"/>
      <c r="AB49" s="883"/>
      <c r="AC49" s="883"/>
      <c r="AD49" s="883"/>
      <c r="AE49" s="180">
        <f t="shared" si="21"/>
        <v>0</v>
      </c>
      <c r="AF49" s="1389"/>
      <c r="AG49" s="972"/>
      <c r="AH49" s="972"/>
      <c r="AI49" s="972"/>
    </row>
    <row r="50" spans="2:35">
      <c r="B50" s="48" t="s">
        <v>1176</v>
      </c>
      <c r="C50" s="882" t="s">
        <v>1176</v>
      </c>
      <c r="D50" s="881">
        <v>2153.5230469195258</v>
      </c>
      <c r="E50" s="881">
        <v>2162.3090252641491</v>
      </c>
      <c r="F50" s="881">
        <v>2137.6585524837142</v>
      </c>
      <c r="G50" s="881">
        <v>2122.7884444755136</v>
      </c>
      <c r="H50" s="881">
        <v>1981.0765942990388</v>
      </c>
      <c r="I50" s="881">
        <v>2113.7043365580589</v>
      </c>
      <c r="J50" s="180">
        <f t="shared" si="18"/>
        <v>12671.060000000001</v>
      </c>
      <c r="K50" s="881">
        <v>506.17358788975559</v>
      </c>
      <c r="L50" s="881">
        <v>508.23868312436713</v>
      </c>
      <c r="M50" s="881">
        <v>502.44472690537066</v>
      </c>
      <c r="N50" s="881">
        <v>498.94959090783129</v>
      </c>
      <c r="O50" s="881">
        <v>465.64101046197635</v>
      </c>
      <c r="P50" s="881">
        <v>496.81442197897627</v>
      </c>
      <c r="Q50" s="180">
        <f t="shared" si="19"/>
        <v>2978.2620212682777</v>
      </c>
      <c r="R50" s="881">
        <v>653.65961070114622</v>
      </c>
      <c r="S50" s="881">
        <v>656.32642180985022</v>
      </c>
      <c r="T50" s="881">
        <v>648.84425510431765</v>
      </c>
      <c r="U50" s="881">
        <v>644.33072597091541</v>
      </c>
      <c r="V50" s="881">
        <v>601.31687805756405</v>
      </c>
      <c r="W50" s="881">
        <v>641.57342348771954</v>
      </c>
      <c r="X50" s="180">
        <f t="shared" si="20"/>
        <v>3846.0513151315131</v>
      </c>
      <c r="Y50" s="881">
        <v>993.68984832862407</v>
      </c>
      <c r="Z50" s="881">
        <v>997.74392032993171</v>
      </c>
      <c r="AA50" s="881">
        <v>986.36957047402564</v>
      </c>
      <c r="AB50" s="881">
        <v>979.50812759676683</v>
      </c>
      <c r="AC50" s="881">
        <v>914.11870577949844</v>
      </c>
      <c r="AD50" s="881">
        <v>975.31649109136299</v>
      </c>
      <c r="AE50" s="180">
        <f t="shared" si="21"/>
        <v>5846.74666360021</v>
      </c>
      <c r="AF50" s="1389"/>
      <c r="AG50" s="972">
        <f>'PDYG-200'!D$38</f>
        <v>0.2417</v>
      </c>
      <c r="AH50" s="972">
        <f>'PDYG-200'!E$38</f>
        <v>0.30353035303530351</v>
      </c>
      <c r="AI50" s="972">
        <f>'PDYG-200'!F$38</f>
        <v>0.45476964696469646</v>
      </c>
    </row>
    <row r="51" spans="2:35">
      <c r="B51" s="48"/>
      <c r="C51" s="887" t="s">
        <v>304</v>
      </c>
      <c r="D51" s="883">
        <v>727.00221214898318</v>
      </c>
      <c r="E51" s="883">
        <v>729.96824759567642</v>
      </c>
      <c r="F51" s="883">
        <v>721.64655897129444</v>
      </c>
      <c r="G51" s="883">
        <v>716.62659810655236</v>
      </c>
      <c r="H51" s="883">
        <v>668.7864653002689</v>
      </c>
      <c r="I51" s="883">
        <v>713.55991787722462</v>
      </c>
      <c r="J51" s="180">
        <f t="shared" si="18"/>
        <v>4277.59</v>
      </c>
      <c r="K51" s="883">
        <v>170.87781746920459</v>
      </c>
      <c r="L51" s="883">
        <v>171.57496756750908</v>
      </c>
      <c r="M51" s="883">
        <v>169.61900104357051</v>
      </c>
      <c r="N51" s="883">
        <v>168.43908722485963</v>
      </c>
      <c r="O51" s="883">
        <v>157.19453068188812</v>
      </c>
      <c r="P51" s="883">
        <v>167.71828113141669</v>
      </c>
      <c r="Q51" s="180">
        <f t="shared" si="19"/>
        <v>1005.4236851184487</v>
      </c>
      <c r="R51" s="883">
        <v>220.66723811102747</v>
      </c>
      <c r="S51" s="883">
        <v>221.56751989727752</v>
      </c>
      <c r="T51" s="883">
        <v>219.04163481126898</v>
      </c>
      <c r="U51" s="883">
        <v>217.51792431777039</v>
      </c>
      <c r="V51" s="883">
        <v>202.99699191782338</v>
      </c>
      <c r="W51" s="883">
        <v>216.58709378511617</v>
      </c>
      <c r="X51" s="180">
        <f t="shared" si="20"/>
        <v>1298.378402840284</v>
      </c>
      <c r="Y51" s="883">
        <v>335.45715656875109</v>
      </c>
      <c r="Z51" s="883">
        <v>336.82576013088976</v>
      </c>
      <c r="AA51" s="883">
        <v>332.98592311645496</v>
      </c>
      <c r="AB51" s="883">
        <v>330.66958656392239</v>
      </c>
      <c r="AC51" s="883">
        <v>308.5949427005574</v>
      </c>
      <c r="AD51" s="883">
        <v>329.25454296069177</v>
      </c>
      <c r="AE51" s="180">
        <f t="shared" si="21"/>
        <v>1973.7879120412672</v>
      </c>
      <c r="AF51" s="1389"/>
      <c r="AG51" s="972">
        <f>'PDYG-200'!D$38</f>
        <v>0.2417</v>
      </c>
      <c r="AH51" s="972">
        <f>'PDYG-200'!E$38</f>
        <v>0.30353035303530351</v>
      </c>
      <c r="AI51" s="972">
        <f>'PDYG-200'!F$38</f>
        <v>0.45476964696469646</v>
      </c>
    </row>
    <row r="52" spans="2:35">
      <c r="B52" s="48"/>
      <c r="C52" s="889" t="s">
        <v>642</v>
      </c>
      <c r="D52" s="883">
        <v>0</v>
      </c>
      <c r="E52" s="883">
        <v>0</v>
      </c>
      <c r="F52" s="883">
        <v>0</v>
      </c>
      <c r="G52" s="883">
        <v>0</v>
      </c>
      <c r="H52" s="883">
        <v>0</v>
      </c>
      <c r="I52" s="883">
        <v>0</v>
      </c>
      <c r="J52" s="180">
        <f t="shared" si="18"/>
        <v>0</v>
      </c>
      <c r="K52" s="883">
        <v>0</v>
      </c>
      <c r="L52" s="883">
        <v>0</v>
      </c>
      <c r="M52" s="883">
        <v>0</v>
      </c>
      <c r="N52" s="883">
        <v>0</v>
      </c>
      <c r="O52" s="883">
        <v>0</v>
      </c>
      <c r="P52" s="883">
        <v>0</v>
      </c>
      <c r="Q52" s="180">
        <f t="shared" si="19"/>
        <v>0</v>
      </c>
      <c r="R52" s="883">
        <v>0</v>
      </c>
      <c r="S52" s="883">
        <v>0</v>
      </c>
      <c r="T52" s="883">
        <v>0</v>
      </c>
      <c r="U52" s="883">
        <v>0</v>
      </c>
      <c r="V52" s="883">
        <v>0</v>
      </c>
      <c r="W52" s="883">
        <v>0</v>
      </c>
      <c r="X52" s="180">
        <f t="shared" si="20"/>
        <v>0</v>
      </c>
      <c r="Y52" s="883">
        <v>0</v>
      </c>
      <c r="Z52" s="883">
        <v>0</v>
      </c>
      <c r="AA52" s="883">
        <v>0</v>
      </c>
      <c r="AB52" s="883">
        <v>0</v>
      </c>
      <c r="AC52" s="883">
        <v>0</v>
      </c>
      <c r="AD52" s="883">
        <v>0</v>
      </c>
      <c r="AE52" s="180">
        <f t="shared" si="21"/>
        <v>0</v>
      </c>
      <c r="AF52" s="1389"/>
      <c r="AG52" s="972">
        <f>'PDYG-200'!D$38</f>
        <v>0.2417</v>
      </c>
      <c r="AH52" s="972">
        <f>'PDYG-200'!E$38</f>
        <v>0.30353035303530351</v>
      </c>
      <c r="AI52" s="972">
        <f>'PDYG-200'!F$38</f>
        <v>0.45476964696469646</v>
      </c>
    </row>
    <row r="53" spans="2:35">
      <c r="B53" s="48"/>
      <c r="C53" s="889" t="s">
        <v>1177</v>
      </c>
      <c r="D53" s="883">
        <v>1426.5208347705427</v>
      </c>
      <c r="E53" s="883">
        <v>1432.3407776684728</v>
      </c>
      <c r="F53" s="883">
        <v>1416.0119935124196</v>
      </c>
      <c r="G53" s="883">
        <v>1406.1618463689611</v>
      </c>
      <c r="H53" s="883">
        <v>1312.2901289987699</v>
      </c>
      <c r="I53" s="883">
        <v>1400.1444186808342</v>
      </c>
      <c r="J53" s="180">
        <f t="shared" si="18"/>
        <v>8393.4700000000012</v>
      </c>
      <c r="K53" s="883">
        <v>335.29577042055098</v>
      </c>
      <c r="L53" s="883">
        <v>336.66371555685805</v>
      </c>
      <c r="M53" s="883">
        <v>332.82572586180015</v>
      </c>
      <c r="N53" s="883">
        <v>330.51050368297166</v>
      </c>
      <c r="O53" s="883">
        <v>308.44647978008823</v>
      </c>
      <c r="P53" s="883">
        <v>329.09614084755958</v>
      </c>
      <c r="Q53" s="180">
        <f t="shared" si="19"/>
        <v>1972.8383361498286</v>
      </c>
      <c r="R53" s="883">
        <v>432.99237259011869</v>
      </c>
      <c r="S53" s="883">
        <v>434.75890191257275</v>
      </c>
      <c r="T53" s="883">
        <v>429.80262029304862</v>
      </c>
      <c r="U53" s="883">
        <v>426.81280165314496</v>
      </c>
      <c r="V53" s="883">
        <v>398.31988613974062</v>
      </c>
      <c r="W53" s="883">
        <v>424.98632970260343</v>
      </c>
      <c r="X53" s="180">
        <f t="shared" si="20"/>
        <v>2547.6729122912293</v>
      </c>
      <c r="Y53" s="883">
        <v>658.23269175987298</v>
      </c>
      <c r="Z53" s="883">
        <v>660.91816019904195</v>
      </c>
      <c r="AA53" s="883">
        <v>653.38364735757068</v>
      </c>
      <c r="AB53" s="883">
        <v>648.83854103284443</v>
      </c>
      <c r="AC53" s="883">
        <v>605.5237630789411</v>
      </c>
      <c r="AD53" s="883">
        <v>646.06194813067123</v>
      </c>
      <c r="AE53" s="180">
        <f t="shared" si="21"/>
        <v>3872.9587515589424</v>
      </c>
      <c r="AF53" s="1389"/>
      <c r="AG53" s="972">
        <f>'PDYG-200'!D$38</f>
        <v>0.2417</v>
      </c>
      <c r="AH53" s="972">
        <f>'PDYG-200'!E$38</f>
        <v>0.30353035303530351</v>
      </c>
      <c r="AI53" s="972">
        <f>'PDYG-200'!F$38</f>
        <v>0.45476964696469646</v>
      </c>
    </row>
    <row r="54" spans="2:35">
      <c r="B54" s="48"/>
      <c r="C54" s="887" t="s">
        <v>305</v>
      </c>
      <c r="D54" s="883">
        <v>0</v>
      </c>
      <c r="E54" s="883">
        <v>0</v>
      </c>
      <c r="F54" s="883">
        <v>0</v>
      </c>
      <c r="G54" s="883">
        <v>0</v>
      </c>
      <c r="H54" s="883">
        <v>0</v>
      </c>
      <c r="I54" s="883">
        <v>0</v>
      </c>
      <c r="J54" s="180">
        <f t="shared" si="18"/>
        <v>0</v>
      </c>
      <c r="K54" s="883">
        <v>0</v>
      </c>
      <c r="L54" s="883">
        <v>0</v>
      </c>
      <c r="M54" s="883">
        <v>0</v>
      </c>
      <c r="N54" s="883">
        <v>0</v>
      </c>
      <c r="O54" s="883">
        <v>0</v>
      </c>
      <c r="P54" s="883">
        <v>0</v>
      </c>
      <c r="Q54" s="180">
        <f t="shared" si="19"/>
        <v>0</v>
      </c>
      <c r="R54" s="883">
        <v>0</v>
      </c>
      <c r="S54" s="883">
        <v>0</v>
      </c>
      <c r="T54" s="883">
        <v>0</v>
      </c>
      <c r="U54" s="883">
        <v>0</v>
      </c>
      <c r="V54" s="883">
        <v>0</v>
      </c>
      <c r="W54" s="883">
        <v>0</v>
      </c>
      <c r="X54" s="180">
        <f t="shared" si="20"/>
        <v>0</v>
      </c>
      <c r="Y54" s="883">
        <v>0</v>
      </c>
      <c r="Z54" s="883">
        <v>0</v>
      </c>
      <c r="AA54" s="883">
        <v>0</v>
      </c>
      <c r="AB54" s="883">
        <v>0</v>
      </c>
      <c r="AC54" s="883">
        <v>0</v>
      </c>
      <c r="AD54" s="883">
        <v>0</v>
      </c>
      <c r="AE54" s="180">
        <f t="shared" si="21"/>
        <v>0</v>
      </c>
      <c r="AF54" s="1389"/>
      <c r="AG54" s="972">
        <f>'PDYG-200'!D$38</f>
        <v>0.2417</v>
      </c>
      <c r="AH54" s="972">
        <f>'PDYG-200'!E$38</f>
        <v>0.30353035303530351</v>
      </c>
      <c r="AI54" s="972">
        <f>'PDYG-200'!F$38</f>
        <v>0.45476964696469646</v>
      </c>
    </row>
    <row r="55" spans="2:35">
      <c r="B55" s="48"/>
      <c r="C55" s="887" t="s">
        <v>307</v>
      </c>
      <c r="D55" s="883">
        <v>0</v>
      </c>
      <c r="E55" s="883">
        <v>0</v>
      </c>
      <c r="F55" s="883">
        <v>0</v>
      </c>
      <c r="G55" s="883">
        <v>0</v>
      </c>
      <c r="H55" s="883">
        <v>0</v>
      </c>
      <c r="I55" s="883">
        <v>0</v>
      </c>
      <c r="J55" s="180">
        <f t="shared" si="18"/>
        <v>0</v>
      </c>
      <c r="K55" s="883">
        <v>0</v>
      </c>
      <c r="L55" s="883">
        <v>0</v>
      </c>
      <c r="M55" s="883">
        <v>0</v>
      </c>
      <c r="N55" s="883">
        <v>0</v>
      </c>
      <c r="O55" s="883">
        <v>0</v>
      </c>
      <c r="P55" s="883">
        <v>0</v>
      </c>
      <c r="Q55" s="180">
        <f t="shared" si="19"/>
        <v>0</v>
      </c>
      <c r="R55" s="883">
        <v>0</v>
      </c>
      <c r="S55" s="883">
        <v>0</v>
      </c>
      <c r="T55" s="883">
        <v>0</v>
      </c>
      <c r="U55" s="883">
        <v>0</v>
      </c>
      <c r="V55" s="883">
        <v>0</v>
      </c>
      <c r="W55" s="883">
        <v>0</v>
      </c>
      <c r="X55" s="180">
        <f t="shared" si="20"/>
        <v>0</v>
      </c>
      <c r="Y55" s="883">
        <v>0</v>
      </c>
      <c r="Z55" s="883">
        <v>0</v>
      </c>
      <c r="AA55" s="883">
        <v>0</v>
      </c>
      <c r="AB55" s="883">
        <v>0</v>
      </c>
      <c r="AC55" s="883">
        <v>0</v>
      </c>
      <c r="AD55" s="883">
        <v>0</v>
      </c>
      <c r="AE55" s="180">
        <f t="shared" si="21"/>
        <v>0</v>
      </c>
      <c r="AF55" s="1389"/>
      <c r="AG55" s="972">
        <f>'PDYG-200'!D$38</f>
        <v>0.2417</v>
      </c>
      <c r="AH55" s="972">
        <f>'PDYG-200'!E$38</f>
        <v>0.30353035303530351</v>
      </c>
      <c r="AI55" s="972">
        <f>'PDYG-200'!F$38</f>
        <v>0.45476964696469646</v>
      </c>
    </row>
    <row r="56" spans="2:35">
      <c r="B56" s="48"/>
      <c r="C56" s="887" t="s">
        <v>624</v>
      </c>
      <c r="D56" s="883">
        <v>0</v>
      </c>
      <c r="E56" s="883">
        <v>0</v>
      </c>
      <c r="F56" s="883">
        <v>0</v>
      </c>
      <c r="G56" s="883">
        <v>0</v>
      </c>
      <c r="H56" s="883">
        <v>0</v>
      </c>
      <c r="I56" s="883">
        <v>0</v>
      </c>
      <c r="J56" s="180">
        <f t="shared" si="18"/>
        <v>0</v>
      </c>
      <c r="K56" s="883">
        <v>0</v>
      </c>
      <c r="L56" s="883">
        <v>0</v>
      </c>
      <c r="M56" s="883">
        <v>0</v>
      </c>
      <c r="N56" s="883">
        <v>0</v>
      </c>
      <c r="O56" s="883">
        <v>0</v>
      </c>
      <c r="P56" s="883">
        <v>0</v>
      </c>
      <c r="Q56" s="180">
        <f t="shared" si="19"/>
        <v>0</v>
      </c>
      <c r="R56" s="883">
        <v>0</v>
      </c>
      <c r="S56" s="883">
        <v>0</v>
      </c>
      <c r="T56" s="883">
        <v>0</v>
      </c>
      <c r="U56" s="883">
        <v>0</v>
      </c>
      <c r="V56" s="883">
        <v>0</v>
      </c>
      <c r="W56" s="883">
        <v>0</v>
      </c>
      <c r="X56" s="180">
        <f t="shared" si="20"/>
        <v>0</v>
      </c>
      <c r="Y56" s="883">
        <v>0</v>
      </c>
      <c r="Z56" s="883">
        <v>0</v>
      </c>
      <c r="AA56" s="883">
        <v>0</v>
      </c>
      <c r="AB56" s="883">
        <v>0</v>
      </c>
      <c r="AC56" s="883">
        <v>0</v>
      </c>
      <c r="AD56" s="883">
        <v>0</v>
      </c>
      <c r="AE56" s="180">
        <f t="shared" si="21"/>
        <v>0</v>
      </c>
      <c r="AF56" s="1389"/>
      <c r="AG56" s="972">
        <f>'PDYG-200'!D$38</f>
        <v>0.2417</v>
      </c>
      <c r="AH56" s="972">
        <f>'PDYG-200'!E$38</f>
        <v>0.30353035303530351</v>
      </c>
      <c r="AI56" s="972">
        <f>'PDYG-200'!F$38</f>
        <v>0.45476964696469646</v>
      </c>
    </row>
    <row r="57" spans="2:35">
      <c r="B57" s="48"/>
      <c r="C57" s="887"/>
      <c r="D57" s="883"/>
      <c r="E57" s="883"/>
      <c r="F57" s="883"/>
      <c r="G57" s="883"/>
      <c r="H57" s="883"/>
      <c r="I57" s="883"/>
      <c r="J57" s="180">
        <f t="shared" si="18"/>
        <v>0</v>
      </c>
      <c r="K57" s="883"/>
      <c r="L57" s="883"/>
      <c r="M57" s="883"/>
      <c r="N57" s="883"/>
      <c r="O57" s="883"/>
      <c r="P57" s="883"/>
      <c r="Q57" s="180">
        <f t="shared" si="19"/>
        <v>0</v>
      </c>
      <c r="R57" s="883">
        <f t="shared" si="22"/>
        <v>0</v>
      </c>
      <c r="S57" s="883">
        <f t="shared" si="23"/>
        <v>0</v>
      </c>
      <c r="T57" s="883">
        <f t="shared" si="24"/>
        <v>0</v>
      </c>
      <c r="U57" s="883">
        <f t="shared" si="25"/>
        <v>0</v>
      </c>
      <c r="V57" s="883">
        <f t="shared" si="26"/>
        <v>0</v>
      </c>
      <c r="W57" s="883">
        <f t="shared" si="27"/>
        <v>0</v>
      </c>
      <c r="X57" s="180">
        <f t="shared" si="20"/>
        <v>0</v>
      </c>
      <c r="Y57" s="883"/>
      <c r="Z57" s="883"/>
      <c r="AA57" s="883"/>
      <c r="AB57" s="883"/>
      <c r="AC57" s="883"/>
      <c r="AD57" s="883"/>
      <c r="AE57" s="180">
        <f t="shared" si="21"/>
        <v>0</v>
      </c>
      <c r="AF57" s="1389"/>
      <c r="AG57" s="972"/>
      <c r="AH57" s="972"/>
      <c r="AI57" s="972"/>
    </row>
    <row r="58" spans="2:35">
      <c r="B58" s="48"/>
      <c r="C58" s="882" t="s">
        <v>755</v>
      </c>
      <c r="D58" s="881">
        <f>D59+D65+D71+D78+D86+D92+D99</f>
        <v>168945247.58230412</v>
      </c>
      <c r="E58" s="881">
        <f t="shared" ref="E58:I58" si="128">E59+E65+E71+E78+E86+E92+E99</f>
        <v>169634513.15055904</v>
      </c>
      <c r="F58" s="881">
        <f t="shared" si="128"/>
        <v>167700667.94148707</v>
      </c>
      <c r="G58" s="881">
        <f t="shared" si="128"/>
        <v>166534098.54599601</v>
      </c>
      <c r="H58" s="881">
        <f t="shared" si="128"/>
        <v>155416714.1058073</v>
      </c>
      <c r="I58" s="881">
        <f t="shared" si="128"/>
        <v>165821444.52384654</v>
      </c>
      <c r="J58" s="180">
        <f t="shared" si="18"/>
        <v>994052685.85000002</v>
      </c>
      <c r="K58" s="881">
        <f>K59+K65+K71+K78+K86+K92+K99</f>
        <v>40027977.114394598</v>
      </c>
      <c r="L58" s="881">
        <f t="shared" ref="L58" si="129">L59+L65+L71+L78+L86+L92+L99</f>
        <v>40191283.906309001</v>
      </c>
      <c r="M58" s="881">
        <f t="shared" ref="M58" si="130">M59+M65+M71+M78+M86+M92+M99</f>
        <v>39733100.483695671</v>
      </c>
      <c r="N58" s="881">
        <f t="shared" ref="N58" si="131">N59+N65+N71+N78+N86+N92+N99</f>
        <v>39456706.718654588</v>
      </c>
      <c r="O58" s="881">
        <f t="shared" ref="O58" si="132">O59+O65+O71+O78+O86+O92+O99</f>
        <v>36822679.326277025</v>
      </c>
      <c r="P58" s="881">
        <f t="shared" ref="P58" si="133">P59+P65+P71+P78+P86+P92+P99</f>
        <v>39287858.530870073</v>
      </c>
      <c r="Q58" s="180">
        <f t="shared" si="19"/>
        <v>235519606.08020097</v>
      </c>
      <c r="R58" s="881">
        <f>R59+R65+R71+R78+R86+R92+R99</f>
        <v>128917270.46790951</v>
      </c>
      <c r="S58" s="881">
        <f t="shared" ref="S58" si="134">S59+S65+S71+S78+S86+S92+S99</f>
        <v>129443229.24425007</v>
      </c>
      <c r="T58" s="881">
        <f t="shared" ref="T58" si="135">T59+T65+T71+T78+T86+T92+T99</f>
        <v>127967567.45779142</v>
      </c>
      <c r="U58" s="881">
        <f t="shared" ref="U58" si="136">U59+U65+U71+U78+U86+U92+U99</f>
        <v>127077391.82734138</v>
      </c>
      <c r="V58" s="881">
        <f t="shared" ref="V58" si="137">V59+V65+V71+V78+V86+V92+V99</f>
        <v>118594034.77953029</v>
      </c>
      <c r="W58" s="881">
        <f t="shared" ref="W58" si="138">W59+W65+W71+W78+W86+W92+W99</f>
        <v>126533585.99297646</v>
      </c>
      <c r="X58" s="180">
        <f t="shared" si="20"/>
        <v>758533079.76979899</v>
      </c>
      <c r="Y58" s="883"/>
      <c r="Z58" s="883"/>
      <c r="AA58" s="883"/>
      <c r="AB58" s="883"/>
      <c r="AC58" s="883"/>
      <c r="AD58" s="883"/>
      <c r="AE58" s="180">
        <f t="shared" si="21"/>
        <v>0</v>
      </c>
      <c r="AF58" s="1389"/>
      <c r="AG58" s="972"/>
      <c r="AH58" s="972"/>
      <c r="AI58" s="972"/>
    </row>
    <row r="59" spans="2:35">
      <c r="B59" s="48" t="s">
        <v>751</v>
      </c>
      <c r="C59" s="1405" t="s">
        <v>2186</v>
      </c>
      <c r="D59" s="881">
        <f>SUM(D60:D64)</f>
        <v>3249910</v>
      </c>
      <c r="E59" s="881">
        <f t="shared" ref="E59:I59" si="139">SUM(E60:E64)</f>
        <v>3253860</v>
      </c>
      <c r="F59" s="881">
        <f t="shared" si="139"/>
        <v>3251530</v>
      </c>
      <c r="G59" s="881">
        <f t="shared" si="139"/>
        <v>3252500</v>
      </c>
      <c r="H59" s="881">
        <f t="shared" si="139"/>
        <v>3243540</v>
      </c>
      <c r="I59" s="881">
        <f t="shared" si="139"/>
        <v>3249800</v>
      </c>
      <c r="J59" s="180">
        <f t="shared" si="18"/>
        <v>19501140</v>
      </c>
      <c r="K59" s="881">
        <f>SUM(K60:K64)</f>
        <v>785503.24699999997</v>
      </c>
      <c r="L59" s="881">
        <f t="shared" ref="L59" si="140">SUM(L60:L64)</f>
        <v>786457.96199999982</v>
      </c>
      <c r="M59" s="881">
        <f t="shared" ref="M59" si="141">SUM(M60:M64)</f>
        <v>785894.80099999998</v>
      </c>
      <c r="N59" s="881">
        <f t="shared" ref="N59" si="142">SUM(N60:N64)</f>
        <v>786129.24999999988</v>
      </c>
      <c r="O59" s="881">
        <f t="shared" ref="O59" si="143">SUM(O60:O64)</f>
        <v>783963.6179999999</v>
      </c>
      <c r="P59" s="881">
        <f t="shared" ref="P59" si="144">SUM(P60:P64)</f>
        <v>785476.65999999992</v>
      </c>
      <c r="Q59" s="180">
        <f t="shared" si="19"/>
        <v>4713425.5379999997</v>
      </c>
      <c r="R59" s="881">
        <f>SUM(R60:R64)</f>
        <v>2464406.753</v>
      </c>
      <c r="S59" s="881">
        <f t="shared" ref="S59" si="145">SUM(S60:S64)</f>
        <v>2467402.0379999997</v>
      </c>
      <c r="T59" s="881">
        <f t="shared" ref="T59" si="146">SUM(T60:T64)</f>
        <v>2465635.199</v>
      </c>
      <c r="U59" s="881">
        <f t="shared" ref="U59" si="147">SUM(U60:U64)</f>
        <v>2466370.75</v>
      </c>
      <c r="V59" s="881">
        <f t="shared" ref="V59" si="148">SUM(V60:V64)</f>
        <v>2459576.3820000002</v>
      </c>
      <c r="W59" s="881">
        <f t="shared" ref="W59" si="149">SUM(W60:W64)</f>
        <v>2464323.3400000003</v>
      </c>
      <c r="X59" s="180">
        <f t="shared" si="20"/>
        <v>14787714.461999997</v>
      </c>
      <c r="Y59" s="883"/>
      <c r="Z59" s="883"/>
      <c r="AA59" s="883"/>
      <c r="AB59" s="883"/>
      <c r="AC59" s="883"/>
      <c r="AD59" s="883"/>
      <c r="AE59" s="180">
        <f t="shared" si="21"/>
        <v>0</v>
      </c>
      <c r="AF59" s="1389"/>
      <c r="AG59" s="972">
        <f>'PDYG-200'!D$38</f>
        <v>0.2417</v>
      </c>
      <c r="AH59" s="972">
        <f>'PDYG-200'!E$38</f>
        <v>0.30353035303530351</v>
      </c>
      <c r="AI59" s="972">
        <f>'PDYG-200'!F$38</f>
        <v>0.45476964696469646</v>
      </c>
    </row>
    <row r="60" spans="2:35">
      <c r="B60" s="48"/>
      <c r="C60" s="887" t="s">
        <v>304</v>
      </c>
      <c r="D60" s="883">
        <f>F821CO!D66*10</f>
        <v>2396250</v>
      </c>
      <c r="E60" s="883">
        <f>F821CO!E66*10</f>
        <v>2399160</v>
      </c>
      <c r="F60" s="883">
        <f>F821CO!F66*10</f>
        <v>2397440</v>
      </c>
      <c r="G60" s="883">
        <f>F821CO!G66*10</f>
        <v>2398160</v>
      </c>
      <c r="H60" s="883">
        <f>F821CO!H66*10</f>
        <v>2391550</v>
      </c>
      <c r="I60" s="883">
        <f>F821CO!I66*10</f>
        <v>2396170</v>
      </c>
      <c r="J60" s="180">
        <f t="shared" si="18"/>
        <v>14378730</v>
      </c>
      <c r="K60" s="883">
        <f>D60*$AG60</f>
        <v>579173.625</v>
      </c>
      <c r="L60" s="883">
        <f t="shared" ref="L60:L64" si="150">E60*$AG60</f>
        <v>579876.97199999995</v>
      </c>
      <c r="M60" s="883">
        <f t="shared" ref="M60:M64" si="151">F60*$AG60</f>
        <v>579461.24800000002</v>
      </c>
      <c r="N60" s="883">
        <f t="shared" ref="N60:N64" si="152">G60*$AG60</f>
        <v>579635.272</v>
      </c>
      <c r="O60" s="883">
        <f t="shared" ref="O60:O64" si="153">H60*$AG60</f>
        <v>578037.63500000001</v>
      </c>
      <c r="P60" s="883">
        <f t="shared" ref="P60:P64" si="154">I60*$AG60</f>
        <v>579154.28899999999</v>
      </c>
      <c r="Q60" s="180">
        <f t="shared" si="19"/>
        <v>3475339.0410000002</v>
      </c>
      <c r="R60" s="883">
        <f>D60-K60</f>
        <v>1817076.375</v>
      </c>
      <c r="S60" s="883">
        <f t="shared" ref="S60:S64" si="155">E60-L60</f>
        <v>1819283.0279999999</v>
      </c>
      <c r="T60" s="883">
        <f t="shared" ref="T60:T64" si="156">F60-M60</f>
        <v>1817978.7519999999</v>
      </c>
      <c r="U60" s="883">
        <f t="shared" ref="U60:U64" si="157">G60-N60</f>
        <v>1818524.7280000001</v>
      </c>
      <c r="V60" s="883">
        <f t="shared" ref="V60:V64" si="158">H60-O60</f>
        <v>1813512.365</v>
      </c>
      <c r="W60" s="883">
        <f t="shared" ref="W60:W64" si="159">I60-P60</f>
        <v>1817015.7110000001</v>
      </c>
      <c r="X60" s="180">
        <f t="shared" si="20"/>
        <v>10903390.958999999</v>
      </c>
      <c r="Y60" s="883"/>
      <c r="Z60" s="883"/>
      <c r="AA60" s="883"/>
      <c r="AB60" s="883"/>
      <c r="AC60" s="883"/>
      <c r="AD60" s="883"/>
      <c r="AE60" s="180">
        <f t="shared" si="21"/>
        <v>0</v>
      </c>
      <c r="AF60" s="1389"/>
      <c r="AG60" s="972">
        <f>'PDYG-200'!D$38</f>
        <v>0.2417</v>
      </c>
      <c r="AH60" s="972">
        <f>'PDYG-200'!E$38</f>
        <v>0.30353035303530351</v>
      </c>
      <c r="AI60" s="972">
        <f>'PDYG-200'!F$38</f>
        <v>0.45476964696469646</v>
      </c>
    </row>
    <row r="61" spans="2:35">
      <c r="B61" s="48"/>
      <c r="C61" s="888" t="s">
        <v>306</v>
      </c>
      <c r="D61" s="883">
        <f>F821CO!D67*10</f>
        <v>853560</v>
      </c>
      <c r="E61" s="883">
        <f>F821CO!E67*10</f>
        <v>854600</v>
      </c>
      <c r="F61" s="883">
        <f>F821CO!F67*10</f>
        <v>853990</v>
      </c>
      <c r="G61" s="883">
        <f>F821CO!G67*10</f>
        <v>854240</v>
      </c>
      <c r="H61" s="883">
        <f>F821CO!H67*10</f>
        <v>851890</v>
      </c>
      <c r="I61" s="883">
        <f>F821CO!I67*10</f>
        <v>853530</v>
      </c>
      <c r="J61" s="180">
        <f t="shared" si="18"/>
        <v>5121810</v>
      </c>
      <c r="K61" s="883">
        <f t="shared" ref="K61:K64" si="160">D61*$AG61</f>
        <v>206305.45199999999</v>
      </c>
      <c r="L61" s="883">
        <f t="shared" si="150"/>
        <v>206556.82</v>
      </c>
      <c r="M61" s="883">
        <f t="shared" si="151"/>
        <v>206409.383</v>
      </c>
      <c r="N61" s="883">
        <f t="shared" si="152"/>
        <v>206469.80799999999</v>
      </c>
      <c r="O61" s="883">
        <f t="shared" si="153"/>
        <v>205901.81299999999</v>
      </c>
      <c r="P61" s="883">
        <f t="shared" si="154"/>
        <v>206298.201</v>
      </c>
      <c r="Q61" s="180">
        <f t="shared" si="19"/>
        <v>1237941.477</v>
      </c>
      <c r="R61" s="883">
        <f t="shared" ref="R61:R64" si="161">D61-K61</f>
        <v>647254.54799999995</v>
      </c>
      <c r="S61" s="883">
        <f t="shared" si="155"/>
        <v>648043.17999999993</v>
      </c>
      <c r="T61" s="883">
        <f t="shared" si="156"/>
        <v>647580.61699999997</v>
      </c>
      <c r="U61" s="883">
        <f t="shared" si="157"/>
        <v>647770.19200000004</v>
      </c>
      <c r="V61" s="883">
        <f t="shared" si="158"/>
        <v>645988.18700000003</v>
      </c>
      <c r="W61" s="883">
        <f t="shared" si="159"/>
        <v>647231.799</v>
      </c>
      <c r="X61" s="180">
        <f t="shared" si="20"/>
        <v>3883868.5229999996</v>
      </c>
      <c r="Y61" s="883"/>
      <c r="Z61" s="883"/>
      <c r="AA61" s="883"/>
      <c r="AB61" s="883"/>
      <c r="AC61" s="883"/>
      <c r="AD61" s="883"/>
      <c r="AE61" s="180">
        <f t="shared" si="21"/>
        <v>0</v>
      </c>
      <c r="AF61" s="1389"/>
      <c r="AG61" s="972">
        <f>'PDYG-200'!D$38</f>
        <v>0.2417</v>
      </c>
      <c r="AH61" s="972">
        <f>'PDYG-200'!E$38</f>
        <v>0.30353035303530351</v>
      </c>
      <c r="AI61" s="972">
        <f>'PDYG-200'!F$38</f>
        <v>0.45476964696469646</v>
      </c>
    </row>
    <row r="62" spans="2:35">
      <c r="B62" s="48"/>
      <c r="C62" s="887" t="s">
        <v>305</v>
      </c>
      <c r="D62" s="883">
        <f>F821CO!D68*10</f>
        <v>50</v>
      </c>
      <c r="E62" s="883">
        <f>F821CO!E68*10</f>
        <v>50</v>
      </c>
      <c r="F62" s="883">
        <f>F821CO!F68*10</f>
        <v>50</v>
      </c>
      <c r="G62" s="883">
        <f>F821CO!G68*10</f>
        <v>50</v>
      </c>
      <c r="H62" s="883">
        <f>F821CO!H68*10</f>
        <v>50</v>
      </c>
      <c r="I62" s="883">
        <f>F821CO!I68*10</f>
        <v>50</v>
      </c>
      <c r="J62" s="180">
        <f t="shared" si="18"/>
        <v>300</v>
      </c>
      <c r="K62" s="883">
        <f t="shared" si="160"/>
        <v>12.084999999999999</v>
      </c>
      <c r="L62" s="883">
        <f t="shared" si="150"/>
        <v>12.084999999999999</v>
      </c>
      <c r="M62" s="883">
        <f t="shared" si="151"/>
        <v>12.084999999999999</v>
      </c>
      <c r="N62" s="883">
        <f t="shared" si="152"/>
        <v>12.084999999999999</v>
      </c>
      <c r="O62" s="883">
        <f t="shared" si="153"/>
        <v>12.084999999999999</v>
      </c>
      <c r="P62" s="883">
        <f t="shared" si="154"/>
        <v>12.084999999999999</v>
      </c>
      <c r="Q62" s="180">
        <f t="shared" si="19"/>
        <v>72.509999999999991</v>
      </c>
      <c r="R62" s="883">
        <f t="shared" si="161"/>
        <v>37.914999999999999</v>
      </c>
      <c r="S62" s="883">
        <f t="shared" si="155"/>
        <v>37.914999999999999</v>
      </c>
      <c r="T62" s="883">
        <f t="shared" si="156"/>
        <v>37.914999999999999</v>
      </c>
      <c r="U62" s="883">
        <f t="shared" si="157"/>
        <v>37.914999999999999</v>
      </c>
      <c r="V62" s="883">
        <f t="shared" si="158"/>
        <v>37.914999999999999</v>
      </c>
      <c r="W62" s="883">
        <f t="shared" si="159"/>
        <v>37.914999999999999</v>
      </c>
      <c r="X62" s="180">
        <f t="shared" si="20"/>
        <v>227.48999999999998</v>
      </c>
      <c r="Y62" s="883"/>
      <c r="Z62" s="883"/>
      <c r="AA62" s="883"/>
      <c r="AB62" s="883"/>
      <c r="AC62" s="883"/>
      <c r="AD62" s="883"/>
      <c r="AE62" s="180">
        <f t="shared" si="21"/>
        <v>0</v>
      </c>
      <c r="AF62" s="1389"/>
      <c r="AG62" s="972">
        <f>'PDYG-200'!D$38</f>
        <v>0.2417</v>
      </c>
      <c r="AH62" s="972">
        <f>'PDYG-200'!E$38</f>
        <v>0.30353035303530351</v>
      </c>
      <c r="AI62" s="972">
        <f>'PDYG-200'!F$38</f>
        <v>0.45476964696469646</v>
      </c>
    </row>
    <row r="63" spans="2:35">
      <c r="B63" s="48"/>
      <c r="C63" s="887" t="s">
        <v>307</v>
      </c>
      <c r="D63" s="883">
        <f>F821CO!D69*10</f>
        <v>0</v>
      </c>
      <c r="E63" s="883">
        <f>F821CO!E69*10</f>
        <v>0</v>
      </c>
      <c r="F63" s="883">
        <f>F821CO!F69*10</f>
        <v>0</v>
      </c>
      <c r="G63" s="883">
        <f>F821CO!G69*10</f>
        <v>0</v>
      </c>
      <c r="H63" s="883">
        <f>F821CO!H69*10</f>
        <v>0</v>
      </c>
      <c r="I63" s="883">
        <f>F821CO!I69*10</f>
        <v>0</v>
      </c>
      <c r="J63" s="180">
        <f t="shared" si="18"/>
        <v>0</v>
      </c>
      <c r="K63" s="883">
        <f t="shared" si="160"/>
        <v>0</v>
      </c>
      <c r="L63" s="883">
        <f t="shared" si="150"/>
        <v>0</v>
      </c>
      <c r="M63" s="883">
        <f t="shared" si="151"/>
        <v>0</v>
      </c>
      <c r="N63" s="883">
        <f t="shared" si="152"/>
        <v>0</v>
      </c>
      <c r="O63" s="883">
        <f t="shared" si="153"/>
        <v>0</v>
      </c>
      <c r="P63" s="883">
        <f t="shared" si="154"/>
        <v>0</v>
      </c>
      <c r="Q63" s="180">
        <f t="shared" si="19"/>
        <v>0</v>
      </c>
      <c r="R63" s="883">
        <f t="shared" si="161"/>
        <v>0</v>
      </c>
      <c r="S63" s="883">
        <f t="shared" si="155"/>
        <v>0</v>
      </c>
      <c r="T63" s="883">
        <f t="shared" si="156"/>
        <v>0</v>
      </c>
      <c r="U63" s="883">
        <f t="shared" si="157"/>
        <v>0</v>
      </c>
      <c r="V63" s="883">
        <f t="shared" si="158"/>
        <v>0</v>
      </c>
      <c r="W63" s="883">
        <f t="shared" si="159"/>
        <v>0</v>
      </c>
      <c r="X63" s="180">
        <f t="shared" si="20"/>
        <v>0</v>
      </c>
      <c r="Y63" s="883"/>
      <c r="Z63" s="883"/>
      <c r="AA63" s="883"/>
      <c r="AB63" s="883"/>
      <c r="AC63" s="883"/>
      <c r="AD63" s="883"/>
      <c r="AE63" s="180">
        <f t="shared" si="21"/>
        <v>0</v>
      </c>
      <c r="AF63" s="1389"/>
      <c r="AG63" s="972">
        <f>'PDYG-200'!D$38</f>
        <v>0.2417</v>
      </c>
      <c r="AH63" s="972">
        <f>'PDYG-200'!E$38</f>
        <v>0.30353035303530351</v>
      </c>
      <c r="AI63" s="972">
        <f>'PDYG-200'!F$38</f>
        <v>0.45476964696469646</v>
      </c>
    </row>
    <row r="64" spans="2:35">
      <c r="B64" s="48"/>
      <c r="C64" s="887" t="s">
        <v>624</v>
      </c>
      <c r="D64" s="883">
        <f>F821CO!D70*10</f>
        <v>50</v>
      </c>
      <c r="E64" s="883">
        <f>F821CO!E70*10</f>
        <v>50</v>
      </c>
      <c r="F64" s="883">
        <f>F821CO!F70*10</f>
        <v>50</v>
      </c>
      <c r="G64" s="883">
        <f>F821CO!G70*10</f>
        <v>50</v>
      </c>
      <c r="H64" s="883">
        <f>F821CO!H70*10</f>
        <v>50</v>
      </c>
      <c r="I64" s="883">
        <f>F821CO!I70*10</f>
        <v>50</v>
      </c>
      <c r="J64" s="180">
        <f t="shared" si="18"/>
        <v>300</v>
      </c>
      <c r="K64" s="883">
        <f t="shared" si="160"/>
        <v>12.084999999999999</v>
      </c>
      <c r="L64" s="883">
        <f t="shared" si="150"/>
        <v>12.084999999999999</v>
      </c>
      <c r="M64" s="883">
        <f t="shared" si="151"/>
        <v>12.084999999999999</v>
      </c>
      <c r="N64" s="883">
        <f t="shared" si="152"/>
        <v>12.084999999999999</v>
      </c>
      <c r="O64" s="883">
        <f t="shared" si="153"/>
        <v>12.084999999999999</v>
      </c>
      <c r="P64" s="883">
        <f t="shared" si="154"/>
        <v>12.084999999999999</v>
      </c>
      <c r="Q64" s="180">
        <f t="shared" si="19"/>
        <v>72.509999999999991</v>
      </c>
      <c r="R64" s="883">
        <f t="shared" si="161"/>
        <v>37.914999999999999</v>
      </c>
      <c r="S64" s="883">
        <f t="shared" si="155"/>
        <v>37.914999999999999</v>
      </c>
      <c r="T64" s="883">
        <f t="shared" si="156"/>
        <v>37.914999999999999</v>
      </c>
      <c r="U64" s="883">
        <f t="shared" si="157"/>
        <v>37.914999999999999</v>
      </c>
      <c r="V64" s="883">
        <f t="shared" si="158"/>
        <v>37.914999999999999</v>
      </c>
      <c r="W64" s="883">
        <f t="shared" si="159"/>
        <v>37.914999999999999</v>
      </c>
      <c r="X64" s="180">
        <f t="shared" si="20"/>
        <v>227.48999999999998</v>
      </c>
      <c r="Y64" s="883"/>
      <c r="Z64" s="883"/>
      <c r="AA64" s="883"/>
      <c r="AB64" s="883"/>
      <c r="AC64" s="883"/>
      <c r="AD64" s="883"/>
      <c r="AE64" s="180">
        <f t="shared" si="21"/>
        <v>0</v>
      </c>
      <c r="AF64" s="1389"/>
      <c r="AG64" s="972">
        <f>'PDYG-200'!D$38</f>
        <v>0.2417</v>
      </c>
      <c r="AH64" s="972">
        <f>'PDYG-200'!E$38</f>
        <v>0.30353035303530351</v>
      </c>
      <c r="AI64" s="972">
        <f>'PDYG-200'!F$38</f>
        <v>0.45476964696469646</v>
      </c>
    </row>
    <row r="65" spans="2:42">
      <c r="B65" s="48" t="s">
        <v>751</v>
      </c>
      <c r="C65" s="882" t="s">
        <v>634</v>
      </c>
      <c r="D65" s="881">
        <f>SUM(D66:D70)</f>
        <v>44580435.209082708</v>
      </c>
      <c r="E65" s="881">
        <f t="shared" ref="E65:I65" si="162">SUM(E66:E70)</f>
        <v>44771624.229221798</v>
      </c>
      <c r="F65" s="881">
        <f t="shared" si="162"/>
        <v>44226460.379856303</v>
      </c>
      <c r="G65" s="881">
        <f t="shared" si="162"/>
        <v>43895221.149468459</v>
      </c>
      <c r="H65" s="881">
        <f t="shared" si="162"/>
        <v>40756721.58368662</v>
      </c>
      <c r="I65" s="881">
        <f t="shared" si="162"/>
        <v>43696160.588684157</v>
      </c>
      <c r="J65" s="180">
        <f t="shared" si="18"/>
        <v>261926623.14000005</v>
      </c>
      <c r="K65" s="881">
        <f>SUM(K66:K70)</f>
        <v>10775091.190035287</v>
      </c>
      <c r="L65" s="881">
        <f t="shared" ref="L65" si="163">SUM(L66:L70)</f>
        <v>10821301.576202912</v>
      </c>
      <c r="M65" s="881">
        <f t="shared" ref="M65" si="164">SUM(M66:M70)</f>
        <v>10689535.473811267</v>
      </c>
      <c r="N65" s="881">
        <f t="shared" ref="N65" si="165">SUM(N66:N70)</f>
        <v>10609474.951826528</v>
      </c>
      <c r="O65" s="881">
        <f t="shared" ref="O65" si="166">SUM(O66:O70)</f>
        <v>9850899.6067770552</v>
      </c>
      <c r="P65" s="881">
        <f t="shared" ref="P65" si="167">SUM(P66:P70)</f>
        <v>10561362.014284961</v>
      </c>
      <c r="Q65" s="180">
        <f t="shared" si="19"/>
        <v>63307664.812938012</v>
      </c>
      <c r="R65" s="881">
        <f>SUM(R66:R70)</f>
        <v>33805344.019047409</v>
      </c>
      <c r="S65" s="881">
        <f t="shared" ref="S65" si="168">SUM(S66:S70)</f>
        <v>33950322.653018892</v>
      </c>
      <c r="T65" s="881">
        <f t="shared" ref="T65" si="169">SUM(T66:T70)</f>
        <v>33536924.906045035</v>
      </c>
      <c r="U65" s="881">
        <f t="shared" ref="U65" si="170">SUM(U66:U70)</f>
        <v>33285746.197641935</v>
      </c>
      <c r="V65" s="881">
        <f t="shared" ref="V65" si="171">SUM(V66:V70)</f>
        <v>30905821.976909563</v>
      </c>
      <c r="W65" s="881">
        <f t="shared" ref="W65" si="172">SUM(W66:W70)</f>
        <v>33134798.574399196</v>
      </c>
      <c r="X65" s="180">
        <f t="shared" si="20"/>
        <v>198618958.32706204</v>
      </c>
      <c r="Y65" s="881"/>
      <c r="Z65" s="881"/>
      <c r="AA65" s="881"/>
      <c r="AB65" s="881"/>
      <c r="AC65" s="881"/>
      <c r="AD65" s="881"/>
      <c r="AE65" s="180">
        <f t="shared" si="21"/>
        <v>0</v>
      </c>
      <c r="AF65" s="1389"/>
      <c r="AG65" s="972">
        <f>'PDYG-200'!D$38</f>
        <v>0.2417</v>
      </c>
      <c r="AH65" s="972">
        <f>'PDYG-200'!E$38</f>
        <v>0.30353035303530351</v>
      </c>
      <c r="AI65" s="972">
        <f>'PDYG-200'!F$38</f>
        <v>0.45476964696469646</v>
      </c>
      <c r="AK65" s="47">
        <f>F821EO!D65/F821CO!D65</f>
        <v>137.17436854892199</v>
      </c>
      <c r="AL65" s="47">
        <f>F821EO!E65/F821CO!E65</f>
        <v>137.5954227570387</v>
      </c>
      <c r="AM65" s="47">
        <f>F821EO!F65/F821CO!F65</f>
        <v>136.01738375428278</v>
      </c>
      <c r="AN65" s="47">
        <f>F821EO!G65/F821CO!G65</f>
        <v>134.9584047639307</v>
      </c>
      <c r="AO65" s="47">
        <f>F821EO!H65/F821CO!H65</f>
        <v>125.65506077830587</v>
      </c>
      <c r="AP65" s="47">
        <f>F821EO!I65/F821CO!I65</f>
        <v>134.45799922667288</v>
      </c>
    </row>
    <row r="66" spans="2:42">
      <c r="B66" s="48"/>
      <c r="C66" s="887" t="s">
        <v>304</v>
      </c>
      <c r="D66" s="883">
        <v>30075590.370195206</v>
      </c>
      <c r="E66" s="883">
        <v>30205159.512552515</v>
      </c>
      <c r="F66" s="883">
        <v>29835188.009960465</v>
      </c>
      <c r="G66" s="883">
        <v>29610249.47920429</v>
      </c>
      <c r="H66" s="883">
        <v>27480061.090128403</v>
      </c>
      <c r="I66" s="883">
        <v>29475264.99795917</v>
      </c>
      <c r="J66" s="180">
        <f t="shared" si="18"/>
        <v>176681513.46000004</v>
      </c>
      <c r="K66" s="883">
        <f>D66*$AG66</f>
        <v>7269270.1924761813</v>
      </c>
      <c r="L66" s="883">
        <f t="shared" ref="L66" si="173">E66*$AG66</f>
        <v>7300587.0541839432</v>
      </c>
      <c r="M66" s="883">
        <f t="shared" ref="M66" si="174">F66*$AG66</f>
        <v>7211164.9420074448</v>
      </c>
      <c r="N66" s="883">
        <f t="shared" ref="N66" si="175">G66*$AG66</f>
        <v>7156797.2991236765</v>
      </c>
      <c r="O66" s="883">
        <f t="shared" ref="O66" si="176">H66*$AG66</f>
        <v>6641930.765484035</v>
      </c>
      <c r="P66" s="883">
        <f t="shared" ref="P66" si="177">I66*$AG66</f>
        <v>7124171.5500067314</v>
      </c>
      <c r="Q66" s="180">
        <f t="shared" si="19"/>
        <v>42703921.803282015</v>
      </c>
      <c r="R66" s="883">
        <f>D66-K66</f>
        <v>22806320.177719027</v>
      </c>
      <c r="S66" s="883">
        <f t="shared" ref="S66" si="178">E66-L66</f>
        <v>22904572.45836857</v>
      </c>
      <c r="T66" s="883">
        <f t="shared" ref="T66" si="179">F66-M66</f>
        <v>22624023.06795302</v>
      </c>
      <c r="U66" s="883">
        <f t="shared" ref="U66" si="180">G66-N66</f>
        <v>22453452.180080615</v>
      </c>
      <c r="V66" s="883">
        <f t="shared" ref="V66" si="181">H66-O66</f>
        <v>20838130.324644368</v>
      </c>
      <c r="W66" s="883">
        <f t="shared" ref="W66" si="182">I66-P66</f>
        <v>22351093.447952438</v>
      </c>
      <c r="X66" s="180">
        <f t="shared" si="20"/>
        <v>133977591.65671805</v>
      </c>
      <c r="Y66" s="883"/>
      <c r="Z66" s="883"/>
      <c r="AA66" s="883"/>
      <c r="AB66" s="883"/>
      <c r="AC66" s="883"/>
      <c r="AD66" s="883"/>
      <c r="AE66" s="180">
        <f t="shared" si="21"/>
        <v>0</v>
      </c>
      <c r="AF66" s="1389"/>
      <c r="AG66" s="972">
        <f>'PDYG-200'!D$38</f>
        <v>0.2417</v>
      </c>
      <c r="AH66" s="972">
        <f>'PDYG-200'!E$38</f>
        <v>0.30353035303530351</v>
      </c>
      <c r="AI66" s="972">
        <f>'PDYG-200'!F$38</f>
        <v>0.45476964696469646</v>
      </c>
      <c r="AK66" s="49">
        <f>F821EO!D66/F821CO!D66</f>
        <v>125.51107092413231</v>
      </c>
      <c r="AL66" s="49">
        <f>F821EO!E66/F821CO!E66</f>
        <v>125.8988959158727</v>
      </c>
      <c r="AM66" s="49">
        <f>F821EO!F66/F821CO!F66</f>
        <v>124.44602580235778</v>
      </c>
      <c r="AN66" s="49">
        <f>F821EO!G66/F821CO!G66</f>
        <v>123.47070036696589</v>
      </c>
      <c r="AO66" s="49">
        <f>F821EO!H66/F821CO!H66</f>
        <v>114.90481524587989</v>
      </c>
      <c r="AP66" s="49">
        <f>F821EO!I66/F821CO!I66</f>
        <v>123.00990746883222</v>
      </c>
    </row>
    <row r="67" spans="2:42">
      <c r="B67" s="48"/>
      <c r="C67" s="888" t="s">
        <v>306</v>
      </c>
      <c r="D67" s="883">
        <v>14503582.563131431</v>
      </c>
      <c r="E67" s="883">
        <v>14565196.883078445</v>
      </c>
      <c r="F67" s="883">
        <v>14390020.129702745</v>
      </c>
      <c r="G67" s="883">
        <v>14283728.83660502</v>
      </c>
      <c r="H67" s="883">
        <v>13275507.303990923</v>
      </c>
      <c r="I67" s="883">
        <v>14219658.503491437</v>
      </c>
      <c r="J67" s="180">
        <f t="shared" si="18"/>
        <v>85237694.219999999</v>
      </c>
      <c r="K67" s="883">
        <f t="shared" ref="K67:K70" si="183">D67*$AG67</f>
        <v>3505515.905508867</v>
      </c>
      <c r="L67" s="883">
        <f t="shared" ref="L67:L70" si="184">E67*$AG67</f>
        <v>3520408.0866400599</v>
      </c>
      <c r="M67" s="883">
        <f t="shared" ref="M67:M70" si="185">F67*$AG67</f>
        <v>3478067.8653491535</v>
      </c>
      <c r="N67" s="883">
        <f t="shared" ref="N67:N70" si="186">G67*$AG67</f>
        <v>3452377.2598074335</v>
      </c>
      <c r="O67" s="883">
        <f t="shared" ref="O67:O70" si="187">H67*$AG67</f>
        <v>3208690.1153746061</v>
      </c>
      <c r="P67" s="883">
        <f t="shared" ref="P67:P70" si="188">I67*$AG67</f>
        <v>3436891.4602938802</v>
      </c>
      <c r="Q67" s="180">
        <f t="shared" si="19"/>
        <v>20601950.692974001</v>
      </c>
      <c r="R67" s="883">
        <f t="shared" ref="R67:R70" si="189">D67-K67</f>
        <v>10998066.657622565</v>
      </c>
      <c r="S67" s="883">
        <f t="shared" ref="S67:S70" si="190">E67-L67</f>
        <v>11044788.796438385</v>
      </c>
      <c r="T67" s="883">
        <f t="shared" ref="T67:T70" si="191">F67-M67</f>
        <v>10911952.264353592</v>
      </c>
      <c r="U67" s="883">
        <f t="shared" ref="U67:U70" si="192">G67-N67</f>
        <v>10831351.576797586</v>
      </c>
      <c r="V67" s="883">
        <f t="shared" ref="V67:V70" si="193">H67-O67</f>
        <v>10066817.188616317</v>
      </c>
      <c r="W67" s="883">
        <f t="shared" ref="W67:W70" si="194">I67-P67</f>
        <v>10782767.043197557</v>
      </c>
      <c r="X67" s="180">
        <f t="shared" si="20"/>
        <v>64635743.527025998</v>
      </c>
      <c r="Y67" s="883"/>
      <c r="Z67" s="883"/>
      <c r="AA67" s="883"/>
      <c r="AB67" s="883"/>
      <c r="AC67" s="883"/>
      <c r="AD67" s="883"/>
      <c r="AE67" s="180">
        <f t="shared" si="21"/>
        <v>0</v>
      </c>
      <c r="AF67" s="1389"/>
      <c r="AG67" s="972">
        <f>'PDYG-200'!D$38</f>
        <v>0.2417</v>
      </c>
      <c r="AH67" s="972">
        <f>'PDYG-200'!E$38</f>
        <v>0.30353035303530351</v>
      </c>
      <c r="AI67" s="972">
        <f>'PDYG-200'!F$38</f>
        <v>0.45476964696469646</v>
      </c>
      <c r="AK67" s="49">
        <f>F821EO!D67/F821CO!D67</f>
        <v>169.91872350076656</v>
      </c>
      <c r="AL67" s="49">
        <f>F821EO!E67/F821CO!E67</f>
        <v>170.43291461594248</v>
      </c>
      <c r="AM67" s="49">
        <f>F821EO!F67/F821CO!F67</f>
        <v>168.50337977848389</v>
      </c>
      <c r="AN67" s="49">
        <f>F821EO!G67/F821CO!G67</f>
        <v>167.20978690537811</v>
      </c>
      <c r="AO67" s="49">
        <f>F821EO!H67/F821CO!H67</f>
        <v>155.83593308984638</v>
      </c>
      <c r="AP67" s="49">
        <f>F821EO!I67/F821CO!I67</f>
        <v>166.5982274025686</v>
      </c>
    </row>
    <row r="68" spans="2:42">
      <c r="B68" s="48"/>
      <c r="C68" s="887" t="s">
        <v>305</v>
      </c>
      <c r="D68" s="883">
        <v>745.97376803309089</v>
      </c>
      <c r="E68" s="883">
        <v>749.2211947550062</v>
      </c>
      <c r="F68" s="883">
        <v>740.11001773235637</v>
      </c>
      <c r="G68" s="883">
        <v>734.61380726956259</v>
      </c>
      <c r="H68" s="883">
        <v>682.23502473400492</v>
      </c>
      <c r="I68" s="883">
        <v>731.25618747597889</v>
      </c>
      <c r="J68" s="180">
        <f t="shared" si="18"/>
        <v>4383.41</v>
      </c>
      <c r="K68" s="883">
        <f t="shared" si="183"/>
        <v>180.30185973359806</v>
      </c>
      <c r="L68" s="883">
        <f t="shared" si="184"/>
        <v>181.086762772285</v>
      </c>
      <c r="M68" s="883">
        <f t="shared" si="185"/>
        <v>178.88459128591055</v>
      </c>
      <c r="N68" s="883">
        <f t="shared" si="186"/>
        <v>177.55615721705328</v>
      </c>
      <c r="O68" s="883">
        <f t="shared" si="187"/>
        <v>164.896205478209</v>
      </c>
      <c r="P68" s="883">
        <f t="shared" si="188"/>
        <v>176.7446205129441</v>
      </c>
      <c r="Q68" s="180">
        <f t="shared" si="19"/>
        <v>1059.4701970000001</v>
      </c>
      <c r="R68" s="883">
        <f t="shared" si="189"/>
        <v>565.67190829949277</v>
      </c>
      <c r="S68" s="883">
        <f t="shared" si="190"/>
        <v>568.13443198272125</v>
      </c>
      <c r="T68" s="883">
        <f t="shared" si="191"/>
        <v>561.22542644644579</v>
      </c>
      <c r="U68" s="883">
        <f t="shared" si="192"/>
        <v>557.0576500525093</v>
      </c>
      <c r="V68" s="883">
        <f t="shared" si="193"/>
        <v>517.3388192557959</v>
      </c>
      <c r="W68" s="883">
        <f t="shared" si="194"/>
        <v>554.51156696303474</v>
      </c>
      <c r="X68" s="180">
        <f t="shared" si="20"/>
        <v>3323.9398030000002</v>
      </c>
      <c r="Y68" s="883"/>
      <c r="Z68" s="883"/>
      <c r="AA68" s="883"/>
      <c r="AB68" s="883"/>
      <c r="AC68" s="883"/>
      <c r="AD68" s="883"/>
      <c r="AE68" s="180">
        <f t="shared" si="21"/>
        <v>0</v>
      </c>
      <c r="AF68" s="1389"/>
      <c r="AG68" s="972">
        <f>'PDYG-200'!D$38</f>
        <v>0.2417</v>
      </c>
      <c r="AH68" s="972">
        <f>'PDYG-200'!E$38</f>
        <v>0.30353035303530351</v>
      </c>
      <c r="AI68" s="972">
        <f>'PDYG-200'!F$38</f>
        <v>0.45476964696469646</v>
      </c>
      <c r="AK68" s="49">
        <f>F821EO!D68/F821CO!D68</f>
        <v>149.19475360661818</v>
      </c>
      <c r="AL68" s="49">
        <f>F821EO!E68/F821CO!E68</f>
        <v>149.84423895100124</v>
      </c>
      <c r="AM68" s="49">
        <f>F821EO!F68/F821CO!F68</f>
        <v>148.02200354647127</v>
      </c>
      <c r="AN68" s="49">
        <f>F821EO!G68/F821CO!G68</f>
        <v>146.92276145391253</v>
      </c>
      <c r="AO68" s="49">
        <f>F821EO!H68/F821CO!H68</f>
        <v>136.44700494680097</v>
      </c>
      <c r="AP68" s="49">
        <f>F821EO!I68/F821CO!I68</f>
        <v>146.25123749519577</v>
      </c>
    </row>
    <row r="69" spans="2:42">
      <c r="B69" s="48"/>
      <c r="C69" s="887" t="s">
        <v>307</v>
      </c>
      <c r="D69" s="883">
        <v>0</v>
      </c>
      <c r="E69" s="883">
        <v>0</v>
      </c>
      <c r="F69" s="883">
        <v>0</v>
      </c>
      <c r="G69" s="883">
        <v>0</v>
      </c>
      <c r="H69" s="883">
        <v>0</v>
      </c>
      <c r="I69" s="883">
        <v>0</v>
      </c>
      <c r="J69" s="180">
        <f t="shared" si="18"/>
        <v>0</v>
      </c>
      <c r="K69" s="883">
        <f t="shared" si="183"/>
        <v>0</v>
      </c>
      <c r="L69" s="883">
        <f t="shared" si="184"/>
        <v>0</v>
      </c>
      <c r="M69" s="883">
        <f t="shared" si="185"/>
        <v>0</v>
      </c>
      <c r="N69" s="883">
        <f t="shared" si="186"/>
        <v>0</v>
      </c>
      <c r="O69" s="883">
        <f t="shared" si="187"/>
        <v>0</v>
      </c>
      <c r="P69" s="883">
        <f t="shared" si="188"/>
        <v>0</v>
      </c>
      <c r="Q69" s="180">
        <f t="shared" si="19"/>
        <v>0</v>
      </c>
      <c r="R69" s="883">
        <f t="shared" si="189"/>
        <v>0</v>
      </c>
      <c r="S69" s="883">
        <f t="shared" si="190"/>
        <v>0</v>
      </c>
      <c r="T69" s="883">
        <f t="shared" si="191"/>
        <v>0</v>
      </c>
      <c r="U69" s="883">
        <f t="shared" si="192"/>
        <v>0</v>
      </c>
      <c r="V69" s="883">
        <f t="shared" si="193"/>
        <v>0</v>
      </c>
      <c r="W69" s="883">
        <f t="shared" si="194"/>
        <v>0</v>
      </c>
      <c r="X69" s="180">
        <f t="shared" si="20"/>
        <v>0</v>
      </c>
      <c r="Y69" s="883"/>
      <c r="Z69" s="883"/>
      <c r="AA69" s="883"/>
      <c r="AB69" s="883"/>
      <c r="AC69" s="883"/>
      <c r="AD69" s="883"/>
      <c r="AE69" s="180">
        <f t="shared" si="21"/>
        <v>0</v>
      </c>
      <c r="AF69" s="1389"/>
      <c r="AG69" s="972">
        <f>'PDYG-200'!D$38</f>
        <v>0.2417</v>
      </c>
      <c r="AH69" s="972">
        <f>'PDYG-200'!E$38</f>
        <v>0.30353035303530351</v>
      </c>
      <c r="AI69" s="972">
        <f>'PDYG-200'!F$38</f>
        <v>0.45476964696469646</v>
      </c>
      <c r="AK69" s="49" t="e">
        <f>F821EO!D69/F821CO!D69</f>
        <v>#DIV/0!</v>
      </c>
      <c r="AL69" s="49" t="e">
        <f>F821EO!E69/F821CO!E69</f>
        <v>#DIV/0!</v>
      </c>
      <c r="AM69" s="49" t="e">
        <f>F821EO!F69/F821CO!F69</f>
        <v>#DIV/0!</v>
      </c>
      <c r="AN69" s="49" t="e">
        <f>F821EO!G69/F821CO!G69</f>
        <v>#DIV/0!</v>
      </c>
      <c r="AO69" s="49" t="e">
        <f>F821EO!H69/F821CO!H69</f>
        <v>#DIV/0!</v>
      </c>
      <c r="AP69" s="49" t="e">
        <f>F821EO!I69/F821CO!I69</f>
        <v>#DIV/0!</v>
      </c>
    </row>
    <row r="70" spans="2:42">
      <c r="B70" s="48"/>
      <c r="C70" s="887" t="s">
        <v>624</v>
      </c>
      <c r="D70" s="883">
        <v>516.30198803321957</v>
      </c>
      <c r="E70" s="883">
        <v>518.6123960924665</v>
      </c>
      <c r="F70" s="883">
        <v>512.13017536049551</v>
      </c>
      <c r="G70" s="883">
        <v>508.21985188410713</v>
      </c>
      <c r="H70" s="883">
        <v>470.95454255872141</v>
      </c>
      <c r="I70" s="883">
        <v>505.83104607099017</v>
      </c>
      <c r="J70" s="180">
        <f t="shared" ref="J70:J109" si="195">SUM(D70:I70)</f>
        <v>3032.05</v>
      </c>
      <c r="K70" s="883">
        <f t="shared" si="183"/>
        <v>124.79019050762916</v>
      </c>
      <c r="L70" s="883">
        <f t="shared" si="184"/>
        <v>125.34861613554915</v>
      </c>
      <c r="M70" s="883">
        <f t="shared" si="185"/>
        <v>123.78186338463176</v>
      </c>
      <c r="N70" s="883">
        <f t="shared" si="186"/>
        <v>122.83673820038869</v>
      </c>
      <c r="O70" s="883">
        <f t="shared" si="187"/>
        <v>113.82971293644296</v>
      </c>
      <c r="P70" s="883">
        <f t="shared" si="188"/>
        <v>122.25936383535833</v>
      </c>
      <c r="Q70" s="180">
        <f t="shared" ref="Q70:Q109" si="196">SUM(K70:P70)</f>
        <v>732.84648500000003</v>
      </c>
      <c r="R70" s="883">
        <f t="shared" si="189"/>
        <v>391.5117975255904</v>
      </c>
      <c r="S70" s="883">
        <f t="shared" si="190"/>
        <v>393.26377995691735</v>
      </c>
      <c r="T70" s="883">
        <f t="shared" si="191"/>
        <v>388.34831197586374</v>
      </c>
      <c r="U70" s="883">
        <f t="shared" si="192"/>
        <v>385.38311368371842</v>
      </c>
      <c r="V70" s="883">
        <f t="shared" si="193"/>
        <v>357.12482962227847</v>
      </c>
      <c r="W70" s="883">
        <f t="shared" si="194"/>
        <v>383.57168223563184</v>
      </c>
      <c r="X70" s="180">
        <f t="shared" ref="X70:X109" si="197">SUM(R70:W70)</f>
        <v>2299.2035150000002</v>
      </c>
      <c r="Y70" s="883"/>
      <c r="Z70" s="883"/>
      <c r="AA70" s="883"/>
      <c r="AB70" s="883"/>
      <c r="AC70" s="883"/>
      <c r="AD70" s="883"/>
      <c r="AE70" s="180">
        <f t="shared" ref="AE70:AE109" si="198">SUM(Y70:AD70)</f>
        <v>0</v>
      </c>
      <c r="AF70" s="1389"/>
      <c r="AG70" s="972">
        <f>'PDYG-200'!D$38</f>
        <v>0.2417</v>
      </c>
      <c r="AH70" s="972">
        <f>'PDYG-200'!E$38</f>
        <v>0.30353035303530351</v>
      </c>
      <c r="AI70" s="972">
        <f>'PDYG-200'!F$38</f>
        <v>0.45476964696469646</v>
      </c>
      <c r="AK70" s="49">
        <f>F821EO!D70/F821CO!D70</f>
        <v>103.26039760664392</v>
      </c>
      <c r="AL70" s="49">
        <f>F821EO!E70/F821CO!E70</f>
        <v>103.72247921849331</v>
      </c>
      <c r="AM70" s="49">
        <f>F821EO!F70/F821CO!F70</f>
        <v>102.4260350720991</v>
      </c>
      <c r="AN70" s="49">
        <f>F821EO!G70/F821CO!G70</f>
        <v>101.64397037682143</v>
      </c>
      <c r="AO70" s="49">
        <f>F821EO!H70/F821CO!H70</f>
        <v>94.190908511744283</v>
      </c>
      <c r="AP70" s="49">
        <f>F821EO!I70/F821CO!I70</f>
        <v>101.16620921419803</v>
      </c>
    </row>
    <row r="71" spans="2:42">
      <c r="B71" s="48" t="s">
        <v>750</v>
      </c>
      <c r="C71" s="882" t="s">
        <v>635</v>
      </c>
      <c r="D71" s="881">
        <f>SUM(D72:D77)</f>
        <v>51807838.906937912</v>
      </c>
      <c r="E71" s="881">
        <f t="shared" ref="E71:I71" si="199">SUM(E72:E77)</f>
        <v>52019205.370542377</v>
      </c>
      <c r="F71" s="881">
        <f t="shared" si="199"/>
        <v>51426182.823318921</v>
      </c>
      <c r="G71" s="881">
        <f t="shared" si="199"/>
        <v>51068448.941009358</v>
      </c>
      <c r="H71" s="881">
        <f t="shared" si="199"/>
        <v>47659251.757979967</v>
      </c>
      <c r="I71" s="881">
        <f t="shared" si="199"/>
        <v>50849910.300211474</v>
      </c>
      <c r="J71" s="180">
        <f t="shared" si="195"/>
        <v>304830838.09999996</v>
      </c>
      <c r="K71" s="881">
        <v>12177143.744920962</v>
      </c>
      <c r="L71" s="881">
        <v>12226824.253980419</v>
      </c>
      <c r="M71" s="881">
        <v>12087437.609915014</v>
      </c>
      <c r="N71" s="881">
        <v>12003354.254978379</v>
      </c>
      <c r="O71" s="881">
        <v>11202041.460845036</v>
      </c>
      <c r="P71" s="881">
        <v>11951987.965649156</v>
      </c>
      <c r="Q71" s="180">
        <f t="shared" si="196"/>
        <v>71648789.29028897</v>
      </c>
      <c r="R71" s="881">
        <v>39630695.162016958</v>
      </c>
      <c r="S71" s="881">
        <v>39792381.116561964</v>
      </c>
      <c r="T71" s="881">
        <v>39338745.213403903</v>
      </c>
      <c r="U71" s="881">
        <v>39065094.686030976</v>
      </c>
      <c r="V71" s="881">
        <v>36457210.297134928</v>
      </c>
      <c r="W71" s="881">
        <v>38897922.334562317</v>
      </c>
      <c r="X71" s="180">
        <f t="shared" si="197"/>
        <v>233182048.80971104</v>
      </c>
      <c r="Y71" s="881"/>
      <c r="Z71" s="881"/>
      <c r="AA71" s="881"/>
      <c r="AB71" s="881"/>
      <c r="AC71" s="881"/>
      <c r="AD71" s="881"/>
      <c r="AE71" s="180">
        <f t="shared" si="198"/>
        <v>0</v>
      </c>
      <c r="AF71" s="1389"/>
      <c r="AG71" s="972">
        <f>'PDYG-200'!D$38</f>
        <v>0.2417</v>
      </c>
      <c r="AH71" s="972">
        <f>'PDYG-200'!E$38</f>
        <v>0.30353035303530351</v>
      </c>
      <c r="AI71" s="972">
        <f>'PDYG-200'!F$38</f>
        <v>0.45476964696469646</v>
      </c>
      <c r="AK71" s="47">
        <f>F821EO!D71/F821CO!D71</f>
        <v>451.96889831311915</v>
      </c>
      <c r="AL71" s="47">
        <f>F821EO!E71/F821CO!E71</f>
        <v>453.25925893804299</v>
      </c>
      <c r="AM71" s="47">
        <f>F821EO!F71/F821CO!F71</f>
        <v>448.41245867653942</v>
      </c>
      <c r="AN71" s="47">
        <f>F821EO!G71/F821CO!G71</f>
        <v>445.16121079341139</v>
      </c>
      <c r="AO71" s="47">
        <f>F821EO!H71/F821CO!H71</f>
        <v>416.59092644406149</v>
      </c>
      <c r="AP71" s="47">
        <f>F821EO!I71/F821CO!I71</f>
        <v>443.62358930251497</v>
      </c>
    </row>
    <row r="72" spans="2:42">
      <c r="B72" s="48"/>
      <c r="C72" s="887" t="s">
        <v>304</v>
      </c>
      <c r="D72" s="883">
        <v>30012764.753028274</v>
      </c>
      <c r="E72" s="883">
        <v>30135211.318696361</v>
      </c>
      <c r="F72" s="883">
        <v>29791667.820674181</v>
      </c>
      <c r="G72" s="883">
        <v>29584429.242874585</v>
      </c>
      <c r="H72" s="883">
        <v>27609449.486727189</v>
      </c>
      <c r="I72" s="883">
        <v>29457827.767999414</v>
      </c>
      <c r="J72" s="180">
        <f t="shared" si="195"/>
        <v>176591350.38999999</v>
      </c>
      <c r="K72" s="883">
        <v>7054333.0563664995</v>
      </c>
      <c r="L72" s="883">
        <v>7083113.4390782844</v>
      </c>
      <c r="M72" s="883">
        <v>7002365.4548675623</v>
      </c>
      <c r="N72" s="883">
        <v>6953655.1823566454</v>
      </c>
      <c r="O72" s="883">
        <v>6489447.1997168763</v>
      </c>
      <c r="P72" s="883">
        <v>6923898.211396262</v>
      </c>
      <c r="Q72" s="180">
        <f t="shared" si="196"/>
        <v>41506812.54378213</v>
      </c>
      <c r="R72" s="883">
        <v>22958431.696661774</v>
      </c>
      <c r="S72" s="883">
        <v>23052097.879618078</v>
      </c>
      <c r="T72" s="883">
        <v>22789302.365806617</v>
      </c>
      <c r="U72" s="883">
        <v>22630774.060517941</v>
      </c>
      <c r="V72" s="883">
        <v>21120002.287010312</v>
      </c>
      <c r="W72" s="883">
        <v>22533929.556603152</v>
      </c>
      <c r="X72" s="180">
        <f t="shared" si="197"/>
        <v>135084537.84621787</v>
      </c>
      <c r="Y72" s="883"/>
      <c r="Z72" s="883"/>
      <c r="AA72" s="883"/>
      <c r="AB72" s="883"/>
      <c r="AC72" s="883"/>
      <c r="AD72" s="883"/>
      <c r="AE72" s="180">
        <f t="shared" si="198"/>
        <v>0</v>
      </c>
      <c r="AF72" s="1389"/>
      <c r="AG72" s="972">
        <f>'PDYG-200'!D$38</f>
        <v>0.2417</v>
      </c>
      <c r="AH72" s="972">
        <f>'PDYG-200'!E$38</f>
        <v>0.30353035303530351</v>
      </c>
      <c r="AI72" s="972">
        <f>'PDYG-200'!F$38</f>
        <v>0.45476964696469646</v>
      </c>
      <c r="AK72" s="49">
        <f>F821EO!D72/F821CO!D72</f>
        <v>446.55207190936278</v>
      </c>
      <c r="AL72" s="49">
        <f>F821EO!E72/F821CO!E72</f>
        <v>447.82754738596509</v>
      </c>
      <c r="AM72" s="49">
        <f>F821EO!F72/F821CO!F72</f>
        <v>443.03830558375739</v>
      </c>
      <c r="AN72" s="49">
        <f>F821EO!G72/F821CO!G72</f>
        <v>439.82560125586622</v>
      </c>
      <c r="AO72" s="49">
        <f>F821EO!H72/F821CO!H72</f>
        <v>411.60215699226558</v>
      </c>
      <c r="AP72" s="49">
        <f>F821EO!I72/F821CO!I72</f>
        <v>438.30835269609889</v>
      </c>
    </row>
    <row r="73" spans="2:42">
      <c r="B73" s="48"/>
      <c r="C73" s="889" t="s">
        <v>642</v>
      </c>
      <c r="D73" s="883">
        <v>16991261.304088857</v>
      </c>
      <c r="E73" s="883">
        <v>17060582.528247148</v>
      </c>
      <c r="F73" s="883">
        <v>16866090.70477638</v>
      </c>
      <c r="G73" s="883">
        <v>16748765.79796901</v>
      </c>
      <c r="H73" s="883">
        <v>15630661.638517981</v>
      </c>
      <c r="I73" s="883">
        <v>16677092.336400624</v>
      </c>
      <c r="J73" s="180">
        <f t="shared" si="195"/>
        <v>99974454.310000002</v>
      </c>
      <c r="K73" s="883">
        <v>3993701.255886496</v>
      </c>
      <c r="L73" s="883">
        <v>4009994.8232106552</v>
      </c>
      <c r="M73" s="883">
        <v>3964280.6042510574</v>
      </c>
      <c r="N73" s="883">
        <v>3936704.0389050459</v>
      </c>
      <c r="O73" s="883">
        <v>3673899.8888248564</v>
      </c>
      <c r="P73" s="883">
        <v>3919857.5912896176</v>
      </c>
      <c r="Q73" s="180">
        <f t="shared" si="196"/>
        <v>23498438.20236773</v>
      </c>
      <c r="R73" s="883">
        <v>12997560.048202362</v>
      </c>
      <c r="S73" s="883">
        <v>13050587.705036493</v>
      </c>
      <c r="T73" s="883">
        <v>12901810.100525323</v>
      </c>
      <c r="U73" s="883">
        <v>12812061.759063963</v>
      </c>
      <c r="V73" s="883">
        <v>11956761.749693125</v>
      </c>
      <c r="W73" s="883">
        <v>12757234.745111007</v>
      </c>
      <c r="X73" s="180">
        <f t="shared" si="197"/>
        <v>76476016.107632264</v>
      </c>
      <c r="Y73" s="883"/>
      <c r="Z73" s="883"/>
      <c r="AA73" s="883"/>
      <c r="AB73" s="883"/>
      <c r="AC73" s="883"/>
      <c r="AD73" s="883"/>
      <c r="AE73" s="180">
        <f t="shared" si="198"/>
        <v>0</v>
      </c>
      <c r="AF73" s="1389"/>
      <c r="AG73" s="972">
        <f>'PDYG-200'!D$38</f>
        <v>0.2417</v>
      </c>
      <c r="AH73" s="972">
        <f>'PDYG-200'!E$38</f>
        <v>0.30353035303530351</v>
      </c>
      <c r="AI73" s="972">
        <f>'PDYG-200'!F$38</f>
        <v>0.45476964696469646</v>
      </c>
      <c r="AK73" s="49">
        <f>F821EO!D73/F821CO!D73</f>
        <v>421.03432709111053</v>
      </c>
      <c r="AL73" s="49">
        <f>F821EO!E73/F821CO!E73</f>
        <v>422.23938938861892</v>
      </c>
      <c r="AM73" s="49">
        <f>F821EO!F73/F821CO!F73</f>
        <v>417.72564654191552</v>
      </c>
      <c r="AN73" s="49">
        <f>F821EO!G73/F821CO!G73</f>
        <v>414.69658804518696</v>
      </c>
      <c r="AO73" s="49">
        <f>F821EO!H73/F821CO!H73</f>
        <v>388.07909324224698</v>
      </c>
      <c r="AP73" s="49">
        <f>F821EO!I73/F821CO!I73</f>
        <v>413.259629200858</v>
      </c>
    </row>
    <row r="74" spans="2:42">
      <c r="B74" s="48"/>
      <c r="C74" s="889" t="s">
        <v>1177</v>
      </c>
      <c r="D74" s="883">
        <v>4800331.3617410315</v>
      </c>
      <c r="E74" s="883">
        <v>4819915.8316874309</v>
      </c>
      <c r="F74" s="883">
        <v>4764968.4570870381</v>
      </c>
      <c r="G74" s="883">
        <v>4731822.09911035</v>
      </c>
      <c r="H74" s="883">
        <v>4415937.9298159694</v>
      </c>
      <c r="I74" s="883">
        <v>4711573.0805581808</v>
      </c>
      <c r="J74" s="180">
        <f t="shared" si="195"/>
        <v>28244548.760000002</v>
      </c>
      <c r="K74" s="883">
        <v>1128291.1283015269</v>
      </c>
      <c r="L74" s="883">
        <v>1132894.3487935797</v>
      </c>
      <c r="M74" s="883">
        <v>1119979.2746844878</v>
      </c>
      <c r="N74" s="883">
        <v>1112188.4080083508</v>
      </c>
      <c r="O74" s="883">
        <v>1037941.5948349199</v>
      </c>
      <c r="P74" s="883">
        <v>1107428.9890708758</v>
      </c>
      <c r="Q74" s="180">
        <f t="shared" si="196"/>
        <v>6638723.743693741</v>
      </c>
      <c r="R74" s="883">
        <v>3672040.2334395046</v>
      </c>
      <c r="S74" s="883">
        <v>3687021.4828938511</v>
      </c>
      <c r="T74" s="883">
        <v>3644989.1824025502</v>
      </c>
      <c r="U74" s="883">
        <v>3619633.691101999</v>
      </c>
      <c r="V74" s="883">
        <v>3377996.3349810494</v>
      </c>
      <c r="W74" s="883">
        <v>3604144.0914873052</v>
      </c>
      <c r="X74" s="180">
        <f t="shared" si="197"/>
        <v>21605825.016306259</v>
      </c>
      <c r="Y74" s="883"/>
      <c r="Z74" s="883"/>
      <c r="AA74" s="883"/>
      <c r="AB74" s="883"/>
      <c r="AC74" s="883"/>
      <c r="AD74" s="883"/>
      <c r="AE74" s="180">
        <f t="shared" si="198"/>
        <v>0</v>
      </c>
      <c r="AF74" s="1389"/>
      <c r="AG74" s="972">
        <f>'PDYG-200'!D$38</f>
        <v>0.2417</v>
      </c>
      <c r="AH74" s="972">
        <f>'PDYG-200'!E$38</f>
        <v>0.30353035303530351</v>
      </c>
      <c r="AI74" s="972">
        <f>'PDYG-200'!F$38</f>
        <v>0.45476964696469646</v>
      </c>
      <c r="AK74" s="49">
        <f>F821EO!D74/F821CO!D74</f>
        <v>680.51195941891569</v>
      </c>
      <c r="AL74" s="49">
        <f>F821EO!E74/F821CO!E74</f>
        <v>682.41764571533781</v>
      </c>
      <c r="AM74" s="49">
        <f>F821EO!F74/F821CO!F74</f>
        <v>675.11596161618559</v>
      </c>
      <c r="AN74" s="49">
        <f>F821EO!G74/F821CO!G74</f>
        <v>670.22975908078615</v>
      </c>
      <c r="AO74" s="49">
        <f>F821EO!H74/F821CO!H74</f>
        <v>627.17482315238874</v>
      </c>
      <c r="AP74" s="49">
        <f>F821EO!I74/F821CO!I74</f>
        <v>667.9292714145422</v>
      </c>
    </row>
    <row r="75" spans="2:42">
      <c r="B75" s="48"/>
      <c r="C75" s="887" t="s">
        <v>305</v>
      </c>
      <c r="D75" s="883">
        <v>2557.1992090229583</v>
      </c>
      <c r="E75" s="883">
        <v>2567.6321119377899</v>
      </c>
      <c r="F75" s="883">
        <v>2538.360927872061</v>
      </c>
      <c r="G75" s="883">
        <v>2520.7034300844007</v>
      </c>
      <c r="H75" s="883">
        <v>2352.4278076345599</v>
      </c>
      <c r="I75" s="883">
        <v>2509.9165134482296</v>
      </c>
      <c r="J75" s="180">
        <f t="shared" si="195"/>
        <v>15046.24</v>
      </c>
      <c r="K75" s="883">
        <v>601.05541959791492</v>
      </c>
      <c r="L75" s="883">
        <v>603.50761527237478</v>
      </c>
      <c r="M75" s="883">
        <v>596.62758662279748</v>
      </c>
      <c r="N75" s="883">
        <v>592.47729019522023</v>
      </c>
      <c r="O75" s="883">
        <v>552.92504314977646</v>
      </c>
      <c r="P75" s="883">
        <v>589.94188556892254</v>
      </c>
      <c r="Q75" s="180">
        <f t="shared" si="196"/>
        <v>3536.5348404070064</v>
      </c>
      <c r="R75" s="883">
        <v>1956.1437894250435</v>
      </c>
      <c r="S75" s="883">
        <v>1964.1244966654151</v>
      </c>
      <c r="T75" s="883">
        <v>1941.7333412492635</v>
      </c>
      <c r="U75" s="883">
        <v>1928.2261398891806</v>
      </c>
      <c r="V75" s="883">
        <v>1799.5027644847835</v>
      </c>
      <c r="W75" s="883">
        <v>1919.974627879307</v>
      </c>
      <c r="X75" s="180">
        <f t="shared" si="197"/>
        <v>11509.705159592993</v>
      </c>
      <c r="Y75" s="883"/>
      <c r="Z75" s="883"/>
      <c r="AA75" s="883"/>
      <c r="AB75" s="883"/>
      <c r="AC75" s="883"/>
      <c r="AD75" s="883"/>
      <c r="AE75" s="180">
        <f t="shared" si="198"/>
        <v>0</v>
      </c>
      <c r="AF75" s="1389"/>
      <c r="AG75" s="972">
        <f>'PDYG-200'!D$38</f>
        <v>0.2417</v>
      </c>
      <c r="AH75" s="972">
        <f>'PDYG-200'!E$38</f>
        <v>0.30353035303530351</v>
      </c>
      <c r="AI75" s="972">
        <f>'PDYG-200'!F$38</f>
        <v>0.45476964696469646</v>
      </c>
      <c r="AK75" s="49">
        <f>F821EO!D75/F821CO!D75</f>
        <v>511.43984180459165</v>
      </c>
      <c r="AL75" s="49">
        <f>F821EO!E75/F821CO!E75</f>
        <v>513.526422387558</v>
      </c>
      <c r="AM75" s="49">
        <f>F821EO!F75/F821CO!F75</f>
        <v>507.6721855744122</v>
      </c>
      <c r="AN75" s="49">
        <f>F821EO!G75/F821CO!G75</f>
        <v>504.14068601688012</v>
      </c>
      <c r="AO75" s="49">
        <f>F821EO!H75/F821CO!H75</f>
        <v>470.48556152691197</v>
      </c>
      <c r="AP75" s="49">
        <f>F821EO!I75/F821CO!I75</f>
        <v>501.98330268964594</v>
      </c>
    </row>
    <row r="76" spans="2:42">
      <c r="B76" s="48"/>
      <c r="C76" s="887" t="s">
        <v>307</v>
      </c>
      <c r="D76" s="883">
        <v>425.90811031988346</v>
      </c>
      <c r="E76" s="883">
        <v>427.64573715393226</v>
      </c>
      <c r="F76" s="883">
        <v>422.7705461057451</v>
      </c>
      <c r="G76" s="883">
        <v>419.82964440001012</v>
      </c>
      <c r="H76" s="883">
        <v>391.80290635096418</v>
      </c>
      <c r="I76" s="883">
        <v>418.03305566946489</v>
      </c>
      <c r="J76" s="180">
        <f t="shared" si="195"/>
        <v>2505.9900000000002</v>
      </c>
      <c r="K76" s="883">
        <v>100.1073272098663</v>
      </c>
      <c r="L76" s="883">
        <v>100.51574671123274</v>
      </c>
      <c r="M76" s="883">
        <v>99.369860230919102</v>
      </c>
      <c r="N76" s="883">
        <v>98.678617678324954</v>
      </c>
      <c r="O76" s="883">
        <v>92.091089128108308</v>
      </c>
      <c r="P76" s="883">
        <v>98.256339511855742</v>
      </c>
      <c r="Q76" s="180">
        <f t="shared" si="196"/>
        <v>589.01898047030716</v>
      </c>
      <c r="R76" s="883">
        <v>325.80078311001716</v>
      </c>
      <c r="S76" s="883">
        <v>327.12999044269952</v>
      </c>
      <c r="T76" s="883">
        <v>323.40068587482597</v>
      </c>
      <c r="U76" s="883">
        <v>321.15102672168518</v>
      </c>
      <c r="V76" s="883">
        <v>299.71181722285587</v>
      </c>
      <c r="W76" s="883">
        <v>319.77671615760914</v>
      </c>
      <c r="X76" s="180">
        <f t="shared" si="197"/>
        <v>1916.971019529693</v>
      </c>
      <c r="Y76" s="883"/>
      <c r="Z76" s="883"/>
      <c r="AA76" s="883"/>
      <c r="AB76" s="883"/>
      <c r="AC76" s="883"/>
      <c r="AD76" s="883"/>
      <c r="AE76" s="180">
        <f t="shared" si="198"/>
        <v>0</v>
      </c>
      <c r="AF76" s="1389"/>
      <c r="AG76" s="972">
        <f>'PDYG-200'!D$38</f>
        <v>0.2417</v>
      </c>
      <c r="AH76" s="972">
        <f>'PDYG-200'!E$38</f>
        <v>0.30353035303530351</v>
      </c>
      <c r="AI76" s="972">
        <f>'PDYG-200'!F$38</f>
        <v>0.45476964696469646</v>
      </c>
      <c r="AK76" s="49">
        <f>F821EO!D76/F821CO!D76</f>
        <v>425.90811031988346</v>
      </c>
      <c r="AL76" s="49">
        <f>F821EO!E76/F821CO!E76</f>
        <v>427.64573715393226</v>
      </c>
      <c r="AM76" s="49">
        <f>F821EO!F76/F821CO!F76</f>
        <v>422.7705461057451</v>
      </c>
      <c r="AN76" s="49">
        <f>F821EO!G76/F821CO!G76</f>
        <v>419.82964440001012</v>
      </c>
      <c r="AO76" s="49">
        <f>F821EO!H76/F821CO!H76</f>
        <v>391.80290635096418</v>
      </c>
      <c r="AP76" s="49">
        <f>F821EO!I76/F821CO!I76</f>
        <v>418.03305566946489</v>
      </c>
    </row>
    <row r="77" spans="2:42">
      <c r="B77" s="48"/>
      <c r="C77" s="887" t="s">
        <v>624</v>
      </c>
      <c r="D77" s="883">
        <v>498.38076041130631</v>
      </c>
      <c r="E77" s="883">
        <v>500.41406234165441</v>
      </c>
      <c r="F77" s="883">
        <v>494.70930734198782</v>
      </c>
      <c r="G77" s="883">
        <v>491.26798093170106</v>
      </c>
      <c r="H77" s="883">
        <v>458.47220484225033</v>
      </c>
      <c r="I77" s="883">
        <v>489.16568413110008</v>
      </c>
      <c r="J77" s="180">
        <f t="shared" si="195"/>
        <v>2932.41</v>
      </c>
      <c r="K77" s="883">
        <v>117.14161963275355</v>
      </c>
      <c r="L77" s="883">
        <v>117.61953591733646</v>
      </c>
      <c r="M77" s="883">
        <v>116.27866505442938</v>
      </c>
      <c r="N77" s="883">
        <v>115.46980046452573</v>
      </c>
      <c r="O77" s="883">
        <v>107.76133610675066</v>
      </c>
      <c r="P77" s="883">
        <v>114.97566732028494</v>
      </c>
      <c r="Q77" s="180">
        <f t="shared" si="196"/>
        <v>689.2466244960807</v>
      </c>
      <c r="R77" s="883">
        <v>381.23914077855278</v>
      </c>
      <c r="S77" s="883">
        <v>382.79452642431795</v>
      </c>
      <c r="T77" s="883">
        <v>378.43064228755844</v>
      </c>
      <c r="U77" s="883">
        <v>375.79818046717531</v>
      </c>
      <c r="V77" s="883">
        <v>350.71086873549967</v>
      </c>
      <c r="W77" s="883">
        <v>374.19001681081511</v>
      </c>
      <c r="X77" s="180">
        <f t="shared" si="197"/>
        <v>2243.1633755039193</v>
      </c>
      <c r="Y77" s="883"/>
      <c r="Z77" s="883"/>
      <c r="AA77" s="883"/>
      <c r="AB77" s="883"/>
      <c r="AC77" s="883"/>
      <c r="AD77" s="883"/>
      <c r="AE77" s="180">
        <f t="shared" si="198"/>
        <v>0</v>
      </c>
      <c r="AF77" s="1389"/>
      <c r="AG77" s="972">
        <f>'PDYG-200'!D$38</f>
        <v>0.2417</v>
      </c>
      <c r="AH77" s="972">
        <f>'PDYG-200'!E$38</f>
        <v>0.30353035303530351</v>
      </c>
      <c r="AI77" s="972">
        <f>'PDYG-200'!F$38</f>
        <v>0.45476964696469646</v>
      </c>
      <c r="AK77" s="49"/>
      <c r="AL77" s="49"/>
      <c r="AM77" s="49"/>
      <c r="AN77" s="49"/>
      <c r="AO77" s="49"/>
      <c r="AP77" s="49"/>
    </row>
    <row r="78" spans="2:42">
      <c r="B78" s="48" t="s">
        <v>749</v>
      </c>
      <c r="C78" s="882" t="s">
        <v>636</v>
      </c>
      <c r="D78" s="881">
        <f>SUM(D79:D84)</f>
        <v>55480813.732610427</v>
      </c>
      <c r="E78" s="881">
        <f t="shared" ref="E78:I78" si="200">SUM(E79:E84)</f>
        <v>55707165.25863383</v>
      </c>
      <c r="F78" s="881">
        <f t="shared" si="200"/>
        <v>55072099.713034771</v>
      </c>
      <c r="G78" s="881">
        <f t="shared" si="200"/>
        <v>54689003.886051677</v>
      </c>
      <c r="H78" s="881">
        <f t="shared" si="200"/>
        <v>51038107.846377954</v>
      </c>
      <c r="I78" s="881">
        <f t="shared" si="200"/>
        <v>54454971.703291357</v>
      </c>
      <c r="J78" s="180">
        <f t="shared" si="195"/>
        <v>326442162.14000005</v>
      </c>
      <c r="K78" s="881">
        <v>13040456.003593475</v>
      </c>
      <c r="L78" s="881">
        <v>13093658.66804393</v>
      </c>
      <c r="M78" s="881">
        <v>12944390.051568775</v>
      </c>
      <c r="N78" s="881">
        <v>12854345.512910595</v>
      </c>
      <c r="O78" s="881">
        <v>11996222.749814296</v>
      </c>
      <c r="P78" s="881">
        <v>12799337.552908072</v>
      </c>
      <c r="Q78" s="180">
        <f t="shared" si="196"/>
        <v>76728410.538839146</v>
      </c>
      <c r="R78" s="881">
        <v>42440357.729016952</v>
      </c>
      <c r="S78" s="881">
        <v>42613506.590589888</v>
      </c>
      <c r="T78" s="881">
        <v>42127709.661465995</v>
      </c>
      <c r="U78" s="881">
        <v>41834658.373141088</v>
      </c>
      <c r="V78" s="881">
        <v>39041885.096563667</v>
      </c>
      <c r="W78" s="881">
        <v>41655634.150383286</v>
      </c>
      <c r="X78" s="180">
        <f t="shared" si="197"/>
        <v>249713751.60116088</v>
      </c>
      <c r="Y78" s="881"/>
      <c r="Z78" s="881"/>
      <c r="AA78" s="881"/>
      <c r="AB78" s="881"/>
      <c r="AC78" s="881"/>
      <c r="AD78" s="881"/>
      <c r="AE78" s="180">
        <f t="shared" si="198"/>
        <v>0</v>
      </c>
      <c r="AF78" s="1389"/>
      <c r="AG78" s="972">
        <f>'PDYG-200'!D$38</f>
        <v>0.2417</v>
      </c>
      <c r="AH78" s="972">
        <f>'PDYG-200'!E$38</f>
        <v>0.30353035303530351</v>
      </c>
      <c r="AI78" s="972">
        <f>'PDYG-200'!F$38</f>
        <v>0.45476964696469646</v>
      </c>
      <c r="AK78" s="47">
        <f>F821EO!D78/F821CO!D78</f>
        <v>1623.1952525632073</v>
      </c>
      <c r="AL78" s="47">
        <f>F821EO!E78/F821CO!E78</f>
        <v>1627.8649150706826</v>
      </c>
      <c r="AM78" s="47">
        <f>F821EO!F78/F821CO!F78</f>
        <v>1610.4365796132636</v>
      </c>
      <c r="AN78" s="47">
        <f>F821EO!G78/F821CO!G78</f>
        <v>1598.7664479799946</v>
      </c>
      <c r="AO78" s="47">
        <f>F821EO!H78/F821CO!H78</f>
        <v>1496.1483260451428</v>
      </c>
      <c r="AP78" s="47">
        <f>F821EO!I78/F821CO!I78</f>
        <v>1593.228933066835</v>
      </c>
    </row>
    <row r="79" spans="2:42">
      <c r="B79" s="37"/>
      <c r="C79" s="887" t="s">
        <v>304</v>
      </c>
      <c r="D79" s="883">
        <v>46301516.449714258</v>
      </c>
      <c r="E79" s="883">
        <v>46490418.129421063</v>
      </c>
      <c r="F79" s="883">
        <v>45960424.140004888</v>
      </c>
      <c r="G79" s="883">
        <v>45640711.494470127</v>
      </c>
      <c r="H79" s="883">
        <v>42593855.984169811</v>
      </c>
      <c r="I79" s="883">
        <v>45445399.922219872</v>
      </c>
      <c r="J79" s="180">
        <f t="shared" si="195"/>
        <v>272432326.12</v>
      </c>
      <c r="K79" s="883">
        <v>10882913.345001316</v>
      </c>
      <c r="L79" s="883">
        <v>10927313.631830087</v>
      </c>
      <c r="M79" s="883">
        <v>10802741.498939969</v>
      </c>
      <c r="N79" s="883">
        <v>10727594.823767142</v>
      </c>
      <c r="O79" s="883">
        <v>10011448.42002354</v>
      </c>
      <c r="P79" s="883">
        <v>10681687.927426416</v>
      </c>
      <c r="Q79" s="180">
        <f t="shared" si="196"/>
        <v>64033699.646988466</v>
      </c>
      <c r="R79" s="883">
        <v>35418603.104712941</v>
      </c>
      <c r="S79" s="883">
        <v>35563104.497590974</v>
      </c>
      <c r="T79" s="883">
        <v>35157682.64106492</v>
      </c>
      <c r="U79" s="883">
        <v>34913116.670702986</v>
      </c>
      <c r="V79" s="883">
        <v>32582407.564146273</v>
      </c>
      <c r="W79" s="883">
        <v>34763711.99479346</v>
      </c>
      <c r="X79" s="180">
        <f t="shared" si="197"/>
        <v>208398626.47301155</v>
      </c>
      <c r="Y79" s="883"/>
      <c r="Z79" s="883"/>
      <c r="AA79" s="883"/>
      <c r="AB79" s="883"/>
      <c r="AC79" s="883"/>
      <c r="AD79" s="883"/>
      <c r="AE79" s="180">
        <f t="shared" si="198"/>
        <v>0</v>
      </c>
      <c r="AF79" s="1389"/>
      <c r="AG79" s="972">
        <f>'PDYG-200'!D$38</f>
        <v>0.2417</v>
      </c>
      <c r="AH79" s="972">
        <f>'PDYG-200'!E$38</f>
        <v>0.30353035303530351</v>
      </c>
      <c r="AI79" s="972">
        <f>'PDYG-200'!F$38</f>
        <v>0.45476964696469646</v>
      </c>
      <c r="AK79" s="49">
        <f>F821EO!D79/F821CO!D79</f>
        <v>1779.2536006499734</v>
      </c>
      <c r="AL79" s="49">
        <f>F821EO!E79/F821CO!E79</f>
        <v>1784.3869705005397</v>
      </c>
      <c r="AM79" s="49">
        <f>F821EO!F79/F821CO!F79</f>
        <v>1765.2644085114798</v>
      </c>
      <c r="AN79" s="49">
        <f>F821EO!G79/F821CO!G79</f>
        <v>1752.5135926917071</v>
      </c>
      <c r="AO79" s="49">
        <f>F821EO!H79/F821CO!H79</f>
        <v>1639.9913747177657</v>
      </c>
      <c r="AP79" s="49">
        <f>F821EO!I79/F821CO!I79</f>
        <v>1746.4222551002949</v>
      </c>
    </row>
    <row r="80" spans="2:42">
      <c r="B80" s="37"/>
      <c r="C80" s="889" t="s">
        <v>642</v>
      </c>
      <c r="D80" s="883">
        <v>9155477.4134019911</v>
      </c>
      <c r="E80" s="883">
        <v>9192830.0790276974</v>
      </c>
      <c r="F80" s="883">
        <v>9088031.1788748614</v>
      </c>
      <c r="G80" s="883">
        <v>9024812.4739723653</v>
      </c>
      <c r="H80" s="883">
        <v>8422339.4029931501</v>
      </c>
      <c r="I80" s="883">
        <v>8986192.3417299297</v>
      </c>
      <c r="J80" s="180">
        <f t="shared" si="195"/>
        <v>53869682.890000001</v>
      </c>
      <c r="K80" s="883">
        <v>2151943.9310456011</v>
      </c>
      <c r="L80" s="883">
        <v>2160723.4668876044</v>
      </c>
      <c r="M80" s="883">
        <v>2136091.0695825741</v>
      </c>
      <c r="N80" s="883">
        <v>2121231.8653924847</v>
      </c>
      <c r="O80" s="883">
        <v>1979623.9283979267</v>
      </c>
      <c r="P80" s="883">
        <v>2112154.4185874024</v>
      </c>
      <c r="Q80" s="180">
        <f t="shared" si="196"/>
        <v>12661768.679893594</v>
      </c>
      <c r="R80" s="883">
        <v>7003533.48235639</v>
      </c>
      <c r="S80" s="883">
        <v>7032106.612140093</v>
      </c>
      <c r="T80" s="883">
        <v>6951940.1092922874</v>
      </c>
      <c r="U80" s="883">
        <v>6903580.6085798806</v>
      </c>
      <c r="V80" s="883">
        <v>6442715.4745952236</v>
      </c>
      <c r="W80" s="883">
        <v>6874037.9231425272</v>
      </c>
      <c r="X80" s="180">
        <f t="shared" si="197"/>
        <v>41207914.21010641</v>
      </c>
      <c r="Y80" s="883"/>
      <c r="Z80" s="883"/>
      <c r="AA80" s="883"/>
      <c r="AB80" s="883"/>
      <c r="AC80" s="883"/>
      <c r="AD80" s="883"/>
      <c r="AE80" s="180">
        <f t="shared" si="198"/>
        <v>0</v>
      </c>
      <c r="AF80" s="1389"/>
      <c r="AG80" s="972">
        <f>'PDYG-200'!D$38</f>
        <v>0.2417</v>
      </c>
      <c r="AH80" s="972">
        <f>'PDYG-200'!E$38</f>
        <v>0.30353035303530351</v>
      </c>
      <c r="AI80" s="972">
        <f>'PDYG-200'!F$38</f>
        <v>0.45476964696469646</v>
      </c>
      <c r="AK80" s="49">
        <f>(F821EO!D80+F821EO!D81)/(F821CO!D80+F821CO!D81)</f>
        <v>1124.3371501169092</v>
      </c>
      <c r="AL80" s="49">
        <f>(F821EO!E80+F821EO!E81)/(F821CO!E80+F821CO!E81)</f>
        <v>1127.5395656847415</v>
      </c>
      <c r="AM80" s="49">
        <f>(F821EO!F80+F821EO!F81)/(F821CO!F80+F821CO!F81)</f>
        <v>1115.5064660457667</v>
      </c>
      <c r="AN80" s="49">
        <f>(F821EO!G80+F821EO!G81)/(F821CO!G80+F821CO!G81)</f>
        <v>1107.33895386164</v>
      </c>
      <c r="AO80" s="49">
        <f>(F821EO!H80+F821EO!H81)/(F821CO!H80+F821CO!H81)</f>
        <v>1036.3405196250953</v>
      </c>
      <c r="AP80" s="49">
        <f>(F821EO!I80+F821EO!I81)/(F821CO!I80+F821CO!I81)</f>
        <v>1103.5481200699901</v>
      </c>
    </row>
    <row r="81" spans="2:42">
      <c r="B81" s="37"/>
      <c r="C81" s="889" t="s">
        <v>1177</v>
      </c>
      <c r="D81" s="883">
        <v>0</v>
      </c>
      <c r="E81" s="883">
        <v>0</v>
      </c>
      <c r="F81" s="883">
        <v>0</v>
      </c>
      <c r="G81" s="883">
        <v>0</v>
      </c>
      <c r="H81" s="883">
        <v>0</v>
      </c>
      <c r="I81" s="883">
        <v>0</v>
      </c>
      <c r="J81" s="180">
        <f t="shared" si="195"/>
        <v>0</v>
      </c>
      <c r="K81" s="883">
        <v>0</v>
      </c>
      <c r="L81" s="883">
        <v>0</v>
      </c>
      <c r="M81" s="883">
        <v>0</v>
      </c>
      <c r="N81" s="883">
        <v>0</v>
      </c>
      <c r="O81" s="883">
        <v>0</v>
      </c>
      <c r="P81" s="883">
        <v>0</v>
      </c>
      <c r="Q81" s="180">
        <f t="shared" si="196"/>
        <v>0</v>
      </c>
      <c r="R81" s="883">
        <v>0</v>
      </c>
      <c r="S81" s="883">
        <v>0</v>
      </c>
      <c r="T81" s="883">
        <v>0</v>
      </c>
      <c r="U81" s="883">
        <v>0</v>
      </c>
      <c r="V81" s="883">
        <v>0</v>
      </c>
      <c r="W81" s="883">
        <v>0</v>
      </c>
      <c r="X81" s="180">
        <f t="shared" si="197"/>
        <v>0</v>
      </c>
      <c r="Y81" s="883"/>
      <c r="Z81" s="883"/>
      <c r="AA81" s="883"/>
      <c r="AB81" s="883"/>
      <c r="AC81" s="883"/>
      <c r="AD81" s="883"/>
      <c r="AE81" s="180">
        <f t="shared" si="198"/>
        <v>0</v>
      </c>
      <c r="AF81" s="1389"/>
      <c r="AG81" s="972">
        <f>'PDYG-200'!D$38</f>
        <v>0.2417</v>
      </c>
      <c r="AH81" s="972">
        <f>'PDYG-200'!E$38</f>
        <v>0.30353035303530351</v>
      </c>
      <c r="AI81" s="972">
        <f>'PDYG-200'!F$38</f>
        <v>0.45476964696469646</v>
      </c>
      <c r="AK81" s="49"/>
      <c r="AL81" s="49"/>
      <c r="AM81" s="49"/>
      <c r="AN81" s="49"/>
      <c r="AO81" s="49"/>
      <c r="AP81" s="49"/>
    </row>
    <row r="82" spans="2:42">
      <c r="B82" s="37"/>
      <c r="C82" s="887" t="s">
        <v>305</v>
      </c>
      <c r="D82" s="883">
        <v>16477.199667887115</v>
      </c>
      <c r="E82" s="883">
        <v>16544.423615023028</v>
      </c>
      <c r="F82" s="883">
        <v>16355.816038943431</v>
      </c>
      <c r="G82" s="883">
        <v>16242.040735222094</v>
      </c>
      <c r="H82" s="883">
        <v>15157.764226547824</v>
      </c>
      <c r="I82" s="883">
        <v>16172.535716376511</v>
      </c>
      <c r="J82" s="180">
        <f t="shared" si="195"/>
        <v>96949.78</v>
      </c>
      <c r="K82" s="883">
        <v>3872.8739338084156</v>
      </c>
      <c r="L82" s="883">
        <v>3888.6745478592243</v>
      </c>
      <c r="M82" s="883">
        <v>3844.3433884486199</v>
      </c>
      <c r="N82" s="883">
        <v>3817.6011375215844</v>
      </c>
      <c r="O82" s="883">
        <v>3562.7479881924883</v>
      </c>
      <c r="P82" s="883">
        <v>3801.2643702806959</v>
      </c>
      <c r="Q82" s="180">
        <f t="shared" si="196"/>
        <v>22787.505366111029</v>
      </c>
      <c r="R82" s="883">
        <v>12604.325734078699</v>
      </c>
      <c r="S82" s="883">
        <v>12655.749067163804</v>
      </c>
      <c r="T82" s="883">
        <v>12511.47265049481</v>
      </c>
      <c r="U82" s="883">
        <v>12424.43959770051</v>
      </c>
      <c r="V82" s="883">
        <v>11595.016238355336</v>
      </c>
      <c r="W82" s="883">
        <v>12371.271346095815</v>
      </c>
      <c r="X82" s="180">
        <f t="shared" si="197"/>
        <v>74162.274633888985</v>
      </c>
      <c r="Y82" s="883"/>
      <c r="Z82" s="883"/>
      <c r="AA82" s="883"/>
      <c r="AB82" s="883"/>
      <c r="AC82" s="883"/>
      <c r="AD82" s="883"/>
      <c r="AE82" s="180">
        <f t="shared" si="198"/>
        <v>0</v>
      </c>
      <c r="AF82" s="1389"/>
      <c r="AG82" s="972">
        <f>'PDYG-200'!D$38</f>
        <v>0.2417</v>
      </c>
      <c r="AH82" s="972">
        <f>'PDYG-200'!E$38</f>
        <v>0.30353035303530351</v>
      </c>
      <c r="AI82" s="972">
        <f>'PDYG-200'!F$38</f>
        <v>0.45476964696469646</v>
      </c>
      <c r="AK82" s="49">
        <f>F821EO!D82/F821CO!D82</f>
        <v>1830.7999630985682</v>
      </c>
      <c r="AL82" s="49">
        <f>F821EO!E82/F821CO!E82</f>
        <v>1838.2692905581143</v>
      </c>
      <c r="AM82" s="49">
        <f>F821EO!F82/F821CO!F82</f>
        <v>1817.3128932159368</v>
      </c>
      <c r="AN82" s="49">
        <f>F821EO!G82/F821CO!G82</f>
        <v>1804.6711928024549</v>
      </c>
      <c r="AO82" s="49">
        <f>F821EO!H82/F821CO!H82</f>
        <v>1684.1960251719804</v>
      </c>
      <c r="AP82" s="49">
        <f>F821EO!I82/F821CO!I82</f>
        <v>1796.9484129307234</v>
      </c>
    </row>
    <row r="83" spans="2:42">
      <c r="B83" s="37"/>
      <c r="C83" s="887" t="s">
        <v>307</v>
      </c>
      <c r="D83" s="883">
        <v>1792.5602341453377</v>
      </c>
      <c r="E83" s="883">
        <v>1799.8735505368954</v>
      </c>
      <c r="F83" s="883">
        <v>1779.3548672925729</v>
      </c>
      <c r="G83" s="883">
        <v>1766.9772127645308</v>
      </c>
      <c r="H83" s="883">
        <v>1649.0183974656281</v>
      </c>
      <c r="I83" s="883">
        <v>1759.4157377950351</v>
      </c>
      <c r="J83" s="180">
        <f t="shared" si="195"/>
        <v>10547.2</v>
      </c>
      <c r="K83" s="883">
        <v>421.33129084629303</v>
      </c>
      <c r="L83" s="883">
        <v>423.05024509783118</v>
      </c>
      <c r="M83" s="883">
        <v>418.22744297764552</v>
      </c>
      <c r="N83" s="883">
        <v>415.31814427704376</v>
      </c>
      <c r="O83" s="883">
        <v>387.59258227366587</v>
      </c>
      <c r="P83" s="883">
        <v>413.54086173506073</v>
      </c>
      <c r="Q83" s="180">
        <f t="shared" si="196"/>
        <v>2479.0605672075403</v>
      </c>
      <c r="R83" s="883">
        <v>1371.2289432990447</v>
      </c>
      <c r="S83" s="883">
        <v>1376.8233054390644</v>
      </c>
      <c r="T83" s="883">
        <v>1361.1274243149273</v>
      </c>
      <c r="U83" s="883">
        <v>1351.659068487487</v>
      </c>
      <c r="V83" s="883">
        <v>1261.4258151919623</v>
      </c>
      <c r="W83" s="883">
        <v>1345.8748760599742</v>
      </c>
      <c r="X83" s="180">
        <f t="shared" si="197"/>
        <v>8068.1394327924609</v>
      </c>
      <c r="Y83" s="883"/>
      <c r="Z83" s="883"/>
      <c r="AA83" s="883"/>
      <c r="AB83" s="883"/>
      <c r="AC83" s="883"/>
      <c r="AD83" s="883"/>
      <c r="AE83" s="180">
        <f t="shared" si="198"/>
        <v>0</v>
      </c>
      <c r="AF83" s="1389"/>
      <c r="AG83" s="972">
        <f>'PDYG-200'!D$38</f>
        <v>0.2417</v>
      </c>
      <c r="AH83" s="972">
        <f>'PDYG-200'!E$38</f>
        <v>0.30353035303530351</v>
      </c>
      <c r="AI83" s="972">
        <f>'PDYG-200'!F$38</f>
        <v>0.45476964696469646</v>
      </c>
      <c r="AK83" s="49">
        <f>F821EO!D83/F821CO!D83</f>
        <v>1792.5602341453377</v>
      </c>
      <c r="AL83" s="49">
        <f>F821EO!E83/F821CO!E83</f>
        <v>1799.8735505368954</v>
      </c>
      <c r="AM83" s="49">
        <f>F821EO!F83/F821CO!F83</f>
        <v>1779.3548672925729</v>
      </c>
      <c r="AN83" s="49">
        <f>F821EO!G83/F821CO!G83</f>
        <v>1766.9772127645308</v>
      </c>
      <c r="AO83" s="49">
        <f>F821EO!H83/F821CO!H83</f>
        <v>1649.0183974656281</v>
      </c>
      <c r="AP83" s="49">
        <f>F821EO!I83/F821CO!I83</f>
        <v>1759.4157377950351</v>
      </c>
    </row>
    <row r="84" spans="2:42">
      <c r="B84" s="37"/>
      <c r="C84" s="887" t="s">
        <v>624</v>
      </c>
      <c r="D84" s="883">
        <v>5550.109592146282</v>
      </c>
      <c r="E84" s="883">
        <v>5572.7530195090103</v>
      </c>
      <c r="F84" s="883">
        <v>5509.2232487803731</v>
      </c>
      <c r="G84" s="883">
        <v>5470.8996612011179</v>
      </c>
      <c r="H84" s="883">
        <v>5105.6765909812248</v>
      </c>
      <c r="I84" s="883">
        <v>5447.4878873819907</v>
      </c>
      <c r="J84" s="180">
        <f t="shared" si="195"/>
        <v>32656.149999999998</v>
      </c>
      <c r="K84" s="883">
        <v>1304.5223219025117</v>
      </c>
      <c r="L84" s="883">
        <v>1309.844533283861</v>
      </c>
      <c r="M84" s="883">
        <v>1294.9122148052979</v>
      </c>
      <c r="N84" s="883">
        <v>1285.9044691702804</v>
      </c>
      <c r="O84" s="883">
        <v>1200.0608223619704</v>
      </c>
      <c r="P84" s="883">
        <v>1280.4016622373144</v>
      </c>
      <c r="Q84" s="180">
        <f t="shared" si="196"/>
        <v>7675.6460237612364</v>
      </c>
      <c r="R84" s="883">
        <v>4245.58727024377</v>
      </c>
      <c r="S84" s="883">
        <v>4262.9084862251493</v>
      </c>
      <c r="T84" s="883">
        <v>4214.3110339750747</v>
      </c>
      <c r="U84" s="883">
        <v>4184.9951920308376</v>
      </c>
      <c r="V84" s="883">
        <v>3905.6157686192546</v>
      </c>
      <c r="W84" s="883">
        <v>4167.0862251446761</v>
      </c>
      <c r="X84" s="180">
        <f t="shared" si="197"/>
        <v>24980.503976238761</v>
      </c>
      <c r="Y84" s="883"/>
      <c r="Z84" s="883"/>
      <c r="AA84" s="883"/>
      <c r="AB84" s="883"/>
      <c r="AC84" s="883"/>
      <c r="AD84" s="883"/>
      <c r="AE84" s="180">
        <f t="shared" si="198"/>
        <v>0</v>
      </c>
      <c r="AF84" s="1389"/>
      <c r="AG84" s="972">
        <f>'PDYG-200'!D$38</f>
        <v>0.2417</v>
      </c>
      <c r="AH84" s="972">
        <f>'PDYG-200'!E$38</f>
        <v>0.30353035303530351</v>
      </c>
      <c r="AI84" s="972">
        <f>'PDYG-200'!F$38</f>
        <v>0.45476964696469646</v>
      </c>
      <c r="AK84" s="49"/>
      <c r="AL84" s="49"/>
      <c r="AM84" s="49"/>
      <c r="AN84" s="49"/>
      <c r="AO84" s="49"/>
      <c r="AP84" s="49"/>
    </row>
    <row r="85" spans="2:42">
      <c r="B85" s="37"/>
      <c r="C85" s="887"/>
      <c r="D85" s="883">
        <v>0</v>
      </c>
      <c r="E85" s="883">
        <v>0</v>
      </c>
      <c r="F85" s="883">
        <v>0</v>
      </c>
      <c r="G85" s="883">
        <v>0</v>
      </c>
      <c r="H85" s="883">
        <v>0</v>
      </c>
      <c r="I85" s="883">
        <v>0</v>
      </c>
      <c r="J85" s="180">
        <f t="shared" si="195"/>
        <v>0</v>
      </c>
      <c r="K85" s="883"/>
      <c r="L85" s="883"/>
      <c r="M85" s="883"/>
      <c r="N85" s="883"/>
      <c r="O85" s="883"/>
      <c r="P85" s="883"/>
      <c r="Q85" s="180">
        <f t="shared" si="196"/>
        <v>0</v>
      </c>
      <c r="R85" s="883">
        <f t="shared" ref="R85:R106" si="201">D85-K85</f>
        <v>0</v>
      </c>
      <c r="S85" s="883">
        <f t="shared" ref="S85:S106" si="202">E85-L85</f>
        <v>0</v>
      </c>
      <c r="T85" s="883">
        <f t="shared" ref="T85:T106" si="203">F85-M85</f>
        <v>0</v>
      </c>
      <c r="U85" s="883">
        <f t="shared" ref="U85:U106" si="204">G85-N85</f>
        <v>0</v>
      </c>
      <c r="V85" s="883">
        <f t="shared" ref="V85:V106" si="205">H85-O85</f>
        <v>0</v>
      </c>
      <c r="W85" s="883">
        <f t="shared" ref="W85:W106" si="206">I85-P85</f>
        <v>0</v>
      </c>
      <c r="X85" s="180">
        <f t="shared" si="197"/>
        <v>0</v>
      </c>
      <c r="Y85" s="883"/>
      <c r="Z85" s="883"/>
      <c r="AA85" s="883"/>
      <c r="AB85" s="883"/>
      <c r="AC85" s="883"/>
      <c r="AD85" s="883"/>
      <c r="AE85" s="180">
        <f t="shared" si="198"/>
        <v>0</v>
      </c>
      <c r="AF85" s="1389"/>
      <c r="AG85" s="972">
        <f>'PDYG-200'!D$38</f>
        <v>0.2417</v>
      </c>
      <c r="AH85" s="972">
        <f>'PDYG-200'!E$38</f>
        <v>0.30353035303530351</v>
      </c>
      <c r="AI85" s="972">
        <f>'PDYG-200'!F$38</f>
        <v>0.45476964696469646</v>
      </c>
      <c r="AK85" s="49"/>
      <c r="AL85" s="49"/>
      <c r="AM85" s="49"/>
      <c r="AN85" s="49"/>
      <c r="AO85" s="49"/>
      <c r="AP85" s="49"/>
    </row>
    <row r="86" spans="2:42">
      <c r="B86" s="48" t="s">
        <v>902</v>
      </c>
      <c r="C86" s="882" t="s">
        <v>898</v>
      </c>
      <c r="D86" s="881">
        <f>SUM(D87:D91)</f>
        <v>9385885.2984589525</v>
      </c>
      <c r="E86" s="881">
        <f t="shared" ref="E86:I86" si="207">SUM(E87:E91)</f>
        <v>9424177.9859207068</v>
      </c>
      <c r="F86" s="881">
        <f t="shared" si="207"/>
        <v>9316741.7035921291</v>
      </c>
      <c r="G86" s="881">
        <f t="shared" si="207"/>
        <v>9251932.0288870875</v>
      </c>
      <c r="H86" s="881">
        <f t="shared" si="207"/>
        <v>8634297.0455552842</v>
      </c>
      <c r="I86" s="881">
        <f t="shared" si="207"/>
        <v>9212339.977585841</v>
      </c>
      <c r="J86" s="180">
        <f t="shared" si="195"/>
        <v>55225374.040000007</v>
      </c>
      <c r="K86" s="881">
        <v>2206100.0200757128</v>
      </c>
      <c r="L86" s="881">
        <v>2215100.5028103576</v>
      </c>
      <c r="M86" s="881">
        <v>2189848.2035263623</v>
      </c>
      <c r="N86" s="881">
        <v>2174615.0507526575</v>
      </c>
      <c r="O86" s="881">
        <v>2029443.3907760042</v>
      </c>
      <c r="P86" s="881">
        <v>2165309.1597905275</v>
      </c>
      <c r="Q86" s="180">
        <f t="shared" si="196"/>
        <v>12980416.327731621</v>
      </c>
      <c r="R86" s="881">
        <v>7179785.2783832392</v>
      </c>
      <c r="S86" s="881">
        <v>7209077.4831103496</v>
      </c>
      <c r="T86" s="881">
        <v>7126893.5000657663</v>
      </c>
      <c r="U86" s="881">
        <v>7077316.97813443</v>
      </c>
      <c r="V86" s="881">
        <v>6604853.6547792805</v>
      </c>
      <c r="W86" s="881">
        <v>7047030.817795312</v>
      </c>
      <c r="X86" s="180">
        <f t="shared" si="197"/>
        <v>42244957.712268382</v>
      </c>
      <c r="Y86" s="881"/>
      <c r="Z86" s="881"/>
      <c r="AA86" s="881"/>
      <c r="AB86" s="881"/>
      <c r="AC86" s="881"/>
      <c r="AD86" s="881"/>
      <c r="AE86" s="180">
        <f t="shared" si="198"/>
        <v>0</v>
      </c>
      <c r="AF86" s="1389"/>
      <c r="AG86" s="972">
        <f>'PDYG-200'!D$38</f>
        <v>0.2417</v>
      </c>
      <c r="AH86" s="972">
        <f>'PDYG-200'!E$38</f>
        <v>0.30353035303530351</v>
      </c>
      <c r="AI86" s="972">
        <f>'PDYG-200'!F$38</f>
        <v>0.45476964696469646</v>
      </c>
      <c r="AK86" s="47">
        <f>F821EO!D86/F821CO!D86</f>
        <v>156.88901460023322</v>
      </c>
      <c r="AL86" s="47">
        <f>F821EO!E86/F821CO!E86</f>
        <v>157.33973297361649</v>
      </c>
      <c r="AM86" s="47">
        <f>F821EO!F86/F821CO!F86</f>
        <v>155.65519511472942</v>
      </c>
      <c r="AN86" s="47">
        <f>F821EO!G86/F821CO!G86</f>
        <v>154.52594706941505</v>
      </c>
      <c r="AO86" s="47">
        <f>F821EO!H86/F821CO!H86</f>
        <v>144.6087131633162</v>
      </c>
      <c r="AP86" s="47">
        <f>F821EO!I86/F821CO!I86</f>
        <v>153.99327980184614</v>
      </c>
    </row>
    <row r="87" spans="2:42">
      <c r="B87" s="37"/>
      <c r="C87" s="887" t="s">
        <v>304</v>
      </c>
      <c r="D87" s="883">
        <v>9043170.888912132</v>
      </c>
      <c r="E87" s="883">
        <v>9080065.3645530399</v>
      </c>
      <c r="F87" s="883">
        <v>8976551.9899621252</v>
      </c>
      <c r="G87" s="883">
        <v>8914108.7632471416</v>
      </c>
      <c r="H87" s="883">
        <v>8319025.9848376364</v>
      </c>
      <c r="I87" s="883">
        <v>8875962.3684879243</v>
      </c>
      <c r="J87" s="180">
        <f t="shared" si="195"/>
        <v>53208885.359999999</v>
      </c>
      <c r="K87" s="883">
        <v>2125546.9084895728</v>
      </c>
      <c r="L87" s="883">
        <v>2134218.7493297178</v>
      </c>
      <c r="M87" s="883">
        <v>2109888.5076421686</v>
      </c>
      <c r="N87" s="883">
        <v>2095211.5752773401</v>
      </c>
      <c r="O87" s="883">
        <v>1955340.6853559101</v>
      </c>
      <c r="P87" s="883">
        <v>2086245.4778269546</v>
      </c>
      <c r="Q87" s="180">
        <f t="shared" si="196"/>
        <v>12506451.903921666</v>
      </c>
      <c r="R87" s="883">
        <v>6917623.9804225592</v>
      </c>
      <c r="S87" s="883">
        <v>6945846.6152233221</v>
      </c>
      <c r="T87" s="883">
        <v>6866663.4823199566</v>
      </c>
      <c r="U87" s="883">
        <v>6818897.1879698019</v>
      </c>
      <c r="V87" s="883">
        <v>6363685.2994817263</v>
      </c>
      <c r="W87" s="883">
        <v>6789716.8906609695</v>
      </c>
      <c r="X87" s="180">
        <f t="shared" si="197"/>
        <v>40702433.456078343</v>
      </c>
      <c r="Y87" s="883"/>
      <c r="Z87" s="883"/>
      <c r="AA87" s="883"/>
      <c r="AB87" s="883"/>
      <c r="AC87" s="883"/>
      <c r="AD87" s="883"/>
      <c r="AE87" s="180">
        <f t="shared" si="198"/>
        <v>0</v>
      </c>
      <c r="AF87" s="1389"/>
      <c r="AG87" s="972">
        <f>'PDYG-200'!D$38</f>
        <v>0.2417</v>
      </c>
      <c r="AH87" s="972">
        <f>'PDYG-200'!E$38</f>
        <v>0.30353035303530351</v>
      </c>
      <c r="AI87" s="972">
        <f>'PDYG-200'!F$38</f>
        <v>0.45476964696469646</v>
      </c>
      <c r="AK87" s="49">
        <f>F821EO!D87/F821CO!D87</f>
        <v>155.82002358729292</v>
      </c>
      <c r="AL87" s="49">
        <f>F821EO!E87/F821CO!E87</f>
        <v>156.26725922543352</v>
      </c>
      <c r="AM87" s="49">
        <f>F821EO!F87/F821CO!F87</f>
        <v>154.59488486975158</v>
      </c>
      <c r="AN87" s="49">
        <f>F821EO!G87/F821CO!G87</f>
        <v>153.47454914168145</v>
      </c>
      <c r="AO87" s="49">
        <f>F821EO!H87/F821CO!H87</f>
        <v>143.62463286553705</v>
      </c>
      <c r="AP87" s="49">
        <f>F821EO!I87/F821CO!I87</f>
        <v>152.9441770080974</v>
      </c>
    </row>
    <row r="88" spans="2:42">
      <c r="B88" s="37"/>
      <c r="C88" s="888" t="s">
        <v>306</v>
      </c>
      <c r="D88" s="883">
        <v>342714.40954682033</v>
      </c>
      <c r="E88" s="883">
        <v>344112.62136766699</v>
      </c>
      <c r="F88" s="883">
        <v>340189.71363000374</v>
      </c>
      <c r="G88" s="883">
        <v>337823.26563994499</v>
      </c>
      <c r="H88" s="883">
        <v>315271.06071764824</v>
      </c>
      <c r="I88" s="883">
        <v>336377.6090979157</v>
      </c>
      <c r="J88" s="180">
        <f t="shared" si="195"/>
        <v>2016488.6800000002</v>
      </c>
      <c r="K88" s="883">
        <v>80553.111586140178</v>
      </c>
      <c r="L88" s="883">
        <v>80881.7534806396</v>
      </c>
      <c r="M88" s="883">
        <v>79959.695884193687</v>
      </c>
      <c r="N88" s="883">
        <v>79403.475475317202</v>
      </c>
      <c r="O88" s="883">
        <v>74102.705420094047</v>
      </c>
      <c r="P88" s="883">
        <v>79063.681963572802</v>
      </c>
      <c r="Q88" s="180">
        <f t="shared" si="196"/>
        <v>473964.42380995752</v>
      </c>
      <c r="R88" s="883">
        <v>262161.29796068015</v>
      </c>
      <c r="S88" s="883">
        <v>263230.86788702739</v>
      </c>
      <c r="T88" s="883">
        <v>260230.01774581004</v>
      </c>
      <c r="U88" s="883">
        <v>258419.79016462778</v>
      </c>
      <c r="V88" s="883">
        <v>241168.3552975542</v>
      </c>
      <c r="W88" s="883">
        <v>257313.9271343429</v>
      </c>
      <c r="X88" s="180">
        <f t="shared" si="197"/>
        <v>1542524.2561900427</v>
      </c>
      <c r="Y88" s="883"/>
      <c r="Z88" s="883"/>
      <c r="AA88" s="883"/>
      <c r="AB88" s="883"/>
      <c r="AC88" s="883"/>
      <c r="AD88" s="883"/>
      <c r="AE88" s="180">
        <f t="shared" si="198"/>
        <v>0</v>
      </c>
      <c r="AF88" s="1389"/>
      <c r="AG88" s="972">
        <f>'PDYG-200'!D$38</f>
        <v>0.2417</v>
      </c>
      <c r="AH88" s="972">
        <f>'PDYG-200'!E$38</f>
        <v>0.30353035303530351</v>
      </c>
      <c r="AI88" s="972">
        <f>'PDYG-200'!F$38</f>
        <v>0.45476964696469646</v>
      </c>
      <c r="AK88" s="49">
        <f>F821EO!D88/F821CO!D88</f>
        <v>191.56758498983808</v>
      </c>
      <c r="AL88" s="49">
        <f>F821EO!E88/F821CO!E88</f>
        <v>192.13435028903797</v>
      </c>
      <c r="AM88" s="49">
        <f>F821EO!F88/F821CO!F88</f>
        <v>190.05011934637079</v>
      </c>
      <c r="AN88" s="49">
        <f>F821EO!G88/F821CO!G88</f>
        <v>188.62270554994137</v>
      </c>
      <c r="AO88" s="49">
        <f>F821EO!H88/F821CO!H88</f>
        <v>176.52355023384561</v>
      </c>
      <c r="AP88" s="49">
        <f>F821EO!I88/F821CO!I88</f>
        <v>188.02549418553141</v>
      </c>
    </row>
    <row r="89" spans="2:42">
      <c r="B89" s="37"/>
      <c r="C89" s="887" t="s">
        <v>305</v>
      </c>
      <c r="D89" s="883">
        <v>0</v>
      </c>
      <c r="E89" s="883">
        <v>0</v>
      </c>
      <c r="F89" s="883">
        <v>0</v>
      </c>
      <c r="G89" s="883">
        <v>0</v>
      </c>
      <c r="H89" s="883">
        <v>0</v>
      </c>
      <c r="I89" s="883">
        <v>0</v>
      </c>
      <c r="J89" s="180">
        <f t="shared" si="195"/>
        <v>0</v>
      </c>
      <c r="K89" s="883">
        <v>0</v>
      </c>
      <c r="L89" s="883">
        <v>0</v>
      </c>
      <c r="M89" s="883">
        <v>0</v>
      </c>
      <c r="N89" s="883">
        <v>0</v>
      </c>
      <c r="O89" s="883">
        <v>0</v>
      </c>
      <c r="P89" s="883">
        <v>0</v>
      </c>
      <c r="Q89" s="180">
        <f t="shared" si="196"/>
        <v>0</v>
      </c>
      <c r="R89" s="883">
        <v>0</v>
      </c>
      <c r="S89" s="883">
        <v>0</v>
      </c>
      <c r="T89" s="883">
        <v>0</v>
      </c>
      <c r="U89" s="883">
        <v>0</v>
      </c>
      <c r="V89" s="883">
        <v>0</v>
      </c>
      <c r="W89" s="883">
        <v>0</v>
      </c>
      <c r="X89" s="180">
        <f t="shared" si="197"/>
        <v>0</v>
      </c>
      <c r="Y89" s="883"/>
      <c r="Z89" s="883"/>
      <c r="AA89" s="883"/>
      <c r="AB89" s="883"/>
      <c r="AC89" s="883"/>
      <c r="AD89" s="883"/>
      <c r="AE89" s="180">
        <f t="shared" si="198"/>
        <v>0</v>
      </c>
      <c r="AF89" s="1389"/>
      <c r="AG89" s="972">
        <f>'PDYG-200'!D$38</f>
        <v>0.2417</v>
      </c>
      <c r="AH89" s="972">
        <f>'PDYG-200'!E$38</f>
        <v>0.30353035303530351</v>
      </c>
      <c r="AI89" s="972">
        <f>'PDYG-200'!F$38</f>
        <v>0.45476964696469646</v>
      </c>
      <c r="AK89" s="49"/>
      <c r="AL89" s="49"/>
      <c r="AM89" s="49"/>
      <c r="AN89" s="49"/>
      <c r="AO89" s="49"/>
      <c r="AP89" s="49"/>
    </row>
    <row r="90" spans="2:42">
      <c r="B90" s="37"/>
      <c r="C90" s="887" t="s">
        <v>307</v>
      </c>
      <c r="D90" s="883">
        <v>0</v>
      </c>
      <c r="E90" s="883">
        <v>0</v>
      </c>
      <c r="F90" s="883">
        <v>0</v>
      </c>
      <c r="G90" s="883">
        <v>0</v>
      </c>
      <c r="H90" s="883">
        <v>0</v>
      </c>
      <c r="I90" s="883">
        <v>0</v>
      </c>
      <c r="J90" s="180">
        <f t="shared" si="195"/>
        <v>0</v>
      </c>
      <c r="K90" s="883">
        <v>0</v>
      </c>
      <c r="L90" s="883">
        <v>0</v>
      </c>
      <c r="M90" s="883">
        <v>0</v>
      </c>
      <c r="N90" s="883">
        <v>0</v>
      </c>
      <c r="O90" s="883">
        <v>0</v>
      </c>
      <c r="P90" s="883">
        <v>0</v>
      </c>
      <c r="Q90" s="180">
        <f t="shared" si="196"/>
        <v>0</v>
      </c>
      <c r="R90" s="883">
        <v>0</v>
      </c>
      <c r="S90" s="883">
        <v>0</v>
      </c>
      <c r="T90" s="883">
        <v>0</v>
      </c>
      <c r="U90" s="883">
        <v>0</v>
      </c>
      <c r="V90" s="883">
        <v>0</v>
      </c>
      <c r="W90" s="883">
        <v>0</v>
      </c>
      <c r="X90" s="180">
        <f t="shared" si="197"/>
        <v>0</v>
      </c>
      <c r="Y90" s="883"/>
      <c r="Z90" s="883"/>
      <c r="AA90" s="883"/>
      <c r="AB90" s="883"/>
      <c r="AC90" s="883"/>
      <c r="AD90" s="883"/>
      <c r="AE90" s="180">
        <f t="shared" si="198"/>
        <v>0</v>
      </c>
      <c r="AF90" s="1389"/>
      <c r="AG90" s="972">
        <f>'PDYG-200'!D$38</f>
        <v>0.2417</v>
      </c>
      <c r="AH90" s="972">
        <f>'PDYG-200'!E$38</f>
        <v>0.30353035303530351</v>
      </c>
      <c r="AI90" s="972">
        <f>'PDYG-200'!F$38</f>
        <v>0.45476964696469646</v>
      </c>
      <c r="AK90" s="49"/>
      <c r="AL90" s="49"/>
      <c r="AM90" s="49"/>
      <c r="AN90" s="49"/>
      <c r="AO90" s="49"/>
      <c r="AP90" s="49"/>
    </row>
    <row r="91" spans="2:42">
      <c r="B91" s="37"/>
      <c r="C91" s="887" t="s">
        <v>624</v>
      </c>
      <c r="D91" s="883">
        <v>0</v>
      </c>
      <c r="E91" s="883">
        <v>0</v>
      </c>
      <c r="F91" s="883">
        <v>0</v>
      </c>
      <c r="G91" s="883">
        <v>0</v>
      </c>
      <c r="H91" s="883">
        <v>0</v>
      </c>
      <c r="I91" s="883">
        <v>0</v>
      </c>
      <c r="J91" s="180">
        <f t="shared" si="195"/>
        <v>0</v>
      </c>
      <c r="K91" s="883">
        <v>0</v>
      </c>
      <c r="L91" s="883">
        <v>0</v>
      </c>
      <c r="M91" s="883">
        <v>0</v>
      </c>
      <c r="N91" s="883">
        <v>0</v>
      </c>
      <c r="O91" s="883">
        <v>0</v>
      </c>
      <c r="P91" s="883">
        <v>0</v>
      </c>
      <c r="Q91" s="180">
        <f t="shared" si="196"/>
        <v>0</v>
      </c>
      <c r="R91" s="883">
        <v>0</v>
      </c>
      <c r="S91" s="883">
        <v>0</v>
      </c>
      <c r="T91" s="883">
        <v>0</v>
      </c>
      <c r="U91" s="883">
        <v>0</v>
      </c>
      <c r="V91" s="883">
        <v>0</v>
      </c>
      <c r="W91" s="883">
        <v>0</v>
      </c>
      <c r="X91" s="180">
        <f t="shared" si="197"/>
        <v>0</v>
      </c>
      <c r="Y91" s="883"/>
      <c r="Z91" s="883"/>
      <c r="AA91" s="883"/>
      <c r="AB91" s="883"/>
      <c r="AC91" s="883"/>
      <c r="AD91" s="883"/>
      <c r="AE91" s="180">
        <f t="shared" si="198"/>
        <v>0</v>
      </c>
      <c r="AF91" s="1389"/>
      <c r="AG91" s="972">
        <f>'PDYG-200'!D$38</f>
        <v>0.2417</v>
      </c>
      <c r="AH91" s="972">
        <f>'PDYG-200'!E$38</f>
        <v>0.30353035303530351</v>
      </c>
      <c r="AI91" s="972">
        <f>'PDYG-200'!F$38</f>
        <v>0.45476964696469646</v>
      </c>
      <c r="AK91" s="49"/>
      <c r="AL91" s="49"/>
      <c r="AM91" s="49"/>
      <c r="AN91" s="49"/>
      <c r="AO91" s="49"/>
      <c r="AP91" s="49"/>
    </row>
    <row r="92" spans="2:42">
      <c r="B92" s="48" t="s">
        <v>902</v>
      </c>
      <c r="C92" s="882" t="s">
        <v>899</v>
      </c>
      <c r="D92" s="881">
        <f>SUM(D93:D98)</f>
        <v>3964634.0037770336</v>
      </c>
      <c r="E92" s="881">
        <v>3980808.9820533833</v>
      </c>
      <c r="F92" s="881">
        <v>3935427.4837061572</v>
      </c>
      <c r="G92" s="881">
        <v>3908051.6281593675</v>
      </c>
      <c r="H92" s="881">
        <v>3647160.238698049</v>
      </c>
      <c r="I92" s="881">
        <v>3891327.7936060121</v>
      </c>
      <c r="J92" s="180">
        <f t="shared" si="195"/>
        <v>23327410.130000006</v>
      </c>
      <c r="K92" s="881">
        <v>931865.12270306749</v>
      </c>
      <c r="L92" s="881">
        <v>935666.96118345438</v>
      </c>
      <c r="M92" s="881">
        <v>925000.29296502657</v>
      </c>
      <c r="N92" s="881">
        <v>918565.75071877963</v>
      </c>
      <c r="O92" s="881">
        <v>857244.68390127935</v>
      </c>
      <c r="P92" s="881">
        <v>914634.90662994771</v>
      </c>
      <c r="Q92" s="180">
        <f t="shared" si="196"/>
        <v>5482977.7181015555</v>
      </c>
      <c r="R92" s="881">
        <v>3032768.8810739662</v>
      </c>
      <c r="S92" s="881">
        <v>3045142.0208699284</v>
      </c>
      <c r="T92" s="881">
        <v>3010427.1907411302</v>
      </c>
      <c r="U92" s="881">
        <v>2989485.8774405876</v>
      </c>
      <c r="V92" s="881">
        <v>2789915.5547967702</v>
      </c>
      <c r="W92" s="881">
        <v>2976692.8869760642</v>
      </c>
      <c r="X92" s="180">
        <f t="shared" si="197"/>
        <v>17844432.411898445</v>
      </c>
      <c r="Y92" s="881"/>
      <c r="Z92" s="881"/>
      <c r="AA92" s="881"/>
      <c r="AB92" s="881"/>
      <c r="AC92" s="881"/>
      <c r="AD92" s="881"/>
      <c r="AE92" s="180">
        <f t="shared" si="198"/>
        <v>0</v>
      </c>
      <c r="AF92" s="1389"/>
      <c r="AG92" s="972">
        <f>'PDYG-200'!D$38</f>
        <v>0.2417</v>
      </c>
      <c r="AH92" s="972">
        <f>'PDYG-200'!E$38</f>
        <v>0.30353035303530351</v>
      </c>
      <c r="AI92" s="972">
        <f>'PDYG-200'!F$38</f>
        <v>0.45476964696469646</v>
      </c>
      <c r="AK92" s="47">
        <f>F821EO!D92/F821CO!D92</f>
        <v>548.81423086614529</v>
      </c>
      <c r="AL92" s="47">
        <f>F821EO!E92/F821CO!E92</f>
        <v>550.36761814646525</v>
      </c>
      <c r="AM92" s="47">
        <f>F821EO!F92/F821CO!F92</f>
        <v>544.54510636587202</v>
      </c>
      <c r="AN92" s="47">
        <f>F821EO!G92/F821CO!G92</f>
        <v>540.53272865274789</v>
      </c>
      <c r="AO92" s="47">
        <f>F821EO!H92/F821CO!H92</f>
        <v>505.84746722580428</v>
      </c>
      <c r="AP92" s="47">
        <f>F821EO!I92/F821CO!I92</f>
        <v>538.6666380960703</v>
      </c>
    </row>
    <row r="93" spans="2:42">
      <c r="B93" s="37"/>
      <c r="C93" s="887" t="s">
        <v>304</v>
      </c>
      <c r="D93" s="883">
        <v>3597798.4555794951</v>
      </c>
      <c r="E93" s="883">
        <v>3612476.812221304</v>
      </c>
      <c r="F93" s="883">
        <v>3571294.3261431474</v>
      </c>
      <c r="G93" s="883">
        <v>3546451.4754001601</v>
      </c>
      <c r="H93" s="883">
        <v>3309699.574169504</v>
      </c>
      <c r="I93" s="883">
        <v>3531275.0464863917</v>
      </c>
      <c r="J93" s="180">
        <f t="shared" si="195"/>
        <v>21168995.690000005</v>
      </c>
      <c r="K93" s="883">
        <v>845642.47193447687</v>
      </c>
      <c r="L93" s="883">
        <v>849092.53784221713</v>
      </c>
      <c r="M93" s="883">
        <v>839412.82405126491</v>
      </c>
      <c r="N93" s="883">
        <v>833573.65046453453</v>
      </c>
      <c r="O93" s="883">
        <v>777926.43579596526</v>
      </c>
      <c r="P93" s="883">
        <v>830006.51544565253</v>
      </c>
      <c r="Q93" s="180">
        <f t="shared" si="196"/>
        <v>4975654.4355341112</v>
      </c>
      <c r="R93" s="883">
        <v>2752155.9836450182</v>
      </c>
      <c r="S93" s="883">
        <v>2763384.2743790867</v>
      </c>
      <c r="T93" s="883">
        <v>2731881.5020918828</v>
      </c>
      <c r="U93" s="883">
        <v>2712877.8249356253</v>
      </c>
      <c r="V93" s="883">
        <v>2531773.1383735389</v>
      </c>
      <c r="W93" s="883">
        <v>2701268.5310407393</v>
      </c>
      <c r="X93" s="180">
        <f t="shared" si="197"/>
        <v>16193341.254465891</v>
      </c>
      <c r="Y93" s="883"/>
      <c r="Z93" s="883"/>
      <c r="AA93" s="883"/>
      <c r="AB93" s="883"/>
      <c r="AC93" s="883"/>
      <c r="AD93" s="883"/>
      <c r="AE93" s="180">
        <f t="shared" si="198"/>
        <v>0</v>
      </c>
      <c r="AF93" s="1389"/>
      <c r="AG93" s="972">
        <f>'PDYG-200'!D$38</f>
        <v>0.2417</v>
      </c>
      <c r="AH93" s="972">
        <f>'PDYG-200'!E$38</f>
        <v>0.30353035303530351</v>
      </c>
      <c r="AI93" s="972">
        <f>'PDYG-200'!F$38</f>
        <v>0.45476964696469646</v>
      </c>
      <c r="AK93" s="49">
        <f>F821EO!D93/F821CO!D93</f>
        <v>546.36271155345412</v>
      </c>
      <c r="AL93" s="49">
        <f>F821EO!E93/F821CO!E93</f>
        <v>547.92610529672436</v>
      </c>
      <c r="AM93" s="49">
        <f>F821EO!F93/F821CO!F93</f>
        <v>542.09082060460651</v>
      </c>
      <c r="AN93" s="49">
        <f>F821EO!G93/F821CO!G93</f>
        <v>538.1565213050319</v>
      </c>
      <c r="AO93" s="49">
        <f>F821EO!H93/F821CO!H93</f>
        <v>503.60614336115401</v>
      </c>
      <c r="AP93" s="49">
        <f>F821EO!I93/F821CO!I93</f>
        <v>536.26044745427362</v>
      </c>
    </row>
    <row r="94" spans="2:42">
      <c r="B94" s="37"/>
      <c r="C94" s="889" t="s">
        <v>642</v>
      </c>
      <c r="D94" s="883">
        <v>314960.71060130233</v>
      </c>
      <c r="E94" s="883">
        <v>316245.69242989644</v>
      </c>
      <c r="F94" s="883">
        <v>312640.46961387421</v>
      </c>
      <c r="G94" s="883">
        <v>310465.66131930763</v>
      </c>
      <c r="H94" s="883">
        <v>289739.77909759036</v>
      </c>
      <c r="I94" s="883">
        <v>309137.07693802915</v>
      </c>
      <c r="J94" s="180">
        <f t="shared" si="195"/>
        <v>1853189.3900000001</v>
      </c>
      <c r="K94" s="883">
        <v>74029.759355217917</v>
      </c>
      <c r="L94" s="883">
        <v>74331.787171211356</v>
      </c>
      <c r="M94" s="883">
        <v>73484.3996447401</v>
      </c>
      <c r="N94" s="883">
        <v>72973.223078040319</v>
      </c>
      <c r="O94" s="883">
        <v>68101.719993198174</v>
      </c>
      <c r="P94" s="883">
        <v>72660.946725090209</v>
      </c>
      <c r="Q94" s="180">
        <f t="shared" si="196"/>
        <v>435581.83596749807</v>
      </c>
      <c r="R94" s="883">
        <v>240930.95124608441</v>
      </c>
      <c r="S94" s="883">
        <v>241913.90525868509</v>
      </c>
      <c r="T94" s="883">
        <v>239156.06996913411</v>
      </c>
      <c r="U94" s="883">
        <v>237492.43824126731</v>
      </c>
      <c r="V94" s="883">
        <v>221638.05910439219</v>
      </c>
      <c r="W94" s="883">
        <v>236476.13021293894</v>
      </c>
      <c r="X94" s="180">
        <f t="shared" si="197"/>
        <v>1417607.5540325022</v>
      </c>
      <c r="Y94" s="883"/>
      <c r="Z94" s="883"/>
      <c r="AA94" s="883"/>
      <c r="AB94" s="883"/>
      <c r="AC94" s="883"/>
      <c r="AD94" s="883"/>
      <c r="AE94" s="180">
        <f t="shared" si="198"/>
        <v>0</v>
      </c>
      <c r="AF94" s="1389"/>
      <c r="AG94" s="972">
        <f>'PDYG-200'!D$38</f>
        <v>0.2417</v>
      </c>
      <c r="AH94" s="972">
        <f>'PDYG-200'!E$38</f>
        <v>0.30353035303530351</v>
      </c>
      <c r="AI94" s="972">
        <f>'PDYG-200'!F$38</f>
        <v>0.45476964696469646</v>
      </c>
      <c r="AK94" s="49">
        <f>(F821EO!D94+F821EO!D95)/(F821CO!D94+F821CO!D95)</f>
        <v>574.07754021524022</v>
      </c>
      <c r="AL94" s="49">
        <f>(F821EO!E94+F821EO!E95)/(F821CO!E94+F821CO!E95)</f>
        <v>575.51901536262369</v>
      </c>
      <c r="AM94" s="49">
        <f>(F821EO!F94+F821EO!F95)/(F821CO!F94+F821CO!F95)</f>
        <v>569.84844689046861</v>
      </c>
      <c r="AN94" s="49">
        <f>(F821EO!G94+F821EO!G95)/(F821CO!G94+F821CO!G95)</f>
        <v>565.00023868626215</v>
      </c>
      <c r="AO94" s="49">
        <f>(F821EO!H94+F821EO!H95)/(F821CO!H94+F821CO!H95)</f>
        <v>528.93521085978864</v>
      </c>
      <c r="AP94" s="49">
        <f>(F821EO!I94+F821EO!I95)/(F821CO!I94+F821CO!I95)</f>
        <v>563.46282804322402</v>
      </c>
    </row>
    <row r="95" spans="2:42">
      <c r="B95" s="37"/>
      <c r="C95" s="889" t="s">
        <v>1177</v>
      </c>
      <c r="D95" s="883">
        <v>51874.837596236204</v>
      </c>
      <c r="E95" s="883">
        <v>52086.477402182703</v>
      </c>
      <c r="F95" s="883">
        <v>51492.687949135216</v>
      </c>
      <c r="G95" s="883">
        <v>51134.491439900121</v>
      </c>
      <c r="H95" s="883">
        <v>47720.885430954782</v>
      </c>
      <c r="I95" s="883">
        <v>50915.670181590991</v>
      </c>
      <c r="J95" s="180">
        <f t="shared" si="195"/>
        <v>305225.05</v>
      </c>
      <c r="K95" s="883">
        <v>12192.891413372681</v>
      </c>
      <c r="L95" s="883">
        <v>12242.636170025957</v>
      </c>
      <c r="M95" s="883">
        <v>12103.069269021542</v>
      </c>
      <c r="N95" s="883">
        <v>12018.87717620486</v>
      </c>
      <c r="O95" s="883">
        <v>11216.528112115899</v>
      </c>
      <c r="P95" s="883">
        <v>11967.444459205002</v>
      </c>
      <c r="Q95" s="180">
        <f t="shared" si="196"/>
        <v>71741.44659994595</v>
      </c>
      <c r="R95" s="883">
        <v>39681.946182863525</v>
      </c>
      <c r="S95" s="883">
        <v>39843.841232156745</v>
      </c>
      <c r="T95" s="883">
        <v>39389.618680113672</v>
      </c>
      <c r="U95" s="883">
        <v>39115.614263695257</v>
      </c>
      <c r="V95" s="883">
        <v>36504.357318838884</v>
      </c>
      <c r="W95" s="883">
        <v>38948.225722385992</v>
      </c>
      <c r="X95" s="180">
        <f t="shared" si="197"/>
        <v>233483.6034000541</v>
      </c>
      <c r="Y95" s="883"/>
      <c r="Z95" s="883"/>
      <c r="AA95" s="883"/>
      <c r="AB95" s="883"/>
      <c r="AC95" s="883"/>
      <c r="AD95" s="883"/>
      <c r="AE95" s="180">
        <f t="shared" si="198"/>
        <v>0</v>
      </c>
      <c r="AF95" s="1389"/>
      <c r="AG95" s="972">
        <f>'PDYG-200'!D$38</f>
        <v>0.2417</v>
      </c>
      <c r="AH95" s="972">
        <f>'PDYG-200'!E$38</f>
        <v>0.30353035303530351</v>
      </c>
      <c r="AI95" s="972">
        <f>'PDYG-200'!F$38</f>
        <v>0.45476964696469646</v>
      </c>
      <c r="AK95" s="49"/>
      <c r="AL95" s="49"/>
      <c r="AM95" s="49"/>
      <c r="AN95" s="49"/>
      <c r="AO95" s="49"/>
      <c r="AP95" s="49"/>
    </row>
    <row r="96" spans="2:42">
      <c r="B96" s="37"/>
      <c r="C96" s="887" t="s">
        <v>305</v>
      </c>
      <c r="D96" s="883">
        <v>0</v>
      </c>
      <c r="E96" s="883">
        <v>0</v>
      </c>
      <c r="F96" s="883">
        <v>0</v>
      </c>
      <c r="G96" s="883">
        <v>0</v>
      </c>
      <c r="H96" s="883">
        <v>0</v>
      </c>
      <c r="I96" s="883">
        <v>0</v>
      </c>
      <c r="J96" s="180">
        <f t="shared" si="195"/>
        <v>0</v>
      </c>
      <c r="K96" s="883">
        <v>0</v>
      </c>
      <c r="L96" s="883">
        <v>0</v>
      </c>
      <c r="M96" s="883">
        <v>0</v>
      </c>
      <c r="N96" s="883">
        <v>0</v>
      </c>
      <c r="O96" s="883">
        <v>0</v>
      </c>
      <c r="P96" s="883">
        <v>0</v>
      </c>
      <c r="Q96" s="180">
        <f t="shared" si="196"/>
        <v>0</v>
      </c>
      <c r="R96" s="883">
        <v>0</v>
      </c>
      <c r="S96" s="883">
        <v>0</v>
      </c>
      <c r="T96" s="883">
        <v>0</v>
      </c>
      <c r="U96" s="883">
        <v>0</v>
      </c>
      <c r="V96" s="883">
        <v>0</v>
      </c>
      <c r="W96" s="883">
        <v>0</v>
      </c>
      <c r="X96" s="180">
        <f t="shared" si="197"/>
        <v>0</v>
      </c>
      <c r="Y96" s="883"/>
      <c r="Z96" s="883"/>
      <c r="AA96" s="883"/>
      <c r="AB96" s="883"/>
      <c r="AC96" s="883"/>
      <c r="AD96" s="883"/>
      <c r="AE96" s="180">
        <f t="shared" si="198"/>
        <v>0</v>
      </c>
      <c r="AF96" s="1389"/>
      <c r="AG96" s="972">
        <f>'PDYG-200'!D$38</f>
        <v>0.2417</v>
      </c>
      <c r="AH96" s="972">
        <f>'PDYG-200'!E$38</f>
        <v>0.30353035303530351</v>
      </c>
      <c r="AI96" s="972">
        <f>'PDYG-200'!F$38</f>
        <v>0.45476964696469646</v>
      </c>
      <c r="AK96" s="49"/>
      <c r="AL96" s="49"/>
      <c r="AM96" s="49"/>
      <c r="AN96" s="49"/>
      <c r="AO96" s="49"/>
      <c r="AP96" s="49"/>
    </row>
    <row r="97" spans="2:42">
      <c r="B97" s="37"/>
      <c r="C97" s="887" t="s">
        <v>307</v>
      </c>
      <c r="D97" s="883">
        <v>0</v>
      </c>
      <c r="E97" s="883">
        <v>0</v>
      </c>
      <c r="F97" s="883">
        <v>0</v>
      </c>
      <c r="G97" s="883">
        <v>0</v>
      </c>
      <c r="H97" s="883">
        <v>0</v>
      </c>
      <c r="I97" s="883">
        <v>0</v>
      </c>
      <c r="J97" s="180">
        <f t="shared" si="195"/>
        <v>0</v>
      </c>
      <c r="K97" s="883">
        <v>0</v>
      </c>
      <c r="L97" s="883">
        <v>0</v>
      </c>
      <c r="M97" s="883">
        <v>0</v>
      </c>
      <c r="N97" s="883">
        <v>0</v>
      </c>
      <c r="O97" s="883">
        <v>0</v>
      </c>
      <c r="P97" s="883">
        <v>0</v>
      </c>
      <c r="Q97" s="180">
        <f t="shared" si="196"/>
        <v>0</v>
      </c>
      <c r="R97" s="883">
        <v>0</v>
      </c>
      <c r="S97" s="883">
        <v>0</v>
      </c>
      <c r="T97" s="883">
        <v>0</v>
      </c>
      <c r="U97" s="883">
        <v>0</v>
      </c>
      <c r="V97" s="883">
        <v>0</v>
      </c>
      <c r="W97" s="883">
        <v>0</v>
      </c>
      <c r="X97" s="180">
        <f t="shared" si="197"/>
        <v>0</v>
      </c>
      <c r="Y97" s="883"/>
      <c r="Z97" s="883"/>
      <c r="AA97" s="883"/>
      <c r="AB97" s="883"/>
      <c r="AC97" s="883"/>
      <c r="AD97" s="883"/>
      <c r="AE97" s="180">
        <f t="shared" si="198"/>
        <v>0</v>
      </c>
      <c r="AF97" s="1389"/>
      <c r="AG97" s="972">
        <f>'PDYG-200'!D$38</f>
        <v>0.2417</v>
      </c>
      <c r="AH97" s="972">
        <f>'PDYG-200'!E$38</f>
        <v>0.30353035303530351</v>
      </c>
      <c r="AI97" s="972">
        <f>'PDYG-200'!F$38</f>
        <v>0.45476964696469646</v>
      </c>
      <c r="AK97" s="49"/>
      <c r="AL97" s="49"/>
      <c r="AM97" s="49"/>
      <c r="AN97" s="49"/>
      <c r="AO97" s="49"/>
      <c r="AP97" s="49"/>
    </row>
    <row r="98" spans="2:42">
      <c r="B98" s="37"/>
      <c r="C98" s="887" t="s">
        <v>624</v>
      </c>
      <c r="D98" s="883">
        <v>0</v>
      </c>
      <c r="E98" s="883">
        <v>0</v>
      </c>
      <c r="F98" s="883">
        <v>0</v>
      </c>
      <c r="G98" s="883">
        <v>0</v>
      </c>
      <c r="H98" s="883">
        <v>0</v>
      </c>
      <c r="I98" s="883">
        <v>0</v>
      </c>
      <c r="J98" s="180">
        <f t="shared" si="195"/>
        <v>0</v>
      </c>
      <c r="K98" s="883">
        <v>0</v>
      </c>
      <c r="L98" s="883">
        <v>0</v>
      </c>
      <c r="M98" s="883">
        <v>0</v>
      </c>
      <c r="N98" s="883">
        <v>0</v>
      </c>
      <c r="O98" s="883">
        <v>0</v>
      </c>
      <c r="P98" s="883">
        <v>0</v>
      </c>
      <c r="Q98" s="180">
        <f t="shared" si="196"/>
        <v>0</v>
      </c>
      <c r="R98" s="883">
        <v>0</v>
      </c>
      <c r="S98" s="883">
        <v>0</v>
      </c>
      <c r="T98" s="883">
        <v>0</v>
      </c>
      <c r="U98" s="883">
        <v>0</v>
      </c>
      <c r="V98" s="883">
        <v>0</v>
      </c>
      <c r="W98" s="883">
        <v>0</v>
      </c>
      <c r="X98" s="180">
        <f t="shared" si="197"/>
        <v>0</v>
      </c>
      <c r="Y98" s="883"/>
      <c r="Z98" s="883"/>
      <c r="AA98" s="883"/>
      <c r="AB98" s="883"/>
      <c r="AC98" s="883"/>
      <c r="AD98" s="883"/>
      <c r="AE98" s="180">
        <f t="shared" si="198"/>
        <v>0</v>
      </c>
      <c r="AF98" s="1389"/>
      <c r="AG98" s="972">
        <f>'PDYG-200'!D$38</f>
        <v>0.2417</v>
      </c>
      <c r="AH98" s="972">
        <f>'PDYG-200'!E$38</f>
        <v>0.30353035303530351</v>
      </c>
      <c r="AI98" s="972">
        <f>'PDYG-200'!F$38</f>
        <v>0.45476964696469646</v>
      </c>
      <c r="AK98" s="49"/>
      <c r="AL98" s="49"/>
      <c r="AM98" s="49"/>
      <c r="AN98" s="49"/>
      <c r="AO98" s="49"/>
      <c r="AP98" s="49"/>
    </row>
    <row r="99" spans="2:42">
      <c r="B99" s="48" t="s">
        <v>902</v>
      </c>
      <c r="C99" s="882" t="s">
        <v>900</v>
      </c>
      <c r="D99" s="881">
        <f>SUM(D100:D105)</f>
        <v>475730.43143708119</v>
      </c>
      <c r="E99" s="881">
        <f t="shared" ref="E99:I99" si="208">SUM(E100:E105)</f>
        <v>477671.32418696996</v>
      </c>
      <c r="F99" s="881">
        <f t="shared" si="208"/>
        <v>472225.83797880559</v>
      </c>
      <c r="G99" s="881">
        <f t="shared" si="208"/>
        <v>468940.91242002114</v>
      </c>
      <c r="H99" s="881">
        <f t="shared" si="208"/>
        <v>437635.63350943022</v>
      </c>
      <c r="I99" s="881">
        <f t="shared" si="208"/>
        <v>466934.16046769189</v>
      </c>
      <c r="J99" s="180">
        <f t="shared" si="195"/>
        <v>2799138.3</v>
      </c>
      <c r="K99" s="881">
        <v>111817.78606609319</v>
      </c>
      <c r="L99" s="881">
        <v>112273.98208792157</v>
      </c>
      <c r="M99" s="881">
        <v>110994.0509092265</v>
      </c>
      <c r="N99" s="881">
        <v>110221.94746765008</v>
      </c>
      <c r="O99" s="881">
        <v>102863.81616335324</v>
      </c>
      <c r="P99" s="881">
        <v>109750.27160740412</v>
      </c>
      <c r="Q99" s="180">
        <f t="shared" si="196"/>
        <v>657921.85430164868</v>
      </c>
      <c r="R99" s="881">
        <v>363912.64537098794</v>
      </c>
      <c r="S99" s="881">
        <v>365397.34209904831</v>
      </c>
      <c r="T99" s="881">
        <v>361231.78706957912</v>
      </c>
      <c r="U99" s="881">
        <v>358718.96495237102</v>
      </c>
      <c r="V99" s="881">
        <v>334771.817346077</v>
      </c>
      <c r="W99" s="881">
        <v>357183.88886028773</v>
      </c>
      <c r="X99" s="180">
        <f t="shared" si="197"/>
        <v>2141216.4456983511</v>
      </c>
      <c r="Y99" s="881"/>
      <c r="Z99" s="881"/>
      <c r="AA99" s="881"/>
      <c r="AB99" s="881"/>
      <c r="AC99" s="881"/>
      <c r="AD99" s="881"/>
      <c r="AE99" s="180">
        <f t="shared" si="198"/>
        <v>0</v>
      </c>
      <c r="AF99" s="1389"/>
      <c r="AG99" s="972">
        <f>'PDYG-200'!D$38</f>
        <v>0.2417</v>
      </c>
      <c r="AH99" s="972">
        <f>'PDYG-200'!E$38</f>
        <v>0.30353035303530351</v>
      </c>
      <c r="AI99" s="972">
        <f>'PDYG-200'!F$38</f>
        <v>0.45476964696469646</v>
      </c>
      <c r="AK99" s="47">
        <f>F821EO!D99/F821CO!D99</f>
        <v>1957.7384009756427</v>
      </c>
      <c r="AL99" s="47">
        <f>F821EO!E99/F821CO!E99</f>
        <v>1965.7256139381479</v>
      </c>
      <c r="AM99" s="47">
        <f>F821EO!F99/F821CO!F99</f>
        <v>1943.3162056740971</v>
      </c>
      <c r="AN99" s="47">
        <f>F821EO!G99/F821CO!G99</f>
        <v>1929.7979934980294</v>
      </c>
      <c r="AO99" s="47">
        <f>F821EO!H99/F821CO!H99</f>
        <v>1800.9696852239927</v>
      </c>
      <c r="AP99" s="47">
        <f>F821EO!I99/F821CO!I99</f>
        <v>1921.5397550110777</v>
      </c>
    </row>
    <row r="100" spans="2:42">
      <c r="B100" s="37"/>
      <c r="C100" s="887" t="s">
        <v>304</v>
      </c>
      <c r="D100" s="883">
        <v>438416.99475848925</v>
      </c>
      <c r="E100" s="883">
        <v>440205.65554267395</v>
      </c>
      <c r="F100" s="883">
        <v>435187.28055419488</v>
      </c>
      <c r="G100" s="883">
        <v>432160.00481920101</v>
      </c>
      <c r="H100" s="883">
        <v>403310.12389273191</v>
      </c>
      <c r="I100" s="883">
        <v>430310.65043270896</v>
      </c>
      <c r="J100" s="180">
        <f t="shared" si="195"/>
        <v>2579590.71</v>
      </c>
      <c r="K100" s="883">
        <v>103047.47076943696</v>
      </c>
      <c r="L100" s="883">
        <v>103467.88551630653</v>
      </c>
      <c r="M100" s="883">
        <v>102288.34444897121</v>
      </c>
      <c r="N100" s="883">
        <v>101576.80016227072</v>
      </c>
      <c r="O100" s="883">
        <v>94795.796467124848</v>
      </c>
      <c r="P100" s="883">
        <v>101142.11972250047</v>
      </c>
      <c r="Q100" s="180">
        <f t="shared" si="196"/>
        <v>606318.41708661069</v>
      </c>
      <c r="R100" s="883">
        <v>335369.52398905228</v>
      </c>
      <c r="S100" s="883">
        <v>336737.77002636739</v>
      </c>
      <c r="T100" s="883">
        <v>332898.93610522366</v>
      </c>
      <c r="U100" s="883">
        <v>330583.20465693029</v>
      </c>
      <c r="V100" s="883">
        <v>308514.32742560707</v>
      </c>
      <c r="W100" s="883">
        <v>329168.53071020846</v>
      </c>
      <c r="X100" s="180">
        <f t="shared" si="197"/>
        <v>1973272.2929133892</v>
      </c>
      <c r="Y100" s="883"/>
      <c r="Z100" s="883"/>
      <c r="AA100" s="883"/>
      <c r="AB100" s="883"/>
      <c r="AC100" s="883"/>
      <c r="AD100" s="883"/>
      <c r="AE100" s="180">
        <f t="shared" si="198"/>
        <v>0</v>
      </c>
      <c r="AF100" s="1389"/>
      <c r="AG100" s="972">
        <f>'PDYG-200'!D$38</f>
        <v>0.2417</v>
      </c>
      <c r="AH100" s="972">
        <f>'PDYG-200'!E$38</f>
        <v>0.30353035303530351</v>
      </c>
      <c r="AI100" s="972">
        <f>'PDYG-200'!F$38</f>
        <v>0.45476964696469646</v>
      </c>
      <c r="AK100" s="49">
        <f>F821EO!D100/F821CO!D100</f>
        <v>1992.8045216294965</v>
      </c>
      <c r="AL100" s="49">
        <f>F821EO!E100/F821CO!E100</f>
        <v>2000.9347979212453</v>
      </c>
      <c r="AM100" s="49">
        <f>F821EO!F100/F821CO!F100</f>
        <v>1978.1240025190675</v>
      </c>
      <c r="AN100" s="49">
        <f>F821EO!G100/F821CO!G100</f>
        <v>1964.3636582690956</v>
      </c>
      <c r="AO100" s="49">
        <f>F821EO!H100/F821CO!H100</f>
        <v>1833.2278358760541</v>
      </c>
      <c r="AP100" s="49">
        <f>F821EO!I100/F821CO!I100</f>
        <v>1955.9575019668589</v>
      </c>
    </row>
    <row r="101" spans="2:42">
      <c r="B101" s="37"/>
      <c r="C101" s="889" t="s">
        <v>642</v>
      </c>
      <c r="D101" s="883">
        <v>37313.436678591912</v>
      </c>
      <c r="E101" s="883">
        <v>37465.668644295984</v>
      </c>
      <c r="F101" s="883">
        <v>37038.557424610728</v>
      </c>
      <c r="G101" s="883">
        <v>36780.907600820123</v>
      </c>
      <c r="H101" s="883">
        <v>34325.509616698342</v>
      </c>
      <c r="I101" s="883">
        <v>36623.510034982923</v>
      </c>
      <c r="J101" s="180">
        <f t="shared" si="195"/>
        <v>219547.59</v>
      </c>
      <c r="K101" s="883">
        <v>8770.3152966562411</v>
      </c>
      <c r="L101" s="883">
        <v>8806.0965716150404</v>
      </c>
      <c r="M101" s="883">
        <v>8705.7064602552819</v>
      </c>
      <c r="N101" s="883">
        <v>8645.147305379367</v>
      </c>
      <c r="O101" s="883">
        <v>8068.019696228389</v>
      </c>
      <c r="P101" s="883">
        <v>8608.1518849036529</v>
      </c>
      <c r="Q101" s="180">
        <f t="shared" si="196"/>
        <v>51603.437215037971</v>
      </c>
      <c r="R101" s="883">
        <v>28543.121381935671</v>
      </c>
      <c r="S101" s="883">
        <v>28659.572072680945</v>
      </c>
      <c r="T101" s="883">
        <v>28332.850964355446</v>
      </c>
      <c r="U101" s="883">
        <v>28135.760295440756</v>
      </c>
      <c r="V101" s="883">
        <v>26257.489920469954</v>
      </c>
      <c r="W101" s="883">
        <v>28015.358150079272</v>
      </c>
      <c r="X101" s="180">
        <f t="shared" si="197"/>
        <v>167944.15278496203</v>
      </c>
      <c r="Y101" s="883"/>
      <c r="Z101" s="883"/>
      <c r="AA101" s="883"/>
      <c r="AB101" s="883"/>
      <c r="AC101" s="883"/>
      <c r="AD101" s="883"/>
      <c r="AE101" s="180">
        <f t="shared" si="198"/>
        <v>0</v>
      </c>
      <c r="AF101" s="1389"/>
      <c r="AG101" s="972">
        <f>'PDYG-200'!D$38</f>
        <v>0.2417</v>
      </c>
      <c r="AH101" s="972">
        <f>'PDYG-200'!E$38</f>
        <v>0.30353035303530351</v>
      </c>
      <c r="AI101" s="972">
        <f>'PDYG-200'!F$38</f>
        <v>0.45476964696469646</v>
      </c>
      <c r="AK101" s="49"/>
      <c r="AL101" s="49"/>
      <c r="AM101" s="49"/>
      <c r="AN101" s="49"/>
      <c r="AO101" s="49"/>
      <c r="AP101" s="49"/>
    </row>
    <row r="102" spans="2:42">
      <c r="B102" s="37"/>
      <c r="C102" s="889" t="s">
        <v>1177</v>
      </c>
      <c r="D102" s="883">
        <v>0</v>
      </c>
      <c r="E102" s="883">
        <v>0</v>
      </c>
      <c r="F102" s="883">
        <v>0</v>
      </c>
      <c r="G102" s="883">
        <v>0</v>
      </c>
      <c r="H102" s="883">
        <v>0</v>
      </c>
      <c r="I102" s="883">
        <v>0</v>
      </c>
      <c r="J102" s="180">
        <f t="shared" si="195"/>
        <v>0</v>
      </c>
      <c r="K102" s="883">
        <v>0</v>
      </c>
      <c r="L102" s="883">
        <v>0</v>
      </c>
      <c r="M102" s="883">
        <v>0</v>
      </c>
      <c r="N102" s="883">
        <v>0</v>
      </c>
      <c r="O102" s="883">
        <v>0</v>
      </c>
      <c r="P102" s="883">
        <v>0</v>
      </c>
      <c r="Q102" s="180">
        <f t="shared" si="196"/>
        <v>0</v>
      </c>
      <c r="R102" s="883">
        <v>0</v>
      </c>
      <c r="S102" s="883">
        <v>0</v>
      </c>
      <c r="T102" s="883">
        <v>0</v>
      </c>
      <c r="U102" s="883">
        <v>0</v>
      </c>
      <c r="V102" s="883">
        <v>0</v>
      </c>
      <c r="W102" s="883">
        <v>0</v>
      </c>
      <c r="X102" s="180">
        <f t="shared" si="197"/>
        <v>0</v>
      </c>
      <c r="Y102" s="883"/>
      <c r="Z102" s="883"/>
      <c r="AA102" s="883"/>
      <c r="AB102" s="883"/>
      <c r="AC102" s="883"/>
      <c r="AD102" s="883"/>
      <c r="AE102" s="180">
        <f t="shared" si="198"/>
        <v>0</v>
      </c>
      <c r="AF102" s="1389"/>
      <c r="AG102" s="972">
        <f>'PDYG-200'!D$38</f>
        <v>0.2417</v>
      </c>
      <c r="AH102" s="972">
        <f>'PDYG-200'!E$38</f>
        <v>0.30353035303530351</v>
      </c>
      <c r="AI102" s="972">
        <f>'PDYG-200'!F$38</f>
        <v>0.45476964696469646</v>
      </c>
      <c r="AK102" s="49">
        <f>(F821EO!D101+F821EO!D102)/(F821CO!D101+F821CO!D102)</f>
        <v>1622.3233338518223</v>
      </c>
      <c r="AL102" s="49">
        <f>(F821EO!E101+F821EO!E102)/(F821CO!E101+F821CO!E102)</f>
        <v>1628.9421149693906</v>
      </c>
      <c r="AM102" s="49">
        <f>(F821EO!F101+F821EO!F102)/(F821CO!F101+F821CO!F102)</f>
        <v>1610.372061939597</v>
      </c>
      <c r="AN102" s="49">
        <f>(F821EO!G101+F821EO!G102)/(F821CO!G101+F821CO!G102)</f>
        <v>1599.1698956878315</v>
      </c>
      <c r="AO102" s="49">
        <f>(F821EO!H101+F821EO!H102)/(F821CO!H101+F821CO!H102)</f>
        <v>1492.4134615955802</v>
      </c>
      <c r="AP102" s="49">
        <f>(F821EO!I101+F821EO!I102)/(F821CO!I101+F821CO!I102)</f>
        <v>1592.326523260127</v>
      </c>
    </row>
    <row r="103" spans="2:42">
      <c r="B103" s="37"/>
      <c r="C103" s="887" t="s">
        <v>305</v>
      </c>
      <c r="D103" s="883">
        <v>0</v>
      </c>
      <c r="E103" s="883">
        <v>0</v>
      </c>
      <c r="F103" s="883">
        <v>0</v>
      </c>
      <c r="G103" s="883">
        <v>0</v>
      </c>
      <c r="H103" s="883">
        <v>0</v>
      </c>
      <c r="I103" s="883">
        <v>0</v>
      </c>
      <c r="J103" s="180">
        <f t="shared" si="195"/>
        <v>0</v>
      </c>
      <c r="K103" s="883">
        <v>0</v>
      </c>
      <c r="L103" s="883">
        <v>0</v>
      </c>
      <c r="M103" s="883">
        <v>0</v>
      </c>
      <c r="N103" s="883">
        <v>0</v>
      </c>
      <c r="O103" s="883">
        <v>0</v>
      </c>
      <c r="P103" s="883">
        <v>0</v>
      </c>
      <c r="Q103" s="180">
        <f t="shared" si="196"/>
        <v>0</v>
      </c>
      <c r="R103" s="883">
        <v>0</v>
      </c>
      <c r="S103" s="883">
        <v>0</v>
      </c>
      <c r="T103" s="883">
        <v>0</v>
      </c>
      <c r="U103" s="883">
        <v>0</v>
      </c>
      <c r="V103" s="883">
        <v>0</v>
      </c>
      <c r="W103" s="883">
        <v>0</v>
      </c>
      <c r="X103" s="180">
        <f t="shared" si="197"/>
        <v>0</v>
      </c>
      <c r="Y103" s="883"/>
      <c r="Z103" s="883"/>
      <c r="AA103" s="883"/>
      <c r="AB103" s="883"/>
      <c r="AC103" s="883"/>
      <c r="AD103" s="883"/>
      <c r="AE103" s="180">
        <f t="shared" si="198"/>
        <v>0</v>
      </c>
      <c r="AF103" s="1389"/>
      <c r="AG103" s="972">
        <f>'PDYG-200'!D$38</f>
        <v>0.2417</v>
      </c>
      <c r="AH103" s="972">
        <f>'PDYG-200'!E$38</f>
        <v>0.30353035303530351</v>
      </c>
      <c r="AI103" s="972">
        <f>'PDYG-200'!F$38</f>
        <v>0.45476964696469646</v>
      </c>
    </row>
    <row r="104" spans="2:42">
      <c r="B104" s="37"/>
      <c r="C104" s="887" t="s">
        <v>307</v>
      </c>
      <c r="D104" s="883">
        <v>0</v>
      </c>
      <c r="E104" s="883">
        <v>0</v>
      </c>
      <c r="F104" s="883">
        <v>0</v>
      </c>
      <c r="G104" s="883">
        <v>0</v>
      </c>
      <c r="H104" s="883">
        <v>0</v>
      </c>
      <c r="I104" s="883">
        <v>0</v>
      </c>
      <c r="J104" s="180">
        <f t="shared" si="195"/>
        <v>0</v>
      </c>
      <c r="K104" s="883">
        <v>0</v>
      </c>
      <c r="L104" s="883">
        <v>0</v>
      </c>
      <c r="M104" s="883">
        <v>0</v>
      </c>
      <c r="N104" s="883">
        <v>0</v>
      </c>
      <c r="O104" s="883">
        <v>0</v>
      </c>
      <c r="P104" s="883">
        <v>0</v>
      </c>
      <c r="Q104" s="180">
        <f t="shared" si="196"/>
        <v>0</v>
      </c>
      <c r="R104" s="883">
        <v>0</v>
      </c>
      <c r="S104" s="883">
        <v>0</v>
      </c>
      <c r="T104" s="883">
        <v>0</v>
      </c>
      <c r="U104" s="883">
        <v>0</v>
      </c>
      <c r="V104" s="883">
        <v>0</v>
      </c>
      <c r="W104" s="883">
        <v>0</v>
      </c>
      <c r="X104" s="180">
        <f t="shared" si="197"/>
        <v>0</v>
      </c>
      <c r="Y104" s="883"/>
      <c r="Z104" s="883"/>
      <c r="AA104" s="883"/>
      <c r="AB104" s="883"/>
      <c r="AC104" s="883"/>
      <c r="AD104" s="883"/>
      <c r="AE104" s="180">
        <f t="shared" si="198"/>
        <v>0</v>
      </c>
      <c r="AF104" s="1389"/>
      <c r="AG104" s="972">
        <f>'PDYG-200'!D$38</f>
        <v>0.2417</v>
      </c>
      <c r="AH104" s="972">
        <f>'PDYG-200'!E$38</f>
        <v>0.30353035303530351</v>
      </c>
      <c r="AI104" s="972">
        <f>'PDYG-200'!F$38</f>
        <v>0.45476964696469646</v>
      </c>
    </row>
    <row r="105" spans="2:42">
      <c r="B105" s="37"/>
      <c r="C105" s="887" t="s">
        <v>624</v>
      </c>
      <c r="D105" s="883">
        <v>0</v>
      </c>
      <c r="E105" s="883">
        <v>0</v>
      </c>
      <c r="F105" s="883">
        <v>0</v>
      </c>
      <c r="G105" s="883">
        <v>0</v>
      </c>
      <c r="H105" s="883">
        <v>0</v>
      </c>
      <c r="I105" s="883">
        <v>0</v>
      </c>
      <c r="J105" s="180">
        <f t="shared" si="195"/>
        <v>0</v>
      </c>
      <c r="K105" s="883">
        <v>0</v>
      </c>
      <c r="L105" s="883">
        <v>0</v>
      </c>
      <c r="M105" s="883">
        <v>0</v>
      </c>
      <c r="N105" s="883">
        <v>0</v>
      </c>
      <c r="O105" s="883">
        <v>0</v>
      </c>
      <c r="P105" s="883">
        <v>0</v>
      </c>
      <c r="Q105" s="180">
        <f t="shared" si="196"/>
        <v>0</v>
      </c>
      <c r="R105" s="883">
        <v>0</v>
      </c>
      <c r="S105" s="883">
        <v>0</v>
      </c>
      <c r="T105" s="883">
        <v>0</v>
      </c>
      <c r="U105" s="883">
        <v>0</v>
      </c>
      <c r="V105" s="883">
        <v>0</v>
      </c>
      <c r="W105" s="883">
        <v>0</v>
      </c>
      <c r="X105" s="180">
        <f t="shared" si="197"/>
        <v>0</v>
      </c>
      <c r="Y105" s="883"/>
      <c r="Z105" s="883"/>
      <c r="AA105" s="883"/>
      <c r="AB105" s="883"/>
      <c r="AC105" s="883"/>
      <c r="AD105" s="883"/>
      <c r="AE105" s="180">
        <f t="shared" si="198"/>
        <v>0</v>
      </c>
      <c r="AF105" s="1389"/>
      <c r="AG105" s="972">
        <f>'PDYG-200'!D$38</f>
        <v>0.2417</v>
      </c>
      <c r="AH105" s="972">
        <f>'PDYG-200'!E$38</f>
        <v>0.30353035303530351</v>
      </c>
      <c r="AI105" s="972">
        <f>'PDYG-200'!F$38</f>
        <v>0.45476964696469646</v>
      </c>
    </row>
    <row r="106" spans="2:42">
      <c r="B106" s="37"/>
      <c r="C106" s="884"/>
      <c r="D106" s="883"/>
      <c r="E106" s="883"/>
      <c r="F106" s="883"/>
      <c r="G106" s="883"/>
      <c r="H106" s="883"/>
      <c r="I106" s="883"/>
      <c r="J106" s="180">
        <f t="shared" si="195"/>
        <v>0</v>
      </c>
      <c r="K106" s="883"/>
      <c r="L106" s="883"/>
      <c r="M106" s="883"/>
      <c r="N106" s="883"/>
      <c r="O106" s="883"/>
      <c r="P106" s="883"/>
      <c r="Q106" s="180">
        <f t="shared" si="196"/>
        <v>0</v>
      </c>
      <c r="R106" s="883">
        <f t="shared" si="201"/>
        <v>0</v>
      </c>
      <c r="S106" s="883">
        <f t="shared" si="202"/>
        <v>0</v>
      </c>
      <c r="T106" s="883">
        <f t="shared" si="203"/>
        <v>0</v>
      </c>
      <c r="U106" s="883">
        <f t="shared" si="204"/>
        <v>0</v>
      </c>
      <c r="V106" s="883">
        <f t="shared" si="205"/>
        <v>0</v>
      </c>
      <c r="W106" s="883">
        <f t="shared" si="206"/>
        <v>0</v>
      </c>
      <c r="X106" s="180">
        <f t="shared" si="197"/>
        <v>0</v>
      </c>
      <c r="Y106" s="883"/>
      <c r="Z106" s="883"/>
      <c r="AA106" s="883"/>
      <c r="AB106" s="883"/>
      <c r="AC106" s="883"/>
      <c r="AD106" s="883"/>
      <c r="AE106" s="180">
        <f t="shared" si="198"/>
        <v>0</v>
      </c>
      <c r="AF106" s="1389"/>
      <c r="AG106" s="969">
        <f>'PDYG-200'!D$38</f>
        <v>0.2417</v>
      </c>
      <c r="AH106" s="969">
        <f>'PDYG-200'!E$38</f>
        <v>0.30353035303530351</v>
      </c>
      <c r="AI106" s="969">
        <f>'PDYG-200'!F$38</f>
        <v>0.45476964696469646</v>
      </c>
    </row>
    <row r="107" spans="2:42" s="587" customFormat="1">
      <c r="B107" s="37"/>
      <c r="C107" s="880" t="s">
        <v>322</v>
      </c>
      <c r="D107" s="881">
        <f>D5+D9+D20</f>
        <v>283283710.87</v>
      </c>
      <c r="E107" s="881">
        <f t="shared" ref="E107:I107" si="209">E5+E9+E20</f>
        <v>284439456.36000001</v>
      </c>
      <c r="F107" s="881">
        <f t="shared" si="209"/>
        <v>281196826.84000003</v>
      </c>
      <c r="G107" s="881">
        <f t="shared" si="209"/>
        <v>279240748.69000006</v>
      </c>
      <c r="H107" s="881">
        <f t="shared" si="209"/>
        <v>260599360.64000005</v>
      </c>
      <c r="I107" s="881">
        <f t="shared" si="209"/>
        <v>278045785.94999999</v>
      </c>
      <c r="J107" s="180">
        <f t="shared" si="195"/>
        <v>1666805889.3500004</v>
      </c>
      <c r="K107" s="881">
        <f>K5+K9+K20</f>
        <v>80249572.6972422</v>
      </c>
      <c r="L107" s="881">
        <f t="shared" ref="L107:P107" si="210">L5+L9+L20</f>
        <v>80576976.208846971</v>
      </c>
      <c r="M107" s="881">
        <f t="shared" si="210"/>
        <v>79658393.094426811</v>
      </c>
      <c r="N107" s="881">
        <f t="shared" si="210"/>
        <v>79104268.625999629</v>
      </c>
      <c r="O107" s="881">
        <f t="shared" si="210"/>
        <v>73823472.843913615</v>
      </c>
      <c r="P107" s="881">
        <f t="shared" si="210"/>
        <v>78765755.518487677</v>
      </c>
      <c r="Q107" s="180">
        <f t="shared" si="196"/>
        <v>472178438.98891693</v>
      </c>
      <c r="R107" s="881">
        <f>R5+R9+R20</f>
        <v>190829673.91429159</v>
      </c>
      <c r="S107" s="881">
        <f t="shared" ref="S107:W107" si="211">S5+S9+S20</f>
        <v>191608222.9562265</v>
      </c>
      <c r="T107" s="881">
        <f t="shared" si="211"/>
        <v>189423878.62783477</v>
      </c>
      <c r="U107" s="881">
        <f t="shared" si="211"/>
        <v>188106198.58252275</v>
      </c>
      <c r="V107" s="881">
        <f t="shared" si="211"/>
        <v>175548732.48619014</v>
      </c>
      <c r="W107" s="881">
        <f t="shared" si="211"/>
        <v>187301231.48169947</v>
      </c>
      <c r="X107" s="180">
        <f t="shared" si="197"/>
        <v>1122817938.0487652</v>
      </c>
      <c r="Y107" s="881">
        <f>Y5+Y9+Y20</f>
        <v>12204464.258466223</v>
      </c>
      <c r="Z107" s="881">
        <f t="shared" ref="Z107:AD107" si="212">Z5+Z9+Z20</f>
        <v>12254257.194926556</v>
      </c>
      <c r="AA107" s="881">
        <f t="shared" si="212"/>
        <v>12114555.11773847</v>
      </c>
      <c r="AB107" s="881">
        <f t="shared" si="212"/>
        <v>12030281.481477603</v>
      </c>
      <c r="AC107" s="881">
        <f t="shared" si="212"/>
        <v>11227155.309896287</v>
      </c>
      <c r="AD107" s="881">
        <f t="shared" si="212"/>
        <v>11978798.949812878</v>
      </c>
      <c r="AE107" s="180">
        <f t="shared" si="198"/>
        <v>71809512.312318012</v>
      </c>
      <c r="AF107" s="1389"/>
      <c r="AG107" s="969"/>
      <c r="AH107" s="969"/>
      <c r="AI107" s="969"/>
    </row>
    <row r="108" spans="2:42">
      <c r="B108" s="37"/>
      <c r="C108" s="959" t="s">
        <v>87</v>
      </c>
      <c r="D108" s="883">
        <v>6757915</v>
      </c>
      <c r="E108" s="883">
        <v>6831749</v>
      </c>
      <c r="F108" s="883">
        <v>6905583</v>
      </c>
      <c r="G108" s="883">
        <v>6979417</v>
      </c>
      <c r="H108" s="883">
        <v>7053251</v>
      </c>
      <c r="I108" s="883">
        <v>7127085</v>
      </c>
      <c r="J108" s="180">
        <f t="shared" si="195"/>
        <v>41655000</v>
      </c>
      <c r="K108" s="883"/>
      <c r="L108" s="883"/>
      <c r="M108" s="883"/>
      <c r="N108" s="883"/>
      <c r="O108" s="883"/>
      <c r="P108" s="883"/>
      <c r="Q108" s="180">
        <f t="shared" si="196"/>
        <v>0</v>
      </c>
      <c r="R108" s="883">
        <v>6757915</v>
      </c>
      <c r="S108" s="883">
        <v>6831749</v>
      </c>
      <c r="T108" s="883">
        <v>6905583</v>
      </c>
      <c r="U108" s="883">
        <v>6979417</v>
      </c>
      <c r="V108" s="883">
        <v>7053251</v>
      </c>
      <c r="W108" s="883">
        <v>7127085</v>
      </c>
      <c r="X108" s="180">
        <f t="shared" si="197"/>
        <v>41655000</v>
      </c>
      <c r="Y108" s="883"/>
      <c r="Z108" s="883"/>
      <c r="AA108" s="883"/>
      <c r="AB108" s="883"/>
      <c r="AC108" s="883"/>
      <c r="AD108" s="883"/>
      <c r="AE108" s="180">
        <f t="shared" si="198"/>
        <v>0</v>
      </c>
      <c r="AF108" s="1389"/>
    </row>
    <row r="109" spans="2:42" s="587" customFormat="1">
      <c r="B109" s="37"/>
      <c r="C109" s="880" t="s">
        <v>112</v>
      </c>
      <c r="D109" s="881">
        <f>D107+D108</f>
        <v>290041625.87</v>
      </c>
      <c r="E109" s="881">
        <f t="shared" ref="E109:I109" si="213">E107+E108</f>
        <v>291271205.36000001</v>
      </c>
      <c r="F109" s="881">
        <f t="shared" si="213"/>
        <v>288102409.84000003</v>
      </c>
      <c r="G109" s="881">
        <f t="shared" si="213"/>
        <v>286220165.69000006</v>
      </c>
      <c r="H109" s="881">
        <f t="shared" si="213"/>
        <v>267652611.64000005</v>
      </c>
      <c r="I109" s="881">
        <f t="shared" si="213"/>
        <v>285172870.94999999</v>
      </c>
      <c r="J109" s="180">
        <f t="shared" si="195"/>
        <v>1708460889.3500004</v>
      </c>
      <c r="K109" s="881">
        <f>K107+K108</f>
        <v>80249572.6972422</v>
      </c>
      <c r="L109" s="881">
        <f t="shared" ref="L109" si="214">L107+L108</f>
        <v>80576976.208846971</v>
      </c>
      <c r="M109" s="881">
        <f t="shared" ref="M109" si="215">M107+M108</f>
        <v>79658393.094426811</v>
      </c>
      <c r="N109" s="881">
        <f t="shared" ref="N109" si="216">N107+N108</f>
        <v>79104268.625999629</v>
      </c>
      <c r="O109" s="881">
        <f t="shared" ref="O109" si="217">O107+O108</f>
        <v>73823472.843913615</v>
      </c>
      <c r="P109" s="881">
        <f t="shared" ref="P109" si="218">P107+P108</f>
        <v>78765755.518487677</v>
      </c>
      <c r="Q109" s="180">
        <f t="shared" si="196"/>
        <v>472178438.98891693</v>
      </c>
      <c r="R109" s="881">
        <f>R107+R108</f>
        <v>197587588.91429159</v>
      </c>
      <c r="S109" s="881">
        <f t="shared" ref="S109" si="219">S107+S108</f>
        <v>198439971.9562265</v>
      </c>
      <c r="T109" s="881">
        <f t="shared" ref="T109" si="220">T107+T108</f>
        <v>196329461.62783477</v>
      </c>
      <c r="U109" s="881">
        <f t="shared" ref="U109" si="221">U107+U108</f>
        <v>195085615.58252275</v>
      </c>
      <c r="V109" s="881">
        <f t="shared" ref="V109" si="222">V107+V108</f>
        <v>182601983.48619014</v>
      </c>
      <c r="W109" s="881">
        <f t="shared" ref="W109" si="223">W107+W108</f>
        <v>194428316.48169947</v>
      </c>
      <c r="X109" s="180">
        <f t="shared" si="197"/>
        <v>1164472938.0487652</v>
      </c>
      <c r="Y109" s="881">
        <f>Y107+Y108</f>
        <v>12204464.258466223</v>
      </c>
      <c r="Z109" s="881">
        <f t="shared" ref="Z109" si="224">Z107+Z108</f>
        <v>12254257.194926556</v>
      </c>
      <c r="AA109" s="881">
        <f t="shared" ref="AA109" si="225">AA107+AA108</f>
        <v>12114555.11773847</v>
      </c>
      <c r="AB109" s="881">
        <f t="shared" ref="AB109" si="226">AB107+AB108</f>
        <v>12030281.481477603</v>
      </c>
      <c r="AC109" s="881">
        <f t="shared" ref="AC109" si="227">AC107+AC108</f>
        <v>11227155.309896287</v>
      </c>
      <c r="AD109" s="881">
        <f t="shared" ref="AD109" si="228">AD107+AD108</f>
        <v>11978798.949812878</v>
      </c>
      <c r="AE109" s="180">
        <f t="shared" si="198"/>
        <v>71809512.312318012</v>
      </c>
      <c r="AF109" s="1389"/>
      <c r="AG109" s="969"/>
      <c r="AH109" s="969"/>
      <c r="AI109" s="969"/>
    </row>
    <row r="110" spans="2:42">
      <c r="B110" s="37"/>
      <c r="D110" s="588">
        <f>D109-K109-R109-Y109</f>
        <v>0</v>
      </c>
      <c r="E110" s="588">
        <f t="shared" ref="E110:J110" si="229">E109-L109-S109-Z109</f>
        <v>-2.6077032089233398E-8</v>
      </c>
      <c r="F110" s="588">
        <f t="shared" si="229"/>
        <v>-1.4901161193847656E-8</v>
      </c>
      <c r="G110" s="588">
        <f t="shared" si="229"/>
        <v>7.4505805969238281E-8</v>
      </c>
      <c r="H110" s="588">
        <f t="shared" si="229"/>
        <v>0</v>
      </c>
      <c r="I110" s="588">
        <f t="shared" si="229"/>
        <v>-4.8428773880004883E-8</v>
      </c>
      <c r="J110" s="588">
        <f t="shared" si="229"/>
        <v>3.1292438507080078E-7</v>
      </c>
    </row>
    <row r="111" spans="2:42">
      <c r="B111" s="37"/>
      <c r="D111" s="588"/>
      <c r="E111" s="588"/>
      <c r="F111" s="588"/>
      <c r="G111" s="588"/>
      <c r="H111" s="588"/>
      <c r="I111" s="588"/>
      <c r="J111" s="588"/>
    </row>
    <row r="112" spans="2:42" s="532" customFormat="1" ht="15.75">
      <c r="B112" s="37"/>
      <c r="C112" s="960"/>
      <c r="D112" s="961"/>
      <c r="E112" s="962"/>
      <c r="F112" s="962"/>
      <c r="G112" s="962"/>
      <c r="H112" s="962"/>
      <c r="I112" s="962"/>
      <c r="J112" s="967"/>
      <c r="K112" s="961"/>
      <c r="L112" s="962"/>
      <c r="M112" s="962"/>
      <c r="N112" s="962"/>
      <c r="O112" s="962"/>
      <c r="P112" s="962"/>
      <c r="Q112" s="967"/>
      <c r="R112" s="961"/>
      <c r="S112" s="962"/>
      <c r="T112" s="962"/>
      <c r="U112" s="962"/>
      <c r="V112" s="962"/>
      <c r="W112" s="962"/>
      <c r="X112" s="967"/>
      <c r="Y112" s="961"/>
      <c r="Z112" s="962"/>
      <c r="AA112" s="962"/>
      <c r="AB112" s="962"/>
      <c r="AC112" s="962"/>
      <c r="AD112" s="962"/>
      <c r="AE112" s="967"/>
      <c r="AF112" s="1032"/>
      <c r="AG112" s="972"/>
      <c r="AH112" s="972"/>
      <c r="AI112" s="972"/>
    </row>
    <row r="113" spans="1:35" s="532" customFormat="1" ht="15.75">
      <c r="C113" s="963" t="s">
        <v>1203</v>
      </c>
      <c r="D113" s="964">
        <v>45839</v>
      </c>
      <c r="E113" s="964">
        <v>45870</v>
      </c>
      <c r="F113" s="964">
        <v>45901</v>
      </c>
      <c r="G113" s="964">
        <v>45931</v>
      </c>
      <c r="H113" s="964">
        <v>45962</v>
      </c>
      <c r="I113" s="964">
        <v>45992</v>
      </c>
      <c r="J113" s="964" t="s">
        <v>111</v>
      </c>
      <c r="K113" s="964">
        <v>45839</v>
      </c>
      <c r="L113" s="964">
        <v>45870</v>
      </c>
      <c r="M113" s="964">
        <v>45901</v>
      </c>
      <c r="N113" s="964">
        <v>45931</v>
      </c>
      <c r="O113" s="964">
        <v>45962</v>
      </c>
      <c r="P113" s="964">
        <v>45992</v>
      </c>
      <c r="Q113" s="964" t="s">
        <v>111</v>
      </c>
      <c r="R113" s="964">
        <v>45839</v>
      </c>
      <c r="S113" s="964">
        <v>45870</v>
      </c>
      <c r="T113" s="964">
        <v>45901</v>
      </c>
      <c r="U113" s="964">
        <v>45931</v>
      </c>
      <c r="V113" s="964">
        <v>45962</v>
      </c>
      <c r="W113" s="964">
        <v>45992</v>
      </c>
      <c r="X113" s="964" t="s">
        <v>111</v>
      </c>
      <c r="Y113" s="964">
        <v>45839</v>
      </c>
      <c r="Z113" s="964">
        <v>45870</v>
      </c>
      <c r="AA113" s="964">
        <v>45901</v>
      </c>
      <c r="AB113" s="964">
        <v>45931</v>
      </c>
      <c r="AC113" s="964">
        <v>45962</v>
      </c>
      <c r="AD113" s="964">
        <v>45992</v>
      </c>
      <c r="AE113" s="964" t="s">
        <v>111</v>
      </c>
      <c r="AF113" s="1388"/>
      <c r="AG113" s="971"/>
      <c r="AH113" s="971"/>
      <c r="AI113" s="971"/>
    </row>
    <row r="114" spans="1:35" ht="15.75">
      <c r="A114" s="57"/>
      <c r="B114" s="37"/>
      <c r="C114" s="965" t="s">
        <v>446</v>
      </c>
      <c r="D114" s="881">
        <v>28812731.065592006</v>
      </c>
      <c r="E114" s="881">
        <v>28148717.124927998</v>
      </c>
      <c r="F114" s="881">
        <v>28014323.489188001</v>
      </c>
      <c r="G114" s="881">
        <v>25513362.753412001</v>
      </c>
      <c r="H114" s="881">
        <v>28633614.204950999</v>
      </c>
      <c r="I114" s="881">
        <v>30606167.060545001</v>
      </c>
      <c r="J114" s="180">
        <v>169728915.698616</v>
      </c>
      <c r="K114" s="881">
        <v>8561974.2069351859</v>
      </c>
      <c r="L114" s="881">
        <v>8464762.6775540002</v>
      </c>
      <c r="M114" s="881">
        <v>9006758.8791173138</v>
      </c>
      <c r="N114" s="881">
        <v>5428987.0564368479</v>
      </c>
      <c r="O114" s="881">
        <v>8801890.5590783767</v>
      </c>
      <c r="P114" s="881">
        <v>8909209.9691326078</v>
      </c>
      <c r="Q114" s="180">
        <v>49173583.34825433</v>
      </c>
      <c r="R114" s="881">
        <v>20250756.85865682</v>
      </c>
      <c r="S114" s="881">
        <v>19683954.447373997</v>
      </c>
      <c r="T114" s="881">
        <v>19007564.610070687</v>
      </c>
      <c r="U114" s="881">
        <v>20084375.696975153</v>
      </c>
      <c r="V114" s="881">
        <v>19831723.645872623</v>
      </c>
      <c r="W114" s="881">
        <v>21696957.091412395</v>
      </c>
      <c r="X114" s="180">
        <v>120555332.35036168</v>
      </c>
      <c r="Y114" s="881"/>
      <c r="Z114" s="881"/>
      <c r="AA114" s="881"/>
      <c r="AB114" s="881"/>
      <c r="AC114" s="881"/>
      <c r="AD114" s="881"/>
      <c r="AE114" s="180">
        <v>0</v>
      </c>
      <c r="AF114" s="1389"/>
      <c r="AG114" s="972"/>
      <c r="AH114" s="972"/>
      <c r="AI114" s="972"/>
    </row>
    <row r="115" spans="1:35">
      <c r="A115" s="57"/>
      <c r="B115" s="48" t="s">
        <v>870</v>
      </c>
      <c r="C115" s="882" t="s">
        <v>279</v>
      </c>
      <c r="D115" s="881">
        <v>9580250.7067520004</v>
      </c>
      <c r="E115" s="881">
        <v>9419185.9926880002</v>
      </c>
      <c r="F115" s="881">
        <v>9872049.7677280009</v>
      </c>
      <c r="G115" s="881">
        <v>5127548.2519920003</v>
      </c>
      <c r="H115" s="881">
        <v>8865433.1605210006</v>
      </c>
      <c r="I115" s="881">
        <v>9243163.9458549991</v>
      </c>
      <c r="J115" s="180">
        <v>52107631.825536005</v>
      </c>
      <c r="K115" s="881">
        <v>7363300.7905700011</v>
      </c>
      <c r="L115" s="881">
        <v>7272224.4603220001</v>
      </c>
      <c r="M115" s="881">
        <v>7738377.6317600012</v>
      </c>
      <c r="N115" s="881">
        <v>3838755.0237500002</v>
      </c>
      <c r="O115" s="881">
        <v>7359570.2163690012</v>
      </c>
      <c r="P115" s="881">
        <v>7307297.136376</v>
      </c>
      <c r="Q115" s="180">
        <v>40879525.259147003</v>
      </c>
      <c r="R115" s="881">
        <v>2216949.9161819993</v>
      </c>
      <c r="S115" s="881">
        <v>2146961.5323660001</v>
      </c>
      <c r="T115" s="881">
        <v>2133672.1359679997</v>
      </c>
      <c r="U115" s="881">
        <v>1288793.2282420001</v>
      </c>
      <c r="V115" s="881">
        <v>1505862.9441519994</v>
      </c>
      <c r="W115" s="881">
        <v>1935866.8094789991</v>
      </c>
      <c r="X115" s="180">
        <v>11228106.566388998</v>
      </c>
      <c r="Y115" s="881"/>
      <c r="Z115" s="881"/>
      <c r="AA115" s="881"/>
      <c r="AB115" s="881"/>
      <c r="AC115" s="881"/>
      <c r="AD115" s="881"/>
      <c r="AE115" s="180">
        <v>0</v>
      </c>
      <c r="AF115" s="1389"/>
      <c r="AG115" s="972"/>
      <c r="AH115" s="972"/>
      <c r="AI115" s="972"/>
    </row>
    <row r="116" spans="1:35">
      <c r="A116" s="57"/>
      <c r="B116" s="48"/>
      <c r="C116" s="887" t="s">
        <v>971</v>
      </c>
      <c r="D116" s="883">
        <v>9580250.7067520004</v>
      </c>
      <c r="E116" s="883">
        <v>9419185.9926880002</v>
      </c>
      <c r="F116" s="883">
        <v>9872049.7677280009</v>
      </c>
      <c r="G116" s="883">
        <v>5127548.2519920003</v>
      </c>
      <c r="H116" s="883">
        <v>8865433.1605210006</v>
      </c>
      <c r="I116" s="883">
        <v>9243163.9458549991</v>
      </c>
      <c r="J116" s="180">
        <v>52107631.825536005</v>
      </c>
      <c r="K116" s="883">
        <v>7363300.7905700011</v>
      </c>
      <c r="L116" s="883">
        <v>7272224.4603220001</v>
      </c>
      <c r="M116" s="883">
        <v>7738377.6317600012</v>
      </c>
      <c r="N116" s="883">
        <v>3838755.0237500002</v>
      </c>
      <c r="O116" s="883">
        <v>7359570.2163690012</v>
      </c>
      <c r="P116" s="883">
        <v>7307297.136376</v>
      </c>
      <c r="Q116" s="180">
        <v>40879525.259147003</v>
      </c>
      <c r="R116" s="883">
        <v>2216949.9161819993</v>
      </c>
      <c r="S116" s="883">
        <v>2146961.5323660001</v>
      </c>
      <c r="T116" s="883">
        <v>2133672.1359679997</v>
      </c>
      <c r="U116" s="883">
        <v>1288793.2282420001</v>
      </c>
      <c r="V116" s="883">
        <v>1505862.9441519994</v>
      </c>
      <c r="W116" s="883">
        <v>1935866.8094789991</v>
      </c>
      <c r="X116" s="180">
        <v>11228106.566388998</v>
      </c>
      <c r="Y116" s="883"/>
      <c r="Z116" s="883"/>
      <c r="AA116" s="883"/>
      <c r="AB116" s="883"/>
      <c r="AC116" s="883"/>
      <c r="AD116" s="883"/>
      <c r="AE116" s="180">
        <v>0</v>
      </c>
      <c r="AF116" s="1389"/>
      <c r="AG116" s="972">
        <f>$AG$7</f>
        <v>0.2432</v>
      </c>
      <c r="AH116" s="972">
        <f t="shared" ref="AH116:AI119" si="230">$AG$7</f>
        <v>0.2432</v>
      </c>
      <c r="AI116" s="972">
        <f t="shared" si="230"/>
        <v>0.2432</v>
      </c>
    </row>
    <row r="117" spans="1:35">
      <c r="A117" s="57"/>
      <c r="B117" s="48" t="s">
        <v>871</v>
      </c>
      <c r="C117" s="882" t="s">
        <v>278</v>
      </c>
      <c r="D117" s="881">
        <v>4928755.8238700004</v>
      </c>
      <c r="E117" s="881">
        <v>4903528.8537499998</v>
      </c>
      <c r="F117" s="881">
        <v>5215383.4184100004</v>
      </c>
      <c r="G117" s="881">
        <v>6538783.0291400002</v>
      </c>
      <c r="H117" s="881">
        <v>5930593.5144299986</v>
      </c>
      <c r="I117" s="881">
        <v>6586812.6346900007</v>
      </c>
      <c r="J117" s="180">
        <v>34103857.274289995</v>
      </c>
      <c r="K117" s="881">
        <v>1198673.4163651839</v>
      </c>
      <c r="L117" s="881">
        <v>1192538.2172320001</v>
      </c>
      <c r="M117" s="881">
        <v>1268381.2473573121</v>
      </c>
      <c r="N117" s="881">
        <v>1590232.032686848</v>
      </c>
      <c r="O117" s="881">
        <v>1442320.3427093758</v>
      </c>
      <c r="P117" s="881">
        <v>1601912.832756608</v>
      </c>
      <c r="Q117" s="180">
        <v>8294058.0891073272</v>
      </c>
      <c r="R117" s="881">
        <v>3730082.4075048165</v>
      </c>
      <c r="S117" s="881">
        <v>3710990.6365179997</v>
      </c>
      <c r="T117" s="881">
        <v>3947002.1710526883</v>
      </c>
      <c r="U117" s="881">
        <v>4948550.996453152</v>
      </c>
      <c r="V117" s="881">
        <v>4488273.171720623</v>
      </c>
      <c r="W117" s="881">
        <v>4984899.8019333929</v>
      </c>
      <c r="X117" s="180">
        <v>25809799.185182672</v>
      </c>
      <c r="Y117" s="881"/>
      <c r="Z117" s="881"/>
      <c r="AA117" s="881"/>
      <c r="AB117" s="881"/>
      <c r="AC117" s="881"/>
      <c r="AD117" s="881"/>
      <c r="AE117" s="180">
        <v>0</v>
      </c>
      <c r="AF117" s="1389"/>
      <c r="AG117" s="972">
        <f>$AG$7</f>
        <v>0.2432</v>
      </c>
      <c r="AH117" s="972">
        <f t="shared" si="230"/>
        <v>0.2432</v>
      </c>
      <c r="AI117" s="972">
        <f t="shared" si="230"/>
        <v>0.2432</v>
      </c>
    </row>
    <row r="118" spans="1:35">
      <c r="A118" s="57"/>
      <c r="B118" s="48"/>
      <c r="C118" s="887" t="s">
        <v>969</v>
      </c>
      <c r="D118" s="883">
        <v>0</v>
      </c>
      <c r="E118" s="883">
        <v>0</v>
      </c>
      <c r="F118" s="883">
        <v>0</v>
      </c>
      <c r="G118" s="883">
        <v>0</v>
      </c>
      <c r="H118" s="883">
        <v>0</v>
      </c>
      <c r="I118" s="883">
        <v>0</v>
      </c>
      <c r="J118" s="180">
        <v>0</v>
      </c>
      <c r="K118" s="883">
        <v>0</v>
      </c>
      <c r="L118" s="883">
        <v>0</v>
      </c>
      <c r="M118" s="883">
        <v>0</v>
      </c>
      <c r="N118" s="883">
        <v>0</v>
      </c>
      <c r="O118" s="883">
        <v>0</v>
      </c>
      <c r="P118" s="883">
        <v>0</v>
      </c>
      <c r="Q118" s="180">
        <v>0</v>
      </c>
      <c r="R118" s="883">
        <v>0</v>
      </c>
      <c r="S118" s="883">
        <v>0</v>
      </c>
      <c r="T118" s="883">
        <v>0</v>
      </c>
      <c r="U118" s="883">
        <v>0</v>
      </c>
      <c r="V118" s="883">
        <v>0</v>
      </c>
      <c r="W118" s="883">
        <v>0</v>
      </c>
      <c r="X118" s="180">
        <v>0</v>
      </c>
      <c r="Y118" s="883"/>
      <c r="Z118" s="883"/>
      <c r="AA118" s="883"/>
      <c r="AB118" s="883"/>
      <c r="AC118" s="883"/>
      <c r="AD118" s="883"/>
      <c r="AE118" s="180">
        <v>0</v>
      </c>
      <c r="AF118" s="1389"/>
      <c r="AG118" s="972">
        <f>$AG$7</f>
        <v>0.2432</v>
      </c>
      <c r="AH118" s="972">
        <f t="shared" si="230"/>
        <v>0.2432</v>
      </c>
      <c r="AI118" s="972">
        <f t="shared" si="230"/>
        <v>0.2432</v>
      </c>
    </row>
    <row r="119" spans="1:35">
      <c r="A119" s="57"/>
      <c r="B119" s="48"/>
      <c r="C119" s="887" t="s">
        <v>970</v>
      </c>
      <c r="D119" s="883">
        <v>4928755.8238700004</v>
      </c>
      <c r="E119" s="883">
        <v>4903528.8537499998</v>
      </c>
      <c r="F119" s="883">
        <v>5215383.4184100004</v>
      </c>
      <c r="G119" s="883">
        <v>6538783.0291400002</v>
      </c>
      <c r="H119" s="883">
        <v>5930593.5144299986</v>
      </c>
      <c r="I119" s="883">
        <v>6586812.6346900007</v>
      </c>
      <c r="J119" s="180">
        <v>34103857.274289995</v>
      </c>
      <c r="K119" s="883">
        <v>1198673.4163651839</v>
      </c>
      <c r="L119" s="883">
        <v>1192538.2172320001</v>
      </c>
      <c r="M119" s="883">
        <v>1268381.2473573121</v>
      </c>
      <c r="N119" s="883">
        <v>1590232.032686848</v>
      </c>
      <c r="O119" s="883">
        <v>1442320.3427093758</v>
      </c>
      <c r="P119" s="883">
        <v>1601912.832756608</v>
      </c>
      <c r="Q119" s="180">
        <v>8294058.0891073272</v>
      </c>
      <c r="R119" s="883">
        <v>3730082.4075048165</v>
      </c>
      <c r="S119" s="883">
        <v>3710990.6365179997</v>
      </c>
      <c r="T119" s="883">
        <v>3947002.1710526883</v>
      </c>
      <c r="U119" s="883">
        <v>4948550.996453152</v>
      </c>
      <c r="V119" s="883">
        <v>4488273.171720623</v>
      </c>
      <c r="W119" s="883">
        <v>4984899.8019333929</v>
      </c>
      <c r="X119" s="180">
        <v>25809799.185182672</v>
      </c>
      <c r="Y119" s="883"/>
      <c r="Z119" s="883"/>
      <c r="AA119" s="883"/>
      <c r="AB119" s="883"/>
      <c r="AC119" s="883"/>
      <c r="AD119" s="883"/>
      <c r="AE119" s="180">
        <v>0</v>
      </c>
      <c r="AF119" s="1389"/>
      <c r="AG119" s="972">
        <f>$AG$7</f>
        <v>0.2432</v>
      </c>
      <c r="AH119" s="972">
        <f t="shared" si="230"/>
        <v>0.2432</v>
      </c>
      <c r="AI119" s="972">
        <f t="shared" si="230"/>
        <v>0.2432</v>
      </c>
    </row>
    <row r="120" spans="1:35">
      <c r="A120" s="57"/>
      <c r="B120" s="48" t="s">
        <v>893</v>
      </c>
      <c r="C120" s="887" t="s">
        <v>942</v>
      </c>
      <c r="D120" s="881">
        <v>14303724.534970006</v>
      </c>
      <c r="E120" s="881">
        <v>13826002.278489998</v>
      </c>
      <c r="F120" s="881">
        <v>12926890.30305</v>
      </c>
      <c r="G120" s="881">
        <v>13847031.472280001</v>
      </c>
      <c r="H120" s="881">
        <v>13837587.530000001</v>
      </c>
      <c r="I120" s="881">
        <v>14776190.48</v>
      </c>
      <c r="J120" s="180">
        <v>83517426.598790005</v>
      </c>
      <c r="K120" s="881">
        <v>0</v>
      </c>
      <c r="L120" s="881">
        <v>0</v>
      </c>
      <c r="M120" s="881">
        <v>0</v>
      </c>
      <c r="N120" s="881">
        <v>0</v>
      </c>
      <c r="O120" s="881">
        <v>0</v>
      </c>
      <c r="P120" s="881">
        <v>0</v>
      </c>
      <c r="Q120" s="180">
        <v>0</v>
      </c>
      <c r="R120" s="881">
        <v>14303724.534970006</v>
      </c>
      <c r="S120" s="881">
        <v>13826002.278489998</v>
      </c>
      <c r="T120" s="881">
        <v>12926890.30305</v>
      </c>
      <c r="U120" s="881">
        <v>13847031.472280001</v>
      </c>
      <c r="V120" s="881">
        <v>13837587.530000001</v>
      </c>
      <c r="W120" s="881">
        <v>14776190.48</v>
      </c>
      <c r="X120" s="180">
        <v>83517426.598790005</v>
      </c>
      <c r="Y120" s="881"/>
      <c r="Z120" s="881"/>
      <c r="AA120" s="881"/>
      <c r="AB120" s="881"/>
      <c r="AC120" s="881"/>
      <c r="AD120" s="881"/>
      <c r="AE120" s="180">
        <v>0</v>
      </c>
      <c r="AF120" s="1389"/>
      <c r="AG120" s="972">
        <v>0</v>
      </c>
      <c r="AH120" s="972">
        <v>1</v>
      </c>
      <c r="AI120" s="972">
        <v>2</v>
      </c>
    </row>
    <row r="121" spans="1:35">
      <c r="A121" s="57"/>
      <c r="B121" s="48"/>
      <c r="C121" s="887"/>
      <c r="D121" s="881"/>
      <c r="E121" s="881"/>
      <c r="F121" s="881"/>
      <c r="G121" s="881"/>
      <c r="H121" s="881"/>
      <c r="I121" s="881"/>
      <c r="J121" s="180">
        <v>0</v>
      </c>
      <c r="K121" s="881"/>
      <c r="L121" s="881"/>
      <c r="M121" s="881"/>
      <c r="N121" s="881"/>
      <c r="O121" s="881"/>
      <c r="P121" s="881"/>
      <c r="Q121" s="180">
        <v>0</v>
      </c>
      <c r="R121" s="881">
        <v>0</v>
      </c>
      <c r="S121" s="881">
        <v>0</v>
      </c>
      <c r="T121" s="881">
        <v>0</v>
      </c>
      <c r="U121" s="881">
        <v>0</v>
      </c>
      <c r="V121" s="881">
        <v>0</v>
      </c>
      <c r="W121" s="881">
        <v>0</v>
      </c>
      <c r="X121" s="180">
        <v>0</v>
      </c>
      <c r="Y121" s="881"/>
      <c r="Z121" s="881"/>
      <c r="AA121" s="881"/>
      <c r="AB121" s="881"/>
      <c r="AC121" s="881"/>
      <c r="AD121" s="881"/>
      <c r="AE121" s="180">
        <v>0</v>
      </c>
      <c r="AF121" s="1389"/>
      <c r="AG121" s="972"/>
      <c r="AH121" s="972"/>
      <c r="AI121" s="972"/>
    </row>
    <row r="122" spans="1:35" ht="15.75">
      <c r="A122" s="57"/>
      <c r="B122" s="48"/>
      <c r="C122" s="965" t="s">
        <v>630</v>
      </c>
      <c r="D122" s="881">
        <v>53239950.614230007</v>
      </c>
      <c r="E122" s="881">
        <v>54734188.863949008</v>
      </c>
      <c r="F122" s="881">
        <v>53120698.557453007</v>
      </c>
      <c r="G122" s="881">
        <v>55187914.596446015</v>
      </c>
      <c r="H122" s="881">
        <v>51002560.533653989</v>
      </c>
      <c r="I122" s="881">
        <v>53922545.151726022</v>
      </c>
      <c r="J122" s="180">
        <v>321207858.31745803</v>
      </c>
      <c r="K122" s="881">
        <v>17180444.682258971</v>
      </c>
      <c r="L122" s="881">
        <v>17640320.786488239</v>
      </c>
      <c r="M122" s="881">
        <v>17071813.858036004</v>
      </c>
      <c r="N122" s="881">
        <v>17826836.136675</v>
      </c>
      <c r="O122" s="881">
        <v>15814051.945306573</v>
      </c>
      <c r="P122" s="881">
        <v>16939788.399279449</v>
      </c>
      <c r="Q122" s="180">
        <v>102473255.80804422</v>
      </c>
      <c r="R122" s="881">
        <v>36059505.931971036</v>
      </c>
      <c r="S122" s="881">
        <v>37093868.077460766</v>
      </c>
      <c r="T122" s="881">
        <v>36048884.699417002</v>
      </c>
      <c r="U122" s="881">
        <v>37361078.459771015</v>
      </c>
      <c r="V122" s="881">
        <v>35188508.58834742</v>
      </c>
      <c r="W122" s="881">
        <v>36982756.752446577</v>
      </c>
      <c r="X122" s="180">
        <v>218734602.50941384</v>
      </c>
      <c r="Y122" s="881"/>
      <c r="Z122" s="881"/>
      <c r="AA122" s="881"/>
      <c r="AB122" s="881"/>
      <c r="AC122" s="881"/>
      <c r="AD122" s="881"/>
      <c r="AE122" s="180">
        <v>0</v>
      </c>
      <c r="AF122" s="1389"/>
      <c r="AG122" s="972"/>
      <c r="AH122" s="972"/>
      <c r="AI122" s="972"/>
    </row>
    <row r="123" spans="1:35">
      <c r="A123" s="57"/>
      <c r="B123" s="48" t="s">
        <v>872</v>
      </c>
      <c r="C123" s="882" t="s">
        <v>277</v>
      </c>
      <c r="D123" s="881">
        <v>9239548.8230150007</v>
      </c>
      <c r="E123" s="881">
        <v>9270945.2155499998</v>
      </c>
      <c r="F123" s="881">
        <v>8761332.177453002</v>
      </c>
      <c r="G123" s="881">
        <v>10738757.761064</v>
      </c>
      <c r="H123" s="881">
        <v>10022990.952207001</v>
      </c>
      <c r="I123" s="881">
        <v>10558154.474566</v>
      </c>
      <c r="J123" s="180">
        <v>58591729.403855003</v>
      </c>
      <c r="K123" s="881">
        <v>2840713.7385020005</v>
      </c>
      <c r="L123" s="881">
        <v>2823849.6814750005</v>
      </c>
      <c r="M123" s="881">
        <v>2615096.3547939998</v>
      </c>
      <c r="N123" s="881">
        <v>3340855.9240239998</v>
      </c>
      <c r="O123" s="881">
        <v>2458810.218713</v>
      </c>
      <c r="P123" s="881">
        <v>2807333.4775929996</v>
      </c>
      <c r="Q123" s="180">
        <v>16886659.395101003</v>
      </c>
      <c r="R123" s="881">
        <v>6398835.0845130002</v>
      </c>
      <c r="S123" s="881">
        <v>6447095.5340749994</v>
      </c>
      <c r="T123" s="881">
        <v>6146235.8226590026</v>
      </c>
      <c r="U123" s="881">
        <v>7397901.8370400006</v>
      </c>
      <c r="V123" s="881">
        <v>7564180.7334940005</v>
      </c>
      <c r="W123" s="881">
        <v>7750820.9969730005</v>
      </c>
      <c r="X123" s="180">
        <v>41705070.008754</v>
      </c>
      <c r="Y123" s="881"/>
      <c r="Z123" s="881"/>
      <c r="AA123" s="881"/>
      <c r="AB123" s="881"/>
      <c r="AC123" s="881"/>
      <c r="AD123" s="881"/>
      <c r="AE123" s="180">
        <v>0</v>
      </c>
      <c r="AF123" s="1389"/>
      <c r="AG123" s="972"/>
      <c r="AH123" s="972"/>
      <c r="AI123" s="972"/>
    </row>
    <row r="124" spans="1:35">
      <c r="A124" s="57"/>
      <c r="B124" s="48"/>
      <c r="C124" s="887" t="s">
        <v>972</v>
      </c>
      <c r="D124" s="883">
        <v>9239548.8230150007</v>
      </c>
      <c r="E124" s="883">
        <v>9270945.2155499998</v>
      </c>
      <c r="F124" s="883">
        <v>8761332.177453002</v>
      </c>
      <c r="G124" s="883">
        <v>8655271.8243789673</v>
      </c>
      <c r="H124" s="883">
        <v>8009031.8666957952</v>
      </c>
      <c r="I124" s="883">
        <v>8459096.5586959831</v>
      </c>
      <c r="J124" s="180">
        <v>52395226.465788752</v>
      </c>
      <c r="K124" s="883">
        <v>2840713.7385020005</v>
      </c>
      <c r="L124" s="883">
        <v>2823849.6814750005</v>
      </c>
      <c r="M124" s="883">
        <v>2615096.3547939998</v>
      </c>
      <c r="N124" s="883">
        <v>2692677.9420759999</v>
      </c>
      <c r="O124" s="883">
        <v>1964751.7881370001</v>
      </c>
      <c r="P124" s="883">
        <v>2249209.8421769999</v>
      </c>
      <c r="Q124" s="180">
        <v>15186299.347161001</v>
      </c>
      <c r="R124" s="883">
        <v>6398835.0845130002</v>
      </c>
      <c r="S124" s="883">
        <v>6447095.5340749994</v>
      </c>
      <c r="T124" s="883">
        <v>6146235.8226590026</v>
      </c>
      <c r="U124" s="883">
        <v>5962593.8823029678</v>
      </c>
      <c r="V124" s="883">
        <v>6044280.0785587952</v>
      </c>
      <c r="W124" s="883">
        <v>6209886.7165189832</v>
      </c>
      <c r="X124" s="180">
        <v>37208927.118627749</v>
      </c>
      <c r="Y124" s="883"/>
      <c r="Z124" s="883"/>
      <c r="AA124" s="883"/>
      <c r="AB124" s="883"/>
      <c r="AC124" s="883"/>
      <c r="AD124" s="883"/>
      <c r="AE124" s="180">
        <v>0</v>
      </c>
      <c r="AF124" s="1389"/>
      <c r="AG124" s="972">
        <f t="shared" ref="AG124:AI126" si="231">$AG$14</f>
        <v>0.32590000000000002</v>
      </c>
      <c r="AH124" s="972">
        <f t="shared" si="231"/>
        <v>0.32590000000000002</v>
      </c>
      <c r="AI124" s="972">
        <f t="shared" si="231"/>
        <v>0.32590000000000002</v>
      </c>
    </row>
    <row r="125" spans="1:35">
      <c r="A125" s="57"/>
      <c r="B125" s="48"/>
      <c r="C125" s="887" t="s">
        <v>973</v>
      </c>
      <c r="D125" s="883">
        <v>0</v>
      </c>
      <c r="E125" s="883">
        <v>0</v>
      </c>
      <c r="F125" s="883">
        <v>0</v>
      </c>
      <c r="G125" s="883">
        <v>257821.11161780599</v>
      </c>
      <c r="H125" s="883">
        <v>259156.90072690661</v>
      </c>
      <c r="I125" s="883">
        <v>265506.36128035514</v>
      </c>
      <c r="J125" s="180">
        <v>782484.37362506776</v>
      </c>
      <c r="K125" s="883">
        <v>0</v>
      </c>
      <c r="L125" s="883">
        <v>0</v>
      </c>
      <c r="M125" s="883">
        <v>0</v>
      </c>
      <c r="N125" s="883">
        <v>80208.829293999996</v>
      </c>
      <c r="O125" s="883">
        <v>63575.597223999997</v>
      </c>
      <c r="P125" s="883">
        <v>70596.134801000007</v>
      </c>
      <c r="Q125" s="180">
        <v>214380.561319</v>
      </c>
      <c r="R125" s="883">
        <v>0</v>
      </c>
      <c r="S125" s="883">
        <v>0</v>
      </c>
      <c r="T125" s="883">
        <v>0</v>
      </c>
      <c r="U125" s="883">
        <v>177612.28232380599</v>
      </c>
      <c r="V125" s="883">
        <v>195581.30350290661</v>
      </c>
      <c r="W125" s="883">
        <v>194910.22647935513</v>
      </c>
      <c r="X125" s="180">
        <v>568103.81230606767</v>
      </c>
      <c r="Y125" s="883"/>
      <c r="Z125" s="883"/>
      <c r="AA125" s="883"/>
      <c r="AB125" s="883"/>
      <c r="AC125" s="883"/>
      <c r="AD125" s="883"/>
      <c r="AE125" s="180">
        <v>0</v>
      </c>
      <c r="AF125" s="1389"/>
      <c r="AG125" s="972">
        <f t="shared" si="231"/>
        <v>0.32590000000000002</v>
      </c>
      <c r="AH125" s="972">
        <f t="shared" si="231"/>
        <v>0.32590000000000002</v>
      </c>
      <c r="AI125" s="972">
        <f t="shared" si="231"/>
        <v>0.32590000000000002</v>
      </c>
    </row>
    <row r="126" spans="1:35">
      <c r="A126" s="57"/>
      <c r="B126" s="48"/>
      <c r="C126" s="887" t="s">
        <v>1010</v>
      </c>
      <c r="D126" s="883">
        <v>0</v>
      </c>
      <c r="E126" s="883">
        <v>0</v>
      </c>
      <c r="F126" s="883">
        <v>0</v>
      </c>
      <c r="G126" s="883">
        <v>357800.4981677024</v>
      </c>
      <c r="H126" s="883">
        <v>350500.64426559384</v>
      </c>
      <c r="I126" s="883">
        <v>358523.52317176893</v>
      </c>
      <c r="J126" s="180">
        <v>1066824.6656050652</v>
      </c>
      <c r="K126" s="883">
        <v>0</v>
      </c>
      <c r="L126" s="883">
        <v>0</v>
      </c>
      <c r="M126" s="883">
        <v>0</v>
      </c>
      <c r="N126" s="883">
        <v>111312.680714</v>
      </c>
      <c r="O126" s="883">
        <v>85983.771699999998</v>
      </c>
      <c r="P126" s="883">
        <v>95328.695136000009</v>
      </c>
      <c r="Q126" s="180">
        <v>292625.14754999999</v>
      </c>
      <c r="R126" s="883">
        <v>0</v>
      </c>
      <c r="S126" s="883">
        <v>0</v>
      </c>
      <c r="T126" s="883">
        <v>0</v>
      </c>
      <c r="U126" s="883">
        <v>246487.81745370239</v>
      </c>
      <c r="V126" s="883">
        <v>264516.87256559386</v>
      </c>
      <c r="W126" s="883">
        <v>263194.82803576894</v>
      </c>
      <c r="X126" s="180">
        <v>774199.51805506519</v>
      </c>
      <c r="Y126" s="883"/>
      <c r="Z126" s="883"/>
      <c r="AA126" s="883"/>
      <c r="AB126" s="883"/>
      <c r="AC126" s="883"/>
      <c r="AD126" s="883"/>
      <c r="AE126" s="180">
        <v>0</v>
      </c>
      <c r="AF126" s="1389"/>
      <c r="AG126" s="972">
        <f t="shared" si="231"/>
        <v>0.32590000000000002</v>
      </c>
      <c r="AH126" s="972">
        <f t="shared" si="231"/>
        <v>0.32590000000000002</v>
      </c>
      <c r="AI126" s="972">
        <f t="shared" si="231"/>
        <v>0.32590000000000002</v>
      </c>
    </row>
    <row r="127" spans="1:35">
      <c r="A127" s="57"/>
      <c r="B127" s="48"/>
      <c r="C127" s="887" t="s">
        <v>1256</v>
      </c>
      <c r="D127" s="883">
        <v>0</v>
      </c>
      <c r="E127" s="883">
        <v>0</v>
      </c>
      <c r="F127" s="883">
        <v>0</v>
      </c>
      <c r="G127" s="883">
        <v>1467864.326899525</v>
      </c>
      <c r="H127" s="883">
        <v>1404301.5405187043</v>
      </c>
      <c r="I127" s="883">
        <v>1475028.0314178909</v>
      </c>
      <c r="J127" s="180">
        <v>4347193.898836121</v>
      </c>
      <c r="K127" s="883">
        <v>0</v>
      </c>
      <c r="L127" s="883">
        <v>0</v>
      </c>
      <c r="M127" s="883">
        <v>0</v>
      </c>
      <c r="N127" s="883">
        <v>456656.47193999996</v>
      </c>
      <c r="O127" s="883">
        <v>344499.06165200006</v>
      </c>
      <c r="P127" s="883">
        <v>392198.80547900003</v>
      </c>
      <c r="Q127" s="180">
        <v>1193354.339071</v>
      </c>
      <c r="R127" s="883">
        <v>0</v>
      </c>
      <c r="S127" s="883">
        <v>0</v>
      </c>
      <c r="T127" s="883">
        <v>0</v>
      </c>
      <c r="U127" s="883">
        <v>1011207.8549595251</v>
      </c>
      <c r="V127" s="883">
        <v>1059802.4788667043</v>
      </c>
      <c r="W127" s="883">
        <v>1082829.2259388908</v>
      </c>
      <c r="X127" s="180">
        <v>3153839.55976512</v>
      </c>
      <c r="Y127" s="883"/>
      <c r="Z127" s="883"/>
      <c r="AA127" s="883"/>
      <c r="AB127" s="883"/>
      <c r="AC127" s="883"/>
      <c r="AD127" s="883"/>
      <c r="AE127" s="180"/>
      <c r="AF127" s="1389"/>
      <c r="AG127" s="972"/>
      <c r="AH127" s="972"/>
      <c r="AI127" s="972"/>
    </row>
    <row r="128" spans="1:35">
      <c r="A128" s="57"/>
      <c r="B128" s="48" t="s">
        <v>873</v>
      </c>
      <c r="C128" s="882" t="s">
        <v>276</v>
      </c>
      <c r="D128" s="881">
        <v>44000401.791215003</v>
      </c>
      <c r="E128" s="881">
        <v>45463243.64839901</v>
      </c>
      <c r="F128" s="881">
        <v>44359366.380000003</v>
      </c>
      <c r="G128" s="881">
        <v>44449156.835382015</v>
      </c>
      <c r="H128" s="881">
        <v>40979569.58144699</v>
      </c>
      <c r="I128" s="881">
        <v>43364390.677160025</v>
      </c>
      <c r="J128" s="180">
        <v>262616128.91360307</v>
      </c>
      <c r="K128" s="881">
        <v>14339730.94375697</v>
      </c>
      <c r="L128" s="881">
        <v>14816471.105013238</v>
      </c>
      <c r="M128" s="881">
        <v>14456717.503242003</v>
      </c>
      <c r="N128" s="881">
        <v>14485980.212651001</v>
      </c>
      <c r="O128" s="881">
        <v>13355241.726593573</v>
      </c>
      <c r="P128" s="881">
        <v>14132454.92168645</v>
      </c>
      <c r="Q128" s="180">
        <v>85586596.412943244</v>
      </c>
      <c r="R128" s="881">
        <v>29660670.847458035</v>
      </c>
      <c r="S128" s="881">
        <v>30646772.543385774</v>
      </c>
      <c r="T128" s="881">
        <v>29902648.876758002</v>
      </c>
      <c r="U128" s="881">
        <v>29963176.622731015</v>
      </c>
      <c r="V128" s="881">
        <v>27624327.854853418</v>
      </c>
      <c r="W128" s="881">
        <v>29231935.755473576</v>
      </c>
      <c r="X128" s="180">
        <v>177029532.50065982</v>
      </c>
      <c r="Y128" s="881"/>
      <c r="Z128" s="881"/>
      <c r="AA128" s="881"/>
      <c r="AB128" s="881"/>
      <c r="AC128" s="881"/>
      <c r="AD128" s="881"/>
      <c r="AE128" s="180">
        <v>0</v>
      </c>
      <c r="AF128" s="1389"/>
      <c r="AG128" s="972"/>
      <c r="AH128" s="972"/>
      <c r="AI128" s="972"/>
    </row>
    <row r="129" spans="1:35">
      <c r="A129" s="57"/>
      <c r="B129" s="48"/>
      <c r="C129" s="887" t="s">
        <v>969</v>
      </c>
      <c r="D129" s="883">
        <v>0</v>
      </c>
      <c r="E129" s="883">
        <v>0</v>
      </c>
      <c r="F129" s="883">
        <v>0</v>
      </c>
      <c r="G129" s="883">
        <v>0</v>
      </c>
      <c r="H129" s="883">
        <v>0</v>
      </c>
      <c r="I129" s="883">
        <v>0</v>
      </c>
      <c r="J129" s="180">
        <v>0</v>
      </c>
      <c r="K129" s="883">
        <v>0</v>
      </c>
      <c r="L129" s="883">
        <v>0</v>
      </c>
      <c r="M129" s="883">
        <v>0</v>
      </c>
      <c r="N129" s="883">
        <v>0</v>
      </c>
      <c r="O129" s="883">
        <v>0</v>
      </c>
      <c r="P129" s="883">
        <v>0</v>
      </c>
      <c r="Q129" s="180">
        <v>0</v>
      </c>
      <c r="R129" s="883">
        <v>0</v>
      </c>
      <c r="S129" s="883">
        <v>0</v>
      </c>
      <c r="T129" s="883">
        <v>0</v>
      </c>
      <c r="U129" s="883">
        <v>0</v>
      </c>
      <c r="V129" s="883">
        <v>0</v>
      </c>
      <c r="W129" s="883">
        <v>0</v>
      </c>
      <c r="X129" s="180">
        <v>0</v>
      </c>
      <c r="Y129" s="883"/>
      <c r="Z129" s="883"/>
      <c r="AA129" s="883"/>
      <c r="AB129" s="883"/>
      <c r="AC129" s="883"/>
      <c r="AD129" s="883"/>
      <c r="AE129" s="180">
        <v>0</v>
      </c>
      <c r="AF129" s="1389"/>
      <c r="AG129" s="972">
        <f>$AG$14</f>
        <v>0.32590000000000002</v>
      </c>
      <c r="AH129" s="972">
        <f>$AG$14</f>
        <v>0.32590000000000002</v>
      </c>
      <c r="AI129" s="972">
        <f>$AG$14</f>
        <v>0.32590000000000002</v>
      </c>
    </row>
    <row r="130" spans="1:35">
      <c r="A130" s="57"/>
      <c r="B130" s="48"/>
      <c r="C130" s="887" t="s">
        <v>970</v>
      </c>
      <c r="D130" s="883">
        <v>44000401.791215003</v>
      </c>
      <c r="E130" s="883">
        <v>45463243.64839901</v>
      </c>
      <c r="F130" s="883">
        <v>44359366.380000003</v>
      </c>
      <c r="G130" s="883">
        <v>32740030.921331018</v>
      </c>
      <c r="H130" s="883">
        <v>29724602.137603987</v>
      </c>
      <c r="I130" s="883">
        <v>31400096.14544902</v>
      </c>
      <c r="J130" s="180">
        <v>227687741.02399805</v>
      </c>
      <c r="K130" s="883">
        <v>14339730.94375697</v>
      </c>
      <c r="L130" s="883">
        <v>14816471.105013238</v>
      </c>
      <c r="M130" s="883">
        <v>14456717.503242003</v>
      </c>
      <c r="N130" s="883">
        <v>10669976.077261779</v>
      </c>
      <c r="O130" s="883">
        <v>9687247.8366451394</v>
      </c>
      <c r="P130" s="883">
        <v>10233291.333801836</v>
      </c>
      <c r="Q130" s="180">
        <v>74203434.799720973</v>
      </c>
      <c r="R130" s="883">
        <v>29660670.847458035</v>
      </c>
      <c r="S130" s="883">
        <v>30646772.543385774</v>
      </c>
      <c r="T130" s="883">
        <v>29902648.876758002</v>
      </c>
      <c r="U130" s="883">
        <v>22070054.844069239</v>
      </c>
      <c r="V130" s="883">
        <v>20037354.300958849</v>
      </c>
      <c r="W130" s="883">
        <v>21166804.811647184</v>
      </c>
      <c r="X130" s="180">
        <v>153484306.22427708</v>
      </c>
      <c r="Y130" s="883"/>
      <c r="Z130" s="883"/>
      <c r="AA130" s="883"/>
      <c r="AB130" s="883"/>
      <c r="AC130" s="883"/>
      <c r="AD130" s="883"/>
      <c r="AE130" s="180">
        <v>0</v>
      </c>
      <c r="AF130" s="1389"/>
      <c r="AG130" s="972">
        <f t="shared" ref="AG130:AI133" si="232">AG129</f>
        <v>0.32590000000000002</v>
      </c>
      <c r="AH130" s="972">
        <f t="shared" si="232"/>
        <v>0.32590000000000002</v>
      </c>
      <c r="AI130" s="972">
        <f t="shared" si="232"/>
        <v>0.32590000000000002</v>
      </c>
    </row>
    <row r="131" spans="1:35">
      <c r="A131" s="57"/>
      <c r="B131" s="48"/>
      <c r="C131" s="887" t="s">
        <v>1011</v>
      </c>
      <c r="D131" s="883">
        <v>0</v>
      </c>
      <c r="E131" s="883">
        <v>0</v>
      </c>
      <c r="F131" s="883">
        <v>0</v>
      </c>
      <c r="G131" s="883">
        <v>3248121.8753140005</v>
      </c>
      <c r="H131" s="883">
        <v>3554598.1338820001</v>
      </c>
      <c r="I131" s="883">
        <v>3686536.7788360007</v>
      </c>
      <c r="J131" s="180">
        <v>10489256.788032001</v>
      </c>
      <c r="K131" s="883">
        <v>0</v>
      </c>
      <c r="L131" s="883">
        <v>0</v>
      </c>
      <c r="M131" s="883">
        <v>0</v>
      </c>
      <c r="N131" s="883">
        <v>1058562.9191648329</v>
      </c>
      <c r="O131" s="883">
        <v>1158443.5318321439</v>
      </c>
      <c r="P131" s="883">
        <v>1201442.3362226528</v>
      </c>
      <c r="Q131" s="180">
        <v>3418448.7872196296</v>
      </c>
      <c r="R131" s="883">
        <v>0</v>
      </c>
      <c r="S131" s="883">
        <v>0</v>
      </c>
      <c r="T131" s="883">
        <v>0</v>
      </c>
      <c r="U131" s="883">
        <v>2189558.9561491674</v>
      </c>
      <c r="V131" s="883">
        <v>2396154.6020498564</v>
      </c>
      <c r="W131" s="883">
        <v>2485094.4426133479</v>
      </c>
      <c r="X131" s="180">
        <v>7070808.0008123722</v>
      </c>
      <c r="Y131" s="883"/>
      <c r="Z131" s="883"/>
      <c r="AA131" s="883"/>
      <c r="AB131" s="883"/>
      <c r="AC131" s="883"/>
      <c r="AD131" s="883"/>
      <c r="AE131" s="180">
        <v>0</v>
      </c>
      <c r="AF131" s="1389"/>
      <c r="AG131" s="972">
        <f t="shared" si="232"/>
        <v>0.32590000000000002</v>
      </c>
      <c r="AH131" s="972">
        <f t="shared" si="232"/>
        <v>0.32590000000000002</v>
      </c>
      <c r="AI131" s="972">
        <f t="shared" si="232"/>
        <v>0.32590000000000002</v>
      </c>
    </row>
    <row r="132" spans="1:35">
      <c r="A132" s="57"/>
      <c r="B132" s="48"/>
      <c r="C132" s="887" t="s">
        <v>1012</v>
      </c>
      <c r="D132" s="883">
        <v>0</v>
      </c>
      <c r="E132" s="883">
        <v>0</v>
      </c>
      <c r="F132" s="883">
        <v>0</v>
      </c>
      <c r="G132" s="883">
        <v>1744229.0083510003</v>
      </c>
      <c r="H132" s="883">
        <v>1792611.185785</v>
      </c>
      <c r="I132" s="883">
        <v>1869071.375914</v>
      </c>
      <c r="J132" s="180">
        <v>5405911.5700500002</v>
      </c>
      <c r="K132" s="883">
        <v>0</v>
      </c>
      <c r="L132" s="883">
        <v>0</v>
      </c>
      <c r="M132" s="883">
        <v>0</v>
      </c>
      <c r="N132" s="883">
        <v>568444.23382159101</v>
      </c>
      <c r="O132" s="883">
        <v>584211.98544733145</v>
      </c>
      <c r="P132" s="883">
        <v>609130.36141037254</v>
      </c>
      <c r="Q132" s="180">
        <v>1761786.5806792951</v>
      </c>
      <c r="R132" s="883">
        <v>0</v>
      </c>
      <c r="S132" s="883">
        <v>0</v>
      </c>
      <c r="T132" s="883">
        <v>0</v>
      </c>
      <c r="U132" s="883">
        <v>1175784.7745294091</v>
      </c>
      <c r="V132" s="883">
        <v>1208399.2003376684</v>
      </c>
      <c r="W132" s="883">
        <v>1259941.0145036275</v>
      </c>
      <c r="X132" s="180">
        <v>3644124.9893707051</v>
      </c>
      <c r="Y132" s="883"/>
      <c r="Z132" s="883"/>
      <c r="AA132" s="883"/>
      <c r="AB132" s="883"/>
      <c r="AC132" s="883"/>
      <c r="AD132" s="883"/>
      <c r="AE132" s="180">
        <v>0</v>
      </c>
      <c r="AF132" s="1389"/>
      <c r="AG132" s="972">
        <f t="shared" si="232"/>
        <v>0.32590000000000002</v>
      </c>
      <c r="AH132" s="972">
        <f t="shared" si="232"/>
        <v>0.32590000000000002</v>
      </c>
      <c r="AI132" s="972">
        <f t="shared" si="232"/>
        <v>0.32590000000000002</v>
      </c>
    </row>
    <row r="133" spans="1:35">
      <c r="A133" s="57"/>
      <c r="B133" s="48"/>
      <c r="C133" s="887" t="s">
        <v>1108</v>
      </c>
      <c r="D133" s="883">
        <v>0</v>
      </c>
      <c r="E133" s="883">
        <v>0</v>
      </c>
      <c r="F133" s="883">
        <v>0</v>
      </c>
      <c r="G133" s="883">
        <v>6716775.0303859999</v>
      </c>
      <c r="H133" s="883">
        <v>5907758.1241759993</v>
      </c>
      <c r="I133" s="883">
        <v>6408686.3769610012</v>
      </c>
      <c r="J133" s="180">
        <v>19033219.531523</v>
      </c>
      <c r="K133" s="883">
        <v>0</v>
      </c>
      <c r="L133" s="883">
        <v>0</v>
      </c>
      <c r="M133" s="883">
        <v>0</v>
      </c>
      <c r="N133" s="883">
        <v>2188996.9824027973</v>
      </c>
      <c r="O133" s="883">
        <v>1925338.3726689583</v>
      </c>
      <c r="P133" s="883">
        <v>2088590.8902515902</v>
      </c>
      <c r="Q133" s="180">
        <v>6202926.245323346</v>
      </c>
      <c r="R133" s="883">
        <v>0</v>
      </c>
      <c r="S133" s="883">
        <v>0</v>
      </c>
      <c r="T133" s="883">
        <v>0</v>
      </c>
      <c r="U133" s="883">
        <v>4527778.0479832031</v>
      </c>
      <c r="V133" s="883">
        <v>3982419.751507041</v>
      </c>
      <c r="W133" s="883">
        <v>4320095.4867094113</v>
      </c>
      <c r="X133" s="180">
        <v>12830293.286199655</v>
      </c>
      <c r="Y133" s="883"/>
      <c r="Z133" s="883"/>
      <c r="AA133" s="883"/>
      <c r="AB133" s="883"/>
      <c r="AC133" s="883"/>
      <c r="AD133" s="883"/>
      <c r="AE133" s="180">
        <v>0</v>
      </c>
      <c r="AF133" s="1389"/>
      <c r="AG133" s="972">
        <f t="shared" si="232"/>
        <v>0.32590000000000002</v>
      </c>
      <c r="AH133" s="972">
        <f t="shared" si="232"/>
        <v>0.32590000000000002</v>
      </c>
      <c r="AI133" s="972">
        <f t="shared" si="232"/>
        <v>0.32590000000000002</v>
      </c>
    </row>
    <row r="134" spans="1:35">
      <c r="A134" s="57"/>
      <c r="B134" s="48"/>
      <c r="C134" s="887"/>
      <c r="D134" s="883"/>
      <c r="E134" s="883"/>
      <c r="F134" s="883"/>
      <c r="G134" s="883"/>
      <c r="H134" s="883"/>
      <c r="I134" s="883"/>
      <c r="J134" s="180">
        <v>0</v>
      </c>
      <c r="K134" s="883"/>
      <c r="L134" s="883"/>
      <c r="M134" s="883"/>
      <c r="N134" s="883"/>
      <c r="O134" s="883"/>
      <c r="P134" s="883"/>
      <c r="Q134" s="180">
        <v>0</v>
      </c>
      <c r="R134" s="883">
        <v>0</v>
      </c>
      <c r="S134" s="883">
        <v>0</v>
      </c>
      <c r="T134" s="883">
        <v>0</v>
      </c>
      <c r="U134" s="883">
        <v>0</v>
      </c>
      <c r="V134" s="883">
        <v>0</v>
      </c>
      <c r="W134" s="883">
        <v>0</v>
      </c>
      <c r="X134" s="180">
        <v>0</v>
      </c>
      <c r="Y134" s="883"/>
      <c r="Z134" s="883"/>
      <c r="AA134" s="883"/>
      <c r="AB134" s="883"/>
      <c r="AC134" s="883"/>
      <c r="AD134" s="883"/>
      <c r="AE134" s="180">
        <v>0</v>
      </c>
      <c r="AF134" s="1389"/>
      <c r="AG134" s="972"/>
      <c r="AH134" s="972"/>
      <c r="AI134" s="972"/>
    </row>
    <row r="135" spans="1:35" ht="15.75">
      <c r="A135" s="57"/>
      <c r="B135" s="48"/>
      <c r="C135" s="965" t="s">
        <v>443</v>
      </c>
      <c r="D135" s="881">
        <v>9016232.1934639998</v>
      </c>
      <c r="E135" s="881">
        <v>8922927.4656320009</v>
      </c>
      <c r="F135" s="881">
        <v>8568412.4167979956</v>
      </c>
      <c r="G135" s="881">
        <v>8928003.6225630008</v>
      </c>
      <c r="H135" s="881">
        <v>8386892.0986400014</v>
      </c>
      <c r="I135" s="881">
        <v>8965708.736360997</v>
      </c>
      <c r="J135" s="180">
        <v>52788176.533458002</v>
      </c>
      <c r="K135" s="881">
        <v>3731902.8937250893</v>
      </c>
      <c r="L135" s="881">
        <v>3692395.5214186036</v>
      </c>
      <c r="M135" s="881">
        <v>3543197.6528461128</v>
      </c>
      <c r="N135" s="881">
        <v>3375293.620484699</v>
      </c>
      <c r="O135" s="881">
        <v>3108623.9908701438</v>
      </c>
      <c r="P135" s="881">
        <v>3327917.1528189601</v>
      </c>
      <c r="Q135" s="180">
        <v>20779330.832163606</v>
      </c>
      <c r="R135" s="881">
        <v>5284329.29973891</v>
      </c>
      <c r="S135" s="881">
        <v>5230531.9442133978</v>
      </c>
      <c r="T135" s="881">
        <v>5025214.7639518827</v>
      </c>
      <c r="U135" s="881">
        <v>5552710.0020783022</v>
      </c>
      <c r="V135" s="881">
        <v>5278268.1077698581</v>
      </c>
      <c r="W135" s="881">
        <v>5637791.5835420368</v>
      </c>
      <c r="X135" s="180">
        <v>32008845.701294389</v>
      </c>
      <c r="Y135" s="881"/>
      <c r="Z135" s="881"/>
      <c r="AA135" s="881"/>
      <c r="AB135" s="881"/>
      <c r="AC135" s="881"/>
      <c r="AD135" s="881"/>
      <c r="AE135" s="180">
        <v>0</v>
      </c>
      <c r="AF135" s="1389"/>
      <c r="AG135" s="972"/>
      <c r="AH135" s="972"/>
      <c r="AI135" s="972"/>
    </row>
    <row r="136" spans="1:35">
      <c r="A136" s="57"/>
      <c r="B136" s="48" t="s">
        <v>874</v>
      </c>
      <c r="C136" s="882" t="s">
        <v>275</v>
      </c>
      <c r="D136" s="881">
        <v>285484.75855500007</v>
      </c>
      <c r="E136" s="881">
        <v>290452.32217400003</v>
      </c>
      <c r="F136" s="881">
        <v>287050.214767</v>
      </c>
      <c r="G136" s="881">
        <v>298260.66081299999</v>
      </c>
      <c r="H136" s="881">
        <v>277291.31476099999</v>
      </c>
      <c r="I136" s="881">
        <v>298924.25510199997</v>
      </c>
      <c r="J136" s="180">
        <v>1737463.526172</v>
      </c>
      <c r="K136" s="881">
        <v>94673.512342000016</v>
      </c>
      <c r="L136" s="881">
        <v>96106.376654000007</v>
      </c>
      <c r="M136" s="881">
        <v>93182.159480000002</v>
      </c>
      <c r="N136" s="881">
        <v>102988.67638599999</v>
      </c>
      <c r="O136" s="881">
        <v>73536.067920999994</v>
      </c>
      <c r="P136" s="881">
        <v>87021.918896999996</v>
      </c>
      <c r="Q136" s="180">
        <v>547508.71168000007</v>
      </c>
      <c r="R136" s="881">
        <v>190811.24621300003</v>
      </c>
      <c r="S136" s="881">
        <v>194345.94552000001</v>
      </c>
      <c r="T136" s="881">
        <v>193868.055287</v>
      </c>
      <c r="U136" s="881">
        <v>195271.98442699999</v>
      </c>
      <c r="V136" s="881">
        <v>203755.24683999998</v>
      </c>
      <c r="W136" s="881">
        <v>211902.33620499997</v>
      </c>
      <c r="X136" s="180">
        <v>1189954.814492</v>
      </c>
      <c r="Y136" s="881"/>
      <c r="Z136" s="881"/>
      <c r="AA136" s="881"/>
      <c r="AB136" s="881"/>
      <c r="AC136" s="881"/>
      <c r="AD136" s="881"/>
      <c r="AE136" s="180">
        <v>0</v>
      </c>
      <c r="AF136" s="1389"/>
      <c r="AG136" s="972"/>
      <c r="AH136" s="972"/>
      <c r="AI136" s="972"/>
    </row>
    <row r="137" spans="1:35">
      <c r="A137" s="57"/>
      <c r="B137" s="48"/>
      <c r="C137" s="887" t="s">
        <v>972</v>
      </c>
      <c r="D137" s="883">
        <v>285484.75855500007</v>
      </c>
      <c r="E137" s="883">
        <v>290452.32217400003</v>
      </c>
      <c r="F137" s="883">
        <v>287050.214767</v>
      </c>
      <c r="G137" s="883">
        <v>298260.66081299999</v>
      </c>
      <c r="H137" s="883">
        <v>277291.31476099999</v>
      </c>
      <c r="I137" s="883">
        <v>298924.25510199997</v>
      </c>
      <c r="J137" s="180">
        <v>1737463.526172</v>
      </c>
      <c r="K137" s="883">
        <v>94673.512342000016</v>
      </c>
      <c r="L137" s="883">
        <v>96106.376654000007</v>
      </c>
      <c r="M137" s="883">
        <v>93182.159480000002</v>
      </c>
      <c r="N137" s="883">
        <v>102988.67638599999</v>
      </c>
      <c r="O137" s="883">
        <v>73536.067920999994</v>
      </c>
      <c r="P137" s="883">
        <v>87021.918896999996</v>
      </c>
      <c r="Q137" s="180">
        <v>547508.71168000007</v>
      </c>
      <c r="R137" s="883">
        <v>190811.24621300003</v>
      </c>
      <c r="S137" s="883">
        <v>194345.94552000001</v>
      </c>
      <c r="T137" s="883">
        <v>193868.055287</v>
      </c>
      <c r="U137" s="883">
        <v>195271.98442699999</v>
      </c>
      <c r="V137" s="883">
        <v>203755.24683999998</v>
      </c>
      <c r="W137" s="883">
        <v>211902.33620499997</v>
      </c>
      <c r="X137" s="180">
        <v>1189954.814492</v>
      </c>
      <c r="Y137" s="883"/>
      <c r="Z137" s="883"/>
      <c r="AA137" s="883"/>
      <c r="AB137" s="883"/>
      <c r="AC137" s="883"/>
      <c r="AD137" s="883"/>
      <c r="AE137" s="180">
        <v>0</v>
      </c>
      <c r="AF137" s="1389"/>
      <c r="AG137" s="972">
        <f>$AG$27</f>
        <v>0.41660000000000003</v>
      </c>
      <c r="AH137" s="972">
        <f>$AG$27</f>
        <v>0.41660000000000003</v>
      </c>
      <c r="AI137" s="972">
        <f>$AG$27</f>
        <v>0.41660000000000003</v>
      </c>
    </row>
    <row r="138" spans="1:35">
      <c r="A138" s="57"/>
      <c r="B138" s="48"/>
      <c r="C138" s="887" t="s">
        <v>1255</v>
      </c>
      <c r="D138" s="883">
        <v>0</v>
      </c>
      <c r="E138" s="883">
        <v>0</v>
      </c>
      <c r="F138" s="883">
        <v>0</v>
      </c>
      <c r="G138" s="883">
        <v>0</v>
      </c>
      <c r="H138" s="883">
        <v>0</v>
      </c>
      <c r="I138" s="883">
        <v>0</v>
      </c>
      <c r="J138" s="180"/>
      <c r="K138" s="883">
        <v>0</v>
      </c>
      <c r="L138" s="883">
        <v>0</v>
      </c>
      <c r="M138" s="883">
        <v>0</v>
      </c>
      <c r="N138" s="883">
        <v>0</v>
      </c>
      <c r="O138" s="883">
        <v>0</v>
      </c>
      <c r="P138" s="883">
        <v>0</v>
      </c>
      <c r="Q138" s="180"/>
      <c r="R138" s="883"/>
      <c r="S138" s="883"/>
      <c r="T138" s="883"/>
      <c r="U138" s="883"/>
      <c r="V138" s="883"/>
      <c r="W138" s="883"/>
      <c r="X138" s="180"/>
      <c r="Y138" s="883"/>
      <c r="Z138" s="883"/>
      <c r="AA138" s="883"/>
      <c r="AB138" s="883"/>
      <c r="AC138" s="883"/>
      <c r="AD138" s="883"/>
      <c r="AE138" s="180"/>
      <c r="AF138" s="1389"/>
      <c r="AG138" s="972"/>
      <c r="AH138" s="972"/>
      <c r="AI138" s="972"/>
    </row>
    <row r="139" spans="1:35">
      <c r="A139" s="57"/>
      <c r="B139" s="48" t="s">
        <v>875</v>
      </c>
      <c r="C139" s="882" t="s">
        <v>274</v>
      </c>
      <c r="D139" s="881">
        <v>8730747.4349089991</v>
      </c>
      <c r="E139" s="881">
        <v>8632475.1434580013</v>
      </c>
      <c r="F139" s="881">
        <v>8281362.2020309949</v>
      </c>
      <c r="G139" s="881">
        <v>8629742.9617500007</v>
      </c>
      <c r="H139" s="881">
        <v>8109600.7838789998</v>
      </c>
      <c r="I139" s="881">
        <v>8666784.4812589977</v>
      </c>
      <c r="J139" s="180">
        <v>51050713.00728599</v>
      </c>
      <c r="K139" s="881">
        <v>3637229.3813830893</v>
      </c>
      <c r="L139" s="881">
        <v>3596289.1447646036</v>
      </c>
      <c r="M139" s="881">
        <v>3450015.4933661129</v>
      </c>
      <c r="N139" s="881">
        <v>3272304.9440986989</v>
      </c>
      <c r="O139" s="881">
        <v>3035087.9229491437</v>
      </c>
      <c r="P139" s="881">
        <v>3240895.23392196</v>
      </c>
      <c r="Q139" s="180">
        <v>20231822.120483607</v>
      </c>
      <c r="R139" s="881">
        <v>5093518.0535259098</v>
      </c>
      <c r="S139" s="881">
        <v>5036185.9986933973</v>
      </c>
      <c r="T139" s="881">
        <v>4831346.708664882</v>
      </c>
      <c r="U139" s="881">
        <v>5357438.0176513018</v>
      </c>
      <c r="V139" s="881">
        <v>5074512.8609298561</v>
      </c>
      <c r="W139" s="881">
        <v>5425889.2473370377</v>
      </c>
      <c r="X139" s="180">
        <v>30818890.886802383</v>
      </c>
      <c r="Y139" s="881"/>
      <c r="Z139" s="881"/>
      <c r="AA139" s="881"/>
      <c r="AB139" s="881"/>
      <c r="AC139" s="881"/>
      <c r="AD139" s="881"/>
      <c r="AE139" s="180">
        <v>0</v>
      </c>
      <c r="AF139" s="1389"/>
      <c r="AG139" s="972"/>
      <c r="AH139" s="972"/>
      <c r="AI139" s="972"/>
    </row>
    <row r="140" spans="1:35">
      <c r="A140" s="57"/>
      <c r="B140" s="58"/>
      <c r="C140" s="887" t="s">
        <v>969</v>
      </c>
      <c r="D140" s="883">
        <v>92520.17199100001</v>
      </c>
      <c r="E140" s="883">
        <v>89467.39536699999</v>
      </c>
      <c r="F140" s="883">
        <v>86510.114987000008</v>
      </c>
      <c r="G140" s="883">
        <v>89771.676216000007</v>
      </c>
      <c r="H140" s="883">
        <v>83283.074516999986</v>
      </c>
      <c r="I140" s="883">
        <v>89942.928548000011</v>
      </c>
      <c r="J140" s="180">
        <v>531495.36162600003</v>
      </c>
      <c r="K140" s="883">
        <v>38543.903651450608</v>
      </c>
      <c r="L140" s="883">
        <v>37272.116909892196</v>
      </c>
      <c r="M140" s="883">
        <v>36040.113903584206</v>
      </c>
      <c r="N140" s="883">
        <v>37398.880311585599</v>
      </c>
      <c r="O140" s="883">
        <v>34695.728843782199</v>
      </c>
      <c r="P140" s="883">
        <v>37470.224033096812</v>
      </c>
      <c r="Q140" s="180">
        <v>221420.96765339159</v>
      </c>
      <c r="R140" s="883">
        <v>53976.268339549402</v>
      </c>
      <c r="S140" s="883">
        <v>52195.278457107794</v>
      </c>
      <c r="T140" s="883">
        <v>50470.001083415802</v>
      </c>
      <c r="U140" s="883">
        <v>52372.795904414408</v>
      </c>
      <c r="V140" s="883">
        <v>48587.345673217787</v>
      </c>
      <c r="W140" s="883">
        <v>52472.704514903198</v>
      </c>
      <c r="X140" s="180">
        <v>310074.39397260844</v>
      </c>
      <c r="Y140" s="883"/>
      <c r="Z140" s="883"/>
      <c r="AA140" s="883"/>
      <c r="AB140" s="883"/>
      <c r="AC140" s="883"/>
      <c r="AD140" s="883"/>
      <c r="AE140" s="180">
        <v>0</v>
      </c>
      <c r="AF140" s="1389"/>
      <c r="AG140" s="972">
        <f>$AG$27</f>
        <v>0.41660000000000003</v>
      </c>
      <c r="AH140" s="972">
        <f>$AG$27</f>
        <v>0.41660000000000003</v>
      </c>
      <c r="AI140" s="972">
        <f>$AG$27</f>
        <v>0.41660000000000003</v>
      </c>
    </row>
    <row r="141" spans="1:35">
      <c r="A141" s="57"/>
      <c r="B141" s="58"/>
      <c r="C141" s="887" t="s">
        <v>970</v>
      </c>
      <c r="D141" s="883">
        <v>8638227.2629179992</v>
      </c>
      <c r="E141" s="883">
        <v>8543007.7480910011</v>
      </c>
      <c r="F141" s="883">
        <v>8194852.087043995</v>
      </c>
      <c r="G141" s="883">
        <v>6677276.9043299994</v>
      </c>
      <c r="H141" s="883">
        <v>6051402.8182160007</v>
      </c>
      <c r="I141" s="883">
        <v>6506421.9804229978</v>
      </c>
      <c r="J141" s="180">
        <v>44611188.801021993</v>
      </c>
      <c r="K141" s="883">
        <v>3598685.4777316386</v>
      </c>
      <c r="L141" s="883">
        <v>3559017.0278547113</v>
      </c>
      <c r="M141" s="883">
        <v>3413975.3794625285</v>
      </c>
      <c r="N141" s="883">
        <v>2781753.558343878</v>
      </c>
      <c r="O141" s="883">
        <v>2521014.414068786</v>
      </c>
      <c r="P141" s="883">
        <v>2710575.3970442209</v>
      </c>
      <c r="Q141" s="180">
        <v>18585021.254505765</v>
      </c>
      <c r="R141" s="883">
        <v>5039541.7851863606</v>
      </c>
      <c r="S141" s="883">
        <v>4983990.7202362902</v>
      </c>
      <c r="T141" s="883">
        <v>4780876.7075814661</v>
      </c>
      <c r="U141" s="883">
        <v>3895523.3459861213</v>
      </c>
      <c r="V141" s="883">
        <v>3530388.4041472147</v>
      </c>
      <c r="W141" s="883">
        <v>3795846.5833787769</v>
      </c>
      <c r="X141" s="180">
        <v>26026167.546516232</v>
      </c>
      <c r="Y141" s="883"/>
      <c r="Z141" s="883"/>
      <c r="AA141" s="883"/>
      <c r="AB141" s="883"/>
      <c r="AC141" s="883"/>
      <c r="AD141" s="883"/>
      <c r="AE141" s="180">
        <v>0</v>
      </c>
      <c r="AF141" s="1389"/>
      <c r="AG141" s="972">
        <f t="shared" ref="AG141:AI143" si="233">AG28</f>
        <v>0.41660000000000003</v>
      </c>
      <c r="AH141" s="972">
        <f t="shared" si="233"/>
        <v>0.24340000000000001</v>
      </c>
      <c r="AI141" s="972">
        <f t="shared" si="233"/>
        <v>0.33999999999999997</v>
      </c>
    </row>
    <row r="142" spans="1:35">
      <c r="A142" s="57"/>
      <c r="B142" s="58"/>
      <c r="C142" s="887" t="s">
        <v>1011</v>
      </c>
      <c r="D142" s="883">
        <v>0</v>
      </c>
      <c r="E142" s="883">
        <v>0</v>
      </c>
      <c r="F142" s="883">
        <v>0</v>
      </c>
      <c r="G142" s="883">
        <v>108642.99920000001</v>
      </c>
      <c r="H142" s="883">
        <v>108674.601351</v>
      </c>
      <c r="I142" s="883">
        <v>110412.426312</v>
      </c>
      <c r="J142" s="180">
        <v>327730.02686300001</v>
      </c>
      <c r="K142" s="883">
        <v>0</v>
      </c>
      <c r="L142" s="883">
        <v>0</v>
      </c>
      <c r="M142" s="883">
        <v>0</v>
      </c>
      <c r="N142" s="883">
        <v>45260.673466720007</v>
      </c>
      <c r="O142" s="883">
        <v>45273.838922826602</v>
      </c>
      <c r="P142" s="883">
        <v>45997.816801579196</v>
      </c>
      <c r="Q142" s="180">
        <v>136532.32919112581</v>
      </c>
      <c r="R142" s="883">
        <v>0</v>
      </c>
      <c r="S142" s="883">
        <v>0</v>
      </c>
      <c r="T142" s="883">
        <v>0</v>
      </c>
      <c r="U142" s="883">
        <v>63382.325733279999</v>
      </c>
      <c r="V142" s="883">
        <v>63400.762428173402</v>
      </c>
      <c r="W142" s="883">
        <v>64414.6095104208</v>
      </c>
      <c r="X142" s="180">
        <v>191197.69767187419</v>
      </c>
      <c r="Y142" s="883"/>
      <c r="Z142" s="883"/>
      <c r="AA142" s="883"/>
      <c r="AB142" s="883"/>
      <c r="AC142" s="883"/>
      <c r="AD142" s="883"/>
      <c r="AE142" s="180">
        <v>0</v>
      </c>
      <c r="AF142" s="1389"/>
      <c r="AG142" s="972">
        <f t="shared" si="233"/>
        <v>0.41660000000000003</v>
      </c>
      <c r="AH142" s="972">
        <f t="shared" si="233"/>
        <v>0.24340000000000001</v>
      </c>
      <c r="AI142" s="972">
        <f t="shared" si="233"/>
        <v>0.33999999999999997</v>
      </c>
    </row>
    <row r="143" spans="1:35">
      <c r="A143" s="57"/>
      <c r="B143" s="58"/>
      <c r="C143" s="887" t="s">
        <v>1012</v>
      </c>
      <c r="D143" s="883">
        <v>0</v>
      </c>
      <c r="E143" s="883">
        <v>0</v>
      </c>
      <c r="F143" s="883">
        <v>0</v>
      </c>
      <c r="G143" s="883">
        <v>979097.052272</v>
      </c>
      <c r="H143" s="883">
        <v>1042016.181262</v>
      </c>
      <c r="I143" s="883">
        <v>1072615.9290519999</v>
      </c>
      <c r="J143" s="180">
        <v>3093729.1625859998</v>
      </c>
      <c r="K143" s="883">
        <v>0</v>
      </c>
      <c r="L143" s="883">
        <v>0</v>
      </c>
      <c r="M143" s="883">
        <v>0</v>
      </c>
      <c r="N143" s="883">
        <v>407891.83197651524</v>
      </c>
      <c r="O143" s="883">
        <v>434103.94111374923</v>
      </c>
      <c r="P143" s="883">
        <v>446851.79604306322</v>
      </c>
      <c r="Q143" s="180">
        <v>1288847.5691333278</v>
      </c>
      <c r="R143" s="883">
        <v>0</v>
      </c>
      <c r="S143" s="883">
        <v>0</v>
      </c>
      <c r="T143" s="883">
        <v>0</v>
      </c>
      <c r="U143" s="883">
        <v>571205.22029548476</v>
      </c>
      <c r="V143" s="883">
        <v>607912.24014825071</v>
      </c>
      <c r="W143" s="883">
        <v>625764.13300893665</v>
      </c>
      <c r="X143" s="180">
        <v>1804881.5934526722</v>
      </c>
      <c r="Y143" s="883"/>
      <c r="Z143" s="883"/>
      <c r="AA143" s="883"/>
      <c r="AB143" s="883"/>
      <c r="AC143" s="883"/>
      <c r="AD143" s="883"/>
      <c r="AE143" s="180">
        <v>0</v>
      </c>
      <c r="AF143" s="1389"/>
      <c r="AG143" s="972">
        <f t="shared" si="233"/>
        <v>0.41660000000000003</v>
      </c>
      <c r="AH143" s="972">
        <f t="shared" si="233"/>
        <v>0.24340000000000001</v>
      </c>
      <c r="AI143" s="972">
        <f t="shared" si="233"/>
        <v>0.33999999999999997</v>
      </c>
    </row>
    <row r="144" spans="1:35">
      <c r="A144" s="57"/>
      <c r="B144" s="58"/>
      <c r="C144" s="887" t="s">
        <v>1108</v>
      </c>
      <c r="D144" s="883">
        <v>0</v>
      </c>
      <c r="E144" s="883">
        <v>0</v>
      </c>
      <c r="F144" s="883">
        <v>0</v>
      </c>
      <c r="G144" s="883">
        <v>774954.32973200001</v>
      </c>
      <c r="H144" s="883">
        <v>824224.10853299999</v>
      </c>
      <c r="I144" s="883">
        <v>887391.21692400007</v>
      </c>
      <c r="J144" s="180">
        <v>2486569.6551890001</v>
      </c>
      <c r="K144" s="883">
        <v>0</v>
      </c>
      <c r="L144" s="883">
        <v>0</v>
      </c>
      <c r="M144" s="883">
        <v>0</v>
      </c>
      <c r="N144" s="883">
        <v>0</v>
      </c>
      <c r="O144" s="883">
        <v>0</v>
      </c>
      <c r="P144" s="883">
        <v>0</v>
      </c>
      <c r="Q144" s="180">
        <v>0</v>
      </c>
      <c r="R144" s="883">
        <v>0</v>
      </c>
      <c r="S144" s="883">
        <v>0</v>
      </c>
      <c r="T144" s="883">
        <v>0</v>
      </c>
      <c r="U144" s="883">
        <v>774954.32973200001</v>
      </c>
      <c r="V144" s="883">
        <v>824224.10853299999</v>
      </c>
      <c r="W144" s="883">
        <v>887391.21692400007</v>
      </c>
      <c r="X144" s="180">
        <v>2486569.6551890001</v>
      </c>
      <c r="Y144" s="883"/>
      <c r="Z144" s="883"/>
      <c r="AA144" s="883"/>
      <c r="AB144" s="883"/>
      <c r="AC144" s="883"/>
      <c r="AD144" s="883"/>
      <c r="AE144" s="180">
        <v>0</v>
      </c>
      <c r="AF144" s="1389"/>
      <c r="AG144" s="972"/>
      <c r="AH144" s="972"/>
      <c r="AI144" s="972"/>
    </row>
    <row r="145" spans="1:32">
      <c r="A145" s="57"/>
      <c r="B145" s="58"/>
      <c r="C145" s="882"/>
      <c r="D145" s="883"/>
      <c r="E145" s="883"/>
      <c r="F145" s="883"/>
      <c r="G145" s="883"/>
      <c r="H145" s="883"/>
      <c r="I145" s="883"/>
      <c r="J145" s="180">
        <v>0</v>
      </c>
      <c r="K145" s="883"/>
      <c r="L145" s="883"/>
      <c r="M145" s="883"/>
      <c r="N145" s="883"/>
      <c r="O145" s="883"/>
      <c r="P145" s="883"/>
      <c r="Q145" s="180">
        <v>0</v>
      </c>
      <c r="R145" s="883">
        <v>0</v>
      </c>
      <c r="S145" s="883">
        <v>0</v>
      </c>
      <c r="T145" s="883">
        <v>0</v>
      </c>
      <c r="U145" s="883">
        <v>0</v>
      </c>
      <c r="V145" s="883">
        <v>0</v>
      </c>
      <c r="W145" s="883">
        <v>0</v>
      </c>
      <c r="X145" s="180">
        <v>0</v>
      </c>
      <c r="Y145" s="883"/>
      <c r="Z145" s="883"/>
      <c r="AA145" s="883"/>
      <c r="AB145" s="883"/>
      <c r="AC145" s="883"/>
      <c r="AD145" s="883"/>
      <c r="AE145" s="180">
        <v>0</v>
      </c>
      <c r="AF145" s="1389"/>
    </row>
    <row r="146" spans="1:32">
      <c r="A146" s="57"/>
      <c r="B146" s="58"/>
      <c r="C146" s="880" t="s">
        <v>112</v>
      </c>
      <c r="D146" s="881">
        <v>91068913.873286009</v>
      </c>
      <c r="E146" s="881">
        <v>91805833.45450899</v>
      </c>
      <c r="F146" s="881">
        <v>89703434.463439003</v>
      </c>
      <c r="G146" s="881">
        <v>89629280.972421035</v>
      </c>
      <c r="H146" s="881">
        <v>88023066.837244958</v>
      </c>
      <c r="I146" s="881">
        <v>93494420.948632002</v>
      </c>
      <c r="J146" s="180">
        <v>543724950.54953206</v>
      </c>
      <c r="K146" s="881">
        <v>29474321.782919239</v>
      </c>
      <c r="L146" s="881">
        <v>29797478.98546084</v>
      </c>
      <c r="M146" s="881">
        <v>29621770.389999431</v>
      </c>
      <c r="N146" s="881">
        <v>26631116.813596543</v>
      </c>
      <c r="O146" s="881">
        <v>27724566.495255094</v>
      </c>
      <c r="P146" s="881">
        <v>29176915.521231022</v>
      </c>
      <c r="Q146" s="180">
        <v>172426169.98846218</v>
      </c>
      <c r="R146" s="881">
        <v>61594592.090366766</v>
      </c>
      <c r="S146" s="881">
        <v>62008354.46904815</v>
      </c>
      <c r="T146" s="881">
        <v>60081664.073439568</v>
      </c>
      <c r="U146" s="881">
        <v>62998164.158824489</v>
      </c>
      <c r="V146" s="881">
        <v>60298500.34198986</v>
      </c>
      <c r="W146" s="881">
        <v>64317505.427400976</v>
      </c>
      <c r="X146" s="180">
        <v>371298780.56106985</v>
      </c>
      <c r="Y146" s="881"/>
      <c r="Z146" s="881"/>
      <c r="AA146" s="881"/>
      <c r="AB146" s="881"/>
      <c r="AC146" s="881"/>
      <c r="AD146" s="881"/>
      <c r="AE146" s="180">
        <v>0</v>
      </c>
      <c r="AF146" s="1389"/>
    </row>
    <row r="147" spans="1:32">
      <c r="D147" s="588">
        <f>D146-K146-R146-Y146</f>
        <v>0</v>
      </c>
      <c r="E147" s="588">
        <f t="shared" ref="E147" si="234">E146-L146-S146-Z146</f>
        <v>0</v>
      </c>
      <c r="F147" s="588">
        <f t="shared" ref="F147" si="235">F146-M146-T146-AA146</f>
        <v>0</v>
      </c>
      <c r="G147" s="588">
        <f t="shared" ref="G147" si="236">G146-N146-U146-AB146</f>
        <v>0</v>
      </c>
      <c r="H147" s="588">
        <f t="shared" ref="H147" si="237">H146-O146-V146-AC146</f>
        <v>0</v>
      </c>
      <c r="I147" s="588">
        <f t="shared" ref="I147" si="238">I146-P146-W146-AD146</f>
        <v>0</v>
      </c>
      <c r="J147" s="588">
        <f t="shared" ref="J147" si="239">J146-Q146-X146-AE146</f>
        <v>0</v>
      </c>
      <c r="L147" s="589"/>
      <c r="M147" s="589"/>
      <c r="N147" s="589"/>
      <c r="O147" s="589"/>
      <c r="P147" s="589"/>
      <c r="S147" s="589"/>
      <c r="T147" s="589"/>
      <c r="U147" s="589"/>
      <c r="V147" s="589"/>
      <c r="W147" s="589"/>
      <c r="Z147" s="589"/>
      <c r="AA147" s="589"/>
    </row>
    <row r="148" spans="1:32">
      <c r="C148" s="587" t="str">
        <f>'PORTADA PORTADA PORTADA'!$B$23</f>
        <v>1 DE JULIO DE 2026</v>
      </c>
      <c r="D148" s="588"/>
      <c r="E148" s="588"/>
      <c r="F148" s="588"/>
      <c r="G148" s="588"/>
      <c r="H148" s="588"/>
      <c r="I148" s="588"/>
      <c r="J148" s="588"/>
      <c r="L148" s="589"/>
      <c r="M148" s="589"/>
      <c r="N148" s="589"/>
      <c r="O148" s="589"/>
      <c r="P148" s="589"/>
      <c r="S148" s="589"/>
      <c r="T148" s="589"/>
      <c r="U148" s="589"/>
      <c r="V148" s="589"/>
      <c r="W148" s="589"/>
      <c r="Z148" s="589"/>
      <c r="AA148" s="589"/>
    </row>
    <row r="149" spans="1:32" ht="18.75">
      <c r="C149" s="590"/>
      <c r="D149" s="589">
        <v>290041625.87</v>
      </c>
      <c r="E149" s="589">
        <v>291271205.36000001</v>
      </c>
      <c r="F149" s="589">
        <v>288102409.84000003</v>
      </c>
      <c r="G149" s="589">
        <v>286220165.69000006</v>
      </c>
      <c r="H149" s="589">
        <v>267652611.64000002</v>
      </c>
      <c r="I149" s="589">
        <v>285172870.94999999</v>
      </c>
      <c r="J149" s="589">
        <v>1708460889.3500004</v>
      </c>
    </row>
    <row r="150" spans="1:32">
      <c r="D150" s="589">
        <v>91068913.873286009</v>
      </c>
      <c r="E150" s="589">
        <v>91805833.45450899</v>
      </c>
      <c r="F150" s="589">
        <v>89703434.463439003</v>
      </c>
      <c r="G150" s="589">
        <v>89629280.972421035</v>
      </c>
      <c r="H150" s="589">
        <v>88023066.837244958</v>
      </c>
      <c r="I150" s="589">
        <v>93494420.948632002</v>
      </c>
      <c r="J150" s="589">
        <v>543724950.54953206</v>
      </c>
    </row>
    <row r="151" spans="1:32">
      <c r="D151" s="589">
        <v>381110539.74328601</v>
      </c>
      <c r="E151" s="589">
        <v>383077038.81450903</v>
      </c>
      <c r="F151" s="589">
        <v>377805844.30343902</v>
      </c>
      <c r="G151" s="589">
        <v>375849446.66242111</v>
      </c>
      <c r="H151" s="589">
        <v>355675678.47724497</v>
      </c>
      <c r="I151" s="589">
        <v>378667291.89863199</v>
      </c>
      <c r="J151" s="589">
        <v>2252185839.8995323</v>
      </c>
    </row>
    <row r="152" spans="1:32">
      <c r="D152" s="968">
        <f t="shared" ref="D152:J152" si="240">D153-D149</f>
        <v>0</v>
      </c>
      <c r="E152" s="968">
        <f t="shared" si="240"/>
        <v>0</v>
      </c>
      <c r="F152" s="968">
        <f t="shared" si="240"/>
        <v>0</v>
      </c>
      <c r="G152" s="968">
        <f t="shared" si="240"/>
        <v>0</v>
      </c>
      <c r="H152" s="968">
        <f t="shared" si="240"/>
        <v>0</v>
      </c>
      <c r="I152" s="968">
        <f t="shared" si="240"/>
        <v>0</v>
      </c>
      <c r="J152" s="968">
        <f t="shared" si="240"/>
        <v>0</v>
      </c>
    </row>
    <row r="153" spans="1:32">
      <c r="D153" s="589">
        <f t="shared" ref="D153:J153" si="241">D5+D9+D20+D108</f>
        <v>290041625.87</v>
      </c>
      <c r="E153" s="589">
        <f t="shared" si="241"/>
        <v>291271205.36000001</v>
      </c>
      <c r="F153" s="589">
        <f t="shared" si="241"/>
        <v>288102409.84000003</v>
      </c>
      <c r="G153" s="589">
        <f t="shared" si="241"/>
        <v>286220165.69000006</v>
      </c>
      <c r="H153" s="589">
        <f t="shared" si="241"/>
        <v>267652611.64000005</v>
      </c>
      <c r="I153" s="589">
        <f t="shared" si="241"/>
        <v>285172870.94999999</v>
      </c>
      <c r="J153" s="589">
        <f t="shared" si="241"/>
        <v>1708460889.3500004</v>
      </c>
    </row>
    <row r="154" spans="1:32">
      <c r="D154" s="589">
        <f t="shared" ref="D154:J154" si="242">D114+D122+D135</f>
        <v>91068913.873286009</v>
      </c>
      <c r="E154" s="589">
        <f t="shared" si="242"/>
        <v>91805833.454509005</v>
      </c>
      <c r="F154" s="589">
        <f t="shared" si="242"/>
        <v>89703434.463439003</v>
      </c>
      <c r="G154" s="589">
        <f t="shared" si="242"/>
        <v>89629280.97242102</v>
      </c>
      <c r="H154" s="589">
        <f t="shared" si="242"/>
        <v>88023066.837244987</v>
      </c>
      <c r="I154" s="589">
        <f t="shared" si="242"/>
        <v>93494420.948632017</v>
      </c>
      <c r="J154" s="589">
        <f t="shared" si="242"/>
        <v>543724950.54953206</v>
      </c>
    </row>
    <row r="155" spans="1:32">
      <c r="D155" s="589">
        <f>SUM(D153:D154)</f>
        <v>381110539.74328601</v>
      </c>
      <c r="E155" s="589">
        <f t="shared" ref="E155:J155" si="243">SUM(E153:E154)</f>
        <v>383077038.81450903</v>
      </c>
      <c r="F155" s="589">
        <f t="shared" si="243"/>
        <v>377805844.30343902</v>
      </c>
      <c r="G155" s="589">
        <f t="shared" si="243"/>
        <v>375849446.66242111</v>
      </c>
      <c r="H155" s="589">
        <f t="shared" si="243"/>
        <v>355675678.47724503</v>
      </c>
      <c r="I155" s="589">
        <f t="shared" si="243"/>
        <v>378667291.89863199</v>
      </c>
      <c r="J155" s="589">
        <f t="shared" si="243"/>
        <v>2252185839.8995323</v>
      </c>
    </row>
    <row r="157" spans="1:32">
      <c r="D157" s="589"/>
      <c r="E157" s="589"/>
      <c r="F157" s="589"/>
      <c r="G157" s="589"/>
      <c r="H157" s="589"/>
      <c r="I157" s="589"/>
      <c r="J157" s="589"/>
    </row>
    <row r="158" spans="1:32">
      <c r="D158" s="589"/>
      <c r="E158" s="589"/>
      <c r="F158" s="589"/>
      <c r="G158" s="589"/>
      <c r="H158" s="589"/>
      <c r="I158" s="589"/>
      <c r="J158" s="589"/>
    </row>
    <row r="159" spans="1:32">
      <c r="D159" s="589"/>
      <c r="E159" s="589"/>
      <c r="F159" s="589"/>
      <c r="G159" s="589"/>
      <c r="H159" s="589"/>
      <c r="I159" s="589"/>
      <c r="J159" s="589"/>
    </row>
    <row r="163" spans="4:10">
      <c r="D163" s="589"/>
      <c r="E163" s="589"/>
      <c r="F163" s="589"/>
      <c r="G163" s="589"/>
      <c r="H163" s="589"/>
      <c r="I163" s="589"/>
      <c r="J163" s="589"/>
    </row>
    <row r="164" spans="4:10">
      <c r="D164" s="589"/>
      <c r="E164" s="589"/>
      <c r="F164" s="589"/>
      <c r="G164" s="589"/>
      <c r="H164" s="589"/>
      <c r="I164" s="589"/>
      <c r="J164" s="589"/>
    </row>
    <row r="165" spans="4:10">
      <c r="D165" s="968"/>
      <c r="E165" s="968"/>
      <c r="F165" s="968"/>
      <c r="G165" s="968"/>
      <c r="H165" s="968"/>
      <c r="I165" s="968"/>
      <c r="J165" s="968"/>
    </row>
    <row r="166" spans="4:10">
      <c r="D166" s="589"/>
      <c r="E166" s="589"/>
      <c r="F166" s="589"/>
      <c r="G166" s="589"/>
      <c r="H166" s="589"/>
      <c r="I166" s="589"/>
      <c r="J166" s="589"/>
    </row>
    <row r="167" spans="4:10">
      <c r="D167" s="589"/>
      <c r="E167" s="589"/>
      <c r="F167" s="589"/>
      <c r="G167" s="589"/>
      <c r="H167" s="589"/>
      <c r="I167" s="589"/>
      <c r="J167" s="589"/>
    </row>
    <row r="168" spans="4:10">
      <c r="D168" s="589"/>
      <c r="E168" s="589"/>
      <c r="F168" s="589"/>
      <c r="G168" s="589"/>
      <c r="H168" s="589"/>
      <c r="I168" s="589"/>
      <c r="J168" s="589"/>
    </row>
    <row r="169" spans="4:10">
      <c r="D169" s="589"/>
      <c r="E169" s="589"/>
      <c r="F169" s="589"/>
      <c r="G169" s="589"/>
      <c r="H169" s="589"/>
      <c r="I169" s="589"/>
      <c r="J169" s="589"/>
    </row>
    <row r="170" spans="4:10">
      <c r="D170" s="589"/>
      <c r="E170" s="589"/>
      <c r="F170" s="589"/>
      <c r="G170" s="589"/>
      <c r="H170" s="589"/>
      <c r="I170" s="589"/>
      <c r="J170" s="589"/>
    </row>
    <row r="171" spans="4:10">
      <c r="D171" s="589"/>
      <c r="E171" s="589"/>
      <c r="F171" s="589"/>
      <c r="G171" s="589"/>
      <c r="H171" s="589"/>
      <c r="I171" s="589"/>
      <c r="J171" s="589"/>
    </row>
    <row r="172" spans="4:10">
      <c r="D172" s="589"/>
      <c r="E172" s="589"/>
      <c r="F172" s="589"/>
      <c r="G172" s="589"/>
      <c r="H172" s="589"/>
      <c r="I172" s="589"/>
      <c r="J172" s="589"/>
    </row>
    <row r="173" spans="4:10">
      <c r="D173" s="589"/>
      <c r="E173" s="589"/>
      <c r="F173" s="589"/>
      <c r="G173" s="589"/>
      <c r="H173" s="589"/>
      <c r="I173" s="589"/>
      <c r="J173" s="589"/>
    </row>
    <row r="174" spans="4:10">
      <c r="D174" s="589"/>
      <c r="E174" s="589"/>
      <c r="F174" s="589"/>
      <c r="G174" s="589"/>
      <c r="H174" s="589"/>
      <c r="I174" s="589"/>
      <c r="J174" s="589"/>
    </row>
    <row r="175" spans="4:10">
      <c r="D175" s="589"/>
      <c r="E175" s="589"/>
      <c r="F175" s="589"/>
      <c r="G175" s="589"/>
      <c r="H175" s="589"/>
      <c r="I175" s="589"/>
      <c r="J175" s="589"/>
    </row>
    <row r="176" spans="4:10">
      <c r="D176" s="589"/>
      <c r="E176" s="589"/>
      <c r="F176" s="589"/>
      <c r="G176" s="589"/>
      <c r="H176" s="589"/>
      <c r="I176" s="589"/>
      <c r="J176" s="589"/>
    </row>
    <row r="177" spans="2:35">
      <c r="D177" s="589"/>
      <c r="E177" s="589"/>
      <c r="F177" s="589"/>
      <c r="G177" s="589"/>
      <c r="H177" s="589"/>
      <c r="I177" s="589"/>
      <c r="J177" s="589"/>
    </row>
    <row r="178" spans="2:35">
      <c r="D178" s="589"/>
      <c r="E178" s="589"/>
      <c r="F178" s="589"/>
      <c r="G178" s="589"/>
      <c r="H178" s="589"/>
      <c r="I178" s="589"/>
      <c r="J178" s="589"/>
    </row>
    <row r="179" spans="2:35">
      <c r="D179" s="589"/>
      <c r="E179" s="589"/>
      <c r="F179" s="589"/>
      <c r="G179" s="589"/>
      <c r="H179" s="589"/>
      <c r="I179" s="589"/>
      <c r="J179" s="589"/>
    </row>
    <row r="180" spans="2:35">
      <c r="D180" s="589"/>
      <c r="E180" s="589"/>
      <c r="F180" s="589"/>
      <c r="G180" s="589"/>
      <c r="H180" s="589"/>
      <c r="I180" s="589"/>
      <c r="J180" s="589"/>
    </row>
    <row r="181" spans="2:35">
      <c r="D181" s="589"/>
      <c r="E181" s="589"/>
      <c r="F181" s="589"/>
      <c r="G181" s="589"/>
      <c r="H181" s="589"/>
      <c r="I181" s="589"/>
      <c r="J181" s="589"/>
    </row>
    <row r="182" spans="2:35">
      <c r="D182" s="589"/>
      <c r="E182" s="589"/>
      <c r="F182" s="589"/>
      <c r="G182" s="589"/>
      <c r="H182" s="589"/>
      <c r="I182" s="589"/>
      <c r="J182" s="589"/>
    </row>
    <row r="183" spans="2:35">
      <c r="D183" s="589"/>
      <c r="E183" s="589"/>
      <c r="F183" s="589"/>
      <c r="G183" s="589"/>
      <c r="H183" s="589"/>
      <c r="I183" s="589"/>
      <c r="J183" s="589"/>
    </row>
    <row r="184" spans="2:35" s="63" customFormat="1" ht="15">
      <c r="B184" s="48"/>
      <c r="D184" s="64"/>
      <c r="E184" s="64"/>
      <c r="F184" s="64"/>
      <c r="G184" s="64"/>
      <c r="H184" s="64"/>
      <c r="I184" s="64"/>
      <c r="J184" s="64"/>
      <c r="AG184" s="973"/>
      <c r="AH184" s="973"/>
      <c r="AI184" s="973"/>
    </row>
    <row r="185" spans="2:35" s="63" customFormat="1" ht="15">
      <c r="B185" s="48"/>
      <c r="D185" s="64"/>
      <c r="E185" s="64"/>
      <c r="F185" s="64"/>
      <c r="G185" s="64"/>
      <c r="H185" s="64"/>
      <c r="I185" s="64"/>
      <c r="J185" s="64"/>
      <c r="AG185" s="973"/>
      <c r="AH185" s="973"/>
      <c r="AI185" s="973"/>
    </row>
    <row r="186" spans="2:35" s="63" customFormat="1" ht="15">
      <c r="B186" s="48"/>
      <c r="D186" s="64"/>
      <c r="E186" s="64"/>
      <c r="F186" s="64"/>
      <c r="G186" s="64"/>
      <c r="H186" s="64"/>
      <c r="I186" s="64"/>
      <c r="J186" s="64"/>
      <c r="AG186" s="973"/>
      <c r="AH186" s="973"/>
      <c r="AI186" s="973"/>
    </row>
    <row r="187" spans="2:35" s="63" customFormat="1" ht="15">
      <c r="B187" s="48"/>
      <c r="D187" s="64"/>
      <c r="E187" s="64"/>
      <c r="F187" s="64"/>
      <c r="G187" s="64"/>
      <c r="H187" s="64"/>
      <c r="I187" s="64"/>
      <c r="J187" s="64"/>
      <c r="AG187" s="973"/>
      <c r="AH187" s="973"/>
      <c r="AI187" s="973"/>
    </row>
    <row r="188" spans="2:35" s="63" customFormat="1" ht="15">
      <c r="B188" s="48"/>
      <c r="D188" s="64"/>
      <c r="E188" s="64"/>
      <c r="F188" s="64"/>
      <c r="G188" s="64"/>
      <c r="H188" s="64"/>
      <c r="I188" s="64"/>
      <c r="J188" s="64"/>
      <c r="AG188" s="973"/>
      <c r="AH188" s="973"/>
      <c r="AI188" s="973"/>
    </row>
    <row r="189" spans="2:35" s="63" customFormat="1" ht="15">
      <c r="B189" s="48"/>
      <c r="D189" s="64"/>
      <c r="E189" s="64"/>
      <c r="F189" s="64"/>
      <c r="G189" s="64"/>
      <c r="H189" s="64"/>
      <c r="I189" s="64"/>
      <c r="J189" s="64"/>
      <c r="AG189" s="973"/>
      <c r="AH189" s="973"/>
      <c r="AI189" s="973"/>
    </row>
    <row r="190" spans="2:35" s="63" customFormat="1" ht="15">
      <c r="B190" s="48"/>
      <c r="D190" s="64"/>
      <c r="E190" s="64"/>
      <c r="F190" s="64"/>
      <c r="G190" s="64"/>
      <c r="H190" s="64"/>
      <c r="I190" s="64"/>
      <c r="J190" s="64"/>
      <c r="AG190" s="973"/>
      <c r="AH190" s="973"/>
      <c r="AI190" s="973"/>
    </row>
    <row r="191" spans="2:35" s="63" customFormat="1" ht="15">
      <c r="B191" s="48"/>
      <c r="D191" s="64"/>
      <c r="E191" s="64"/>
      <c r="F191" s="64"/>
      <c r="G191" s="64"/>
      <c r="H191" s="64"/>
      <c r="I191" s="64"/>
      <c r="J191" s="64"/>
      <c r="AG191" s="973"/>
      <c r="AH191" s="973"/>
      <c r="AI191" s="973"/>
    </row>
    <row r="192" spans="2:35" s="63" customFormat="1" ht="15">
      <c r="B192" s="48"/>
      <c r="D192" s="64"/>
      <c r="E192" s="64"/>
      <c r="F192" s="64"/>
      <c r="G192" s="64"/>
      <c r="H192" s="64"/>
      <c r="I192" s="64"/>
      <c r="J192" s="64"/>
      <c r="AG192" s="973"/>
      <c r="AH192" s="973"/>
      <c r="AI192" s="973"/>
    </row>
    <row r="193" spans="2:35" s="63" customFormat="1" ht="15">
      <c r="B193" s="48"/>
      <c r="D193" s="64"/>
      <c r="E193" s="64"/>
      <c r="F193" s="64"/>
      <c r="G193" s="64"/>
      <c r="H193" s="64"/>
      <c r="I193" s="64"/>
      <c r="J193" s="64"/>
      <c r="AG193" s="973"/>
      <c r="AH193" s="973"/>
      <c r="AI193" s="973"/>
    </row>
    <row r="194" spans="2:35" s="63" customFormat="1" ht="15">
      <c r="B194" s="48"/>
      <c r="D194" s="64"/>
      <c r="E194" s="64"/>
      <c r="F194" s="64"/>
      <c r="G194" s="64"/>
      <c r="H194" s="64"/>
      <c r="I194" s="64"/>
      <c r="J194" s="64"/>
      <c r="AG194" s="973"/>
      <c r="AH194" s="973"/>
      <c r="AI194" s="973"/>
    </row>
    <row r="195" spans="2:35" s="63" customFormat="1" ht="15">
      <c r="B195" s="48"/>
      <c r="D195" s="64"/>
      <c r="E195" s="64"/>
      <c r="F195" s="64"/>
      <c r="G195" s="64"/>
      <c r="H195" s="64"/>
      <c r="I195" s="64"/>
      <c r="J195" s="64"/>
      <c r="AG195" s="973"/>
      <c r="AH195" s="973"/>
      <c r="AI195" s="973"/>
    </row>
    <row r="196" spans="2:35" s="63" customFormat="1" ht="15">
      <c r="B196" s="48"/>
      <c r="D196" s="64"/>
      <c r="E196" s="64"/>
      <c r="F196" s="64"/>
      <c r="G196" s="64"/>
      <c r="H196" s="64"/>
      <c r="I196" s="64"/>
      <c r="J196" s="64"/>
      <c r="AG196" s="973"/>
      <c r="AH196" s="973"/>
      <c r="AI196" s="973"/>
    </row>
    <row r="197" spans="2:35" s="63" customFormat="1" ht="15">
      <c r="B197" s="48"/>
      <c r="D197" s="64"/>
      <c r="E197" s="64"/>
      <c r="F197" s="64"/>
      <c r="G197" s="64"/>
      <c r="H197" s="64"/>
      <c r="I197" s="64"/>
      <c r="J197" s="64"/>
      <c r="AG197" s="973"/>
      <c r="AH197" s="973"/>
      <c r="AI197" s="973"/>
    </row>
    <row r="198" spans="2:35" s="63" customFormat="1" ht="15">
      <c r="B198" s="48"/>
      <c r="D198" s="64"/>
      <c r="E198" s="64"/>
      <c r="F198" s="64"/>
      <c r="G198" s="64"/>
      <c r="H198" s="64"/>
      <c r="I198" s="64"/>
      <c r="J198" s="64"/>
      <c r="AG198" s="973"/>
      <c r="AH198" s="973"/>
      <c r="AI198" s="973"/>
    </row>
    <row r="199" spans="2:35" s="63" customFormat="1" ht="15">
      <c r="B199" s="48"/>
      <c r="D199" s="64"/>
      <c r="E199" s="64"/>
      <c r="F199" s="64"/>
      <c r="G199" s="64"/>
      <c r="H199" s="64"/>
      <c r="I199" s="64"/>
      <c r="J199" s="64"/>
      <c r="AG199" s="973"/>
      <c r="AH199" s="973"/>
      <c r="AI199" s="973"/>
    </row>
    <row r="200" spans="2:35" s="63" customFormat="1" ht="15">
      <c r="B200" s="48"/>
      <c r="D200" s="968"/>
      <c r="E200" s="968"/>
      <c r="F200" s="968"/>
      <c r="G200" s="968"/>
      <c r="H200" s="968"/>
      <c r="I200" s="968"/>
      <c r="J200" s="968"/>
      <c r="AG200" s="973"/>
      <c r="AH200" s="973"/>
      <c r="AI200" s="973"/>
    </row>
    <row r="201" spans="2:35" s="63" customFormat="1" ht="15">
      <c r="B201" s="48"/>
      <c r="D201" s="65"/>
      <c r="E201" s="65"/>
      <c r="F201" s="65"/>
      <c r="G201" s="65"/>
      <c r="H201" s="65"/>
      <c r="I201" s="65"/>
      <c r="J201" s="65"/>
      <c r="AG201" s="973"/>
      <c r="AH201" s="973"/>
      <c r="AI201" s="973"/>
    </row>
    <row r="202" spans="2:35" s="63" customFormat="1" ht="17.25" customHeight="1">
      <c r="B202" s="48"/>
      <c r="D202" s="66"/>
      <c r="E202" s="66"/>
      <c r="F202" s="66"/>
      <c r="G202" s="66"/>
      <c r="H202" s="66"/>
      <c r="I202" s="66"/>
      <c r="J202" s="66"/>
      <c r="AG202" s="973"/>
      <c r="AH202" s="973"/>
      <c r="AI202" s="973"/>
    </row>
    <row r="203" spans="2:35">
      <c r="D203" s="589"/>
      <c r="E203" s="589"/>
      <c r="F203" s="589"/>
      <c r="G203" s="589"/>
      <c r="H203" s="589"/>
      <c r="I203" s="589"/>
      <c r="J203" s="589"/>
    </row>
    <row r="204" spans="2:35">
      <c r="D204" s="589"/>
      <c r="E204" s="589"/>
      <c r="F204" s="589"/>
      <c r="G204" s="589"/>
      <c r="H204" s="589"/>
      <c r="I204" s="589"/>
      <c r="J204" s="589"/>
    </row>
    <row r="205" spans="2:35">
      <c r="D205" s="589"/>
      <c r="E205" s="589"/>
      <c r="F205" s="589"/>
      <c r="G205" s="589"/>
      <c r="H205" s="589"/>
      <c r="I205" s="589"/>
      <c r="J205" s="589"/>
    </row>
    <row r="206" spans="2:35">
      <c r="D206" s="589"/>
      <c r="E206" s="589"/>
      <c r="F206" s="589"/>
      <c r="G206" s="589"/>
      <c r="H206" s="589"/>
      <c r="I206" s="589"/>
      <c r="J206" s="589"/>
    </row>
    <row r="207" spans="2:35">
      <c r="D207" s="589"/>
      <c r="E207" s="589"/>
      <c r="F207" s="589"/>
      <c r="G207" s="589"/>
      <c r="H207" s="589"/>
      <c r="I207" s="589"/>
      <c r="J207" s="589"/>
    </row>
    <row r="208" spans="2:35">
      <c r="D208" s="589"/>
      <c r="E208" s="589"/>
      <c r="F208" s="589"/>
      <c r="G208" s="589"/>
      <c r="H208" s="589"/>
      <c r="I208" s="589"/>
      <c r="J208" s="589"/>
    </row>
    <row r="209" spans="4:10">
      <c r="D209" s="589"/>
      <c r="E209" s="589"/>
      <c r="F209" s="589"/>
      <c r="G209" s="589"/>
      <c r="H209" s="589"/>
      <c r="I209" s="589"/>
      <c r="J209" s="589"/>
    </row>
    <row r="210" spans="4:10">
      <c r="D210" s="589"/>
      <c r="E210" s="589"/>
      <c r="F210" s="589"/>
      <c r="G210" s="589"/>
      <c r="H210" s="589"/>
      <c r="I210" s="589"/>
      <c r="J210" s="589"/>
    </row>
    <row r="211" spans="4:10">
      <c r="D211" s="589"/>
      <c r="E211" s="589"/>
      <c r="F211" s="589"/>
      <c r="G211" s="589"/>
      <c r="H211" s="589"/>
      <c r="I211" s="589"/>
      <c r="J211" s="589"/>
    </row>
    <row r="212" spans="4:10">
      <c r="D212" s="589"/>
      <c r="E212" s="589"/>
      <c r="F212" s="589"/>
      <c r="G212" s="589"/>
      <c r="H212" s="589"/>
      <c r="I212" s="589"/>
      <c r="J212" s="589"/>
    </row>
    <row r="213" spans="4:10">
      <c r="D213" s="589"/>
      <c r="E213" s="589"/>
      <c r="F213" s="589"/>
      <c r="G213" s="589"/>
      <c r="H213" s="589"/>
      <c r="I213" s="589"/>
      <c r="J213" s="589"/>
    </row>
    <row r="214" spans="4:10">
      <c r="D214" s="589"/>
      <c r="E214" s="589"/>
      <c r="F214" s="589"/>
      <c r="G214" s="589"/>
      <c r="H214" s="589"/>
      <c r="I214" s="589"/>
      <c r="J214" s="589"/>
    </row>
    <row r="215" spans="4:10">
      <c r="D215" s="589"/>
      <c r="E215" s="589"/>
      <c r="F215" s="589"/>
      <c r="G215" s="589"/>
      <c r="H215" s="589"/>
      <c r="I215" s="589"/>
      <c r="J215" s="589"/>
    </row>
    <row r="216" spans="4:10">
      <c r="D216" s="589"/>
      <c r="E216" s="589"/>
      <c r="F216" s="589"/>
      <c r="G216" s="589"/>
      <c r="H216" s="589"/>
      <c r="I216" s="589"/>
      <c r="J216" s="589"/>
    </row>
    <row r="217" spans="4:10">
      <c r="D217" s="589"/>
      <c r="E217" s="589"/>
      <c r="F217" s="589"/>
      <c r="G217" s="589"/>
      <c r="H217" s="589"/>
      <c r="I217" s="589"/>
      <c r="J217" s="589"/>
    </row>
    <row r="218" spans="4:10">
      <c r="D218" s="589"/>
      <c r="E218" s="589"/>
      <c r="F218" s="589"/>
      <c r="G218" s="589"/>
      <c r="H218" s="589"/>
      <c r="I218" s="589"/>
      <c r="J218" s="589"/>
    </row>
    <row r="219" spans="4:10">
      <c r="D219" s="589"/>
      <c r="E219" s="589"/>
      <c r="F219" s="589"/>
      <c r="G219" s="589"/>
      <c r="H219" s="589"/>
      <c r="I219" s="589"/>
      <c r="J219" s="589"/>
    </row>
    <row r="220" spans="4:10">
      <c r="D220" s="589"/>
      <c r="E220" s="589"/>
      <c r="F220" s="589"/>
      <c r="G220" s="589"/>
      <c r="H220" s="589"/>
      <c r="I220" s="589"/>
      <c r="J220" s="589"/>
    </row>
    <row r="221" spans="4:10">
      <c r="D221" s="589"/>
      <c r="E221" s="589"/>
      <c r="F221" s="589"/>
      <c r="G221" s="589"/>
      <c r="H221" s="589"/>
      <c r="I221" s="589"/>
      <c r="J221" s="589"/>
    </row>
    <row r="222" spans="4:10">
      <c r="D222" s="589"/>
      <c r="E222" s="589"/>
      <c r="F222" s="589"/>
      <c r="G222" s="589"/>
      <c r="H222" s="589"/>
      <c r="I222" s="589"/>
      <c r="J222" s="589"/>
    </row>
    <row r="223" spans="4:10">
      <c r="D223" s="968"/>
      <c r="E223" s="968"/>
      <c r="F223" s="968"/>
      <c r="G223" s="968"/>
      <c r="H223" s="968"/>
      <c r="I223" s="968"/>
      <c r="J223" s="968"/>
    </row>
  </sheetData>
  <printOptions horizontalCentered="1" verticalCentered="1"/>
  <pageMargins left="0.59055118110236227" right="0.59055118110236227" top="0.78740157480314965" bottom="0.59055118110236227" header="0.59055118110236227" footer="0.47244094488188981"/>
  <pageSetup scale="33" orientation="landscape" r:id="rId1"/>
  <headerFooter>
    <oddHeader>&amp;L&amp;"Times New Roman,Negrita"&amp;14Nombre de la Distribuidora: &amp;K06-048ENSA&amp;RASEP FORM: &amp;A</oddHeader>
    <oddFooter>&amp;R&amp;A</oddFooter>
  </headerFooter>
  <rowBreaks count="1" manualBreakCount="1">
    <brk id="111" max="30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9BE48-9EF4-4A9D-9CF9-14B148BBC2AD}">
  <sheetPr>
    <tabColor rgb="FFFF0000"/>
  </sheetPr>
  <dimension ref="B2:G19"/>
  <sheetViews>
    <sheetView workbookViewId="0">
      <selection activeCell="F9" sqref="F9"/>
    </sheetView>
  </sheetViews>
  <sheetFormatPr baseColWidth="10" defaultColWidth="11.25" defaultRowHeight="12"/>
  <cols>
    <col min="1" max="1" width="4.375" style="874" customWidth="1"/>
    <col min="2" max="2" width="25.25" style="874" customWidth="1"/>
    <col min="3" max="3" width="7" style="874" customWidth="1"/>
    <col min="4" max="6" width="10.375" style="874" customWidth="1"/>
    <col min="7" max="16384" width="11.25" style="874"/>
  </cols>
  <sheetData>
    <row r="2" spans="2:7">
      <c r="B2" s="2478"/>
      <c r="C2" s="2478"/>
      <c r="D2" s="2479" t="s">
        <v>2150</v>
      </c>
      <c r="E2" s="2481" t="s">
        <v>2095</v>
      </c>
      <c r="F2" s="2482" t="s">
        <v>1898</v>
      </c>
    </row>
    <row r="3" spans="2:7" ht="17.45" customHeight="1">
      <c r="B3" s="2478"/>
      <c r="C3" s="2478"/>
      <c r="D3" s="2480" t="s">
        <v>1889</v>
      </c>
      <c r="E3" s="2333" t="s">
        <v>1890</v>
      </c>
      <c r="F3" s="1575" t="s">
        <v>1897</v>
      </c>
    </row>
    <row r="5" spans="2:7">
      <c r="B5" s="1213" t="s">
        <v>1894</v>
      </c>
      <c r="C5" s="2442" t="s">
        <v>1729</v>
      </c>
      <c r="D5" s="2443">
        <f>'G522'!N143/1000</f>
        <v>98506.000240898458</v>
      </c>
      <c r="E5" s="2443">
        <f>'G502'!$M$128/1000</f>
        <v>97844.225375402675</v>
      </c>
      <c r="F5" s="2443">
        <f>98066.54679</f>
        <v>98066.546789999993</v>
      </c>
    </row>
    <row r="6" spans="2:7">
      <c r="B6" s="1213" t="s">
        <v>1895</v>
      </c>
      <c r="C6" s="2442" t="s">
        <v>1729</v>
      </c>
      <c r="D6" s="2443">
        <f>'G522'!N450/1000</f>
        <v>147974.18605423663</v>
      </c>
      <c r="E6" s="2443">
        <f>'G502'!$M$374/1000</f>
        <v>142937.52963185866</v>
      </c>
      <c r="F6" s="2443">
        <f>146791.33519</f>
        <v>146791.33519000001</v>
      </c>
    </row>
    <row r="7" spans="2:7">
      <c r="B7" s="1569" t="s">
        <v>1896</v>
      </c>
      <c r="C7" s="2444" t="s">
        <v>1729</v>
      </c>
      <c r="D7" s="2445">
        <f>SUM(D5:D6)</f>
        <v>246480.18629513509</v>
      </c>
      <c r="E7" s="2445">
        <f>SUM(E5:E6)</f>
        <v>240781.75500726135</v>
      </c>
      <c r="F7" s="2445">
        <f>SUM(F5:F6)</f>
        <v>244857.88198000001</v>
      </c>
    </row>
    <row r="8" spans="2:7">
      <c r="B8" s="1161" t="s">
        <v>1887</v>
      </c>
      <c r="C8" s="2446" t="s">
        <v>1729</v>
      </c>
      <c r="D8" s="2447">
        <f>'T322'!$K$75/1000</f>
        <v>15115.206371904</v>
      </c>
      <c r="E8" s="2447">
        <f>'T302'!$K$75/1000</f>
        <v>17862.651893268998</v>
      </c>
      <c r="F8" s="2447">
        <f>21912.3283400001-F9</f>
        <v>21912.328340000098</v>
      </c>
    </row>
    <row r="9" spans="2:7">
      <c r="B9" s="1161" t="s">
        <v>1888</v>
      </c>
      <c r="C9" s="2446" t="s">
        <v>1729</v>
      </c>
      <c r="D9" s="2447">
        <f>'PT422'!$E$19/1000</f>
        <v>8833.5993400000007</v>
      </c>
      <c r="E9" s="2447">
        <f>'PT402'!$E$19/1000</f>
        <v>9063.2165149618686</v>
      </c>
      <c r="F9" s="2447"/>
    </row>
    <row r="10" spans="2:7">
      <c r="B10" s="1161" t="s">
        <v>1892</v>
      </c>
      <c r="C10" s="2446" t="s">
        <v>1729</v>
      </c>
      <c r="D10" s="2447">
        <f>SUM(D7:D9)</f>
        <v>270428.99200703908</v>
      </c>
      <c r="E10" s="2447">
        <f>SUM(E7:E9)</f>
        <v>267707.62341549224</v>
      </c>
      <c r="F10" s="2447">
        <f>SUM(F7:F9)</f>
        <v>266770.21032000013</v>
      </c>
    </row>
    <row r="12" spans="2:7">
      <c r="B12" s="1161" t="s">
        <v>1891</v>
      </c>
      <c r="C12" s="1161" t="s">
        <v>1812</v>
      </c>
      <c r="D12" s="1574">
        <f>'G522'!$N$243</f>
        <v>1905545.5310089376</v>
      </c>
      <c r="E12" s="1574">
        <f>'G502'!$M$204</f>
        <v>1951971.4175988266</v>
      </c>
      <c r="F12" s="1574">
        <f>1968783.84</f>
        <v>1968783.84</v>
      </c>
      <c r="G12" s="1161"/>
    </row>
    <row r="13" spans="2:7">
      <c r="B13" s="1161" t="s">
        <v>1899</v>
      </c>
      <c r="C13" s="2446" t="s">
        <v>2096</v>
      </c>
      <c r="D13" s="2448">
        <f>D7/D12*1000</f>
        <v>129.34888318550443</v>
      </c>
      <c r="E13" s="2448">
        <f>E7/E12*1000</f>
        <v>123.35311513088321</v>
      </c>
      <c r="F13" s="2448">
        <f>F10/F12*1000</f>
        <v>135.50000000000006</v>
      </c>
    </row>
    <row r="14" spans="2:7">
      <c r="B14" s="2475" t="s">
        <v>1893</v>
      </c>
      <c r="C14" s="2476" t="s">
        <v>2096</v>
      </c>
      <c r="D14" s="2477">
        <f>D10/D12*1000</f>
        <v>141.91683568109434</v>
      </c>
      <c r="E14" s="2477">
        <f>E10/E12*1000</f>
        <v>137.14730707727614</v>
      </c>
      <c r="F14" s="2477">
        <f>F10/F12*1000</f>
        <v>135.50000000000006</v>
      </c>
    </row>
    <row r="16" spans="2:7">
      <c r="B16" s="1161" t="s">
        <v>1811</v>
      </c>
      <c r="E16" s="2448"/>
    </row>
    <row r="17" spans="2:5">
      <c r="B17" s="1569" t="s">
        <v>2102</v>
      </c>
      <c r="C17" s="2444" t="s">
        <v>2097</v>
      </c>
      <c r="D17" s="2448">
        <v>64.829267059305337</v>
      </c>
      <c r="E17" s="2449">
        <v>60</v>
      </c>
    </row>
    <row r="18" spans="2:5">
      <c r="B18" s="1569" t="s">
        <v>2101</v>
      </c>
      <c r="C18" s="1569" t="s">
        <v>2098</v>
      </c>
      <c r="D18" s="2448">
        <v>3.3579000000000003</v>
      </c>
      <c r="E18" s="2449">
        <v>3</v>
      </c>
    </row>
    <row r="19" spans="2:5">
      <c r="B19" s="1569" t="s">
        <v>2100</v>
      </c>
      <c r="C19" s="1569" t="s">
        <v>2099</v>
      </c>
      <c r="D19" s="2448">
        <v>2.479516666666667</v>
      </c>
      <c r="E19" s="2449">
        <v>2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FD8F4-0B92-4C0A-85DB-68AB586799B4}">
  <sheetPr>
    <tabColor rgb="FFC00000"/>
  </sheetPr>
  <dimension ref="B1:N473"/>
  <sheetViews>
    <sheetView zoomScale="85" zoomScaleNormal="85" zoomScaleSheetLayoutView="100" workbookViewId="0">
      <pane ySplit="3" topLeftCell="A4" activePane="bottomLeft" state="frozen"/>
      <selection activeCell="B531" sqref="B531"/>
      <selection pane="bottomLeft" activeCell="A4" sqref="A4"/>
    </sheetView>
  </sheetViews>
  <sheetFormatPr baseColWidth="10" defaultColWidth="6.375" defaultRowHeight="13.5"/>
  <cols>
    <col min="1" max="1" width="1.25" style="597" customWidth="1"/>
    <col min="2" max="2" width="47.25" style="607" customWidth="1"/>
    <col min="3" max="3" width="19.375" style="608" customWidth="1"/>
    <col min="4" max="5" width="12.125" style="609" customWidth="1"/>
    <col min="6" max="7" width="12.125" style="610" customWidth="1"/>
    <col min="8" max="8" width="10.125" style="2472" customWidth="1"/>
    <col min="9" max="9" width="2.25" style="602" customWidth="1"/>
    <col min="10" max="10" width="8.25" style="602" bestFit="1" customWidth="1"/>
    <col min="11" max="11" width="8.75" style="2161" bestFit="1" customWidth="1"/>
    <col min="12" max="12" width="6.25" style="677" bestFit="1" customWidth="1"/>
    <col min="13" max="13" width="8.5" style="677" bestFit="1" customWidth="1"/>
    <col min="14" max="14" width="4.75" style="597" customWidth="1"/>
    <col min="15" max="16384" width="6.375" style="597"/>
  </cols>
  <sheetData>
    <row r="1" spans="2:13" s="595" customFormat="1" ht="4.9000000000000004" customHeight="1">
      <c r="B1" s="592"/>
      <c r="C1" s="593"/>
      <c r="D1" s="2489"/>
      <c r="E1" s="2492"/>
      <c r="F1" s="2493"/>
      <c r="G1" s="2493"/>
      <c r="H1" s="2467"/>
      <c r="I1" s="594"/>
      <c r="J1" s="2489"/>
      <c r="K1" s="2492"/>
      <c r="L1" s="2493"/>
      <c r="M1" s="2493"/>
    </row>
    <row r="2" spans="2:13" s="2157" customFormat="1" ht="24">
      <c r="B2" s="2155" t="s">
        <v>1221</v>
      </c>
      <c r="C2" s="2156" t="s">
        <v>317</v>
      </c>
      <c r="D2" s="2490" t="str">
        <f>RAT1000VAD!$H$3</f>
        <v>I SEM 2026</v>
      </c>
      <c r="E2" s="2494" t="str">
        <f>RAT1000VAD!$N$3</f>
        <v>II SEM 2026 Nuevo</v>
      </c>
      <c r="F2" s="2495" t="s">
        <v>862</v>
      </c>
      <c r="G2" s="2495" t="s">
        <v>863</v>
      </c>
      <c r="H2" s="2158" t="s">
        <v>752</v>
      </c>
      <c r="I2" s="596"/>
      <c r="J2" s="2490" t="str">
        <f>D2</f>
        <v>I SEM 2026</v>
      </c>
      <c r="K2" s="2494" t="str">
        <f>E2</f>
        <v>II SEM 2026 Nuevo</v>
      </c>
      <c r="L2" s="2495" t="str">
        <f>F2</f>
        <v>Base</v>
      </c>
      <c r="M2" s="2495" t="str">
        <f>G2</f>
        <v>Corrección</v>
      </c>
    </row>
    <row r="3" spans="2:13" s="595" customFormat="1" ht="14.45" customHeight="1">
      <c r="B3" s="592"/>
      <c r="C3" s="593"/>
      <c r="D3" s="2491"/>
      <c r="E3" s="2496"/>
      <c r="F3" s="2497"/>
      <c r="G3" s="2497"/>
      <c r="H3" s="2473">
        <f>SUM(H10:H472)</f>
        <v>3.2681293212229163E-5</v>
      </c>
      <c r="I3" s="598"/>
      <c r="J3" s="2491"/>
      <c r="K3" s="2496"/>
      <c r="L3" s="2497"/>
      <c r="M3" s="2497"/>
    </row>
    <row r="4" spans="2:13" s="1203" customFormat="1" ht="11.25">
      <c r="B4" s="1208"/>
      <c r="C4" s="1207"/>
      <c r="D4" s="1206"/>
      <c r="E4" s="1206"/>
      <c r="F4" s="1205"/>
      <c r="G4" s="1205"/>
      <c r="H4" s="2469"/>
      <c r="I4" s="1204"/>
      <c r="J4" s="1204"/>
      <c r="K4" s="2163"/>
      <c r="L4" s="2164"/>
      <c r="M4" s="2164"/>
    </row>
    <row r="5" spans="2:13">
      <c r="B5" s="2291" t="s">
        <v>416</v>
      </c>
      <c r="C5" s="599"/>
      <c r="D5" s="600"/>
      <c r="E5" s="600"/>
      <c r="F5" s="601"/>
      <c r="G5" s="601"/>
      <c r="H5" s="2469"/>
    </row>
    <row r="6" spans="2:13">
      <c r="B6" s="603" t="s">
        <v>417</v>
      </c>
      <c r="C6" s="604"/>
      <c r="D6" s="604"/>
      <c r="E6" s="604"/>
      <c r="F6" s="605"/>
      <c r="G6" s="605"/>
      <c r="H6" s="2469"/>
      <c r="I6" s="606"/>
      <c r="J6" s="606"/>
      <c r="K6" s="2162"/>
    </row>
    <row r="7" spans="2:13" s="1203" customFormat="1" ht="11.25">
      <c r="B7" s="1208"/>
      <c r="C7" s="1207"/>
      <c r="D7" s="1206"/>
      <c r="E7" s="1206"/>
      <c r="F7" s="1205"/>
      <c r="G7" s="1205"/>
      <c r="H7" s="2469"/>
      <c r="I7" s="1204"/>
      <c r="J7" s="1204"/>
      <c r="K7" s="2163"/>
      <c r="L7" s="2164"/>
      <c r="M7" s="2164"/>
    </row>
    <row r="8" spans="2:13">
      <c r="B8" s="611" t="s">
        <v>1179</v>
      </c>
      <c r="C8" s="599"/>
      <c r="D8" s="600"/>
      <c r="E8" s="600"/>
      <c r="F8" s="601"/>
      <c r="G8" s="601"/>
      <c r="H8" s="2469"/>
      <c r="I8" s="606"/>
      <c r="J8" s="606"/>
      <c r="K8" s="2162"/>
    </row>
    <row r="9" spans="2:13">
      <c r="B9" s="612" t="s">
        <v>1189</v>
      </c>
      <c r="C9" s="613"/>
      <c r="D9" s="614"/>
      <c r="E9" s="614"/>
      <c r="F9" s="615"/>
      <c r="G9" s="615"/>
      <c r="H9" s="2469"/>
      <c r="I9" s="606"/>
      <c r="J9" s="606"/>
      <c r="K9" s="2162"/>
    </row>
    <row r="10" spans="2:13">
      <c r="B10" s="616" t="s">
        <v>427</v>
      </c>
      <c r="C10" s="617" t="s">
        <v>419</v>
      </c>
      <c r="D10" s="618">
        <f>+D13+D15+D17+D19+D21+D23+D25+D26+D27+D28</f>
        <v>0.17830000000000001</v>
      </c>
      <c r="E10" s="618">
        <f>+E13+E15+E17+E19+E21+E23+E25+E26+E27+E28</f>
        <v>0.18813000000000002</v>
      </c>
      <c r="F10" s="679">
        <f>+F13+F15+F17+F19+F21+F23+F25+F26+F27+F28</f>
        <v>0.18042999999999998</v>
      </c>
      <c r="G10" s="679">
        <f>+G13+G15+G17+G19+G21+G23+G25+G26+G27+G28</f>
        <v>7.7000000000000002E-3</v>
      </c>
      <c r="H10" s="2470">
        <f t="shared" ref="H10:H29" si="0">E10-F10-G10</f>
        <v>3.9898639947466563E-17</v>
      </c>
      <c r="I10" s="606"/>
      <c r="J10" s="606"/>
      <c r="K10" s="2162"/>
    </row>
    <row r="11" spans="2:13">
      <c r="B11" s="619" t="s">
        <v>1190</v>
      </c>
      <c r="H11" s="2470">
        <f t="shared" si="0"/>
        <v>0</v>
      </c>
      <c r="I11" s="606"/>
      <c r="J11" s="606"/>
      <c r="K11" s="2162"/>
    </row>
    <row r="12" spans="2:13">
      <c r="B12" s="620" t="s">
        <v>12</v>
      </c>
      <c r="C12" s="621"/>
      <c r="D12" s="622"/>
      <c r="E12" s="622"/>
      <c r="F12" s="623"/>
      <c r="G12" s="623"/>
      <c r="H12" s="2470">
        <f t="shared" si="0"/>
        <v>0</v>
      </c>
      <c r="I12" s="606"/>
      <c r="J12" s="606"/>
      <c r="K12" s="2162"/>
    </row>
    <row r="13" spans="2:13">
      <c r="B13" s="624" t="s">
        <v>427</v>
      </c>
      <c r="C13" s="621" t="s">
        <v>421</v>
      </c>
      <c r="D13" s="625">
        <f>RAT1000VAD!$H$17</f>
        <v>1.8440000000000002E-2</v>
      </c>
      <c r="E13" s="625">
        <f>RAT1000VAD!$N$17</f>
        <v>3.3369999999999997E-2</v>
      </c>
      <c r="F13" s="626">
        <f>RAT1000VAD!$O$17</f>
        <v>3.3369999999999997E-2</v>
      </c>
      <c r="G13" s="626">
        <f>RAT1000VAD!$P$17</f>
        <v>0</v>
      </c>
      <c r="H13" s="2470">
        <f t="shared" si="0"/>
        <v>0</v>
      </c>
      <c r="I13" s="606"/>
      <c r="J13" s="606"/>
      <c r="K13" s="2162"/>
    </row>
    <row r="14" spans="2:13">
      <c r="B14" s="620" t="s">
        <v>9</v>
      </c>
      <c r="C14" s="621"/>
      <c r="D14" s="625"/>
      <c r="E14" s="625"/>
      <c r="F14" s="626"/>
      <c r="G14" s="626"/>
      <c r="H14" s="2470">
        <f t="shared" si="0"/>
        <v>0</v>
      </c>
      <c r="I14" s="606"/>
      <c r="J14" s="606"/>
      <c r="K14" s="2162"/>
    </row>
    <row r="15" spans="2:13">
      <c r="B15" s="624" t="s">
        <v>427</v>
      </c>
      <c r="C15" s="621" t="s">
        <v>421</v>
      </c>
      <c r="D15" s="625">
        <f xml:space="preserve"> RAT1000VAD!$H$28</f>
        <v>2.8420000000000001E-2</v>
      </c>
      <c r="E15" s="625">
        <f xml:space="preserve"> RAT1000VAD!$N$28</f>
        <v>3.5180000000000003E-2</v>
      </c>
      <c r="F15" s="626">
        <f xml:space="preserve"> RAT1000VAD!$O$28</f>
        <v>3.5180000000000003E-2</v>
      </c>
      <c r="G15" s="626">
        <f xml:space="preserve"> RAT1000VAD!$P$28</f>
        <v>0</v>
      </c>
      <c r="H15" s="2470">
        <f t="shared" si="0"/>
        <v>0</v>
      </c>
      <c r="I15" s="606"/>
      <c r="J15" s="606"/>
      <c r="K15" s="2162"/>
    </row>
    <row r="16" spans="2:13">
      <c r="B16" s="620" t="s">
        <v>422</v>
      </c>
      <c r="C16" s="621"/>
      <c r="D16" s="625"/>
      <c r="E16" s="625"/>
      <c r="F16" s="626"/>
      <c r="G16" s="626"/>
      <c r="H16" s="2470">
        <f t="shared" si="0"/>
        <v>0</v>
      </c>
      <c r="I16" s="606"/>
      <c r="J16" s="606"/>
      <c r="K16" s="2162"/>
    </row>
    <row r="17" spans="2:13">
      <c r="B17" s="624" t="s">
        <v>427</v>
      </c>
      <c r="C17" s="621" t="s">
        <v>421</v>
      </c>
      <c r="D17" s="625">
        <f xml:space="preserve"> RAT1000PT!$H$22</f>
        <v>1.357E-2</v>
      </c>
      <c r="E17" s="625">
        <f xml:space="preserve"> RAT1000PT!$N$22</f>
        <v>1.8319999999999999E-2</v>
      </c>
      <c r="F17" s="626">
        <f xml:space="preserve"> RAT1000PT!$O$22</f>
        <v>1.6889999999999999E-2</v>
      </c>
      <c r="G17" s="626">
        <f xml:space="preserve"> RAT1000PT!$P$22</f>
        <v>1.4300000000000001E-3</v>
      </c>
      <c r="H17" s="2470">
        <f t="shared" si="0"/>
        <v>0</v>
      </c>
      <c r="I17" s="606"/>
      <c r="J17" s="606"/>
      <c r="K17" s="2162"/>
    </row>
    <row r="18" spans="2:13">
      <c r="B18" s="620" t="s">
        <v>309</v>
      </c>
      <c r="C18" s="621"/>
      <c r="D18" s="625"/>
      <c r="E18" s="625"/>
      <c r="F18" s="626"/>
      <c r="G18" s="626"/>
      <c r="H18" s="2470">
        <f t="shared" si="0"/>
        <v>0</v>
      </c>
      <c r="I18" s="606"/>
      <c r="J18" s="606"/>
      <c r="K18" s="2162"/>
    </row>
    <row r="19" spans="2:13">
      <c r="B19" s="624" t="s">
        <v>427</v>
      </c>
      <c r="C19" s="621" t="s">
        <v>421</v>
      </c>
      <c r="D19" s="625">
        <f xml:space="preserve"> RAT1000VAD!$H$58</f>
        <v>1.15E-3</v>
      </c>
      <c r="E19" s="625">
        <f xml:space="preserve"> RAT1000VAD!$N$58</f>
        <v>2.47E-3</v>
      </c>
      <c r="F19" s="626">
        <f xml:space="preserve"> RAT1000VAD!$O$58</f>
        <v>2.47E-3</v>
      </c>
      <c r="G19" s="626">
        <f xml:space="preserve"> RAT1000VAD!$P$58</f>
        <v>0</v>
      </c>
      <c r="H19" s="2470">
        <f t="shared" si="0"/>
        <v>0</v>
      </c>
      <c r="I19" s="606"/>
      <c r="J19" s="606"/>
      <c r="K19" s="2162"/>
    </row>
    <row r="20" spans="2:13">
      <c r="B20" s="620" t="s">
        <v>10</v>
      </c>
      <c r="C20" s="621"/>
      <c r="D20" s="625"/>
      <c r="E20" s="625"/>
      <c r="F20" s="626"/>
      <c r="G20" s="626"/>
      <c r="H20" s="2470">
        <f t="shared" si="0"/>
        <v>0</v>
      </c>
      <c r="I20" s="606"/>
      <c r="J20" s="606"/>
      <c r="K20" s="2162"/>
    </row>
    <row r="21" spans="2:13">
      <c r="B21" s="624" t="s">
        <v>427</v>
      </c>
      <c r="C21" s="621" t="s">
        <v>421</v>
      </c>
      <c r="D21" s="625">
        <f xml:space="preserve"> RAT1000PT!$H$48</f>
        <v>3.5500000000000002E-3</v>
      </c>
      <c r="E21" s="625">
        <f xml:space="preserve"> RAT1000PT!$N$48</f>
        <v>6.3299999999999997E-3</v>
      </c>
      <c r="F21" s="626">
        <f xml:space="preserve"> RAT1000PT!$O$48</f>
        <v>6.6499999999999997E-3</v>
      </c>
      <c r="G21" s="626">
        <f xml:space="preserve"> RAT1000PT!$P$48</f>
        <v>-3.2000000000000003E-4</v>
      </c>
      <c r="H21" s="2470">
        <f t="shared" si="0"/>
        <v>0</v>
      </c>
      <c r="I21" s="606"/>
      <c r="J21" s="606"/>
      <c r="K21" s="2162"/>
    </row>
    <row r="22" spans="2:13">
      <c r="B22" s="620" t="s">
        <v>861</v>
      </c>
      <c r="C22" s="621"/>
      <c r="D22" s="625"/>
      <c r="E22" s="625"/>
      <c r="F22" s="626"/>
      <c r="G22" s="626"/>
      <c r="H22" s="2470">
        <f t="shared" si="0"/>
        <v>0</v>
      </c>
      <c r="I22" s="606"/>
      <c r="J22" s="606"/>
      <c r="K22" s="2162"/>
    </row>
    <row r="23" spans="2:13">
      <c r="B23" s="624" t="s">
        <v>427</v>
      </c>
      <c r="C23" s="621" t="s">
        <v>421</v>
      </c>
      <c r="D23" s="625">
        <f xml:space="preserve"> RAT1000PT!$H$66</f>
        <v>3.8899999999999998E-3</v>
      </c>
      <c r="E23" s="625">
        <f xml:space="preserve"> RAT1000PT!$N$66</f>
        <v>7.26E-3</v>
      </c>
      <c r="F23" s="626">
        <f xml:space="preserve"> RAT1000PT!$O$66</f>
        <v>4.9199999999999999E-3</v>
      </c>
      <c r="G23" s="626">
        <f xml:space="preserve"> RAT1000PT!$P$66</f>
        <v>2.3400000000000001E-3</v>
      </c>
      <c r="H23" s="2470">
        <f t="shared" si="0"/>
        <v>0</v>
      </c>
      <c r="I23" s="606"/>
      <c r="J23" s="606"/>
      <c r="K23" s="2162"/>
    </row>
    <row r="24" spans="2:13">
      <c r="B24" s="620" t="s">
        <v>11</v>
      </c>
      <c r="C24" s="621"/>
      <c r="D24" s="625"/>
      <c r="E24" s="625"/>
      <c r="F24" s="626"/>
      <c r="G24" s="626"/>
      <c r="H24" s="2470">
        <f t="shared" si="0"/>
        <v>0</v>
      </c>
      <c r="I24" s="606"/>
      <c r="J24" s="606"/>
      <c r="K24" s="2162"/>
    </row>
    <row r="25" spans="2:13">
      <c r="B25" s="624" t="s">
        <v>427</v>
      </c>
      <c r="C25" s="621" t="s">
        <v>421</v>
      </c>
      <c r="D25" s="625">
        <f xml:space="preserve">  RAT1000PT!$H$118</f>
        <v>7.3139999999999997E-2</v>
      </c>
      <c r="E25" s="625">
        <f xml:space="preserve">  RAT1000PT!$N$118</f>
        <v>6.8879999999999997E-2</v>
      </c>
      <c r="F25" s="626">
        <f xml:space="preserve">  RAT1000PT!$O$118</f>
        <v>6.4750000000000002E-2</v>
      </c>
      <c r="G25" s="626">
        <f xml:space="preserve">  RAT1000PT!$P$118</f>
        <v>4.13E-3</v>
      </c>
      <c r="H25" s="2470">
        <f t="shared" si="0"/>
        <v>0</v>
      </c>
      <c r="I25" s="606"/>
      <c r="J25" s="606"/>
      <c r="K25" s="2162"/>
    </row>
    <row r="26" spans="2:13">
      <c r="B26" s="624" t="s">
        <v>1212</v>
      </c>
      <c r="C26" s="621" t="s">
        <v>421</v>
      </c>
      <c r="D26" s="625">
        <f xml:space="preserve"> RAT1000PT!$H$91</f>
        <v>3.4099999999999998E-2</v>
      </c>
      <c r="E26" s="625">
        <f xml:space="preserve"> RAT1000PT!$N$91</f>
        <v>1.46E-2</v>
      </c>
      <c r="F26" s="626">
        <f xml:space="preserve"> RAT1000PT!$O$91</f>
        <v>1.46E-2</v>
      </c>
      <c r="G26" s="626">
        <f xml:space="preserve"> RAT1000PT!$P$91</f>
        <v>0</v>
      </c>
      <c r="H26" s="2470">
        <f t="shared" si="0"/>
        <v>0</v>
      </c>
      <c r="I26" s="606"/>
      <c r="J26" s="606"/>
      <c r="K26" s="2162"/>
    </row>
    <row r="27" spans="2:13">
      <c r="B27" s="624" t="s">
        <v>2184</v>
      </c>
      <c r="C27" s="621" t="s">
        <v>421</v>
      </c>
      <c r="D27" s="625">
        <f xml:space="preserve"> RAT1000PT!$H$37</f>
        <v>2.0400000000000001E-3</v>
      </c>
      <c r="E27" s="625">
        <f xml:space="preserve"> RAT1000PT!$N$37</f>
        <v>1.72E-3</v>
      </c>
      <c r="F27" s="626">
        <f xml:space="preserve"> RAT1000PT!$O$37</f>
        <v>1.6000000000000001E-3</v>
      </c>
      <c r="G27" s="626">
        <f xml:space="preserve"> RAT1000PT!$P$37</f>
        <v>1.2E-4</v>
      </c>
      <c r="H27" s="2470">
        <f t="shared" si="0"/>
        <v>-1.2197274440461925E-19</v>
      </c>
      <c r="I27" s="606"/>
      <c r="J27" s="606"/>
      <c r="K27" s="2162"/>
    </row>
    <row r="28" spans="2:13">
      <c r="B28" s="624" t="s">
        <v>1224</v>
      </c>
      <c r="C28" s="621" t="s">
        <v>421</v>
      </c>
      <c r="D28" s="625">
        <f>RAT1000PT!$H$129</f>
        <v>0</v>
      </c>
      <c r="E28" s="625">
        <f>RAT1000PT!$N$129</f>
        <v>0</v>
      </c>
      <c r="F28" s="626">
        <f>+RAT1000PT!$O$129</f>
        <v>0</v>
      </c>
      <c r="G28" s="626">
        <f>+RAT1000PT!$P$129</f>
        <v>0</v>
      </c>
      <c r="H28" s="2470">
        <f t="shared" si="0"/>
        <v>0</v>
      </c>
      <c r="I28" s="606"/>
      <c r="J28" s="606"/>
      <c r="K28" s="2162"/>
    </row>
    <row r="29" spans="2:13" s="1203" customFormat="1" ht="11.25">
      <c r="B29" s="1208"/>
      <c r="C29" s="1207"/>
      <c r="D29" s="1206"/>
      <c r="E29" s="1206"/>
      <c r="F29" s="1205"/>
      <c r="G29" s="1205"/>
      <c r="H29" s="2470">
        <f t="shared" si="0"/>
        <v>0</v>
      </c>
      <c r="I29" s="1204"/>
      <c r="J29" s="1204"/>
      <c r="K29" s="2163"/>
      <c r="L29" s="2164"/>
      <c r="M29" s="2164"/>
    </row>
    <row r="30" spans="2:13">
      <c r="B30" s="611" t="s">
        <v>267</v>
      </c>
      <c r="C30" s="599"/>
      <c r="D30" s="2292" t="s">
        <v>2084</v>
      </c>
      <c r="E30" s="2293" t="s">
        <v>2083</v>
      </c>
      <c r="F30" s="601"/>
      <c r="G30" s="601"/>
      <c r="H30" s="2470"/>
      <c r="I30" s="606"/>
      <c r="J30" s="606"/>
      <c r="K30" s="2162"/>
    </row>
    <row r="31" spans="2:13">
      <c r="B31" s="612" t="s">
        <v>1189</v>
      </c>
      <c r="C31" s="613"/>
      <c r="D31" s="614"/>
      <c r="E31" s="614"/>
      <c r="F31" s="615"/>
      <c r="G31" s="615"/>
      <c r="H31" s="2470">
        <f t="shared" ref="H31:H96" si="1">E31-F31-G31</f>
        <v>0</v>
      </c>
      <c r="I31" s="606"/>
      <c r="J31" s="606"/>
      <c r="K31" s="2162"/>
    </row>
    <row r="32" spans="2:13">
      <c r="B32" s="616" t="s">
        <v>894</v>
      </c>
      <c r="C32" s="617" t="s">
        <v>418</v>
      </c>
      <c r="D32" s="627">
        <f>+D38</f>
        <v>2.36</v>
      </c>
      <c r="E32" s="627">
        <f>+E38</f>
        <v>2.76</v>
      </c>
      <c r="F32" s="628">
        <f>+F38</f>
        <v>2.76</v>
      </c>
      <c r="G32" s="628">
        <f>+G38</f>
        <v>0</v>
      </c>
      <c r="H32" s="2470">
        <f t="shared" si="1"/>
        <v>0</v>
      </c>
      <c r="I32" s="606"/>
      <c r="J32" s="606">
        <f t="shared" ref="J32:M33" si="2">D$35/D33</f>
        <v>1.3132358796427959</v>
      </c>
      <c r="K32" s="606">
        <f t="shared" si="2"/>
        <v>1.5172805175642698</v>
      </c>
      <c r="L32" s="606">
        <f t="shared" si="2"/>
        <v>1.5159857904085257</v>
      </c>
      <c r="M32" s="606">
        <f t="shared" si="2"/>
        <v>1.5472948892390672</v>
      </c>
    </row>
    <row r="33" spans="2:13">
      <c r="B33" s="616" t="s">
        <v>1180</v>
      </c>
      <c r="C33" s="617" t="s">
        <v>419</v>
      </c>
      <c r="D33" s="618">
        <f t="shared" ref="D33" si="3">+D39+D41+D43+D45+D47+D49+D51+D54+D57+D58</f>
        <v>0.17581000000000002</v>
      </c>
      <c r="E33" s="618">
        <f>+E39+E41+E43+E45+E47+E49+E51+E54+E57+E58</f>
        <v>0.17621000000000001</v>
      </c>
      <c r="F33" s="618">
        <f t="shared" ref="F33:G33" si="4">+F39+F41+F43+F45+F47+F49+F51+F54+F57+F58</f>
        <v>0.16890000000000002</v>
      </c>
      <c r="G33" s="618">
        <f t="shared" si="4"/>
        <v>7.3093329739759311E-3</v>
      </c>
      <c r="H33" s="2470">
        <f t="shared" si="1"/>
        <v>6.6702602405203926E-7</v>
      </c>
      <c r="I33" s="629"/>
      <c r="J33" s="606">
        <f t="shared" si="2"/>
        <v>1.1338768293880757</v>
      </c>
      <c r="K33" s="606">
        <f t="shared" si="2"/>
        <v>1.0941234244557208</v>
      </c>
      <c r="L33" s="606">
        <f t="shared" si="2"/>
        <v>1.0939502691617533</v>
      </c>
      <c r="M33" s="606">
        <f t="shared" si="2"/>
        <v>1.097979270716799</v>
      </c>
    </row>
    <row r="34" spans="2:13">
      <c r="B34" s="616" t="s">
        <v>1669</v>
      </c>
      <c r="C34" s="617" t="s">
        <v>419</v>
      </c>
      <c r="D34" s="618">
        <f t="shared" ref="D34" si="5">+D39+D41+D43+D45+D47+D49+D52+D55+D57+D58</f>
        <v>0.20362000000000002</v>
      </c>
      <c r="E34" s="618">
        <f>+E39+E41+E43+E45+E47+E49+E52+E55+E57+E58</f>
        <v>0.24436000000000005</v>
      </c>
      <c r="F34" s="618">
        <f t="shared" ref="F34:G34" si="6">+F39+F41+F43+F45+F47+F49+F52+F55+F57+F58</f>
        <v>0.23406000000000002</v>
      </c>
      <c r="G34" s="618">
        <f t="shared" si="6"/>
        <v>1.030046181745871E-2</v>
      </c>
      <c r="H34" s="2470">
        <f t="shared" si="1"/>
        <v>-4.6181745867908408E-7</v>
      </c>
      <c r="I34" s="629"/>
      <c r="J34" s="629">
        <f t="shared" ref="J34:M35" si="7">D34-D33</f>
        <v>2.7810000000000001E-2</v>
      </c>
      <c r="K34" s="2165">
        <f t="shared" si="7"/>
        <v>6.8150000000000044E-2</v>
      </c>
      <c r="L34" s="2165">
        <f t="shared" si="7"/>
        <v>6.5159999999999996E-2</v>
      </c>
      <c r="M34" s="2165">
        <f t="shared" si="7"/>
        <v>2.9911288434827793E-3</v>
      </c>
    </row>
    <row r="35" spans="2:13">
      <c r="B35" s="616" t="s">
        <v>1668</v>
      </c>
      <c r="C35" s="617" t="s">
        <v>419</v>
      </c>
      <c r="D35" s="618">
        <f t="shared" ref="D35" si="8">+D39+D41+D43+D45+D47+D49+D53+D56+D57+D58</f>
        <v>0.23087999999999997</v>
      </c>
      <c r="E35" s="618">
        <f>+E39+E41+E43+E45+E47+E49+E53+E56+E57+E58</f>
        <v>0.26735999999999999</v>
      </c>
      <c r="F35" s="618">
        <f t="shared" ref="F35:G35" si="9">+F39+F41+F43+F45+F47+F49+F53+F56+F57+F58</f>
        <v>0.25605</v>
      </c>
      <c r="G35" s="618">
        <f t="shared" si="9"/>
        <v>1.130969355437955E-2</v>
      </c>
      <c r="H35" s="2470">
        <f t="shared" si="1"/>
        <v>3.0644562043664891E-7</v>
      </c>
      <c r="I35" s="629"/>
      <c r="J35" s="629">
        <f t="shared" si="7"/>
        <v>2.7259999999999951E-2</v>
      </c>
      <c r="K35" s="2165">
        <f t="shared" si="7"/>
        <v>2.2999999999999937E-2</v>
      </c>
      <c r="L35" s="2165">
        <f t="shared" si="7"/>
        <v>2.1989999999999982E-2</v>
      </c>
      <c r="M35" s="2165">
        <f t="shared" si="7"/>
        <v>1.0092317369208396E-3</v>
      </c>
    </row>
    <row r="36" spans="2:13">
      <c r="B36" s="619" t="s">
        <v>1190</v>
      </c>
      <c r="H36" s="2470">
        <f t="shared" si="1"/>
        <v>0</v>
      </c>
      <c r="I36" s="606"/>
      <c r="J36" s="606"/>
      <c r="K36" s="2162"/>
    </row>
    <row r="37" spans="2:13">
      <c r="B37" s="620" t="s">
        <v>12</v>
      </c>
      <c r="C37" s="621"/>
      <c r="D37" s="622"/>
      <c r="E37" s="622"/>
      <c r="F37" s="623"/>
      <c r="G37" s="623"/>
      <c r="H37" s="2470">
        <f t="shared" si="1"/>
        <v>0</v>
      </c>
      <c r="I37" s="630"/>
      <c r="J37" s="630"/>
      <c r="K37" s="2166"/>
      <c r="L37" s="2166"/>
    </row>
    <row r="38" spans="2:13">
      <c r="B38" s="624" t="s">
        <v>894</v>
      </c>
      <c r="C38" s="621" t="s">
        <v>420</v>
      </c>
      <c r="D38" s="631">
        <f xml:space="preserve"> RAT1000VAD!$H$8</f>
        <v>2.36</v>
      </c>
      <c r="E38" s="631">
        <f xml:space="preserve"> RAT1000VAD!$N$8</f>
        <v>2.76</v>
      </c>
      <c r="F38" s="632">
        <f xml:space="preserve"> RAT1000VAD!$O$8</f>
        <v>2.76</v>
      </c>
      <c r="G38" s="632">
        <f xml:space="preserve"> RAT1000VAD!$P$8</f>
        <v>0</v>
      </c>
      <c r="H38" s="2470">
        <f t="shared" si="1"/>
        <v>0</v>
      </c>
      <c r="I38" s="633"/>
      <c r="J38" s="633"/>
      <c r="K38" s="2167"/>
      <c r="L38" s="2167"/>
    </row>
    <row r="39" spans="2:13">
      <c r="B39" s="624" t="s">
        <v>895</v>
      </c>
      <c r="C39" s="621" t="s">
        <v>421</v>
      </c>
      <c r="D39" s="625">
        <f>RAT1000VAD!$H$18</f>
        <v>1.5949999999999999E-2</v>
      </c>
      <c r="E39" s="625">
        <f>RAT1000VAD!$N$18</f>
        <v>1.7950000000000001E-2</v>
      </c>
      <c r="F39" s="626">
        <f>RAT1000VAD!$O$18</f>
        <v>1.7950000000000001E-2</v>
      </c>
      <c r="G39" s="626">
        <f>RAT1000VAD!$P$18</f>
        <v>0</v>
      </c>
      <c r="H39" s="2470">
        <f t="shared" si="1"/>
        <v>0</v>
      </c>
      <c r="I39" s="633"/>
      <c r="J39" s="633"/>
      <c r="K39" s="2167"/>
      <c r="L39" s="2167"/>
    </row>
    <row r="40" spans="2:13">
      <c r="B40" s="620" t="s">
        <v>9</v>
      </c>
      <c r="C40" s="621"/>
      <c r="D40" s="625"/>
      <c r="E40" s="625"/>
      <c r="F40" s="626"/>
      <c r="G40" s="626"/>
      <c r="H40" s="2470">
        <f t="shared" si="1"/>
        <v>0</v>
      </c>
      <c r="I40" s="633"/>
      <c r="J40" s="633"/>
      <c r="K40" s="2167"/>
      <c r="L40" s="2167"/>
    </row>
    <row r="41" spans="2:13">
      <c r="B41" s="624" t="s">
        <v>895</v>
      </c>
      <c r="C41" s="621" t="s">
        <v>421</v>
      </c>
      <c r="D41" s="625">
        <f xml:space="preserve"> RAT1000VAD!$H$29</f>
        <v>2.8420000000000001E-2</v>
      </c>
      <c r="E41" s="625">
        <f xml:space="preserve"> RAT1000VAD!$N$29</f>
        <v>3.6110000000000003E-2</v>
      </c>
      <c r="F41" s="626">
        <f xml:space="preserve"> RAT1000VAD!$O$29</f>
        <v>3.6110000000000003E-2</v>
      </c>
      <c r="G41" s="626">
        <f xml:space="preserve"> RAT1000VAD!$P$29</f>
        <v>0</v>
      </c>
      <c r="H41" s="2470">
        <f t="shared" si="1"/>
        <v>0</v>
      </c>
      <c r="I41" s="630"/>
      <c r="J41" s="630"/>
      <c r="K41" s="2166"/>
      <c r="L41" s="2167"/>
    </row>
    <row r="42" spans="2:13">
      <c r="B42" s="620" t="s">
        <v>422</v>
      </c>
      <c r="C42" s="621"/>
      <c r="D42" s="625"/>
      <c r="E42" s="625"/>
      <c r="F42" s="626"/>
      <c r="G42" s="626"/>
      <c r="H42" s="2470">
        <f t="shared" si="1"/>
        <v>0</v>
      </c>
      <c r="I42" s="633"/>
      <c r="J42" s="633"/>
      <c r="K42" s="2167"/>
    </row>
    <row r="43" spans="2:13">
      <c r="B43" s="624" t="s">
        <v>895</v>
      </c>
      <c r="C43" s="621" t="s">
        <v>421</v>
      </c>
      <c r="D43" s="634">
        <f xml:space="preserve"> RAT1000PT!$H$23</f>
        <v>1.357E-2</v>
      </c>
      <c r="E43" s="634">
        <f xml:space="preserve"> RAT1000PT!$N$23</f>
        <v>1.8769999999999998E-2</v>
      </c>
      <c r="F43" s="635">
        <f xml:space="preserve"> RAT1000PT!$O$23</f>
        <v>1.7340000000000001E-2</v>
      </c>
      <c r="G43" s="635">
        <f xml:space="preserve"> RAT1000PT!$P$23</f>
        <v>1.4300000000000001E-3</v>
      </c>
      <c r="H43" s="2470">
        <f t="shared" si="1"/>
        <v>-2.8189256484623115E-18</v>
      </c>
      <c r="I43" s="606"/>
      <c r="J43" s="606"/>
      <c r="K43" s="2162"/>
    </row>
    <row r="44" spans="2:13">
      <c r="B44" s="620" t="s">
        <v>309</v>
      </c>
      <c r="C44" s="621"/>
      <c r="D44" s="634"/>
      <c r="E44" s="634"/>
      <c r="F44" s="635"/>
      <c r="G44" s="635"/>
      <c r="H44" s="2470">
        <f t="shared" si="1"/>
        <v>0</v>
      </c>
      <c r="I44" s="636"/>
      <c r="J44" s="636"/>
      <c r="K44" s="2168"/>
    </row>
    <row r="45" spans="2:13">
      <c r="B45" s="624" t="s">
        <v>895</v>
      </c>
      <c r="C45" s="621" t="s">
        <v>421</v>
      </c>
      <c r="D45" s="634">
        <f xml:space="preserve"> RAT1000VAD!$H$59</f>
        <v>1.15E-3</v>
      </c>
      <c r="E45" s="634">
        <f xml:space="preserve"> RAT1000VAD!$N$59</f>
        <v>2.5300000000000001E-3</v>
      </c>
      <c r="F45" s="635">
        <f xml:space="preserve"> RAT1000VAD!$O$59</f>
        <v>2.5300000000000001E-3</v>
      </c>
      <c r="G45" s="635">
        <f xml:space="preserve"> RAT1000VAD!$P$59</f>
        <v>0</v>
      </c>
      <c r="H45" s="2470">
        <f t="shared" si="1"/>
        <v>0</v>
      </c>
      <c r="I45" s="636"/>
      <c r="J45" s="636"/>
      <c r="K45" s="2168"/>
    </row>
    <row r="46" spans="2:13">
      <c r="B46" s="620" t="s">
        <v>10</v>
      </c>
      <c r="C46" s="621"/>
      <c r="D46" s="625"/>
      <c r="E46" s="625"/>
      <c r="F46" s="626"/>
      <c r="G46" s="626"/>
      <c r="H46" s="2470">
        <f t="shared" si="1"/>
        <v>0</v>
      </c>
      <c r="I46" s="606"/>
      <c r="J46" s="606"/>
      <c r="K46" s="2162"/>
    </row>
    <row r="47" spans="2:13">
      <c r="B47" s="624" t="s">
        <v>895</v>
      </c>
      <c r="C47" s="621" t="s">
        <v>421</v>
      </c>
      <c r="D47" s="625">
        <f xml:space="preserve"> RAT1000PT!$H$49</f>
        <v>3.5500000000000002E-3</v>
      </c>
      <c r="E47" s="625">
        <f xml:space="preserve"> RAT1000PT!$N$49</f>
        <v>6.4999999999999997E-3</v>
      </c>
      <c r="F47" s="626">
        <f xml:space="preserve"> RAT1000PT!$O$49</f>
        <v>6.8199999999999997E-3</v>
      </c>
      <c r="G47" s="626">
        <f xml:space="preserve"> RAT1000PT!$P$49</f>
        <v>-3.2000000000000003E-4</v>
      </c>
      <c r="H47" s="2470">
        <f t="shared" si="1"/>
        <v>0</v>
      </c>
      <c r="I47" s="606"/>
      <c r="J47" s="606"/>
      <c r="K47" s="2162"/>
    </row>
    <row r="48" spans="2:13">
      <c r="B48" s="620" t="s">
        <v>861</v>
      </c>
      <c r="C48" s="621"/>
      <c r="D48" s="625"/>
      <c r="E48" s="625"/>
      <c r="F48" s="626"/>
      <c r="G48" s="626"/>
      <c r="H48" s="2470">
        <f t="shared" si="1"/>
        <v>0</v>
      </c>
      <c r="I48" s="606"/>
      <c r="J48" s="606"/>
      <c r="K48" s="2162"/>
    </row>
    <row r="49" spans="2:14">
      <c r="B49" s="624" t="s">
        <v>895</v>
      </c>
      <c r="C49" s="621" t="s">
        <v>421</v>
      </c>
      <c r="D49" s="625">
        <f xml:space="preserve"> RAT1000PT!$H$67</f>
        <v>3.8899999999999998E-3</v>
      </c>
      <c r="E49" s="625">
        <f xml:space="preserve"> RAT1000PT!$N$67</f>
        <v>7.3899999999999999E-3</v>
      </c>
      <c r="F49" s="626">
        <f xml:space="preserve"> RAT1000PT!$O$67</f>
        <v>5.0499999999999998E-3</v>
      </c>
      <c r="G49" s="626">
        <f xml:space="preserve"> RAT1000PT!$P$67</f>
        <v>2.3400000000000001E-3</v>
      </c>
      <c r="H49" s="2470">
        <f t="shared" si="1"/>
        <v>0</v>
      </c>
      <c r="I49" s="606"/>
      <c r="J49" s="606"/>
      <c r="K49" s="2162"/>
    </row>
    <row r="50" spans="2:14">
      <c r="B50" s="620" t="s">
        <v>11</v>
      </c>
      <c r="C50" s="621"/>
      <c r="D50" s="625"/>
      <c r="E50" s="625"/>
      <c r="F50" s="626"/>
      <c r="G50" s="626"/>
      <c r="H50" s="2470">
        <f t="shared" si="1"/>
        <v>0</v>
      </c>
      <c r="I50" s="606"/>
      <c r="J50" s="606"/>
      <c r="K50" s="2162"/>
    </row>
    <row r="51" spans="2:14">
      <c r="B51" s="624" t="str">
        <f>B33</f>
        <v>Cargo por Energía (consumo 11 a 300 KWh)</v>
      </c>
      <c r="C51" s="621" t="s">
        <v>421</v>
      </c>
      <c r="D51" s="625">
        <f xml:space="preserve">  RAT1000PT!$H119</f>
        <v>7.3139999999999997E-2</v>
      </c>
      <c r="E51" s="625">
        <f xml:space="preserve">  RAT1000PT!$N119</f>
        <v>7.0209999999999995E-2</v>
      </c>
      <c r="F51" s="626">
        <f xml:space="preserve">  RAT1000PT!$O119</f>
        <v>6.6470000000000001E-2</v>
      </c>
      <c r="G51" s="626">
        <f xml:space="preserve">  RAT1000PT!$P119</f>
        <v>3.7393329739759313E-3</v>
      </c>
      <c r="H51" s="2470">
        <f t="shared" si="1"/>
        <v>6.6702602406201392E-7</v>
      </c>
      <c r="I51" s="606"/>
      <c r="J51" s="606"/>
      <c r="K51" s="2162"/>
    </row>
    <row r="52" spans="2:14">
      <c r="B52" s="624" t="str">
        <f>B34</f>
        <v>Cargo por Energía (consumo 301 a 750 KWh)</v>
      </c>
      <c r="C52" s="621" t="s">
        <v>421</v>
      </c>
      <c r="D52" s="625">
        <f xml:space="preserve">  RAT1000PT!$H120</f>
        <v>0.10095</v>
      </c>
      <c r="E52" s="625">
        <f xml:space="preserve">  RAT1000PT!$N120</f>
        <v>0.12637000000000001</v>
      </c>
      <c r="F52" s="626">
        <f xml:space="preserve">  RAT1000PT!$O120</f>
        <v>0.11964</v>
      </c>
      <c r="G52" s="626">
        <f xml:space="preserve">  RAT1000PT!$P120</f>
        <v>6.7304618174587093E-3</v>
      </c>
      <c r="H52" s="2470">
        <f t="shared" si="1"/>
        <v>-4.6181745869556395E-7</v>
      </c>
      <c r="I52" s="606"/>
      <c r="J52" s="629">
        <f t="shared" ref="J52:M53" si="10">D52-D51</f>
        <v>2.7810000000000001E-2</v>
      </c>
      <c r="K52" s="2165">
        <f t="shared" si="10"/>
        <v>5.6160000000000015E-2</v>
      </c>
      <c r="L52" s="2165">
        <f t="shared" si="10"/>
        <v>5.3169999999999995E-2</v>
      </c>
      <c r="M52" s="2165">
        <f t="shared" si="10"/>
        <v>2.991128843482778E-3</v>
      </c>
    </row>
    <row r="53" spans="2:14">
      <c r="B53" s="624" t="str">
        <f>B35</f>
        <v>Cargo por Energía (consumo 750 y Más KWh)</v>
      </c>
      <c r="C53" s="621" t="s">
        <v>421</v>
      </c>
      <c r="D53" s="625">
        <f xml:space="preserve">  RAT1000PT!$H121</f>
        <v>0.12820999999999999</v>
      </c>
      <c r="E53" s="625">
        <f xml:space="preserve">  RAT1000PT!$N121</f>
        <v>0.14532</v>
      </c>
      <c r="F53" s="626">
        <f xml:space="preserve">  RAT1000PT!$O121</f>
        <v>0.13758000000000001</v>
      </c>
      <c r="G53" s="626">
        <f xml:space="preserve">  RAT1000PT!$P121</f>
        <v>7.7396935543795498E-3</v>
      </c>
      <c r="H53" s="2470">
        <f t="shared" si="1"/>
        <v>3.0644562044705725E-7</v>
      </c>
      <c r="I53" s="606"/>
      <c r="J53" s="629">
        <f t="shared" si="10"/>
        <v>2.7259999999999993E-2</v>
      </c>
      <c r="K53" s="2165">
        <f t="shared" si="10"/>
        <v>1.8949999999999995E-2</v>
      </c>
      <c r="L53" s="2165">
        <f t="shared" si="10"/>
        <v>1.7940000000000011E-2</v>
      </c>
      <c r="M53" s="2165">
        <f t="shared" si="10"/>
        <v>1.0092317369208405E-3</v>
      </c>
    </row>
    <row r="54" spans="2:14">
      <c r="B54" s="624" t="s">
        <v>2191</v>
      </c>
      <c r="C54" s="621" t="s">
        <v>421</v>
      </c>
      <c r="D54" s="625">
        <f xml:space="preserve"> RAT1000PT!$H$92</f>
        <v>3.4099999999999998E-2</v>
      </c>
      <c r="E54" s="625">
        <f xml:space="preserve"> RAT1000PT!$N$92</f>
        <v>1.499E-2</v>
      </c>
      <c r="F54" s="626">
        <f xml:space="preserve"> RAT1000PT!$O$92</f>
        <v>1.499E-2</v>
      </c>
      <c r="G54" s="626">
        <f xml:space="preserve"> RAT1000PT!$P$92</f>
        <v>0</v>
      </c>
      <c r="H54" s="2470">
        <f t="shared" si="1"/>
        <v>0</v>
      </c>
      <c r="I54" s="606"/>
      <c r="J54" s="606"/>
      <c r="K54" s="2162"/>
    </row>
    <row r="55" spans="2:14">
      <c r="B55" s="624" t="s">
        <v>2192</v>
      </c>
      <c r="C55" s="621" t="s">
        <v>421</v>
      </c>
      <c r="D55" s="625">
        <f xml:space="preserve"> RAT1000PT!$H$93</f>
        <v>3.4099999999999998E-2</v>
      </c>
      <c r="E55" s="625">
        <f xml:space="preserve"> RAT1000PT!$N$93</f>
        <v>2.6980000000000001E-2</v>
      </c>
      <c r="F55" s="626">
        <f xml:space="preserve"> RAT1000PT!$O$93</f>
        <v>2.6980000000000001E-2</v>
      </c>
      <c r="G55" s="626">
        <f xml:space="preserve"> RAT1000PT!$P$93</f>
        <v>0</v>
      </c>
      <c r="H55" s="2470">
        <f t="shared" ref="H55:H56" si="11">E55-F55-G55</f>
        <v>0</v>
      </c>
      <c r="I55" s="606"/>
      <c r="J55" s="606"/>
      <c r="K55" s="2162"/>
    </row>
    <row r="56" spans="2:14">
      <c r="B56" s="624" t="s">
        <v>2193</v>
      </c>
      <c r="C56" s="621" t="s">
        <v>421</v>
      </c>
      <c r="D56" s="625">
        <f xml:space="preserve"> RAT1000PT!$H$94</f>
        <v>3.4099999999999998E-2</v>
      </c>
      <c r="E56" s="625">
        <f xml:space="preserve"> RAT1000PT!$N$94</f>
        <v>3.1029999999999999E-2</v>
      </c>
      <c r="F56" s="626">
        <f xml:space="preserve"> RAT1000PT!$O$94</f>
        <v>3.1029999999999999E-2</v>
      </c>
      <c r="G56" s="626">
        <f xml:space="preserve"> RAT1000PT!$P$94</f>
        <v>0</v>
      </c>
      <c r="H56" s="2470">
        <f t="shared" si="11"/>
        <v>0</v>
      </c>
      <c r="I56" s="606"/>
      <c r="J56" s="606"/>
      <c r="K56" s="2162"/>
    </row>
    <row r="57" spans="2:14">
      <c r="B57" s="624" t="s">
        <v>2185</v>
      </c>
      <c r="C57" s="621" t="s">
        <v>421</v>
      </c>
      <c r="D57" s="625">
        <f xml:space="preserve"> RAT1000PT!$H$38</f>
        <v>2.0400000000000001E-3</v>
      </c>
      <c r="E57" s="625">
        <f xml:space="preserve"> RAT1000PT!$N$38</f>
        <v>1.7600000000000001E-3</v>
      </c>
      <c r="F57" s="626">
        <f xml:space="preserve"> RAT1000PT!$O$38</f>
        <v>1.64E-3</v>
      </c>
      <c r="G57" s="626">
        <f xml:space="preserve"> RAT1000PT!$P$38</f>
        <v>1.2E-4</v>
      </c>
      <c r="H57" s="2470">
        <f t="shared" si="1"/>
        <v>0</v>
      </c>
      <c r="I57" s="606"/>
      <c r="J57" s="2162">
        <f>D53/D52</f>
        <v>1.2700346706290242</v>
      </c>
      <c r="K57" s="2162">
        <f>E53/E52</f>
        <v>1.149956477011949</v>
      </c>
      <c r="L57" s="2162">
        <f t="shared" ref="L57:M57" si="12">F53/F52</f>
        <v>1.149949849548646</v>
      </c>
      <c r="M57" s="2162">
        <f t="shared" si="12"/>
        <v>1.149949849548646</v>
      </c>
    </row>
    <row r="58" spans="2:14">
      <c r="B58" s="624" t="s">
        <v>1224</v>
      </c>
      <c r="C58" s="621" t="s">
        <v>421</v>
      </c>
      <c r="D58" s="625">
        <f>RAT1000PT!$H$130</f>
        <v>0</v>
      </c>
      <c r="E58" s="625">
        <f>RAT1000PT!$N$130</f>
        <v>0</v>
      </c>
      <c r="F58" s="626">
        <f>+RAT1000PT!$O$130</f>
        <v>0</v>
      </c>
      <c r="G58" s="626">
        <f>+RAT1000PT!$P$130</f>
        <v>0</v>
      </c>
      <c r="H58" s="2470">
        <f t="shared" si="1"/>
        <v>0</v>
      </c>
      <c r="I58" s="606"/>
      <c r="J58" s="2162">
        <f>D53/D51</f>
        <v>1.7529395679518731</v>
      </c>
      <c r="K58" s="2162">
        <f>E53/E51</f>
        <v>2.0697906281156531</v>
      </c>
      <c r="L58" s="2162">
        <f t="shared" ref="L58:M58" si="13">F53/F51</f>
        <v>2.0698059274860841</v>
      </c>
      <c r="M58" s="2162">
        <f t="shared" si="13"/>
        <v>2.0698059274860841</v>
      </c>
    </row>
    <row r="59" spans="2:14" s="1203" customFormat="1" ht="11.25">
      <c r="B59" s="1208"/>
      <c r="C59" s="1207"/>
      <c r="D59" s="1206"/>
      <c r="E59" s="1206"/>
      <c r="F59" s="1205"/>
      <c r="G59" s="1205"/>
      <c r="H59" s="2470">
        <f t="shared" si="1"/>
        <v>0</v>
      </c>
      <c r="I59" s="1204"/>
      <c r="J59" s="1204"/>
      <c r="K59" s="2163"/>
      <c r="L59" s="2164"/>
      <c r="M59" s="2164"/>
    </row>
    <row r="60" spans="2:14">
      <c r="B60" s="611" t="s">
        <v>1178</v>
      </c>
      <c r="C60" s="599"/>
      <c r="D60" s="600"/>
      <c r="E60" s="600"/>
      <c r="F60" s="601"/>
      <c r="G60" s="601"/>
      <c r="H60" s="2470">
        <f t="shared" si="1"/>
        <v>0</v>
      </c>
      <c r="I60" s="606"/>
      <c r="J60" s="606"/>
      <c r="K60" s="2162"/>
    </row>
    <row r="61" spans="2:14">
      <c r="B61" s="612" t="s">
        <v>1189</v>
      </c>
      <c r="C61" s="613"/>
      <c r="D61" s="614"/>
      <c r="E61" s="614"/>
      <c r="F61" s="615"/>
      <c r="G61" s="615"/>
      <c r="H61" s="2470">
        <f t="shared" si="1"/>
        <v>0</v>
      </c>
      <c r="I61" s="606"/>
      <c r="J61" s="606"/>
      <c r="K61" s="2162"/>
    </row>
    <row r="62" spans="2:14">
      <c r="B62" s="616" t="s">
        <v>313</v>
      </c>
      <c r="C62" s="617" t="s">
        <v>418</v>
      </c>
      <c r="D62" s="627">
        <f>+D68</f>
        <v>2.36</v>
      </c>
      <c r="E62" s="627">
        <f>+E68</f>
        <v>2.76</v>
      </c>
      <c r="F62" s="628">
        <f>+F68</f>
        <v>2.76</v>
      </c>
      <c r="G62" s="628">
        <f>+G68</f>
        <v>0</v>
      </c>
      <c r="H62" s="2470">
        <f t="shared" si="1"/>
        <v>0</v>
      </c>
      <c r="I62" s="606"/>
      <c r="J62" s="606"/>
      <c r="K62" s="2162"/>
    </row>
    <row r="63" spans="2:14">
      <c r="B63" s="616" t="s">
        <v>1186</v>
      </c>
      <c r="C63" s="617" t="s">
        <v>419</v>
      </c>
      <c r="D63" s="618">
        <f>+D69+D71+D75+D77+D79+D81+D83+D86+D87+D88</f>
        <v>0.17581000000000002</v>
      </c>
      <c r="E63" s="618">
        <f>+E69+E71+E75+E77+E79+E81+E83+E86+E87+E88</f>
        <v>0.30385000000000001</v>
      </c>
      <c r="F63" s="679">
        <f>+F69+F71+F75+F77+F79+F81+F83+F86+F87+F88</f>
        <v>0.28989999999999999</v>
      </c>
      <c r="G63" s="679">
        <f>+G69+G71+G75+G77+G79+G81+G83+G86+G87+G88</f>
        <v>1.3946409914997149E-2</v>
      </c>
      <c r="H63" s="2468">
        <f t="shared" si="1"/>
        <v>3.590085002868823E-6</v>
      </c>
      <c r="I63" s="637"/>
      <c r="J63" s="637"/>
      <c r="K63" s="2169"/>
      <c r="L63" s="2169"/>
      <c r="M63" s="2169"/>
      <c r="N63" s="793"/>
    </row>
    <row r="64" spans="2:14">
      <c r="B64" s="616" t="s">
        <v>1187</v>
      </c>
      <c r="C64" s="617" t="s">
        <v>419</v>
      </c>
      <c r="D64" s="618">
        <f>+D69+D72+D75+D77+D79+D81+D84+D86+D87+D88</f>
        <v>0.17581000000000002</v>
      </c>
      <c r="E64" s="618">
        <f>+E69+E72+E75+E77+E79+E81+E84+E86+E87+E88</f>
        <v>0.22592000000000001</v>
      </c>
      <c r="F64" s="679">
        <f>+F69+F72+F75+F77+F79+F81+F84+F86+F87+F88</f>
        <v>0.21611999999999998</v>
      </c>
      <c r="G64" s="679">
        <f>+G69+G72+G75+G77+G79+G81+G84+G86+G87+G88</f>
        <v>9.7958459489982906E-3</v>
      </c>
      <c r="H64" s="2468">
        <f t="shared" si="1"/>
        <v>4.1540510017402943E-6</v>
      </c>
      <c r="I64" s="629"/>
      <c r="J64" s="629">
        <f t="shared" ref="J64:M65" si="14">D63-D64</f>
        <v>0</v>
      </c>
      <c r="K64" s="2165">
        <f t="shared" si="14"/>
        <v>7.7929999999999999E-2</v>
      </c>
      <c r="L64" s="2165">
        <f t="shared" si="14"/>
        <v>7.3780000000000012E-2</v>
      </c>
      <c r="M64" s="2165">
        <f t="shared" si="14"/>
        <v>4.1505639659988585E-3</v>
      </c>
    </row>
    <row r="65" spans="2:13">
      <c r="B65" s="616" t="s">
        <v>1188</v>
      </c>
      <c r="C65" s="617" t="s">
        <v>419</v>
      </c>
      <c r="D65" s="618">
        <f>+D69+D73+D75+D77+D79+D81+D85+D86+D87+D88</f>
        <v>0.17581000000000002</v>
      </c>
      <c r="E65" s="618">
        <f>+E69+E73+E75+E77+E79+E81+E85+E86+E87+E88</f>
        <v>0.14798999999999998</v>
      </c>
      <c r="F65" s="679">
        <f>+F69+F73+F75+F77+F79+F81+F85+F86+F87+F88</f>
        <v>0.14233999999999997</v>
      </c>
      <c r="G65" s="679">
        <f>+G69+G73+G75+G77+G79+G81+G85+G86+G87+G88</f>
        <v>5.6452819829994304E-3</v>
      </c>
      <c r="H65" s="2468">
        <f t="shared" si="1"/>
        <v>4.7180170005857447E-6</v>
      </c>
      <c r="I65" s="629"/>
      <c r="J65" s="629">
        <f t="shared" si="14"/>
        <v>0</v>
      </c>
      <c r="K65" s="2165">
        <f t="shared" si="14"/>
        <v>7.7930000000000027E-2</v>
      </c>
      <c r="L65" s="2165">
        <f t="shared" si="14"/>
        <v>7.3780000000000012E-2</v>
      </c>
      <c r="M65" s="2165">
        <f t="shared" si="14"/>
        <v>4.1505639659988602E-3</v>
      </c>
    </row>
    <row r="66" spans="2:13">
      <c r="B66" s="619" t="s">
        <v>1190</v>
      </c>
      <c r="H66" s="2470">
        <f t="shared" si="1"/>
        <v>0</v>
      </c>
      <c r="I66" s="606"/>
      <c r="J66" s="606"/>
      <c r="K66" s="2162"/>
    </row>
    <row r="67" spans="2:13">
      <c r="B67" s="620" t="s">
        <v>12</v>
      </c>
      <c r="C67" s="621"/>
      <c r="D67" s="622"/>
      <c r="E67" s="622"/>
      <c r="F67" s="623"/>
      <c r="G67" s="623"/>
      <c r="H67" s="2470">
        <f t="shared" si="1"/>
        <v>0</v>
      </c>
      <c r="I67" s="630"/>
      <c r="J67" s="630"/>
      <c r="K67" s="2166"/>
    </row>
    <row r="68" spans="2:13">
      <c r="B68" s="624" t="s">
        <v>313</v>
      </c>
      <c r="C68" s="621" t="s">
        <v>420</v>
      </c>
      <c r="D68" s="631">
        <f xml:space="preserve"> RAT1000VAD!$H$8</f>
        <v>2.36</v>
      </c>
      <c r="E68" s="631">
        <f xml:space="preserve"> RAT1000VAD!$N$8</f>
        <v>2.76</v>
      </c>
      <c r="F68" s="632">
        <f xml:space="preserve"> RAT1000VAD!$O$8</f>
        <v>2.76</v>
      </c>
      <c r="G68" s="632">
        <f xml:space="preserve"> RAT1000VAD!$P$8</f>
        <v>0</v>
      </c>
      <c r="H68" s="2470">
        <f t="shared" si="1"/>
        <v>0</v>
      </c>
      <c r="I68" s="633"/>
      <c r="J68" s="633"/>
      <c r="K68" s="2167"/>
    </row>
    <row r="69" spans="2:13">
      <c r="B69" s="624" t="s">
        <v>427</v>
      </c>
      <c r="C69" s="621" t="s">
        <v>421</v>
      </c>
      <c r="D69" s="625">
        <f>RAT1000VAD!$H$19</f>
        <v>1.5949999999999999E-2</v>
      </c>
      <c r="E69" s="625">
        <f>RAT1000VAD!$N$19</f>
        <v>1.7489999999999999E-2</v>
      </c>
      <c r="F69" s="626">
        <f>RAT1000VAD!$O$19</f>
        <v>1.7489999999999999E-2</v>
      </c>
      <c r="G69" s="626">
        <f>RAT1000VAD!$P$19</f>
        <v>0</v>
      </c>
      <c r="H69" s="2470">
        <f t="shared" si="1"/>
        <v>0</v>
      </c>
      <c r="I69" s="633"/>
      <c r="J69" s="633"/>
      <c r="K69" s="2167"/>
    </row>
    <row r="70" spans="2:13">
      <c r="B70" s="620" t="s">
        <v>9</v>
      </c>
      <c r="C70" s="621"/>
      <c r="D70" s="625"/>
      <c r="E70" s="625"/>
      <c r="F70" s="626"/>
      <c r="G70" s="626"/>
      <c r="H70" s="2470">
        <f t="shared" si="1"/>
        <v>0</v>
      </c>
      <c r="I70" s="633"/>
      <c r="J70" s="633"/>
      <c r="K70" s="2167"/>
    </row>
    <row r="71" spans="2:13">
      <c r="B71" s="624" t="str">
        <f>B63</f>
        <v>Cargo por Energía (Horas Punta)</v>
      </c>
      <c r="C71" s="621" t="s">
        <v>421</v>
      </c>
      <c r="D71" s="625">
        <f xml:space="preserve"> RAT1000VAD!$H30</f>
        <v>2.8420000000000001E-2</v>
      </c>
      <c r="E71" s="625">
        <f xml:space="preserve"> RAT1000VAD!$N30</f>
        <v>3.5180000000000003E-2</v>
      </c>
      <c r="F71" s="626">
        <f xml:space="preserve"> RAT1000VAD!$O30</f>
        <v>3.5180000000000003E-2</v>
      </c>
      <c r="G71" s="626">
        <f xml:space="preserve"> RAT1000VAD!$P30</f>
        <v>0</v>
      </c>
      <c r="H71" s="2470">
        <f t="shared" si="1"/>
        <v>0</v>
      </c>
      <c r="I71" s="606"/>
      <c r="J71" s="606"/>
      <c r="K71" s="2162"/>
    </row>
    <row r="72" spans="2:13">
      <c r="B72" s="624" t="str">
        <f>B64</f>
        <v>Cargo por Energía (Horas Fuera de Punta Medio)</v>
      </c>
      <c r="C72" s="621" t="s">
        <v>421</v>
      </c>
      <c r="D72" s="625">
        <f xml:space="preserve"> RAT1000VAD!$H31</f>
        <v>2.8420000000000001E-2</v>
      </c>
      <c r="E72" s="625">
        <f xml:space="preserve"> RAT1000VAD!$N31</f>
        <v>3.5180000000000003E-2</v>
      </c>
      <c r="F72" s="626">
        <f xml:space="preserve"> RAT1000VAD!$O31</f>
        <v>3.5180000000000003E-2</v>
      </c>
      <c r="G72" s="626">
        <f xml:space="preserve"> RAT1000VAD!$P31</f>
        <v>0</v>
      </c>
      <c r="H72" s="2470">
        <f t="shared" si="1"/>
        <v>0</v>
      </c>
      <c r="I72" s="606"/>
      <c r="J72" s="606"/>
      <c r="K72" s="2162"/>
    </row>
    <row r="73" spans="2:13">
      <c r="B73" s="624" t="str">
        <f>B65</f>
        <v>Cargo por Energía (Horas Fuera de Punta Bajo)</v>
      </c>
      <c r="C73" s="621" t="s">
        <v>421</v>
      </c>
      <c r="D73" s="625">
        <f xml:space="preserve"> RAT1000VAD!$H32</f>
        <v>2.8420000000000001E-2</v>
      </c>
      <c r="E73" s="625">
        <f xml:space="preserve"> RAT1000VAD!$N32</f>
        <v>3.5180000000000003E-2</v>
      </c>
      <c r="F73" s="626">
        <f xml:space="preserve"> RAT1000VAD!$O32</f>
        <v>3.5180000000000003E-2</v>
      </c>
      <c r="G73" s="626">
        <f xml:space="preserve"> RAT1000VAD!$P32</f>
        <v>0</v>
      </c>
      <c r="H73" s="2470">
        <f t="shared" si="1"/>
        <v>0</v>
      </c>
      <c r="I73" s="606"/>
      <c r="J73" s="606"/>
      <c r="K73" s="2162"/>
    </row>
    <row r="74" spans="2:13">
      <c r="B74" s="620" t="s">
        <v>422</v>
      </c>
      <c r="C74" s="621"/>
      <c r="D74" s="625"/>
      <c r="E74" s="625"/>
      <c r="F74" s="626"/>
      <c r="G74" s="626"/>
      <c r="H74" s="2470">
        <f t="shared" si="1"/>
        <v>0</v>
      </c>
      <c r="I74" s="606"/>
      <c r="J74" s="606"/>
      <c r="K74" s="2162"/>
    </row>
    <row r="75" spans="2:13">
      <c r="B75" s="624" t="s">
        <v>427</v>
      </c>
      <c r="C75" s="621" t="s">
        <v>421</v>
      </c>
      <c r="D75" s="634">
        <f xml:space="preserve"> RAT1000PT!$H$7</f>
        <v>1.357E-2</v>
      </c>
      <c r="E75" s="634">
        <f xml:space="preserve"> RAT1000PT!$N$7</f>
        <v>1.8319999999999999E-2</v>
      </c>
      <c r="F75" s="635">
        <f xml:space="preserve"> RAT1000PT!$O$7</f>
        <v>1.6889999999999999E-2</v>
      </c>
      <c r="G75" s="635">
        <f xml:space="preserve"> RAT1000PT!$P$7</f>
        <v>1.4300000000000001E-3</v>
      </c>
      <c r="H75" s="2470">
        <f t="shared" si="1"/>
        <v>0</v>
      </c>
      <c r="I75" s="606"/>
      <c r="J75" s="606"/>
      <c r="K75" s="2162"/>
    </row>
    <row r="76" spans="2:13">
      <c r="B76" s="620" t="s">
        <v>309</v>
      </c>
      <c r="C76" s="621"/>
      <c r="D76" s="634"/>
      <c r="E76" s="634"/>
      <c r="F76" s="635"/>
      <c r="G76" s="635"/>
      <c r="H76" s="2470">
        <f t="shared" si="1"/>
        <v>0</v>
      </c>
      <c r="I76" s="606"/>
      <c r="J76" s="606"/>
      <c r="K76" s="2162"/>
    </row>
    <row r="77" spans="2:13">
      <c r="B77" s="624" t="s">
        <v>427</v>
      </c>
      <c r="C77" s="621" t="s">
        <v>421</v>
      </c>
      <c r="D77" s="634">
        <f xml:space="preserve"> RAT1000VAD!$H$60</f>
        <v>1.15E-3</v>
      </c>
      <c r="E77" s="634">
        <f xml:space="preserve"> RAT1000VAD!$N$60</f>
        <v>2.47E-3</v>
      </c>
      <c r="F77" s="635">
        <f xml:space="preserve"> RAT1000VAD!$O$60</f>
        <v>2.47E-3</v>
      </c>
      <c r="G77" s="635">
        <f xml:space="preserve"> RAT1000VAD!$P$60</f>
        <v>0</v>
      </c>
      <c r="H77" s="2470">
        <f t="shared" si="1"/>
        <v>0</v>
      </c>
      <c r="I77" s="606"/>
      <c r="J77" s="606"/>
      <c r="K77" s="2162"/>
    </row>
    <row r="78" spans="2:13">
      <c r="B78" s="620" t="s">
        <v>10</v>
      </c>
      <c r="C78" s="621"/>
      <c r="D78" s="625"/>
      <c r="E78" s="625"/>
      <c r="F78" s="626"/>
      <c r="G78" s="626"/>
      <c r="H78" s="2470">
        <f t="shared" si="1"/>
        <v>0</v>
      </c>
      <c r="I78" s="606"/>
      <c r="J78" s="606"/>
      <c r="K78" s="2162"/>
    </row>
    <row r="79" spans="2:13">
      <c r="B79" s="624" t="s">
        <v>427</v>
      </c>
      <c r="C79" s="621" t="s">
        <v>421</v>
      </c>
      <c r="D79" s="625">
        <f xml:space="preserve"> RAT1000PT!$H$50</f>
        <v>3.5500000000000002E-3</v>
      </c>
      <c r="E79" s="625">
        <f xml:space="preserve"> RAT1000PT!$N$50</f>
        <v>6.3299999999999997E-3</v>
      </c>
      <c r="F79" s="626">
        <f xml:space="preserve"> RAT1000PT!$O$50</f>
        <v>6.6499999999999997E-3</v>
      </c>
      <c r="G79" s="626">
        <f xml:space="preserve"> RAT1000PT!$P$50</f>
        <v>-3.2000000000000003E-4</v>
      </c>
      <c r="H79" s="2470">
        <f t="shared" si="1"/>
        <v>0</v>
      </c>
      <c r="I79" s="606"/>
      <c r="J79" s="606"/>
      <c r="K79" s="2162"/>
    </row>
    <row r="80" spans="2:13">
      <c r="B80" s="620" t="s">
        <v>861</v>
      </c>
      <c r="C80" s="621"/>
      <c r="D80" s="625"/>
      <c r="E80" s="625"/>
      <c r="F80" s="626"/>
      <c r="G80" s="626"/>
      <c r="H80" s="2470">
        <f t="shared" si="1"/>
        <v>0</v>
      </c>
      <c r="I80" s="606"/>
      <c r="J80" s="606"/>
      <c r="K80" s="2162"/>
    </row>
    <row r="81" spans="2:11">
      <c r="B81" s="624" t="s">
        <v>427</v>
      </c>
      <c r="C81" s="621" t="s">
        <v>421</v>
      </c>
      <c r="D81" s="625">
        <f xml:space="preserve"> RAT1000PT!$H$68</f>
        <v>3.8899999999999998E-3</v>
      </c>
      <c r="E81" s="625">
        <f xml:space="preserve"> RAT1000PT!$N$68</f>
        <v>7.26E-3</v>
      </c>
      <c r="F81" s="626">
        <f xml:space="preserve"> RAT1000PT!$O$68</f>
        <v>4.9199999999999999E-3</v>
      </c>
      <c r="G81" s="626">
        <f xml:space="preserve"> RAT1000PT!$P$68</f>
        <v>2.3400000000000001E-3</v>
      </c>
      <c r="H81" s="2470">
        <f t="shared" si="1"/>
        <v>0</v>
      </c>
      <c r="I81" s="606"/>
      <c r="J81" s="606"/>
      <c r="K81" s="2162"/>
    </row>
    <row r="82" spans="2:11">
      <c r="B82" s="620" t="s">
        <v>11</v>
      </c>
      <c r="C82" s="621"/>
      <c r="D82" s="625"/>
      <c r="E82" s="625"/>
      <c r="F82" s="626"/>
      <c r="G82" s="626"/>
      <c r="H82" s="2470">
        <f t="shared" si="1"/>
        <v>0</v>
      </c>
      <c r="I82" s="606"/>
      <c r="J82" s="606"/>
      <c r="K82" s="2162"/>
    </row>
    <row r="83" spans="2:11">
      <c r="B83" s="624" t="str">
        <f>B63</f>
        <v>Cargo por Energía (Horas Punta)</v>
      </c>
      <c r="C83" s="621" t="s">
        <v>421</v>
      </c>
      <c r="D83" s="625">
        <f xml:space="preserve">  RAT1000PT!$H103</f>
        <v>7.3139999999999997E-2</v>
      </c>
      <c r="E83" s="625">
        <f xml:space="preserve">  RAT1000PT!$N103</f>
        <v>0.19483</v>
      </c>
      <c r="F83" s="626">
        <f xml:space="preserve">  RAT1000PT!$O103</f>
        <v>0.18445</v>
      </c>
      <c r="G83" s="626">
        <f xml:space="preserve">  RAT1000PT!$P103</f>
        <v>1.0376409914997149E-2</v>
      </c>
      <c r="H83" s="2468">
        <f t="shared" si="1"/>
        <v>3.5900850028514758E-6</v>
      </c>
      <c r="I83" s="606"/>
      <c r="J83" s="606"/>
      <c r="K83" s="2162"/>
    </row>
    <row r="84" spans="2:11">
      <c r="B84" s="624" t="str">
        <f>B64</f>
        <v>Cargo por Energía (Horas Fuera de Punta Medio)</v>
      </c>
      <c r="C84" s="621" t="s">
        <v>421</v>
      </c>
      <c r="D84" s="625">
        <f xml:space="preserve">  RAT1000PT!$H108</f>
        <v>7.3139999999999997E-2</v>
      </c>
      <c r="E84" s="625">
        <f xml:space="preserve">  RAT1000PT!$N108</f>
        <v>0.1169</v>
      </c>
      <c r="F84" s="626">
        <f xml:space="preserve">  RAT1000PT!$O108</f>
        <v>0.11067</v>
      </c>
      <c r="G84" s="626">
        <f xml:space="preserve">  RAT1000PT!$P108</f>
        <v>6.2258459489982904E-3</v>
      </c>
      <c r="H84" s="2468">
        <f t="shared" si="1"/>
        <v>4.1540510017090693E-6</v>
      </c>
      <c r="I84" s="606"/>
      <c r="J84" s="606"/>
      <c r="K84" s="2162"/>
    </row>
    <row r="85" spans="2:11">
      <c r="B85" s="624" t="str">
        <f>B65</f>
        <v>Cargo por Energía (Horas Fuera de Punta Bajo)</v>
      </c>
      <c r="C85" s="621" t="s">
        <v>421</v>
      </c>
      <c r="D85" s="625">
        <f xml:space="preserve">  RAT1000PT!$H113</f>
        <v>7.3139999999999997E-2</v>
      </c>
      <c r="E85" s="625">
        <f xml:space="preserve">  RAT1000PT!$N113</f>
        <v>3.8969999999999998E-2</v>
      </c>
      <c r="F85" s="626">
        <f xml:space="preserve">  RAT1000PT!$O113</f>
        <v>3.6889999999999999E-2</v>
      </c>
      <c r="G85" s="626">
        <f xml:space="preserve">  RAT1000PT!$P113</f>
        <v>2.0752819829994297E-3</v>
      </c>
      <c r="H85" s="2468">
        <f t="shared" si="1"/>
        <v>4.7180170005688311E-6</v>
      </c>
      <c r="I85" s="606"/>
      <c r="J85" s="606"/>
      <c r="K85" s="2162"/>
    </row>
    <row r="86" spans="2:11">
      <c r="B86" s="624" t="s">
        <v>1212</v>
      </c>
      <c r="C86" s="621" t="s">
        <v>421</v>
      </c>
      <c r="D86" s="625">
        <f xml:space="preserve"> RAT1000PT!$H$95</f>
        <v>3.4099999999999998E-2</v>
      </c>
      <c r="E86" s="625">
        <f xml:space="preserve"> RAT1000PT!$N$95</f>
        <v>2.0250000000000001E-2</v>
      </c>
      <c r="F86" s="626">
        <f xml:space="preserve"> RAT1000PT!$O$95</f>
        <v>2.0250000000000001E-2</v>
      </c>
      <c r="G86" s="626">
        <f xml:space="preserve"> RAT1000PT!$P$95</f>
        <v>0</v>
      </c>
      <c r="H86" s="2470">
        <f t="shared" si="1"/>
        <v>0</v>
      </c>
      <c r="I86" s="606"/>
      <c r="J86" s="606"/>
      <c r="K86" s="2162"/>
    </row>
    <row r="87" spans="2:11">
      <c r="B87" s="624" t="s">
        <v>2184</v>
      </c>
      <c r="C87" s="621" t="s">
        <v>421</v>
      </c>
      <c r="D87" s="625">
        <f xml:space="preserve"> RAT1000PT!$H$39</f>
        <v>2.0400000000000001E-3</v>
      </c>
      <c r="E87" s="625">
        <f xml:space="preserve"> RAT1000PT!$N$39</f>
        <v>1.72E-3</v>
      </c>
      <c r="F87" s="626">
        <f xml:space="preserve"> RAT1000PT!$O$39</f>
        <v>1.6000000000000001E-3</v>
      </c>
      <c r="G87" s="626">
        <f xml:space="preserve"> RAT1000PT!$P$39</f>
        <v>1.2E-4</v>
      </c>
      <c r="H87" s="2470">
        <f t="shared" si="1"/>
        <v>-1.2197274440461925E-19</v>
      </c>
      <c r="I87" s="606"/>
      <c r="J87" s="606"/>
      <c r="K87" s="2162"/>
    </row>
    <row r="88" spans="2:11">
      <c r="B88" s="624" t="s">
        <v>1224</v>
      </c>
      <c r="C88" s="621" t="s">
        <v>421</v>
      </c>
      <c r="D88" s="625">
        <f>RAT1000PT!$H$131</f>
        <v>0</v>
      </c>
      <c r="E88" s="625">
        <f>RAT1000PT!$N$131</f>
        <v>0</v>
      </c>
      <c r="F88" s="626">
        <f>+RAT1000PT!$O$131</f>
        <v>0</v>
      </c>
      <c r="G88" s="626">
        <f>+RAT1000PT!$P$131</f>
        <v>0</v>
      </c>
      <c r="H88" s="2470">
        <f t="shared" si="1"/>
        <v>0</v>
      </c>
      <c r="I88" s="606"/>
      <c r="J88" s="606"/>
      <c r="K88" s="2162"/>
    </row>
    <row r="89" spans="2:11">
      <c r="B89" s="624"/>
      <c r="C89" s="621"/>
      <c r="D89" s="638"/>
      <c r="E89" s="638"/>
      <c r="F89" s="639"/>
      <c r="G89" s="639"/>
      <c r="H89" s="2470">
        <f t="shared" si="1"/>
        <v>0</v>
      </c>
      <c r="I89" s="606"/>
      <c r="J89" s="606"/>
      <c r="K89" s="2162"/>
    </row>
    <row r="90" spans="2:11">
      <c r="B90" s="640"/>
      <c r="H90" s="2470">
        <f t="shared" si="1"/>
        <v>0</v>
      </c>
      <c r="I90" s="606"/>
      <c r="J90" s="606"/>
      <c r="K90" s="2162"/>
    </row>
    <row r="91" spans="2:11">
      <c r="B91" s="611" t="s">
        <v>423</v>
      </c>
      <c r="C91" s="599"/>
      <c r="D91" s="600"/>
      <c r="E91" s="600"/>
      <c r="F91" s="601"/>
      <c r="G91" s="601"/>
      <c r="H91" s="2470">
        <f t="shared" si="1"/>
        <v>0</v>
      </c>
      <c r="I91" s="606"/>
      <c r="J91" s="606"/>
      <c r="K91" s="2162"/>
    </row>
    <row r="92" spans="2:11" ht="27">
      <c r="B92" s="641" t="s">
        <v>424</v>
      </c>
      <c r="C92" s="642"/>
      <c r="D92" s="642"/>
      <c r="E92" s="642"/>
      <c r="F92" s="643"/>
      <c r="G92" s="643"/>
      <c r="H92" s="2470">
        <f t="shared" si="1"/>
        <v>0</v>
      </c>
      <c r="I92" s="606"/>
      <c r="J92" s="606"/>
      <c r="K92" s="2162"/>
    </row>
    <row r="93" spans="2:11">
      <c r="B93" s="612" t="s">
        <v>1191</v>
      </c>
      <c r="C93" s="613"/>
      <c r="D93" s="614"/>
      <c r="E93" s="614"/>
      <c r="F93" s="615"/>
      <c r="G93" s="615"/>
      <c r="H93" s="2470">
        <f t="shared" si="1"/>
        <v>0</v>
      </c>
      <c r="I93" s="606"/>
      <c r="J93" s="606"/>
      <c r="K93" s="2162"/>
    </row>
    <row r="94" spans="2:11">
      <c r="B94" s="616" t="s">
        <v>313</v>
      </c>
      <c r="C94" s="617" t="s">
        <v>420</v>
      </c>
      <c r="D94" s="627">
        <f>+D102</f>
        <v>5.04</v>
      </c>
      <c r="E94" s="627">
        <f>+E102</f>
        <v>5.57</v>
      </c>
      <c r="F94" s="628">
        <f>+F102</f>
        <v>5.57</v>
      </c>
      <c r="G94" s="628">
        <f>+G102</f>
        <v>0</v>
      </c>
      <c r="H94" s="2470">
        <f t="shared" si="1"/>
        <v>0</v>
      </c>
      <c r="I94" s="606"/>
      <c r="J94" s="606"/>
      <c r="K94" s="2162"/>
    </row>
    <row r="95" spans="2:11">
      <c r="B95" s="616" t="s">
        <v>425</v>
      </c>
      <c r="C95" s="617" t="s">
        <v>426</v>
      </c>
      <c r="D95" s="644">
        <f>+D105+D108+D113+D118</f>
        <v>14.93</v>
      </c>
      <c r="E95" s="644">
        <f>+E105+E108+E113+E118</f>
        <v>17.14</v>
      </c>
      <c r="F95" s="645">
        <f>+F105+F108+F113+F118</f>
        <v>17.14</v>
      </c>
      <c r="G95" s="645">
        <f>+G105+G108+G113+G118</f>
        <v>0</v>
      </c>
      <c r="H95" s="2470">
        <f t="shared" si="1"/>
        <v>0</v>
      </c>
      <c r="I95" s="606"/>
      <c r="J95" s="606"/>
      <c r="K95" s="2162"/>
    </row>
    <row r="96" spans="2:11">
      <c r="B96" s="616" t="s">
        <v>1181</v>
      </c>
      <c r="C96" s="617" t="s">
        <v>421</v>
      </c>
      <c r="D96" s="646">
        <f>+D$103+D$106+D$109+D$111+D$114+D$116+D$119+D120+D$124+D$125</f>
        <v>0.16796</v>
      </c>
      <c r="E96" s="646">
        <f t="shared" ref="E96:E99" si="15">+E$103+E$106+E$109+E$111+E$114+E$116+E$119+E120+E$124+E$125</f>
        <v>0.18686000000000003</v>
      </c>
      <c r="F96" s="2159">
        <f t="shared" ref="F96:G99" si="16">+F$103+F$106+F$109+F$111+F$114+F$116+F$119+F120+F$124+F$125</f>
        <v>0.17838999999999999</v>
      </c>
      <c r="G96" s="2159">
        <f t="shared" si="16"/>
        <v>8.4700000000000001E-3</v>
      </c>
      <c r="H96" s="2470">
        <f t="shared" si="1"/>
        <v>3.2959746043559335E-17</v>
      </c>
      <c r="I96" s="606"/>
      <c r="J96" s="606"/>
      <c r="K96" s="2162"/>
    </row>
    <row r="97" spans="2:13">
      <c r="B97" s="616" t="s">
        <v>1182</v>
      </c>
      <c r="C97" s="617" t="s">
        <v>421</v>
      </c>
      <c r="D97" s="646">
        <f>+D$103+D$106+D$109+D$111+D$114+D$116+D$119+D121+D$124+D$125</f>
        <v>0.17264000000000002</v>
      </c>
      <c r="E97" s="646">
        <f t="shared" si="15"/>
        <v>0.19125999999999999</v>
      </c>
      <c r="F97" s="2159">
        <f t="shared" si="16"/>
        <v>0.18253</v>
      </c>
      <c r="G97" s="2159">
        <f t="shared" si="16"/>
        <v>8.7299999999999999E-3</v>
      </c>
      <c r="H97" s="2470">
        <f t="shared" ref="H97:H160" si="17">E97-F97-G97</f>
        <v>0</v>
      </c>
      <c r="I97" s="636"/>
      <c r="J97" s="636">
        <f t="shared" ref="J97:K99" si="18">D97-D96</f>
        <v>4.6800000000000175E-3</v>
      </c>
      <c r="K97" s="2168">
        <f t="shared" si="18"/>
        <v>4.3999999999999595E-3</v>
      </c>
      <c r="L97" s="2168">
        <f t="shared" ref="L97:M99" si="19">F97-F96</f>
        <v>4.1400000000000048E-3</v>
      </c>
      <c r="M97" s="2168">
        <f t="shared" si="19"/>
        <v>2.5999999999999981E-4</v>
      </c>
    </row>
    <row r="98" spans="2:13">
      <c r="B98" s="616" t="s">
        <v>1183</v>
      </c>
      <c r="C98" s="617" t="s">
        <v>421</v>
      </c>
      <c r="D98" s="646">
        <f>+D$103+D$106+D$109+D$111+D$114+D$116+D$119+D122+D$124+D$125</f>
        <v>0.17759000000000003</v>
      </c>
      <c r="E98" s="646">
        <f t="shared" si="15"/>
        <v>0.19588</v>
      </c>
      <c r="F98" s="2159">
        <f t="shared" si="16"/>
        <v>0.18686999999999998</v>
      </c>
      <c r="G98" s="2159">
        <f t="shared" si="16"/>
        <v>9.0100000000000006E-3</v>
      </c>
      <c r="H98" s="2470">
        <f t="shared" si="17"/>
        <v>1.7347234759768071E-17</v>
      </c>
      <c r="I98" s="636"/>
      <c r="J98" s="636">
        <f t="shared" si="18"/>
        <v>4.9500000000000099E-3</v>
      </c>
      <c r="K98" s="2168">
        <f t="shared" si="18"/>
        <v>4.620000000000013E-3</v>
      </c>
      <c r="L98" s="2168">
        <f t="shared" si="19"/>
        <v>4.3399999999999828E-3</v>
      </c>
      <c r="M98" s="2168">
        <f t="shared" si="19"/>
        <v>2.8000000000000073E-4</v>
      </c>
    </row>
    <row r="99" spans="2:13">
      <c r="B99" s="616" t="s">
        <v>1184</v>
      </c>
      <c r="C99" s="617" t="s">
        <v>421</v>
      </c>
      <c r="D99" s="646">
        <f>+D$103+D$106+D$109+D$111+D$114+D$116+D$119+D123+D$124+D$125</f>
        <v>0.18276000000000001</v>
      </c>
      <c r="E99" s="646">
        <f t="shared" si="15"/>
        <v>0.20073000000000002</v>
      </c>
      <c r="F99" s="2159">
        <f t="shared" si="16"/>
        <v>0.19142999999999999</v>
      </c>
      <c r="G99" s="2159">
        <f t="shared" si="16"/>
        <v>9.300000000000001E-3</v>
      </c>
      <c r="H99" s="2470">
        <f t="shared" si="17"/>
        <v>2.9490299091605721E-17</v>
      </c>
      <c r="I99" s="636"/>
      <c r="J99" s="636">
        <f t="shared" si="18"/>
        <v>5.1699999999999802E-3</v>
      </c>
      <c r="K99" s="2168">
        <f t="shared" si="18"/>
        <v>4.850000000000021E-3</v>
      </c>
      <c r="L99" s="2168">
        <f t="shared" si="19"/>
        <v>4.5600000000000085E-3</v>
      </c>
      <c r="M99" s="2168">
        <f t="shared" si="19"/>
        <v>2.9000000000000033E-4</v>
      </c>
    </row>
    <row r="100" spans="2:13">
      <c r="B100" s="619" t="s">
        <v>1192</v>
      </c>
      <c r="H100" s="2470">
        <f t="shared" si="17"/>
        <v>0</v>
      </c>
      <c r="I100" s="606"/>
      <c r="J100" s="606"/>
      <c r="K100" s="2162"/>
    </row>
    <row r="101" spans="2:13">
      <c r="B101" s="620" t="s">
        <v>12</v>
      </c>
      <c r="C101" s="621"/>
      <c r="D101" s="622"/>
      <c r="E101" s="622"/>
      <c r="F101" s="623"/>
      <c r="G101" s="623"/>
      <c r="H101" s="2470">
        <f t="shared" si="17"/>
        <v>0</v>
      </c>
      <c r="I101" s="606"/>
      <c r="J101" s="606"/>
      <c r="K101" s="2162"/>
    </row>
    <row r="102" spans="2:13">
      <c r="B102" s="647" t="s">
        <v>428</v>
      </c>
      <c r="C102" s="621" t="s">
        <v>420</v>
      </c>
      <c r="D102" s="631">
        <f xml:space="preserve"> RAT1000VAD!$H$10</f>
        <v>5.04</v>
      </c>
      <c r="E102" s="631">
        <f xml:space="preserve"> RAT1000VAD!$N$10</f>
        <v>5.57</v>
      </c>
      <c r="F102" s="632">
        <f xml:space="preserve"> RAT1000VAD!$O$10</f>
        <v>5.57</v>
      </c>
      <c r="G102" s="632">
        <f xml:space="preserve"> RAT1000VAD!$P$10</f>
        <v>0</v>
      </c>
      <c r="H102" s="2470">
        <f t="shared" si="17"/>
        <v>0</v>
      </c>
      <c r="I102" s="606"/>
      <c r="J102" s="606"/>
      <c r="K102" s="2162"/>
    </row>
    <row r="103" spans="2:13">
      <c r="B103" s="624" t="s">
        <v>250</v>
      </c>
      <c r="C103" s="621" t="s">
        <v>421</v>
      </c>
      <c r="D103" s="625">
        <f xml:space="preserve"> RAT1000VAD!$H$20</f>
        <v>5.3499999999999997E-3</v>
      </c>
      <c r="E103" s="625">
        <f xml:space="preserve"> RAT1000VAD!$N$20</f>
        <v>4.7699999999999999E-3</v>
      </c>
      <c r="F103" s="626">
        <f xml:space="preserve"> RAT1000VAD!$O$20</f>
        <v>4.7699999999999999E-3</v>
      </c>
      <c r="G103" s="626">
        <f xml:space="preserve"> RAT1000VAD!$P$20</f>
        <v>0</v>
      </c>
      <c r="H103" s="2470">
        <f t="shared" si="17"/>
        <v>0</v>
      </c>
      <c r="I103" s="606"/>
      <c r="J103" s="606"/>
      <c r="K103" s="2162"/>
    </row>
    <row r="104" spans="2:13">
      <c r="B104" s="620" t="s">
        <v>9</v>
      </c>
      <c r="C104" s="621"/>
      <c r="D104" s="622"/>
      <c r="E104" s="622"/>
      <c r="F104" s="623"/>
      <c r="G104" s="623"/>
      <c r="H104" s="2470">
        <f t="shared" si="17"/>
        <v>0</v>
      </c>
      <c r="I104" s="606"/>
      <c r="J104" s="606"/>
      <c r="K104" s="2162"/>
    </row>
    <row r="105" spans="2:13">
      <c r="B105" s="624" t="s">
        <v>425</v>
      </c>
      <c r="C105" s="621" t="s">
        <v>426</v>
      </c>
      <c r="D105" s="648">
        <f xml:space="preserve"> RAT1000VAD!$H$41</f>
        <v>12.41</v>
      </c>
      <c r="E105" s="648">
        <f xml:space="preserve"> RAT1000VAD!$N$41</f>
        <v>12.35</v>
      </c>
      <c r="F105" s="649">
        <f xml:space="preserve"> RAT1000VAD!$O$41</f>
        <v>12.35</v>
      </c>
      <c r="G105" s="649">
        <f xml:space="preserve"> RAT1000VAD!$P$41</f>
        <v>0</v>
      </c>
      <c r="H105" s="2470">
        <f t="shared" si="17"/>
        <v>0</v>
      </c>
      <c r="I105" s="606"/>
      <c r="J105" s="2566"/>
      <c r="K105" s="2566"/>
    </row>
    <row r="106" spans="2:13">
      <c r="B106" s="624" t="s">
        <v>427</v>
      </c>
      <c r="C106" s="621" t="s">
        <v>421</v>
      </c>
      <c r="D106" s="625">
        <f xml:space="preserve"> RAT1000VAD!$H$33</f>
        <v>0</v>
      </c>
      <c r="E106" s="625">
        <f xml:space="preserve"> RAT1000VAD!$N$33</f>
        <v>0</v>
      </c>
      <c r="F106" s="626">
        <f xml:space="preserve"> RAT1000VAD!$O$33</f>
        <v>0</v>
      </c>
      <c r="G106" s="626">
        <f xml:space="preserve"> RAT1000VAD!$P$33</f>
        <v>0</v>
      </c>
      <c r="H106" s="2470">
        <f t="shared" si="17"/>
        <v>0</v>
      </c>
      <c r="I106" s="606"/>
      <c r="J106" s="2566"/>
      <c r="K106" s="2566"/>
    </row>
    <row r="107" spans="2:13">
      <c r="B107" s="620" t="s">
        <v>422</v>
      </c>
      <c r="C107" s="621"/>
      <c r="D107" s="650"/>
      <c r="E107" s="650"/>
      <c r="F107" s="651"/>
      <c r="G107" s="651"/>
      <c r="H107" s="2470">
        <f t="shared" si="17"/>
        <v>0</v>
      </c>
      <c r="I107" s="606"/>
      <c r="J107" s="606"/>
      <c r="K107" s="2162"/>
    </row>
    <row r="108" spans="2:13">
      <c r="B108" s="624" t="s">
        <v>425</v>
      </c>
      <c r="C108" s="621" t="s">
        <v>426</v>
      </c>
      <c r="D108" s="652">
        <f xml:space="preserve"> RAT1000PT!$H$29</f>
        <v>0.41</v>
      </c>
      <c r="E108" s="652">
        <f xml:space="preserve"> RAT1000PT!$N$29</f>
        <v>0.53</v>
      </c>
      <c r="F108" s="653">
        <f xml:space="preserve"> RAT1000PT!$O$29</f>
        <v>0.49</v>
      </c>
      <c r="G108" s="653">
        <f xml:space="preserve"> RAT1000PT!$P$29</f>
        <v>0.04</v>
      </c>
      <c r="H108" s="2470">
        <f t="shared" si="17"/>
        <v>0</v>
      </c>
      <c r="I108" s="606"/>
      <c r="J108" s="606"/>
      <c r="K108" s="2162"/>
    </row>
    <row r="109" spans="2:13">
      <c r="B109" s="624" t="s">
        <v>427</v>
      </c>
      <c r="C109" s="621" t="s">
        <v>421</v>
      </c>
      <c r="D109" s="638">
        <f xml:space="preserve"> RAT1000PT!$H$24</f>
        <v>1.2319999999999999E-2</v>
      </c>
      <c r="E109" s="638">
        <f xml:space="preserve"> RAT1000PT!$N$24</f>
        <v>1.617E-2</v>
      </c>
      <c r="F109" s="639">
        <f xml:space="preserve"> RAT1000PT!$O$24</f>
        <v>1.487E-2</v>
      </c>
      <c r="G109" s="639">
        <f xml:space="preserve"> RAT1000PT!$P$24</f>
        <v>1.2999999999999999E-3</v>
      </c>
      <c r="H109" s="2470">
        <f t="shared" si="17"/>
        <v>0</v>
      </c>
      <c r="I109" s="606"/>
      <c r="J109" s="606"/>
      <c r="K109" s="2162"/>
    </row>
    <row r="110" spans="2:13">
      <c r="B110" s="620" t="s">
        <v>309</v>
      </c>
      <c r="C110" s="621"/>
      <c r="D110" s="638"/>
      <c r="E110" s="638"/>
      <c r="F110" s="639"/>
      <c r="G110" s="639"/>
      <c r="H110" s="2470">
        <f t="shared" si="17"/>
        <v>0</v>
      </c>
      <c r="I110" s="606"/>
      <c r="J110" s="606"/>
      <c r="K110" s="2162"/>
    </row>
    <row r="111" spans="2:13">
      <c r="B111" s="624" t="s">
        <v>427</v>
      </c>
      <c r="C111" s="621" t="s">
        <v>421</v>
      </c>
      <c r="D111" s="625">
        <f xml:space="preserve"> RAT1000VAD!$H$61</f>
        <v>1.1199999999999999E-3</v>
      </c>
      <c r="E111" s="625">
        <f xml:space="preserve"> RAT1000VAD!$N$61</f>
        <v>2.33E-3</v>
      </c>
      <c r="F111" s="626">
        <f xml:space="preserve"> RAT1000VAD!$O$61</f>
        <v>2.33E-3</v>
      </c>
      <c r="G111" s="626">
        <f xml:space="preserve"> RAT1000VAD!$P$61</f>
        <v>0</v>
      </c>
      <c r="H111" s="2470">
        <f t="shared" si="17"/>
        <v>0</v>
      </c>
      <c r="I111" s="606"/>
      <c r="J111" s="606"/>
      <c r="K111" s="2162"/>
    </row>
    <row r="112" spans="2:13">
      <c r="B112" s="620" t="s">
        <v>10</v>
      </c>
      <c r="C112" s="621"/>
      <c r="D112" s="622"/>
      <c r="E112" s="622"/>
      <c r="F112" s="623"/>
      <c r="G112" s="623"/>
      <c r="H112" s="2470">
        <f t="shared" si="17"/>
        <v>0</v>
      </c>
      <c r="I112" s="606"/>
      <c r="J112" s="606"/>
      <c r="K112" s="2162"/>
    </row>
    <row r="113" spans="2:13">
      <c r="B113" s="624" t="s">
        <v>425</v>
      </c>
      <c r="C113" s="621" t="s">
        <v>426</v>
      </c>
      <c r="D113" s="631">
        <f xml:space="preserve"> RAT1000PT!$H$58</f>
        <v>0.41</v>
      </c>
      <c r="E113" s="631">
        <f xml:space="preserve"> RAT1000PT!$N$58</f>
        <v>1.39</v>
      </c>
      <c r="F113" s="632">
        <f xml:space="preserve"> RAT1000PT!$O$58</f>
        <v>1.43</v>
      </c>
      <c r="G113" s="632">
        <f xml:space="preserve"> RAT1000PT!$P$58</f>
        <v>-0.04</v>
      </c>
      <c r="H113" s="2470">
        <f t="shared" si="17"/>
        <v>0</v>
      </c>
      <c r="I113" s="606"/>
      <c r="J113" s="606"/>
      <c r="K113" s="2162"/>
    </row>
    <row r="114" spans="2:13">
      <c r="B114" s="624" t="s">
        <v>427</v>
      </c>
      <c r="C114" s="621" t="s">
        <v>421</v>
      </c>
      <c r="D114" s="625">
        <f>RAT1000PT!$H$51</f>
        <v>5.6699999999999997E-3</v>
      </c>
      <c r="E114" s="625">
        <f>RAT1000PT!$N$51</f>
        <v>4.7099999999999998E-3</v>
      </c>
      <c r="F114" s="626">
        <f>RAT1000PT!$O$51</f>
        <v>5.2100000000000002E-3</v>
      </c>
      <c r="G114" s="626">
        <f>RAT1000PT!$P$51</f>
        <v>-5.0000000000000001E-4</v>
      </c>
      <c r="H114" s="2470">
        <f t="shared" si="17"/>
        <v>0</v>
      </c>
      <c r="I114" s="606"/>
      <c r="J114" s="606"/>
      <c r="K114" s="2162"/>
    </row>
    <row r="115" spans="2:13">
      <c r="B115" s="620" t="s">
        <v>861</v>
      </c>
      <c r="C115" s="621"/>
      <c r="D115" s="631"/>
      <c r="E115" s="631"/>
      <c r="F115" s="632"/>
      <c r="G115" s="632"/>
      <c r="H115" s="2470">
        <f t="shared" si="17"/>
        <v>0</v>
      </c>
      <c r="I115" s="606"/>
      <c r="J115" s="606"/>
      <c r="K115" s="2162"/>
    </row>
    <row r="116" spans="2:13">
      <c r="B116" s="624" t="s">
        <v>427</v>
      </c>
      <c r="C116" s="621" t="s">
        <v>421</v>
      </c>
      <c r="D116" s="625">
        <f xml:space="preserve"> RAT1000PT!$H$69</f>
        <v>3.7599999999999999E-3</v>
      </c>
      <c r="E116" s="625">
        <f xml:space="preserve"> RAT1000PT!$N$69</f>
        <v>6.8999999999999999E-3</v>
      </c>
      <c r="F116" s="626">
        <f xml:space="preserve"> RAT1000PT!$O$69</f>
        <v>4.64E-3</v>
      </c>
      <c r="G116" s="626">
        <f xml:space="preserve"> RAT1000PT!$P$69</f>
        <v>2.2599999999999999E-3</v>
      </c>
      <c r="H116" s="2470">
        <f t="shared" si="17"/>
        <v>0</v>
      </c>
      <c r="I116" s="606"/>
      <c r="J116" s="606"/>
      <c r="K116" s="2162"/>
    </row>
    <row r="117" spans="2:13">
      <c r="B117" s="620" t="s">
        <v>11</v>
      </c>
      <c r="C117" s="621"/>
      <c r="D117" s="622"/>
      <c r="E117" s="622"/>
      <c r="F117" s="623"/>
      <c r="G117" s="623"/>
      <c r="H117" s="2470">
        <f t="shared" si="17"/>
        <v>0</v>
      </c>
      <c r="I117" s="606"/>
      <c r="J117" s="606"/>
      <c r="K117" s="2162"/>
    </row>
    <row r="118" spans="2:13">
      <c r="B118" s="624" t="s">
        <v>425</v>
      </c>
      <c r="C118" s="621" t="s">
        <v>426</v>
      </c>
      <c r="D118" s="631">
        <f xml:space="preserve"> RAT1000PT!$H$84</f>
        <v>1.7</v>
      </c>
      <c r="E118" s="631">
        <f xml:space="preserve"> RAT1000PT!$N$84</f>
        <v>2.87</v>
      </c>
      <c r="F118" s="632">
        <f xml:space="preserve"> RAT1000PT!$O$84</f>
        <v>2.87</v>
      </c>
      <c r="G118" s="632">
        <f xml:space="preserve"> RAT1000PT!$P$84</f>
        <v>0</v>
      </c>
      <c r="H118" s="2470">
        <f t="shared" si="17"/>
        <v>0</v>
      </c>
      <c r="I118" s="606"/>
      <c r="J118" s="606"/>
      <c r="K118" s="2162"/>
    </row>
    <row r="119" spans="2:13">
      <c r="B119" s="624" t="s">
        <v>1212</v>
      </c>
      <c r="C119" s="621" t="s">
        <v>421</v>
      </c>
      <c r="D119" s="625">
        <f>RAT1000PT!$H$96</f>
        <v>4.3970000000000002E-2</v>
      </c>
      <c r="E119" s="625">
        <f>RAT1000PT!$N$96</f>
        <v>6.2390000000000001E-2</v>
      </c>
      <c r="F119" s="626">
        <f>RAT1000PT!$O$96</f>
        <v>6.2390000000000001E-2</v>
      </c>
      <c r="G119" s="626">
        <f>RAT1000PT!$P$96</f>
        <v>0</v>
      </c>
      <c r="H119" s="2470">
        <f t="shared" si="17"/>
        <v>0</v>
      </c>
      <c r="I119" s="606"/>
      <c r="J119" s="606"/>
      <c r="K119" s="2162"/>
    </row>
    <row r="120" spans="2:13">
      <c r="B120" s="624" t="str">
        <f>B96</f>
        <v>Cargo por Energía (de 1 a 10,000 KWh)</v>
      </c>
      <c r="C120" s="621" t="s">
        <v>421</v>
      </c>
      <c r="D120" s="625">
        <f xml:space="preserve"> RAT1000PT!$H$122</f>
        <v>9.3820000000000001E-2</v>
      </c>
      <c r="E120" s="625">
        <f xml:space="preserve"> RAT1000PT!$N$122</f>
        <v>8.7970000000000007E-2</v>
      </c>
      <c r="F120" s="626">
        <f xml:space="preserve"> RAT1000PT!$O$122</f>
        <v>8.2669999999999993E-2</v>
      </c>
      <c r="G120" s="626">
        <f xml:space="preserve"> RAT1000PT!$P$122</f>
        <v>5.3E-3</v>
      </c>
      <c r="H120" s="2470">
        <f t="shared" si="17"/>
        <v>1.3010426069826053E-17</v>
      </c>
      <c r="I120" s="606"/>
      <c r="J120" s="606"/>
      <c r="K120" s="2162"/>
    </row>
    <row r="121" spans="2:13">
      <c r="B121" s="624" t="str">
        <f>B97</f>
        <v>Cargo por Energía (de 10,0001 a 30,000 KWh)</v>
      </c>
      <c r="C121" s="621" t="s">
        <v>421</v>
      </c>
      <c r="D121" s="625">
        <f xml:space="preserve"> RAT1000PT!$H$123</f>
        <v>9.8500000000000004E-2</v>
      </c>
      <c r="E121" s="625">
        <f xml:space="preserve"> RAT1000PT!$N$123</f>
        <v>9.2369999999999994E-2</v>
      </c>
      <c r="F121" s="626">
        <f xml:space="preserve"> RAT1000PT!$O$123</f>
        <v>8.6809999999999998E-2</v>
      </c>
      <c r="G121" s="626">
        <f xml:space="preserve"> RAT1000PT!$P$123</f>
        <v>5.5599999999999998E-3</v>
      </c>
      <c r="H121" s="2470">
        <f t="shared" si="17"/>
        <v>0</v>
      </c>
      <c r="I121" s="606"/>
      <c r="J121" s="636">
        <f t="shared" ref="J121:K123" si="20">D121-D120</f>
        <v>4.6800000000000036E-3</v>
      </c>
      <c r="K121" s="2168">
        <f t="shared" si="20"/>
        <v>4.3999999999999873E-3</v>
      </c>
      <c r="L121" s="2168">
        <f t="shared" ref="L121:M123" si="21">F121-F120</f>
        <v>4.1400000000000048E-3</v>
      </c>
      <c r="M121" s="2168">
        <f t="shared" si="21"/>
        <v>2.5999999999999981E-4</v>
      </c>
    </row>
    <row r="122" spans="2:13">
      <c r="B122" s="624" t="str">
        <f>B98</f>
        <v>Cargo por Energía (de 30,0001 a 50,000 KWh)</v>
      </c>
      <c r="C122" s="621" t="s">
        <v>421</v>
      </c>
      <c r="D122" s="625">
        <f xml:space="preserve"> RAT1000PT!$H$124</f>
        <v>0.10345</v>
      </c>
      <c r="E122" s="625">
        <f xml:space="preserve"> RAT1000PT!$N$124</f>
        <v>9.6990000000000007E-2</v>
      </c>
      <c r="F122" s="626">
        <f xml:space="preserve"> RAT1000PT!$O$124</f>
        <v>9.1149999999999995E-2</v>
      </c>
      <c r="G122" s="626">
        <f xml:space="preserve"> RAT1000PT!$P$124</f>
        <v>5.8399999999999997E-3</v>
      </c>
      <c r="H122" s="2470">
        <f t="shared" si="17"/>
        <v>1.214306433183765E-17</v>
      </c>
      <c r="I122" s="606"/>
      <c r="J122" s="636">
        <f t="shared" si="20"/>
        <v>4.9499999999999961E-3</v>
      </c>
      <c r="K122" s="2168">
        <f t="shared" si="20"/>
        <v>4.620000000000013E-3</v>
      </c>
      <c r="L122" s="2168">
        <f t="shared" si="21"/>
        <v>4.3399999999999966E-3</v>
      </c>
      <c r="M122" s="2168">
        <f t="shared" si="21"/>
        <v>2.7999999999999987E-4</v>
      </c>
    </row>
    <row r="123" spans="2:13">
      <c r="B123" s="624" t="str">
        <f>B99</f>
        <v>Cargo por Energía (de 51,0001 y Más KWh)</v>
      </c>
      <c r="C123" s="621" t="s">
        <v>421</v>
      </c>
      <c r="D123" s="625">
        <f xml:space="preserve"> RAT1000PT!$H$125</f>
        <v>0.10861999999999999</v>
      </c>
      <c r="E123" s="625">
        <f xml:space="preserve"> RAT1000PT!$N$125</f>
        <v>0.10184</v>
      </c>
      <c r="F123" s="626">
        <f xml:space="preserve"> RAT1000PT!$O$125</f>
        <v>9.5710000000000003E-2</v>
      </c>
      <c r="G123" s="626">
        <f xml:space="preserve"> RAT1000PT!$P$125</f>
        <v>6.13E-3</v>
      </c>
      <c r="H123" s="2470">
        <f t="shared" si="17"/>
        <v>0</v>
      </c>
      <c r="I123" s="606"/>
      <c r="J123" s="636">
        <f t="shared" si="20"/>
        <v>5.169999999999994E-3</v>
      </c>
      <c r="K123" s="2168">
        <f t="shared" si="20"/>
        <v>4.8499999999999932E-3</v>
      </c>
      <c r="L123" s="2168">
        <f t="shared" si="21"/>
        <v>4.5600000000000085E-3</v>
      </c>
      <c r="M123" s="2168">
        <f t="shared" si="21"/>
        <v>2.9000000000000033E-4</v>
      </c>
    </row>
    <row r="124" spans="2:13">
      <c r="B124" s="624" t="s">
        <v>2184</v>
      </c>
      <c r="C124" s="621" t="s">
        <v>421</v>
      </c>
      <c r="D124" s="625">
        <f xml:space="preserve"> RAT1000PT!$H$40</f>
        <v>1.9499999999999999E-3</v>
      </c>
      <c r="E124" s="625">
        <f xml:space="preserve"> RAT1000PT!$N$40</f>
        <v>1.6199999999999999E-3</v>
      </c>
      <c r="F124" s="626">
        <f xml:space="preserve"> RAT1000PT!$O$40</f>
        <v>1.5100000000000001E-3</v>
      </c>
      <c r="G124" s="626">
        <f xml:space="preserve"> RAT1000PT!$P$40</f>
        <v>1.1E-4</v>
      </c>
      <c r="H124" s="2470">
        <f t="shared" si="17"/>
        <v>-1.4907779871675686E-19</v>
      </c>
      <c r="I124" s="606"/>
      <c r="J124" s="606"/>
      <c r="K124" s="2162"/>
    </row>
    <row r="125" spans="2:13">
      <c r="B125" s="624" t="s">
        <v>1224</v>
      </c>
      <c r="C125" s="621" t="s">
        <v>421</v>
      </c>
      <c r="D125" s="625">
        <f>RAT1000PT!$H$132</f>
        <v>0</v>
      </c>
      <c r="E125" s="625">
        <f>RAT1000PT!$N$132</f>
        <v>0</v>
      </c>
      <c r="F125" s="626">
        <f>+RAT1000PT!$O$132</f>
        <v>0</v>
      </c>
      <c r="G125" s="626">
        <f>+RAT1000PT!$P$132</f>
        <v>0</v>
      </c>
      <c r="H125" s="2470">
        <f t="shared" si="17"/>
        <v>0</v>
      </c>
      <c r="I125" s="606"/>
      <c r="J125" s="606"/>
      <c r="K125" s="2162"/>
    </row>
    <row r="126" spans="2:13">
      <c r="B126" s="654"/>
      <c r="H126" s="2470">
        <f t="shared" si="17"/>
        <v>0</v>
      </c>
      <c r="I126" s="606"/>
      <c r="J126" s="606"/>
      <c r="K126" s="2162"/>
    </row>
    <row r="127" spans="2:13">
      <c r="B127" s="654"/>
      <c r="H127" s="2470">
        <f t="shared" si="17"/>
        <v>0</v>
      </c>
      <c r="I127" s="606"/>
      <c r="J127" s="606"/>
      <c r="K127" s="2162"/>
    </row>
    <row r="128" spans="2:13">
      <c r="B128" s="611" t="s">
        <v>429</v>
      </c>
      <c r="C128" s="599"/>
      <c r="D128" s="600"/>
      <c r="E128" s="600"/>
      <c r="F128" s="601"/>
      <c r="G128" s="601"/>
      <c r="H128" s="2470">
        <f t="shared" si="17"/>
        <v>0</v>
      </c>
      <c r="I128" s="606"/>
      <c r="J128" s="606"/>
      <c r="K128" s="2162"/>
    </row>
    <row r="129" spans="2:13" ht="27">
      <c r="B129" s="641" t="s">
        <v>430</v>
      </c>
      <c r="C129" s="642"/>
      <c r="D129" s="642"/>
      <c r="E129" s="642"/>
      <c r="F129" s="643"/>
      <c r="G129" s="643"/>
      <c r="H129" s="2470">
        <f t="shared" si="17"/>
        <v>0</v>
      </c>
      <c r="I129" s="606"/>
      <c r="J129" s="606"/>
      <c r="K129" s="2162"/>
    </row>
    <row r="130" spans="2:13">
      <c r="B130" s="655" t="s">
        <v>1191</v>
      </c>
      <c r="C130" s="613"/>
      <c r="D130" s="614"/>
      <c r="E130" s="614"/>
      <c r="F130" s="615"/>
      <c r="G130" s="615"/>
      <c r="H130" s="2470">
        <f t="shared" si="17"/>
        <v>0</v>
      </c>
      <c r="I130" s="606"/>
      <c r="J130" s="606"/>
      <c r="K130" s="2162"/>
    </row>
    <row r="131" spans="2:13">
      <c r="B131" s="616" t="s">
        <v>313</v>
      </c>
      <c r="C131" s="617" t="s">
        <v>420</v>
      </c>
      <c r="D131" s="656">
        <f>+D139</f>
        <v>5.04</v>
      </c>
      <c r="E131" s="656">
        <f>+E139</f>
        <v>5.57</v>
      </c>
      <c r="F131" s="657">
        <f>+F139</f>
        <v>5.57</v>
      </c>
      <c r="G131" s="657">
        <f>+G139</f>
        <v>0</v>
      </c>
      <c r="H131" s="2470">
        <f t="shared" si="17"/>
        <v>0</v>
      </c>
      <c r="I131" s="606"/>
      <c r="J131" s="606"/>
      <c r="K131" s="2162"/>
    </row>
    <row r="132" spans="2:13">
      <c r="B132" s="616" t="s">
        <v>1220</v>
      </c>
      <c r="C132" s="617" t="s">
        <v>426</v>
      </c>
      <c r="D132" s="627">
        <f>+D142+D146+D151+D156</f>
        <v>10.3</v>
      </c>
      <c r="E132" s="627">
        <f>+E142+E146+E151+E156</f>
        <v>12.69</v>
      </c>
      <c r="F132" s="628">
        <f>+F142+F146+F151+F156</f>
        <v>12.68</v>
      </c>
      <c r="G132" s="628">
        <f>+G142+G146+G151+G156</f>
        <v>1.0000000000000002E-2</v>
      </c>
      <c r="H132" s="2470">
        <f t="shared" si="17"/>
        <v>-2.1510571102112408E-16</v>
      </c>
      <c r="I132" s="606"/>
      <c r="J132" s="606"/>
      <c r="K132" s="2162"/>
    </row>
    <row r="133" spans="2:13">
      <c r="B133" s="616" t="s">
        <v>909</v>
      </c>
      <c r="C133" s="617" t="s">
        <v>426</v>
      </c>
      <c r="D133" s="656">
        <f>+D143</f>
        <v>5.93</v>
      </c>
      <c r="E133" s="656">
        <f>+E143</f>
        <v>5.26</v>
      </c>
      <c r="F133" s="657">
        <f>+F143</f>
        <v>5.26</v>
      </c>
      <c r="G133" s="657">
        <f>+G143</f>
        <v>0</v>
      </c>
      <c r="H133" s="2470">
        <f t="shared" si="17"/>
        <v>0</v>
      </c>
      <c r="I133" s="606"/>
      <c r="J133" s="2483">
        <f>D136/D134</f>
        <v>1</v>
      </c>
      <c r="K133" s="2483">
        <f t="shared" ref="K133:M133" si="22">E136/E134</f>
        <v>0.50321588366890369</v>
      </c>
      <c r="L133" s="2483">
        <f t="shared" si="22"/>
        <v>0.50263689684065249</v>
      </c>
      <c r="M133" s="2483">
        <f t="shared" si="22"/>
        <v>0.51345052294042248</v>
      </c>
    </row>
    <row r="134" spans="2:13">
      <c r="B134" s="616" t="s">
        <v>1186</v>
      </c>
      <c r="C134" s="617" t="s">
        <v>421</v>
      </c>
      <c r="D134" s="646">
        <f>+D140+D144+D147+D149+D152+D154+D157+D158+D161+D162</f>
        <v>0.16131000000000001</v>
      </c>
      <c r="E134" s="646">
        <f>+E140+E144+E147+E149+E152+E154+E157+E158+E161+E162</f>
        <v>0.21456000000000003</v>
      </c>
      <c r="F134" s="2159">
        <f>+F140+F144+F147+F149+F152+F154+F157+F158+F161+F162</f>
        <v>0.20289000000000001</v>
      </c>
      <c r="G134" s="2159">
        <f>+G140+G144+G147+G149+G152+G154+G157+G158+G161+G162</f>
        <v>1.1667442157399451E-2</v>
      </c>
      <c r="H134" s="2470">
        <f t="shared" si="17"/>
        <v>2.5578426005624932E-6</v>
      </c>
      <c r="I134" s="629"/>
      <c r="J134" s="2483">
        <f>D136/D135</f>
        <v>1</v>
      </c>
      <c r="K134" s="2483">
        <f t="shared" ref="K134:M134" si="23">E136/E135</f>
        <v>0.66850349823540334</v>
      </c>
      <c r="L134" s="2483">
        <f t="shared" si="23"/>
        <v>0.66797668173183988</v>
      </c>
      <c r="M134" s="2483">
        <f t="shared" si="23"/>
        <v>0.67750197455258299</v>
      </c>
    </row>
    <row r="135" spans="2:13">
      <c r="B135" s="616" t="s">
        <v>1187</v>
      </c>
      <c r="C135" s="617" t="s">
        <v>421</v>
      </c>
      <c r="D135" s="646">
        <f>+D140+D144+D147+D149+D152+D154+D157+D159+D161+D162</f>
        <v>0.16131000000000001</v>
      </c>
      <c r="E135" s="646">
        <f>+E140+E144+E147+E149+E152+E154+E157+E159+E161+E162</f>
        <v>0.16151000000000001</v>
      </c>
      <c r="F135" s="2159">
        <f>+F140+F144+F147+F149+F152+F154+F157+F159+F161+F162</f>
        <v>0.15267</v>
      </c>
      <c r="G135" s="2159">
        <f>+G140+G144+G147+G149+G152+G154+G157+G159+G161+G162</f>
        <v>8.8422683654170321E-3</v>
      </c>
      <c r="H135" s="2470">
        <f t="shared" si="17"/>
        <v>-2.2683654170175399E-6</v>
      </c>
      <c r="I135" s="629"/>
      <c r="J135" s="629">
        <f t="shared" ref="J135:M136" si="24">D134-D135</f>
        <v>0</v>
      </c>
      <c r="K135" s="2165">
        <f t="shared" si="24"/>
        <v>5.3050000000000014E-2</v>
      </c>
      <c r="L135" s="2165">
        <f t="shared" si="24"/>
        <v>5.0220000000000015E-2</v>
      </c>
      <c r="M135" s="2165">
        <f t="shared" si="24"/>
        <v>2.8251737919824191E-3</v>
      </c>
    </row>
    <row r="136" spans="2:13">
      <c r="B136" s="616" t="s">
        <v>1188</v>
      </c>
      <c r="C136" s="617" t="s">
        <v>421</v>
      </c>
      <c r="D136" s="646">
        <f>+D140+D144+D147+D149+D152+D154+D157+D160+D161+D162</f>
        <v>0.16131000000000001</v>
      </c>
      <c r="E136" s="646">
        <f>+E140+E144+E147+E149+E152+E154+E157+E160+E161+E162</f>
        <v>0.10797</v>
      </c>
      <c r="F136" s="2159">
        <f>+F140+F144+F147+F149+F152+F154+F157+F160+F161+F162</f>
        <v>0.10198</v>
      </c>
      <c r="G136" s="2159">
        <f>+G140+G144+G147+G149+G152+G154+G157+G160+G161+G162</f>
        <v>5.9906542770938797E-3</v>
      </c>
      <c r="H136" s="2470">
        <f t="shared" si="17"/>
        <v>-6.5427709388440197E-7</v>
      </c>
      <c r="I136" s="629"/>
      <c r="J136" s="629">
        <f t="shared" si="24"/>
        <v>0</v>
      </c>
      <c r="K136" s="2165">
        <f t="shared" si="24"/>
        <v>5.3540000000000018E-2</v>
      </c>
      <c r="L136" s="2165">
        <f t="shared" si="24"/>
        <v>5.0689999999999999E-2</v>
      </c>
      <c r="M136" s="2165">
        <f t="shared" si="24"/>
        <v>2.8516140883231523E-3</v>
      </c>
    </row>
    <row r="137" spans="2:13">
      <c r="B137" s="619" t="s">
        <v>1190</v>
      </c>
      <c r="H137" s="2470">
        <f t="shared" si="17"/>
        <v>0</v>
      </c>
      <c r="I137" s="606"/>
      <c r="J137" s="606"/>
      <c r="K137" s="2162"/>
    </row>
    <row r="138" spans="2:13">
      <c r="B138" s="620" t="s">
        <v>12</v>
      </c>
      <c r="C138" s="621"/>
      <c r="D138" s="622"/>
      <c r="E138" s="622"/>
      <c r="F138" s="623"/>
      <c r="G138" s="623"/>
      <c r="H138" s="2470">
        <f t="shared" si="17"/>
        <v>0</v>
      </c>
      <c r="I138" s="606"/>
      <c r="J138" s="606"/>
      <c r="K138" s="2162"/>
    </row>
    <row r="139" spans="2:13">
      <c r="B139" s="624" t="s">
        <v>428</v>
      </c>
      <c r="C139" s="621" t="s">
        <v>431</v>
      </c>
      <c r="D139" s="631">
        <f xml:space="preserve"> RAT1000VAD!$H$11</f>
        <v>5.04</v>
      </c>
      <c r="E139" s="631">
        <f xml:space="preserve"> RAT1000VAD!$N$11</f>
        <v>5.57</v>
      </c>
      <c r="F139" s="632">
        <f xml:space="preserve"> RAT1000VAD!$O$11</f>
        <v>5.57</v>
      </c>
      <c r="G139" s="632">
        <f xml:space="preserve"> RAT1000VAD!$P$11</f>
        <v>0</v>
      </c>
      <c r="H139" s="2470">
        <f t="shared" si="17"/>
        <v>0</v>
      </c>
      <c r="I139" s="606"/>
      <c r="J139" s="606"/>
      <c r="K139" s="2162"/>
    </row>
    <row r="140" spans="2:13">
      <c r="B140" s="624" t="s">
        <v>427</v>
      </c>
      <c r="C140" s="621" t="s">
        <v>432</v>
      </c>
      <c r="D140" s="625">
        <f xml:space="preserve"> RAT1000VAD!$H$21</f>
        <v>5.3499999999999997E-3</v>
      </c>
      <c r="E140" s="625">
        <f xml:space="preserve"> RAT1000VAD!$N$21</f>
        <v>4.7699999999999999E-3</v>
      </c>
      <c r="F140" s="626">
        <f xml:space="preserve"> RAT1000VAD!$O$21</f>
        <v>4.7699999999999999E-3</v>
      </c>
      <c r="G140" s="626">
        <f xml:space="preserve"> RAT1000VAD!$P$21</f>
        <v>0</v>
      </c>
      <c r="H140" s="2470">
        <f t="shared" si="17"/>
        <v>0</v>
      </c>
      <c r="I140" s="606"/>
      <c r="J140" s="606"/>
      <c r="K140" s="2162"/>
    </row>
    <row r="141" spans="2:13">
      <c r="B141" s="620" t="s">
        <v>9</v>
      </c>
      <c r="C141" s="621"/>
      <c r="D141" s="622"/>
      <c r="E141" s="622"/>
      <c r="F141" s="623"/>
      <c r="G141" s="623"/>
      <c r="H141" s="2470">
        <f t="shared" si="17"/>
        <v>0</v>
      </c>
      <c r="I141" s="606"/>
      <c r="J141" s="606"/>
      <c r="K141" s="2162"/>
    </row>
    <row r="142" spans="2:13">
      <c r="B142" s="624" t="str">
        <f>B132</f>
        <v>Cargo por Demanda Máxima Horas Punta</v>
      </c>
      <c r="C142" s="621" t="s">
        <v>433</v>
      </c>
      <c r="D142" s="631">
        <f xml:space="preserve"> RAT1000VAD!$H$45</f>
        <v>7.11</v>
      </c>
      <c r="E142" s="631">
        <f xml:space="preserve"> RAT1000VAD!$N$45</f>
        <v>7.68</v>
      </c>
      <c r="F142" s="632">
        <f xml:space="preserve"> RAT1000VAD!$O$45</f>
        <v>7.68</v>
      </c>
      <c r="G142" s="632">
        <f xml:space="preserve"> RAT1000VAD!$P$45</f>
        <v>0</v>
      </c>
      <c r="H142" s="2470">
        <f t="shared" si="17"/>
        <v>0</v>
      </c>
      <c r="I142" s="606"/>
      <c r="J142" s="606"/>
      <c r="K142" s="2162"/>
    </row>
    <row r="143" spans="2:13">
      <c r="B143" s="624" t="str">
        <f>B133</f>
        <v>Cargo por Demanda Máxima Fuera de Punta</v>
      </c>
      <c r="C143" s="621" t="s">
        <v>433</v>
      </c>
      <c r="D143" s="631">
        <f xml:space="preserve"> RAT1000VAD!$H$49</f>
        <v>5.93</v>
      </c>
      <c r="E143" s="631">
        <f xml:space="preserve"> RAT1000VAD!$N$49</f>
        <v>5.26</v>
      </c>
      <c r="F143" s="632">
        <f xml:space="preserve"> RAT1000VAD!$O$49</f>
        <v>5.26</v>
      </c>
      <c r="G143" s="632">
        <f xml:space="preserve"> RAT1000VAD!$P$49</f>
        <v>0</v>
      </c>
      <c r="H143" s="2470">
        <f t="shared" si="17"/>
        <v>0</v>
      </c>
      <c r="I143" s="606"/>
      <c r="J143" s="606"/>
      <c r="K143" s="2162"/>
    </row>
    <row r="144" spans="2:13">
      <c r="B144" s="624" t="s">
        <v>427</v>
      </c>
      <c r="C144" s="621" t="s">
        <v>432</v>
      </c>
      <c r="D144" s="625">
        <f xml:space="preserve"> RAT1000VAD!$H$34</f>
        <v>0</v>
      </c>
      <c r="E144" s="625">
        <f xml:space="preserve"> RAT1000VAD!$N$34</f>
        <v>0</v>
      </c>
      <c r="F144" s="626">
        <f xml:space="preserve"> RAT1000VAD!$O$34</f>
        <v>0</v>
      </c>
      <c r="G144" s="626">
        <f xml:space="preserve"> RAT1000VAD!$P$34</f>
        <v>0</v>
      </c>
      <c r="H144" s="2470">
        <f t="shared" si="17"/>
        <v>0</v>
      </c>
      <c r="I144" s="606"/>
      <c r="J144" s="606"/>
      <c r="K144" s="2162"/>
    </row>
    <row r="145" spans="2:13">
      <c r="B145" s="620" t="s">
        <v>422</v>
      </c>
      <c r="C145" s="621"/>
      <c r="D145" s="625"/>
      <c r="E145" s="625"/>
      <c r="F145" s="626"/>
      <c r="G145" s="626"/>
      <c r="H145" s="2470">
        <f t="shared" si="17"/>
        <v>0</v>
      </c>
      <c r="I145" s="606"/>
      <c r="J145" s="606"/>
      <c r="K145" s="2162"/>
    </row>
    <row r="146" spans="2:13">
      <c r="B146" s="624" t="str">
        <f>B132</f>
        <v>Cargo por Demanda Máxima Horas Punta</v>
      </c>
      <c r="C146" s="621" t="s">
        <v>433</v>
      </c>
      <c r="D146" s="631">
        <f xml:space="preserve"> RAT1000PT!$H$30</f>
        <v>0.45</v>
      </c>
      <c r="E146" s="631">
        <f xml:space="preserve"> RAT1000PT!$N$30</f>
        <v>0.56000000000000005</v>
      </c>
      <c r="F146" s="632">
        <f xml:space="preserve"> RAT1000PT!$O$30</f>
        <v>0.51</v>
      </c>
      <c r="G146" s="632">
        <f xml:space="preserve"> RAT1000PT!$P$30</f>
        <v>0.05</v>
      </c>
      <c r="H146" s="2470">
        <f t="shared" si="17"/>
        <v>0</v>
      </c>
      <c r="I146" s="606"/>
      <c r="J146" s="606"/>
      <c r="K146" s="2162"/>
    </row>
    <row r="147" spans="2:13">
      <c r="B147" s="624" t="s">
        <v>427</v>
      </c>
      <c r="C147" s="621" t="s">
        <v>432</v>
      </c>
      <c r="D147" s="625">
        <f xml:space="preserve"> RAT1000PT!$H$8</f>
        <v>1.2319999999999999E-2</v>
      </c>
      <c r="E147" s="625">
        <f xml:space="preserve"> RAT1000PT!$N$8</f>
        <v>1.617E-2</v>
      </c>
      <c r="F147" s="626">
        <f xml:space="preserve"> RAT1000PT!$O$8</f>
        <v>1.487E-2</v>
      </c>
      <c r="G147" s="626">
        <f xml:space="preserve"> RAT1000PT!$P$8</f>
        <v>1.2999999999999999E-3</v>
      </c>
      <c r="H147" s="2470">
        <f t="shared" si="17"/>
        <v>0</v>
      </c>
      <c r="I147" s="606"/>
      <c r="J147" s="606"/>
      <c r="K147" s="2162"/>
    </row>
    <row r="148" spans="2:13">
      <c r="B148" s="620" t="s">
        <v>309</v>
      </c>
      <c r="C148" s="621"/>
      <c r="D148" s="625"/>
      <c r="E148" s="625"/>
      <c r="F148" s="626"/>
      <c r="G148" s="626"/>
      <c r="H148" s="2470">
        <f t="shared" si="17"/>
        <v>0</v>
      </c>
      <c r="I148" s="606"/>
      <c r="J148" s="606"/>
      <c r="K148" s="2162"/>
    </row>
    <row r="149" spans="2:13">
      <c r="B149" s="624" t="s">
        <v>427</v>
      </c>
      <c r="C149" s="621" t="s">
        <v>432</v>
      </c>
      <c r="D149" s="625">
        <f xml:space="preserve"> RAT1000VAD!$H$62</f>
        <v>1.1199999999999999E-3</v>
      </c>
      <c r="E149" s="625">
        <f xml:space="preserve"> RAT1000VAD!$N$62</f>
        <v>2.33E-3</v>
      </c>
      <c r="F149" s="626">
        <f xml:space="preserve"> RAT1000VAD!$O$62</f>
        <v>2.33E-3</v>
      </c>
      <c r="G149" s="626">
        <f xml:space="preserve"> RAT1000VAD!$P$62</f>
        <v>0</v>
      </c>
      <c r="H149" s="2470">
        <f t="shared" si="17"/>
        <v>0</v>
      </c>
      <c r="I149" s="606"/>
      <c r="J149" s="606"/>
      <c r="K149" s="2162"/>
    </row>
    <row r="150" spans="2:13">
      <c r="B150" s="620" t="s">
        <v>10</v>
      </c>
      <c r="C150" s="621"/>
      <c r="D150" s="622"/>
      <c r="E150" s="622"/>
      <c r="F150" s="623"/>
      <c r="G150" s="623"/>
      <c r="H150" s="2470">
        <f t="shared" si="17"/>
        <v>0</v>
      </c>
      <c r="I150" s="606"/>
      <c r="J150" s="606"/>
      <c r="K150" s="2162"/>
    </row>
    <row r="151" spans="2:13">
      <c r="B151" s="624" t="s">
        <v>1185</v>
      </c>
      <c r="C151" s="621" t="s">
        <v>433</v>
      </c>
      <c r="D151" s="631">
        <f xml:space="preserve"> RAT1000PT!$H$59</f>
        <v>0.46</v>
      </c>
      <c r="E151" s="631">
        <f xml:space="preserve"> RAT1000PT!$N$59</f>
        <v>1.45</v>
      </c>
      <c r="F151" s="632">
        <f xml:space="preserve"> RAT1000PT!$O$59</f>
        <v>1.49</v>
      </c>
      <c r="G151" s="632">
        <f xml:space="preserve"> RAT1000PT!$P$59</f>
        <v>-0.04</v>
      </c>
      <c r="H151" s="2470">
        <f t="shared" si="17"/>
        <v>0</v>
      </c>
      <c r="I151" s="606"/>
      <c r="J151" s="606"/>
      <c r="K151" s="2162"/>
    </row>
    <row r="152" spans="2:13">
      <c r="B152" s="624" t="s">
        <v>427</v>
      </c>
      <c r="C152" s="621" t="s">
        <v>432</v>
      </c>
      <c r="D152" s="625">
        <f>RAT1000PT!$H$52</f>
        <v>3.5500000000000002E-3</v>
      </c>
      <c r="E152" s="625">
        <f>RAT1000PT!$N$52</f>
        <v>1.9400000000000001E-3</v>
      </c>
      <c r="F152" s="626">
        <f>RAT1000PT!$O$52</f>
        <v>2.2599999999999999E-3</v>
      </c>
      <c r="G152" s="626">
        <f>RAT1000PT!$P$52</f>
        <v>-3.2000000000000003E-4</v>
      </c>
      <c r="H152" s="2470">
        <f t="shared" si="17"/>
        <v>0</v>
      </c>
      <c r="I152" s="606"/>
      <c r="J152" s="606"/>
      <c r="K152" s="2162"/>
    </row>
    <row r="153" spans="2:13">
      <c r="B153" s="620" t="s">
        <v>861</v>
      </c>
      <c r="C153" s="621"/>
      <c r="D153" s="631"/>
      <c r="E153" s="631"/>
      <c r="F153" s="632"/>
      <c r="G153" s="632"/>
      <c r="H153" s="2470">
        <f t="shared" si="17"/>
        <v>0</v>
      </c>
      <c r="I153" s="606"/>
      <c r="J153" s="606"/>
      <c r="K153" s="2162"/>
    </row>
    <row r="154" spans="2:13">
      <c r="B154" s="624" t="s">
        <v>427</v>
      </c>
      <c r="C154" s="621" t="s">
        <v>432</v>
      </c>
      <c r="D154" s="625">
        <f xml:space="preserve"> RAT1000PT!$H$70</f>
        <v>3.7599999999999999E-3</v>
      </c>
      <c r="E154" s="625">
        <f xml:space="preserve"> RAT1000PT!$N$70</f>
        <v>6.8999999999999999E-3</v>
      </c>
      <c r="F154" s="626">
        <f xml:space="preserve"> RAT1000PT!$O$70</f>
        <v>4.64E-3</v>
      </c>
      <c r="G154" s="626">
        <f xml:space="preserve"> RAT1000PT!$P$70</f>
        <v>2.2599999999999999E-3</v>
      </c>
      <c r="H154" s="2470">
        <f t="shared" si="17"/>
        <v>0</v>
      </c>
      <c r="I154" s="606"/>
      <c r="J154" s="606"/>
      <c r="K154" s="2162"/>
    </row>
    <row r="155" spans="2:13">
      <c r="B155" s="620" t="s">
        <v>11</v>
      </c>
      <c r="C155" s="621"/>
      <c r="D155" s="622"/>
      <c r="E155" s="622"/>
      <c r="F155" s="623"/>
      <c r="G155" s="623"/>
      <c r="H155" s="2470">
        <f t="shared" si="17"/>
        <v>0</v>
      </c>
      <c r="I155" s="606"/>
      <c r="J155" s="606"/>
      <c r="K155" s="2162"/>
    </row>
    <row r="156" spans="2:13">
      <c r="B156" s="624" t="str">
        <f>B132</f>
        <v>Cargo por Demanda Máxima Horas Punta</v>
      </c>
      <c r="C156" s="621" t="s">
        <v>433</v>
      </c>
      <c r="D156" s="631">
        <f xml:space="preserve"> RAT1000PT!$H$85</f>
        <v>2.2799999999999998</v>
      </c>
      <c r="E156" s="631">
        <f xml:space="preserve"> RAT1000PT!$N$85</f>
        <v>3</v>
      </c>
      <c r="F156" s="632">
        <f xml:space="preserve"> RAT1000PT!$O$85</f>
        <v>3</v>
      </c>
      <c r="G156" s="632">
        <f xml:space="preserve"> RAT1000PT!$P$85</f>
        <v>0</v>
      </c>
      <c r="H156" s="2470">
        <f t="shared" si="17"/>
        <v>0</v>
      </c>
      <c r="I156" s="606"/>
      <c r="J156" s="606"/>
      <c r="K156" s="2162"/>
    </row>
    <row r="157" spans="2:13">
      <c r="B157" s="624" t="s">
        <v>1212</v>
      </c>
      <c r="C157" s="621" t="s">
        <v>432</v>
      </c>
      <c r="D157" s="625">
        <f>RAT1000PT!$H$97</f>
        <v>3.5490000000000001E-2</v>
      </c>
      <c r="E157" s="625">
        <f>RAT1000PT!$N$97</f>
        <v>2.4660000000000001E-2</v>
      </c>
      <c r="F157" s="626">
        <f>RAT1000PT!$O$97</f>
        <v>2.4660000000000001E-2</v>
      </c>
      <c r="G157" s="626">
        <f>RAT1000PT!$P$97</f>
        <v>0</v>
      </c>
      <c r="H157" s="2470">
        <f t="shared" si="17"/>
        <v>0</v>
      </c>
      <c r="I157" s="606"/>
      <c r="J157" s="606"/>
      <c r="K157" s="2162"/>
    </row>
    <row r="158" spans="2:13">
      <c r="B158" s="624" t="str">
        <f>B134</f>
        <v>Cargo por Energía (Horas Punta)</v>
      </c>
      <c r="C158" s="621" t="s">
        <v>432</v>
      </c>
      <c r="D158" s="625">
        <f xml:space="preserve"> RAT1000PT!$H$104</f>
        <v>9.7769999999999996E-2</v>
      </c>
      <c r="E158" s="625">
        <f xml:space="preserve"> RAT1000PT!$N$104</f>
        <v>0.15617</v>
      </c>
      <c r="F158" s="626">
        <f xml:space="preserve"> RAT1000PT!$O$104</f>
        <v>0.14785000000000001</v>
      </c>
      <c r="G158" s="626">
        <f xml:space="preserve"> RAT1000PT!$P$104</f>
        <v>8.3174421573994507E-3</v>
      </c>
      <c r="H158" s="2468">
        <f t="shared" si="17"/>
        <v>2.5578426005434113E-6</v>
      </c>
      <c r="I158" s="606"/>
      <c r="J158" s="606"/>
      <c r="K158" s="2162"/>
    </row>
    <row r="159" spans="2:13">
      <c r="B159" s="624" t="str">
        <f>B135</f>
        <v>Cargo por Energía (Horas Fuera de Punta Medio)</v>
      </c>
      <c r="C159" s="621" t="s">
        <v>432</v>
      </c>
      <c r="D159" s="625">
        <f xml:space="preserve"> RAT1000PT!$H$109</f>
        <v>9.7769999999999996E-2</v>
      </c>
      <c r="E159" s="625">
        <f xml:space="preserve"> RAT1000PT!$N$109</f>
        <v>0.10312</v>
      </c>
      <c r="F159" s="626">
        <f xml:space="preserve"> RAT1000PT!$O$109</f>
        <v>9.7629999999999995E-2</v>
      </c>
      <c r="G159" s="626">
        <f xml:space="preserve"> RAT1000PT!$P$109</f>
        <v>5.4922683654170324E-3</v>
      </c>
      <c r="H159" s="2468">
        <f t="shared" si="17"/>
        <v>-2.2683654170236114E-6</v>
      </c>
      <c r="I159" s="606"/>
      <c r="J159" s="629">
        <f t="shared" ref="J159:M160" si="25">D158-D159</f>
        <v>0</v>
      </c>
      <c r="K159" s="2165">
        <f t="shared" si="25"/>
        <v>5.305E-2</v>
      </c>
      <c r="L159" s="2165">
        <f t="shared" si="25"/>
        <v>5.0220000000000015E-2</v>
      </c>
      <c r="M159" s="2165">
        <f t="shared" si="25"/>
        <v>2.8251737919824183E-3</v>
      </c>
    </row>
    <row r="160" spans="2:13">
      <c r="B160" s="624" t="str">
        <f>B136</f>
        <v>Cargo por Energía (Horas Fuera de Punta Bajo)</v>
      </c>
      <c r="C160" s="621" t="s">
        <v>432</v>
      </c>
      <c r="D160" s="625">
        <f xml:space="preserve"> RAT1000PT!$H$114</f>
        <v>9.7769999999999996E-2</v>
      </c>
      <c r="E160" s="625">
        <f xml:space="preserve"> RAT1000PT!$N$114</f>
        <v>4.9579999999999999E-2</v>
      </c>
      <c r="F160" s="626">
        <f xml:space="preserve"> RAT1000PT!$O$114</f>
        <v>4.6940000000000003E-2</v>
      </c>
      <c r="G160" s="626">
        <f xml:space="preserve"> RAT1000PT!$P$114</f>
        <v>2.6406542770938805E-3</v>
      </c>
      <c r="H160" s="2468">
        <f t="shared" si="17"/>
        <v>-6.5427709388396829E-7</v>
      </c>
      <c r="I160" s="606"/>
      <c r="J160" s="629">
        <f t="shared" si="25"/>
        <v>0</v>
      </c>
      <c r="K160" s="2165">
        <f t="shared" si="25"/>
        <v>5.3540000000000004E-2</v>
      </c>
      <c r="L160" s="2165">
        <f t="shared" si="25"/>
        <v>5.0689999999999992E-2</v>
      </c>
      <c r="M160" s="2165">
        <f t="shared" si="25"/>
        <v>2.8516140883231519E-3</v>
      </c>
    </row>
    <row r="161" spans="2:11">
      <c r="B161" s="624" t="s">
        <v>2184</v>
      </c>
      <c r="C161" s="621" t="s">
        <v>432</v>
      </c>
      <c r="D161" s="625">
        <f xml:space="preserve"> RAT1000PT!$H$41</f>
        <v>1.9499999999999999E-3</v>
      </c>
      <c r="E161" s="625">
        <f xml:space="preserve"> RAT1000PT!$N$41</f>
        <v>1.6199999999999999E-3</v>
      </c>
      <c r="F161" s="626">
        <f xml:space="preserve"> RAT1000PT!$O$41</f>
        <v>1.5100000000000001E-3</v>
      </c>
      <c r="G161" s="626">
        <f xml:space="preserve"> RAT1000PT!$P$41</f>
        <v>1.1E-4</v>
      </c>
      <c r="H161" s="2470">
        <f t="shared" ref="H161:H224" si="26">E161-F161-G161</f>
        <v>-1.4907779871675686E-19</v>
      </c>
      <c r="I161" s="606"/>
      <c r="J161" s="606"/>
      <c r="K161" s="2162"/>
    </row>
    <row r="162" spans="2:11">
      <c r="B162" s="624" t="s">
        <v>1224</v>
      </c>
      <c r="C162" s="621" t="s">
        <v>421</v>
      </c>
      <c r="D162" s="625">
        <f>RAT1000PT!$H$133</f>
        <v>0</v>
      </c>
      <c r="E162" s="625">
        <f>RAT1000PT!$N$133</f>
        <v>0</v>
      </c>
      <c r="F162" s="626">
        <f>+RAT1000PT!$O$133</f>
        <v>0</v>
      </c>
      <c r="G162" s="626">
        <f>+RAT1000PT!$P$133</f>
        <v>0</v>
      </c>
      <c r="H162" s="2470">
        <f t="shared" si="26"/>
        <v>0</v>
      </c>
      <c r="I162" s="606"/>
      <c r="J162" s="606"/>
      <c r="K162" s="2162"/>
    </row>
    <row r="163" spans="2:11">
      <c r="B163" s="658"/>
      <c r="H163" s="2470">
        <f t="shared" si="26"/>
        <v>0</v>
      </c>
      <c r="I163" s="606"/>
      <c r="J163" s="606"/>
      <c r="K163" s="2162"/>
    </row>
    <row r="164" spans="2:11">
      <c r="B164" s="659" t="s">
        <v>434</v>
      </c>
      <c r="C164" s="613"/>
      <c r="D164" s="614"/>
      <c r="E164" s="614"/>
      <c r="F164" s="615"/>
      <c r="G164" s="615"/>
      <c r="H164" s="2470">
        <f t="shared" si="26"/>
        <v>0</v>
      </c>
      <c r="I164" s="606"/>
      <c r="J164" s="606"/>
      <c r="K164" s="2162"/>
    </row>
    <row r="165" spans="2:11">
      <c r="B165" s="654"/>
      <c r="H165" s="2470">
        <f t="shared" si="26"/>
        <v>0</v>
      </c>
      <c r="I165" s="606"/>
      <c r="J165" s="606"/>
      <c r="K165" s="2162"/>
    </row>
    <row r="166" spans="2:11">
      <c r="B166" s="611" t="s">
        <v>435</v>
      </c>
      <c r="C166" s="599"/>
      <c r="D166" s="600"/>
      <c r="E166" s="600"/>
      <c r="F166" s="601"/>
      <c r="G166" s="601"/>
      <c r="H166" s="2470">
        <f t="shared" si="26"/>
        <v>0</v>
      </c>
      <c r="I166" s="606"/>
      <c r="J166" s="606"/>
      <c r="K166" s="2162"/>
    </row>
    <row r="167" spans="2:11">
      <c r="B167" s="641" t="s">
        <v>1174</v>
      </c>
      <c r="C167" s="642"/>
      <c r="D167" s="642"/>
      <c r="E167" s="642"/>
      <c r="F167" s="643"/>
      <c r="G167" s="643"/>
      <c r="H167" s="2470">
        <f t="shared" si="26"/>
        <v>0</v>
      </c>
      <c r="I167" s="606"/>
      <c r="J167" s="606"/>
      <c r="K167" s="2162"/>
    </row>
    <row r="168" spans="2:11">
      <c r="B168" s="612" t="s">
        <v>1191</v>
      </c>
      <c r="C168" s="613"/>
      <c r="D168" s="660"/>
      <c r="E168" s="660"/>
      <c r="F168" s="661"/>
      <c r="G168" s="661"/>
      <c r="H168" s="2470">
        <f t="shared" si="26"/>
        <v>0</v>
      </c>
      <c r="I168" s="606"/>
      <c r="J168" s="606"/>
      <c r="K168" s="2162"/>
    </row>
    <row r="169" spans="2:11">
      <c r="B169" s="616" t="s">
        <v>313</v>
      </c>
      <c r="C169" s="617" t="s">
        <v>420</v>
      </c>
      <c r="D169" s="644">
        <f>+D174</f>
        <v>9.06</v>
      </c>
      <c r="E169" s="644">
        <f>+E174</f>
        <v>10.029999999999999</v>
      </c>
      <c r="F169" s="645">
        <f>+F174</f>
        <v>10.029999999999999</v>
      </c>
      <c r="G169" s="645">
        <f>+G174</f>
        <v>0</v>
      </c>
      <c r="H169" s="2470">
        <f t="shared" si="26"/>
        <v>0</v>
      </c>
      <c r="I169" s="606"/>
      <c r="J169" s="606"/>
      <c r="K169" s="2162"/>
    </row>
    <row r="170" spans="2:11">
      <c r="B170" s="616" t="s">
        <v>425</v>
      </c>
      <c r="C170" s="617" t="s">
        <v>426</v>
      </c>
      <c r="D170" s="644">
        <f>+D177+D180+D185+D190</f>
        <v>12.450000000000001</v>
      </c>
      <c r="E170" s="644">
        <f>+E177+E180+E185+E190</f>
        <v>15.309999999999999</v>
      </c>
      <c r="F170" s="645">
        <f>+F177+F180+F185+F190</f>
        <v>15.32</v>
      </c>
      <c r="G170" s="645">
        <f>+G177+G180+G185+G190</f>
        <v>-1.0000000000000002E-2</v>
      </c>
      <c r="H170" s="2470">
        <f t="shared" si="26"/>
        <v>-1.5612511283791264E-15</v>
      </c>
      <c r="I170" s="606"/>
      <c r="J170" s="606"/>
      <c r="K170" s="2162"/>
    </row>
    <row r="171" spans="2:11">
      <c r="B171" s="616" t="s">
        <v>427</v>
      </c>
      <c r="C171" s="617" t="s">
        <v>421</v>
      </c>
      <c r="D171" s="662">
        <f>+D175+D178+D181+D183+D186+D188+D191+D192+D193+D194</f>
        <v>0.15395999999999999</v>
      </c>
      <c r="E171" s="662">
        <f>+E175+E178+E181+E183+E186+E188+E191+E192+E193+E194</f>
        <v>0.15471000000000001</v>
      </c>
      <c r="F171" s="2160">
        <f>+F175+F178+F181+F183+F186+F188+F191+F192+F193+F194</f>
        <v>0.14616000000000001</v>
      </c>
      <c r="G171" s="2160">
        <f>+G175+G178+G181+G183+G186+G188+G191+G192+G193+G194</f>
        <v>8.5500000000000003E-3</v>
      </c>
      <c r="H171" s="2470">
        <f t="shared" si="26"/>
        <v>0</v>
      </c>
      <c r="I171" s="606"/>
      <c r="J171" s="606"/>
      <c r="K171" s="2162"/>
    </row>
    <row r="172" spans="2:11">
      <c r="B172" s="619" t="s">
        <v>1192</v>
      </c>
      <c r="H172" s="2470">
        <f t="shared" si="26"/>
        <v>0</v>
      </c>
      <c r="I172" s="606"/>
      <c r="J172" s="606"/>
      <c r="K172" s="2162"/>
    </row>
    <row r="173" spans="2:11">
      <c r="B173" s="620" t="s">
        <v>12</v>
      </c>
      <c r="C173" s="621"/>
      <c r="D173" s="622"/>
      <c r="E173" s="622"/>
      <c r="F173" s="623"/>
      <c r="G173" s="623"/>
      <c r="H173" s="2470">
        <f t="shared" si="26"/>
        <v>0</v>
      </c>
      <c r="I173" s="606"/>
      <c r="J173" s="606"/>
      <c r="K173" s="2162"/>
    </row>
    <row r="174" spans="2:11">
      <c r="B174" s="647" t="s">
        <v>428</v>
      </c>
      <c r="C174" s="621" t="s">
        <v>420</v>
      </c>
      <c r="D174" s="631">
        <f xml:space="preserve"> RAT1000VAD!$H$12</f>
        <v>9.06</v>
      </c>
      <c r="E174" s="631">
        <f xml:space="preserve"> RAT1000VAD!$N$12</f>
        <v>10.029999999999999</v>
      </c>
      <c r="F174" s="632">
        <f xml:space="preserve"> RAT1000VAD!$O$12</f>
        <v>10.029999999999999</v>
      </c>
      <c r="G174" s="632">
        <f xml:space="preserve"> RAT1000VAD!$P$12</f>
        <v>0</v>
      </c>
      <c r="H174" s="2470">
        <f t="shared" si="26"/>
        <v>0</v>
      </c>
      <c r="I174" s="606"/>
      <c r="J174" s="606"/>
      <c r="K174" s="2162"/>
    </row>
    <row r="175" spans="2:11">
      <c r="B175" s="624" t="s">
        <v>250</v>
      </c>
      <c r="C175" s="621" t="s">
        <v>421</v>
      </c>
      <c r="D175" s="625">
        <f xml:space="preserve"> RAT1000VAD!$H$22</f>
        <v>4.0200000000000001E-3</v>
      </c>
      <c r="E175" s="625">
        <f xml:space="preserve"> RAT1000VAD!$N$22</f>
        <v>4.5900000000000003E-3</v>
      </c>
      <c r="F175" s="626">
        <f xml:space="preserve"> RAT1000VAD!$O$22</f>
        <v>4.5900000000000003E-3</v>
      </c>
      <c r="G175" s="626">
        <f xml:space="preserve"> RAT1000VAD!$P$22</f>
        <v>0</v>
      </c>
      <c r="H175" s="2470">
        <f t="shared" si="26"/>
        <v>0</v>
      </c>
      <c r="I175" s="606"/>
      <c r="J175" s="606"/>
      <c r="K175" s="2162"/>
    </row>
    <row r="176" spans="2:11">
      <c r="B176" s="620" t="s">
        <v>9</v>
      </c>
      <c r="C176" s="621"/>
      <c r="D176" s="622"/>
      <c r="E176" s="622"/>
      <c r="F176" s="623"/>
      <c r="G176" s="623"/>
      <c r="H176" s="2470">
        <f t="shared" si="26"/>
        <v>0</v>
      </c>
      <c r="I176" s="606"/>
      <c r="J176" s="606"/>
      <c r="K176" s="2162"/>
    </row>
    <row r="177" spans="2:11">
      <c r="B177" s="624" t="s">
        <v>425</v>
      </c>
      <c r="C177" s="621" t="s">
        <v>426</v>
      </c>
      <c r="D177" s="652">
        <f xml:space="preserve"> RAT1000VAD!$H$42</f>
        <v>9.8000000000000007</v>
      </c>
      <c r="E177" s="652">
        <f xml:space="preserve"> RAT1000VAD!$N$42</f>
        <v>11.29</v>
      </c>
      <c r="F177" s="653">
        <f xml:space="preserve"> RAT1000VAD!$O$42</f>
        <v>11.29</v>
      </c>
      <c r="G177" s="653">
        <f xml:space="preserve"> RAT1000VAD!$P$42</f>
        <v>0</v>
      </c>
      <c r="H177" s="2470">
        <f t="shared" si="26"/>
        <v>0</v>
      </c>
      <c r="I177" s="606"/>
      <c r="J177" s="606"/>
      <c r="K177" s="2162"/>
    </row>
    <row r="178" spans="2:11">
      <c r="B178" s="624" t="s">
        <v>427</v>
      </c>
      <c r="C178" s="621" t="s">
        <v>421</v>
      </c>
      <c r="D178" s="638">
        <f xml:space="preserve"> RAT1000VAD!$H$35</f>
        <v>0</v>
      </c>
      <c r="E178" s="638">
        <f xml:space="preserve"> RAT1000VAD!$N$35</f>
        <v>0</v>
      </c>
      <c r="F178" s="639">
        <f xml:space="preserve"> RAT1000VAD!$O$35</f>
        <v>0</v>
      </c>
      <c r="G178" s="639">
        <f xml:space="preserve"> RAT1000VAD!$P$35</f>
        <v>0</v>
      </c>
      <c r="H178" s="2470">
        <f t="shared" si="26"/>
        <v>0</v>
      </c>
      <c r="I178" s="606"/>
      <c r="J178" s="606"/>
      <c r="K178" s="2162"/>
    </row>
    <row r="179" spans="2:11">
      <c r="B179" s="620" t="s">
        <v>422</v>
      </c>
      <c r="C179" s="621"/>
      <c r="D179" s="638"/>
      <c r="E179" s="638"/>
      <c r="F179" s="639"/>
      <c r="G179" s="639"/>
      <c r="H179" s="2470">
        <f t="shared" si="26"/>
        <v>0</v>
      </c>
      <c r="I179" s="606"/>
      <c r="J179" s="606"/>
      <c r="K179" s="2162"/>
    </row>
    <row r="180" spans="2:11">
      <c r="B180" s="624" t="s">
        <v>425</v>
      </c>
      <c r="C180" s="621" t="s">
        <v>426</v>
      </c>
      <c r="D180" s="652">
        <f xml:space="preserve"> RAT1000PT!$H$31</f>
        <v>0.31</v>
      </c>
      <c r="E180" s="652">
        <f xml:space="preserve"> RAT1000PT!$N$31</f>
        <v>0.42</v>
      </c>
      <c r="F180" s="653">
        <f xml:space="preserve"> RAT1000PT!$O$31</f>
        <v>0.39</v>
      </c>
      <c r="G180" s="653">
        <f xml:space="preserve"> RAT1000PT!$P$31</f>
        <v>0.03</v>
      </c>
      <c r="H180" s="2470">
        <f t="shared" si="26"/>
        <v>-2.7755575615628914E-17</v>
      </c>
      <c r="I180" s="606"/>
      <c r="J180" s="606"/>
      <c r="K180" s="2162"/>
    </row>
    <row r="181" spans="2:11">
      <c r="B181" s="624" t="s">
        <v>427</v>
      </c>
      <c r="C181" s="621" t="s">
        <v>421</v>
      </c>
      <c r="D181" s="638">
        <f xml:space="preserve"> RAT1000PT!$H$25</f>
        <v>9.1800000000000007E-3</v>
      </c>
      <c r="E181" s="638">
        <f xml:space="preserve"> RAT1000PT!$N$25</f>
        <v>1.188E-2</v>
      </c>
      <c r="F181" s="639">
        <f xml:space="preserve"> RAT1000PT!$O$25</f>
        <v>1.091E-2</v>
      </c>
      <c r="G181" s="639">
        <f xml:space="preserve"> RAT1000PT!$P$25</f>
        <v>9.7000000000000005E-4</v>
      </c>
      <c r="H181" s="2470">
        <f t="shared" si="26"/>
        <v>0</v>
      </c>
      <c r="I181" s="606"/>
      <c r="J181" s="606"/>
      <c r="K181" s="2162"/>
    </row>
    <row r="182" spans="2:11">
      <c r="B182" s="620" t="s">
        <v>309</v>
      </c>
      <c r="C182" s="621"/>
      <c r="D182" s="638"/>
      <c r="E182" s="638"/>
      <c r="F182" s="639"/>
      <c r="G182" s="639"/>
      <c r="H182" s="2470">
        <f t="shared" si="26"/>
        <v>0</v>
      </c>
      <c r="I182" s="606"/>
      <c r="J182" s="606"/>
      <c r="K182" s="2162"/>
    </row>
    <row r="183" spans="2:11">
      <c r="B183" s="624" t="s">
        <v>427</v>
      </c>
      <c r="C183" s="621" t="s">
        <v>421</v>
      </c>
      <c r="D183" s="663">
        <f xml:space="preserve"> RAT1000VAD!$H$63</f>
        <v>1.1199999999999999E-3</v>
      </c>
      <c r="E183" s="663">
        <f xml:space="preserve"> RAT1000VAD!$N$63</f>
        <v>2.33E-3</v>
      </c>
      <c r="F183" s="664">
        <f xml:space="preserve"> RAT1000VAD!$O$63</f>
        <v>2.33E-3</v>
      </c>
      <c r="G183" s="664">
        <f xml:space="preserve"> RAT1000VAD!$P$63</f>
        <v>0</v>
      </c>
      <c r="H183" s="2470">
        <f t="shared" si="26"/>
        <v>0</v>
      </c>
      <c r="I183" s="606"/>
      <c r="J183" s="606"/>
      <c r="K183" s="2162"/>
    </row>
    <row r="184" spans="2:11">
      <c r="B184" s="620" t="s">
        <v>10</v>
      </c>
      <c r="C184" s="621"/>
      <c r="D184" s="622"/>
      <c r="E184" s="622"/>
      <c r="F184" s="623"/>
      <c r="G184" s="623"/>
      <c r="H184" s="2470">
        <f t="shared" si="26"/>
        <v>0</v>
      </c>
      <c r="I184" s="606"/>
      <c r="J184" s="606"/>
      <c r="K184" s="2162"/>
    </row>
    <row r="185" spans="2:11">
      <c r="B185" s="624" t="s">
        <v>425</v>
      </c>
      <c r="C185" s="621" t="s">
        <v>426</v>
      </c>
      <c r="D185" s="631">
        <f xml:space="preserve"> RAT1000PT!$H$60</f>
        <v>0.43</v>
      </c>
      <c r="E185" s="631">
        <f xml:space="preserve"> RAT1000PT!$N$60</f>
        <v>1.52</v>
      </c>
      <c r="F185" s="632">
        <f xml:space="preserve"> RAT1000PT!$O$60</f>
        <v>1.56</v>
      </c>
      <c r="G185" s="632">
        <f xml:space="preserve"> RAT1000PT!$P$60</f>
        <v>-0.04</v>
      </c>
      <c r="H185" s="2470">
        <f t="shared" si="26"/>
        <v>0</v>
      </c>
      <c r="I185" s="606"/>
      <c r="J185" s="606"/>
      <c r="K185" s="2162"/>
    </row>
    <row r="186" spans="2:11">
      <c r="B186" s="624" t="s">
        <v>427</v>
      </c>
      <c r="C186" s="621" t="s">
        <v>421</v>
      </c>
      <c r="D186" s="625">
        <f>RAT1000PT!$H$53</f>
        <v>3.5100000000000001E-3</v>
      </c>
      <c r="E186" s="625">
        <f>RAT1000PT!$N$53</f>
        <v>3.79E-3</v>
      </c>
      <c r="F186" s="626">
        <f>RAT1000PT!$O$53</f>
        <v>4.1000000000000003E-3</v>
      </c>
      <c r="G186" s="626">
        <f>RAT1000PT!$P$53</f>
        <v>-3.1E-4</v>
      </c>
      <c r="H186" s="2470">
        <f t="shared" si="26"/>
        <v>0</v>
      </c>
      <c r="I186" s="606"/>
      <c r="J186" s="606"/>
      <c r="K186" s="2162"/>
    </row>
    <row r="187" spans="2:11">
      <c r="B187" s="620" t="s">
        <v>861</v>
      </c>
      <c r="C187" s="621"/>
      <c r="D187" s="631"/>
      <c r="E187" s="631"/>
      <c r="F187" s="632"/>
      <c r="G187" s="632"/>
      <c r="H187" s="2470">
        <f t="shared" si="26"/>
        <v>0</v>
      </c>
      <c r="I187" s="606"/>
      <c r="J187" s="606"/>
      <c r="K187" s="2162"/>
    </row>
    <row r="188" spans="2:11">
      <c r="B188" s="624" t="s">
        <v>427</v>
      </c>
      <c r="C188" s="621" t="s">
        <v>421</v>
      </c>
      <c r="D188" s="625">
        <f xml:space="preserve"> RAT1000PT!$H$71</f>
        <v>3.7599999999999999E-3</v>
      </c>
      <c r="E188" s="625">
        <f xml:space="preserve"> RAT1000PT!$N$71</f>
        <v>6.9100000000000003E-3</v>
      </c>
      <c r="F188" s="626">
        <f xml:space="preserve"> RAT1000PT!$O$71</f>
        <v>4.6499999999999996E-3</v>
      </c>
      <c r="G188" s="626">
        <f xml:space="preserve"> RAT1000PT!$P$71</f>
        <v>2.2599999999999999E-3</v>
      </c>
      <c r="H188" s="2470">
        <f t="shared" si="26"/>
        <v>0</v>
      </c>
      <c r="I188" s="606"/>
      <c r="J188" s="606"/>
      <c r="K188" s="2162"/>
    </row>
    <row r="189" spans="2:11">
      <c r="B189" s="620" t="s">
        <v>11</v>
      </c>
      <c r="C189" s="621"/>
      <c r="D189" s="622"/>
      <c r="E189" s="622"/>
      <c r="F189" s="623"/>
      <c r="G189" s="623"/>
      <c r="H189" s="2470">
        <f t="shared" si="26"/>
        <v>0</v>
      </c>
      <c r="I189" s="606"/>
      <c r="J189" s="606"/>
      <c r="K189" s="2162"/>
    </row>
    <row r="190" spans="2:11">
      <c r="B190" s="624" t="s">
        <v>425</v>
      </c>
      <c r="C190" s="621" t="s">
        <v>426</v>
      </c>
      <c r="D190" s="631">
        <f xml:space="preserve"> RAT1000PT!$H$86</f>
        <v>1.91</v>
      </c>
      <c r="E190" s="631">
        <f xml:space="preserve"> RAT1000PT!$N$86</f>
        <v>2.08</v>
      </c>
      <c r="F190" s="632">
        <f xml:space="preserve"> RAT1000PT!$O$86</f>
        <v>2.08</v>
      </c>
      <c r="G190" s="632">
        <f xml:space="preserve"> RAT1000PT!$P$86</f>
        <v>0</v>
      </c>
      <c r="H190" s="2470">
        <f t="shared" si="26"/>
        <v>0</v>
      </c>
      <c r="I190" s="606"/>
      <c r="J190" s="606"/>
      <c r="K190" s="2162"/>
    </row>
    <row r="191" spans="2:11">
      <c r="B191" s="624" t="s">
        <v>1212</v>
      </c>
      <c r="C191" s="621" t="s">
        <v>421</v>
      </c>
      <c r="D191" s="625">
        <f>RAT1000PT!$H$98</f>
        <v>3.2649999999999998E-2</v>
      </c>
      <c r="E191" s="625">
        <f>RAT1000PT!$N$98</f>
        <v>3.2620000000000003E-2</v>
      </c>
      <c r="F191" s="626">
        <f>RAT1000PT!$O$98</f>
        <v>3.2620000000000003E-2</v>
      </c>
      <c r="G191" s="626">
        <f>RAT1000PT!$P$98</f>
        <v>0</v>
      </c>
      <c r="H191" s="2470">
        <f t="shared" si="26"/>
        <v>0</v>
      </c>
      <c r="I191" s="606"/>
      <c r="J191" s="606"/>
      <c r="K191" s="2162"/>
    </row>
    <row r="192" spans="2:11">
      <c r="B192" s="624" t="s">
        <v>427</v>
      </c>
      <c r="C192" s="621" t="s">
        <v>421</v>
      </c>
      <c r="D192" s="625">
        <f xml:space="preserve"> RAT1000PT!$H$126</f>
        <v>9.7769999999999996E-2</v>
      </c>
      <c r="E192" s="625">
        <f xml:space="preserve"> RAT1000PT!$N$126</f>
        <v>9.0969999999999995E-2</v>
      </c>
      <c r="F192" s="626">
        <f xml:space="preserve"> RAT1000PT!$O$126</f>
        <v>8.5449999999999998E-2</v>
      </c>
      <c r="G192" s="626">
        <f xml:space="preserve"> RAT1000PT!$P$126</f>
        <v>5.5199999999999997E-3</v>
      </c>
      <c r="H192" s="2470">
        <f t="shared" si="26"/>
        <v>0</v>
      </c>
      <c r="I192" s="606"/>
      <c r="J192" s="606"/>
      <c r="K192" s="2162"/>
    </row>
    <row r="193" spans="2:13">
      <c r="B193" s="624" t="s">
        <v>2184</v>
      </c>
      <c r="C193" s="621" t="s">
        <v>421</v>
      </c>
      <c r="D193" s="625">
        <f xml:space="preserve"> RAT1000PT!$H$42</f>
        <v>1.9499999999999999E-3</v>
      </c>
      <c r="E193" s="625">
        <f xml:space="preserve"> RAT1000PT!$N$42</f>
        <v>1.6199999999999999E-3</v>
      </c>
      <c r="F193" s="626">
        <f xml:space="preserve"> RAT1000PT!$O$42</f>
        <v>1.5100000000000001E-3</v>
      </c>
      <c r="G193" s="626">
        <f xml:space="preserve"> RAT1000PT!$P$42</f>
        <v>1.1E-4</v>
      </c>
      <c r="H193" s="2470">
        <f t="shared" si="26"/>
        <v>-1.4907779871675686E-19</v>
      </c>
      <c r="I193" s="606"/>
      <c r="J193" s="606"/>
      <c r="K193" s="2162"/>
    </row>
    <row r="194" spans="2:13">
      <c r="B194" s="624" t="s">
        <v>1224</v>
      </c>
      <c r="C194" s="621" t="s">
        <v>421</v>
      </c>
      <c r="D194" s="625">
        <f>RAT1000PT!$H$134</f>
        <v>0</v>
      </c>
      <c r="E194" s="625">
        <f>RAT1000PT!$N$134</f>
        <v>0</v>
      </c>
      <c r="F194" s="626">
        <f>+RAT1000PT!$O$134</f>
        <v>0</v>
      </c>
      <c r="G194" s="626">
        <f>+RAT1000PT!$P$134</f>
        <v>0</v>
      </c>
      <c r="H194" s="2470">
        <f t="shared" si="26"/>
        <v>0</v>
      </c>
      <c r="I194" s="606"/>
      <c r="J194" s="606"/>
      <c r="K194" s="2162"/>
    </row>
    <row r="195" spans="2:13">
      <c r="B195" s="658"/>
      <c r="H195" s="2470">
        <f t="shared" si="26"/>
        <v>0</v>
      </c>
      <c r="I195" s="606"/>
      <c r="J195" s="606"/>
      <c r="K195" s="2162"/>
    </row>
    <row r="196" spans="2:13">
      <c r="B196" s="624"/>
      <c r="C196" s="621"/>
      <c r="D196" s="625"/>
      <c r="E196" s="625"/>
      <c r="F196" s="626"/>
      <c r="G196" s="626"/>
      <c r="H196" s="2470">
        <f t="shared" si="26"/>
        <v>0</v>
      </c>
      <c r="I196" s="606"/>
      <c r="J196" s="606"/>
      <c r="K196" s="2162"/>
    </row>
    <row r="197" spans="2:13">
      <c r="B197" s="611" t="s">
        <v>436</v>
      </c>
      <c r="C197" s="599"/>
      <c r="D197" s="600"/>
      <c r="E197" s="600"/>
      <c r="F197" s="601"/>
      <c r="G197" s="601"/>
      <c r="H197" s="2470">
        <f t="shared" si="26"/>
        <v>0</v>
      </c>
      <c r="I197" s="606"/>
      <c r="J197" s="606"/>
      <c r="K197" s="2162"/>
    </row>
    <row r="198" spans="2:13">
      <c r="B198" s="641" t="s">
        <v>1173</v>
      </c>
      <c r="C198" s="642"/>
      <c r="D198" s="642"/>
      <c r="E198" s="642"/>
      <c r="F198" s="643"/>
      <c r="G198" s="643"/>
      <c r="H198" s="2470">
        <f t="shared" si="26"/>
        <v>0</v>
      </c>
      <c r="I198" s="606"/>
      <c r="J198" s="606"/>
      <c r="K198" s="2162"/>
    </row>
    <row r="199" spans="2:13">
      <c r="B199" s="655" t="s">
        <v>1191</v>
      </c>
      <c r="C199" s="613"/>
      <c r="D199" s="614"/>
      <c r="E199" s="614"/>
      <c r="F199" s="615"/>
      <c r="G199" s="615"/>
      <c r="H199" s="2470">
        <f t="shared" si="26"/>
        <v>0</v>
      </c>
      <c r="I199" s="606"/>
      <c r="J199" s="606"/>
      <c r="K199" s="2162"/>
    </row>
    <row r="200" spans="2:13">
      <c r="B200" s="616" t="str">
        <f t="shared" ref="B200:B205" si="27">B131</f>
        <v>Cargo Fijo</v>
      </c>
      <c r="C200" s="617" t="s">
        <v>431</v>
      </c>
      <c r="D200" s="656">
        <f>+D208</f>
        <v>9.06</v>
      </c>
      <c r="E200" s="656">
        <f>+E208</f>
        <v>10.029999999999999</v>
      </c>
      <c r="F200" s="657">
        <f>+F208</f>
        <v>10.029999999999999</v>
      </c>
      <c r="G200" s="657">
        <f>+G208</f>
        <v>0</v>
      </c>
      <c r="H200" s="2470">
        <f t="shared" si="26"/>
        <v>0</v>
      </c>
      <c r="I200" s="606"/>
      <c r="J200" s="606"/>
      <c r="K200" s="2162"/>
    </row>
    <row r="201" spans="2:13">
      <c r="B201" s="616" t="str">
        <f t="shared" si="27"/>
        <v>Cargo por Demanda Máxima Horas Punta</v>
      </c>
      <c r="C201" s="617" t="s">
        <v>433</v>
      </c>
      <c r="D201" s="627">
        <f>+D211+D215+D220+D225</f>
        <v>8.27</v>
      </c>
      <c r="E201" s="627">
        <f>+E211+E215+E220+E225</f>
        <v>10.4</v>
      </c>
      <c r="F201" s="628">
        <f>+F211+F215+F220+F225</f>
        <v>10.4</v>
      </c>
      <c r="G201" s="628">
        <f>+G211+G215+G220+G225</f>
        <v>0</v>
      </c>
      <c r="H201" s="2470">
        <f t="shared" si="26"/>
        <v>0</v>
      </c>
      <c r="I201" s="606"/>
      <c r="J201" s="606"/>
      <c r="K201" s="2162"/>
    </row>
    <row r="202" spans="2:13">
      <c r="B202" s="616" t="str">
        <f t="shared" si="27"/>
        <v>Cargo por Demanda Máxima Fuera de Punta</v>
      </c>
      <c r="C202" s="617" t="s">
        <v>433</v>
      </c>
      <c r="D202" s="656">
        <f>+D212</f>
        <v>4.78</v>
      </c>
      <c r="E202" s="656">
        <f>+E212</f>
        <v>5.46</v>
      </c>
      <c r="F202" s="657">
        <f>+F212</f>
        <v>5.46</v>
      </c>
      <c r="G202" s="657">
        <f>+G212</f>
        <v>0</v>
      </c>
      <c r="H202" s="2470">
        <f t="shared" si="26"/>
        <v>0</v>
      </c>
      <c r="I202" s="606"/>
      <c r="J202" s="2483">
        <f>D205/D203</f>
        <v>1</v>
      </c>
      <c r="K202" s="2483">
        <f t="shared" ref="K202" si="28">E205/E203</f>
        <v>0.50615464632454921</v>
      </c>
      <c r="L202" s="2483">
        <f t="shared" ref="L202" si="29">F205/F203</f>
        <v>0.50764525993883791</v>
      </c>
      <c r="M202" s="2483">
        <f t="shared" ref="M202" si="30">G205/G203</f>
        <v>0.47800569615537236</v>
      </c>
    </row>
    <row r="203" spans="2:13">
      <c r="B203" s="616" t="str">
        <f t="shared" si="27"/>
        <v>Cargo por Energía (Horas Punta)</v>
      </c>
      <c r="C203" s="617" t="s">
        <v>432</v>
      </c>
      <c r="D203" s="646">
        <f>+D209+D213+D216+D218+D221+D223+D226+D227+D230+D231</f>
        <v>0.14660000000000001</v>
      </c>
      <c r="E203" s="646">
        <f>+E209+E213+E216+E218+E221+E223+E226+E227+E230+E231</f>
        <v>0.23072000000000004</v>
      </c>
      <c r="F203" s="2159">
        <f>+F209+F213+F216+F218+F221+F223+F226+F227+F230+F231</f>
        <v>0.21909000000000001</v>
      </c>
      <c r="G203" s="2159">
        <f>+G209+G213+G216+G218+G221+G223+G226+G227+G230+G231</f>
        <v>1.1625278753527066E-2</v>
      </c>
      <c r="H203" s="2470">
        <f t="shared" si="26"/>
        <v>4.7212464729627646E-6</v>
      </c>
      <c r="I203" s="629"/>
      <c r="J203" s="2483">
        <f>D205/D204</f>
        <v>1</v>
      </c>
      <c r="K203" s="2483">
        <f t="shared" ref="K203" si="31">E205/E204</f>
        <v>0.66769582618639223</v>
      </c>
      <c r="L203" s="2483">
        <f t="shared" ref="L203" si="32">F205/F204</f>
        <v>0.66899248120300747</v>
      </c>
      <c r="M203" s="2483">
        <f t="shared" ref="M203" si="33">G205/G204</f>
        <v>0.64222037429574452</v>
      </c>
    </row>
    <row r="204" spans="2:13">
      <c r="B204" s="616" t="str">
        <f t="shared" si="27"/>
        <v>Cargo por Energía (Horas Fuera de Punta Medio)</v>
      </c>
      <c r="C204" s="617" t="s">
        <v>432</v>
      </c>
      <c r="D204" s="646">
        <f>+D209+D213+D216+D218+D221+D223+D226+D228+D230+D231</f>
        <v>0.14660000000000001</v>
      </c>
      <c r="E204" s="646">
        <f>+E209+E213+E216+E218+E221+E223+E226+E228+E230+E231</f>
        <v>0.1749</v>
      </c>
      <c r="F204" s="2159">
        <f>+F209+F213+F216+F218+F221+F223+F226+F228+F230+F231</f>
        <v>0.16625000000000001</v>
      </c>
      <c r="G204" s="2159">
        <f>+G209+G213+G216+G218+G221+G223+G226+G228+G230+G231</f>
        <v>8.6527143734324626E-3</v>
      </c>
      <c r="H204" s="2470">
        <f t="shared" si="26"/>
        <v>-2.7143734324715924E-6</v>
      </c>
      <c r="I204" s="629"/>
      <c r="J204" s="629">
        <f t="shared" ref="J204:M205" si="34">D203-D204</f>
        <v>0</v>
      </c>
      <c r="K204" s="2165">
        <f t="shared" si="34"/>
        <v>5.5820000000000036E-2</v>
      </c>
      <c r="L204" s="2165">
        <f t="shared" si="34"/>
        <v>5.2839999999999998E-2</v>
      </c>
      <c r="M204" s="2165">
        <f t="shared" si="34"/>
        <v>2.9725643800946038E-3</v>
      </c>
    </row>
    <row r="205" spans="2:13">
      <c r="B205" s="616" t="str">
        <f t="shared" si="27"/>
        <v>Cargo por Energía (Horas Fuera de Punta Bajo)</v>
      </c>
      <c r="C205" s="617" t="s">
        <v>432</v>
      </c>
      <c r="D205" s="646">
        <f>+D209+D213+D216+D218+D221+D223+D226+D229+D230+D231</f>
        <v>0.14660000000000001</v>
      </c>
      <c r="E205" s="646">
        <f>+E209+E213+E216+E218+E221+E223+E226+E229+E230+E231</f>
        <v>0.11678000000000001</v>
      </c>
      <c r="F205" s="2159">
        <f>+F209+F213+F216+F218+F221+F223+F226+F229+F230+F231</f>
        <v>0.11122</v>
      </c>
      <c r="G205" s="2159">
        <f>+G209+G213+G216+G218+G221+G223+G226+G229+G230+G231</f>
        <v>5.5569494635799646E-3</v>
      </c>
      <c r="H205" s="2470">
        <f t="shared" si="26"/>
        <v>3.0505364200447693E-6</v>
      </c>
      <c r="I205" s="629"/>
      <c r="J205" s="629">
        <f t="shared" si="34"/>
        <v>0</v>
      </c>
      <c r="K205" s="2165">
        <f t="shared" si="34"/>
        <v>5.8119999999999991E-2</v>
      </c>
      <c r="L205" s="2165">
        <f t="shared" si="34"/>
        <v>5.5030000000000009E-2</v>
      </c>
      <c r="M205" s="2165">
        <f t="shared" si="34"/>
        <v>3.095764909852498E-3</v>
      </c>
    </row>
    <row r="206" spans="2:13">
      <c r="B206" s="619" t="s">
        <v>1190</v>
      </c>
      <c r="H206" s="2470">
        <f t="shared" si="26"/>
        <v>0</v>
      </c>
      <c r="I206" s="606"/>
      <c r="J206" s="606"/>
      <c r="K206" s="2162"/>
    </row>
    <row r="207" spans="2:13">
      <c r="B207" s="620" t="s">
        <v>12</v>
      </c>
      <c r="C207" s="621"/>
      <c r="D207" s="622"/>
      <c r="E207" s="622"/>
      <c r="F207" s="623"/>
      <c r="G207" s="623"/>
      <c r="H207" s="2470">
        <f t="shared" si="26"/>
        <v>0</v>
      </c>
      <c r="I207" s="606"/>
      <c r="J207" s="606"/>
      <c r="K207" s="2162"/>
    </row>
    <row r="208" spans="2:13">
      <c r="B208" s="624" t="s">
        <v>428</v>
      </c>
      <c r="C208" s="621" t="s">
        <v>431</v>
      </c>
      <c r="D208" s="631">
        <f xml:space="preserve"> RAT1000VAD!$H$13</f>
        <v>9.06</v>
      </c>
      <c r="E208" s="631">
        <f xml:space="preserve"> RAT1000VAD!$N$13</f>
        <v>10.029999999999999</v>
      </c>
      <c r="F208" s="632">
        <f xml:space="preserve"> RAT1000VAD!$O$13</f>
        <v>10.029999999999999</v>
      </c>
      <c r="G208" s="632">
        <f xml:space="preserve"> RAT1000VAD!$P$13</f>
        <v>0</v>
      </c>
      <c r="H208" s="2470">
        <f t="shared" si="26"/>
        <v>0</v>
      </c>
      <c r="I208" s="606"/>
      <c r="J208" s="606"/>
      <c r="K208" s="2162"/>
    </row>
    <row r="209" spans="2:11">
      <c r="B209" s="624" t="s">
        <v>427</v>
      </c>
      <c r="C209" s="621" t="s">
        <v>432</v>
      </c>
      <c r="D209" s="625">
        <f xml:space="preserve"> RAT1000VAD!$H$23</f>
        <v>4.0200000000000001E-3</v>
      </c>
      <c r="E209" s="625">
        <f xml:space="preserve"> RAT1000VAD!$N$23</f>
        <v>4.5900000000000003E-3</v>
      </c>
      <c r="F209" s="626">
        <f xml:space="preserve"> RAT1000VAD!$O$23</f>
        <v>4.5900000000000003E-3</v>
      </c>
      <c r="G209" s="626">
        <f xml:space="preserve"> RAT1000VAD!$P$23</f>
        <v>0</v>
      </c>
      <c r="H209" s="2470">
        <f t="shared" si="26"/>
        <v>0</v>
      </c>
      <c r="I209" s="606"/>
      <c r="J209" s="606"/>
      <c r="K209" s="2162"/>
    </row>
    <row r="210" spans="2:11">
      <c r="B210" s="620" t="s">
        <v>9</v>
      </c>
      <c r="C210" s="621"/>
      <c r="D210" s="622"/>
      <c r="E210" s="622"/>
      <c r="F210" s="623"/>
      <c r="G210" s="623"/>
      <c r="H210" s="2470">
        <f t="shared" si="26"/>
        <v>0</v>
      </c>
      <c r="I210" s="606"/>
      <c r="J210" s="606"/>
      <c r="K210" s="2162"/>
    </row>
    <row r="211" spans="2:11">
      <c r="B211" s="624" t="str">
        <f>B201</f>
        <v>Cargo por Demanda Máxima Horas Punta</v>
      </c>
      <c r="C211" s="621" t="s">
        <v>433</v>
      </c>
      <c r="D211" s="631">
        <f xml:space="preserve"> RAT1000VAD!$H$46</f>
        <v>5.47</v>
      </c>
      <c r="E211" s="631">
        <f xml:space="preserve"> RAT1000VAD!$N$46</f>
        <v>6.22</v>
      </c>
      <c r="F211" s="632">
        <f xml:space="preserve"> RAT1000VAD!$O$46</f>
        <v>6.22</v>
      </c>
      <c r="G211" s="632">
        <f xml:space="preserve"> RAT1000VAD!$P$46</f>
        <v>0</v>
      </c>
      <c r="H211" s="2470">
        <f t="shared" si="26"/>
        <v>0</v>
      </c>
      <c r="I211" s="606"/>
      <c r="J211" s="606"/>
      <c r="K211" s="2162"/>
    </row>
    <row r="212" spans="2:11">
      <c r="B212" s="624" t="str">
        <f>B202</f>
        <v>Cargo por Demanda Máxima Fuera de Punta</v>
      </c>
      <c r="C212" s="621" t="s">
        <v>433</v>
      </c>
      <c r="D212" s="631">
        <f xml:space="preserve"> RAT1000VAD!$H$50</f>
        <v>4.78</v>
      </c>
      <c r="E212" s="631">
        <f xml:space="preserve"> RAT1000VAD!$N$50</f>
        <v>5.46</v>
      </c>
      <c r="F212" s="632">
        <f xml:space="preserve"> RAT1000VAD!$O$50</f>
        <v>5.46</v>
      </c>
      <c r="G212" s="632">
        <f xml:space="preserve"> RAT1000VAD!$P$50</f>
        <v>0</v>
      </c>
      <c r="H212" s="2470">
        <f t="shared" si="26"/>
        <v>0</v>
      </c>
      <c r="I212" s="606"/>
      <c r="J212" s="606"/>
      <c r="K212" s="2162"/>
    </row>
    <row r="213" spans="2:11">
      <c r="B213" s="624" t="s">
        <v>427</v>
      </c>
      <c r="C213" s="621" t="s">
        <v>432</v>
      </c>
      <c r="D213" s="625">
        <f xml:space="preserve"> RAT1000VAD!$H$36</f>
        <v>0</v>
      </c>
      <c r="E213" s="625">
        <f xml:space="preserve"> RAT1000VAD!$N$36</f>
        <v>0</v>
      </c>
      <c r="F213" s="626">
        <f xml:space="preserve"> RAT1000VAD!$O$36</f>
        <v>0</v>
      </c>
      <c r="G213" s="626">
        <f xml:space="preserve"> RAT1000VAD!$P$36</f>
        <v>0</v>
      </c>
      <c r="H213" s="2470">
        <f t="shared" si="26"/>
        <v>0</v>
      </c>
      <c r="I213" s="606"/>
      <c r="J213" s="606"/>
      <c r="K213" s="2162"/>
    </row>
    <row r="214" spans="2:11">
      <c r="B214" s="620" t="s">
        <v>422</v>
      </c>
      <c r="C214" s="621"/>
      <c r="D214" s="665"/>
      <c r="E214" s="665"/>
      <c r="F214" s="666"/>
      <c r="G214" s="666"/>
      <c r="H214" s="2470">
        <f t="shared" si="26"/>
        <v>0</v>
      </c>
      <c r="I214" s="606"/>
      <c r="J214" s="606"/>
      <c r="K214" s="2162"/>
    </row>
    <row r="215" spans="2:11">
      <c r="B215" s="624" t="str">
        <f>B201</f>
        <v>Cargo por Demanda Máxima Horas Punta</v>
      </c>
      <c r="C215" s="621" t="s">
        <v>433</v>
      </c>
      <c r="D215" s="631">
        <f xml:space="preserve"> RAT1000PT!$H$32</f>
        <v>0.34</v>
      </c>
      <c r="E215" s="631">
        <f xml:space="preserve"> RAT1000PT!$N$32</f>
        <v>0.45</v>
      </c>
      <c r="F215" s="632">
        <f xml:space="preserve"> RAT1000PT!$O$32</f>
        <v>0.41</v>
      </c>
      <c r="G215" s="632">
        <f xml:space="preserve"> RAT1000PT!$P$32</f>
        <v>0.04</v>
      </c>
      <c r="H215" s="2470">
        <f t="shared" si="26"/>
        <v>0</v>
      </c>
      <c r="I215" s="606"/>
      <c r="J215" s="606"/>
      <c r="K215" s="2162"/>
    </row>
    <row r="216" spans="2:11">
      <c r="B216" s="624" t="s">
        <v>427</v>
      </c>
      <c r="C216" s="621" t="s">
        <v>432</v>
      </c>
      <c r="D216" s="625">
        <f xml:space="preserve"> RAT1000PT!$H$9</f>
        <v>9.1800000000000007E-3</v>
      </c>
      <c r="E216" s="625">
        <f xml:space="preserve"> RAT1000PT!$N$9</f>
        <v>1.188E-2</v>
      </c>
      <c r="F216" s="626">
        <f xml:space="preserve"> RAT1000PT!$O$9</f>
        <v>1.091E-2</v>
      </c>
      <c r="G216" s="626">
        <f xml:space="preserve"> RAT1000PT!$P$9</f>
        <v>9.7000000000000005E-4</v>
      </c>
      <c r="H216" s="2470">
        <f t="shared" si="26"/>
        <v>0</v>
      </c>
      <c r="I216" s="606"/>
      <c r="J216" s="606"/>
      <c r="K216" s="2162"/>
    </row>
    <row r="217" spans="2:11">
      <c r="B217" s="620" t="s">
        <v>309</v>
      </c>
      <c r="C217" s="621"/>
      <c r="D217" s="625"/>
      <c r="E217" s="625"/>
      <c r="F217" s="626"/>
      <c r="G217" s="626"/>
      <c r="H217" s="2470">
        <f t="shared" si="26"/>
        <v>0</v>
      </c>
      <c r="I217" s="606"/>
      <c r="J217" s="606"/>
      <c r="K217" s="2162"/>
    </row>
    <row r="218" spans="2:11">
      <c r="B218" s="624" t="s">
        <v>427</v>
      </c>
      <c r="C218" s="621" t="s">
        <v>432</v>
      </c>
      <c r="D218" s="625">
        <f xml:space="preserve"> RAT1000VAD!$H$64</f>
        <v>1.1199999999999999E-3</v>
      </c>
      <c r="E218" s="625">
        <f xml:space="preserve"> RAT1000VAD!$N$64</f>
        <v>2.33E-3</v>
      </c>
      <c r="F218" s="626">
        <f xml:space="preserve"> RAT1000VAD!$O$64</f>
        <v>2.33E-3</v>
      </c>
      <c r="G218" s="626">
        <f xml:space="preserve"> RAT1000VAD!$P$64</f>
        <v>0</v>
      </c>
      <c r="H218" s="2470">
        <f t="shared" si="26"/>
        <v>0</v>
      </c>
      <c r="I218" s="606"/>
      <c r="J218" s="606"/>
      <c r="K218" s="2162"/>
    </row>
    <row r="219" spans="2:11">
      <c r="B219" s="620" t="s">
        <v>10</v>
      </c>
      <c r="C219" s="621"/>
      <c r="D219" s="622"/>
      <c r="E219" s="622"/>
      <c r="F219" s="623"/>
      <c r="G219" s="623"/>
      <c r="H219" s="2470">
        <f t="shared" si="26"/>
        <v>0</v>
      </c>
      <c r="I219" s="606"/>
      <c r="J219" s="606"/>
      <c r="K219" s="2162"/>
    </row>
    <row r="220" spans="2:11">
      <c r="B220" s="624" t="s">
        <v>1185</v>
      </c>
      <c r="C220" s="621" t="s">
        <v>433</v>
      </c>
      <c r="D220" s="631">
        <f xml:space="preserve"> RAT1000PT!$H$61</f>
        <v>0.46</v>
      </c>
      <c r="E220" s="631">
        <f xml:space="preserve"> RAT1000PT!$N$61</f>
        <v>1.58</v>
      </c>
      <c r="F220" s="632">
        <f xml:space="preserve"> RAT1000PT!$O$61</f>
        <v>1.62</v>
      </c>
      <c r="G220" s="632">
        <f xml:space="preserve"> RAT1000PT!$P$61</f>
        <v>-0.04</v>
      </c>
      <c r="H220" s="2470">
        <f t="shared" si="26"/>
        <v>0</v>
      </c>
      <c r="I220" s="606"/>
      <c r="J220" s="606"/>
      <c r="K220" s="2162"/>
    </row>
    <row r="221" spans="2:11">
      <c r="B221" s="624" t="s">
        <v>427</v>
      </c>
      <c r="C221" s="621" t="s">
        <v>432</v>
      </c>
      <c r="D221" s="625">
        <f>RAT1000PT!$H$54</f>
        <v>2.9399999999999999E-3</v>
      </c>
      <c r="E221" s="625">
        <f>RAT1000PT!$N$54</f>
        <v>3.6800000000000001E-3</v>
      </c>
      <c r="F221" s="626">
        <f>RAT1000PT!$O$54</f>
        <v>3.9399999999999999E-3</v>
      </c>
      <c r="G221" s="626">
        <f>RAT1000PT!$P$54</f>
        <v>-2.5999999999999998E-4</v>
      </c>
      <c r="H221" s="2470">
        <f t="shared" si="26"/>
        <v>0</v>
      </c>
      <c r="I221" s="606"/>
      <c r="J221" s="606"/>
      <c r="K221" s="2162"/>
    </row>
    <row r="222" spans="2:11">
      <c r="B222" s="620" t="s">
        <v>861</v>
      </c>
      <c r="C222" s="621"/>
      <c r="D222" s="631"/>
      <c r="E222" s="631"/>
      <c r="F222" s="632"/>
      <c r="G222" s="632"/>
      <c r="H222" s="2470">
        <f t="shared" si="26"/>
        <v>0</v>
      </c>
      <c r="I222" s="606"/>
      <c r="J222" s="606"/>
      <c r="K222" s="2162"/>
    </row>
    <row r="223" spans="2:11">
      <c r="B223" s="624" t="s">
        <v>427</v>
      </c>
      <c r="C223" s="621" t="s">
        <v>432</v>
      </c>
      <c r="D223" s="625">
        <f xml:space="preserve"> RAT1000PT!$H$72</f>
        <v>3.7599999999999999E-3</v>
      </c>
      <c r="E223" s="625">
        <f xml:space="preserve"> RAT1000PT!$N$72</f>
        <v>6.9100000000000003E-3</v>
      </c>
      <c r="F223" s="626">
        <f xml:space="preserve"> RAT1000PT!$O$72</f>
        <v>4.6499999999999996E-3</v>
      </c>
      <c r="G223" s="626">
        <f xml:space="preserve"> RAT1000PT!$P$72</f>
        <v>2.2599999999999999E-3</v>
      </c>
      <c r="H223" s="2470">
        <f t="shared" si="26"/>
        <v>0</v>
      </c>
      <c r="I223" s="606"/>
      <c r="J223" s="606"/>
      <c r="K223" s="2162"/>
    </row>
    <row r="224" spans="2:11">
      <c r="B224" s="620" t="s">
        <v>11</v>
      </c>
      <c r="C224" s="621"/>
      <c r="D224" s="622"/>
      <c r="E224" s="622"/>
      <c r="F224" s="623"/>
      <c r="G224" s="623"/>
      <c r="H224" s="2470">
        <f t="shared" si="26"/>
        <v>0</v>
      </c>
      <c r="I224" s="606"/>
      <c r="J224" s="606"/>
      <c r="K224" s="2162"/>
    </row>
    <row r="225" spans="2:13">
      <c r="B225" s="624" t="str">
        <f>B201</f>
        <v>Cargo por Demanda Máxima Horas Punta</v>
      </c>
      <c r="C225" s="621" t="s">
        <v>433</v>
      </c>
      <c r="D225" s="631">
        <f xml:space="preserve"> RAT1000PT!$H$87</f>
        <v>2</v>
      </c>
      <c r="E225" s="631">
        <f xml:space="preserve"> RAT1000PT!$N$87</f>
        <v>2.15</v>
      </c>
      <c r="F225" s="632">
        <f xml:space="preserve"> RAT1000PT!$O$87</f>
        <v>2.15</v>
      </c>
      <c r="G225" s="632">
        <f xml:space="preserve"> RAT1000PT!$P$87</f>
        <v>0</v>
      </c>
      <c r="H225" s="2470">
        <f t="shared" ref="H225:H288" si="35">E225-F225-G225</f>
        <v>0</v>
      </c>
      <c r="I225" s="606"/>
      <c r="J225" s="606"/>
      <c r="K225" s="2162"/>
    </row>
    <row r="226" spans="2:13">
      <c r="B226" s="624" t="s">
        <v>1212</v>
      </c>
      <c r="C226" s="621" t="s">
        <v>432</v>
      </c>
      <c r="D226" s="625">
        <f>RAT1000PT!$H$99</f>
        <v>2.5860000000000001E-2</v>
      </c>
      <c r="E226" s="625">
        <f>RAT1000PT!$N$99</f>
        <v>3.9260000000000003E-2</v>
      </c>
      <c r="F226" s="626">
        <f>RAT1000PT!$O$99</f>
        <v>3.9260000000000003E-2</v>
      </c>
      <c r="G226" s="626">
        <f>RAT1000PT!$P$99</f>
        <v>0</v>
      </c>
      <c r="H226" s="2470">
        <f t="shared" si="35"/>
        <v>0</v>
      </c>
      <c r="I226" s="606"/>
      <c r="J226" s="606"/>
      <c r="K226" s="2162"/>
    </row>
    <row r="227" spans="2:13">
      <c r="B227" s="624" t="str">
        <f>B203</f>
        <v>Cargo por Energía (Horas Punta)</v>
      </c>
      <c r="C227" s="621" t="s">
        <v>432</v>
      </c>
      <c r="D227" s="625">
        <f xml:space="preserve"> RAT1000PT!$H$105</f>
        <v>9.7769999999999996E-2</v>
      </c>
      <c r="E227" s="625">
        <f xml:space="preserve"> RAT1000PT!$N$105</f>
        <v>0.16045000000000001</v>
      </c>
      <c r="F227" s="626">
        <f xml:space="preserve"> RAT1000PT!$O$105</f>
        <v>0.15190000000000001</v>
      </c>
      <c r="G227" s="626">
        <f xml:space="preserve"> RAT1000PT!$P$105</f>
        <v>8.5452787535270653E-3</v>
      </c>
      <c r="H227" s="2468">
        <f t="shared" si="35"/>
        <v>4.7212464729367437E-6</v>
      </c>
      <c r="I227" s="606"/>
      <c r="J227" s="606"/>
      <c r="K227" s="2162"/>
    </row>
    <row r="228" spans="2:13">
      <c r="B228" s="624" t="str">
        <f>B204</f>
        <v>Cargo por Energía (Horas Fuera de Punta Medio)</v>
      </c>
      <c r="C228" s="621" t="s">
        <v>432</v>
      </c>
      <c r="D228" s="625">
        <f xml:space="preserve"> RAT1000PT!$H$110</f>
        <v>9.7769999999999996E-2</v>
      </c>
      <c r="E228" s="625">
        <f xml:space="preserve"> RAT1000PT!$N$110</f>
        <v>0.10463</v>
      </c>
      <c r="F228" s="626">
        <f xml:space="preserve"> RAT1000PT!$O$110</f>
        <v>9.9059999999999995E-2</v>
      </c>
      <c r="G228" s="626">
        <f xml:space="preserve"> RAT1000PT!$P$110</f>
        <v>5.5727143734324615E-3</v>
      </c>
      <c r="H228" s="2468">
        <f t="shared" si="35"/>
        <v>-2.7143734324559798E-6</v>
      </c>
      <c r="I228" s="606"/>
      <c r="J228" s="629">
        <f t="shared" ref="J228:M229" si="36">D227-D228</f>
        <v>0</v>
      </c>
      <c r="K228" s="2165">
        <f t="shared" si="36"/>
        <v>5.5820000000000008E-2</v>
      </c>
      <c r="L228" s="2165">
        <f t="shared" si="36"/>
        <v>5.2840000000000012E-2</v>
      </c>
      <c r="M228" s="2165">
        <f t="shared" si="36"/>
        <v>2.9725643800946038E-3</v>
      </c>
    </row>
    <row r="229" spans="2:13">
      <c r="B229" s="624" t="str">
        <f>B205</f>
        <v>Cargo por Energía (Horas Fuera de Punta Bajo)</v>
      </c>
      <c r="C229" s="621" t="s">
        <v>432</v>
      </c>
      <c r="D229" s="625">
        <f xml:space="preserve"> RAT1000PT!$H$115</f>
        <v>9.7769999999999996E-2</v>
      </c>
      <c r="E229" s="625">
        <f xml:space="preserve"> RAT1000PT!$N$115</f>
        <v>4.6510000000000003E-2</v>
      </c>
      <c r="F229" s="626">
        <f xml:space="preserve"> RAT1000PT!$O$115</f>
        <v>4.403E-2</v>
      </c>
      <c r="G229" s="626">
        <f xml:space="preserve"> RAT1000PT!$P$115</f>
        <v>2.4769494635799648E-3</v>
      </c>
      <c r="H229" s="2468">
        <f t="shared" si="35"/>
        <v>3.0505364200382641E-6</v>
      </c>
      <c r="I229" s="606"/>
      <c r="J229" s="629">
        <f t="shared" si="36"/>
        <v>0</v>
      </c>
      <c r="K229" s="2165">
        <f t="shared" si="36"/>
        <v>5.8119999999999998E-2</v>
      </c>
      <c r="L229" s="2165">
        <f t="shared" si="36"/>
        <v>5.5029999999999996E-2</v>
      </c>
      <c r="M229" s="2165">
        <f t="shared" si="36"/>
        <v>3.0957649098524967E-3</v>
      </c>
    </row>
    <row r="230" spans="2:13">
      <c r="B230" s="624" t="s">
        <v>2184</v>
      </c>
      <c r="C230" s="621" t="s">
        <v>432</v>
      </c>
      <c r="D230" s="625">
        <f xml:space="preserve"> RAT1000PT!$H$43</f>
        <v>1.9499999999999999E-3</v>
      </c>
      <c r="E230" s="625">
        <f xml:space="preserve"> RAT1000PT!$N$43</f>
        <v>1.6199999999999999E-3</v>
      </c>
      <c r="F230" s="626">
        <f xml:space="preserve"> RAT1000PT!$O$43</f>
        <v>1.5100000000000001E-3</v>
      </c>
      <c r="G230" s="626">
        <f xml:space="preserve"> RAT1000PT!$P$43</f>
        <v>1.1E-4</v>
      </c>
      <c r="H230" s="2470">
        <f t="shared" si="35"/>
        <v>-1.4907779871675686E-19</v>
      </c>
      <c r="I230" s="606"/>
      <c r="J230" s="606"/>
      <c r="K230" s="2162"/>
    </row>
    <row r="231" spans="2:13">
      <c r="B231" s="624" t="s">
        <v>1224</v>
      </c>
      <c r="C231" s="621" t="s">
        <v>421</v>
      </c>
      <c r="D231" s="625">
        <f>RAT1000PT!$H$135</f>
        <v>0</v>
      </c>
      <c r="E231" s="625">
        <f>RAT1000PT!$N$135</f>
        <v>0</v>
      </c>
      <c r="F231" s="626">
        <f>+RAT1000PT!$O$135</f>
        <v>0</v>
      </c>
      <c r="G231" s="626">
        <f>+RAT1000PT!$P$135</f>
        <v>0</v>
      </c>
      <c r="H231" s="2470">
        <f t="shared" si="35"/>
        <v>0</v>
      </c>
      <c r="I231" s="606"/>
      <c r="J231" s="606"/>
      <c r="K231" s="2162"/>
    </row>
    <row r="232" spans="2:13">
      <c r="B232" s="654"/>
      <c r="H232" s="2470">
        <f t="shared" si="35"/>
        <v>0</v>
      </c>
      <c r="I232" s="606"/>
      <c r="J232" s="606"/>
      <c r="K232" s="2162"/>
    </row>
    <row r="233" spans="2:13">
      <c r="B233" s="659" t="s">
        <v>437</v>
      </c>
      <c r="C233" s="613"/>
      <c r="D233" s="614"/>
      <c r="E233" s="614"/>
      <c r="F233" s="615"/>
      <c r="G233" s="615"/>
      <c r="H233" s="2470">
        <f t="shared" si="35"/>
        <v>0</v>
      </c>
      <c r="I233" s="606"/>
      <c r="J233" s="606"/>
      <c r="K233" s="2162"/>
    </row>
    <row r="234" spans="2:13">
      <c r="B234" s="654"/>
      <c r="H234" s="2470">
        <f t="shared" si="35"/>
        <v>0</v>
      </c>
      <c r="I234" s="606"/>
      <c r="J234" s="606"/>
      <c r="K234" s="2162"/>
    </row>
    <row r="235" spans="2:13">
      <c r="B235" s="611" t="s">
        <v>438</v>
      </c>
      <c r="C235" s="599"/>
      <c r="D235" s="600"/>
      <c r="E235" s="600"/>
      <c r="F235" s="601"/>
      <c r="G235" s="601"/>
      <c r="H235" s="2470">
        <f t="shared" si="35"/>
        <v>0</v>
      </c>
      <c r="I235" s="606"/>
      <c r="J235" s="606"/>
      <c r="K235" s="2162"/>
    </row>
    <row r="236" spans="2:13">
      <c r="B236" s="641" t="s">
        <v>1172</v>
      </c>
      <c r="C236" s="642"/>
      <c r="D236" s="642"/>
      <c r="E236" s="642"/>
      <c r="F236" s="643"/>
      <c r="G236" s="643"/>
      <c r="H236" s="2470">
        <f t="shared" si="35"/>
        <v>0</v>
      </c>
      <c r="I236" s="606"/>
      <c r="J236" s="606"/>
      <c r="K236" s="2162"/>
    </row>
    <row r="237" spans="2:13">
      <c r="B237" s="612" t="s">
        <v>1191</v>
      </c>
      <c r="C237" s="613"/>
      <c r="D237" s="614"/>
      <c r="E237" s="614"/>
      <c r="F237" s="615"/>
      <c r="G237" s="615"/>
      <c r="H237" s="2470">
        <f t="shared" si="35"/>
        <v>0</v>
      </c>
      <c r="I237" s="606"/>
      <c r="J237" s="606"/>
      <c r="K237" s="2162"/>
    </row>
    <row r="238" spans="2:13">
      <c r="B238" s="616" t="s">
        <v>313</v>
      </c>
      <c r="C238" s="617" t="s">
        <v>439</v>
      </c>
      <c r="D238" s="656">
        <f>+D243</f>
        <v>9.06</v>
      </c>
      <c r="E238" s="656">
        <f>+E243</f>
        <v>10.02</v>
      </c>
      <c r="F238" s="657">
        <f>+F243</f>
        <v>10.02</v>
      </c>
      <c r="G238" s="657">
        <f>+G243</f>
        <v>0</v>
      </c>
      <c r="H238" s="2470">
        <f t="shared" si="35"/>
        <v>0</v>
      </c>
      <c r="I238" s="606"/>
      <c r="J238" s="606"/>
      <c r="K238" s="2162"/>
    </row>
    <row r="239" spans="2:13">
      <c r="B239" s="616" t="s">
        <v>425</v>
      </c>
      <c r="C239" s="617" t="s">
        <v>426</v>
      </c>
      <c r="D239" s="656">
        <f>+D246+D249+D254+D259</f>
        <v>9.82</v>
      </c>
      <c r="E239" s="656">
        <f>+E246+E249+E254+E259</f>
        <v>12.87</v>
      </c>
      <c r="F239" s="657">
        <f>+F246+F249+F254+F259</f>
        <v>12.91</v>
      </c>
      <c r="G239" s="657">
        <f>+G246+G249+G254+G259</f>
        <v>-0.04</v>
      </c>
      <c r="H239" s="2470">
        <f t="shared" si="35"/>
        <v>-9.2287288921966137E-16</v>
      </c>
      <c r="I239" s="606"/>
      <c r="J239" s="606"/>
      <c r="K239" s="2162"/>
    </row>
    <row r="240" spans="2:13">
      <c r="B240" s="616" t="s">
        <v>427</v>
      </c>
      <c r="C240" s="617" t="s">
        <v>421</v>
      </c>
      <c r="D240" s="646">
        <f>+D244+D247+D250+D252+D255+D257+D260+D261+D262+D263</f>
        <v>0.12027999999999998</v>
      </c>
      <c r="E240" s="646">
        <f>+E244+E247+E250+E252+E255+E257+E260+E261+E262+E263</f>
        <v>0.12033000000000001</v>
      </c>
      <c r="F240" s="2159">
        <f>+F244+F247+F250+F252+F255+F257+F260+F261+F262+F263</f>
        <v>0.11252</v>
      </c>
      <c r="G240" s="2159">
        <f>+G244+G247+G250+G252+G255+G257+G260+G261+G262+G263</f>
        <v>7.8099999999999992E-3</v>
      </c>
      <c r="H240" s="2470">
        <f t="shared" si="35"/>
        <v>1.214306433183765E-17</v>
      </c>
      <c r="I240" s="606"/>
      <c r="J240" s="606"/>
      <c r="K240" s="2162"/>
    </row>
    <row r="241" spans="2:11">
      <c r="B241" s="619" t="s">
        <v>1192</v>
      </c>
      <c r="H241" s="2470">
        <f t="shared" si="35"/>
        <v>0</v>
      </c>
      <c r="I241" s="606"/>
      <c r="J241" s="606"/>
      <c r="K241" s="2162"/>
    </row>
    <row r="242" spans="2:11">
      <c r="B242" s="620" t="s">
        <v>12</v>
      </c>
      <c r="C242" s="621"/>
      <c r="D242" s="647"/>
      <c r="E242" s="647"/>
      <c r="F242" s="667"/>
      <c r="G242" s="667"/>
      <c r="H242" s="2470">
        <f t="shared" si="35"/>
        <v>0</v>
      </c>
      <c r="I242" s="606"/>
      <c r="J242" s="606"/>
      <c r="K242" s="2162"/>
    </row>
    <row r="243" spans="2:11">
      <c r="B243" s="647" t="s">
        <v>428</v>
      </c>
      <c r="C243" s="621" t="s">
        <v>420</v>
      </c>
      <c r="D243" s="631">
        <f xml:space="preserve"> RAT1000VAD!$H$14</f>
        <v>9.06</v>
      </c>
      <c r="E243" s="631">
        <f xml:space="preserve"> RAT1000VAD!$N$14</f>
        <v>10.02</v>
      </c>
      <c r="F243" s="632">
        <f xml:space="preserve"> RAT1000VAD!$O$14</f>
        <v>10.02</v>
      </c>
      <c r="G243" s="632">
        <f xml:space="preserve"> RAT1000VAD!$P$14</f>
        <v>0</v>
      </c>
      <c r="H243" s="2470">
        <f t="shared" si="35"/>
        <v>0</v>
      </c>
      <c r="I243" s="606"/>
      <c r="J243" s="606"/>
      <c r="K243" s="2162"/>
    </row>
    <row r="244" spans="2:11">
      <c r="B244" s="624" t="s">
        <v>250</v>
      </c>
      <c r="C244" s="621" t="s">
        <v>440</v>
      </c>
      <c r="D244" s="625">
        <f xml:space="preserve"> RAT1000VAD!$H$24</f>
        <v>4.4000000000000002E-4</v>
      </c>
      <c r="E244" s="625">
        <f xml:space="preserve"> RAT1000VAD!$N$24</f>
        <v>4.8999999999999998E-4</v>
      </c>
      <c r="F244" s="626">
        <f xml:space="preserve"> RAT1000VAD!$O$24</f>
        <v>4.8999999999999998E-4</v>
      </c>
      <c r="G244" s="626">
        <f xml:space="preserve"> RAT1000VAD!$P$24</f>
        <v>0</v>
      </c>
      <c r="H244" s="2470">
        <f t="shared" si="35"/>
        <v>0</v>
      </c>
      <c r="I244" s="606"/>
      <c r="J244" s="606"/>
      <c r="K244" s="2162"/>
    </row>
    <row r="245" spans="2:11">
      <c r="B245" s="620" t="s">
        <v>9</v>
      </c>
      <c r="C245" s="621"/>
      <c r="D245" s="622"/>
      <c r="E245" s="622"/>
      <c r="F245" s="623"/>
      <c r="G245" s="623"/>
      <c r="H245" s="2470">
        <f t="shared" si="35"/>
        <v>0</v>
      </c>
      <c r="I245" s="606"/>
      <c r="J245" s="606"/>
      <c r="K245" s="2162"/>
    </row>
    <row r="246" spans="2:11">
      <c r="B246" s="624" t="s">
        <v>425</v>
      </c>
      <c r="C246" s="621" t="s">
        <v>426</v>
      </c>
      <c r="D246" s="631">
        <f xml:space="preserve"> RAT1000VAD!$H$43</f>
        <v>2.41</v>
      </c>
      <c r="E246" s="631">
        <f xml:space="preserve"> RAT1000VAD!$N$43</f>
        <v>2.82</v>
      </c>
      <c r="F246" s="632">
        <f xml:space="preserve"> RAT1000VAD!$O$43</f>
        <v>2.82</v>
      </c>
      <c r="G246" s="632">
        <f xml:space="preserve"> RAT1000VAD!$P$43</f>
        <v>0</v>
      </c>
      <c r="H246" s="2470">
        <f t="shared" si="35"/>
        <v>0</v>
      </c>
      <c r="I246" s="606"/>
      <c r="J246" s="606"/>
      <c r="K246" s="2162"/>
    </row>
    <row r="247" spans="2:11">
      <c r="B247" s="624" t="s">
        <v>427</v>
      </c>
      <c r="C247" s="621" t="s">
        <v>432</v>
      </c>
      <c r="D247" s="625">
        <f xml:space="preserve"> RAT1000VAD!$H$37</f>
        <v>0</v>
      </c>
      <c r="E247" s="625">
        <f xml:space="preserve"> RAT1000VAD!$N$37</f>
        <v>0</v>
      </c>
      <c r="F247" s="626">
        <f xml:space="preserve"> RAT1000VAD!$O$37</f>
        <v>0</v>
      </c>
      <c r="G247" s="626">
        <f xml:space="preserve"> RAT1000VAD!$P$37</f>
        <v>0</v>
      </c>
      <c r="H247" s="2470">
        <f t="shared" si="35"/>
        <v>0</v>
      </c>
      <c r="I247" s="606"/>
      <c r="J247" s="606"/>
      <c r="K247" s="2162"/>
    </row>
    <row r="248" spans="2:11">
      <c r="B248" s="620" t="s">
        <v>422</v>
      </c>
      <c r="C248" s="621"/>
      <c r="D248" s="622"/>
      <c r="E248" s="622"/>
      <c r="F248" s="623"/>
      <c r="G248" s="623"/>
      <c r="H248" s="2470">
        <f t="shared" si="35"/>
        <v>0</v>
      </c>
      <c r="I248" s="606"/>
      <c r="J248" s="606"/>
      <c r="K248" s="2162"/>
    </row>
    <row r="249" spans="2:11">
      <c r="B249" s="624" t="s">
        <v>425</v>
      </c>
      <c r="C249" s="621" t="s">
        <v>426</v>
      </c>
      <c r="D249" s="631">
        <f xml:space="preserve"> RAT1000PT!$H$33</f>
        <v>0.03</v>
      </c>
      <c r="E249" s="631">
        <f xml:space="preserve"> RAT1000PT!$N$33</f>
        <v>7.0000000000000007E-2</v>
      </c>
      <c r="F249" s="632">
        <f xml:space="preserve"> RAT1000PT!$O$33</f>
        <v>7.0000000000000007E-2</v>
      </c>
      <c r="G249" s="632">
        <f xml:space="preserve"> RAT1000PT!$P$33</f>
        <v>0</v>
      </c>
      <c r="H249" s="2470">
        <f t="shared" si="35"/>
        <v>0</v>
      </c>
      <c r="I249" s="606"/>
      <c r="J249" s="606"/>
      <c r="K249" s="2162"/>
    </row>
    <row r="250" spans="2:11">
      <c r="B250" s="624" t="s">
        <v>427</v>
      </c>
      <c r="C250" s="621" t="s">
        <v>421</v>
      </c>
      <c r="D250" s="625">
        <f xml:space="preserve"> RAT1000PT!$H$26</f>
        <v>1.2999999999999999E-3</v>
      </c>
      <c r="E250" s="625">
        <f xml:space="preserve"> RAT1000PT!$N$26</f>
        <v>1.7600000000000001E-3</v>
      </c>
      <c r="F250" s="626">
        <f xml:space="preserve"> RAT1000PT!$O$26</f>
        <v>1.6199999999999999E-3</v>
      </c>
      <c r="G250" s="626">
        <f xml:space="preserve"> RAT1000PT!$P$26</f>
        <v>1.3999999999999999E-4</v>
      </c>
      <c r="H250" s="2470">
        <f t="shared" si="35"/>
        <v>0</v>
      </c>
      <c r="I250" s="606"/>
      <c r="J250" s="606"/>
      <c r="K250" s="2162"/>
    </row>
    <row r="251" spans="2:11">
      <c r="B251" s="620" t="s">
        <v>309</v>
      </c>
      <c r="C251" s="621"/>
      <c r="D251" s="625"/>
      <c r="E251" s="625"/>
      <c r="F251" s="626"/>
      <c r="G251" s="626"/>
      <c r="H251" s="2470">
        <f t="shared" si="35"/>
        <v>0</v>
      </c>
      <c r="I251" s="606"/>
      <c r="J251" s="606"/>
      <c r="K251" s="2162"/>
    </row>
    <row r="252" spans="2:11">
      <c r="B252" s="624" t="s">
        <v>427</v>
      </c>
      <c r="C252" s="621" t="s">
        <v>421</v>
      </c>
      <c r="D252" s="625">
        <f xml:space="preserve"> RAT1000VAD!$H$65</f>
        <v>1.1199999999999999E-3</v>
      </c>
      <c r="E252" s="625">
        <f xml:space="preserve"> RAT1000VAD!$N$65</f>
        <v>2.33E-3</v>
      </c>
      <c r="F252" s="626">
        <f xml:space="preserve"> RAT1000VAD!$O$65</f>
        <v>2.33E-3</v>
      </c>
      <c r="G252" s="626">
        <f xml:space="preserve"> RAT1000VAD!$P$65</f>
        <v>0</v>
      </c>
      <c r="H252" s="2470">
        <f t="shared" si="35"/>
        <v>0</v>
      </c>
      <c r="I252" s="606"/>
      <c r="J252" s="606"/>
      <c r="K252" s="2162"/>
    </row>
    <row r="253" spans="2:11">
      <c r="B253" s="620" t="s">
        <v>10</v>
      </c>
      <c r="C253" s="621"/>
      <c r="D253" s="622"/>
      <c r="E253" s="622"/>
      <c r="F253" s="623"/>
      <c r="G253" s="623"/>
      <c r="H253" s="2470">
        <f t="shared" si="35"/>
        <v>0</v>
      </c>
      <c r="I253" s="606"/>
      <c r="J253" s="606"/>
      <c r="K253" s="2162"/>
    </row>
    <row r="254" spans="2:11">
      <c r="B254" s="624" t="s">
        <v>425</v>
      </c>
      <c r="C254" s="621" t="s">
        <v>426</v>
      </c>
      <c r="D254" s="652">
        <f xml:space="preserve"> RAT1000PT!$H$62</f>
        <v>0.49</v>
      </c>
      <c r="E254" s="652">
        <f xml:space="preserve"> RAT1000PT!$N$62</f>
        <v>1.8</v>
      </c>
      <c r="F254" s="653">
        <f xml:space="preserve"> RAT1000PT!$O$62</f>
        <v>1.84</v>
      </c>
      <c r="G254" s="653">
        <f xml:space="preserve"> RAT1000PT!$P$62</f>
        <v>-0.04</v>
      </c>
      <c r="H254" s="2470">
        <f t="shared" si="35"/>
        <v>0</v>
      </c>
      <c r="I254" s="606"/>
      <c r="J254" s="606"/>
      <c r="K254" s="2162"/>
    </row>
    <row r="255" spans="2:11">
      <c r="B255" s="624" t="s">
        <v>427</v>
      </c>
      <c r="C255" s="621" t="s">
        <v>421</v>
      </c>
      <c r="D255" s="638">
        <f>RAT1000PT!$H$55</f>
        <v>2.5200000000000001E-3</v>
      </c>
      <c r="E255" s="638">
        <f>RAT1000PT!$N$55</f>
        <v>3.1700000000000001E-3</v>
      </c>
      <c r="F255" s="639">
        <f>RAT1000PT!$O$55</f>
        <v>3.3899999999999998E-3</v>
      </c>
      <c r="G255" s="639">
        <f>RAT1000PT!$P$55</f>
        <v>-2.2000000000000001E-4</v>
      </c>
      <c r="H255" s="2470">
        <f t="shared" si="35"/>
        <v>2.9815559743351372E-19</v>
      </c>
      <c r="I255" s="606"/>
      <c r="J255" s="606"/>
      <c r="K255" s="2162"/>
    </row>
    <row r="256" spans="2:11">
      <c r="B256" s="620" t="s">
        <v>861</v>
      </c>
      <c r="C256" s="621"/>
      <c r="D256" s="652"/>
      <c r="E256" s="652"/>
      <c r="F256" s="653"/>
      <c r="G256" s="653"/>
      <c r="H256" s="2470">
        <f t="shared" si="35"/>
        <v>0</v>
      </c>
      <c r="I256" s="606"/>
      <c r="J256" s="606"/>
      <c r="K256" s="2162"/>
    </row>
    <row r="257" spans="2:13">
      <c r="B257" s="624" t="s">
        <v>427</v>
      </c>
      <c r="C257" s="621" t="s">
        <v>421</v>
      </c>
      <c r="D257" s="638">
        <f xml:space="preserve"> RAT1000PT!$H$73</f>
        <v>3.7599999999999999E-3</v>
      </c>
      <c r="E257" s="638">
        <f xml:space="preserve"> RAT1000PT!$N$73</f>
        <v>6.8999999999999999E-3</v>
      </c>
      <c r="F257" s="639">
        <f xml:space="preserve"> RAT1000PT!$O$73</f>
        <v>4.64E-3</v>
      </c>
      <c r="G257" s="639">
        <f xml:space="preserve"> RAT1000PT!$P$73</f>
        <v>2.2599999999999999E-3</v>
      </c>
      <c r="H257" s="2470">
        <f t="shared" si="35"/>
        <v>0</v>
      </c>
      <c r="I257" s="606"/>
      <c r="J257" s="606"/>
      <c r="K257" s="2162"/>
    </row>
    <row r="258" spans="2:13">
      <c r="B258" s="620" t="s">
        <v>11</v>
      </c>
      <c r="C258" s="621"/>
      <c r="D258" s="622"/>
      <c r="E258" s="622"/>
      <c r="F258" s="623"/>
      <c r="G258" s="623"/>
      <c r="H258" s="2470">
        <f t="shared" si="35"/>
        <v>0</v>
      </c>
      <c r="I258" s="606"/>
      <c r="J258" s="606"/>
      <c r="K258" s="2162"/>
    </row>
    <row r="259" spans="2:13">
      <c r="B259" s="624" t="s">
        <v>441</v>
      </c>
      <c r="C259" s="621" t="s">
        <v>426</v>
      </c>
      <c r="D259" s="631">
        <f xml:space="preserve"> RAT1000PT!$H$88</f>
        <v>6.89</v>
      </c>
      <c r="E259" s="631">
        <f xml:space="preserve"> RAT1000PT!$N$88</f>
        <v>8.18</v>
      </c>
      <c r="F259" s="632">
        <f xml:space="preserve"> RAT1000PT!$O$88</f>
        <v>8.18</v>
      </c>
      <c r="G259" s="632">
        <f xml:space="preserve"> RAT1000PT!$P$88</f>
        <v>0</v>
      </c>
      <c r="H259" s="2470">
        <f t="shared" si="35"/>
        <v>0</v>
      </c>
      <c r="I259" s="606"/>
      <c r="J259" s="606"/>
      <c r="K259" s="2162"/>
    </row>
    <row r="260" spans="2:13">
      <c r="B260" s="624" t="s">
        <v>1212</v>
      </c>
      <c r="C260" s="621" t="s">
        <v>421</v>
      </c>
      <c r="D260" s="625">
        <f>RAT1000PT!$H$100</f>
        <v>1.142E-2</v>
      </c>
      <c r="E260" s="625">
        <f>RAT1000PT!$N$100</f>
        <v>1.315E-2</v>
      </c>
      <c r="F260" s="626">
        <f>RAT1000PT!$O$100</f>
        <v>1.315E-2</v>
      </c>
      <c r="G260" s="626">
        <f>RAT1000PT!$P$100</f>
        <v>0</v>
      </c>
      <c r="H260" s="2470">
        <f t="shared" si="35"/>
        <v>0</v>
      </c>
      <c r="I260" s="606"/>
      <c r="J260" s="606"/>
      <c r="K260" s="2162"/>
    </row>
    <row r="261" spans="2:13">
      <c r="B261" s="624" t="s">
        <v>427</v>
      </c>
      <c r="C261" s="621" t="s">
        <v>421</v>
      </c>
      <c r="D261" s="625">
        <f xml:space="preserve"> RAT1000PT!$H$127</f>
        <v>9.7769999999999996E-2</v>
      </c>
      <c r="E261" s="625">
        <f xml:space="preserve"> RAT1000PT!$N$127</f>
        <v>9.0910000000000005E-2</v>
      </c>
      <c r="F261" s="626">
        <f xml:space="preserve"> RAT1000PT!$O$127</f>
        <v>8.5389999999999994E-2</v>
      </c>
      <c r="G261" s="626">
        <f xml:space="preserve"> RAT1000PT!$P$127</f>
        <v>5.5199999999999997E-3</v>
      </c>
      <c r="H261" s="2470">
        <f t="shared" si="35"/>
        <v>1.1275702593849246E-17</v>
      </c>
      <c r="I261" s="606"/>
      <c r="J261" s="606"/>
      <c r="K261" s="2162"/>
    </row>
    <row r="262" spans="2:13">
      <c r="B262" s="624" t="s">
        <v>2184</v>
      </c>
      <c r="C262" s="621" t="s">
        <v>421</v>
      </c>
      <c r="D262" s="625">
        <f xml:space="preserve"> RAT1000PT!$H$44</f>
        <v>1.9499999999999999E-3</v>
      </c>
      <c r="E262" s="625">
        <f xml:space="preserve"> RAT1000PT!$N$44</f>
        <v>1.6199999999999999E-3</v>
      </c>
      <c r="F262" s="626">
        <f xml:space="preserve"> RAT1000PT!$O$44</f>
        <v>1.5100000000000001E-3</v>
      </c>
      <c r="G262" s="626">
        <f xml:space="preserve"> RAT1000PT!$P$44</f>
        <v>1.1E-4</v>
      </c>
      <c r="H262" s="2470">
        <f t="shared" si="35"/>
        <v>-1.4907779871675686E-19</v>
      </c>
      <c r="I262" s="606"/>
      <c r="J262" s="606"/>
      <c r="K262" s="2162"/>
    </row>
    <row r="263" spans="2:13">
      <c r="B263" s="624" t="s">
        <v>1224</v>
      </c>
      <c r="C263" s="621" t="s">
        <v>421</v>
      </c>
      <c r="D263" s="625">
        <f>RAT1000PT!$H$136</f>
        <v>0</v>
      </c>
      <c r="E263" s="625">
        <f>RAT1000PT!$N$136</f>
        <v>0</v>
      </c>
      <c r="F263" s="626">
        <f>+RAT1000PT!$O$136</f>
        <v>0</v>
      </c>
      <c r="G263" s="626">
        <f>+RAT1000PT!$P$136</f>
        <v>0</v>
      </c>
      <c r="H263" s="2470">
        <f t="shared" si="35"/>
        <v>0</v>
      </c>
      <c r="I263" s="606"/>
      <c r="J263" s="606"/>
      <c r="K263" s="2162"/>
    </row>
    <row r="264" spans="2:13">
      <c r="B264" s="624"/>
      <c r="C264" s="621"/>
      <c r="D264" s="625"/>
      <c r="E264" s="625"/>
      <c r="F264" s="626"/>
      <c r="G264" s="626"/>
      <c r="H264" s="2470">
        <f t="shared" si="35"/>
        <v>0</v>
      </c>
      <c r="I264" s="606"/>
      <c r="J264" s="606"/>
      <c r="K264" s="2162"/>
    </row>
    <row r="265" spans="2:13">
      <c r="B265" s="611" t="s">
        <v>442</v>
      </c>
      <c r="C265" s="599"/>
      <c r="D265" s="600"/>
      <c r="E265" s="600"/>
      <c r="F265" s="601"/>
      <c r="G265" s="601"/>
      <c r="H265" s="2470">
        <f t="shared" si="35"/>
        <v>0</v>
      </c>
      <c r="I265" s="606"/>
      <c r="J265" s="606"/>
      <c r="K265" s="2162"/>
    </row>
    <row r="266" spans="2:13">
      <c r="B266" s="641" t="s">
        <v>1171</v>
      </c>
      <c r="C266" s="642"/>
      <c r="D266" s="642"/>
      <c r="E266" s="642"/>
      <c r="F266" s="643"/>
      <c r="G266" s="643"/>
      <c r="H266" s="2470">
        <f t="shared" si="35"/>
        <v>0</v>
      </c>
      <c r="I266" s="606"/>
      <c r="J266" s="606"/>
      <c r="K266" s="2162"/>
    </row>
    <row r="267" spans="2:13">
      <c r="B267" s="655" t="s">
        <v>1191</v>
      </c>
      <c r="C267" s="613"/>
      <c r="D267" s="614"/>
      <c r="E267" s="614"/>
      <c r="F267" s="615"/>
      <c r="G267" s="615"/>
      <c r="H267" s="2470">
        <f t="shared" si="35"/>
        <v>0</v>
      </c>
      <c r="I267" s="606"/>
      <c r="J267" s="606"/>
      <c r="K267" s="2162"/>
    </row>
    <row r="268" spans="2:13">
      <c r="B268" s="616" t="s">
        <v>313</v>
      </c>
      <c r="C268" s="617" t="s">
        <v>431</v>
      </c>
      <c r="D268" s="627">
        <f>+D276</f>
        <v>9.06</v>
      </c>
      <c r="E268" s="627">
        <f>+E276</f>
        <v>10.02</v>
      </c>
      <c r="F268" s="628">
        <f>+F276</f>
        <v>10.02</v>
      </c>
      <c r="G268" s="628">
        <f>+G276</f>
        <v>0</v>
      </c>
      <c r="H268" s="2470">
        <f t="shared" si="35"/>
        <v>0</v>
      </c>
      <c r="I268" s="606"/>
      <c r="J268" s="606"/>
      <c r="K268" s="2162"/>
      <c r="L268" s="2170"/>
    </row>
    <row r="269" spans="2:13">
      <c r="B269" s="616" t="str">
        <f>B201</f>
        <v>Cargo por Demanda Máxima Horas Punta</v>
      </c>
      <c r="C269" s="617" t="s">
        <v>433</v>
      </c>
      <c r="D269" s="644">
        <f>+D279+D283+D288+D293</f>
        <v>9.2899999999999991</v>
      </c>
      <c r="E269" s="644">
        <f>+E279+E283+E288+E293</f>
        <v>12.14</v>
      </c>
      <c r="F269" s="645">
        <f>+F279+F283+F288+F293</f>
        <v>12.18</v>
      </c>
      <c r="G269" s="645">
        <f>+G279+G283+G288+G293</f>
        <v>-0.04</v>
      </c>
      <c r="H269" s="2470">
        <f t="shared" si="35"/>
        <v>8.5348395018058909E-16</v>
      </c>
      <c r="I269" s="606"/>
      <c r="J269" s="606"/>
      <c r="K269" s="2162"/>
      <c r="L269" s="2170"/>
    </row>
    <row r="270" spans="2:13">
      <c r="B270" s="616" t="str">
        <f>B202</f>
        <v>Cargo por Demanda Máxima Fuera de Punta</v>
      </c>
      <c r="C270" s="617" t="s">
        <v>433</v>
      </c>
      <c r="D270" s="644">
        <f>D280</f>
        <v>0.72</v>
      </c>
      <c r="E270" s="644">
        <f>E280</f>
        <v>0.83</v>
      </c>
      <c r="F270" s="645">
        <f>F280</f>
        <v>0.83</v>
      </c>
      <c r="G270" s="645">
        <f>G280</f>
        <v>0</v>
      </c>
      <c r="H270" s="2470">
        <f t="shared" si="35"/>
        <v>0</v>
      </c>
      <c r="I270" s="606"/>
      <c r="J270" s="2483">
        <f>D273/D271</f>
        <v>1</v>
      </c>
      <c r="K270" s="2483">
        <f t="shared" ref="K270" si="37">E273/E271</f>
        <v>0.50647916787727354</v>
      </c>
      <c r="L270" s="2483">
        <f t="shared" ref="L270" si="38">F273/F271</f>
        <v>0.50422344164251798</v>
      </c>
      <c r="M270" s="2483">
        <f t="shared" ref="M270" si="39">G273/G271</f>
        <v>0.54317443710439695</v>
      </c>
    </row>
    <row r="271" spans="2:13">
      <c r="B271" s="616" t="s">
        <v>1186</v>
      </c>
      <c r="C271" s="617" t="s">
        <v>432</v>
      </c>
      <c r="D271" s="646">
        <f>D277+D281+D284+D286+D289+D291+D294+D295+D298+D299</f>
        <v>0.12055999999999999</v>
      </c>
      <c r="E271" s="646">
        <f>E277+E281+E284+E286+E289+E291+E294+E295+E298+E299</f>
        <v>0.17208999999999999</v>
      </c>
      <c r="F271" s="2159">
        <f>F277+F281+F284+F286+F289+F291+F294+F295+F298+F299</f>
        <v>0.16219</v>
      </c>
      <c r="G271" s="2159">
        <f>G277+G281+G284+G286+G289+G291+G294+G295+G298+G299</f>
        <v>9.9021186195877697E-3</v>
      </c>
      <c r="H271" s="2470">
        <f t="shared" si="35"/>
        <v>-2.1186195877775232E-6</v>
      </c>
      <c r="I271" s="629"/>
      <c r="J271" s="2483">
        <f>D273/D272</f>
        <v>1</v>
      </c>
      <c r="K271" s="2483">
        <f t="shared" ref="K271" si="40">E273/E272</f>
        <v>0.67237522178508047</v>
      </c>
      <c r="L271" s="2483">
        <f t="shared" ref="L271" si="41">F273/F272</f>
        <v>0.67038281826379209</v>
      </c>
      <c r="M271" s="2483">
        <f t="shared" ref="M271" si="42">G273/G272</f>
        <v>0.70394432125161621</v>
      </c>
    </row>
    <row r="272" spans="2:13">
      <c r="B272" s="616" t="s">
        <v>1187</v>
      </c>
      <c r="C272" s="617" t="s">
        <v>432</v>
      </c>
      <c r="D272" s="646">
        <f>D277+D281+D284+D286+D289+D291+D294+D296+D298+D299</f>
        <v>0.12055999999999999</v>
      </c>
      <c r="E272" s="646">
        <f>E277+E281+E284+E286+E289+E291+E294+E296+E298+E299</f>
        <v>0.12963000000000002</v>
      </c>
      <c r="F272" s="2159">
        <f>F277+F281+F284+F286+F289+F291+F294+F296+F298+F299</f>
        <v>0.12199</v>
      </c>
      <c r="G272" s="2159">
        <f>G277+G281+G284+G286+G289+G291+G294+G296+G298+G299</f>
        <v>7.6406294432099665E-3</v>
      </c>
      <c r="H272" s="2470">
        <f t="shared" si="35"/>
        <v>-6.2944320994469394E-7</v>
      </c>
      <c r="I272" s="629"/>
      <c r="J272" s="629">
        <f t="shared" ref="J272:M273" si="43">D271-D272</f>
        <v>0</v>
      </c>
      <c r="K272" s="2165">
        <f t="shared" si="43"/>
        <v>4.245999999999997E-2</v>
      </c>
      <c r="L272" s="2165">
        <f t="shared" si="43"/>
        <v>4.02E-2</v>
      </c>
      <c r="M272" s="2165">
        <f t="shared" si="43"/>
        <v>2.2614891763778032E-3</v>
      </c>
    </row>
    <row r="273" spans="2:13">
      <c r="B273" s="616" t="s">
        <v>1188</v>
      </c>
      <c r="C273" s="617"/>
      <c r="D273" s="646">
        <f>D277+D281+D284+D286+D289+D291+D294+D297+D298+D299</f>
        <v>0.12055999999999999</v>
      </c>
      <c r="E273" s="646">
        <f>E277+E281+E284+E286+E289+E291+E294+E297+E298+E299</f>
        <v>8.7160000000000001E-2</v>
      </c>
      <c r="F273" s="2159">
        <f>F277+F281+F284+F286+F289+F291+F294+F297+F298+F299</f>
        <v>8.1779999999999992E-2</v>
      </c>
      <c r="G273" s="2159">
        <f>G277+G281+G284+G286+G289+G291+G294+G297+G298+G299</f>
        <v>5.3785777073355545E-3</v>
      </c>
      <c r="H273" s="2470">
        <f t="shared" si="35"/>
        <v>1.4222926644552256E-6</v>
      </c>
      <c r="I273" s="629"/>
      <c r="J273" s="629">
        <f t="shared" si="43"/>
        <v>0</v>
      </c>
      <c r="K273" s="2165">
        <f t="shared" si="43"/>
        <v>4.2470000000000022E-2</v>
      </c>
      <c r="L273" s="2165">
        <f t="shared" si="43"/>
        <v>4.021000000000001E-2</v>
      </c>
      <c r="M273" s="2165">
        <f t="shared" si="43"/>
        <v>2.2620517358744119E-3</v>
      </c>
    </row>
    <row r="274" spans="2:13">
      <c r="B274" s="619" t="s">
        <v>1190</v>
      </c>
      <c r="H274" s="2470">
        <f t="shared" si="35"/>
        <v>0</v>
      </c>
      <c r="I274" s="606"/>
      <c r="J274" s="606"/>
      <c r="K274" s="2162"/>
    </row>
    <row r="275" spans="2:13">
      <c r="B275" s="620" t="s">
        <v>12</v>
      </c>
      <c r="C275" s="621"/>
      <c r="D275" s="622"/>
      <c r="E275" s="622"/>
      <c r="F275" s="623"/>
      <c r="G275" s="623"/>
      <c r="H275" s="2470">
        <f t="shared" si="35"/>
        <v>0</v>
      </c>
      <c r="I275" s="606"/>
      <c r="J275" s="606"/>
      <c r="K275" s="2162"/>
    </row>
    <row r="276" spans="2:13">
      <c r="B276" s="624" t="s">
        <v>428</v>
      </c>
      <c r="C276" s="621" t="s">
        <v>431</v>
      </c>
      <c r="D276" s="631">
        <f>RAT1000VAD!$H$15</f>
        <v>9.06</v>
      </c>
      <c r="E276" s="631">
        <f>RAT1000VAD!$N$15</f>
        <v>10.02</v>
      </c>
      <c r="F276" s="632">
        <f>RAT1000VAD!$O$15</f>
        <v>10.02</v>
      </c>
      <c r="G276" s="632">
        <f>RAT1000VAD!$P$15</f>
        <v>0</v>
      </c>
      <c r="H276" s="2470">
        <f t="shared" si="35"/>
        <v>0</v>
      </c>
      <c r="I276" s="606"/>
      <c r="J276" s="606"/>
      <c r="K276" s="2162"/>
    </row>
    <row r="277" spans="2:13">
      <c r="B277" s="624" t="s">
        <v>427</v>
      </c>
      <c r="C277" s="621" t="s">
        <v>432</v>
      </c>
      <c r="D277" s="625">
        <f>RAT1000VAD!$H$25</f>
        <v>4.4000000000000002E-4</v>
      </c>
      <c r="E277" s="625">
        <f>RAT1000VAD!$N$25</f>
        <v>4.8999999999999998E-4</v>
      </c>
      <c r="F277" s="626">
        <f>RAT1000VAD!$O$25</f>
        <v>4.8999999999999998E-4</v>
      </c>
      <c r="G277" s="626">
        <f>RAT1000VAD!$P$25</f>
        <v>0</v>
      </c>
      <c r="H277" s="2470">
        <f t="shared" si="35"/>
        <v>0</v>
      </c>
      <c r="I277" s="606"/>
      <c r="J277" s="606"/>
      <c r="K277" s="2162"/>
    </row>
    <row r="278" spans="2:13">
      <c r="B278" s="620" t="s">
        <v>9</v>
      </c>
      <c r="C278" s="621"/>
      <c r="D278" s="622"/>
      <c r="E278" s="622"/>
      <c r="F278" s="623"/>
      <c r="G278" s="623"/>
      <c r="H278" s="2470">
        <f t="shared" si="35"/>
        <v>0</v>
      </c>
      <c r="I278" s="606"/>
      <c r="J278" s="606"/>
      <c r="K278" s="2162"/>
    </row>
    <row r="279" spans="2:13">
      <c r="B279" s="624" t="str">
        <f>B269</f>
        <v>Cargo por Demanda Máxima Horas Punta</v>
      </c>
      <c r="C279" s="621" t="s">
        <v>433</v>
      </c>
      <c r="D279" s="631">
        <f>RAT1000VAD!$H$47</f>
        <v>1.75</v>
      </c>
      <c r="E279" s="631">
        <f>RAT1000VAD!$N$47</f>
        <v>2.0099999999999998</v>
      </c>
      <c r="F279" s="632">
        <f>RAT1000VAD!$O$47</f>
        <v>2.0099999999999998</v>
      </c>
      <c r="G279" s="632">
        <f>RAT1000VAD!$P$47</f>
        <v>0</v>
      </c>
      <c r="H279" s="2470">
        <f t="shared" si="35"/>
        <v>0</v>
      </c>
      <c r="I279" s="606"/>
      <c r="J279" s="606"/>
      <c r="K279" s="2162"/>
    </row>
    <row r="280" spans="2:13">
      <c r="B280" s="624" t="str">
        <f>B270</f>
        <v>Cargo por Demanda Máxima Fuera de Punta</v>
      </c>
      <c r="C280" s="621" t="s">
        <v>433</v>
      </c>
      <c r="D280" s="631">
        <f>RAT1000VAD!$H$51</f>
        <v>0.72</v>
      </c>
      <c r="E280" s="631">
        <f>RAT1000VAD!$N$51</f>
        <v>0.83</v>
      </c>
      <c r="F280" s="632">
        <f>RAT1000VAD!$O$51</f>
        <v>0.83</v>
      </c>
      <c r="G280" s="632">
        <f>RAT1000VAD!$P$51</f>
        <v>0</v>
      </c>
      <c r="H280" s="2470">
        <f t="shared" si="35"/>
        <v>0</v>
      </c>
      <c r="I280" s="606"/>
      <c r="J280" s="606"/>
      <c r="K280" s="2162"/>
    </row>
    <row r="281" spans="2:13">
      <c r="B281" s="624" t="s">
        <v>427</v>
      </c>
      <c r="C281" s="621" t="s">
        <v>432</v>
      </c>
      <c r="D281" s="665">
        <f xml:space="preserve"> RAT1000VAD!$H$37</f>
        <v>0</v>
      </c>
      <c r="E281" s="665">
        <f xml:space="preserve"> RAT1000VAD!$N$37</f>
        <v>0</v>
      </c>
      <c r="F281" s="666">
        <f xml:space="preserve"> RAT1000VAD!$O$37</f>
        <v>0</v>
      </c>
      <c r="G281" s="666">
        <f xml:space="preserve"> RAT1000VAD!$P$37</f>
        <v>0</v>
      </c>
      <c r="H281" s="2470">
        <f t="shared" si="35"/>
        <v>0</v>
      </c>
      <c r="I281" s="606"/>
      <c r="J281" s="606"/>
      <c r="K281" s="2162"/>
    </row>
    <row r="282" spans="2:13">
      <c r="B282" s="620" t="s">
        <v>422</v>
      </c>
      <c r="C282" s="621"/>
      <c r="D282" s="665"/>
      <c r="E282" s="665"/>
      <c r="F282" s="666"/>
      <c r="G282" s="666"/>
      <c r="H282" s="2470">
        <f t="shared" si="35"/>
        <v>0</v>
      </c>
      <c r="I282" s="606"/>
      <c r="J282" s="606"/>
      <c r="K282" s="2162"/>
    </row>
    <row r="283" spans="2:13">
      <c r="B283" s="624" t="str">
        <f>B269</f>
        <v>Cargo por Demanda Máxima Horas Punta</v>
      </c>
      <c r="C283" s="621" t="s">
        <v>433</v>
      </c>
      <c r="D283" s="631">
        <f>RAT1000PT!$H$34</f>
        <v>0.03</v>
      </c>
      <c r="E283" s="631">
        <f>RAT1000PT!$N$34</f>
        <v>7.0000000000000007E-2</v>
      </c>
      <c r="F283" s="632">
        <f>RAT1000PT!$O$34</f>
        <v>7.0000000000000007E-2</v>
      </c>
      <c r="G283" s="632">
        <f>RAT1000PT!$P$34</f>
        <v>0</v>
      </c>
      <c r="H283" s="2470">
        <f t="shared" si="35"/>
        <v>0</v>
      </c>
      <c r="I283" s="606"/>
      <c r="J283" s="606"/>
      <c r="K283" s="2162"/>
    </row>
    <row r="284" spans="2:13">
      <c r="B284" s="624" t="s">
        <v>427</v>
      </c>
      <c r="C284" s="621" t="s">
        <v>432</v>
      </c>
      <c r="D284" s="625">
        <f>RAT1000PT!$H$10</f>
        <v>1.2999999999999999E-3</v>
      </c>
      <c r="E284" s="625">
        <f>RAT1000PT!$N$10</f>
        <v>1.7600000000000001E-3</v>
      </c>
      <c r="F284" s="626">
        <f>RAT1000PT!$O$10</f>
        <v>1.6199999999999999E-3</v>
      </c>
      <c r="G284" s="626">
        <f>RAT1000PT!$P$10</f>
        <v>1.3999999999999999E-4</v>
      </c>
      <c r="H284" s="2470">
        <f t="shared" si="35"/>
        <v>0</v>
      </c>
      <c r="I284" s="606"/>
      <c r="J284" s="606"/>
      <c r="K284" s="2162"/>
    </row>
    <row r="285" spans="2:13">
      <c r="B285" s="620" t="s">
        <v>309</v>
      </c>
      <c r="C285" s="621"/>
      <c r="D285" s="625"/>
      <c r="E285" s="625"/>
      <c r="F285" s="626"/>
      <c r="G285" s="626"/>
      <c r="H285" s="2470">
        <f t="shared" si="35"/>
        <v>0</v>
      </c>
      <c r="I285" s="606"/>
      <c r="J285" s="606"/>
      <c r="K285" s="2162"/>
    </row>
    <row r="286" spans="2:13">
      <c r="B286" s="624" t="s">
        <v>427</v>
      </c>
      <c r="C286" s="621" t="s">
        <v>432</v>
      </c>
      <c r="D286" s="625">
        <f>RAT1000VAD!$H$66</f>
        <v>1.1199999999999999E-3</v>
      </c>
      <c r="E286" s="625">
        <f>RAT1000VAD!$N$66</f>
        <v>2.33E-3</v>
      </c>
      <c r="F286" s="626">
        <f>RAT1000VAD!$O$66</f>
        <v>2.33E-3</v>
      </c>
      <c r="G286" s="626">
        <f>RAT1000VAD!$P$66</f>
        <v>0</v>
      </c>
      <c r="H286" s="2470">
        <f t="shared" si="35"/>
        <v>0</v>
      </c>
      <c r="I286" s="606"/>
      <c r="J286" s="606"/>
      <c r="K286" s="2162"/>
    </row>
    <row r="287" spans="2:13">
      <c r="B287" s="620" t="s">
        <v>10</v>
      </c>
      <c r="C287" s="621"/>
      <c r="D287" s="622"/>
      <c r="E287" s="622"/>
      <c r="F287" s="623"/>
      <c r="G287" s="623"/>
      <c r="H287" s="2470">
        <f t="shared" si="35"/>
        <v>0</v>
      </c>
      <c r="I287" s="606"/>
      <c r="J287" s="606"/>
      <c r="K287" s="2162"/>
    </row>
    <row r="288" spans="2:13">
      <c r="B288" s="624" t="s">
        <v>1185</v>
      </c>
      <c r="C288" s="621" t="s">
        <v>433</v>
      </c>
      <c r="D288" s="652">
        <f>RAT1000PT!$H$63</f>
        <v>0.5</v>
      </c>
      <c r="E288" s="652">
        <f>RAT1000PT!$N$63</f>
        <v>1.82</v>
      </c>
      <c r="F288" s="653">
        <f>RAT1000PT!$O$63</f>
        <v>1.86</v>
      </c>
      <c r="G288" s="653">
        <f>RAT1000PT!$P$63</f>
        <v>-0.04</v>
      </c>
      <c r="H288" s="2470">
        <f t="shared" si="35"/>
        <v>0</v>
      </c>
      <c r="I288" s="606"/>
      <c r="J288" s="606"/>
      <c r="K288" s="2162"/>
    </row>
    <row r="289" spans="2:13">
      <c r="B289" s="624" t="s">
        <v>427</v>
      </c>
      <c r="C289" s="621" t="s">
        <v>432</v>
      </c>
      <c r="D289" s="638">
        <f>RAT1000PT!$H$56</f>
        <v>2.64E-3</v>
      </c>
      <c r="E289" s="638">
        <f>RAT1000PT!$N$56</f>
        <v>2.7299999999999998E-3</v>
      </c>
      <c r="F289" s="639">
        <f>RAT1000PT!$O$56</f>
        <v>2.96E-3</v>
      </c>
      <c r="G289" s="639">
        <f>RAT1000PT!$P$56</f>
        <v>-2.3000000000000001E-4</v>
      </c>
      <c r="H289" s="2470">
        <f t="shared" ref="H289:H352" si="44">E289-F289-G289</f>
        <v>0</v>
      </c>
      <c r="I289" s="606"/>
      <c r="J289" s="606"/>
      <c r="K289" s="2162"/>
    </row>
    <row r="290" spans="2:13">
      <c r="B290" s="620" t="s">
        <v>861</v>
      </c>
      <c r="C290" s="621"/>
      <c r="D290" s="652"/>
      <c r="E290" s="652"/>
      <c r="F290" s="653"/>
      <c r="G290" s="653"/>
      <c r="H290" s="2470">
        <f t="shared" si="44"/>
        <v>0</v>
      </c>
      <c r="I290" s="606"/>
      <c r="J290" s="606"/>
      <c r="K290" s="2162"/>
    </row>
    <row r="291" spans="2:13">
      <c r="B291" s="624" t="s">
        <v>427</v>
      </c>
      <c r="C291" s="621" t="s">
        <v>432</v>
      </c>
      <c r="D291" s="625">
        <f>RAT1000PT!$H$74</f>
        <v>3.7599999999999999E-3</v>
      </c>
      <c r="E291" s="625">
        <f>RAT1000PT!$N$74</f>
        <v>6.8999999999999999E-3</v>
      </c>
      <c r="F291" s="626">
        <f>RAT1000PT!$O$74</f>
        <v>4.64E-3</v>
      </c>
      <c r="G291" s="626">
        <f>RAT1000PT!$P$74</f>
        <v>2.2599999999999999E-3</v>
      </c>
      <c r="H291" s="2470">
        <f t="shared" si="44"/>
        <v>0</v>
      </c>
      <c r="I291" s="606"/>
      <c r="J291" s="606"/>
      <c r="K291" s="2162"/>
    </row>
    <row r="292" spans="2:13">
      <c r="B292" s="620" t="s">
        <v>11</v>
      </c>
      <c r="C292" s="621"/>
      <c r="D292" s="622"/>
      <c r="E292" s="622"/>
      <c r="F292" s="623"/>
      <c r="G292" s="623"/>
      <c r="H292" s="2470">
        <f t="shared" si="44"/>
        <v>0</v>
      </c>
      <c r="I292" s="606"/>
      <c r="J292" s="606"/>
      <c r="K292" s="2162"/>
    </row>
    <row r="293" spans="2:13">
      <c r="B293" s="624" t="str">
        <f>B269</f>
        <v>Cargo por Demanda Máxima Horas Punta</v>
      </c>
      <c r="C293" s="621" t="s">
        <v>433</v>
      </c>
      <c r="D293" s="631">
        <f xml:space="preserve"> RAT1000PT!$H$89</f>
        <v>7.01</v>
      </c>
      <c r="E293" s="631">
        <f xml:space="preserve"> RAT1000PT!$N$89</f>
        <v>8.24</v>
      </c>
      <c r="F293" s="632">
        <f xml:space="preserve"> RAT1000PT!$O$89</f>
        <v>8.24</v>
      </c>
      <c r="G293" s="632">
        <f xml:space="preserve"> RAT1000PT!$P$89</f>
        <v>0</v>
      </c>
      <c r="H293" s="2470">
        <f t="shared" si="44"/>
        <v>0</v>
      </c>
      <c r="I293" s="606"/>
      <c r="J293" s="606"/>
      <c r="K293" s="2162"/>
    </row>
    <row r="294" spans="2:13">
      <c r="B294" s="624" t="s">
        <v>1212</v>
      </c>
      <c r="C294" s="621" t="s">
        <v>432</v>
      </c>
      <c r="D294" s="625">
        <f>RAT1000PT!$H$101</f>
        <v>1.158E-2</v>
      </c>
      <c r="E294" s="625">
        <f>RAT1000PT!$N$101</f>
        <v>1.315E-2</v>
      </c>
      <c r="F294" s="626">
        <f>RAT1000PT!$O$101</f>
        <v>1.315E-2</v>
      </c>
      <c r="G294" s="626">
        <f>RAT1000PT!$P$101</f>
        <v>0</v>
      </c>
      <c r="H294" s="2470">
        <f t="shared" si="44"/>
        <v>0</v>
      </c>
      <c r="I294" s="606"/>
      <c r="J294" s="606"/>
      <c r="K294" s="2162"/>
    </row>
    <row r="295" spans="2:13">
      <c r="B295" s="624" t="str">
        <f>B271</f>
        <v>Cargo por Energía (Horas Punta)</v>
      </c>
      <c r="C295" s="621" t="s">
        <v>432</v>
      </c>
      <c r="D295" s="625">
        <f xml:space="preserve"> RAT1000PT!$H$106+RAT1000PT!$H$137</f>
        <v>9.7769999999999996E-2</v>
      </c>
      <c r="E295" s="625">
        <f xml:space="preserve"> RAT1000PT!$N$106+RAT1000PT!$N$137</f>
        <v>0.14310999999999999</v>
      </c>
      <c r="F295" s="626">
        <f xml:space="preserve"> RAT1000PT!$O$106+RAT1000PT!$O$137</f>
        <v>0.13549</v>
      </c>
      <c r="G295" s="626">
        <f xml:space="preserve"> RAT1000PT!$P$106+RAT1000PT!$P$137</f>
        <v>7.622118619587768E-3</v>
      </c>
      <c r="H295" s="2468">
        <f t="shared" si="44"/>
        <v>-2.1186195877801253E-6</v>
      </c>
      <c r="I295" s="606"/>
      <c r="J295" s="606"/>
      <c r="K295" s="2162"/>
    </row>
    <row r="296" spans="2:13">
      <c r="B296" s="624" t="str">
        <f>B272</f>
        <v>Cargo por Energía (Horas Fuera de Punta Medio)</v>
      </c>
      <c r="C296" s="621" t="s">
        <v>432</v>
      </c>
      <c r="D296" s="625">
        <f xml:space="preserve"> RAT1000PT!$H$111+RAT1000PT!$H$137</f>
        <v>9.7769999999999996E-2</v>
      </c>
      <c r="E296" s="625">
        <f xml:space="preserve"> RAT1000PT!$N$111+RAT1000PT!$N$137</f>
        <v>0.10065</v>
      </c>
      <c r="F296" s="626">
        <f xml:space="preserve"> RAT1000PT!$O$111+RAT1000PT!$O$137</f>
        <v>9.529E-2</v>
      </c>
      <c r="G296" s="626">
        <f xml:space="preserve"> RAT1000PT!$P$111+RAT1000PT!$P$137</f>
        <v>5.3606294432099666E-3</v>
      </c>
      <c r="H296" s="2468">
        <f t="shared" si="44"/>
        <v>-6.2944320996290853E-7</v>
      </c>
      <c r="I296" s="606"/>
      <c r="J296" s="629">
        <f t="shared" ref="J296:M297" si="45">D295-D296</f>
        <v>0</v>
      </c>
      <c r="K296" s="2165">
        <f t="shared" si="45"/>
        <v>4.2459999999999984E-2</v>
      </c>
      <c r="L296" s="2165">
        <f t="shared" si="45"/>
        <v>4.02E-2</v>
      </c>
      <c r="M296" s="2165">
        <f t="shared" si="45"/>
        <v>2.2614891763778015E-3</v>
      </c>
    </row>
    <row r="297" spans="2:13">
      <c r="B297" s="624" t="str">
        <f>B273</f>
        <v>Cargo por Energía (Horas Fuera de Punta Bajo)</v>
      </c>
      <c r="C297" s="621" t="s">
        <v>432</v>
      </c>
      <c r="D297" s="625">
        <f xml:space="preserve"> RAT1000PT!$H$116+RAT1000PT!$H$137</f>
        <v>9.7769999999999996E-2</v>
      </c>
      <c r="E297" s="625">
        <f xml:space="preserve"> RAT1000PT!$N$116+RAT1000PT!$N$137</f>
        <v>5.8180000000000003E-2</v>
      </c>
      <c r="F297" s="626">
        <f xml:space="preserve"> RAT1000PT!$O$116+RAT1000PT!$O$137</f>
        <v>5.5079999999999997E-2</v>
      </c>
      <c r="G297" s="626">
        <f xml:space="preserve"> RAT1000PT!$P$116+RAT1000PT!$P$137</f>
        <v>3.0985777073355542E-3</v>
      </c>
      <c r="H297" s="2468">
        <f t="shared" si="44"/>
        <v>1.4222926644513224E-6</v>
      </c>
      <c r="I297" s="606"/>
      <c r="J297" s="629">
        <f t="shared" si="45"/>
        <v>0</v>
      </c>
      <c r="K297" s="2165">
        <f t="shared" si="45"/>
        <v>4.2470000000000001E-2</v>
      </c>
      <c r="L297" s="2165">
        <f t="shared" si="45"/>
        <v>4.0210000000000003E-2</v>
      </c>
      <c r="M297" s="2165">
        <f t="shared" si="45"/>
        <v>2.2620517358744124E-3</v>
      </c>
    </row>
    <row r="298" spans="2:13">
      <c r="B298" s="624" t="s">
        <v>2184</v>
      </c>
      <c r="C298" s="621" t="s">
        <v>432</v>
      </c>
      <c r="D298" s="625">
        <f xml:space="preserve"> RAT1000PT!$H$45</f>
        <v>1.9499999999999999E-3</v>
      </c>
      <c r="E298" s="625">
        <f xml:space="preserve"> RAT1000PT!$N$45</f>
        <v>1.6199999999999999E-3</v>
      </c>
      <c r="F298" s="626">
        <f xml:space="preserve"> RAT1000PT!$O$45</f>
        <v>1.5100000000000001E-3</v>
      </c>
      <c r="G298" s="626">
        <f xml:space="preserve"> RAT1000PT!$P$45</f>
        <v>1.1E-4</v>
      </c>
      <c r="H298" s="2470">
        <f t="shared" si="44"/>
        <v>-1.4907779871675686E-19</v>
      </c>
      <c r="I298" s="606"/>
      <c r="J298" s="606"/>
      <c r="K298" s="2162"/>
    </row>
    <row r="299" spans="2:13">
      <c r="B299" s="624" t="s">
        <v>1224</v>
      </c>
      <c r="C299" s="621" t="s">
        <v>421</v>
      </c>
      <c r="D299" s="625">
        <f>RAT1000PT!$H$137</f>
        <v>0</v>
      </c>
      <c r="E299" s="625">
        <f>RAT1000PT!$N$137</f>
        <v>0</v>
      </c>
      <c r="F299" s="626">
        <f>+RAT1000PT!$O$137</f>
        <v>0</v>
      </c>
      <c r="G299" s="626">
        <f>+RAT1000PT!$P$137</f>
        <v>0</v>
      </c>
      <c r="H299" s="2470">
        <f t="shared" si="44"/>
        <v>0</v>
      </c>
      <c r="I299" s="606"/>
      <c r="J299" s="606"/>
      <c r="K299" s="2162"/>
    </row>
    <row r="300" spans="2:13">
      <c r="H300" s="2470">
        <f t="shared" si="44"/>
        <v>0</v>
      </c>
      <c r="I300" s="606"/>
      <c r="J300" s="606"/>
      <c r="K300" s="2162"/>
    </row>
    <row r="301" spans="2:13">
      <c r="B301" s="2186" t="s">
        <v>1193</v>
      </c>
      <c r="C301" s="613"/>
      <c r="D301" s="668"/>
      <c r="E301" s="668"/>
      <c r="F301" s="669"/>
      <c r="G301" s="669"/>
      <c r="H301" s="2470">
        <f t="shared" si="44"/>
        <v>0</v>
      </c>
      <c r="I301" s="606"/>
      <c r="J301" s="606"/>
      <c r="K301" s="2162"/>
    </row>
    <row r="302" spans="2:13">
      <c r="B302" s="2184" t="s">
        <v>1222</v>
      </c>
      <c r="D302" s="670">
        <f>RAT1000VAD!$H$69</f>
        <v>19.29</v>
      </c>
      <c r="E302" s="670">
        <f>RAT1000VAD!$N$69</f>
        <v>16.690000000000001</v>
      </c>
      <c r="F302" s="671">
        <f>RAT1000VAD!$O$69</f>
        <v>16.690000000000001</v>
      </c>
      <c r="G302" s="671">
        <f>RAT1000VAD!$P$69</f>
        <v>0</v>
      </c>
      <c r="H302" s="2470">
        <f t="shared" si="44"/>
        <v>0</v>
      </c>
      <c r="I302" s="606"/>
      <c r="J302" s="606"/>
      <c r="K302" s="2162"/>
    </row>
    <row r="303" spans="2:13">
      <c r="B303" s="2184" t="s">
        <v>892</v>
      </c>
      <c r="D303" s="670">
        <f>RAT1000VAD!$H$68</f>
        <v>19.29</v>
      </c>
      <c r="E303" s="670">
        <f>RAT1000VAD!$N$68</f>
        <v>16.690000000000001</v>
      </c>
      <c r="F303" s="671">
        <f>RAT1000VAD!$O$68</f>
        <v>16.690000000000001</v>
      </c>
      <c r="G303" s="671">
        <f>RAT1000VAD!$P$68</f>
        <v>0</v>
      </c>
      <c r="H303" s="2470">
        <f t="shared" si="44"/>
        <v>0</v>
      </c>
      <c r="I303" s="606"/>
      <c r="J303" s="606"/>
      <c r="K303" s="2162"/>
    </row>
    <row r="304" spans="2:13">
      <c r="B304" s="2184" t="s">
        <v>1176</v>
      </c>
      <c r="D304" s="670">
        <f>RAT1000VAD!$H$70</f>
        <v>19.29</v>
      </c>
      <c r="E304" s="670">
        <f>RAT1000VAD!$N$70</f>
        <v>16.690000000000001</v>
      </c>
      <c r="F304" s="671">
        <f>RAT1000VAD!$O$70</f>
        <v>16.690000000000001</v>
      </c>
      <c r="G304" s="671">
        <f>RAT1000VAD!$P$70</f>
        <v>0</v>
      </c>
      <c r="H304" s="2470">
        <f t="shared" si="44"/>
        <v>0</v>
      </c>
      <c r="I304" s="606"/>
      <c r="J304" s="606"/>
      <c r="K304" s="2162"/>
    </row>
    <row r="305" spans="2:13">
      <c r="B305" s="2182" t="s">
        <v>274</v>
      </c>
      <c r="D305" s="670">
        <f>RAT1000VAD!$H$71</f>
        <v>119.79</v>
      </c>
      <c r="E305" s="670">
        <f>RAT1000VAD!$N$71</f>
        <v>71.849999999999994</v>
      </c>
      <c r="F305" s="671">
        <f>RAT1000VAD!$O$71</f>
        <v>71.849999999999994</v>
      </c>
      <c r="G305" s="671">
        <f>RAT1000VAD!$P$71</f>
        <v>0</v>
      </c>
      <c r="H305" s="2470">
        <f t="shared" si="44"/>
        <v>0</v>
      </c>
      <c r="I305" s="606"/>
      <c r="J305" s="606"/>
      <c r="K305" s="2162"/>
    </row>
    <row r="306" spans="2:13">
      <c r="B306" s="2182" t="s">
        <v>275</v>
      </c>
      <c r="D306" s="670">
        <f>RAT1000VAD!$H$72</f>
        <v>119.79</v>
      </c>
      <c r="E306" s="670">
        <f>RAT1000VAD!$N$72</f>
        <v>71.849999999999994</v>
      </c>
      <c r="F306" s="671">
        <f>RAT1000VAD!$O$72</f>
        <v>71.849999999999994</v>
      </c>
      <c r="G306" s="671">
        <f>RAT1000VAD!$P$72</f>
        <v>0</v>
      </c>
      <c r="H306" s="2470">
        <f t="shared" si="44"/>
        <v>0</v>
      </c>
      <c r="I306" s="606"/>
      <c r="J306" s="606"/>
      <c r="K306" s="2162"/>
    </row>
    <row r="307" spans="2:13" s="609" customFormat="1">
      <c r="B307" s="2183" t="s">
        <v>276</v>
      </c>
      <c r="C307" s="608"/>
      <c r="D307" s="670">
        <f>RAT1000VAD!$H$73</f>
        <v>1151.21</v>
      </c>
      <c r="E307" s="670">
        <f>RAT1000VAD!$N$73</f>
        <v>141.52000000000001</v>
      </c>
      <c r="F307" s="671">
        <f>RAT1000VAD!$O$73</f>
        <v>141.52000000000001</v>
      </c>
      <c r="G307" s="671">
        <f>RAT1000VAD!$P$73</f>
        <v>0</v>
      </c>
      <c r="H307" s="2470">
        <f t="shared" si="44"/>
        <v>0</v>
      </c>
      <c r="I307" s="672"/>
      <c r="J307" s="672"/>
      <c r="K307" s="2171"/>
      <c r="L307" s="610"/>
      <c r="M307" s="610"/>
    </row>
    <row r="308" spans="2:13" s="609" customFormat="1">
      <c r="B308" s="2183" t="s">
        <v>277</v>
      </c>
      <c r="C308" s="608"/>
      <c r="D308" s="670">
        <f>RAT1000VAD!$H$74</f>
        <v>1151.21</v>
      </c>
      <c r="E308" s="670">
        <f>RAT1000VAD!$N$74</f>
        <v>141.52000000000001</v>
      </c>
      <c r="F308" s="671">
        <f>RAT1000VAD!$O$74</f>
        <v>141.52000000000001</v>
      </c>
      <c r="G308" s="671">
        <f>RAT1000VAD!$P$74</f>
        <v>0</v>
      </c>
      <c r="H308" s="2470">
        <f t="shared" si="44"/>
        <v>0</v>
      </c>
      <c r="I308" s="672"/>
      <c r="J308" s="672"/>
      <c r="K308" s="2171"/>
      <c r="L308" s="610"/>
      <c r="M308" s="610"/>
    </row>
    <row r="309" spans="2:13" s="609" customFormat="1">
      <c r="B309" s="2185" t="s">
        <v>278</v>
      </c>
      <c r="C309" s="608"/>
      <c r="D309" s="670">
        <f>RAT1000VAD!$H$75</f>
        <v>1151.21</v>
      </c>
      <c r="E309" s="670">
        <f>RAT1000VAD!$N$75</f>
        <v>202.17</v>
      </c>
      <c r="F309" s="671">
        <f>RAT1000VAD!$O$75</f>
        <v>202.17</v>
      </c>
      <c r="G309" s="671">
        <f>RAT1000VAD!$P$75</f>
        <v>0</v>
      </c>
      <c r="H309" s="2470">
        <f t="shared" si="44"/>
        <v>0</v>
      </c>
      <c r="I309" s="672"/>
      <c r="J309" s="672"/>
      <c r="K309" s="2171"/>
      <c r="L309" s="610"/>
      <c r="M309" s="610"/>
    </row>
    <row r="310" spans="2:13" s="609" customFormat="1">
      <c r="B310" s="2185" t="s">
        <v>279</v>
      </c>
      <c r="C310" s="608"/>
      <c r="D310" s="670">
        <f>RAT1000VAD!$H$76</f>
        <v>1151.21</v>
      </c>
      <c r="E310" s="670">
        <f>RAT1000VAD!$N$76</f>
        <v>202.17</v>
      </c>
      <c r="F310" s="671">
        <f>RAT1000VAD!$O$76</f>
        <v>202.17</v>
      </c>
      <c r="G310" s="671">
        <f>RAT1000VAD!$P$76</f>
        <v>0</v>
      </c>
      <c r="H310" s="2470">
        <f t="shared" si="44"/>
        <v>0</v>
      </c>
      <c r="I310" s="672"/>
      <c r="J310" s="672"/>
      <c r="K310" s="2171"/>
      <c r="L310" s="610"/>
      <c r="M310" s="610"/>
    </row>
    <row r="311" spans="2:13">
      <c r="B311" s="658"/>
      <c r="H311" s="2470">
        <f t="shared" si="44"/>
        <v>0</v>
      </c>
      <c r="I311" s="606"/>
      <c r="J311" s="606"/>
      <c r="K311" s="2162"/>
    </row>
    <row r="312" spans="2:13">
      <c r="B312" s="673" t="s">
        <v>1194</v>
      </c>
      <c r="C312" s="674"/>
      <c r="D312" s="674"/>
      <c r="E312" s="674"/>
      <c r="F312" s="675"/>
      <c r="G312" s="675"/>
      <c r="H312" s="2470">
        <f t="shared" si="44"/>
        <v>0</v>
      </c>
      <c r="I312" s="606"/>
      <c r="J312" s="606"/>
      <c r="K312" s="2162"/>
    </row>
    <row r="313" spans="2:13">
      <c r="B313" s="673" t="str">
        <f>B2</f>
        <v>PLIEGO TARIFARIO ESTRUCURA NUEVA</v>
      </c>
      <c r="C313" s="674"/>
      <c r="D313" s="674"/>
      <c r="E313" s="674"/>
      <c r="F313" s="675"/>
      <c r="G313" s="675"/>
      <c r="H313" s="2470">
        <f t="shared" si="44"/>
        <v>0</v>
      </c>
      <c r="I313" s="606"/>
      <c r="J313" s="606"/>
      <c r="K313" s="2162"/>
    </row>
    <row r="314" spans="2:13" s="1197" customFormat="1" ht="11.25">
      <c r="B314" s="1202"/>
      <c r="C314" s="1200"/>
      <c r="F314" s="1199"/>
      <c r="G314" s="1199"/>
      <c r="H314" s="2470">
        <f t="shared" si="44"/>
        <v>0</v>
      </c>
      <c r="I314" s="1198"/>
      <c r="J314" s="1198"/>
      <c r="K314" s="2172"/>
      <c r="L314" s="1199"/>
      <c r="M314" s="1199"/>
    </row>
    <row r="315" spans="2:13">
      <c r="B315" s="678" t="s">
        <v>443</v>
      </c>
      <c r="C315" s="599"/>
      <c r="D315" s="600"/>
      <c r="E315" s="600"/>
      <c r="F315" s="601"/>
      <c r="G315" s="601"/>
      <c r="H315" s="2470">
        <f t="shared" si="44"/>
        <v>0</v>
      </c>
      <c r="I315" s="606"/>
      <c r="J315" s="606"/>
      <c r="K315" s="2162"/>
    </row>
    <row r="316" spans="2:13">
      <c r="B316" s="641" t="s">
        <v>444</v>
      </c>
      <c r="C316" s="642"/>
      <c r="D316" s="642"/>
      <c r="E316" s="642"/>
      <c r="F316" s="643"/>
      <c r="G316" s="643"/>
      <c r="H316" s="2470">
        <f t="shared" si="44"/>
        <v>0</v>
      </c>
      <c r="I316" s="606"/>
      <c r="J316" s="606"/>
      <c r="K316" s="2162"/>
    </row>
    <row r="317" spans="2:13" s="1197" customFormat="1" ht="11.25">
      <c r="B317" s="1201"/>
      <c r="C317" s="1200"/>
      <c r="F317" s="1199"/>
      <c r="G317" s="1199"/>
      <c r="H317" s="2470">
        <f t="shared" si="44"/>
        <v>0</v>
      </c>
      <c r="I317" s="1198"/>
      <c r="J317" s="1198"/>
      <c r="K317" s="2172"/>
      <c r="L317" s="1199"/>
      <c r="M317" s="1199"/>
    </row>
    <row r="318" spans="2:13">
      <c r="B318" s="611" t="s">
        <v>906</v>
      </c>
      <c r="C318" s="599"/>
      <c r="D318" s="600"/>
      <c r="E318" s="600"/>
      <c r="F318" s="601"/>
      <c r="G318" s="601"/>
      <c r="H318" s="2470">
        <f t="shared" si="44"/>
        <v>0</v>
      </c>
      <c r="I318" s="606"/>
      <c r="J318" s="606"/>
      <c r="K318" s="2162"/>
    </row>
    <row r="319" spans="2:13">
      <c r="B319" s="655" t="s">
        <v>1191</v>
      </c>
      <c r="C319" s="644"/>
      <c r="D319" s="644"/>
      <c r="E319" s="644"/>
      <c r="F319" s="645"/>
      <c r="G319" s="645"/>
      <c r="H319" s="2470">
        <f t="shared" si="44"/>
        <v>0</v>
      </c>
      <c r="I319" s="606"/>
      <c r="J319" s="606"/>
      <c r="K319" s="2162"/>
    </row>
    <row r="320" spans="2:13">
      <c r="B320" s="616" t="s">
        <v>313</v>
      </c>
      <c r="C320" s="617" t="s">
        <v>420</v>
      </c>
      <c r="D320" s="644">
        <f>D325</f>
        <v>2.52</v>
      </c>
      <c r="E320" s="644">
        <f>E325</f>
        <v>2.79</v>
      </c>
      <c r="F320" s="645">
        <f>F325</f>
        <v>2.79</v>
      </c>
      <c r="G320" s="645">
        <f>G325</f>
        <v>0</v>
      </c>
      <c r="H320" s="2470">
        <f t="shared" si="44"/>
        <v>0</v>
      </c>
      <c r="I320" s="606"/>
      <c r="J320" s="606"/>
      <c r="K320" s="2162"/>
    </row>
    <row r="321" spans="2:11">
      <c r="B321" s="616" t="s">
        <v>425</v>
      </c>
      <c r="C321" s="617" t="s">
        <v>426</v>
      </c>
      <c r="D321" s="644">
        <f>D328+D331+D336</f>
        <v>13.23</v>
      </c>
      <c r="E321" s="644">
        <f>E328+E331+E336</f>
        <v>14.27</v>
      </c>
      <c r="F321" s="645">
        <f>F328+F331+F336</f>
        <v>14.27</v>
      </c>
      <c r="G321" s="645">
        <f>G328+G331+G336</f>
        <v>0</v>
      </c>
      <c r="H321" s="2470">
        <f t="shared" si="44"/>
        <v>0</v>
      </c>
      <c r="I321" s="606"/>
      <c r="J321" s="606"/>
      <c r="K321" s="2162"/>
    </row>
    <row r="322" spans="2:11">
      <c r="B322" s="616" t="s">
        <v>1288</v>
      </c>
      <c r="C322" s="617" t="s">
        <v>426</v>
      </c>
      <c r="D322" s="644">
        <f>D339</f>
        <v>8.9600000000000009</v>
      </c>
      <c r="E322" s="644">
        <f>E339</f>
        <v>16</v>
      </c>
      <c r="F322" s="645">
        <f>F339</f>
        <v>16</v>
      </c>
      <c r="G322" s="645">
        <f>G339</f>
        <v>0</v>
      </c>
      <c r="H322" s="2470">
        <f t="shared" si="44"/>
        <v>0</v>
      </c>
      <c r="I322" s="606"/>
      <c r="J322" s="606"/>
      <c r="K322" s="2162"/>
    </row>
    <row r="323" spans="2:11">
      <c r="B323" s="616" t="s">
        <v>427</v>
      </c>
      <c r="C323" s="617" t="s">
        <v>421</v>
      </c>
      <c r="D323" s="618">
        <f>D326+D329+D332+D334+D337+D340</f>
        <v>2.6409999999999996E-2</v>
      </c>
      <c r="E323" s="618">
        <f>E326+E329+E332+E334+E337+E340</f>
        <v>2.9599999999999998E-2</v>
      </c>
      <c r="F323" s="679">
        <f>F326+F329+F332+F334+F337+F340</f>
        <v>2.8689999999999997E-2</v>
      </c>
      <c r="G323" s="679">
        <f>G326+G329+G332+G334+G337+G340</f>
        <v>9.0999999999999989E-4</v>
      </c>
      <c r="H323" s="2470">
        <f t="shared" si="44"/>
        <v>1.1926223897340549E-18</v>
      </c>
      <c r="I323" s="606"/>
      <c r="J323" s="606"/>
      <c r="K323" s="2162"/>
    </row>
    <row r="324" spans="2:11">
      <c r="B324" s="620" t="s">
        <v>12</v>
      </c>
      <c r="C324" s="621"/>
      <c r="D324" s="624"/>
      <c r="E324" s="624"/>
      <c r="F324" s="680"/>
      <c r="G324" s="680"/>
      <c r="H324" s="2470">
        <f t="shared" si="44"/>
        <v>0</v>
      </c>
      <c r="I324" s="606"/>
      <c r="J324" s="606"/>
      <c r="K324" s="2162"/>
    </row>
    <row r="325" spans="2:11">
      <c r="B325" s="647" t="s">
        <v>428</v>
      </c>
      <c r="C325" s="621" t="s">
        <v>420</v>
      </c>
      <c r="D325" s="648">
        <f>ROUND(D102/2,2)</f>
        <v>2.52</v>
      </c>
      <c r="E325" s="648">
        <f>ROUND(E102/2,2)</f>
        <v>2.79</v>
      </c>
      <c r="F325" s="649">
        <f>ROUND(F102/2,2)</f>
        <v>2.79</v>
      </c>
      <c r="G325" s="649">
        <f>ROUND(G102/2,2)</f>
        <v>0</v>
      </c>
      <c r="H325" s="2470">
        <f t="shared" si="44"/>
        <v>0</v>
      </c>
      <c r="I325" s="606"/>
      <c r="J325" s="606"/>
      <c r="K325" s="2162"/>
    </row>
    <row r="326" spans="2:11">
      <c r="B326" s="624" t="s">
        <v>250</v>
      </c>
      <c r="C326" s="621" t="s">
        <v>421</v>
      </c>
      <c r="D326" s="625">
        <f>+D103</f>
        <v>5.3499999999999997E-3</v>
      </c>
      <c r="E326" s="625">
        <f>+E103</f>
        <v>4.7699999999999999E-3</v>
      </c>
      <c r="F326" s="626">
        <f>+F103</f>
        <v>4.7699999999999999E-3</v>
      </c>
      <c r="G326" s="626">
        <f>+G103</f>
        <v>0</v>
      </c>
      <c r="H326" s="2470">
        <f t="shared" si="44"/>
        <v>0</v>
      </c>
      <c r="I326" s="606"/>
      <c r="J326" s="606"/>
      <c r="K326" s="2162"/>
    </row>
    <row r="327" spans="2:11">
      <c r="B327" s="620" t="s">
        <v>9</v>
      </c>
      <c r="C327" s="621"/>
      <c r="D327" s="624"/>
      <c r="E327" s="624"/>
      <c r="F327" s="680"/>
      <c r="G327" s="680"/>
      <c r="H327" s="2470">
        <f t="shared" si="44"/>
        <v>0</v>
      </c>
      <c r="I327" s="606"/>
      <c r="J327" s="606"/>
      <c r="K327" s="2162"/>
    </row>
    <row r="328" spans="2:11">
      <c r="B328" s="624" t="s">
        <v>425</v>
      </c>
      <c r="C328" s="621" t="s">
        <v>426</v>
      </c>
      <c r="D328" s="648">
        <f t="shared" ref="D328:G329" si="46">+D105</f>
        <v>12.41</v>
      </c>
      <c r="E328" s="648">
        <f t="shared" si="46"/>
        <v>12.35</v>
      </c>
      <c r="F328" s="649">
        <f t="shared" si="46"/>
        <v>12.35</v>
      </c>
      <c r="G328" s="649">
        <f t="shared" si="46"/>
        <v>0</v>
      </c>
      <c r="H328" s="2470">
        <f t="shared" si="44"/>
        <v>0</v>
      </c>
      <c r="I328" s="606"/>
      <c r="J328" s="606"/>
      <c r="K328" s="2162"/>
    </row>
    <row r="329" spans="2:11">
      <c r="B329" s="624" t="s">
        <v>427</v>
      </c>
      <c r="C329" s="621" t="s">
        <v>421</v>
      </c>
      <c r="D329" s="625">
        <f t="shared" si="46"/>
        <v>0</v>
      </c>
      <c r="E329" s="625">
        <f t="shared" si="46"/>
        <v>0</v>
      </c>
      <c r="F329" s="626">
        <f t="shared" si="46"/>
        <v>0</v>
      </c>
      <c r="G329" s="626">
        <f t="shared" si="46"/>
        <v>0</v>
      </c>
      <c r="H329" s="2470">
        <f t="shared" si="44"/>
        <v>0</v>
      </c>
      <c r="I329" s="606"/>
      <c r="J329" s="606"/>
      <c r="K329" s="2162"/>
    </row>
    <row r="330" spans="2:11">
      <c r="B330" s="620" t="s">
        <v>422</v>
      </c>
      <c r="C330" s="621"/>
      <c r="D330" s="625"/>
      <c r="E330" s="625"/>
      <c r="F330" s="626"/>
      <c r="G330" s="626"/>
      <c r="H330" s="2470">
        <f t="shared" si="44"/>
        <v>0</v>
      </c>
      <c r="I330" s="606"/>
      <c r="J330" s="606"/>
      <c r="K330" s="2162"/>
    </row>
    <row r="331" spans="2:11">
      <c r="B331" s="624" t="s">
        <v>425</v>
      </c>
      <c r="C331" s="621" t="s">
        <v>426</v>
      </c>
      <c r="D331" s="652">
        <f t="shared" ref="D331:G332" si="47">+D108</f>
        <v>0.41</v>
      </c>
      <c r="E331" s="652">
        <f t="shared" si="47"/>
        <v>0.53</v>
      </c>
      <c r="F331" s="653">
        <f t="shared" si="47"/>
        <v>0.49</v>
      </c>
      <c r="G331" s="653">
        <f t="shared" si="47"/>
        <v>0.04</v>
      </c>
      <c r="H331" s="2470">
        <f t="shared" si="44"/>
        <v>0</v>
      </c>
      <c r="I331" s="606"/>
      <c r="J331" s="606"/>
      <c r="K331" s="2162"/>
    </row>
    <row r="332" spans="2:11">
      <c r="B332" s="624" t="s">
        <v>427</v>
      </c>
      <c r="C332" s="621" t="s">
        <v>421</v>
      </c>
      <c r="D332" s="625">
        <f t="shared" si="47"/>
        <v>1.2319999999999999E-2</v>
      </c>
      <c r="E332" s="625">
        <f t="shared" si="47"/>
        <v>1.617E-2</v>
      </c>
      <c r="F332" s="626">
        <f t="shared" si="47"/>
        <v>1.487E-2</v>
      </c>
      <c r="G332" s="626">
        <f t="shared" si="47"/>
        <v>1.2999999999999999E-3</v>
      </c>
      <c r="H332" s="2470">
        <f t="shared" si="44"/>
        <v>0</v>
      </c>
      <c r="I332" s="606"/>
      <c r="J332" s="606"/>
      <c r="K332" s="2162"/>
    </row>
    <row r="333" spans="2:11">
      <c r="B333" s="620" t="s">
        <v>309</v>
      </c>
      <c r="C333" s="621"/>
      <c r="D333" s="625"/>
      <c r="E333" s="625"/>
      <c r="F333" s="626"/>
      <c r="G333" s="626"/>
      <c r="H333" s="2470">
        <f t="shared" si="44"/>
        <v>0</v>
      </c>
      <c r="I333" s="606"/>
      <c r="J333" s="606"/>
      <c r="K333" s="2162"/>
    </row>
    <row r="334" spans="2:11">
      <c r="B334" s="624" t="s">
        <v>427</v>
      </c>
      <c r="C334" s="621" t="s">
        <v>421</v>
      </c>
      <c r="D334" s="625">
        <f>+D111</f>
        <v>1.1199999999999999E-3</v>
      </c>
      <c r="E334" s="625">
        <f>+E111</f>
        <v>2.33E-3</v>
      </c>
      <c r="F334" s="626">
        <f>+F111</f>
        <v>2.33E-3</v>
      </c>
      <c r="G334" s="626">
        <f>+G111</f>
        <v>0</v>
      </c>
      <c r="H334" s="2470">
        <f t="shared" si="44"/>
        <v>0</v>
      </c>
      <c r="I334" s="606"/>
      <c r="J334" s="606"/>
      <c r="K334" s="2162"/>
    </row>
    <row r="335" spans="2:11">
      <c r="B335" s="620" t="s">
        <v>10</v>
      </c>
      <c r="C335" s="621"/>
      <c r="D335" s="625"/>
      <c r="E335" s="625"/>
      <c r="F335" s="626"/>
      <c r="G335" s="626"/>
      <c r="H335" s="2470">
        <f t="shared" si="44"/>
        <v>0</v>
      </c>
      <c r="I335" s="606"/>
      <c r="J335" s="606"/>
      <c r="K335" s="2162"/>
    </row>
    <row r="336" spans="2:11">
      <c r="B336" s="624" t="s">
        <v>425</v>
      </c>
      <c r="C336" s="621" t="s">
        <v>433</v>
      </c>
      <c r="D336" s="631">
        <f t="shared" ref="D336:G337" si="48">D113</f>
        <v>0.41</v>
      </c>
      <c r="E336" s="631">
        <f t="shared" si="48"/>
        <v>1.39</v>
      </c>
      <c r="F336" s="632">
        <f t="shared" si="48"/>
        <v>1.43</v>
      </c>
      <c r="G336" s="632">
        <f t="shared" si="48"/>
        <v>-0.04</v>
      </c>
      <c r="H336" s="2470">
        <f t="shared" si="44"/>
        <v>0</v>
      </c>
      <c r="I336" s="606"/>
      <c r="J336" s="606"/>
      <c r="K336" s="2162"/>
    </row>
    <row r="337" spans="2:13">
      <c r="B337" s="624" t="s">
        <v>427</v>
      </c>
      <c r="C337" s="621" t="s">
        <v>421</v>
      </c>
      <c r="D337" s="625">
        <f t="shared" si="48"/>
        <v>5.6699999999999997E-3</v>
      </c>
      <c r="E337" s="625">
        <f t="shared" si="48"/>
        <v>4.7099999999999998E-3</v>
      </c>
      <c r="F337" s="626">
        <f t="shared" si="48"/>
        <v>5.2100000000000002E-3</v>
      </c>
      <c r="G337" s="626">
        <f t="shared" si="48"/>
        <v>-5.0000000000000001E-4</v>
      </c>
      <c r="H337" s="2470">
        <f t="shared" si="44"/>
        <v>0</v>
      </c>
      <c r="I337" s="606"/>
      <c r="J337" s="606"/>
      <c r="K337" s="2162"/>
    </row>
    <row r="338" spans="2:13">
      <c r="B338" s="620" t="s">
        <v>11</v>
      </c>
      <c r="C338" s="621"/>
      <c r="D338" s="625"/>
      <c r="E338" s="625"/>
      <c r="F338" s="626"/>
      <c r="G338" s="626"/>
      <c r="H338" s="2470">
        <f t="shared" si="44"/>
        <v>0</v>
      </c>
      <c r="I338" s="606"/>
      <c r="J338" s="606"/>
      <c r="K338" s="2162"/>
    </row>
    <row r="339" spans="2:13">
      <c r="B339" s="624" t="str">
        <f>B322</f>
        <v>Cargo por Demanda Máxima Generación *</v>
      </c>
      <c r="C339" s="621" t="s">
        <v>426</v>
      </c>
      <c r="D339" s="631">
        <f>RAT1000PT!$H$78</f>
        <v>8.9600000000000009</v>
      </c>
      <c r="E339" s="631">
        <f>RAT1000PT!$N$78</f>
        <v>16</v>
      </c>
      <c r="F339" s="632">
        <f>RAT1000PT!$O$78</f>
        <v>16</v>
      </c>
      <c r="G339" s="632">
        <f>RAT1000PT!$P$78</f>
        <v>0</v>
      </c>
      <c r="H339" s="2470">
        <f t="shared" si="44"/>
        <v>0</v>
      </c>
      <c r="I339" s="606"/>
      <c r="J339" s="606"/>
      <c r="K339" s="2162"/>
    </row>
    <row r="340" spans="2:13">
      <c r="B340" s="624" t="s">
        <v>2184</v>
      </c>
      <c r="C340" s="621" t="s">
        <v>421</v>
      </c>
      <c r="D340" s="638">
        <f>+D124</f>
        <v>1.9499999999999999E-3</v>
      </c>
      <c r="E340" s="638">
        <f>+E124</f>
        <v>1.6199999999999999E-3</v>
      </c>
      <c r="F340" s="639">
        <f>+F124</f>
        <v>1.5100000000000001E-3</v>
      </c>
      <c r="G340" s="639">
        <f>+G124</f>
        <v>1.1E-4</v>
      </c>
      <c r="H340" s="2470">
        <f t="shared" si="44"/>
        <v>-1.4907779871675686E-19</v>
      </c>
      <c r="I340" s="606"/>
      <c r="J340" s="606"/>
      <c r="K340" s="2162"/>
    </row>
    <row r="341" spans="2:13" s="1197" customFormat="1" ht="11.25">
      <c r="B341" s="1202"/>
      <c r="C341" s="1200"/>
      <c r="F341" s="1199"/>
      <c r="G341" s="1199"/>
      <c r="H341" s="2470">
        <f t="shared" si="44"/>
        <v>0</v>
      </c>
      <c r="I341" s="1198"/>
      <c r="J341" s="1198"/>
      <c r="K341" s="2172"/>
      <c r="L341" s="1199"/>
      <c r="M341" s="1199"/>
    </row>
    <row r="342" spans="2:13">
      <c r="B342" s="611" t="s">
        <v>949</v>
      </c>
      <c r="C342" s="599"/>
      <c r="D342" s="600"/>
      <c r="E342" s="600"/>
      <c r="F342" s="601"/>
      <c r="G342" s="601"/>
      <c r="H342" s="2470">
        <f t="shared" si="44"/>
        <v>0</v>
      </c>
      <c r="I342" s="606"/>
      <c r="J342" s="606"/>
      <c r="K342" s="2162"/>
    </row>
    <row r="343" spans="2:13">
      <c r="B343" s="655" t="s">
        <v>1191</v>
      </c>
      <c r="C343" s="644"/>
      <c r="D343" s="644"/>
      <c r="E343" s="644"/>
      <c r="F343" s="645"/>
      <c r="G343" s="645"/>
      <c r="H343" s="2470">
        <f t="shared" si="44"/>
        <v>0</v>
      </c>
      <c r="I343" s="606"/>
      <c r="J343" s="606"/>
      <c r="K343" s="2162"/>
    </row>
    <row r="344" spans="2:13">
      <c r="B344" s="616" t="s">
        <v>313</v>
      </c>
      <c r="C344" s="617" t="s">
        <v>420</v>
      </c>
      <c r="D344" s="644">
        <f>D350</f>
        <v>2.52</v>
      </c>
      <c r="E344" s="644">
        <f>E350</f>
        <v>2.79</v>
      </c>
      <c r="F344" s="645">
        <f>F350</f>
        <v>2.79</v>
      </c>
      <c r="G344" s="645">
        <f>G350</f>
        <v>0</v>
      </c>
      <c r="H344" s="2470">
        <f t="shared" si="44"/>
        <v>0</v>
      </c>
      <c r="I344" s="606"/>
      <c r="J344" s="606"/>
      <c r="K344" s="2162"/>
    </row>
    <row r="345" spans="2:13">
      <c r="B345" s="616" t="s">
        <v>1220</v>
      </c>
      <c r="C345" s="617" t="s">
        <v>426</v>
      </c>
      <c r="D345" s="644">
        <f>D353+D357+D362</f>
        <v>8.0200000000000014</v>
      </c>
      <c r="E345" s="644">
        <f>E353+E357+E362</f>
        <v>9.69</v>
      </c>
      <c r="F345" s="645">
        <f>F353+F357+F362</f>
        <v>9.68</v>
      </c>
      <c r="G345" s="645">
        <f>G353+G357+G362</f>
        <v>1.0000000000000002E-2</v>
      </c>
      <c r="H345" s="2470">
        <f t="shared" si="44"/>
        <v>-2.1510571102112408E-16</v>
      </c>
      <c r="I345" s="606"/>
      <c r="J345" s="606"/>
      <c r="K345" s="2162"/>
    </row>
    <row r="346" spans="2:13">
      <c r="B346" s="616" t="s">
        <v>1240</v>
      </c>
      <c r="C346" s="617" t="s">
        <v>426</v>
      </c>
      <c r="D346" s="644">
        <f>D354</f>
        <v>5.93</v>
      </c>
      <c r="E346" s="644">
        <f>E354</f>
        <v>5.26</v>
      </c>
      <c r="F346" s="645">
        <f>F354</f>
        <v>5.26</v>
      </c>
      <c r="G346" s="645">
        <f>G354</f>
        <v>0</v>
      </c>
      <c r="H346" s="2470">
        <f t="shared" si="44"/>
        <v>0</v>
      </c>
      <c r="I346" s="606"/>
      <c r="J346" s="606"/>
      <c r="K346" s="2162"/>
    </row>
    <row r="347" spans="2:13">
      <c r="B347" s="616" t="s">
        <v>1289</v>
      </c>
      <c r="C347" s="617" t="s">
        <v>426</v>
      </c>
      <c r="D347" s="644">
        <f>D365</f>
        <v>8.9600000000000009</v>
      </c>
      <c r="E347" s="644">
        <f>E365</f>
        <v>16</v>
      </c>
      <c r="F347" s="645">
        <f>F365</f>
        <v>16</v>
      </c>
      <c r="G347" s="645">
        <f>G365</f>
        <v>0</v>
      </c>
      <c r="H347" s="2470">
        <f t="shared" si="44"/>
        <v>0</v>
      </c>
      <c r="I347" s="606"/>
      <c r="J347" s="606"/>
      <c r="K347" s="2162"/>
    </row>
    <row r="348" spans="2:13">
      <c r="B348" s="616" t="s">
        <v>427</v>
      </c>
      <c r="C348" s="617" t="s">
        <v>421</v>
      </c>
      <c r="D348" s="618">
        <f>D351+D355+D358+D360+D363+D366</f>
        <v>2.4289999999999999E-2</v>
      </c>
      <c r="E348" s="618">
        <f>E351+E355+E358+E360+E363+E366</f>
        <v>2.683E-2</v>
      </c>
      <c r="F348" s="679">
        <f>F351+F355+F358+F360+F363+F366</f>
        <v>2.5739999999999996E-2</v>
      </c>
      <c r="G348" s="679">
        <f>G351+G355+G358+G360+G363+G366</f>
        <v>1.09E-3</v>
      </c>
      <c r="H348" s="2470">
        <f t="shared" si="44"/>
        <v>4.1199682554449168E-18</v>
      </c>
      <c r="I348" s="606"/>
      <c r="J348" s="606"/>
      <c r="K348" s="2162"/>
    </row>
    <row r="349" spans="2:13">
      <c r="B349" s="620" t="s">
        <v>12</v>
      </c>
      <c r="C349" s="621"/>
      <c r="D349" s="622"/>
      <c r="E349" s="622"/>
      <c r="F349" s="623"/>
      <c r="G349" s="623"/>
      <c r="H349" s="2470">
        <f t="shared" si="44"/>
        <v>0</v>
      </c>
      <c r="I349" s="606"/>
      <c r="J349" s="606"/>
      <c r="K349" s="2162"/>
    </row>
    <row r="350" spans="2:13">
      <c r="B350" s="624" t="s">
        <v>428</v>
      </c>
      <c r="C350" s="621" t="s">
        <v>431</v>
      </c>
      <c r="D350" s="681">
        <f>ROUND(D139/2,2)</f>
        <v>2.52</v>
      </c>
      <c r="E350" s="681">
        <f>ROUND(E139/2,2)</f>
        <v>2.79</v>
      </c>
      <c r="F350" s="682">
        <f>ROUND(F139/2,2)</f>
        <v>2.79</v>
      </c>
      <c r="G350" s="682">
        <f>ROUND(G139/2,2)</f>
        <v>0</v>
      </c>
      <c r="H350" s="2470">
        <f t="shared" si="44"/>
        <v>0</v>
      </c>
      <c r="I350" s="606"/>
      <c r="J350" s="606"/>
      <c r="K350" s="2162"/>
    </row>
    <row r="351" spans="2:13">
      <c r="B351" s="624" t="s">
        <v>427</v>
      </c>
      <c r="C351" s="621" t="s">
        <v>432</v>
      </c>
      <c r="D351" s="625">
        <f>+D140</f>
        <v>5.3499999999999997E-3</v>
      </c>
      <c r="E351" s="625">
        <f>+E140</f>
        <v>4.7699999999999999E-3</v>
      </c>
      <c r="F351" s="626">
        <f>+F140</f>
        <v>4.7699999999999999E-3</v>
      </c>
      <c r="G351" s="626">
        <f>+G140</f>
        <v>0</v>
      </c>
      <c r="H351" s="2470">
        <f t="shared" si="44"/>
        <v>0</v>
      </c>
      <c r="I351" s="606"/>
      <c r="J351" s="606"/>
      <c r="K351" s="2162"/>
    </row>
    <row r="352" spans="2:13">
      <c r="B352" s="620" t="s">
        <v>9</v>
      </c>
      <c r="C352" s="621"/>
      <c r="D352" s="683"/>
      <c r="E352" s="683"/>
      <c r="F352" s="684"/>
      <c r="G352" s="684"/>
      <c r="H352" s="2470">
        <f t="shared" si="44"/>
        <v>0</v>
      </c>
      <c r="I352" s="606"/>
      <c r="J352" s="606"/>
      <c r="K352" s="2162"/>
    </row>
    <row r="353" spans="2:13">
      <c r="B353" s="624" t="str">
        <f>B345</f>
        <v>Cargo por Demanda Máxima Horas Punta</v>
      </c>
      <c r="C353" s="621" t="s">
        <v>433</v>
      </c>
      <c r="D353" s="681">
        <f t="shared" ref="D353:G355" si="49">+D142</f>
        <v>7.11</v>
      </c>
      <c r="E353" s="681">
        <f t="shared" si="49"/>
        <v>7.68</v>
      </c>
      <c r="F353" s="682">
        <f t="shared" si="49"/>
        <v>7.68</v>
      </c>
      <c r="G353" s="682">
        <f t="shared" si="49"/>
        <v>0</v>
      </c>
      <c r="H353" s="2470">
        <f t="shared" ref="H353:H416" si="50">E353-F353-G353</f>
        <v>0</v>
      </c>
      <c r="I353" s="606"/>
      <c r="J353" s="606"/>
      <c r="K353" s="2162"/>
    </row>
    <row r="354" spans="2:13">
      <c r="B354" s="624" t="str">
        <f>B346</f>
        <v>Cargo por Demanda Máxima Horas Fuera de Punta</v>
      </c>
      <c r="C354" s="621" t="s">
        <v>433</v>
      </c>
      <c r="D354" s="681">
        <f t="shared" si="49"/>
        <v>5.93</v>
      </c>
      <c r="E354" s="681">
        <f t="shared" si="49"/>
        <v>5.26</v>
      </c>
      <c r="F354" s="682">
        <f t="shared" si="49"/>
        <v>5.26</v>
      </c>
      <c r="G354" s="682">
        <f t="shared" si="49"/>
        <v>0</v>
      </c>
      <c r="H354" s="2470">
        <f t="shared" si="50"/>
        <v>0</v>
      </c>
      <c r="I354" s="606"/>
      <c r="J354" s="606"/>
      <c r="K354" s="2162"/>
    </row>
    <row r="355" spans="2:13">
      <c r="B355" s="624" t="s">
        <v>427</v>
      </c>
      <c r="C355" s="621" t="s">
        <v>432</v>
      </c>
      <c r="D355" s="625">
        <f t="shared" si="49"/>
        <v>0</v>
      </c>
      <c r="E355" s="625">
        <f t="shared" si="49"/>
        <v>0</v>
      </c>
      <c r="F355" s="626">
        <f t="shared" si="49"/>
        <v>0</v>
      </c>
      <c r="G355" s="626">
        <f t="shared" si="49"/>
        <v>0</v>
      </c>
      <c r="H355" s="2470">
        <f t="shared" si="50"/>
        <v>0</v>
      </c>
      <c r="I355" s="606"/>
      <c r="J355" s="606"/>
      <c r="K355" s="2162"/>
    </row>
    <row r="356" spans="2:13">
      <c r="B356" s="620" t="s">
        <v>422</v>
      </c>
      <c r="C356" s="621"/>
      <c r="D356" s="631"/>
      <c r="E356" s="631"/>
      <c r="F356" s="632"/>
      <c r="G356" s="632"/>
      <c r="H356" s="2470">
        <f t="shared" si="50"/>
        <v>0</v>
      </c>
      <c r="I356" s="606"/>
      <c r="J356" s="606"/>
      <c r="K356" s="2162"/>
    </row>
    <row r="357" spans="2:13">
      <c r="B357" s="624" t="str">
        <f>B345</f>
        <v>Cargo por Demanda Máxima Horas Punta</v>
      </c>
      <c r="C357" s="621" t="s">
        <v>433</v>
      </c>
      <c r="D357" s="631">
        <f t="shared" ref="D357:G358" si="51">+D146</f>
        <v>0.45</v>
      </c>
      <c r="E357" s="631">
        <f t="shared" si="51"/>
        <v>0.56000000000000005</v>
      </c>
      <c r="F357" s="632">
        <f t="shared" si="51"/>
        <v>0.51</v>
      </c>
      <c r="G357" s="632">
        <f t="shared" si="51"/>
        <v>0.05</v>
      </c>
      <c r="H357" s="2470">
        <f t="shared" si="50"/>
        <v>0</v>
      </c>
      <c r="I357" s="606"/>
      <c r="J357" s="606"/>
      <c r="K357" s="2162"/>
    </row>
    <row r="358" spans="2:13">
      <c r="B358" s="624" t="s">
        <v>427</v>
      </c>
      <c r="C358" s="621" t="s">
        <v>432</v>
      </c>
      <c r="D358" s="625">
        <f t="shared" si="51"/>
        <v>1.2319999999999999E-2</v>
      </c>
      <c r="E358" s="625">
        <f t="shared" si="51"/>
        <v>1.617E-2</v>
      </c>
      <c r="F358" s="626">
        <f t="shared" si="51"/>
        <v>1.487E-2</v>
      </c>
      <c r="G358" s="626">
        <f t="shared" si="51"/>
        <v>1.2999999999999999E-3</v>
      </c>
      <c r="H358" s="2470">
        <f t="shared" si="50"/>
        <v>0</v>
      </c>
      <c r="I358" s="606"/>
      <c r="J358" s="606"/>
      <c r="K358" s="2162"/>
    </row>
    <row r="359" spans="2:13">
      <c r="B359" s="620" t="s">
        <v>309</v>
      </c>
      <c r="C359" s="621"/>
      <c r="D359" s="631"/>
      <c r="E359" s="631"/>
      <c r="F359" s="632"/>
      <c r="G359" s="632"/>
      <c r="H359" s="2470">
        <f t="shared" si="50"/>
        <v>0</v>
      </c>
      <c r="I359" s="606"/>
      <c r="J359" s="606"/>
      <c r="K359" s="2162"/>
    </row>
    <row r="360" spans="2:13">
      <c r="B360" s="624" t="s">
        <v>427</v>
      </c>
      <c r="C360" s="621" t="s">
        <v>432</v>
      </c>
      <c r="D360" s="625">
        <f>+D149</f>
        <v>1.1199999999999999E-3</v>
      </c>
      <c r="E360" s="625">
        <f>+E149</f>
        <v>2.33E-3</v>
      </c>
      <c r="F360" s="626">
        <f>+F149</f>
        <v>2.33E-3</v>
      </c>
      <c r="G360" s="626">
        <f>+G149</f>
        <v>0</v>
      </c>
      <c r="H360" s="2470">
        <f t="shared" si="50"/>
        <v>0</v>
      </c>
      <c r="I360" s="606"/>
      <c r="J360" s="606"/>
      <c r="K360" s="2162"/>
    </row>
    <row r="361" spans="2:13">
      <c r="B361" s="620" t="s">
        <v>10</v>
      </c>
      <c r="C361" s="621"/>
      <c r="D361" s="631"/>
      <c r="E361" s="631"/>
      <c r="F361" s="632"/>
      <c r="G361" s="632"/>
      <c r="H361" s="2470">
        <f t="shared" si="50"/>
        <v>0</v>
      </c>
      <c r="I361" s="606"/>
      <c r="J361" s="606"/>
      <c r="K361" s="2162"/>
    </row>
    <row r="362" spans="2:13">
      <c r="B362" s="624" t="str">
        <f>B345</f>
        <v>Cargo por Demanda Máxima Horas Punta</v>
      </c>
      <c r="C362" s="621" t="s">
        <v>433</v>
      </c>
      <c r="D362" s="631">
        <f t="shared" ref="D362:G363" si="52">+D151</f>
        <v>0.46</v>
      </c>
      <c r="E362" s="631">
        <f t="shared" si="52"/>
        <v>1.45</v>
      </c>
      <c r="F362" s="632">
        <f t="shared" si="52"/>
        <v>1.49</v>
      </c>
      <c r="G362" s="632">
        <f t="shared" si="52"/>
        <v>-0.04</v>
      </c>
      <c r="H362" s="2470">
        <f t="shared" si="50"/>
        <v>0</v>
      </c>
      <c r="I362" s="606"/>
      <c r="J362" s="606"/>
      <c r="K362" s="2162"/>
    </row>
    <row r="363" spans="2:13">
      <c r="B363" s="624" t="s">
        <v>427</v>
      </c>
      <c r="C363" s="621" t="s">
        <v>432</v>
      </c>
      <c r="D363" s="625">
        <f t="shared" si="52"/>
        <v>3.5500000000000002E-3</v>
      </c>
      <c r="E363" s="625">
        <f t="shared" si="52"/>
        <v>1.9400000000000001E-3</v>
      </c>
      <c r="F363" s="626">
        <f t="shared" si="52"/>
        <v>2.2599999999999999E-3</v>
      </c>
      <c r="G363" s="626">
        <f t="shared" si="52"/>
        <v>-3.2000000000000003E-4</v>
      </c>
      <c r="H363" s="2470">
        <f t="shared" si="50"/>
        <v>0</v>
      </c>
      <c r="I363" s="606"/>
      <c r="J363" s="606"/>
      <c r="K363" s="2162"/>
    </row>
    <row r="364" spans="2:13">
      <c r="B364" s="620" t="s">
        <v>11</v>
      </c>
      <c r="C364" s="621"/>
      <c r="D364" s="631"/>
      <c r="E364" s="631"/>
      <c r="F364" s="632"/>
      <c r="G364" s="632"/>
      <c r="H364" s="2470">
        <f t="shared" si="50"/>
        <v>0</v>
      </c>
      <c r="I364" s="606"/>
      <c r="J364" s="606"/>
      <c r="K364" s="2162"/>
    </row>
    <row r="365" spans="2:13">
      <c r="B365" s="624" t="str">
        <f>B347</f>
        <v>Cargo por Demanda Máxima Generación</v>
      </c>
      <c r="C365" s="621" t="s">
        <v>426</v>
      </c>
      <c r="D365" s="631">
        <f>RAT1000PT!$H$78</f>
        <v>8.9600000000000009</v>
      </c>
      <c r="E365" s="631">
        <f>RAT1000PT!$N$78</f>
        <v>16</v>
      </c>
      <c r="F365" s="632">
        <f>RAT1000PT!$O$78</f>
        <v>16</v>
      </c>
      <c r="G365" s="632">
        <f>RAT1000PT!$P$78</f>
        <v>0</v>
      </c>
      <c r="H365" s="2470">
        <f t="shared" si="50"/>
        <v>0</v>
      </c>
      <c r="I365" s="606"/>
      <c r="J365" s="606"/>
      <c r="K365" s="2162"/>
    </row>
    <row r="366" spans="2:13">
      <c r="B366" s="624" t="s">
        <v>2184</v>
      </c>
      <c r="C366" s="621" t="s">
        <v>432</v>
      </c>
      <c r="D366" s="625">
        <f>+D161</f>
        <v>1.9499999999999999E-3</v>
      </c>
      <c r="E366" s="625">
        <f>+E161</f>
        <v>1.6199999999999999E-3</v>
      </c>
      <c r="F366" s="626">
        <f>+F161</f>
        <v>1.5100000000000001E-3</v>
      </c>
      <c r="G366" s="626">
        <f>+G161</f>
        <v>1.1E-4</v>
      </c>
      <c r="H366" s="2470">
        <f t="shared" si="50"/>
        <v>-1.4907779871675686E-19</v>
      </c>
      <c r="I366" s="606"/>
      <c r="J366" s="606"/>
      <c r="K366" s="2162"/>
    </row>
    <row r="367" spans="2:13" s="1197" customFormat="1" ht="11.25">
      <c r="B367" s="1201"/>
      <c r="C367" s="1200"/>
      <c r="F367" s="1199"/>
      <c r="G367" s="1199"/>
      <c r="H367" s="2470">
        <f t="shared" si="50"/>
        <v>0</v>
      </c>
      <c r="I367" s="1198"/>
      <c r="J367" s="1198"/>
      <c r="K367" s="2172"/>
      <c r="L367" s="1199"/>
      <c r="M367" s="1199"/>
    </row>
    <row r="368" spans="2:13">
      <c r="B368" s="678" t="s">
        <v>630</v>
      </c>
      <c r="C368" s="599"/>
      <c r="D368" s="600"/>
      <c r="E368" s="600"/>
      <c r="F368" s="601"/>
      <c r="G368" s="601"/>
      <c r="H368" s="2470">
        <f t="shared" si="50"/>
        <v>0</v>
      </c>
      <c r="I368" s="606"/>
      <c r="J368" s="606"/>
      <c r="K368" s="2162"/>
    </row>
    <row r="369" spans="2:13">
      <c r="B369" s="641" t="s">
        <v>445</v>
      </c>
      <c r="C369" s="642"/>
      <c r="D369" s="642"/>
      <c r="E369" s="642"/>
      <c r="F369" s="643"/>
      <c r="G369" s="643"/>
      <c r="H369" s="2470">
        <f t="shared" si="50"/>
        <v>0</v>
      </c>
      <c r="I369" s="606"/>
      <c r="J369" s="606"/>
      <c r="K369" s="2162"/>
    </row>
    <row r="370" spans="2:13" s="1197" customFormat="1" ht="11.25">
      <c r="B370" s="1201"/>
      <c r="C370" s="1200"/>
      <c r="F370" s="1199"/>
      <c r="G370" s="1199"/>
      <c r="H370" s="2470">
        <f t="shared" si="50"/>
        <v>0</v>
      </c>
      <c r="I370" s="1198"/>
      <c r="J370" s="1198"/>
      <c r="K370" s="2172"/>
      <c r="L370" s="1199"/>
      <c r="M370" s="1199"/>
    </row>
    <row r="371" spans="2:13">
      <c r="B371" s="611" t="s">
        <v>907</v>
      </c>
      <c r="C371" s="599"/>
      <c r="D371" s="600"/>
      <c r="E371" s="600"/>
      <c r="F371" s="601"/>
      <c r="G371" s="601"/>
      <c r="H371" s="2470">
        <f t="shared" si="50"/>
        <v>0</v>
      </c>
      <c r="I371" s="606"/>
      <c r="J371" s="606"/>
      <c r="K371" s="2162"/>
    </row>
    <row r="372" spans="2:13">
      <c r="B372" s="655" t="s">
        <v>1191</v>
      </c>
      <c r="C372" s="644"/>
      <c r="D372" s="644"/>
      <c r="E372" s="644"/>
      <c r="F372" s="645"/>
      <c r="G372" s="645"/>
      <c r="H372" s="2470">
        <f t="shared" si="50"/>
        <v>0</v>
      </c>
      <c r="I372" s="606"/>
      <c r="J372" s="606"/>
      <c r="K372" s="2162"/>
    </row>
    <row r="373" spans="2:13">
      <c r="B373" s="616" t="s">
        <v>313</v>
      </c>
      <c r="C373" s="617" t="s">
        <v>420</v>
      </c>
      <c r="D373" s="644">
        <f>D378</f>
        <v>4.53</v>
      </c>
      <c r="E373" s="644">
        <f>E378</f>
        <v>5.0199999999999996</v>
      </c>
      <c r="F373" s="645">
        <f>F378</f>
        <v>5.0199999999999996</v>
      </c>
      <c r="G373" s="645">
        <f>G378</f>
        <v>0</v>
      </c>
      <c r="H373" s="2470">
        <f t="shared" si="50"/>
        <v>0</v>
      </c>
      <c r="I373" s="606"/>
      <c r="J373" s="606"/>
      <c r="K373" s="2162"/>
    </row>
    <row r="374" spans="2:13">
      <c r="B374" s="616" t="s">
        <v>425</v>
      </c>
      <c r="C374" s="617" t="s">
        <v>426</v>
      </c>
      <c r="D374" s="644">
        <f>D381+D384+D389</f>
        <v>10.540000000000001</v>
      </c>
      <c r="E374" s="644">
        <f>E381+E384+E389</f>
        <v>13.229999999999999</v>
      </c>
      <c r="F374" s="645">
        <f>F381+F384+F389</f>
        <v>13.24</v>
      </c>
      <c r="G374" s="645">
        <f>G381+G384+G389</f>
        <v>-1.0000000000000002E-2</v>
      </c>
      <c r="H374" s="2470">
        <f t="shared" si="50"/>
        <v>-1.5612511283791264E-15</v>
      </c>
      <c r="I374" s="606"/>
      <c r="J374" s="606"/>
      <c r="K374" s="2162"/>
    </row>
    <row r="375" spans="2:13">
      <c r="B375" s="616" t="s">
        <v>1288</v>
      </c>
      <c r="C375" s="617" t="s">
        <v>426</v>
      </c>
      <c r="D375" s="644">
        <f>D392</f>
        <v>8.9600000000000009</v>
      </c>
      <c r="E375" s="644">
        <f>E392</f>
        <v>16</v>
      </c>
      <c r="F375" s="645">
        <f>F392</f>
        <v>16</v>
      </c>
      <c r="G375" s="645">
        <f>G392</f>
        <v>0</v>
      </c>
      <c r="H375" s="2470">
        <f t="shared" si="50"/>
        <v>0</v>
      </c>
      <c r="I375" s="606"/>
      <c r="J375" s="606"/>
      <c r="K375" s="2162"/>
    </row>
    <row r="376" spans="2:13">
      <c r="B376" s="616" t="s">
        <v>427</v>
      </c>
      <c r="C376" s="617" t="s">
        <v>421</v>
      </c>
      <c r="D376" s="618">
        <f>D379+D382+D385+D387+D390+D393</f>
        <v>1.9779999999999999E-2</v>
      </c>
      <c r="E376" s="618">
        <f>E379+E382+E385+E387+E390+E393</f>
        <v>2.4209999999999999E-2</v>
      </c>
      <c r="F376" s="679">
        <f>F379+F382+F385+F387+F390+F393</f>
        <v>2.3439999999999999E-2</v>
      </c>
      <c r="G376" s="679">
        <f>G379+G382+G385+G387+G390+G393</f>
        <v>7.6999999999999996E-4</v>
      </c>
      <c r="H376" s="2470">
        <f t="shared" si="50"/>
        <v>0</v>
      </c>
      <c r="I376" s="606"/>
      <c r="J376" s="606"/>
      <c r="K376" s="2162"/>
    </row>
    <row r="377" spans="2:13">
      <c r="B377" s="620" t="s">
        <v>12</v>
      </c>
      <c r="C377" s="621"/>
      <c r="D377" s="624"/>
      <c r="E377" s="624"/>
      <c r="F377" s="680"/>
      <c r="G377" s="680"/>
      <c r="H377" s="2470">
        <f t="shared" si="50"/>
        <v>0</v>
      </c>
      <c r="I377" s="606"/>
      <c r="J377" s="606"/>
      <c r="K377" s="2162"/>
    </row>
    <row r="378" spans="2:13">
      <c r="B378" s="647" t="s">
        <v>428</v>
      </c>
      <c r="C378" s="621" t="s">
        <v>431</v>
      </c>
      <c r="D378" s="631">
        <f>ROUND(D174/2,2)</f>
        <v>4.53</v>
      </c>
      <c r="E378" s="631">
        <f>ROUND(E174/2,2)</f>
        <v>5.0199999999999996</v>
      </c>
      <c r="F378" s="632">
        <f>ROUND(F174/2,2)</f>
        <v>5.0199999999999996</v>
      </c>
      <c r="G378" s="632">
        <f>ROUND(G174/2,2)</f>
        <v>0</v>
      </c>
      <c r="H378" s="2470">
        <f t="shared" si="50"/>
        <v>0</v>
      </c>
      <c r="I378" s="606"/>
      <c r="J378" s="606"/>
      <c r="K378" s="2162"/>
    </row>
    <row r="379" spans="2:13">
      <c r="B379" s="624" t="s">
        <v>250</v>
      </c>
      <c r="C379" s="621" t="s">
        <v>432</v>
      </c>
      <c r="D379" s="625">
        <f>+D175</f>
        <v>4.0200000000000001E-3</v>
      </c>
      <c r="E379" s="625">
        <f>+E175</f>
        <v>4.5900000000000003E-3</v>
      </c>
      <c r="F379" s="626">
        <f>+F175</f>
        <v>4.5900000000000003E-3</v>
      </c>
      <c r="G379" s="626">
        <f>+G175</f>
        <v>0</v>
      </c>
      <c r="H379" s="2470">
        <f t="shared" si="50"/>
        <v>0</v>
      </c>
      <c r="I379" s="606"/>
      <c r="J379" s="606"/>
      <c r="K379" s="2162"/>
    </row>
    <row r="380" spans="2:13">
      <c r="B380" s="620" t="s">
        <v>9</v>
      </c>
      <c r="C380" s="621"/>
      <c r="D380" s="622"/>
      <c r="E380" s="622"/>
      <c r="F380" s="623"/>
      <c r="G380" s="623"/>
      <c r="H380" s="2470">
        <f t="shared" si="50"/>
        <v>0</v>
      </c>
      <c r="I380" s="606"/>
      <c r="J380" s="606"/>
      <c r="K380" s="2162"/>
    </row>
    <row r="381" spans="2:13">
      <c r="B381" s="624" t="s">
        <v>425</v>
      </c>
      <c r="C381" s="621" t="s">
        <v>433</v>
      </c>
      <c r="D381" s="631">
        <f t="shared" ref="D381:G382" si="53">+D177</f>
        <v>9.8000000000000007</v>
      </c>
      <c r="E381" s="631">
        <f t="shared" si="53"/>
        <v>11.29</v>
      </c>
      <c r="F381" s="632">
        <f t="shared" si="53"/>
        <v>11.29</v>
      </c>
      <c r="G381" s="632">
        <f t="shared" si="53"/>
        <v>0</v>
      </c>
      <c r="H381" s="2470">
        <f t="shared" si="50"/>
        <v>0</v>
      </c>
      <c r="I381" s="606"/>
      <c r="J381" s="606"/>
      <c r="K381" s="2162"/>
    </row>
    <row r="382" spans="2:13">
      <c r="B382" s="624" t="s">
        <v>427</v>
      </c>
      <c r="C382" s="621" t="s">
        <v>433</v>
      </c>
      <c r="D382" s="625">
        <f t="shared" si="53"/>
        <v>0</v>
      </c>
      <c r="E382" s="625">
        <f t="shared" si="53"/>
        <v>0</v>
      </c>
      <c r="F382" s="626">
        <f t="shared" si="53"/>
        <v>0</v>
      </c>
      <c r="G382" s="626">
        <f t="shared" si="53"/>
        <v>0</v>
      </c>
      <c r="H382" s="2470">
        <f t="shared" si="50"/>
        <v>0</v>
      </c>
      <c r="I382" s="606"/>
      <c r="J382" s="606"/>
      <c r="K382" s="2162"/>
    </row>
    <row r="383" spans="2:13">
      <c r="B383" s="620" t="s">
        <v>422</v>
      </c>
      <c r="C383" s="621"/>
      <c r="D383" s="625"/>
      <c r="E383" s="625"/>
      <c r="F383" s="626"/>
      <c r="G383" s="626"/>
      <c r="H383" s="2470">
        <f t="shared" si="50"/>
        <v>0</v>
      </c>
      <c r="I383" s="606"/>
      <c r="J383" s="606"/>
      <c r="K383" s="2162"/>
    </row>
    <row r="384" spans="2:13">
      <c r="B384" s="624" t="s">
        <v>425</v>
      </c>
      <c r="C384" s="621" t="s">
        <v>432</v>
      </c>
      <c r="D384" s="631">
        <f t="shared" ref="D384:G385" si="54">+D180</f>
        <v>0.31</v>
      </c>
      <c r="E384" s="631">
        <f t="shared" si="54"/>
        <v>0.42</v>
      </c>
      <c r="F384" s="632">
        <f t="shared" si="54"/>
        <v>0.39</v>
      </c>
      <c r="G384" s="632">
        <f t="shared" si="54"/>
        <v>0.03</v>
      </c>
      <c r="H384" s="2470">
        <f t="shared" si="50"/>
        <v>-2.7755575615628914E-17</v>
      </c>
      <c r="I384" s="606"/>
      <c r="J384" s="606"/>
      <c r="K384" s="2162"/>
    </row>
    <row r="385" spans="2:11">
      <c r="B385" s="624" t="s">
        <v>427</v>
      </c>
      <c r="C385" s="621" t="s">
        <v>432</v>
      </c>
      <c r="D385" s="625">
        <f t="shared" si="54"/>
        <v>9.1800000000000007E-3</v>
      </c>
      <c r="E385" s="625">
        <f t="shared" si="54"/>
        <v>1.188E-2</v>
      </c>
      <c r="F385" s="626">
        <f t="shared" si="54"/>
        <v>1.091E-2</v>
      </c>
      <c r="G385" s="626">
        <f t="shared" si="54"/>
        <v>9.7000000000000005E-4</v>
      </c>
      <c r="H385" s="2470">
        <f t="shared" si="50"/>
        <v>0</v>
      </c>
      <c r="I385" s="606"/>
      <c r="J385" s="606"/>
      <c r="K385" s="2162"/>
    </row>
    <row r="386" spans="2:11">
      <c r="B386" s="620" t="s">
        <v>309</v>
      </c>
      <c r="C386" s="621"/>
      <c r="D386" s="625"/>
      <c r="E386" s="625"/>
      <c r="F386" s="626"/>
      <c r="G386" s="626"/>
      <c r="H386" s="2470">
        <f t="shared" si="50"/>
        <v>0</v>
      </c>
      <c r="I386" s="606"/>
      <c r="J386" s="606"/>
      <c r="K386" s="2162"/>
    </row>
    <row r="387" spans="2:11">
      <c r="B387" s="624" t="s">
        <v>427</v>
      </c>
      <c r="C387" s="621" t="s">
        <v>432</v>
      </c>
      <c r="D387" s="625">
        <f>+D183</f>
        <v>1.1199999999999999E-3</v>
      </c>
      <c r="E387" s="625">
        <f>+E183</f>
        <v>2.33E-3</v>
      </c>
      <c r="F387" s="626">
        <f>+F183</f>
        <v>2.33E-3</v>
      </c>
      <c r="G387" s="626">
        <f>+G183</f>
        <v>0</v>
      </c>
      <c r="H387" s="2470">
        <f t="shared" si="50"/>
        <v>0</v>
      </c>
      <c r="I387" s="606"/>
      <c r="J387" s="606"/>
      <c r="K387" s="2162"/>
    </row>
    <row r="388" spans="2:11">
      <c r="B388" s="620" t="s">
        <v>10</v>
      </c>
      <c r="C388" s="621"/>
      <c r="D388" s="625"/>
      <c r="E388" s="625"/>
      <c r="F388" s="626"/>
      <c r="G388" s="626"/>
      <c r="H388" s="2470">
        <f t="shared" si="50"/>
        <v>0</v>
      </c>
      <c r="I388" s="606"/>
      <c r="J388" s="606"/>
      <c r="K388" s="2162"/>
    </row>
    <row r="389" spans="2:11">
      <c r="B389" s="624" t="s">
        <v>425</v>
      </c>
      <c r="C389" s="621" t="s">
        <v>433</v>
      </c>
      <c r="D389" s="631">
        <f t="shared" ref="D389:G390" si="55">D185</f>
        <v>0.43</v>
      </c>
      <c r="E389" s="631">
        <f t="shared" si="55"/>
        <v>1.52</v>
      </c>
      <c r="F389" s="632">
        <f t="shared" si="55"/>
        <v>1.56</v>
      </c>
      <c r="G389" s="632">
        <f t="shared" si="55"/>
        <v>-0.04</v>
      </c>
      <c r="H389" s="2470">
        <f t="shared" si="50"/>
        <v>0</v>
      </c>
      <c r="I389" s="606"/>
      <c r="J389" s="606"/>
      <c r="K389" s="2162"/>
    </row>
    <row r="390" spans="2:11">
      <c r="B390" s="624" t="s">
        <v>427</v>
      </c>
      <c r="C390" s="621"/>
      <c r="D390" s="625">
        <f t="shared" si="55"/>
        <v>3.5100000000000001E-3</v>
      </c>
      <c r="E390" s="625">
        <f t="shared" si="55"/>
        <v>3.79E-3</v>
      </c>
      <c r="F390" s="626">
        <f t="shared" si="55"/>
        <v>4.1000000000000003E-3</v>
      </c>
      <c r="G390" s="626">
        <f t="shared" si="55"/>
        <v>-3.1E-4</v>
      </c>
      <c r="H390" s="2470">
        <f t="shared" si="50"/>
        <v>0</v>
      </c>
      <c r="I390" s="606"/>
      <c r="J390" s="606"/>
      <c r="K390" s="2162"/>
    </row>
    <row r="391" spans="2:11">
      <c r="B391" s="620" t="s">
        <v>11</v>
      </c>
      <c r="C391" s="621"/>
      <c r="D391" s="625"/>
      <c r="E391" s="625"/>
      <c r="F391" s="626"/>
      <c r="G391" s="626"/>
      <c r="H391" s="2470">
        <f t="shared" si="50"/>
        <v>0</v>
      </c>
      <c r="I391" s="606"/>
      <c r="J391" s="606"/>
      <c r="K391" s="2162"/>
    </row>
    <row r="392" spans="2:11">
      <c r="B392" s="624" t="str">
        <f>B375</f>
        <v>Cargo por Demanda Máxima Generación *</v>
      </c>
      <c r="C392" s="621" t="s">
        <v>426</v>
      </c>
      <c r="D392" s="631">
        <f>RAT1000PT!$H$78</f>
        <v>8.9600000000000009</v>
      </c>
      <c r="E392" s="631">
        <f>RAT1000PT!$N$78</f>
        <v>16</v>
      </c>
      <c r="F392" s="632">
        <f>RAT1000PT!$O$78</f>
        <v>16</v>
      </c>
      <c r="G392" s="632">
        <f>RAT1000PT!$P$78</f>
        <v>0</v>
      </c>
      <c r="H392" s="2470">
        <f t="shared" si="50"/>
        <v>0</v>
      </c>
      <c r="I392" s="606"/>
      <c r="J392" s="606"/>
      <c r="K392" s="2162"/>
    </row>
    <row r="393" spans="2:11">
      <c r="B393" s="624" t="s">
        <v>2184</v>
      </c>
      <c r="C393" s="621" t="s">
        <v>432</v>
      </c>
      <c r="D393" s="625">
        <f>+D193</f>
        <v>1.9499999999999999E-3</v>
      </c>
      <c r="E393" s="625">
        <f>+E193</f>
        <v>1.6199999999999999E-3</v>
      </c>
      <c r="F393" s="626">
        <f>+F193</f>
        <v>1.5100000000000001E-3</v>
      </c>
      <c r="G393" s="626">
        <f>+G193</f>
        <v>1.1E-4</v>
      </c>
      <c r="H393" s="2470">
        <f t="shared" si="50"/>
        <v>-1.4907779871675686E-19</v>
      </c>
      <c r="I393" s="606"/>
      <c r="J393" s="606"/>
      <c r="K393" s="2162"/>
    </row>
    <row r="394" spans="2:11">
      <c r="D394" s="597"/>
      <c r="E394" s="597"/>
      <c r="F394" s="677"/>
      <c r="G394" s="677"/>
      <c r="H394" s="2470">
        <f t="shared" si="50"/>
        <v>0</v>
      </c>
      <c r="I394" s="606"/>
      <c r="J394" s="606"/>
      <c r="K394" s="2162"/>
    </row>
    <row r="395" spans="2:11">
      <c r="B395" s="611" t="s">
        <v>950</v>
      </c>
      <c r="C395" s="599"/>
      <c r="D395" s="600"/>
      <c r="E395" s="600"/>
      <c r="F395" s="601"/>
      <c r="G395" s="601"/>
      <c r="H395" s="2470">
        <f t="shared" si="50"/>
        <v>0</v>
      </c>
      <c r="I395" s="606"/>
      <c r="J395" s="606"/>
      <c r="K395" s="2162"/>
    </row>
    <row r="396" spans="2:11">
      <c r="B396" s="655" t="s">
        <v>1191</v>
      </c>
      <c r="C396" s="644"/>
      <c r="D396" s="644"/>
      <c r="E396" s="644"/>
      <c r="F396" s="645"/>
      <c r="G396" s="645"/>
      <c r="H396" s="2470">
        <f t="shared" si="50"/>
        <v>0</v>
      </c>
      <c r="I396" s="606"/>
      <c r="J396" s="606"/>
      <c r="K396" s="2162"/>
    </row>
    <row r="397" spans="2:11">
      <c r="B397" s="616" t="s">
        <v>313</v>
      </c>
      <c r="C397" s="617" t="s">
        <v>420</v>
      </c>
      <c r="D397" s="644">
        <f>D403</f>
        <v>4.53</v>
      </c>
      <c r="E397" s="644">
        <f>E403</f>
        <v>5.0199999999999996</v>
      </c>
      <c r="F397" s="645">
        <f>F403</f>
        <v>5.0199999999999996</v>
      </c>
      <c r="G397" s="645">
        <f>G403</f>
        <v>0</v>
      </c>
      <c r="H397" s="2470">
        <f t="shared" si="50"/>
        <v>0</v>
      </c>
      <c r="I397" s="606"/>
      <c r="J397" s="606"/>
      <c r="K397" s="2162"/>
    </row>
    <row r="398" spans="2:11">
      <c r="B398" s="616" t="s">
        <v>1220</v>
      </c>
      <c r="C398" s="617" t="s">
        <v>426</v>
      </c>
      <c r="D398" s="644">
        <f>D406+D410+D415</f>
        <v>6.27</v>
      </c>
      <c r="E398" s="644">
        <f>E406+E410+E415</f>
        <v>8.25</v>
      </c>
      <c r="F398" s="645">
        <f>F406+F410+F415</f>
        <v>8.25</v>
      </c>
      <c r="G398" s="645">
        <f>G406+G410+G415</f>
        <v>0</v>
      </c>
      <c r="H398" s="2470">
        <f t="shared" si="50"/>
        <v>0</v>
      </c>
      <c r="I398" s="606"/>
      <c r="J398" s="606"/>
      <c r="K398" s="2162"/>
    </row>
    <row r="399" spans="2:11">
      <c r="B399" s="616" t="s">
        <v>1240</v>
      </c>
      <c r="C399" s="617" t="s">
        <v>426</v>
      </c>
      <c r="D399" s="644">
        <f>D407</f>
        <v>4.78</v>
      </c>
      <c r="E399" s="644">
        <f>E407</f>
        <v>5.46</v>
      </c>
      <c r="F399" s="645">
        <f>F407</f>
        <v>5.46</v>
      </c>
      <c r="G399" s="645">
        <f>G407</f>
        <v>0</v>
      </c>
      <c r="H399" s="2470">
        <f t="shared" si="50"/>
        <v>0</v>
      </c>
      <c r="I399" s="606"/>
      <c r="J399" s="606"/>
      <c r="K399" s="2162"/>
    </row>
    <row r="400" spans="2:11">
      <c r="B400" s="616" t="s">
        <v>1289</v>
      </c>
      <c r="C400" s="617" t="s">
        <v>426</v>
      </c>
      <c r="D400" s="644">
        <f>D418</f>
        <v>8.9600000000000009</v>
      </c>
      <c r="E400" s="644">
        <f>E418</f>
        <v>16</v>
      </c>
      <c r="F400" s="645">
        <f>F418</f>
        <v>16</v>
      </c>
      <c r="G400" s="645">
        <f>G418</f>
        <v>0</v>
      </c>
      <c r="H400" s="2470">
        <f t="shared" si="50"/>
        <v>0</v>
      </c>
      <c r="I400" s="606"/>
      <c r="J400" s="606"/>
      <c r="K400" s="2162"/>
    </row>
    <row r="401" spans="2:11">
      <c r="B401" s="616" t="s">
        <v>427</v>
      </c>
      <c r="C401" s="617" t="s">
        <v>421</v>
      </c>
      <c r="D401" s="618">
        <f>D404+D408+D411+D413+D416+D419</f>
        <v>1.9209999999999998E-2</v>
      </c>
      <c r="E401" s="618">
        <f>E404+E408+E411+E413+E416+E419</f>
        <v>2.4099999999999996E-2</v>
      </c>
      <c r="F401" s="679">
        <f>F404+F408+F411+F413+F416+F419</f>
        <v>2.3279999999999999E-2</v>
      </c>
      <c r="G401" s="679">
        <f>G404+G408+G411+G413+G416+G419</f>
        <v>8.2000000000000009E-4</v>
      </c>
      <c r="H401" s="2470">
        <f t="shared" si="50"/>
        <v>-2.2768245622195593E-18</v>
      </c>
      <c r="I401" s="606"/>
      <c r="J401" s="606"/>
      <c r="K401" s="2162"/>
    </row>
    <row r="402" spans="2:11">
      <c r="B402" s="620" t="s">
        <v>12</v>
      </c>
      <c r="C402" s="621"/>
      <c r="D402" s="622"/>
      <c r="E402" s="622"/>
      <c r="F402" s="623"/>
      <c r="G402" s="623"/>
      <c r="H402" s="2470">
        <f t="shared" si="50"/>
        <v>0</v>
      </c>
      <c r="I402" s="606"/>
      <c r="J402" s="606"/>
      <c r="K402" s="2162"/>
    </row>
    <row r="403" spans="2:11">
      <c r="B403" s="624" t="s">
        <v>428</v>
      </c>
      <c r="C403" s="621" t="s">
        <v>431</v>
      </c>
      <c r="D403" s="631">
        <f>ROUND(D208/2,2)</f>
        <v>4.53</v>
      </c>
      <c r="E403" s="631">
        <f>ROUND(E208/2,2)</f>
        <v>5.0199999999999996</v>
      </c>
      <c r="F403" s="632">
        <f>ROUND(F208/2,2)</f>
        <v>5.0199999999999996</v>
      </c>
      <c r="G403" s="632">
        <f>ROUND(G208/2,2)</f>
        <v>0</v>
      </c>
      <c r="H403" s="2470">
        <f t="shared" si="50"/>
        <v>0</v>
      </c>
      <c r="I403" s="606"/>
      <c r="J403" s="606"/>
      <c r="K403" s="2162"/>
    </row>
    <row r="404" spans="2:11">
      <c r="B404" s="624" t="s">
        <v>427</v>
      </c>
      <c r="C404" s="621" t="s">
        <v>432</v>
      </c>
      <c r="D404" s="625">
        <f>+D209</f>
        <v>4.0200000000000001E-3</v>
      </c>
      <c r="E404" s="625">
        <f>+E209</f>
        <v>4.5900000000000003E-3</v>
      </c>
      <c r="F404" s="626">
        <f>+F209</f>
        <v>4.5900000000000003E-3</v>
      </c>
      <c r="G404" s="626">
        <f>+G209</f>
        <v>0</v>
      </c>
      <c r="H404" s="2470">
        <f t="shared" si="50"/>
        <v>0</v>
      </c>
      <c r="I404" s="606"/>
      <c r="J404" s="606"/>
      <c r="K404" s="2162"/>
    </row>
    <row r="405" spans="2:11">
      <c r="B405" s="620" t="s">
        <v>9</v>
      </c>
      <c r="C405" s="621"/>
      <c r="D405" s="624"/>
      <c r="E405" s="624"/>
      <c r="F405" s="680"/>
      <c r="G405" s="680"/>
      <c r="H405" s="2470">
        <f t="shared" si="50"/>
        <v>0</v>
      </c>
      <c r="I405" s="606"/>
      <c r="J405" s="606"/>
      <c r="K405" s="2162"/>
    </row>
    <row r="406" spans="2:11">
      <c r="B406" s="624" t="str">
        <f>B398</f>
        <v>Cargo por Demanda Máxima Horas Punta</v>
      </c>
      <c r="C406" s="621" t="s">
        <v>433</v>
      </c>
      <c r="D406" s="648">
        <f t="shared" ref="D406:G408" si="56">+D211</f>
        <v>5.47</v>
      </c>
      <c r="E406" s="648">
        <f t="shared" si="56"/>
        <v>6.22</v>
      </c>
      <c r="F406" s="649">
        <f t="shared" si="56"/>
        <v>6.22</v>
      </c>
      <c r="G406" s="649">
        <f t="shared" si="56"/>
        <v>0</v>
      </c>
      <c r="H406" s="2470">
        <f t="shared" si="50"/>
        <v>0</v>
      </c>
      <c r="I406" s="606"/>
      <c r="J406" s="606"/>
      <c r="K406" s="2162"/>
    </row>
    <row r="407" spans="2:11">
      <c r="B407" s="624" t="str">
        <f>B399</f>
        <v>Cargo por Demanda Máxima Horas Fuera de Punta</v>
      </c>
      <c r="C407" s="621" t="s">
        <v>433</v>
      </c>
      <c r="D407" s="648">
        <f t="shared" si="56"/>
        <v>4.78</v>
      </c>
      <c r="E407" s="648">
        <f t="shared" si="56"/>
        <v>5.46</v>
      </c>
      <c r="F407" s="649">
        <f t="shared" si="56"/>
        <v>5.46</v>
      </c>
      <c r="G407" s="649">
        <f t="shared" si="56"/>
        <v>0</v>
      </c>
      <c r="H407" s="2470">
        <f t="shared" si="50"/>
        <v>0</v>
      </c>
      <c r="I407" s="606"/>
      <c r="J407" s="606"/>
      <c r="K407" s="2162"/>
    </row>
    <row r="408" spans="2:11">
      <c r="B408" s="624" t="s">
        <v>427</v>
      </c>
      <c r="C408" s="621" t="s">
        <v>432</v>
      </c>
      <c r="D408" s="625">
        <f t="shared" si="56"/>
        <v>0</v>
      </c>
      <c r="E408" s="625">
        <f t="shared" si="56"/>
        <v>0</v>
      </c>
      <c r="F408" s="626">
        <f t="shared" si="56"/>
        <v>0</v>
      </c>
      <c r="G408" s="626">
        <f t="shared" si="56"/>
        <v>0</v>
      </c>
      <c r="H408" s="2470">
        <f t="shared" si="50"/>
        <v>0</v>
      </c>
      <c r="I408" s="606"/>
      <c r="J408" s="606"/>
      <c r="K408" s="2162"/>
    </row>
    <row r="409" spans="2:11">
      <c r="B409" s="620" t="s">
        <v>422</v>
      </c>
      <c r="C409" s="621"/>
      <c r="D409" s="625"/>
      <c r="E409" s="625"/>
      <c r="F409" s="626"/>
      <c r="G409" s="626"/>
      <c r="H409" s="2470">
        <f t="shared" si="50"/>
        <v>0</v>
      </c>
      <c r="I409" s="606"/>
      <c r="J409" s="606"/>
      <c r="K409" s="2162"/>
    </row>
    <row r="410" spans="2:11">
      <c r="B410" s="624" t="str">
        <f>B398</f>
        <v>Cargo por Demanda Máxima Horas Punta</v>
      </c>
      <c r="C410" s="621" t="s">
        <v>433</v>
      </c>
      <c r="D410" s="648">
        <f t="shared" ref="D410:G411" si="57">+D215</f>
        <v>0.34</v>
      </c>
      <c r="E410" s="648">
        <f t="shared" si="57"/>
        <v>0.45</v>
      </c>
      <c r="F410" s="649">
        <f t="shared" si="57"/>
        <v>0.41</v>
      </c>
      <c r="G410" s="649">
        <f t="shared" si="57"/>
        <v>0.04</v>
      </c>
      <c r="H410" s="2470">
        <f t="shared" si="50"/>
        <v>0</v>
      </c>
      <c r="I410" s="606"/>
      <c r="J410" s="606"/>
      <c r="K410" s="2162"/>
    </row>
    <row r="411" spans="2:11">
      <c r="B411" s="624" t="s">
        <v>427</v>
      </c>
      <c r="C411" s="621" t="s">
        <v>432</v>
      </c>
      <c r="D411" s="625">
        <f t="shared" si="57"/>
        <v>9.1800000000000007E-3</v>
      </c>
      <c r="E411" s="625">
        <f t="shared" si="57"/>
        <v>1.188E-2</v>
      </c>
      <c r="F411" s="626">
        <f t="shared" si="57"/>
        <v>1.091E-2</v>
      </c>
      <c r="G411" s="626">
        <f t="shared" si="57"/>
        <v>9.7000000000000005E-4</v>
      </c>
      <c r="H411" s="2470">
        <f t="shared" si="50"/>
        <v>0</v>
      </c>
      <c r="I411" s="606"/>
      <c r="J411" s="606"/>
      <c r="K411" s="2162"/>
    </row>
    <row r="412" spans="2:11">
      <c r="B412" s="620" t="s">
        <v>309</v>
      </c>
      <c r="C412" s="621"/>
      <c r="D412" s="625"/>
      <c r="E412" s="625"/>
      <c r="F412" s="626"/>
      <c r="G412" s="626"/>
      <c r="H412" s="2470">
        <f t="shared" si="50"/>
        <v>0</v>
      </c>
      <c r="I412" s="606"/>
      <c r="J412" s="606"/>
      <c r="K412" s="2162"/>
    </row>
    <row r="413" spans="2:11">
      <c r="B413" s="624" t="s">
        <v>427</v>
      </c>
      <c r="C413" s="621" t="s">
        <v>432</v>
      </c>
      <c r="D413" s="625">
        <f>+D218</f>
        <v>1.1199999999999999E-3</v>
      </c>
      <c r="E413" s="625">
        <f>+E218</f>
        <v>2.33E-3</v>
      </c>
      <c r="F413" s="626">
        <f>+F218</f>
        <v>2.33E-3</v>
      </c>
      <c r="G413" s="626">
        <f>+G218</f>
        <v>0</v>
      </c>
      <c r="H413" s="2470">
        <f t="shared" si="50"/>
        <v>0</v>
      </c>
      <c r="I413" s="606"/>
      <c r="J413" s="606"/>
      <c r="K413" s="2162"/>
    </row>
    <row r="414" spans="2:11">
      <c r="B414" s="620" t="s">
        <v>10</v>
      </c>
      <c r="C414" s="621"/>
      <c r="D414" s="625"/>
      <c r="E414" s="625"/>
      <c r="F414" s="626"/>
      <c r="G414" s="626"/>
      <c r="H414" s="2470">
        <f t="shared" si="50"/>
        <v>0</v>
      </c>
      <c r="I414" s="606"/>
      <c r="J414" s="606"/>
      <c r="K414" s="2162"/>
    </row>
    <row r="415" spans="2:11">
      <c r="B415" s="624" t="str">
        <f>B398</f>
        <v>Cargo por Demanda Máxima Horas Punta</v>
      </c>
      <c r="C415" s="621" t="s">
        <v>433</v>
      </c>
      <c r="D415" s="648">
        <f t="shared" ref="D415:G416" si="58">+D220</f>
        <v>0.46</v>
      </c>
      <c r="E415" s="648">
        <f t="shared" si="58"/>
        <v>1.58</v>
      </c>
      <c r="F415" s="649">
        <f t="shared" si="58"/>
        <v>1.62</v>
      </c>
      <c r="G415" s="649">
        <f t="shared" si="58"/>
        <v>-0.04</v>
      </c>
      <c r="H415" s="2470">
        <f t="shared" si="50"/>
        <v>0</v>
      </c>
      <c r="I415" s="606"/>
      <c r="J415" s="606"/>
      <c r="K415" s="2162"/>
    </row>
    <row r="416" spans="2:11">
      <c r="B416" s="624" t="s">
        <v>427</v>
      </c>
      <c r="C416" s="621" t="s">
        <v>432</v>
      </c>
      <c r="D416" s="625">
        <f t="shared" si="58"/>
        <v>2.9399999999999999E-3</v>
      </c>
      <c r="E416" s="625">
        <f t="shared" si="58"/>
        <v>3.6800000000000001E-3</v>
      </c>
      <c r="F416" s="626">
        <f t="shared" si="58"/>
        <v>3.9399999999999999E-3</v>
      </c>
      <c r="G416" s="626">
        <f t="shared" si="58"/>
        <v>-2.5999999999999998E-4</v>
      </c>
      <c r="H416" s="2470">
        <f t="shared" si="50"/>
        <v>0</v>
      </c>
      <c r="I416" s="606"/>
      <c r="J416" s="606"/>
      <c r="K416" s="2162"/>
    </row>
    <row r="417" spans="2:11">
      <c r="B417" s="620" t="s">
        <v>11</v>
      </c>
      <c r="C417" s="621"/>
      <c r="D417" s="625"/>
      <c r="E417" s="625"/>
      <c r="F417" s="626"/>
      <c r="G417" s="626"/>
      <c r="H417" s="2470">
        <f t="shared" ref="H417:H472" si="59">E417-F417-G417</f>
        <v>0</v>
      </c>
      <c r="I417" s="606"/>
      <c r="J417" s="606"/>
      <c r="K417" s="2162"/>
    </row>
    <row r="418" spans="2:11">
      <c r="B418" s="624" t="str">
        <f>B400</f>
        <v>Cargo por Demanda Máxima Generación</v>
      </c>
      <c r="C418" s="621" t="s">
        <v>426</v>
      </c>
      <c r="D418" s="631">
        <f>RAT1000PT!$H$78</f>
        <v>8.9600000000000009</v>
      </c>
      <c r="E418" s="631">
        <f>RAT1000PT!$N$78</f>
        <v>16</v>
      </c>
      <c r="F418" s="632">
        <f>RAT1000PT!$O$78</f>
        <v>16</v>
      </c>
      <c r="G418" s="632">
        <f>RAT1000PT!$P$78</f>
        <v>0</v>
      </c>
      <c r="H418" s="2470">
        <f t="shared" si="59"/>
        <v>0</v>
      </c>
      <c r="I418" s="606"/>
      <c r="J418" s="606"/>
      <c r="K418" s="2162"/>
    </row>
    <row r="419" spans="2:11">
      <c r="B419" s="624" t="s">
        <v>2184</v>
      </c>
      <c r="C419" s="621" t="s">
        <v>432</v>
      </c>
      <c r="D419" s="625">
        <f>+D230</f>
        <v>1.9499999999999999E-3</v>
      </c>
      <c r="E419" s="625">
        <f>+E230</f>
        <v>1.6199999999999999E-3</v>
      </c>
      <c r="F419" s="626">
        <f>+F230</f>
        <v>1.5100000000000001E-3</v>
      </c>
      <c r="G419" s="626">
        <f>+G230</f>
        <v>1.1E-4</v>
      </c>
      <c r="H419" s="2470">
        <f t="shared" si="59"/>
        <v>-1.4907779871675686E-19</v>
      </c>
      <c r="I419" s="606"/>
      <c r="J419" s="606"/>
      <c r="K419" s="2162"/>
    </row>
    <row r="420" spans="2:11">
      <c r="B420" s="676"/>
      <c r="D420" s="597"/>
      <c r="E420" s="597"/>
      <c r="F420" s="677"/>
      <c r="G420" s="677"/>
      <c r="H420" s="2470">
        <f t="shared" si="59"/>
        <v>0</v>
      </c>
      <c r="I420" s="606"/>
      <c r="J420" s="606"/>
      <c r="K420" s="2162"/>
    </row>
    <row r="421" spans="2:11">
      <c r="B421" s="678" t="s">
        <v>446</v>
      </c>
      <c r="C421" s="599"/>
      <c r="D421" s="600"/>
      <c r="E421" s="600"/>
      <c r="F421" s="601"/>
      <c r="G421" s="601"/>
      <c r="H421" s="2470">
        <f t="shared" si="59"/>
        <v>0</v>
      </c>
      <c r="I421" s="606"/>
      <c r="J421" s="606"/>
      <c r="K421" s="2162"/>
    </row>
    <row r="422" spans="2:11">
      <c r="B422" s="641" t="s">
        <v>447</v>
      </c>
      <c r="C422" s="642"/>
      <c r="D422" s="642"/>
      <c r="E422" s="642"/>
      <c r="F422" s="643"/>
      <c r="G422" s="643"/>
      <c r="H422" s="2470">
        <f t="shared" si="59"/>
        <v>0</v>
      </c>
      <c r="I422" s="606"/>
      <c r="J422" s="606"/>
      <c r="K422" s="2162"/>
    </row>
    <row r="423" spans="2:11">
      <c r="B423" s="676"/>
      <c r="D423" s="597"/>
      <c r="E423" s="597"/>
      <c r="F423" s="677"/>
      <c r="G423" s="677"/>
      <c r="H423" s="2470">
        <f t="shared" si="59"/>
        <v>0</v>
      </c>
      <c r="I423" s="606"/>
      <c r="J423" s="606"/>
      <c r="K423" s="2162"/>
    </row>
    <row r="424" spans="2:11">
      <c r="B424" s="611" t="s">
        <v>908</v>
      </c>
      <c r="C424" s="599"/>
      <c r="D424" s="600"/>
      <c r="E424" s="600"/>
      <c r="F424" s="601"/>
      <c r="G424" s="601"/>
      <c r="H424" s="2470">
        <f t="shared" si="59"/>
        <v>0</v>
      </c>
      <c r="I424" s="606"/>
      <c r="J424" s="606"/>
      <c r="K424" s="2162"/>
    </row>
    <row r="425" spans="2:11">
      <c r="B425" s="655" t="s">
        <v>1191</v>
      </c>
      <c r="C425" s="644"/>
      <c r="D425" s="644"/>
      <c r="E425" s="644"/>
      <c r="F425" s="645"/>
      <c r="G425" s="645"/>
      <c r="H425" s="2470">
        <f t="shared" si="59"/>
        <v>0</v>
      </c>
      <c r="I425" s="606"/>
      <c r="J425" s="606"/>
      <c r="K425" s="2162"/>
    </row>
    <row r="426" spans="2:11">
      <c r="B426" s="616" t="s">
        <v>313</v>
      </c>
      <c r="C426" s="617" t="s">
        <v>420</v>
      </c>
      <c r="D426" s="644">
        <f>D431</f>
        <v>4.53</v>
      </c>
      <c r="E426" s="644">
        <f>E431</f>
        <v>5.01</v>
      </c>
      <c r="F426" s="645">
        <f>F431</f>
        <v>5.01</v>
      </c>
      <c r="G426" s="645">
        <f>G431</f>
        <v>0</v>
      </c>
      <c r="H426" s="2470">
        <f t="shared" si="59"/>
        <v>0</v>
      </c>
      <c r="I426" s="606"/>
      <c r="J426" s="606"/>
      <c r="K426" s="2162"/>
    </row>
    <row r="427" spans="2:11">
      <c r="B427" s="616" t="s">
        <v>425</v>
      </c>
      <c r="C427" s="617" t="s">
        <v>426</v>
      </c>
      <c r="D427" s="644">
        <f>D434+D437+D442</f>
        <v>2.9299999999999997</v>
      </c>
      <c r="E427" s="644">
        <f>E434+E437+E442</f>
        <v>4.6899999999999995</v>
      </c>
      <c r="F427" s="645">
        <f>F434+F437+F442</f>
        <v>4.7299999999999995</v>
      </c>
      <c r="G427" s="645">
        <f>G434+G437+G442</f>
        <v>-0.04</v>
      </c>
      <c r="H427" s="2470">
        <f t="shared" si="59"/>
        <v>0</v>
      </c>
      <c r="I427" s="606"/>
      <c r="J427" s="606"/>
      <c r="K427" s="2162"/>
    </row>
    <row r="428" spans="2:11">
      <c r="B428" s="616" t="s">
        <v>1288</v>
      </c>
      <c r="C428" s="617" t="s">
        <v>426</v>
      </c>
      <c r="D428" s="644">
        <f>D445</f>
        <v>8.9600000000000009</v>
      </c>
      <c r="E428" s="644">
        <f>E445</f>
        <v>16</v>
      </c>
      <c r="F428" s="645">
        <f>F445</f>
        <v>16</v>
      </c>
      <c r="G428" s="645">
        <f>G445</f>
        <v>0</v>
      </c>
      <c r="H428" s="2470">
        <f t="shared" si="59"/>
        <v>0</v>
      </c>
      <c r="I428" s="606"/>
      <c r="J428" s="606"/>
      <c r="K428" s="2162"/>
    </row>
    <row r="429" spans="2:11">
      <c r="B429" s="616" t="s">
        <v>427</v>
      </c>
      <c r="C429" s="617" t="s">
        <v>421</v>
      </c>
      <c r="D429" s="618">
        <f>D432+D435+D438+D440+D443+D446</f>
        <v>7.3299999999999997E-3</v>
      </c>
      <c r="E429" s="618">
        <f>E432+E435+E438+E440+E443+E446</f>
        <v>9.3699999999999999E-3</v>
      </c>
      <c r="F429" s="679">
        <f>F432+F435+F438+F440+F443+F446</f>
        <v>9.3400000000000011E-3</v>
      </c>
      <c r="G429" s="679">
        <f>G432+G435+G438+G440+G443+G446</f>
        <v>2.9999999999999984E-5</v>
      </c>
      <c r="H429" s="2470">
        <f t="shared" si="59"/>
        <v>-1.2061749168901237E-18</v>
      </c>
      <c r="I429" s="606"/>
      <c r="J429" s="606"/>
      <c r="K429" s="2162"/>
    </row>
    <row r="430" spans="2:11">
      <c r="B430" s="620" t="s">
        <v>12</v>
      </c>
      <c r="C430" s="621"/>
      <c r="D430" s="647"/>
      <c r="E430" s="647"/>
      <c r="F430" s="667"/>
      <c r="G430" s="667"/>
      <c r="H430" s="2470">
        <f t="shared" si="59"/>
        <v>0</v>
      </c>
      <c r="I430" s="606"/>
      <c r="J430" s="606"/>
      <c r="K430" s="2162"/>
    </row>
    <row r="431" spans="2:11">
      <c r="B431" s="647" t="s">
        <v>428</v>
      </c>
      <c r="C431" s="621" t="s">
        <v>420</v>
      </c>
      <c r="D431" s="631">
        <f>ROUND(D243/2,2)</f>
        <v>4.53</v>
      </c>
      <c r="E431" s="631">
        <f>ROUND(E243/2,2)</f>
        <v>5.01</v>
      </c>
      <c r="F431" s="632">
        <f>ROUND(F243/2,2)</f>
        <v>5.01</v>
      </c>
      <c r="G431" s="632">
        <f>ROUND(G243/2,2)</f>
        <v>0</v>
      </c>
      <c r="H431" s="2470">
        <f t="shared" si="59"/>
        <v>0</v>
      </c>
      <c r="I431" s="606"/>
      <c r="J431" s="606"/>
      <c r="K431" s="2162"/>
    </row>
    <row r="432" spans="2:11">
      <c r="B432" s="624" t="s">
        <v>250</v>
      </c>
      <c r="C432" s="621" t="s">
        <v>440</v>
      </c>
      <c r="D432" s="625">
        <f>+D244</f>
        <v>4.4000000000000002E-4</v>
      </c>
      <c r="E432" s="625">
        <f>+E244</f>
        <v>4.8999999999999998E-4</v>
      </c>
      <c r="F432" s="626">
        <f>+F244</f>
        <v>4.8999999999999998E-4</v>
      </c>
      <c r="G432" s="626">
        <f>+G244</f>
        <v>0</v>
      </c>
      <c r="H432" s="2470">
        <f t="shared" si="59"/>
        <v>0</v>
      </c>
      <c r="I432" s="606"/>
      <c r="J432" s="606"/>
      <c r="K432" s="2162"/>
    </row>
    <row r="433" spans="2:11">
      <c r="B433" s="620" t="s">
        <v>9</v>
      </c>
      <c r="C433" s="621"/>
      <c r="D433" s="622"/>
      <c r="E433" s="622"/>
      <c r="F433" s="623"/>
      <c r="G433" s="623"/>
      <c r="H433" s="2470">
        <f t="shared" si="59"/>
        <v>0</v>
      </c>
      <c r="I433" s="606"/>
      <c r="J433" s="606"/>
      <c r="K433" s="2162"/>
    </row>
    <row r="434" spans="2:11">
      <c r="B434" s="624" t="s">
        <v>425</v>
      </c>
      <c r="C434" s="621" t="s">
        <v>426</v>
      </c>
      <c r="D434" s="648">
        <f>+D246</f>
        <v>2.41</v>
      </c>
      <c r="E434" s="648">
        <f t="shared" ref="E434:E435" si="60">+E246</f>
        <v>2.82</v>
      </c>
      <c r="F434" s="649">
        <f>+F246</f>
        <v>2.82</v>
      </c>
      <c r="G434" s="649">
        <f>+G246</f>
        <v>0</v>
      </c>
      <c r="H434" s="2470">
        <f t="shared" si="59"/>
        <v>0</v>
      </c>
      <c r="I434" s="606"/>
      <c r="J434" s="606"/>
      <c r="K434" s="2162"/>
    </row>
    <row r="435" spans="2:11">
      <c r="B435" s="624" t="s">
        <v>427</v>
      </c>
      <c r="C435" s="621" t="s">
        <v>421</v>
      </c>
      <c r="D435" s="625">
        <f>+D247</f>
        <v>0</v>
      </c>
      <c r="E435" s="625">
        <f t="shared" si="60"/>
        <v>0</v>
      </c>
      <c r="F435" s="626">
        <f>+F247</f>
        <v>0</v>
      </c>
      <c r="G435" s="626">
        <f>+G247</f>
        <v>0</v>
      </c>
      <c r="H435" s="2470">
        <f t="shared" si="59"/>
        <v>0</v>
      </c>
      <c r="I435" s="606"/>
      <c r="J435" s="606"/>
      <c r="K435" s="2162"/>
    </row>
    <row r="436" spans="2:11">
      <c r="B436" s="620" t="s">
        <v>422</v>
      </c>
      <c r="C436" s="621"/>
      <c r="D436" s="622"/>
      <c r="E436" s="622"/>
      <c r="F436" s="623"/>
      <c r="G436" s="623"/>
      <c r="H436" s="2470">
        <f t="shared" si="59"/>
        <v>0</v>
      </c>
      <c r="I436" s="606"/>
      <c r="J436" s="606"/>
      <c r="K436" s="2162"/>
    </row>
    <row r="437" spans="2:11">
      <c r="B437" s="624" t="s">
        <v>425</v>
      </c>
      <c r="C437" s="621" t="s">
        <v>426</v>
      </c>
      <c r="D437" s="648">
        <f>+D249</f>
        <v>0.03</v>
      </c>
      <c r="E437" s="648">
        <f t="shared" ref="E437:E438" si="61">+E249</f>
        <v>7.0000000000000007E-2</v>
      </c>
      <c r="F437" s="649">
        <f>+F249</f>
        <v>7.0000000000000007E-2</v>
      </c>
      <c r="G437" s="649">
        <f>+G249</f>
        <v>0</v>
      </c>
      <c r="H437" s="2470">
        <f t="shared" si="59"/>
        <v>0</v>
      </c>
      <c r="I437" s="606"/>
      <c r="J437" s="606"/>
      <c r="K437" s="2162"/>
    </row>
    <row r="438" spans="2:11">
      <c r="B438" s="624" t="s">
        <v>427</v>
      </c>
      <c r="C438" s="621" t="s">
        <v>421</v>
      </c>
      <c r="D438" s="625">
        <f>+D250</f>
        <v>1.2999999999999999E-3</v>
      </c>
      <c r="E438" s="625">
        <f t="shared" si="61"/>
        <v>1.7600000000000001E-3</v>
      </c>
      <c r="F438" s="626">
        <f>+F250</f>
        <v>1.6199999999999999E-3</v>
      </c>
      <c r="G438" s="626">
        <f>+G250</f>
        <v>1.3999999999999999E-4</v>
      </c>
      <c r="H438" s="2470">
        <f t="shared" si="59"/>
        <v>0</v>
      </c>
      <c r="I438" s="606"/>
      <c r="J438" s="606"/>
      <c r="K438" s="2162"/>
    </row>
    <row r="439" spans="2:11">
      <c r="B439" s="620" t="s">
        <v>309</v>
      </c>
      <c r="C439" s="621"/>
      <c r="D439" s="625"/>
      <c r="E439" s="625"/>
      <c r="F439" s="626"/>
      <c r="G439" s="626"/>
      <c r="H439" s="2470">
        <f t="shared" si="59"/>
        <v>0</v>
      </c>
      <c r="I439" s="606"/>
      <c r="J439" s="606"/>
      <c r="K439" s="2162"/>
    </row>
    <row r="440" spans="2:11">
      <c r="B440" s="624" t="s">
        <v>427</v>
      </c>
      <c r="C440" s="621" t="s">
        <v>432</v>
      </c>
      <c r="D440" s="625">
        <f>+D252</f>
        <v>1.1199999999999999E-3</v>
      </c>
      <c r="E440" s="625">
        <f>+E252</f>
        <v>2.33E-3</v>
      </c>
      <c r="F440" s="626">
        <f>+F252</f>
        <v>2.33E-3</v>
      </c>
      <c r="G440" s="626">
        <f>+G252</f>
        <v>0</v>
      </c>
      <c r="H440" s="2470">
        <f t="shared" si="59"/>
        <v>0</v>
      </c>
      <c r="I440" s="606"/>
      <c r="J440" s="606"/>
      <c r="K440" s="2162"/>
    </row>
    <row r="441" spans="2:11">
      <c r="B441" s="620" t="s">
        <v>10</v>
      </c>
      <c r="C441" s="621"/>
      <c r="D441" s="625"/>
      <c r="E441" s="625"/>
      <c r="F441" s="626"/>
      <c r="G441" s="626"/>
      <c r="H441" s="2470">
        <f t="shared" si="59"/>
        <v>0</v>
      </c>
      <c r="I441" s="606"/>
      <c r="J441" s="606"/>
      <c r="K441" s="2162"/>
    </row>
    <row r="442" spans="2:11">
      <c r="B442" s="624" t="s">
        <v>425</v>
      </c>
      <c r="C442" s="621" t="s">
        <v>433</v>
      </c>
      <c r="D442" s="631">
        <f>D254</f>
        <v>0.49</v>
      </c>
      <c r="E442" s="631">
        <f t="shared" ref="E442:E443" si="62">E254</f>
        <v>1.8</v>
      </c>
      <c r="F442" s="632">
        <f>F254</f>
        <v>1.84</v>
      </c>
      <c r="G442" s="632">
        <f>G254</f>
        <v>-0.04</v>
      </c>
      <c r="H442" s="2470">
        <f t="shared" si="59"/>
        <v>0</v>
      </c>
      <c r="I442" s="606"/>
      <c r="J442" s="606"/>
      <c r="K442" s="2162"/>
    </row>
    <row r="443" spans="2:11">
      <c r="B443" s="624" t="s">
        <v>427</v>
      </c>
      <c r="C443" s="621" t="s">
        <v>421</v>
      </c>
      <c r="D443" s="625">
        <f>D255</f>
        <v>2.5200000000000001E-3</v>
      </c>
      <c r="E443" s="625">
        <f t="shared" si="62"/>
        <v>3.1700000000000001E-3</v>
      </c>
      <c r="F443" s="626">
        <f>F255</f>
        <v>3.3899999999999998E-3</v>
      </c>
      <c r="G443" s="626">
        <f>G255</f>
        <v>-2.2000000000000001E-4</v>
      </c>
      <c r="H443" s="2470">
        <f t="shared" si="59"/>
        <v>2.9815559743351372E-19</v>
      </c>
      <c r="I443" s="606"/>
      <c r="J443" s="606"/>
      <c r="K443" s="2162"/>
    </row>
    <row r="444" spans="2:11">
      <c r="B444" s="620" t="s">
        <v>11</v>
      </c>
      <c r="C444" s="621"/>
      <c r="D444" s="625"/>
      <c r="E444" s="625"/>
      <c r="F444" s="626"/>
      <c r="G444" s="626"/>
      <c r="H444" s="2470">
        <f t="shared" si="59"/>
        <v>0</v>
      </c>
      <c r="I444" s="606"/>
      <c r="J444" s="606"/>
      <c r="K444" s="2162"/>
    </row>
    <row r="445" spans="2:11">
      <c r="B445" s="624" t="str">
        <f>B428</f>
        <v>Cargo por Demanda Máxima Generación *</v>
      </c>
      <c r="C445" s="621" t="s">
        <v>426</v>
      </c>
      <c r="D445" s="631">
        <f>RAT1000PT!$H$78</f>
        <v>8.9600000000000009</v>
      </c>
      <c r="E445" s="631">
        <f>RAT1000PT!$N$78</f>
        <v>16</v>
      </c>
      <c r="F445" s="632">
        <f>RAT1000PT!$O$78</f>
        <v>16</v>
      </c>
      <c r="G445" s="632">
        <f>RAT1000PT!$P$78</f>
        <v>0</v>
      </c>
      <c r="H445" s="2470">
        <f t="shared" si="59"/>
        <v>0</v>
      </c>
      <c r="I445" s="606"/>
      <c r="J445" s="606"/>
      <c r="K445" s="2162"/>
    </row>
    <row r="446" spans="2:11">
      <c r="B446" s="624" t="s">
        <v>2184</v>
      </c>
      <c r="C446" s="621" t="s">
        <v>421</v>
      </c>
      <c r="D446" s="625">
        <f>+D262</f>
        <v>1.9499999999999999E-3</v>
      </c>
      <c r="E446" s="625">
        <f>+E262</f>
        <v>1.6199999999999999E-3</v>
      </c>
      <c r="F446" s="626">
        <f>+F262</f>
        <v>1.5100000000000001E-3</v>
      </c>
      <c r="G446" s="626">
        <f>+G262</f>
        <v>1.1E-4</v>
      </c>
      <c r="H446" s="2470">
        <f t="shared" si="59"/>
        <v>-1.4907779871675686E-19</v>
      </c>
      <c r="I446" s="606"/>
      <c r="J446" s="606"/>
      <c r="K446" s="2162"/>
    </row>
    <row r="447" spans="2:11">
      <c r="B447" s="676"/>
      <c r="D447" s="597"/>
      <c r="E447" s="597"/>
      <c r="F447" s="677"/>
      <c r="G447" s="677"/>
      <c r="H447" s="2470">
        <f t="shared" si="59"/>
        <v>0</v>
      </c>
      <c r="I447" s="606"/>
      <c r="J447" s="606"/>
      <c r="K447" s="2162"/>
    </row>
    <row r="448" spans="2:11">
      <c r="B448" s="611" t="s">
        <v>951</v>
      </c>
      <c r="C448" s="599"/>
      <c r="D448" s="600"/>
      <c r="E448" s="600"/>
      <c r="F448" s="601"/>
      <c r="G448" s="601"/>
      <c r="H448" s="2470">
        <f t="shared" si="59"/>
        <v>0</v>
      </c>
      <c r="I448" s="606"/>
      <c r="J448" s="606"/>
      <c r="K448" s="2162"/>
    </row>
    <row r="449" spans="2:11">
      <c r="B449" s="655" t="s">
        <v>1191</v>
      </c>
      <c r="C449" s="644"/>
      <c r="D449" s="644"/>
      <c r="E449" s="644"/>
      <c r="F449" s="645"/>
      <c r="G449" s="645"/>
      <c r="H449" s="2470">
        <f t="shared" si="59"/>
        <v>0</v>
      </c>
      <c r="I449" s="606"/>
      <c r="J449" s="606"/>
      <c r="K449" s="2162"/>
    </row>
    <row r="450" spans="2:11">
      <c r="B450" s="616" t="s">
        <v>313</v>
      </c>
      <c r="C450" s="617" t="s">
        <v>420</v>
      </c>
      <c r="D450" s="644">
        <f>D456</f>
        <v>4.53</v>
      </c>
      <c r="E450" s="644">
        <f>E456</f>
        <v>5.01</v>
      </c>
      <c r="F450" s="645">
        <f>F456</f>
        <v>5.01</v>
      </c>
      <c r="G450" s="645">
        <f>G456</f>
        <v>0</v>
      </c>
      <c r="H450" s="2470">
        <f t="shared" si="59"/>
        <v>0</v>
      </c>
      <c r="I450" s="606"/>
      <c r="J450" s="606"/>
      <c r="K450" s="2162"/>
    </row>
    <row r="451" spans="2:11">
      <c r="B451" s="616" t="s">
        <v>1220</v>
      </c>
      <c r="C451" s="617" t="s">
        <v>426</v>
      </c>
      <c r="D451" s="644">
        <f>D459+D463+D468</f>
        <v>2.2800000000000002</v>
      </c>
      <c r="E451" s="644">
        <f>E459+E463+E468</f>
        <v>3.8999999999999995</v>
      </c>
      <c r="F451" s="645">
        <f>F459+F463+F468</f>
        <v>3.9399999999999995</v>
      </c>
      <c r="G451" s="645">
        <f>G459+G463+G468</f>
        <v>-0.04</v>
      </c>
      <c r="H451" s="2470">
        <f t="shared" si="59"/>
        <v>0</v>
      </c>
      <c r="I451" s="606"/>
      <c r="J451" s="606"/>
      <c r="K451" s="2162"/>
    </row>
    <row r="452" spans="2:11">
      <c r="B452" s="616" t="s">
        <v>1240</v>
      </c>
      <c r="C452" s="617" t="s">
        <v>426</v>
      </c>
      <c r="D452" s="644">
        <f>D460</f>
        <v>0.72</v>
      </c>
      <c r="E452" s="644">
        <f>E460</f>
        <v>0.83</v>
      </c>
      <c r="F452" s="645">
        <f>F460</f>
        <v>0.83</v>
      </c>
      <c r="G452" s="645">
        <f>G460</f>
        <v>0</v>
      </c>
      <c r="H452" s="2470">
        <f t="shared" si="59"/>
        <v>0</v>
      </c>
      <c r="I452" s="606"/>
      <c r="J452" s="606"/>
      <c r="K452" s="2162"/>
    </row>
    <row r="453" spans="2:11">
      <c r="B453" s="616" t="s">
        <v>1289</v>
      </c>
      <c r="C453" s="617" t="s">
        <v>426</v>
      </c>
      <c r="D453" s="644">
        <f>D471</f>
        <v>8.9600000000000009</v>
      </c>
      <c r="E453" s="644">
        <f>E471</f>
        <v>16</v>
      </c>
      <c r="F453" s="645">
        <f>F471</f>
        <v>16</v>
      </c>
      <c r="G453" s="645">
        <f>G471</f>
        <v>0</v>
      </c>
      <c r="H453" s="2470">
        <f t="shared" si="59"/>
        <v>0</v>
      </c>
      <c r="I453" s="606"/>
      <c r="J453" s="606"/>
      <c r="K453" s="2162"/>
    </row>
    <row r="454" spans="2:11">
      <c r="B454" s="616" t="s">
        <v>427</v>
      </c>
      <c r="C454" s="617" t="s">
        <v>421</v>
      </c>
      <c r="D454" s="618">
        <f>D457+D461+D464+D466+D469+D472</f>
        <v>7.45E-3</v>
      </c>
      <c r="E454" s="618">
        <f>E457+E461+E464+E466+E469+E472</f>
        <v>8.9300000000000004E-3</v>
      </c>
      <c r="F454" s="679">
        <f>F457+F461+F464+F466+F469+F472</f>
        <v>8.9099999999999995E-3</v>
      </c>
      <c r="G454" s="679">
        <f>G457+G461+G464+G466+G469+G472</f>
        <v>1.9999999999999985E-5</v>
      </c>
      <c r="H454" s="2470">
        <f t="shared" si="59"/>
        <v>9.3512437376874757E-19</v>
      </c>
      <c r="I454" s="606"/>
      <c r="J454" s="606"/>
      <c r="K454" s="2162"/>
    </row>
    <row r="455" spans="2:11">
      <c r="B455" s="620" t="s">
        <v>12</v>
      </c>
      <c r="C455" s="621"/>
      <c r="D455" s="622"/>
      <c r="E455" s="622"/>
      <c r="F455" s="623"/>
      <c r="G455" s="623"/>
      <c r="H455" s="2470">
        <f t="shared" si="59"/>
        <v>0</v>
      </c>
      <c r="I455" s="606"/>
      <c r="J455" s="606"/>
      <c r="K455" s="2162"/>
    </row>
    <row r="456" spans="2:11">
      <c r="B456" s="624" t="s">
        <v>428</v>
      </c>
      <c r="C456" s="621" t="s">
        <v>431</v>
      </c>
      <c r="D456" s="631">
        <f>ROUND(D276/2,2)</f>
        <v>4.53</v>
      </c>
      <c r="E456" s="631">
        <f>ROUND(E276/2,2)</f>
        <v>5.01</v>
      </c>
      <c r="F456" s="632">
        <f>ROUND(F276/2,2)</f>
        <v>5.01</v>
      </c>
      <c r="G456" s="632">
        <f>ROUND(G276/2,2)</f>
        <v>0</v>
      </c>
      <c r="H456" s="2470">
        <f t="shared" si="59"/>
        <v>0</v>
      </c>
      <c r="I456" s="606"/>
      <c r="J456" s="606"/>
      <c r="K456" s="2162"/>
    </row>
    <row r="457" spans="2:11">
      <c r="B457" s="624" t="s">
        <v>427</v>
      </c>
      <c r="C457" s="621" t="s">
        <v>432</v>
      </c>
      <c r="D457" s="625">
        <f>D277</f>
        <v>4.4000000000000002E-4</v>
      </c>
      <c r="E457" s="625">
        <f>E277</f>
        <v>4.8999999999999998E-4</v>
      </c>
      <c r="F457" s="626">
        <f>F277</f>
        <v>4.8999999999999998E-4</v>
      </c>
      <c r="G457" s="626">
        <f>G277</f>
        <v>0</v>
      </c>
      <c r="H457" s="2470">
        <f t="shared" si="59"/>
        <v>0</v>
      </c>
      <c r="I457" s="606"/>
      <c r="J457" s="606"/>
      <c r="K457" s="2162"/>
    </row>
    <row r="458" spans="2:11">
      <c r="B458" s="620" t="s">
        <v>9</v>
      </c>
      <c r="C458" s="621"/>
      <c r="D458" s="624"/>
      <c r="E458" s="624"/>
      <c r="F458" s="680"/>
      <c r="G458" s="680"/>
      <c r="H458" s="2470">
        <f t="shared" si="59"/>
        <v>0</v>
      </c>
      <c r="I458" s="606"/>
      <c r="J458" s="606"/>
      <c r="K458" s="2162"/>
    </row>
    <row r="459" spans="2:11">
      <c r="B459" s="624" t="str">
        <f>B451</f>
        <v>Cargo por Demanda Máxima Horas Punta</v>
      </c>
      <c r="C459" s="621" t="s">
        <v>433</v>
      </c>
      <c r="D459" s="631">
        <f>D279</f>
        <v>1.75</v>
      </c>
      <c r="E459" s="631">
        <f t="shared" ref="E459:E461" si="63">E279</f>
        <v>2.0099999999999998</v>
      </c>
      <c r="F459" s="632">
        <f t="shared" ref="F459:G461" si="64">F279</f>
        <v>2.0099999999999998</v>
      </c>
      <c r="G459" s="632">
        <f t="shared" si="64"/>
        <v>0</v>
      </c>
      <c r="H459" s="2470">
        <f t="shared" si="59"/>
        <v>0</v>
      </c>
      <c r="I459" s="606"/>
      <c r="J459" s="606"/>
      <c r="K459" s="2162"/>
    </row>
    <row r="460" spans="2:11">
      <c r="B460" s="624" t="str">
        <f>B452</f>
        <v>Cargo por Demanda Máxima Horas Fuera de Punta</v>
      </c>
      <c r="C460" s="621" t="s">
        <v>433</v>
      </c>
      <c r="D460" s="631">
        <f>D280</f>
        <v>0.72</v>
      </c>
      <c r="E460" s="631">
        <f t="shared" si="63"/>
        <v>0.83</v>
      </c>
      <c r="F460" s="632">
        <f t="shared" si="64"/>
        <v>0.83</v>
      </c>
      <c r="G460" s="632">
        <f t="shared" si="64"/>
        <v>0</v>
      </c>
      <c r="H460" s="2470">
        <f t="shared" si="59"/>
        <v>0</v>
      </c>
      <c r="I460" s="606"/>
      <c r="J460" s="606"/>
      <c r="K460" s="2162"/>
    </row>
    <row r="461" spans="2:11">
      <c r="B461" s="624" t="s">
        <v>427</v>
      </c>
      <c r="C461" s="621" t="s">
        <v>432</v>
      </c>
      <c r="D461" s="625">
        <f>D281</f>
        <v>0</v>
      </c>
      <c r="E461" s="625">
        <f t="shared" si="63"/>
        <v>0</v>
      </c>
      <c r="F461" s="626">
        <f t="shared" si="64"/>
        <v>0</v>
      </c>
      <c r="G461" s="626">
        <f t="shared" si="64"/>
        <v>0</v>
      </c>
      <c r="H461" s="2470">
        <f t="shared" si="59"/>
        <v>0</v>
      </c>
      <c r="I461" s="606"/>
      <c r="J461" s="606"/>
      <c r="K461" s="2162"/>
    </row>
    <row r="462" spans="2:11">
      <c r="B462" s="620" t="s">
        <v>422</v>
      </c>
      <c r="C462" s="621"/>
      <c r="D462" s="631"/>
      <c r="E462" s="631"/>
      <c r="F462" s="632"/>
      <c r="G462" s="632"/>
      <c r="H462" s="2470">
        <f t="shared" si="59"/>
        <v>0</v>
      </c>
      <c r="I462" s="606"/>
      <c r="J462" s="606"/>
      <c r="K462" s="2162"/>
    </row>
    <row r="463" spans="2:11">
      <c r="B463" s="624" t="str">
        <f>B451</f>
        <v>Cargo por Demanda Máxima Horas Punta</v>
      </c>
      <c r="C463" s="621" t="s">
        <v>433</v>
      </c>
      <c r="D463" s="631">
        <f>D283</f>
        <v>0.03</v>
      </c>
      <c r="E463" s="631">
        <f t="shared" ref="E463:E464" si="65">E283</f>
        <v>7.0000000000000007E-2</v>
      </c>
      <c r="F463" s="632">
        <f>F283</f>
        <v>7.0000000000000007E-2</v>
      </c>
      <c r="G463" s="632">
        <f>G283</f>
        <v>0</v>
      </c>
      <c r="H463" s="2470">
        <f t="shared" si="59"/>
        <v>0</v>
      </c>
      <c r="I463" s="606"/>
      <c r="J463" s="606"/>
      <c r="K463" s="2162"/>
    </row>
    <row r="464" spans="2:11">
      <c r="B464" s="624" t="s">
        <v>427</v>
      </c>
      <c r="C464" s="621" t="s">
        <v>432</v>
      </c>
      <c r="D464" s="625">
        <f>D284</f>
        <v>1.2999999999999999E-3</v>
      </c>
      <c r="E464" s="625">
        <f t="shared" si="65"/>
        <v>1.7600000000000001E-3</v>
      </c>
      <c r="F464" s="626">
        <f>F284</f>
        <v>1.6199999999999999E-3</v>
      </c>
      <c r="G464" s="626">
        <f>G284</f>
        <v>1.3999999999999999E-4</v>
      </c>
      <c r="H464" s="2470">
        <f t="shared" si="59"/>
        <v>0</v>
      </c>
      <c r="I464" s="606"/>
      <c r="J464" s="606"/>
      <c r="K464" s="2162"/>
    </row>
    <row r="465" spans="2:11">
      <c r="B465" s="620" t="s">
        <v>309</v>
      </c>
      <c r="C465" s="621"/>
      <c r="D465" s="625"/>
      <c r="E465" s="625"/>
      <c r="F465" s="626"/>
      <c r="G465" s="626"/>
      <c r="H465" s="2470">
        <f t="shared" si="59"/>
        <v>0</v>
      </c>
      <c r="I465" s="606"/>
      <c r="J465" s="606"/>
      <c r="K465" s="2162"/>
    </row>
    <row r="466" spans="2:11">
      <c r="B466" s="624" t="s">
        <v>427</v>
      </c>
      <c r="C466" s="621" t="s">
        <v>432</v>
      </c>
      <c r="D466" s="625">
        <f>D286</f>
        <v>1.1199999999999999E-3</v>
      </c>
      <c r="E466" s="625">
        <f>E286</f>
        <v>2.33E-3</v>
      </c>
      <c r="F466" s="626">
        <f>F286</f>
        <v>2.33E-3</v>
      </c>
      <c r="G466" s="626">
        <f>G286</f>
        <v>0</v>
      </c>
      <c r="H466" s="2470">
        <f t="shared" si="59"/>
        <v>0</v>
      </c>
      <c r="I466" s="606"/>
      <c r="J466" s="606"/>
      <c r="K466" s="2162"/>
    </row>
    <row r="467" spans="2:11">
      <c r="B467" s="620" t="s">
        <v>10</v>
      </c>
      <c r="C467" s="621"/>
      <c r="D467" s="625"/>
      <c r="E467" s="625"/>
      <c r="F467" s="626"/>
      <c r="G467" s="626"/>
      <c r="H467" s="2470">
        <f t="shared" si="59"/>
        <v>0</v>
      </c>
      <c r="I467" s="606"/>
      <c r="J467" s="606"/>
      <c r="K467" s="2162"/>
    </row>
    <row r="468" spans="2:11">
      <c r="B468" s="624" t="str">
        <f>B451</f>
        <v>Cargo por Demanda Máxima Horas Punta</v>
      </c>
      <c r="C468" s="621" t="s">
        <v>433</v>
      </c>
      <c r="D468" s="631">
        <f t="shared" ref="D468:D469" si="66">D288</f>
        <v>0.5</v>
      </c>
      <c r="E468" s="631">
        <f t="shared" ref="E468:E469" si="67">E288</f>
        <v>1.82</v>
      </c>
      <c r="F468" s="632">
        <f>F288</f>
        <v>1.86</v>
      </c>
      <c r="G468" s="632">
        <f>G288</f>
        <v>-0.04</v>
      </c>
      <c r="H468" s="2470">
        <f t="shared" si="59"/>
        <v>0</v>
      </c>
      <c r="I468" s="606"/>
      <c r="J468" s="606"/>
      <c r="K468" s="2162"/>
    </row>
    <row r="469" spans="2:11">
      <c r="B469" s="624" t="s">
        <v>427</v>
      </c>
      <c r="C469" s="621" t="s">
        <v>421</v>
      </c>
      <c r="D469" s="625">
        <f t="shared" si="66"/>
        <v>2.64E-3</v>
      </c>
      <c r="E469" s="625">
        <f t="shared" si="67"/>
        <v>2.7299999999999998E-3</v>
      </c>
      <c r="F469" s="626">
        <f>F289</f>
        <v>2.96E-3</v>
      </c>
      <c r="G469" s="626">
        <f>G289</f>
        <v>-2.3000000000000001E-4</v>
      </c>
      <c r="H469" s="2470">
        <f t="shared" si="59"/>
        <v>0</v>
      </c>
      <c r="I469" s="606"/>
      <c r="J469" s="606"/>
      <c r="K469" s="2162"/>
    </row>
    <row r="470" spans="2:11">
      <c r="B470" s="620" t="s">
        <v>11</v>
      </c>
      <c r="C470" s="621"/>
      <c r="D470" s="625"/>
      <c r="E470" s="625"/>
      <c r="F470" s="626"/>
      <c r="G470" s="626"/>
      <c r="H470" s="2470">
        <f t="shared" si="59"/>
        <v>0</v>
      </c>
      <c r="I470" s="606"/>
      <c r="J470" s="606"/>
      <c r="K470" s="2162"/>
    </row>
    <row r="471" spans="2:11">
      <c r="B471" s="624" t="str">
        <f>B453</f>
        <v>Cargo por Demanda Máxima Generación</v>
      </c>
      <c r="C471" s="621" t="s">
        <v>426</v>
      </c>
      <c r="D471" s="631">
        <f>RAT1000PT!$H$78</f>
        <v>8.9600000000000009</v>
      </c>
      <c r="E471" s="631">
        <f>RAT1000PT!$N$78</f>
        <v>16</v>
      </c>
      <c r="F471" s="632">
        <f>RAT1000PT!$O$78</f>
        <v>16</v>
      </c>
      <c r="G471" s="632">
        <f>RAT1000PT!$P$78</f>
        <v>0</v>
      </c>
      <c r="H471" s="2470">
        <f t="shared" si="59"/>
        <v>0</v>
      </c>
      <c r="I471" s="606"/>
      <c r="J471" s="606"/>
      <c r="K471" s="2162"/>
    </row>
    <row r="472" spans="2:11">
      <c r="B472" s="624" t="s">
        <v>2184</v>
      </c>
      <c r="C472" s="621" t="s">
        <v>421</v>
      </c>
      <c r="D472" s="685">
        <f>D298</f>
        <v>1.9499999999999999E-3</v>
      </c>
      <c r="E472" s="685">
        <f>E298</f>
        <v>1.6199999999999999E-3</v>
      </c>
      <c r="F472" s="686">
        <f>F298</f>
        <v>1.5100000000000001E-3</v>
      </c>
      <c r="G472" s="686">
        <f>G298</f>
        <v>1.1E-4</v>
      </c>
      <c r="H472" s="2470">
        <f t="shared" si="59"/>
        <v>-1.4907779871675686E-19</v>
      </c>
      <c r="I472" s="606"/>
      <c r="J472" s="606"/>
      <c r="K472" s="2162"/>
    </row>
    <row r="473" spans="2:11">
      <c r="B473" s="624"/>
      <c r="C473" s="621"/>
      <c r="D473" s="685"/>
      <c r="E473" s="685"/>
      <c r="F473" s="686"/>
      <c r="G473" s="686"/>
      <c r="H473" s="2471"/>
      <c r="I473" s="606"/>
      <c r="J473" s="606"/>
      <c r="K473" s="2162"/>
    </row>
  </sheetData>
  <printOptions horizontalCentered="1"/>
  <pageMargins left="0.19685039370078741" right="0.19685039370078741" top="0" bottom="0" header="0.31496062992125984" footer="0.23622047244094491"/>
  <pageSetup scale="65" fitToHeight="7" orientation="portrait" r:id="rId1"/>
  <headerFooter alignWithMargins="0"/>
  <rowBreaks count="7" manualBreakCount="7">
    <brk id="59" max="4" man="1"/>
    <brk id="126" max="4" man="1"/>
    <brk id="162" max="4" man="1"/>
    <brk id="232" max="4" man="1"/>
    <brk id="299" max="4" man="1"/>
    <brk id="366" max="4" man="1"/>
    <brk id="419" max="4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335AA-3FC3-4F48-873C-F93EB88A6E01}">
  <sheetPr>
    <tabColor rgb="FF0000FF"/>
  </sheetPr>
  <dimension ref="U2:W534"/>
  <sheetViews>
    <sheetView zoomScale="70" zoomScaleNormal="70" workbookViewId="0"/>
  </sheetViews>
  <sheetFormatPr baseColWidth="10" defaultColWidth="11.25" defaultRowHeight="12"/>
  <cols>
    <col min="1" max="20" width="0.75" style="874" customWidth="1"/>
    <col min="21" max="21" width="43" style="874" customWidth="1"/>
    <col min="22" max="22" width="13.75" style="874" customWidth="1"/>
    <col min="23" max="23" width="10.75" style="1162" customWidth="1"/>
    <col min="24" max="16384" width="11.25" style="874"/>
  </cols>
  <sheetData>
    <row r="2" spans="21:23">
      <c r="U2" s="2318" t="s">
        <v>2021</v>
      </c>
    </row>
    <row r="3" spans="21:23">
      <c r="U3" s="2313" t="s">
        <v>1926</v>
      </c>
      <c r="V3" s="1571"/>
      <c r="W3" s="2323"/>
    </row>
    <row r="4" spans="21:23">
      <c r="U4" s="2313" t="s">
        <v>1927</v>
      </c>
      <c r="V4" s="2313" t="s">
        <v>1928</v>
      </c>
      <c r="W4" s="2332">
        <f>W12</f>
        <v>2.76</v>
      </c>
    </row>
    <row r="5" spans="21:23">
      <c r="U5" s="2313" t="s">
        <v>1929</v>
      </c>
      <c r="V5" s="2313" t="s">
        <v>259</v>
      </c>
      <c r="W5" s="2331">
        <f>SUM(W13:W25,W28,W31)</f>
        <v>0.17621000000000001</v>
      </c>
    </row>
    <row r="6" spans="21:23">
      <c r="U6" s="2313" t="s">
        <v>1930</v>
      </c>
      <c r="V6" s="2313" t="s">
        <v>259</v>
      </c>
      <c r="W6" s="2331">
        <f>SUM(W13:W25,W29,W31)</f>
        <v>0.23237000000000002</v>
      </c>
    </row>
    <row r="7" spans="21:23">
      <c r="U7" s="2313" t="s">
        <v>1931</v>
      </c>
      <c r="V7" s="2313" t="s">
        <v>259</v>
      </c>
      <c r="W7" s="2331">
        <f>SUM(W13:W25,W30,W31)</f>
        <v>0.25131999999999999</v>
      </c>
    </row>
    <row r="8" spans="21:23">
      <c r="U8" s="2328"/>
      <c r="V8" s="1571"/>
      <c r="W8" s="2323"/>
    </row>
    <row r="9" spans="21:23">
      <c r="U9" s="2313" t="s">
        <v>1810</v>
      </c>
      <c r="V9" s="1571"/>
      <c r="W9" s="2323"/>
    </row>
    <row r="10" spans="21:23">
      <c r="U10" s="2328"/>
      <c r="V10" s="1571"/>
    </row>
    <row r="11" spans="21:23">
      <c r="U11" s="2313" t="s">
        <v>12</v>
      </c>
      <c r="V11" s="1571"/>
      <c r="W11" s="2323"/>
    </row>
    <row r="12" spans="21:23">
      <c r="U12" s="2308" t="s">
        <v>1932</v>
      </c>
      <c r="V12" s="2308" t="s">
        <v>1928</v>
      </c>
      <c r="W12" s="2330">
        <f>'PLIEGO UNIFICADO'!E38</f>
        <v>2.76</v>
      </c>
    </row>
    <row r="13" spans="21:23">
      <c r="U13" s="2308" t="s">
        <v>1933</v>
      </c>
      <c r="V13" s="2308" t="s">
        <v>259</v>
      </c>
      <c r="W13" s="2325">
        <f>'PLIEGO UNIFICADO'!E39</f>
        <v>1.7950000000000001E-2</v>
      </c>
    </row>
    <row r="14" spans="21:23">
      <c r="U14" s="2328"/>
      <c r="V14" s="1571"/>
      <c r="W14" s="2325"/>
    </row>
    <row r="15" spans="21:23">
      <c r="U15" s="2313" t="s">
        <v>9</v>
      </c>
      <c r="V15" s="1571"/>
      <c r="W15" s="2325"/>
    </row>
    <row r="16" spans="21:23">
      <c r="U16" s="2308" t="s">
        <v>1934</v>
      </c>
      <c r="V16" s="2308" t="s">
        <v>259</v>
      </c>
      <c r="W16" s="2325">
        <f>'PLIEGO UNIFICADO'!E41</f>
        <v>3.6110000000000003E-2</v>
      </c>
    </row>
    <row r="17" spans="21:23">
      <c r="U17" s="2308" t="s">
        <v>1935</v>
      </c>
      <c r="V17" s="2308" t="s">
        <v>259</v>
      </c>
      <c r="W17" s="2325">
        <f>'PLIEGO UNIFICADO'!E43</f>
        <v>1.8769999999999998E-2</v>
      </c>
    </row>
    <row r="18" spans="21:23">
      <c r="U18" s="2328"/>
      <c r="V18" s="1571"/>
      <c r="W18" s="2323"/>
    </row>
    <row r="19" spans="21:23">
      <c r="U19" s="2313" t="s">
        <v>309</v>
      </c>
      <c r="V19" s="1571"/>
    </row>
    <row r="20" spans="21:23">
      <c r="U20" s="2308" t="s">
        <v>1936</v>
      </c>
      <c r="V20" s="2308" t="s">
        <v>259</v>
      </c>
      <c r="W20" s="2325">
        <f>'PLIEGO UNIFICADO'!E45</f>
        <v>2.5300000000000001E-3</v>
      </c>
    </row>
    <row r="21" spans="21:23">
      <c r="U21" s="2308" t="s">
        <v>1937</v>
      </c>
      <c r="V21" s="2308" t="s">
        <v>259</v>
      </c>
      <c r="W21" s="2325">
        <f>'PLIEGO UNIFICADO'!E57</f>
        <v>1.7600000000000001E-3</v>
      </c>
    </row>
    <row r="22" spans="21:23">
      <c r="U22" s="2328"/>
      <c r="V22" s="1571"/>
      <c r="W22" s="2325"/>
    </row>
    <row r="23" spans="21:23">
      <c r="U23" s="2313" t="s">
        <v>10</v>
      </c>
      <c r="V23" s="1571"/>
      <c r="W23" s="2325"/>
    </row>
    <row r="24" spans="21:23">
      <c r="U24" s="2308" t="s">
        <v>1933</v>
      </c>
      <c r="V24" s="2308" t="s">
        <v>259</v>
      </c>
      <c r="W24" s="2325">
        <f>'PLIEGO UNIFICADO'!E47</f>
        <v>6.4999999999999997E-3</v>
      </c>
    </row>
    <row r="25" spans="21:23">
      <c r="U25" s="2308" t="s">
        <v>1938</v>
      </c>
      <c r="V25" s="2308" t="s">
        <v>259</v>
      </c>
      <c r="W25" s="2325">
        <f>'PLIEGO UNIFICADO'!E49</f>
        <v>7.3899999999999999E-3</v>
      </c>
    </row>
    <row r="26" spans="21:23">
      <c r="U26" s="2328"/>
      <c r="V26" s="1571"/>
      <c r="W26" s="2325"/>
    </row>
    <row r="27" spans="21:23">
      <c r="U27" s="2460" t="s">
        <v>11</v>
      </c>
      <c r="V27" s="1571"/>
      <c r="W27" s="2325"/>
    </row>
    <row r="28" spans="21:23">
      <c r="U28" s="2308" t="s">
        <v>2154</v>
      </c>
      <c r="V28" s="2308" t="s">
        <v>259</v>
      </c>
      <c r="W28" s="2325">
        <f>'PLIEGO UNIFICADO'!E51+'PLIEGO UNIFICADO'!E58</f>
        <v>7.0209999999999995E-2</v>
      </c>
    </row>
    <row r="29" spans="21:23">
      <c r="U29" s="2308" t="s">
        <v>2155</v>
      </c>
      <c r="V29" s="2308" t="s">
        <v>259</v>
      </c>
      <c r="W29" s="2325">
        <f>'PLIEGO UNIFICADO'!E52+'PLIEGO UNIFICADO'!E58</f>
        <v>0.12637000000000001</v>
      </c>
    </row>
    <row r="30" spans="21:23">
      <c r="U30" s="2308" t="s">
        <v>2156</v>
      </c>
      <c r="V30" s="2308" t="s">
        <v>259</v>
      </c>
      <c r="W30" s="2325">
        <f>'PLIEGO UNIFICADO'!E53+'PLIEGO UNIFICADO'!E58</f>
        <v>0.14532</v>
      </c>
    </row>
    <row r="31" spans="21:23">
      <c r="U31" s="2308" t="s">
        <v>2157</v>
      </c>
      <c r="V31" s="2308" t="s">
        <v>259</v>
      </c>
      <c r="W31" s="2325">
        <f>'PLIEGO UNIFICADO'!E54</f>
        <v>1.499E-2</v>
      </c>
    </row>
    <row r="32" spans="21:23">
      <c r="U32" s="1571"/>
    </row>
    <row r="35" spans="21:23">
      <c r="U35" s="2318" t="s">
        <v>2022</v>
      </c>
    </row>
    <row r="36" spans="21:23">
      <c r="U36" s="2313" t="s">
        <v>1939</v>
      </c>
      <c r="V36" s="1571"/>
      <c r="W36" s="2323"/>
    </row>
    <row r="37" spans="21:23">
      <c r="U37" s="2328"/>
      <c r="V37" s="2306"/>
      <c r="W37" s="2323"/>
    </row>
    <row r="38" spans="21:23">
      <c r="U38" s="1571" t="s">
        <v>313</v>
      </c>
      <c r="V38" s="2313" t="s">
        <v>1928</v>
      </c>
      <c r="W38" s="2314">
        <f>W46</f>
        <v>2.76</v>
      </c>
    </row>
    <row r="39" spans="21:23">
      <c r="U39" s="1571" t="s">
        <v>1940</v>
      </c>
      <c r="V39" s="2313" t="s">
        <v>259</v>
      </c>
      <c r="W39" s="2331">
        <f>SUM(W47,W51,W54,W58,W61,W65,W68,W72,W75)</f>
        <v>0.30385000000000001</v>
      </c>
    </row>
    <row r="40" spans="21:23">
      <c r="U40" s="1571" t="s">
        <v>1941</v>
      </c>
      <c r="V40" s="2313" t="s">
        <v>259</v>
      </c>
      <c r="W40" s="2331">
        <f>SUM(W48,W52,W55,W59,W62,W66,W69,W73,W75)</f>
        <v>0.22592000000000001</v>
      </c>
    </row>
    <row r="41" spans="21:23">
      <c r="U41" s="1571" t="s">
        <v>1942</v>
      </c>
      <c r="V41" s="2313" t="s">
        <v>259</v>
      </c>
      <c r="W41" s="2331">
        <f>SUM(W49,W53,W56,W60,W63,W67,W70,W74,W75)</f>
        <v>0.14798999999999998</v>
      </c>
    </row>
    <row r="42" spans="21:23">
      <c r="U42" s="2310"/>
      <c r="V42" s="2306"/>
      <c r="W42" s="2305"/>
    </row>
    <row r="43" spans="21:23">
      <c r="U43" s="2311" t="s">
        <v>1810</v>
      </c>
      <c r="V43" s="2306"/>
      <c r="W43" s="2305"/>
    </row>
    <row r="44" spans="21:23">
      <c r="U44" s="2310"/>
      <c r="V44" s="2306"/>
      <c r="W44" s="2323"/>
    </row>
    <row r="45" spans="21:23">
      <c r="U45" s="2329" t="s">
        <v>12</v>
      </c>
      <c r="V45" s="2306"/>
      <c r="W45" s="2323"/>
    </row>
    <row r="46" spans="21:23">
      <c r="U46" s="2306" t="s">
        <v>1943</v>
      </c>
      <c r="V46" s="2308" t="s">
        <v>1944</v>
      </c>
      <c r="W46" s="2330">
        <f>'PLIEGO UNIFICADO'!E68</f>
        <v>2.76</v>
      </c>
    </row>
    <row r="47" spans="21:23">
      <c r="U47" s="2306" t="s">
        <v>1945</v>
      </c>
      <c r="V47" s="2306" t="s">
        <v>259</v>
      </c>
      <c r="W47" s="2325">
        <f>'PLIEGO UNIFICADO'!E69</f>
        <v>1.7489999999999999E-2</v>
      </c>
    </row>
    <row r="48" spans="21:23">
      <c r="U48" s="2306" t="s">
        <v>1946</v>
      </c>
      <c r="V48" s="2306" t="s">
        <v>259</v>
      </c>
      <c r="W48" s="2325">
        <f>'PLIEGO UNIFICADO'!E69</f>
        <v>1.7489999999999999E-2</v>
      </c>
    </row>
    <row r="49" spans="21:23">
      <c r="U49" s="2306" t="s">
        <v>1947</v>
      </c>
      <c r="V49" s="2306" t="s">
        <v>259</v>
      </c>
      <c r="W49" s="2325">
        <f>'PLIEGO UNIFICADO'!E69</f>
        <v>1.7489999999999999E-2</v>
      </c>
    </row>
    <row r="50" spans="21:23">
      <c r="U50" s="2329" t="s">
        <v>9</v>
      </c>
      <c r="V50" s="2306"/>
      <c r="W50" s="2323"/>
    </row>
    <row r="51" spans="21:23">
      <c r="U51" s="2306" t="s">
        <v>1948</v>
      </c>
      <c r="V51" s="2306" t="s">
        <v>259</v>
      </c>
      <c r="W51" s="2325">
        <f>'PLIEGO UNIFICADO'!E71</f>
        <v>3.5180000000000003E-2</v>
      </c>
    </row>
    <row r="52" spans="21:23">
      <c r="U52" s="2306" t="s">
        <v>1949</v>
      </c>
      <c r="V52" s="2306" t="s">
        <v>259</v>
      </c>
      <c r="W52" s="2325">
        <f>'PLIEGO UNIFICADO'!E72</f>
        <v>3.5180000000000003E-2</v>
      </c>
    </row>
    <row r="53" spans="21:23">
      <c r="U53" s="2306" t="s">
        <v>1950</v>
      </c>
      <c r="V53" s="2306" t="s">
        <v>259</v>
      </c>
      <c r="W53" s="2325">
        <f>'PLIEGO UNIFICADO'!E73</f>
        <v>3.5180000000000003E-2</v>
      </c>
    </row>
    <row r="54" spans="21:23">
      <c r="U54" s="2306" t="s">
        <v>1951</v>
      </c>
      <c r="V54" s="2306" t="s">
        <v>259</v>
      </c>
      <c r="W54" s="2325">
        <f>'PLIEGO UNIFICADO'!E75</f>
        <v>1.8319999999999999E-2</v>
      </c>
    </row>
    <row r="55" spans="21:23">
      <c r="U55" s="2306" t="s">
        <v>1952</v>
      </c>
      <c r="V55" s="2306" t="s">
        <v>259</v>
      </c>
      <c r="W55" s="2325">
        <f>'PLIEGO UNIFICADO'!E75</f>
        <v>1.8319999999999999E-2</v>
      </c>
    </row>
    <row r="56" spans="21:23">
      <c r="U56" s="2306" t="s">
        <v>1953</v>
      </c>
      <c r="V56" s="2306" t="s">
        <v>259</v>
      </c>
      <c r="W56" s="2325">
        <f>'PLIEGO UNIFICADO'!E75</f>
        <v>1.8319999999999999E-2</v>
      </c>
    </row>
    <row r="57" spans="21:23">
      <c r="U57" s="2329" t="s">
        <v>309</v>
      </c>
      <c r="V57" s="2306"/>
      <c r="W57" s="2323"/>
    </row>
    <row r="58" spans="21:23">
      <c r="U58" s="2306" t="s">
        <v>1954</v>
      </c>
      <c r="V58" s="2306" t="s">
        <v>259</v>
      </c>
      <c r="W58" s="2325">
        <f>'PLIEGO UNIFICADO'!E77</f>
        <v>2.47E-3</v>
      </c>
    </row>
    <row r="59" spans="21:23">
      <c r="U59" s="2306" t="s">
        <v>1955</v>
      </c>
      <c r="V59" s="2306" t="s">
        <v>259</v>
      </c>
      <c r="W59" s="2325">
        <f>'PLIEGO UNIFICADO'!E77</f>
        <v>2.47E-3</v>
      </c>
    </row>
    <row r="60" spans="21:23">
      <c r="U60" s="2306" t="s">
        <v>1956</v>
      </c>
      <c r="V60" s="2306" t="s">
        <v>259</v>
      </c>
      <c r="W60" s="2325">
        <f>'PLIEGO UNIFICADO'!E77</f>
        <v>2.47E-3</v>
      </c>
    </row>
    <row r="61" spans="21:23">
      <c r="U61" s="2306" t="s">
        <v>1957</v>
      </c>
      <c r="V61" s="2306" t="s">
        <v>259</v>
      </c>
      <c r="W61" s="2325">
        <f>'PLIEGO UNIFICADO'!E87</f>
        <v>1.72E-3</v>
      </c>
    </row>
    <row r="62" spans="21:23">
      <c r="U62" s="2306" t="s">
        <v>1958</v>
      </c>
      <c r="V62" s="2306" t="s">
        <v>259</v>
      </c>
      <c r="W62" s="2325">
        <f>'PLIEGO UNIFICADO'!E87</f>
        <v>1.72E-3</v>
      </c>
    </row>
    <row r="63" spans="21:23">
      <c r="U63" s="2306" t="s">
        <v>1959</v>
      </c>
      <c r="V63" s="2306" t="s">
        <v>259</v>
      </c>
      <c r="W63" s="2325">
        <f>'PLIEGO UNIFICADO'!E87</f>
        <v>1.72E-3</v>
      </c>
    </row>
    <row r="64" spans="21:23">
      <c r="U64" s="2329" t="s">
        <v>10</v>
      </c>
      <c r="V64" s="2306"/>
      <c r="W64" s="2325"/>
    </row>
    <row r="65" spans="21:23">
      <c r="U65" s="2306" t="s">
        <v>1945</v>
      </c>
      <c r="V65" s="2306" t="s">
        <v>259</v>
      </c>
      <c r="W65" s="2325">
        <f>'PLIEGO UNIFICADO'!E79</f>
        <v>6.3299999999999997E-3</v>
      </c>
    </row>
    <row r="66" spans="21:23">
      <c r="U66" s="2306" t="s">
        <v>1946</v>
      </c>
      <c r="V66" s="2306" t="s">
        <v>259</v>
      </c>
      <c r="W66" s="2325">
        <f>'PLIEGO UNIFICADO'!E79</f>
        <v>6.3299999999999997E-3</v>
      </c>
    </row>
    <row r="67" spans="21:23">
      <c r="U67" s="2306" t="s">
        <v>1947</v>
      </c>
      <c r="V67" s="2306" t="s">
        <v>259</v>
      </c>
      <c r="W67" s="2325">
        <f>'PLIEGO UNIFICADO'!E79</f>
        <v>6.3299999999999997E-3</v>
      </c>
    </row>
    <row r="68" spans="21:23">
      <c r="U68" s="2306" t="s">
        <v>1960</v>
      </c>
      <c r="V68" s="2306" t="s">
        <v>259</v>
      </c>
      <c r="W68" s="2325">
        <f>'PLIEGO UNIFICADO'!E81</f>
        <v>7.26E-3</v>
      </c>
    </row>
    <row r="69" spans="21:23">
      <c r="U69" s="2306" t="s">
        <v>1961</v>
      </c>
      <c r="V69" s="2306" t="s">
        <v>259</v>
      </c>
      <c r="W69" s="2325">
        <f>'PLIEGO UNIFICADO'!E81</f>
        <v>7.26E-3</v>
      </c>
    </row>
    <row r="70" spans="21:23">
      <c r="U70" s="2306" t="s">
        <v>1962</v>
      </c>
      <c r="V70" s="2306" t="s">
        <v>259</v>
      </c>
      <c r="W70" s="2325">
        <f>'PLIEGO UNIFICADO'!E81</f>
        <v>7.26E-3</v>
      </c>
    </row>
    <row r="71" spans="21:23">
      <c r="U71" s="2329" t="s">
        <v>11</v>
      </c>
      <c r="V71" s="2306"/>
      <c r="W71" s="2325"/>
    </row>
    <row r="72" spans="21:23">
      <c r="U72" s="2308" t="s">
        <v>1963</v>
      </c>
      <c r="V72" s="2306" t="s">
        <v>259</v>
      </c>
      <c r="W72" s="2325">
        <f>'PLIEGO UNIFICADO'!E83+'PLIEGO UNIFICADO'!E88</f>
        <v>0.19483</v>
      </c>
    </row>
    <row r="73" spans="21:23">
      <c r="U73" s="2308" t="s">
        <v>1964</v>
      </c>
      <c r="V73" s="2306" t="s">
        <v>259</v>
      </c>
      <c r="W73" s="2325">
        <f>'PLIEGO UNIFICADO'!E84+'PLIEGO UNIFICADO'!E88</f>
        <v>0.1169</v>
      </c>
    </row>
    <row r="74" spans="21:23">
      <c r="U74" s="2308" t="s">
        <v>1965</v>
      </c>
      <c r="V74" s="2306" t="s">
        <v>259</v>
      </c>
      <c r="W74" s="2325">
        <f>'PLIEGO UNIFICADO'!E85+'PLIEGO UNIFICADO'!E88</f>
        <v>3.8969999999999998E-2</v>
      </c>
    </row>
    <row r="75" spans="21:23">
      <c r="U75" s="2308" t="s">
        <v>1966</v>
      </c>
      <c r="V75" s="2306" t="s">
        <v>259</v>
      </c>
      <c r="W75" s="2325">
        <f>'PLIEGO UNIFICADO'!E86</f>
        <v>2.0250000000000001E-2</v>
      </c>
    </row>
    <row r="76" spans="21:23">
      <c r="U76" s="1571"/>
    </row>
    <row r="79" spans="21:23">
      <c r="U79" s="2318" t="s">
        <v>2023</v>
      </c>
    </row>
    <row r="80" spans="21:23">
      <c r="U80" s="2313" t="s">
        <v>1926</v>
      </c>
      <c r="V80" s="2306"/>
      <c r="W80" s="2323"/>
    </row>
    <row r="81" spans="21:23">
      <c r="U81" s="2313" t="s">
        <v>1967</v>
      </c>
      <c r="V81" s="2313" t="s">
        <v>259</v>
      </c>
      <c r="W81" s="2312">
        <f>SUM(W86:W98)</f>
        <v>0.18813000000000002</v>
      </c>
    </row>
    <row r="82" spans="21:23">
      <c r="U82" s="2310"/>
      <c r="V82" s="2306"/>
      <c r="W82" s="2305"/>
    </row>
    <row r="83" spans="21:23">
      <c r="U83" s="2311" t="s">
        <v>1810</v>
      </c>
      <c r="V83" s="2306"/>
      <c r="W83" s="2305"/>
    </row>
    <row r="84" spans="21:23">
      <c r="U84" s="2310"/>
      <c r="V84" s="2306"/>
    </row>
    <row r="85" spans="21:23">
      <c r="U85" s="2329" t="s">
        <v>12</v>
      </c>
      <c r="V85" s="2306"/>
      <c r="W85" s="2305"/>
    </row>
    <row r="86" spans="21:23">
      <c r="U86" s="2306" t="s">
        <v>1968</v>
      </c>
      <c r="V86" s="2308" t="s">
        <v>259</v>
      </c>
      <c r="W86" s="2307">
        <f>'PLIEGO UNIFICADO'!E13</f>
        <v>3.3369999999999997E-2</v>
      </c>
    </row>
    <row r="87" spans="21:23">
      <c r="U87" s="2329" t="s">
        <v>9</v>
      </c>
      <c r="V87" s="1571"/>
      <c r="W87" s="2325"/>
    </row>
    <row r="88" spans="21:23">
      <c r="U88" s="2306" t="s">
        <v>1969</v>
      </c>
      <c r="V88" s="2308" t="s">
        <v>259</v>
      </c>
      <c r="W88" s="2307">
        <f>'PLIEGO UNIFICADO'!E15</f>
        <v>3.5180000000000003E-2</v>
      </c>
    </row>
    <row r="89" spans="21:23">
      <c r="U89" s="2306" t="s">
        <v>1970</v>
      </c>
      <c r="V89" s="2308" t="s">
        <v>259</v>
      </c>
      <c r="W89" s="2307">
        <f>'PLIEGO UNIFICADO'!E17</f>
        <v>1.8319999999999999E-2</v>
      </c>
    </row>
    <row r="90" spans="21:23">
      <c r="U90" s="2329" t="s">
        <v>309</v>
      </c>
      <c r="V90" s="1571"/>
      <c r="W90" s="2325"/>
    </row>
    <row r="91" spans="21:23">
      <c r="U91" s="2306" t="s">
        <v>1971</v>
      </c>
      <c r="V91" s="2308" t="s">
        <v>259</v>
      </c>
      <c r="W91" s="2307">
        <f>'PLIEGO UNIFICADO'!E19</f>
        <v>2.47E-3</v>
      </c>
    </row>
    <row r="92" spans="21:23">
      <c r="U92" s="2306" t="s">
        <v>1972</v>
      </c>
      <c r="V92" s="2308" t="s">
        <v>259</v>
      </c>
      <c r="W92" s="2307">
        <f>'PLIEGO UNIFICADO'!E27</f>
        <v>1.72E-3</v>
      </c>
    </row>
    <row r="93" spans="21:23">
      <c r="U93" s="2329" t="s">
        <v>10</v>
      </c>
      <c r="V93" s="2306"/>
      <c r="W93" s="2325"/>
    </row>
    <row r="94" spans="21:23">
      <c r="U94" s="2306" t="s">
        <v>1968</v>
      </c>
      <c r="V94" s="2308" t="s">
        <v>259</v>
      </c>
      <c r="W94" s="2307">
        <f>'PLIEGO UNIFICADO'!E21</f>
        <v>6.3299999999999997E-3</v>
      </c>
    </row>
    <row r="95" spans="21:23">
      <c r="U95" s="2306" t="s">
        <v>1973</v>
      </c>
      <c r="V95" s="2308" t="s">
        <v>259</v>
      </c>
      <c r="W95" s="2307">
        <f>'PLIEGO UNIFICADO'!E23</f>
        <v>7.26E-3</v>
      </c>
    </row>
    <row r="96" spans="21:23">
      <c r="U96" s="2462" t="s">
        <v>11</v>
      </c>
      <c r="W96" s="874"/>
    </row>
    <row r="97" spans="21:23">
      <c r="U97" s="457" t="s">
        <v>2158</v>
      </c>
      <c r="V97" s="2308" t="s">
        <v>259</v>
      </c>
      <c r="W97" s="2307">
        <f>'PLIEGO UNIFICADO'!E25+'PLIEGO UNIFICADO'!E28</f>
        <v>6.8879999999999997E-2</v>
      </c>
    </row>
    <row r="98" spans="21:23">
      <c r="U98" s="457" t="s">
        <v>2159</v>
      </c>
      <c r="V98" s="2308" t="s">
        <v>259</v>
      </c>
      <c r="W98" s="2307">
        <f>'PLIEGO UNIFICADO'!E26</f>
        <v>1.46E-2</v>
      </c>
    </row>
    <row r="101" spans="21:23">
      <c r="U101" s="2318" t="s">
        <v>2024</v>
      </c>
    </row>
    <row r="102" spans="21:23">
      <c r="U102" s="2313" t="s">
        <v>1939</v>
      </c>
      <c r="V102" s="2306"/>
      <c r="W102" s="2324"/>
    </row>
    <row r="103" spans="21:23">
      <c r="U103" s="2328"/>
      <c r="V103" s="2306"/>
      <c r="W103" s="2324"/>
    </row>
    <row r="104" spans="21:23">
      <c r="U104" s="2311" t="s">
        <v>313</v>
      </c>
      <c r="V104" s="2313" t="s">
        <v>1944</v>
      </c>
      <c r="W104" s="2314">
        <f>W112</f>
        <v>5.57</v>
      </c>
    </row>
    <row r="105" spans="21:23">
      <c r="U105" s="2311" t="s">
        <v>425</v>
      </c>
      <c r="V105" s="2311" t="s">
        <v>1974</v>
      </c>
      <c r="W105" s="2314">
        <f>W115+W117+W122+W126</f>
        <v>17.14</v>
      </c>
    </row>
    <row r="106" spans="21:23">
      <c r="U106" s="2326" t="s">
        <v>1975</v>
      </c>
      <c r="V106" s="2326" t="s">
        <v>405</v>
      </c>
      <c r="W106" s="2312">
        <f>SUM(W113,W116,W119:W120,W123:W124,W127,W131)</f>
        <v>0.18686</v>
      </c>
    </row>
    <row r="107" spans="21:23">
      <c r="U107" s="2326" t="s">
        <v>1976</v>
      </c>
      <c r="V107" s="2327" t="s">
        <v>405</v>
      </c>
      <c r="W107" s="2312">
        <f>SUM(W113,W116,W119:W120,W123:W124,W128,W132)</f>
        <v>0.19125999999999999</v>
      </c>
    </row>
    <row r="108" spans="21:23">
      <c r="U108" s="2326" t="s">
        <v>1977</v>
      </c>
      <c r="V108" s="2326" t="s">
        <v>405</v>
      </c>
      <c r="W108" s="2312">
        <f>SUM(W113,W116,W119:W120,W123:W124,W129,W133)</f>
        <v>0.19588</v>
      </c>
    </row>
    <row r="109" spans="21:23">
      <c r="U109" s="2326" t="s">
        <v>1978</v>
      </c>
      <c r="V109" s="2326" t="s">
        <v>405</v>
      </c>
      <c r="W109" s="2312">
        <f>SUM(W113,W116,W119:W120,W123:W124,W130,W134)</f>
        <v>0.20072999999999999</v>
      </c>
    </row>
    <row r="110" spans="21:23">
      <c r="U110" s="2310"/>
      <c r="V110" s="1571"/>
      <c r="W110" s="2323"/>
    </row>
    <row r="111" spans="21:23">
      <c r="U111" s="2461" t="s">
        <v>12</v>
      </c>
      <c r="V111" s="2306"/>
      <c r="W111" s="2323"/>
    </row>
    <row r="112" spans="21:23">
      <c r="U112" s="2463" t="s">
        <v>1943</v>
      </c>
      <c r="V112" s="2308" t="s">
        <v>1944</v>
      </c>
      <c r="W112" s="2303">
        <f>'PLIEGO UNIFICADO'!E102</f>
        <v>5.57</v>
      </c>
    </row>
    <row r="113" spans="21:23">
      <c r="U113" s="2463" t="s">
        <v>1968</v>
      </c>
      <c r="V113" s="2308" t="s">
        <v>259</v>
      </c>
      <c r="W113" s="2307">
        <f>'PLIEGO UNIFICADO'!E103</f>
        <v>4.7699999999999999E-3</v>
      </c>
    </row>
    <row r="114" spans="21:23">
      <c r="U114" s="2461" t="s">
        <v>9</v>
      </c>
      <c r="V114" s="2306"/>
      <c r="W114" s="2323"/>
    </row>
    <row r="115" spans="21:23">
      <c r="U115" s="2463" t="s">
        <v>1989</v>
      </c>
      <c r="V115" s="2304" t="s">
        <v>1974</v>
      </c>
      <c r="W115" s="2303">
        <f>'PLIEGO UNIFICADO'!E105</f>
        <v>12.35</v>
      </c>
    </row>
    <row r="116" spans="21:23">
      <c r="U116" s="2463" t="s">
        <v>2011</v>
      </c>
      <c r="V116" s="2308" t="s">
        <v>259</v>
      </c>
      <c r="W116" s="2307">
        <f>'PLIEGO UNIFICADO'!E109</f>
        <v>1.617E-2</v>
      </c>
    </row>
    <row r="117" spans="21:23">
      <c r="U117" s="2463" t="s">
        <v>2012</v>
      </c>
      <c r="V117" s="2304" t="s">
        <v>1974</v>
      </c>
      <c r="W117" s="2303">
        <f>'PLIEGO UNIFICADO'!E108</f>
        <v>0.53</v>
      </c>
    </row>
    <row r="118" spans="21:23">
      <c r="U118" s="2461" t="s">
        <v>309</v>
      </c>
      <c r="V118" s="2306"/>
      <c r="W118" s="2325"/>
    </row>
    <row r="119" spans="21:23">
      <c r="U119" s="2463" t="s">
        <v>1988</v>
      </c>
      <c r="V119" s="2308" t="s">
        <v>259</v>
      </c>
      <c r="W119" s="2307">
        <f>'PLIEGO UNIFICADO'!E111</f>
        <v>2.33E-3</v>
      </c>
    </row>
    <row r="120" spans="21:23">
      <c r="U120" s="2464" t="s">
        <v>1979</v>
      </c>
      <c r="V120" s="2308" t="s">
        <v>259</v>
      </c>
      <c r="W120" s="2307">
        <f>'PLIEGO UNIFICADO'!E124</f>
        <v>1.6199999999999999E-3</v>
      </c>
    </row>
    <row r="121" spans="21:23">
      <c r="U121" s="2461" t="s">
        <v>10</v>
      </c>
      <c r="V121" s="2306"/>
      <c r="W121" s="2325"/>
    </row>
    <row r="122" spans="21:23">
      <c r="U122" s="2463" t="s">
        <v>1989</v>
      </c>
      <c r="V122" s="2304" t="s">
        <v>1974</v>
      </c>
      <c r="W122" s="2303">
        <f>'PLIEGO UNIFICADO'!E113</f>
        <v>1.39</v>
      </c>
    </row>
    <row r="123" spans="21:23">
      <c r="U123" s="2463" t="s">
        <v>1968</v>
      </c>
      <c r="V123" s="2308" t="s">
        <v>259</v>
      </c>
      <c r="W123" s="2307">
        <f>'PLIEGO UNIFICADO'!E114</f>
        <v>4.7099999999999998E-3</v>
      </c>
    </row>
    <row r="124" spans="21:23">
      <c r="U124" s="2463" t="s">
        <v>1973</v>
      </c>
      <c r="V124" s="2308" t="s">
        <v>259</v>
      </c>
      <c r="W124" s="2307">
        <f>'PLIEGO UNIFICADO'!E116</f>
        <v>6.8999999999999999E-3</v>
      </c>
    </row>
    <row r="125" spans="21:23">
      <c r="U125" s="2461" t="s">
        <v>11</v>
      </c>
      <c r="V125" s="2306"/>
      <c r="W125" s="2325"/>
    </row>
    <row r="126" spans="21:23">
      <c r="U126" s="2463" t="s">
        <v>1989</v>
      </c>
      <c r="V126" s="2304" t="s">
        <v>1974</v>
      </c>
      <c r="W126" s="2303">
        <f>'PLIEGO UNIFICADO'!E118</f>
        <v>2.87</v>
      </c>
    </row>
    <row r="127" spans="21:23">
      <c r="U127" s="2464" t="s">
        <v>2160</v>
      </c>
      <c r="V127" s="2308" t="s">
        <v>259</v>
      </c>
      <c r="W127" s="2307">
        <f>'PLIEGO UNIFICADO'!E120</f>
        <v>8.7970000000000007E-2</v>
      </c>
    </row>
    <row r="128" spans="21:23">
      <c r="U128" s="2465" t="s">
        <v>2161</v>
      </c>
      <c r="V128" s="2308" t="s">
        <v>259</v>
      </c>
      <c r="W128" s="2307">
        <f>'PLIEGO UNIFICADO'!E121</f>
        <v>9.2369999999999994E-2</v>
      </c>
    </row>
    <row r="129" spans="21:23">
      <c r="U129" s="2465" t="s">
        <v>2162</v>
      </c>
      <c r="V129" s="2308" t="s">
        <v>259</v>
      </c>
      <c r="W129" s="2307">
        <f>'PLIEGO UNIFICADO'!E122</f>
        <v>9.6990000000000007E-2</v>
      </c>
    </row>
    <row r="130" spans="21:23">
      <c r="U130" s="2465" t="s">
        <v>2163</v>
      </c>
      <c r="V130" s="2308" t="s">
        <v>259</v>
      </c>
      <c r="W130" s="2307">
        <f>'PLIEGO UNIFICADO'!E123</f>
        <v>0.10184</v>
      </c>
    </row>
    <row r="131" spans="21:23">
      <c r="U131" s="2465" t="s">
        <v>2164</v>
      </c>
      <c r="V131" s="2308" t="s">
        <v>259</v>
      </c>
      <c r="W131" s="2307">
        <f>'PLIEGO UNIFICADO'!E119</f>
        <v>6.2390000000000001E-2</v>
      </c>
    </row>
    <row r="132" spans="21:23">
      <c r="U132" s="2465" t="s">
        <v>2165</v>
      </c>
      <c r="V132" s="2308" t="s">
        <v>259</v>
      </c>
      <c r="W132" s="2307">
        <f>'PLIEGO UNIFICADO'!E119</f>
        <v>6.2390000000000001E-2</v>
      </c>
    </row>
    <row r="133" spans="21:23">
      <c r="U133" s="2465" t="s">
        <v>2166</v>
      </c>
      <c r="V133" s="2308" t="s">
        <v>259</v>
      </c>
      <c r="W133" s="2307">
        <f>'PLIEGO UNIFICADO'!E119</f>
        <v>6.2390000000000001E-2</v>
      </c>
    </row>
    <row r="134" spans="21:23">
      <c r="U134" s="2465" t="s">
        <v>2167</v>
      </c>
      <c r="V134" s="2308" t="s">
        <v>259</v>
      </c>
      <c r="W134" s="2307">
        <f>'PLIEGO UNIFICADO'!E119</f>
        <v>6.2390000000000001E-2</v>
      </c>
    </row>
    <row r="137" spans="21:23">
      <c r="U137" s="2318" t="s">
        <v>2025</v>
      </c>
    </row>
    <row r="138" spans="21:23">
      <c r="U138" s="2311" t="s">
        <v>1939</v>
      </c>
      <c r="V138" s="1571"/>
      <c r="W138" s="2324"/>
    </row>
    <row r="139" spans="21:23">
      <c r="U139" s="2311" t="s">
        <v>313</v>
      </c>
      <c r="V139" s="2313" t="s">
        <v>1944</v>
      </c>
      <c r="W139" s="2314">
        <f>W149</f>
        <v>5.57</v>
      </c>
    </row>
    <row r="140" spans="21:23">
      <c r="U140" s="2311" t="s">
        <v>1980</v>
      </c>
      <c r="V140" s="2313" t="s">
        <v>259</v>
      </c>
      <c r="W140" s="2312">
        <f>W150+W154+W159+W160+W164+W165+W168+W171</f>
        <v>0.21456000000000003</v>
      </c>
    </row>
    <row r="141" spans="21:23">
      <c r="U141" s="2311" t="s">
        <v>1941</v>
      </c>
      <c r="V141" s="2313" t="s">
        <v>259</v>
      </c>
      <c r="W141" s="2312">
        <f>W150+W155+W159+W160+W164+W165+W169+W171</f>
        <v>0.16150999999999999</v>
      </c>
    </row>
    <row r="142" spans="21:23">
      <c r="U142" s="2311" t="s">
        <v>1942</v>
      </c>
      <c r="V142" s="2313" t="s">
        <v>259</v>
      </c>
      <c r="W142" s="2312">
        <f>W150+W156+W159+W160+W164+W165+W170+W171</f>
        <v>0.10797</v>
      </c>
    </row>
    <row r="143" spans="21:23">
      <c r="U143" s="2311" t="s">
        <v>1981</v>
      </c>
      <c r="V143" s="2311" t="s">
        <v>1974</v>
      </c>
      <c r="W143" s="2314">
        <f>W152+W157+W162+W167</f>
        <v>12.69</v>
      </c>
    </row>
    <row r="144" spans="21:23">
      <c r="U144" s="2311" t="s">
        <v>909</v>
      </c>
      <c r="V144" s="2311" t="s">
        <v>1974</v>
      </c>
      <c r="W144" s="2314">
        <f>W153</f>
        <v>5.26</v>
      </c>
    </row>
    <row r="145" spans="21:23">
      <c r="U145" s="2310"/>
      <c r="V145" s="1571"/>
      <c r="W145" s="2305"/>
    </row>
    <row r="146" spans="21:23">
      <c r="U146" s="2311" t="s">
        <v>1810</v>
      </c>
      <c r="V146" s="2306"/>
      <c r="W146" s="2323"/>
    </row>
    <row r="147" spans="21:23">
      <c r="U147" s="2310"/>
      <c r="V147" s="2306"/>
      <c r="W147" s="2323"/>
    </row>
    <row r="148" spans="21:23">
      <c r="U148" s="2461" t="s">
        <v>12</v>
      </c>
      <c r="V148" s="1571"/>
      <c r="W148" s="2305"/>
    </row>
    <row r="149" spans="21:23">
      <c r="U149" s="2463" t="s">
        <v>1993</v>
      </c>
      <c r="V149" s="2308" t="s">
        <v>1944</v>
      </c>
      <c r="W149" s="2303">
        <f>'PLIEGO UNIFICADO'!E139</f>
        <v>5.57</v>
      </c>
    </row>
    <row r="150" spans="21:23">
      <c r="U150" s="2463" t="s">
        <v>1994</v>
      </c>
      <c r="V150" s="2308" t="s">
        <v>259</v>
      </c>
      <c r="W150" s="2307">
        <f>'PLIEGO UNIFICADO'!E140</f>
        <v>4.7699999999999999E-3</v>
      </c>
    </row>
    <row r="151" spans="21:23">
      <c r="U151" s="2461" t="s">
        <v>9</v>
      </c>
      <c r="V151" s="2306"/>
      <c r="W151" s="2305"/>
    </row>
    <row r="152" spans="21:23">
      <c r="U152" s="2463" t="s">
        <v>1982</v>
      </c>
      <c r="V152" s="2304" t="s">
        <v>1974</v>
      </c>
      <c r="W152" s="2303">
        <f>'PLIEGO UNIFICADO'!E142</f>
        <v>7.68</v>
      </c>
    </row>
    <row r="153" spans="21:23">
      <c r="U153" s="2463" t="s">
        <v>1983</v>
      </c>
      <c r="V153" s="2304" t="s">
        <v>1974</v>
      </c>
      <c r="W153" s="2303">
        <f>'PLIEGO UNIFICADO'!E143</f>
        <v>5.26</v>
      </c>
    </row>
    <row r="154" spans="21:23">
      <c r="U154" s="2463" t="s">
        <v>1984</v>
      </c>
      <c r="V154" s="2308" t="s">
        <v>259</v>
      </c>
      <c r="W154" s="2307">
        <f>'PLIEGO UNIFICADO'!E147</f>
        <v>1.617E-2</v>
      </c>
    </row>
    <row r="155" spans="21:23">
      <c r="U155" s="2463" t="s">
        <v>1985</v>
      </c>
      <c r="V155" s="2308" t="s">
        <v>259</v>
      </c>
      <c r="W155" s="2307">
        <f>'PLIEGO UNIFICADO'!E147</f>
        <v>1.617E-2</v>
      </c>
    </row>
    <row r="156" spans="21:23">
      <c r="U156" s="2463" t="s">
        <v>1986</v>
      </c>
      <c r="V156" s="2308" t="s">
        <v>259</v>
      </c>
      <c r="W156" s="2307">
        <f>'PLIEGO UNIFICADO'!E147</f>
        <v>1.617E-2</v>
      </c>
    </row>
    <row r="157" spans="21:23">
      <c r="U157" s="2463" t="s">
        <v>1995</v>
      </c>
      <c r="V157" s="2304" t="s">
        <v>1974</v>
      </c>
      <c r="W157" s="2303">
        <f>'PLIEGO UNIFICADO'!E146</f>
        <v>0.56000000000000005</v>
      </c>
    </row>
    <row r="158" spans="21:23">
      <c r="U158" s="2461" t="s">
        <v>309</v>
      </c>
      <c r="V158" s="2306"/>
      <c r="W158" s="2305"/>
    </row>
    <row r="159" spans="21:23">
      <c r="U159" s="2463" t="s">
        <v>1988</v>
      </c>
      <c r="V159" s="2308" t="s">
        <v>259</v>
      </c>
      <c r="W159" s="2307">
        <f>'PLIEGO UNIFICADO'!E149</f>
        <v>2.33E-3</v>
      </c>
    </row>
    <row r="160" spans="21:23">
      <c r="U160" s="2463" t="s">
        <v>1972</v>
      </c>
      <c r="V160" s="2308" t="s">
        <v>259</v>
      </c>
      <c r="W160" s="2307">
        <f>'PLIEGO UNIFICADO'!E161</f>
        <v>1.6199999999999999E-3</v>
      </c>
    </row>
    <row r="161" spans="21:23">
      <c r="U161" s="2461" t="s">
        <v>10</v>
      </c>
      <c r="V161" s="2306"/>
      <c r="W161" s="2307"/>
    </row>
    <row r="162" spans="21:23">
      <c r="U162" s="2463" t="s">
        <v>1982</v>
      </c>
      <c r="V162" s="2304" t="s">
        <v>1974</v>
      </c>
      <c r="W162" s="2303">
        <f>'PLIEGO UNIFICADO'!E151</f>
        <v>1.45</v>
      </c>
    </row>
    <row r="163" spans="21:23">
      <c r="U163" s="2463" t="s">
        <v>1996</v>
      </c>
      <c r="V163" s="2304" t="s">
        <v>1974</v>
      </c>
      <c r="W163" s="2303">
        <f>0</f>
        <v>0</v>
      </c>
    </row>
    <row r="164" spans="21:23">
      <c r="U164" s="2463" t="s">
        <v>1968</v>
      </c>
      <c r="V164" s="2308" t="s">
        <v>259</v>
      </c>
      <c r="W164" s="2307">
        <f>'PLIEGO UNIFICADO'!E152</f>
        <v>1.9400000000000001E-3</v>
      </c>
    </row>
    <row r="165" spans="21:23">
      <c r="U165" s="2463" t="s">
        <v>1973</v>
      </c>
      <c r="V165" s="2308" t="s">
        <v>259</v>
      </c>
      <c r="W165" s="2307">
        <f>'PLIEGO UNIFICADO'!E154</f>
        <v>6.8999999999999999E-3</v>
      </c>
    </row>
    <row r="166" spans="21:23">
      <c r="U166" s="2461" t="s">
        <v>11</v>
      </c>
      <c r="V166" s="2306"/>
      <c r="W166" s="2307"/>
    </row>
    <row r="167" spans="21:23">
      <c r="U167" s="2463" t="s">
        <v>1989</v>
      </c>
      <c r="V167" s="2304" t="s">
        <v>1974</v>
      </c>
      <c r="W167" s="2303">
        <f>'PLIEGO UNIFICADO'!E156</f>
        <v>3</v>
      </c>
    </row>
    <row r="168" spans="21:23">
      <c r="U168" s="2463" t="s">
        <v>1990</v>
      </c>
      <c r="V168" s="2308" t="s">
        <v>259</v>
      </c>
      <c r="W168" s="2307">
        <f>'PLIEGO UNIFICADO'!E158+'PLIEGO UNIFICADO'!E162</f>
        <v>0.15617</v>
      </c>
    </row>
    <row r="169" spans="21:23">
      <c r="U169" s="2463" t="s">
        <v>1946</v>
      </c>
      <c r="V169" s="2308" t="s">
        <v>259</v>
      </c>
      <c r="W169" s="2307">
        <f>'PLIEGO UNIFICADO'!E159+'PLIEGO UNIFICADO'!E162</f>
        <v>0.10312</v>
      </c>
    </row>
    <row r="170" spans="21:23">
      <c r="U170" s="2463" t="s">
        <v>1947</v>
      </c>
      <c r="V170" s="2308" t="s">
        <v>259</v>
      </c>
      <c r="W170" s="2307">
        <f>'PLIEGO UNIFICADO'!E160+'PLIEGO UNIFICADO'!E162</f>
        <v>4.9579999999999999E-2</v>
      </c>
    </row>
    <row r="171" spans="21:23">
      <c r="U171" s="2463" t="s">
        <v>1991</v>
      </c>
      <c r="V171" s="2308" t="s">
        <v>259</v>
      </c>
      <c r="W171" s="2307">
        <f>'PLIEGO UNIFICADO'!E157</f>
        <v>2.4660000000000001E-2</v>
      </c>
    </row>
    <row r="172" spans="21:23">
      <c r="W172" s="2298"/>
    </row>
    <row r="173" spans="21:23">
      <c r="W173" s="2298"/>
    </row>
    <row r="174" spans="21:23">
      <c r="W174" s="2298"/>
    </row>
    <row r="175" spans="21:23">
      <c r="U175" s="2318" t="s">
        <v>2026</v>
      </c>
      <c r="W175" s="2298"/>
    </row>
    <row r="176" spans="21:23">
      <c r="U176" s="2311" t="s">
        <v>1939</v>
      </c>
      <c r="V176" s="2306"/>
      <c r="W176" s="2320"/>
    </row>
    <row r="177" spans="21:23">
      <c r="U177" s="2311" t="s">
        <v>428</v>
      </c>
      <c r="V177" s="2313" t="s">
        <v>1944</v>
      </c>
      <c r="W177" s="2314">
        <f>W184</f>
        <v>10.029999999999999</v>
      </c>
    </row>
    <row r="178" spans="21:23">
      <c r="U178" s="2311" t="s">
        <v>425</v>
      </c>
      <c r="V178" s="2311" t="s">
        <v>1974</v>
      </c>
      <c r="W178" s="2314">
        <f>W187+W189+W194+W198</f>
        <v>15.309999999999999</v>
      </c>
    </row>
    <row r="179" spans="21:23">
      <c r="U179" s="2311" t="s">
        <v>427</v>
      </c>
      <c r="V179" s="2311" t="s">
        <v>259</v>
      </c>
      <c r="W179" s="2312">
        <f>W185+W188+W191+W192+W195+W196+W199+W200</f>
        <v>0.15470999999999999</v>
      </c>
    </row>
    <row r="180" spans="21:23">
      <c r="U180" s="2310"/>
      <c r="V180" s="2306"/>
      <c r="W180" s="2319"/>
    </row>
    <row r="181" spans="21:23">
      <c r="U181" s="2311" t="s">
        <v>1810</v>
      </c>
      <c r="V181" s="2306"/>
      <c r="W181" s="2309"/>
    </row>
    <row r="182" spans="21:23">
      <c r="U182" s="2310"/>
      <c r="V182" s="2306"/>
      <c r="W182" s="2298"/>
    </row>
    <row r="183" spans="21:23">
      <c r="U183" s="2461" t="s">
        <v>12</v>
      </c>
      <c r="V183" s="2306"/>
      <c r="W183" s="2298"/>
    </row>
    <row r="184" spans="21:23">
      <c r="U184" s="2463" t="s">
        <v>1943</v>
      </c>
      <c r="V184" s="2308" t="s">
        <v>1944</v>
      </c>
      <c r="W184" s="2303">
        <f>'PLIEGO UNIFICADO'!E174</f>
        <v>10.029999999999999</v>
      </c>
    </row>
    <row r="185" spans="21:23">
      <c r="U185" s="2463" t="s">
        <v>1968</v>
      </c>
      <c r="V185" s="2308" t="s">
        <v>259</v>
      </c>
      <c r="W185" s="2307">
        <f>'PLIEGO UNIFICADO'!E175</f>
        <v>4.5900000000000003E-3</v>
      </c>
    </row>
    <row r="186" spans="21:23">
      <c r="U186" s="2461" t="s">
        <v>9</v>
      </c>
      <c r="V186" s="2306"/>
      <c r="W186" s="2305"/>
    </row>
    <row r="187" spans="21:23">
      <c r="U187" s="2463" t="s">
        <v>2169</v>
      </c>
      <c r="V187" s="2304" t="s">
        <v>1974</v>
      </c>
      <c r="W187" s="2303">
        <f>'PLIEGO UNIFICADO'!E177</f>
        <v>11.29</v>
      </c>
    </row>
    <row r="188" spans="21:23">
      <c r="U188" s="2463" t="s">
        <v>2011</v>
      </c>
      <c r="V188" s="2308" t="s">
        <v>259</v>
      </c>
      <c r="W188" s="2307">
        <f>'PLIEGO UNIFICADO'!E181</f>
        <v>1.188E-2</v>
      </c>
    </row>
    <row r="189" spans="21:23">
      <c r="U189" s="2463" t="s">
        <v>1995</v>
      </c>
      <c r="V189" s="2304" t="s">
        <v>1974</v>
      </c>
      <c r="W189" s="2303">
        <f>'PLIEGO UNIFICADO'!E180</f>
        <v>0.42</v>
      </c>
    </row>
    <row r="190" spans="21:23">
      <c r="U190" s="2461" t="s">
        <v>309</v>
      </c>
      <c r="V190" s="2306"/>
      <c r="W190" s="2305"/>
    </row>
    <row r="191" spans="21:23">
      <c r="U191" s="2463" t="s">
        <v>1988</v>
      </c>
      <c r="V191" s="2308" t="s">
        <v>259</v>
      </c>
      <c r="W191" s="2307">
        <f>'PLIEGO UNIFICADO'!E183</f>
        <v>2.33E-3</v>
      </c>
    </row>
    <row r="192" spans="21:23">
      <c r="U192" s="2463" t="s">
        <v>1972</v>
      </c>
      <c r="V192" s="2308" t="s">
        <v>259</v>
      </c>
      <c r="W192" s="2307">
        <f>'PLIEGO UNIFICADO'!E193</f>
        <v>1.6199999999999999E-3</v>
      </c>
    </row>
    <row r="193" spans="21:23">
      <c r="U193" s="2461" t="s">
        <v>10</v>
      </c>
      <c r="V193" s="2306"/>
      <c r="W193" s="2323"/>
    </row>
    <row r="194" spans="21:23">
      <c r="U194" s="2463" t="s">
        <v>1989</v>
      </c>
      <c r="V194" s="2304" t="s">
        <v>1974</v>
      </c>
      <c r="W194" s="2303">
        <f>'PLIEGO UNIFICADO'!E185</f>
        <v>1.52</v>
      </c>
    </row>
    <row r="195" spans="21:23">
      <c r="U195" s="2463" t="s">
        <v>1968</v>
      </c>
      <c r="V195" s="2308" t="s">
        <v>259</v>
      </c>
      <c r="W195" s="2307">
        <f>'PLIEGO UNIFICADO'!E186</f>
        <v>3.79E-3</v>
      </c>
    </row>
    <row r="196" spans="21:23">
      <c r="U196" s="2463" t="s">
        <v>1973</v>
      </c>
      <c r="V196" s="2308" t="s">
        <v>259</v>
      </c>
      <c r="W196" s="2307">
        <f>'PLIEGO UNIFICADO'!E188</f>
        <v>6.9100000000000003E-3</v>
      </c>
    </row>
    <row r="197" spans="21:23">
      <c r="U197" s="2461" t="s">
        <v>11</v>
      </c>
      <c r="V197" s="2306"/>
      <c r="W197" s="2307"/>
    </row>
    <row r="198" spans="21:23">
      <c r="U198" s="2463" t="s">
        <v>1989</v>
      </c>
      <c r="V198" s="2304" t="s">
        <v>1974</v>
      </c>
      <c r="W198" s="2303">
        <f>'PLIEGO UNIFICADO'!E190</f>
        <v>2.08</v>
      </c>
    </row>
    <row r="199" spans="21:23">
      <c r="U199" s="2463" t="s">
        <v>1968</v>
      </c>
      <c r="V199" s="2308" t="s">
        <v>259</v>
      </c>
      <c r="W199" s="2307">
        <f>'PLIEGO UNIFICADO'!E192+'PLIEGO UNIFICADO'!E194</f>
        <v>9.0969999999999995E-2</v>
      </c>
    </row>
    <row r="200" spans="21:23">
      <c r="U200" s="2463" t="s">
        <v>1991</v>
      </c>
      <c r="V200" s="2308" t="s">
        <v>259</v>
      </c>
      <c r="W200" s="2307">
        <f>'PLIEGO UNIFICADO'!E191</f>
        <v>3.2620000000000003E-2</v>
      </c>
    </row>
    <row r="201" spans="21:23">
      <c r="W201" s="2298"/>
    </row>
    <row r="202" spans="21:23">
      <c r="W202" s="2298"/>
    </row>
    <row r="203" spans="21:23">
      <c r="U203" s="2318" t="s">
        <v>2027</v>
      </c>
      <c r="W203" s="2298"/>
    </row>
    <row r="204" spans="21:23">
      <c r="U204" s="2311" t="s">
        <v>1939</v>
      </c>
      <c r="V204" s="1571"/>
      <c r="W204" s="2320"/>
    </row>
    <row r="205" spans="21:23">
      <c r="U205" s="2311" t="s">
        <v>313</v>
      </c>
      <c r="V205" s="2313" t="s">
        <v>1944</v>
      </c>
      <c r="W205" s="2314">
        <f>W215</f>
        <v>10.029999999999999</v>
      </c>
    </row>
    <row r="206" spans="21:23">
      <c r="U206" s="2311" t="s">
        <v>1992</v>
      </c>
      <c r="V206" s="2313" t="s">
        <v>259</v>
      </c>
      <c r="W206" s="2312">
        <f>W216+W220+W225+W226+W230+W231+W234+W237</f>
        <v>0.23072000000000004</v>
      </c>
    </row>
    <row r="207" spans="21:23">
      <c r="U207" s="2311" t="s">
        <v>1941</v>
      </c>
      <c r="V207" s="2313" t="s">
        <v>259</v>
      </c>
      <c r="W207" s="2312">
        <f>W216+W221+W225+W226+W230+W231+W235+W237</f>
        <v>0.1749</v>
      </c>
    </row>
    <row r="208" spans="21:23">
      <c r="U208" s="2311" t="s">
        <v>1942</v>
      </c>
      <c r="V208" s="2313" t="s">
        <v>259</v>
      </c>
      <c r="W208" s="2312">
        <f>W216+W222+W225+W226+W230+W231+W236+W237</f>
        <v>0.11678000000000001</v>
      </c>
    </row>
    <row r="209" spans="21:23">
      <c r="U209" s="2311" t="s">
        <v>1981</v>
      </c>
      <c r="V209" s="2311" t="s">
        <v>1974</v>
      </c>
      <c r="W209" s="2314">
        <f>W218+W223+W228+W233</f>
        <v>10.4</v>
      </c>
    </row>
    <row r="210" spans="21:23">
      <c r="U210" s="2311" t="s">
        <v>909</v>
      </c>
      <c r="V210" s="2311" t="s">
        <v>1974</v>
      </c>
      <c r="W210" s="2314">
        <f>W219</f>
        <v>5.46</v>
      </c>
    </row>
    <row r="211" spans="21:23">
      <c r="U211" s="2310"/>
      <c r="V211" s="1571"/>
      <c r="W211" s="2319"/>
    </row>
    <row r="212" spans="21:23">
      <c r="U212" s="2311" t="s">
        <v>1810</v>
      </c>
      <c r="V212" s="2306"/>
      <c r="W212" s="2309"/>
    </row>
    <row r="213" spans="21:23">
      <c r="U213" s="2310"/>
      <c r="V213" s="2306"/>
      <c r="W213" s="2309"/>
    </row>
    <row r="214" spans="21:23">
      <c r="U214" s="2461" t="s">
        <v>12</v>
      </c>
      <c r="V214" s="1571"/>
      <c r="W214" s="2319"/>
    </row>
    <row r="215" spans="21:23">
      <c r="U215" s="2463" t="s">
        <v>1993</v>
      </c>
      <c r="V215" s="2308" t="s">
        <v>1944</v>
      </c>
      <c r="W215" s="2303">
        <f>'PLIEGO UNIFICADO'!E208</f>
        <v>10.029999999999999</v>
      </c>
    </row>
    <row r="216" spans="21:23">
      <c r="U216" s="2463" t="s">
        <v>1994</v>
      </c>
      <c r="V216" s="2308" t="s">
        <v>259</v>
      </c>
      <c r="W216" s="2307">
        <f>'PLIEGO UNIFICADO'!E209</f>
        <v>4.5900000000000003E-3</v>
      </c>
    </row>
    <row r="217" spans="21:23">
      <c r="U217" s="2461" t="s">
        <v>9</v>
      </c>
      <c r="V217" s="2306"/>
      <c r="W217" s="2305"/>
    </row>
    <row r="218" spans="21:23">
      <c r="U218" s="2463" t="s">
        <v>1982</v>
      </c>
      <c r="V218" s="2304" t="s">
        <v>1974</v>
      </c>
      <c r="W218" s="2303">
        <f>'PLIEGO UNIFICADO'!E211</f>
        <v>6.22</v>
      </c>
    </row>
    <row r="219" spans="21:23">
      <c r="U219" s="2463" t="s">
        <v>1983</v>
      </c>
      <c r="V219" s="2304" t="s">
        <v>1974</v>
      </c>
      <c r="W219" s="2303">
        <f>'PLIEGO UNIFICADO'!E212</f>
        <v>5.46</v>
      </c>
    </row>
    <row r="220" spans="21:23">
      <c r="U220" s="2463" t="s">
        <v>1984</v>
      </c>
      <c r="V220" s="2308" t="s">
        <v>259</v>
      </c>
      <c r="W220" s="2307">
        <f>'PLIEGO UNIFICADO'!E216</f>
        <v>1.188E-2</v>
      </c>
    </row>
    <row r="221" spans="21:23">
      <c r="U221" s="2463" t="s">
        <v>1985</v>
      </c>
      <c r="V221" s="2308" t="s">
        <v>259</v>
      </c>
      <c r="W221" s="2307">
        <f>'PLIEGO UNIFICADO'!E216</f>
        <v>1.188E-2</v>
      </c>
    </row>
    <row r="222" spans="21:23">
      <c r="U222" s="2463" t="s">
        <v>1986</v>
      </c>
      <c r="V222" s="2308" t="s">
        <v>259</v>
      </c>
      <c r="W222" s="2307">
        <f>'PLIEGO UNIFICADO'!E216</f>
        <v>1.188E-2</v>
      </c>
    </row>
    <row r="223" spans="21:23">
      <c r="U223" s="2463" t="s">
        <v>1995</v>
      </c>
      <c r="V223" s="2304" t="s">
        <v>1974</v>
      </c>
      <c r="W223" s="2303">
        <f>'PLIEGO UNIFICADO'!E215</f>
        <v>0.45</v>
      </c>
    </row>
    <row r="224" spans="21:23">
      <c r="U224" s="2461" t="s">
        <v>309</v>
      </c>
      <c r="V224" s="2306"/>
      <c r="W224" s="2305"/>
    </row>
    <row r="225" spans="21:23">
      <c r="U225" s="2463" t="s">
        <v>1988</v>
      </c>
      <c r="V225" s="2308" t="s">
        <v>259</v>
      </c>
      <c r="W225" s="2307">
        <f>'PLIEGO UNIFICADO'!E218</f>
        <v>2.33E-3</v>
      </c>
    </row>
    <row r="226" spans="21:23">
      <c r="U226" s="2463" t="s">
        <v>1972</v>
      </c>
      <c r="V226" s="2308" t="s">
        <v>259</v>
      </c>
      <c r="W226" s="2307">
        <f>'PLIEGO UNIFICADO'!E230</f>
        <v>1.6199999999999999E-3</v>
      </c>
    </row>
    <row r="227" spans="21:23">
      <c r="U227" s="2461" t="s">
        <v>10</v>
      </c>
      <c r="V227" s="2306"/>
      <c r="W227" s="2307"/>
    </row>
    <row r="228" spans="21:23">
      <c r="U228" s="2463" t="s">
        <v>1982</v>
      </c>
      <c r="V228" s="2304" t="s">
        <v>1974</v>
      </c>
      <c r="W228" s="2303">
        <f>'PLIEGO UNIFICADO'!E220</f>
        <v>1.58</v>
      </c>
    </row>
    <row r="229" spans="21:23">
      <c r="U229" s="2463" t="s">
        <v>1996</v>
      </c>
      <c r="V229" s="2304" t="s">
        <v>1974</v>
      </c>
      <c r="W229" s="2303">
        <f>0</f>
        <v>0</v>
      </c>
    </row>
    <row r="230" spans="21:23">
      <c r="U230" s="2463" t="s">
        <v>1968</v>
      </c>
      <c r="V230" s="2308" t="s">
        <v>259</v>
      </c>
      <c r="W230" s="2307">
        <f>'PLIEGO UNIFICADO'!E221</f>
        <v>3.6800000000000001E-3</v>
      </c>
    </row>
    <row r="231" spans="21:23">
      <c r="U231" s="2463" t="s">
        <v>1973</v>
      </c>
      <c r="V231" s="2308" t="s">
        <v>259</v>
      </c>
      <c r="W231" s="2307">
        <f>'PLIEGO UNIFICADO'!E223</f>
        <v>6.9100000000000003E-3</v>
      </c>
    </row>
    <row r="232" spans="21:23">
      <c r="U232" s="2461" t="s">
        <v>11</v>
      </c>
      <c r="V232" s="2306"/>
      <c r="W232" s="2307"/>
    </row>
    <row r="233" spans="21:23">
      <c r="U233" s="2463" t="s">
        <v>1989</v>
      </c>
      <c r="V233" s="2304" t="s">
        <v>1974</v>
      </c>
      <c r="W233" s="2303">
        <f>'PLIEGO UNIFICADO'!E225</f>
        <v>2.15</v>
      </c>
    </row>
    <row r="234" spans="21:23">
      <c r="U234" s="2463" t="s">
        <v>1990</v>
      </c>
      <c r="V234" s="2308" t="s">
        <v>259</v>
      </c>
      <c r="W234" s="2307">
        <f>'PLIEGO UNIFICADO'!E227+'PLIEGO UNIFICADO'!E231</f>
        <v>0.16045000000000001</v>
      </c>
    </row>
    <row r="235" spans="21:23">
      <c r="U235" s="2463" t="s">
        <v>1946</v>
      </c>
      <c r="V235" s="2308" t="s">
        <v>259</v>
      </c>
      <c r="W235" s="2307">
        <f>'PLIEGO UNIFICADO'!E228+'PLIEGO UNIFICADO'!E231</f>
        <v>0.10463</v>
      </c>
    </row>
    <row r="236" spans="21:23">
      <c r="U236" s="2463" t="s">
        <v>1947</v>
      </c>
      <c r="V236" s="2308" t="s">
        <v>259</v>
      </c>
      <c r="W236" s="2307">
        <f>'PLIEGO UNIFICADO'!E229+'PLIEGO UNIFICADO'!E231</f>
        <v>4.6510000000000003E-2</v>
      </c>
    </row>
    <row r="237" spans="21:23">
      <c r="U237" s="2463" t="s">
        <v>1991</v>
      </c>
      <c r="V237" s="2308" t="s">
        <v>259</v>
      </c>
      <c r="W237" s="2307">
        <f>'PLIEGO UNIFICADO'!E226</f>
        <v>3.9260000000000003E-2</v>
      </c>
    </row>
    <row r="238" spans="21:23">
      <c r="W238" s="2298"/>
    </row>
    <row r="239" spans="21:23">
      <c r="W239" s="2298"/>
    </row>
    <row r="240" spans="21:23">
      <c r="W240" s="2298"/>
    </row>
    <row r="241" spans="21:23">
      <c r="U241" s="2318" t="s">
        <v>1997</v>
      </c>
      <c r="W241" s="2298"/>
    </row>
    <row r="242" spans="21:23" ht="24">
      <c r="U242" s="2317" t="s">
        <v>1998</v>
      </c>
      <c r="W242" s="2298"/>
    </row>
    <row r="243" spans="21:23">
      <c r="U243" s="2317"/>
      <c r="W243" s="2298"/>
    </row>
    <row r="244" spans="21:23">
      <c r="U244" s="2311" t="s">
        <v>1939</v>
      </c>
      <c r="V244" s="2306"/>
      <c r="W244" s="2320"/>
    </row>
    <row r="245" spans="21:23">
      <c r="U245" s="2311" t="s">
        <v>428</v>
      </c>
      <c r="V245" s="2313" t="s">
        <v>1944</v>
      </c>
      <c r="W245" s="2314">
        <f>W252</f>
        <v>10.02</v>
      </c>
    </row>
    <row r="246" spans="21:23">
      <c r="U246" s="2311" t="s">
        <v>425</v>
      </c>
      <c r="V246" s="2311" t="s">
        <v>1974</v>
      </c>
      <c r="W246" s="2314">
        <f>W255+W257+W262+W266</f>
        <v>12.87</v>
      </c>
    </row>
    <row r="247" spans="21:23">
      <c r="U247" s="2311" t="s">
        <v>427</v>
      </c>
      <c r="V247" s="2313" t="s">
        <v>259</v>
      </c>
      <c r="W247" s="2312">
        <f>W253+W256+W259+W260+W263+W264+W267+W268</f>
        <v>0.12032999999999999</v>
      </c>
    </row>
    <row r="248" spans="21:23">
      <c r="U248" s="2310"/>
      <c r="V248" s="2306"/>
      <c r="W248" s="2309"/>
    </row>
    <row r="249" spans="21:23">
      <c r="U249" s="2311" t="s">
        <v>1810</v>
      </c>
      <c r="V249" s="2306"/>
      <c r="W249" s="2309"/>
    </row>
    <row r="250" spans="21:23">
      <c r="U250" s="2310"/>
      <c r="V250" s="2306"/>
      <c r="W250" s="2298"/>
    </row>
    <row r="251" spans="21:23">
      <c r="U251" s="2461" t="s">
        <v>12</v>
      </c>
      <c r="V251" s="1571"/>
      <c r="W251" s="2298"/>
    </row>
    <row r="252" spans="21:23">
      <c r="U252" s="2463" t="s">
        <v>1943</v>
      </c>
      <c r="V252" s="2308" t="s">
        <v>1944</v>
      </c>
      <c r="W252" s="2303">
        <f>'PLIEGO UNIFICADO'!E243</f>
        <v>10.02</v>
      </c>
    </row>
    <row r="253" spans="21:23">
      <c r="U253" s="2463" t="s">
        <v>1968</v>
      </c>
      <c r="V253" s="2304" t="s">
        <v>259</v>
      </c>
      <c r="W253" s="2307">
        <f>'PLIEGO UNIFICADO'!E244</f>
        <v>4.8999999999999998E-4</v>
      </c>
    </row>
    <row r="254" spans="21:23">
      <c r="U254" s="2461" t="s">
        <v>9</v>
      </c>
      <c r="V254" s="2306"/>
      <c r="W254" s="2305"/>
    </row>
    <row r="255" spans="21:23">
      <c r="U255" s="2463" t="s">
        <v>2169</v>
      </c>
      <c r="V255" s="2308" t="s">
        <v>1974</v>
      </c>
      <c r="W255" s="2303">
        <f>'PLIEGO UNIFICADO'!E246</f>
        <v>2.82</v>
      </c>
    </row>
    <row r="256" spans="21:23">
      <c r="U256" s="2463" t="s">
        <v>2011</v>
      </c>
      <c r="V256" s="2304" t="s">
        <v>259</v>
      </c>
      <c r="W256" s="2307">
        <f>'PLIEGO UNIFICADO'!E250</f>
        <v>1.7600000000000001E-3</v>
      </c>
    </row>
    <row r="257" spans="21:23">
      <c r="U257" s="2463" t="s">
        <v>1995</v>
      </c>
      <c r="V257" s="2304" t="s">
        <v>1974</v>
      </c>
      <c r="W257" s="2303">
        <f>'PLIEGO UNIFICADO'!E249</f>
        <v>7.0000000000000007E-2</v>
      </c>
    </row>
    <row r="258" spans="21:23">
      <c r="U258" s="2461" t="s">
        <v>309</v>
      </c>
      <c r="V258" s="1571"/>
      <c r="W258" s="2305"/>
    </row>
    <row r="259" spans="21:23">
      <c r="U259" s="2463" t="s">
        <v>1988</v>
      </c>
      <c r="V259" s="2308" t="s">
        <v>259</v>
      </c>
      <c r="W259" s="2307">
        <f>'PLIEGO UNIFICADO'!E252</f>
        <v>2.33E-3</v>
      </c>
    </row>
    <row r="260" spans="21:23">
      <c r="U260" s="2463" t="s">
        <v>1972</v>
      </c>
      <c r="V260" s="2304" t="s">
        <v>259</v>
      </c>
      <c r="W260" s="2307">
        <f>'PLIEGO UNIFICADO'!E262</f>
        <v>1.6199999999999999E-3</v>
      </c>
    </row>
    <row r="261" spans="21:23">
      <c r="U261" s="2461" t="s">
        <v>10</v>
      </c>
      <c r="V261" s="2306"/>
      <c r="W261" s="2307"/>
    </row>
    <row r="262" spans="21:23">
      <c r="U262" s="2463" t="s">
        <v>1989</v>
      </c>
      <c r="V262" s="2308" t="s">
        <v>1974</v>
      </c>
      <c r="W262" s="2303">
        <f>'PLIEGO UNIFICADO'!E254</f>
        <v>1.8</v>
      </c>
    </row>
    <row r="263" spans="21:23">
      <c r="U263" s="2463" t="s">
        <v>1968</v>
      </c>
      <c r="V263" s="2308" t="s">
        <v>259</v>
      </c>
      <c r="W263" s="2307">
        <f>'PLIEGO UNIFICADO'!E255</f>
        <v>3.1700000000000001E-3</v>
      </c>
    </row>
    <row r="264" spans="21:23">
      <c r="U264" s="2463" t="s">
        <v>1973</v>
      </c>
      <c r="V264" s="2304" t="s">
        <v>259</v>
      </c>
      <c r="W264" s="2307">
        <f>'PLIEGO UNIFICADO'!E257</f>
        <v>6.8999999999999999E-3</v>
      </c>
    </row>
    <row r="265" spans="21:23">
      <c r="U265" s="2461" t="s">
        <v>11</v>
      </c>
      <c r="V265" s="2306"/>
      <c r="W265" s="2307"/>
    </row>
    <row r="266" spans="21:23">
      <c r="U266" s="2463" t="s">
        <v>1989</v>
      </c>
      <c r="V266" s="2308" t="s">
        <v>1974</v>
      </c>
      <c r="W266" s="2303">
        <f>'PLIEGO UNIFICADO'!E259</f>
        <v>8.18</v>
      </c>
    </row>
    <row r="267" spans="21:23">
      <c r="U267" s="2463" t="s">
        <v>1968</v>
      </c>
      <c r="V267" s="2308" t="s">
        <v>259</v>
      </c>
      <c r="W267" s="2307">
        <f>'PLIEGO UNIFICADO'!E261+'PLIEGO UNIFICADO'!E263</f>
        <v>9.0910000000000005E-2</v>
      </c>
    </row>
    <row r="268" spans="21:23">
      <c r="U268" s="2463" t="s">
        <v>1991</v>
      </c>
      <c r="V268" s="2308" t="s">
        <v>259</v>
      </c>
      <c r="W268" s="2307">
        <f>'PLIEGO UNIFICADO'!E260</f>
        <v>1.315E-2</v>
      </c>
    </row>
    <row r="269" spans="21:23">
      <c r="W269" s="2298"/>
    </row>
    <row r="270" spans="21:23">
      <c r="W270" s="2298"/>
    </row>
    <row r="271" spans="21:23">
      <c r="W271" s="2298"/>
    </row>
    <row r="272" spans="21:23">
      <c r="U272" s="2318" t="s">
        <v>1999</v>
      </c>
      <c r="W272" s="2298"/>
    </row>
    <row r="273" spans="21:23" ht="24">
      <c r="U273" s="2317" t="s">
        <v>1998</v>
      </c>
      <c r="W273" s="2298"/>
    </row>
    <row r="274" spans="21:23">
      <c r="U274" s="2317"/>
      <c r="W274" s="2298"/>
    </row>
    <row r="275" spans="21:23">
      <c r="U275" s="2311" t="s">
        <v>1939</v>
      </c>
      <c r="V275" s="1571"/>
      <c r="W275" s="2320"/>
    </row>
    <row r="276" spans="21:23">
      <c r="U276" s="2311" t="s">
        <v>313</v>
      </c>
      <c r="V276" s="2313" t="s">
        <v>1944</v>
      </c>
      <c r="W276" s="2314">
        <f>W285</f>
        <v>10.02</v>
      </c>
    </row>
    <row r="277" spans="21:23">
      <c r="U277" s="2311" t="s">
        <v>1980</v>
      </c>
      <c r="V277" s="2313" t="s">
        <v>259</v>
      </c>
      <c r="W277" s="2312">
        <f>SUM(W286,W290,W295:W296,W300:W301,W304,W307)</f>
        <v>0.17208999999999999</v>
      </c>
    </row>
    <row r="278" spans="21:23">
      <c r="U278" s="2311" t="s">
        <v>1941</v>
      </c>
      <c r="V278" s="2313" t="s">
        <v>259</v>
      </c>
      <c r="W278" s="2312">
        <f>SUM(W286,W291,W295:W296,W300:W301,W305,W308)</f>
        <v>0.12963</v>
      </c>
    </row>
    <row r="279" spans="21:23">
      <c r="U279" s="2311" t="s">
        <v>1942</v>
      </c>
      <c r="V279" s="2313" t="s">
        <v>259</v>
      </c>
      <c r="W279" s="2312">
        <f>SUM(W286,W292,W295:W296,W300:W301,W306,W309)</f>
        <v>8.7160000000000001E-2</v>
      </c>
    </row>
    <row r="280" spans="21:23">
      <c r="U280" s="2311" t="s">
        <v>1981</v>
      </c>
      <c r="V280" s="2311" t="s">
        <v>1974</v>
      </c>
      <c r="W280" s="2314">
        <f>W288+W298+W303+W293</f>
        <v>12.14</v>
      </c>
    </row>
    <row r="281" spans="21:23">
      <c r="U281" s="2311" t="s">
        <v>909</v>
      </c>
      <c r="V281" s="2311" t="s">
        <v>1974</v>
      </c>
      <c r="W281" s="2314">
        <f>W289+W299</f>
        <v>0.83</v>
      </c>
    </row>
    <row r="282" spans="21:23">
      <c r="U282" s="2310"/>
      <c r="V282" s="1571"/>
      <c r="W282" s="2320"/>
    </row>
    <row r="283" spans="21:23">
      <c r="U283" s="2461" t="s">
        <v>1810</v>
      </c>
      <c r="V283" s="1571"/>
      <c r="W283" s="2320"/>
    </row>
    <row r="284" spans="21:23">
      <c r="U284" s="2461" t="s">
        <v>12</v>
      </c>
      <c r="V284" s="1571"/>
      <c r="W284" s="2320"/>
    </row>
    <row r="285" spans="21:23">
      <c r="U285" s="2463" t="s">
        <v>1943</v>
      </c>
      <c r="V285" s="2308" t="s">
        <v>1944</v>
      </c>
      <c r="W285" s="2303">
        <f>'PLIEGO UNIFICADO'!E276</f>
        <v>10.02</v>
      </c>
    </row>
    <row r="286" spans="21:23">
      <c r="U286" s="2463" t="s">
        <v>1968</v>
      </c>
      <c r="V286" s="2308" t="s">
        <v>259</v>
      </c>
      <c r="W286" s="2307">
        <f>'PLIEGO UNIFICADO'!E277</f>
        <v>4.8999999999999998E-4</v>
      </c>
    </row>
    <row r="287" spans="21:23">
      <c r="U287" s="2461" t="s">
        <v>9</v>
      </c>
      <c r="V287" s="2306"/>
      <c r="W287" s="2305"/>
    </row>
    <row r="288" spans="21:23">
      <c r="U288" s="2463" t="s">
        <v>1982</v>
      </c>
      <c r="V288" s="2304" t="s">
        <v>1974</v>
      </c>
      <c r="W288" s="2303">
        <f>'PLIEGO UNIFICADO'!E279</f>
        <v>2.0099999999999998</v>
      </c>
    </row>
    <row r="289" spans="21:23">
      <c r="U289" s="2463" t="s">
        <v>1983</v>
      </c>
      <c r="V289" s="2304" t="s">
        <v>1974</v>
      </c>
      <c r="W289" s="2303">
        <f>'PLIEGO UNIFICADO'!E280</f>
        <v>0.83</v>
      </c>
    </row>
    <row r="290" spans="21:23">
      <c r="U290" s="2463" t="s">
        <v>2000</v>
      </c>
      <c r="V290" s="2308" t="s">
        <v>259</v>
      </c>
      <c r="W290" s="2307">
        <f>'PLIEGO UNIFICADO'!E284</f>
        <v>1.7600000000000001E-3</v>
      </c>
    </row>
    <row r="291" spans="21:23">
      <c r="U291" s="2463" t="s">
        <v>1985</v>
      </c>
      <c r="V291" s="2308" t="s">
        <v>259</v>
      </c>
      <c r="W291" s="2307">
        <f>'PLIEGO UNIFICADO'!E284</f>
        <v>1.7600000000000001E-3</v>
      </c>
    </row>
    <row r="292" spans="21:23">
      <c r="U292" s="2463" t="s">
        <v>1986</v>
      </c>
      <c r="V292" s="2308" t="s">
        <v>259</v>
      </c>
      <c r="W292" s="2307">
        <f>'PLIEGO UNIFICADO'!E284</f>
        <v>1.7600000000000001E-3</v>
      </c>
    </row>
    <row r="293" spans="21:23">
      <c r="U293" s="2463" t="s">
        <v>2001</v>
      </c>
      <c r="V293" s="2304" t="s">
        <v>1974</v>
      </c>
      <c r="W293" s="2303">
        <f>'PLIEGO UNIFICADO'!E283</f>
        <v>7.0000000000000007E-2</v>
      </c>
    </row>
    <row r="294" spans="21:23">
      <c r="U294" s="2461" t="s">
        <v>309</v>
      </c>
      <c r="V294" s="2306"/>
      <c r="W294" s="2305"/>
    </row>
    <row r="295" spans="21:23">
      <c r="U295" s="2463" t="s">
        <v>1988</v>
      </c>
      <c r="V295" s="2308" t="s">
        <v>259</v>
      </c>
      <c r="W295" s="2307">
        <f>'PLIEGO UNIFICADO'!E286</f>
        <v>2.33E-3</v>
      </c>
    </row>
    <row r="296" spans="21:23">
      <c r="U296" s="2463" t="s">
        <v>1972</v>
      </c>
      <c r="V296" s="2308" t="s">
        <v>259</v>
      </c>
      <c r="W296" s="2307">
        <f>'PLIEGO UNIFICADO'!E298</f>
        <v>1.6199999999999999E-3</v>
      </c>
    </row>
    <row r="297" spans="21:23">
      <c r="U297" s="2461" t="s">
        <v>10</v>
      </c>
      <c r="V297" s="2306"/>
      <c r="W297" s="2307"/>
    </row>
    <row r="298" spans="21:23">
      <c r="U298" s="2463" t="s">
        <v>1982</v>
      </c>
      <c r="V298" s="2304" t="s">
        <v>1974</v>
      </c>
      <c r="W298" s="2303">
        <f>'PLIEGO UNIFICADO'!E288</f>
        <v>1.82</v>
      </c>
    </row>
    <row r="299" spans="21:23">
      <c r="U299" s="2463" t="s">
        <v>1996</v>
      </c>
      <c r="V299" s="2304" t="s">
        <v>1974</v>
      </c>
      <c r="W299" s="2303">
        <f>0</f>
        <v>0</v>
      </c>
    </row>
    <row r="300" spans="21:23">
      <c r="U300" s="2463" t="s">
        <v>2002</v>
      </c>
      <c r="V300" s="2308" t="s">
        <v>259</v>
      </c>
      <c r="W300" s="2307">
        <f>'PLIEGO UNIFICADO'!E289</f>
        <v>2.7299999999999998E-3</v>
      </c>
    </row>
    <row r="301" spans="21:23">
      <c r="U301" s="2463" t="s">
        <v>1973</v>
      </c>
      <c r="V301" s="2308" t="s">
        <v>259</v>
      </c>
      <c r="W301" s="2307">
        <f>'PLIEGO UNIFICADO'!E291</f>
        <v>6.8999999999999999E-3</v>
      </c>
    </row>
    <row r="302" spans="21:23">
      <c r="U302" s="2461" t="s">
        <v>11</v>
      </c>
      <c r="V302" s="2306"/>
      <c r="W302" s="2307"/>
    </row>
    <row r="303" spans="21:23">
      <c r="U303" s="2463" t="s">
        <v>1982</v>
      </c>
      <c r="V303" s="2304" t="s">
        <v>1974</v>
      </c>
      <c r="W303" s="2303">
        <f>'PLIEGO UNIFICADO'!E293</f>
        <v>8.24</v>
      </c>
    </row>
    <row r="304" spans="21:23">
      <c r="U304" s="2463" t="s">
        <v>1990</v>
      </c>
      <c r="V304" s="2308" t="s">
        <v>259</v>
      </c>
      <c r="W304" s="2307">
        <f>'PLIEGO UNIFICADO'!E295+'PLIEGO UNIFICADO'!E299</f>
        <v>0.14310999999999999</v>
      </c>
    </row>
    <row r="305" spans="21:23">
      <c r="U305" s="2463" t="s">
        <v>1946</v>
      </c>
      <c r="V305" s="2308" t="s">
        <v>259</v>
      </c>
      <c r="W305" s="2307">
        <f>'PLIEGO UNIFICADO'!E296+'PLIEGO UNIFICADO'!E299</f>
        <v>0.10065</v>
      </c>
    </row>
    <row r="306" spans="21:23">
      <c r="U306" s="2463" t="s">
        <v>1947</v>
      </c>
      <c r="V306" s="2308" t="s">
        <v>259</v>
      </c>
      <c r="W306" s="2307">
        <f>'PLIEGO UNIFICADO'!E297+'PLIEGO UNIFICADO'!E299</f>
        <v>5.8180000000000003E-2</v>
      </c>
    </row>
    <row r="307" spans="21:23">
      <c r="U307" s="2463" t="s">
        <v>2003</v>
      </c>
      <c r="V307" s="2308" t="s">
        <v>259</v>
      </c>
      <c r="W307" s="2307">
        <f>'PLIEGO UNIFICADO'!E294</f>
        <v>1.315E-2</v>
      </c>
    </row>
    <row r="308" spans="21:23">
      <c r="U308" s="2463" t="s">
        <v>2004</v>
      </c>
      <c r="V308" s="2308" t="s">
        <v>259</v>
      </c>
      <c r="W308" s="2307">
        <f>'PLIEGO UNIFICADO'!E294</f>
        <v>1.315E-2</v>
      </c>
    </row>
    <row r="309" spans="21:23">
      <c r="U309" s="2463" t="s">
        <v>2005</v>
      </c>
      <c r="V309" s="2308" t="s">
        <v>259</v>
      </c>
      <c r="W309" s="2307">
        <f>'PLIEGO UNIFICADO'!E294</f>
        <v>1.315E-2</v>
      </c>
    </row>
    <row r="310" spans="21:23">
      <c r="W310" s="2298"/>
    </row>
    <row r="311" spans="21:23">
      <c r="W311" s="2298"/>
    </row>
    <row r="312" spans="21:23">
      <c r="W312" s="2298"/>
    </row>
    <row r="313" spans="21:23">
      <c r="W313" s="2298"/>
    </row>
    <row r="314" spans="21:23">
      <c r="U314" s="2318" t="s">
        <v>1999</v>
      </c>
      <c r="W314" s="2298"/>
    </row>
    <row r="315" spans="21:23" ht="24">
      <c r="U315" s="2317" t="s">
        <v>2006</v>
      </c>
      <c r="W315" s="2298"/>
    </row>
    <row r="316" spans="21:23">
      <c r="U316" s="2322"/>
      <c r="W316" s="2298"/>
    </row>
    <row r="317" spans="21:23">
      <c r="U317" s="2311" t="s">
        <v>1939</v>
      </c>
      <c r="V317" s="1571"/>
      <c r="W317" s="2320"/>
    </row>
    <row r="318" spans="21:23">
      <c r="U318" s="2311" t="s">
        <v>313</v>
      </c>
      <c r="V318" s="2313" t="s">
        <v>1944</v>
      </c>
      <c r="W318" s="2314">
        <f>W329</f>
        <v>10.02</v>
      </c>
    </row>
    <row r="319" spans="21:23">
      <c r="U319" s="2311" t="s">
        <v>1980</v>
      </c>
      <c r="V319" s="2313" t="s">
        <v>259</v>
      </c>
      <c r="W319" s="2312">
        <f>W334+W339+W340+W344+W330</f>
        <v>8.9300000000000004E-3</v>
      </c>
    </row>
    <row r="320" spans="21:23">
      <c r="U320" s="2311" t="s">
        <v>1941</v>
      </c>
      <c r="V320" s="2313" t="s">
        <v>259</v>
      </c>
      <c r="W320" s="2312">
        <f>W319</f>
        <v>8.9300000000000004E-3</v>
      </c>
    </row>
    <row r="321" spans="21:23">
      <c r="U321" s="2311" t="s">
        <v>1942</v>
      </c>
      <c r="V321" s="2313" t="s">
        <v>259</v>
      </c>
      <c r="W321" s="2312">
        <f>W320</f>
        <v>8.9300000000000004E-3</v>
      </c>
    </row>
    <row r="322" spans="21:23">
      <c r="U322" s="2311" t="s">
        <v>1981</v>
      </c>
      <c r="V322" s="2311" t="s">
        <v>1974</v>
      </c>
      <c r="W322" s="2314">
        <f>W332+W337+W342</f>
        <v>3.8999999999999995</v>
      </c>
    </row>
    <row r="323" spans="21:23">
      <c r="U323" s="2311" t="s">
        <v>909</v>
      </c>
      <c r="V323" s="2311" t="s">
        <v>1974</v>
      </c>
      <c r="W323" s="2314">
        <f>W333</f>
        <v>0.83</v>
      </c>
    </row>
    <row r="324" spans="21:23" ht="24">
      <c r="U324" s="2311" t="s">
        <v>2007</v>
      </c>
      <c r="V324" s="2311" t="s">
        <v>1974</v>
      </c>
      <c r="W324" s="2314">
        <f>W346</f>
        <v>16</v>
      </c>
    </row>
    <row r="325" spans="21:23">
      <c r="U325" s="2310"/>
      <c r="V325" s="1571"/>
      <c r="W325" s="2319"/>
    </row>
    <row r="326" spans="21:23">
      <c r="U326" s="2311" t="s">
        <v>2008</v>
      </c>
      <c r="V326" s="1571"/>
      <c r="W326" s="2319"/>
    </row>
    <row r="327" spans="21:23">
      <c r="U327" s="2310"/>
      <c r="V327" s="1571"/>
      <c r="W327" s="2319"/>
    </row>
    <row r="328" spans="21:23">
      <c r="U328" s="2461" t="s">
        <v>12</v>
      </c>
      <c r="V328" s="1571"/>
      <c r="W328" s="2305"/>
    </row>
    <row r="329" spans="21:23">
      <c r="U329" s="2463" t="s">
        <v>1943</v>
      </c>
      <c r="V329" s="2308" t="s">
        <v>1944</v>
      </c>
      <c r="W329" s="2303">
        <f>'PLIEGO UNIFICADO'!E456*2</f>
        <v>10.02</v>
      </c>
    </row>
    <row r="330" spans="21:23">
      <c r="U330" s="2463" t="s">
        <v>1968</v>
      </c>
      <c r="V330" s="2308" t="s">
        <v>259</v>
      </c>
      <c r="W330" s="2307">
        <f>'PLIEGO UNIFICADO'!E457</f>
        <v>4.8999999999999998E-4</v>
      </c>
    </row>
    <row r="331" spans="21:23">
      <c r="U331" s="2461" t="s">
        <v>9</v>
      </c>
      <c r="V331" s="2306"/>
      <c r="W331" s="2305"/>
    </row>
    <row r="332" spans="21:23">
      <c r="U332" s="2463" t="s">
        <v>1982</v>
      </c>
      <c r="V332" s="2304" t="s">
        <v>1974</v>
      </c>
      <c r="W332" s="2303">
        <f>'PLIEGO UNIFICADO'!E459</f>
        <v>2.0099999999999998</v>
      </c>
    </row>
    <row r="333" spans="21:23">
      <c r="U333" s="2463" t="s">
        <v>1983</v>
      </c>
      <c r="V333" s="2304" t="s">
        <v>1974</v>
      </c>
      <c r="W333" s="2303">
        <f>'PLIEGO UNIFICADO'!E460</f>
        <v>0.83</v>
      </c>
    </row>
    <row r="334" spans="21:23">
      <c r="U334" s="2463" t="s">
        <v>1984</v>
      </c>
      <c r="V334" s="2308" t="s">
        <v>259</v>
      </c>
      <c r="W334" s="2307">
        <f>'PLIEGO UNIFICADO'!E464</f>
        <v>1.7600000000000001E-3</v>
      </c>
    </row>
    <row r="335" spans="21:23">
      <c r="U335" s="2463" t="s">
        <v>1985</v>
      </c>
      <c r="V335" s="2308" t="s">
        <v>259</v>
      </c>
      <c r="W335" s="2307">
        <f>'PLIEGO UNIFICADO'!E464</f>
        <v>1.7600000000000001E-3</v>
      </c>
    </row>
    <row r="336" spans="21:23">
      <c r="U336" s="2463" t="s">
        <v>1986</v>
      </c>
      <c r="V336" s="2308" t="s">
        <v>259</v>
      </c>
      <c r="W336" s="2307">
        <f>'PLIEGO UNIFICADO'!E464</f>
        <v>1.7600000000000001E-3</v>
      </c>
    </row>
    <row r="337" spans="21:23">
      <c r="U337" s="2463" t="s">
        <v>1987</v>
      </c>
      <c r="V337" s="2304" t="s">
        <v>1974</v>
      </c>
      <c r="W337" s="2303">
        <f>'PLIEGO UNIFICADO'!E463</f>
        <v>7.0000000000000007E-2</v>
      </c>
    </row>
    <row r="338" spans="21:23">
      <c r="U338" s="2461" t="s">
        <v>309</v>
      </c>
      <c r="V338" s="2306"/>
      <c r="W338" s="2305"/>
    </row>
    <row r="339" spans="21:23">
      <c r="U339" s="2463" t="s">
        <v>1988</v>
      </c>
      <c r="V339" s="2308" t="s">
        <v>259</v>
      </c>
      <c r="W339" s="2307">
        <f>'PLIEGO UNIFICADO'!E466</f>
        <v>2.33E-3</v>
      </c>
    </row>
    <row r="340" spans="21:23">
      <c r="U340" s="2463" t="s">
        <v>1972</v>
      </c>
      <c r="V340" s="2308" t="s">
        <v>259</v>
      </c>
      <c r="W340" s="2307">
        <f>'PLIEGO UNIFICADO'!E472</f>
        <v>1.6199999999999999E-3</v>
      </c>
    </row>
    <row r="341" spans="21:23">
      <c r="U341" s="2461" t="s">
        <v>10</v>
      </c>
      <c r="V341" s="2306"/>
      <c r="W341" s="2305"/>
    </row>
    <row r="342" spans="21:23">
      <c r="U342" s="2463" t="s">
        <v>1982</v>
      </c>
      <c r="V342" s="2304" t="s">
        <v>1974</v>
      </c>
      <c r="W342" s="2303">
        <f>'PLIEGO UNIFICADO'!E468</f>
        <v>1.82</v>
      </c>
    </row>
    <row r="343" spans="21:23">
      <c r="U343" s="2463" t="s">
        <v>1983</v>
      </c>
      <c r="V343" s="2304" t="s">
        <v>1974</v>
      </c>
      <c r="W343" s="2303">
        <f>0</f>
        <v>0</v>
      </c>
    </row>
    <row r="344" spans="21:23">
      <c r="U344" s="2463" t="s">
        <v>1968</v>
      </c>
      <c r="V344" s="2308" t="s">
        <v>259</v>
      </c>
      <c r="W344" s="2307">
        <f>'PLIEGO UNIFICADO'!E469</f>
        <v>2.7299999999999998E-3</v>
      </c>
    </row>
    <row r="345" spans="21:23">
      <c r="U345" s="2461" t="s">
        <v>11</v>
      </c>
      <c r="V345" s="2306"/>
      <c r="W345" s="2305"/>
    </row>
    <row r="346" spans="21:23" ht="36">
      <c r="U346" s="2466" t="s">
        <v>2009</v>
      </c>
      <c r="V346" s="2304" t="s">
        <v>1974</v>
      </c>
      <c r="W346" s="2303">
        <f>'PLIEGO UNIFICADO'!E471</f>
        <v>16</v>
      </c>
    </row>
    <row r="347" spans="21:23">
      <c r="W347" s="2298"/>
    </row>
    <row r="348" spans="21:23">
      <c r="W348" s="2298"/>
    </row>
    <row r="349" spans="21:23">
      <c r="U349" s="2318" t="s">
        <v>1997</v>
      </c>
      <c r="W349" s="2298"/>
    </row>
    <row r="350" spans="21:23" ht="24">
      <c r="U350" s="2317" t="s">
        <v>1998</v>
      </c>
      <c r="W350" s="2298"/>
    </row>
    <row r="351" spans="21:23">
      <c r="U351" s="1571"/>
      <c r="W351" s="2298"/>
    </row>
    <row r="352" spans="21:23">
      <c r="U352" s="2311" t="s">
        <v>1939</v>
      </c>
      <c r="V352" s="2306"/>
      <c r="W352" s="2320"/>
    </row>
    <row r="353" spans="21:23">
      <c r="U353" s="2311" t="s">
        <v>428</v>
      </c>
      <c r="V353" s="2313" t="s">
        <v>1944</v>
      </c>
      <c r="W353" s="2314">
        <f>W361</f>
        <v>10.02</v>
      </c>
    </row>
    <row r="354" spans="21:23">
      <c r="U354" s="2311" t="s">
        <v>425</v>
      </c>
      <c r="V354" s="2311" t="s">
        <v>1974</v>
      </c>
      <c r="W354" s="2314">
        <f>W364+W366+W371</f>
        <v>4.6899999999999995</v>
      </c>
    </row>
    <row r="355" spans="21:23">
      <c r="U355" s="2311" t="s">
        <v>2010</v>
      </c>
      <c r="V355" s="2311" t="s">
        <v>1974</v>
      </c>
      <c r="W355" s="2314">
        <f>W374</f>
        <v>16</v>
      </c>
    </row>
    <row r="356" spans="21:23">
      <c r="U356" s="2311" t="s">
        <v>250</v>
      </c>
      <c r="V356" s="2313" t="s">
        <v>259</v>
      </c>
      <c r="W356" s="2312">
        <f>W362+W365+W368+W369+W372</f>
        <v>9.3699999999999999E-3</v>
      </c>
    </row>
    <row r="357" spans="21:23">
      <c r="U357" s="2310"/>
      <c r="V357" s="2306"/>
      <c r="W357" s="2309"/>
    </row>
    <row r="358" spans="21:23">
      <c r="U358" s="2311" t="s">
        <v>1810</v>
      </c>
      <c r="V358" s="2306"/>
      <c r="W358" s="2319"/>
    </row>
    <row r="359" spans="21:23">
      <c r="U359" s="2310"/>
      <c r="V359" s="2306"/>
      <c r="W359" s="2309"/>
    </row>
    <row r="360" spans="21:23">
      <c r="U360" s="2461" t="s">
        <v>12</v>
      </c>
      <c r="V360" s="1571"/>
      <c r="W360" s="2309"/>
    </row>
    <row r="361" spans="21:23">
      <c r="U361" s="2463" t="s">
        <v>1943</v>
      </c>
      <c r="V361" s="2308" t="s">
        <v>1944</v>
      </c>
      <c r="W361" s="2303">
        <f>'PLIEGO UNIFICADO'!E431*2</f>
        <v>10.02</v>
      </c>
    </row>
    <row r="362" spans="21:23">
      <c r="U362" s="2463" t="s">
        <v>1968</v>
      </c>
      <c r="V362" s="2304" t="s">
        <v>259</v>
      </c>
      <c r="W362" s="2307">
        <f>'PLIEGO UNIFICADO'!E432</f>
        <v>4.8999999999999998E-4</v>
      </c>
    </row>
    <row r="363" spans="21:23">
      <c r="U363" s="2461" t="s">
        <v>9</v>
      </c>
      <c r="V363" s="2306"/>
      <c r="W363" s="2305"/>
    </row>
    <row r="364" spans="21:23">
      <c r="U364" s="2463" t="s">
        <v>1989</v>
      </c>
      <c r="V364" s="2308" t="s">
        <v>1974</v>
      </c>
      <c r="W364" s="2303">
        <f>'PLIEGO UNIFICADO'!E434</f>
        <v>2.82</v>
      </c>
    </row>
    <row r="365" spans="21:23">
      <c r="U365" s="2463" t="s">
        <v>2011</v>
      </c>
      <c r="V365" s="2304" t="s">
        <v>259</v>
      </c>
      <c r="W365" s="2307">
        <f>'PLIEGO UNIFICADO'!E438</f>
        <v>1.7600000000000001E-3</v>
      </c>
    </row>
    <row r="366" spans="21:23">
      <c r="U366" s="2463" t="s">
        <v>2012</v>
      </c>
      <c r="V366" s="2304" t="s">
        <v>1974</v>
      </c>
      <c r="W366" s="2303">
        <f>'PLIEGO UNIFICADO'!E437</f>
        <v>7.0000000000000007E-2</v>
      </c>
    </row>
    <row r="367" spans="21:23">
      <c r="U367" s="2461" t="s">
        <v>309</v>
      </c>
      <c r="V367" s="1571"/>
      <c r="W367" s="2305"/>
    </row>
    <row r="368" spans="21:23">
      <c r="U368" s="2463" t="s">
        <v>1988</v>
      </c>
      <c r="V368" s="2308" t="s">
        <v>259</v>
      </c>
      <c r="W368" s="2307">
        <f>'PLIEGO UNIFICADO'!E440</f>
        <v>2.33E-3</v>
      </c>
    </row>
    <row r="369" spans="21:23">
      <c r="U369" s="2463" t="s">
        <v>1972</v>
      </c>
      <c r="V369" s="2304" t="s">
        <v>259</v>
      </c>
      <c r="W369" s="2307">
        <f>'PLIEGO UNIFICADO'!E446</f>
        <v>1.6199999999999999E-3</v>
      </c>
    </row>
    <row r="370" spans="21:23">
      <c r="U370" s="2461" t="s">
        <v>10</v>
      </c>
      <c r="V370" s="2306"/>
      <c r="W370" s="2305"/>
    </row>
    <row r="371" spans="21:23">
      <c r="U371" s="2463" t="s">
        <v>1989</v>
      </c>
      <c r="V371" s="2308" t="s">
        <v>1974</v>
      </c>
      <c r="W371" s="2303">
        <f>'PLIEGO UNIFICADO'!E442</f>
        <v>1.8</v>
      </c>
    </row>
    <row r="372" spans="21:23">
      <c r="U372" s="2463" t="s">
        <v>1968</v>
      </c>
      <c r="V372" s="2308" t="s">
        <v>259</v>
      </c>
      <c r="W372" s="2307">
        <f>'PLIEGO UNIFICADO'!E443</f>
        <v>3.1700000000000001E-3</v>
      </c>
    </row>
    <row r="373" spans="21:23">
      <c r="U373" s="2461" t="s">
        <v>11</v>
      </c>
      <c r="V373" s="2304" t="s">
        <v>259</v>
      </c>
      <c r="W373" s="2305"/>
    </row>
    <row r="374" spans="21:23" ht="36">
      <c r="U374" s="2463" t="s">
        <v>2013</v>
      </c>
      <c r="V374" s="2308" t="s">
        <v>1974</v>
      </c>
      <c r="W374" s="2303">
        <f>'PLIEGO UNIFICADO'!E445</f>
        <v>16</v>
      </c>
    </row>
    <row r="375" spans="21:23">
      <c r="W375" s="2298"/>
    </row>
    <row r="376" spans="21:23">
      <c r="W376" s="2298"/>
    </row>
    <row r="377" spans="21:23">
      <c r="W377" s="2298"/>
    </row>
    <row r="378" spans="21:23">
      <c r="U378" s="2318" t="s">
        <v>2014</v>
      </c>
      <c r="W378" s="2298"/>
    </row>
    <row r="379" spans="21:23" ht="24">
      <c r="U379" s="2317" t="s">
        <v>2006</v>
      </c>
      <c r="W379" s="2298"/>
    </row>
    <row r="380" spans="21:23">
      <c r="U380" s="1571"/>
      <c r="W380" s="2298"/>
    </row>
    <row r="381" spans="21:23">
      <c r="U381" s="2311" t="s">
        <v>1939</v>
      </c>
      <c r="V381" s="1571"/>
      <c r="W381" s="2320"/>
    </row>
    <row r="382" spans="21:23">
      <c r="U382" s="2311" t="s">
        <v>313</v>
      </c>
      <c r="V382" s="2313" t="s">
        <v>1944</v>
      </c>
      <c r="W382" s="2314">
        <f>W393</f>
        <v>10.039999999999999</v>
      </c>
    </row>
    <row r="383" spans="21:23">
      <c r="U383" s="2311" t="s">
        <v>1992</v>
      </c>
      <c r="V383" s="2313" t="s">
        <v>259</v>
      </c>
      <c r="W383" s="2312">
        <f>W394+W398+W403+W404+W408</f>
        <v>2.4099999999999996E-2</v>
      </c>
    </row>
    <row r="384" spans="21:23">
      <c r="U384" s="2311" t="s">
        <v>1941</v>
      </c>
      <c r="V384" s="2313" t="s">
        <v>259</v>
      </c>
      <c r="W384" s="2312">
        <f>W383</f>
        <v>2.4099999999999996E-2</v>
      </c>
    </row>
    <row r="385" spans="21:23">
      <c r="U385" s="2311" t="s">
        <v>1942</v>
      </c>
      <c r="V385" s="2313" t="s">
        <v>259</v>
      </c>
      <c r="W385" s="2312">
        <f>W384</f>
        <v>2.4099999999999996E-2</v>
      </c>
    </row>
    <row r="386" spans="21:23">
      <c r="U386" s="2311" t="s">
        <v>1981</v>
      </c>
      <c r="V386" s="2311" t="s">
        <v>1974</v>
      </c>
      <c r="W386" s="2314">
        <f>W396+W401+W406</f>
        <v>8.25</v>
      </c>
    </row>
    <row r="387" spans="21:23">
      <c r="U387" s="2311" t="s">
        <v>909</v>
      </c>
      <c r="V387" s="2311" t="s">
        <v>1974</v>
      </c>
      <c r="W387" s="2314">
        <f>W397+W407</f>
        <v>5.46</v>
      </c>
    </row>
    <row r="388" spans="21:23" ht="24">
      <c r="U388" s="2311" t="s">
        <v>2007</v>
      </c>
      <c r="V388" s="2311" t="s">
        <v>1974</v>
      </c>
      <c r="W388" s="2314">
        <f>W410</f>
        <v>16</v>
      </c>
    </row>
    <row r="389" spans="21:23">
      <c r="U389" s="2310"/>
      <c r="V389" s="1571"/>
      <c r="W389" s="2319"/>
    </row>
    <row r="390" spans="21:23">
      <c r="U390" s="2311" t="s">
        <v>1810</v>
      </c>
      <c r="V390" s="2306"/>
      <c r="W390" s="2309"/>
    </row>
    <row r="391" spans="21:23">
      <c r="U391" s="2310"/>
      <c r="V391" s="2306"/>
      <c r="W391" s="2309"/>
    </row>
    <row r="392" spans="21:23">
      <c r="U392" s="2461" t="s">
        <v>12</v>
      </c>
      <c r="V392" s="1571"/>
      <c r="W392" s="2319"/>
    </row>
    <row r="393" spans="21:23">
      <c r="U393" s="2463" t="s">
        <v>1993</v>
      </c>
      <c r="V393" s="2308" t="s">
        <v>1944</v>
      </c>
      <c r="W393" s="2303">
        <f>'PLIEGO UNIFICADO'!E403*2</f>
        <v>10.039999999999999</v>
      </c>
    </row>
    <row r="394" spans="21:23">
      <c r="U394" s="2463" t="s">
        <v>1994</v>
      </c>
      <c r="V394" s="2308" t="s">
        <v>259</v>
      </c>
      <c r="W394" s="2307">
        <f>'PLIEGO UNIFICADO'!E404</f>
        <v>4.5900000000000003E-3</v>
      </c>
    </row>
    <row r="395" spans="21:23">
      <c r="U395" s="2461" t="s">
        <v>9</v>
      </c>
      <c r="V395" s="2306"/>
      <c r="W395" s="2305"/>
    </row>
    <row r="396" spans="21:23">
      <c r="U396" s="2463" t="s">
        <v>1982</v>
      </c>
      <c r="V396" s="2304" t="s">
        <v>1974</v>
      </c>
      <c r="W396" s="2303">
        <f>'PLIEGO UNIFICADO'!E406</f>
        <v>6.22</v>
      </c>
    </row>
    <row r="397" spans="21:23">
      <c r="U397" s="2463" t="s">
        <v>2015</v>
      </c>
      <c r="V397" s="2304" t="s">
        <v>1974</v>
      </c>
      <c r="W397" s="2303">
        <f>'PLIEGO UNIFICADO'!E407</f>
        <v>5.46</v>
      </c>
    </row>
    <row r="398" spans="21:23">
      <c r="U398" s="2463" t="s">
        <v>1984</v>
      </c>
      <c r="V398" s="2308" t="s">
        <v>259</v>
      </c>
      <c r="W398" s="2307">
        <f>'PLIEGO UNIFICADO'!E411</f>
        <v>1.188E-2</v>
      </c>
    </row>
    <row r="399" spans="21:23">
      <c r="U399" s="2463" t="s">
        <v>1985</v>
      </c>
      <c r="V399" s="2308" t="s">
        <v>259</v>
      </c>
      <c r="W399" s="2307">
        <f>'PLIEGO UNIFICADO'!E411</f>
        <v>1.188E-2</v>
      </c>
    </row>
    <row r="400" spans="21:23">
      <c r="U400" s="2463" t="s">
        <v>1986</v>
      </c>
      <c r="V400" s="2308" t="s">
        <v>259</v>
      </c>
      <c r="W400" s="2307">
        <f>'PLIEGO UNIFICADO'!E411</f>
        <v>1.188E-2</v>
      </c>
    </row>
    <row r="401" spans="21:23">
      <c r="U401" s="2463" t="s">
        <v>1987</v>
      </c>
      <c r="V401" s="2304" t="s">
        <v>1974</v>
      </c>
      <c r="W401" s="2303">
        <f>'PLIEGO UNIFICADO'!E410</f>
        <v>0.45</v>
      </c>
    </row>
    <row r="402" spans="21:23">
      <c r="U402" s="2461" t="s">
        <v>309</v>
      </c>
      <c r="V402" s="2306"/>
      <c r="W402" s="2305"/>
    </row>
    <row r="403" spans="21:23">
      <c r="U403" s="2463" t="s">
        <v>1988</v>
      </c>
      <c r="V403" s="2308" t="s">
        <v>259</v>
      </c>
      <c r="W403" s="2307">
        <f>'PLIEGO UNIFICADO'!E413</f>
        <v>2.33E-3</v>
      </c>
    </row>
    <row r="404" spans="21:23">
      <c r="U404" s="2463" t="s">
        <v>1972</v>
      </c>
      <c r="V404" s="2308" t="s">
        <v>259</v>
      </c>
      <c r="W404" s="2307">
        <f>'PLIEGO UNIFICADO'!E419</f>
        <v>1.6199999999999999E-3</v>
      </c>
    </row>
    <row r="405" spans="21:23">
      <c r="U405" s="2461" t="s">
        <v>10</v>
      </c>
      <c r="V405" s="2306"/>
      <c r="W405" s="2305"/>
    </row>
    <row r="406" spans="21:23">
      <c r="U406" s="2463" t="s">
        <v>1982</v>
      </c>
      <c r="V406" s="2304" t="s">
        <v>1974</v>
      </c>
      <c r="W406" s="2303">
        <f>'PLIEGO UNIFICADO'!E415</f>
        <v>1.58</v>
      </c>
    </row>
    <row r="407" spans="21:23">
      <c r="U407" s="2463" t="s">
        <v>1996</v>
      </c>
      <c r="V407" s="2304" t="s">
        <v>1974</v>
      </c>
      <c r="W407" s="2303">
        <f>0</f>
        <v>0</v>
      </c>
    </row>
    <row r="408" spans="21:23">
      <c r="U408" s="2463" t="s">
        <v>1968</v>
      </c>
      <c r="V408" s="2308" t="s">
        <v>259</v>
      </c>
      <c r="W408" s="2307">
        <f>'PLIEGO UNIFICADO'!E416</f>
        <v>3.6800000000000001E-3</v>
      </c>
    </row>
    <row r="409" spans="21:23">
      <c r="U409" s="2461" t="s">
        <v>11</v>
      </c>
      <c r="V409" s="2306"/>
      <c r="W409" s="2305"/>
    </row>
    <row r="410" spans="21:23" ht="36">
      <c r="U410" s="2463" t="s">
        <v>2009</v>
      </c>
      <c r="V410" s="2304" t="s">
        <v>1974</v>
      </c>
      <c r="W410" s="2303">
        <f>'PLIEGO UNIFICADO'!E418</f>
        <v>16</v>
      </c>
    </row>
    <row r="411" spans="21:23">
      <c r="W411" s="2298"/>
    </row>
    <row r="412" spans="21:23">
      <c r="W412" s="2298"/>
    </row>
    <row r="413" spans="21:23">
      <c r="W413" s="2298"/>
    </row>
    <row r="414" spans="21:23">
      <c r="U414" s="2318" t="s">
        <v>2016</v>
      </c>
      <c r="W414" s="2298"/>
    </row>
    <row r="415" spans="21:23">
      <c r="U415" s="1571" t="s">
        <v>1998</v>
      </c>
      <c r="W415" s="2298"/>
    </row>
    <row r="416" spans="21:23">
      <c r="U416" s="2321"/>
      <c r="W416" s="2298"/>
    </row>
    <row r="417" spans="21:23">
      <c r="U417" s="2313" t="s">
        <v>1939</v>
      </c>
      <c r="V417" s="1571"/>
      <c r="W417" s="2320"/>
    </row>
    <row r="418" spans="21:23">
      <c r="U418" s="2311" t="s">
        <v>428</v>
      </c>
      <c r="V418" s="2313" t="s">
        <v>1944</v>
      </c>
      <c r="W418" s="2314">
        <f>W426</f>
        <v>10.039999999999999</v>
      </c>
    </row>
    <row r="419" spans="21:23">
      <c r="U419" s="2311" t="s">
        <v>425</v>
      </c>
      <c r="V419" s="2311" t="s">
        <v>1974</v>
      </c>
      <c r="W419" s="2314">
        <f>W429+W431+W436</f>
        <v>13.229999999999999</v>
      </c>
    </row>
    <row r="420" spans="21:23">
      <c r="U420" s="2311" t="s">
        <v>2010</v>
      </c>
      <c r="V420" s="2311" t="s">
        <v>1974</v>
      </c>
      <c r="W420" s="2314">
        <f>W439</f>
        <v>16</v>
      </c>
    </row>
    <row r="421" spans="21:23">
      <c r="U421" s="2311" t="s">
        <v>427</v>
      </c>
      <c r="V421" s="2311" t="s">
        <v>259</v>
      </c>
      <c r="W421" s="2312">
        <f>W427+W430+W433+W434+W437</f>
        <v>2.4209999999999995E-2</v>
      </c>
    </row>
    <row r="422" spans="21:23">
      <c r="U422" s="2310"/>
      <c r="V422" s="2306"/>
      <c r="W422" s="2309"/>
    </row>
    <row r="423" spans="21:23">
      <c r="U423" s="2311" t="s">
        <v>1810</v>
      </c>
      <c r="V423" s="2306"/>
      <c r="W423" s="2319"/>
    </row>
    <row r="424" spans="21:23">
      <c r="U424" s="2310"/>
      <c r="V424" s="2306"/>
      <c r="W424" s="2309"/>
    </row>
    <row r="425" spans="21:23">
      <c r="U425" s="2461" t="s">
        <v>12</v>
      </c>
      <c r="V425" s="2306"/>
      <c r="W425" s="2309"/>
    </row>
    <row r="426" spans="21:23">
      <c r="U426" s="2463" t="s">
        <v>1943</v>
      </c>
      <c r="V426" s="2308" t="s">
        <v>1944</v>
      </c>
      <c r="W426" s="2303">
        <f>'PLIEGO UNIFICADO'!E378*2</f>
        <v>10.039999999999999</v>
      </c>
    </row>
    <row r="427" spans="21:23">
      <c r="U427" s="2463" t="s">
        <v>1968</v>
      </c>
      <c r="V427" s="2308" t="s">
        <v>259</v>
      </c>
      <c r="W427" s="2307">
        <f>'PLIEGO UNIFICADO'!E379</f>
        <v>4.5900000000000003E-3</v>
      </c>
    </row>
    <row r="428" spans="21:23">
      <c r="U428" s="2461" t="s">
        <v>9</v>
      </c>
      <c r="V428" s="2306"/>
      <c r="W428" s="2305"/>
    </row>
    <row r="429" spans="21:23">
      <c r="U429" s="2463" t="s">
        <v>1989</v>
      </c>
      <c r="V429" s="2304" t="s">
        <v>1974</v>
      </c>
      <c r="W429" s="2303">
        <f>'PLIEGO UNIFICADO'!E381</f>
        <v>11.29</v>
      </c>
    </row>
    <row r="430" spans="21:23">
      <c r="U430" s="2463" t="s">
        <v>2011</v>
      </c>
      <c r="V430" s="2308" t="s">
        <v>259</v>
      </c>
      <c r="W430" s="2307">
        <f>'PLIEGO UNIFICADO'!E385</f>
        <v>1.188E-2</v>
      </c>
    </row>
    <row r="431" spans="21:23">
      <c r="U431" s="2463" t="s">
        <v>2012</v>
      </c>
      <c r="V431" s="2304" t="s">
        <v>1974</v>
      </c>
      <c r="W431" s="2303">
        <f>'PLIEGO UNIFICADO'!E384</f>
        <v>0.42</v>
      </c>
    </row>
    <row r="432" spans="21:23">
      <c r="U432" s="2461" t="s">
        <v>309</v>
      </c>
      <c r="V432" s="2306"/>
      <c r="W432" s="2305"/>
    </row>
    <row r="433" spans="21:23">
      <c r="U433" s="2463" t="s">
        <v>1988</v>
      </c>
      <c r="V433" s="2308" t="s">
        <v>259</v>
      </c>
      <c r="W433" s="2307">
        <f>'PLIEGO UNIFICADO'!E387</f>
        <v>2.33E-3</v>
      </c>
    </row>
    <row r="434" spans="21:23">
      <c r="U434" s="2463" t="s">
        <v>2168</v>
      </c>
      <c r="V434" s="2308" t="s">
        <v>259</v>
      </c>
      <c r="W434" s="2307">
        <f>'PLIEGO UNIFICADO'!E393</f>
        <v>1.6199999999999999E-3</v>
      </c>
    </row>
    <row r="435" spans="21:23">
      <c r="U435" s="2461" t="s">
        <v>10</v>
      </c>
      <c r="V435" s="2306"/>
      <c r="W435" s="2305"/>
    </row>
    <row r="436" spans="21:23">
      <c r="U436" s="2463" t="s">
        <v>1989</v>
      </c>
      <c r="V436" s="2304" t="s">
        <v>1974</v>
      </c>
      <c r="W436" s="2303">
        <f>'PLIEGO UNIFICADO'!E389</f>
        <v>1.52</v>
      </c>
    </row>
    <row r="437" spans="21:23">
      <c r="U437" s="2463" t="s">
        <v>1968</v>
      </c>
      <c r="V437" s="2308" t="s">
        <v>259</v>
      </c>
      <c r="W437" s="2307">
        <f>'PLIEGO UNIFICADO'!E390</f>
        <v>3.79E-3</v>
      </c>
    </row>
    <row r="438" spans="21:23">
      <c r="U438" s="2461" t="s">
        <v>11</v>
      </c>
      <c r="V438" s="2306"/>
      <c r="W438" s="2305"/>
    </row>
    <row r="439" spans="21:23" ht="36">
      <c r="U439" s="2463" t="s">
        <v>2009</v>
      </c>
      <c r="V439" s="2304" t="s">
        <v>1974</v>
      </c>
      <c r="W439" s="2303">
        <f>'PLIEGO UNIFICADO'!E392</f>
        <v>16</v>
      </c>
    </row>
    <row r="440" spans="21:23">
      <c r="W440" s="2298"/>
    </row>
    <row r="441" spans="21:23">
      <c r="W441" s="2298"/>
    </row>
    <row r="442" spans="21:23">
      <c r="U442" s="2318" t="s">
        <v>2017</v>
      </c>
      <c r="W442" s="2298"/>
    </row>
    <row r="443" spans="21:23" ht="24">
      <c r="U443" s="2317" t="s">
        <v>1998</v>
      </c>
      <c r="W443" s="2298"/>
    </row>
    <row r="444" spans="21:23">
      <c r="U444" s="1571"/>
      <c r="W444" s="2298"/>
    </row>
    <row r="445" spans="21:23">
      <c r="U445" s="2311" t="s">
        <v>1939</v>
      </c>
      <c r="V445" s="1571"/>
      <c r="W445" s="2320"/>
    </row>
    <row r="446" spans="21:23">
      <c r="U446" s="2311" t="s">
        <v>313</v>
      </c>
      <c r="V446" s="2313" t="s">
        <v>1944</v>
      </c>
      <c r="W446" s="2314">
        <f>W457</f>
        <v>5.58</v>
      </c>
    </row>
    <row r="447" spans="21:23">
      <c r="U447" s="2311" t="s">
        <v>1980</v>
      </c>
      <c r="V447" s="2313" t="s">
        <v>259</v>
      </c>
      <c r="W447" s="2312">
        <f>W458+W462+W467+W468+W472</f>
        <v>2.683E-2</v>
      </c>
    </row>
    <row r="448" spans="21:23">
      <c r="U448" s="2311" t="s">
        <v>1941</v>
      </c>
      <c r="V448" s="2313" t="s">
        <v>259</v>
      </c>
      <c r="W448" s="2312">
        <f>W447</f>
        <v>2.683E-2</v>
      </c>
    </row>
    <row r="449" spans="21:23">
      <c r="U449" s="2311" t="s">
        <v>1942</v>
      </c>
      <c r="V449" s="2313" t="s">
        <v>259</v>
      </c>
      <c r="W449" s="2312">
        <f>W448</f>
        <v>2.683E-2</v>
      </c>
    </row>
    <row r="450" spans="21:23">
      <c r="U450" s="2311" t="s">
        <v>1981</v>
      </c>
      <c r="V450" s="2311" t="s">
        <v>1974</v>
      </c>
      <c r="W450" s="2314">
        <f>W460+W465+W470</f>
        <v>9.69</v>
      </c>
    </row>
    <row r="451" spans="21:23">
      <c r="U451" s="2311" t="s">
        <v>909</v>
      </c>
      <c r="V451" s="2311" t="s">
        <v>1974</v>
      </c>
      <c r="W451" s="2314">
        <f>W461+W471</f>
        <v>5.26</v>
      </c>
    </row>
    <row r="452" spans="21:23" ht="24">
      <c r="U452" s="2311" t="s">
        <v>2007</v>
      </c>
      <c r="V452" s="2311" t="s">
        <v>1974</v>
      </c>
      <c r="W452" s="2314">
        <f>W474</f>
        <v>16</v>
      </c>
    </row>
    <row r="453" spans="21:23">
      <c r="U453" s="2310"/>
      <c r="V453" s="1571"/>
      <c r="W453" s="2319"/>
    </row>
    <row r="454" spans="21:23">
      <c r="U454" s="2311" t="s">
        <v>1810</v>
      </c>
      <c r="V454" s="2306"/>
      <c r="W454" s="2309"/>
    </row>
    <row r="455" spans="21:23">
      <c r="U455" s="2310"/>
      <c r="V455" s="2306"/>
      <c r="W455" s="2309"/>
    </row>
    <row r="456" spans="21:23">
      <c r="U456" s="2461" t="s">
        <v>12</v>
      </c>
      <c r="V456" s="1571"/>
      <c r="W456" s="2319"/>
    </row>
    <row r="457" spans="21:23">
      <c r="U457" s="2463" t="s">
        <v>1943</v>
      </c>
      <c r="V457" s="2308" t="s">
        <v>1944</v>
      </c>
      <c r="W457" s="2303">
        <f>'PLIEGO UNIFICADO'!E350*2</f>
        <v>5.58</v>
      </c>
    </row>
    <row r="458" spans="21:23">
      <c r="U458" s="2463" t="s">
        <v>1968</v>
      </c>
      <c r="V458" s="2308" t="s">
        <v>259</v>
      </c>
      <c r="W458" s="2307">
        <f>'PLIEGO UNIFICADO'!E351</f>
        <v>4.7699999999999999E-3</v>
      </c>
    </row>
    <row r="459" spans="21:23">
      <c r="U459" s="2461" t="s">
        <v>9</v>
      </c>
      <c r="V459" s="2306"/>
      <c r="W459" s="2305"/>
    </row>
    <row r="460" spans="21:23">
      <c r="U460" s="2463" t="s">
        <v>1982</v>
      </c>
      <c r="V460" s="2304" t="s">
        <v>1974</v>
      </c>
      <c r="W460" s="2303">
        <f>'PLIEGO UNIFICADO'!E353</f>
        <v>7.68</v>
      </c>
    </row>
    <row r="461" spans="21:23">
      <c r="U461" s="2463" t="s">
        <v>1983</v>
      </c>
      <c r="V461" s="2304" t="s">
        <v>1974</v>
      </c>
      <c r="W461" s="2303">
        <f>'PLIEGO UNIFICADO'!E354</f>
        <v>5.26</v>
      </c>
    </row>
    <row r="462" spans="21:23">
      <c r="U462" s="2463" t="s">
        <v>1984</v>
      </c>
      <c r="V462" s="2308" t="s">
        <v>259</v>
      </c>
      <c r="W462" s="2307">
        <f>'PLIEGO UNIFICADO'!E358</f>
        <v>1.617E-2</v>
      </c>
    </row>
    <row r="463" spans="21:23">
      <c r="U463" s="2463" t="s">
        <v>1985</v>
      </c>
      <c r="V463" s="2308" t="s">
        <v>259</v>
      </c>
      <c r="W463" s="2307">
        <f>'PLIEGO UNIFICADO'!E358</f>
        <v>1.617E-2</v>
      </c>
    </row>
    <row r="464" spans="21:23">
      <c r="U464" s="2463" t="s">
        <v>1986</v>
      </c>
      <c r="V464" s="2308" t="s">
        <v>259</v>
      </c>
      <c r="W464" s="2307">
        <f>'PLIEGO UNIFICADO'!E358</f>
        <v>1.617E-2</v>
      </c>
    </row>
    <row r="465" spans="21:23">
      <c r="U465" s="2463" t="s">
        <v>1987</v>
      </c>
      <c r="V465" s="2304" t="s">
        <v>1974</v>
      </c>
      <c r="W465" s="2303">
        <f>'PLIEGO UNIFICADO'!E357</f>
        <v>0.56000000000000005</v>
      </c>
    </row>
    <row r="466" spans="21:23">
      <c r="U466" s="2461" t="s">
        <v>309</v>
      </c>
      <c r="V466" s="2306"/>
      <c r="W466" s="2305"/>
    </row>
    <row r="467" spans="21:23">
      <c r="U467" s="2463" t="s">
        <v>1988</v>
      </c>
      <c r="V467" s="2308" t="s">
        <v>259</v>
      </c>
      <c r="W467" s="2307">
        <f>'PLIEGO UNIFICADO'!E360</f>
        <v>2.33E-3</v>
      </c>
    </row>
    <row r="468" spans="21:23">
      <c r="U468" s="2463" t="s">
        <v>1972</v>
      </c>
      <c r="V468" s="2308" t="s">
        <v>259</v>
      </c>
      <c r="W468" s="2307">
        <f>'PLIEGO UNIFICADO'!E366</f>
        <v>1.6199999999999999E-3</v>
      </c>
    </row>
    <row r="469" spans="21:23">
      <c r="U469" s="2461" t="s">
        <v>10</v>
      </c>
      <c r="V469" s="2306"/>
      <c r="W469" s="2305"/>
    </row>
    <row r="470" spans="21:23">
      <c r="U470" s="2463" t="s">
        <v>2018</v>
      </c>
      <c r="V470" s="2304" t="s">
        <v>1974</v>
      </c>
      <c r="W470" s="2303">
        <f>'PLIEGO UNIFICADO'!E362</f>
        <v>1.45</v>
      </c>
    </row>
    <row r="471" spans="21:23">
      <c r="U471" s="2463" t="s">
        <v>2019</v>
      </c>
      <c r="V471" s="2304" t="s">
        <v>1974</v>
      </c>
      <c r="W471" s="2303">
        <f>0</f>
        <v>0</v>
      </c>
    </row>
    <row r="472" spans="21:23">
      <c r="U472" s="2463" t="s">
        <v>1968</v>
      </c>
      <c r="V472" s="2308" t="s">
        <v>259</v>
      </c>
      <c r="W472" s="2307">
        <f>'PLIEGO UNIFICADO'!E363</f>
        <v>1.9400000000000001E-3</v>
      </c>
    </row>
    <row r="473" spans="21:23">
      <c r="U473" s="2461" t="s">
        <v>11</v>
      </c>
      <c r="V473" s="2306"/>
      <c r="W473" s="2305"/>
    </row>
    <row r="474" spans="21:23" ht="36">
      <c r="U474" s="2463" t="s">
        <v>2013</v>
      </c>
      <c r="V474" s="2304" t="s">
        <v>1974</v>
      </c>
      <c r="W474" s="2303">
        <f>'PLIEGO UNIFICADO'!E365</f>
        <v>16</v>
      </c>
    </row>
    <row r="475" spans="21:23">
      <c r="W475" s="2298"/>
    </row>
    <row r="476" spans="21:23">
      <c r="W476" s="2298"/>
    </row>
    <row r="477" spans="21:23">
      <c r="W477" s="2298"/>
    </row>
    <row r="478" spans="21:23">
      <c r="U478" s="2318" t="s">
        <v>2020</v>
      </c>
      <c r="W478" s="2298"/>
    </row>
    <row r="479" spans="21:23" ht="24">
      <c r="U479" s="2317" t="s">
        <v>1998</v>
      </c>
      <c r="W479" s="2298"/>
    </row>
    <row r="480" spans="21:23">
      <c r="U480" s="2316"/>
      <c r="W480" s="2298"/>
    </row>
    <row r="481" spans="21:23">
      <c r="U481" s="2313" t="s">
        <v>1939</v>
      </c>
      <c r="V481" s="2306"/>
      <c r="W481" s="2315"/>
    </row>
    <row r="482" spans="21:23">
      <c r="U482" s="2311" t="s">
        <v>313</v>
      </c>
      <c r="V482" s="2313" t="s">
        <v>1944</v>
      </c>
      <c r="W482" s="2314">
        <f>W490</f>
        <v>5.58</v>
      </c>
    </row>
    <row r="483" spans="21:23">
      <c r="U483" s="2311" t="s">
        <v>425</v>
      </c>
      <c r="V483" s="2311" t="s">
        <v>1974</v>
      </c>
      <c r="W483" s="2314">
        <f>W493+W495+W500</f>
        <v>14.27</v>
      </c>
    </row>
    <row r="484" spans="21:23">
      <c r="U484" s="2311" t="s">
        <v>2010</v>
      </c>
      <c r="V484" s="2311" t="s">
        <v>1974</v>
      </c>
      <c r="W484" s="2314">
        <f>W503</f>
        <v>16</v>
      </c>
    </row>
    <row r="485" spans="21:23">
      <c r="U485" s="2311" t="s">
        <v>427</v>
      </c>
      <c r="V485" s="2313" t="s">
        <v>405</v>
      </c>
      <c r="W485" s="2312">
        <f>W491+W494+W497+W498+W501</f>
        <v>2.9599999999999998E-2</v>
      </c>
    </row>
    <row r="486" spans="21:23">
      <c r="U486" s="2310"/>
      <c r="V486" s="2306"/>
      <c r="W486" s="2309"/>
    </row>
    <row r="487" spans="21:23">
      <c r="U487" s="2311" t="s">
        <v>1810</v>
      </c>
      <c r="V487" s="2306"/>
      <c r="W487" s="2309"/>
    </row>
    <row r="488" spans="21:23">
      <c r="U488" s="2310"/>
      <c r="V488" s="1571"/>
      <c r="W488" s="2309"/>
    </row>
    <row r="489" spans="21:23">
      <c r="U489" s="2461" t="s">
        <v>12</v>
      </c>
      <c r="V489" s="2306"/>
      <c r="W489" s="2309"/>
    </row>
    <row r="490" spans="21:23">
      <c r="U490" s="2463" t="s">
        <v>1943</v>
      </c>
      <c r="V490" s="2308" t="s">
        <v>1944</v>
      </c>
      <c r="W490" s="2303">
        <f>'PLIEGO UNIFICADO'!E325*2</f>
        <v>5.58</v>
      </c>
    </row>
    <row r="491" spans="21:23">
      <c r="U491" s="2463" t="s">
        <v>1968</v>
      </c>
      <c r="V491" s="2308" t="s">
        <v>259</v>
      </c>
      <c r="W491" s="2307">
        <f>'PLIEGO UNIFICADO'!E326</f>
        <v>4.7699999999999999E-3</v>
      </c>
    </row>
    <row r="492" spans="21:23">
      <c r="U492" s="2461" t="s">
        <v>9</v>
      </c>
      <c r="V492" s="2306"/>
      <c r="W492" s="2305"/>
    </row>
    <row r="493" spans="21:23">
      <c r="U493" s="2463" t="s">
        <v>1989</v>
      </c>
      <c r="V493" s="2304" t="s">
        <v>1974</v>
      </c>
      <c r="W493" s="2303">
        <f>'PLIEGO UNIFICADO'!E328</f>
        <v>12.35</v>
      </c>
    </row>
    <row r="494" spans="21:23">
      <c r="U494" s="2463" t="s">
        <v>2011</v>
      </c>
      <c r="V494" s="2308" t="s">
        <v>259</v>
      </c>
      <c r="W494" s="2307">
        <f>'PLIEGO UNIFICADO'!E332</f>
        <v>1.617E-2</v>
      </c>
    </row>
    <row r="495" spans="21:23">
      <c r="U495" s="2463" t="s">
        <v>2012</v>
      </c>
      <c r="V495" s="2304" t="s">
        <v>1974</v>
      </c>
      <c r="W495" s="2303">
        <f>'PLIEGO UNIFICADO'!E331</f>
        <v>0.53</v>
      </c>
    </row>
    <row r="496" spans="21:23">
      <c r="U496" s="2461" t="s">
        <v>309</v>
      </c>
      <c r="V496" s="2306"/>
      <c r="W496" s="2305"/>
    </row>
    <row r="497" spans="21:23">
      <c r="U497" s="2463" t="s">
        <v>1988</v>
      </c>
      <c r="V497" s="2308" t="s">
        <v>259</v>
      </c>
      <c r="W497" s="2307">
        <f>'PLIEGO UNIFICADO'!E334</f>
        <v>2.33E-3</v>
      </c>
    </row>
    <row r="498" spans="21:23">
      <c r="U498" s="2464" t="s">
        <v>2170</v>
      </c>
      <c r="V498" s="2308" t="s">
        <v>259</v>
      </c>
      <c r="W498" s="2307">
        <f>'PLIEGO UNIFICADO'!E340</f>
        <v>1.6199999999999999E-3</v>
      </c>
    </row>
    <row r="499" spans="21:23">
      <c r="U499" s="2461" t="s">
        <v>10</v>
      </c>
      <c r="V499" s="2306"/>
      <c r="W499" s="2305"/>
    </row>
    <row r="500" spans="21:23">
      <c r="U500" s="2463" t="s">
        <v>1989</v>
      </c>
      <c r="V500" s="2304" t="s">
        <v>1974</v>
      </c>
      <c r="W500" s="2303">
        <f>'PLIEGO UNIFICADO'!E336</f>
        <v>1.39</v>
      </c>
    </row>
    <row r="501" spans="21:23">
      <c r="U501" s="2463" t="s">
        <v>1968</v>
      </c>
      <c r="V501" s="2308" t="s">
        <v>259</v>
      </c>
      <c r="W501" s="2307">
        <f>'PLIEGO UNIFICADO'!E337</f>
        <v>4.7099999999999998E-3</v>
      </c>
    </row>
    <row r="502" spans="21:23">
      <c r="U502" s="2461" t="s">
        <v>11</v>
      </c>
      <c r="V502" s="2306"/>
      <c r="W502" s="2305"/>
    </row>
    <row r="503" spans="21:23" ht="36">
      <c r="U503" s="2463" t="s">
        <v>2009</v>
      </c>
      <c r="V503" s="2304" t="s">
        <v>1974</v>
      </c>
      <c r="W503" s="2303">
        <f>'PLIEGO UNIFICADO'!E339</f>
        <v>16</v>
      </c>
    </row>
    <row r="504" spans="21:23">
      <c r="W504" s="2298"/>
    </row>
    <row r="505" spans="21:23">
      <c r="W505" s="2298"/>
    </row>
    <row r="506" spans="21:23">
      <c r="W506" s="2298"/>
    </row>
    <row r="507" spans="21:23">
      <c r="W507" s="2298"/>
    </row>
    <row r="508" spans="21:23" ht="40.5">
      <c r="U508" s="2302" t="s">
        <v>2085</v>
      </c>
      <c r="V508" s="2301" t="s">
        <v>2086</v>
      </c>
    </row>
    <row r="509" spans="21:23" ht="13.5">
      <c r="U509" s="2299" t="s">
        <v>2087</v>
      </c>
      <c r="V509" s="2458">
        <f>'PLIEGO UNIFICADO'!$E$302</f>
        <v>16.690000000000001</v>
      </c>
    </row>
    <row r="510" spans="21:23" ht="13.5">
      <c r="U510" s="2299" t="s">
        <v>2088</v>
      </c>
      <c r="V510" s="2458">
        <f>'PLIEGO UNIFICADO'!$E$302</f>
        <v>16.690000000000001</v>
      </c>
    </row>
    <row r="511" spans="21:23" ht="13.5">
      <c r="U511" s="2300" t="s">
        <v>1688</v>
      </c>
      <c r="V511" s="2459">
        <f>'PLIEGO UNIFICADO'!$E$302</f>
        <v>16.690000000000001</v>
      </c>
    </row>
    <row r="512" spans="21:23" ht="13.5">
      <c r="U512" s="2299" t="s">
        <v>2089</v>
      </c>
      <c r="V512" s="2458">
        <f>'PLIEGO UNIFICADO'!$E$305</f>
        <v>71.849999999999994</v>
      </c>
      <c r="W512" s="874"/>
    </row>
    <row r="513" spans="21:23" ht="13.5">
      <c r="U513" s="2300" t="s">
        <v>2090</v>
      </c>
      <c r="V513" s="2459">
        <f>'PLIEGO UNIFICADO'!$E$305</f>
        <v>71.849999999999994</v>
      </c>
      <c r="W513" s="874"/>
    </row>
    <row r="514" spans="21:23" ht="13.5">
      <c r="U514" s="2299" t="s">
        <v>2091</v>
      </c>
      <c r="V514" s="2458">
        <f>'PLIEGO UNIFICADO'!$E$307</f>
        <v>141.52000000000001</v>
      </c>
      <c r="W514" s="874"/>
    </row>
    <row r="515" spans="21:23" ht="13.5">
      <c r="U515" s="2300" t="s">
        <v>2092</v>
      </c>
      <c r="V515" s="2459">
        <f>'PLIEGO UNIFICADO'!$E$307</f>
        <v>141.52000000000001</v>
      </c>
      <c r="W515" s="874"/>
    </row>
    <row r="516" spans="21:23" ht="13.5">
      <c r="U516" s="2299" t="s">
        <v>2093</v>
      </c>
      <c r="V516" s="2458">
        <f>'PLIEGO UNIFICADO'!$E$309</f>
        <v>202.17</v>
      </c>
      <c r="W516" s="874"/>
    </row>
    <row r="517" spans="21:23" ht="13.5">
      <c r="U517" s="2299" t="s">
        <v>2094</v>
      </c>
      <c r="V517" s="2458">
        <f>'PLIEGO UNIFICADO'!$E$309</f>
        <v>202.17</v>
      </c>
      <c r="W517" s="874"/>
    </row>
    <row r="518" spans="21:23">
      <c r="V518" s="875"/>
      <c r="W518" s="2298"/>
    </row>
    <row r="519" spans="21:23">
      <c r="V519" s="875"/>
      <c r="W519" s="2298"/>
    </row>
    <row r="520" spans="21:23" ht="13.5">
      <c r="U520" s="2299"/>
      <c r="V520" s="2458"/>
      <c r="W520" s="874"/>
    </row>
    <row r="521" spans="21:23" ht="13.5">
      <c r="U521" s="2299"/>
      <c r="V521" s="2458"/>
      <c r="W521" s="874"/>
    </row>
    <row r="522" spans="21:23">
      <c r="W522" s="2298"/>
    </row>
    <row r="523" spans="21:23">
      <c r="W523" s="2298"/>
    </row>
    <row r="524" spans="21:23">
      <c r="W524" s="2298"/>
    </row>
    <row r="525" spans="21:23">
      <c r="W525" s="2298"/>
    </row>
    <row r="526" spans="21:23">
      <c r="W526" s="2298"/>
    </row>
    <row r="527" spans="21:23">
      <c r="W527" s="2298"/>
    </row>
    <row r="528" spans="21:23">
      <c r="W528" s="2298"/>
    </row>
    <row r="529" spans="23:23">
      <c r="W529" s="2298"/>
    </row>
    <row r="530" spans="23:23">
      <c r="W530" s="2298"/>
    </row>
    <row r="531" spans="23:23">
      <c r="W531" s="2298"/>
    </row>
    <row r="532" spans="23:23">
      <c r="W532" s="2298"/>
    </row>
    <row r="533" spans="23:23">
      <c r="W533" s="2298"/>
    </row>
    <row r="534" spans="23:23">
      <c r="W534" s="229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284E8A9FA652947BCA03747BD96F320" ma:contentTypeVersion="15" ma:contentTypeDescription="Crear nuevo documento." ma:contentTypeScope="" ma:versionID="f2055b431bfa172c7ff5e5ee0fee76c2">
  <xsd:schema xmlns:xsd="http://www.w3.org/2001/XMLSchema" xmlns:xs="http://www.w3.org/2001/XMLSchema" xmlns:p="http://schemas.microsoft.com/office/2006/metadata/properties" xmlns:ns2="31dae7c2-3bb0-41e9-b561-06e10b5e3344" xmlns:ns3="d93e5b07-59f6-473e-8b31-642d3f9939c2" targetNamespace="http://schemas.microsoft.com/office/2006/metadata/properties" ma:root="true" ma:fieldsID="16ce994c90c880bcdfeaefaefc70429c" ns2:_="" ns3:_="">
    <xsd:import namespace="31dae7c2-3bb0-41e9-b561-06e10b5e3344"/>
    <xsd:import namespace="d93e5b07-59f6-473e-8b31-642d3f9939c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DateTaken" minOccurs="0"/>
                <xsd:element ref="ns2:MediaLengthInSecond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dae7c2-3bb0-41e9-b561-06e10b5e33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Etiquetas de imagen" ma:readOnly="false" ma:fieldId="{5cf76f15-5ced-4ddc-b409-7134ff3c332f}" ma:taxonomyMulti="true" ma:sspId="a962ede3-39b3-45c6-9f12-db7754d5a30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3e5b07-59f6-473e-8b31-642d3f9939c2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24bf5028-bfed-4d75-952c-72e58777e323}" ma:internalName="TaxCatchAll" ma:showField="CatchAllData" ma:web="d93e5b07-59f6-473e-8b31-642d3f9939c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1dae7c2-3bb0-41e9-b561-06e10b5e3344">
      <Terms xmlns="http://schemas.microsoft.com/office/infopath/2007/PartnerControls"/>
    </lcf76f155ced4ddcb4097134ff3c332f>
    <TaxCatchAll xmlns="d93e5b07-59f6-473e-8b31-642d3f9939c2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D13B792-B939-408D-82B5-328A6CF3EB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dae7c2-3bb0-41e9-b561-06e10b5e3344"/>
    <ds:schemaRef ds:uri="d93e5b07-59f6-473e-8b31-642d3f9939c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2D8C0C0-1C4D-4BD8-92E4-E6E534AF0D0B}">
  <ds:schemaRefs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purl.org/dc/dcmitype/"/>
    <ds:schemaRef ds:uri="http://purl.org/dc/terms/"/>
    <ds:schemaRef ds:uri="d93e5b07-59f6-473e-8b31-642d3f9939c2"/>
    <ds:schemaRef ds:uri="31dae7c2-3bb0-41e9-b561-06e10b5e3344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7DB45414-516A-409E-853F-C55370068DF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98</vt:i4>
      </vt:variant>
      <vt:variant>
        <vt:lpstr>Rangos con nombre</vt:lpstr>
      </vt:variant>
      <vt:variant>
        <vt:i4>86</vt:i4>
      </vt:variant>
    </vt:vector>
  </HeadingPairs>
  <TitlesOfParts>
    <vt:vector size="184" baseType="lpstr">
      <vt:lpstr>PORTADA PORTADA PORTADA</vt:lpstr>
      <vt:lpstr>CONTENIDO 1</vt:lpstr>
      <vt:lpstr>Inf Ind Dem</vt:lpstr>
      <vt:lpstr>AjComDistAP100</vt:lpstr>
      <vt:lpstr>AjPérdDist200</vt:lpstr>
      <vt:lpstr>AjTran300</vt:lpstr>
      <vt:lpstr>AjPTran400</vt:lpstr>
      <vt:lpstr>AjGen500</vt:lpstr>
      <vt:lpstr>AjGen500PD</vt:lpstr>
      <vt:lpstr>AjGen500Extra</vt:lpstr>
      <vt:lpstr>MODELO IMP</vt:lpstr>
      <vt:lpstr>RAT1000VAD</vt:lpstr>
      <vt:lpstr>RAT1000PT</vt:lpstr>
      <vt:lpstr>ENSA Bal Reserva</vt:lpstr>
      <vt:lpstr>PD201BP1</vt:lpstr>
      <vt:lpstr>VPP1</vt:lpstr>
      <vt:lpstr>VPP2</vt:lpstr>
      <vt:lpstr>VPP3</vt:lpstr>
      <vt:lpstr>Formato FET ASEP</vt:lpstr>
      <vt:lpstr>Facturador Cáculo %FET</vt:lpstr>
      <vt:lpstr>VPP4 Cargos Tarifa CVC y FET</vt:lpstr>
      <vt:lpstr>CONTENIDO 2</vt:lpstr>
      <vt:lpstr>ComDistyAP100</vt:lpstr>
      <vt:lpstr>C101</vt:lpstr>
      <vt:lpstr>C102</vt:lpstr>
      <vt:lpstr>D103</vt:lpstr>
      <vt:lpstr>D104</vt:lpstr>
      <vt:lpstr>PDYG-200</vt:lpstr>
      <vt:lpstr>P201</vt:lpstr>
      <vt:lpstr>P202</vt:lpstr>
      <vt:lpstr>Pliego ETESA</vt:lpstr>
      <vt:lpstr>T302</vt:lpstr>
      <vt:lpstr>T303</vt:lpstr>
      <vt:lpstr>T304</vt:lpstr>
      <vt:lpstr>T305</vt:lpstr>
      <vt:lpstr>T306</vt:lpstr>
      <vt:lpstr>T307</vt:lpstr>
      <vt:lpstr>T308</vt:lpstr>
      <vt:lpstr>T322</vt:lpstr>
      <vt:lpstr>PT402</vt:lpstr>
      <vt:lpstr>PT403</vt:lpstr>
      <vt:lpstr>PT404</vt:lpstr>
      <vt:lpstr>PT405</vt:lpstr>
      <vt:lpstr>PT406</vt:lpstr>
      <vt:lpstr>PT407</vt:lpstr>
      <vt:lpstr>PT408</vt:lpstr>
      <vt:lpstr>PT422</vt:lpstr>
      <vt:lpstr>ComEne26</vt:lpstr>
      <vt:lpstr>G502</vt:lpstr>
      <vt:lpstr>G503E</vt:lpstr>
      <vt:lpstr>G504E</vt:lpstr>
      <vt:lpstr>G504EC1</vt:lpstr>
      <vt:lpstr>G504EC2</vt:lpstr>
      <vt:lpstr>G505E</vt:lpstr>
      <vt:lpstr>G506E</vt:lpstr>
      <vt:lpstr>G504P</vt:lpstr>
      <vt:lpstr>G505P</vt:lpstr>
      <vt:lpstr>G506P</vt:lpstr>
      <vt:lpstr>G507EP</vt:lpstr>
      <vt:lpstr>G508EP</vt:lpstr>
      <vt:lpstr>G503Ex</vt:lpstr>
      <vt:lpstr>G504Ex</vt:lpstr>
      <vt:lpstr>G505Ex</vt:lpstr>
      <vt:lpstr>G506Ex</vt:lpstr>
      <vt:lpstr>G507Ex</vt:lpstr>
      <vt:lpstr>G508Ex</vt:lpstr>
      <vt:lpstr>GEN506CVC</vt:lpstr>
      <vt:lpstr>Int509CVC</vt:lpstr>
      <vt:lpstr>Int509FET</vt:lpstr>
      <vt:lpstr>DTE Reconstrucción</vt:lpstr>
      <vt:lpstr>G522</vt:lpstr>
      <vt:lpstr>G522Bid</vt:lpstr>
      <vt:lpstr>G522Fia</vt:lpstr>
      <vt:lpstr>G531</vt:lpstr>
      <vt:lpstr>AP602</vt:lpstr>
      <vt:lpstr>AP603</vt:lpstr>
      <vt:lpstr>AP604</vt:lpstr>
      <vt:lpstr>AP622</vt:lpstr>
      <vt:lpstr>TI700</vt:lpstr>
      <vt:lpstr>811Cli</vt:lpstr>
      <vt:lpstr>811Ene</vt:lpstr>
      <vt:lpstr>F801C</vt:lpstr>
      <vt:lpstr>F801D</vt:lpstr>
      <vt:lpstr>F801EVE</vt:lpstr>
      <vt:lpstr>F801ENE</vt:lpstr>
      <vt:lpstr>MCDO800</vt:lpstr>
      <vt:lpstr>F821C</vt:lpstr>
      <vt:lpstr>F821D</vt:lpstr>
      <vt:lpstr>F821EVE</vt:lpstr>
      <vt:lpstr>F821EA</vt:lpstr>
      <vt:lpstr>F821ENE</vt:lpstr>
      <vt:lpstr>F821CVC</vt:lpstr>
      <vt:lpstr>F821CO</vt:lpstr>
      <vt:lpstr>F821DO</vt:lpstr>
      <vt:lpstr>F821EO</vt:lpstr>
      <vt:lpstr>MONOMICO ASEP REVISION</vt:lpstr>
      <vt:lpstr>PLIEGO UNIFICADO</vt:lpstr>
      <vt:lpstr>PROPUESTA PLIEGO FORMATO ASEP</vt:lpstr>
      <vt:lpstr>'811Cli'!Área_de_impresión</vt:lpstr>
      <vt:lpstr>'811Ene'!Área_de_impresión</vt:lpstr>
      <vt:lpstr>AjComDistAP100!Área_de_impresión</vt:lpstr>
      <vt:lpstr>AjGen500!Área_de_impresión</vt:lpstr>
      <vt:lpstr>AjGen500Extra!Área_de_impresión</vt:lpstr>
      <vt:lpstr>AjPérdDist200!Área_de_impresión</vt:lpstr>
      <vt:lpstr>AjPTran400!Área_de_impresión</vt:lpstr>
      <vt:lpstr>AjTran300!Área_de_impresión</vt:lpstr>
      <vt:lpstr>'AP602'!Área_de_impresión</vt:lpstr>
      <vt:lpstr>'AP603'!Área_de_impresión</vt:lpstr>
      <vt:lpstr>'AP604'!Área_de_impresión</vt:lpstr>
      <vt:lpstr>'AP622'!Área_de_impresión</vt:lpstr>
      <vt:lpstr>'C101'!Área_de_impresión</vt:lpstr>
      <vt:lpstr>'C102'!Área_de_impresión</vt:lpstr>
      <vt:lpstr>ComDistyAP100!Área_de_impresión</vt:lpstr>
      <vt:lpstr>'D103'!Área_de_impresión</vt:lpstr>
      <vt:lpstr>'D104'!Área_de_impresión</vt:lpstr>
      <vt:lpstr>'ENSA Bal Reserva'!Área_de_impresión</vt:lpstr>
      <vt:lpstr>'F801C'!Área_de_impresión</vt:lpstr>
      <vt:lpstr>'F801D'!Área_de_impresión</vt:lpstr>
      <vt:lpstr>'F801ENE'!Área_de_impresión</vt:lpstr>
      <vt:lpstr>'F801EVE'!Área_de_impresión</vt:lpstr>
      <vt:lpstr>'F821C'!Área_de_impresión</vt:lpstr>
      <vt:lpstr>'F821CO'!Área_de_impresión</vt:lpstr>
      <vt:lpstr>'F821CVC'!Área_de_impresión</vt:lpstr>
      <vt:lpstr>'F821D'!Área_de_impresión</vt:lpstr>
      <vt:lpstr>'F821DO'!Área_de_impresión</vt:lpstr>
      <vt:lpstr>'F821EA'!Área_de_impresión</vt:lpstr>
      <vt:lpstr>'F821ENE'!Área_de_impresión</vt:lpstr>
      <vt:lpstr>'F821EO'!Área_de_impresión</vt:lpstr>
      <vt:lpstr>'F821EVE'!Área_de_impresión</vt:lpstr>
      <vt:lpstr>'G502'!Área_de_impresión</vt:lpstr>
      <vt:lpstr>G503E!Área_de_impresión</vt:lpstr>
      <vt:lpstr>G503Ex!Área_de_impresión</vt:lpstr>
      <vt:lpstr>G504E!Área_de_impresión</vt:lpstr>
      <vt:lpstr>G504EC1!Área_de_impresión</vt:lpstr>
      <vt:lpstr>G504EC2!Área_de_impresión</vt:lpstr>
      <vt:lpstr>G504Ex!Área_de_impresión</vt:lpstr>
      <vt:lpstr>G504P!Área_de_impresión</vt:lpstr>
      <vt:lpstr>G505E!Área_de_impresión</vt:lpstr>
      <vt:lpstr>G505Ex!Área_de_impresión</vt:lpstr>
      <vt:lpstr>G505P!Área_de_impresión</vt:lpstr>
      <vt:lpstr>G506E!Área_de_impresión</vt:lpstr>
      <vt:lpstr>G506Ex!Área_de_impresión</vt:lpstr>
      <vt:lpstr>G506P!Área_de_impresión</vt:lpstr>
      <vt:lpstr>G507EP!Área_de_impresión</vt:lpstr>
      <vt:lpstr>G507Ex!Área_de_impresión</vt:lpstr>
      <vt:lpstr>G508EP!Área_de_impresión</vt:lpstr>
      <vt:lpstr>G508Ex!Área_de_impresión</vt:lpstr>
      <vt:lpstr>'G522'!Área_de_impresión</vt:lpstr>
      <vt:lpstr>G522Fia!Área_de_impresión</vt:lpstr>
      <vt:lpstr>'G531'!Área_de_impresión</vt:lpstr>
      <vt:lpstr>GEN506CVC!Área_de_impresión</vt:lpstr>
      <vt:lpstr>Int509CVC!Área_de_impresión</vt:lpstr>
      <vt:lpstr>Int509FET!Área_de_impresión</vt:lpstr>
      <vt:lpstr>MCDO800!Área_de_impresión</vt:lpstr>
      <vt:lpstr>'P201'!Área_de_impresión</vt:lpstr>
      <vt:lpstr>'P202'!Área_de_impresión</vt:lpstr>
      <vt:lpstr>PD201BP1!Área_de_impresión</vt:lpstr>
      <vt:lpstr>'PDYG-200'!Área_de_impresión</vt:lpstr>
      <vt:lpstr>'PLIEGO UNIFICADO'!Área_de_impresión</vt:lpstr>
      <vt:lpstr>'PORTADA PORTADA PORTADA'!Área_de_impresión</vt:lpstr>
      <vt:lpstr>'PT402'!Área_de_impresión</vt:lpstr>
      <vt:lpstr>'PT403'!Área_de_impresión</vt:lpstr>
      <vt:lpstr>'PT404'!Área_de_impresión</vt:lpstr>
      <vt:lpstr>'PT405'!Área_de_impresión</vt:lpstr>
      <vt:lpstr>'PT406'!Área_de_impresión</vt:lpstr>
      <vt:lpstr>'PT407'!Área_de_impresión</vt:lpstr>
      <vt:lpstr>'PT408'!Área_de_impresión</vt:lpstr>
      <vt:lpstr>'PT422'!Área_de_impresión</vt:lpstr>
      <vt:lpstr>RAT1000PT!Área_de_impresión</vt:lpstr>
      <vt:lpstr>RAT1000VAD!Área_de_impresión</vt:lpstr>
      <vt:lpstr>'T302'!Área_de_impresión</vt:lpstr>
      <vt:lpstr>'T303'!Área_de_impresión</vt:lpstr>
      <vt:lpstr>'T304'!Área_de_impresión</vt:lpstr>
      <vt:lpstr>'T305'!Área_de_impresión</vt:lpstr>
      <vt:lpstr>'T306'!Área_de_impresión</vt:lpstr>
      <vt:lpstr>'T307'!Área_de_impresión</vt:lpstr>
      <vt:lpstr>'T308'!Área_de_impresión</vt:lpstr>
      <vt:lpstr>'T322'!Área_de_impresión</vt:lpstr>
      <vt:lpstr>'TI700'!Área_de_impresión</vt:lpstr>
      <vt:lpstr>'VPP2'!Área_de_impresión</vt:lpstr>
      <vt:lpstr>'VPP3'!Área_de_impresión</vt:lpstr>
      <vt:lpstr>'VPP4 Cargos Tarifa CVC y FET'!Área_de_impresión</vt:lpstr>
      <vt:lpstr>'PLIEGO UNIFICADO'!Títulos_a_imprimir</vt:lpstr>
      <vt:lpstr>RAT1000PT!Títulos_a_imprimir</vt:lpstr>
    </vt:vector>
  </TitlesOfParts>
  <Company>Ente Regulador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Jenny Lía Rivas de Da Lorenzo</dc:creator>
  <cp:lastModifiedBy>Luciana Chen</cp:lastModifiedBy>
  <cp:lastPrinted>2026-04-01T15:57:16Z</cp:lastPrinted>
  <dcterms:created xsi:type="dcterms:W3CDTF">1999-04-07T20:41:01Z</dcterms:created>
  <dcterms:modified xsi:type="dcterms:W3CDTF">2026-07-03T20:52:36Z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0x0101004284E8A9FA652947BCA03747BD96F320</vt:lpwstr>
  </property>
  <property fmtid="{D5CDD505-2E9C-101B-9397-08002B2CF9AE}" pid="3" name="MediaServiceImageTags">
    <vt:lpwstr/>
  </property>
</Properties>
</file>